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0 ГОД\new\"/>
    </mc:Choice>
  </mc:AlternateContent>
  <xr:revisionPtr revIDLastSave="0" documentId="13_ncr:1_{E8F1F98E-D0F4-483B-B92A-361385694550}" xr6:coauthVersionLast="47" xr6:coauthVersionMax="47" xr10:uidLastSave="{00000000-0000-0000-0000-000000000000}"/>
  <bookViews>
    <workbookView xWindow="-120" yWindow="-120" windowWidth="29040" windowHeight="15840" tabRatio="690" activeTab="4" xr2:uid="{00000000-000D-0000-FFFF-FFFF00000000}"/>
  </bookViews>
  <sheets>
    <sheet name="Реестр" sheetId="7" r:id="rId1"/>
    <sheet name="Перечень" sheetId="15" r:id="rId2"/>
    <sheet name="Рес обесп" sheetId="14" r:id="rId3"/>
    <sheet name="Плановые показатели" sheetId="5" r:id="rId4"/>
    <sheet name="Спец.счета КП 2020-2022" sheetId="12" r:id="rId5"/>
    <sheet name="Зачет" sheetId="11" r:id="rId6"/>
    <sheet name="Реестр_бонусы" sheetId="8" r:id="rId7"/>
    <sheet name="Перечень_бонусы" sheetId="13" r:id="rId8"/>
    <sheet name="Планируемые показат_бонусы" sheetId="10" r:id="rId9"/>
    <sheet name="Лист1" sheetId="16" r:id="rId10"/>
  </sheets>
  <definedNames>
    <definedName name="_xlnm._FilterDatabase" localSheetId="5" hidden="1">Зачет!$A$17:$WWK$22</definedName>
    <definedName name="_xlnm._FilterDatabase" localSheetId="1" hidden="1">Перечень!$A$13:$V$13</definedName>
    <definedName name="_xlnm._FilterDatabase" localSheetId="7" hidden="1">Перечень_бонусы!$A$10:$T$210</definedName>
    <definedName name="_xlnm._FilterDatabase" localSheetId="3" hidden="1">'Плановые показатели'!$A$9:$O$249</definedName>
    <definedName name="_xlnm._FilterDatabase" localSheetId="0" hidden="1">Реестр!$A$20:$WYA$1600</definedName>
    <definedName name="_xlnm._FilterDatabase" localSheetId="6" hidden="1">Реестр_бонусы!$A$11:$AN$211</definedName>
    <definedName name="_xlnm._FilterDatabase" localSheetId="4" hidden="1">'Спец.счета КП 2020-2022'!$A$1696:$AB$1696</definedName>
    <definedName name="_xlnm.Print_Area" localSheetId="5">Зачет!$A$1:$AC$22</definedName>
    <definedName name="_xlnm.Print_Area" localSheetId="1">Перечень!$B$1:$V$1593</definedName>
    <definedName name="_xlnm.Print_Area" localSheetId="0">Реестр!$B$1:$AH$1600</definedName>
    <definedName name="_xlnm.Print_Area" localSheetId="2">'Рес обесп'!$A$1:$C$72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23" i="12" l="1"/>
  <c r="B1724" i="12"/>
  <c r="B1725" i="12"/>
  <c r="B1726" i="12"/>
  <c r="B1727" i="12"/>
  <c r="B1728" i="12"/>
  <c r="B1729" i="12"/>
  <c r="B1730" i="12"/>
  <c r="B1731" i="12"/>
  <c r="B1732" i="12"/>
  <c r="B1733" i="12"/>
  <c r="B1734" i="12"/>
  <c r="B1735" i="12"/>
  <c r="B1736" i="12"/>
  <c r="B1737" i="12"/>
  <c r="B1738" i="12"/>
  <c r="B1739" i="12"/>
  <c r="B1740" i="12"/>
  <c r="B1741" i="12"/>
  <c r="B1742" i="12"/>
  <c r="B1743" i="12"/>
  <c r="B1744" i="12"/>
  <c r="B1745" i="12"/>
  <c r="B1746" i="12"/>
  <c r="B1747" i="12"/>
  <c r="B1748" i="12"/>
  <c r="B1749" i="12"/>
  <c r="B1750" i="12"/>
  <c r="B1751" i="12"/>
  <c r="B1752" i="12"/>
  <c r="B1753" i="12"/>
  <c r="B1754" i="12"/>
  <c r="B1755" i="12"/>
  <c r="B1756" i="12"/>
  <c r="B1757" i="12"/>
  <c r="B1758" i="12"/>
  <c r="B1759" i="12"/>
  <c r="B1760" i="12"/>
  <c r="B1761" i="12"/>
  <c r="B1762" i="12"/>
  <c r="B1763" i="12"/>
  <c r="B1764" i="12"/>
  <c r="B1765" i="12"/>
  <c r="B1766" i="12"/>
  <c r="B1767" i="12"/>
  <c r="B1768" i="12"/>
  <c r="B1769" i="12"/>
  <c r="B1770" i="12"/>
  <c r="B1771" i="12"/>
  <c r="B1772" i="12"/>
  <c r="B1773" i="12"/>
  <c r="B1774" i="12"/>
  <c r="B1775" i="12"/>
  <c r="B1776" i="12"/>
  <c r="B1777" i="12"/>
  <c r="B1778" i="12"/>
  <c r="B1779" i="12"/>
  <c r="B1780" i="12"/>
  <c r="B1781" i="12"/>
  <c r="B1782" i="12"/>
  <c r="B1783" i="12"/>
  <c r="B1784" i="12"/>
  <c r="B1785" i="12"/>
  <c r="B1786" i="12"/>
  <c r="B1787" i="12"/>
  <c r="B1788" i="12"/>
  <c r="B1789" i="12"/>
  <c r="B1790" i="12"/>
  <c r="B1791" i="12"/>
  <c r="B1792" i="12"/>
  <c r="B1793" i="12"/>
  <c r="B1794" i="12"/>
  <c r="B1795" i="12"/>
  <c r="B1796" i="12"/>
  <c r="B1797" i="12"/>
  <c r="B1798" i="12"/>
  <c r="B1799" i="12"/>
  <c r="B1800" i="12"/>
  <c r="B1801" i="12"/>
  <c r="B1802" i="12"/>
  <c r="B1803" i="12"/>
  <c r="B1804" i="12"/>
  <c r="B1805" i="12"/>
  <c r="B1806" i="12"/>
  <c r="B1807" i="12"/>
  <c r="B1808" i="12"/>
  <c r="B1809" i="12"/>
  <c r="B1810" i="12"/>
  <c r="B1811" i="12"/>
  <c r="B1812" i="12"/>
  <c r="B1813" i="12"/>
  <c r="B1814" i="12"/>
  <c r="B1815" i="12"/>
  <c r="B1816" i="12"/>
  <c r="B1817" i="12"/>
  <c r="B1818" i="12"/>
  <c r="B1819" i="12"/>
  <c r="B1820" i="12"/>
  <c r="B1821" i="12"/>
  <c r="B1822" i="12"/>
  <c r="B1823" i="12"/>
  <c r="B1824" i="12"/>
  <c r="B1825" i="12"/>
  <c r="B1826" i="12"/>
  <c r="B1827" i="12"/>
  <c r="B1828" i="12"/>
  <c r="B1829" i="12"/>
  <c r="B1830" i="12"/>
  <c r="B1831" i="12"/>
  <c r="B1832" i="12"/>
  <c r="B1833" i="12"/>
  <c r="B1834" i="12"/>
  <c r="B1835" i="12"/>
  <c r="B1836" i="12"/>
  <c r="B1837" i="12"/>
  <c r="B1838" i="12"/>
  <c r="B1839" i="12"/>
  <c r="B1840" i="12"/>
  <c r="B1841" i="12"/>
  <c r="B1842" i="12"/>
  <c r="B1843" i="12"/>
  <c r="B1844" i="12"/>
  <c r="B1845" i="12"/>
  <c r="B1846" i="12"/>
  <c r="B1847" i="12"/>
  <c r="B1848" i="12"/>
  <c r="B1849" i="12"/>
  <c r="B1850" i="12"/>
  <c r="B1851" i="12"/>
  <c r="B1852" i="12"/>
  <c r="B1853" i="12"/>
  <c r="B1854" i="12"/>
  <c r="B1855" i="12"/>
  <c r="B1856" i="12"/>
  <c r="B1857" i="12"/>
  <c r="B1858" i="12"/>
  <c r="B1859" i="12"/>
  <c r="B1860" i="12"/>
  <c r="B1861" i="12"/>
  <c r="B1862" i="12"/>
  <c r="B1863" i="12"/>
  <c r="B1864" i="12"/>
  <c r="B1865" i="12"/>
  <c r="B1866" i="12"/>
  <c r="B1867" i="12"/>
  <c r="B1868" i="12"/>
  <c r="B1869" i="12"/>
  <c r="B1870" i="12"/>
  <c r="B1871" i="12"/>
  <c r="B1872" i="12"/>
  <c r="B1873" i="12"/>
  <c r="B1874" i="12"/>
  <c r="B1875" i="12"/>
  <c r="B1876" i="12"/>
  <c r="B1877" i="12"/>
  <c r="B1878" i="12"/>
  <c r="B1879" i="12"/>
  <c r="B1880" i="12"/>
  <c r="B1881" i="12"/>
  <c r="B1882" i="12"/>
  <c r="B1883" i="12"/>
  <c r="B1884" i="12"/>
  <c r="B1885" i="12"/>
  <c r="B1886" i="12"/>
  <c r="B1887" i="12"/>
  <c r="B1888" i="12"/>
  <c r="B1889" i="12"/>
  <c r="B1890" i="12"/>
  <c r="B1891" i="12"/>
  <c r="B1892" i="12"/>
  <c r="B1893" i="12"/>
  <c r="B1894" i="12"/>
  <c r="B1895" i="12"/>
  <c r="B1896" i="12"/>
  <c r="B1897" i="12"/>
  <c r="B1898" i="12"/>
  <c r="B1899" i="12"/>
  <c r="B1900" i="12"/>
  <c r="B1901" i="12"/>
  <c r="B1902" i="12"/>
  <c r="B1903" i="12"/>
  <c r="B1904" i="12"/>
  <c r="B1905" i="12"/>
  <c r="B1906" i="12"/>
  <c r="B1907" i="12"/>
  <c r="B1908" i="12"/>
  <c r="B1909" i="12"/>
  <c r="B1910" i="12"/>
  <c r="B1911" i="12"/>
  <c r="B1912" i="12"/>
  <c r="B1913" i="12"/>
  <c r="B1914" i="12"/>
  <c r="B1915" i="12"/>
  <c r="B1916" i="12"/>
  <c r="B1917" i="12"/>
  <c r="B1918" i="12"/>
  <c r="B1919" i="12"/>
  <c r="B1920" i="12"/>
  <c r="B1921" i="12"/>
  <c r="B1922" i="12"/>
  <c r="B1923" i="12"/>
  <c r="B1924" i="12"/>
  <c r="B1925" i="12"/>
  <c r="B1926" i="12"/>
  <c r="B1927" i="12"/>
  <c r="B1928" i="12"/>
  <c r="B1929" i="12"/>
  <c r="B1930" i="12"/>
  <c r="B1931" i="12"/>
  <c r="B1932" i="12"/>
  <c r="B1933" i="12"/>
  <c r="B1934" i="12"/>
  <c r="B1935" i="12"/>
  <c r="B1936" i="12"/>
  <c r="B1937" i="12"/>
  <c r="B1938" i="12"/>
  <c r="B1939" i="12"/>
  <c r="B1940" i="12"/>
  <c r="B1941" i="12"/>
  <c r="B1942" i="12"/>
  <c r="B1943" i="12"/>
  <c r="B1944" i="12"/>
  <c r="B1945" i="12"/>
  <c r="B1946" i="12"/>
  <c r="B1947" i="12"/>
  <c r="B1948" i="12"/>
  <c r="B1949" i="12"/>
  <c r="B1950" i="12"/>
  <c r="B1951" i="12"/>
  <c r="B1952" i="12"/>
  <c r="B1953" i="12"/>
  <c r="B1954" i="12"/>
  <c r="B1955" i="12"/>
  <c r="B1956" i="12"/>
  <c r="B1957" i="12"/>
  <c r="B1958" i="12"/>
  <c r="B1959" i="12"/>
  <c r="B1960" i="12"/>
  <c r="B1961" i="12"/>
  <c r="B1962" i="12"/>
  <c r="B1963" i="12"/>
  <c r="B1964" i="12"/>
  <c r="B1965" i="12"/>
  <c r="B1966" i="12"/>
  <c r="B1967" i="12"/>
  <c r="B1700" i="12"/>
  <c r="B1701" i="12"/>
  <c r="B1702" i="12"/>
  <c r="B1703" i="12"/>
  <c r="B1704" i="12"/>
  <c r="B1705" i="12"/>
  <c r="B1706" i="12"/>
  <c r="B1707" i="12"/>
  <c r="B1708" i="12"/>
  <c r="B1709" i="12"/>
  <c r="B1710" i="12"/>
  <c r="B1711" i="12"/>
  <c r="B1712" i="12"/>
  <c r="B1713" i="12"/>
  <c r="B1714" i="12"/>
  <c r="B1715" i="12"/>
  <c r="B1716" i="12"/>
  <c r="B1717" i="12"/>
  <c r="B1718" i="12"/>
  <c r="B1719" i="12"/>
  <c r="B1720" i="12"/>
  <c r="B1721" i="12"/>
  <c r="B1722" i="12"/>
  <c r="D2480" i="12"/>
  <c r="B2480" i="12"/>
  <c r="AA2479" i="12"/>
  <c r="Z2479" i="12"/>
  <c r="Y2479" i="12"/>
  <c r="X2479" i="12"/>
  <c r="W2479" i="12"/>
  <c r="V2479" i="12"/>
  <c r="U2479" i="12"/>
  <c r="T2479" i="12"/>
  <c r="S2479" i="12"/>
  <c r="R2479" i="12"/>
  <c r="Q2479" i="12"/>
  <c r="P2479" i="12"/>
  <c r="O2479" i="12"/>
  <c r="N2479" i="12"/>
  <c r="M2479" i="12"/>
  <c r="L2479" i="12"/>
  <c r="K2479" i="12"/>
  <c r="J2479" i="12"/>
  <c r="I2479" i="12"/>
  <c r="H2479" i="12"/>
  <c r="G2479" i="12"/>
  <c r="F2479" i="12"/>
  <c r="D2479" i="12" s="1"/>
  <c r="E2479" i="12"/>
  <c r="D2478" i="12"/>
  <c r="B2478" i="12"/>
  <c r="D2477" i="12"/>
  <c r="B2477" i="12"/>
  <c r="AA2476" i="12"/>
  <c r="Z2476" i="12"/>
  <c r="Y2476" i="12"/>
  <c r="X2476" i="12"/>
  <c r="W2476" i="12"/>
  <c r="V2476" i="12"/>
  <c r="U2476" i="12"/>
  <c r="T2476" i="12"/>
  <c r="S2476" i="12"/>
  <c r="R2476" i="12"/>
  <c r="Q2476" i="12"/>
  <c r="P2476" i="12"/>
  <c r="O2476" i="12"/>
  <c r="N2476" i="12"/>
  <c r="M2476" i="12"/>
  <c r="L2476" i="12"/>
  <c r="K2476" i="12"/>
  <c r="J2476" i="12"/>
  <c r="I2476" i="12"/>
  <c r="H2476" i="12"/>
  <c r="G2476" i="12"/>
  <c r="F2476" i="12"/>
  <c r="E2476" i="12"/>
  <c r="D2475" i="12"/>
  <c r="B2475" i="12"/>
  <c r="D2474" i="12"/>
  <c r="B2474" i="12"/>
  <c r="AA2473" i="12"/>
  <c r="Z2473" i="12"/>
  <c r="Y2473" i="12"/>
  <c r="X2473" i="12"/>
  <c r="W2473" i="12"/>
  <c r="V2473" i="12"/>
  <c r="U2473" i="12"/>
  <c r="T2473" i="12"/>
  <c r="S2473" i="12"/>
  <c r="R2473" i="12"/>
  <c r="Q2473" i="12"/>
  <c r="P2473" i="12"/>
  <c r="O2473" i="12"/>
  <c r="N2473" i="12"/>
  <c r="M2473" i="12"/>
  <c r="L2473" i="12"/>
  <c r="K2473" i="12"/>
  <c r="J2473" i="12"/>
  <c r="I2473" i="12"/>
  <c r="H2473" i="12"/>
  <c r="G2473" i="12"/>
  <c r="F2473" i="12"/>
  <c r="E2473" i="12"/>
  <c r="D2472" i="12"/>
  <c r="B2472" i="12"/>
  <c r="D2471" i="12"/>
  <c r="B2471" i="12"/>
  <c r="AA2470" i="12"/>
  <c r="Z2470" i="12"/>
  <c r="Y2470" i="12"/>
  <c r="X2470" i="12"/>
  <c r="W2470" i="12"/>
  <c r="V2470" i="12"/>
  <c r="U2470" i="12"/>
  <c r="T2470" i="12"/>
  <c r="S2470" i="12"/>
  <c r="R2470" i="12"/>
  <c r="Q2470" i="12"/>
  <c r="P2470" i="12"/>
  <c r="O2470" i="12"/>
  <c r="N2470" i="12"/>
  <c r="M2470" i="12"/>
  <c r="L2470" i="12"/>
  <c r="K2470" i="12"/>
  <c r="J2470" i="12"/>
  <c r="I2470" i="12"/>
  <c r="H2470" i="12"/>
  <c r="G2470" i="12"/>
  <c r="F2470" i="12"/>
  <c r="E2470" i="12"/>
  <c r="D2469" i="12"/>
  <c r="B2469" i="12"/>
  <c r="AA2468" i="12"/>
  <c r="Z2468" i="12"/>
  <c r="Y2468" i="12"/>
  <c r="X2468" i="12"/>
  <c r="W2468" i="12"/>
  <c r="V2468" i="12"/>
  <c r="U2468" i="12"/>
  <c r="T2468" i="12"/>
  <c r="S2468" i="12"/>
  <c r="R2468" i="12"/>
  <c r="Q2468" i="12"/>
  <c r="P2468" i="12"/>
  <c r="O2468" i="12"/>
  <c r="N2468" i="12"/>
  <c r="M2468" i="12"/>
  <c r="L2468" i="12"/>
  <c r="K2468" i="12"/>
  <c r="J2468" i="12"/>
  <c r="I2468" i="12"/>
  <c r="H2468" i="12"/>
  <c r="G2468" i="12"/>
  <c r="F2468" i="12"/>
  <c r="E2468" i="12"/>
  <c r="D2468" i="12"/>
  <c r="D2467" i="12"/>
  <c r="B2467" i="12"/>
  <c r="D2466" i="12"/>
  <c r="B2466" i="12"/>
  <c r="AA2465" i="12"/>
  <c r="Z2465" i="12"/>
  <c r="Y2465" i="12"/>
  <c r="X2465" i="12"/>
  <c r="W2465" i="12"/>
  <c r="V2465" i="12"/>
  <c r="U2465" i="12"/>
  <c r="T2465" i="12"/>
  <c r="S2465" i="12"/>
  <c r="R2465" i="12"/>
  <c r="Q2465" i="12"/>
  <c r="P2465" i="12"/>
  <c r="O2465" i="12"/>
  <c r="N2465" i="12"/>
  <c r="M2465" i="12"/>
  <c r="L2465" i="12"/>
  <c r="K2465" i="12"/>
  <c r="J2465" i="12"/>
  <c r="I2465" i="12"/>
  <c r="H2465" i="12"/>
  <c r="G2465" i="12"/>
  <c r="F2465" i="12"/>
  <c r="E2465" i="12"/>
  <c r="D2465" i="12"/>
  <c r="D2464" i="12"/>
  <c r="B2464" i="12"/>
  <c r="D2463" i="12"/>
  <c r="B2463" i="12"/>
  <c r="AA2462" i="12"/>
  <c r="Z2462" i="12"/>
  <c r="Y2462" i="12"/>
  <c r="X2462" i="12"/>
  <c r="W2462" i="12"/>
  <c r="V2462" i="12"/>
  <c r="U2462" i="12"/>
  <c r="T2462" i="12"/>
  <c r="S2462" i="12"/>
  <c r="R2462" i="12"/>
  <c r="Q2462" i="12"/>
  <c r="P2462" i="12"/>
  <c r="O2462" i="12"/>
  <c r="N2462" i="12"/>
  <c r="M2462" i="12"/>
  <c r="L2462" i="12"/>
  <c r="K2462" i="12"/>
  <c r="J2462" i="12"/>
  <c r="I2462" i="12"/>
  <c r="H2462" i="12"/>
  <c r="G2462" i="12"/>
  <c r="F2462" i="12"/>
  <c r="E2462" i="12"/>
  <c r="D2462" i="12"/>
  <c r="D2461" i="12"/>
  <c r="B2461" i="12"/>
  <c r="AA2460" i="12"/>
  <c r="Z2460" i="12"/>
  <c r="Y2460" i="12"/>
  <c r="X2460" i="12"/>
  <c r="W2460" i="12"/>
  <c r="V2460" i="12"/>
  <c r="U2460" i="12"/>
  <c r="T2460" i="12"/>
  <c r="S2460" i="12"/>
  <c r="R2460" i="12"/>
  <c r="Q2460" i="12"/>
  <c r="P2460" i="12"/>
  <c r="O2460" i="12"/>
  <c r="N2460" i="12"/>
  <c r="M2460" i="12"/>
  <c r="L2460" i="12"/>
  <c r="K2460" i="12"/>
  <c r="J2460" i="12"/>
  <c r="I2460" i="12"/>
  <c r="H2460" i="12"/>
  <c r="G2460" i="12"/>
  <c r="F2460" i="12"/>
  <c r="D2460" i="12" s="1"/>
  <c r="E2460" i="12"/>
  <c r="D2459" i="12"/>
  <c r="B2459" i="12"/>
  <c r="D2458" i="12"/>
  <c r="B2458" i="12"/>
  <c r="AA2457" i="12"/>
  <c r="Z2457" i="12"/>
  <c r="Y2457" i="12"/>
  <c r="X2457" i="12"/>
  <c r="W2457" i="12"/>
  <c r="V2457" i="12"/>
  <c r="U2457" i="12"/>
  <c r="T2457" i="12"/>
  <c r="S2457" i="12"/>
  <c r="R2457" i="12"/>
  <c r="Q2457" i="12"/>
  <c r="P2457" i="12"/>
  <c r="O2457" i="12"/>
  <c r="N2457" i="12"/>
  <c r="M2457" i="12"/>
  <c r="L2457" i="12"/>
  <c r="K2457" i="12"/>
  <c r="J2457" i="12"/>
  <c r="I2457" i="12"/>
  <c r="H2457" i="12"/>
  <c r="G2457" i="12"/>
  <c r="F2457" i="12"/>
  <c r="E2457" i="12"/>
  <c r="D2456" i="12"/>
  <c r="B2456" i="12"/>
  <c r="D2455" i="12"/>
  <c r="B2455" i="12"/>
  <c r="AA2454" i="12"/>
  <c r="Z2454" i="12"/>
  <c r="Y2454" i="12"/>
  <c r="X2454" i="12"/>
  <c r="W2454" i="12"/>
  <c r="V2454" i="12"/>
  <c r="U2454" i="12"/>
  <c r="T2454" i="12"/>
  <c r="S2454" i="12"/>
  <c r="R2454" i="12"/>
  <c r="Q2454" i="12"/>
  <c r="P2454" i="12"/>
  <c r="O2454" i="12"/>
  <c r="N2454" i="12"/>
  <c r="M2454" i="12"/>
  <c r="L2454" i="12"/>
  <c r="K2454" i="12"/>
  <c r="J2454" i="12"/>
  <c r="I2454" i="12"/>
  <c r="H2454" i="12"/>
  <c r="G2454" i="12"/>
  <c r="F2454" i="12"/>
  <c r="E2454" i="12"/>
  <c r="O2453" i="12"/>
  <c r="D2453" i="12" s="1"/>
  <c r="B2453" i="12"/>
  <c r="AA2452" i="12"/>
  <c r="Z2452" i="12"/>
  <c r="Y2452" i="12"/>
  <c r="X2452" i="12"/>
  <c r="W2452" i="12"/>
  <c r="V2452" i="12"/>
  <c r="U2452" i="12"/>
  <c r="T2452" i="12"/>
  <c r="S2452" i="12"/>
  <c r="R2452" i="12"/>
  <c r="Q2452" i="12"/>
  <c r="P2452" i="12"/>
  <c r="N2452" i="12"/>
  <c r="M2452" i="12"/>
  <c r="L2452" i="12"/>
  <c r="K2452" i="12"/>
  <c r="J2452" i="12"/>
  <c r="I2452" i="12"/>
  <c r="H2452" i="12"/>
  <c r="G2452" i="12"/>
  <c r="F2452" i="12"/>
  <c r="E2452" i="12"/>
  <c r="D2451" i="12"/>
  <c r="B2451" i="12"/>
  <c r="D2450" i="12"/>
  <c r="B2450" i="12"/>
  <c r="AA2449" i="12"/>
  <c r="Z2449" i="12"/>
  <c r="Y2449" i="12"/>
  <c r="X2449" i="12"/>
  <c r="W2449" i="12"/>
  <c r="V2449" i="12"/>
  <c r="U2449" i="12"/>
  <c r="T2449" i="12"/>
  <c r="S2449" i="12"/>
  <c r="R2449" i="12"/>
  <c r="Q2449" i="12"/>
  <c r="P2449" i="12"/>
  <c r="O2449" i="12"/>
  <c r="N2449" i="12"/>
  <c r="M2449" i="12"/>
  <c r="L2449" i="12"/>
  <c r="K2449" i="12"/>
  <c r="J2449" i="12"/>
  <c r="I2449" i="12"/>
  <c r="H2449" i="12"/>
  <c r="G2449" i="12"/>
  <c r="F2449" i="12"/>
  <c r="E2449" i="12"/>
  <c r="D2448" i="12"/>
  <c r="B2448" i="12"/>
  <c r="D2447" i="12"/>
  <c r="B2447" i="12"/>
  <c r="D2446" i="12"/>
  <c r="B2446" i="12"/>
  <c r="D2445" i="12"/>
  <c r="B2445" i="12"/>
  <c r="D2444" i="12"/>
  <c r="B2444" i="12"/>
  <c r="AA2443" i="12"/>
  <c r="Z2443" i="12"/>
  <c r="Y2443" i="12"/>
  <c r="X2443" i="12"/>
  <c r="W2443" i="12"/>
  <c r="V2443" i="12"/>
  <c r="U2443" i="12"/>
  <c r="T2443" i="12"/>
  <c r="S2443" i="12"/>
  <c r="R2443" i="12"/>
  <c r="Q2443" i="12"/>
  <c r="P2443" i="12"/>
  <c r="O2443" i="12"/>
  <c r="N2443" i="12"/>
  <c r="M2443" i="12"/>
  <c r="L2443" i="12"/>
  <c r="K2443" i="12"/>
  <c r="J2443" i="12"/>
  <c r="I2443" i="12"/>
  <c r="H2443" i="12"/>
  <c r="G2443" i="12"/>
  <c r="F2443" i="12"/>
  <c r="E2443" i="12"/>
  <c r="D2442" i="12"/>
  <c r="B2442" i="12"/>
  <c r="D2441" i="12"/>
  <c r="B2441" i="12"/>
  <c r="AA2440" i="12"/>
  <c r="Z2440" i="12"/>
  <c r="Y2440" i="12"/>
  <c r="X2440" i="12"/>
  <c r="W2440" i="12"/>
  <c r="V2440" i="12"/>
  <c r="U2440" i="12"/>
  <c r="T2440" i="12"/>
  <c r="S2440" i="12"/>
  <c r="R2440" i="12"/>
  <c r="Q2440" i="12"/>
  <c r="P2440" i="12"/>
  <c r="O2440" i="12"/>
  <c r="N2440" i="12"/>
  <c r="M2440" i="12"/>
  <c r="L2440" i="12"/>
  <c r="K2440" i="12"/>
  <c r="J2440" i="12"/>
  <c r="I2440" i="12"/>
  <c r="H2440" i="12"/>
  <c r="G2440" i="12"/>
  <c r="F2440" i="12"/>
  <c r="E2440" i="12"/>
  <c r="D2439" i="12"/>
  <c r="B2439" i="12"/>
  <c r="D2438" i="12"/>
  <c r="B2438" i="12"/>
  <c r="D2437" i="12"/>
  <c r="B2437" i="12"/>
  <c r="D2436" i="12"/>
  <c r="B2436" i="12"/>
  <c r="D2435" i="12"/>
  <c r="B2435" i="12"/>
  <c r="AA2434" i="12"/>
  <c r="Z2434" i="12"/>
  <c r="Y2434" i="12"/>
  <c r="X2434" i="12"/>
  <c r="W2434" i="12"/>
  <c r="V2434" i="12"/>
  <c r="U2434" i="12"/>
  <c r="T2434" i="12"/>
  <c r="S2434" i="12"/>
  <c r="R2434" i="12"/>
  <c r="Q2434" i="12"/>
  <c r="P2434" i="12"/>
  <c r="O2434" i="12"/>
  <c r="N2434" i="12"/>
  <c r="M2434" i="12"/>
  <c r="L2434" i="12"/>
  <c r="K2434" i="12"/>
  <c r="J2434" i="12"/>
  <c r="I2434" i="12"/>
  <c r="H2434" i="12"/>
  <c r="G2434" i="12"/>
  <c r="F2434" i="12"/>
  <c r="E2434" i="12"/>
  <c r="D2433" i="12"/>
  <c r="B2433" i="12"/>
  <c r="D2432" i="12"/>
  <c r="B2432" i="12"/>
  <c r="D2431" i="12"/>
  <c r="B2431" i="12"/>
  <c r="D2430" i="12"/>
  <c r="B2430" i="12"/>
  <c r="D2429" i="12"/>
  <c r="B2429" i="12"/>
  <c r="D2428" i="12"/>
  <c r="B2428" i="12"/>
  <c r="D2427" i="12"/>
  <c r="B2427" i="12"/>
  <c r="M2426" i="12"/>
  <c r="D2426" i="12" s="1"/>
  <c r="B2426" i="12"/>
  <c r="D2425" i="12"/>
  <c r="B2425" i="12"/>
  <c r="AA2424" i="12"/>
  <c r="Z2424" i="12"/>
  <c r="Y2424" i="12"/>
  <c r="X2424" i="12"/>
  <c r="W2424" i="12"/>
  <c r="V2424" i="12"/>
  <c r="U2424" i="12"/>
  <c r="T2424" i="12"/>
  <c r="S2424" i="12"/>
  <c r="R2424" i="12"/>
  <c r="Q2424" i="12"/>
  <c r="P2424" i="12"/>
  <c r="O2424" i="12"/>
  <c r="N2424" i="12"/>
  <c r="L2424" i="12"/>
  <c r="K2424" i="12"/>
  <c r="J2424" i="12"/>
  <c r="I2424" i="12"/>
  <c r="H2424" i="12"/>
  <c r="G2424" i="12"/>
  <c r="F2424" i="12"/>
  <c r="E2424" i="12"/>
  <c r="D2423" i="12"/>
  <c r="B2423" i="12"/>
  <c r="M2422" i="12"/>
  <c r="D2422" i="12" s="1"/>
  <c r="B2422" i="12"/>
  <c r="AA2421" i="12"/>
  <c r="Z2421" i="12"/>
  <c r="Y2421" i="12"/>
  <c r="X2421" i="12"/>
  <c r="W2421" i="12"/>
  <c r="V2421" i="12"/>
  <c r="U2421" i="12"/>
  <c r="T2421" i="12"/>
  <c r="S2421" i="12"/>
  <c r="R2421" i="12"/>
  <c r="Q2421" i="12"/>
  <c r="P2421" i="12"/>
  <c r="O2421" i="12"/>
  <c r="N2421" i="12"/>
  <c r="L2421" i="12"/>
  <c r="K2421" i="12"/>
  <c r="J2421" i="12"/>
  <c r="I2421" i="12"/>
  <c r="H2421" i="12"/>
  <c r="G2421" i="12"/>
  <c r="F2421" i="12"/>
  <c r="E2421" i="12"/>
  <c r="D2420" i="12"/>
  <c r="B2420" i="12"/>
  <c r="D2419" i="12"/>
  <c r="B2419" i="12"/>
  <c r="D2418" i="12"/>
  <c r="B2418" i="12"/>
  <c r="AA2417" i="12"/>
  <c r="Z2417" i="12"/>
  <c r="Y2417" i="12"/>
  <c r="X2417" i="12"/>
  <c r="W2417" i="12"/>
  <c r="V2417" i="12"/>
  <c r="U2417" i="12"/>
  <c r="T2417" i="12"/>
  <c r="S2417" i="12"/>
  <c r="R2417" i="12"/>
  <c r="Q2417" i="12"/>
  <c r="P2417" i="12"/>
  <c r="O2417" i="12"/>
  <c r="N2417" i="12"/>
  <c r="M2417" i="12"/>
  <c r="L2417" i="12"/>
  <c r="K2417" i="12"/>
  <c r="J2417" i="12"/>
  <c r="I2417" i="12"/>
  <c r="H2417" i="12"/>
  <c r="G2417" i="12"/>
  <c r="F2417" i="12"/>
  <c r="E2417" i="12"/>
  <c r="M2416" i="12"/>
  <c r="D2416" i="12" s="1"/>
  <c r="B2416" i="12"/>
  <c r="AA2415" i="12"/>
  <c r="Z2415" i="12"/>
  <c r="Y2415" i="12"/>
  <c r="X2415" i="12"/>
  <c r="W2415" i="12"/>
  <c r="V2415" i="12"/>
  <c r="U2415" i="12"/>
  <c r="T2415" i="12"/>
  <c r="S2415" i="12"/>
  <c r="R2415" i="12"/>
  <c r="Q2415" i="12"/>
  <c r="P2415" i="12"/>
  <c r="O2415" i="12"/>
  <c r="N2415" i="12"/>
  <c r="L2415" i="12"/>
  <c r="K2415" i="12"/>
  <c r="J2415" i="12"/>
  <c r="I2415" i="12"/>
  <c r="H2415" i="12"/>
  <c r="G2415" i="12"/>
  <c r="F2415" i="12"/>
  <c r="E2415" i="12"/>
  <c r="F2414" i="12"/>
  <c r="F2407" i="12" s="1"/>
  <c r="D2414" i="12"/>
  <c r="B2414" i="12"/>
  <c r="D2413" i="12"/>
  <c r="B2413" i="12"/>
  <c r="D2412" i="12"/>
  <c r="B2412" i="12"/>
  <c r="D2411" i="12"/>
  <c r="B2411" i="12"/>
  <c r="D2410" i="12"/>
  <c r="B2410" i="12"/>
  <c r="D2409" i="12"/>
  <c r="B2409" i="12"/>
  <c r="M2408" i="12"/>
  <c r="D2408" i="12" s="1"/>
  <c r="B2408" i="12"/>
  <c r="AA2407" i="12"/>
  <c r="Z2407" i="12"/>
  <c r="Y2407" i="12"/>
  <c r="X2407" i="12"/>
  <c r="W2407" i="12"/>
  <c r="V2407" i="12"/>
  <c r="U2407" i="12"/>
  <c r="T2407" i="12"/>
  <c r="S2407" i="12"/>
  <c r="R2407" i="12"/>
  <c r="Q2407" i="12"/>
  <c r="P2407" i="12"/>
  <c r="O2407" i="12"/>
  <c r="N2407" i="12"/>
  <c r="L2407" i="12"/>
  <c r="K2407" i="12"/>
  <c r="J2407" i="12"/>
  <c r="I2407" i="12"/>
  <c r="H2407" i="12"/>
  <c r="G2407" i="12"/>
  <c r="E2407" i="12"/>
  <c r="D2406" i="12"/>
  <c r="B2406" i="12"/>
  <c r="D2405" i="12"/>
  <c r="B2405" i="12"/>
  <c r="D2404" i="12"/>
  <c r="B2404" i="12"/>
  <c r="D2403" i="12"/>
  <c r="B2403" i="12"/>
  <c r="D2402" i="12"/>
  <c r="B2402" i="12"/>
  <c r="I2401" i="12"/>
  <c r="I2399" i="12" s="1"/>
  <c r="B2401" i="12"/>
  <c r="D2400" i="12"/>
  <c r="B2400" i="12"/>
  <c r="AA2399" i="12"/>
  <c r="Z2399" i="12"/>
  <c r="Y2399" i="12"/>
  <c r="X2399" i="12"/>
  <c r="W2399" i="12"/>
  <c r="V2399" i="12"/>
  <c r="U2399" i="12"/>
  <c r="T2399" i="12"/>
  <c r="S2399" i="12"/>
  <c r="R2399" i="12"/>
  <c r="Q2399" i="12"/>
  <c r="P2399" i="12"/>
  <c r="O2399" i="12"/>
  <c r="N2399" i="12"/>
  <c r="M2399" i="12"/>
  <c r="L2399" i="12"/>
  <c r="K2399" i="12"/>
  <c r="J2399" i="12"/>
  <c r="H2399" i="12"/>
  <c r="G2399" i="12"/>
  <c r="F2399" i="12"/>
  <c r="E2399" i="12"/>
  <c r="D2398" i="12"/>
  <c r="B2398" i="12"/>
  <c r="D2397" i="12"/>
  <c r="B2397" i="12"/>
  <c r="D2396" i="12"/>
  <c r="B2396" i="12"/>
  <c r="D2395" i="12"/>
  <c r="B2395" i="12"/>
  <c r="D2394" i="12"/>
  <c r="B2394" i="12"/>
  <c r="D2393" i="12"/>
  <c r="B2393" i="12"/>
  <c r="D2392" i="12"/>
  <c r="B2392" i="12"/>
  <c r="D2391" i="12"/>
  <c r="B2391" i="12"/>
  <c r="D2390" i="12"/>
  <c r="B2390" i="12"/>
  <c r="O2389" i="12"/>
  <c r="D2389" i="12" s="1"/>
  <c r="B2389" i="12"/>
  <c r="O2388" i="12"/>
  <c r="D2388" i="12" s="1"/>
  <c r="B2388" i="12"/>
  <c r="O2387" i="12"/>
  <c r="D2387" i="12"/>
  <c r="B2387" i="12"/>
  <c r="O2386" i="12"/>
  <c r="D2386" i="12" s="1"/>
  <c r="B2386" i="12"/>
  <c r="D2385" i="12"/>
  <c r="B2385" i="12"/>
  <c r="O2384" i="12"/>
  <c r="D2384" i="12" s="1"/>
  <c r="B2384" i="12"/>
  <c r="G2383" i="12"/>
  <c r="D2383" i="12" s="1"/>
  <c r="B2383" i="12"/>
  <c r="D2382" i="12"/>
  <c r="B2382" i="12"/>
  <c r="F2381" i="12"/>
  <c r="F2376" i="12" s="1"/>
  <c r="B2381" i="12"/>
  <c r="O2380" i="12"/>
  <c r="D2380" i="12" s="1"/>
  <c r="B2380" i="12"/>
  <c r="M2379" i="12"/>
  <c r="D2379" i="12" s="1"/>
  <c r="B2379" i="12"/>
  <c r="D2378" i="12"/>
  <c r="B2378" i="12"/>
  <c r="O2377" i="12"/>
  <c r="D2377" i="12" s="1"/>
  <c r="B2377" i="12"/>
  <c r="AA2376" i="12"/>
  <c r="Z2376" i="12"/>
  <c r="Y2376" i="12"/>
  <c r="X2376" i="12"/>
  <c r="W2376" i="12"/>
  <c r="V2376" i="12"/>
  <c r="U2376" i="12"/>
  <c r="T2376" i="12"/>
  <c r="S2376" i="12"/>
  <c r="R2376" i="12"/>
  <c r="Q2376" i="12"/>
  <c r="P2376" i="12"/>
  <c r="N2376" i="12"/>
  <c r="L2376" i="12"/>
  <c r="K2376" i="12"/>
  <c r="J2376" i="12"/>
  <c r="I2376" i="12"/>
  <c r="H2376" i="12"/>
  <c r="E2376" i="12"/>
  <c r="O2375" i="12"/>
  <c r="D2375" i="12" s="1"/>
  <c r="B2375" i="12"/>
  <c r="D2374" i="12"/>
  <c r="B2374" i="12"/>
  <c r="O2373" i="12"/>
  <c r="D2373" i="12" s="1"/>
  <c r="B2373" i="12"/>
  <c r="O2372" i="12"/>
  <c r="D2372" i="12" s="1"/>
  <c r="B2372" i="12"/>
  <c r="D2371" i="12"/>
  <c r="B2371" i="12"/>
  <c r="D2370" i="12"/>
  <c r="B2370" i="12"/>
  <c r="D2369" i="12"/>
  <c r="B2369" i="12"/>
  <c r="O2368" i="12"/>
  <c r="D2368" i="12" s="1"/>
  <c r="B2368" i="12"/>
  <c r="AA2367" i="12"/>
  <c r="Z2367" i="12"/>
  <c r="Y2367" i="12"/>
  <c r="X2367" i="12"/>
  <c r="W2367" i="12"/>
  <c r="V2367" i="12"/>
  <c r="U2367" i="12"/>
  <c r="T2367" i="12"/>
  <c r="S2367" i="12"/>
  <c r="R2367" i="12"/>
  <c r="Q2367" i="12"/>
  <c r="P2367" i="12"/>
  <c r="N2367" i="12"/>
  <c r="M2367" i="12"/>
  <c r="L2367" i="12"/>
  <c r="K2367" i="12"/>
  <c r="J2367" i="12"/>
  <c r="I2367" i="12"/>
  <c r="H2367" i="12"/>
  <c r="G2367" i="12"/>
  <c r="F2367" i="12"/>
  <c r="E2367" i="12"/>
  <c r="M2366" i="12"/>
  <c r="D2366" i="12" s="1"/>
  <c r="B2366" i="12"/>
  <c r="D2365" i="12"/>
  <c r="B2365" i="12"/>
  <c r="O2364" i="12"/>
  <c r="D2364" i="12" s="1"/>
  <c r="B2364" i="12"/>
  <c r="O2363" i="12"/>
  <c r="D2363" i="12" s="1"/>
  <c r="B2363" i="12"/>
  <c r="AA2362" i="12"/>
  <c r="Z2362" i="12"/>
  <c r="Y2362" i="12"/>
  <c r="X2362" i="12"/>
  <c r="W2362" i="12"/>
  <c r="V2362" i="12"/>
  <c r="U2362" i="12"/>
  <c r="T2362" i="12"/>
  <c r="S2362" i="12"/>
  <c r="R2362" i="12"/>
  <c r="Q2362" i="12"/>
  <c r="P2362" i="12"/>
  <c r="N2362" i="12"/>
  <c r="L2362" i="12"/>
  <c r="K2362" i="12"/>
  <c r="J2362" i="12"/>
  <c r="I2362" i="12"/>
  <c r="H2362" i="12"/>
  <c r="G2362" i="12"/>
  <c r="F2362" i="12"/>
  <c r="E2362" i="12"/>
  <c r="D2361" i="12"/>
  <c r="B2361" i="12"/>
  <c r="D2360" i="12"/>
  <c r="B2360" i="12"/>
  <c r="AA2359" i="12"/>
  <c r="Z2359" i="12"/>
  <c r="Y2359" i="12"/>
  <c r="X2359" i="12"/>
  <c r="W2359" i="12"/>
  <c r="V2359" i="12"/>
  <c r="U2359" i="12"/>
  <c r="T2359" i="12"/>
  <c r="S2359" i="12"/>
  <c r="R2359" i="12"/>
  <c r="Q2359" i="12"/>
  <c r="P2359" i="12"/>
  <c r="O2359" i="12"/>
  <c r="N2359" i="12"/>
  <c r="M2359" i="12"/>
  <c r="L2359" i="12"/>
  <c r="K2359" i="12"/>
  <c r="J2359" i="12"/>
  <c r="I2359" i="12"/>
  <c r="H2359" i="12"/>
  <c r="G2359" i="12"/>
  <c r="F2359" i="12"/>
  <c r="E2359" i="12"/>
  <c r="D2358" i="12"/>
  <c r="B2358" i="12"/>
  <c r="D2357" i="12"/>
  <c r="B2357" i="12"/>
  <c r="D2356" i="12"/>
  <c r="B2356" i="12"/>
  <c r="D2355" i="12"/>
  <c r="B2355" i="12"/>
  <c r="D2354" i="12"/>
  <c r="B2354" i="12"/>
  <c r="D2353" i="12"/>
  <c r="B2353" i="12"/>
  <c r="D2352" i="12"/>
  <c r="B2352" i="12"/>
  <c r="D2351" i="12"/>
  <c r="B2351" i="12"/>
  <c r="D2350" i="12"/>
  <c r="B2350" i="12"/>
  <c r="D2349" i="12"/>
  <c r="B2349" i="12"/>
  <c r="D2348" i="12"/>
  <c r="B2348" i="12"/>
  <c r="D2347" i="12"/>
  <c r="B2347" i="12"/>
  <c r="D2346" i="12"/>
  <c r="B2346" i="12"/>
  <c r="D2345" i="12"/>
  <c r="B2345" i="12"/>
  <c r="D2344" i="12"/>
  <c r="B2344" i="12"/>
  <c r="D2343" i="12"/>
  <c r="B2343" i="12"/>
  <c r="D2342" i="12"/>
  <c r="B2342" i="12"/>
  <c r="D2341" i="12"/>
  <c r="B2341" i="12"/>
  <c r="D2340" i="12"/>
  <c r="B2340" i="12"/>
  <c r="P2339" i="12"/>
  <c r="D2339" i="12" s="1"/>
  <c r="B2339" i="12"/>
  <c r="D2338" i="12"/>
  <c r="B2338" i="12"/>
  <c r="AA2337" i="12"/>
  <c r="Z2337" i="12"/>
  <c r="Y2337" i="12"/>
  <c r="X2337" i="12"/>
  <c r="W2337" i="12"/>
  <c r="V2337" i="12"/>
  <c r="U2337" i="12"/>
  <c r="T2337" i="12"/>
  <c r="S2337" i="12"/>
  <c r="R2337" i="12"/>
  <c r="Q2337" i="12"/>
  <c r="P2337" i="12"/>
  <c r="O2337" i="12"/>
  <c r="N2337" i="12"/>
  <c r="M2337" i="12"/>
  <c r="L2337" i="12"/>
  <c r="K2337" i="12"/>
  <c r="J2337" i="12"/>
  <c r="I2337" i="12"/>
  <c r="H2337" i="12"/>
  <c r="G2337" i="12"/>
  <c r="F2337" i="12"/>
  <c r="E2337" i="12"/>
  <c r="D2336" i="12"/>
  <c r="B2336" i="12"/>
  <c r="D2335" i="12"/>
  <c r="B2335" i="12"/>
  <c r="D2334" i="12"/>
  <c r="B2334" i="12"/>
  <c r="D2333" i="12"/>
  <c r="B2333" i="12"/>
  <c r="D2332" i="12"/>
  <c r="B2332" i="12"/>
  <c r="D2331" i="12"/>
  <c r="B2331" i="12"/>
  <c r="D2330" i="12"/>
  <c r="B2330" i="12"/>
  <c r="D2329" i="12"/>
  <c r="B2329" i="12"/>
  <c r="D2328" i="12"/>
  <c r="B2328" i="12"/>
  <c r="D2327" i="12"/>
  <c r="B2327" i="12"/>
  <c r="D2326" i="12"/>
  <c r="B2326" i="12"/>
  <c r="D2325" i="12"/>
  <c r="B2325" i="12"/>
  <c r="AA2324" i="12"/>
  <c r="Z2324" i="12"/>
  <c r="Y2324" i="12"/>
  <c r="X2324" i="12"/>
  <c r="W2324" i="12"/>
  <c r="V2324" i="12"/>
  <c r="U2324" i="12"/>
  <c r="T2324" i="12"/>
  <c r="S2324" i="12"/>
  <c r="R2324" i="12"/>
  <c r="Q2324" i="12"/>
  <c r="P2324" i="12"/>
  <c r="O2324" i="12"/>
  <c r="N2324" i="12"/>
  <c r="M2324" i="12"/>
  <c r="L2324" i="12"/>
  <c r="K2324" i="12"/>
  <c r="J2324" i="12"/>
  <c r="I2324" i="12"/>
  <c r="H2324" i="12"/>
  <c r="G2324" i="12"/>
  <c r="F2324" i="12"/>
  <c r="E2324" i="12"/>
  <c r="D2323" i="12"/>
  <c r="B2323" i="12"/>
  <c r="D2322" i="12"/>
  <c r="B2322" i="12"/>
  <c r="D2321" i="12"/>
  <c r="B2321" i="12"/>
  <c r="D2320" i="12"/>
  <c r="B2320" i="12"/>
  <c r="D2319" i="12"/>
  <c r="B2319" i="12"/>
  <c r="D2318" i="12"/>
  <c r="B2318" i="12"/>
  <c r="D2317" i="12"/>
  <c r="B2317" i="12"/>
  <c r="D2316" i="12"/>
  <c r="B2316" i="12"/>
  <c r="D2315" i="12"/>
  <c r="B2315" i="12"/>
  <c r="D2314" i="12"/>
  <c r="B2314" i="12"/>
  <c r="D2313" i="12"/>
  <c r="B2313" i="12"/>
  <c r="D2312" i="12"/>
  <c r="B2312" i="12"/>
  <c r="D2311" i="12"/>
  <c r="B2311" i="12"/>
  <c r="D2310" i="12"/>
  <c r="B2310" i="12"/>
  <c r="D2309" i="12"/>
  <c r="B2309" i="12"/>
  <c r="D2308" i="12"/>
  <c r="B2308" i="12"/>
  <c r="D2307" i="12"/>
  <c r="B2307" i="12"/>
  <c r="D2306" i="12"/>
  <c r="B2306" i="12"/>
  <c r="D2305" i="12"/>
  <c r="B2305" i="12"/>
  <c r="D2304" i="12"/>
  <c r="B2304" i="12"/>
  <c r="D2303" i="12"/>
  <c r="B2303" i="12"/>
  <c r="D2302" i="12"/>
  <c r="B2302" i="12"/>
  <c r="D2301" i="12"/>
  <c r="B2301" i="12"/>
  <c r="D2300" i="12"/>
  <c r="B2300" i="12"/>
  <c r="D2299" i="12"/>
  <c r="B2299" i="12"/>
  <c r="D2298" i="12"/>
  <c r="B2298" i="12"/>
  <c r="D2297" i="12"/>
  <c r="B2297" i="12"/>
  <c r="D2296" i="12"/>
  <c r="B2296" i="12"/>
  <c r="D2295" i="12"/>
  <c r="B2295" i="12"/>
  <c r="D2294" i="12"/>
  <c r="B2294" i="12"/>
  <c r="D2293" i="12"/>
  <c r="B2293" i="12"/>
  <c r="D2292" i="12"/>
  <c r="B2292" i="12"/>
  <c r="D2291" i="12"/>
  <c r="B2291" i="12"/>
  <c r="D2290" i="12"/>
  <c r="B2290" i="12"/>
  <c r="D2289" i="12"/>
  <c r="B2289" i="12"/>
  <c r="D2288" i="12"/>
  <c r="B2288" i="12"/>
  <c r="D2287" i="12"/>
  <c r="B2287" i="12"/>
  <c r="D2286" i="12"/>
  <c r="B2286" i="12"/>
  <c r="D2285" i="12"/>
  <c r="B2285" i="12"/>
  <c r="D2284" i="12"/>
  <c r="B2284" i="12"/>
  <c r="D2283" i="12"/>
  <c r="B2283" i="12"/>
  <c r="D2282" i="12"/>
  <c r="B2282" i="12"/>
  <c r="D2281" i="12"/>
  <c r="B2281" i="12"/>
  <c r="D2280" i="12"/>
  <c r="B2280" i="12"/>
  <c r="D2279" i="12"/>
  <c r="B2279" i="12"/>
  <c r="D2278" i="12"/>
  <c r="B2278" i="12"/>
  <c r="D2277" i="12"/>
  <c r="B2277" i="12"/>
  <c r="D2276" i="12"/>
  <c r="B2276" i="12"/>
  <c r="D2275" i="12"/>
  <c r="B2275" i="12"/>
  <c r="D2274" i="12"/>
  <c r="B2274" i="12"/>
  <c r="D2273" i="12"/>
  <c r="B2273" i="12"/>
  <c r="D2272" i="12"/>
  <c r="B2272" i="12"/>
  <c r="D2271" i="12"/>
  <c r="B2271" i="12"/>
  <c r="D2270" i="12"/>
  <c r="B2270" i="12"/>
  <c r="D2269" i="12"/>
  <c r="B2269" i="12"/>
  <c r="D2268" i="12"/>
  <c r="B2268" i="12"/>
  <c r="D2267" i="12"/>
  <c r="B2267" i="12"/>
  <c r="D2266" i="12"/>
  <c r="B2266" i="12"/>
  <c r="D2265" i="12"/>
  <c r="B2265" i="12"/>
  <c r="D2264" i="12"/>
  <c r="B2264" i="12"/>
  <c r="D2263" i="12"/>
  <c r="B2263" i="12"/>
  <c r="D2262" i="12"/>
  <c r="B2262" i="12"/>
  <c r="D2261" i="12"/>
  <c r="B2261" i="12"/>
  <c r="D2260" i="12"/>
  <c r="B2260" i="12"/>
  <c r="D2259" i="12"/>
  <c r="B2259" i="12"/>
  <c r="O2258" i="12"/>
  <c r="D2258" i="12" s="1"/>
  <c r="B2258" i="12"/>
  <c r="D2257" i="12"/>
  <c r="B2257" i="12"/>
  <c r="D2256" i="12"/>
  <c r="B2256" i="12"/>
  <c r="D2255" i="12"/>
  <c r="B2255" i="12"/>
  <c r="D2254" i="12"/>
  <c r="B2254" i="12"/>
  <c r="D2253" i="12"/>
  <c r="B2253" i="12"/>
  <c r="D2252" i="12"/>
  <c r="B2252" i="12"/>
  <c r="D2251" i="12"/>
  <c r="B2251" i="12"/>
  <c r="D2250" i="12"/>
  <c r="B2250" i="12"/>
  <c r="D2249" i="12"/>
  <c r="B2249" i="12"/>
  <c r="D2248" i="12"/>
  <c r="B2248" i="12"/>
  <c r="D2247" i="12"/>
  <c r="B2247" i="12"/>
  <c r="D2246" i="12"/>
  <c r="B2246" i="12"/>
  <c r="D2245" i="12"/>
  <c r="B2245" i="12"/>
  <c r="D2244" i="12"/>
  <c r="B2244" i="12"/>
  <c r="D2243" i="12"/>
  <c r="B2243" i="12"/>
  <c r="D2242" i="12"/>
  <c r="B2242" i="12"/>
  <c r="D2241" i="12"/>
  <c r="B2241" i="12"/>
  <c r="D2240" i="12"/>
  <c r="B2240" i="12"/>
  <c r="D2239" i="12"/>
  <c r="B2239" i="12"/>
  <c r="D2238" i="12"/>
  <c r="B2238" i="12"/>
  <c r="D2237" i="12"/>
  <c r="B2237" i="12"/>
  <c r="D2236" i="12"/>
  <c r="B2236" i="12"/>
  <c r="D2235" i="12"/>
  <c r="B2235" i="12"/>
  <c r="D2234" i="12"/>
  <c r="B2234" i="12"/>
  <c r="D2233" i="12"/>
  <c r="B2233" i="12"/>
  <c r="D2232" i="12"/>
  <c r="B2232" i="12"/>
  <c r="D2231" i="12"/>
  <c r="B2231" i="12"/>
  <c r="D2230" i="12"/>
  <c r="B2230" i="12"/>
  <c r="D2229" i="12"/>
  <c r="B2229" i="12"/>
  <c r="D2228" i="12"/>
  <c r="B2228" i="12"/>
  <c r="D2227" i="12"/>
  <c r="B2227" i="12"/>
  <c r="D2226" i="12"/>
  <c r="B2226" i="12"/>
  <c r="M2225" i="12"/>
  <c r="D2225" i="12"/>
  <c r="B2225" i="12"/>
  <c r="D2224" i="12"/>
  <c r="B2224" i="12"/>
  <c r="L2223" i="12"/>
  <c r="D2223" i="12" s="1"/>
  <c r="B2223" i="12"/>
  <c r="O2222" i="12"/>
  <c r="D2222" i="12" s="1"/>
  <c r="B2222" i="12"/>
  <c r="O2221" i="12"/>
  <c r="D2221" i="12" s="1"/>
  <c r="B2221" i="12"/>
  <c r="M2220" i="12"/>
  <c r="D2220" i="12" s="1"/>
  <c r="B2220" i="12"/>
  <c r="D2219" i="12"/>
  <c r="B2219" i="12"/>
  <c r="O2218" i="12"/>
  <c r="D2218" i="12" s="1"/>
  <c r="B2218" i="12"/>
  <c r="O2217" i="12"/>
  <c r="G2217" i="12"/>
  <c r="B2217" i="12"/>
  <c r="O2216" i="12"/>
  <c r="D2216" i="12" s="1"/>
  <c r="B2216" i="12"/>
  <c r="D2215" i="12"/>
  <c r="B2215" i="12"/>
  <c r="G2214" i="12"/>
  <c r="D2214" i="12" s="1"/>
  <c r="B2214" i="12"/>
  <c r="D2213" i="12"/>
  <c r="B2213" i="12"/>
  <c r="M2212" i="12"/>
  <c r="D2212" i="12" s="1"/>
  <c r="B2212" i="12"/>
  <c r="D2211" i="12"/>
  <c r="B2211" i="12"/>
  <c r="D2210" i="12"/>
  <c r="B2210" i="12"/>
  <c r="M2209" i="12"/>
  <c r="D2209" i="12" s="1"/>
  <c r="B2209" i="12"/>
  <c r="D2208" i="12"/>
  <c r="B2208" i="12"/>
  <c r="M2207" i="12"/>
  <c r="D2207" i="12"/>
  <c r="B2207" i="12"/>
  <c r="D2206" i="12"/>
  <c r="B2206" i="12"/>
  <c r="D2205" i="12"/>
  <c r="B2205" i="12"/>
  <c r="O2204" i="12"/>
  <c r="D2204" i="12" s="1"/>
  <c r="B2204" i="12"/>
  <c r="D2203" i="12"/>
  <c r="B2203" i="12"/>
  <c r="D2202" i="12"/>
  <c r="B2202" i="12"/>
  <c r="D2201" i="12"/>
  <c r="B2201" i="12"/>
  <c r="L2200" i="12"/>
  <c r="D2200" i="12" s="1"/>
  <c r="B2200" i="12"/>
  <c r="M2199" i="12"/>
  <c r="D2199" i="12" s="1"/>
  <c r="B2199" i="12"/>
  <c r="D2198" i="12"/>
  <c r="B2198" i="12"/>
  <c r="M2197" i="12"/>
  <c r="D2197" i="12" s="1"/>
  <c r="B2197" i="12"/>
  <c r="D2196" i="12"/>
  <c r="B2196" i="12"/>
  <c r="O2195" i="12"/>
  <c r="D2195" i="12" s="1"/>
  <c r="B2195" i="12"/>
  <c r="D2194" i="12"/>
  <c r="B2194" i="12"/>
  <c r="O2193" i="12"/>
  <c r="D2193" i="12" s="1"/>
  <c r="B2193" i="12"/>
  <c r="D2192" i="12"/>
  <c r="B2192" i="12"/>
  <c r="D2191" i="12"/>
  <c r="B2191" i="12"/>
  <c r="M2190" i="12"/>
  <c r="D2190" i="12" s="1"/>
  <c r="B2190" i="12"/>
  <c r="D2189" i="12"/>
  <c r="B2189" i="12"/>
  <c r="D2188" i="12"/>
  <c r="B2188" i="12"/>
  <c r="O2187" i="12"/>
  <c r="D2187" i="12" s="1"/>
  <c r="B2187" i="12"/>
  <c r="O2186" i="12"/>
  <c r="D2186" i="12" s="1"/>
  <c r="B2186" i="12"/>
  <c r="G2185" i="12"/>
  <c r="D2185" i="12" s="1"/>
  <c r="B2185" i="12"/>
  <c r="O2184" i="12"/>
  <c r="D2184" i="12" s="1"/>
  <c r="B2184" i="12"/>
  <c r="L2183" i="12"/>
  <c r="D2183" i="12" s="1"/>
  <c r="B2183" i="12"/>
  <c r="D2182" i="12"/>
  <c r="B2182" i="12"/>
  <c r="O2181" i="12"/>
  <c r="B2181" i="12"/>
  <c r="M2180" i="12"/>
  <c r="D2180" i="12" s="1"/>
  <c r="B2180" i="12"/>
  <c r="D2179" i="12"/>
  <c r="B2179" i="12"/>
  <c r="M2178" i="12"/>
  <c r="B2178" i="12"/>
  <c r="D2177" i="12"/>
  <c r="B2177" i="12"/>
  <c r="D2176" i="12"/>
  <c r="B2176" i="12"/>
  <c r="AA2175" i="12"/>
  <c r="Z2175" i="12"/>
  <c r="Y2175" i="12"/>
  <c r="X2175" i="12"/>
  <c r="W2175" i="12"/>
  <c r="V2175" i="12"/>
  <c r="U2175" i="12"/>
  <c r="T2175" i="12"/>
  <c r="S2175" i="12"/>
  <c r="R2175" i="12"/>
  <c r="Q2175" i="12"/>
  <c r="P2175" i="12"/>
  <c r="N2175" i="12"/>
  <c r="K2175" i="12"/>
  <c r="J2175" i="12"/>
  <c r="I2175" i="12"/>
  <c r="H2175" i="12"/>
  <c r="F2175" i="12"/>
  <c r="E2175" i="12"/>
  <c r="D2174" i="12"/>
  <c r="B2174" i="12"/>
  <c r="D2173" i="12"/>
  <c r="B2173" i="12"/>
  <c r="D2172" i="12"/>
  <c r="B2172" i="12"/>
  <c r="D2171" i="12"/>
  <c r="B2171" i="12"/>
  <c r="D2170" i="12"/>
  <c r="B2170" i="12"/>
  <c r="D2169" i="12"/>
  <c r="B2169" i="12"/>
  <c r="D2168" i="12"/>
  <c r="B2168" i="12"/>
  <c r="D2167" i="12"/>
  <c r="B2167" i="12"/>
  <c r="D2166" i="12"/>
  <c r="B2166" i="12"/>
  <c r="D2165" i="12"/>
  <c r="B2165" i="12"/>
  <c r="D2164" i="12"/>
  <c r="B2164" i="12"/>
  <c r="D2163" i="12"/>
  <c r="B2163" i="12"/>
  <c r="D2162" i="12"/>
  <c r="B2162" i="12"/>
  <c r="M2161" i="12"/>
  <c r="D2161" i="12" s="1"/>
  <c r="B2161" i="12"/>
  <c r="D2160" i="12"/>
  <c r="B2160" i="12"/>
  <c r="G2159" i="12"/>
  <c r="G2151" i="12" s="1"/>
  <c r="B2159" i="12"/>
  <c r="D2158" i="12"/>
  <c r="B2158" i="12"/>
  <c r="D2157" i="12"/>
  <c r="B2157" i="12"/>
  <c r="D2156" i="12"/>
  <c r="B2156" i="12"/>
  <c r="D2155" i="12"/>
  <c r="B2155" i="12"/>
  <c r="N2154" i="12"/>
  <c r="D2154" i="12" s="1"/>
  <c r="B2154" i="12"/>
  <c r="M2153" i="12"/>
  <c r="B2153" i="12"/>
  <c r="D2152" i="12"/>
  <c r="B2152" i="12"/>
  <c r="AA2151" i="12"/>
  <c r="Z2151" i="12"/>
  <c r="Y2151" i="12"/>
  <c r="X2151" i="12"/>
  <c r="W2151" i="12"/>
  <c r="V2151" i="12"/>
  <c r="U2151" i="12"/>
  <c r="T2151" i="12"/>
  <c r="S2151" i="12"/>
  <c r="R2151" i="12"/>
  <c r="Q2151" i="12"/>
  <c r="P2151" i="12"/>
  <c r="O2151" i="12"/>
  <c r="L2151" i="12"/>
  <c r="K2151" i="12"/>
  <c r="J2151" i="12"/>
  <c r="I2151" i="12"/>
  <c r="H2151" i="12"/>
  <c r="F2151" i="12"/>
  <c r="E2151" i="12"/>
  <c r="D2150" i="12"/>
  <c r="B2150" i="12"/>
  <c r="D2149" i="12"/>
  <c r="B2149" i="12"/>
  <c r="D2148" i="12"/>
  <c r="B2148" i="12"/>
  <c r="D2147" i="12"/>
  <c r="B2147" i="12"/>
  <c r="D2146" i="12"/>
  <c r="B2146" i="12"/>
  <c r="D2145" i="12"/>
  <c r="B2145" i="12"/>
  <c r="D2144" i="12"/>
  <c r="B2144" i="12"/>
  <c r="D2143" i="12"/>
  <c r="B2143" i="12"/>
  <c r="D2142" i="12"/>
  <c r="B2142" i="12"/>
  <c r="D2141" i="12"/>
  <c r="B2141" i="12"/>
  <c r="D2140" i="12"/>
  <c r="B2140" i="12"/>
  <c r="D2139" i="12"/>
  <c r="B2139" i="12"/>
  <c r="D2138" i="12"/>
  <c r="B2138" i="12"/>
  <c r="D2137" i="12"/>
  <c r="B2137" i="12"/>
  <c r="D2136" i="12"/>
  <c r="B2136" i="12"/>
  <c r="D2135" i="12"/>
  <c r="B2135" i="12"/>
  <c r="D2134" i="12"/>
  <c r="B2134" i="12"/>
  <c r="D2133" i="12"/>
  <c r="B2133" i="12"/>
  <c r="D2132" i="12"/>
  <c r="B2132" i="12"/>
  <c r="D2131" i="12"/>
  <c r="B2131" i="12"/>
  <c r="D2130" i="12"/>
  <c r="B2130" i="12"/>
  <c r="D2129" i="12"/>
  <c r="B2129" i="12"/>
  <c r="D2128" i="12"/>
  <c r="B2128" i="12"/>
  <c r="D2127" i="12"/>
  <c r="B2127" i="12"/>
  <c r="D2126" i="12"/>
  <c r="B2126" i="12"/>
  <c r="D2125" i="12"/>
  <c r="B2125" i="12"/>
  <c r="D2124" i="12"/>
  <c r="B2124" i="12"/>
  <c r="D2123" i="12"/>
  <c r="B2123" i="12"/>
  <c r="D2122" i="12"/>
  <c r="B2122" i="12"/>
  <c r="D2121" i="12"/>
  <c r="B2121" i="12"/>
  <c r="D2120" i="12"/>
  <c r="B2120" i="12"/>
  <c r="D2119" i="12"/>
  <c r="B2119" i="12"/>
  <c r="D2118" i="12"/>
  <c r="B2118" i="12"/>
  <c r="D2117" i="12"/>
  <c r="B2117" i="12"/>
  <c r="D2116" i="12"/>
  <c r="B2116" i="12"/>
  <c r="D2115" i="12"/>
  <c r="B2115" i="12"/>
  <c r="D2114" i="12"/>
  <c r="B2114" i="12"/>
  <c r="D2113" i="12"/>
  <c r="B2113" i="12"/>
  <c r="D2112" i="12"/>
  <c r="B2112" i="12"/>
  <c r="O2111" i="12"/>
  <c r="D2111" i="12" s="1"/>
  <c r="B2111" i="12"/>
  <c r="D2110" i="12"/>
  <c r="B2110" i="12"/>
  <c r="M2109" i="12"/>
  <c r="B2109" i="12"/>
  <c r="O2108" i="12"/>
  <c r="D2108" i="12" s="1"/>
  <c r="B2108" i="12"/>
  <c r="D2107" i="12"/>
  <c r="B2107" i="12"/>
  <c r="D2106" i="12"/>
  <c r="B2106" i="12"/>
  <c r="D2105" i="12"/>
  <c r="B2105" i="12"/>
  <c r="D2104" i="12"/>
  <c r="B2104" i="12"/>
  <c r="D2103" i="12"/>
  <c r="B2103" i="12"/>
  <c r="D2102" i="12"/>
  <c r="B2102" i="12"/>
  <c r="D2101" i="12"/>
  <c r="B2101" i="12"/>
  <c r="G2100" i="12"/>
  <c r="B2100" i="12"/>
  <c r="O2099" i="12"/>
  <c r="D2099" i="12"/>
  <c r="B2099" i="12"/>
  <c r="D2098" i="12"/>
  <c r="B2098" i="12"/>
  <c r="D2097" i="12"/>
  <c r="B2097" i="12"/>
  <c r="O2096" i="12"/>
  <c r="D2096" i="12" s="1"/>
  <c r="B2096" i="12"/>
  <c r="D2095" i="12"/>
  <c r="B2095" i="12"/>
  <c r="D2094" i="12"/>
  <c r="B2094" i="12"/>
  <c r="D2093" i="12"/>
  <c r="B2093" i="12"/>
  <c r="AA2092" i="12"/>
  <c r="Z2092" i="12"/>
  <c r="Y2092" i="12"/>
  <c r="X2092" i="12"/>
  <c r="W2092" i="12"/>
  <c r="V2092" i="12"/>
  <c r="U2092" i="12"/>
  <c r="T2092" i="12"/>
  <c r="S2092" i="12"/>
  <c r="R2092" i="12"/>
  <c r="Q2092" i="12"/>
  <c r="P2092" i="12"/>
  <c r="N2092" i="12"/>
  <c r="L2092" i="12"/>
  <c r="K2092" i="12"/>
  <c r="J2092" i="12"/>
  <c r="I2092" i="12"/>
  <c r="H2092" i="12"/>
  <c r="F2092" i="12"/>
  <c r="E2092" i="12"/>
  <c r="D2091" i="12"/>
  <c r="B2091" i="12"/>
  <c r="D2090" i="12"/>
  <c r="B2090" i="12"/>
  <c r="D2089" i="12"/>
  <c r="B2089" i="12"/>
  <c r="D2088" i="12"/>
  <c r="B2088" i="12"/>
  <c r="D2087" i="12"/>
  <c r="B2087" i="12"/>
  <c r="D2086" i="12"/>
  <c r="B2086" i="12"/>
  <c r="D2085" i="12"/>
  <c r="B2085" i="12"/>
  <c r="D2084" i="12"/>
  <c r="B2084" i="12"/>
  <c r="D2083" i="12"/>
  <c r="B2083" i="12"/>
  <c r="D2082" i="12"/>
  <c r="B2082" i="12"/>
  <c r="D2081" i="12"/>
  <c r="B2081" i="12"/>
  <c r="D2080" i="12"/>
  <c r="B2080" i="12"/>
  <c r="D2079" i="12"/>
  <c r="B2079" i="12"/>
  <c r="D2078" i="12"/>
  <c r="B2078" i="12"/>
  <c r="D2077" i="12"/>
  <c r="B2077" i="12"/>
  <c r="D2076" i="12"/>
  <c r="B2076" i="12"/>
  <c r="D2075" i="12"/>
  <c r="B2075" i="12"/>
  <c r="D2074" i="12"/>
  <c r="B2074" i="12"/>
  <c r="D2073" i="12"/>
  <c r="B2073" i="12"/>
  <c r="D2072" i="12"/>
  <c r="B2072" i="12"/>
  <c r="D2071" i="12"/>
  <c r="B2071" i="12"/>
  <c r="D2070" i="12"/>
  <c r="B2070" i="12"/>
  <c r="D2069" i="12"/>
  <c r="B2069" i="12"/>
  <c r="D2068" i="12"/>
  <c r="B2068" i="12"/>
  <c r="D2067" i="12"/>
  <c r="B2067" i="12"/>
  <c r="D2066" i="12"/>
  <c r="B2066" i="12"/>
  <c r="D2065" i="12"/>
  <c r="B2065" i="12"/>
  <c r="D2064" i="12"/>
  <c r="B2064" i="12"/>
  <c r="O2063" i="12"/>
  <c r="D2063" i="12" s="1"/>
  <c r="B2063" i="12"/>
  <c r="O2062" i="12"/>
  <c r="D2062" i="12" s="1"/>
  <c r="B2062" i="12"/>
  <c r="O2061" i="12"/>
  <c r="D2061" i="12" s="1"/>
  <c r="B2061" i="12"/>
  <c r="O2060" i="12"/>
  <c r="B2060" i="12"/>
  <c r="D2059" i="12"/>
  <c r="B2059" i="12"/>
  <c r="D2058" i="12"/>
  <c r="B2058" i="12"/>
  <c r="D2057" i="12"/>
  <c r="B2057" i="12"/>
  <c r="M2056" i="12"/>
  <c r="D2056" i="12" s="1"/>
  <c r="B2056" i="12"/>
  <c r="E2055" i="12"/>
  <c r="B2055" i="12"/>
  <c r="D2054" i="12"/>
  <c r="B2054" i="12"/>
  <c r="M2053" i="12"/>
  <c r="D2053" i="12" s="1"/>
  <c r="B2053" i="12"/>
  <c r="M2052" i="12"/>
  <c r="D2052" i="12" s="1"/>
  <c r="B2052" i="12"/>
  <c r="G2051" i="12"/>
  <c r="G2044" i="12" s="1"/>
  <c r="B2051" i="12"/>
  <c r="P2050" i="12"/>
  <c r="D2050" i="12" s="1"/>
  <c r="B2050" i="12"/>
  <c r="D2049" i="12"/>
  <c r="B2049" i="12"/>
  <c r="D2048" i="12"/>
  <c r="B2048" i="12"/>
  <c r="M2047" i="12"/>
  <c r="D2047" i="12"/>
  <c r="B2047" i="12"/>
  <c r="M2046" i="12"/>
  <c r="B2046" i="12"/>
  <c r="D2045" i="12"/>
  <c r="B2045" i="12"/>
  <c r="AA2044" i="12"/>
  <c r="Z2044" i="12"/>
  <c r="Y2044" i="12"/>
  <c r="X2044" i="12"/>
  <c r="W2044" i="12"/>
  <c r="V2044" i="12"/>
  <c r="U2044" i="12"/>
  <c r="T2044" i="12"/>
  <c r="S2044" i="12"/>
  <c r="R2044" i="12"/>
  <c r="Q2044" i="12"/>
  <c r="P2044" i="12"/>
  <c r="N2044" i="12"/>
  <c r="L2044" i="12"/>
  <c r="K2044" i="12"/>
  <c r="J2044" i="12"/>
  <c r="I2044" i="12"/>
  <c r="H2044" i="12"/>
  <c r="F2044" i="12"/>
  <c r="M2043" i="12"/>
  <c r="D2043" i="12" s="1"/>
  <c r="B2043" i="12"/>
  <c r="D2042" i="12"/>
  <c r="B2042" i="12"/>
  <c r="D2041" i="12"/>
  <c r="B2041" i="12"/>
  <c r="D2040" i="12"/>
  <c r="B2040" i="12"/>
  <c r="D2039" i="12"/>
  <c r="B2039" i="12"/>
  <c r="D2038" i="12"/>
  <c r="B2038" i="12"/>
  <c r="D2037" i="12"/>
  <c r="B2037" i="12"/>
  <c r="D2036" i="12"/>
  <c r="B2036" i="12"/>
  <c r="D2035" i="12"/>
  <c r="B2035" i="12"/>
  <c r="D2034" i="12"/>
  <c r="B2034" i="12"/>
  <c r="D2033" i="12"/>
  <c r="B2033" i="12"/>
  <c r="D2032" i="12"/>
  <c r="B2032" i="12"/>
  <c r="D2031" i="12"/>
  <c r="B2031" i="12"/>
  <c r="D2030" i="12"/>
  <c r="B2030" i="12"/>
  <c r="D2029" i="12"/>
  <c r="B2029" i="12"/>
  <c r="D2028" i="12"/>
  <c r="B2028" i="12"/>
  <c r="D2027" i="12"/>
  <c r="B2027" i="12"/>
  <c r="D2026" i="12"/>
  <c r="B2026" i="12"/>
  <c r="D2025" i="12"/>
  <c r="B2025" i="12"/>
  <c r="D2024" i="12"/>
  <c r="B2024" i="12"/>
  <c r="D2023" i="12"/>
  <c r="B2023" i="12"/>
  <c r="D2022" i="12"/>
  <c r="B2022" i="12"/>
  <c r="D2021" i="12"/>
  <c r="B2021" i="12"/>
  <c r="D2020" i="12"/>
  <c r="B2020" i="12"/>
  <c r="D2019" i="12"/>
  <c r="B2019" i="12"/>
  <c r="D2018" i="12"/>
  <c r="B2018" i="12"/>
  <c r="D2017" i="12"/>
  <c r="B2017" i="12"/>
  <c r="D2016" i="12"/>
  <c r="B2016" i="12"/>
  <c r="D2015" i="12"/>
  <c r="B2015" i="12"/>
  <c r="D2014" i="12"/>
  <c r="B2014" i="12"/>
  <c r="D2013" i="12"/>
  <c r="B2013" i="12"/>
  <c r="D2012" i="12"/>
  <c r="B2012" i="12"/>
  <c r="D2011" i="12"/>
  <c r="B2011" i="12"/>
  <c r="D2010" i="12"/>
  <c r="B2010" i="12"/>
  <c r="D2009" i="12"/>
  <c r="B2009" i="12"/>
  <c r="D2008" i="12"/>
  <c r="B2008" i="12"/>
  <c r="D2007" i="12"/>
  <c r="B2007" i="12"/>
  <c r="D2006" i="12"/>
  <c r="B2006" i="12"/>
  <c r="D2005" i="12"/>
  <c r="B2005" i="12"/>
  <c r="D2004" i="12"/>
  <c r="B2004" i="12"/>
  <c r="D2003" i="12"/>
  <c r="B2003" i="12"/>
  <c r="D2002" i="12"/>
  <c r="B2002" i="12"/>
  <c r="D2001" i="12"/>
  <c r="B2001" i="12"/>
  <c r="D2000" i="12"/>
  <c r="B2000" i="12"/>
  <c r="D1999" i="12"/>
  <c r="B1999" i="12"/>
  <c r="D1998" i="12"/>
  <c r="B1998" i="12"/>
  <c r="D1997" i="12"/>
  <c r="B1997" i="12"/>
  <c r="I1996" i="12"/>
  <c r="D1996" i="12" s="1"/>
  <c r="B1996" i="12"/>
  <c r="D1995" i="12"/>
  <c r="B1995" i="12"/>
  <c r="O1994" i="12"/>
  <c r="D1994" i="12" s="1"/>
  <c r="B1994" i="12"/>
  <c r="D1993" i="12"/>
  <c r="B1993" i="12"/>
  <c r="M1992" i="12"/>
  <c r="D1992" i="12" s="1"/>
  <c r="B1992" i="12"/>
  <c r="D1991" i="12"/>
  <c r="B1991" i="12"/>
  <c r="D1990" i="12"/>
  <c r="B1990" i="12"/>
  <c r="D1989" i="12"/>
  <c r="B1989" i="12"/>
  <c r="L1988" i="12"/>
  <c r="L1968" i="12" s="1"/>
  <c r="B1988" i="12"/>
  <c r="D1987" i="12"/>
  <c r="B1987" i="12"/>
  <c r="D1986" i="12"/>
  <c r="B1986" i="12"/>
  <c r="G1985" i="12"/>
  <c r="D1985" i="12" s="1"/>
  <c r="B1985" i="12"/>
  <c r="I1984" i="12"/>
  <c r="D1984" i="12" s="1"/>
  <c r="B1984" i="12"/>
  <c r="D1983" i="12"/>
  <c r="B1983" i="12"/>
  <c r="O1982" i="12"/>
  <c r="D1982" i="12" s="1"/>
  <c r="B1982" i="12"/>
  <c r="O1981" i="12"/>
  <c r="D1981" i="12" s="1"/>
  <c r="B1981" i="12"/>
  <c r="D1980" i="12"/>
  <c r="B1980" i="12"/>
  <c r="D1979" i="12"/>
  <c r="B1979" i="12"/>
  <c r="D1978" i="12"/>
  <c r="B1978" i="12"/>
  <c r="M1977" i="12"/>
  <c r="D1977" i="12" s="1"/>
  <c r="B1977" i="12"/>
  <c r="M1976" i="12"/>
  <c r="D1976" i="12" s="1"/>
  <c r="B1976" i="12"/>
  <c r="I1975" i="12"/>
  <c r="D1975" i="12" s="1"/>
  <c r="B1975" i="12"/>
  <c r="M1974" i="12"/>
  <c r="D1974" i="12"/>
  <c r="B1974" i="12"/>
  <c r="O1973" i="12"/>
  <c r="D1973" i="12" s="1"/>
  <c r="B1973" i="12"/>
  <c r="M1972" i="12"/>
  <c r="B1972" i="12"/>
  <c r="D1971" i="12"/>
  <c r="B1971" i="12"/>
  <c r="D1970" i="12"/>
  <c r="B1970" i="12"/>
  <c r="D1969" i="12"/>
  <c r="B1969" i="12"/>
  <c r="AA1968" i="12"/>
  <c r="Z1968" i="12"/>
  <c r="Y1968" i="12"/>
  <c r="X1968" i="12"/>
  <c r="W1968" i="12"/>
  <c r="V1968" i="12"/>
  <c r="U1968" i="12"/>
  <c r="T1968" i="12"/>
  <c r="S1968" i="12"/>
  <c r="R1968" i="12"/>
  <c r="Q1968" i="12"/>
  <c r="P1968" i="12"/>
  <c r="N1968" i="12"/>
  <c r="K1968" i="12"/>
  <c r="J1968" i="12"/>
  <c r="H1968" i="12"/>
  <c r="F1968" i="12"/>
  <c r="E1968" i="12"/>
  <c r="D1967" i="12"/>
  <c r="D1966" i="12"/>
  <c r="D1965" i="12"/>
  <c r="D1964" i="12"/>
  <c r="D1963" i="12"/>
  <c r="D1962" i="12"/>
  <c r="D1961" i="12"/>
  <c r="D1960" i="12"/>
  <c r="D1959" i="12"/>
  <c r="D1958" i="12"/>
  <c r="D1957" i="12"/>
  <c r="D1956" i="12"/>
  <c r="D1955" i="12"/>
  <c r="D1954" i="12"/>
  <c r="D1953" i="12"/>
  <c r="D1952" i="12"/>
  <c r="D1951" i="12"/>
  <c r="D1950" i="12"/>
  <c r="D1949" i="12"/>
  <c r="D1948" i="12"/>
  <c r="D1947" i="12"/>
  <c r="D1946" i="12"/>
  <c r="D1945" i="12"/>
  <c r="D1944" i="12"/>
  <c r="D1943" i="12"/>
  <c r="D1942" i="12"/>
  <c r="D1941" i="12"/>
  <c r="D1940" i="12"/>
  <c r="D1939" i="12"/>
  <c r="D1938" i="12"/>
  <c r="D1937" i="12"/>
  <c r="D1936" i="12"/>
  <c r="D1935" i="12"/>
  <c r="D1934" i="12"/>
  <c r="D1933" i="12"/>
  <c r="D1932" i="12"/>
  <c r="D1931" i="12"/>
  <c r="D1930" i="12"/>
  <c r="D1929" i="12"/>
  <c r="D1928" i="12"/>
  <c r="D1927" i="12"/>
  <c r="D1926" i="12"/>
  <c r="D1925" i="12"/>
  <c r="D1924" i="12"/>
  <c r="D1923" i="12"/>
  <c r="D1922" i="12"/>
  <c r="D1921" i="12"/>
  <c r="D1920" i="12"/>
  <c r="D1919" i="12"/>
  <c r="D1918" i="12"/>
  <c r="D1917" i="12"/>
  <c r="D1916" i="12"/>
  <c r="D1915" i="12"/>
  <c r="D1914" i="12"/>
  <c r="D1913" i="12"/>
  <c r="D1912" i="12"/>
  <c r="D1911" i="12"/>
  <c r="D1910" i="12"/>
  <c r="D1909" i="12"/>
  <c r="D1908" i="12"/>
  <c r="D1907" i="12"/>
  <c r="D1906" i="12"/>
  <c r="D1905" i="12"/>
  <c r="D1904" i="12"/>
  <c r="D1903" i="12"/>
  <c r="D1902" i="12"/>
  <c r="D1901" i="12"/>
  <c r="D1900" i="12"/>
  <c r="D1899" i="12"/>
  <c r="D1898" i="12"/>
  <c r="D1897" i="12"/>
  <c r="D1896" i="12"/>
  <c r="D1895" i="12"/>
  <c r="D1894" i="12"/>
  <c r="D1893" i="12"/>
  <c r="D1892" i="12"/>
  <c r="D1891" i="12"/>
  <c r="D1890" i="12"/>
  <c r="D1889" i="12"/>
  <c r="D1888" i="12"/>
  <c r="D1887" i="12"/>
  <c r="D1886" i="12"/>
  <c r="D1885" i="12"/>
  <c r="D1884" i="12"/>
  <c r="D1883" i="12"/>
  <c r="D1882" i="12"/>
  <c r="D1881" i="12"/>
  <c r="D1880" i="12"/>
  <c r="D1879" i="12"/>
  <c r="D1878" i="12"/>
  <c r="D1877" i="12"/>
  <c r="D1876" i="12"/>
  <c r="D1875" i="12"/>
  <c r="D1874" i="12"/>
  <c r="D1873" i="12"/>
  <c r="D1872" i="12"/>
  <c r="D1871" i="12"/>
  <c r="D1870" i="12"/>
  <c r="D1869" i="12"/>
  <c r="D1868" i="12"/>
  <c r="D1867" i="12"/>
  <c r="D1866" i="12"/>
  <c r="D1865" i="12"/>
  <c r="D1864" i="12"/>
  <c r="D1863" i="12"/>
  <c r="D1862" i="12"/>
  <c r="D1861" i="12"/>
  <c r="D1860" i="12"/>
  <c r="D1859" i="12"/>
  <c r="D1858" i="12"/>
  <c r="D1857" i="12"/>
  <c r="D1856" i="12"/>
  <c r="D1855" i="12"/>
  <c r="D1854" i="12"/>
  <c r="D1853" i="12"/>
  <c r="D1852" i="12"/>
  <c r="D1851" i="12"/>
  <c r="D1850" i="12"/>
  <c r="D1849" i="12"/>
  <c r="D1848" i="12"/>
  <c r="D1847" i="12"/>
  <c r="D1846" i="12"/>
  <c r="D1845" i="12"/>
  <c r="D1844" i="12"/>
  <c r="D1843" i="12"/>
  <c r="D1842" i="12"/>
  <c r="D1841" i="12"/>
  <c r="D1840" i="12"/>
  <c r="D1839" i="12"/>
  <c r="D1838" i="12"/>
  <c r="D1837" i="12"/>
  <c r="D1836" i="12"/>
  <c r="D1835" i="12"/>
  <c r="D1834" i="12"/>
  <c r="D1833" i="12"/>
  <c r="D1832" i="12"/>
  <c r="D1831" i="12"/>
  <c r="D1830" i="12"/>
  <c r="D1829" i="12"/>
  <c r="D1828" i="12"/>
  <c r="D1827" i="12"/>
  <c r="D1826" i="12"/>
  <c r="D1825" i="12"/>
  <c r="D1824" i="12"/>
  <c r="D1823" i="12"/>
  <c r="D1822" i="12"/>
  <c r="D1821" i="12"/>
  <c r="D1820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D1802" i="12"/>
  <c r="D1801" i="12"/>
  <c r="D1800" i="12"/>
  <c r="D1799" i="12"/>
  <c r="D1798" i="12"/>
  <c r="D1797" i="12"/>
  <c r="D1796" i="12"/>
  <c r="D1795" i="12"/>
  <c r="D1794" i="12"/>
  <c r="D1793" i="12"/>
  <c r="D1792" i="12"/>
  <c r="D1791" i="12"/>
  <c r="D1790" i="12"/>
  <c r="D1789" i="12"/>
  <c r="D1788" i="12"/>
  <c r="D1787" i="12"/>
  <c r="D1786" i="12"/>
  <c r="D1785" i="12"/>
  <c r="D1784" i="12"/>
  <c r="D1783" i="12"/>
  <c r="D1782" i="12"/>
  <c r="D1781" i="12"/>
  <c r="D1780" i="12"/>
  <c r="D1779" i="12"/>
  <c r="D1778" i="12"/>
  <c r="D1777" i="12"/>
  <c r="D1776" i="12"/>
  <c r="D1775" i="12"/>
  <c r="D1774" i="12"/>
  <c r="D1773" i="12"/>
  <c r="D1772" i="12"/>
  <c r="D1771" i="12"/>
  <c r="D1770" i="12"/>
  <c r="D1769" i="12"/>
  <c r="D1768" i="12"/>
  <c r="D1767" i="12"/>
  <c r="D1766" i="12"/>
  <c r="D1765" i="12"/>
  <c r="D1764" i="12"/>
  <c r="D1763" i="12"/>
  <c r="M1762" i="12"/>
  <c r="D1762" i="12" s="1"/>
  <c r="D1761" i="12"/>
  <c r="D1760" i="12"/>
  <c r="D1759" i="12"/>
  <c r="L1758" i="12"/>
  <c r="D1758" i="12" s="1"/>
  <c r="D1757" i="12"/>
  <c r="L1756" i="12"/>
  <c r="D1756" i="12" s="1"/>
  <c r="L1755" i="12"/>
  <c r="F1755" i="12"/>
  <c r="D1754" i="12"/>
  <c r="D1753" i="12"/>
  <c r="D1752" i="12"/>
  <c r="E1751" i="12"/>
  <c r="D1751" i="12" s="1"/>
  <c r="M1750" i="12"/>
  <c r="D1750" i="12" s="1"/>
  <c r="D1749" i="12"/>
  <c r="D1748" i="12"/>
  <c r="M1747" i="12"/>
  <c r="D1747" i="12" s="1"/>
  <c r="M1746" i="12"/>
  <c r="D1746" i="12" s="1"/>
  <c r="D1745" i="12"/>
  <c r="D1744" i="12"/>
  <c r="D1743" i="12"/>
  <c r="L1742" i="12"/>
  <c r="D1742" i="12" s="1"/>
  <c r="D1741" i="12"/>
  <c r="D1740" i="12"/>
  <c r="D1739" i="12"/>
  <c r="O1738" i="12"/>
  <c r="M1738" i="12"/>
  <c r="D1737" i="12"/>
  <c r="L1736" i="12"/>
  <c r="D1736" i="12" s="1"/>
  <c r="G1735" i="12"/>
  <c r="D1735" i="12" s="1"/>
  <c r="M1734" i="12"/>
  <c r="D1734" i="12" s="1"/>
  <c r="G1733" i="12"/>
  <c r="D1733" i="12" s="1"/>
  <c r="G1732" i="12"/>
  <c r="D1732" i="12" s="1"/>
  <c r="O1731" i="12"/>
  <c r="D1731" i="12" s="1"/>
  <c r="G1730" i="12"/>
  <c r="D1730" i="12" s="1"/>
  <c r="G1729" i="12"/>
  <c r="D1729" i="12"/>
  <c r="D1728" i="12"/>
  <c r="D1727" i="12"/>
  <c r="E1726" i="12"/>
  <c r="D1725" i="12"/>
  <c r="D1724" i="12"/>
  <c r="H1723" i="12"/>
  <c r="H1696" i="12" s="1"/>
  <c r="H1695" i="12" s="1"/>
  <c r="G1723" i="12"/>
  <c r="D1722" i="12"/>
  <c r="D1721" i="12"/>
  <c r="F1720" i="12"/>
  <c r="D1720" i="12"/>
  <c r="D1719" i="12"/>
  <c r="D1718" i="12"/>
  <c r="D1717" i="12"/>
  <c r="O1716" i="12"/>
  <c r="D1715" i="12"/>
  <c r="D1714" i="12"/>
  <c r="D1713" i="12"/>
  <c r="D1712" i="12"/>
  <c r="D1711" i="12"/>
  <c r="D1710" i="12"/>
  <c r="D1709" i="12"/>
  <c r="D1708" i="12"/>
  <c r="D1707" i="12"/>
  <c r="D1706" i="12"/>
  <c r="D1705" i="12"/>
  <c r="D1704" i="12"/>
  <c r="D1703" i="12"/>
  <c r="D1702" i="12"/>
  <c r="D1701" i="12"/>
  <c r="D1700" i="12"/>
  <c r="D1699" i="12"/>
  <c r="B1699" i="12"/>
  <c r="D1698" i="12"/>
  <c r="B1698" i="12"/>
  <c r="D1697" i="12"/>
  <c r="B1697" i="12"/>
  <c r="AA1696" i="12"/>
  <c r="Z1696" i="12"/>
  <c r="Y1696" i="12"/>
  <c r="X1696" i="12"/>
  <c r="W1696" i="12"/>
  <c r="V1696" i="12"/>
  <c r="U1696" i="12"/>
  <c r="T1696" i="12"/>
  <c r="S1696" i="12"/>
  <c r="R1696" i="12"/>
  <c r="Q1696" i="12"/>
  <c r="P1696" i="12"/>
  <c r="N1696" i="12"/>
  <c r="K1696" i="12"/>
  <c r="J1696" i="12"/>
  <c r="I1696" i="12"/>
  <c r="D1694" i="12"/>
  <c r="B1694" i="12"/>
  <c r="AA1693" i="12"/>
  <c r="Z1693" i="12"/>
  <c r="Y1693" i="12"/>
  <c r="X1693" i="12"/>
  <c r="W1693" i="12"/>
  <c r="V1693" i="12"/>
  <c r="U1693" i="12"/>
  <c r="T1693" i="12"/>
  <c r="S1693" i="12"/>
  <c r="R1693" i="12"/>
  <c r="Q1693" i="12"/>
  <c r="P1693" i="12"/>
  <c r="O1693" i="12"/>
  <c r="N1693" i="12"/>
  <c r="M1693" i="12"/>
  <c r="L1693" i="12"/>
  <c r="K1693" i="12"/>
  <c r="J1693" i="12"/>
  <c r="I1693" i="12"/>
  <c r="H1693" i="12"/>
  <c r="G1693" i="12"/>
  <c r="F1693" i="12"/>
  <c r="E1693" i="12"/>
  <c r="D1692" i="12"/>
  <c r="B1692" i="12"/>
  <c r="D1691" i="12"/>
  <c r="B1691" i="12"/>
  <c r="AA1690" i="12"/>
  <c r="Z1690" i="12"/>
  <c r="Y1690" i="12"/>
  <c r="X1690" i="12"/>
  <c r="W1690" i="12"/>
  <c r="V1690" i="12"/>
  <c r="U1690" i="12"/>
  <c r="T1690" i="12"/>
  <c r="S1690" i="12"/>
  <c r="R1690" i="12"/>
  <c r="Q1690" i="12"/>
  <c r="P1690" i="12"/>
  <c r="O1690" i="12"/>
  <c r="N1690" i="12"/>
  <c r="M1690" i="12"/>
  <c r="L1690" i="12"/>
  <c r="K1690" i="12"/>
  <c r="J1690" i="12"/>
  <c r="I1690" i="12"/>
  <c r="H1690" i="12"/>
  <c r="G1690" i="12"/>
  <c r="F1690" i="12"/>
  <c r="E1690" i="12"/>
  <c r="D1689" i="12"/>
  <c r="B1689" i="12"/>
  <c r="AA1688" i="12"/>
  <c r="Z1688" i="12"/>
  <c r="Y1688" i="12"/>
  <c r="X1688" i="12"/>
  <c r="W1688" i="12"/>
  <c r="V1688" i="12"/>
  <c r="U1688" i="12"/>
  <c r="T1688" i="12"/>
  <c r="S1688" i="12"/>
  <c r="R1688" i="12"/>
  <c r="Q1688" i="12"/>
  <c r="P1688" i="12"/>
  <c r="O1688" i="12"/>
  <c r="N1688" i="12"/>
  <c r="M1688" i="12"/>
  <c r="L1688" i="12"/>
  <c r="K1688" i="12"/>
  <c r="J1688" i="12"/>
  <c r="I1688" i="12"/>
  <c r="H1688" i="12"/>
  <c r="G1688" i="12"/>
  <c r="F1688" i="12"/>
  <c r="E1688" i="12"/>
  <c r="D1688" i="12" s="1"/>
  <c r="D1687" i="12"/>
  <c r="B1687" i="12"/>
  <c r="D1686" i="12"/>
  <c r="B1686" i="12"/>
  <c r="D1685" i="12"/>
  <c r="B1685" i="12"/>
  <c r="D1684" i="12"/>
  <c r="B1684" i="12"/>
  <c r="D1683" i="12"/>
  <c r="B1683" i="12"/>
  <c r="AA1682" i="12"/>
  <c r="Z1682" i="12"/>
  <c r="Y1682" i="12"/>
  <c r="X1682" i="12"/>
  <c r="W1682" i="12"/>
  <c r="V1682" i="12"/>
  <c r="U1682" i="12"/>
  <c r="T1682" i="12"/>
  <c r="S1682" i="12"/>
  <c r="R1682" i="12"/>
  <c r="Q1682" i="12"/>
  <c r="P1682" i="12"/>
  <c r="O1682" i="12"/>
  <c r="N1682" i="12"/>
  <c r="M1682" i="12"/>
  <c r="L1682" i="12"/>
  <c r="K1682" i="12"/>
  <c r="J1682" i="12"/>
  <c r="I1682" i="12"/>
  <c r="H1682" i="12"/>
  <c r="G1682" i="12"/>
  <c r="F1682" i="12"/>
  <c r="E1682" i="12"/>
  <c r="D1681" i="12"/>
  <c r="B1681" i="12"/>
  <c r="AA1680" i="12"/>
  <c r="Z1680" i="12"/>
  <c r="Y1680" i="12"/>
  <c r="X1680" i="12"/>
  <c r="W1680" i="12"/>
  <c r="V1680" i="12"/>
  <c r="U1680" i="12"/>
  <c r="T1680" i="12"/>
  <c r="S1680" i="12"/>
  <c r="R1680" i="12"/>
  <c r="Q1680" i="12"/>
  <c r="P1680" i="12"/>
  <c r="O1680" i="12"/>
  <c r="N1680" i="12"/>
  <c r="M1680" i="12"/>
  <c r="L1680" i="12"/>
  <c r="K1680" i="12"/>
  <c r="J1680" i="12"/>
  <c r="I1680" i="12"/>
  <c r="H1680" i="12"/>
  <c r="G1680" i="12"/>
  <c r="F1680" i="12"/>
  <c r="E1680" i="12"/>
  <c r="D1679" i="12"/>
  <c r="B1679" i="12"/>
  <c r="AA1678" i="12"/>
  <c r="Z1678" i="12"/>
  <c r="Y1678" i="12"/>
  <c r="X1678" i="12"/>
  <c r="W1678" i="12"/>
  <c r="V1678" i="12"/>
  <c r="U1678" i="12"/>
  <c r="T1678" i="12"/>
  <c r="S1678" i="12"/>
  <c r="R1678" i="12"/>
  <c r="Q1678" i="12"/>
  <c r="P1678" i="12"/>
  <c r="O1678" i="12"/>
  <c r="N1678" i="12"/>
  <c r="M1678" i="12"/>
  <c r="L1678" i="12"/>
  <c r="K1678" i="12"/>
  <c r="J1678" i="12"/>
  <c r="I1678" i="12"/>
  <c r="H1678" i="12"/>
  <c r="G1678" i="12"/>
  <c r="F1678" i="12"/>
  <c r="E1678" i="12"/>
  <c r="D1677" i="12"/>
  <c r="B1677" i="12"/>
  <c r="D1676" i="12"/>
  <c r="B1676" i="12"/>
  <c r="D1675" i="12"/>
  <c r="B1675" i="12"/>
  <c r="AA1674" i="12"/>
  <c r="Z1674" i="12"/>
  <c r="Y1674" i="12"/>
  <c r="X1674" i="12"/>
  <c r="W1674" i="12"/>
  <c r="V1674" i="12"/>
  <c r="U1674" i="12"/>
  <c r="T1674" i="12"/>
  <c r="S1674" i="12"/>
  <c r="R1674" i="12"/>
  <c r="Q1674" i="12"/>
  <c r="P1674" i="12"/>
  <c r="O1674" i="12"/>
  <c r="N1674" i="12"/>
  <c r="M1674" i="12"/>
  <c r="L1674" i="12"/>
  <c r="K1674" i="12"/>
  <c r="J1674" i="12"/>
  <c r="I1674" i="12"/>
  <c r="H1674" i="12"/>
  <c r="G1674" i="12"/>
  <c r="F1674" i="12"/>
  <c r="E1674" i="12"/>
  <c r="D1673" i="12"/>
  <c r="B1673" i="12"/>
  <c r="D1672" i="12"/>
  <c r="B1672" i="12"/>
  <c r="D1671" i="12"/>
  <c r="B1671" i="12"/>
  <c r="D1670" i="12"/>
  <c r="B1670" i="12"/>
  <c r="D1669" i="12"/>
  <c r="B1669" i="12"/>
  <c r="AA1668" i="12"/>
  <c r="Z1668" i="12"/>
  <c r="Y1668" i="12"/>
  <c r="X1668" i="12"/>
  <c r="W1668" i="12"/>
  <c r="V1668" i="12"/>
  <c r="U1668" i="12"/>
  <c r="T1668" i="12"/>
  <c r="S1668" i="12"/>
  <c r="R1668" i="12"/>
  <c r="Q1668" i="12"/>
  <c r="P1668" i="12"/>
  <c r="O1668" i="12"/>
  <c r="N1668" i="12"/>
  <c r="M1668" i="12"/>
  <c r="L1668" i="12"/>
  <c r="K1668" i="12"/>
  <c r="J1668" i="12"/>
  <c r="I1668" i="12"/>
  <c r="H1668" i="12"/>
  <c r="G1668" i="12"/>
  <c r="F1668" i="12"/>
  <c r="E1668" i="12"/>
  <c r="D1667" i="12"/>
  <c r="B1667" i="12"/>
  <c r="D1666" i="12"/>
  <c r="B1666" i="12"/>
  <c r="AA1665" i="12"/>
  <c r="Z1665" i="12"/>
  <c r="Y1665" i="12"/>
  <c r="X1665" i="12"/>
  <c r="W1665" i="12"/>
  <c r="V1665" i="12"/>
  <c r="U1665" i="12"/>
  <c r="T1665" i="12"/>
  <c r="S1665" i="12"/>
  <c r="R1665" i="12"/>
  <c r="Q1665" i="12"/>
  <c r="P1665" i="12"/>
  <c r="O1665" i="12"/>
  <c r="N1665" i="12"/>
  <c r="M1665" i="12"/>
  <c r="L1665" i="12"/>
  <c r="K1665" i="12"/>
  <c r="J1665" i="12"/>
  <c r="I1665" i="12"/>
  <c r="H1665" i="12"/>
  <c r="G1665" i="12"/>
  <c r="F1665" i="12"/>
  <c r="E1665" i="12"/>
  <c r="D1664" i="12"/>
  <c r="B1664" i="12"/>
  <c r="D1663" i="12"/>
  <c r="B1663" i="12"/>
  <c r="D1662" i="12"/>
  <c r="B1662" i="12"/>
  <c r="AA1661" i="12"/>
  <c r="Z1661" i="12"/>
  <c r="Y1661" i="12"/>
  <c r="X1661" i="12"/>
  <c r="W1661" i="12"/>
  <c r="V1661" i="12"/>
  <c r="U1661" i="12"/>
  <c r="T1661" i="12"/>
  <c r="S1661" i="12"/>
  <c r="R1661" i="12"/>
  <c r="Q1661" i="12"/>
  <c r="P1661" i="12"/>
  <c r="O1661" i="12"/>
  <c r="N1661" i="12"/>
  <c r="M1661" i="12"/>
  <c r="L1661" i="12"/>
  <c r="K1661" i="12"/>
  <c r="J1661" i="12"/>
  <c r="I1661" i="12"/>
  <c r="H1661" i="12"/>
  <c r="G1661" i="12"/>
  <c r="F1661" i="12"/>
  <c r="E1661" i="12"/>
  <c r="D1660" i="12"/>
  <c r="B1660" i="12"/>
  <c r="D1659" i="12"/>
  <c r="B1659" i="12"/>
  <c r="D1658" i="12"/>
  <c r="B1658" i="12"/>
  <c r="D1657" i="12"/>
  <c r="B1657" i="12"/>
  <c r="AA1656" i="12"/>
  <c r="Z1656" i="12"/>
  <c r="Y1656" i="12"/>
  <c r="X1656" i="12"/>
  <c r="W1656" i="12"/>
  <c r="V1656" i="12"/>
  <c r="U1656" i="12"/>
  <c r="T1656" i="12"/>
  <c r="S1656" i="12"/>
  <c r="R1656" i="12"/>
  <c r="Q1656" i="12"/>
  <c r="P1656" i="12"/>
  <c r="O1656" i="12"/>
  <c r="N1656" i="12"/>
  <c r="M1656" i="12"/>
  <c r="L1656" i="12"/>
  <c r="K1656" i="12"/>
  <c r="J1656" i="12"/>
  <c r="I1656" i="12"/>
  <c r="H1656" i="12"/>
  <c r="G1656" i="12"/>
  <c r="F1656" i="12"/>
  <c r="E1656" i="12"/>
  <c r="D1655" i="12"/>
  <c r="B1655" i="12"/>
  <c r="D1654" i="12"/>
  <c r="B1654" i="12"/>
  <c r="D1653" i="12"/>
  <c r="B1653" i="12"/>
  <c r="AA1652" i="12"/>
  <c r="Z1652" i="12"/>
  <c r="Y1652" i="12"/>
  <c r="X1652" i="12"/>
  <c r="W1652" i="12"/>
  <c r="V1652" i="12"/>
  <c r="U1652" i="12"/>
  <c r="T1652" i="12"/>
  <c r="S1652" i="12"/>
  <c r="R1652" i="12"/>
  <c r="Q1652" i="12"/>
  <c r="P1652" i="12"/>
  <c r="O1652" i="12"/>
  <c r="N1652" i="12"/>
  <c r="M1652" i="12"/>
  <c r="L1652" i="12"/>
  <c r="K1652" i="12"/>
  <c r="J1652" i="12"/>
  <c r="I1652" i="12"/>
  <c r="H1652" i="12"/>
  <c r="G1652" i="12"/>
  <c r="F1652" i="12"/>
  <c r="E1652" i="12"/>
  <c r="D1651" i="12"/>
  <c r="B1651" i="12"/>
  <c r="D1650" i="12"/>
  <c r="B1650" i="12"/>
  <c r="D1649" i="12"/>
  <c r="B1649" i="12"/>
  <c r="D1648" i="12"/>
  <c r="B1648" i="12"/>
  <c r="AA1647" i="12"/>
  <c r="Z1647" i="12"/>
  <c r="Y1647" i="12"/>
  <c r="X1647" i="12"/>
  <c r="W1647" i="12"/>
  <c r="V1647" i="12"/>
  <c r="U1647" i="12"/>
  <c r="T1647" i="12"/>
  <c r="S1647" i="12"/>
  <c r="R1647" i="12"/>
  <c r="Q1647" i="12"/>
  <c r="P1647" i="12"/>
  <c r="O1647" i="12"/>
  <c r="N1647" i="12"/>
  <c r="M1647" i="12"/>
  <c r="L1647" i="12"/>
  <c r="K1647" i="12"/>
  <c r="J1647" i="12"/>
  <c r="I1647" i="12"/>
  <c r="H1647" i="12"/>
  <c r="G1647" i="12"/>
  <c r="F1647" i="12"/>
  <c r="E1647" i="12"/>
  <c r="D1646" i="12"/>
  <c r="B1646" i="12"/>
  <c r="D1645" i="12"/>
  <c r="B1645" i="12"/>
  <c r="AA1644" i="12"/>
  <c r="Z1644" i="12"/>
  <c r="Y1644" i="12"/>
  <c r="X1644" i="12"/>
  <c r="W1644" i="12"/>
  <c r="V1644" i="12"/>
  <c r="U1644" i="12"/>
  <c r="T1644" i="12"/>
  <c r="S1644" i="12"/>
  <c r="R1644" i="12"/>
  <c r="Q1644" i="12"/>
  <c r="P1644" i="12"/>
  <c r="O1644" i="12"/>
  <c r="N1644" i="12"/>
  <c r="M1644" i="12"/>
  <c r="L1644" i="12"/>
  <c r="K1644" i="12"/>
  <c r="J1644" i="12"/>
  <c r="I1644" i="12"/>
  <c r="H1644" i="12"/>
  <c r="G1644" i="12"/>
  <c r="F1644" i="12"/>
  <c r="E1644" i="12"/>
  <c r="D1643" i="12"/>
  <c r="B1643" i="12"/>
  <c r="D1642" i="12"/>
  <c r="B1642" i="12"/>
  <c r="D1641" i="12"/>
  <c r="B1641" i="12"/>
  <c r="D1640" i="12"/>
  <c r="B1640" i="12"/>
  <c r="D1639" i="12"/>
  <c r="B1639" i="12"/>
  <c r="D1638" i="12"/>
  <c r="B1638" i="12"/>
  <c r="AA1637" i="12"/>
  <c r="Z1637" i="12"/>
  <c r="Y1637" i="12"/>
  <c r="X1637" i="12"/>
  <c r="W1637" i="12"/>
  <c r="V1637" i="12"/>
  <c r="U1637" i="12"/>
  <c r="T1637" i="12"/>
  <c r="S1637" i="12"/>
  <c r="R1637" i="12"/>
  <c r="Q1637" i="12"/>
  <c r="P1637" i="12"/>
  <c r="O1637" i="12"/>
  <c r="N1637" i="12"/>
  <c r="M1637" i="12"/>
  <c r="L1637" i="12"/>
  <c r="K1637" i="12"/>
  <c r="J1637" i="12"/>
  <c r="I1637" i="12"/>
  <c r="H1637" i="12"/>
  <c r="G1637" i="12"/>
  <c r="F1637" i="12"/>
  <c r="E1637" i="12"/>
  <c r="D1636" i="12"/>
  <c r="B1636" i="12"/>
  <c r="D1635" i="12"/>
  <c r="B1635" i="12"/>
  <c r="D1634" i="12"/>
  <c r="B1634" i="12"/>
  <c r="D1633" i="12"/>
  <c r="B1633" i="12"/>
  <c r="D1632" i="12"/>
  <c r="B1632" i="12"/>
  <c r="D1631" i="12"/>
  <c r="B1631" i="12"/>
  <c r="AA1630" i="12"/>
  <c r="Z1630" i="12"/>
  <c r="Y1630" i="12"/>
  <c r="X1630" i="12"/>
  <c r="W1630" i="12"/>
  <c r="V1630" i="12"/>
  <c r="U1630" i="12"/>
  <c r="T1630" i="12"/>
  <c r="S1630" i="12"/>
  <c r="R1630" i="12"/>
  <c r="Q1630" i="12"/>
  <c r="P1630" i="12"/>
  <c r="O1630" i="12"/>
  <c r="N1630" i="12"/>
  <c r="M1630" i="12"/>
  <c r="L1630" i="12"/>
  <c r="K1630" i="12"/>
  <c r="J1630" i="12"/>
  <c r="I1630" i="12"/>
  <c r="H1630" i="12"/>
  <c r="G1630" i="12"/>
  <c r="F1630" i="12"/>
  <c r="E1630" i="12"/>
  <c r="D1629" i="12"/>
  <c r="B1629" i="12"/>
  <c r="D1628" i="12"/>
  <c r="B1628" i="12"/>
  <c r="D1627" i="12"/>
  <c r="B1627" i="12"/>
  <c r="D1626" i="12"/>
  <c r="B1626" i="12"/>
  <c r="D1625" i="12"/>
  <c r="B1625" i="12"/>
  <c r="D1624" i="12"/>
  <c r="B1624" i="12"/>
  <c r="D1623" i="12"/>
  <c r="B1623" i="12"/>
  <c r="D1622" i="12"/>
  <c r="B1622" i="12"/>
  <c r="D1621" i="12"/>
  <c r="B1621" i="12"/>
  <c r="D1620" i="12"/>
  <c r="B1620" i="12"/>
  <c r="D1619" i="12"/>
  <c r="B1619" i="12"/>
  <c r="D1618" i="12"/>
  <c r="B1618" i="12"/>
  <c r="D1617" i="12"/>
  <c r="B1617" i="12"/>
  <c r="D1616" i="12"/>
  <c r="B1616" i="12"/>
  <c r="D1615" i="12"/>
  <c r="B1615" i="12"/>
  <c r="D1614" i="12"/>
  <c r="B1614" i="12"/>
  <c r="D1613" i="12"/>
  <c r="B1613" i="12"/>
  <c r="D1612" i="12"/>
  <c r="B1612" i="12"/>
  <c r="D1611" i="12"/>
  <c r="B1611" i="12"/>
  <c r="D1610" i="12"/>
  <c r="B1610" i="12"/>
  <c r="D1609" i="12"/>
  <c r="B1609" i="12"/>
  <c r="AA1608" i="12"/>
  <c r="Z1608" i="12"/>
  <c r="Y1608" i="12"/>
  <c r="X1608" i="12"/>
  <c r="W1608" i="12"/>
  <c r="V1608" i="12"/>
  <c r="U1608" i="12"/>
  <c r="T1608" i="12"/>
  <c r="S1608" i="12"/>
  <c r="R1608" i="12"/>
  <c r="Q1608" i="12"/>
  <c r="P1608" i="12"/>
  <c r="O1608" i="12"/>
  <c r="N1608" i="12"/>
  <c r="M1608" i="12"/>
  <c r="L1608" i="12"/>
  <c r="K1608" i="12"/>
  <c r="J1608" i="12"/>
  <c r="I1608" i="12"/>
  <c r="H1608" i="12"/>
  <c r="G1608" i="12"/>
  <c r="D1608" i="12" s="1"/>
  <c r="F1608" i="12"/>
  <c r="E1608" i="12"/>
  <c r="D1607" i="12"/>
  <c r="B1607" i="12"/>
  <c r="D1606" i="12"/>
  <c r="B1606" i="12"/>
  <c r="D1605" i="12"/>
  <c r="B1605" i="12"/>
  <c r="D1604" i="12"/>
  <c r="B1604" i="12"/>
  <c r="D1603" i="12"/>
  <c r="B1603" i="12"/>
  <c r="D1602" i="12"/>
  <c r="B1602" i="12"/>
  <c r="D1601" i="12"/>
  <c r="B1601" i="12"/>
  <c r="D1600" i="12"/>
  <c r="B1600" i="12"/>
  <c r="D1599" i="12"/>
  <c r="B1599" i="12"/>
  <c r="D1598" i="12"/>
  <c r="B1598" i="12"/>
  <c r="D1597" i="12"/>
  <c r="B1597" i="12"/>
  <c r="AA1596" i="12"/>
  <c r="Z1596" i="12"/>
  <c r="Y1596" i="12"/>
  <c r="X1596" i="12"/>
  <c r="W1596" i="12"/>
  <c r="V1596" i="12"/>
  <c r="U1596" i="12"/>
  <c r="T1596" i="12"/>
  <c r="S1596" i="12"/>
  <c r="R1596" i="12"/>
  <c r="Q1596" i="12"/>
  <c r="P1596" i="12"/>
  <c r="O1596" i="12"/>
  <c r="N1596" i="12"/>
  <c r="M1596" i="12"/>
  <c r="L1596" i="12"/>
  <c r="K1596" i="12"/>
  <c r="J1596" i="12"/>
  <c r="I1596" i="12"/>
  <c r="H1596" i="12"/>
  <c r="G1596" i="12"/>
  <c r="F1596" i="12"/>
  <c r="E1596" i="12"/>
  <c r="D1595" i="12"/>
  <c r="B1595" i="12"/>
  <c r="D1594" i="12"/>
  <c r="B1594" i="12"/>
  <c r="D1593" i="12"/>
  <c r="B1593" i="12"/>
  <c r="O1592" i="12"/>
  <c r="D1592" i="12" s="1"/>
  <c r="B1592" i="12"/>
  <c r="AA1591" i="12"/>
  <c r="Z1591" i="12"/>
  <c r="Y1591" i="12"/>
  <c r="X1591" i="12"/>
  <c r="W1591" i="12"/>
  <c r="V1591" i="12"/>
  <c r="U1591" i="12"/>
  <c r="T1591" i="12"/>
  <c r="S1591" i="12"/>
  <c r="R1591" i="12"/>
  <c r="Q1591" i="12"/>
  <c r="P1591" i="12"/>
  <c r="N1591" i="12"/>
  <c r="M1591" i="12"/>
  <c r="L1591" i="12"/>
  <c r="K1591" i="12"/>
  <c r="J1591" i="12"/>
  <c r="I1591" i="12"/>
  <c r="H1591" i="12"/>
  <c r="G1591" i="12"/>
  <c r="F1591" i="12"/>
  <c r="E1591" i="12"/>
  <c r="D1590" i="12"/>
  <c r="B1590" i="12"/>
  <c r="D1589" i="12"/>
  <c r="B1589" i="12"/>
  <c r="D1588" i="12"/>
  <c r="B1588" i="12"/>
  <c r="D1587" i="12"/>
  <c r="B1587" i="12"/>
  <c r="D1586" i="12"/>
  <c r="B1586" i="12"/>
  <c r="D1585" i="12"/>
  <c r="B1585" i="12"/>
  <c r="D1584" i="12"/>
  <c r="B1584" i="12"/>
  <c r="D1583" i="12"/>
  <c r="B1583" i="12"/>
  <c r="D1582" i="12"/>
  <c r="B1582" i="12"/>
  <c r="D1581" i="12"/>
  <c r="B1581" i="12"/>
  <c r="D1580" i="12"/>
  <c r="B1580" i="12"/>
  <c r="D1579" i="12"/>
  <c r="B1579" i="12"/>
  <c r="D1578" i="12"/>
  <c r="B1578" i="12"/>
  <c r="D1577" i="12"/>
  <c r="B1577" i="12"/>
  <c r="D1576" i="12"/>
  <c r="B1576" i="12"/>
  <c r="D1575" i="12"/>
  <c r="B1575" i="12"/>
  <c r="D1574" i="12"/>
  <c r="B1574" i="12"/>
  <c r="D1573" i="12"/>
  <c r="B1573" i="12"/>
  <c r="D1572" i="12"/>
  <c r="B1572" i="12"/>
  <c r="AA1571" i="12"/>
  <c r="Z1571" i="12"/>
  <c r="Y1571" i="12"/>
  <c r="X1571" i="12"/>
  <c r="W1571" i="12"/>
  <c r="V1571" i="12"/>
  <c r="U1571" i="12"/>
  <c r="T1571" i="12"/>
  <c r="S1571" i="12"/>
  <c r="R1571" i="12"/>
  <c r="Q1571" i="12"/>
  <c r="P1571" i="12"/>
  <c r="O1571" i="12"/>
  <c r="N1571" i="12"/>
  <c r="M1571" i="12"/>
  <c r="L1571" i="12"/>
  <c r="K1571" i="12"/>
  <c r="J1571" i="12"/>
  <c r="I1571" i="12"/>
  <c r="H1571" i="12"/>
  <c r="G1571" i="12"/>
  <c r="F1571" i="12"/>
  <c r="E1571" i="12"/>
  <c r="D1570" i="12"/>
  <c r="B1570" i="12"/>
  <c r="D1569" i="12"/>
  <c r="B1569" i="12"/>
  <c r="D1568" i="12"/>
  <c r="B1568" i="12"/>
  <c r="D1567" i="12"/>
  <c r="B1567" i="12"/>
  <c r="AA1566" i="12"/>
  <c r="Z1566" i="12"/>
  <c r="Y1566" i="12"/>
  <c r="X1566" i="12"/>
  <c r="W1566" i="12"/>
  <c r="V1566" i="12"/>
  <c r="U1566" i="12"/>
  <c r="T1566" i="12"/>
  <c r="S1566" i="12"/>
  <c r="R1566" i="12"/>
  <c r="Q1566" i="12"/>
  <c r="P1566" i="12"/>
  <c r="O1566" i="12"/>
  <c r="N1566" i="12"/>
  <c r="M1566" i="12"/>
  <c r="L1566" i="12"/>
  <c r="K1566" i="12"/>
  <c r="J1566" i="12"/>
  <c r="I1566" i="12"/>
  <c r="H1566" i="12"/>
  <c r="G1566" i="12"/>
  <c r="F1566" i="12"/>
  <c r="E1566" i="12"/>
  <c r="D1565" i="12"/>
  <c r="B1565" i="12"/>
  <c r="D1564" i="12"/>
  <c r="B1564" i="12"/>
  <c r="D1563" i="12"/>
  <c r="B1563" i="12"/>
  <c r="D1562" i="12"/>
  <c r="B1562" i="12"/>
  <c r="D1561" i="12"/>
  <c r="B1561" i="12"/>
  <c r="D1560" i="12"/>
  <c r="B1560" i="12"/>
  <c r="D1559" i="12"/>
  <c r="B1559" i="12"/>
  <c r="D1558" i="12"/>
  <c r="B1558" i="12"/>
  <c r="D1557" i="12"/>
  <c r="B1557" i="12"/>
  <c r="AA1556" i="12"/>
  <c r="Z1556" i="12"/>
  <c r="Y1556" i="12"/>
  <c r="X1556" i="12"/>
  <c r="W1556" i="12"/>
  <c r="V1556" i="12"/>
  <c r="U1556" i="12"/>
  <c r="T1556" i="12"/>
  <c r="S1556" i="12"/>
  <c r="R1556" i="12"/>
  <c r="Q1556" i="12"/>
  <c r="P1556" i="12"/>
  <c r="O1556" i="12"/>
  <c r="N1556" i="12"/>
  <c r="M1556" i="12"/>
  <c r="L1556" i="12"/>
  <c r="K1556" i="12"/>
  <c r="J1556" i="12"/>
  <c r="I1556" i="12"/>
  <c r="H1556" i="12"/>
  <c r="G1556" i="12"/>
  <c r="F1556" i="12"/>
  <c r="E1556" i="12"/>
  <c r="D1555" i="12"/>
  <c r="B1555" i="12"/>
  <c r="D1554" i="12"/>
  <c r="B1554" i="12"/>
  <c r="D1553" i="12"/>
  <c r="B1553" i="12"/>
  <c r="AA1552" i="12"/>
  <c r="Z1552" i="12"/>
  <c r="Y1552" i="12"/>
  <c r="X1552" i="12"/>
  <c r="W1552" i="12"/>
  <c r="V1552" i="12"/>
  <c r="U1552" i="12"/>
  <c r="T1552" i="12"/>
  <c r="S1552" i="12"/>
  <c r="R1552" i="12"/>
  <c r="Q1552" i="12"/>
  <c r="P1552" i="12"/>
  <c r="O1552" i="12"/>
  <c r="N1552" i="12"/>
  <c r="M1552" i="12"/>
  <c r="L1552" i="12"/>
  <c r="K1552" i="12"/>
  <c r="J1552" i="12"/>
  <c r="I1552" i="12"/>
  <c r="H1552" i="12"/>
  <c r="G1552" i="12"/>
  <c r="F1552" i="12"/>
  <c r="E1552" i="12"/>
  <c r="D1551" i="12"/>
  <c r="B1551" i="12"/>
  <c r="D1550" i="12"/>
  <c r="B1550" i="12"/>
  <c r="D1549" i="12"/>
  <c r="B1549" i="12"/>
  <c r="D1548" i="12"/>
  <c r="B1548" i="12"/>
  <c r="D1547" i="12"/>
  <c r="B1547" i="12"/>
  <c r="D1546" i="12"/>
  <c r="B1546" i="12"/>
  <c r="D1545" i="12"/>
  <c r="B1545" i="12"/>
  <c r="D1544" i="12"/>
  <c r="B1544" i="12"/>
  <c r="D1543" i="12"/>
  <c r="B1543" i="12"/>
  <c r="D1542" i="12"/>
  <c r="B1542" i="12"/>
  <c r="D1541" i="12"/>
  <c r="B1541" i="12"/>
  <c r="D1540" i="12"/>
  <c r="B1540" i="12"/>
  <c r="D1539" i="12"/>
  <c r="B1539" i="12"/>
  <c r="D1538" i="12"/>
  <c r="B1538" i="12"/>
  <c r="D1537" i="12"/>
  <c r="B1537" i="12"/>
  <c r="D1536" i="12"/>
  <c r="B1536" i="12"/>
  <c r="D1535" i="12"/>
  <c r="B1535" i="12"/>
  <c r="D1534" i="12"/>
  <c r="B1534" i="12"/>
  <c r="D1533" i="12"/>
  <c r="B1533" i="12"/>
  <c r="D1532" i="12"/>
  <c r="B1532" i="12"/>
  <c r="D1531" i="12"/>
  <c r="B1531" i="12"/>
  <c r="D1530" i="12"/>
  <c r="B1530" i="12"/>
  <c r="D1529" i="12"/>
  <c r="B1529" i="12"/>
  <c r="D1528" i="12"/>
  <c r="B1528" i="12"/>
  <c r="AA1527" i="12"/>
  <c r="Z1527" i="12"/>
  <c r="Y1527" i="12"/>
  <c r="X1527" i="12"/>
  <c r="W1527" i="12"/>
  <c r="V1527" i="12"/>
  <c r="U1527" i="12"/>
  <c r="T1527" i="12"/>
  <c r="S1527" i="12"/>
  <c r="R1527" i="12"/>
  <c r="Q1527" i="12"/>
  <c r="P1527" i="12"/>
  <c r="O1527" i="12"/>
  <c r="N1527" i="12"/>
  <c r="M1527" i="12"/>
  <c r="L1527" i="12"/>
  <c r="K1527" i="12"/>
  <c r="J1527" i="12"/>
  <c r="I1527" i="12"/>
  <c r="H1527" i="12"/>
  <c r="G1527" i="12"/>
  <c r="F1527" i="12"/>
  <c r="E1527" i="12"/>
  <c r="D1526" i="12"/>
  <c r="B1526" i="12"/>
  <c r="D1525" i="12"/>
  <c r="B1525" i="12"/>
  <c r="D1524" i="12"/>
  <c r="B1524" i="12"/>
  <c r="AA1523" i="12"/>
  <c r="Z1523" i="12"/>
  <c r="Y1523" i="12"/>
  <c r="X1523" i="12"/>
  <c r="W1523" i="12"/>
  <c r="V1523" i="12"/>
  <c r="U1523" i="12"/>
  <c r="T1523" i="12"/>
  <c r="S1523" i="12"/>
  <c r="R1523" i="12"/>
  <c r="Q1523" i="12"/>
  <c r="P1523" i="12"/>
  <c r="O1523" i="12"/>
  <c r="N1523" i="12"/>
  <c r="M1523" i="12"/>
  <c r="L1523" i="12"/>
  <c r="K1523" i="12"/>
  <c r="J1523" i="12"/>
  <c r="I1523" i="12"/>
  <c r="H1523" i="12"/>
  <c r="G1523" i="12"/>
  <c r="F1523" i="12"/>
  <c r="E1523" i="12"/>
  <c r="D1522" i="12"/>
  <c r="B1522" i="12"/>
  <c r="AA1521" i="12"/>
  <c r="Z1521" i="12"/>
  <c r="Y1521" i="12"/>
  <c r="X1521" i="12"/>
  <c r="W1521" i="12"/>
  <c r="V1521" i="12"/>
  <c r="U1521" i="12"/>
  <c r="T1521" i="12"/>
  <c r="S1521" i="12"/>
  <c r="R1521" i="12"/>
  <c r="Q1521" i="12"/>
  <c r="P1521" i="12"/>
  <c r="O1521" i="12"/>
  <c r="N1521" i="12"/>
  <c r="M1521" i="12"/>
  <c r="L1521" i="12"/>
  <c r="K1521" i="12"/>
  <c r="J1521" i="12"/>
  <c r="I1521" i="12"/>
  <c r="H1521" i="12"/>
  <c r="G1521" i="12"/>
  <c r="F1521" i="12"/>
  <c r="E1521" i="12"/>
  <c r="D1520" i="12"/>
  <c r="B1520" i="12"/>
  <c r="AA1519" i="12"/>
  <c r="Z1519" i="12"/>
  <c r="Y1519" i="12"/>
  <c r="X1519" i="12"/>
  <c r="W1519" i="12"/>
  <c r="V1519" i="12"/>
  <c r="U1519" i="12"/>
  <c r="T1519" i="12"/>
  <c r="S1519" i="12"/>
  <c r="R1519" i="12"/>
  <c r="Q1519" i="12"/>
  <c r="P1519" i="12"/>
  <c r="O1519" i="12"/>
  <c r="N1519" i="12"/>
  <c r="M1519" i="12"/>
  <c r="L1519" i="12"/>
  <c r="K1519" i="12"/>
  <c r="J1519" i="12"/>
  <c r="I1519" i="12"/>
  <c r="H1519" i="12"/>
  <c r="G1519" i="12"/>
  <c r="F1519" i="12"/>
  <c r="E1519" i="12"/>
  <c r="D1518" i="12"/>
  <c r="B1518" i="12"/>
  <c r="D1517" i="12"/>
  <c r="B1517" i="12"/>
  <c r="D1516" i="12"/>
  <c r="B1516" i="12"/>
  <c r="D1515" i="12"/>
  <c r="B1515" i="12"/>
  <c r="D1514" i="12"/>
  <c r="B1514" i="12"/>
  <c r="D1513" i="12"/>
  <c r="B1513" i="12"/>
  <c r="AA1512" i="12"/>
  <c r="Z1512" i="12"/>
  <c r="Y1512" i="12"/>
  <c r="X1512" i="12"/>
  <c r="W1512" i="12"/>
  <c r="V1512" i="12"/>
  <c r="U1512" i="12"/>
  <c r="T1512" i="12"/>
  <c r="S1512" i="12"/>
  <c r="R1512" i="12"/>
  <c r="Q1512" i="12"/>
  <c r="P1512" i="12"/>
  <c r="O1512" i="12"/>
  <c r="N1512" i="12"/>
  <c r="M1512" i="12"/>
  <c r="L1512" i="12"/>
  <c r="K1512" i="12"/>
  <c r="J1512" i="12"/>
  <c r="I1512" i="12"/>
  <c r="H1512" i="12"/>
  <c r="G1512" i="12"/>
  <c r="F1512" i="12"/>
  <c r="E1512" i="12"/>
  <c r="D1511" i="12"/>
  <c r="B1511" i="12"/>
  <c r="D1510" i="12"/>
  <c r="B1510" i="12"/>
  <c r="D1509" i="12"/>
  <c r="B1509" i="12"/>
  <c r="D1508" i="12"/>
  <c r="B1508" i="12"/>
  <c r="D1507" i="12"/>
  <c r="B1507" i="12"/>
  <c r="D1506" i="12"/>
  <c r="B1506" i="12"/>
  <c r="D1505" i="12"/>
  <c r="B1505" i="12"/>
  <c r="D1504" i="12"/>
  <c r="B1504" i="12"/>
  <c r="D1503" i="12"/>
  <c r="B1503" i="12"/>
  <c r="D1502" i="12"/>
  <c r="B1502" i="12"/>
  <c r="D1501" i="12"/>
  <c r="B1501" i="12"/>
  <c r="D1500" i="12"/>
  <c r="B1500" i="12"/>
  <c r="D1499" i="12"/>
  <c r="B1499" i="12"/>
  <c r="D1498" i="12"/>
  <c r="B1498" i="12"/>
  <c r="D1497" i="12"/>
  <c r="B1497" i="12"/>
  <c r="D1496" i="12"/>
  <c r="B1496" i="12"/>
  <c r="D1495" i="12"/>
  <c r="B1495" i="12"/>
  <c r="D1494" i="12"/>
  <c r="B1494" i="12"/>
  <c r="D1493" i="12"/>
  <c r="B1493" i="12"/>
  <c r="D1492" i="12"/>
  <c r="B1492" i="12"/>
  <c r="D1491" i="12"/>
  <c r="B1491" i="12"/>
  <c r="D1490" i="12"/>
  <c r="B1490" i="12"/>
  <c r="D1489" i="12"/>
  <c r="B1489" i="12"/>
  <c r="D1488" i="12"/>
  <c r="B1488" i="12"/>
  <c r="D1487" i="12"/>
  <c r="B1487" i="12"/>
  <c r="D1486" i="12"/>
  <c r="B1486" i="12"/>
  <c r="D1485" i="12"/>
  <c r="B1485" i="12"/>
  <c r="D1484" i="12"/>
  <c r="B1484" i="12"/>
  <c r="D1483" i="12"/>
  <c r="B1483" i="12"/>
  <c r="D1482" i="12"/>
  <c r="B1482" i="12"/>
  <c r="D1481" i="12"/>
  <c r="B1481" i="12"/>
  <c r="D1480" i="12"/>
  <c r="B1480" i="12"/>
  <c r="D1479" i="12"/>
  <c r="B1479" i="12"/>
  <c r="D1478" i="12"/>
  <c r="B1478" i="12"/>
  <c r="D1477" i="12"/>
  <c r="B1477" i="12"/>
  <c r="D1476" i="12"/>
  <c r="B1476" i="12"/>
  <c r="D1475" i="12"/>
  <c r="B1475" i="12"/>
  <c r="D1474" i="12"/>
  <c r="B1474" i="12"/>
  <c r="D1473" i="12"/>
  <c r="B1473" i="12"/>
  <c r="D1472" i="12"/>
  <c r="B1472" i="12"/>
  <c r="D1471" i="12"/>
  <c r="B1471" i="12"/>
  <c r="D1470" i="12"/>
  <c r="B1470" i="12"/>
  <c r="D1469" i="12"/>
  <c r="B1469" i="12"/>
  <c r="D1468" i="12"/>
  <c r="B1468" i="12"/>
  <c r="D1467" i="12"/>
  <c r="B1467" i="12"/>
  <c r="D1466" i="12"/>
  <c r="B1466" i="12"/>
  <c r="D1465" i="12"/>
  <c r="B1465" i="12"/>
  <c r="D1464" i="12"/>
  <c r="B1464" i="12"/>
  <c r="D1463" i="12"/>
  <c r="B1463" i="12"/>
  <c r="D1462" i="12"/>
  <c r="B1462" i="12"/>
  <c r="D1461" i="12"/>
  <c r="B1461" i="12"/>
  <c r="D1460" i="12"/>
  <c r="B1460" i="12"/>
  <c r="D1459" i="12"/>
  <c r="B1459" i="12"/>
  <c r="D1458" i="12"/>
  <c r="B1458" i="12"/>
  <c r="D1457" i="12"/>
  <c r="B1457" i="12"/>
  <c r="D1456" i="12"/>
  <c r="B1456" i="12"/>
  <c r="D1455" i="12"/>
  <c r="B1455" i="12"/>
  <c r="D1454" i="12"/>
  <c r="B1454" i="12"/>
  <c r="D1453" i="12"/>
  <c r="B1453" i="12"/>
  <c r="D1452" i="12"/>
  <c r="B1452" i="12"/>
  <c r="D1451" i="12"/>
  <c r="B1451" i="12"/>
  <c r="D1450" i="12"/>
  <c r="B1450" i="12"/>
  <c r="D1449" i="12"/>
  <c r="B1449" i="12"/>
  <c r="D1448" i="12"/>
  <c r="B1448" i="12"/>
  <c r="D1447" i="12"/>
  <c r="B1447" i="12"/>
  <c r="D1446" i="12"/>
  <c r="B1446" i="12"/>
  <c r="D1445" i="12"/>
  <c r="B1445" i="12"/>
  <c r="D1444" i="12"/>
  <c r="B1444" i="12"/>
  <c r="D1443" i="12"/>
  <c r="B1443" i="12"/>
  <c r="D1442" i="12"/>
  <c r="B1442" i="12"/>
  <c r="D1441" i="12"/>
  <c r="B1441" i="12"/>
  <c r="D1440" i="12"/>
  <c r="B1440" i="12"/>
  <c r="D1439" i="12"/>
  <c r="B1439" i="12"/>
  <c r="D1438" i="12"/>
  <c r="B1438" i="12"/>
  <c r="D1437" i="12"/>
  <c r="B1437" i="12"/>
  <c r="D1436" i="12"/>
  <c r="B1436" i="12"/>
  <c r="D1435" i="12"/>
  <c r="B1435" i="12"/>
  <c r="D1434" i="12"/>
  <c r="B1434" i="12"/>
  <c r="D1433" i="12"/>
  <c r="B1433" i="12"/>
  <c r="D1432" i="12"/>
  <c r="B1432" i="12"/>
  <c r="D1431" i="12"/>
  <c r="B1431" i="12"/>
  <c r="D1430" i="12"/>
  <c r="B1430" i="12"/>
  <c r="D1429" i="12"/>
  <c r="B1429" i="12"/>
  <c r="D1428" i="12"/>
  <c r="B1428" i="12"/>
  <c r="D1427" i="12"/>
  <c r="B1427" i="12"/>
  <c r="D1426" i="12"/>
  <c r="B1426" i="12"/>
  <c r="D1425" i="12"/>
  <c r="B1425" i="12"/>
  <c r="D1424" i="12"/>
  <c r="B1424" i="12"/>
  <c r="D1423" i="12"/>
  <c r="B1423" i="12"/>
  <c r="D1422" i="12"/>
  <c r="B1422" i="12"/>
  <c r="D1421" i="12"/>
  <c r="B1421" i="12"/>
  <c r="D1420" i="12"/>
  <c r="B1420" i="12"/>
  <c r="D1419" i="12"/>
  <c r="B1419" i="12"/>
  <c r="D1418" i="12"/>
  <c r="B1418" i="12"/>
  <c r="D1417" i="12"/>
  <c r="B1417" i="12"/>
  <c r="D1416" i="12"/>
  <c r="B1416" i="12"/>
  <c r="D1415" i="12"/>
  <c r="B1415" i="12"/>
  <c r="D1414" i="12"/>
  <c r="B1414" i="12"/>
  <c r="D1413" i="12"/>
  <c r="B1413" i="12"/>
  <c r="D1412" i="12"/>
  <c r="B1412" i="12"/>
  <c r="D1411" i="12"/>
  <c r="B1411" i="12"/>
  <c r="D1410" i="12"/>
  <c r="B1410" i="12"/>
  <c r="D1409" i="12"/>
  <c r="B1409" i="12"/>
  <c r="D1408" i="12"/>
  <c r="B1408" i="12"/>
  <c r="D1407" i="12"/>
  <c r="B1407" i="12"/>
  <c r="D1406" i="12"/>
  <c r="B1406" i="12"/>
  <c r="D1405" i="12"/>
  <c r="B1405" i="12"/>
  <c r="D1404" i="12"/>
  <c r="B1404" i="12"/>
  <c r="D1403" i="12"/>
  <c r="B1403" i="12"/>
  <c r="D1402" i="12"/>
  <c r="B1402" i="12"/>
  <c r="D1401" i="12"/>
  <c r="B1401" i="12"/>
  <c r="O1400" i="12"/>
  <c r="O1339" i="12" s="1"/>
  <c r="B1400" i="12"/>
  <c r="D1399" i="12"/>
  <c r="B1399" i="12"/>
  <c r="D1398" i="12"/>
  <c r="B1398" i="12"/>
  <c r="D1397" i="12"/>
  <c r="B1397" i="12"/>
  <c r="D1396" i="12"/>
  <c r="B1396" i="12"/>
  <c r="D1395" i="12"/>
  <c r="B1395" i="12"/>
  <c r="D1394" i="12"/>
  <c r="B1394" i="12"/>
  <c r="D1393" i="12"/>
  <c r="B1393" i="12"/>
  <c r="D1392" i="12"/>
  <c r="B1392" i="12"/>
  <c r="D1391" i="12"/>
  <c r="B1391" i="12"/>
  <c r="D1390" i="12"/>
  <c r="B1390" i="12"/>
  <c r="D1389" i="12"/>
  <c r="B1389" i="12"/>
  <c r="D1388" i="12"/>
  <c r="B1388" i="12"/>
  <c r="D1387" i="12"/>
  <c r="B1387" i="12"/>
  <c r="D1386" i="12"/>
  <c r="B1386" i="12"/>
  <c r="D1385" i="12"/>
  <c r="B1385" i="12"/>
  <c r="D1384" i="12"/>
  <c r="B1384" i="12"/>
  <c r="D1383" i="12"/>
  <c r="B1383" i="12"/>
  <c r="D1382" i="12"/>
  <c r="B1382" i="12"/>
  <c r="D1381" i="12"/>
  <c r="B1381" i="12"/>
  <c r="D1380" i="12"/>
  <c r="B1380" i="12"/>
  <c r="D1379" i="12"/>
  <c r="B1379" i="12"/>
  <c r="D1378" i="12"/>
  <c r="B1378" i="12"/>
  <c r="D1377" i="12"/>
  <c r="B1377" i="12"/>
  <c r="D1376" i="12"/>
  <c r="B1376" i="12"/>
  <c r="D1375" i="12"/>
  <c r="B1375" i="12"/>
  <c r="D1374" i="12"/>
  <c r="B1374" i="12"/>
  <c r="D1373" i="12"/>
  <c r="B1373" i="12"/>
  <c r="D1372" i="12"/>
  <c r="B1372" i="12"/>
  <c r="D1371" i="12"/>
  <c r="B1371" i="12"/>
  <c r="D1370" i="12"/>
  <c r="B1370" i="12"/>
  <c r="D1369" i="12"/>
  <c r="B1369" i="12"/>
  <c r="D1368" i="12"/>
  <c r="B1368" i="12"/>
  <c r="D1367" i="12"/>
  <c r="B1367" i="12"/>
  <c r="D1366" i="12"/>
  <c r="B1366" i="12"/>
  <c r="D1365" i="12"/>
  <c r="B1365" i="12"/>
  <c r="D1364" i="12"/>
  <c r="B1364" i="12"/>
  <c r="D1363" i="12"/>
  <c r="B1363" i="12"/>
  <c r="D1362" i="12"/>
  <c r="B1362" i="12"/>
  <c r="D1361" i="12"/>
  <c r="B1361" i="12"/>
  <c r="D1360" i="12"/>
  <c r="B1360" i="12"/>
  <c r="D1359" i="12"/>
  <c r="B1359" i="12"/>
  <c r="D1358" i="12"/>
  <c r="B1358" i="12"/>
  <c r="D1357" i="12"/>
  <c r="B1357" i="12"/>
  <c r="D1356" i="12"/>
  <c r="B1356" i="12"/>
  <c r="D1355" i="12"/>
  <c r="B1355" i="12"/>
  <c r="D1354" i="12"/>
  <c r="B1354" i="12"/>
  <c r="D1353" i="12"/>
  <c r="B1353" i="12"/>
  <c r="D1352" i="12"/>
  <c r="B1352" i="12"/>
  <c r="D1351" i="12"/>
  <c r="B1351" i="12"/>
  <c r="D1350" i="12"/>
  <c r="B1350" i="12"/>
  <c r="D1349" i="12"/>
  <c r="B1349" i="12"/>
  <c r="D1348" i="12"/>
  <c r="B1348" i="12"/>
  <c r="D1347" i="12"/>
  <c r="B1347" i="12"/>
  <c r="D1346" i="12"/>
  <c r="B1346" i="12"/>
  <c r="D1345" i="12"/>
  <c r="B1345" i="12"/>
  <c r="D1344" i="12"/>
  <c r="B1344" i="12"/>
  <c r="D1343" i="12"/>
  <c r="B1343" i="12"/>
  <c r="D1342" i="12"/>
  <c r="B1342" i="12"/>
  <c r="D1341" i="12"/>
  <c r="B1341" i="12"/>
  <c r="D1340" i="12"/>
  <c r="B1340" i="12"/>
  <c r="AA1339" i="12"/>
  <c r="Z1339" i="12"/>
  <c r="Y1339" i="12"/>
  <c r="X1339" i="12"/>
  <c r="W1339" i="12"/>
  <c r="V1339" i="12"/>
  <c r="U1339" i="12"/>
  <c r="T1339" i="12"/>
  <c r="S1339" i="12"/>
  <c r="R1339" i="12"/>
  <c r="Q1339" i="12"/>
  <c r="P1339" i="12"/>
  <c r="N1339" i="12"/>
  <c r="M1339" i="12"/>
  <c r="L1339" i="12"/>
  <c r="K1339" i="12"/>
  <c r="J1339" i="12"/>
  <c r="I1339" i="12"/>
  <c r="H1339" i="12"/>
  <c r="G1339" i="12"/>
  <c r="F1339" i="12"/>
  <c r="E1339" i="12"/>
  <c r="D1338" i="12"/>
  <c r="B1338" i="12"/>
  <c r="D1337" i="12"/>
  <c r="B1337" i="12"/>
  <c r="D1336" i="12"/>
  <c r="B1336" i="12"/>
  <c r="D1335" i="12"/>
  <c r="B1335" i="12"/>
  <c r="D1334" i="12"/>
  <c r="B1334" i="12"/>
  <c r="D1333" i="12"/>
  <c r="B1333" i="12"/>
  <c r="D1332" i="12"/>
  <c r="B1332" i="12"/>
  <c r="D1331" i="12"/>
  <c r="B1331" i="12"/>
  <c r="D1330" i="12"/>
  <c r="B1330" i="12"/>
  <c r="D1329" i="12"/>
  <c r="B1329" i="12"/>
  <c r="D1328" i="12"/>
  <c r="B1328" i="12"/>
  <c r="D1327" i="12"/>
  <c r="B1327" i="12"/>
  <c r="D1326" i="12"/>
  <c r="B1326" i="12"/>
  <c r="G1325" i="12"/>
  <c r="D1325" i="12"/>
  <c r="B1325" i="12"/>
  <c r="D1324" i="12"/>
  <c r="B1324" i="12"/>
  <c r="G1323" i="12"/>
  <c r="B1323" i="12"/>
  <c r="D1322" i="12"/>
  <c r="B1322" i="12"/>
  <c r="D1321" i="12"/>
  <c r="B1321" i="12"/>
  <c r="D1320" i="12"/>
  <c r="B1320" i="12"/>
  <c r="D1319" i="12"/>
  <c r="B1319" i="12"/>
  <c r="D1318" i="12"/>
  <c r="B1318" i="12"/>
  <c r="D1317" i="12"/>
  <c r="B1317" i="12"/>
  <c r="D1316" i="12"/>
  <c r="B1316" i="12"/>
  <c r="D1315" i="12"/>
  <c r="B1315" i="12"/>
  <c r="D1314" i="12"/>
  <c r="B1314" i="12"/>
  <c r="D1313" i="12"/>
  <c r="B1313" i="12"/>
  <c r="D1312" i="12"/>
  <c r="B1312" i="12"/>
  <c r="D1311" i="12"/>
  <c r="B1311" i="12"/>
  <c r="D1310" i="12"/>
  <c r="B1310" i="12"/>
  <c r="D1309" i="12"/>
  <c r="B1309" i="12"/>
  <c r="D1308" i="12"/>
  <c r="B1308" i="12"/>
  <c r="D1307" i="12"/>
  <c r="B1307" i="12"/>
  <c r="D1306" i="12"/>
  <c r="B1306" i="12"/>
  <c r="D1305" i="12"/>
  <c r="B1305" i="12"/>
  <c r="D1304" i="12"/>
  <c r="B1304" i="12"/>
  <c r="D1303" i="12"/>
  <c r="B1303" i="12"/>
  <c r="D1302" i="12"/>
  <c r="B1302" i="12"/>
  <c r="D1301" i="12"/>
  <c r="B1301" i="12"/>
  <c r="D1300" i="12"/>
  <c r="B1300" i="12"/>
  <c r="D1299" i="12"/>
  <c r="B1299" i="12"/>
  <c r="D1298" i="12"/>
  <c r="B1298" i="12"/>
  <c r="AA1297" i="12"/>
  <c r="Z1297" i="12"/>
  <c r="Y1297" i="12"/>
  <c r="X1297" i="12"/>
  <c r="W1297" i="12"/>
  <c r="V1297" i="12"/>
  <c r="U1297" i="12"/>
  <c r="T1297" i="12"/>
  <c r="S1297" i="12"/>
  <c r="R1297" i="12"/>
  <c r="Q1297" i="12"/>
  <c r="P1297" i="12"/>
  <c r="O1297" i="12"/>
  <c r="N1297" i="12"/>
  <c r="M1297" i="12"/>
  <c r="L1297" i="12"/>
  <c r="K1297" i="12"/>
  <c r="J1297" i="12"/>
  <c r="I1297" i="12"/>
  <c r="H1297" i="12"/>
  <c r="F1297" i="12"/>
  <c r="E1297" i="12"/>
  <c r="D1296" i="12"/>
  <c r="B1296" i="12"/>
  <c r="D1295" i="12"/>
  <c r="B1295" i="12"/>
  <c r="D1294" i="12"/>
  <c r="B1294" i="12"/>
  <c r="D1293" i="12"/>
  <c r="B1293" i="12"/>
  <c r="D1292" i="12"/>
  <c r="B1292" i="12"/>
  <c r="D1291" i="12"/>
  <c r="B1291" i="12"/>
  <c r="D1290" i="12"/>
  <c r="B1290" i="12"/>
  <c r="D1289" i="12"/>
  <c r="B1289" i="12"/>
  <c r="D1288" i="12"/>
  <c r="B1288" i="12"/>
  <c r="D1287" i="12"/>
  <c r="B1287" i="12"/>
  <c r="D1286" i="12"/>
  <c r="B1286" i="12"/>
  <c r="D1285" i="12"/>
  <c r="B1285" i="12"/>
  <c r="D1284" i="12"/>
  <c r="B1284" i="12"/>
  <c r="D1283" i="12"/>
  <c r="B1283" i="12"/>
  <c r="D1282" i="12"/>
  <c r="B1282" i="12"/>
  <c r="D1281" i="12"/>
  <c r="B1281" i="12"/>
  <c r="D1280" i="12"/>
  <c r="B1280" i="12"/>
  <c r="D1279" i="12"/>
  <c r="B1279" i="12"/>
  <c r="M1278" i="12"/>
  <c r="D1278" i="12" s="1"/>
  <c r="B1278" i="12"/>
  <c r="D1277" i="12"/>
  <c r="B1277" i="12"/>
  <c r="D1276" i="12"/>
  <c r="B1276" i="12"/>
  <c r="D1275" i="12"/>
  <c r="B1275" i="12"/>
  <c r="D1274" i="12"/>
  <c r="B1274" i="12"/>
  <c r="D1273" i="12"/>
  <c r="B1273" i="12"/>
  <c r="D1272" i="12"/>
  <c r="B1272" i="12"/>
  <c r="D1271" i="12"/>
  <c r="B1271" i="12"/>
  <c r="D1270" i="12"/>
  <c r="B1270" i="12"/>
  <c r="D1269" i="12"/>
  <c r="B1269" i="12"/>
  <c r="D1268" i="12"/>
  <c r="B1268" i="12"/>
  <c r="D1267" i="12"/>
  <c r="B1267" i="12"/>
  <c r="D1266" i="12"/>
  <c r="B1266" i="12"/>
  <c r="D1265" i="12"/>
  <c r="B1265" i="12"/>
  <c r="D1264" i="12"/>
  <c r="B1264" i="12"/>
  <c r="D1263" i="12"/>
  <c r="B1263" i="12"/>
  <c r="D1262" i="12"/>
  <c r="B1262" i="12"/>
  <c r="D1261" i="12"/>
  <c r="B1261" i="12"/>
  <c r="D1260" i="12"/>
  <c r="B1260" i="12"/>
  <c r="D1259" i="12"/>
  <c r="B1259" i="12"/>
  <c r="D1258" i="12"/>
  <c r="B1258" i="12"/>
  <c r="D1257" i="12"/>
  <c r="B1257" i="12"/>
  <c r="D1256" i="12"/>
  <c r="B1256" i="12"/>
  <c r="D1255" i="12"/>
  <c r="B1255" i="12"/>
  <c r="D1254" i="12"/>
  <c r="B1254" i="12"/>
  <c r="D1253" i="12"/>
  <c r="B1253" i="12"/>
  <c r="D1252" i="12"/>
  <c r="B1252" i="12"/>
  <c r="D1251" i="12"/>
  <c r="B1251" i="12"/>
  <c r="D1250" i="12"/>
  <c r="B1250" i="12"/>
  <c r="D1249" i="12"/>
  <c r="B1249" i="12"/>
  <c r="D1248" i="12"/>
  <c r="B1248" i="12"/>
  <c r="D1247" i="12"/>
  <c r="B1247" i="12"/>
  <c r="D1246" i="12"/>
  <c r="B1246" i="12"/>
  <c r="D1245" i="12"/>
  <c r="B1245" i="12"/>
  <c r="D1244" i="12"/>
  <c r="B1244" i="12"/>
  <c r="O1243" i="12"/>
  <c r="D1243" i="12" s="1"/>
  <c r="B1243" i="12"/>
  <c r="D1242" i="12"/>
  <c r="B1242" i="12"/>
  <c r="D1241" i="12"/>
  <c r="B1241" i="12"/>
  <c r="D1240" i="12"/>
  <c r="B1240" i="12"/>
  <c r="D1239" i="12"/>
  <c r="B1239" i="12"/>
  <c r="D1238" i="12"/>
  <c r="B1238" i="12"/>
  <c r="D1237" i="12"/>
  <c r="B1237" i="12"/>
  <c r="D1236" i="12"/>
  <c r="B1236" i="12"/>
  <c r="D1235" i="12"/>
  <c r="B1235" i="12"/>
  <c r="D1234" i="12"/>
  <c r="B1234" i="12"/>
  <c r="D1233" i="12"/>
  <c r="B1233" i="12"/>
  <c r="D1232" i="12"/>
  <c r="B1232" i="12"/>
  <c r="M1231" i="12"/>
  <c r="D1231" i="12" s="1"/>
  <c r="B1231" i="12"/>
  <c r="D1230" i="12"/>
  <c r="B1230" i="12"/>
  <c r="D1229" i="12"/>
  <c r="B1229" i="12"/>
  <c r="D1228" i="12"/>
  <c r="B1228" i="12"/>
  <c r="D1227" i="12"/>
  <c r="B1227" i="12"/>
  <c r="D1226" i="12"/>
  <c r="B1226" i="12"/>
  <c r="D1225" i="12"/>
  <c r="B1225" i="12"/>
  <c r="D1224" i="12"/>
  <c r="B1224" i="12"/>
  <c r="D1223" i="12"/>
  <c r="B1223" i="12"/>
  <c r="D1222" i="12"/>
  <c r="B1222" i="12"/>
  <c r="D1221" i="12"/>
  <c r="B1221" i="12"/>
  <c r="AA1220" i="12"/>
  <c r="Z1220" i="12"/>
  <c r="Y1220" i="12"/>
  <c r="X1220" i="12"/>
  <c r="W1220" i="12"/>
  <c r="V1220" i="12"/>
  <c r="U1220" i="12"/>
  <c r="T1220" i="12"/>
  <c r="S1220" i="12"/>
  <c r="R1220" i="12"/>
  <c r="Q1220" i="12"/>
  <c r="P1220" i="12"/>
  <c r="N1220" i="12"/>
  <c r="L1220" i="12"/>
  <c r="K1220" i="12"/>
  <c r="J1220" i="12"/>
  <c r="I1220" i="12"/>
  <c r="H1220" i="12"/>
  <c r="G1220" i="12"/>
  <c r="F1220" i="12"/>
  <c r="E1220" i="12"/>
  <c r="D1219" i="12"/>
  <c r="B1219" i="12"/>
  <c r="D1218" i="12"/>
  <c r="B1218" i="12"/>
  <c r="D1217" i="12"/>
  <c r="B1217" i="12"/>
  <c r="D1216" i="12"/>
  <c r="B1216" i="12"/>
  <c r="D1215" i="12"/>
  <c r="B1215" i="12"/>
  <c r="D1214" i="12"/>
  <c r="B1214" i="12"/>
  <c r="D1213" i="12"/>
  <c r="B1213" i="12"/>
  <c r="D1212" i="12"/>
  <c r="B1212" i="12"/>
  <c r="D1211" i="12"/>
  <c r="B1211" i="12"/>
  <c r="D1210" i="12"/>
  <c r="B1210" i="12"/>
  <c r="D1209" i="12"/>
  <c r="B1209" i="12"/>
  <c r="D1208" i="12"/>
  <c r="B1208" i="12"/>
  <c r="D1207" i="12"/>
  <c r="B1207" i="12"/>
  <c r="D1206" i="12"/>
  <c r="B1206" i="12"/>
  <c r="D1205" i="12"/>
  <c r="B1205" i="12"/>
  <c r="D1204" i="12"/>
  <c r="B1204" i="12"/>
  <c r="D1203" i="12"/>
  <c r="B1203" i="12"/>
  <c r="D1202" i="12"/>
  <c r="B1202" i="12"/>
  <c r="D1201" i="12"/>
  <c r="B1201" i="12"/>
  <c r="D1200" i="12"/>
  <c r="B1200" i="12"/>
  <c r="D1199" i="12"/>
  <c r="B1199" i="12"/>
  <c r="D1198" i="12"/>
  <c r="B1198" i="12"/>
  <c r="D1197" i="12"/>
  <c r="B1197" i="12"/>
  <c r="D1196" i="12"/>
  <c r="B1196" i="12"/>
  <c r="D1195" i="12"/>
  <c r="B1195" i="12"/>
  <c r="D1194" i="12"/>
  <c r="B1194" i="12"/>
  <c r="D1193" i="12"/>
  <c r="B1193" i="12"/>
  <c r="D1192" i="12"/>
  <c r="B1192" i="12"/>
  <c r="D1191" i="12"/>
  <c r="B1191" i="12"/>
  <c r="D1190" i="12"/>
  <c r="B1190" i="12"/>
  <c r="D1189" i="12"/>
  <c r="B1189" i="12"/>
  <c r="D1188" i="12"/>
  <c r="B1188" i="12"/>
  <c r="D1187" i="12"/>
  <c r="B1187" i="12"/>
  <c r="D1186" i="12"/>
  <c r="B1186" i="12"/>
  <c r="D1185" i="12"/>
  <c r="B1185" i="12"/>
  <c r="D1184" i="12"/>
  <c r="B1184" i="12"/>
  <c r="D1183" i="12"/>
  <c r="B1183" i="12"/>
  <c r="D1182" i="12"/>
  <c r="B1182" i="12"/>
  <c r="D1181" i="12"/>
  <c r="B1181" i="12"/>
  <c r="D1180" i="12"/>
  <c r="B1180" i="12"/>
  <c r="D1179" i="12"/>
  <c r="B1179" i="12"/>
  <c r="D1178" i="12"/>
  <c r="B1178" i="12"/>
  <c r="D1177" i="12"/>
  <c r="B1177" i="12"/>
  <c r="D1176" i="12"/>
  <c r="B1176" i="12"/>
  <c r="D1175" i="12"/>
  <c r="B1175" i="12"/>
  <c r="D1174" i="12"/>
  <c r="B1174" i="12"/>
  <c r="O1173" i="12"/>
  <c r="B1173" i="12"/>
  <c r="D1172" i="12"/>
  <c r="B1172" i="12"/>
  <c r="D1171" i="12"/>
  <c r="B1171" i="12"/>
  <c r="D1170" i="12"/>
  <c r="B1170" i="12"/>
  <c r="D1169" i="12"/>
  <c r="B1169" i="12"/>
  <c r="D1168" i="12"/>
  <c r="B1168" i="12"/>
  <c r="D1167" i="12"/>
  <c r="B1167" i="12"/>
  <c r="D1166" i="12"/>
  <c r="B1166" i="12"/>
  <c r="D1165" i="12"/>
  <c r="B1165" i="12"/>
  <c r="D1164" i="12"/>
  <c r="B1164" i="12"/>
  <c r="D1163" i="12"/>
  <c r="B1163" i="12"/>
  <c r="D1162" i="12"/>
  <c r="B1162" i="12"/>
  <c r="D1161" i="12"/>
  <c r="B1161" i="12"/>
  <c r="D1160" i="12"/>
  <c r="B1160" i="12"/>
  <c r="D1159" i="12"/>
  <c r="B1159" i="12"/>
  <c r="D1158" i="12"/>
  <c r="B1158" i="12"/>
  <c r="D1157" i="12"/>
  <c r="B1157" i="12"/>
  <c r="D1156" i="12"/>
  <c r="B1156" i="12"/>
  <c r="D1155" i="12"/>
  <c r="B1155" i="12"/>
  <c r="D1154" i="12"/>
  <c r="B1154" i="12"/>
  <c r="D1153" i="12"/>
  <c r="B1153" i="12"/>
  <c r="D1152" i="12"/>
  <c r="B1152" i="12"/>
  <c r="D1151" i="12"/>
  <c r="B1151" i="12"/>
  <c r="D1150" i="12"/>
  <c r="B1150" i="12"/>
  <c r="D1149" i="12"/>
  <c r="B1149" i="12"/>
  <c r="D1148" i="12"/>
  <c r="B1148" i="12"/>
  <c r="D1147" i="12"/>
  <c r="B1147" i="12"/>
  <c r="D1146" i="12"/>
  <c r="B1146" i="12"/>
  <c r="D1145" i="12"/>
  <c r="B1145" i="12"/>
  <c r="D1144" i="12"/>
  <c r="B1144" i="12"/>
  <c r="D1143" i="12"/>
  <c r="B1143" i="12"/>
  <c r="D1142" i="12"/>
  <c r="B1142" i="12"/>
  <c r="D1141" i="12"/>
  <c r="B1141" i="12"/>
  <c r="D1140" i="12"/>
  <c r="B1140" i="12"/>
  <c r="D1139" i="12"/>
  <c r="B1139" i="12"/>
  <c r="AA1138" i="12"/>
  <c r="Z1138" i="12"/>
  <c r="Y1138" i="12"/>
  <c r="X1138" i="12"/>
  <c r="W1138" i="12"/>
  <c r="V1138" i="12"/>
  <c r="U1138" i="12"/>
  <c r="T1138" i="12"/>
  <c r="S1138" i="12"/>
  <c r="R1138" i="12"/>
  <c r="Q1138" i="12"/>
  <c r="P1138" i="12"/>
  <c r="N1138" i="12"/>
  <c r="M1138" i="12"/>
  <c r="L1138" i="12"/>
  <c r="K1138" i="12"/>
  <c r="J1138" i="12"/>
  <c r="I1138" i="12"/>
  <c r="H1138" i="12"/>
  <c r="G1138" i="12"/>
  <c r="F1138" i="12"/>
  <c r="E1138" i="12"/>
  <c r="D1137" i="12"/>
  <c r="B1137" i="12"/>
  <c r="D1136" i="12"/>
  <c r="B1136" i="12"/>
  <c r="D1135" i="12"/>
  <c r="B1135" i="12"/>
  <c r="D1134" i="12"/>
  <c r="B1134" i="12"/>
  <c r="D1133" i="12"/>
  <c r="B1133" i="12"/>
  <c r="D1132" i="12"/>
  <c r="B1132" i="12"/>
  <c r="D1131" i="12"/>
  <c r="B1131" i="12"/>
  <c r="D1130" i="12"/>
  <c r="B1130" i="12"/>
  <c r="D1129" i="12"/>
  <c r="B1129" i="12"/>
  <c r="D1128" i="12"/>
  <c r="B1128" i="12"/>
  <c r="D1127" i="12"/>
  <c r="B1127" i="12"/>
  <c r="D1126" i="12"/>
  <c r="B1126" i="12"/>
  <c r="D1125" i="12"/>
  <c r="B1125" i="12"/>
  <c r="D1124" i="12"/>
  <c r="B1124" i="12"/>
  <c r="D1123" i="12"/>
  <c r="B1123" i="12"/>
  <c r="D1122" i="12"/>
  <c r="B1122" i="12"/>
  <c r="D1121" i="12"/>
  <c r="B1121" i="12"/>
  <c r="D1120" i="12"/>
  <c r="B1120" i="12"/>
  <c r="D1119" i="12"/>
  <c r="B1119" i="12"/>
  <c r="D1118" i="12"/>
  <c r="B1118" i="12"/>
  <c r="D1117" i="12"/>
  <c r="B1117" i="12"/>
  <c r="D1116" i="12"/>
  <c r="B1116" i="12"/>
  <c r="D1115" i="12"/>
  <c r="B1115" i="12"/>
  <c r="D1114" i="12"/>
  <c r="B1114" i="12"/>
  <c r="D1113" i="12"/>
  <c r="B1113" i="12"/>
  <c r="D1112" i="12"/>
  <c r="B1112" i="12"/>
  <c r="D1111" i="12"/>
  <c r="B1111" i="12"/>
  <c r="D1110" i="12"/>
  <c r="B1110" i="12"/>
  <c r="D1109" i="12"/>
  <c r="B1109" i="12"/>
  <c r="D1108" i="12"/>
  <c r="B1108" i="12"/>
  <c r="D1107" i="12"/>
  <c r="B1107" i="12"/>
  <c r="D1106" i="12"/>
  <c r="B1106" i="12"/>
  <c r="D1105" i="12"/>
  <c r="B1105" i="12"/>
  <c r="D1104" i="12"/>
  <c r="B1104" i="12"/>
  <c r="D1103" i="12"/>
  <c r="B1103" i="12"/>
  <c r="D1102" i="12"/>
  <c r="B1102" i="12"/>
  <c r="D1101" i="12"/>
  <c r="B1101" i="12"/>
  <c r="D1100" i="12"/>
  <c r="B1100" i="12"/>
  <c r="D1099" i="12"/>
  <c r="B1099" i="12"/>
  <c r="D1098" i="12"/>
  <c r="B1098" i="12"/>
  <c r="D1097" i="12"/>
  <c r="B1097" i="12"/>
  <c r="D1096" i="12"/>
  <c r="B1096" i="12"/>
  <c r="D1095" i="12"/>
  <c r="B1095" i="12"/>
  <c r="D1094" i="12"/>
  <c r="B1094" i="12"/>
  <c r="D1093" i="12"/>
  <c r="B1093" i="12"/>
  <c r="D1092" i="12"/>
  <c r="B1092" i="12"/>
  <c r="D1091" i="12"/>
  <c r="B1091" i="12"/>
  <c r="D1090" i="12"/>
  <c r="B1090" i="12"/>
  <c r="D1089" i="12"/>
  <c r="B1089" i="12"/>
  <c r="D1088" i="12"/>
  <c r="B1088" i="12"/>
  <c r="D1087" i="12"/>
  <c r="B1087" i="12"/>
  <c r="D1086" i="12"/>
  <c r="B1086" i="12"/>
  <c r="D1085" i="12"/>
  <c r="B1085" i="12"/>
  <c r="D1084" i="12"/>
  <c r="B1084" i="12"/>
  <c r="D1083" i="12"/>
  <c r="B1083" i="12"/>
  <c r="D1082" i="12"/>
  <c r="B1082" i="12"/>
  <c r="D1081" i="12"/>
  <c r="B1081" i="12"/>
  <c r="D1080" i="12"/>
  <c r="B1080" i="12"/>
  <c r="D1079" i="12"/>
  <c r="B1079" i="12"/>
  <c r="D1078" i="12"/>
  <c r="B1078" i="12"/>
  <c r="D1077" i="12"/>
  <c r="B1077" i="12"/>
  <c r="D1076" i="12"/>
  <c r="B1076" i="12"/>
  <c r="D1075" i="12"/>
  <c r="B1075" i="12"/>
  <c r="D1074" i="12"/>
  <c r="B1074" i="12"/>
  <c r="D1073" i="12"/>
  <c r="B1073" i="12"/>
  <c r="D1072" i="12"/>
  <c r="B1072" i="12"/>
  <c r="D1071" i="12"/>
  <c r="B1071" i="12"/>
  <c r="D1070" i="12"/>
  <c r="B1070" i="12"/>
  <c r="D1069" i="12"/>
  <c r="B1069" i="12"/>
  <c r="D1068" i="12"/>
  <c r="B1068" i="12"/>
  <c r="D1067" i="12"/>
  <c r="B1067" i="12"/>
  <c r="D1066" i="12"/>
  <c r="B1066" i="12"/>
  <c r="D1065" i="12"/>
  <c r="B1065" i="12"/>
  <c r="D1064" i="12"/>
  <c r="B1064" i="12"/>
  <c r="D1063" i="12"/>
  <c r="B1063" i="12"/>
  <c r="D1062" i="12"/>
  <c r="B1062" i="12"/>
  <c r="I1061" i="12"/>
  <c r="D1061" i="12"/>
  <c r="B1061" i="12"/>
  <c r="D1060" i="12"/>
  <c r="B1060" i="12"/>
  <c r="D1059" i="12"/>
  <c r="B1059" i="12"/>
  <c r="D1058" i="12"/>
  <c r="B1058" i="12"/>
  <c r="D1057" i="12"/>
  <c r="B1057" i="12"/>
  <c r="D1056" i="12"/>
  <c r="B1056" i="12"/>
  <c r="D1055" i="12"/>
  <c r="B1055" i="12"/>
  <c r="D1054" i="12"/>
  <c r="B1054" i="12"/>
  <c r="D1053" i="12"/>
  <c r="B1053" i="12"/>
  <c r="D1052" i="12"/>
  <c r="B1052" i="12"/>
  <c r="D1051" i="12"/>
  <c r="B1051" i="12"/>
  <c r="D1050" i="12"/>
  <c r="B1050" i="12"/>
  <c r="D1049" i="12"/>
  <c r="B1049" i="12"/>
  <c r="D1048" i="12"/>
  <c r="B1048" i="12"/>
  <c r="D1047" i="12"/>
  <c r="B1047" i="12"/>
  <c r="D1046" i="12"/>
  <c r="B1046" i="12"/>
  <c r="D1045" i="12"/>
  <c r="B1045" i="12"/>
  <c r="D1044" i="12"/>
  <c r="B1044" i="12"/>
  <c r="D1043" i="12"/>
  <c r="B1043" i="12"/>
  <c r="D1042" i="12"/>
  <c r="B1042" i="12"/>
  <c r="D1041" i="12"/>
  <c r="B1041" i="12"/>
  <c r="D1040" i="12"/>
  <c r="B1040" i="12"/>
  <c r="D1039" i="12"/>
  <c r="B1039" i="12"/>
  <c r="D1038" i="12"/>
  <c r="B1038" i="12"/>
  <c r="D1037" i="12"/>
  <c r="B1037" i="12"/>
  <c r="D1036" i="12"/>
  <c r="B1036" i="12"/>
  <c r="D1035" i="12"/>
  <c r="B1035" i="12"/>
  <c r="D1034" i="12"/>
  <c r="B1034" i="12"/>
  <c r="D1033" i="12"/>
  <c r="B1033" i="12"/>
  <c r="D1032" i="12"/>
  <c r="B1032" i="12"/>
  <c r="D1031" i="12"/>
  <c r="B1031" i="12"/>
  <c r="D1030" i="12"/>
  <c r="B1030" i="12"/>
  <c r="D1029" i="12"/>
  <c r="B1029" i="12"/>
  <c r="D1028" i="12"/>
  <c r="B1028" i="12"/>
  <c r="D1027" i="12"/>
  <c r="B1027" i="12"/>
  <c r="D1026" i="12"/>
  <c r="B1026" i="12"/>
  <c r="D1025" i="12"/>
  <c r="B1025" i="12"/>
  <c r="D1024" i="12"/>
  <c r="B1024" i="12"/>
  <c r="D1023" i="12"/>
  <c r="B1023" i="12"/>
  <c r="D1022" i="12"/>
  <c r="B1022" i="12"/>
  <c r="D1021" i="12"/>
  <c r="B1021" i="12"/>
  <c r="D1020" i="12"/>
  <c r="B1020" i="12"/>
  <c r="D1019" i="12"/>
  <c r="B1019" i="12"/>
  <c r="D1018" i="12"/>
  <c r="B1018" i="12"/>
  <c r="D1017" i="12"/>
  <c r="B1017" i="12"/>
  <c r="D1016" i="12"/>
  <c r="B1016" i="12"/>
  <c r="D1015" i="12"/>
  <c r="B1015" i="12"/>
  <c r="D1014" i="12"/>
  <c r="B1014" i="12"/>
  <c r="D1013" i="12"/>
  <c r="B1013" i="12"/>
  <c r="D1012" i="12"/>
  <c r="B1012" i="12"/>
  <c r="D1011" i="12"/>
  <c r="B1011" i="12"/>
  <c r="D1010" i="12"/>
  <c r="B1010" i="12"/>
  <c r="D1009" i="12"/>
  <c r="B1009" i="12"/>
  <c r="D1008" i="12"/>
  <c r="B1008" i="12"/>
  <c r="D1007" i="12"/>
  <c r="B1007" i="12"/>
  <c r="D1006" i="12"/>
  <c r="B1006" i="12"/>
  <c r="D1005" i="12"/>
  <c r="B1005" i="12"/>
  <c r="D1004" i="12"/>
  <c r="B1004" i="12"/>
  <c r="D1003" i="12"/>
  <c r="B1003" i="12"/>
  <c r="D1002" i="12"/>
  <c r="B1002" i="12"/>
  <c r="D1001" i="12"/>
  <c r="B1001" i="12"/>
  <c r="D1000" i="12"/>
  <c r="B1000" i="12"/>
  <c r="D999" i="12"/>
  <c r="B999" i="12"/>
  <c r="D998" i="12"/>
  <c r="B998" i="12"/>
  <c r="D997" i="12"/>
  <c r="B997" i="12"/>
  <c r="D996" i="12"/>
  <c r="B996" i="12"/>
  <c r="D995" i="12"/>
  <c r="B995" i="12"/>
  <c r="D994" i="12"/>
  <c r="B994" i="12"/>
  <c r="D993" i="12"/>
  <c r="B993" i="12"/>
  <c r="D992" i="12"/>
  <c r="B992" i="12"/>
  <c r="D991" i="12"/>
  <c r="B991" i="12"/>
  <c r="D990" i="12"/>
  <c r="B990" i="12"/>
  <c r="D989" i="12"/>
  <c r="B989" i="12"/>
  <c r="D988" i="12"/>
  <c r="B988" i="12"/>
  <c r="D987" i="12"/>
  <c r="B987" i="12"/>
  <c r="D986" i="12"/>
  <c r="B986" i="12"/>
  <c r="D985" i="12"/>
  <c r="B985" i="12"/>
  <c r="D984" i="12"/>
  <c r="B984" i="12"/>
  <c r="D983" i="12"/>
  <c r="B983" i="12"/>
  <c r="D982" i="12"/>
  <c r="B982" i="12"/>
  <c r="D981" i="12"/>
  <c r="B981" i="12"/>
  <c r="D980" i="12"/>
  <c r="B980" i="12"/>
  <c r="D979" i="12"/>
  <c r="B979" i="12"/>
  <c r="D978" i="12"/>
  <c r="B978" i="12"/>
  <c r="D977" i="12"/>
  <c r="B977" i="12"/>
  <c r="D976" i="12"/>
  <c r="B976" i="12"/>
  <c r="D975" i="12"/>
  <c r="B975" i="12"/>
  <c r="D974" i="12"/>
  <c r="B974" i="12"/>
  <c r="D973" i="12"/>
  <c r="B973" i="12"/>
  <c r="D972" i="12"/>
  <c r="B972" i="12"/>
  <c r="D971" i="12"/>
  <c r="B971" i="12"/>
  <c r="D970" i="12"/>
  <c r="B970" i="12"/>
  <c r="D969" i="12"/>
  <c r="B969" i="12"/>
  <c r="D968" i="12"/>
  <c r="B968" i="12"/>
  <c r="D967" i="12"/>
  <c r="B967" i="12"/>
  <c r="D966" i="12"/>
  <c r="B966" i="12"/>
  <c r="D965" i="12"/>
  <c r="B965" i="12"/>
  <c r="D964" i="12"/>
  <c r="B964" i="12"/>
  <c r="D963" i="12"/>
  <c r="B963" i="12"/>
  <c r="D962" i="12"/>
  <c r="B962" i="12"/>
  <c r="D961" i="12"/>
  <c r="B961" i="12"/>
  <c r="D960" i="12"/>
  <c r="B960" i="12"/>
  <c r="D959" i="12"/>
  <c r="B959" i="12"/>
  <c r="D958" i="12"/>
  <c r="B958" i="12"/>
  <c r="D957" i="12"/>
  <c r="B957" i="12"/>
  <c r="D956" i="12"/>
  <c r="B956" i="12"/>
  <c r="D955" i="12"/>
  <c r="B955" i="12"/>
  <c r="D954" i="12"/>
  <c r="B954" i="12"/>
  <c r="D953" i="12"/>
  <c r="B953" i="12"/>
  <c r="D952" i="12"/>
  <c r="B952" i="12"/>
  <c r="D951" i="12"/>
  <c r="B951" i="12"/>
  <c r="D950" i="12"/>
  <c r="B950" i="12"/>
  <c r="D949" i="12"/>
  <c r="B949" i="12"/>
  <c r="D948" i="12"/>
  <c r="B948" i="12"/>
  <c r="D947" i="12"/>
  <c r="B947" i="12"/>
  <c r="D946" i="12"/>
  <c r="B946" i="12"/>
  <c r="D945" i="12"/>
  <c r="B945" i="12"/>
  <c r="D944" i="12"/>
  <c r="B944" i="12"/>
  <c r="D943" i="12"/>
  <c r="B943" i="12"/>
  <c r="D942" i="12"/>
  <c r="B942" i="12"/>
  <c r="D941" i="12"/>
  <c r="B941" i="12"/>
  <c r="D940" i="12"/>
  <c r="B940" i="12"/>
  <c r="D939" i="12"/>
  <c r="B939" i="12"/>
  <c r="D938" i="12"/>
  <c r="B938" i="12"/>
  <c r="D937" i="12"/>
  <c r="B937" i="12"/>
  <c r="D936" i="12"/>
  <c r="B936" i="12"/>
  <c r="D935" i="12"/>
  <c r="B935" i="12"/>
  <c r="D934" i="12"/>
  <c r="B934" i="12"/>
  <c r="D933" i="12"/>
  <c r="B933" i="12"/>
  <c r="D932" i="12"/>
  <c r="B932" i="12"/>
  <c r="D931" i="12"/>
  <c r="B931" i="12"/>
  <c r="D930" i="12"/>
  <c r="B930" i="12"/>
  <c r="D929" i="12"/>
  <c r="B929" i="12"/>
  <c r="D928" i="12"/>
  <c r="B928" i="12"/>
  <c r="D927" i="12"/>
  <c r="B927" i="12"/>
  <c r="D926" i="12"/>
  <c r="B926" i="12"/>
  <c r="D925" i="12"/>
  <c r="B925" i="12"/>
  <c r="D924" i="12"/>
  <c r="B924" i="12"/>
  <c r="D923" i="12"/>
  <c r="B923" i="12"/>
  <c r="D922" i="12"/>
  <c r="B922" i="12"/>
  <c r="D921" i="12"/>
  <c r="B921" i="12"/>
  <c r="D920" i="12"/>
  <c r="B920" i="12"/>
  <c r="D919" i="12"/>
  <c r="B919" i="12"/>
  <c r="D918" i="12"/>
  <c r="B918" i="12"/>
  <c r="D917" i="12"/>
  <c r="B917" i="12"/>
  <c r="D916" i="12"/>
  <c r="B916" i="12"/>
  <c r="D915" i="12"/>
  <c r="B915" i="12"/>
  <c r="D914" i="12"/>
  <c r="B914" i="12"/>
  <c r="D913" i="12"/>
  <c r="B913" i="12"/>
  <c r="D912" i="12"/>
  <c r="B912" i="12"/>
  <c r="D911" i="12"/>
  <c r="B911" i="12"/>
  <c r="D910" i="12"/>
  <c r="B910" i="12"/>
  <c r="D909" i="12"/>
  <c r="B909" i="12"/>
  <c r="D908" i="12"/>
  <c r="B908" i="12"/>
  <c r="D907" i="12"/>
  <c r="B907" i="12"/>
  <c r="D906" i="12"/>
  <c r="B906" i="12"/>
  <c r="D905" i="12"/>
  <c r="B905" i="12"/>
  <c r="D904" i="12"/>
  <c r="B904" i="12"/>
  <c r="D903" i="12"/>
  <c r="B903" i="12"/>
  <c r="D902" i="12"/>
  <c r="B902" i="12"/>
  <c r="D901" i="12"/>
  <c r="B901" i="12"/>
  <c r="D900" i="12"/>
  <c r="B900" i="12"/>
  <c r="D899" i="12"/>
  <c r="B899" i="12"/>
  <c r="D898" i="12"/>
  <c r="B898" i="12"/>
  <c r="D897" i="12"/>
  <c r="B897" i="12"/>
  <c r="D896" i="12"/>
  <c r="B896" i="12"/>
  <c r="D895" i="12"/>
  <c r="B895" i="12"/>
  <c r="D894" i="12"/>
  <c r="B894" i="12"/>
  <c r="D893" i="12"/>
  <c r="B893" i="12"/>
  <c r="D892" i="12"/>
  <c r="B892" i="12"/>
  <c r="D891" i="12"/>
  <c r="B891" i="12"/>
  <c r="D890" i="12"/>
  <c r="B890" i="12"/>
  <c r="D889" i="12"/>
  <c r="B889" i="12"/>
  <c r="D888" i="12"/>
  <c r="B888" i="12"/>
  <c r="D887" i="12"/>
  <c r="B887" i="12"/>
  <c r="D886" i="12"/>
  <c r="B886" i="12"/>
  <c r="D885" i="12"/>
  <c r="B885" i="12"/>
  <c r="M884" i="12"/>
  <c r="D884" i="12" s="1"/>
  <c r="B884" i="12"/>
  <c r="D883" i="12"/>
  <c r="B883" i="12"/>
  <c r="D882" i="12"/>
  <c r="B882" i="12"/>
  <c r="D881" i="12"/>
  <c r="B881" i="12"/>
  <c r="D880" i="12"/>
  <c r="B880" i="12"/>
  <c r="D879" i="12"/>
  <c r="B879" i="12"/>
  <c r="D878" i="12"/>
  <c r="B878" i="12"/>
  <c r="D877" i="12"/>
  <c r="B877" i="12"/>
  <c r="D876" i="12"/>
  <c r="B876" i="12"/>
  <c r="D875" i="12"/>
  <c r="B875" i="12"/>
  <c r="D874" i="12"/>
  <c r="B874" i="12"/>
  <c r="D873" i="12"/>
  <c r="B873" i="12"/>
  <c r="D872" i="12"/>
  <c r="B872" i="12"/>
  <c r="D871" i="12"/>
  <c r="B871" i="12"/>
  <c r="D870" i="12"/>
  <c r="B870" i="12"/>
  <c r="D869" i="12"/>
  <c r="B869" i="12"/>
  <c r="D868" i="12"/>
  <c r="B868" i="12"/>
  <c r="D867" i="12"/>
  <c r="B867" i="12"/>
  <c r="D866" i="12"/>
  <c r="B866" i="12"/>
  <c r="D865" i="12"/>
  <c r="B865" i="12"/>
  <c r="D864" i="12"/>
  <c r="B864" i="12"/>
  <c r="D863" i="12"/>
  <c r="B863" i="12"/>
  <c r="D862" i="12"/>
  <c r="B862" i="12"/>
  <c r="D861" i="12"/>
  <c r="B861" i="12"/>
  <c r="D860" i="12"/>
  <c r="B860" i="12"/>
  <c r="D859" i="12"/>
  <c r="B859" i="12"/>
  <c r="D858" i="12"/>
  <c r="B858" i="12"/>
  <c r="D857" i="12"/>
  <c r="B857" i="12"/>
  <c r="D856" i="12"/>
  <c r="B856" i="12"/>
  <c r="D855" i="12"/>
  <c r="B855" i="12"/>
  <c r="D854" i="12"/>
  <c r="B854" i="12"/>
  <c r="D853" i="12"/>
  <c r="B853" i="12"/>
  <c r="D852" i="12"/>
  <c r="B852" i="12"/>
  <c r="D851" i="12"/>
  <c r="B851" i="12"/>
  <c r="D850" i="12"/>
  <c r="B850" i="12"/>
  <c r="D849" i="12"/>
  <c r="B849" i="12"/>
  <c r="D848" i="12"/>
  <c r="B848" i="12"/>
  <c r="D847" i="12"/>
  <c r="B847" i="12"/>
  <c r="D846" i="12"/>
  <c r="B846" i="12"/>
  <c r="D845" i="12"/>
  <c r="B845" i="12"/>
  <c r="D844" i="12"/>
  <c r="B844" i="12"/>
  <c r="D843" i="12"/>
  <c r="B843" i="12"/>
  <c r="D842" i="12"/>
  <c r="B842" i="12"/>
  <c r="D841" i="12"/>
  <c r="B841" i="12"/>
  <c r="D840" i="12"/>
  <c r="B840" i="12"/>
  <c r="D839" i="12"/>
  <c r="B839" i="12"/>
  <c r="D838" i="12"/>
  <c r="B838" i="12"/>
  <c r="D837" i="12"/>
  <c r="B837" i="12"/>
  <c r="D836" i="12"/>
  <c r="B836" i="12"/>
  <c r="D835" i="12"/>
  <c r="B835" i="12"/>
  <c r="D834" i="12"/>
  <c r="B834" i="12"/>
  <c r="D833" i="12"/>
  <c r="B833" i="12"/>
  <c r="O832" i="12"/>
  <c r="D832" i="12" s="1"/>
  <c r="B832" i="12"/>
  <c r="D831" i="12"/>
  <c r="B831" i="12"/>
  <c r="D830" i="12"/>
  <c r="B830" i="12"/>
  <c r="D829" i="12"/>
  <c r="B829" i="12"/>
  <c r="D828" i="12"/>
  <c r="B828" i="12"/>
  <c r="D827" i="12"/>
  <c r="B827" i="12"/>
  <c r="D826" i="12"/>
  <c r="B826" i="12"/>
  <c r="D825" i="12"/>
  <c r="B825" i="12"/>
  <c r="D824" i="12"/>
  <c r="B824" i="12"/>
  <c r="D823" i="12"/>
  <c r="B823" i="12"/>
  <c r="D822" i="12"/>
  <c r="B822" i="12"/>
  <c r="D821" i="12"/>
  <c r="B821" i="12"/>
  <c r="D820" i="12"/>
  <c r="B820" i="12"/>
  <c r="D819" i="12"/>
  <c r="B819" i="12"/>
  <c r="D818" i="12"/>
  <c r="B818" i="12"/>
  <c r="D817" i="12"/>
  <c r="B817" i="12"/>
  <c r="D816" i="12"/>
  <c r="B816" i="12"/>
  <c r="D815" i="12"/>
  <c r="B815" i="12"/>
  <c r="D814" i="12"/>
  <c r="B814" i="12"/>
  <c r="D813" i="12"/>
  <c r="B813" i="12"/>
  <c r="D812" i="12"/>
  <c r="B812" i="12"/>
  <c r="D811" i="12"/>
  <c r="B811" i="12"/>
  <c r="D810" i="12"/>
  <c r="B810" i="12"/>
  <c r="D809" i="12"/>
  <c r="B809" i="12"/>
  <c r="D808" i="12"/>
  <c r="B808" i="12"/>
  <c r="AA807" i="12"/>
  <c r="Z807" i="12"/>
  <c r="Y807" i="12"/>
  <c r="X807" i="12"/>
  <c r="W807" i="12"/>
  <c r="V807" i="12"/>
  <c r="U807" i="12"/>
  <c r="T807" i="12"/>
  <c r="S807" i="12"/>
  <c r="R807" i="12"/>
  <c r="Q807" i="12"/>
  <c r="P807" i="12"/>
  <c r="N807" i="12"/>
  <c r="L807" i="12"/>
  <c r="K807" i="12"/>
  <c r="J807" i="12"/>
  <c r="I807" i="12"/>
  <c r="H807" i="12"/>
  <c r="G807" i="12"/>
  <c r="F807" i="12"/>
  <c r="E807" i="12"/>
  <c r="D805" i="12"/>
  <c r="B805" i="12"/>
  <c r="AA804" i="12"/>
  <c r="Z804" i="12"/>
  <c r="Y804" i="12"/>
  <c r="X804" i="12"/>
  <c r="W804" i="12"/>
  <c r="V804" i="12"/>
  <c r="U804" i="12"/>
  <c r="T804" i="12"/>
  <c r="S804" i="12"/>
  <c r="R804" i="12"/>
  <c r="Q804" i="12"/>
  <c r="P804" i="12"/>
  <c r="O804" i="12"/>
  <c r="N804" i="12"/>
  <c r="M804" i="12"/>
  <c r="L804" i="12"/>
  <c r="K804" i="12"/>
  <c r="J804" i="12"/>
  <c r="I804" i="12"/>
  <c r="H804" i="12"/>
  <c r="G804" i="12"/>
  <c r="F804" i="12"/>
  <c r="E804" i="12"/>
  <c r="D803" i="12"/>
  <c r="B803" i="12"/>
  <c r="D802" i="12"/>
  <c r="B802" i="12"/>
  <c r="D801" i="12"/>
  <c r="B801" i="12"/>
  <c r="AA800" i="12"/>
  <c r="Z800" i="12"/>
  <c r="Y800" i="12"/>
  <c r="X800" i="12"/>
  <c r="W800" i="12"/>
  <c r="V800" i="12"/>
  <c r="U800" i="12"/>
  <c r="T800" i="12"/>
  <c r="S800" i="12"/>
  <c r="R800" i="12"/>
  <c r="Q800" i="12"/>
  <c r="P800" i="12"/>
  <c r="O800" i="12"/>
  <c r="N800" i="12"/>
  <c r="M800" i="12"/>
  <c r="L800" i="12"/>
  <c r="K800" i="12"/>
  <c r="J800" i="12"/>
  <c r="I800" i="12"/>
  <c r="H800" i="12"/>
  <c r="G800" i="12"/>
  <c r="F800" i="12"/>
  <c r="E800" i="12"/>
  <c r="D799" i="12"/>
  <c r="B799" i="12"/>
  <c r="AA798" i="12"/>
  <c r="Z798" i="12"/>
  <c r="Y798" i="12"/>
  <c r="X798" i="12"/>
  <c r="W798" i="12"/>
  <c r="V798" i="12"/>
  <c r="U798" i="12"/>
  <c r="T798" i="12"/>
  <c r="S798" i="12"/>
  <c r="R798" i="12"/>
  <c r="Q798" i="12"/>
  <c r="P798" i="12"/>
  <c r="O798" i="12"/>
  <c r="N798" i="12"/>
  <c r="M798" i="12"/>
  <c r="L798" i="12"/>
  <c r="K798" i="12"/>
  <c r="J798" i="12"/>
  <c r="I798" i="12"/>
  <c r="H798" i="12"/>
  <c r="G798" i="12"/>
  <c r="F798" i="12"/>
  <c r="E798" i="12"/>
  <c r="D797" i="12"/>
  <c r="B797" i="12"/>
  <c r="D796" i="12"/>
  <c r="B796" i="12"/>
  <c r="AA795" i="12"/>
  <c r="Z795" i="12"/>
  <c r="Y795" i="12"/>
  <c r="X795" i="12"/>
  <c r="W795" i="12"/>
  <c r="V795" i="12"/>
  <c r="U795" i="12"/>
  <c r="T795" i="12"/>
  <c r="S795" i="12"/>
  <c r="R795" i="12"/>
  <c r="Q795" i="12"/>
  <c r="P795" i="12"/>
  <c r="O795" i="12"/>
  <c r="N795" i="12"/>
  <c r="M795" i="12"/>
  <c r="L795" i="12"/>
  <c r="K795" i="12"/>
  <c r="J795" i="12"/>
  <c r="I795" i="12"/>
  <c r="H795" i="12"/>
  <c r="G795" i="12"/>
  <c r="F795" i="12"/>
  <c r="E795" i="12"/>
  <c r="D794" i="12"/>
  <c r="B794" i="12"/>
  <c r="O793" i="12"/>
  <c r="B793" i="12"/>
  <c r="D792" i="12"/>
  <c r="B792" i="12"/>
  <c r="D791" i="12"/>
  <c r="B791" i="12"/>
  <c r="D790" i="12"/>
  <c r="B790" i="12"/>
  <c r="AA789" i="12"/>
  <c r="Z789" i="12"/>
  <c r="Y789" i="12"/>
  <c r="X789" i="12"/>
  <c r="W789" i="12"/>
  <c r="V789" i="12"/>
  <c r="U789" i="12"/>
  <c r="T789" i="12"/>
  <c r="S789" i="12"/>
  <c r="R789" i="12"/>
  <c r="Q789" i="12"/>
  <c r="P789" i="12"/>
  <c r="N789" i="12"/>
  <c r="M789" i="12"/>
  <c r="L789" i="12"/>
  <c r="K789" i="12"/>
  <c r="J789" i="12"/>
  <c r="I789" i="12"/>
  <c r="H789" i="12"/>
  <c r="G789" i="12"/>
  <c r="F789" i="12"/>
  <c r="E789" i="12"/>
  <c r="D788" i="12"/>
  <c r="B788" i="12"/>
  <c r="D787" i="12"/>
  <c r="B787" i="12"/>
  <c r="D786" i="12"/>
  <c r="B786" i="12"/>
  <c r="D785" i="12"/>
  <c r="B785" i="12"/>
  <c r="AA784" i="12"/>
  <c r="Z784" i="12"/>
  <c r="Y784" i="12"/>
  <c r="X784" i="12"/>
  <c r="W784" i="12"/>
  <c r="V784" i="12"/>
  <c r="U784" i="12"/>
  <c r="T784" i="12"/>
  <c r="S784" i="12"/>
  <c r="R784" i="12"/>
  <c r="Q784" i="12"/>
  <c r="P784" i="12"/>
  <c r="O784" i="12"/>
  <c r="N784" i="12"/>
  <c r="M784" i="12"/>
  <c r="L784" i="12"/>
  <c r="K784" i="12"/>
  <c r="J784" i="12"/>
  <c r="I784" i="12"/>
  <c r="H784" i="12"/>
  <c r="G784" i="12"/>
  <c r="F784" i="12"/>
  <c r="E784" i="12"/>
  <c r="D783" i="12"/>
  <c r="B783" i="12"/>
  <c r="D782" i="12"/>
  <c r="B782" i="12"/>
  <c r="D781" i="12"/>
  <c r="B781" i="12"/>
  <c r="D780" i="12"/>
  <c r="B780" i="12"/>
  <c r="D779" i="12"/>
  <c r="B779" i="12"/>
  <c r="AA778" i="12"/>
  <c r="Z778" i="12"/>
  <c r="Y778" i="12"/>
  <c r="X778" i="12"/>
  <c r="W778" i="12"/>
  <c r="V778" i="12"/>
  <c r="U778" i="12"/>
  <c r="T778" i="12"/>
  <c r="S778" i="12"/>
  <c r="R778" i="12"/>
  <c r="Q778" i="12"/>
  <c r="P778" i="12"/>
  <c r="O778" i="12"/>
  <c r="N778" i="12"/>
  <c r="M778" i="12"/>
  <c r="L778" i="12"/>
  <c r="K778" i="12"/>
  <c r="J778" i="12"/>
  <c r="I778" i="12"/>
  <c r="H778" i="12"/>
  <c r="G778" i="12"/>
  <c r="F778" i="12"/>
  <c r="E778" i="12"/>
  <c r="D777" i="12"/>
  <c r="B777" i="12"/>
  <c r="D776" i="12"/>
  <c r="B776" i="12"/>
  <c r="D775" i="12"/>
  <c r="B775" i="12"/>
  <c r="D774" i="12"/>
  <c r="B774" i="12"/>
  <c r="D773" i="12"/>
  <c r="B773" i="12"/>
  <c r="D772" i="12"/>
  <c r="B772" i="12"/>
  <c r="D771" i="12"/>
  <c r="B771" i="12"/>
  <c r="D770" i="12"/>
  <c r="B770" i="12"/>
  <c r="D769" i="12"/>
  <c r="B769" i="12"/>
  <c r="D768" i="12"/>
  <c r="B768" i="12"/>
  <c r="AA767" i="12"/>
  <c r="Z767" i="12"/>
  <c r="Y767" i="12"/>
  <c r="X767" i="12"/>
  <c r="W767" i="12"/>
  <c r="V767" i="12"/>
  <c r="U767" i="12"/>
  <c r="T767" i="12"/>
  <c r="S767" i="12"/>
  <c r="R767" i="12"/>
  <c r="Q767" i="12"/>
  <c r="P767" i="12"/>
  <c r="O767" i="12"/>
  <c r="N767" i="12"/>
  <c r="M767" i="12"/>
  <c r="L767" i="12"/>
  <c r="K767" i="12"/>
  <c r="J767" i="12"/>
  <c r="I767" i="12"/>
  <c r="H767" i="12"/>
  <c r="G767" i="12"/>
  <c r="F767" i="12"/>
  <c r="E767" i="12"/>
  <c r="D766" i="12"/>
  <c r="B766" i="12"/>
  <c r="D765" i="12"/>
  <c r="B765" i="12"/>
  <c r="D764" i="12"/>
  <c r="B764" i="12"/>
  <c r="D763" i="12"/>
  <c r="B763" i="12"/>
  <c r="D762" i="12"/>
  <c r="B762" i="12"/>
  <c r="D761" i="12"/>
  <c r="B761" i="12"/>
  <c r="D760" i="12"/>
  <c r="B760" i="12"/>
  <c r="D759" i="12"/>
  <c r="B759" i="12"/>
  <c r="D758" i="12"/>
  <c r="B758" i="12"/>
  <c r="D757" i="12"/>
  <c r="B757" i="12"/>
  <c r="AA756" i="12"/>
  <c r="Z756" i="12"/>
  <c r="Y756" i="12"/>
  <c r="X756" i="12"/>
  <c r="W756" i="12"/>
  <c r="V756" i="12"/>
  <c r="U756" i="12"/>
  <c r="T756" i="12"/>
  <c r="S756" i="12"/>
  <c r="R756" i="12"/>
  <c r="Q756" i="12"/>
  <c r="P756" i="12"/>
  <c r="O756" i="12"/>
  <c r="N756" i="12"/>
  <c r="M756" i="12"/>
  <c r="L756" i="12"/>
  <c r="K756" i="12"/>
  <c r="J756" i="12"/>
  <c r="I756" i="12"/>
  <c r="H756" i="12"/>
  <c r="G756" i="12"/>
  <c r="F756" i="12"/>
  <c r="E756" i="12"/>
  <c r="D755" i="12"/>
  <c r="B755" i="12"/>
  <c r="D754" i="12"/>
  <c r="B754" i="12"/>
  <c r="D753" i="12"/>
  <c r="B753" i="12"/>
  <c r="D752" i="12"/>
  <c r="B752" i="12"/>
  <c r="D751" i="12"/>
  <c r="B751" i="12"/>
  <c r="D750" i="12"/>
  <c r="B750" i="12"/>
  <c r="D749" i="12"/>
  <c r="B749" i="12"/>
  <c r="D748" i="12"/>
  <c r="B748" i="12"/>
  <c r="AA747" i="12"/>
  <c r="Z747" i="12"/>
  <c r="Y747" i="12"/>
  <c r="X747" i="12"/>
  <c r="W747" i="12"/>
  <c r="V747" i="12"/>
  <c r="U747" i="12"/>
  <c r="T747" i="12"/>
  <c r="S747" i="12"/>
  <c r="R747" i="12"/>
  <c r="Q747" i="12"/>
  <c r="P747" i="12"/>
  <c r="O747" i="12"/>
  <c r="N747" i="12"/>
  <c r="M747" i="12"/>
  <c r="L747" i="12"/>
  <c r="K747" i="12"/>
  <c r="J747" i="12"/>
  <c r="I747" i="12"/>
  <c r="H747" i="12"/>
  <c r="G747" i="12"/>
  <c r="F747" i="12"/>
  <c r="E747" i="12"/>
  <c r="D746" i="12"/>
  <c r="B746" i="12"/>
  <c r="D745" i="12"/>
  <c r="B745" i="12"/>
  <c r="D744" i="12"/>
  <c r="B744" i="12"/>
  <c r="D743" i="12"/>
  <c r="B743" i="12"/>
  <c r="D742" i="12"/>
  <c r="B742" i="12"/>
  <c r="D741" i="12"/>
  <c r="B741" i="12"/>
  <c r="D740" i="12"/>
  <c r="B740" i="12"/>
  <c r="D739" i="12"/>
  <c r="B739" i="12"/>
  <c r="D738" i="12"/>
  <c r="B738" i="12"/>
  <c r="D737" i="12"/>
  <c r="B737" i="12"/>
  <c r="D736" i="12"/>
  <c r="B736" i="12"/>
  <c r="D735" i="12"/>
  <c r="B735" i="12"/>
  <c r="D734" i="12"/>
  <c r="B734" i="12"/>
  <c r="AA733" i="12"/>
  <c r="Z733" i="12"/>
  <c r="Y733" i="12"/>
  <c r="X733" i="12"/>
  <c r="W733" i="12"/>
  <c r="V733" i="12"/>
  <c r="U733" i="12"/>
  <c r="T733" i="12"/>
  <c r="S733" i="12"/>
  <c r="R733" i="12"/>
  <c r="Q733" i="12"/>
  <c r="P733" i="12"/>
  <c r="O733" i="12"/>
  <c r="N733" i="12"/>
  <c r="M733" i="12"/>
  <c r="L733" i="12"/>
  <c r="K733" i="12"/>
  <c r="J733" i="12"/>
  <c r="I733" i="12"/>
  <c r="H733" i="12"/>
  <c r="G733" i="12"/>
  <c r="F733" i="12"/>
  <c r="E733" i="12"/>
  <c r="D732" i="12"/>
  <c r="B732" i="12"/>
  <c r="D731" i="12"/>
  <c r="B731" i="12"/>
  <c r="AA730" i="12"/>
  <c r="Z730" i="12"/>
  <c r="Y730" i="12"/>
  <c r="X730" i="12"/>
  <c r="W730" i="12"/>
  <c r="V730" i="12"/>
  <c r="U730" i="12"/>
  <c r="T730" i="12"/>
  <c r="S730" i="12"/>
  <c r="R730" i="12"/>
  <c r="Q730" i="12"/>
  <c r="P730" i="12"/>
  <c r="O730" i="12"/>
  <c r="N730" i="12"/>
  <c r="M730" i="12"/>
  <c r="L730" i="12"/>
  <c r="K730" i="12"/>
  <c r="J730" i="12"/>
  <c r="I730" i="12"/>
  <c r="H730" i="12"/>
  <c r="G730" i="12"/>
  <c r="F730" i="12"/>
  <c r="E730" i="12"/>
  <c r="D729" i="12"/>
  <c r="B729" i="12"/>
  <c r="D728" i="12"/>
  <c r="B728" i="12"/>
  <c r="AA727" i="12"/>
  <c r="Z727" i="12"/>
  <c r="Y727" i="12"/>
  <c r="X727" i="12"/>
  <c r="W727" i="12"/>
  <c r="V727" i="12"/>
  <c r="U727" i="12"/>
  <c r="T727" i="12"/>
  <c r="S727" i="12"/>
  <c r="R727" i="12"/>
  <c r="Q727" i="12"/>
  <c r="P727" i="12"/>
  <c r="O727" i="12"/>
  <c r="N727" i="12"/>
  <c r="M727" i="12"/>
  <c r="L727" i="12"/>
  <c r="K727" i="12"/>
  <c r="J727" i="12"/>
  <c r="I727" i="12"/>
  <c r="H727" i="12"/>
  <c r="G727" i="12"/>
  <c r="F727" i="12"/>
  <c r="E727" i="12"/>
  <c r="D726" i="12"/>
  <c r="B726" i="12"/>
  <c r="AA725" i="12"/>
  <c r="Z725" i="12"/>
  <c r="Y725" i="12"/>
  <c r="X725" i="12"/>
  <c r="W725" i="12"/>
  <c r="V725" i="12"/>
  <c r="U725" i="12"/>
  <c r="T725" i="12"/>
  <c r="S725" i="12"/>
  <c r="R725" i="12"/>
  <c r="Q725" i="12"/>
  <c r="P725" i="12"/>
  <c r="O725" i="12"/>
  <c r="N725" i="12"/>
  <c r="M725" i="12"/>
  <c r="L725" i="12"/>
  <c r="K725" i="12"/>
  <c r="J725" i="12"/>
  <c r="I725" i="12"/>
  <c r="H725" i="12"/>
  <c r="G725" i="12"/>
  <c r="F725" i="12"/>
  <c r="E725" i="12"/>
  <c r="D724" i="12"/>
  <c r="B724" i="12"/>
  <c r="D723" i="12"/>
  <c r="B723" i="12"/>
  <c r="AA722" i="12"/>
  <c r="Z722" i="12"/>
  <c r="Y722" i="12"/>
  <c r="X722" i="12"/>
  <c r="W722" i="12"/>
  <c r="V722" i="12"/>
  <c r="U722" i="12"/>
  <c r="T722" i="12"/>
  <c r="S722" i="12"/>
  <c r="R722" i="12"/>
  <c r="Q722" i="12"/>
  <c r="P722" i="12"/>
  <c r="O722" i="12"/>
  <c r="N722" i="12"/>
  <c r="M722" i="12"/>
  <c r="L722" i="12"/>
  <c r="K722" i="12"/>
  <c r="J722" i="12"/>
  <c r="I722" i="12"/>
  <c r="H722" i="12"/>
  <c r="G722" i="12"/>
  <c r="F722" i="12"/>
  <c r="E722" i="12"/>
  <c r="D721" i="12"/>
  <c r="B721" i="12"/>
  <c r="D720" i="12"/>
  <c r="B720" i="12"/>
  <c r="AA719" i="12"/>
  <c r="Z719" i="12"/>
  <c r="Y719" i="12"/>
  <c r="X719" i="12"/>
  <c r="W719" i="12"/>
  <c r="V719" i="12"/>
  <c r="U719" i="12"/>
  <c r="T719" i="12"/>
  <c r="S719" i="12"/>
  <c r="R719" i="12"/>
  <c r="Q719" i="12"/>
  <c r="P719" i="12"/>
  <c r="O719" i="12"/>
  <c r="N719" i="12"/>
  <c r="M719" i="12"/>
  <c r="L719" i="12"/>
  <c r="K719" i="12"/>
  <c r="J719" i="12"/>
  <c r="I719" i="12"/>
  <c r="H719" i="12"/>
  <c r="G719" i="12"/>
  <c r="F719" i="12"/>
  <c r="E719" i="12"/>
  <c r="D718" i="12"/>
  <c r="B718" i="12"/>
  <c r="D717" i="12"/>
  <c r="B717" i="12"/>
  <c r="D716" i="12"/>
  <c r="B716" i="12"/>
  <c r="D715" i="12"/>
  <c r="B715" i="12"/>
  <c r="D714" i="12"/>
  <c r="B714" i="12"/>
  <c r="AA713" i="12"/>
  <c r="Z713" i="12"/>
  <c r="Y713" i="12"/>
  <c r="X713" i="12"/>
  <c r="W713" i="12"/>
  <c r="V713" i="12"/>
  <c r="U713" i="12"/>
  <c r="T713" i="12"/>
  <c r="S713" i="12"/>
  <c r="R713" i="12"/>
  <c r="Q713" i="12"/>
  <c r="P713" i="12"/>
  <c r="O713" i="12"/>
  <c r="N713" i="12"/>
  <c r="M713" i="12"/>
  <c r="L713" i="12"/>
  <c r="K713" i="12"/>
  <c r="J713" i="12"/>
  <c r="I713" i="12"/>
  <c r="H713" i="12"/>
  <c r="G713" i="12"/>
  <c r="F713" i="12"/>
  <c r="E713" i="12"/>
  <c r="D712" i="12"/>
  <c r="B712" i="12"/>
  <c r="D711" i="12"/>
  <c r="B711" i="12"/>
  <c r="D710" i="12"/>
  <c r="B710" i="12"/>
  <c r="D709" i="12"/>
  <c r="B709" i="12"/>
  <c r="D708" i="12"/>
  <c r="B708" i="12"/>
  <c r="D707" i="12"/>
  <c r="B707" i="12"/>
  <c r="D706" i="12"/>
  <c r="B706" i="12"/>
  <c r="D705" i="12"/>
  <c r="B705" i="12"/>
  <c r="D704" i="12"/>
  <c r="B704" i="12"/>
  <c r="D703" i="12"/>
  <c r="B703" i="12"/>
  <c r="D702" i="12"/>
  <c r="B702" i="12"/>
  <c r="AA701" i="12"/>
  <c r="Z701" i="12"/>
  <c r="Y701" i="12"/>
  <c r="X701" i="12"/>
  <c r="W701" i="12"/>
  <c r="V701" i="12"/>
  <c r="U701" i="12"/>
  <c r="T701" i="12"/>
  <c r="S701" i="12"/>
  <c r="R701" i="12"/>
  <c r="Q701" i="12"/>
  <c r="P701" i="12"/>
  <c r="O701" i="12"/>
  <c r="N701" i="12"/>
  <c r="M701" i="12"/>
  <c r="L701" i="12"/>
  <c r="K701" i="12"/>
  <c r="J701" i="12"/>
  <c r="I701" i="12"/>
  <c r="H701" i="12"/>
  <c r="G701" i="12"/>
  <c r="F701" i="12"/>
  <c r="E701" i="12"/>
  <c r="D700" i="12"/>
  <c r="B700" i="12"/>
  <c r="D699" i="12"/>
  <c r="B699" i="12"/>
  <c r="D698" i="12"/>
  <c r="B698" i="12"/>
  <c r="D697" i="12"/>
  <c r="B697" i="12"/>
  <c r="D696" i="12"/>
  <c r="B696" i="12"/>
  <c r="D695" i="12"/>
  <c r="B695" i="12"/>
  <c r="D694" i="12"/>
  <c r="B694" i="12"/>
  <c r="D693" i="12"/>
  <c r="B693" i="12"/>
  <c r="D692" i="12"/>
  <c r="B692" i="12"/>
  <c r="AA691" i="12"/>
  <c r="Z691" i="12"/>
  <c r="Y691" i="12"/>
  <c r="X691" i="12"/>
  <c r="W691" i="12"/>
  <c r="V691" i="12"/>
  <c r="U691" i="12"/>
  <c r="T691" i="12"/>
  <c r="S691" i="12"/>
  <c r="R691" i="12"/>
  <c r="Q691" i="12"/>
  <c r="P691" i="12"/>
  <c r="O691" i="12"/>
  <c r="N691" i="12"/>
  <c r="M691" i="12"/>
  <c r="L691" i="12"/>
  <c r="K691" i="12"/>
  <c r="J691" i="12"/>
  <c r="I691" i="12"/>
  <c r="H691" i="12"/>
  <c r="G691" i="12"/>
  <c r="F691" i="12"/>
  <c r="E691" i="12"/>
  <c r="D690" i="12"/>
  <c r="B690" i="12"/>
  <c r="D689" i="12"/>
  <c r="B689" i="12"/>
  <c r="D688" i="12"/>
  <c r="B688" i="12"/>
  <c r="D687" i="12"/>
  <c r="B687" i="12"/>
  <c r="D686" i="12"/>
  <c r="B686" i="12"/>
  <c r="D685" i="12"/>
  <c r="B685" i="12"/>
  <c r="D684" i="12"/>
  <c r="B684" i="12"/>
  <c r="D683" i="12"/>
  <c r="B683" i="12"/>
  <c r="D682" i="12"/>
  <c r="B682" i="12"/>
  <c r="D681" i="12"/>
  <c r="B681" i="12"/>
  <c r="D680" i="12"/>
  <c r="B680" i="12"/>
  <c r="D679" i="12"/>
  <c r="B679" i="12"/>
  <c r="D678" i="12"/>
  <c r="B678" i="12"/>
  <c r="AA677" i="12"/>
  <c r="Z677" i="12"/>
  <c r="Y677" i="12"/>
  <c r="X677" i="12"/>
  <c r="W677" i="12"/>
  <c r="V677" i="12"/>
  <c r="U677" i="12"/>
  <c r="T677" i="12"/>
  <c r="S677" i="12"/>
  <c r="R677" i="12"/>
  <c r="Q677" i="12"/>
  <c r="P677" i="12"/>
  <c r="O677" i="12"/>
  <c r="N677" i="12"/>
  <c r="M677" i="12"/>
  <c r="L677" i="12"/>
  <c r="K677" i="12"/>
  <c r="J677" i="12"/>
  <c r="I677" i="12"/>
  <c r="H677" i="12"/>
  <c r="G677" i="12"/>
  <c r="F677" i="12"/>
  <c r="E677" i="12"/>
  <c r="D676" i="12"/>
  <c r="B676" i="12"/>
  <c r="D675" i="12"/>
  <c r="B675" i="12"/>
  <c r="AA674" i="12"/>
  <c r="Z674" i="12"/>
  <c r="Y674" i="12"/>
  <c r="X674" i="12"/>
  <c r="W674" i="12"/>
  <c r="V674" i="12"/>
  <c r="U674" i="12"/>
  <c r="T674" i="12"/>
  <c r="S674" i="12"/>
  <c r="R674" i="12"/>
  <c r="Q674" i="12"/>
  <c r="P674" i="12"/>
  <c r="O674" i="12"/>
  <c r="N674" i="12"/>
  <c r="M674" i="12"/>
  <c r="L674" i="12"/>
  <c r="K674" i="12"/>
  <c r="J674" i="12"/>
  <c r="I674" i="12"/>
  <c r="H674" i="12"/>
  <c r="G674" i="12"/>
  <c r="F674" i="12"/>
  <c r="E674" i="12"/>
  <c r="D673" i="12"/>
  <c r="B673" i="12"/>
  <c r="D672" i="12"/>
  <c r="B672" i="12"/>
  <c r="D671" i="12"/>
  <c r="B671" i="12"/>
  <c r="D670" i="12"/>
  <c r="B670" i="12"/>
  <c r="D669" i="12"/>
  <c r="B669" i="12"/>
  <c r="D668" i="12"/>
  <c r="B668" i="12"/>
  <c r="D667" i="12"/>
  <c r="B667" i="12"/>
  <c r="D666" i="12"/>
  <c r="B666" i="12"/>
  <c r="D665" i="12"/>
  <c r="B665" i="12"/>
  <c r="D664" i="12"/>
  <c r="B664" i="12"/>
  <c r="D663" i="12"/>
  <c r="B663" i="12"/>
  <c r="D662" i="12"/>
  <c r="B662" i="12"/>
  <c r="D661" i="12"/>
  <c r="B661" i="12"/>
  <c r="D660" i="12"/>
  <c r="B660" i="12"/>
  <c r="D659" i="12"/>
  <c r="B659" i="12"/>
  <c r="D658" i="12"/>
  <c r="B658" i="12"/>
  <c r="D657" i="12"/>
  <c r="B657" i="12"/>
  <c r="D656" i="12"/>
  <c r="B656" i="12"/>
  <c r="D655" i="12"/>
  <c r="B655" i="12"/>
  <c r="D654" i="12"/>
  <c r="B654" i="12"/>
  <c r="D653" i="12"/>
  <c r="B653" i="12"/>
  <c r="D652" i="12"/>
  <c r="B652" i="12"/>
  <c r="D651" i="12"/>
  <c r="B651" i="12"/>
  <c r="D650" i="12"/>
  <c r="B650" i="12"/>
  <c r="D649" i="12"/>
  <c r="B649" i="12"/>
  <c r="D648" i="12"/>
  <c r="B648" i="12"/>
  <c r="D647" i="12"/>
  <c r="B647" i="12"/>
  <c r="D646" i="12"/>
  <c r="B646" i="12"/>
  <c r="D645" i="12"/>
  <c r="B645" i="12"/>
  <c r="D644" i="12"/>
  <c r="B644" i="12"/>
  <c r="D643" i="12"/>
  <c r="B643" i="12"/>
  <c r="D642" i="12"/>
  <c r="B642" i="12"/>
  <c r="D641" i="12"/>
  <c r="B641" i="12"/>
  <c r="D640" i="12"/>
  <c r="B640" i="12"/>
  <c r="D639" i="12"/>
  <c r="B639" i="12"/>
  <c r="D638" i="12"/>
  <c r="B638" i="12"/>
  <c r="D637" i="12"/>
  <c r="B637" i="12"/>
  <c r="D636" i="12"/>
  <c r="B636" i="12"/>
  <c r="D635" i="12"/>
  <c r="B635" i="12"/>
  <c r="D634" i="12"/>
  <c r="B634" i="12"/>
  <c r="D633" i="12"/>
  <c r="B633" i="12"/>
  <c r="D632" i="12"/>
  <c r="B632" i="12"/>
  <c r="D631" i="12"/>
  <c r="B631" i="12"/>
  <c r="D630" i="12"/>
  <c r="B630" i="12"/>
  <c r="D629" i="12"/>
  <c r="B629" i="12"/>
  <c r="D628" i="12"/>
  <c r="B628" i="12"/>
  <c r="D627" i="12"/>
  <c r="B627" i="12"/>
  <c r="D626" i="12"/>
  <c r="B626" i="12"/>
  <c r="D625" i="12"/>
  <c r="B625" i="12"/>
  <c r="D624" i="12"/>
  <c r="B624" i="12"/>
  <c r="D623" i="12"/>
  <c r="B623" i="12"/>
  <c r="D622" i="12"/>
  <c r="B622" i="12"/>
  <c r="D621" i="12"/>
  <c r="B621" i="12"/>
  <c r="D620" i="12"/>
  <c r="B620" i="12"/>
  <c r="D619" i="12"/>
  <c r="B619" i="12"/>
  <c r="D618" i="12"/>
  <c r="B618" i="12"/>
  <c r="D617" i="12"/>
  <c r="B617" i="12"/>
  <c r="D616" i="12"/>
  <c r="B616" i="12"/>
  <c r="D615" i="12"/>
  <c r="B615" i="12"/>
  <c r="D614" i="12"/>
  <c r="B614" i="12"/>
  <c r="D613" i="12"/>
  <c r="B613" i="12"/>
  <c r="D612" i="12"/>
  <c r="B612" i="12"/>
  <c r="D611" i="12"/>
  <c r="B611" i="12"/>
  <c r="D610" i="12"/>
  <c r="B610" i="12"/>
  <c r="D609" i="12"/>
  <c r="B609" i="12"/>
  <c r="D608" i="12"/>
  <c r="B608" i="12"/>
  <c r="D607" i="12"/>
  <c r="B607" i="12"/>
  <c r="D606" i="12"/>
  <c r="B606" i="12"/>
  <c r="D605" i="12"/>
  <c r="B605" i="12"/>
  <c r="D604" i="12"/>
  <c r="B604" i="12"/>
  <c r="D603" i="12"/>
  <c r="B603" i="12"/>
  <c r="D602" i="12"/>
  <c r="B602" i="12"/>
  <c r="D601" i="12"/>
  <c r="B601" i="12"/>
  <c r="D600" i="12"/>
  <c r="B600" i="12"/>
  <c r="D599" i="12"/>
  <c r="B599" i="12"/>
  <c r="D598" i="12"/>
  <c r="B598" i="12"/>
  <c r="D597" i="12"/>
  <c r="B597" i="12"/>
  <c r="D596" i="12"/>
  <c r="B596" i="12"/>
  <c r="D595" i="12"/>
  <c r="B595" i="12"/>
  <c r="D594" i="12"/>
  <c r="B594" i="12"/>
  <c r="D593" i="12"/>
  <c r="B593" i="12"/>
  <c r="D592" i="12"/>
  <c r="B592" i="12"/>
  <c r="D591" i="12"/>
  <c r="B591" i="12"/>
  <c r="D590" i="12"/>
  <c r="B590" i="12"/>
  <c r="D589" i="12"/>
  <c r="B589" i="12"/>
  <c r="D588" i="12"/>
  <c r="B588" i="12"/>
  <c r="AA587" i="12"/>
  <c r="Z587" i="12"/>
  <c r="Y587" i="12"/>
  <c r="X587" i="12"/>
  <c r="W587" i="12"/>
  <c r="V587" i="12"/>
  <c r="U587" i="12"/>
  <c r="T587" i="12"/>
  <c r="S587" i="12"/>
  <c r="R587" i="12"/>
  <c r="Q587" i="12"/>
  <c r="P587" i="12"/>
  <c r="O587" i="12"/>
  <c r="N587" i="12"/>
  <c r="M587" i="12"/>
  <c r="L587" i="12"/>
  <c r="K587" i="12"/>
  <c r="J587" i="12"/>
  <c r="I587" i="12"/>
  <c r="H587" i="12"/>
  <c r="G587" i="12"/>
  <c r="F587" i="12"/>
  <c r="E587" i="12"/>
  <c r="D586" i="12"/>
  <c r="B586" i="12"/>
  <c r="D585" i="12"/>
  <c r="B585" i="12"/>
  <c r="D584" i="12"/>
  <c r="B584" i="12"/>
  <c r="D583" i="12"/>
  <c r="B583" i="12"/>
  <c r="D582" i="12"/>
  <c r="B582" i="12"/>
  <c r="D581" i="12"/>
  <c r="B581" i="12"/>
  <c r="D580" i="12"/>
  <c r="B580" i="12"/>
  <c r="D579" i="12"/>
  <c r="B579" i="12"/>
  <c r="D578" i="12"/>
  <c r="B578" i="12"/>
  <c r="D577" i="12"/>
  <c r="B577" i="12"/>
  <c r="D576" i="12"/>
  <c r="B576" i="12"/>
  <c r="D575" i="12"/>
  <c r="B575" i="12"/>
  <c r="D574" i="12"/>
  <c r="B574" i="12"/>
  <c r="D573" i="12"/>
  <c r="B573" i="12"/>
  <c r="D572" i="12"/>
  <c r="B572" i="12"/>
  <c r="D571" i="12"/>
  <c r="B571" i="12"/>
  <c r="D570" i="12"/>
  <c r="B570" i="12"/>
  <c r="D569" i="12"/>
  <c r="B569" i="12"/>
  <c r="D568" i="12"/>
  <c r="B568" i="12"/>
  <c r="D567" i="12"/>
  <c r="B567" i="12"/>
  <c r="D566" i="12"/>
  <c r="B566" i="12"/>
  <c r="D565" i="12"/>
  <c r="B565" i="12"/>
  <c r="D564" i="12"/>
  <c r="B564" i="12"/>
  <c r="O563" i="12"/>
  <c r="D563" i="12" s="1"/>
  <c r="B563" i="12"/>
  <c r="D562" i="12"/>
  <c r="B562" i="12"/>
  <c r="D561" i="12"/>
  <c r="B561" i="12"/>
  <c r="D560" i="12"/>
  <c r="B560" i="12"/>
  <c r="D559" i="12"/>
  <c r="B559" i="12"/>
  <c r="D558" i="12"/>
  <c r="B558" i="12"/>
  <c r="D557" i="12"/>
  <c r="B557" i="12"/>
  <c r="D556" i="12"/>
  <c r="B556" i="12"/>
  <c r="D555" i="12"/>
  <c r="B555" i="12"/>
  <c r="D554" i="12"/>
  <c r="B554" i="12"/>
  <c r="D553" i="12"/>
  <c r="B553" i="12"/>
  <c r="D552" i="12"/>
  <c r="B552" i="12"/>
  <c r="D551" i="12"/>
  <c r="B551" i="12"/>
  <c r="D550" i="12"/>
  <c r="B550" i="12"/>
  <c r="D549" i="12"/>
  <c r="B549" i="12"/>
  <c r="D548" i="12"/>
  <c r="B548" i="12"/>
  <c r="D547" i="12"/>
  <c r="B547" i="12"/>
  <c r="D546" i="12"/>
  <c r="B546" i="12"/>
  <c r="D545" i="12"/>
  <c r="B545" i="12"/>
  <c r="D544" i="12"/>
  <c r="B544" i="12"/>
  <c r="D543" i="12"/>
  <c r="B543" i="12"/>
  <c r="D542" i="12"/>
  <c r="B542" i="12"/>
  <c r="D541" i="12"/>
  <c r="B541" i="12"/>
  <c r="D540" i="12"/>
  <c r="B540" i="12"/>
  <c r="D539" i="12"/>
  <c r="B539" i="12"/>
  <c r="D538" i="12"/>
  <c r="B538" i="12"/>
  <c r="D537" i="12"/>
  <c r="B537" i="12"/>
  <c r="D536" i="12"/>
  <c r="B536" i="12"/>
  <c r="D535" i="12"/>
  <c r="B535" i="12"/>
  <c r="D534" i="12"/>
  <c r="B534" i="12"/>
  <c r="D533" i="12"/>
  <c r="B533" i="12"/>
  <c r="D532" i="12"/>
  <c r="B532" i="12"/>
  <c r="D531" i="12"/>
  <c r="B531" i="12"/>
  <c r="D530" i="12"/>
  <c r="B530" i="12"/>
  <c r="D529" i="12"/>
  <c r="B529" i="12"/>
  <c r="D528" i="12"/>
  <c r="B528" i="12"/>
  <c r="D527" i="12"/>
  <c r="B527" i="12"/>
  <c r="D526" i="12"/>
  <c r="B526" i="12"/>
  <c r="D525" i="12"/>
  <c r="B525" i="12"/>
  <c r="D524" i="12"/>
  <c r="B524" i="12"/>
  <c r="O523" i="12"/>
  <c r="D523" i="12" s="1"/>
  <c r="B523" i="12"/>
  <c r="D522" i="12"/>
  <c r="B522" i="12"/>
  <c r="D521" i="12"/>
  <c r="B521" i="12"/>
  <c r="D520" i="12"/>
  <c r="B520" i="12"/>
  <c r="I519" i="12"/>
  <c r="D519" i="12" s="1"/>
  <c r="B519" i="12"/>
  <c r="D518" i="12"/>
  <c r="B518" i="12"/>
  <c r="AA517" i="12"/>
  <c r="Z517" i="12"/>
  <c r="Y517" i="12"/>
  <c r="X517" i="12"/>
  <c r="W517" i="12"/>
  <c r="V517" i="12"/>
  <c r="U517" i="12"/>
  <c r="T517" i="12"/>
  <c r="S517" i="12"/>
  <c r="R517" i="12"/>
  <c r="Q517" i="12"/>
  <c r="P517" i="12"/>
  <c r="N517" i="12"/>
  <c r="M517" i="12"/>
  <c r="L517" i="12"/>
  <c r="K517" i="12"/>
  <c r="J517" i="12"/>
  <c r="H517" i="12"/>
  <c r="G517" i="12"/>
  <c r="F517" i="12"/>
  <c r="E517" i="12"/>
  <c r="D516" i="12"/>
  <c r="B516" i="12"/>
  <c r="AA515" i="12"/>
  <c r="Z515" i="12"/>
  <c r="Y515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J515" i="12"/>
  <c r="I515" i="12"/>
  <c r="H515" i="12"/>
  <c r="G515" i="12"/>
  <c r="F515" i="12"/>
  <c r="E515" i="12"/>
  <c r="D514" i="12"/>
  <c r="B514" i="12"/>
  <c r="AA513" i="12"/>
  <c r="Z513" i="12"/>
  <c r="Y513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J513" i="12"/>
  <c r="I513" i="12"/>
  <c r="H513" i="12"/>
  <c r="G513" i="12"/>
  <c r="F513" i="12"/>
  <c r="E513" i="12"/>
  <c r="D512" i="12"/>
  <c r="B512" i="12"/>
  <c r="D511" i="12"/>
  <c r="B511" i="12"/>
  <c r="D510" i="12"/>
  <c r="B510" i="12"/>
  <c r="D509" i="12"/>
  <c r="B509" i="12"/>
  <c r="AA508" i="12"/>
  <c r="Z508" i="12"/>
  <c r="Y508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J508" i="12"/>
  <c r="I508" i="12"/>
  <c r="H508" i="12"/>
  <c r="G508" i="12"/>
  <c r="F508" i="12"/>
  <c r="E508" i="12"/>
  <c r="D507" i="12"/>
  <c r="B507" i="12"/>
  <c r="D506" i="12"/>
  <c r="B506" i="12"/>
  <c r="D505" i="12"/>
  <c r="B505" i="12"/>
  <c r="D504" i="12"/>
  <c r="B504" i="12"/>
  <c r="D503" i="12"/>
  <c r="B503" i="12"/>
  <c r="D502" i="12"/>
  <c r="B502" i="12"/>
  <c r="D501" i="12"/>
  <c r="B501" i="12"/>
  <c r="D500" i="12"/>
  <c r="B500" i="12"/>
  <c r="D499" i="12"/>
  <c r="B499" i="12"/>
  <c r="D498" i="12"/>
  <c r="B498" i="12"/>
  <c r="D497" i="12"/>
  <c r="B497" i="12"/>
  <c r="D496" i="12"/>
  <c r="B496" i="12"/>
  <c r="D495" i="12"/>
  <c r="B495" i="12"/>
  <c r="D494" i="12"/>
  <c r="B494" i="12"/>
  <c r="D493" i="12"/>
  <c r="B493" i="12"/>
  <c r="D492" i="12"/>
  <c r="B492" i="12"/>
  <c r="D491" i="12"/>
  <c r="B491" i="12"/>
  <c r="D490" i="12"/>
  <c r="B490" i="12"/>
  <c r="D489" i="12"/>
  <c r="B489" i="12"/>
  <c r="G488" i="12"/>
  <c r="D488" i="12" s="1"/>
  <c r="B488" i="12"/>
  <c r="D487" i="12"/>
  <c r="B487" i="12"/>
  <c r="D486" i="12"/>
  <c r="B486" i="12"/>
  <c r="D485" i="12"/>
  <c r="B485" i="12"/>
  <c r="D484" i="12"/>
  <c r="B484" i="12"/>
  <c r="D483" i="12"/>
  <c r="B483" i="12"/>
  <c r="D482" i="12"/>
  <c r="B482" i="12"/>
  <c r="D481" i="12"/>
  <c r="B481" i="12"/>
  <c r="D480" i="12"/>
  <c r="B480" i="12"/>
  <c r="D479" i="12"/>
  <c r="B479" i="12"/>
  <c r="D478" i="12"/>
  <c r="B478" i="12"/>
  <c r="D477" i="12"/>
  <c r="B477" i="12"/>
  <c r="D476" i="12"/>
  <c r="B476" i="12"/>
  <c r="D475" i="12"/>
  <c r="B475" i="12"/>
  <c r="D474" i="12"/>
  <c r="B474" i="12"/>
  <c r="D473" i="12"/>
  <c r="B473" i="12"/>
  <c r="D472" i="12"/>
  <c r="B472" i="12"/>
  <c r="D471" i="12"/>
  <c r="B471" i="12"/>
  <c r="D470" i="12"/>
  <c r="B470" i="12"/>
  <c r="D469" i="12"/>
  <c r="B469" i="12"/>
  <c r="D468" i="12"/>
  <c r="B468" i="12"/>
  <c r="D467" i="12"/>
  <c r="B467" i="12"/>
  <c r="D466" i="12"/>
  <c r="B466" i="12"/>
  <c r="D465" i="12"/>
  <c r="B465" i="12"/>
  <c r="D464" i="12"/>
  <c r="B464" i="12"/>
  <c r="D463" i="12"/>
  <c r="B463" i="12"/>
  <c r="D462" i="12"/>
  <c r="B462" i="12"/>
  <c r="D461" i="12"/>
  <c r="B461" i="12"/>
  <c r="D460" i="12"/>
  <c r="B460" i="12"/>
  <c r="D459" i="12"/>
  <c r="B459" i="12"/>
  <c r="D458" i="12"/>
  <c r="B458" i="12"/>
  <c r="D457" i="12"/>
  <c r="B457" i="12"/>
  <c r="D456" i="12"/>
  <c r="B456" i="12"/>
  <c r="D455" i="12"/>
  <c r="B455" i="12"/>
  <c r="D454" i="12"/>
  <c r="B454" i="12"/>
  <c r="D453" i="12"/>
  <c r="B453" i="12"/>
  <c r="D452" i="12"/>
  <c r="B452" i="12"/>
  <c r="D451" i="12"/>
  <c r="B451" i="12"/>
  <c r="D450" i="12"/>
  <c r="B450" i="12"/>
  <c r="D449" i="12"/>
  <c r="B449" i="12"/>
  <c r="D448" i="12"/>
  <c r="B448" i="12"/>
  <c r="D447" i="12"/>
  <c r="B447" i="12"/>
  <c r="D446" i="12"/>
  <c r="B446" i="12"/>
  <c r="D445" i="12"/>
  <c r="B445" i="12"/>
  <c r="D444" i="12"/>
  <c r="B444" i="12"/>
  <c r="D443" i="12"/>
  <c r="B443" i="12"/>
  <c r="D442" i="12"/>
  <c r="B442" i="12"/>
  <c r="D441" i="12"/>
  <c r="B441" i="12"/>
  <c r="D440" i="12"/>
  <c r="B440" i="12"/>
  <c r="D439" i="12"/>
  <c r="B439" i="12"/>
  <c r="D438" i="12"/>
  <c r="B438" i="12"/>
  <c r="D437" i="12"/>
  <c r="B437" i="12"/>
  <c r="D436" i="12"/>
  <c r="B436" i="12"/>
  <c r="D435" i="12"/>
  <c r="B435" i="12"/>
  <c r="D434" i="12"/>
  <c r="B434" i="12"/>
  <c r="D433" i="12"/>
  <c r="B433" i="12"/>
  <c r="D432" i="12"/>
  <c r="B432" i="12"/>
  <c r="D431" i="12"/>
  <c r="B431" i="12"/>
  <c r="D430" i="12"/>
  <c r="B430" i="12"/>
  <c r="D429" i="12"/>
  <c r="B429" i="12"/>
  <c r="D428" i="12"/>
  <c r="B428" i="12"/>
  <c r="D427" i="12"/>
  <c r="B427" i="12"/>
  <c r="D426" i="12"/>
  <c r="B426" i="12"/>
  <c r="D425" i="12"/>
  <c r="B425" i="12"/>
  <c r="D424" i="12"/>
  <c r="B424" i="12"/>
  <c r="D423" i="12"/>
  <c r="B423" i="12"/>
  <c r="D422" i="12"/>
  <c r="B422" i="12"/>
  <c r="D421" i="12"/>
  <c r="B421" i="12"/>
  <c r="D420" i="12"/>
  <c r="B420" i="12"/>
  <c r="D419" i="12"/>
  <c r="B419" i="12"/>
  <c r="D418" i="12"/>
  <c r="B418" i="12"/>
  <c r="D417" i="12"/>
  <c r="B417" i="12"/>
  <c r="D416" i="12"/>
  <c r="B416" i="12"/>
  <c r="D415" i="12"/>
  <c r="B415" i="12"/>
  <c r="D414" i="12"/>
  <c r="B414" i="12"/>
  <c r="D413" i="12"/>
  <c r="B413" i="12"/>
  <c r="D412" i="12"/>
  <c r="B412" i="12"/>
  <c r="D411" i="12"/>
  <c r="B411" i="12"/>
  <c r="D410" i="12"/>
  <c r="B410" i="12"/>
  <c r="D409" i="12"/>
  <c r="B409" i="12"/>
  <c r="D408" i="12"/>
  <c r="B408" i="12"/>
  <c r="D407" i="12"/>
  <c r="B407" i="12"/>
  <c r="D406" i="12"/>
  <c r="B406" i="12"/>
  <c r="D405" i="12"/>
  <c r="B405" i="12"/>
  <c r="D404" i="12"/>
  <c r="B404" i="12"/>
  <c r="D403" i="12"/>
  <c r="B403" i="12"/>
  <c r="D402" i="12"/>
  <c r="B402" i="12"/>
  <c r="D401" i="12"/>
  <c r="B401" i="12"/>
  <c r="D400" i="12"/>
  <c r="B400" i="12"/>
  <c r="D399" i="12"/>
  <c r="B399" i="12"/>
  <c r="D398" i="12"/>
  <c r="B398" i="12"/>
  <c r="D397" i="12"/>
  <c r="B397" i="12"/>
  <c r="D396" i="12"/>
  <c r="B396" i="12"/>
  <c r="D395" i="12"/>
  <c r="B395" i="12"/>
  <c r="D394" i="12"/>
  <c r="B394" i="12"/>
  <c r="D393" i="12"/>
  <c r="B393" i="12"/>
  <c r="D392" i="12"/>
  <c r="B392" i="12"/>
  <c r="D391" i="12"/>
  <c r="B391" i="12"/>
  <c r="D390" i="12"/>
  <c r="B390" i="12"/>
  <c r="D389" i="12"/>
  <c r="B389" i="12"/>
  <c r="D388" i="12"/>
  <c r="B388" i="12"/>
  <c r="D387" i="12"/>
  <c r="B387" i="12"/>
  <c r="D386" i="12"/>
  <c r="B386" i="12"/>
  <c r="D385" i="12"/>
  <c r="B385" i="12"/>
  <c r="D384" i="12"/>
  <c r="B384" i="12"/>
  <c r="O383" i="12"/>
  <c r="D383" i="12" s="1"/>
  <c r="B383" i="12"/>
  <c r="D382" i="12"/>
  <c r="B382" i="12"/>
  <c r="D381" i="12"/>
  <c r="B381" i="12"/>
  <c r="D380" i="12"/>
  <c r="B380" i="12"/>
  <c r="D379" i="12"/>
  <c r="B379" i="12"/>
  <c r="D378" i="12"/>
  <c r="B378" i="12"/>
  <c r="D377" i="12"/>
  <c r="B377" i="12"/>
  <c r="D376" i="12"/>
  <c r="B376" i="12"/>
  <c r="D375" i="12"/>
  <c r="B375" i="12"/>
  <c r="D374" i="12"/>
  <c r="B374" i="12"/>
  <c r="M373" i="12"/>
  <c r="D373" i="12" s="1"/>
  <c r="B373" i="12"/>
  <c r="L372" i="12"/>
  <c r="D372" i="12" s="1"/>
  <c r="B372" i="12"/>
  <c r="D371" i="12"/>
  <c r="B371" i="12"/>
  <c r="D370" i="12"/>
  <c r="B370" i="12"/>
  <c r="D369" i="12"/>
  <c r="B369" i="12"/>
  <c r="L368" i="12"/>
  <c r="D368" i="12" s="1"/>
  <c r="B368" i="12"/>
  <c r="D367" i="12"/>
  <c r="B367" i="12"/>
  <c r="D366" i="12"/>
  <c r="B366" i="12"/>
  <c r="D365" i="12"/>
  <c r="B365" i="12"/>
  <c r="D364" i="12"/>
  <c r="B364" i="12"/>
  <c r="L363" i="12"/>
  <c r="D363" i="12" s="1"/>
  <c r="B363" i="12"/>
  <c r="D362" i="12"/>
  <c r="B362" i="12"/>
  <c r="D361" i="12"/>
  <c r="B361" i="12"/>
  <c r="D360" i="12"/>
  <c r="B360" i="12"/>
  <c r="D359" i="12"/>
  <c r="B359" i="12"/>
  <c r="AA358" i="12"/>
  <c r="Z358" i="12"/>
  <c r="Y358" i="12"/>
  <c r="X358" i="12"/>
  <c r="W358" i="12"/>
  <c r="V358" i="12"/>
  <c r="U358" i="12"/>
  <c r="T358" i="12"/>
  <c r="S358" i="12"/>
  <c r="R358" i="12"/>
  <c r="Q358" i="12"/>
  <c r="P358" i="12"/>
  <c r="N358" i="12"/>
  <c r="M358" i="12"/>
  <c r="K358" i="12"/>
  <c r="J358" i="12"/>
  <c r="I358" i="12"/>
  <c r="H358" i="12"/>
  <c r="F358" i="12"/>
  <c r="E358" i="12"/>
  <c r="D357" i="12"/>
  <c r="B357" i="12"/>
  <c r="D356" i="12"/>
  <c r="B356" i="12"/>
  <c r="D355" i="12"/>
  <c r="B355" i="12"/>
  <c r="D354" i="12"/>
  <c r="B354" i="12"/>
  <c r="D353" i="12"/>
  <c r="B353" i="12"/>
  <c r="D352" i="12"/>
  <c r="B352" i="12"/>
  <c r="D351" i="12"/>
  <c r="B351" i="12"/>
  <c r="D350" i="12"/>
  <c r="B350" i="12"/>
  <c r="D349" i="12"/>
  <c r="B349" i="12"/>
  <c r="D348" i="12"/>
  <c r="B348" i="12"/>
  <c r="D347" i="12"/>
  <c r="B347" i="12"/>
  <c r="D346" i="12"/>
  <c r="B346" i="12"/>
  <c r="O345" i="12"/>
  <c r="D345" i="12" s="1"/>
  <c r="B345" i="12"/>
  <c r="D344" i="12"/>
  <c r="B344" i="12"/>
  <c r="D343" i="12"/>
  <c r="B343" i="12"/>
  <c r="D342" i="12"/>
  <c r="B342" i="12"/>
  <c r="D341" i="12"/>
  <c r="B341" i="12"/>
  <c r="D340" i="12"/>
  <c r="B340" i="12"/>
  <c r="D339" i="12"/>
  <c r="B339" i="12"/>
  <c r="D338" i="12"/>
  <c r="B338" i="12"/>
  <c r="D337" i="12"/>
  <c r="B337" i="12"/>
  <c r="D336" i="12"/>
  <c r="B336" i="12"/>
  <c r="D335" i="12"/>
  <c r="B335" i="12"/>
  <c r="D334" i="12"/>
  <c r="B334" i="12"/>
  <c r="D333" i="12"/>
  <c r="B333" i="12"/>
  <c r="D332" i="12"/>
  <c r="B332" i="12"/>
  <c r="D331" i="12"/>
  <c r="B331" i="12"/>
  <c r="D330" i="12"/>
  <c r="B330" i="12"/>
  <c r="D329" i="12"/>
  <c r="B329" i="12"/>
  <c r="D328" i="12"/>
  <c r="B328" i="12"/>
  <c r="D327" i="12"/>
  <c r="B327" i="12"/>
  <c r="D326" i="12"/>
  <c r="B326" i="12"/>
  <c r="D325" i="12"/>
  <c r="B325" i="12"/>
  <c r="D324" i="12"/>
  <c r="B324" i="12"/>
  <c r="AA323" i="12"/>
  <c r="Z323" i="12"/>
  <c r="Y323" i="12"/>
  <c r="X323" i="12"/>
  <c r="W323" i="12"/>
  <c r="V323" i="12"/>
  <c r="U323" i="12"/>
  <c r="T323" i="12"/>
  <c r="S323" i="12"/>
  <c r="R323" i="12"/>
  <c r="Q323" i="12"/>
  <c r="P323" i="12"/>
  <c r="N323" i="12"/>
  <c r="M323" i="12"/>
  <c r="L323" i="12"/>
  <c r="K323" i="12"/>
  <c r="J323" i="12"/>
  <c r="I323" i="12"/>
  <c r="H323" i="12"/>
  <c r="G323" i="12"/>
  <c r="F323" i="12"/>
  <c r="E323" i="12"/>
  <c r="D322" i="12"/>
  <c r="B322" i="12"/>
  <c r="D321" i="12"/>
  <c r="B321" i="12"/>
  <c r="D320" i="12"/>
  <c r="B320" i="12"/>
  <c r="D319" i="12"/>
  <c r="B319" i="12"/>
  <c r="D318" i="12"/>
  <c r="B318" i="12"/>
  <c r="D317" i="12"/>
  <c r="B317" i="12"/>
  <c r="D316" i="12"/>
  <c r="B316" i="12"/>
  <c r="D315" i="12"/>
  <c r="B315" i="12"/>
  <c r="D314" i="12"/>
  <c r="B314" i="12"/>
  <c r="D313" i="12"/>
  <c r="B313" i="12"/>
  <c r="D312" i="12"/>
  <c r="B312" i="12"/>
  <c r="D311" i="12"/>
  <c r="B311" i="12"/>
  <c r="D310" i="12"/>
  <c r="B310" i="12"/>
  <c r="D309" i="12"/>
  <c r="B309" i="12"/>
  <c r="D308" i="12"/>
  <c r="B308" i="12"/>
  <c r="D307" i="12"/>
  <c r="B307" i="12"/>
  <c r="D306" i="12"/>
  <c r="B306" i="12"/>
  <c r="D305" i="12"/>
  <c r="B305" i="12"/>
  <c r="D304" i="12"/>
  <c r="B304" i="12"/>
  <c r="D303" i="12"/>
  <c r="B303" i="12"/>
  <c r="D302" i="12"/>
  <c r="B302" i="12"/>
  <c r="D301" i="12"/>
  <c r="B301" i="12"/>
  <c r="D300" i="12"/>
  <c r="B300" i="12"/>
  <c r="D299" i="12"/>
  <c r="B299" i="12"/>
  <c r="M298" i="12"/>
  <c r="M296" i="12" s="1"/>
  <c r="B298" i="12"/>
  <c r="D297" i="12"/>
  <c r="B297" i="12"/>
  <c r="AA296" i="12"/>
  <c r="Z296" i="12"/>
  <c r="Y296" i="12"/>
  <c r="X296" i="12"/>
  <c r="W296" i="12"/>
  <c r="V296" i="12"/>
  <c r="U296" i="12"/>
  <c r="T296" i="12"/>
  <c r="S296" i="12"/>
  <c r="R296" i="12"/>
  <c r="Q296" i="12"/>
  <c r="P296" i="12"/>
  <c r="O296" i="12"/>
  <c r="N296" i="12"/>
  <c r="L296" i="12"/>
  <c r="K296" i="12"/>
  <c r="J296" i="12"/>
  <c r="I296" i="12"/>
  <c r="H296" i="12"/>
  <c r="G296" i="12"/>
  <c r="F296" i="12"/>
  <c r="E296" i="12"/>
  <c r="D295" i="12"/>
  <c r="B295" i="12"/>
  <c r="D294" i="12"/>
  <c r="B294" i="12"/>
  <c r="D293" i="12"/>
  <c r="B293" i="12"/>
  <c r="D292" i="12"/>
  <c r="B292" i="12"/>
  <c r="D291" i="12"/>
  <c r="B291" i="12"/>
  <c r="D290" i="12"/>
  <c r="B290" i="12"/>
  <c r="D289" i="12"/>
  <c r="B289" i="12"/>
  <c r="D288" i="12"/>
  <c r="B288" i="12"/>
  <c r="D287" i="12"/>
  <c r="B287" i="12"/>
  <c r="D286" i="12"/>
  <c r="B286" i="12"/>
  <c r="D285" i="12"/>
  <c r="B285" i="12"/>
  <c r="D284" i="12"/>
  <c r="B284" i="12"/>
  <c r="D283" i="12"/>
  <c r="B283" i="12"/>
  <c r="D282" i="12"/>
  <c r="B282" i="12"/>
  <c r="D281" i="12"/>
  <c r="B281" i="12"/>
  <c r="D280" i="12"/>
  <c r="B280" i="12"/>
  <c r="D279" i="12"/>
  <c r="B279" i="12"/>
  <c r="D278" i="12"/>
  <c r="B278" i="12"/>
  <c r="D277" i="12"/>
  <c r="B277" i="12"/>
  <c r="D276" i="12"/>
  <c r="B276" i="12"/>
  <c r="D275" i="12"/>
  <c r="B275" i="12"/>
  <c r="D274" i="12"/>
  <c r="B274" i="12"/>
  <c r="D273" i="12"/>
  <c r="B273" i="12"/>
  <c r="D272" i="12"/>
  <c r="B272" i="12"/>
  <c r="D271" i="12"/>
  <c r="B271" i="12"/>
  <c r="D270" i="12"/>
  <c r="B270" i="12"/>
  <c r="D269" i="12"/>
  <c r="B269" i="12"/>
  <c r="D268" i="12"/>
  <c r="B268" i="12"/>
  <c r="D267" i="12"/>
  <c r="B267" i="12"/>
  <c r="D266" i="12"/>
  <c r="B266" i="12"/>
  <c r="D265" i="12"/>
  <c r="B265" i="12"/>
  <c r="D264" i="12"/>
  <c r="B264" i="12"/>
  <c r="D263" i="12"/>
  <c r="B263" i="12"/>
  <c r="D262" i="12"/>
  <c r="B262" i="12"/>
  <c r="D261" i="12"/>
  <c r="B261" i="12"/>
  <c r="D260" i="12"/>
  <c r="B260" i="12"/>
  <c r="D259" i="12"/>
  <c r="B259" i="12"/>
  <c r="D258" i="12"/>
  <c r="B258" i="12"/>
  <c r="D257" i="12"/>
  <c r="B257" i="12"/>
  <c r="D256" i="12"/>
  <c r="B256" i="12"/>
  <c r="D255" i="12"/>
  <c r="B255" i="12"/>
  <c r="D254" i="12"/>
  <c r="B254" i="12"/>
  <c r="D253" i="12"/>
  <c r="B253" i="12"/>
  <c r="D252" i="12"/>
  <c r="B252" i="12"/>
  <c r="D251" i="12"/>
  <c r="B251" i="12"/>
  <c r="D250" i="12"/>
  <c r="B250" i="12"/>
  <c r="D249" i="12"/>
  <c r="B249" i="12"/>
  <c r="D248" i="12"/>
  <c r="B248" i="12"/>
  <c r="D247" i="12"/>
  <c r="B247" i="12"/>
  <c r="D246" i="12"/>
  <c r="B246" i="12"/>
  <c r="D245" i="12"/>
  <c r="B245" i="12"/>
  <c r="D244" i="12"/>
  <c r="B244" i="12"/>
  <c r="D243" i="12"/>
  <c r="B243" i="12"/>
  <c r="D242" i="12"/>
  <c r="B242" i="12"/>
  <c r="D241" i="12"/>
  <c r="B241" i="12"/>
  <c r="D240" i="12"/>
  <c r="B240" i="12"/>
  <c r="D239" i="12"/>
  <c r="B239" i="12"/>
  <c r="D238" i="12"/>
  <c r="B238" i="12"/>
  <c r="D237" i="12"/>
  <c r="B237" i="12"/>
  <c r="D236" i="12"/>
  <c r="B236" i="12"/>
  <c r="D235" i="12"/>
  <c r="B235" i="12"/>
  <c r="D234" i="12"/>
  <c r="B234" i="12"/>
  <c r="D233" i="12"/>
  <c r="B233" i="12"/>
  <c r="D232" i="12"/>
  <c r="B232" i="12"/>
  <c r="D231" i="12"/>
  <c r="B231" i="12"/>
  <c r="D230" i="12"/>
  <c r="B230" i="12"/>
  <c r="D229" i="12"/>
  <c r="B229" i="12"/>
  <c r="D228" i="12"/>
  <c r="B228" i="12"/>
  <c r="D227" i="12"/>
  <c r="B227" i="12"/>
  <c r="D226" i="12"/>
  <c r="B226" i="12"/>
  <c r="D225" i="12"/>
  <c r="B225" i="12"/>
  <c r="D224" i="12"/>
  <c r="B224" i="12"/>
  <c r="D223" i="12"/>
  <c r="B223" i="12"/>
  <c r="D222" i="12"/>
  <c r="B222" i="12"/>
  <c r="D221" i="12"/>
  <c r="B221" i="12"/>
  <c r="D220" i="12"/>
  <c r="B220" i="12"/>
  <c r="D219" i="12"/>
  <c r="B219" i="12"/>
  <c r="D218" i="12"/>
  <c r="B218" i="12"/>
  <c r="D217" i="12"/>
  <c r="B217" i="12"/>
  <c r="D216" i="12"/>
  <c r="B216" i="12"/>
  <c r="D215" i="12"/>
  <c r="B215" i="12"/>
  <c r="D214" i="12"/>
  <c r="B214" i="12"/>
  <c r="D213" i="12"/>
  <c r="B213" i="12"/>
  <c r="D212" i="12"/>
  <c r="B212" i="12"/>
  <c r="D211" i="12"/>
  <c r="B211" i="12"/>
  <c r="D210" i="12"/>
  <c r="B210" i="12"/>
  <c r="D209" i="12"/>
  <c r="B209" i="12"/>
  <c r="D208" i="12"/>
  <c r="B208" i="12"/>
  <c r="D207" i="12"/>
  <c r="B207" i="12"/>
  <c r="M206" i="12"/>
  <c r="D206" i="12" s="1"/>
  <c r="B206" i="12"/>
  <c r="D205" i="12"/>
  <c r="B205" i="12"/>
  <c r="D204" i="12"/>
  <c r="B204" i="12"/>
  <c r="D203" i="12"/>
  <c r="B203" i="12"/>
  <c r="D202" i="12"/>
  <c r="B202" i="12"/>
  <c r="D201" i="12"/>
  <c r="B201" i="12"/>
  <c r="D200" i="12"/>
  <c r="B200" i="12"/>
  <c r="D199" i="12"/>
  <c r="B199" i="12"/>
  <c r="D198" i="12"/>
  <c r="B198" i="12"/>
  <c r="D197" i="12"/>
  <c r="B197" i="12"/>
  <c r="D196" i="12"/>
  <c r="B196" i="12"/>
  <c r="D195" i="12"/>
  <c r="B195" i="12"/>
  <c r="D194" i="12"/>
  <c r="B194" i="12"/>
  <c r="D193" i="12"/>
  <c r="B193" i="12"/>
  <c r="D192" i="12"/>
  <c r="B192" i="12"/>
  <c r="D191" i="12"/>
  <c r="B191" i="12"/>
  <c r="D190" i="12"/>
  <c r="B190" i="12"/>
  <c r="D189" i="12"/>
  <c r="B189" i="12"/>
  <c r="D188" i="12"/>
  <c r="B188" i="12"/>
  <c r="D187" i="12"/>
  <c r="B187" i="12"/>
  <c r="D186" i="12"/>
  <c r="B186" i="12"/>
  <c r="D185" i="12"/>
  <c r="B185" i="12"/>
  <c r="D184" i="12"/>
  <c r="B184" i="12"/>
  <c r="D183" i="12"/>
  <c r="B183" i="12"/>
  <c r="D182" i="12"/>
  <c r="B182" i="12"/>
  <c r="D181" i="12"/>
  <c r="B181" i="12"/>
  <c r="D180" i="12"/>
  <c r="B180" i="12"/>
  <c r="D179" i="12"/>
  <c r="B179" i="12"/>
  <c r="D178" i="12"/>
  <c r="B178" i="12"/>
  <c r="D177" i="12"/>
  <c r="B177" i="12"/>
  <c r="D176" i="12"/>
  <c r="B176" i="12"/>
  <c r="D175" i="12"/>
  <c r="B175" i="12"/>
  <c r="D174" i="12"/>
  <c r="B174" i="12"/>
  <c r="D173" i="12"/>
  <c r="B173" i="12"/>
  <c r="D172" i="12"/>
  <c r="B172" i="12"/>
  <c r="D171" i="12"/>
  <c r="B171" i="12"/>
  <c r="D170" i="12"/>
  <c r="B170" i="12"/>
  <c r="D169" i="12"/>
  <c r="B169" i="12"/>
  <c r="D168" i="12"/>
  <c r="B168" i="12"/>
  <c r="D167" i="12"/>
  <c r="B167" i="12"/>
  <c r="D166" i="12"/>
  <c r="B166" i="12"/>
  <c r="D165" i="12"/>
  <c r="B165" i="12"/>
  <c r="D164" i="12"/>
  <c r="B164" i="12"/>
  <c r="D163" i="12"/>
  <c r="B163" i="12"/>
  <c r="D162" i="12"/>
  <c r="B162" i="12"/>
  <c r="D161" i="12"/>
  <c r="B161" i="12"/>
  <c r="D160" i="12"/>
  <c r="B160" i="12"/>
  <c r="D159" i="12"/>
  <c r="B159" i="12"/>
  <c r="D158" i="12"/>
  <c r="B158" i="12"/>
  <c r="D157" i="12"/>
  <c r="B157" i="12"/>
  <c r="D156" i="12"/>
  <c r="B156" i="12"/>
  <c r="D155" i="12"/>
  <c r="B155" i="12"/>
  <c r="D154" i="12"/>
  <c r="B154" i="12"/>
  <c r="D153" i="12"/>
  <c r="B153" i="12"/>
  <c r="O152" i="12"/>
  <c r="D152" i="12" s="1"/>
  <c r="B152" i="12"/>
  <c r="D151" i="12"/>
  <c r="B151" i="12"/>
  <c r="D150" i="12"/>
  <c r="B150" i="12"/>
  <c r="D149" i="12"/>
  <c r="B149" i="12"/>
  <c r="D148" i="12"/>
  <c r="B148" i="12"/>
  <c r="D147" i="12"/>
  <c r="B147" i="12"/>
  <c r="D146" i="12"/>
  <c r="B146" i="12"/>
  <c r="D145" i="12"/>
  <c r="B145" i="12"/>
  <c r="D144" i="12"/>
  <c r="B144" i="12"/>
  <c r="D143" i="12"/>
  <c r="B143" i="12"/>
  <c r="D142" i="12"/>
  <c r="B142" i="12"/>
  <c r="D141" i="12"/>
  <c r="B141" i="12"/>
  <c r="D140" i="12"/>
  <c r="B140" i="12"/>
  <c r="D139" i="12"/>
  <c r="B139" i="12"/>
  <c r="D138" i="12"/>
  <c r="B138" i="12"/>
  <c r="D137" i="12"/>
  <c r="B137" i="12"/>
  <c r="D136" i="12"/>
  <c r="B136" i="12"/>
  <c r="O135" i="12"/>
  <c r="D135" i="12" s="1"/>
  <c r="B135" i="12"/>
  <c r="D134" i="12"/>
  <c r="B134" i="12"/>
  <c r="D133" i="12"/>
  <c r="B133" i="12"/>
  <c r="D132" i="12"/>
  <c r="B132" i="12"/>
  <c r="D131" i="12"/>
  <c r="B131" i="12"/>
  <c r="D130" i="12"/>
  <c r="B130" i="12"/>
  <c r="D129" i="12"/>
  <c r="B129" i="12"/>
  <c r="D128" i="12"/>
  <c r="B128" i="12"/>
  <c r="D127" i="12"/>
  <c r="B127" i="12"/>
  <c r="D126" i="12"/>
  <c r="B126" i="12"/>
  <c r="D125" i="12"/>
  <c r="B125" i="12"/>
  <c r="D124" i="12"/>
  <c r="B124" i="12"/>
  <c r="D123" i="12"/>
  <c r="B123" i="12"/>
  <c r="D122" i="12"/>
  <c r="B122" i="12"/>
  <c r="D121" i="12"/>
  <c r="B121" i="12"/>
  <c r="M120" i="12"/>
  <c r="D120" i="12" s="1"/>
  <c r="B120" i="12"/>
  <c r="D119" i="12"/>
  <c r="B119" i="12"/>
  <c r="D118" i="12"/>
  <c r="B118" i="12"/>
  <c r="O117" i="12"/>
  <c r="D117" i="12" s="1"/>
  <c r="B117" i="12"/>
  <c r="O116" i="12"/>
  <c r="D116" i="12" s="1"/>
  <c r="B116" i="12"/>
  <c r="D115" i="12"/>
  <c r="B115" i="12"/>
  <c r="D114" i="12"/>
  <c r="B114" i="12"/>
  <c r="D113" i="12"/>
  <c r="B113" i="12"/>
  <c r="D112" i="12"/>
  <c r="B112" i="12"/>
  <c r="D111" i="12"/>
  <c r="B111" i="12"/>
  <c r="D110" i="12"/>
  <c r="B110" i="12"/>
  <c r="D109" i="12"/>
  <c r="B109" i="12"/>
  <c r="D108" i="12"/>
  <c r="B108" i="12"/>
  <c r="D107" i="12"/>
  <c r="B107" i="12"/>
  <c r="D106" i="12"/>
  <c r="B106" i="12"/>
  <c r="D105" i="12"/>
  <c r="B105" i="12"/>
  <c r="D104" i="12"/>
  <c r="B104" i="12"/>
  <c r="D103" i="12"/>
  <c r="B103" i="12"/>
  <c r="D102" i="12"/>
  <c r="B102" i="12"/>
  <c r="D101" i="12"/>
  <c r="B101" i="12"/>
  <c r="D100" i="12"/>
  <c r="B100" i="12"/>
  <c r="D99" i="12"/>
  <c r="B99" i="12"/>
  <c r="D98" i="12"/>
  <c r="B98" i="12"/>
  <c r="D97" i="12"/>
  <c r="B97" i="12"/>
  <c r="D96" i="12"/>
  <c r="B96" i="12"/>
  <c r="D95" i="12"/>
  <c r="B95" i="12"/>
  <c r="D94" i="12"/>
  <c r="B94" i="12"/>
  <c r="D93" i="12"/>
  <c r="B93" i="12"/>
  <c r="D92" i="12"/>
  <c r="B92" i="12"/>
  <c r="D91" i="12"/>
  <c r="B91" i="12"/>
  <c r="D90" i="12"/>
  <c r="B90" i="12"/>
  <c r="D89" i="12"/>
  <c r="B89" i="12"/>
  <c r="D88" i="12"/>
  <c r="B88" i="12"/>
  <c r="D87" i="12"/>
  <c r="B87" i="12"/>
  <c r="D86" i="12"/>
  <c r="B86" i="12"/>
  <c r="D85" i="12"/>
  <c r="B85" i="12"/>
  <c r="D84" i="12"/>
  <c r="B84" i="12"/>
  <c r="O83" i="12"/>
  <c r="D83" i="12" s="1"/>
  <c r="B83" i="12"/>
  <c r="D82" i="12"/>
  <c r="B82" i="12"/>
  <c r="D81" i="12"/>
  <c r="B81" i="12"/>
  <c r="D80" i="12"/>
  <c r="B80" i="12"/>
  <c r="O79" i="12"/>
  <c r="D79" i="12" s="1"/>
  <c r="B79" i="12"/>
  <c r="D78" i="12"/>
  <c r="B78" i="12"/>
  <c r="D77" i="12"/>
  <c r="B77" i="12"/>
  <c r="D76" i="12"/>
  <c r="B76" i="12"/>
  <c r="D75" i="12"/>
  <c r="B75" i="12"/>
  <c r="D74" i="12"/>
  <c r="B74" i="12"/>
  <c r="D73" i="12"/>
  <c r="B73" i="12"/>
  <c r="D72" i="12"/>
  <c r="B72" i="12"/>
  <c r="D71" i="12"/>
  <c r="B71" i="12"/>
  <c r="D70" i="12"/>
  <c r="B70" i="12"/>
  <c r="D69" i="12"/>
  <c r="B69" i="12"/>
  <c r="D68" i="12"/>
  <c r="B68" i="12"/>
  <c r="D67" i="12"/>
  <c r="B67" i="12"/>
  <c r="D66" i="12"/>
  <c r="B66" i="12"/>
  <c r="D65" i="12"/>
  <c r="B65" i="12"/>
  <c r="D64" i="12"/>
  <c r="B64" i="12"/>
  <c r="D63" i="12"/>
  <c r="B63" i="12"/>
  <c r="D62" i="12"/>
  <c r="B62" i="12"/>
  <c r="D61" i="12"/>
  <c r="B61" i="12"/>
  <c r="D60" i="12"/>
  <c r="B60" i="12"/>
  <c r="D59" i="12"/>
  <c r="B59" i="12"/>
  <c r="D58" i="12"/>
  <c r="B58" i="12"/>
  <c r="D57" i="12"/>
  <c r="B57" i="12"/>
  <c r="D56" i="12"/>
  <c r="B56" i="12"/>
  <c r="D55" i="12"/>
  <c r="B55" i="12"/>
  <c r="D54" i="12"/>
  <c r="B54" i="12"/>
  <c r="D53" i="12"/>
  <c r="B53" i="12"/>
  <c r="D52" i="12"/>
  <c r="B52" i="12"/>
  <c r="D51" i="12"/>
  <c r="B51" i="12"/>
  <c r="N50" i="12"/>
  <c r="N9" i="12" s="1"/>
  <c r="M50" i="12"/>
  <c r="G50" i="12"/>
  <c r="B50" i="12"/>
  <c r="D49" i="12"/>
  <c r="B49" i="12"/>
  <c r="D48" i="12"/>
  <c r="B48" i="12"/>
  <c r="D47" i="12"/>
  <c r="B47" i="12"/>
  <c r="D46" i="12"/>
  <c r="B46" i="12"/>
  <c r="D45" i="12"/>
  <c r="B45" i="12"/>
  <c r="D44" i="12"/>
  <c r="B44" i="12"/>
  <c r="D43" i="12"/>
  <c r="B43" i="12"/>
  <c r="E42" i="12"/>
  <c r="E9" i="12" s="1"/>
  <c r="B42" i="12"/>
  <c r="D41" i="12"/>
  <c r="B41" i="12"/>
  <c r="D40" i="12"/>
  <c r="B40" i="12"/>
  <c r="D39" i="12"/>
  <c r="B39" i="12"/>
  <c r="D38" i="12"/>
  <c r="B38" i="12"/>
  <c r="D37" i="12"/>
  <c r="B37" i="12"/>
  <c r="L36" i="12"/>
  <c r="D36" i="12"/>
  <c r="B36" i="12"/>
  <c r="D35" i="12"/>
  <c r="B35" i="12"/>
  <c r="O34" i="12"/>
  <c r="G34" i="12"/>
  <c r="B34" i="12"/>
  <c r="D33" i="12"/>
  <c r="B33" i="12"/>
  <c r="D32" i="12"/>
  <c r="B32" i="12"/>
  <c r="L31" i="12"/>
  <c r="D31" i="12"/>
  <c r="B31" i="12"/>
  <c r="D30" i="12"/>
  <c r="B30" i="12"/>
  <c r="D29" i="12"/>
  <c r="B29" i="12"/>
  <c r="D28" i="12"/>
  <c r="B28" i="12"/>
  <c r="D27" i="12"/>
  <c r="B27" i="12"/>
  <c r="D26" i="12"/>
  <c r="B26" i="12"/>
  <c r="D25" i="12"/>
  <c r="B25" i="12"/>
  <c r="D24" i="12"/>
  <c r="B24" i="12"/>
  <c r="D23" i="12"/>
  <c r="B23" i="12"/>
  <c r="G22" i="12"/>
  <c r="B22" i="12"/>
  <c r="O21" i="12"/>
  <c r="D21" i="12" s="1"/>
  <c r="B21" i="12"/>
  <c r="D20" i="12"/>
  <c r="B20" i="12"/>
  <c r="D19" i="12"/>
  <c r="B19" i="12"/>
  <c r="M18" i="12"/>
  <c r="B18" i="12"/>
  <c r="D17" i="12"/>
  <c r="B17" i="12"/>
  <c r="D16" i="12"/>
  <c r="B16" i="12"/>
  <c r="D15" i="12"/>
  <c r="B15" i="12"/>
  <c r="D14" i="12"/>
  <c r="B14" i="12"/>
  <c r="O13" i="12"/>
  <c r="D13" i="12" s="1"/>
  <c r="B13" i="12"/>
  <c r="D12" i="12"/>
  <c r="B12" i="12"/>
  <c r="O11" i="12"/>
  <c r="D11" i="12" s="1"/>
  <c r="B11" i="12"/>
  <c r="D10" i="12"/>
  <c r="B10" i="12"/>
  <c r="AA9" i="12"/>
  <c r="Z9" i="12"/>
  <c r="Y9" i="12"/>
  <c r="X9" i="12"/>
  <c r="W9" i="12"/>
  <c r="V9" i="12"/>
  <c r="U9" i="12"/>
  <c r="T9" i="12"/>
  <c r="S9" i="12"/>
  <c r="R9" i="12"/>
  <c r="Q9" i="12"/>
  <c r="P9" i="12"/>
  <c r="L9" i="12"/>
  <c r="K9" i="12"/>
  <c r="J9" i="12"/>
  <c r="I9" i="12"/>
  <c r="H9" i="12"/>
  <c r="F9" i="12"/>
  <c r="N2151" i="12" l="1"/>
  <c r="D1596" i="12"/>
  <c r="D1647" i="12"/>
  <c r="F1696" i="12"/>
  <c r="F1695" i="12" s="1"/>
  <c r="M1968" i="12"/>
  <c r="P8" i="12"/>
  <c r="M9" i="12"/>
  <c r="D727" i="12"/>
  <c r="M1220" i="12"/>
  <c r="I1968" i="12"/>
  <c r="X8" i="12"/>
  <c r="G9" i="12"/>
  <c r="G358" i="12"/>
  <c r="D1680" i="12"/>
  <c r="H8" i="12"/>
  <c r="D22" i="12"/>
  <c r="D42" i="12"/>
  <c r="D713" i="12"/>
  <c r="D722" i="12"/>
  <c r="D784" i="12"/>
  <c r="D1674" i="12"/>
  <c r="D1678" i="12"/>
  <c r="D2051" i="12"/>
  <c r="U8" i="12"/>
  <c r="D508" i="12"/>
  <c r="D691" i="12"/>
  <c r="D733" i="12"/>
  <c r="D767" i="12"/>
  <c r="I806" i="12"/>
  <c r="D1521" i="12"/>
  <c r="D1661" i="12"/>
  <c r="D1738" i="12"/>
  <c r="D1755" i="12"/>
  <c r="D2324" i="12"/>
  <c r="T1695" i="12"/>
  <c r="O2367" i="12"/>
  <c r="D2367" i="12" s="1"/>
  <c r="D2401" i="12"/>
  <c r="D2440" i="12"/>
  <c r="D2449" i="12"/>
  <c r="Q8" i="12"/>
  <c r="Y8" i="12"/>
  <c r="T8" i="12"/>
  <c r="E8" i="12"/>
  <c r="O323" i="12"/>
  <c r="D323" i="12" s="1"/>
  <c r="D674" i="12"/>
  <c r="D730" i="12"/>
  <c r="Q806" i="12"/>
  <c r="Y806" i="12"/>
  <c r="D1656" i="12"/>
  <c r="D1972" i="12"/>
  <c r="D1988" i="12"/>
  <c r="D2381" i="12"/>
  <c r="I1695" i="12"/>
  <c r="D756" i="12"/>
  <c r="O807" i="12"/>
  <c r="S806" i="12"/>
  <c r="W806" i="12"/>
  <c r="AA806" i="12"/>
  <c r="D1523" i="12"/>
  <c r="D1552" i="12"/>
  <c r="O1591" i="12"/>
  <c r="D1644" i="12"/>
  <c r="D1668" i="12"/>
  <c r="D1693" i="12"/>
  <c r="P1695" i="12"/>
  <c r="X1695" i="12"/>
  <c r="O1968" i="12"/>
  <c r="S1695" i="12"/>
  <c r="W1695" i="12"/>
  <c r="AA1695" i="12"/>
  <c r="R1695" i="12"/>
  <c r="V1695" i="12"/>
  <c r="Z1695" i="12"/>
  <c r="O2452" i="12"/>
  <c r="D2457" i="12"/>
  <c r="D2476" i="12"/>
  <c r="V806" i="12"/>
  <c r="Z806" i="12"/>
  <c r="K8" i="12"/>
  <c r="S8" i="12"/>
  <c r="AA8" i="12"/>
  <c r="AA7" i="12" s="1"/>
  <c r="D719" i="12"/>
  <c r="D50" i="12"/>
  <c r="D296" i="12"/>
  <c r="D515" i="12"/>
  <c r="F8" i="12"/>
  <c r="J8" i="12"/>
  <c r="N8" i="12"/>
  <c r="R8" i="12"/>
  <c r="V8" i="12"/>
  <c r="Z8" i="12"/>
  <c r="D701" i="12"/>
  <c r="D747" i="12"/>
  <c r="D798" i="12"/>
  <c r="K806" i="12"/>
  <c r="O1220" i="12"/>
  <c r="D1527" i="12"/>
  <c r="U806" i="12"/>
  <c r="D1556" i="12"/>
  <c r="D1571" i="12"/>
  <c r="D1637" i="12"/>
  <c r="D1665" i="12"/>
  <c r="G1968" i="12"/>
  <c r="K1695" i="12"/>
  <c r="N1695" i="12"/>
  <c r="D2359" i="12"/>
  <c r="O2376" i="12"/>
  <c r="D2417" i="12"/>
  <c r="D2454" i="12"/>
  <c r="D2473" i="12"/>
  <c r="R806" i="12"/>
  <c r="D1339" i="12"/>
  <c r="W8" i="12"/>
  <c r="I517" i="12"/>
  <c r="I8" i="12" s="1"/>
  <c r="D587" i="12"/>
  <c r="D34" i="12"/>
  <c r="D513" i="12"/>
  <c r="O517" i="12"/>
  <c r="D677" i="12"/>
  <c r="D725" i="12"/>
  <c r="D778" i="12"/>
  <c r="D795" i="12"/>
  <c r="D800" i="12"/>
  <c r="D1566" i="12"/>
  <c r="D1630" i="12"/>
  <c r="D1652" i="12"/>
  <c r="D1682" i="12"/>
  <c r="L1696" i="12"/>
  <c r="Q1695" i="12"/>
  <c r="U1695" i="12"/>
  <c r="Y1695" i="12"/>
  <c r="J1695" i="12"/>
  <c r="D2217" i="12"/>
  <c r="D2337" i="12"/>
  <c r="G2376" i="12"/>
  <c r="D2399" i="12"/>
  <c r="D2421" i="12"/>
  <c r="M2421" i="12"/>
  <c r="D2434" i="12"/>
  <c r="D2443" i="12"/>
  <c r="D2452" i="12"/>
  <c r="D2470" i="12"/>
  <c r="M8" i="12"/>
  <c r="O9" i="12"/>
  <c r="D9" i="12" s="1"/>
  <c r="D18" i="12"/>
  <c r="D298" i="12"/>
  <c r="O358" i="12"/>
  <c r="E806" i="12"/>
  <c r="M807" i="12"/>
  <c r="P806" i="12"/>
  <c r="T806" i="12"/>
  <c r="T7" i="12" s="1"/>
  <c r="X806" i="12"/>
  <c r="X7" i="12" s="1"/>
  <c r="D1512" i="12"/>
  <c r="D1726" i="12"/>
  <c r="E1696" i="12"/>
  <c r="H806" i="12"/>
  <c r="H7" i="12" s="1"/>
  <c r="L806" i="12"/>
  <c r="D1173" i="12"/>
  <c r="O1138" i="12"/>
  <c r="D1323" i="12"/>
  <c r="G1297" i="12"/>
  <c r="D1297" i="12" s="1"/>
  <c r="D1723" i="12"/>
  <c r="G1696" i="12"/>
  <c r="D2046" i="12"/>
  <c r="M2044" i="12"/>
  <c r="D2060" i="12"/>
  <c r="O2044" i="12"/>
  <c r="D2109" i="12"/>
  <c r="M2092" i="12"/>
  <c r="D1716" i="12"/>
  <c r="O1696" i="12"/>
  <c r="D2055" i="12"/>
  <c r="E2044" i="12"/>
  <c r="D2100" i="12"/>
  <c r="G2092" i="12"/>
  <c r="D2153" i="12"/>
  <c r="M2151" i="12"/>
  <c r="D2151" i="12" s="1"/>
  <c r="D2181" i="12"/>
  <c r="O2175" i="12"/>
  <c r="D1690" i="12"/>
  <c r="L358" i="12"/>
  <c r="L8" i="12" s="1"/>
  <c r="D793" i="12"/>
  <c r="O789" i="12"/>
  <c r="D789" i="12" s="1"/>
  <c r="D804" i="12"/>
  <c r="F806" i="12"/>
  <c r="J806" i="12"/>
  <c r="N806" i="12"/>
  <c r="D1519" i="12"/>
  <c r="D1591" i="12"/>
  <c r="D2178" i="12"/>
  <c r="M2175" i="12"/>
  <c r="D1400" i="12"/>
  <c r="M1696" i="12"/>
  <c r="O2092" i="12"/>
  <c r="D2159" i="12"/>
  <c r="G2175" i="12"/>
  <c r="O2362" i="12"/>
  <c r="M2424" i="12"/>
  <c r="D2424" i="12" s="1"/>
  <c r="L2175" i="12"/>
  <c r="M2376" i="12"/>
  <c r="M2362" i="12"/>
  <c r="D2362" i="12" s="1"/>
  <c r="M2407" i="12"/>
  <c r="D2407" i="12" s="1"/>
  <c r="M2415" i="12"/>
  <c r="D2415" i="12" s="1"/>
  <c r="AC1101" i="7"/>
  <c r="G8" i="12" l="1"/>
  <c r="D1220" i="12"/>
  <c r="N7" i="12"/>
  <c r="O806" i="12"/>
  <c r="Y7" i="12"/>
  <c r="D1968" i="12"/>
  <c r="Z7" i="12"/>
  <c r="M806" i="12"/>
  <c r="I7" i="12"/>
  <c r="D2376" i="12"/>
  <c r="Q7" i="12"/>
  <c r="J7" i="12"/>
  <c r="S7" i="12"/>
  <c r="K7" i="12"/>
  <c r="M1695" i="12"/>
  <c r="D2092" i="12"/>
  <c r="D2175" i="12"/>
  <c r="L1695" i="12"/>
  <c r="L7" i="12" s="1"/>
  <c r="F7" i="12"/>
  <c r="D2044" i="12"/>
  <c r="P7" i="12"/>
  <c r="D517" i="12"/>
  <c r="W7" i="12"/>
  <c r="U7" i="12"/>
  <c r="V7" i="12"/>
  <c r="R7" i="12"/>
  <c r="D807" i="12"/>
  <c r="D358" i="12"/>
  <c r="O1695" i="12"/>
  <c r="D1138" i="12"/>
  <c r="G1695" i="12"/>
  <c r="G806" i="12"/>
  <c r="D806" i="12" s="1"/>
  <c r="E1695" i="12"/>
  <c r="E7" i="12" s="1"/>
  <c r="D1696" i="12"/>
  <c r="O8" i="12"/>
  <c r="R1367" i="7"/>
  <c r="R725" i="7"/>
  <c r="M7" i="12" l="1"/>
  <c r="O7" i="12"/>
  <c r="G7" i="12"/>
  <c r="D8" i="12"/>
  <c r="D1695" i="12"/>
  <c r="AD1076" i="7"/>
  <c r="D7" i="12" l="1"/>
  <c r="AD1379" i="7"/>
  <c r="AD1374" i="7"/>
  <c r="AD1239" i="7"/>
  <c r="AD1350" i="7"/>
  <c r="V1454" i="15" l="1"/>
  <c r="V1448" i="15"/>
  <c r="V1446" i="15"/>
  <c r="V1444" i="15"/>
  <c r="V1440" i="15"/>
  <c r="V1435" i="15"/>
  <c r="V1432" i="15"/>
  <c r="V1430" i="15"/>
  <c r="V1428" i="15"/>
  <c r="V1425" i="15"/>
  <c r="V1422" i="15"/>
  <c r="V1418" i="15"/>
  <c r="V1413" i="15"/>
  <c r="V1409" i="15"/>
  <c r="V1407" i="15"/>
  <c r="V1405" i="15"/>
  <c r="V1397" i="15"/>
  <c r="V1395" i="15"/>
  <c r="V1393" i="15"/>
  <c r="V1390" i="15"/>
  <c r="V1386" i="15"/>
  <c r="V1384" i="15"/>
  <c r="V1382" i="15"/>
  <c r="V1380" i="15"/>
  <c r="V1376" i="15"/>
  <c r="V1374" i="15"/>
  <c r="V1372" i="15"/>
  <c r="V1365" i="15"/>
  <c r="V1363" i="15"/>
  <c r="V1356" i="15"/>
  <c r="V1353" i="15"/>
  <c r="V1330" i="15"/>
  <c r="V1328" i="15"/>
  <c r="V1325" i="15"/>
  <c r="V1321" i="15"/>
  <c r="V1318" i="15"/>
  <c r="V1313" i="15"/>
  <c r="V1310" i="15"/>
  <c r="V1308" i="15"/>
  <c r="V1306" i="15"/>
  <c r="V1304" i="15"/>
  <c r="V1302" i="15"/>
  <c r="V1298" i="15"/>
  <c r="V1295" i="15"/>
  <c r="V1289" i="15"/>
  <c r="V1287" i="15"/>
  <c r="V1274" i="15"/>
  <c r="V1271" i="15"/>
  <c r="V1268" i="15"/>
  <c r="V1264" i="15"/>
  <c r="V1262" i="15"/>
  <c r="V1258" i="15"/>
  <c r="V1251" i="15"/>
  <c r="V1245" i="15"/>
  <c r="V1224" i="15"/>
  <c r="V1212" i="15"/>
  <c r="V1105" i="15"/>
  <c r="F29" i="10" l="1"/>
  <c r="F10" i="10"/>
  <c r="O91" i="13"/>
  <c r="F11" i="5" l="1"/>
  <c r="AE86" i="8"/>
  <c r="G185" i="8"/>
  <c r="H185" i="8"/>
  <c r="I185" i="8"/>
  <c r="J185" i="8"/>
  <c r="K185" i="8"/>
  <c r="L185" i="8"/>
  <c r="M185" i="8"/>
  <c r="N185" i="8"/>
  <c r="O185" i="8"/>
  <c r="P185" i="8"/>
  <c r="Q185" i="8"/>
  <c r="R185" i="8"/>
  <c r="S185" i="8"/>
  <c r="T185" i="8"/>
  <c r="U185" i="8"/>
  <c r="V185" i="8"/>
  <c r="W185" i="8"/>
  <c r="X185" i="8"/>
  <c r="Y185" i="8"/>
  <c r="Z185" i="8"/>
  <c r="AA185" i="8"/>
  <c r="AB185" i="8"/>
  <c r="AC185" i="8"/>
  <c r="AD185" i="8"/>
  <c r="AE185" i="8"/>
  <c r="AF185" i="8"/>
  <c r="AG185" i="8"/>
  <c r="AE38" i="16"/>
  <c r="F38" i="16" s="1"/>
  <c r="F37" i="16" s="1"/>
  <c r="B38" i="16"/>
  <c r="AG37" i="16"/>
  <c r="AF37" i="16"/>
  <c r="AD37" i="16"/>
  <c r="AC37" i="16"/>
  <c r="AB37" i="16"/>
  <c r="AA37" i="16"/>
  <c r="Z37" i="16"/>
  <c r="Y37" i="16"/>
  <c r="X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E37" i="16"/>
  <c r="AE36" i="16"/>
  <c r="F36" i="16" s="1"/>
  <c r="F35" i="16" s="1"/>
  <c r="B36" i="16"/>
  <c r="AG35" i="16"/>
  <c r="AF35" i="16"/>
  <c r="AD35" i="16"/>
  <c r="AC35" i="16"/>
  <c r="AB35" i="16"/>
  <c r="AA35" i="16"/>
  <c r="Z35" i="16"/>
  <c r="Y35" i="16"/>
  <c r="X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E35" i="16"/>
  <c r="AE37" i="16" l="1"/>
  <c r="AE35" i="16"/>
  <c r="AE34" i="16" l="1"/>
  <c r="F34" i="16" s="1"/>
  <c r="F33" i="16" s="1"/>
  <c r="B34" i="16"/>
  <c r="AG33" i="16"/>
  <c r="AF33" i="16"/>
  <c r="AD33" i="16"/>
  <c r="AC33" i="16"/>
  <c r="AB33" i="16"/>
  <c r="AA33" i="16"/>
  <c r="Z33" i="16"/>
  <c r="Y33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E33" i="16"/>
  <c r="AE32" i="16"/>
  <c r="F32" i="16" s="1"/>
  <c r="B32" i="16"/>
  <c r="AE31" i="16"/>
  <c r="F31" i="16" s="1"/>
  <c r="B31" i="16"/>
  <c r="F30" i="16"/>
  <c r="B30" i="16"/>
  <c r="AE29" i="16"/>
  <c r="F29" i="16" s="1"/>
  <c r="F28" i="16" s="1"/>
  <c r="B29" i="16"/>
  <c r="AG28" i="16"/>
  <c r="AF28" i="16"/>
  <c r="AD28" i="16"/>
  <c r="AC28" i="16"/>
  <c r="AB28" i="16"/>
  <c r="AA28" i="16"/>
  <c r="Z28" i="16"/>
  <c r="Y28" i="16"/>
  <c r="X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AE27" i="16"/>
  <c r="F27" i="16" s="1"/>
  <c r="F26" i="16" s="1"/>
  <c r="B27" i="16"/>
  <c r="AG26" i="16"/>
  <c r="AF26" i="16"/>
  <c r="AD26" i="16"/>
  <c r="AC26" i="16"/>
  <c r="AB26" i="16"/>
  <c r="AA26" i="16"/>
  <c r="Z26" i="16"/>
  <c r="Y26" i="16"/>
  <c r="X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E26" i="16"/>
  <c r="AE25" i="16"/>
  <c r="F25" i="16" s="1"/>
  <c r="F24" i="16" s="1"/>
  <c r="B25" i="16"/>
  <c r="AG24" i="16"/>
  <c r="AF24" i="16"/>
  <c r="AD24" i="16"/>
  <c r="AC24" i="16"/>
  <c r="AB24" i="16"/>
  <c r="AA24" i="16"/>
  <c r="Z24" i="16"/>
  <c r="Y24" i="16"/>
  <c r="X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E24" i="16"/>
  <c r="AE33" i="16" l="1"/>
  <c r="AE26" i="16"/>
  <c r="AE28" i="16"/>
  <c r="AE24" i="16"/>
  <c r="AE190" i="8"/>
  <c r="AE23" i="16"/>
  <c r="P188" i="8"/>
  <c r="B23" i="16"/>
  <c r="AE22" i="16"/>
  <c r="F22" i="16" s="1"/>
  <c r="B22" i="16"/>
  <c r="AE178" i="8"/>
  <c r="AE179" i="8"/>
  <c r="AE21" i="16"/>
  <c r="F21" i="16" s="1"/>
  <c r="B21" i="16"/>
  <c r="AE20" i="16"/>
  <c r="F20" i="16" s="1"/>
  <c r="B20" i="16"/>
  <c r="AE19" i="16"/>
  <c r="F19" i="16" s="1"/>
  <c r="B19" i="16"/>
  <c r="AE18" i="16"/>
  <c r="F18" i="16" s="1"/>
  <c r="B18" i="16"/>
  <c r="AE17" i="16"/>
  <c r="F17" i="16" s="1"/>
  <c r="B17" i="16"/>
  <c r="AE16" i="16"/>
  <c r="F16" i="16" s="1"/>
  <c r="B16" i="16"/>
  <c r="AE15" i="16"/>
  <c r="F15" i="16" s="1"/>
  <c r="B15" i="16"/>
  <c r="AE14" i="16"/>
  <c r="F14" i="16" s="1"/>
  <c r="B14" i="16"/>
  <c r="AE13" i="16"/>
  <c r="F13" i="16" s="1"/>
  <c r="B13" i="16"/>
  <c r="AE12" i="16"/>
  <c r="F12" i="16" s="1"/>
  <c r="B12" i="16"/>
  <c r="AE11" i="16"/>
  <c r="F11" i="16" s="1"/>
  <c r="B11" i="16"/>
  <c r="AE10" i="16"/>
  <c r="F10" i="16" s="1"/>
  <c r="B10" i="16"/>
  <c r="F23" i="16" l="1"/>
  <c r="AE9" i="16" l="1"/>
  <c r="F9" i="16" s="1"/>
  <c r="B9" i="16"/>
  <c r="AE8" i="16" l="1"/>
  <c r="F8" i="16" s="1"/>
  <c r="B8" i="16"/>
  <c r="F7" i="16"/>
  <c r="B7" i="16"/>
  <c r="F6" i="16"/>
  <c r="B6" i="16"/>
  <c r="AE5" i="16"/>
  <c r="F5" i="16" s="1"/>
  <c r="B5" i="16"/>
  <c r="P99" i="8"/>
  <c r="T1475" i="15" l="1"/>
  <c r="T1477" i="15"/>
  <c r="T1476" i="15"/>
  <c r="P1466" i="15"/>
  <c r="B1333" i="15"/>
  <c r="B1331" i="15"/>
  <c r="B1329" i="15"/>
  <c r="B1327" i="15"/>
  <c r="T1329" i="15"/>
  <c r="T1328" i="15" s="1"/>
  <c r="R1328" i="15"/>
  <c r="S1328" i="15"/>
  <c r="Q1328" i="15"/>
  <c r="J1328" i="15"/>
  <c r="K1328" i="15"/>
  <c r="L1328" i="15"/>
  <c r="I1328" i="15"/>
  <c r="E1334" i="7"/>
  <c r="F1334" i="7"/>
  <c r="G1334" i="7"/>
  <c r="H1334" i="7"/>
  <c r="I1334" i="7"/>
  <c r="J1334" i="7"/>
  <c r="K1334" i="7"/>
  <c r="L1334" i="7"/>
  <c r="M1334" i="7"/>
  <c r="N1334" i="7"/>
  <c r="O1334" i="7"/>
  <c r="P1334" i="7"/>
  <c r="Q1334" i="7"/>
  <c r="R1334" i="7"/>
  <c r="S1334" i="7"/>
  <c r="T1334" i="7"/>
  <c r="U1334" i="7"/>
  <c r="V1334" i="7"/>
  <c r="W1334" i="7"/>
  <c r="X1334" i="7"/>
  <c r="Y1334" i="7"/>
  <c r="Z1334" i="7"/>
  <c r="AA1334" i="7"/>
  <c r="AB1334" i="7"/>
  <c r="AD1334" i="7"/>
  <c r="AE1334" i="7"/>
  <c r="D1335" i="7"/>
  <c r="D1334" i="7" s="1"/>
  <c r="B1335" i="7"/>
  <c r="U1328" i="15" l="1"/>
  <c r="AC1334" i="7"/>
  <c r="U1329" i="15"/>
  <c r="Q1407" i="15" l="1"/>
  <c r="R1407" i="15"/>
  <c r="S1407" i="15"/>
  <c r="AC1373" i="7"/>
  <c r="Q1298" i="15" l="1"/>
  <c r="R1298" i="15"/>
  <c r="S1298" i="15"/>
  <c r="J1298" i="15"/>
  <c r="K1298" i="15"/>
  <c r="L1298" i="15"/>
  <c r="I1298" i="15"/>
  <c r="U1301" i="15"/>
  <c r="T1301" i="15"/>
  <c r="B1301" i="15"/>
  <c r="E1304" i="7"/>
  <c r="F1304" i="7"/>
  <c r="G1304" i="7"/>
  <c r="H1304" i="7"/>
  <c r="I1304" i="7"/>
  <c r="J1304" i="7"/>
  <c r="K1304" i="7"/>
  <c r="L1304" i="7"/>
  <c r="M1304" i="7"/>
  <c r="N1304" i="7"/>
  <c r="O1304" i="7"/>
  <c r="P1304" i="7"/>
  <c r="Q1304" i="7"/>
  <c r="R1304" i="7"/>
  <c r="S1304" i="7"/>
  <c r="T1304" i="7"/>
  <c r="U1304" i="7"/>
  <c r="V1304" i="7"/>
  <c r="W1304" i="7"/>
  <c r="X1304" i="7"/>
  <c r="Y1304" i="7"/>
  <c r="Z1304" i="7"/>
  <c r="AA1304" i="7"/>
  <c r="AB1304" i="7"/>
  <c r="AD1304" i="7"/>
  <c r="AE1304" i="7"/>
  <c r="AC1307" i="7"/>
  <c r="D1307" i="7" s="1"/>
  <c r="B1307" i="7"/>
  <c r="Q1448" i="15"/>
  <c r="R1448" i="15"/>
  <c r="S1448" i="15"/>
  <c r="Q1335" i="15"/>
  <c r="R1335" i="15"/>
  <c r="S1335" i="15"/>
  <c r="J1335" i="15"/>
  <c r="K1335" i="15"/>
  <c r="L1335" i="15"/>
  <c r="I1335" i="15"/>
  <c r="U1350" i="15"/>
  <c r="V1350" i="15" s="1"/>
  <c r="T1350" i="15"/>
  <c r="U1349" i="15"/>
  <c r="V1349" i="15" s="1"/>
  <c r="T1349" i="15"/>
  <c r="U1348" i="15"/>
  <c r="V1348" i="15" s="1"/>
  <c r="T1348" i="15"/>
  <c r="E1341" i="7"/>
  <c r="F1341" i="7"/>
  <c r="G1341" i="7"/>
  <c r="H1341" i="7"/>
  <c r="I1341" i="7"/>
  <c r="J1341" i="7"/>
  <c r="K1341" i="7"/>
  <c r="L1341" i="7"/>
  <c r="M1341" i="7"/>
  <c r="N1341" i="7"/>
  <c r="O1341" i="7"/>
  <c r="P1341" i="7"/>
  <c r="Q1341" i="7"/>
  <c r="R1341" i="7"/>
  <c r="S1341" i="7"/>
  <c r="T1341" i="7"/>
  <c r="U1341" i="7"/>
  <c r="V1341" i="7"/>
  <c r="W1341" i="7"/>
  <c r="X1341" i="7"/>
  <c r="Y1341" i="7"/>
  <c r="Z1341" i="7"/>
  <c r="AA1341" i="7"/>
  <c r="AB1341" i="7"/>
  <c r="AD1341" i="7"/>
  <c r="AE1341" i="7"/>
  <c r="D1354" i="7"/>
  <c r="D1355" i="7"/>
  <c r="D1356" i="7"/>
  <c r="B1354" i="7"/>
  <c r="B1355" i="7"/>
  <c r="B1356" i="7"/>
  <c r="B1348" i="15"/>
  <c r="B1349" i="15"/>
  <c r="B1350" i="15"/>
  <c r="Q1126" i="15" l="1"/>
  <c r="R1126" i="15"/>
  <c r="S1126" i="15"/>
  <c r="Q1358" i="15" l="1"/>
  <c r="R1358" i="15"/>
  <c r="S1358" i="15"/>
  <c r="P550" i="15" l="1"/>
  <c r="AD1219" i="7" l="1"/>
  <c r="AC1202" i="7" l="1"/>
  <c r="Q1480" i="15" l="1"/>
  <c r="R1480" i="15"/>
  <c r="S1480" i="15"/>
  <c r="Q15" i="15"/>
  <c r="R15" i="15"/>
  <c r="S15" i="15"/>
  <c r="J170" i="13" l="1"/>
  <c r="K170" i="13"/>
  <c r="L170" i="13"/>
  <c r="I170" i="13"/>
  <c r="J182" i="13"/>
  <c r="K182" i="13"/>
  <c r="L182" i="13"/>
  <c r="I182" i="13"/>
  <c r="G183" i="8"/>
  <c r="H183" i="8"/>
  <c r="I183" i="8"/>
  <c r="J183" i="8"/>
  <c r="K183" i="8"/>
  <c r="L183" i="8"/>
  <c r="M183" i="8"/>
  <c r="N183" i="8"/>
  <c r="O183" i="8"/>
  <c r="P183" i="8"/>
  <c r="Q183" i="8"/>
  <c r="R183" i="8"/>
  <c r="S183" i="8"/>
  <c r="T183" i="8"/>
  <c r="U183" i="8"/>
  <c r="V183" i="8"/>
  <c r="W183" i="8"/>
  <c r="X183" i="8"/>
  <c r="Y183" i="8"/>
  <c r="Z183" i="8"/>
  <c r="AA183" i="8"/>
  <c r="AB183" i="8"/>
  <c r="AC183" i="8"/>
  <c r="AD183" i="8"/>
  <c r="AF183" i="8"/>
  <c r="AG183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E171" i="8"/>
  <c r="AF171" i="8"/>
  <c r="AG171" i="8"/>
  <c r="Q1549" i="15" l="1"/>
  <c r="R1549" i="15"/>
  <c r="S1549" i="15"/>
  <c r="P1549" i="15"/>
  <c r="J1549" i="15"/>
  <c r="K1549" i="15"/>
  <c r="L1549" i="15"/>
  <c r="I1549" i="15"/>
  <c r="T1560" i="15"/>
  <c r="U1560" i="15"/>
  <c r="V1560" i="15" s="1"/>
  <c r="V1549" i="15" s="1"/>
  <c r="E1556" i="7"/>
  <c r="F1556" i="7"/>
  <c r="G1556" i="7"/>
  <c r="H1556" i="7"/>
  <c r="I1556" i="7"/>
  <c r="J1556" i="7"/>
  <c r="K1556" i="7"/>
  <c r="L1556" i="7"/>
  <c r="M1556" i="7"/>
  <c r="N1556" i="7"/>
  <c r="O1556" i="7"/>
  <c r="P1556" i="7"/>
  <c r="Q1556" i="7"/>
  <c r="R1556" i="7"/>
  <c r="S1556" i="7"/>
  <c r="T1556" i="7"/>
  <c r="U1556" i="7"/>
  <c r="V1556" i="7"/>
  <c r="W1556" i="7"/>
  <c r="X1556" i="7"/>
  <c r="Y1556" i="7"/>
  <c r="Z1556" i="7"/>
  <c r="AA1556" i="7"/>
  <c r="AB1556" i="7"/>
  <c r="AC1556" i="7"/>
  <c r="AD1556" i="7"/>
  <c r="AE1556" i="7"/>
  <c r="D1567" i="7"/>
  <c r="B1410" i="7" l="1"/>
  <c r="J1402" i="15"/>
  <c r="K1402" i="15"/>
  <c r="L1402" i="15"/>
  <c r="I1402" i="15"/>
  <c r="R1402" i="15"/>
  <c r="S1402" i="15"/>
  <c r="Q1402" i="15"/>
  <c r="U1404" i="15"/>
  <c r="V1404" i="15" s="1"/>
  <c r="V1402" i="15" s="1"/>
  <c r="T1404" i="15"/>
  <c r="B1404" i="15" l="1"/>
  <c r="R1245" i="15"/>
  <c r="S1245" i="15"/>
  <c r="Q1245" i="15"/>
  <c r="J1245" i="15"/>
  <c r="K1245" i="15"/>
  <c r="L1245" i="15"/>
  <c r="I1245" i="15"/>
  <c r="U1250" i="15"/>
  <c r="T1250" i="15"/>
  <c r="B1250" i="15" l="1"/>
  <c r="AC1395" i="7" l="1"/>
  <c r="AC1201" i="7"/>
  <c r="F1408" i="7" l="1"/>
  <c r="G1408" i="7"/>
  <c r="H1408" i="7"/>
  <c r="I1408" i="7"/>
  <c r="J1408" i="7"/>
  <c r="K1408" i="7"/>
  <c r="L1408" i="7"/>
  <c r="M1408" i="7"/>
  <c r="N1408" i="7"/>
  <c r="O1408" i="7"/>
  <c r="P1408" i="7"/>
  <c r="Q1408" i="7"/>
  <c r="R1408" i="7"/>
  <c r="S1408" i="7"/>
  <c r="T1408" i="7"/>
  <c r="U1408" i="7"/>
  <c r="V1408" i="7"/>
  <c r="W1408" i="7"/>
  <c r="X1408" i="7"/>
  <c r="Y1408" i="7"/>
  <c r="Z1408" i="7"/>
  <c r="AA1408" i="7"/>
  <c r="AB1408" i="7"/>
  <c r="AC1408" i="7"/>
  <c r="AD1408" i="7"/>
  <c r="AE1408" i="7"/>
  <c r="E1408" i="7"/>
  <c r="D1410" i="7"/>
  <c r="F1362" i="7"/>
  <c r="G1362" i="7"/>
  <c r="H1362" i="7"/>
  <c r="I1362" i="7"/>
  <c r="J1362" i="7"/>
  <c r="K1362" i="7"/>
  <c r="L1362" i="7"/>
  <c r="M1362" i="7"/>
  <c r="N1362" i="7"/>
  <c r="O1362" i="7"/>
  <c r="P1362" i="7"/>
  <c r="Q1362" i="7"/>
  <c r="R1362" i="7"/>
  <c r="S1362" i="7"/>
  <c r="T1362" i="7"/>
  <c r="U1362" i="7"/>
  <c r="V1362" i="7"/>
  <c r="W1362" i="7"/>
  <c r="X1362" i="7"/>
  <c r="Y1362" i="7"/>
  <c r="Z1362" i="7"/>
  <c r="AA1362" i="7"/>
  <c r="AB1362" i="7"/>
  <c r="AC1362" i="7"/>
  <c r="AD1362" i="7"/>
  <c r="AE1362" i="7"/>
  <c r="E1362" i="7"/>
  <c r="E1251" i="7" l="1"/>
  <c r="F1251" i="7"/>
  <c r="G1251" i="7"/>
  <c r="H1251" i="7"/>
  <c r="I1251" i="7"/>
  <c r="J1251" i="7"/>
  <c r="K1251" i="7"/>
  <c r="L1251" i="7"/>
  <c r="M1251" i="7"/>
  <c r="N1251" i="7"/>
  <c r="O1251" i="7"/>
  <c r="P1251" i="7"/>
  <c r="Q1251" i="7"/>
  <c r="R1251" i="7"/>
  <c r="S1251" i="7"/>
  <c r="T1251" i="7"/>
  <c r="U1251" i="7"/>
  <c r="V1251" i="7"/>
  <c r="W1251" i="7"/>
  <c r="X1251" i="7"/>
  <c r="Y1251" i="7"/>
  <c r="Z1251" i="7"/>
  <c r="AA1251" i="7"/>
  <c r="AB1251" i="7"/>
  <c r="AD1251" i="7"/>
  <c r="AE1251" i="7"/>
  <c r="AC1256" i="7"/>
  <c r="D1256" i="7" s="1"/>
  <c r="B1256" i="7"/>
  <c r="AC1251" i="7" l="1"/>
  <c r="U1352" i="15" l="1"/>
  <c r="V1352" i="15" s="1"/>
  <c r="V1351" i="15" s="1"/>
  <c r="T1352" i="15"/>
  <c r="T1351" i="15" s="1"/>
  <c r="Q1351" i="15"/>
  <c r="R1351" i="15"/>
  <c r="S1351" i="15"/>
  <c r="J1351" i="15"/>
  <c r="K1351" i="15"/>
  <c r="L1351" i="15"/>
  <c r="I1351" i="15"/>
  <c r="U1346" i="15"/>
  <c r="U1347" i="15"/>
  <c r="V1347" i="15" s="1"/>
  <c r="V1335" i="15" s="1"/>
  <c r="T1346" i="15"/>
  <c r="T1347" i="15"/>
  <c r="U1334" i="15"/>
  <c r="V1334" i="15" s="1"/>
  <c r="V1332" i="15" s="1"/>
  <c r="T1334" i="15"/>
  <c r="Q1332" i="15"/>
  <c r="R1332" i="15"/>
  <c r="S1332" i="15"/>
  <c r="J1332" i="15"/>
  <c r="K1332" i="15"/>
  <c r="L1332" i="15"/>
  <c r="I1332" i="15"/>
  <c r="B1352" i="15"/>
  <c r="B1346" i="15"/>
  <c r="B1347" i="15"/>
  <c r="B1334" i="15"/>
  <c r="D1340" i="7"/>
  <c r="E1338" i="7"/>
  <c r="F1338" i="7"/>
  <c r="G1338" i="7"/>
  <c r="H1338" i="7"/>
  <c r="I1338" i="7"/>
  <c r="J1338" i="7"/>
  <c r="K1338" i="7"/>
  <c r="L1338" i="7"/>
  <c r="M1338" i="7"/>
  <c r="N1338" i="7"/>
  <c r="O1338" i="7"/>
  <c r="P1338" i="7"/>
  <c r="Q1338" i="7"/>
  <c r="R1338" i="7"/>
  <c r="S1338" i="7"/>
  <c r="T1338" i="7"/>
  <c r="U1338" i="7"/>
  <c r="V1338" i="7"/>
  <c r="W1338" i="7"/>
  <c r="X1338" i="7"/>
  <c r="Y1338" i="7"/>
  <c r="Z1338" i="7"/>
  <c r="AA1338" i="7"/>
  <c r="AB1338" i="7"/>
  <c r="AD1338" i="7"/>
  <c r="AE1338" i="7"/>
  <c r="D1358" i="7"/>
  <c r="D1357" i="7" s="1"/>
  <c r="E1357" i="7"/>
  <c r="F1357" i="7"/>
  <c r="G1357" i="7"/>
  <c r="H1357" i="7"/>
  <c r="I1357" i="7"/>
  <c r="J1357" i="7"/>
  <c r="K1357" i="7"/>
  <c r="L1357" i="7"/>
  <c r="M1357" i="7"/>
  <c r="N1357" i="7"/>
  <c r="O1357" i="7"/>
  <c r="P1357" i="7"/>
  <c r="Q1357" i="7"/>
  <c r="R1357" i="7"/>
  <c r="S1357" i="7"/>
  <c r="T1357" i="7"/>
  <c r="U1357" i="7"/>
  <c r="V1357" i="7"/>
  <c r="W1357" i="7"/>
  <c r="X1357" i="7"/>
  <c r="Y1357" i="7"/>
  <c r="Z1357" i="7"/>
  <c r="AA1357" i="7"/>
  <c r="AB1357" i="7"/>
  <c r="AC1357" i="7"/>
  <c r="AD1357" i="7"/>
  <c r="AE1357" i="7"/>
  <c r="D1353" i="7"/>
  <c r="D1352" i="7"/>
  <c r="B1358" i="7"/>
  <c r="B1340" i="7"/>
  <c r="B1352" i="7"/>
  <c r="B1353" i="7"/>
  <c r="U1351" i="15" l="1"/>
  <c r="Q1025" i="15" l="1"/>
  <c r="R1025" i="15"/>
  <c r="S1025" i="15"/>
  <c r="J1025" i="15"/>
  <c r="K1025" i="15"/>
  <c r="L1025" i="15"/>
  <c r="I1025" i="15"/>
  <c r="B1103" i="15"/>
  <c r="B1104" i="15"/>
  <c r="E1031" i="7"/>
  <c r="F1031" i="7"/>
  <c r="G1031" i="7"/>
  <c r="H1031" i="7"/>
  <c r="I1031" i="7"/>
  <c r="J1031" i="7"/>
  <c r="K1031" i="7"/>
  <c r="L1031" i="7"/>
  <c r="M1031" i="7"/>
  <c r="O1031" i="7"/>
  <c r="P1031" i="7"/>
  <c r="Q1031" i="7"/>
  <c r="R1031" i="7"/>
  <c r="S1031" i="7"/>
  <c r="T1031" i="7"/>
  <c r="U1031" i="7"/>
  <c r="V1031" i="7"/>
  <c r="W1031" i="7"/>
  <c r="X1031" i="7"/>
  <c r="Y1031" i="7"/>
  <c r="Z1031" i="7"/>
  <c r="AA1031" i="7"/>
  <c r="AB1031" i="7"/>
  <c r="AD1031" i="7"/>
  <c r="AE1031" i="7"/>
  <c r="V1473" i="15" l="1"/>
  <c r="Q1473" i="15"/>
  <c r="R1473" i="15"/>
  <c r="S1473" i="15"/>
  <c r="J1473" i="15"/>
  <c r="K1473" i="15"/>
  <c r="L1473" i="15"/>
  <c r="I1473" i="15"/>
  <c r="U1477" i="15"/>
  <c r="U1476" i="15"/>
  <c r="U1475" i="15"/>
  <c r="E1480" i="7"/>
  <c r="F1480" i="7"/>
  <c r="G1480" i="7"/>
  <c r="H1480" i="7"/>
  <c r="I1480" i="7"/>
  <c r="J1480" i="7"/>
  <c r="K1480" i="7"/>
  <c r="L1480" i="7"/>
  <c r="M1480" i="7"/>
  <c r="N1480" i="7"/>
  <c r="O1480" i="7"/>
  <c r="P1480" i="7"/>
  <c r="Q1480" i="7"/>
  <c r="R1480" i="7"/>
  <c r="S1480" i="7"/>
  <c r="T1480" i="7"/>
  <c r="U1480" i="7"/>
  <c r="V1480" i="7"/>
  <c r="W1480" i="7"/>
  <c r="X1480" i="7"/>
  <c r="Y1480" i="7"/>
  <c r="Z1480" i="7"/>
  <c r="AA1480" i="7"/>
  <c r="AB1480" i="7"/>
  <c r="AD1480" i="7"/>
  <c r="AE1480" i="7"/>
  <c r="D1484" i="7"/>
  <c r="D1483" i="7"/>
  <c r="D1482" i="7"/>
  <c r="V1548" i="15" l="1"/>
  <c r="U1553" i="15"/>
  <c r="U1554" i="15"/>
  <c r="AC1222" i="7" l="1"/>
  <c r="U1555" i="15" l="1"/>
  <c r="U1556" i="15"/>
  <c r="U1557" i="15"/>
  <c r="U1558" i="15"/>
  <c r="U1559" i="15"/>
  <c r="T1553" i="15"/>
  <c r="T1554" i="15"/>
  <c r="T1555" i="15"/>
  <c r="T1556" i="15"/>
  <c r="T1557" i="15"/>
  <c r="T1558" i="15"/>
  <c r="T1559" i="15"/>
  <c r="D1560" i="7"/>
  <c r="D1561" i="7"/>
  <c r="D1562" i="7"/>
  <c r="D1563" i="7"/>
  <c r="D1564" i="7"/>
  <c r="D1565" i="7"/>
  <c r="D1566" i="7"/>
  <c r="C26" i="14" l="1"/>
  <c r="R1454" i="15" l="1"/>
  <c r="S1454" i="15"/>
  <c r="Q1454" i="15"/>
  <c r="R1446" i="15"/>
  <c r="S1446" i="15"/>
  <c r="Q1446" i="15"/>
  <c r="R1444" i="15"/>
  <c r="S1444" i="15"/>
  <c r="Q1444" i="15"/>
  <c r="R1440" i="15"/>
  <c r="S1440" i="15"/>
  <c r="Q1440" i="15"/>
  <c r="R1435" i="15"/>
  <c r="S1435" i="15"/>
  <c r="Q1435" i="15"/>
  <c r="R1432" i="15"/>
  <c r="S1432" i="15"/>
  <c r="Q1432" i="15"/>
  <c r="R1430" i="15"/>
  <c r="S1430" i="15"/>
  <c r="Q1430" i="15"/>
  <c r="R1428" i="15"/>
  <c r="S1428" i="15"/>
  <c r="Q1428" i="15"/>
  <c r="R1425" i="15"/>
  <c r="S1425" i="15"/>
  <c r="Q1425" i="15"/>
  <c r="R1422" i="15"/>
  <c r="S1422" i="15"/>
  <c r="Q1422" i="15"/>
  <c r="R1418" i="15"/>
  <c r="S1418" i="15"/>
  <c r="Q1418" i="15"/>
  <c r="R1413" i="15"/>
  <c r="S1413" i="15"/>
  <c r="Q1413" i="15"/>
  <c r="R1409" i="15"/>
  <c r="S1409" i="15"/>
  <c r="Q1409" i="15"/>
  <c r="R1405" i="15"/>
  <c r="S1405" i="15"/>
  <c r="Q1405" i="15"/>
  <c r="K1405" i="15"/>
  <c r="J1405" i="15"/>
  <c r="R1397" i="15"/>
  <c r="S1397" i="15"/>
  <c r="Q1397" i="15"/>
  <c r="R1395" i="15"/>
  <c r="S1395" i="15"/>
  <c r="Q1395" i="15"/>
  <c r="R1393" i="15"/>
  <c r="S1393" i="15"/>
  <c r="Q1393" i="15"/>
  <c r="R1390" i="15"/>
  <c r="S1390" i="15"/>
  <c r="Q1390" i="15"/>
  <c r="R1386" i="15"/>
  <c r="S1386" i="15"/>
  <c r="Q1386" i="15"/>
  <c r="R1384" i="15"/>
  <c r="S1384" i="15"/>
  <c r="R1382" i="15"/>
  <c r="S1382" i="15"/>
  <c r="Q1384" i="15"/>
  <c r="Q1382" i="15"/>
  <c r="R1380" i="15"/>
  <c r="S1380" i="15"/>
  <c r="Q1380" i="15"/>
  <c r="R1376" i="15"/>
  <c r="S1376" i="15"/>
  <c r="Q1376" i="15"/>
  <c r="R1374" i="15"/>
  <c r="S1374" i="15"/>
  <c r="Q1374" i="15"/>
  <c r="R1372" i="15"/>
  <c r="S1372" i="15"/>
  <c r="Q1372" i="15"/>
  <c r="R1365" i="15"/>
  <c r="S1365" i="15"/>
  <c r="Q1365" i="15"/>
  <c r="R1363" i="15"/>
  <c r="S1363" i="15"/>
  <c r="Q1363" i="15"/>
  <c r="R1356" i="15"/>
  <c r="S1356" i="15"/>
  <c r="Q1356" i="15"/>
  <c r="R1353" i="15"/>
  <c r="S1353" i="15"/>
  <c r="Q1353" i="15"/>
  <c r="R1330" i="15"/>
  <c r="S1330" i="15"/>
  <c r="Q1330" i="15"/>
  <c r="R1325" i="15"/>
  <c r="S1325" i="15"/>
  <c r="Q1325" i="15"/>
  <c r="R1321" i="15"/>
  <c r="S1321" i="15"/>
  <c r="Q1321" i="15"/>
  <c r="R1318" i="15"/>
  <c r="S1318" i="15"/>
  <c r="Q1318" i="15"/>
  <c r="R1313" i="15"/>
  <c r="S1313" i="15"/>
  <c r="Q1313" i="15"/>
  <c r="R1310" i="15"/>
  <c r="S1310" i="15"/>
  <c r="Q1310" i="15"/>
  <c r="R1308" i="15"/>
  <c r="S1308" i="15"/>
  <c r="Q1308" i="15"/>
  <c r="R1306" i="15"/>
  <c r="S1306" i="15"/>
  <c r="Q1306" i="15"/>
  <c r="R1304" i="15"/>
  <c r="S1304" i="15"/>
  <c r="Q1304" i="15"/>
  <c r="R1302" i="15"/>
  <c r="S1302" i="15"/>
  <c r="Q1302" i="15"/>
  <c r="R1295" i="15"/>
  <c r="S1295" i="15"/>
  <c r="Q1295" i="15"/>
  <c r="R1289" i="15"/>
  <c r="S1289" i="15"/>
  <c r="Q1289" i="15"/>
  <c r="R1287" i="15"/>
  <c r="S1287" i="15"/>
  <c r="Q1287" i="15"/>
  <c r="R1274" i="15"/>
  <c r="S1274" i="15"/>
  <c r="Q1274" i="15"/>
  <c r="R1271" i="15"/>
  <c r="S1271" i="15"/>
  <c r="Q1271" i="15"/>
  <c r="R1268" i="15"/>
  <c r="S1268" i="15"/>
  <c r="Q1268" i="15"/>
  <c r="R1264" i="15"/>
  <c r="S1264" i="15"/>
  <c r="Q1264" i="15"/>
  <c r="R1262" i="15"/>
  <c r="S1262" i="15"/>
  <c r="Q1262" i="15"/>
  <c r="R1258" i="15"/>
  <c r="S1258" i="15"/>
  <c r="Q1258" i="15"/>
  <c r="R1251" i="15"/>
  <c r="S1251" i="15"/>
  <c r="Q1251" i="15"/>
  <c r="R1224" i="15"/>
  <c r="S1224" i="15"/>
  <c r="Q1224" i="15"/>
  <c r="R1212" i="15"/>
  <c r="S1212" i="15"/>
  <c r="Q1212" i="15"/>
  <c r="R1175" i="15"/>
  <c r="S1175" i="15"/>
  <c r="Q1175" i="15"/>
  <c r="R1105" i="15"/>
  <c r="S1105" i="15"/>
  <c r="Q1105" i="15"/>
  <c r="S1024" i="15" l="1"/>
  <c r="R1024" i="15"/>
  <c r="Q1024" i="15"/>
  <c r="T1456" i="15"/>
  <c r="T1455" i="15"/>
  <c r="T1453" i="15"/>
  <c r="T1452" i="15"/>
  <c r="T1450" i="15"/>
  <c r="T1449" i="15"/>
  <c r="T1447" i="15"/>
  <c r="T1446" i="15" s="1"/>
  <c r="T1445" i="15"/>
  <c r="T1444" i="15" s="1"/>
  <c r="T1443" i="15"/>
  <c r="T1442" i="15"/>
  <c r="T1441" i="15"/>
  <c r="T1439" i="15"/>
  <c r="T1438" i="15"/>
  <c r="T1437" i="15"/>
  <c r="T1436" i="15"/>
  <c r="T1434" i="15"/>
  <c r="T1433" i="15"/>
  <c r="T1431" i="15"/>
  <c r="T1430" i="15" s="1"/>
  <c r="T1429" i="15"/>
  <c r="T1428" i="15" s="1"/>
  <c r="T1427" i="15"/>
  <c r="T1426" i="15"/>
  <c r="T1424" i="15"/>
  <c r="T1423" i="15"/>
  <c r="T1421" i="15"/>
  <c r="T1420" i="15"/>
  <c r="T1419" i="15"/>
  <c r="T1417" i="15"/>
  <c r="T1416" i="15"/>
  <c r="T1415" i="15"/>
  <c r="T1414" i="15"/>
  <c r="T1412" i="15"/>
  <c r="T1411" i="15"/>
  <c r="T1410" i="15"/>
  <c r="T1408" i="15"/>
  <c r="T1407" i="15" s="1"/>
  <c r="T1406" i="15"/>
  <c r="T1405" i="15" s="1"/>
  <c r="T1403" i="15"/>
  <c r="T1402" i="15" s="1"/>
  <c r="T1401" i="15"/>
  <c r="T1400" i="15"/>
  <c r="T1399" i="15"/>
  <c r="T1398" i="15"/>
  <c r="T1396" i="15"/>
  <c r="T1395" i="15" s="1"/>
  <c r="T1394" i="15"/>
  <c r="T1393" i="15" s="1"/>
  <c r="T1392" i="15"/>
  <c r="T1391" i="15"/>
  <c r="T1389" i="15"/>
  <c r="T1388" i="15"/>
  <c r="T1387" i="15"/>
  <c r="T1385" i="15"/>
  <c r="T1384" i="15" s="1"/>
  <c r="T1383" i="15"/>
  <c r="T1382" i="15" s="1"/>
  <c r="T1381" i="15"/>
  <c r="T1380" i="15" s="1"/>
  <c r="T1379" i="15"/>
  <c r="T1378" i="15"/>
  <c r="T1377" i="15"/>
  <c r="T1375" i="15"/>
  <c r="T1374" i="15" s="1"/>
  <c r="T1373" i="15"/>
  <c r="T1372" i="15" s="1"/>
  <c r="T1371" i="15"/>
  <c r="T1370" i="15"/>
  <c r="T1368" i="15"/>
  <c r="T1367" i="15"/>
  <c r="T1366" i="15"/>
  <c r="T1364" i="15"/>
  <c r="T1362" i="15"/>
  <c r="T1361" i="15"/>
  <c r="T1360" i="15"/>
  <c r="T1359" i="15"/>
  <c r="T1357" i="15"/>
  <c r="T1355" i="15"/>
  <c r="T1354" i="15"/>
  <c r="T1345" i="15"/>
  <c r="T1344" i="15"/>
  <c r="T1343" i="15"/>
  <c r="T1342" i="15"/>
  <c r="T1341" i="15"/>
  <c r="T1340" i="15"/>
  <c r="T1339" i="15"/>
  <c r="T1338" i="15"/>
  <c r="T1337" i="15"/>
  <c r="T1336" i="15"/>
  <c r="T1333" i="15"/>
  <c r="T1332" i="15" s="1"/>
  <c r="T1331" i="15"/>
  <c r="T1330" i="15" s="1"/>
  <c r="T1327" i="15"/>
  <c r="T1326" i="15"/>
  <c r="T1324" i="15"/>
  <c r="T1323" i="15"/>
  <c r="T1322" i="15"/>
  <c r="T1320" i="15"/>
  <c r="T1319" i="15"/>
  <c r="T1317" i="15"/>
  <c r="T1316" i="15"/>
  <c r="T1315" i="15"/>
  <c r="T1314" i="15"/>
  <c r="T1312" i="15"/>
  <c r="T1311" i="15"/>
  <c r="T1309" i="15"/>
  <c r="T1308" i="15" s="1"/>
  <c r="T1307" i="15"/>
  <c r="T1306" i="15" s="1"/>
  <c r="T1305" i="15"/>
  <c r="T1304" i="15" s="1"/>
  <c r="T1303" i="15"/>
  <c r="T1302" i="15" s="1"/>
  <c r="T1300" i="15"/>
  <c r="T1299" i="15"/>
  <c r="T1297" i="15"/>
  <c r="T1296" i="15"/>
  <c r="T1294" i="15"/>
  <c r="T1293" i="15"/>
  <c r="T1292" i="15"/>
  <c r="T1291" i="15"/>
  <c r="T1290" i="15"/>
  <c r="T1288" i="15"/>
  <c r="T1287" i="15" s="1"/>
  <c r="T1286" i="15"/>
  <c r="T1285" i="15"/>
  <c r="T1284" i="15"/>
  <c r="T1283" i="15"/>
  <c r="T1282" i="15"/>
  <c r="T1281" i="15"/>
  <c r="T1280" i="15"/>
  <c r="T1279" i="15"/>
  <c r="T1278" i="15"/>
  <c r="T1277" i="15"/>
  <c r="T1276" i="15"/>
  <c r="T1275" i="15"/>
  <c r="T1273" i="15"/>
  <c r="T1272" i="15"/>
  <c r="T1270" i="15"/>
  <c r="T1269" i="15"/>
  <c r="T1267" i="15"/>
  <c r="T1266" i="15"/>
  <c r="T1265" i="15"/>
  <c r="T1263" i="15"/>
  <c r="T1262" i="15" s="1"/>
  <c r="T1261" i="15"/>
  <c r="T1260" i="15"/>
  <c r="T1259" i="15"/>
  <c r="T1257" i="15"/>
  <c r="T1256" i="15"/>
  <c r="T1255" i="15"/>
  <c r="T1254" i="15"/>
  <c r="T1253" i="15"/>
  <c r="T1252" i="15"/>
  <c r="T1249" i="15"/>
  <c r="T1248" i="15"/>
  <c r="T1247" i="15"/>
  <c r="T1246" i="15"/>
  <c r="T1244" i="15"/>
  <c r="T1243" i="15"/>
  <c r="T1242" i="15"/>
  <c r="T1241" i="15"/>
  <c r="T1240" i="15"/>
  <c r="T1239" i="15"/>
  <c r="T1238" i="15"/>
  <c r="T1237" i="15"/>
  <c r="T1236" i="15"/>
  <c r="T1235" i="15"/>
  <c r="T1234" i="15"/>
  <c r="T1233" i="15"/>
  <c r="T1232" i="15"/>
  <c r="T1231" i="15"/>
  <c r="T1230" i="15"/>
  <c r="T1229" i="15"/>
  <c r="T1228" i="15"/>
  <c r="T1227" i="15"/>
  <c r="T1226" i="15"/>
  <c r="T1225" i="15"/>
  <c r="T1223" i="15"/>
  <c r="T1222" i="15"/>
  <c r="T1221" i="15"/>
  <c r="T1220" i="15"/>
  <c r="T1219" i="15"/>
  <c r="T1218" i="15"/>
  <c r="T1217" i="15"/>
  <c r="T1216" i="15"/>
  <c r="T1215" i="15"/>
  <c r="T1214" i="15"/>
  <c r="T1213" i="15"/>
  <c r="T1211" i="15"/>
  <c r="T1210" i="15"/>
  <c r="T1209" i="15"/>
  <c r="T1208" i="15"/>
  <c r="T1207" i="15"/>
  <c r="T1206" i="15"/>
  <c r="T1205" i="15"/>
  <c r="T1204" i="15"/>
  <c r="T1203" i="15"/>
  <c r="T1202" i="15"/>
  <c r="T1201" i="15"/>
  <c r="T1200" i="15"/>
  <c r="T1199" i="15"/>
  <c r="T1198" i="15"/>
  <c r="T1197" i="15"/>
  <c r="T1196" i="15"/>
  <c r="T1195" i="15"/>
  <c r="T1194" i="15"/>
  <c r="T1193" i="15"/>
  <c r="T1192" i="15"/>
  <c r="T1191" i="15"/>
  <c r="T1190" i="15"/>
  <c r="T1189" i="15"/>
  <c r="T1188" i="15"/>
  <c r="T1187" i="15"/>
  <c r="T1186" i="15"/>
  <c r="T1185" i="15"/>
  <c r="T1184" i="15"/>
  <c r="T1183" i="15"/>
  <c r="T1182" i="15"/>
  <c r="T1181" i="15"/>
  <c r="T1180" i="15"/>
  <c r="T1179" i="15"/>
  <c r="T1178" i="15"/>
  <c r="T1177" i="15"/>
  <c r="T1176" i="15"/>
  <c r="T1174" i="15"/>
  <c r="T1173" i="15"/>
  <c r="T1172" i="15"/>
  <c r="T1171" i="15"/>
  <c r="T1170" i="15"/>
  <c r="T1169" i="15"/>
  <c r="T1168" i="15"/>
  <c r="T1167" i="15"/>
  <c r="T1166" i="15"/>
  <c r="T1165" i="15"/>
  <c r="T1164" i="15"/>
  <c r="T1163" i="15"/>
  <c r="T1162" i="15"/>
  <c r="T1161" i="15"/>
  <c r="T1160" i="15"/>
  <c r="T1159" i="15"/>
  <c r="T1158" i="15"/>
  <c r="T1157" i="15"/>
  <c r="T1156" i="15"/>
  <c r="T1155" i="15"/>
  <c r="T1154" i="15"/>
  <c r="T1153" i="15"/>
  <c r="T1152" i="15"/>
  <c r="T1151" i="15"/>
  <c r="T1150" i="15"/>
  <c r="T1149" i="15"/>
  <c r="T1148" i="15"/>
  <c r="T1147" i="15"/>
  <c r="T1145" i="15"/>
  <c r="T1144" i="15"/>
  <c r="T1143" i="15"/>
  <c r="T1142" i="15"/>
  <c r="T1141" i="15"/>
  <c r="T1140" i="15"/>
  <c r="T1139" i="15"/>
  <c r="T1138" i="15"/>
  <c r="T1137" i="15"/>
  <c r="T1136" i="15"/>
  <c r="T1135" i="15"/>
  <c r="T1134" i="15"/>
  <c r="T1133" i="15"/>
  <c r="T1132" i="15"/>
  <c r="T1130" i="15"/>
  <c r="T1129" i="15"/>
  <c r="T1128" i="15"/>
  <c r="T1127" i="15"/>
  <c r="T1125" i="15"/>
  <c r="T1124" i="15"/>
  <c r="T1123" i="15"/>
  <c r="T1122" i="15"/>
  <c r="T1121" i="15"/>
  <c r="T1120" i="15"/>
  <c r="T1119" i="15"/>
  <c r="T1118" i="15"/>
  <c r="T1117" i="15"/>
  <c r="T1116" i="15"/>
  <c r="T1115" i="15"/>
  <c r="T1114" i="15"/>
  <c r="T1113" i="15"/>
  <c r="T1112" i="15"/>
  <c r="T1111" i="15"/>
  <c r="T1110" i="15"/>
  <c r="T1109" i="15"/>
  <c r="T1108" i="15"/>
  <c r="T1107" i="15"/>
  <c r="T1106" i="15"/>
  <c r="T1104" i="15"/>
  <c r="T1103" i="15"/>
  <c r="T1102" i="15"/>
  <c r="T1101" i="15"/>
  <c r="T1100" i="15"/>
  <c r="T1099" i="15"/>
  <c r="T1098" i="15"/>
  <c r="T1097" i="15"/>
  <c r="T1096" i="15"/>
  <c r="T1095" i="15"/>
  <c r="T1094" i="15"/>
  <c r="T1093" i="15"/>
  <c r="T1092" i="15"/>
  <c r="T1091" i="15"/>
  <c r="T1090" i="15"/>
  <c r="T1089" i="15"/>
  <c r="T1088" i="15"/>
  <c r="T1087" i="15"/>
  <c r="T1086" i="15"/>
  <c r="T1085" i="15"/>
  <c r="T1084" i="15"/>
  <c r="T1083" i="15"/>
  <c r="T1082" i="15"/>
  <c r="T1081" i="15"/>
  <c r="T1080" i="15"/>
  <c r="T1079" i="15"/>
  <c r="T1078" i="15"/>
  <c r="T1077" i="15"/>
  <c r="T1076" i="15"/>
  <c r="T1075" i="15"/>
  <c r="T1074" i="15"/>
  <c r="T1073" i="15"/>
  <c r="T1072" i="15"/>
  <c r="T1071" i="15"/>
  <c r="T1070" i="15"/>
  <c r="T1069" i="15"/>
  <c r="T1068" i="15"/>
  <c r="T1067" i="15"/>
  <c r="T1066" i="15"/>
  <c r="T1065" i="15"/>
  <c r="T1064" i="15"/>
  <c r="T1063" i="15"/>
  <c r="T1062" i="15"/>
  <c r="T1061" i="15"/>
  <c r="T1060" i="15"/>
  <c r="T1059" i="15"/>
  <c r="T1058" i="15"/>
  <c r="T1057" i="15"/>
  <c r="T1056" i="15"/>
  <c r="T1055" i="15"/>
  <c r="T1054" i="15"/>
  <c r="T1053" i="15"/>
  <c r="T1052" i="15"/>
  <c r="T1051" i="15"/>
  <c r="T1050" i="15"/>
  <c r="T1049" i="15"/>
  <c r="T1048" i="15"/>
  <c r="T1047" i="15"/>
  <c r="T1046" i="15"/>
  <c r="T1045" i="15"/>
  <c r="T1044" i="15"/>
  <c r="T1043" i="15"/>
  <c r="T1042" i="15"/>
  <c r="T1041" i="15"/>
  <c r="T1040" i="15"/>
  <c r="T1039" i="15"/>
  <c r="T1038" i="15"/>
  <c r="T1037" i="15"/>
  <c r="T1036" i="15"/>
  <c r="T1035" i="15"/>
  <c r="T1034" i="15"/>
  <c r="T1033" i="15"/>
  <c r="T1032" i="15"/>
  <c r="T1031" i="15"/>
  <c r="T1030" i="15"/>
  <c r="T1029" i="15"/>
  <c r="T1028" i="15"/>
  <c r="T1027" i="15"/>
  <c r="T1026" i="15"/>
  <c r="U1456" i="15"/>
  <c r="L1454" i="15"/>
  <c r="J1454" i="15"/>
  <c r="U1453" i="15"/>
  <c r="U1452" i="15"/>
  <c r="U1450" i="15"/>
  <c r="L1448" i="15"/>
  <c r="K1448" i="15"/>
  <c r="L1446" i="15"/>
  <c r="K1446" i="15"/>
  <c r="J1446" i="15"/>
  <c r="L1444" i="15"/>
  <c r="K1444" i="15"/>
  <c r="J1444" i="15"/>
  <c r="U1443" i="15"/>
  <c r="U1442" i="15"/>
  <c r="U1439" i="15"/>
  <c r="U1438" i="15"/>
  <c r="U1437" i="15"/>
  <c r="U1434" i="15"/>
  <c r="L1432" i="15"/>
  <c r="L1430" i="15"/>
  <c r="K1430" i="15"/>
  <c r="J1430" i="15"/>
  <c r="L1428" i="15"/>
  <c r="K1428" i="15"/>
  <c r="J1428" i="15"/>
  <c r="U1427" i="15"/>
  <c r="L1425" i="15"/>
  <c r="U1424" i="15"/>
  <c r="J1422" i="15"/>
  <c r="U1421" i="15"/>
  <c r="U1420" i="15"/>
  <c r="U1417" i="15"/>
  <c r="U1416" i="15"/>
  <c r="U1415" i="15"/>
  <c r="U1412" i="15"/>
  <c r="U1411" i="15"/>
  <c r="L1405" i="15"/>
  <c r="U1401" i="15"/>
  <c r="U1400" i="15"/>
  <c r="U1399" i="15"/>
  <c r="L1395" i="15"/>
  <c r="K1395" i="15"/>
  <c r="J1395" i="15"/>
  <c r="L1393" i="15"/>
  <c r="K1393" i="15"/>
  <c r="J1393" i="15"/>
  <c r="U1392" i="15"/>
  <c r="J1390" i="15"/>
  <c r="U1389" i="15"/>
  <c r="U1388" i="15"/>
  <c r="J1386" i="15"/>
  <c r="L1384" i="15"/>
  <c r="K1384" i="15"/>
  <c r="J1384" i="15"/>
  <c r="L1382" i="15"/>
  <c r="K1382" i="15"/>
  <c r="J1382" i="15"/>
  <c r="L1380" i="15"/>
  <c r="K1380" i="15"/>
  <c r="J1380" i="15"/>
  <c r="U1379" i="15"/>
  <c r="U1378" i="15"/>
  <c r="L1374" i="15"/>
  <c r="K1374" i="15"/>
  <c r="J1374" i="15"/>
  <c r="L1372" i="15"/>
  <c r="K1372" i="15"/>
  <c r="J1372" i="15"/>
  <c r="U1371" i="15"/>
  <c r="U1370" i="15"/>
  <c r="U1368" i="15"/>
  <c r="U1367" i="15"/>
  <c r="U1364" i="15"/>
  <c r="L1363" i="15"/>
  <c r="K1363" i="15"/>
  <c r="J1363" i="15"/>
  <c r="U1362" i="15"/>
  <c r="V1362" i="15" s="1"/>
  <c r="V1358" i="15" s="1"/>
  <c r="U1361" i="15"/>
  <c r="U1360" i="15"/>
  <c r="U1357" i="15"/>
  <c r="U1355" i="15"/>
  <c r="K1353" i="15"/>
  <c r="U1345" i="15"/>
  <c r="U1344" i="15"/>
  <c r="U1343" i="15"/>
  <c r="U1342" i="15"/>
  <c r="U1341" i="15"/>
  <c r="U1340" i="15"/>
  <c r="U1339" i="15"/>
  <c r="U1338" i="15"/>
  <c r="U1337" i="15"/>
  <c r="L1330" i="15"/>
  <c r="K1330" i="15"/>
  <c r="J1330" i="15"/>
  <c r="U1327" i="15"/>
  <c r="K1325" i="15"/>
  <c r="J1325" i="15"/>
  <c r="U1324" i="15"/>
  <c r="U1323" i="15"/>
  <c r="L1321" i="15"/>
  <c r="U1320" i="15"/>
  <c r="L1318" i="15"/>
  <c r="K1318" i="15"/>
  <c r="U1317" i="15"/>
  <c r="U1316" i="15"/>
  <c r="U1315" i="15"/>
  <c r="J1313" i="15"/>
  <c r="U1312" i="15"/>
  <c r="L1310" i="15"/>
  <c r="L1308" i="15"/>
  <c r="K1308" i="15"/>
  <c r="J1308" i="15"/>
  <c r="L1306" i="15"/>
  <c r="K1306" i="15"/>
  <c r="J1306" i="15"/>
  <c r="L1304" i="15"/>
  <c r="K1304" i="15"/>
  <c r="J1304" i="15"/>
  <c r="L1302" i="15"/>
  <c r="K1302" i="15"/>
  <c r="J1302" i="15"/>
  <c r="U1300" i="15"/>
  <c r="U1297" i="15"/>
  <c r="L1295" i="15"/>
  <c r="U1294" i="15"/>
  <c r="U1293" i="15"/>
  <c r="U1292" i="15"/>
  <c r="U1291" i="15"/>
  <c r="L1287" i="15"/>
  <c r="K1287" i="15"/>
  <c r="J1287" i="15"/>
  <c r="U1286" i="15"/>
  <c r="U1285" i="15"/>
  <c r="U1284" i="15"/>
  <c r="U1283" i="15"/>
  <c r="U1282" i="15"/>
  <c r="U1281" i="15"/>
  <c r="U1280" i="15"/>
  <c r="U1279" i="15"/>
  <c r="U1278" i="15"/>
  <c r="U1277" i="15"/>
  <c r="U1276" i="15"/>
  <c r="U1273" i="15"/>
  <c r="L1271" i="15"/>
  <c r="U1270" i="15"/>
  <c r="J1268" i="15"/>
  <c r="U1267" i="15"/>
  <c r="U1266" i="15"/>
  <c r="K1264" i="15"/>
  <c r="L1262" i="15"/>
  <c r="K1262" i="15"/>
  <c r="J1262" i="15"/>
  <c r="U1261" i="15"/>
  <c r="U1260" i="15"/>
  <c r="K1258" i="15"/>
  <c r="U1257" i="15"/>
  <c r="U1256" i="15"/>
  <c r="U1255" i="15"/>
  <c r="U1254" i="15"/>
  <c r="U1253" i="15"/>
  <c r="U1249" i="15"/>
  <c r="U1248" i="15"/>
  <c r="U1247" i="15"/>
  <c r="U1244" i="15"/>
  <c r="U1243" i="15"/>
  <c r="U1242" i="15"/>
  <c r="U1241" i="15"/>
  <c r="U1240" i="15"/>
  <c r="U1239" i="15"/>
  <c r="U1238" i="15"/>
  <c r="U1237" i="15"/>
  <c r="U1236" i="15"/>
  <c r="U1235" i="15"/>
  <c r="U1234" i="15"/>
  <c r="U1233" i="15"/>
  <c r="U1232" i="15"/>
  <c r="U1231" i="15"/>
  <c r="U1230" i="15"/>
  <c r="U1229" i="15"/>
  <c r="U1228" i="15"/>
  <c r="U1227" i="15"/>
  <c r="U1226" i="15"/>
  <c r="U1223" i="15"/>
  <c r="U1222" i="15"/>
  <c r="U1221" i="15"/>
  <c r="U1220" i="15"/>
  <c r="U1219" i="15"/>
  <c r="U1218" i="15"/>
  <c r="U1217" i="15"/>
  <c r="U1216" i="15"/>
  <c r="U1215" i="15"/>
  <c r="U1214" i="15"/>
  <c r="K1212" i="15"/>
  <c r="U1211" i="15"/>
  <c r="U1210" i="15"/>
  <c r="U1209" i="15"/>
  <c r="U1208" i="15"/>
  <c r="U1207" i="15"/>
  <c r="U1206" i="15"/>
  <c r="U1205" i="15"/>
  <c r="U1204" i="15"/>
  <c r="U1203" i="15"/>
  <c r="U1202" i="15"/>
  <c r="U1201" i="15"/>
  <c r="U1200" i="15"/>
  <c r="U1199" i="15"/>
  <c r="U1198" i="15"/>
  <c r="U1197" i="15"/>
  <c r="U1196" i="15"/>
  <c r="U1195" i="15"/>
  <c r="U1194" i="15"/>
  <c r="U1193" i="15"/>
  <c r="U1192" i="15"/>
  <c r="U1191" i="15"/>
  <c r="U1190" i="15"/>
  <c r="U1189" i="15"/>
  <c r="U1188" i="15"/>
  <c r="U1187" i="15"/>
  <c r="U1186" i="15"/>
  <c r="U1185" i="15"/>
  <c r="U1184" i="15"/>
  <c r="U1183" i="15"/>
  <c r="U1182" i="15"/>
  <c r="U1181" i="15"/>
  <c r="V1181" i="15" s="1"/>
  <c r="V1175" i="15" s="1"/>
  <c r="U1180" i="15"/>
  <c r="U1179" i="15"/>
  <c r="U1178" i="15"/>
  <c r="U1177" i="15"/>
  <c r="U1174" i="15"/>
  <c r="U1173" i="15"/>
  <c r="U1172" i="15"/>
  <c r="U1171" i="15"/>
  <c r="U1170" i="15"/>
  <c r="U1169" i="15"/>
  <c r="U1168" i="15"/>
  <c r="U1167" i="15"/>
  <c r="U1166" i="15"/>
  <c r="U1165" i="15"/>
  <c r="U1164" i="15"/>
  <c r="U1163" i="15"/>
  <c r="U1162" i="15"/>
  <c r="U1161" i="15"/>
  <c r="U1160" i="15"/>
  <c r="U1159" i="15"/>
  <c r="U1158" i="15"/>
  <c r="U1157" i="15"/>
  <c r="U1156" i="15"/>
  <c r="U1155" i="15"/>
  <c r="U1154" i="15"/>
  <c r="U1153" i="15"/>
  <c r="U1152" i="15"/>
  <c r="U1151" i="15"/>
  <c r="U1150" i="15"/>
  <c r="U1149" i="15"/>
  <c r="U1148" i="15"/>
  <c r="U1147" i="15"/>
  <c r="U1145" i="15"/>
  <c r="U1144" i="15"/>
  <c r="U1143" i="15"/>
  <c r="U1142" i="15"/>
  <c r="U1141" i="15"/>
  <c r="U1140" i="15"/>
  <c r="U1139" i="15"/>
  <c r="U1138" i="15"/>
  <c r="U1137" i="15"/>
  <c r="U1136" i="15"/>
  <c r="U1135" i="15"/>
  <c r="U1134" i="15"/>
  <c r="U1133" i="15"/>
  <c r="U1132" i="15"/>
  <c r="U1130" i="15"/>
  <c r="U1129" i="15"/>
  <c r="U1128" i="15"/>
  <c r="U1125" i="15"/>
  <c r="U1124" i="15"/>
  <c r="U1123" i="15"/>
  <c r="U1122" i="15"/>
  <c r="U1121" i="15"/>
  <c r="U1120" i="15"/>
  <c r="U1119" i="15"/>
  <c r="U1118" i="15"/>
  <c r="U1117" i="15"/>
  <c r="U1116" i="15"/>
  <c r="U1115" i="15"/>
  <c r="U1114" i="15"/>
  <c r="U1113" i="15"/>
  <c r="U1112" i="15"/>
  <c r="U1111" i="15"/>
  <c r="U1110" i="15"/>
  <c r="U1109" i="15"/>
  <c r="U1108" i="15"/>
  <c r="U1107" i="15"/>
  <c r="U1104" i="15"/>
  <c r="U1103" i="15"/>
  <c r="U1102" i="15"/>
  <c r="U1101" i="15"/>
  <c r="U1100" i="15"/>
  <c r="U1099" i="15"/>
  <c r="U1098" i="15"/>
  <c r="U1097" i="15"/>
  <c r="U1096" i="15"/>
  <c r="V1096" i="15" s="1"/>
  <c r="U1095" i="15"/>
  <c r="U1094" i="15"/>
  <c r="U1093" i="15"/>
  <c r="V1093" i="15" s="1"/>
  <c r="U1092" i="15"/>
  <c r="U1091" i="15"/>
  <c r="U1090" i="15"/>
  <c r="U1089" i="15"/>
  <c r="U1088" i="15"/>
  <c r="U1087" i="15"/>
  <c r="U1086" i="15"/>
  <c r="U1085" i="15"/>
  <c r="U1084" i="15"/>
  <c r="U1083" i="15"/>
  <c r="U1082" i="15"/>
  <c r="U1081" i="15"/>
  <c r="U1080" i="15"/>
  <c r="U1079" i="15"/>
  <c r="U1078" i="15"/>
  <c r="U1077" i="15"/>
  <c r="U1076" i="15"/>
  <c r="U1075" i="15"/>
  <c r="U1074" i="15"/>
  <c r="U1073" i="15"/>
  <c r="U1072" i="15"/>
  <c r="U1071" i="15"/>
  <c r="U1070" i="15"/>
  <c r="U1069" i="15"/>
  <c r="U1068" i="15"/>
  <c r="U1067" i="15"/>
  <c r="U1066" i="15"/>
  <c r="U1065" i="15"/>
  <c r="U1064" i="15"/>
  <c r="U1063" i="15"/>
  <c r="U1062" i="15"/>
  <c r="U1061" i="15"/>
  <c r="U1060" i="15"/>
  <c r="U1059" i="15"/>
  <c r="U1058" i="15"/>
  <c r="U1057" i="15"/>
  <c r="U1056" i="15"/>
  <c r="U1055" i="15"/>
  <c r="U1054" i="15"/>
  <c r="U1053" i="15"/>
  <c r="U1052" i="15"/>
  <c r="U1051" i="15"/>
  <c r="U1050" i="15"/>
  <c r="U1049" i="15"/>
  <c r="U1048" i="15"/>
  <c r="U1047" i="15"/>
  <c r="U1046" i="15"/>
  <c r="V1046" i="15" s="1"/>
  <c r="U1045" i="15"/>
  <c r="V1045" i="15" s="1"/>
  <c r="U1044" i="15"/>
  <c r="U1043" i="15"/>
  <c r="U1042" i="15"/>
  <c r="U1041" i="15"/>
  <c r="U1040" i="15"/>
  <c r="U1039" i="15"/>
  <c r="U1038" i="15"/>
  <c r="U1037" i="15"/>
  <c r="U1036" i="15"/>
  <c r="U1035" i="15"/>
  <c r="U1034" i="15"/>
  <c r="U1033" i="15"/>
  <c r="U1032" i="15"/>
  <c r="U1031" i="15"/>
  <c r="U1030" i="15"/>
  <c r="U1029" i="15"/>
  <c r="U1028" i="15"/>
  <c r="U1027" i="15"/>
  <c r="B1456" i="15"/>
  <c r="B1455" i="15"/>
  <c r="B1453" i="15"/>
  <c r="B1452" i="15"/>
  <c r="B1451" i="15"/>
  <c r="B1450" i="15"/>
  <c r="B1449" i="15"/>
  <c r="B1447" i="15"/>
  <c r="B1445" i="15"/>
  <c r="B1443" i="15"/>
  <c r="B1442" i="15"/>
  <c r="B1441" i="15"/>
  <c r="B1439" i="15"/>
  <c r="B1438" i="15"/>
  <c r="B1437" i="15"/>
  <c r="B1436" i="15"/>
  <c r="B1434" i="15"/>
  <c r="B1433" i="15"/>
  <c r="B1431" i="15"/>
  <c r="B1429" i="15"/>
  <c r="B1427" i="15"/>
  <c r="B1426" i="15"/>
  <c r="B1424" i="15"/>
  <c r="B1423" i="15"/>
  <c r="B1421" i="15"/>
  <c r="B1420" i="15"/>
  <c r="B1419" i="15"/>
  <c r="B1417" i="15"/>
  <c r="B1416" i="15"/>
  <c r="B1415" i="15"/>
  <c r="B1414" i="15"/>
  <c r="B1412" i="15"/>
  <c r="B1411" i="15"/>
  <c r="B1410" i="15"/>
  <c r="B1408" i="15"/>
  <c r="B1406" i="15"/>
  <c r="B1403" i="15"/>
  <c r="B1401" i="15"/>
  <c r="B1400" i="15"/>
  <c r="B1399" i="15"/>
  <c r="B1398" i="15"/>
  <c r="B1396" i="15"/>
  <c r="B1394" i="15"/>
  <c r="B1392" i="15"/>
  <c r="B1391" i="15"/>
  <c r="B1389" i="15"/>
  <c r="B1388" i="15"/>
  <c r="B1387" i="15"/>
  <c r="B1385" i="15"/>
  <c r="B1383" i="15"/>
  <c r="B1381" i="15"/>
  <c r="B1379" i="15"/>
  <c r="B1378" i="15"/>
  <c r="B1377" i="15"/>
  <c r="B1375" i="15"/>
  <c r="B1373" i="15"/>
  <c r="B1371" i="15"/>
  <c r="B1370" i="15"/>
  <c r="B1369" i="15"/>
  <c r="B1368" i="15"/>
  <c r="B1367" i="15"/>
  <c r="B1366" i="15"/>
  <c r="B1364" i="15"/>
  <c r="B1362" i="15"/>
  <c r="B1361" i="15"/>
  <c r="B1360" i="15"/>
  <c r="B1359" i="15"/>
  <c r="B1357" i="15"/>
  <c r="B1355" i="15"/>
  <c r="B1354" i="15"/>
  <c r="B1345" i="15"/>
  <c r="B1344" i="15"/>
  <c r="B1343" i="15"/>
  <c r="B1342" i="15"/>
  <c r="B1341" i="15"/>
  <c r="B1340" i="15"/>
  <c r="B1339" i="15"/>
  <c r="B1338" i="15"/>
  <c r="B1337" i="15"/>
  <c r="B1336" i="15"/>
  <c r="B1326" i="15"/>
  <c r="B1324" i="15"/>
  <c r="B1323" i="15"/>
  <c r="B1322" i="15"/>
  <c r="B1320" i="15"/>
  <c r="B1319" i="15"/>
  <c r="B1317" i="15"/>
  <c r="B1316" i="15"/>
  <c r="B1315" i="15"/>
  <c r="B1314" i="15"/>
  <c r="B1312" i="15"/>
  <c r="B1311" i="15"/>
  <c r="B1309" i="15"/>
  <c r="B1307" i="15"/>
  <c r="B1305" i="15"/>
  <c r="B1303" i="15"/>
  <c r="B1300" i="15"/>
  <c r="B1299" i="15"/>
  <c r="B1297" i="15"/>
  <c r="B1296" i="15"/>
  <c r="B1294" i="15"/>
  <c r="B1293" i="15"/>
  <c r="B1292" i="15"/>
  <c r="B1291" i="15"/>
  <c r="B1290" i="15"/>
  <c r="B1288" i="15"/>
  <c r="B1286" i="15"/>
  <c r="B1285" i="15"/>
  <c r="B1284" i="15"/>
  <c r="B1283" i="15"/>
  <c r="B1282" i="15"/>
  <c r="B1281" i="15"/>
  <c r="B1280" i="15"/>
  <c r="B1279" i="15"/>
  <c r="B1278" i="15"/>
  <c r="B1277" i="15"/>
  <c r="B1276" i="15"/>
  <c r="B1275" i="15"/>
  <c r="B1273" i="15"/>
  <c r="B1272" i="15"/>
  <c r="B1270" i="15"/>
  <c r="B1269" i="15"/>
  <c r="B1267" i="15"/>
  <c r="B1266" i="15"/>
  <c r="B1265" i="15"/>
  <c r="B1263" i="15"/>
  <c r="B1261" i="15"/>
  <c r="B1260" i="15"/>
  <c r="B1259" i="15"/>
  <c r="B1257" i="15"/>
  <c r="B1256" i="15"/>
  <c r="B1255" i="15"/>
  <c r="B1254" i="15"/>
  <c r="B1253" i="15"/>
  <c r="B1252" i="15"/>
  <c r="B1249" i="15"/>
  <c r="B1248" i="15"/>
  <c r="B1247" i="15"/>
  <c r="B1246" i="15"/>
  <c r="B1244" i="15"/>
  <c r="B1243" i="15"/>
  <c r="B1242" i="15"/>
  <c r="B1241" i="15"/>
  <c r="B1240" i="15"/>
  <c r="B1239" i="15"/>
  <c r="B1238" i="15"/>
  <c r="B1237" i="15"/>
  <c r="B1236" i="15"/>
  <c r="B1235" i="15"/>
  <c r="B1234" i="15"/>
  <c r="B1233" i="15"/>
  <c r="B1232" i="15"/>
  <c r="B1231" i="15"/>
  <c r="B1230" i="15"/>
  <c r="B1229" i="15"/>
  <c r="B1228" i="15"/>
  <c r="B1227" i="15"/>
  <c r="B1226" i="15"/>
  <c r="B1225" i="15"/>
  <c r="B1223" i="15"/>
  <c r="B1222" i="15"/>
  <c r="B1221" i="15"/>
  <c r="B1220" i="15"/>
  <c r="B1219" i="15"/>
  <c r="B1218" i="15"/>
  <c r="B1217" i="15"/>
  <c r="B1216" i="15"/>
  <c r="B1215" i="15"/>
  <c r="B1214" i="15"/>
  <c r="B1213" i="15"/>
  <c r="B1211" i="15"/>
  <c r="B1210" i="15"/>
  <c r="B1209" i="15"/>
  <c r="B1208" i="15"/>
  <c r="B1207" i="15"/>
  <c r="B1206" i="15"/>
  <c r="B1205" i="15"/>
  <c r="B1204" i="15"/>
  <c r="B1203" i="15"/>
  <c r="B1202" i="15"/>
  <c r="B1201" i="15"/>
  <c r="B1200" i="15"/>
  <c r="B1199" i="15"/>
  <c r="B1198" i="15"/>
  <c r="B1197" i="15"/>
  <c r="B1196" i="15"/>
  <c r="B1195" i="15"/>
  <c r="B1194" i="15"/>
  <c r="B1193" i="15"/>
  <c r="B1192" i="15"/>
  <c r="B1191" i="15"/>
  <c r="B1190" i="15"/>
  <c r="B1189" i="15"/>
  <c r="B1188" i="15"/>
  <c r="B1187" i="15"/>
  <c r="B1186" i="15"/>
  <c r="B1185" i="15"/>
  <c r="B1184" i="15"/>
  <c r="B1183" i="15"/>
  <c r="B1182" i="15"/>
  <c r="B1181" i="15"/>
  <c r="B1180" i="15"/>
  <c r="B1179" i="15"/>
  <c r="B1178" i="15"/>
  <c r="B1177" i="15"/>
  <c r="B1176" i="15"/>
  <c r="B1174" i="15"/>
  <c r="B1173" i="15"/>
  <c r="B1172" i="15"/>
  <c r="B1171" i="15"/>
  <c r="B1170" i="15"/>
  <c r="B1169" i="15"/>
  <c r="B1168" i="15"/>
  <c r="B1167" i="15"/>
  <c r="B1166" i="15"/>
  <c r="B1165" i="15"/>
  <c r="B1164" i="15"/>
  <c r="B1163" i="15"/>
  <c r="B1162" i="15"/>
  <c r="B1161" i="15"/>
  <c r="B1160" i="15"/>
  <c r="B1159" i="15"/>
  <c r="B1158" i="15"/>
  <c r="B1157" i="15"/>
  <c r="B1156" i="15"/>
  <c r="B1155" i="15"/>
  <c r="B1154" i="15"/>
  <c r="B1153" i="15"/>
  <c r="B1152" i="15"/>
  <c r="B1151" i="15"/>
  <c r="B1150" i="15"/>
  <c r="B1149" i="15"/>
  <c r="B1148" i="15"/>
  <c r="B1147" i="15"/>
  <c r="B1146" i="15"/>
  <c r="B1145" i="15"/>
  <c r="B1144" i="15"/>
  <c r="B1143" i="15"/>
  <c r="B1142" i="15"/>
  <c r="B1141" i="15"/>
  <c r="B1140" i="15"/>
  <c r="B1139" i="15"/>
  <c r="B1138" i="15"/>
  <c r="B1137" i="15"/>
  <c r="B1136" i="15"/>
  <c r="B1135" i="15"/>
  <c r="B1134" i="15"/>
  <c r="B1133" i="15"/>
  <c r="B1132" i="15"/>
  <c r="B1131" i="15"/>
  <c r="B1130" i="15"/>
  <c r="B1129" i="15"/>
  <c r="B1128" i="15"/>
  <c r="B1127" i="15"/>
  <c r="B1125" i="15"/>
  <c r="B1124" i="15"/>
  <c r="B1123" i="15"/>
  <c r="B1122" i="15"/>
  <c r="B1121" i="15"/>
  <c r="B1120" i="15"/>
  <c r="B1119" i="15"/>
  <c r="B1118" i="15"/>
  <c r="B1117" i="15"/>
  <c r="B1116" i="15"/>
  <c r="B1115" i="15"/>
  <c r="B1114" i="15"/>
  <c r="B1113" i="15"/>
  <c r="B1112" i="15"/>
  <c r="B1111" i="15"/>
  <c r="B1110" i="15"/>
  <c r="B1109" i="15"/>
  <c r="B1108" i="15"/>
  <c r="B1107" i="15"/>
  <c r="B1106" i="15"/>
  <c r="B1102" i="15"/>
  <c r="B1101" i="15"/>
  <c r="B1100" i="15"/>
  <c r="B1099" i="15"/>
  <c r="B1098" i="15"/>
  <c r="B1097" i="15"/>
  <c r="B1096" i="15"/>
  <c r="B1095" i="15"/>
  <c r="B1094" i="15"/>
  <c r="B1093" i="15"/>
  <c r="B1092" i="15"/>
  <c r="B1091" i="15"/>
  <c r="B1090" i="15"/>
  <c r="B1089" i="15"/>
  <c r="B1088" i="15"/>
  <c r="B1087" i="15"/>
  <c r="B1086" i="15"/>
  <c r="B1085" i="15"/>
  <c r="B1084" i="15"/>
  <c r="B1083" i="15"/>
  <c r="B1082" i="15"/>
  <c r="B1081" i="15"/>
  <c r="B1080" i="15"/>
  <c r="B1079" i="15"/>
  <c r="B1078" i="15"/>
  <c r="B1077" i="15"/>
  <c r="B1076" i="15"/>
  <c r="B1075" i="15"/>
  <c r="B1074" i="15"/>
  <c r="B1073" i="15"/>
  <c r="B1072" i="15"/>
  <c r="B1071" i="15"/>
  <c r="B1070" i="15"/>
  <c r="B1069" i="15"/>
  <c r="B1068" i="15"/>
  <c r="B1067" i="15"/>
  <c r="B1066" i="15"/>
  <c r="B1065" i="15"/>
  <c r="B1064" i="15"/>
  <c r="B1063" i="15"/>
  <c r="B1062" i="15"/>
  <c r="B1061" i="15"/>
  <c r="B1060" i="15"/>
  <c r="B1059" i="15"/>
  <c r="B1058" i="15"/>
  <c r="B1057" i="15"/>
  <c r="B1056" i="15"/>
  <c r="B1055" i="15"/>
  <c r="B1054" i="15"/>
  <c r="B1053" i="15"/>
  <c r="B1052" i="15"/>
  <c r="B1051" i="15"/>
  <c r="B1050" i="15"/>
  <c r="B1049" i="15"/>
  <c r="B1048" i="15"/>
  <c r="B1047" i="15"/>
  <c r="B1046" i="15"/>
  <c r="B1045" i="15"/>
  <c r="B1044" i="15"/>
  <c r="B1043" i="15"/>
  <c r="B1042" i="15"/>
  <c r="B1041" i="15"/>
  <c r="B1040" i="15"/>
  <c r="B1039" i="15"/>
  <c r="B1038" i="15"/>
  <c r="B1037" i="15"/>
  <c r="B1036" i="15"/>
  <c r="B1035" i="15"/>
  <c r="B1034" i="15"/>
  <c r="B1033" i="15"/>
  <c r="B1032" i="15"/>
  <c r="B1031" i="15"/>
  <c r="B1030" i="15"/>
  <c r="B1029" i="15"/>
  <c r="B1028" i="15"/>
  <c r="B1027" i="15"/>
  <c r="B1026" i="15"/>
  <c r="V1025" i="15" l="1"/>
  <c r="T1298" i="15"/>
  <c r="T1335" i="15"/>
  <c r="T1358" i="15"/>
  <c r="T1245" i="15"/>
  <c r="T1418" i="15"/>
  <c r="T1025" i="15"/>
  <c r="T1313" i="15"/>
  <c r="T1413" i="15"/>
  <c r="T1325" i="15"/>
  <c r="T1363" i="15"/>
  <c r="T1390" i="15"/>
  <c r="T1409" i="15"/>
  <c r="T1425" i="15"/>
  <c r="T1432" i="15"/>
  <c r="T1454" i="15"/>
  <c r="T1268" i="15"/>
  <c r="T1274" i="15"/>
  <c r="T1318" i="15"/>
  <c r="J1212" i="15"/>
  <c r="K1271" i="15"/>
  <c r="K1295" i="15"/>
  <c r="K1310" i="15"/>
  <c r="L1353" i="15"/>
  <c r="J1356" i="15"/>
  <c r="K1386" i="15"/>
  <c r="K1390" i="15"/>
  <c r="L1418" i="15"/>
  <c r="K1422" i="15"/>
  <c r="K1440" i="15"/>
  <c r="K1105" i="15"/>
  <c r="L1126" i="15"/>
  <c r="L1212" i="15"/>
  <c r="J1224" i="15"/>
  <c r="J1251" i="15"/>
  <c r="L1258" i="15"/>
  <c r="L1264" i="15"/>
  <c r="K1268" i="15"/>
  <c r="K1274" i="15"/>
  <c r="L1289" i="15"/>
  <c r="K1313" i="15"/>
  <c r="J1321" i="15"/>
  <c r="L1325" i="15"/>
  <c r="K1356" i="15"/>
  <c r="J1358" i="15"/>
  <c r="J1365" i="15"/>
  <c r="J1376" i="15"/>
  <c r="L1386" i="15"/>
  <c r="L1390" i="15"/>
  <c r="L1397" i="15"/>
  <c r="L1407" i="15"/>
  <c r="J1409" i="15"/>
  <c r="L1422" i="15"/>
  <c r="J1425" i="15"/>
  <c r="J1432" i="15"/>
  <c r="L1435" i="15"/>
  <c r="L1440" i="15"/>
  <c r="L1356" i="15"/>
  <c r="U1176" i="15"/>
  <c r="I1175" i="15"/>
  <c r="U1175" i="15" s="1"/>
  <c r="U1272" i="15"/>
  <c r="I1271" i="15"/>
  <c r="U1271" i="15" s="1"/>
  <c r="U1296" i="15"/>
  <c r="I1295" i="15"/>
  <c r="U1295" i="15" s="1"/>
  <c r="U1303" i="15"/>
  <c r="I1302" i="15"/>
  <c r="U1302" i="15" s="1"/>
  <c r="U1311" i="15"/>
  <c r="I1310" i="15"/>
  <c r="U1310" i="15" s="1"/>
  <c r="U1319" i="15"/>
  <c r="I1318" i="15"/>
  <c r="U1318" i="15" s="1"/>
  <c r="U1354" i="15"/>
  <c r="I1353" i="15"/>
  <c r="U1353" i="15" s="1"/>
  <c r="I1363" i="15"/>
  <c r="U1363" i="15" s="1"/>
  <c r="U1375" i="15"/>
  <c r="I1374" i="15"/>
  <c r="U1374" i="15" s="1"/>
  <c r="U1381" i="15"/>
  <c r="I1380" i="15"/>
  <c r="U1380" i="15" s="1"/>
  <c r="U1406" i="15"/>
  <c r="I1405" i="15"/>
  <c r="U1405" i="15" s="1"/>
  <c r="U1414" i="15"/>
  <c r="I1413" i="15"/>
  <c r="U1413" i="15" s="1"/>
  <c r="U1419" i="15"/>
  <c r="I1418" i="15"/>
  <c r="U1418" i="15" s="1"/>
  <c r="U1431" i="15"/>
  <c r="I1430" i="15"/>
  <c r="U1430" i="15" s="1"/>
  <c r="U1449" i="15"/>
  <c r="I1448" i="15"/>
  <c r="U1448" i="15" s="1"/>
  <c r="U1026" i="15"/>
  <c r="L1105" i="15"/>
  <c r="U1127" i="15"/>
  <c r="I1126" i="15"/>
  <c r="J1175" i="15"/>
  <c r="U1213" i="15"/>
  <c r="I1212" i="15"/>
  <c r="U1212" i="15" s="1"/>
  <c r="K1224" i="15"/>
  <c r="K1251" i="15"/>
  <c r="U1259" i="15"/>
  <c r="I1258" i="15"/>
  <c r="U1258" i="15" s="1"/>
  <c r="U1265" i="15"/>
  <c r="I1264" i="15"/>
  <c r="U1264" i="15" s="1"/>
  <c r="L1268" i="15"/>
  <c r="J1271" i="15"/>
  <c r="L1274" i="15"/>
  <c r="U1290" i="15"/>
  <c r="I1289" i="15"/>
  <c r="U1289" i="15" s="1"/>
  <c r="J1295" i="15"/>
  <c r="U1309" i="15"/>
  <c r="I1308" i="15"/>
  <c r="U1308" i="15" s="1"/>
  <c r="J1310" i="15"/>
  <c r="L1313" i="15"/>
  <c r="J1318" i="15"/>
  <c r="K1321" i="15"/>
  <c r="U1326" i="15"/>
  <c r="I1325" i="15"/>
  <c r="U1325" i="15" s="1"/>
  <c r="U1336" i="15"/>
  <c r="U1335" i="15"/>
  <c r="J1353" i="15"/>
  <c r="K1358" i="15"/>
  <c r="K1365" i="15"/>
  <c r="U1373" i="15"/>
  <c r="I1372" i="15"/>
  <c r="U1372" i="15" s="1"/>
  <c r="K1376" i="15"/>
  <c r="U1387" i="15"/>
  <c r="I1386" i="15"/>
  <c r="U1386" i="15" s="1"/>
  <c r="U1391" i="15"/>
  <c r="I1390" i="15"/>
  <c r="U1390" i="15" s="1"/>
  <c r="U1398" i="15"/>
  <c r="I1397" i="15"/>
  <c r="U1397" i="15" s="1"/>
  <c r="U1403" i="15"/>
  <c r="U1402" i="15"/>
  <c r="U1408" i="15"/>
  <c r="I1407" i="15"/>
  <c r="U1407" i="15" s="1"/>
  <c r="K1409" i="15"/>
  <c r="J1413" i="15"/>
  <c r="J1418" i="15"/>
  <c r="U1423" i="15"/>
  <c r="I1422" i="15"/>
  <c r="U1422" i="15" s="1"/>
  <c r="K1425" i="15"/>
  <c r="U1429" i="15"/>
  <c r="I1428" i="15"/>
  <c r="U1428" i="15" s="1"/>
  <c r="K1432" i="15"/>
  <c r="U1436" i="15"/>
  <c r="I1435" i="15"/>
  <c r="U1435" i="15" s="1"/>
  <c r="U1441" i="15"/>
  <c r="I1440" i="15"/>
  <c r="U1440" i="15" s="1"/>
  <c r="U1447" i="15"/>
  <c r="I1446" i="15"/>
  <c r="U1446" i="15" s="1"/>
  <c r="J1448" i="15"/>
  <c r="K1454" i="15"/>
  <c r="T1258" i="15"/>
  <c r="T1264" i="15"/>
  <c r="T1289" i="15"/>
  <c r="T1386" i="15"/>
  <c r="T1397" i="15"/>
  <c r="U1106" i="15"/>
  <c r="I1105" i="15"/>
  <c r="J1126" i="15"/>
  <c r="K1175" i="15"/>
  <c r="L1224" i="15"/>
  <c r="L1251" i="15"/>
  <c r="J1258" i="15"/>
  <c r="U1263" i="15"/>
  <c r="I1262" i="15"/>
  <c r="U1262" i="15" s="1"/>
  <c r="J1264" i="15"/>
  <c r="U1269" i="15"/>
  <c r="I1268" i="15"/>
  <c r="U1268" i="15" s="1"/>
  <c r="U1275" i="15"/>
  <c r="I1274" i="15"/>
  <c r="U1274" i="15" s="1"/>
  <c r="U1288" i="15"/>
  <c r="I1287" i="15"/>
  <c r="U1287" i="15" s="1"/>
  <c r="J1289" i="15"/>
  <c r="U1299" i="15"/>
  <c r="U1298" i="15"/>
  <c r="U1307" i="15"/>
  <c r="I1306" i="15"/>
  <c r="U1306" i="15" s="1"/>
  <c r="U1314" i="15"/>
  <c r="I1313" i="15"/>
  <c r="U1313" i="15" s="1"/>
  <c r="U1333" i="15"/>
  <c r="U1332" i="15"/>
  <c r="I1356" i="15"/>
  <c r="U1356" i="15" s="1"/>
  <c r="L1358" i="15"/>
  <c r="L1365" i="15"/>
  <c r="L1376" i="15"/>
  <c r="U1385" i="15"/>
  <c r="I1384" i="15"/>
  <c r="U1384" i="15" s="1"/>
  <c r="U1396" i="15"/>
  <c r="I1395" i="15"/>
  <c r="U1395" i="15" s="1"/>
  <c r="J1397" i="15"/>
  <c r="J1407" i="15"/>
  <c r="L1409" i="15"/>
  <c r="K1413" i="15"/>
  <c r="K1418" i="15"/>
  <c r="J1435" i="15"/>
  <c r="J1440" i="15"/>
  <c r="U1445" i="15"/>
  <c r="I1444" i="15"/>
  <c r="U1444" i="15" s="1"/>
  <c r="T1105" i="15"/>
  <c r="T1175" i="15"/>
  <c r="T1212" i="15"/>
  <c r="T1271" i="15"/>
  <c r="T1295" i="15"/>
  <c r="T1310" i="15"/>
  <c r="T1321" i="15"/>
  <c r="T1356" i="15"/>
  <c r="J1105" i="15"/>
  <c r="K1126" i="15"/>
  <c r="L1175" i="15"/>
  <c r="U1225" i="15"/>
  <c r="I1224" i="15"/>
  <c r="U1224" i="15" s="1"/>
  <c r="U1246" i="15"/>
  <c r="U1245" i="15"/>
  <c r="U1252" i="15"/>
  <c r="I1251" i="15"/>
  <c r="U1251" i="15" s="1"/>
  <c r="J1274" i="15"/>
  <c r="K1289" i="15"/>
  <c r="U1305" i="15"/>
  <c r="I1304" i="15"/>
  <c r="U1304" i="15" s="1"/>
  <c r="U1322" i="15"/>
  <c r="I1321" i="15"/>
  <c r="U1321" i="15" s="1"/>
  <c r="U1331" i="15"/>
  <c r="I1330" i="15"/>
  <c r="U1330" i="15" s="1"/>
  <c r="U1359" i="15"/>
  <c r="I1358" i="15"/>
  <c r="U1358" i="15" s="1"/>
  <c r="U1366" i="15"/>
  <c r="I1365" i="15"/>
  <c r="U1377" i="15"/>
  <c r="I1376" i="15"/>
  <c r="U1376" i="15" s="1"/>
  <c r="U1383" i="15"/>
  <c r="I1382" i="15"/>
  <c r="U1382" i="15" s="1"/>
  <c r="U1394" i="15"/>
  <c r="I1393" i="15"/>
  <c r="U1393" i="15" s="1"/>
  <c r="K1397" i="15"/>
  <c r="K1407" i="15"/>
  <c r="U1410" i="15"/>
  <c r="I1409" i="15"/>
  <c r="U1409" i="15" s="1"/>
  <c r="L1413" i="15"/>
  <c r="U1426" i="15"/>
  <c r="I1425" i="15"/>
  <c r="U1425" i="15" s="1"/>
  <c r="U1433" i="15"/>
  <c r="I1432" i="15"/>
  <c r="U1432" i="15" s="1"/>
  <c r="K1435" i="15"/>
  <c r="U1455" i="15"/>
  <c r="I1454" i="15"/>
  <c r="U1454" i="15" s="1"/>
  <c r="T1224" i="15"/>
  <c r="T1251" i="15"/>
  <c r="T1353" i="15"/>
  <c r="T1376" i="15"/>
  <c r="T1422" i="15"/>
  <c r="T1435" i="15"/>
  <c r="T1440" i="15"/>
  <c r="I1024" i="15" l="1"/>
  <c r="K1024" i="15"/>
  <c r="J1024" i="15"/>
  <c r="L1024" i="15"/>
  <c r="U1105" i="15"/>
  <c r="U1025" i="15"/>
  <c r="D1107" i="7" l="1"/>
  <c r="D1108" i="7"/>
  <c r="D1109" i="7"/>
  <c r="D1110" i="7"/>
  <c r="D1203" i="7"/>
  <c r="D1204" i="7"/>
  <c r="D1205" i="7"/>
  <c r="D1206" i="7"/>
  <c r="D1207" i="7"/>
  <c r="D1208" i="7"/>
  <c r="D1209" i="7"/>
  <c r="D1210" i="7"/>
  <c r="D1211" i="7"/>
  <c r="D1212" i="7"/>
  <c r="D1213" i="7"/>
  <c r="D1214" i="7"/>
  <c r="D1215" i="7"/>
  <c r="D1216" i="7"/>
  <c r="D1223" i="7"/>
  <c r="D1224" i="7"/>
  <c r="D1225" i="7"/>
  <c r="D1226" i="7"/>
  <c r="D1227" i="7"/>
  <c r="D1228" i="7"/>
  <c r="D1229" i="7"/>
  <c r="D1247" i="7"/>
  <c r="D1248" i="7"/>
  <c r="D1249" i="7"/>
  <c r="D1250" i="7"/>
  <c r="E1392" i="7"/>
  <c r="F1392" i="7"/>
  <c r="G1392" i="7"/>
  <c r="H1392" i="7"/>
  <c r="I1392" i="7"/>
  <c r="J1392" i="7"/>
  <c r="K1392" i="7"/>
  <c r="L1392" i="7"/>
  <c r="M1392" i="7"/>
  <c r="N1392" i="7"/>
  <c r="O1392" i="7"/>
  <c r="P1392" i="7"/>
  <c r="Q1392" i="7"/>
  <c r="R1392" i="7"/>
  <c r="S1392" i="7"/>
  <c r="T1392" i="7"/>
  <c r="U1392" i="7"/>
  <c r="V1392" i="7"/>
  <c r="W1392" i="7"/>
  <c r="X1392" i="7"/>
  <c r="Y1392" i="7"/>
  <c r="Z1392" i="7"/>
  <c r="AA1392" i="7"/>
  <c r="AB1392" i="7"/>
  <c r="AD1392" i="7"/>
  <c r="AE1392" i="7"/>
  <c r="E1371" i="7"/>
  <c r="F1371" i="7"/>
  <c r="G1371" i="7"/>
  <c r="H1371" i="7"/>
  <c r="I1371" i="7"/>
  <c r="J1371" i="7"/>
  <c r="K1371" i="7"/>
  <c r="L1371" i="7"/>
  <c r="M1371" i="7"/>
  <c r="N1371" i="7"/>
  <c r="O1371" i="7"/>
  <c r="P1371" i="7"/>
  <c r="Q1371" i="7"/>
  <c r="R1371" i="7"/>
  <c r="S1371" i="7"/>
  <c r="T1371" i="7"/>
  <c r="U1371" i="7"/>
  <c r="V1371" i="7"/>
  <c r="W1371" i="7"/>
  <c r="X1371" i="7"/>
  <c r="Y1371" i="7"/>
  <c r="Z1371" i="7"/>
  <c r="AA1371" i="7"/>
  <c r="AB1371" i="7"/>
  <c r="AD1371" i="7"/>
  <c r="AE1371" i="7"/>
  <c r="E1369" i="7"/>
  <c r="F1369" i="7"/>
  <c r="G1369" i="7"/>
  <c r="H1369" i="7"/>
  <c r="I1369" i="7"/>
  <c r="J1369" i="7"/>
  <c r="K1369" i="7"/>
  <c r="L1369" i="7"/>
  <c r="M1369" i="7"/>
  <c r="N1369" i="7"/>
  <c r="O1369" i="7"/>
  <c r="P1369" i="7"/>
  <c r="Q1369" i="7"/>
  <c r="R1369" i="7"/>
  <c r="S1369" i="7"/>
  <c r="T1369" i="7"/>
  <c r="U1369" i="7"/>
  <c r="V1369" i="7"/>
  <c r="W1369" i="7"/>
  <c r="X1369" i="7"/>
  <c r="Y1369" i="7"/>
  <c r="Z1369" i="7"/>
  <c r="AA1369" i="7"/>
  <c r="AB1369" i="7"/>
  <c r="AC1369" i="7"/>
  <c r="AD1369" i="7"/>
  <c r="AE1369" i="7"/>
  <c r="E1359" i="7"/>
  <c r="F1359" i="7"/>
  <c r="G1359" i="7"/>
  <c r="H1359" i="7"/>
  <c r="I1359" i="7"/>
  <c r="J1359" i="7"/>
  <c r="K1359" i="7"/>
  <c r="L1359" i="7"/>
  <c r="M1359" i="7"/>
  <c r="N1359" i="7"/>
  <c r="O1359" i="7"/>
  <c r="P1359" i="7"/>
  <c r="Q1359" i="7"/>
  <c r="R1359" i="7"/>
  <c r="S1359" i="7"/>
  <c r="T1359" i="7"/>
  <c r="U1359" i="7"/>
  <c r="V1359" i="7"/>
  <c r="W1359" i="7"/>
  <c r="X1359" i="7"/>
  <c r="Y1359" i="7"/>
  <c r="Z1359" i="7"/>
  <c r="AA1359" i="7"/>
  <c r="AB1359" i="7"/>
  <c r="AD1359" i="7"/>
  <c r="AE1359" i="7"/>
  <c r="E1280" i="7"/>
  <c r="F1280" i="7"/>
  <c r="G1280" i="7"/>
  <c r="H1280" i="7"/>
  <c r="I1280" i="7"/>
  <c r="J1280" i="7"/>
  <c r="K1280" i="7"/>
  <c r="L1280" i="7"/>
  <c r="M1280" i="7"/>
  <c r="N1280" i="7"/>
  <c r="O1280" i="7"/>
  <c r="P1280" i="7"/>
  <c r="Q1280" i="7"/>
  <c r="R1280" i="7"/>
  <c r="S1280" i="7"/>
  <c r="T1280" i="7"/>
  <c r="U1280" i="7"/>
  <c r="V1280" i="7"/>
  <c r="W1280" i="7"/>
  <c r="X1280" i="7"/>
  <c r="Y1280" i="7"/>
  <c r="Z1280" i="7"/>
  <c r="AA1280" i="7"/>
  <c r="AB1280" i="7"/>
  <c r="AD1280" i="7"/>
  <c r="AE1280" i="7"/>
  <c r="E1257" i="7"/>
  <c r="F1257" i="7"/>
  <c r="G1257" i="7"/>
  <c r="H1257" i="7"/>
  <c r="I1257" i="7"/>
  <c r="J1257" i="7"/>
  <c r="K1257" i="7"/>
  <c r="L1257" i="7"/>
  <c r="M1257" i="7"/>
  <c r="N1257" i="7"/>
  <c r="O1257" i="7"/>
  <c r="P1257" i="7"/>
  <c r="Q1257" i="7"/>
  <c r="R1257" i="7"/>
  <c r="S1257" i="7"/>
  <c r="T1257" i="7"/>
  <c r="U1257" i="7"/>
  <c r="V1257" i="7"/>
  <c r="W1257" i="7"/>
  <c r="X1257" i="7"/>
  <c r="Y1257" i="7"/>
  <c r="Z1257" i="7"/>
  <c r="AA1257" i="7"/>
  <c r="AB1257" i="7"/>
  <c r="AD1257" i="7"/>
  <c r="AE1257" i="7"/>
  <c r="E1230" i="7"/>
  <c r="F1230" i="7"/>
  <c r="G1230" i="7"/>
  <c r="H1230" i="7"/>
  <c r="I1230" i="7"/>
  <c r="J1230" i="7"/>
  <c r="K1230" i="7"/>
  <c r="L1230" i="7"/>
  <c r="M1230" i="7"/>
  <c r="N1230" i="7"/>
  <c r="O1230" i="7"/>
  <c r="P1230" i="7"/>
  <c r="Q1230" i="7"/>
  <c r="R1230" i="7"/>
  <c r="S1230" i="7"/>
  <c r="T1230" i="7"/>
  <c r="U1230" i="7"/>
  <c r="V1230" i="7"/>
  <c r="W1230" i="7"/>
  <c r="X1230" i="7"/>
  <c r="Y1230" i="7"/>
  <c r="Z1230" i="7"/>
  <c r="AA1230" i="7"/>
  <c r="AB1230" i="7"/>
  <c r="AD1230" i="7"/>
  <c r="AE1230" i="7"/>
  <c r="E1218" i="7"/>
  <c r="F1218" i="7"/>
  <c r="G1218" i="7"/>
  <c r="H1218" i="7"/>
  <c r="I1218" i="7"/>
  <c r="J1218" i="7"/>
  <c r="K1218" i="7"/>
  <c r="L1218" i="7"/>
  <c r="M1218" i="7"/>
  <c r="N1218" i="7"/>
  <c r="O1218" i="7"/>
  <c r="P1218" i="7"/>
  <c r="Q1218" i="7"/>
  <c r="R1218" i="7"/>
  <c r="S1218" i="7"/>
  <c r="T1218" i="7"/>
  <c r="U1218" i="7"/>
  <c r="V1218" i="7"/>
  <c r="W1218" i="7"/>
  <c r="X1218" i="7"/>
  <c r="Y1218" i="7"/>
  <c r="Z1218" i="7"/>
  <c r="AA1218" i="7"/>
  <c r="AB1218" i="7"/>
  <c r="AD1218" i="7"/>
  <c r="AE1218" i="7"/>
  <c r="E1181" i="7"/>
  <c r="F1181" i="7"/>
  <c r="G1181" i="7"/>
  <c r="H1181" i="7"/>
  <c r="I1181" i="7"/>
  <c r="J1181" i="7"/>
  <c r="K1181" i="7"/>
  <c r="L1181" i="7"/>
  <c r="M1181" i="7"/>
  <c r="N1181" i="7"/>
  <c r="O1181" i="7"/>
  <c r="P1181" i="7"/>
  <c r="Q1181" i="7"/>
  <c r="R1181" i="7"/>
  <c r="S1181" i="7"/>
  <c r="T1181" i="7"/>
  <c r="U1181" i="7"/>
  <c r="V1181" i="7"/>
  <c r="W1181" i="7"/>
  <c r="X1181" i="7"/>
  <c r="Y1181" i="7"/>
  <c r="Z1181" i="7"/>
  <c r="AA1181" i="7"/>
  <c r="AB1181" i="7"/>
  <c r="AD1181" i="7"/>
  <c r="AE1181" i="7"/>
  <c r="E1132" i="7"/>
  <c r="F1132" i="7"/>
  <c r="G1132" i="7"/>
  <c r="H1132" i="7"/>
  <c r="I1132" i="7"/>
  <c r="J1132" i="7"/>
  <c r="K1132" i="7"/>
  <c r="L1132" i="7"/>
  <c r="M1132" i="7"/>
  <c r="O1132" i="7"/>
  <c r="P1132" i="7"/>
  <c r="Q1132" i="7"/>
  <c r="R1132" i="7"/>
  <c r="S1132" i="7"/>
  <c r="T1132" i="7"/>
  <c r="U1132" i="7"/>
  <c r="V1132" i="7"/>
  <c r="W1132" i="7"/>
  <c r="X1132" i="7"/>
  <c r="Y1132" i="7"/>
  <c r="Z1132" i="7"/>
  <c r="AA1132" i="7"/>
  <c r="AB1132" i="7"/>
  <c r="AD1132" i="7"/>
  <c r="AE1132" i="7"/>
  <c r="E1111" i="7"/>
  <c r="F1111" i="7"/>
  <c r="G1111" i="7"/>
  <c r="H1111" i="7"/>
  <c r="I1111" i="7"/>
  <c r="J1111" i="7"/>
  <c r="K1111" i="7"/>
  <c r="L1111" i="7"/>
  <c r="M1111" i="7"/>
  <c r="N1111" i="7"/>
  <c r="O1111" i="7"/>
  <c r="P1111" i="7"/>
  <c r="Q1111" i="7"/>
  <c r="R1111" i="7"/>
  <c r="S1111" i="7"/>
  <c r="T1111" i="7"/>
  <c r="U1111" i="7"/>
  <c r="V1111" i="7"/>
  <c r="W1111" i="7"/>
  <c r="X1111" i="7"/>
  <c r="Y1111" i="7"/>
  <c r="Z1111" i="7"/>
  <c r="AA1111" i="7"/>
  <c r="AB1111" i="7"/>
  <c r="AD1111" i="7"/>
  <c r="AE1111" i="7"/>
  <c r="B1462" i="7"/>
  <c r="B1461" i="7"/>
  <c r="B1459" i="7"/>
  <c r="B1458" i="7"/>
  <c r="B1457" i="7"/>
  <c r="B1456" i="7"/>
  <c r="B1455" i="7"/>
  <c r="B1453" i="7"/>
  <c r="B1451" i="7"/>
  <c r="B1449" i="7"/>
  <c r="B1448" i="7"/>
  <c r="B1447" i="7"/>
  <c r="B1445" i="7"/>
  <c r="B1444" i="7"/>
  <c r="B1443" i="7"/>
  <c r="B1442" i="7"/>
  <c r="B1440" i="7"/>
  <c r="B1439" i="7"/>
  <c r="B1437" i="7"/>
  <c r="B1435" i="7"/>
  <c r="B1433" i="7"/>
  <c r="B1432" i="7"/>
  <c r="B1430" i="7"/>
  <c r="B1429" i="7"/>
  <c r="B1427" i="7"/>
  <c r="B1426" i="7"/>
  <c r="B1425" i="7"/>
  <c r="B1423" i="7"/>
  <c r="B1422" i="7"/>
  <c r="B1421" i="7"/>
  <c r="B1420" i="7"/>
  <c r="B1418" i="7"/>
  <c r="B1417" i="7"/>
  <c r="B1416" i="7"/>
  <c r="B1414" i="7"/>
  <c r="B1412" i="7"/>
  <c r="B1409" i="7"/>
  <c r="B1407" i="7"/>
  <c r="B1406" i="7"/>
  <c r="B1405" i="7"/>
  <c r="B1404" i="7"/>
  <c r="B1402" i="7"/>
  <c r="B1400" i="7"/>
  <c r="B1398" i="7"/>
  <c r="B1397" i="7"/>
  <c r="B1395" i="7"/>
  <c r="B1394" i="7"/>
  <c r="B1393" i="7"/>
  <c r="B1391" i="7"/>
  <c r="B1389" i="7"/>
  <c r="B1387" i="7"/>
  <c r="B1385" i="7"/>
  <c r="B1384" i="7"/>
  <c r="B1383" i="7"/>
  <c r="B1381" i="7"/>
  <c r="B1379" i="7"/>
  <c r="B1377" i="7"/>
  <c r="B1376" i="7"/>
  <c r="B1375" i="7"/>
  <c r="B1374" i="7"/>
  <c r="B1373" i="7"/>
  <c r="B1372" i="7"/>
  <c r="B1370" i="7"/>
  <c r="B1368" i="7"/>
  <c r="B1367" i="7"/>
  <c r="B1366" i="7"/>
  <c r="B1365" i="7"/>
  <c r="B1363" i="7"/>
  <c r="B1361" i="7"/>
  <c r="B1360" i="7"/>
  <c r="B1351" i="7"/>
  <c r="B1350" i="7"/>
  <c r="B1349" i="7"/>
  <c r="B1348" i="7"/>
  <c r="B1347" i="7"/>
  <c r="B1346" i="7"/>
  <c r="B1345" i="7"/>
  <c r="B1344" i="7"/>
  <c r="B1343" i="7"/>
  <c r="B1342" i="7"/>
  <c r="B1339" i="7"/>
  <c r="B1337" i="7"/>
  <c r="B1333" i="7"/>
  <c r="B1332" i="7"/>
  <c r="B1330" i="7"/>
  <c r="B1329" i="7"/>
  <c r="B1328" i="7"/>
  <c r="B1326" i="7"/>
  <c r="B1325" i="7"/>
  <c r="B1323" i="7"/>
  <c r="B1322" i="7"/>
  <c r="B1321" i="7"/>
  <c r="B1320" i="7"/>
  <c r="B1318" i="7"/>
  <c r="B1317" i="7"/>
  <c r="B1315" i="7"/>
  <c r="B1313" i="7"/>
  <c r="B1311" i="7"/>
  <c r="B1309" i="7"/>
  <c r="B1306" i="7"/>
  <c r="B1305" i="7"/>
  <c r="B1303" i="7"/>
  <c r="B1302" i="7"/>
  <c r="B1300" i="7"/>
  <c r="B1299" i="7"/>
  <c r="B1298" i="7"/>
  <c r="B1297" i="7"/>
  <c r="B1296" i="7"/>
  <c r="B1294" i="7"/>
  <c r="B1292" i="7"/>
  <c r="B1291" i="7"/>
  <c r="B1290" i="7"/>
  <c r="B1289" i="7"/>
  <c r="B1288" i="7"/>
  <c r="B1287" i="7"/>
  <c r="B1286" i="7"/>
  <c r="B1285" i="7"/>
  <c r="B1284" i="7"/>
  <c r="B1283" i="7"/>
  <c r="B1282" i="7"/>
  <c r="B1281" i="7"/>
  <c r="B1279" i="7"/>
  <c r="B1278" i="7"/>
  <c r="B1276" i="7"/>
  <c r="B1275" i="7"/>
  <c r="B1273" i="7"/>
  <c r="B1272" i="7"/>
  <c r="B1271" i="7"/>
  <c r="B1269" i="7"/>
  <c r="B1267" i="7"/>
  <c r="B1266" i="7"/>
  <c r="B1265" i="7"/>
  <c r="B1263" i="7"/>
  <c r="B1262" i="7"/>
  <c r="B1261" i="7"/>
  <c r="B1260" i="7"/>
  <c r="B1259" i="7"/>
  <c r="B1258" i="7"/>
  <c r="B1255" i="7"/>
  <c r="B1254" i="7"/>
  <c r="B1253" i="7"/>
  <c r="B1252" i="7"/>
  <c r="B1250" i="7"/>
  <c r="B1249" i="7"/>
  <c r="B1248" i="7"/>
  <c r="B1247" i="7"/>
  <c r="B1246" i="7"/>
  <c r="B1245" i="7"/>
  <c r="B1244" i="7"/>
  <c r="B1243" i="7"/>
  <c r="B1242" i="7"/>
  <c r="B1241" i="7"/>
  <c r="B1240" i="7"/>
  <c r="B1239" i="7"/>
  <c r="B1238" i="7"/>
  <c r="B1237" i="7"/>
  <c r="B1236" i="7"/>
  <c r="B1235" i="7"/>
  <c r="B1234" i="7"/>
  <c r="B1233" i="7"/>
  <c r="B1232" i="7"/>
  <c r="B1231" i="7"/>
  <c r="B1229" i="7"/>
  <c r="B1228" i="7"/>
  <c r="B1227" i="7"/>
  <c r="B1226" i="7"/>
  <c r="B1225" i="7"/>
  <c r="B1224" i="7"/>
  <c r="B1223" i="7"/>
  <c r="B1222" i="7"/>
  <c r="B1221" i="7"/>
  <c r="B1220" i="7"/>
  <c r="B1219" i="7"/>
  <c r="B1217" i="7"/>
  <c r="B1216" i="7"/>
  <c r="B1215" i="7"/>
  <c r="B1214" i="7"/>
  <c r="B1213" i="7"/>
  <c r="B1212" i="7"/>
  <c r="B1211" i="7"/>
  <c r="B1210" i="7"/>
  <c r="B1209" i="7"/>
  <c r="B1208" i="7"/>
  <c r="B1207" i="7"/>
  <c r="B1206" i="7"/>
  <c r="B1205" i="7"/>
  <c r="B1204" i="7"/>
  <c r="B1203" i="7"/>
  <c r="B1202" i="7"/>
  <c r="B1201" i="7"/>
  <c r="B1200" i="7"/>
  <c r="B1199" i="7"/>
  <c r="B1198" i="7"/>
  <c r="B1197" i="7"/>
  <c r="B1196" i="7"/>
  <c r="B1195" i="7"/>
  <c r="B1194" i="7"/>
  <c r="B1193" i="7"/>
  <c r="B1192" i="7"/>
  <c r="B1191" i="7"/>
  <c r="B1190" i="7"/>
  <c r="B1189" i="7"/>
  <c r="B1188" i="7"/>
  <c r="B1187" i="7"/>
  <c r="B1186" i="7"/>
  <c r="B1185" i="7"/>
  <c r="B1184" i="7"/>
  <c r="B1183" i="7"/>
  <c r="B1182" i="7"/>
  <c r="B1180" i="7"/>
  <c r="B1179" i="7"/>
  <c r="B1178" i="7"/>
  <c r="B1177" i="7"/>
  <c r="B1176" i="7"/>
  <c r="B1175" i="7"/>
  <c r="B1174" i="7"/>
  <c r="B1173" i="7"/>
  <c r="B1172" i="7"/>
  <c r="B1171" i="7"/>
  <c r="B1170" i="7"/>
  <c r="B1169" i="7"/>
  <c r="B1168" i="7"/>
  <c r="B1167" i="7"/>
  <c r="B1166" i="7"/>
  <c r="B1165" i="7"/>
  <c r="B1164" i="7"/>
  <c r="B1163" i="7"/>
  <c r="B1162" i="7"/>
  <c r="B1161" i="7"/>
  <c r="B1160" i="7"/>
  <c r="B1159" i="7"/>
  <c r="B1158" i="7"/>
  <c r="B1157" i="7"/>
  <c r="B1156" i="7"/>
  <c r="B1155" i="7"/>
  <c r="B1154" i="7"/>
  <c r="B1153" i="7"/>
  <c r="B1152" i="7"/>
  <c r="B1151" i="7"/>
  <c r="B1150" i="7"/>
  <c r="B1149" i="7"/>
  <c r="B1148" i="7"/>
  <c r="B1147" i="7"/>
  <c r="B1146" i="7"/>
  <c r="B1145" i="7"/>
  <c r="B1144" i="7"/>
  <c r="B1143" i="7"/>
  <c r="B1142" i="7"/>
  <c r="B1141" i="7"/>
  <c r="B1140" i="7"/>
  <c r="B1139" i="7"/>
  <c r="B1138" i="7"/>
  <c r="B1137" i="7"/>
  <c r="B1136" i="7"/>
  <c r="B1135" i="7"/>
  <c r="B1134" i="7"/>
  <c r="B1133" i="7"/>
  <c r="B1131" i="7"/>
  <c r="B1130" i="7"/>
  <c r="B1129" i="7"/>
  <c r="B1128" i="7"/>
  <c r="B1127" i="7"/>
  <c r="B1126" i="7"/>
  <c r="B1125" i="7"/>
  <c r="B1124" i="7"/>
  <c r="B1123" i="7"/>
  <c r="B1122" i="7"/>
  <c r="B1121" i="7"/>
  <c r="B1120" i="7"/>
  <c r="B1119" i="7"/>
  <c r="B1118" i="7"/>
  <c r="B1117" i="7"/>
  <c r="B1116" i="7"/>
  <c r="B1115" i="7"/>
  <c r="B1114" i="7"/>
  <c r="B1113" i="7"/>
  <c r="B1112" i="7"/>
  <c r="B1110" i="7"/>
  <c r="B1109" i="7"/>
  <c r="B1108" i="7"/>
  <c r="B1107" i="7"/>
  <c r="B1106" i="7"/>
  <c r="B1105" i="7"/>
  <c r="B1104" i="7"/>
  <c r="B1103" i="7"/>
  <c r="B1102" i="7"/>
  <c r="B1101" i="7"/>
  <c r="B1100" i="7"/>
  <c r="B1099" i="7"/>
  <c r="B1098" i="7"/>
  <c r="B1097" i="7"/>
  <c r="B1096" i="7"/>
  <c r="B1095" i="7"/>
  <c r="B1094" i="7"/>
  <c r="B1093" i="7"/>
  <c r="B1092" i="7"/>
  <c r="B1091" i="7"/>
  <c r="B1090" i="7"/>
  <c r="B1089" i="7"/>
  <c r="B1088" i="7"/>
  <c r="B1087" i="7"/>
  <c r="B1086" i="7"/>
  <c r="B1085" i="7"/>
  <c r="B1084" i="7"/>
  <c r="B1083" i="7"/>
  <c r="B1082" i="7"/>
  <c r="B1081" i="7"/>
  <c r="B1080" i="7"/>
  <c r="B1079" i="7"/>
  <c r="B1078" i="7"/>
  <c r="B1077" i="7"/>
  <c r="B1076" i="7"/>
  <c r="B1075" i="7"/>
  <c r="B1074" i="7"/>
  <c r="B1073" i="7"/>
  <c r="B1072" i="7"/>
  <c r="B1071" i="7"/>
  <c r="B1070" i="7"/>
  <c r="B1069" i="7"/>
  <c r="B1068" i="7"/>
  <c r="B1067" i="7"/>
  <c r="B1066" i="7"/>
  <c r="B1065" i="7"/>
  <c r="B1064" i="7"/>
  <c r="B1063" i="7"/>
  <c r="B1062" i="7"/>
  <c r="B1061" i="7"/>
  <c r="B1060" i="7"/>
  <c r="B1059" i="7"/>
  <c r="B1058" i="7"/>
  <c r="B1057" i="7"/>
  <c r="B1056" i="7"/>
  <c r="B1055" i="7"/>
  <c r="B1054" i="7"/>
  <c r="B1053" i="7"/>
  <c r="B1052" i="7"/>
  <c r="B1051" i="7"/>
  <c r="B1050" i="7"/>
  <c r="B1049" i="7"/>
  <c r="B1048" i="7"/>
  <c r="B1047" i="7"/>
  <c r="B1046" i="7"/>
  <c r="B1045" i="7"/>
  <c r="B1044" i="7"/>
  <c r="B1043" i="7"/>
  <c r="B1042" i="7"/>
  <c r="B1041" i="7"/>
  <c r="B1040" i="7"/>
  <c r="B1039" i="7"/>
  <c r="B1038" i="7"/>
  <c r="B1037" i="7"/>
  <c r="B1036" i="7"/>
  <c r="B1035" i="7"/>
  <c r="B1034" i="7"/>
  <c r="B1033" i="7"/>
  <c r="AC1217" i="7" l="1"/>
  <c r="D1217" i="7" s="1"/>
  <c r="D1292" i="7"/>
  <c r="D1180" i="7"/>
  <c r="D1179" i="7"/>
  <c r="D1178" i="7"/>
  <c r="D1177" i="7"/>
  <c r="D1176" i="7"/>
  <c r="AC1106" i="7" l="1"/>
  <c r="D1106" i="7" s="1"/>
  <c r="D1105" i="7"/>
  <c r="AC1074" i="7"/>
  <c r="D1104" i="7"/>
  <c r="D1103" i="7"/>
  <c r="D1394" i="7"/>
  <c r="D1395" i="7"/>
  <c r="D1363" i="7"/>
  <c r="D1362" i="7" s="1"/>
  <c r="D1368" i="7"/>
  <c r="E1364" i="7"/>
  <c r="F1364" i="7"/>
  <c r="G1364" i="7"/>
  <c r="H1364" i="7"/>
  <c r="I1364" i="7"/>
  <c r="J1364" i="7"/>
  <c r="K1364" i="7"/>
  <c r="L1364" i="7"/>
  <c r="M1364" i="7"/>
  <c r="N1364" i="7"/>
  <c r="O1364" i="7"/>
  <c r="P1364" i="7"/>
  <c r="Q1364" i="7"/>
  <c r="R1364" i="7"/>
  <c r="S1364" i="7"/>
  <c r="T1364" i="7"/>
  <c r="U1364" i="7"/>
  <c r="V1364" i="7"/>
  <c r="W1364" i="7"/>
  <c r="X1364" i="7"/>
  <c r="Y1364" i="7"/>
  <c r="Z1364" i="7"/>
  <c r="AA1364" i="7"/>
  <c r="AB1364" i="7"/>
  <c r="AD1364" i="7"/>
  <c r="AE1364" i="7"/>
  <c r="D1200" i="7"/>
  <c r="D1201" i="7"/>
  <c r="D1202" i="7"/>
  <c r="E1268" i="7"/>
  <c r="F1268" i="7"/>
  <c r="G1268" i="7"/>
  <c r="H1268" i="7"/>
  <c r="I1268" i="7"/>
  <c r="J1268" i="7"/>
  <c r="K1268" i="7"/>
  <c r="L1268" i="7"/>
  <c r="M1268" i="7"/>
  <c r="N1268" i="7"/>
  <c r="O1268" i="7"/>
  <c r="P1268" i="7"/>
  <c r="Q1268" i="7"/>
  <c r="R1268" i="7"/>
  <c r="S1268" i="7"/>
  <c r="T1268" i="7"/>
  <c r="U1268" i="7"/>
  <c r="V1268" i="7"/>
  <c r="W1268" i="7"/>
  <c r="X1268" i="7"/>
  <c r="Y1268" i="7"/>
  <c r="Z1268" i="7"/>
  <c r="AA1268" i="7"/>
  <c r="AB1268" i="7"/>
  <c r="AD1268" i="7"/>
  <c r="AE1268" i="7"/>
  <c r="D1350" i="7"/>
  <c r="E43" i="10"/>
  <c r="D43" i="10"/>
  <c r="C43" i="10"/>
  <c r="F43" i="10"/>
  <c r="P211" i="13" l="1"/>
  <c r="AC1440" i="7" l="1"/>
  <c r="N1031" i="7"/>
  <c r="AE119" i="8"/>
  <c r="AC1445" i="7"/>
  <c r="D1445" i="7" s="1"/>
  <c r="AC1175" i="7"/>
  <c r="D1175" i="7" s="1"/>
  <c r="AC1034" i="7" l="1"/>
  <c r="AC1037" i="7"/>
  <c r="AC1042" i="7"/>
  <c r="AC1049" i="7"/>
  <c r="AC1051" i="7"/>
  <c r="AC1052" i="7"/>
  <c r="AC1055" i="7"/>
  <c r="AC1057" i="7"/>
  <c r="AC1061" i="7"/>
  <c r="AC1062" i="7"/>
  <c r="AC1065" i="7"/>
  <c r="AC1076" i="7"/>
  <c r="AC1077" i="7"/>
  <c r="AC1081" i="7"/>
  <c r="AC1089" i="7"/>
  <c r="AC1094" i="7"/>
  <c r="AC1097" i="7"/>
  <c r="AC1098" i="7"/>
  <c r="AC1100" i="7"/>
  <c r="AC1102" i="7"/>
  <c r="AC1112" i="7"/>
  <c r="AC1113" i="7"/>
  <c r="AC1114" i="7"/>
  <c r="AC1115" i="7"/>
  <c r="AC1116" i="7"/>
  <c r="AC1117" i="7"/>
  <c r="AC1118" i="7"/>
  <c r="AC1119" i="7"/>
  <c r="AC1120" i="7"/>
  <c r="AC1121" i="7"/>
  <c r="AC1122" i="7"/>
  <c r="AC1123" i="7"/>
  <c r="AC1124" i="7"/>
  <c r="AC1125" i="7"/>
  <c r="AC1129" i="7"/>
  <c r="AC1133" i="7"/>
  <c r="AC1134" i="7"/>
  <c r="AC1135" i="7"/>
  <c r="AC1136" i="7"/>
  <c r="AC1137" i="7"/>
  <c r="AC1138" i="7"/>
  <c r="AC1139" i="7"/>
  <c r="AC1140" i="7"/>
  <c r="AC1141" i="7"/>
  <c r="AC1142" i="7"/>
  <c r="AC1143" i="7"/>
  <c r="AC1144" i="7"/>
  <c r="AC1145" i="7"/>
  <c r="AC1146" i="7"/>
  <c r="AC1147" i="7"/>
  <c r="AC1149" i="7"/>
  <c r="AC1150" i="7"/>
  <c r="AC1151" i="7"/>
  <c r="AC1153" i="7"/>
  <c r="AC1167" i="7"/>
  <c r="AC1182" i="7"/>
  <c r="AC1183" i="7"/>
  <c r="AC1184" i="7"/>
  <c r="AC1185" i="7"/>
  <c r="AC1186" i="7"/>
  <c r="AC1187" i="7"/>
  <c r="AC1188" i="7"/>
  <c r="AC1189" i="7"/>
  <c r="AC1231" i="7"/>
  <c r="AC1233" i="7"/>
  <c r="AC1236" i="7"/>
  <c r="AC1237" i="7"/>
  <c r="AC1239" i="7"/>
  <c r="AC1240" i="7"/>
  <c r="AC1244" i="7"/>
  <c r="AC1245" i="7"/>
  <c r="AC1259" i="7"/>
  <c r="AC1265" i="7"/>
  <c r="AC1267" i="7"/>
  <c r="AC1281" i="7"/>
  <c r="AC1282" i="7"/>
  <c r="AC1283" i="7"/>
  <c r="AC1285" i="7"/>
  <c r="AC1286" i="7"/>
  <c r="AC1287" i="7"/>
  <c r="AC1296" i="7"/>
  <c r="AC1297" i="7"/>
  <c r="AC1298" i="7"/>
  <c r="AC1299" i="7"/>
  <c r="AC1218" i="7" l="1"/>
  <c r="AC1181" i="7"/>
  <c r="AC1111" i="7"/>
  <c r="AC1280" i="7"/>
  <c r="AC1230" i="7"/>
  <c r="H1025" i="7" l="1"/>
  <c r="J1597" i="7" l="1"/>
  <c r="K1597" i="7"/>
  <c r="L1597" i="7"/>
  <c r="M1597" i="7"/>
  <c r="N1597" i="7"/>
  <c r="O1597" i="7"/>
  <c r="P1597" i="7"/>
  <c r="Q1597" i="7"/>
  <c r="R1597" i="7"/>
  <c r="S1597" i="7"/>
  <c r="T1597" i="7"/>
  <c r="U1597" i="7"/>
  <c r="V1597" i="7"/>
  <c r="W1597" i="7"/>
  <c r="X1597" i="7"/>
  <c r="Y1597" i="7"/>
  <c r="Z1597" i="7"/>
  <c r="AA1597" i="7"/>
  <c r="AB1597" i="7"/>
  <c r="AC1597" i="7"/>
  <c r="AD1597" i="7"/>
  <c r="AE1597" i="7"/>
  <c r="E1597" i="7"/>
  <c r="F1597" i="7"/>
  <c r="G1597" i="7"/>
  <c r="H1597" i="7"/>
  <c r="I1597" i="7"/>
  <c r="P1548" i="15"/>
  <c r="D218" i="5"/>
  <c r="E218" i="5"/>
  <c r="F218" i="5"/>
  <c r="C218" i="5"/>
  <c r="D248" i="5"/>
  <c r="E248" i="5"/>
  <c r="F248" i="5"/>
  <c r="C248" i="5"/>
  <c r="C236" i="5" s="1"/>
  <c r="D233" i="5"/>
  <c r="E233" i="5"/>
  <c r="F233" i="5"/>
  <c r="C233" i="5"/>
  <c r="D228" i="5"/>
  <c r="E228" i="5"/>
  <c r="F228" i="5"/>
  <c r="C228" i="5"/>
  <c r="C58" i="14"/>
  <c r="U1552" i="15"/>
  <c r="U1550" i="15"/>
  <c r="U1551" i="15"/>
  <c r="T1551" i="15"/>
  <c r="T1552" i="15"/>
  <c r="T1550" i="15"/>
  <c r="R1548" i="15"/>
  <c r="S1548" i="15"/>
  <c r="Q1548" i="15"/>
  <c r="J1548" i="15"/>
  <c r="K1548" i="15"/>
  <c r="L1548" i="15"/>
  <c r="I1548" i="15"/>
  <c r="T1549" i="15" l="1"/>
  <c r="T1548" i="15" s="1"/>
  <c r="C227" i="5"/>
  <c r="D227" i="5"/>
  <c r="U1548" i="15"/>
  <c r="P1485" i="15"/>
  <c r="U1549" i="15"/>
  <c r="F227" i="5"/>
  <c r="E227" i="5"/>
  <c r="D1558" i="7"/>
  <c r="D1559" i="7"/>
  <c r="D1557" i="7"/>
  <c r="E1555" i="7"/>
  <c r="F1555" i="7"/>
  <c r="G1555" i="7"/>
  <c r="H1555" i="7"/>
  <c r="I1555" i="7"/>
  <c r="J1555" i="7"/>
  <c r="K1555" i="7"/>
  <c r="L1555" i="7"/>
  <c r="M1555" i="7"/>
  <c r="N1555" i="7"/>
  <c r="O1555" i="7"/>
  <c r="P1555" i="7"/>
  <c r="Q1555" i="7"/>
  <c r="R1555" i="7"/>
  <c r="S1555" i="7"/>
  <c r="T1555" i="7"/>
  <c r="U1555" i="7"/>
  <c r="V1555" i="7"/>
  <c r="W1555" i="7"/>
  <c r="X1555" i="7"/>
  <c r="Y1555" i="7"/>
  <c r="Z1555" i="7"/>
  <c r="AA1555" i="7"/>
  <c r="AB1555" i="7"/>
  <c r="AC1555" i="7"/>
  <c r="AD1555" i="7"/>
  <c r="AE1555" i="7"/>
  <c r="U1593" i="15"/>
  <c r="V1593" i="15" s="1"/>
  <c r="V1592" i="15" s="1"/>
  <c r="R1592" i="15"/>
  <c r="S1592" i="15"/>
  <c r="Q1592" i="15"/>
  <c r="T1593" i="15"/>
  <c r="T1592" i="15" s="1"/>
  <c r="J1592" i="15"/>
  <c r="K1592" i="15"/>
  <c r="L1592" i="15"/>
  <c r="I1592" i="15"/>
  <c r="E1599" i="7"/>
  <c r="E1596" i="7" s="1"/>
  <c r="F1599" i="7"/>
  <c r="F1596" i="7" s="1"/>
  <c r="G1599" i="7"/>
  <c r="G1596" i="7" s="1"/>
  <c r="H1599" i="7"/>
  <c r="H1596" i="7" s="1"/>
  <c r="I1599" i="7"/>
  <c r="I1596" i="7" s="1"/>
  <c r="J1599" i="7"/>
  <c r="J1596" i="7" s="1"/>
  <c r="K1599" i="7"/>
  <c r="K1596" i="7" s="1"/>
  <c r="L1599" i="7"/>
  <c r="L1596" i="7" s="1"/>
  <c r="M1599" i="7"/>
  <c r="M1596" i="7" s="1"/>
  <c r="N1599" i="7"/>
  <c r="N1596" i="7" s="1"/>
  <c r="O1599" i="7"/>
  <c r="O1596" i="7" s="1"/>
  <c r="P1599" i="7"/>
  <c r="P1596" i="7" s="1"/>
  <c r="Q1599" i="7"/>
  <c r="Q1596" i="7" s="1"/>
  <c r="R1599" i="7"/>
  <c r="R1596" i="7" s="1"/>
  <c r="S1599" i="7"/>
  <c r="S1596" i="7" s="1"/>
  <c r="T1599" i="7"/>
  <c r="T1596" i="7" s="1"/>
  <c r="U1599" i="7"/>
  <c r="U1596" i="7" s="1"/>
  <c r="V1599" i="7"/>
  <c r="V1596" i="7" s="1"/>
  <c r="W1599" i="7"/>
  <c r="W1596" i="7" s="1"/>
  <c r="X1599" i="7"/>
  <c r="X1596" i="7" s="1"/>
  <c r="Y1599" i="7"/>
  <c r="Y1596" i="7" s="1"/>
  <c r="Z1599" i="7"/>
  <c r="Z1596" i="7" s="1"/>
  <c r="AA1599" i="7"/>
  <c r="AA1596" i="7" s="1"/>
  <c r="AB1599" i="7"/>
  <c r="AB1596" i="7" s="1"/>
  <c r="AD1599" i="7"/>
  <c r="AD1596" i="7" s="1"/>
  <c r="AE1599" i="7"/>
  <c r="AE1596" i="7" s="1"/>
  <c r="AC1600" i="7"/>
  <c r="AC1599" i="7" s="1"/>
  <c r="AC1596" i="7" s="1"/>
  <c r="V1482" i="15"/>
  <c r="V1480" i="15"/>
  <c r="V1478" i="15"/>
  <c r="T1482" i="15"/>
  <c r="T1480" i="15"/>
  <c r="T1478" i="15"/>
  <c r="U1479" i="15"/>
  <c r="U1481" i="15"/>
  <c r="U1483" i="15"/>
  <c r="Q1482" i="15"/>
  <c r="R1482" i="15"/>
  <c r="S1482" i="15"/>
  <c r="Q1478" i="15"/>
  <c r="R1478" i="15"/>
  <c r="S1478" i="15"/>
  <c r="J1482" i="15"/>
  <c r="K1482" i="15"/>
  <c r="L1482" i="15"/>
  <c r="J1480" i="15"/>
  <c r="K1480" i="15"/>
  <c r="L1480" i="15"/>
  <c r="J1478" i="15"/>
  <c r="K1478" i="15"/>
  <c r="L1478" i="15"/>
  <c r="I1482" i="15"/>
  <c r="U1482" i="15" s="1"/>
  <c r="I1480" i="15"/>
  <c r="U1480" i="15" s="1"/>
  <c r="I1478" i="15"/>
  <c r="U1478" i="15" s="1"/>
  <c r="AC1489" i="7"/>
  <c r="D1488" i="7"/>
  <c r="D1487" i="7" s="1"/>
  <c r="AC1485" i="7"/>
  <c r="M1489" i="7"/>
  <c r="E1489" i="7"/>
  <c r="F1489" i="7"/>
  <c r="G1489" i="7"/>
  <c r="H1489" i="7"/>
  <c r="I1489" i="7"/>
  <c r="J1489" i="7"/>
  <c r="K1489" i="7"/>
  <c r="L1489" i="7"/>
  <c r="N1489" i="7"/>
  <c r="O1489" i="7"/>
  <c r="P1489" i="7"/>
  <c r="Q1489" i="7"/>
  <c r="R1489" i="7"/>
  <c r="S1489" i="7"/>
  <c r="T1489" i="7"/>
  <c r="U1489" i="7"/>
  <c r="V1489" i="7"/>
  <c r="W1489" i="7"/>
  <c r="X1489" i="7"/>
  <c r="Y1489" i="7"/>
  <c r="Z1489" i="7"/>
  <c r="AA1489" i="7"/>
  <c r="AB1489" i="7"/>
  <c r="AD1489" i="7"/>
  <c r="AE1489" i="7"/>
  <c r="E1487" i="7"/>
  <c r="F1487" i="7"/>
  <c r="G1487" i="7"/>
  <c r="H1487" i="7"/>
  <c r="I1487" i="7"/>
  <c r="J1487" i="7"/>
  <c r="K1487" i="7"/>
  <c r="L1487" i="7"/>
  <c r="M1487" i="7"/>
  <c r="N1487" i="7"/>
  <c r="O1487" i="7"/>
  <c r="P1487" i="7"/>
  <c r="Q1487" i="7"/>
  <c r="R1487" i="7"/>
  <c r="S1487" i="7"/>
  <c r="T1487" i="7"/>
  <c r="U1487" i="7"/>
  <c r="V1487" i="7"/>
  <c r="W1487" i="7"/>
  <c r="X1487" i="7"/>
  <c r="Y1487" i="7"/>
  <c r="Z1487" i="7"/>
  <c r="AA1487" i="7"/>
  <c r="AB1487" i="7"/>
  <c r="AD1487" i="7"/>
  <c r="AE1487" i="7"/>
  <c r="E1485" i="7"/>
  <c r="F1485" i="7"/>
  <c r="G1485" i="7"/>
  <c r="H1485" i="7"/>
  <c r="I1485" i="7"/>
  <c r="J1485" i="7"/>
  <c r="K1485" i="7"/>
  <c r="L1485" i="7"/>
  <c r="M1485" i="7"/>
  <c r="N1485" i="7"/>
  <c r="O1485" i="7"/>
  <c r="P1485" i="7"/>
  <c r="Q1485" i="7"/>
  <c r="R1485" i="7"/>
  <c r="S1485" i="7"/>
  <c r="T1485" i="7"/>
  <c r="U1485" i="7"/>
  <c r="V1485" i="7"/>
  <c r="W1485" i="7"/>
  <c r="X1485" i="7"/>
  <c r="Y1485" i="7"/>
  <c r="Z1485" i="7"/>
  <c r="AA1485" i="7"/>
  <c r="AB1485" i="7"/>
  <c r="AD1485" i="7"/>
  <c r="AE1485" i="7"/>
  <c r="D1556" i="7" l="1"/>
  <c r="D1555" i="7" s="1"/>
  <c r="D1600" i="7"/>
  <c r="D1599" i="7" s="1"/>
  <c r="U1592" i="15"/>
  <c r="AC1487" i="7"/>
  <c r="D1490" i="7"/>
  <c r="D1489" i="7" s="1"/>
  <c r="D1486" i="7"/>
  <c r="D1485" i="7" s="1"/>
  <c r="D1291" i="7" l="1"/>
  <c r="D1290" i="7"/>
  <c r="D1289" i="7"/>
  <c r="D1288" i="7"/>
  <c r="D1287" i="7"/>
  <c r="D1286" i="7"/>
  <c r="D1285" i="7"/>
  <c r="D1284" i="7"/>
  <c r="D1283" i="7"/>
  <c r="D1282" i="7"/>
  <c r="D1281" i="7"/>
  <c r="D1280" i="7" l="1"/>
  <c r="F1441" i="7"/>
  <c r="G1441" i="7"/>
  <c r="H1441" i="7"/>
  <c r="I1441" i="7"/>
  <c r="J1441" i="7"/>
  <c r="K1441" i="7"/>
  <c r="L1441" i="7"/>
  <c r="M1441" i="7"/>
  <c r="N1441" i="7"/>
  <c r="O1441" i="7"/>
  <c r="P1441" i="7"/>
  <c r="Q1441" i="7"/>
  <c r="S1441" i="7"/>
  <c r="T1441" i="7"/>
  <c r="U1441" i="7"/>
  <c r="V1441" i="7"/>
  <c r="W1441" i="7"/>
  <c r="X1441" i="7"/>
  <c r="Y1441" i="7"/>
  <c r="Z1441" i="7"/>
  <c r="AA1441" i="7"/>
  <c r="AB1441" i="7"/>
  <c r="AD1441" i="7"/>
  <c r="AE1441" i="7"/>
  <c r="E1441" i="7"/>
  <c r="E1413" i="7" l="1"/>
  <c r="F1413" i="7"/>
  <c r="G1413" i="7"/>
  <c r="H1413" i="7"/>
  <c r="I1413" i="7"/>
  <c r="J1413" i="7"/>
  <c r="K1413" i="7"/>
  <c r="L1413" i="7"/>
  <c r="M1413" i="7"/>
  <c r="N1413" i="7"/>
  <c r="O1413" i="7"/>
  <c r="P1413" i="7"/>
  <c r="Q1413" i="7"/>
  <c r="R1413" i="7"/>
  <c r="S1413" i="7"/>
  <c r="T1413" i="7"/>
  <c r="U1413" i="7"/>
  <c r="V1413" i="7"/>
  <c r="W1413" i="7"/>
  <c r="X1413" i="7"/>
  <c r="Y1413" i="7"/>
  <c r="Z1413" i="7"/>
  <c r="AA1413" i="7"/>
  <c r="AB1413" i="7"/>
  <c r="AD1413" i="7"/>
  <c r="AE1413" i="7"/>
  <c r="O10" i="13" l="1"/>
  <c r="N1174" i="7" l="1"/>
  <c r="N1132" i="7" s="1"/>
  <c r="T1473" i="15"/>
  <c r="U1474" i="15"/>
  <c r="U1473" i="15" s="1"/>
  <c r="AC1480" i="7"/>
  <c r="AC1377" i="7"/>
  <c r="AC1376" i="7"/>
  <c r="AC1375" i="7"/>
  <c r="AC1132" i="7" l="1"/>
  <c r="D1481" i="7"/>
  <c r="D1480" i="7" s="1"/>
  <c r="AC1031" i="7"/>
  <c r="D1375" i="7"/>
  <c r="D1376" i="7"/>
  <c r="D1377" i="7"/>
  <c r="D1099" i="7"/>
  <c r="D1100" i="7"/>
  <c r="D1102" i="7"/>
  <c r="D1101" i="7" l="1"/>
  <c r="D1174" i="7"/>
  <c r="Q146" i="13" l="1"/>
  <c r="Q92" i="13"/>
  <c r="F146" i="5"/>
  <c r="C72" i="14" l="1"/>
  <c r="C64" i="14"/>
  <c r="C63" i="14"/>
  <c r="Q1464" i="15"/>
  <c r="R1464" i="15"/>
  <c r="S1464" i="15"/>
  <c r="T1464" i="15"/>
  <c r="P1464" i="15"/>
  <c r="Q1462" i="15"/>
  <c r="R1462" i="15"/>
  <c r="S1462" i="15"/>
  <c r="T1462" i="15"/>
  <c r="P1462" i="15"/>
  <c r="Q1460" i="15"/>
  <c r="R1460" i="15"/>
  <c r="S1460" i="15"/>
  <c r="T1460" i="15"/>
  <c r="P1460" i="15"/>
  <c r="D1479" i="7"/>
  <c r="C65" i="14" l="1"/>
  <c r="Q1459" i="15"/>
  <c r="S1459" i="15"/>
  <c r="R1459" i="15"/>
  <c r="P1459" i="15"/>
  <c r="P1458" i="15" l="1"/>
  <c r="F213" i="5" l="1"/>
  <c r="Q1590" i="15"/>
  <c r="Q1585" i="15"/>
  <c r="Q1573" i="15"/>
  <c r="Q1570" i="15"/>
  <c r="Q1568" i="15"/>
  <c r="Q1564" i="15"/>
  <c r="Q120" i="15"/>
  <c r="Q150" i="15"/>
  <c r="Q196" i="15"/>
  <c r="Q233" i="15"/>
  <c r="Q239" i="15"/>
  <c r="Q266" i="15"/>
  <c r="Q272" i="15"/>
  <c r="Q279" i="15"/>
  <c r="Q284" i="15"/>
  <c r="Q286" i="15"/>
  <c r="Q289" i="15"/>
  <c r="Q295" i="15"/>
  <c r="Q301" i="15"/>
  <c r="Q303" i="15"/>
  <c r="Q319" i="15"/>
  <c r="Q336" i="15"/>
  <c r="Q341" i="15"/>
  <c r="Q344" i="15"/>
  <c r="Q347" i="15"/>
  <c r="Q351" i="15"/>
  <c r="Q354" i="15"/>
  <c r="Q356" i="15"/>
  <c r="Q374" i="15"/>
  <c r="Q377" i="15"/>
  <c r="Q379" i="15"/>
  <c r="Q381" i="15"/>
  <c r="Q386" i="15"/>
  <c r="Q389" i="15"/>
  <c r="Q391" i="15"/>
  <c r="Q396" i="15"/>
  <c r="Q398" i="15"/>
  <c r="Q406" i="15"/>
  <c r="Q408" i="15"/>
  <c r="Q412" i="15"/>
  <c r="Q416" i="15"/>
  <c r="Q418" i="15"/>
  <c r="Q422" i="15"/>
  <c r="Q429" i="15"/>
  <c r="Q435" i="15"/>
  <c r="Q438" i="15"/>
  <c r="Q449" i="15"/>
  <c r="Q451" i="15"/>
  <c r="Q453" i="15"/>
  <c r="Q455" i="15"/>
  <c r="Q457" i="15"/>
  <c r="Q459" i="15"/>
  <c r="Q461" i="15"/>
  <c r="Q467" i="15"/>
  <c r="Q479" i="15"/>
  <c r="Q488" i="15"/>
  <c r="Q490" i="15"/>
  <c r="Q492" i="15"/>
  <c r="Q497" i="15"/>
  <c r="Q503" i="15"/>
  <c r="Q505" i="15"/>
  <c r="Q508" i="15"/>
  <c r="Q511" i="15"/>
  <c r="Q513" i="15"/>
  <c r="Q516" i="15"/>
  <c r="Q522" i="15"/>
  <c r="P14" i="15"/>
  <c r="Q524" i="15"/>
  <c r="Q527" i="15"/>
  <c r="Q529" i="15"/>
  <c r="Q539" i="15"/>
  <c r="Q544" i="15"/>
  <c r="Q547" i="15"/>
  <c r="Q551" i="15"/>
  <c r="Q640" i="15"/>
  <c r="Q667" i="15"/>
  <c r="Q711" i="15"/>
  <c r="Q766" i="15"/>
  <c r="Q782" i="15"/>
  <c r="Q804" i="15"/>
  <c r="Q812" i="15"/>
  <c r="Q818" i="15"/>
  <c r="Q823" i="15"/>
  <c r="Q825" i="15"/>
  <c r="Q828" i="15"/>
  <c r="Q830" i="15"/>
  <c r="Q832" i="15"/>
  <c r="Q846" i="15"/>
  <c r="Q853" i="15"/>
  <c r="Q856" i="15"/>
  <c r="Q858" i="15"/>
  <c r="Q860" i="15"/>
  <c r="Q862" i="15"/>
  <c r="Q864" i="15"/>
  <c r="Q866" i="15"/>
  <c r="Q868" i="15"/>
  <c r="Q871" i="15"/>
  <c r="Q883" i="15"/>
  <c r="Q886" i="15"/>
  <c r="Q890" i="15"/>
  <c r="Q892" i="15"/>
  <c r="Q895" i="15"/>
  <c r="Q898" i="15"/>
  <c r="Q907" i="15"/>
  <c r="Q911" i="15"/>
  <c r="Q913" i="15"/>
  <c r="Q917" i="15"/>
  <c r="Q919" i="15"/>
  <c r="Q921" i="15"/>
  <c r="Q923" i="15"/>
  <c r="Q927" i="15"/>
  <c r="Q933" i="15"/>
  <c r="Q937" i="15"/>
  <c r="Q939" i="15"/>
  <c r="Q946" i="15"/>
  <c r="Q949" i="15"/>
  <c r="Q951" i="15"/>
  <c r="Q955" i="15"/>
  <c r="Q957" i="15"/>
  <c r="Q959" i="15"/>
  <c r="Q961" i="15"/>
  <c r="Q963" i="15"/>
  <c r="Q966" i="15"/>
  <c r="Q968" i="15"/>
  <c r="Q972" i="15"/>
  <c r="Q977" i="15"/>
  <c r="Q985" i="15"/>
  <c r="Q989" i="15"/>
  <c r="Q991" i="15"/>
  <c r="Q993" i="15"/>
  <c r="Q995" i="15"/>
  <c r="Q997" i="15"/>
  <c r="Q1003" i="15"/>
  <c r="Q1005" i="15"/>
  <c r="Q1007" i="15"/>
  <c r="Q1009" i="15"/>
  <c r="Q1016" i="15"/>
  <c r="Q1020" i="15"/>
  <c r="Q1022" i="15"/>
  <c r="Q1467" i="15"/>
  <c r="Q1469" i="15"/>
  <c r="Q1471" i="15"/>
  <c r="Q1487" i="15"/>
  <c r="Q1502" i="15"/>
  <c r="Q1536" i="15"/>
  <c r="Q1541" i="15"/>
  <c r="R1441" i="7"/>
  <c r="Q1466" i="15" l="1"/>
  <c r="Q1458" i="15" s="1"/>
  <c r="Q550" i="15"/>
  <c r="Q1589" i="15"/>
  <c r="Q1583" i="15" s="1"/>
  <c r="Q1581" i="15" s="1"/>
  <c r="Q1563" i="15"/>
  <c r="Q1486" i="15"/>
  <c r="Q1485" i="15" s="1"/>
  <c r="Q14" i="15"/>
  <c r="Q1579" i="15" l="1"/>
  <c r="Q1577" i="15" s="1"/>
  <c r="Q1572" i="15" s="1"/>
  <c r="Q1562" i="15" s="1"/>
  <c r="Q13" i="15"/>
  <c r="S1471" i="15"/>
  <c r="T1471" i="15"/>
  <c r="R1471" i="15"/>
  <c r="S1469" i="15"/>
  <c r="T1469" i="15"/>
  <c r="R1469" i="15"/>
  <c r="S1467" i="15"/>
  <c r="T1467" i="15"/>
  <c r="R1467" i="15"/>
  <c r="V1471" i="15"/>
  <c r="V1469" i="15"/>
  <c r="V1467" i="15"/>
  <c r="R1466" i="15" l="1"/>
  <c r="R1458" i="15" s="1"/>
  <c r="T1466" i="15"/>
  <c r="S1466" i="15"/>
  <c r="S1458" i="15" s="1"/>
  <c r="V1466" i="15"/>
  <c r="U1472" i="15" l="1"/>
  <c r="U1470" i="15"/>
  <c r="U1468" i="15"/>
  <c r="J1471" i="15"/>
  <c r="K1471" i="15"/>
  <c r="L1471" i="15"/>
  <c r="J1469" i="15"/>
  <c r="K1469" i="15"/>
  <c r="L1469" i="15"/>
  <c r="J1467" i="15"/>
  <c r="K1467" i="15"/>
  <c r="L1467" i="15"/>
  <c r="I1471" i="15"/>
  <c r="U1471" i="15" s="1"/>
  <c r="I1469" i="15"/>
  <c r="U1469" i="15" s="1"/>
  <c r="I1467" i="15"/>
  <c r="AC1258" i="7"/>
  <c r="AC1257" i="7" s="1"/>
  <c r="I1466" i="15" l="1"/>
  <c r="U1466" i="15" s="1"/>
  <c r="L1466" i="15"/>
  <c r="K1466" i="15"/>
  <c r="J1466" i="15"/>
  <c r="U1467" i="15"/>
  <c r="J146" i="13" l="1"/>
  <c r="K146" i="13"/>
  <c r="L146" i="13"/>
  <c r="I146" i="13"/>
  <c r="J92" i="13"/>
  <c r="K92" i="13"/>
  <c r="L92" i="13"/>
  <c r="I92" i="13"/>
  <c r="B96" i="13" l="1"/>
  <c r="B97" i="13"/>
  <c r="B98" i="13"/>
  <c r="D1478" i="7" l="1"/>
  <c r="E1478" i="7"/>
  <c r="F1478" i="7"/>
  <c r="G1478" i="7"/>
  <c r="H1478" i="7"/>
  <c r="I1478" i="7"/>
  <c r="J1478" i="7"/>
  <c r="K1478" i="7"/>
  <c r="L1478" i="7"/>
  <c r="M1478" i="7"/>
  <c r="N1478" i="7"/>
  <c r="O1478" i="7"/>
  <c r="P1478" i="7"/>
  <c r="Q1478" i="7"/>
  <c r="R1478" i="7"/>
  <c r="S1478" i="7"/>
  <c r="T1478" i="7"/>
  <c r="U1478" i="7"/>
  <c r="V1478" i="7"/>
  <c r="W1478" i="7"/>
  <c r="X1478" i="7"/>
  <c r="Y1478" i="7"/>
  <c r="Z1478" i="7"/>
  <c r="AA1478" i="7"/>
  <c r="AB1478" i="7"/>
  <c r="AC1478" i="7"/>
  <c r="AD1478" i="7"/>
  <c r="AE1478" i="7"/>
  <c r="D1477" i="7"/>
  <c r="D1476" i="7" s="1"/>
  <c r="E1476" i="7"/>
  <c r="F1476" i="7"/>
  <c r="G1476" i="7"/>
  <c r="H1476" i="7"/>
  <c r="I1476" i="7"/>
  <c r="J1476" i="7"/>
  <c r="K1476" i="7"/>
  <c r="L1476" i="7"/>
  <c r="M1476" i="7"/>
  <c r="N1476" i="7"/>
  <c r="O1476" i="7"/>
  <c r="P1476" i="7"/>
  <c r="Q1476" i="7"/>
  <c r="R1476" i="7"/>
  <c r="S1476" i="7"/>
  <c r="T1476" i="7"/>
  <c r="U1476" i="7"/>
  <c r="V1476" i="7"/>
  <c r="W1476" i="7"/>
  <c r="X1476" i="7"/>
  <c r="Y1476" i="7"/>
  <c r="Z1476" i="7"/>
  <c r="AA1476" i="7"/>
  <c r="AB1476" i="7"/>
  <c r="AC1476" i="7"/>
  <c r="AD1476" i="7"/>
  <c r="AE1476" i="7"/>
  <c r="D1475" i="7"/>
  <c r="D1474" i="7" s="1"/>
  <c r="E1474" i="7"/>
  <c r="F1474" i="7"/>
  <c r="G1474" i="7"/>
  <c r="H1474" i="7"/>
  <c r="H1473" i="7" s="1"/>
  <c r="I1474" i="7"/>
  <c r="J1474" i="7"/>
  <c r="K1474" i="7"/>
  <c r="L1474" i="7"/>
  <c r="L1473" i="7" s="1"/>
  <c r="M1474" i="7"/>
  <c r="N1474" i="7"/>
  <c r="O1474" i="7"/>
  <c r="P1474" i="7"/>
  <c r="Q1474" i="7"/>
  <c r="R1474" i="7"/>
  <c r="S1474" i="7"/>
  <c r="T1474" i="7"/>
  <c r="T1473" i="7" s="1"/>
  <c r="U1474" i="7"/>
  <c r="V1474" i="7"/>
  <c r="W1474" i="7"/>
  <c r="X1474" i="7"/>
  <c r="Y1474" i="7"/>
  <c r="Z1474" i="7"/>
  <c r="Z1473" i="7" s="1"/>
  <c r="AA1474" i="7"/>
  <c r="AA1473" i="7" s="1"/>
  <c r="AB1474" i="7"/>
  <c r="AB1473" i="7" s="1"/>
  <c r="AC1474" i="7"/>
  <c r="AD1474" i="7"/>
  <c r="AD1473" i="7" s="1"/>
  <c r="AE1474" i="7"/>
  <c r="G1473" i="7" l="1"/>
  <c r="R1473" i="7"/>
  <c r="V1473" i="7"/>
  <c r="U1473" i="7"/>
  <c r="S1473" i="7"/>
  <c r="K1473" i="7"/>
  <c r="Q1473" i="7"/>
  <c r="N1473" i="7"/>
  <c r="M1473" i="7"/>
  <c r="AC1473" i="7"/>
  <c r="E1473" i="7"/>
  <c r="Y1473" i="7"/>
  <c r="P1473" i="7"/>
  <c r="W1473" i="7"/>
  <c r="I1473" i="7"/>
  <c r="X1473" i="7"/>
  <c r="O1473" i="7"/>
  <c r="AE1473" i="7"/>
  <c r="F1473" i="7"/>
  <c r="D1473" i="7"/>
  <c r="J1473" i="7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F93" i="8"/>
  <c r="AG93" i="8"/>
  <c r="G147" i="8"/>
  <c r="H147" i="8"/>
  <c r="I147" i="8"/>
  <c r="J147" i="8"/>
  <c r="K147" i="8"/>
  <c r="L147" i="8"/>
  <c r="M147" i="8"/>
  <c r="N147" i="8"/>
  <c r="O147" i="8"/>
  <c r="P147" i="8"/>
  <c r="Q147" i="8"/>
  <c r="R147" i="8"/>
  <c r="S147" i="8"/>
  <c r="T147" i="8"/>
  <c r="U147" i="8"/>
  <c r="V147" i="8"/>
  <c r="W147" i="8"/>
  <c r="X147" i="8"/>
  <c r="Y147" i="8"/>
  <c r="Z147" i="8"/>
  <c r="AA147" i="8"/>
  <c r="AB147" i="8"/>
  <c r="AC147" i="8"/>
  <c r="AD147" i="8"/>
  <c r="AF147" i="8"/>
  <c r="AG147" i="8"/>
  <c r="E557" i="7" l="1"/>
  <c r="F557" i="7"/>
  <c r="G557" i="7"/>
  <c r="H557" i="7"/>
  <c r="I557" i="7"/>
  <c r="J557" i="7"/>
  <c r="K557" i="7"/>
  <c r="L557" i="7"/>
  <c r="M557" i="7"/>
  <c r="N557" i="7"/>
  <c r="O557" i="7"/>
  <c r="P557" i="7"/>
  <c r="Q557" i="7"/>
  <c r="R557" i="7"/>
  <c r="S557" i="7"/>
  <c r="T557" i="7"/>
  <c r="U557" i="7"/>
  <c r="V557" i="7"/>
  <c r="W557" i="7"/>
  <c r="X557" i="7"/>
  <c r="Y557" i="7"/>
  <c r="Z557" i="7"/>
  <c r="AA557" i="7"/>
  <c r="AB557" i="7"/>
  <c r="AD557" i="7"/>
  <c r="AE557" i="7"/>
  <c r="E1293" i="7" l="1"/>
  <c r="F1293" i="7"/>
  <c r="G1293" i="7"/>
  <c r="H1293" i="7"/>
  <c r="I1293" i="7"/>
  <c r="J1293" i="7"/>
  <c r="K1293" i="7"/>
  <c r="L1293" i="7"/>
  <c r="M1293" i="7"/>
  <c r="N1293" i="7"/>
  <c r="O1293" i="7"/>
  <c r="P1293" i="7"/>
  <c r="Q1293" i="7"/>
  <c r="R1293" i="7"/>
  <c r="S1293" i="7"/>
  <c r="T1293" i="7"/>
  <c r="U1293" i="7"/>
  <c r="V1293" i="7"/>
  <c r="W1293" i="7"/>
  <c r="X1293" i="7"/>
  <c r="Y1293" i="7"/>
  <c r="Z1293" i="7"/>
  <c r="AA1293" i="7"/>
  <c r="AB1293" i="7"/>
  <c r="AC1293" i="7"/>
  <c r="AD1293" i="7"/>
  <c r="AE1293" i="7"/>
  <c r="D1294" i="7"/>
  <c r="D1293" i="7" s="1"/>
  <c r="B639" i="15" l="1"/>
  <c r="V1585" i="15"/>
  <c r="V1577" i="15"/>
  <c r="V1573" i="15"/>
  <c r="V1541" i="15"/>
  <c r="V1536" i="15"/>
  <c r="V1502" i="15"/>
  <c r="V1487" i="15"/>
  <c r="V977" i="15"/>
  <c r="V951" i="15"/>
  <c r="V949" i="15"/>
  <c r="V871" i="15"/>
  <c r="V866" i="15"/>
  <c r="U1591" i="15"/>
  <c r="U1588" i="15"/>
  <c r="U1587" i="15"/>
  <c r="U1586" i="15"/>
  <c r="U1584" i="15"/>
  <c r="U1582" i="15"/>
  <c r="U1580" i="15"/>
  <c r="U1578" i="15"/>
  <c r="U1576" i="15"/>
  <c r="U1575" i="15"/>
  <c r="U1574" i="15"/>
  <c r="U1571" i="15"/>
  <c r="U1569" i="15"/>
  <c r="U1567" i="15"/>
  <c r="U1566" i="15"/>
  <c r="U1565" i="15"/>
  <c r="U1547" i="15"/>
  <c r="U1546" i="15"/>
  <c r="U1545" i="15"/>
  <c r="U1544" i="15"/>
  <c r="U1543" i="15"/>
  <c r="U1542" i="15"/>
  <c r="U1540" i="15"/>
  <c r="U1539" i="15"/>
  <c r="U1538" i="15"/>
  <c r="U1537" i="15"/>
  <c r="U1535" i="15"/>
  <c r="U1534" i="15"/>
  <c r="U1533" i="15"/>
  <c r="U1532" i="15"/>
  <c r="U1531" i="15"/>
  <c r="U1530" i="15"/>
  <c r="U1529" i="15"/>
  <c r="U1528" i="15"/>
  <c r="U1527" i="15"/>
  <c r="U1526" i="15"/>
  <c r="U1525" i="15"/>
  <c r="U1524" i="15"/>
  <c r="U1523" i="15"/>
  <c r="U1522" i="15"/>
  <c r="U1521" i="15"/>
  <c r="U1520" i="15"/>
  <c r="U1519" i="15"/>
  <c r="U1518" i="15"/>
  <c r="U1517" i="15"/>
  <c r="U1516" i="15"/>
  <c r="U1515" i="15"/>
  <c r="U1514" i="15"/>
  <c r="U1513" i="15"/>
  <c r="U1512" i="15"/>
  <c r="U1511" i="15"/>
  <c r="U1510" i="15"/>
  <c r="U1509" i="15"/>
  <c r="U1508" i="15"/>
  <c r="U1507" i="15"/>
  <c r="U1506" i="15"/>
  <c r="U1505" i="15"/>
  <c r="U1504" i="15"/>
  <c r="U1503" i="15"/>
  <c r="U1501" i="15"/>
  <c r="U1500" i="15"/>
  <c r="U1499" i="15"/>
  <c r="U1498" i="15"/>
  <c r="U1497" i="15"/>
  <c r="U1496" i="15"/>
  <c r="U1495" i="15"/>
  <c r="U1494" i="15"/>
  <c r="U1493" i="15"/>
  <c r="U1492" i="15"/>
  <c r="U1491" i="15"/>
  <c r="U1490" i="15"/>
  <c r="U1489" i="15"/>
  <c r="U1488" i="15"/>
  <c r="U1465" i="15"/>
  <c r="U1463" i="15"/>
  <c r="U1461" i="15"/>
  <c r="U1023" i="15"/>
  <c r="U1021" i="15"/>
  <c r="U1019" i="15"/>
  <c r="U1018" i="15"/>
  <c r="U1017" i="15"/>
  <c r="U1015" i="15"/>
  <c r="U1014" i="15"/>
  <c r="U1013" i="15"/>
  <c r="U1012" i="15"/>
  <c r="U1011" i="15"/>
  <c r="U1010" i="15"/>
  <c r="U1008" i="15"/>
  <c r="U1006" i="15"/>
  <c r="U1004" i="15"/>
  <c r="U1002" i="15"/>
  <c r="U1001" i="15"/>
  <c r="U1000" i="15"/>
  <c r="U999" i="15"/>
  <c r="U998" i="15"/>
  <c r="U996" i="15"/>
  <c r="U994" i="15"/>
  <c r="U992" i="15"/>
  <c r="U990" i="15"/>
  <c r="U988" i="15"/>
  <c r="U987" i="15"/>
  <c r="U986" i="15"/>
  <c r="U984" i="15"/>
  <c r="U983" i="15"/>
  <c r="U982" i="15"/>
  <c r="U981" i="15"/>
  <c r="U980" i="15"/>
  <c r="U979" i="15"/>
  <c r="U978" i="15"/>
  <c r="U976" i="15"/>
  <c r="U975" i="15"/>
  <c r="U974" i="15"/>
  <c r="U973" i="15"/>
  <c r="U971" i="15"/>
  <c r="U970" i="15"/>
  <c r="U969" i="15"/>
  <c r="U967" i="15"/>
  <c r="U965" i="15"/>
  <c r="U964" i="15"/>
  <c r="U962" i="15"/>
  <c r="U960" i="15"/>
  <c r="U958" i="15"/>
  <c r="U956" i="15"/>
  <c r="U954" i="15"/>
  <c r="U953" i="15"/>
  <c r="U952" i="15"/>
  <c r="U950" i="15"/>
  <c r="U948" i="15"/>
  <c r="U947" i="15"/>
  <c r="U945" i="15"/>
  <c r="U944" i="15"/>
  <c r="U943" i="15"/>
  <c r="U942" i="15"/>
  <c r="U941" i="15"/>
  <c r="U940" i="15"/>
  <c r="U938" i="15"/>
  <c r="U936" i="15"/>
  <c r="U935" i="15"/>
  <c r="U934" i="15"/>
  <c r="U932" i="15"/>
  <c r="U931" i="15"/>
  <c r="U930" i="15"/>
  <c r="U929" i="15"/>
  <c r="U928" i="15"/>
  <c r="U926" i="15"/>
  <c r="U925" i="15"/>
  <c r="U924" i="15"/>
  <c r="U922" i="15"/>
  <c r="U920" i="15"/>
  <c r="U918" i="15"/>
  <c r="U916" i="15"/>
  <c r="U915" i="15"/>
  <c r="U914" i="15"/>
  <c r="U912" i="15"/>
  <c r="U910" i="15"/>
  <c r="U909" i="15"/>
  <c r="U908" i="15"/>
  <c r="U906" i="15"/>
  <c r="U905" i="15"/>
  <c r="U904" i="15"/>
  <c r="U903" i="15"/>
  <c r="U902" i="15"/>
  <c r="U901" i="15"/>
  <c r="U900" i="15"/>
  <c r="U899" i="15"/>
  <c r="U897" i="15"/>
  <c r="U896" i="15"/>
  <c r="U894" i="15"/>
  <c r="U893" i="15"/>
  <c r="U891" i="15"/>
  <c r="U889" i="15"/>
  <c r="U888" i="15"/>
  <c r="U887" i="15"/>
  <c r="U885" i="15"/>
  <c r="U884" i="15"/>
  <c r="U882" i="15"/>
  <c r="U881" i="15"/>
  <c r="U880" i="15"/>
  <c r="U879" i="15"/>
  <c r="U878" i="15"/>
  <c r="U877" i="15"/>
  <c r="U876" i="15"/>
  <c r="U875" i="15"/>
  <c r="U874" i="15"/>
  <c r="U873" i="15"/>
  <c r="U872" i="15"/>
  <c r="U870" i="15"/>
  <c r="U869" i="15"/>
  <c r="U867" i="15"/>
  <c r="U865" i="15"/>
  <c r="U863" i="15"/>
  <c r="U861" i="15"/>
  <c r="U859" i="15"/>
  <c r="U857" i="15"/>
  <c r="U855" i="15"/>
  <c r="U854" i="15"/>
  <c r="U852" i="15"/>
  <c r="U851" i="15"/>
  <c r="U850" i="15"/>
  <c r="U849" i="15"/>
  <c r="U848" i="15"/>
  <c r="U847" i="15"/>
  <c r="U845" i="15"/>
  <c r="U844" i="15"/>
  <c r="U843" i="15"/>
  <c r="U842" i="15"/>
  <c r="U841" i="15"/>
  <c r="U840" i="15"/>
  <c r="U839" i="15"/>
  <c r="U838" i="15"/>
  <c r="U837" i="15"/>
  <c r="U836" i="15"/>
  <c r="U835" i="15"/>
  <c r="U834" i="15"/>
  <c r="U833" i="15"/>
  <c r="U831" i="15"/>
  <c r="U829" i="15"/>
  <c r="U827" i="15"/>
  <c r="U826" i="15"/>
  <c r="U824" i="15"/>
  <c r="U822" i="15"/>
  <c r="U821" i="15"/>
  <c r="U820" i="15"/>
  <c r="U819" i="15"/>
  <c r="U817" i="15"/>
  <c r="U816" i="15"/>
  <c r="U815" i="15"/>
  <c r="U814" i="15"/>
  <c r="U813" i="15"/>
  <c r="U811" i="15"/>
  <c r="U810" i="15"/>
  <c r="U809" i="15"/>
  <c r="U808" i="15"/>
  <c r="U807" i="15"/>
  <c r="U806" i="15"/>
  <c r="U805" i="15"/>
  <c r="U803" i="15"/>
  <c r="U802" i="15"/>
  <c r="U801" i="15"/>
  <c r="U800" i="15"/>
  <c r="U799" i="15"/>
  <c r="U798" i="15"/>
  <c r="U797" i="15"/>
  <c r="U796" i="15"/>
  <c r="U795" i="15"/>
  <c r="U794" i="15"/>
  <c r="U793" i="15"/>
  <c r="U792" i="15"/>
  <c r="U791" i="15"/>
  <c r="U790" i="15"/>
  <c r="U789" i="15"/>
  <c r="U788" i="15"/>
  <c r="U787" i="15"/>
  <c r="U786" i="15"/>
  <c r="U785" i="15"/>
  <c r="U784" i="15"/>
  <c r="U783" i="15"/>
  <c r="U781" i="15"/>
  <c r="U780" i="15"/>
  <c r="U779" i="15"/>
  <c r="U778" i="15"/>
  <c r="U776" i="15"/>
  <c r="U775" i="15"/>
  <c r="U774" i="15"/>
  <c r="U773" i="15"/>
  <c r="U772" i="15"/>
  <c r="U771" i="15"/>
  <c r="U770" i="15"/>
  <c r="U769" i="15"/>
  <c r="U768" i="15"/>
  <c r="U767" i="15"/>
  <c r="U765" i="15"/>
  <c r="U764" i="15"/>
  <c r="U763" i="15"/>
  <c r="U762" i="15"/>
  <c r="U761" i="15"/>
  <c r="U760" i="15"/>
  <c r="U759" i="15"/>
  <c r="U758" i="15"/>
  <c r="U757" i="15"/>
  <c r="U756" i="15"/>
  <c r="U755" i="15"/>
  <c r="U754" i="15"/>
  <c r="U753" i="15"/>
  <c r="U752" i="15"/>
  <c r="U751" i="15"/>
  <c r="U750" i="15"/>
  <c r="U749" i="15"/>
  <c r="U748" i="15"/>
  <c r="U747" i="15"/>
  <c r="U746" i="15"/>
  <c r="U745" i="15"/>
  <c r="U744" i="15"/>
  <c r="U743" i="15"/>
  <c r="U742" i="15"/>
  <c r="U741" i="15"/>
  <c r="U740" i="15"/>
  <c r="U739" i="15"/>
  <c r="U738" i="15"/>
  <c r="U737" i="15"/>
  <c r="U736" i="15"/>
  <c r="U735" i="15"/>
  <c r="U734" i="15"/>
  <c r="U733" i="15"/>
  <c r="U732" i="15"/>
  <c r="U731" i="15"/>
  <c r="U730" i="15"/>
  <c r="U729" i="15"/>
  <c r="U728" i="15"/>
  <c r="U727" i="15"/>
  <c r="U726" i="15"/>
  <c r="U725" i="15"/>
  <c r="U724" i="15"/>
  <c r="U723" i="15"/>
  <c r="U722" i="15"/>
  <c r="U721" i="15"/>
  <c r="U720" i="15"/>
  <c r="U719" i="15"/>
  <c r="U718" i="15"/>
  <c r="U717" i="15"/>
  <c r="U716" i="15"/>
  <c r="U715" i="15"/>
  <c r="U714" i="15"/>
  <c r="U713" i="15"/>
  <c r="U712" i="15"/>
  <c r="U710" i="15"/>
  <c r="U709" i="15"/>
  <c r="U708" i="15"/>
  <c r="U707" i="15"/>
  <c r="U706" i="15"/>
  <c r="U705" i="15"/>
  <c r="U704" i="15"/>
  <c r="U703" i="15"/>
  <c r="U702" i="15"/>
  <c r="U701" i="15"/>
  <c r="U700" i="15"/>
  <c r="U699" i="15"/>
  <c r="U698" i="15"/>
  <c r="U697" i="15"/>
  <c r="U696" i="15"/>
  <c r="U695" i="15"/>
  <c r="U694" i="15"/>
  <c r="U693" i="15"/>
  <c r="U692" i="15"/>
  <c r="U691" i="15"/>
  <c r="U690" i="15"/>
  <c r="U689" i="15"/>
  <c r="U688" i="15"/>
  <c r="U687" i="15"/>
  <c r="U686" i="15"/>
  <c r="U685" i="15"/>
  <c r="U684" i="15"/>
  <c r="U683" i="15"/>
  <c r="U682" i="15"/>
  <c r="U681" i="15"/>
  <c r="U680" i="15"/>
  <c r="U679" i="15"/>
  <c r="U678" i="15"/>
  <c r="U677" i="15"/>
  <c r="U676" i="15"/>
  <c r="U675" i="15"/>
  <c r="U674" i="15"/>
  <c r="U673" i="15"/>
  <c r="U672" i="15"/>
  <c r="U671" i="15"/>
  <c r="U670" i="15"/>
  <c r="U669" i="15"/>
  <c r="U668" i="15"/>
  <c r="U666" i="15"/>
  <c r="U665" i="15"/>
  <c r="U664" i="15"/>
  <c r="U663" i="15"/>
  <c r="U662" i="15"/>
  <c r="U661" i="15"/>
  <c r="U660" i="15"/>
  <c r="U659" i="15"/>
  <c r="U658" i="15"/>
  <c r="U657" i="15"/>
  <c r="U656" i="15"/>
  <c r="U655" i="15"/>
  <c r="U654" i="15"/>
  <c r="U653" i="15"/>
  <c r="U652" i="15"/>
  <c r="U651" i="15"/>
  <c r="U650" i="15"/>
  <c r="U649" i="15"/>
  <c r="U648" i="15"/>
  <c r="U647" i="15"/>
  <c r="U646" i="15"/>
  <c r="U645" i="15"/>
  <c r="U644" i="15"/>
  <c r="U643" i="15"/>
  <c r="U642" i="15"/>
  <c r="U641" i="15"/>
  <c r="U639" i="15"/>
  <c r="U638" i="15"/>
  <c r="U637" i="15"/>
  <c r="U636" i="15"/>
  <c r="U635" i="15"/>
  <c r="U634" i="15"/>
  <c r="U633" i="15"/>
  <c r="U632" i="15"/>
  <c r="U631" i="15"/>
  <c r="U630" i="15"/>
  <c r="U629" i="15"/>
  <c r="U628" i="15"/>
  <c r="U627" i="15"/>
  <c r="U626" i="15"/>
  <c r="U625" i="15"/>
  <c r="U624" i="15"/>
  <c r="U623" i="15"/>
  <c r="U622" i="15"/>
  <c r="U621" i="15"/>
  <c r="U620" i="15"/>
  <c r="U619" i="15"/>
  <c r="U618" i="15"/>
  <c r="U617" i="15"/>
  <c r="U616" i="15"/>
  <c r="U615" i="15"/>
  <c r="U614" i="15"/>
  <c r="U613" i="15"/>
  <c r="U612" i="15"/>
  <c r="U611" i="15"/>
  <c r="U610" i="15"/>
  <c r="U609" i="15"/>
  <c r="U608" i="15"/>
  <c r="U607" i="15"/>
  <c r="U606" i="15"/>
  <c r="U605" i="15"/>
  <c r="U604" i="15"/>
  <c r="U603" i="15"/>
  <c r="U602" i="15"/>
  <c r="U601" i="15"/>
  <c r="U600" i="15"/>
  <c r="U599" i="15"/>
  <c r="U598" i="15"/>
  <c r="U597" i="15"/>
  <c r="U596" i="15"/>
  <c r="U595" i="15"/>
  <c r="U594" i="15"/>
  <c r="U593" i="15"/>
  <c r="U592" i="15"/>
  <c r="U591" i="15"/>
  <c r="U590" i="15"/>
  <c r="U589" i="15"/>
  <c r="U588" i="15"/>
  <c r="U587" i="15"/>
  <c r="U586" i="15"/>
  <c r="U585" i="15"/>
  <c r="U584" i="15"/>
  <c r="U583" i="15"/>
  <c r="U582" i="15"/>
  <c r="U581" i="15"/>
  <c r="U580" i="15"/>
  <c r="U579" i="15"/>
  <c r="U578" i="15"/>
  <c r="U577" i="15"/>
  <c r="U576" i="15"/>
  <c r="U575" i="15"/>
  <c r="U574" i="15"/>
  <c r="U573" i="15"/>
  <c r="U572" i="15"/>
  <c r="U571" i="15"/>
  <c r="U570" i="15"/>
  <c r="U569" i="15"/>
  <c r="U568" i="15"/>
  <c r="U567" i="15"/>
  <c r="U566" i="15"/>
  <c r="U565" i="15"/>
  <c r="U564" i="15"/>
  <c r="U563" i="15"/>
  <c r="U562" i="15"/>
  <c r="U561" i="15"/>
  <c r="U560" i="15"/>
  <c r="U559" i="15"/>
  <c r="U558" i="15"/>
  <c r="U557" i="15"/>
  <c r="U556" i="15"/>
  <c r="U555" i="15"/>
  <c r="U554" i="15"/>
  <c r="U553" i="15"/>
  <c r="U552" i="15"/>
  <c r="U549" i="15"/>
  <c r="U548" i="15"/>
  <c r="U546" i="15"/>
  <c r="U545" i="15"/>
  <c r="U543" i="15"/>
  <c r="U542" i="15"/>
  <c r="U541" i="15"/>
  <c r="U540" i="15"/>
  <c r="U538" i="15"/>
  <c r="U537" i="15"/>
  <c r="U536" i="15"/>
  <c r="U535" i="15"/>
  <c r="U534" i="15"/>
  <c r="U533" i="15"/>
  <c r="U532" i="15"/>
  <c r="U531" i="15"/>
  <c r="U530" i="15"/>
  <c r="U528" i="15"/>
  <c r="U526" i="15"/>
  <c r="U525" i="15"/>
  <c r="U523" i="15"/>
  <c r="U521" i="15"/>
  <c r="U520" i="15"/>
  <c r="U519" i="15"/>
  <c r="U518" i="15"/>
  <c r="U517" i="15"/>
  <c r="U515" i="15"/>
  <c r="U514" i="15"/>
  <c r="U512" i="15"/>
  <c r="U510" i="15"/>
  <c r="U509" i="15"/>
  <c r="U507" i="15"/>
  <c r="U506" i="15"/>
  <c r="U504" i="15"/>
  <c r="U502" i="15"/>
  <c r="U501" i="15"/>
  <c r="U500" i="15"/>
  <c r="U499" i="15"/>
  <c r="U498" i="15"/>
  <c r="U496" i="15"/>
  <c r="U495" i="15"/>
  <c r="U494" i="15"/>
  <c r="U493" i="15"/>
  <c r="U491" i="15"/>
  <c r="U489" i="15"/>
  <c r="U487" i="15"/>
  <c r="U486" i="15"/>
  <c r="U485" i="15"/>
  <c r="U484" i="15"/>
  <c r="U483" i="15"/>
  <c r="U482" i="15"/>
  <c r="U481" i="15"/>
  <c r="U480" i="15"/>
  <c r="U478" i="15"/>
  <c r="U477" i="15"/>
  <c r="U476" i="15"/>
  <c r="U475" i="15"/>
  <c r="U474" i="15"/>
  <c r="U473" i="15"/>
  <c r="U472" i="15"/>
  <c r="U471" i="15"/>
  <c r="U470" i="15"/>
  <c r="U469" i="15"/>
  <c r="U468" i="15"/>
  <c r="U466" i="15"/>
  <c r="U465" i="15"/>
  <c r="U464" i="15"/>
  <c r="U463" i="15"/>
  <c r="U462" i="15"/>
  <c r="U460" i="15"/>
  <c r="U458" i="15"/>
  <c r="U456" i="15"/>
  <c r="U454" i="15"/>
  <c r="U452" i="15"/>
  <c r="U450" i="15"/>
  <c r="U448" i="15"/>
  <c r="U447" i="15"/>
  <c r="U446" i="15"/>
  <c r="U445" i="15"/>
  <c r="U444" i="15"/>
  <c r="U443" i="15"/>
  <c r="U442" i="15"/>
  <c r="U441" i="15"/>
  <c r="U440" i="15"/>
  <c r="U439" i="15"/>
  <c r="U437" i="15"/>
  <c r="U436" i="15"/>
  <c r="U434" i="15"/>
  <c r="U433" i="15"/>
  <c r="U432" i="15"/>
  <c r="U431" i="15"/>
  <c r="U430" i="15"/>
  <c r="U428" i="15"/>
  <c r="U427" i="15"/>
  <c r="U426" i="15"/>
  <c r="U425" i="15"/>
  <c r="U424" i="15"/>
  <c r="U423" i="15"/>
  <c r="U421" i="15"/>
  <c r="U420" i="15"/>
  <c r="U419" i="15"/>
  <c r="U417" i="15"/>
  <c r="U415" i="15"/>
  <c r="U414" i="15"/>
  <c r="U413" i="15"/>
  <c r="U411" i="15"/>
  <c r="U410" i="15"/>
  <c r="U409" i="15"/>
  <c r="U407" i="15"/>
  <c r="U405" i="15"/>
  <c r="U404" i="15"/>
  <c r="U403" i="15"/>
  <c r="U402" i="15"/>
  <c r="U401" i="15"/>
  <c r="U400" i="15"/>
  <c r="U399" i="15"/>
  <c r="U397" i="15"/>
  <c r="U395" i="15"/>
  <c r="U394" i="15"/>
  <c r="U393" i="15"/>
  <c r="U392" i="15"/>
  <c r="U390" i="15"/>
  <c r="U388" i="15"/>
  <c r="U387" i="15"/>
  <c r="U385" i="15"/>
  <c r="U384" i="15"/>
  <c r="U383" i="15"/>
  <c r="U382" i="15"/>
  <c r="U380" i="15"/>
  <c r="U378" i="15"/>
  <c r="U376" i="15"/>
  <c r="U375" i="15"/>
  <c r="U373" i="15"/>
  <c r="U372" i="15"/>
  <c r="U371" i="15"/>
  <c r="U370" i="15"/>
  <c r="U369" i="15"/>
  <c r="U368" i="15"/>
  <c r="U367" i="15"/>
  <c r="U366" i="15"/>
  <c r="U365" i="15"/>
  <c r="U364" i="15"/>
  <c r="U363" i="15"/>
  <c r="U362" i="15"/>
  <c r="U361" i="15"/>
  <c r="U360" i="15"/>
  <c r="U359" i="15"/>
  <c r="U358" i="15"/>
  <c r="U357" i="15"/>
  <c r="U355" i="15"/>
  <c r="U353" i="15"/>
  <c r="U352" i="15"/>
  <c r="U350" i="15"/>
  <c r="U349" i="15"/>
  <c r="U348" i="15"/>
  <c r="U346" i="15"/>
  <c r="U345" i="15"/>
  <c r="U343" i="15"/>
  <c r="U342" i="15"/>
  <c r="U340" i="15"/>
  <c r="U339" i="15"/>
  <c r="U338" i="15"/>
  <c r="U337" i="15"/>
  <c r="U335" i="15"/>
  <c r="U334" i="15"/>
  <c r="U333" i="15"/>
  <c r="U332" i="15"/>
  <c r="U331" i="15"/>
  <c r="U330" i="15"/>
  <c r="U329" i="15"/>
  <c r="U328" i="15"/>
  <c r="U327" i="15"/>
  <c r="U326" i="15"/>
  <c r="U325" i="15"/>
  <c r="U324" i="15"/>
  <c r="U323" i="15"/>
  <c r="U322" i="15"/>
  <c r="U321" i="15"/>
  <c r="U320" i="15"/>
  <c r="U318" i="15"/>
  <c r="U317" i="15"/>
  <c r="U316" i="15"/>
  <c r="U315" i="15"/>
  <c r="U314" i="15"/>
  <c r="U313" i="15"/>
  <c r="U312" i="15"/>
  <c r="U311" i="15"/>
  <c r="U310" i="15"/>
  <c r="U309" i="15"/>
  <c r="U308" i="15"/>
  <c r="U307" i="15"/>
  <c r="U306" i="15"/>
  <c r="U305" i="15"/>
  <c r="U304" i="15"/>
  <c r="U302" i="15"/>
  <c r="U300" i="15"/>
  <c r="U299" i="15"/>
  <c r="U298" i="15"/>
  <c r="U297" i="15"/>
  <c r="U296" i="15"/>
  <c r="U294" i="15"/>
  <c r="U293" i="15"/>
  <c r="U292" i="15"/>
  <c r="U291" i="15"/>
  <c r="U290" i="15"/>
  <c r="U288" i="15"/>
  <c r="U287" i="15"/>
  <c r="U285" i="15"/>
  <c r="U283" i="15"/>
  <c r="U282" i="15"/>
  <c r="U281" i="15"/>
  <c r="U280" i="15"/>
  <c r="U278" i="15"/>
  <c r="U277" i="15"/>
  <c r="U276" i="15"/>
  <c r="U275" i="15"/>
  <c r="U274" i="15"/>
  <c r="U273" i="15"/>
  <c r="U271" i="15"/>
  <c r="U270" i="15"/>
  <c r="U269" i="15"/>
  <c r="U268" i="15"/>
  <c r="U267" i="15"/>
  <c r="U265" i="15"/>
  <c r="U264" i="15"/>
  <c r="U263" i="15"/>
  <c r="U262" i="15"/>
  <c r="U261" i="15"/>
  <c r="U260" i="15"/>
  <c r="U259" i="15"/>
  <c r="U258" i="15"/>
  <c r="U257" i="15"/>
  <c r="U256" i="15"/>
  <c r="U255" i="15"/>
  <c r="U254" i="15"/>
  <c r="U253" i="15"/>
  <c r="U252" i="15"/>
  <c r="U251" i="15"/>
  <c r="U250" i="15"/>
  <c r="U249" i="15"/>
  <c r="U248" i="15"/>
  <c r="U247" i="15"/>
  <c r="U246" i="15"/>
  <c r="U245" i="15"/>
  <c r="U244" i="15"/>
  <c r="U243" i="15"/>
  <c r="U242" i="15"/>
  <c r="U241" i="15"/>
  <c r="U240" i="15"/>
  <c r="U238" i="15"/>
  <c r="U237" i="15"/>
  <c r="U236" i="15"/>
  <c r="U235" i="15"/>
  <c r="U234" i="15"/>
  <c r="U232" i="15"/>
  <c r="U231" i="15"/>
  <c r="U230" i="15"/>
  <c r="U229" i="15"/>
  <c r="U228" i="15"/>
  <c r="U227" i="15"/>
  <c r="U226" i="15"/>
  <c r="U225" i="15"/>
  <c r="U224" i="15"/>
  <c r="U223" i="15"/>
  <c r="U222" i="15"/>
  <c r="U221" i="15"/>
  <c r="U220" i="15"/>
  <c r="U219" i="15"/>
  <c r="U218" i="15"/>
  <c r="U217" i="15"/>
  <c r="U216" i="15"/>
  <c r="U215" i="15"/>
  <c r="U214" i="15"/>
  <c r="U213" i="15"/>
  <c r="U212" i="15"/>
  <c r="U211" i="15"/>
  <c r="U210" i="15"/>
  <c r="U209" i="15"/>
  <c r="U208" i="15"/>
  <c r="U207" i="15"/>
  <c r="U206" i="15"/>
  <c r="U205" i="15"/>
  <c r="U204" i="15"/>
  <c r="U203" i="15"/>
  <c r="U202" i="15"/>
  <c r="U201" i="15"/>
  <c r="U200" i="15"/>
  <c r="U199" i="15"/>
  <c r="U198" i="15"/>
  <c r="U197" i="15"/>
  <c r="U195" i="15"/>
  <c r="U194" i="15"/>
  <c r="U193" i="15"/>
  <c r="U192" i="15"/>
  <c r="U191" i="15"/>
  <c r="U190" i="15"/>
  <c r="U189" i="15"/>
  <c r="U188" i="15"/>
  <c r="U187" i="15"/>
  <c r="U186" i="15"/>
  <c r="U185" i="15"/>
  <c r="U184" i="15"/>
  <c r="U183" i="15"/>
  <c r="U182" i="15"/>
  <c r="U181" i="15"/>
  <c r="U180" i="15"/>
  <c r="U179" i="15"/>
  <c r="U178" i="15"/>
  <c r="U177" i="15"/>
  <c r="U176" i="15"/>
  <c r="U175" i="15"/>
  <c r="U174" i="15"/>
  <c r="U173" i="15"/>
  <c r="U172" i="15"/>
  <c r="U171" i="15"/>
  <c r="U170" i="15"/>
  <c r="U169" i="15"/>
  <c r="U168" i="15"/>
  <c r="U167" i="15"/>
  <c r="U166" i="15"/>
  <c r="U165" i="15"/>
  <c r="U164" i="15"/>
  <c r="U163" i="15"/>
  <c r="U162" i="15"/>
  <c r="U161" i="15"/>
  <c r="U160" i="15"/>
  <c r="U159" i="15"/>
  <c r="U158" i="15"/>
  <c r="U157" i="15"/>
  <c r="U156" i="15"/>
  <c r="U155" i="15"/>
  <c r="U154" i="15"/>
  <c r="U153" i="15"/>
  <c r="U152" i="15"/>
  <c r="U151" i="15"/>
  <c r="U149" i="15"/>
  <c r="U148" i="15"/>
  <c r="U147" i="15"/>
  <c r="U146" i="15"/>
  <c r="U145" i="15"/>
  <c r="U144" i="15"/>
  <c r="U143" i="15"/>
  <c r="U142" i="15"/>
  <c r="U141" i="15"/>
  <c r="U140" i="15"/>
  <c r="U139" i="15"/>
  <c r="U138" i="15"/>
  <c r="U137" i="15"/>
  <c r="U136" i="15"/>
  <c r="U135" i="15"/>
  <c r="U134" i="15"/>
  <c r="U133" i="15"/>
  <c r="U132" i="15"/>
  <c r="U131" i="15"/>
  <c r="U130" i="15"/>
  <c r="U129" i="15"/>
  <c r="U128" i="15"/>
  <c r="U127" i="15"/>
  <c r="U126" i="15"/>
  <c r="U125" i="15"/>
  <c r="U124" i="15"/>
  <c r="U123" i="15"/>
  <c r="U122" i="15"/>
  <c r="U121" i="15"/>
  <c r="U119" i="15"/>
  <c r="U118" i="15"/>
  <c r="U117" i="15"/>
  <c r="U116" i="15"/>
  <c r="U115" i="15"/>
  <c r="U114" i="15"/>
  <c r="U113" i="15"/>
  <c r="U112" i="15"/>
  <c r="U111" i="15"/>
  <c r="U110" i="15"/>
  <c r="U109" i="15"/>
  <c r="U108" i="15"/>
  <c r="U107" i="15"/>
  <c r="U106" i="15"/>
  <c r="U105" i="15"/>
  <c r="U104" i="15"/>
  <c r="U103" i="15"/>
  <c r="U102" i="15"/>
  <c r="U101" i="15"/>
  <c r="U100" i="15"/>
  <c r="U99" i="15"/>
  <c r="U98" i="15"/>
  <c r="U97" i="15"/>
  <c r="U96" i="15"/>
  <c r="U95" i="15"/>
  <c r="U94" i="15"/>
  <c r="U93" i="15"/>
  <c r="U92" i="15"/>
  <c r="U91" i="15"/>
  <c r="U90" i="15"/>
  <c r="U89" i="15"/>
  <c r="U88" i="15"/>
  <c r="U87" i="15"/>
  <c r="U86" i="15"/>
  <c r="U85" i="15"/>
  <c r="U84" i="15"/>
  <c r="U83" i="15"/>
  <c r="U82" i="15"/>
  <c r="U81" i="15"/>
  <c r="U80" i="15"/>
  <c r="U79" i="15"/>
  <c r="U78" i="15"/>
  <c r="U77" i="15"/>
  <c r="U76" i="15"/>
  <c r="U75" i="15"/>
  <c r="U74" i="15"/>
  <c r="U73" i="15"/>
  <c r="U72" i="15"/>
  <c r="U71" i="15"/>
  <c r="U70" i="15"/>
  <c r="U69" i="15"/>
  <c r="U68" i="15"/>
  <c r="U67" i="15"/>
  <c r="U66" i="15"/>
  <c r="U65" i="15"/>
  <c r="U64" i="15"/>
  <c r="U63" i="15"/>
  <c r="U62" i="15"/>
  <c r="U61" i="15"/>
  <c r="U60" i="15"/>
  <c r="U59" i="15"/>
  <c r="U58" i="15"/>
  <c r="U57" i="15"/>
  <c r="U56" i="15"/>
  <c r="U55" i="15"/>
  <c r="U54" i="15"/>
  <c r="U53" i="15"/>
  <c r="U52" i="15"/>
  <c r="U51" i="15"/>
  <c r="U50" i="15"/>
  <c r="U49" i="15"/>
  <c r="U48" i="15"/>
  <c r="U47" i="15"/>
  <c r="U46" i="15"/>
  <c r="U45" i="15"/>
  <c r="U44" i="15"/>
  <c r="U43" i="15"/>
  <c r="U42" i="15"/>
  <c r="U41" i="15"/>
  <c r="U40" i="15"/>
  <c r="U39" i="15"/>
  <c r="U38" i="15"/>
  <c r="U37" i="15"/>
  <c r="U36" i="15"/>
  <c r="U35" i="15"/>
  <c r="U34" i="15"/>
  <c r="U33" i="15"/>
  <c r="U32" i="15"/>
  <c r="U31" i="15"/>
  <c r="U30" i="15"/>
  <c r="U29" i="15"/>
  <c r="U28" i="15"/>
  <c r="U27" i="15"/>
  <c r="U26" i="15"/>
  <c r="U25" i="15"/>
  <c r="U24" i="15"/>
  <c r="U23" i="15"/>
  <c r="U22" i="15"/>
  <c r="U21" i="15"/>
  <c r="U20" i="15"/>
  <c r="U19" i="15"/>
  <c r="U18" i="15"/>
  <c r="U17" i="15"/>
  <c r="V1486" i="15" l="1"/>
  <c r="V1485" i="15" s="1"/>
  <c r="AE140" i="8"/>
  <c r="D9" i="10"/>
  <c r="C9" i="10"/>
  <c r="F36" i="10"/>
  <c r="F9" i="10" s="1"/>
  <c r="Q179" i="13"/>
  <c r="J179" i="13"/>
  <c r="K179" i="13"/>
  <c r="L179" i="13"/>
  <c r="I179" i="13"/>
  <c r="P181" i="13"/>
  <c r="B211" i="13"/>
  <c r="B209" i="13"/>
  <c r="B207" i="13"/>
  <c r="B205" i="13"/>
  <c r="B203" i="13"/>
  <c r="B202" i="13"/>
  <c r="B200" i="13"/>
  <c r="B198" i="13"/>
  <c r="B196" i="13"/>
  <c r="B194" i="13"/>
  <c r="B192" i="13"/>
  <c r="B191" i="13"/>
  <c r="B189" i="13"/>
  <c r="B188" i="13"/>
  <c r="B187" i="13"/>
  <c r="B185" i="13"/>
  <c r="B183" i="13"/>
  <c r="B181" i="13"/>
  <c r="B180" i="13"/>
  <c r="B178" i="13"/>
  <c r="B177" i="13"/>
  <c r="B176" i="13"/>
  <c r="B175" i="13"/>
  <c r="B173" i="13"/>
  <c r="B171" i="13"/>
  <c r="B169" i="13"/>
  <c r="B168" i="13"/>
  <c r="B166" i="13"/>
  <c r="B165" i="13"/>
  <c r="B164" i="13"/>
  <c r="B163" i="13"/>
  <c r="B162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0" i="13"/>
  <c r="B129" i="13"/>
  <c r="B128" i="13"/>
  <c r="B126" i="13"/>
  <c r="B125" i="13"/>
  <c r="B124" i="13"/>
  <c r="B123" i="13"/>
  <c r="B122" i="13"/>
  <c r="B121" i="13"/>
  <c r="B120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2" i="13"/>
  <c r="B101" i="13"/>
  <c r="B100" i="13"/>
  <c r="B95" i="13"/>
  <c r="B94" i="13"/>
  <c r="B93" i="13"/>
  <c r="J103" i="13"/>
  <c r="K103" i="13"/>
  <c r="L103" i="13"/>
  <c r="I103" i="13"/>
  <c r="Q103" i="13"/>
  <c r="P118" i="13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T104" i="8"/>
  <c r="U104" i="8"/>
  <c r="V104" i="8"/>
  <c r="W104" i="8"/>
  <c r="X104" i="8"/>
  <c r="Y104" i="8"/>
  <c r="Z104" i="8"/>
  <c r="AA104" i="8"/>
  <c r="AB104" i="8"/>
  <c r="AC104" i="8"/>
  <c r="AD104" i="8"/>
  <c r="AF104" i="8"/>
  <c r="AG104" i="8"/>
  <c r="E104" i="8"/>
  <c r="D236" i="5"/>
  <c r="F236" i="5"/>
  <c r="U1590" i="15"/>
  <c r="U1589" i="15" s="1"/>
  <c r="T1591" i="15"/>
  <c r="T1590" i="15" s="1"/>
  <c r="T1589" i="15" s="1"/>
  <c r="R1590" i="15"/>
  <c r="R1589" i="15" s="1"/>
  <c r="S1590" i="15"/>
  <c r="S1589" i="15" s="1"/>
  <c r="P1590" i="15"/>
  <c r="J1590" i="15"/>
  <c r="J1589" i="15" s="1"/>
  <c r="K1590" i="15"/>
  <c r="K1589" i="15" s="1"/>
  <c r="L1590" i="15"/>
  <c r="L1589" i="15" s="1"/>
  <c r="I1590" i="15"/>
  <c r="I1589" i="15" s="1"/>
  <c r="J551" i="15"/>
  <c r="K551" i="15"/>
  <c r="L551" i="15"/>
  <c r="I551" i="15"/>
  <c r="T639" i="15"/>
  <c r="P1589" i="15" l="1"/>
  <c r="P1562" i="15" s="1"/>
  <c r="V1590" i="15"/>
  <c r="V1589" i="15" l="1"/>
  <c r="V1564" i="15"/>
  <c r="AE180" i="8" l="1"/>
  <c r="G180" i="8"/>
  <c r="H180" i="8"/>
  <c r="I180" i="8"/>
  <c r="J180" i="8"/>
  <c r="K180" i="8"/>
  <c r="L180" i="8"/>
  <c r="M180" i="8"/>
  <c r="N180" i="8"/>
  <c r="O180" i="8"/>
  <c r="P180" i="8"/>
  <c r="Q180" i="8"/>
  <c r="R180" i="8"/>
  <c r="S180" i="8"/>
  <c r="T180" i="8"/>
  <c r="U180" i="8"/>
  <c r="V180" i="8"/>
  <c r="W180" i="8"/>
  <c r="X180" i="8"/>
  <c r="Y180" i="8"/>
  <c r="Z180" i="8"/>
  <c r="AA180" i="8"/>
  <c r="AB180" i="8"/>
  <c r="AC180" i="8"/>
  <c r="AD180" i="8"/>
  <c r="AF180" i="8"/>
  <c r="B182" i="8"/>
  <c r="F182" i="8" l="1"/>
  <c r="AC1435" i="7" l="1"/>
  <c r="AC1412" i="7"/>
  <c r="AC1387" i="7"/>
  <c r="AC1383" i="7"/>
  <c r="AC1365" i="7"/>
  <c r="AC1364" i="7" s="1"/>
  <c r="AC1360" i="7"/>
  <c r="AC1359" i="7" s="1"/>
  <c r="AC1337" i="7"/>
  <c r="AC1332" i="7"/>
  <c r="AC1325" i="7"/>
  <c r="AC1322" i="7"/>
  <c r="AC1321" i="7"/>
  <c r="AC1305" i="7"/>
  <c r="AC1303" i="7"/>
  <c r="AC1278" i="7"/>
  <c r="AC1275" i="7"/>
  <c r="AC1272" i="7"/>
  <c r="AC1271" i="7"/>
  <c r="AC1269" i="7"/>
  <c r="AC1268" i="7" s="1"/>
  <c r="B645" i="7" l="1"/>
  <c r="AC645" i="7"/>
  <c r="F119" i="8"/>
  <c r="F105" i="8"/>
  <c r="B119" i="8"/>
  <c r="D645" i="7" l="1"/>
  <c r="AC557" i="7"/>
  <c r="AC1456" i="7"/>
  <c r="AC1457" i="7"/>
  <c r="AC1455" i="7"/>
  <c r="AC1426" i="7"/>
  <c r="AC1427" i="7"/>
  <c r="AC1421" i="7"/>
  <c r="AC1417" i="7"/>
  <c r="AC1407" i="7"/>
  <c r="AC1404" i="7"/>
  <c r="AC1397" i="7"/>
  <c r="AC1393" i="7"/>
  <c r="AC1392" i="7" s="1"/>
  <c r="D1344" i="7"/>
  <c r="AC1304" i="7"/>
  <c r="D1173" i="7"/>
  <c r="AC1341" i="7" l="1"/>
  <c r="AD654" i="7" l="1"/>
  <c r="AD646" i="7" s="1"/>
  <c r="AD673" i="7"/>
  <c r="AD717" i="7"/>
  <c r="AD772" i="7"/>
  <c r="AD788" i="7"/>
  <c r="AD810" i="7"/>
  <c r="AD818" i="7"/>
  <c r="AD824" i="7"/>
  <c r="AD829" i="7"/>
  <c r="AD831" i="7"/>
  <c r="AD834" i="7"/>
  <c r="AD836" i="7"/>
  <c r="AD838" i="7"/>
  <c r="AD852" i="7"/>
  <c r="AD859" i="7"/>
  <c r="AD862" i="7"/>
  <c r="AD864" i="7"/>
  <c r="AD866" i="7"/>
  <c r="AD868" i="7"/>
  <c r="AD870" i="7"/>
  <c r="AD872" i="7"/>
  <c r="AD874" i="7"/>
  <c r="AD877" i="7"/>
  <c r="AD889" i="7"/>
  <c r="AD892" i="7"/>
  <c r="AD896" i="7"/>
  <c r="AD898" i="7"/>
  <c r="AD901" i="7"/>
  <c r="AD904" i="7"/>
  <c r="AD913" i="7"/>
  <c r="AD917" i="7"/>
  <c r="AD919" i="7"/>
  <c r="AD923" i="7"/>
  <c r="AD925" i="7"/>
  <c r="AD927" i="7"/>
  <c r="AD929" i="7"/>
  <c r="AD933" i="7"/>
  <c r="AD939" i="7"/>
  <c r="AD943" i="7"/>
  <c r="AD945" i="7"/>
  <c r="AD952" i="7"/>
  <c r="AD955" i="7"/>
  <c r="AD957" i="7"/>
  <c r="AD961" i="7"/>
  <c r="AD963" i="7"/>
  <c r="AD965" i="7"/>
  <c r="AD967" i="7"/>
  <c r="AD969" i="7"/>
  <c r="AD972" i="7"/>
  <c r="AD974" i="7"/>
  <c r="AD978" i="7"/>
  <c r="AD983" i="7"/>
  <c r="AD991" i="7"/>
  <c r="AD995" i="7"/>
  <c r="AD997" i="7"/>
  <c r="AD999" i="7"/>
  <c r="AD1001" i="7"/>
  <c r="AD1003" i="7"/>
  <c r="AD1009" i="7"/>
  <c r="AD1011" i="7"/>
  <c r="AD1013" i="7"/>
  <c r="AD1015" i="7"/>
  <c r="AD1022" i="7"/>
  <c r="AD1026" i="7"/>
  <c r="AD1028" i="7"/>
  <c r="D1598" i="7"/>
  <c r="D1597" i="7" l="1"/>
  <c r="R12" i="11"/>
  <c r="S12" i="11"/>
  <c r="T12" i="11"/>
  <c r="U12" i="11"/>
  <c r="V12" i="11"/>
  <c r="W12" i="11"/>
  <c r="X12" i="11"/>
  <c r="Y12" i="11"/>
  <c r="D146" i="5"/>
  <c r="E146" i="5"/>
  <c r="C146" i="5"/>
  <c r="D79" i="5"/>
  <c r="E79" i="5"/>
  <c r="F79" i="5"/>
  <c r="C79" i="5"/>
  <c r="D1596" i="7" l="1"/>
  <c r="C10" i="5"/>
  <c r="D10" i="5"/>
  <c r="F10" i="5"/>
  <c r="D1425" i="7" l="1"/>
  <c r="M1428" i="7" l="1"/>
  <c r="AB20" i="11" l="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1" i="11"/>
  <c r="B637" i="15"/>
  <c r="B578" i="15"/>
  <c r="B579" i="15"/>
  <c r="B580" i="15"/>
  <c r="B371" i="15"/>
  <c r="B372" i="15"/>
  <c r="B373" i="15"/>
  <c r="S946" i="15" l="1"/>
  <c r="R946" i="15"/>
  <c r="L946" i="15"/>
  <c r="K946" i="15"/>
  <c r="J946" i="15"/>
  <c r="I946" i="15"/>
  <c r="S949" i="15"/>
  <c r="R949" i="15"/>
  <c r="L949" i="15"/>
  <c r="K949" i="15"/>
  <c r="J949" i="15"/>
  <c r="I949" i="15"/>
  <c r="B950" i="15"/>
  <c r="B948" i="15"/>
  <c r="T950" i="15"/>
  <c r="T949" i="15" s="1"/>
  <c r="T948" i="15"/>
  <c r="B935" i="15"/>
  <c r="T935" i="15"/>
  <c r="B814" i="15"/>
  <c r="B815" i="15"/>
  <c r="B816" i="15"/>
  <c r="B817" i="15"/>
  <c r="T816" i="15"/>
  <c r="T817" i="15"/>
  <c r="T814" i="15"/>
  <c r="B783" i="15"/>
  <c r="B784" i="15"/>
  <c r="B807" i="15"/>
  <c r="T807" i="15"/>
  <c r="L782" i="15"/>
  <c r="K782" i="15"/>
  <c r="J782" i="15"/>
  <c r="S782" i="15"/>
  <c r="R782" i="15"/>
  <c r="I782" i="15"/>
  <c r="T784" i="15"/>
  <c r="T783" i="15"/>
  <c r="T637" i="15"/>
  <c r="AE955" i="7" l="1"/>
  <c r="AB955" i="7"/>
  <c r="AA955" i="7"/>
  <c r="Z955" i="7"/>
  <c r="Y955" i="7"/>
  <c r="X955" i="7"/>
  <c r="W955" i="7"/>
  <c r="V955" i="7"/>
  <c r="U955" i="7"/>
  <c r="T955" i="7"/>
  <c r="S955" i="7"/>
  <c r="R955" i="7"/>
  <c r="Q955" i="7"/>
  <c r="P955" i="7"/>
  <c r="O955" i="7"/>
  <c r="N955" i="7"/>
  <c r="M955" i="7"/>
  <c r="L955" i="7"/>
  <c r="K955" i="7"/>
  <c r="J955" i="7"/>
  <c r="I955" i="7"/>
  <c r="H955" i="7"/>
  <c r="G955" i="7"/>
  <c r="F955" i="7"/>
  <c r="E955" i="7"/>
  <c r="B956" i="7"/>
  <c r="AC956" i="7"/>
  <c r="D956" i="7" s="1"/>
  <c r="AE952" i="7"/>
  <c r="AB952" i="7"/>
  <c r="AA952" i="7"/>
  <c r="Z952" i="7"/>
  <c r="Y952" i="7"/>
  <c r="X952" i="7"/>
  <c r="W952" i="7"/>
  <c r="V952" i="7"/>
  <c r="U952" i="7"/>
  <c r="T952" i="7"/>
  <c r="S952" i="7"/>
  <c r="R952" i="7"/>
  <c r="Q952" i="7"/>
  <c r="P952" i="7"/>
  <c r="O952" i="7"/>
  <c r="N952" i="7"/>
  <c r="M952" i="7"/>
  <c r="L952" i="7"/>
  <c r="K952" i="7"/>
  <c r="J952" i="7"/>
  <c r="I952" i="7"/>
  <c r="H952" i="7"/>
  <c r="G952" i="7"/>
  <c r="F952" i="7"/>
  <c r="E952" i="7"/>
  <c r="B954" i="7"/>
  <c r="AC954" i="7"/>
  <c r="D954" i="7" s="1"/>
  <c r="B823" i="7"/>
  <c r="D822" i="7"/>
  <c r="B822" i="7"/>
  <c r="D823" i="7"/>
  <c r="B820" i="7"/>
  <c r="D820" i="7"/>
  <c r="B813" i="7"/>
  <c r="D813" i="7"/>
  <c r="AE788" i="7"/>
  <c r="AB788" i="7"/>
  <c r="AA788" i="7"/>
  <c r="Z788" i="7"/>
  <c r="Y788" i="7"/>
  <c r="X788" i="7"/>
  <c r="W788" i="7"/>
  <c r="V788" i="7"/>
  <c r="U788" i="7"/>
  <c r="T788" i="7"/>
  <c r="S788" i="7"/>
  <c r="R788" i="7"/>
  <c r="Q788" i="7"/>
  <c r="P788" i="7"/>
  <c r="O788" i="7"/>
  <c r="M788" i="7"/>
  <c r="L788" i="7"/>
  <c r="K788" i="7"/>
  <c r="J788" i="7"/>
  <c r="I788" i="7"/>
  <c r="H788" i="7"/>
  <c r="G788" i="7"/>
  <c r="F788" i="7"/>
  <c r="E788" i="7"/>
  <c r="B789" i="7"/>
  <c r="B790" i="7"/>
  <c r="D790" i="7"/>
  <c r="D789" i="7"/>
  <c r="B941" i="7"/>
  <c r="AC941" i="7"/>
  <c r="D941" i="7" s="1"/>
  <c r="D440" i="7"/>
  <c r="B440" i="7"/>
  <c r="AE896" i="7"/>
  <c r="AB896" i="7"/>
  <c r="AA896" i="7"/>
  <c r="Z896" i="7"/>
  <c r="Y896" i="7"/>
  <c r="X896" i="7"/>
  <c r="W896" i="7"/>
  <c r="V896" i="7"/>
  <c r="U896" i="7"/>
  <c r="T896" i="7"/>
  <c r="S896" i="7"/>
  <c r="R896" i="7"/>
  <c r="Q896" i="7"/>
  <c r="P896" i="7"/>
  <c r="O896" i="7"/>
  <c r="N896" i="7"/>
  <c r="M896" i="7"/>
  <c r="L896" i="7"/>
  <c r="K896" i="7"/>
  <c r="J896" i="7"/>
  <c r="I896" i="7"/>
  <c r="H896" i="7"/>
  <c r="G896" i="7"/>
  <c r="F896" i="7"/>
  <c r="E896" i="7"/>
  <c r="T578" i="15"/>
  <c r="B581" i="15"/>
  <c r="T581" i="15"/>
  <c r="B555" i="15"/>
  <c r="T555" i="15"/>
  <c r="D1190" i="7"/>
  <c r="D1131" i="7"/>
  <c r="D1130" i="7"/>
  <c r="D955" i="7" l="1"/>
  <c r="AC955" i="7"/>
  <c r="AC1339" i="7"/>
  <c r="AC1338" i="7" s="1"/>
  <c r="L1512" i="7" l="1"/>
  <c r="L1511" i="7"/>
  <c r="L1510" i="7"/>
  <c r="L1547" i="7"/>
  <c r="L1546" i="7"/>
  <c r="L1508" i="7"/>
  <c r="L1496" i="7"/>
  <c r="L1554" i="7"/>
  <c r="L1553" i="7"/>
  <c r="L1552" i="7"/>
  <c r="L1550" i="7"/>
  <c r="AC826" i="7" l="1"/>
  <c r="B587" i="7" l="1"/>
  <c r="B561" i="7"/>
  <c r="B584" i="7"/>
  <c r="D1050" i="7"/>
  <c r="B643" i="7"/>
  <c r="B644" i="7"/>
  <c r="D643" i="7"/>
  <c r="D584" i="7"/>
  <c r="D561" i="7"/>
  <c r="D587" i="7"/>
  <c r="D1044" i="7"/>
  <c r="C43" i="14" l="1"/>
  <c r="C42" i="14"/>
  <c r="C22" i="14"/>
  <c r="C21" i="14"/>
  <c r="C35" i="14" l="1"/>
  <c r="C33" i="14"/>
  <c r="D1322" i="7" l="1"/>
  <c r="D1323" i="7" l="1"/>
  <c r="Q210" i="13" l="1"/>
  <c r="P209" i="13"/>
  <c r="Q208" i="13"/>
  <c r="P207" i="13"/>
  <c r="Q206" i="13"/>
  <c r="P205" i="13"/>
  <c r="Q204" i="13"/>
  <c r="P203" i="13"/>
  <c r="P202" i="13"/>
  <c r="Q201" i="13"/>
  <c r="P200" i="13"/>
  <c r="Q199" i="13"/>
  <c r="P198" i="13"/>
  <c r="Q197" i="13"/>
  <c r="P196" i="13"/>
  <c r="Q195" i="13"/>
  <c r="P194" i="13"/>
  <c r="Q193" i="13"/>
  <c r="P192" i="13"/>
  <c r="Q190" i="13"/>
  <c r="P189" i="13"/>
  <c r="P188" i="13"/>
  <c r="P187" i="13"/>
  <c r="Q186" i="13"/>
  <c r="P185" i="13"/>
  <c r="Q184" i="13"/>
  <c r="P183" i="13"/>
  <c r="Q182" i="13"/>
  <c r="P180" i="13"/>
  <c r="P178" i="13"/>
  <c r="P177" i="13"/>
  <c r="P176" i="13"/>
  <c r="P175" i="13"/>
  <c r="Q174" i="13"/>
  <c r="P173" i="13"/>
  <c r="Q172" i="13"/>
  <c r="P171" i="13"/>
  <c r="Q170" i="13"/>
  <c r="P169" i="13"/>
  <c r="P168" i="13"/>
  <c r="Q167" i="13"/>
  <c r="P166" i="13"/>
  <c r="P165" i="13"/>
  <c r="P164" i="13"/>
  <c r="P163" i="13"/>
  <c r="P162" i="13"/>
  <c r="Q161" i="13"/>
  <c r="P160" i="13"/>
  <c r="P159" i="13"/>
  <c r="P158" i="13"/>
  <c r="P157" i="13"/>
  <c r="P156" i="13"/>
  <c r="P155" i="13"/>
  <c r="P154" i="13"/>
  <c r="P153" i="13"/>
  <c r="P152" i="13"/>
  <c r="P151" i="13"/>
  <c r="P150" i="13"/>
  <c r="P149" i="13"/>
  <c r="P148" i="13"/>
  <c r="P147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Q131" i="13"/>
  <c r="P130" i="13"/>
  <c r="P129" i="13"/>
  <c r="P128" i="13"/>
  <c r="Q127" i="13"/>
  <c r="P126" i="13"/>
  <c r="P125" i="13"/>
  <c r="P124" i="13"/>
  <c r="P123" i="13"/>
  <c r="P122" i="13"/>
  <c r="P121" i="13"/>
  <c r="P120" i="13"/>
  <c r="Q119" i="13"/>
  <c r="P117" i="13"/>
  <c r="P116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2" i="13"/>
  <c r="P101" i="13"/>
  <c r="P100" i="13"/>
  <c r="Q99" i="13"/>
  <c r="P98" i="13"/>
  <c r="P97" i="13"/>
  <c r="P96" i="13"/>
  <c r="P95" i="13"/>
  <c r="P94" i="13"/>
  <c r="P93" i="13"/>
  <c r="P89" i="13"/>
  <c r="Q88" i="13"/>
  <c r="P87" i="13"/>
  <c r="Q86" i="13"/>
  <c r="P85" i="13"/>
  <c r="Q84" i="13"/>
  <c r="P83" i="13"/>
  <c r="Q82" i="13"/>
  <c r="P81" i="13"/>
  <c r="P80" i="13"/>
  <c r="Q79" i="13"/>
  <c r="P77" i="13"/>
  <c r="Q77" i="13" s="1"/>
  <c r="P75" i="13"/>
  <c r="Q74" i="13"/>
  <c r="P73" i="13"/>
  <c r="Q72" i="13"/>
  <c r="P71" i="13"/>
  <c r="Q70" i="13"/>
  <c r="P69" i="13"/>
  <c r="Q68" i="13"/>
  <c r="P67" i="13"/>
  <c r="P66" i="13"/>
  <c r="P65" i="13"/>
  <c r="Q64" i="13"/>
  <c r="P62" i="13"/>
  <c r="Q61" i="13"/>
  <c r="P60" i="13"/>
  <c r="Q59" i="13"/>
  <c r="P58" i="13"/>
  <c r="Q57" i="13"/>
  <c r="P56" i="13"/>
  <c r="P55" i="13"/>
  <c r="P54" i="13"/>
  <c r="Q53" i="13"/>
  <c r="P52" i="13"/>
  <c r="Q51" i="13"/>
  <c r="P50" i="13"/>
  <c r="Q49" i="13"/>
  <c r="P48" i="13"/>
  <c r="Q47" i="13"/>
  <c r="P46" i="13"/>
  <c r="P45" i="13"/>
  <c r="P44" i="13"/>
  <c r="Q43" i="13"/>
  <c r="P42" i="13"/>
  <c r="Q41" i="13"/>
  <c r="P40" i="13"/>
  <c r="Q39" i="13"/>
  <c r="P38" i="13"/>
  <c r="P37" i="13"/>
  <c r="P36" i="13"/>
  <c r="Q35" i="13"/>
  <c r="P34" i="13"/>
  <c r="P33" i="13"/>
  <c r="Q32" i="13"/>
  <c r="P31" i="13"/>
  <c r="P30" i="13"/>
  <c r="Q29" i="13"/>
  <c r="P28" i="13"/>
  <c r="Q27" i="13"/>
  <c r="P26" i="13"/>
  <c r="Q25" i="13"/>
  <c r="P24" i="13"/>
  <c r="Q23" i="13"/>
  <c r="P22" i="13"/>
  <c r="P21" i="13"/>
  <c r="P20" i="13"/>
  <c r="P19" i="13"/>
  <c r="P18" i="13"/>
  <c r="P17" i="13"/>
  <c r="P16" i="13"/>
  <c r="P15" i="13"/>
  <c r="Q14" i="13"/>
  <c r="P13" i="13"/>
  <c r="Q12" i="13"/>
  <c r="B21" i="8"/>
  <c r="C12" i="14"/>
  <c r="C5" i="14"/>
  <c r="T1588" i="15"/>
  <c r="T1587" i="15"/>
  <c r="T1586" i="15"/>
  <c r="S1585" i="15"/>
  <c r="R1585" i="15"/>
  <c r="L1585" i="15"/>
  <c r="K1585" i="15"/>
  <c r="J1585" i="15"/>
  <c r="I1585" i="15"/>
  <c r="U1585" i="15" s="1"/>
  <c r="T1584" i="15"/>
  <c r="T1583" i="15" s="1"/>
  <c r="S1583" i="15"/>
  <c r="S1581" i="15" s="1"/>
  <c r="S1579" i="15" s="1"/>
  <c r="S1577" i="15" s="1"/>
  <c r="R1583" i="15"/>
  <c r="R1581" i="15" s="1"/>
  <c r="L1583" i="15"/>
  <c r="K1583" i="15"/>
  <c r="J1583" i="15"/>
  <c r="I1583" i="15"/>
  <c r="U1583" i="15" s="1"/>
  <c r="T1582" i="15"/>
  <c r="T1581" i="15" s="1"/>
  <c r="V1581" i="15"/>
  <c r="L1581" i="15"/>
  <c r="K1581" i="15"/>
  <c r="J1581" i="15"/>
  <c r="I1581" i="15"/>
  <c r="U1581" i="15" s="1"/>
  <c r="T1580" i="15"/>
  <c r="T1579" i="15" s="1"/>
  <c r="K1580" i="15"/>
  <c r="K1579" i="15" s="1"/>
  <c r="V1579" i="15"/>
  <c r="L1579" i="15"/>
  <c r="J1579" i="15"/>
  <c r="I1579" i="15"/>
  <c r="U1579" i="15" s="1"/>
  <c r="T1578" i="15"/>
  <c r="T1577" i="15" s="1"/>
  <c r="K1578" i="15"/>
  <c r="K1577" i="15" s="1"/>
  <c r="L1577" i="15"/>
  <c r="J1577" i="15"/>
  <c r="I1577" i="15"/>
  <c r="U1577" i="15" s="1"/>
  <c r="T1576" i="15"/>
  <c r="K1576" i="15"/>
  <c r="T1575" i="15"/>
  <c r="K1575" i="15"/>
  <c r="T1574" i="15"/>
  <c r="K1574" i="15"/>
  <c r="S1573" i="15"/>
  <c r="R1573" i="15"/>
  <c r="L1573" i="15"/>
  <c r="J1573" i="15"/>
  <c r="I1573" i="15"/>
  <c r="U1573" i="15" s="1"/>
  <c r="T1571" i="15"/>
  <c r="T1570" i="15" s="1"/>
  <c r="V1570" i="15"/>
  <c r="S1570" i="15"/>
  <c r="R1570" i="15"/>
  <c r="L1570" i="15"/>
  <c r="K1570" i="15"/>
  <c r="J1570" i="15"/>
  <c r="I1570" i="15"/>
  <c r="T1569" i="15"/>
  <c r="T1568" i="15" s="1"/>
  <c r="V1568" i="15"/>
  <c r="S1568" i="15"/>
  <c r="R1568" i="15"/>
  <c r="L1568" i="15"/>
  <c r="K1568" i="15"/>
  <c r="J1568" i="15"/>
  <c r="I1568" i="15"/>
  <c r="U1568" i="15" s="1"/>
  <c r="T1567" i="15"/>
  <c r="T1566" i="15"/>
  <c r="T1565" i="15"/>
  <c r="S1564" i="15"/>
  <c r="R1564" i="15"/>
  <c r="L1564" i="15"/>
  <c r="K1564" i="15"/>
  <c r="J1564" i="15"/>
  <c r="I1564" i="15"/>
  <c r="U1564" i="15" s="1"/>
  <c r="T1547" i="15"/>
  <c r="B1547" i="15"/>
  <c r="T1546" i="15"/>
  <c r="B1546" i="15"/>
  <c r="T1545" i="15"/>
  <c r="B1545" i="15"/>
  <c r="T1544" i="15"/>
  <c r="B1544" i="15"/>
  <c r="T1543" i="15"/>
  <c r="B1543" i="15"/>
  <c r="T1542" i="15"/>
  <c r="B1542" i="15"/>
  <c r="S1541" i="15"/>
  <c r="R1541" i="15"/>
  <c r="L1541" i="15"/>
  <c r="K1541" i="15"/>
  <c r="J1541" i="15"/>
  <c r="I1541" i="15"/>
  <c r="U1541" i="15" s="1"/>
  <c r="T1540" i="15"/>
  <c r="B1540" i="15"/>
  <c r="T1539" i="15"/>
  <c r="B1539" i="15"/>
  <c r="T1538" i="15"/>
  <c r="B1538" i="15"/>
  <c r="T1537" i="15"/>
  <c r="B1537" i="15"/>
  <c r="S1536" i="15"/>
  <c r="R1536" i="15"/>
  <c r="L1536" i="15"/>
  <c r="K1536" i="15"/>
  <c r="J1536" i="15"/>
  <c r="I1536" i="15"/>
  <c r="U1536" i="15" s="1"/>
  <c r="T1535" i="15"/>
  <c r="B1535" i="15"/>
  <c r="T1534" i="15"/>
  <c r="B1534" i="15"/>
  <c r="T1533" i="15"/>
  <c r="B1533" i="15"/>
  <c r="T1532" i="15"/>
  <c r="B1532" i="15"/>
  <c r="T1531" i="15"/>
  <c r="B1531" i="15"/>
  <c r="T1530" i="15"/>
  <c r="B1530" i="15"/>
  <c r="T1529" i="15"/>
  <c r="B1529" i="15"/>
  <c r="T1528" i="15"/>
  <c r="B1528" i="15"/>
  <c r="T1527" i="15"/>
  <c r="B1527" i="15"/>
  <c r="T1526" i="15"/>
  <c r="B1526" i="15"/>
  <c r="T1525" i="15"/>
  <c r="B1525" i="15"/>
  <c r="T1524" i="15"/>
  <c r="B1524" i="15"/>
  <c r="T1523" i="15"/>
  <c r="B1523" i="15"/>
  <c r="T1522" i="15"/>
  <c r="B1522" i="15"/>
  <c r="T1521" i="15"/>
  <c r="B1521" i="15"/>
  <c r="T1520" i="15"/>
  <c r="B1520" i="15"/>
  <c r="T1519" i="15"/>
  <c r="B1519" i="15"/>
  <c r="T1518" i="15"/>
  <c r="B1518" i="15"/>
  <c r="T1517" i="15"/>
  <c r="B1517" i="15"/>
  <c r="T1516" i="15"/>
  <c r="B1516" i="15"/>
  <c r="T1515" i="15"/>
  <c r="B1515" i="15"/>
  <c r="T1514" i="15"/>
  <c r="B1514" i="15"/>
  <c r="T1513" i="15"/>
  <c r="B1513" i="15"/>
  <c r="T1512" i="15"/>
  <c r="B1512" i="15"/>
  <c r="T1511" i="15"/>
  <c r="B1511" i="15"/>
  <c r="T1510" i="15"/>
  <c r="B1510" i="15"/>
  <c r="T1509" i="15"/>
  <c r="B1509" i="15"/>
  <c r="T1508" i="15"/>
  <c r="B1508" i="15"/>
  <c r="T1507" i="15"/>
  <c r="B1507" i="15"/>
  <c r="T1506" i="15"/>
  <c r="B1506" i="15"/>
  <c r="T1505" i="15"/>
  <c r="B1505" i="15"/>
  <c r="T1504" i="15"/>
  <c r="B1504" i="15"/>
  <c r="T1503" i="15"/>
  <c r="B1503" i="15"/>
  <c r="S1502" i="15"/>
  <c r="R1502" i="15"/>
  <c r="L1502" i="15"/>
  <c r="K1502" i="15"/>
  <c r="J1502" i="15"/>
  <c r="I1502" i="15"/>
  <c r="U1502" i="15" s="1"/>
  <c r="T1501" i="15"/>
  <c r="B1501" i="15"/>
  <c r="K1487" i="15"/>
  <c r="T1500" i="15"/>
  <c r="B1500" i="15"/>
  <c r="T1499" i="15"/>
  <c r="B1499" i="15"/>
  <c r="T1498" i="15"/>
  <c r="B1498" i="15"/>
  <c r="T1497" i="15"/>
  <c r="B1497" i="15"/>
  <c r="T1496" i="15"/>
  <c r="B1496" i="15"/>
  <c r="T1495" i="15"/>
  <c r="B1495" i="15"/>
  <c r="T1494" i="15"/>
  <c r="B1494" i="15"/>
  <c r="T1493" i="15"/>
  <c r="B1493" i="15"/>
  <c r="T1492" i="15"/>
  <c r="B1492" i="15"/>
  <c r="T1491" i="15"/>
  <c r="B1491" i="15"/>
  <c r="T1490" i="15"/>
  <c r="B1490" i="15"/>
  <c r="T1489" i="15"/>
  <c r="B1489" i="15"/>
  <c r="T1488" i="15"/>
  <c r="B1488" i="15"/>
  <c r="S1487" i="15"/>
  <c r="R1487" i="15"/>
  <c r="L1487" i="15"/>
  <c r="J1487" i="15"/>
  <c r="I1487" i="15"/>
  <c r="V1464" i="15"/>
  <c r="L1464" i="15"/>
  <c r="K1464" i="15"/>
  <c r="J1464" i="15"/>
  <c r="I1464" i="15"/>
  <c r="U1464" i="15" s="1"/>
  <c r="V1462" i="15"/>
  <c r="L1462" i="15"/>
  <c r="K1462" i="15"/>
  <c r="J1462" i="15"/>
  <c r="I1462" i="15"/>
  <c r="U1462" i="15" s="1"/>
  <c r="V1460" i="15"/>
  <c r="L1460" i="15"/>
  <c r="K1460" i="15"/>
  <c r="J1460" i="15"/>
  <c r="I1460" i="15"/>
  <c r="U1460" i="15" s="1"/>
  <c r="T1023" i="15"/>
  <c r="T1022" i="15" s="1"/>
  <c r="B1023" i="15"/>
  <c r="S1022" i="15"/>
  <c r="R1022" i="15"/>
  <c r="L1022" i="15"/>
  <c r="K1022" i="15"/>
  <c r="J1022" i="15"/>
  <c r="I1022" i="15"/>
  <c r="U1022" i="15" s="1"/>
  <c r="T1021" i="15"/>
  <c r="T1020" i="15" s="1"/>
  <c r="B1021" i="15"/>
  <c r="V1020" i="15"/>
  <c r="S1020" i="15"/>
  <c r="R1020" i="15"/>
  <c r="C49" i="14" s="1"/>
  <c r="L1020" i="15"/>
  <c r="K1020" i="15"/>
  <c r="J1020" i="15"/>
  <c r="I1020" i="15"/>
  <c r="U1020" i="15" s="1"/>
  <c r="T1019" i="15"/>
  <c r="B1019" i="15"/>
  <c r="T1018" i="15"/>
  <c r="B1018" i="15"/>
  <c r="T1017" i="15"/>
  <c r="B1017" i="15"/>
  <c r="S1016" i="15"/>
  <c r="R1016" i="15"/>
  <c r="L1016" i="15"/>
  <c r="K1016" i="15"/>
  <c r="J1016" i="15"/>
  <c r="I1016" i="15"/>
  <c r="U1016" i="15" s="1"/>
  <c r="T1015" i="15"/>
  <c r="B1015" i="15"/>
  <c r="T1014" i="15"/>
  <c r="B1014" i="15"/>
  <c r="T1013" i="15"/>
  <c r="B1013" i="15"/>
  <c r="T1012" i="15"/>
  <c r="B1012" i="15"/>
  <c r="T1011" i="15"/>
  <c r="B1011" i="15"/>
  <c r="T1010" i="15"/>
  <c r="B1010" i="15"/>
  <c r="S1009" i="15"/>
  <c r="R1009" i="15"/>
  <c r="L1009" i="15"/>
  <c r="K1009" i="15"/>
  <c r="J1009" i="15"/>
  <c r="I1009" i="15"/>
  <c r="U1009" i="15" s="1"/>
  <c r="T1008" i="15"/>
  <c r="T1007" i="15" s="1"/>
  <c r="B1008" i="15"/>
  <c r="V1007" i="15"/>
  <c r="S1007" i="15"/>
  <c r="R1007" i="15"/>
  <c r="L1007" i="15"/>
  <c r="K1007" i="15"/>
  <c r="J1007" i="15"/>
  <c r="I1007" i="15"/>
  <c r="U1007" i="15" s="1"/>
  <c r="T1006" i="15"/>
  <c r="T1005" i="15" s="1"/>
  <c r="B1006" i="15"/>
  <c r="S1005" i="15"/>
  <c r="R1005" i="15"/>
  <c r="L1005" i="15"/>
  <c r="K1005" i="15"/>
  <c r="J1005" i="15"/>
  <c r="I1005" i="15"/>
  <c r="U1005" i="15" s="1"/>
  <c r="T1004" i="15"/>
  <c r="T1003" i="15" s="1"/>
  <c r="B1004" i="15"/>
  <c r="S1003" i="15"/>
  <c r="R1003" i="15"/>
  <c r="L1003" i="15"/>
  <c r="K1003" i="15"/>
  <c r="J1003" i="15"/>
  <c r="I1003" i="15"/>
  <c r="U1003" i="15" s="1"/>
  <c r="T1002" i="15"/>
  <c r="B1002" i="15"/>
  <c r="T1001" i="15"/>
  <c r="B1001" i="15"/>
  <c r="T1000" i="15"/>
  <c r="B1000" i="15"/>
  <c r="T999" i="15"/>
  <c r="B999" i="15"/>
  <c r="T998" i="15"/>
  <c r="B998" i="15"/>
  <c r="S997" i="15"/>
  <c r="R997" i="15"/>
  <c r="L997" i="15"/>
  <c r="K997" i="15"/>
  <c r="J997" i="15"/>
  <c r="I997" i="15"/>
  <c r="U997" i="15" s="1"/>
  <c r="T996" i="15"/>
  <c r="T995" i="15" s="1"/>
  <c r="B996" i="15"/>
  <c r="V995" i="15"/>
  <c r="S995" i="15"/>
  <c r="R995" i="15"/>
  <c r="L995" i="15"/>
  <c r="K995" i="15"/>
  <c r="J995" i="15"/>
  <c r="I995" i="15"/>
  <c r="U995" i="15" s="1"/>
  <c r="T994" i="15"/>
  <c r="T993" i="15" s="1"/>
  <c r="B994" i="15"/>
  <c r="V993" i="15"/>
  <c r="S993" i="15"/>
  <c r="R993" i="15"/>
  <c r="L993" i="15"/>
  <c r="K993" i="15"/>
  <c r="J993" i="15"/>
  <c r="I993" i="15"/>
  <c r="U993" i="15" s="1"/>
  <c r="T992" i="15"/>
  <c r="T991" i="15" s="1"/>
  <c r="B992" i="15"/>
  <c r="V991" i="15"/>
  <c r="S991" i="15"/>
  <c r="R991" i="15"/>
  <c r="L991" i="15"/>
  <c r="K991" i="15"/>
  <c r="J991" i="15"/>
  <c r="I991" i="15"/>
  <c r="U991" i="15" s="1"/>
  <c r="T990" i="15"/>
  <c r="T989" i="15" s="1"/>
  <c r="B990" i="15"/>
  <c r="S989" i="15"/>
  <c r="R989" i="15"/>
  <c r="L989" i="15"/>
  <c r="K989" i="15"/>
  <c r="J989" i="15"/>
  <c r="I989" i="15"/>
  <c r="U989" i="15" s="1"/>
  <c r="T988" i="15"/>
  <c r="B988" i="15"/>
  <c r="T987" i="15"/>
  <c r="B987" i="15"/>
  <c r="T986" i="15"/>
  <c r="B986" i="15"/>
  <c r="S985" i="15"/>
  <c r="R985" i="15"/>
  <c r="L985" i="15"/>
  <c r="K985" i="15"/>
  <c r="J985" i="15"/>
  <c r="I985" i="15"/>
  <c r="U985" i="15" s="1"/>
  <c r="T984" i="15"/>
  <c r="B984" i="15"/>
  <c r="T983" i="15"/>
  <c r="B983" i="15"/>
  <c r="T982" i="15"/>
  <c r="B982" i="15"/>
  <c r="T981" i="15"/>
  <c r="B981" i="15"/>
  <c r="T980" i="15"/>
  <c r="B980" i="15"/>
  <c r="T979" i="15"/>
  <c r="B979" i="15"/>
  <c r="T978" i="15"/>
  <c r="B978" i="15"/>
  <c r="S977" i="15"/>
  <c r="R977" i="15"/>
  <c r="L977" i="15"/>
  <c r="K977" i="15"/>
  <c r="J977" i="15"/>
  <c r="I977" i="15"/>
  <c r="U977" i="15" s="1"/>
  <c r="T976" i="15"/>
  <c r="B976" i="15"/>
  <c r="T975" i="15"/>
  <c r="B975" i="15"/>
  <c r="T974" i="15"/>
  <c r="B974" i="15"/>
  <c r="T973" i="15"/>
  <c r="B973" i="15"/>
  <c r="S972" i="15"/>
  <c r="R972" i="15"/>
  <c r="L972" i="15"/>
  <c r="K972" i="15"/>
  <c r="J972" i="15"/>
  <c r="I972" i="15"/>
  <c r="U972" i="15" s="1"/>
  <c r="T971" i="15"/>
  <c r="B971" i="15"/>
  <c r="T970" i="15"/>
  <c r="K970" i="15"/>
  <c r="K968" i="15" s="1"/>
  <c r="B970" i="15"/>
  <c r="T969" i="15"/>
  <c r="B969" i="15"/>
  <c r="S968" i="15"/>
  <c r="R968" i="15"/>
  <c r="L968" i="15"/>
  <c r="J968" i="15"/>
  <c r="I968" i="15"/>
  <c r="U968" i="15" s="1"/>
  <c r="T967" i="15"/>
  <c r="T966" i="15" s="1"/>
  <c r="B967" i="15"/>
  <c r="S966" i="15"/>
  <c r="R966" i="15"/>
  <c r="L966" i="15"/>
  <c r="K966" i="15"/>
  <c r="J966" i="15"/>
  <c r="I966" i="15"/>
  <c r="U966" i="15" s="1"/>
  <c r="T965" i="15"/>
  <c r="B965" i="15"/>
  <c r="T964" i="15"/>
  <c r="B964" i="15"/>
  <c r="S963" i="15"/>
  <c r="R963" i="15"/>
  <c r="L963" i="15"/>
  <c r="K963" i="15"/>
  <c r="J963" i="15"/>
  <c r="I963" i="15"/>
  <c r="U963" i="15" s="1"/>
  <c r="T962" i="15"/>
  <c r="T961" i="15" s="1"/>
  <c r="B962" i="15"/>
  <c r="V961" i="15"/>
  <c r="S961" i="15"/>
  <c r="R961" i="15"/>
  <c r="L961" i="15"/>
  <c r="K961" i="15"/>
  <c r="J961" i="15"/>
  <c r="I961" i="15"/>
  <c r="U961" i="15" s="1"/>
  <c r="T960" i="15"/>
  <c r="T959" i="15" s="1"/>
  <c r="B960" i="15"/>
  <c r="S959" i="15"/>
  <c r="R959" i="15"/>
  <c r="L959" i="15"/>
  <c r="K959" i="15"/>
  <c r="J959" i="15"/>
  <c r="I959" i="15"/>
  <c r="U959" i="15" s="1"/>
  <c r="T958" i="15"/>
  <c r="B958" i="15"/>
  <c r="S957" i="15"/>
  <c r="R957" i="15"/>
  <c r="L957" i="15"/>
  <c r="K957" i="15"/>
  <c r="J957" i="15"/>
  <c r="I957" i="15"/>
  <c r="U957" i="15" s="1"/>
  <c r="T956" i="15"/>
  <c r="T955" i="15" s="1"/>
  <c r="B956" i="15"/>
  <c r="V955" i="15"/>
  <c r="S955" i="15"/>
  <c r="R955" i="15"/>
  <c r="L955" i="15"/>
  <c r="K955" i="15"/>
  <c r="J955" i="15"/>
  <c r="I955" i="15"/>
  <c r="U955" i="15" s="1"/>
  <c r="T954" i="15"/>
  <c r="B954" i="15"/>
  <c r="T953" i="15"/>
  <c r="B953" i="15"/>
  <c r="T952" i="15"/>
  <c r="B952" i="15"/>
  <c r="S951" i="15"/>
  <c r="R951" i="15"/>
  <c r="L951" i="15"/>
  <c r="K951" i="15"/>
  <c r="J951" i="15"/>
  <c r="I951" i="15"/>
  <c r="T947" i="15"/>
  <c r="T946" i="15" s="1"/>
  <c r="B947" i="15"/>
  <c r="U946" i="15"/>
  <c r="T945" i="15"/>
  <c r="B945" i="15"/>
  <c r="T944" i="15"/>
  <c r="B944" i="15"/>
  <c r="T943" i="15"/>
  <c r="B943" i="15"/>
  <c r="T942" i="15"/>
  <c r="B942" i="15"/>
  <c r="T941" i="15"/>
  <c r="B941" i="15"/>
  <c r="T940" i="15"/>
  <c r="B940" i="15"/>
  <c r="S939" i="15"/>
  <c r="R939" i="15"/>
  <c r="L939" i="15"/>
  <c r="K939" i="15"/>
  <c r="J939" i="15"/>
  <c r="I939" i="15"/>
  <c r="U939" i="15" s="1"/>
  <c r="T938" i="15"/>
  <c r="T937" i="15" s="1"/>
  <c r="B938" i="15"/>
  <c r="V937" i="15"/>
  <c r="S937" i="15"/>
  <c r="R937" i="15"/>
  <c r="L937" i="15"/>
  <c r="K937" i="15"/>
  <c r="J937" i="15"/>
  <c r="I937" i="15"/>
  <c r="U937" i="15" s="1"/>
  <c r="T936" i="15"/>
  <c r="B936" i="15"/>
  <c r="T934" i="15"/>
  <c r="B934" i="15"/>
  <c r="S933" i="15"/>
  <c r="R933" i="15"/>
  <c r="L933" i="15"/>
  <c r="K933" i="15"/>
  <c r="J933" i="15"/>
  <c r="I933" i="15"/>
  <c r="U933" i="15" s="1"/>
  <c r="T932" i="15"/>
  <c r="B932" i="15"/>
  <c r="T931" i="15"/>
  <c r="B931" i="15"/>
  <c r="T930" i="15"/>
  <c r="B930" i="15"/>
  <c r="T929" i="15"/>
  <c r="B929" i="15"/>
  <c r="T928" i="15"/>
  <c r="B928" i="15"/>
  <c r="S927" i="15"/>
  <c r="R927" i="15"/>
  <c r="L927" i="15"/>
  <c r="K927" i="15"/>
  <c r="J927" i="15"/>
  <c r="I927" i="15"/>
  <c r="U927" i="15" s="1"/>
  <c r="T926" i="15"/>
  <c r="B926" i="15"/>
  <c r="T925" i="15"/>
  <c r="B925" i="15"/>
  <c r="T924" i="15"/>
  <c r="B924" i="15"/>
  <c r="S923" i="15"/>
  <c r="R923" i="15"/>
  <c r="L923" i="15"/>
  <c r="K923" i="15"/>
  <c r="J923" i="15"/>
  <c r="I923" i="15"/>
  <c r="U923" i="15" s="1"/>
  <c r="T922" i="15"/>
  <c r="T921" i="15" s="1"/>
  <c r="B922" i="15"/>
  <c r="V921" i="15"/>
  <c r="S921" i="15"/>
  <c r="R921" i="15"/>
  <c r="L921" i="15"/>
  <c r="K921" i="15"/>
  <c r="J921" i="15"/>
  <c r="I921" i="15"/>
  <c r="U921" i="15" s="1"/>
  <c r="T920" i="15"/>
  <c r="T919" i="15" s="1"/>
  <c r="B920" i="15"/>
  <c r="V919" i="15"/>
  <c r="S919" i="15"/>
  <c r="R919" i="15"/>
  <c r="L919" i="15"/>
  <c r="K919" i="15"/>
  <c r="J919" i="15"/>
  <c r="I919" i="15"/>
  <c r="U919" i="15" s="1"/>
  <c r="T918" i="15"/>
  <c r="T917" i="15" s="1"/>
  <c r="B918" i="15"/>
  <c r="S917" i="15"/>
  <c r="R917" i="15"/>
  <c r="L917" i="15"/>
  <c r="K917" i="15"/>
  <c r="J917" i="15"/>
  <c r="I917" i="15"/>
  <c r="U917" i="15" s="1"/>
  <c r="T916" i="15"/>
  <c r="B916" i="15"/>
  <c r="T915" i="15"/>
  <c r="B915" i="15"/>
  <c r="T914" i="15"/>
  <c r="B914" i="15"/>
  <c r="S913" i="15"/>
  <c r="R913" i="15"/>
  <c r="L913" i="15"/>
  <c r="K913" i="15"/>
  <c r="J913" i="15"/>
  <c r="I913" i="15"/>
  <c r="U913" i="15" s="1"/>
  <c r="T912" i="15"/>
  <c r="T911" i="15" s="1"/>
  <c r="B912" i="15"/>
  <c r="V911" i="15"/>
  <c r="S911" i="15"/>
  <c r="R911" i="15"/>
  <c r="L911" i="15"/>
  <c r="K911" i="15"/>
  <c r="J911" i="15"/>
  <c r="I911" i="15"/>
  <c r="U911" i="15" s="1"/>
  <c r="T910" i="15"/>
  <c r="K910" i="15"/>
  <c r="K907" i="15" s="1"/>
  <c r="B910" i="15"/>
  <c r="T909" i="15"/>
  <c r="B909" i="15"/>
  <c r="T908" i="15"/>
  <c r="B908" i="15"/>
  <c r="V907" i="15"/>
  <c r="S907" i="15"/>
  <c r="R907" i="15"/>
  <c r="L907" i="15"/>
  <c r="J907" i="15"/>
  <c r="I907" i="15"/>
  <c r="U907" i="15" s="1"/>
  <c r="T906" i="15"/>
  <c r="K906" i="15"/>
  <c r="K898" i="15" s="1"/>
  <c r="B906" i="15"/>
  <c r="T905" i="15"/>
  <c r="B905" i="15"/>
  <c r="T904" i="15"/>
  <c r="B904" i="15"/>
  <c r="T903" i="15"/>
  <c r="B903" i="15"/>
  <c r="T902" i="15"/>
  <c r="B902" i="15"/>
  <c r="T901" i="15"/>
  <c r="B901" i="15"/>
  <c r="T900" i="15"/>
  <c r="B900" i="15"/>
  <c r="T899" i="15"/>
  <c r="B899" i="15"/>
  <c r="S898" i="15"/>
  <c r="R898" i="15"/>
  <c r="L898" i="15"/>
  <c r="J898" i="15"/>
  <c r="I898" i="15"/>
  <c r="U898" i="15" s="1"/>
  <c r="T897" i="15"/>
  <c r="B897" i="15"/>
  <c r="T896" i="15"/>
  <c r="B896" i="15"/>
  <c r="S895" i="15"/>
  <c r="R895" i="15"/>
  <c r="L895" i="15"/>
  <c r="K895" i="15"/>
  <c r="J895" i="15"/>
  <c r="I895" i="15"/>
  <c r="U895" i="15" s="1"/>
  <c r="T894" i="15"/>
  <c r="B894" i="15"/>
  <c r="T893" i="15"/>
  <c r="B893" i="15"/>
  <c r="S892" i="15"/>
  <c r="R892" i="15"/>
  <c r="L892" i="15"/>
  <c r="K892" i="15"/>
  <c r="J892" i="15"/>
  <c r="I892" i="15"/>
  <c r="U892" i="15" s="1"/>
  <c r="T891" i="15"/>
  <c r="B891" i="15"/>
  <c r="S890" i="15"/>
  <c r="R890" i="15"/>
  <c r="L890" i="15"/>
  <c r="K890" i="15"/>
  <c r="J890" i="15"/>
  <c r="I890" i="15"/>
  <c r="U890" i="15" s="1"/>
  <c r="T889" i="15"/>
  <c r="B889" i="15"/>
  <c r="T888" i="15"/>
  <c r="B888" i="15"/>
  <c r="T887" i="15"/>
  <c r="B887" i="15"/>
  <c r="S886" i="15"/>
  <c r="R886" i="15"/>
  <c r="L886" i="15"/>
  <c r="K886" i="15"/>
  <c r="J886" i="15"/>
  <c r="I886" i="15"/>
  <c r="U886" i="15" s="1"/>
  <c r="T885" i="15"/>
  <c r="B885" i="15"/>
  <c r="T884" i="15"/>
  <c r="B884" i="15"/>
  <c r="S883" i="15"/>
  <c r="R883" i="15"/>
  <c r="L883" i="15"/>
  <c r="K883" i="15"/>
  <c r="J883" i="15"/>
  <c r="I883" i="15"/>
  <c r="U883" i="15" s="1"/>
  <c r="T882" i="15"/>
  <c r="B882" i="15"/>
  <c r="T881" i="15"/>
  <c r="B881" i="15"/>
  <c r="T880" i="15"/>
  <c r="B880" i="15"/>
  <c r="T879" i="15"/>
  <c r="B879" i="15"/>
  <c r="T878" i="15"/>
  <c r="B878" i="15"/>
  <c r="T877" i="15"/>
  <c r="B877" i="15"/>
  <c r="T876" i="15"/>
  <c r="B876" i="15"/>
  <c r="T875" i="15"/>
  <c r="B875" i="15"/>
  <c r="T874" i="15"/>
  <c r="B874" i="15"/>
  <c r="T873" i="15"/>
  <c r="B873" i="15"/>
  <c r="T872" i="15"/>
  <c r="B872" i="15"/>
  <c r="S871" i="15"/>
  <c r="R871" i="15"/>
  <c r="L871" i="15"/>
  <c r="K871" i="15"/>
  <c r="J871" i="15"/>
  <c r="I871" i="15"/>
  <c r="U871" i="15" s="1"/>
  <c r="T870" i="15"/>
  <c r="B870" i="15"/>
  <c r="T869" i="15"/>
  <c r="B869" i="15"/>
  <c r="S868" i="15"/>
  <c r="R868" i="15"/>
  <c r="L868" i="15"/>
  <c r="K868" i="15"/>
  <c r="J868" i="15"/>
  <c r="I868" i="15"/>
  <c r="U868" i="15" s="1"/>
  <c r="T867" i="15"/>
  <c r="T866" i="15" s="1"/>
  <c r="B867" i="15"/>
  <c r="S866" i="15"/>
  <c r="R866" i="15"/>
  <c r="L866" i="15"/>
  <c r="K866" i="15"/>
  <c r="J866" i="15"/>
  <c r="I866" i="15"/>
  <c r="U866" i="15" s="1"/>
  <c r="T865" i="15"/>
  <c r="T864" i="15" s="1"/>
  <c r="B865" i="15"/>
  <c r="S864" i="15"/>
  <c r="R864" i="15"/>
  <c r="L864" i="15"/>
  <c r="K864" i="15"/>
  <c r="J864" i="15"/>
  <c r="I864" i="15"/>
  <c r="U864" i="15" s="1"/>
  <c r="T863" i="15"/>
  <c r="T862" i="15" s="1"/>
  <c r="B863" i="15"/>
  <c r="V862" i="15"/>
  <c r="S862" i="15"/>
  <c r="R862" i="15"/>
  <c r="L862" i="15"/>
  <c r="K862" i="15"/>
  <c r="J862" i="15"/>
  <c r="I862" i="15"/>
  <c r="U862" i="15" s="1"/>
  <c r="T861" i="15"/>
  <c r="T860" i="15" s="1"/>
  <c r="B861" i="15"/>
  <c r="V860" i="15"/>
  <c r="S860" i="15"/>
  <c r="R860" i="15"/>
  <c r="L860" i="15"/>
  <c r="K860" i="15"/>
  <c r="J860" i="15"/>
  <c r="I860" i="15"/>
  <c r="U860" i="15" s="1"/>
  <c r="T859" i="15"/>
  <c r="T858" i="15" s="1"/>
  <c r="B859" i="15"/>
  <c r="S858" i="15"/>
  <c r="R858" i="15"/>
  <c r="L858" i="15"/>
  <c r="K858" i="15"/>
  <c r="J858" i="15"/>
  <c r="I858" i="15"/>
  <c r="U858" i="15" s="1"/>
  <c r="T857" i="15"/>
  <c r="T856" i="15" s="1"/>
  <c r="B857" i="15"/>
  <c r="S856" i="15"/>
  <c r="R856" i="15"/>
  <c r="L856" i="15"/>
  <c r="K856" i="15"/>
  <c r="J856" i="15"/>
  <c r="I856" i="15"/>
  <c r="U856" i="15" s="1"/>
  <c r="T855" i="15"/>
  <c r="B855" i="15"/>
  <c r="T854" i="15"/>
  <c r="B854" i="15"/>
  <c r="S853" i="15"/>
  <c r="R853" i="15"/>
  <c r="L853" i="15"/>
  <c r="K853" i="15"/>
  <c r="J853" i="15"/>
  <c r="I853" i="15"/>
  <c r="U853" i="15" s="1"/>
  <c r="T852" i="15"/>
  <c r="B852" i="15"/>
  <c r="T851" i="15"/>
  <c r="B851" i="15"/>
  <c r="T850" i="15"/>
  <c r="B850" i="15"/>
  <c r="T849" i="15"/>
  <c r="B849" i="15"/>
  <c r="T848" i="15"/>
  <c r="B848" i="15"/>
  <c r="T847" i="15"/>
  <c r="B847" i="15"/>
  <c r="S846" i="15"/>
  <c r="R846" i="15"/>
  <c r="L846" i="15"/>
  <c r="K846" i="15"/>
  <c r="J846" i="15"/>
  <c r="I846" i="15"/>
  <c r="U846" i="15" s="1"/>
  <c r="T845" i="15"/>
  <c r="B845" i="15"/>
  <c r="T844" i="15"/>
  <c r="B844" i="15"/>
  <c r="T843" i="15"/>
  <c r="B843" i="15"/>
  <c r="T842" i="15"/>
  <c r="K842" i="15"/>
  <c r="K832" i="15" s="1"/>
  <c r="B842" i="15"/>
  <c r="T841" i="15"/>
  <c r="B841" i="15"/>
  <c r="T840" i="15"/>
  <c r="B840" i="15"/>
  <c r="T839" i="15"/>
  <c r="B839" i="15"/>
  <c r="T838" i="15"/>
  <c r="B838" i="15"/>
  <c r="T837" i="15"/>
  <c r="B837" i="15"/>
  <c r="T836" i="15"/>
  <c r="B836" i="15"/>
  <c r="T835" i="15"/>
  <c r="B835" i="15"/>
  <c r="T834" i="15"/>
  <c r="B834" i="15"/>
  <c r="T833" i="15"/>
  <c r="B833" i="15"/>
  <c r="S832" i="15"/>
  <c r="R832" i="15"/>
  <c r="L832" i="15"/>
  <c r="J832" i="15"/>
  <c r="I832" i="15"/>
  <c r="U832" i="15" s="1"/>
  <c r="T831" i="15"/>
  <c r="B831" i="15"/>
  <c r="S830" i="15"/>
  <c r="R830" i="15"/>
  <c r="L830" i="15"/>
  <c r="K830" i="15"/>
  <c r="J830" i="15"/>
  <c r="I830" i="15"/>
  <c r="U830" i="15" s="1"/>
  <c r="T829" i="15"/>
  <c r="T828" i="15" s="1"/>
  <c r="B829" i="15"/>
  <c r="S828" i="15"/>
  <c r="R828" i="15"/>
  <c r="L828" i="15"/>
  <c r="K828" i="15"/>
  <c r="J828" i="15"/>
  <c r="I828" i="15"/>
  <c r="U828" i="15" s="1"/>
  <c r="T827" i="15"/>
  <c r="B827" i="15"/>
  <c r="T826" i="15"/>
  <c r="B826" i="15"/>
  <c r="S825" i="15"/>
  <c r="R825" i="15"/>
  <c r="L825" i="15"/>
  <c r="K825" i="15"/>
  <c r="J825" i="15"/>
  <c r="I825" i="15"/>
  <c r="U825" i="15" s="1"/>
  <c r="T824" i="15"/>
  <c r="T823" i="15" s="1"/>
  <c r="B824" i="15"/>
  <c r="S823" i="15"/>
  <c r="R823" i="15"/>
  <c r="L823" i="15"/>
  <c r="K823" i="15"/>
  <c r="J823" i="15"/>
  <c r="I823" i="15"/>
  <c r="U823" i="15" s="1"/>
  <c r="T822" i="15"/>
  <c r="B822" i="15"/>
  <c r="T821" i="15"/>
  <c r="B821" i="15"/>
  <c r="T820" i="15"/>
  <c r="B820" i="15"/>
  <c r="T819" i="15"/>
  <c r="B819" i="15"/>
  <c r="S818" i="15"/>
  <c r="R818" i="15"/>
  <c r="L818" i="15"/>
  <c r="K818" i="15"/>
  <c r="J818" i="15"/>
  <c r="I818" i="15"/>
  <c r="U818" i="15" s="1"/>
  <c r="T815" i="15"/>
  <c r="T813" i="15"/>
  <c r="B813" i="15"/>
  <c r="S812" i="15"/>
  <c r="R812" i="15"/>
  <c r="L812" i="15"/>
  <c r="K812" i="15"/>
  <c r="J812" i="15"/>
  <c r="I812" i="15"/>
  <c r="U812" i="15" s="1"/>
  <c r="T811" i="15"/>
  <c r="B811" i="15"/>
  <c r="T810" i="15"/>
  <c r="B810" i="15"/>
  <c r="T809" i="15"/>
  <c r="B809" i="15"/>
  <c r="T808" i="15"/>
  <c r="B808" i="15"/>
  <c r="T806" i="15"/>
  <c r="B806" i="15"/>
  <c r="T805" i="15"/>
  <c r="B805" i="15"/>
  <c r="S804" i="15"/>
  <c r="R804" i="15"/>
  <c r="L804" i="15"/>
  <c r="K804" i="15"/>
  <c r="J804" i="15"/>
  <c r="I804" i="15"/>
  <c r="U804" i="15" s="1"/>
  <c r="T803" i="15"/>
  <c r="B803" i="15"/>
  <c r="T802" i="15"/>
  <c r="B802" i="15"/>
  <c r="T801" i="15"/>
  <c r="B801" i="15"/>
  <c r="T800" i="15"/>
  <c r="B800" i="15"/>
  <c r="T799" i="15"/>
  <c r="B799" i="15"/>
  <c r="T798" i="15"/>
  <c r="B798" i="15"/>
  <c r="T797" i="15"/>
  <c r="B797" i="15"/>
  <c r="T796" i="15"/>
  <c r="B796" i="15"/>
  <c r="T795" i="15"/>
  <c r="B795" i="15"/>
  <c r="T794" i="15"/>
  <c r="B794" i="15"/>
  <c r="T793" i="15"/>
  <c r="B793" i="15"/>
  <c r="T792" i="15"/>
  <c r="B792" i="15"/>
  <c r="T791" i="15"/>
  <c r="B791" i="15"/>
  <c r="T790" i="15"/>
  <c r="B790" i="15"/>
  <c r="T789" i="15"/>
  <c r="B789" i="15"/>
  <c r="T788" i="15"/>
  <c r="B788" i="15"/>
  <c r="T787" i="15"/>
  <c r="B787" i="15"/>
  <c r="T786" i="15"/>
  <c r="B786" i="15"/>
  <c r="T785" i="15"/>
  <c r="B785" i="15"/>
  <c r="U782" i="15"/>
  <c r="T781" i="15"/>
  <c r="B781" i="15"/>
  <c r="T780" i="15"/>
  <c r="B780" i="15"/>
  <c r="T779" i="15"/>
  <c r="B779" i="15"/>
  <c r="T778" i="15"/>
  <c r="B778" i="15"/>
  <c r="B777" i="15"/>
  <c r="T776" i="15"/>
  <c r="B776" i="15"/>
  <c r="T775" i="15"/>
  <c r="B775" i="15"/>
  <c r="T774" i="15"/>
  <c r="B774" i="15"/>
  <c r="T773" i="15"/>
  <c r="B773" i="15"/>
  <c r="T772" i="15"/>
  <c r="B772" i="15"/>
  <c r="T771" i="15"/>
  <c r="B771" i="15"/>
  <c r="T770" i="15"/>
  <c r="B770" i="15"/>
  <c r="T769" i="15"/>
  <c r="B769" i="15"/>
  <c r="T768" i="15"/>
  <c r="B768" i="15"/>
  <c r="T767" i="15"/>
  <c r="B767" i="15"/>
  <c r="S766" i="15"/>
  <c r="R766" i="15"/>
  <c r="L766" i="15"/>
  <c r="K766" i="15"/>
  <c r="J766" i="15"/>
  <c r="I766" i="15"/>
  <c r="U766" i="15" s="1"/>
  <c r="T765" i="15"/>
  <c r="B765" i="15"/>
  <c r="T764" i="15"/>
  <c r="B764" i="15"/>
  <c r="T763" i="15"/>
  <c r="B763" i="15"/>
  <c r="T762" i="15"/>
  <c r="B762" i="15"/>
  <c r="T761" i="15"/>
  <c r="B761" i="15"/>
  <c r="T760" i="15"/>
  <c r="B760" i="15"/>
  <c r="T759" i="15"/>
  <c r="B759" i="15"/>
  <c r="T758" i="15"/>
  <c r="B758" i="15"/>
  <c r="T757" i="15"/>
  <c r="B757" i="15"/>
  <c r="T756" i="15"/>
  <c r="B756" i="15"/>
  <c r="T755" i="15"/>
  <c r="B755" i="15"/>
  <c r="T754" i="15"/>
  <c r="B754" i="15"/>
  <c r="T753" i="15"/>
  <c r="B753" i="15"/>
  <c r="T752" i="15"/>
  <c r="B752" i="15"/>
  <c r="T751" i="15"/>
  <c r="B751" i="15"/>
  <c r="T750" i="15"/>
  <c r="B750" i="15"/>
  <c r="T749" i="15"/>
  <c r="B749" i="15"/>
  <c r="T748" i="15"/>
  <c r="B748" i="15"/>
  <c r="T747" i="15"/>
  <c r="B747" i="15"/>
  <c r="T746" i="15"/>
  <c r="B746" i="15"/>
  <c r="T745" i="15"/>
  <c r="B745" i="15"/>
  <c r="T744" i="15"/>
  <c r="B744" i="15"/>
  <c r="T743" i="15"/>
  <c r="B743" i="15"/>
  <c r="T742" i="15"/>
  <c r="B742" i="15"/>
  <c r="T741" i="15"/>
  <c r="B741" i="15"/>
  <c r="T740" i="15"/>
  <c r="B740" i="15"/>
  <c r="T739" i="15"/>
  <c r="B739" i="15"/>
  <c r="T738" i="15"/>
  <c r="B738" i="15"/>
  <c r="T737" i="15"/>
  <c r="B737" i="15"/>
  <c r="T736" i="15"/>
  <c r="B736" i="15"/>
  <c r="T735" i="15"/>
  <c r="B735" i="15"/>
  <c r="T734" i="15"/>
  <c r="B734" i="15"/>
  <c r="T733" i="15"/>
  <c r="B733" i="15"/>
  <c r="T732" i="15"/>
  <c r="B732" i="15"/>
  <c r="T731" i="15"/>
  <c r="B731" i="15"/>
  <c r="T730" i="15"/>
  <c r="B730" i="15"/>
  <c r="T729" i="15"/>
  <c r="B729" i="15"/>
  <c r="T728" i="15"/>
  <c r="B728" i="15"/>
  <c r="T727" i="15"/>
  <c r="B727" i="15"/>
  <c r="T726" i="15"/>
  <c r="B726" i="15"/>
  <c r="T725" i="15"/>
  <c r="B725" i="15"/>
  <c r="T724" i="15"/>
  <c r="B724" i="15"/>
  <c r="T723" i="15"/>
  <c r="B723" i="15"/>
  <c r="T722" i="15"/>
  <c r="B722" i="15"/>
  <c r="T721" i="15"/>
  <c r="B721" i="15"/>
  <c r="T720" i="15"/>
  <c r="B720" i="15"/>
  <c r="T719" i="15"/>
  <c r="B719" i="15"/>
  <c r="T718" i="15"/>
  <c r="B718" i="15"/>
  <c r="T717" i="15"/>
  <c r="B717" i="15"/>
  <c r="T716" i="15"/>
  <c r="B716" i="15"/>
  <c r="T715" i="15"/>
  <c r="B715" i="15"/>
  <c r="T714" i="15"/>
  <c r="B714" i="15"/>
  <c r="T713" i="15"/>
  <c r="B713" i="15"/>
  <c r="T712" i="15"/>
  <c r="B712" i="15"/>
  <c r="S711" i="15"/>
  <c r="R711" i="15"/>
  <c r="L711" i="15"/>
  <c r="K711" i="15"/>
  <c r="J711" i="15"/>
  <c r="I711" i="15"/>
  <c r="U711" i="15" s="1"/>
  <c r="T710" i="15"/>
  <c r="B710" i="15"/>
  <c r="T709" i="15"/>
  <c r="B709" i="15"/>
  <c r="T708" i="15"/>
  <c r="B708" i="15"/>
  <c r="T707" i="15"/>
  <c r="B707" i="15"/>
  <c r="T706" i="15"/>
  <c r="B706" i="15"/>
  <c r="T705" i="15"/>
  <c r="B705" i="15"/>
  <c r="T704" i="15"/>
  <c r="B704" i="15"/>
  <c r="T703" i="15"/>
  <c r="B703" i="15"/>
  <c r="T702" i="15"/>
  <c r="B702" i="15"/>
  <c r="T701" i="15"/>
  <c r="B701" i="15"/>
  <c r="T700" i="15"/>
  <c r="B700" i="15"/>
  <c r="T699" i="15"/>
  <c r="B699" i="15"/>
  <c r="T698" i="15"/>
  <c r="B698" i="15"/>
  <c r="T697" i="15"/>
  <c r="B697" i="15"/>
  <c r="T696" i="15"/>
  <c r="B696" i="15"/>
  <c r="T695" i="15"/>
  <c r="B695" i="15"/>
  <c r="T694" i="15"/>
  <c r="B694" i="15"/>
  <c r="T693" i="15"/>
  <c r="B693" i="15"/>
  <c r="T692" i="15"/>
  <c r="B692" i="15"/>
  <c r="T691" i="15"/>
  <c r="B691" i="15"/>
  <c r="T690" i="15"/>
  <c r="B690" i="15"/>
  <c r="T689" i="15"/>
  <c r="B689" i="15"/>
  <c r="T688" i="15"/>
  <c r="B688" i="15"/>
  <c r="T687" i="15"/>
  <c r="B687" i="15"/>
  <c r="T686" i="15"/>
  <c r="B686" i="15"/>
  <c r="T685" i="15"/>
  <c r="B685" i="15"/>
  <c r="T684" i="15"/>
  <c r="B684" i="15"/>
  <c r="T683" i="15"/>
  <c r="B683" i="15"/>
  <c r="T682" i="15"/>
  <c r="B682" i="15"/>
  <c r="T681" i="15"/>
  <c r="B681" i="15"/>
  <c r="T680" i="15"/>
  <c r="B680" i="15"/>
  <c r="T679" i="15"/>
  <c r="B679" i="15"/>
  <c r="T678" i="15"/>
  <c r="B678" i="15"/>
  <c r="T677" i="15"/>
  <c r="B677" i="15"/>
  <c r="T676" i="15"/>
  <c r="B676" i="15"/>
  <c r="T675" i="15"/>
  <c r="B675" i="15"/>
  <c r="T674" i="15"/>
  <c r="B674" i="15"/>
  <c r="T673" i="15"/>
  <c r="B673" i="15"/>
  <c r="T672" i="15"/>
  <c r="B672" i="15"/>
  <c r="T671" i="15"/>
  <c r="B671" i="15"/>
  <c r="T670" i="15"/>
  <c r="B670" i="15"/>
  <c r="T669" i="15"/>
  <c r="B669" i="15"/>
  <c r="T668" i="15"/>
  <c r="B668" i="15"/>
  <c r="S667" i="15"/>
  <c r="R667" i="15"/>
  <c r="L667" i="15"/>
  <c r="K667" i="15"/>
  <c r="J667" i="15"/>
  <c r="I667" i="15"/>
  <c r="U667" i="15" s="1"/>
  <c r="T666" i="15"/>
  <c r="B666" i="15"/>
  <c r="T665" i="15"/>
  <c r="B665" i="15"/>
  <c r="T664" i="15"/>
  <c r="B664" i="15"/>
  <c r="T663" i="15"/>
  <c r="B663" i="15"/>
  <c r="T662" i="15"/>
  <c r="B662" i="15"/>
  <c r="T661" i="15"/>
  <c r="B661" i="15"/>
  <c r="T660" i="15"/>
  <c r="B660" i="15"/>
  <c r="T659" i="15"/>
  <c r="B659" i="15"/>
  <c r="T658" i="15"/>
  <c r="B658" i="15"/>
  <c r="T657" i="15"/>
  <c r="B657" i="15"/>
  <c r="T656" i="15"/>
  <c r="B656" i="15"/>
  <c r="T655" i="15"/>
  <c r="B655" i="15"/>
  <c r="T654" i="15"/>
  <c r="B654" i="15"/>
  <c r="T653" i="15"/>
  <c r="B653" i="15"/>
  <c r="T652" i="15"/>
  <c r="B652" i="15"/>
  <c r="T651" i="15"/>
  <c r="B651" i="15"/>
  <c r="T650" i="15"/>
  <c r="B650" i="15"/>
  <c r="T649" i="15"/>
  <c r="B649" i="15"/>
  <c r="T648" i="15"/>
  <c r="B648" i="15"/>
  <c r="T647" i="15"/>
  <c r="B647" i="15"/>
  <c r="T646" i="15"/>
  <c r="B646" i="15"/>
  <c r="T645" i="15"/>
  <c r="B645" i="15"/>
  <c r="T644" i="15"/>
  <c r="B644" i="15"/>
  <c r="T643" i="15"/>
  <c r="B643" i="15"/>
  <c r="T642" i="15"/>
  <c r="B642" i="15"/>
  <c r="T641" i="15"/>
  <c r="B641" i="15"/>
  <c r="S640" i="15"/>
  <c r="R640" i="15"/>
  <c r="L640" i="15"/>
  <c r="K640" i="15"/>
  <c r="J640" i="15"/>
  <c r="I640" i="15"/>
  <c r="T638" i="15"/>
  <c r="B638" i="15"/>
  <c r="T636" i="15"/>
  <c r="B636" i="15"/>
  <c r="T635" i="15"/>
  <c r="B635" i="15"/>
  <c r="T634" i="15"/>
  <c r="B634" i="15"/>
  <c r="T633" i="15"/>
  <c r="B633" i="15"/>
  <c r="T632" i="15"/>
  <c r="B632" i="15"/>
  <c r="T631" i="15"/>
  <c r="B631" i="15"/>
  <c r="T630" i="15"/>
  <c r="B630" i="15"/>
  <c r="T629" i="15"/>
  <c r="B629" i="15"/>
  <c r="T628" i="15"/>
  <c r="B628" i="15"/>
  <c r="T627" i="15"/>
  <c r="B627" i="15"/>
  <c r="T626" i="15"/>
  <c r="B626" i="15"/>
  <c r="T625" i="15"/>
  <c r="B625" i="15"/>
  <c r="T624" i="15"/>
  <c r="B624" i="15"/>
  <c r="T623" i="15"/>
  <c r="B623" i="15"/>
  <c r="T622" i="15"/>
  <c r="B622" i="15"/>
  <c r="T621" i="15"/>
  <c r="B621" i="15"/>
  <c r="T620" i="15"/>
  <c r="B620" i="15"/>
  <c r="T619" i="15"/>
  <c r="B619" i="15"/>
  <c r="T618" i="15"/>
  <c r="B618" i="15"/>
  <c r="T617" i="15"/>
  <c r="B617" i="15"/>
  <c r="T616" i="15"/>
  <c r="B616" i="15"/>
  <c r="T615" i="15"/>
  <c r="B615" i="15"/>
  <c r="T614" i="15"/>
  <c r="B614" i="15"/>
  <c r="T613" i="15"/>
  <c r="B613" i="15"/>
  <c r="T612" i="15"/>
  <c r="B612" i="15"/>
  <c r="T611" i="15"/>
  <c r="B611" i="15"/>
  <c r="T610" i="15"/>
  <c r="B610" i="15"/>
  <c r="T609" i="15"/>
  <c r="B609" i="15"/>
  <c r="T608" i="15"/>
  <c r="B608" i="15"/>
  <c r="T607" i="15"/>
  <c r="B607" i="15"/>
  <c r="T606" i="15"/>
  <c r="B606" i="15"/>
  <c r="T605" i="15"/>
  <c r="B605" i="15"/>
  <c r="T604" i="15"/>
  <c r="B604" i="15"/>
  <c r="T603" i="15"/>
  <c r="B603" i="15"/>
  <c r="T602" i="15"/>
  <c r="B602" i="15"/>
  <c r="T601" i="15"/>
  <c r="B601" i="15"/>
  <c r="T600" i="15"/>
  <c r="B600" i="15"/>
  <c r="T599" i="15"/>
  <c r="B599" i="15"/>
  <c r="T598" i="15"/>
  <c r="B598" i="15"/>
  <c r="T597" i="15"/>
  <c r="B597" i="15"/>
  <c r="T596" i="15"/>
  <c r="B596" i="15"/>
  <c r="T595" i="15"/>
  <c r="B595" i="15"/>
  <c r="T594" i="15"/>
  <c r="B594" i="15"/>
  <c r="T593" i="15"/>
  <c r="B593" i="15"/>
  <c r="T592" i="15"/>
  <c r="B592" i="15"/>
  <c r="T591" i="15"/>
  <c r="B591" i="15"/>
  <c r="T590" i="15"/>
  <c r="B590" i="15"/>
  <c r="T589" i="15"/>
  <c r="B589" i="15"/>
  <c r="T588" i="15"/>
  <c r="B588" i="15"/>
  <c r="T587" i="15"/>
  <c r="B587" i="15"/>
  <c r="T586" i="15"/>
  <c r="B586" i="15"/>
  <c r="T585" i="15"/>
  <c r="B585" i="15"/>
  <c r="T584" i="15"/>
  <c r="B584" i="15"/>
  <c r="T583" i="15"/>
  <c r="B583" i="15"/>
  <c r="T582" i="15"/>
  <c r="B582" i="15"/>
  <c r="T580" i="15"/>
  <c r="T579" i="15"/>
  <c r="T577" i="15"/>
  <c r="B577" i="15"/>
  <c r="T576" i="15"/>
  <c r="B576" i="15"/>
  <c r="T575" i="15"/>
  <c r="B575" i="15"/>
  <c r="T574" i="15"/>
  <c r="B574" i="15"/>
  <c r="T573" i="15"/>
  <c r="B573" i="15"/>
  <c r="T572" i="15"/>
  <c r="B572" i="15"/>
  <c r="T571" i="15"/>
  <c r="B571" i="15"/>
  <c r="T570" i="15"/>
  <c r="B570" i="15"/>
  <c r="T569" i="15"/>
  <c r="B569" i="15"/>
  <c r="T568" i="15"/>
  <c r="B568" i="15"/>
  <c r="T567" i="15"/>
  <c r="B567" i="15"/>
  <c r="T566" i="15"/>
  <c r="B566" i="15"/>
  <c r="T565" i="15"/>
  <c r="B565" i="15"/>
  <c r="T564" i="15"/>
  <c r="B564" i="15"/>
  <c r="T563" i="15"/>
  <c r="B563" i="15"/>
  <c r="T562" i="15"/>
  <c r="B562" i="15"/>
  <c r="T561" i="15"/>
  <c r="B561" i="15"/>
  <c r="T560" i="15"/>
  <c r="B560" i="15"/>
  <c r="T559" i="15"/>
  <c r="B559" i="15"/>
  <c r="T558" i="15"/>
  <c r="B558" i="15"/>
  <c r="T557" i="15"/>
  <c r="B557" i="15"/>
  <c r="T556" i="15"/>
  <c r="B556" i="15"/>
  <c r="T554" i="15"/>
  <c r="B554" i="15"/>
  <c r="T553" i="15"/>
  <c r="B553" i="15"/>
  <c r="T552" i="15"/>
  <c r="B552" i="15"/>
  <c r="S551" i="15"/>
  <c r="R551" i="15"/>
  <c r="T549" i="15"/>
  <c r="B549" i="15"/>
  <c r="T548" i="15"/>
  <c r="B548" i="15"/>
  <c r="S547" i="15"/>
  <c r="R547" i="15"/>
  <c r="L547" i="15"/>
  <c r="K547" i="15"/>
  <c r="J547" i="15"/>
  <c r="I547" i="15"/>
  <c r="U547" i="15" s="1"/>
  <c r="T546" i="15"/>
  <c r="B546" i="15"/>
  <c r="T545" i="15"/>
  <c r="B545" i="15"/>
  <c r="S544" i="15"/>
  <c r="R544" i="15"/>
  <c r="L544" i="15"/>
  <c r="K544" i="15"/>
  <c r="J544" i="15"/>
  <c r="I544" i="15"/>
  <c r="U544" i="15" s="1"/>
  <c r="T543" i="15"/>
  <c r="B543" i="15"/>
  <c r="T542" i="15"/>
  <c r="B542" i="15"/>
  <c r="T541" i="15"/>
  <c r="B541" i="15"/>
  <c r="T540" i="15"/>
  <c r="B540" i="15"/>
  <c r="S539" i="15"/>
  <c r="R539" i="15"/>
  <c r="L539" i="15"/>
  <c r="K539" i="15"/>
  <c r="J539" i="15"/>
  <c r="I539" i="15"/>
  <c r="U539" i="15" s="1"/>
  <c r="T538" i="15"/>
  <c r="B538" i="15"/>
  <c r="T537" i="15"/>
  <c r="B537" i="15"/>
  <c r="T536" i="15"/>
  <c r="B536" i="15"/>
  <c r="T535" i="15"/>
  <c r="B535" i="15"/>
  <c r="T534" i="15"/>
  <c r="B534" i="15"/>
  <c r="T533" i="15"/>
  <c r="B533" i="15"/>
  <c r="T532" i="15"/>
  <c r="B532" i="15"/>
  <c r="T531" i="15"/>
  <c r="B531" i="15"/>
  <c r="T530" i="15"/>
  <c r="B530" i="15"/>
  <c r="S529" i="15"/>
  <c r="R529" i="15"/>
  <c r="L529" i="15"/>
  <c r="K529" i="15"/>
  <c r="J529" i="15"/>
  <c r="I529" i="15"/>
  <c r="U529" i="15" s="1"/>
  <c r="T528" i="15"/>
  <c r="T527" i="15" s="1"/>
  <c r="B528" i="15"/>
  <c r="S527" i="15"/>
  <c r="R527" i="15"/>
  <c r="L527" i="15"/>
  <c r="K527" i="15"/>
  <c r="J527" i="15"/>
  <c r="I527" i="15"/>
  <c r="U527" i="15" s="1"/>
  <c r="T526" i="15"/>
  <c r="B526" i="15"/>
  <c r="T525" i="15"/>
  <c r="B525" i="15"/>
  <c r="S524" i="15"/>
  <c r="R524" i="15"/>
  <c r="L524" i="15"/>
  <c r="K524" i="15"/>
  <c r="J524" i="15"/>
  <c r="I524" i="15"/>
  <c r="U524" i="15" s="1"/>
  <c r="T523" i="15"/>
  <c r="T522" i="15" s="1"/>
  <c r="B523" i="15"/>
  <c r="S522" i="15"/>
  <c r="R522" i="15"/>
  <c r="L522" i="15"/>
  <c r="K522" i="15"/>
  <c r="J522" i="15"/>
  <c r="I522" i="15"/>
  <c r="U522" i="15" s="1"/>
  <c r="T521" i="15"/>
  <c r="B521" i="15"/>
  <c r="T520" i="15"/>
  <c r="B520" i="15"/>
  <c r="T519" i="15"/>
  <c r="B519" i="15"/>
  <c r="T518" i="15"/>
  <c r="B518" i="15"/>
  <c r="T517" i="15"/>
  <c r="B517" i="15"/>
  <c r="S516" i="15"/>
  <c r="R516" i="15"/>
  <c r="L516" i="15"/>
  <c r="K516" i="15"/>
  <c r="J516" i="15"/>
  <c r="I516" i="15"/>
  <c r="U516" i="15" s="1"/>
  <c r="T515" i="15"/>
  <c r="B515" i="15"/>
  <c r="T514" i="15"/>
  <c r="B514" i="15"/>
  <c r="V513" i="15"/>
  <c r="S513" i="15"/>
  <c r="R513" i="15"/>
  <c r="L513" i="15"/>
  <c r="K513" i="15"/>
  <c r="J513" i="15"/>
  <c r="I513" i="15"/>
  <c r="U513" i="15" s="1"/>
  <c r="T512" i="15"/>
  <c r="T511" i="15" s="1"/>
  <c r="B512" i="15"/>
  <c r="S511" i="15"/>
  <c r="R511" i="15"/>
  <c r="L511" i="15"/>
  <c r="K511" i="15"/>
  <c r="J511" i="15"/>
  <c r="I511" i="15"/>
  <c r="U511" i="15" s="1"/>
  <c r="T510" i="15"/>
  <c r="B510" i="15"/>
  <c r="T509" i="15"/>
  <c r="B509" i="15"/>
  <c r="S508" i="15"/>
  <c r="R508" i="15"/>
  <c r="L508" i="15"/>
  <c r="K508" i="15"/>
  <c r="J508" i="15"/>
  <c r="I508" i="15"/>
  <c r="U508" i="15" s="1"/>
  <c r="T507" i="15"/>
  <c r="B507" i="15"/>
  <c r="T506" i="15"/>
  <c r="B506" i="15"/>
  <c r="S505" i="15"/>
  <c r="R505" i="15"/>
  <c r="L505" i="15"/>
  <c r="K505" i="15"/>
  <c r="J505" i="15"/>
  <c r="I505" i="15"/>
  <c r="U505" i="15" s="1"/>
  <c r="T504" i="15"/>
  <c r="T503" i="15" s="1"/>
  <c r="B504" i="15"/>
  <c r="S503" i="15"/>
  <c r="R503" i="15"/>
  <c r="L503" i="15"/>
  <c r="K503" i="15"/>
  <c r="J503" i="15"/>
  <c r="I503" i="15"/>
  <c r="U503" i="15" s="1"/>
  <c r="T502" i="15"/>
  <c r="B502" i="15"/>
  <c r="T501" i="15"/>
  <c r="B501" i="15"/>
  <c r="T500" i="15"/>
  <c r="B500" i="15"/>
  <c r="T499" i="15"/>
  <c r="B499" i="15"/>
  <c r="T498" i="15"/>
  <c r="B498" i="15"/>
  <c r="S497" i="15"/>
  <c r="R497" i="15"/>
  <c r="L497" i="15"/>
  <c r="K497" i="15"/>
  <c r="J497" i="15"/>
  <c r="I497" i="15"/>
  <c r="U497" i="15" s="1"/>
  <c r="T496" i="15"/>
  <c r="B496" i="15"/>
  <c r="T495" i="15"/>
  <c r="B495" i="15"/>
  <c r="T494" i="15"/>
  <c r="B494" i="15"/>
  <c r="T493" i="15"/>
  <c r="B493" i="15"/>
  <c r="S492" i="15"/>
  <c r="R492" i="15"/>
  <c r="L492" i="15"/>
  <c r="K492" i="15"/>
  <c r="J492" i="15"/>
  <c r="I492" i="15"/>
  <c r="U492" i="15" s="1"/>
  <c r="T491" i="15"/>
  <c r="T490" i="15" s="1"/>
  <c r="B491" i="15"/>
  <c r="V490" i="15"/>
  <c r="S490" i="15"/>
  <c r="R490" i="15"/>
  <c r="L490" i="15"/>
  <c r="K490" i="15"/>
  <c r="J490" i="15"/>
  <c r="I490" i="15"/>
  <c r="U490" i="15" s="1"/>
  <c r="T489" i="15"/>
  <c r="T488" i="15" s="1"/>
  <c r="B489" i="15"/>
  <c r="S488" i="15"/>
  <c r="R488" i="15"/>
  <c r="L488" i="15"/>
  <c r="K488" i="15"/>
  <c r="J488" i="15"/>
  <c r="I488" i="15"/>
  <c r="U488" i="15" s="1"/>
  <c r="T487" i="15"/>
  <c r="B487" i="15"/>
  <c r="T486" i="15"/>
  <c r="B486" i="15"/>
  <c r="T485" i="15"/>
  <c r="B485" i="15"/>
  <c r="T484" i="15"/>
  <c r="B484" i="15"/>
  <c r="T483" i="15"/>
  <c r="B483" i="15"/>
  <c r="T482" i="15"/>
  <c r="B482" i="15"/>
  <c r="T481" i="15"/>
  <c r="B481" i="15"/>
  <c r="T480" i="15"/>
  <c r="B480" i="15"/>
  <c r="S479" i="15"/>
  <c r="R479" i="15"/>
  <c r="L479" i="15"/>
  <c r="K479" i="15"/>
  <c r="J479" i="15"/>
  <c r="I479" i="15"/>
  <c r="U479" i="15" s="1"/>
  <c r="T478" i="15"/>
  <c r="B478" i="15"/>
  <c r="T477" i="15"/>
  <c r="B477" i="15"/>
  <c r="T476" i="15"/>
  <c r="B476" i="15"/>
  <c r="T475" i="15"/>
  <c r="B475" i="15"/>
  <c r="T474" i="15"/>
  <c r="B474" i="15"/>
  <c r="T473" i="15"/>
  <c r="B473" i="15"/>
  <c r="T472" i="15"/>
  <c r="B472" i="15"/>
  <c r="T471" i="15"/>
  <c r="B471" i="15"/>
  <c r="T470" i="15"/>
  <c r="B470" i="15"/>
  <c r="T469" i="15"/>
  <c r="B469" i="15"/>
  <c r="T468" i="15"/>
  <c r="B468" i="15"/>
  <c r="S467" i="15"/>
  <c r="R467" i="15"/>
  <c r="L467" i="15"/>
  <c r="K467" i="15"/>
  <c r="J467" i="15"/>
  <c r="I467" i="15"/>
  <c r="U467" i="15" s="1"/>
  <c r="T466" i="15"/>
  <c r="B466" i="15"/>
  <c r="T465" i="15"/>
  <c r="B465" i="15"/>
  <c r="T464" i="15"/>
  <c r="B464" i="15"/>
  <c r="T463" i="15"/>
  <c r="B463" i="15"/>
  <c r="T462" i="15"/>
  <c r="B462" i="15"/>
  <c r="S461" i="15"/>
  <c r="R461" i="15"/>
  <c r="L461" i="15"/>
  <c r="K461" i="15"/>
  <c r="J461" i="15"/>
  <c r="I461" i="15"/>
  <c r="U461" i="15" s="1"/>
  <c r="T460" i="15"/>
  <c r="T459" i="15" s="1"/>
  <c r="B460" i="15"/>
  <c r="V459" i="15"/>
  <c r="S459" i="15"/>
  <c r="R459" i="15"/>
  <c r="L459" i="15"/>
  <c r="K459" i="15"/>
  <c r="J459" i="15"/>
  <c r="I459" i="15"/>
  <c r="U459" i="15" s="1"/>
  <c r="T458" i="15"/>
  <c r="T457" i="15" s="1"/>
  <c r="B458" i="15"/>
  <c r="V457" i="15"/>
  <c r="S457" i="15"/>
  <c r="R457" i="15"/>
  <c r="L457" i="15"/>
  <c r="K457" i="15"/>
  <c r="J457" i="15"/>
  <c r="I457" i="15"/>
  <c r="U457" i="15" s="1"/>
  <c r="T456" i="15"/>
  <c r="T455" i="15" s="1"/>
  <c r="B456" i="15"/>
  <c r="V455" i="15"/>
  <c r="S455" i="15"/>
  <c r="R455" i="15"/>
  <c r="L455" i="15"/>
  <c r="K455" i="15"/>
  <c r="J455" i="15"/>
  <c r="I455" i="15"/>
  <c r="U455" i="15" s="1"/>
  <c r="T454" i="15"/>
  <c r="T453" i="15" s="1"/>
  <c r="B454" i="15"/>
  <c r="S453" i="15"/>
  <c r="R453" i="15"/>
  <c r="L453" i="15"/>
  <c r="K453" i="15"/>
  <c r="J453" i="15"/>
  <c r="I453" i="15"/>
  <c r="U453" i="15" s="1"/>
  <c r="T452" i="15"/>
  <c r="T451" i="15" s="1"/>
  <c r="B452" i="15"/>
  <c r="S451" i="15"/>
  <c r="R451" i="15"/>
  <c r="L451" i="15"/>
  <c r="K451" i="15"/>
  <c r="J451" i="15"/>
  <c r="I451" i="15"/>
  <c r="U451" i="15" s="1"/>
  <c r="T450" i="15"/>
  <c r="T449" i="15" s="1"/>
  <c r="B450" i="15"/>
  <c r="S449" i="15"/>
  <c r="R449" i="15"/>
  <c r="L449" i="15"/>
  <c r="K449" i="15"/>
  <c r="J449" i="15"/>
  <c r="I449" i="15"/>
  <c r="U449" i="15" s="1"/>
  <c r="T448" i="15"/>
  <c r="B448" i="15"/>
  <c r="T447" i="15"/>
  <c r="B447" i="15"/>
  <c r="T446" i="15"/>
  <c r="B446" i="15"/>
  <c r="T445" i="15"/>
  <c r="B445" i="15"/>
  <c r="T444" i="15"/>
  <c r="B444" i="15"/>
  <c r="T443" i="15"/>
  <c r="B443" i="15"/>
  <c r="T442" i="15"/>
  <c r="B442" i="15"/>
  <c r="T441" i="15"/>
  <c r="B441" i="15"/>
  <c r="T440" i="15"/>
  <c r="B440" i="15"/>
  <c r="T439" i="15"/>
  <c r="B439" i="15"/>
  <c r="S438" i="15"/>
  <c r="R438" i="15"/>
  <c r="L438" i="15"/>
  <c r="K438" i="15"/>
  <c r="J438" i="15"/>
  <c r="I438" i="15"/>
  <c r="U438" i="15" s="1"/>
  <c r="T437" i="15"/>
  <c r="B437" i="15"/>
  <c r="T436" i="15"/>
  <c r="B436" i="15"/>
  <c r="S435" i="15"/>
  <c r="R435" i="15"/>
  <c r="L435" i="15"/>
  <c r="K435" i="15"/>
  <c r="J435" i="15"/>
  <c r="I435" i="15"/>
  <c r="U435" i="15" s="1"/>
  <c r="T434" i="15"/>
  <c r="B434" i="15"/>
  <c r="T433" i="15"/>
  <c r="B433" i="15"/>
  <c r="T432" i="15"/>
  <c r="B432" i="15"/>
  <c r="T431" i="15"/>
  <c r="B431" i="15"/>
  <c r="T430" i="15"/>
  <c r="B430" i="15"/>
  <c r="S429" i="15"/>
  <c r="R429" i="15"/>
  <c r="L429" i="15"/>
  <c r="K429" i="15"/>
  <c r="J429" i="15"/>
  <c r="I429" i="15"/>
  <c r="U429" i="15" s="1"/>
  <c r="T428" i="15"/>
  <c r="B428" i="15"/>
  <c r="T427" i="15"/>
  <c r="B427" i="15"/>
  <c r="T426" i="15"/>
  <c r="B426" i="15"/>
  <c r="T425" i="15"/>
  <c r="B425" i="15"/>
  <c r="T424" i="15"/>
  <c r="B424" i="15"/>
  <c r="T423" i="15"/>
  <c r="B423" i="15"/>
  <c r="S422" i="15"/>
  <c r="R422" i="15"/>
  <c r="L422" i="15"/>
  <c r="K422" i="15"/>
  <c r="J422" i="15"/>
  <c r="I422" i="15"/>
  <c r="U422" i="15" s="1"/>
  <c r="T421" i="15"/>
  <c r="B421" i="15"/>
  <c r="T420" i="15"/>
  <c r="B420" i="15"/>
  <c r="T419" i="15"/>
  <c r="B419" i="15"/>
  <c r="V418" i="15"/>
  <c r="S418" i="15"/>
  <c r="R418" i="15"/>
  <c r="L418" i="15"/>
  <c r="K418" i="15"/>
  <c r="J418" i="15"/>
  <c r="I418" i="15"/>
  <c r="U418" i="15" s="1"/>
  <c r="T417" i="15"/>
  <c r="T416" i="15" s="1"/>
  <c r="B417" i="15"/>
  <c r="S416" i="15"/>
  <c r="R416" i="15"/>
  <c r="L416" i="15"/>
  <c r="K416" i="15"/>
  <c r="J416" i="15"/>
  <c r="I416" i="15"/>
  <c r="U416" i="15" s="1"/>
  <c r="T415" i="15"/>
  <c r="B415" i="15"/>
  <c r="T414" i="15"/>
  <c r="B414" i="15"/>
  <c r="T413" i="15"/>
  <c r="B413" i="15"/>
  <c r="S412" i="15"/>
  <c r="R412" i="15"/>
  <c r="L412" i="15"/>
  <c r="K412" i="15"/>
  <c r="J412" i="15"/>
  <c r="I412" i="15"/>
  <c r="U412" i="15" s="1"/>
  <c r="T411" i="15"/>
  <c r="B411" i="15"/>
  <c r="T410" i="15"/>
  <c r="B410" i="15"/>
  <c r="T409" i="15"/>
  <c r="B409" i="15"/>
  <c r="V408" i="15"/>
  <c r="S408" i="15"/>
  <c r="R408" i="15"/>
  <c r="L408" i="15"/>
  <c r="K408" i="15"/>
  <c r="J408" i="15"/>
  <c r="I408" i="15"/>
  <c r="U408" i="15" s="1"/>
  <c r="T407" i="15"/>
  <c r="T406" i="15" s="1"/>
  <c r="B407" i="15"/>
  <c r="S406" i="15"/>
  <c r="R406" i="15"/>
  <c r="L406" i="15"/>
  <c r="K406" i="15"/>
  <c r="J406" i="15"/>
  <c r="I406" i="15"/>
  <c r="U406" i="15" s="1"/>
  <c r="T405" i="15"/>
  <c r="B405" i="15"/>
  <c r="T404" i="15"/>
  <c r="B404" i="15"/>
  <c r="T403" i="15"/>
  <c r="B403" i="15"/>
  <c r="T402" i="15"/>
  <c r="B402" i="15"/>
  <c r="T401" i="15"/>
  <c r="B401" i="15"/>
  <c r="T400" i="15"/>
  <c r="B400" i="15"/>
  <c r="T399" i="15"/>
  <c r="B399" i="15"/>
  <c r="S398" i="15"/>
  <c r="R398" i="15"/>
  <c r="L398" i="15"/>
  <c r="K398" i="15"/>
  <c r="J398" i="15"/>
  <c r="I398" i="15"/>
  <c r="U398" i="15" s="1"/>
  <c r="T397" i="15"/>
  <c r="T396" i="15" s="1"/>
  <c r="B397" i="15"/>
  <c r="S396" i="15"/>
  <c r="R396" i="15"/>
  <c r="L396" i="15"/>
  <c r="K396" i="15"/>
  <c r="J396" i="15"/>
  <c r="I396" i="15"/>
  <c r="U396" i="15" s="1"/>
  <c r="T395" i="15"/>
  <c r="B395" i="15"/>
  <c r="T394" i="15"/>
  <c r="B394" i="15"/>
  <c r="T393" i="15"/>
  <c r="B393" i="15"/>
  <c r="T392" i="15"/>
  <c r="B392" i="15"/>
  <c r="S391" i="15"/>
  <c r="R391" i="15"/>
  <c r="L391" i="15"/>
  <c r="K391" i="15"/>
  <c r="J391" i="15"/>
  <c r="I391" i="15"/>
  <c r="U391" i="15" s="1"/>
  <c r="T390" i="15"/>
  <c r="T389" i="15" s="1"/>
  <c r="B390" i="15"/>
  <c r="V389" i="15"/>
  <c r="S389" i="15"/>
  <c r="R389" i="15"/>
  <c r="L389" i="15"/>
  <c r="K389" i="15"/>
  <c r="J389" i="15"/>
  <c r="I389" i="15"/>
  <c r="U389" i="15" s="1"/>
  <c r="T388" i="15"/>
  <c r="B388" i="15"/>
  <c r="T387" i="15"/>
  <c r="B387" i="15"/>
  <c r="S386" i="15"/>
  <c r="R386" i="15"/>
  <c r="L386" i="15"/>
  <c r="K386" i="15"/>
  <c r="J386" i="15"/>
  <c r="I386" i="15"/>
  <c r="U386" i="15" s="1"/>
  <c r="T385" i="15"/>
  <c r="B385" i="15"/>
  <c r="T384" i="15"/>
  <c r="B384" i="15"/>
  <c r="T383" i="15"/>
  <c r="B383" i="15"/>
  <c r="T382" i="15"/>
  <c r="B382" i="15"/>
  <c r="S381" i="15"/>
  <c r="R381" i="15"/>
  <c r="L381" i="15"/>
  <c r="K381" i="15"/>
  <c r="J381" i="15"/>
  <c r="I381" i="15"/>
  <c r="U381" i="15" s="1"/>
  <c r="T380" i="15"/>
  <c r="T379" i="15" s="1"/>
  <c r="B380" i="15"/>
  <c r="S379" i="15"/>
  <c r="R379" i="15"/>
  <c r="L379" i="15"/>
  <c r="K379" i="15"/>
  <c r="J379" i="15"/>
  <c r="I379" i="15"/>
  <c r="U379" i="15" s="1"/>
  <c r="T378" i="15"/>
  <c r="T377" i="15" s="1"/>
  <c r="B378" i="15"/>
  <c r="S377" i="15"/>
  <c r="R377" i="15"/>
  <c r="L377" i="15"/>
  <c r="K377" i="15"/>
  <c r="J377" i="15"/>
  <c r="I377" i="15"/>
  <c r="U377" i="15" s="1"/>
  <c r="T376" i="15"/>
  <c r="B376" i="15"/>
  <c r="T375" i="15"/>
  <c r="B375" i="15"/>
  <c r="S374" i="15"/>
  <c r="R374" i="15"/>
  <c r="L374" i="15"/>
  <c r="K374" i="15"/>
  <c r="J374" i="15"/>
  <c r="I374" i="15"/>
  <c r="U374" i="15" s="1"/>
  <c r="T373" i="15"/>
  <c r="T372" i="15"/>
  <c r="T371" i="15"/>
  <c r="T370" i="15"/>
  <c r="B370" i="15"/>
  <c r="T369" i="15"/>
  <c r="B369" i="15"/>
  <c r="T368" i="15"/>
  <c r="B368" i="15"/>
  <c r="T367" i="15"/>
  <c r="B367" i="15"/>
  <c r="T366" i="15"/>
  <c r="B366" i="15"/>
  <c r="T365" i="15"/>
  <c r="B365" i="15"/>
  <c r="T364" i="15"/>
  <c r="B364" i="15"/>
  <c r="T363" i="15"/>
  <c r="B363" i="15"/>
  <c r="T362" i="15"/>
  <c r="B362" i="15"/>
  <c r="T361" i="15"/>
  <c r="B361" i="15"/>
  <c r="T360" i="15"/>
  <c r="B360" i="15"/>
  <c r="T359" i="15"/>
  <c r="B359" i="15"/>
  <c r="T358" i="15"/>
  <c r="B358" i="15"/>
  <c r="T357" i="15"/>
  <c r="B357" i="15"/>
  <c r="S356" i="15"/>
  <c r="R356" i="15"/>
  <c r="L356" i="15"/>
  <c r="K356" i="15"/>
  <c r="J356" i="15"/>
  <c r="I356" i="15"/>
  <c r="U356" i="15" s="1"/>
  <c r="T355" i="15"/>
  <c r="T354" i="15" s="1"/>
  <c r="B355" i="15"/>
  <c r="S354" i="15"/>
  <c r="R354" i="15"/>
  <c r="L354" i="15"/>
  <c r="K354" i="15"/>
  <c r="J354" i="15"/>
  <c r="I354" i="15"/>
  <c r="U354" i="15" s="1"/>
  <c r="T353" i="15"/>
  <c r="B353" i="15"/>
  <c r="T352" i="15"/>
  <c r="B352" i="15"/>
  <c r="S351" i="15"/>
  <c r="R351" i="15"/>
  <c r="L351" i="15"/>
  <c r="K351" i="15"/>
  <c r="J351" i="15"/>
  <c r="I351" i="15"/>
  <c r="U351" i="15" s="1"/>
  <c r="T350" i="15"/>
  <c r="B350" i="15"/>
  <c r="T349" i="15"/>
  <c r="B349" i="15"/>
  <c r="T348" i="15"/>
  <c r="B348" i="15"/>
  <c r="S347" i="15"/>
  <c r="R347" i="15"/>
  <c r="L347" i="15"/>
  <c r="K347" i="15"/>
  <c r="J347" i="15"/>
  <c r="I347" i="15"/>
  <c r="U347" i="15" s="1"/>
  <c r="T346" i="15"/>
  <c r="B346" i="15"/>
  <c r="T345" i="15"/>
  <c r="B345" i="15"/>
  <c r="S344" i="15"/>
  <c r="R344" i="15"/>
  <c r="L344" i="15"/>
  <c r="K344" i="15"/>
  <c r="J344" i="15"/>
  <c r="I344" i="15"/>
  <c r="U344" i="15" s="1"/>
  <c r="T343" i="15"/>
  <c r="B343" i="15"/>
  <c r="T342" i="15"/>
  <c r="B342" i="15"/>
  <c r="V341" i="15"/>
  <c r="S341" i="15"/>
  <c r="R341" i="15"/>
  <c r="L341" i="15"/>
  <c r="K341" i="15"/>
  <c r="J341" i="15"/>
  <c r="I341" i="15"/>
  <c r="U341" i="15" s="1"/>
  <c r="T340" i="15"/>
  <c r="B340" i="15"/>
  <c r="T339" i="15"/>
  <c r="B339" i="15"/>
  <c r="T338" i="15"/>
  <c r="B338" i="15"/>
  <c r="T337" i="15"/>
  <c r="B337" i="15"/>
  <c r="S336" i="15"/>
  <c r="R336" i="15"/>
  <c r="L336" i="15"/>
  <c r="K336" i="15"/>
  <c r="J336" i="15"/>
  <c r="I336" i="15"/>
  <c r="U336" i="15" s="1"/>
  <c r="T335" i="15"/>
  <c r="B335" i="15"/>
  <c r="T334" i="15"/>
  <c r="B334" i="15"/>
  <c r="T333" i="15"/>
  <c r="B333" i="15"/>
  <c r="T332" i="15"/>
  <c r="B332" i="15"/>
  <c r="T331" i="15"/>
  <c r="B331" i="15"/>
  <c r="T330" i="15"/>
  <c r="B330" i="15"/>
  <c r="T329" i="15"/>
  <c r="B329" i="15"/>
  <c r="T328" i="15"/>
  <c r="B328" i="15"/>
  <c r="T327" i="15"/>
  <c r="B327" i="15"/>
  <c r="T326" i="15"/>
  <c r="B326" i="15"/>
  <c r="T325" i="15"/>
  <c r="B325" i="15"/>
  <c r="T324" i="15"/>
  <c r="B324" i="15"/>
  <c r="T323" i="15"/>
  <c r="B323" i="15"/>
  <c r="T322" i="15"/>
  <c r="B322" i="15"/>
  <c r="T321" i="15"/>
  <c r="B321" i="15"/>
  <c r="T320" i="15"/>
  <c r="B320" i="15"/>
  <c r="S319" i="15"/>
  <c r="R319" i="15"/>
  <c r="L319" i="15"/>
  <c r="K319" i="15"/>
  <c r="J319" i="15"/>
  <c r="I319" i="15"/>
  <c r="U319" i="15" s="1"/>
  <c r="T318" i="15"/>
  <c r="B318" i="15"/>
  <c r="T317" i="15"/>
  <c r="B317" i="15"/>
  <c r="T316" i="15"/>
  <c r="B316" i="15"/>
  <c r="T315" i="15"/>
  <c r="B315" i="15"/>
  <c r="T314" i="15"/>
  <c r="B314" i="15"/>
  <c r="T313" i="15"/>
  <c r="B313" i="15"/>
  <c r="T312" i="15"/>
  <c r="B312" i="15"/>
  <c r="T311" i="15"/>
  <c r="B311" i="15"/>
  <c r="T310" i="15"/>
  <c r="B310" i="15"/>
  <c r="T309" i="15"/>
  <c r="B309" i="15"/>
  <c r="T308" i="15"/>
  <c r="B308" i="15"/>
  <c r="T307" i="15"/>
  <c r="B307" i="15"/>
  <c r="T306" i="15"/>
  <c r="B306" i="15"/>
  <c r="T305" i="15"/>
  <c r="B305" i="15"/>
  <c r="T304" i="15"/>
  <c r="B304" i="15"/>
  <c r="S303" i="15"/>
  <c r="R303" i="15"/>
  <c r="L303" i="15"/>
  <c r="K303" i="15"/>
  <c r="J303" i="15"/>
  <c r="I303" i="15"/>
  <c r="U303" i="15" s="1"/>
  <c r="T302" i="15"/>
  <c r="T301" i="15" s="1"/>
  <c r="B302" i="15"/>
  <c r="S301" i="15"/>
  <c r="R301" i="15"/>
  <c r="L301" i="15"/>
  <c r="K301" i="15"/>
  <c r="J301" i="15"/>
  <c r="I301" i="15"/>
  <c r="U301" i="15" s="1"/>
  <c r="T300" i="15"/>
  <c r="B300" i="15"/>
  <c r="T299" i="15"/>
  <c r="B299" i="15"/>
  <c r="T298" i="15"/>
  <c r="B298" i="15"/>
  <c r="T297" i="15"/>
  <c r="B297" i="15"/>
  <c r="T296" i="15"/>
  <c r="B296" i="15"/>
  <c r="S295" i="15"/>
  <c r="R295" i="15"/>
  <c r="L295" i="15"/>
  <c r="K295" i="15"/>
  <c r="J295" i="15"/>
  <c r="I295" i="15"/>
  <c r="U295" i="15" s="1"/>
  <c r="T294" i="15"/>
  <c r="B294" i="15"/>
  <c r="T293" i="15"/>
  <c r="B293" i="15"/>
  <c r="T292" i="15"/>
  <c r="B292" i="15"/>
  <c r="T291" i="15"/>
  <c r="B291" i="15"/>
  <c r="T290" i="15"/>
  <c r="B290" i="15"/>
  <c r="S289" i="15"/>
  <c r="R289" i="15"/>
  <c r="L289" i="15"/>
  <c r="K289" i="15"/>
  <c r="J289" i="15"/>
  <c r="I289" i="15"/>
  <c r="U289" i="15" s="1"/>
  <c r="T288" i="15"/>
  <c r="B288" i="15"/>
  <c r="T287" i="15"/>
  <c r="B287" i="15"/>
  <c r="S286" i="15"/>
  <c r="R286" i="15"/>
  <c r="L286" i="15"/>
  <c r="K286" i="15"/>
  <c r="J286" i="15"/>
  <c r="I286" i="15"/>
  <c r="U286" i="15" s="1"/>
  <c r="T285" i="15"/>
  <c r="T284" i="15" s="1"/>
  <c r="B285" i="15"/>
  <c r="S284" i="15"/>
  <c r="R284" i="15"/>
  <c r="L284" i="15"/>
  <c r="K284" i="15"/>
  <c r="J284" i="15"/>
  <c r="I284" i="15"/>
  <c r="U284" i="15" s="1"/>
  <c r="T283" i="15"/>
  <c r="B283" i="15"/>
  <c r="T282" i="15"/>
  <c r="B282" i="15"/>
  <c r="T281" i="15"/>
  <c r="B281" i="15"/>
  <c r="T280" i="15"/>
  <c r="B280" i="15"/>
  <c r="S279" i="15"/>
  <c r="R279" i="15"/>
  <c r="L279" i="15"/>
  <c r="K279" i="15"/>
  <c r="J279" i="15"/>
  <c r="I279" i="15"/>
  <c r="U279" i="15" s="1"/>
  <c r="T278" i="15"/>
  <c r="B278" i="15"/>
  <c r="T277" i="15"/>
  <c r="B277" i="15"/>
  <c r="T276" i="15"/>
  <c r="B276" i="15"/>
  <c r="T275" i="15"/>
  <c r="B275" i="15"/>
  <c r="T274" i="15"/>
  <c r="B274" i="15"/>
  <c r="T273" i="15"/>
  <c r="B273" i="15"/>
  <c r="S272" i="15"/>
  <c r="R272" i="15"/>
  <c r="L272" i="15"/>
  <c r="K272" i="15"/>
  <c r="J272" i="15"/>
  <c r="I272" i="15"/>
  <c r="U272" i="15" s="1"/>
  <c r="T271" i="15"/>
  <c r="B271" i="15"/>
  <c r="T270" i="15"/>
  <c r="B270" i="15"/>
  <c r="T269" i="15"/>
  <c r="B269" i="15"/>
  <c r="T268" i="15"/>
  <c r="B268" i="15"/>
  <c r="T267" i="15"/>
  <c r="B267" i="15"/>
  <c r="S266" i="15"/>
  <c r="R266" i="15"/>
  <c r="L266" i="15"/>
  <c r="K266" i="15"/>
  <c r="J266" i="15"/>
  <c r="I266" i="15"/>
  <c r="U266" i="15" s="1"/>
  <c r="T265" i="15"/>
  <c r="B265" i="15"/>
  <c r="T264" i="15"/>
  <c r="B264" i="15"/>
  <c r="T263" i="15"/>
  <c r="B263" i="15"/>
  <c r="T262" i="15"/>
  <c r="B262" i="15"/>
  <c r="T261" i="15"/>
  <c r="B261" i="15"/>
  <c r="T260" i="15"/>
  <c r="B260" i="15"/>
  <c r="T259" i="15"/>
  <c r="B259" i="15"/>
  <c r="T258" i="15"/>
  <c r="B258" i="15"/>
  <c r="T257" i="15"/>
  <c r="B257" i="15"/>
  <c r="T256" i="15"/>
  <c r="B256" i="15"/>
  <c r="T255" i="15"/>
  <c r="B255" i="15"/>
  <c r="T254" i="15"/>
  <c r="B254" i="15"/>
  <c r="T253" i="15"/>
  <c r="B253" i="15"/>
  <c r="T252" i="15"/>
  <c r="B252" i="15"/>
  <c r="T251" i="15"/>
  <c r="B251" i="15"/>
  <c r="T250" i="15"/>
  <c r="B250" i="15"/>
  <c r="T249" i="15"/>
  <c r="B249" i="15"/>
  <c r="T248" i="15"/>
  <c r="B248" i="15"/>
  <c r="T247" i="15"/>
  <c r="B247" i="15"/>
  <c r="T246" i="15"/>
  <c r="B246" i="15"/>
  <c r="T245" i="15"/>
  <c r="B245" i="15"/>
  <c r="T244" i="15"/>
  <c r="B244" i="15"/>
  <c r="T243" i="15"/>
  <c r="B243" i="15"/>
  <c r="T242" i="15"/>
  <c r="B242" i="15"/>
  <c r="T241" i="15"/>
  <c r="B241" i="15"/>
  <c r="T240" i="15"/>
  <c r="B240" i="15"/>
  <c r="S239" i="15"/>
  <c r="R239" i="15"/>
  <c r="L239" i="15"/>
  <c r="K239" i="15"/>
  <c r="J239" i="15"/>
  <c r="I239" i="15"/>
  <c r="U239" i="15" s="1"/>
  <c r="T238" i="15"/>
  <c r="B238" i="15"/>
  <c r="T237" i="15"/>
  <c r="B237" i="15"/>
  <c r="T236" i="15"/>
  <c r="B236" i="15"/>
  <c r="T235" i="15"/>
  <c r="B235" i="15"/>
  <c r="T234" i="15"/>
  <c r="B234" i="15"/>
  <c r="S233" i="15"/>
  <c r="R233" i="15"/>
  <c r="L233" i="15"/>
  <c r="K233" i="15"/>
  <c r="J233" i="15"/>
  <c r="I233" i="15"/>
  <c r="U233" i="15" s="1"/>
  <c r="T232" i="15"/>
  <c r="B232" i="15"/>
  <c r="T231" i="15"/>
  <c r="B231" i="15"/>
  <c r="T230" i="15"/>
  <c r="B230" i="15"/>
  <c r="T229" i="15"/>
  <c r="B229" i="15"/>
  <c r="T228" i="15"/>
  <c r="B228" i="15"/>
  <c r="T227" i="15"/>
  <c r="B227" i="15"/>
  <c r="T226" i="15"/>
  <c r="B226" i="15"/>
  <c r="T225" i="15"/>
  <c r="B225" i="15"/>
  <c r="T224" i="15"/>
  <c r="B224" i="15"/>
  <c r="T223" i="15"/>
  <c r="B223" i="15"/>
  <c r="T222" i="15"/>
  <c r="B222" i="15"/>
  <c r="T221" i="15"/>
  <c r="B221" i="15"/>
  <c r="T220" i="15"/>
  <c r="B220" i="15"/>
  <c r="T219" i="15"/>
  <c r="B219" i="15"/>
  <c r="T218" i="15"/>
  <c r="B218" i="15"/>
  <c r="T217" i="15"/>
  <c r="B217" i="15"/>
  <c r="T216" i="15"/>
  <c r="B216" i="15"/>
  <c r="T215" i="15"/>
  <c r="B215" i="15"/>
  <c r="T214" i="15"/>
  <c r="B214" i="15"/>
  <c r="T213" i="15"/>
  <c r="B213" i="15"/>
  <c r="T212" i="15"/>
  <c r="B212" i="15"/>
  <c r="T211" i="15"/>
  <c r="B211" i="15"/>
  <c r="T210" i="15"/>
  <c r="B210" i="15"/>
  <c r="T209" i="15"/>
  <c r="B209" i="15"/>
  <c r="T208" i="15"/>
  <c r="B208" i="15"/>
  <c r="T207" i="15"/>
  <c r="B207" i="15"/>
  <c r="T206" i="15"/>
  <c r="B206" i="15"/>
  <c r="T205" i="15"/>
  <c r="B205" i="15"/>
  <c r="T204" i="15"/>
  <c r="B204" i="15"/>
  <c r="T203" i="15"/>
  <c r="B203" i="15"/>
  <c r="T202" i="15"/>
  <c r="B202" i="15"/>
  <c r="T201" i="15"/>
  <c r="B201" i="15"/>
  <c r="T200" i="15"/>
  <c r="B200" i="15"/>
  <c r="T199" i="15"/>
  <c r="B199" i="15"/>
  <c r="T198" i="15"/>
  <c r="B198" i="15"/>
  <c r="T197" i="15"/>
  <c r="B197" i="15"/>
  <c r="S196" i="15"/>
  <c r="R196" i="15"/>
  <c r="L196" i="15"/>
  <c r="K196" i="15"/>
  <c r="J196" i="15"/>
  <c r="I196" i="15"/>
  <c r="U196" i="15" s="1"/>
  <c r="T195" i="15"/>
  <c r="B195" i="15"/>
  <c r="T194" i="15"/>
  <c r="B194" i="15"/>
  <c r="T193" i="15"/>
  <c r="B193" i="15"/>
  <c r="T192" i="15"/>
  <c r="B192" i="15"/>
  <c r="T191" i="15"/>
  <c r="B191" i="15"/>
  <c r="T190" i="15"/>
  <c r="B190" i="15"/>
  <c r="T189" i="15"/>
  <c r="B189" i="15"/>
  <c r="T188" i="15"/>
  <c r="B188" i="15"/>
  <c r="T187" i="15"/>
  <c r="B187" i="15"/>
  <c r="T186" i="15"/>
  <c r="B186" i="15"/>
  <c r="T185" i="15"/>
  <c r="B185" i="15"/>
  <c r="T184" i="15"/>
  <c r="B184" i="15"/>
  <c r="T183" i="15"/>
  <c r="B183" i="15"/>
  <c r="T182" i="15"/>
  <c r="B182" i="15"/>
  <c r="T181" i="15"/>
  <c r="B181" i="15"/>
  <c r="T180" i="15"/>
  <c r="B180" i="15"/>
  <c r="T179" i="15"/>
  <c r="B179" i="15"/>
  <c r="T178" i="15"/>
  <c r="B178" i="15"/>
  <c r="T177" i="15"/>
  <c r="B177" i="15"/>
  <c r="T176" i="15"/>
  <c r="B176" i="15"/>
  <c r="T175" i="15"/>
  <c r="B175" i="15"/>
  <c r="T174" i="15"/>
  <c r="B174" i="15"/>
  <c r="T173" i="15"/>
  <c r="B173" i="15"/>
  <c r="T172" i="15"/>
  <c r="B172" i="15"/>
  <c r="T171" i="15"/>
  <c r="B171" i="15"/>
  <c r="T170" i="15"/>
  <c r="B170" i="15"/>
  <c r="T169" i="15"/>
  <c r="B169" i="15"/>
  <c r="T168" i="15"/>
  <c r="B168" i="15"/>
  <c r="T167" i="15"/>
  <c r="B167" i="15"/>
  <c r="T166" i="15"/>
  <c r="B166" i="15"/>
  <c r="T165" i="15"/>
  <c r="B165" i="15"/>
  <c r="T164" i="15"/>
  <c r="B164" i="15"/>
  <c r="T163" i="15"/>
  <c r="B163" i="15"/>
  <c r="T162" i="15"/>
  <c r="B162" i="15"/>
  <c r="T161" i="15"/>
  <c r="B161" i="15"/>
  <c r="T160" i="15"/>
  <c r="B160" i="15"/>
  <c r="T159" i="15"/>
  <c r="B159" i="15"/>
  <c r="T158" i="15"/>
  <c r="B158" i="15"/>
  <c r="T157" i="15"/>
  <c r="B157" i="15"/>
  <c r="T156" i="15"/>
  <c r="B156" i="15"/>
  <c r="T155" i="15"/>
  <c r="B155" i="15"/>
  <c r="T154" i="15"/>
  <c r="B154" i="15"/>
  <c r="T153" i="15"/>
  <c r="B153" i="15"/>
  <c r="T152" i="15"/>
  <c r="B152" i="15"/>
  <c r="T151" i="15"/>
  <c r="B151" i="15"/>
  <c r="S150" i="15"/>
  <c r="R150" i="15"/>
  <c r="L150" i="15"/>
  <c r="K150" i="15"/>
  <c r="J150" i="15"/>
  <c r="I150" i="15"/>
  <c r="U150" i="15" s="1"/>
  <c r="T149" i="15"/>
  <c r="B149" i="15"/>
  <c r="T148" i="15"/>
  <c r="B148" i="15"/>
  <c r="T147" i="15"/>
  <c r="B147" i="15"/>
  <c r="T146" i="15"/>
  <c r="B146" i="15"/>
  <c r="T145" i="15"/>
  <c r="B145" i="15"/>
  <c r="T144" i="15"/>
  <c r="B144" i="15"/>
  <c r="T143" i="15"/>
  <c r="B143" i="15"/>
  <c r="T142" i="15"/>
  <c r="B142" i="15"/>
  <c r="T141" i="15"/>
  <c r="B141" i="15"/>
  <c r="T140" i="15"/>
  <c r="B140" i="15"/>
  <c r="T139" i="15"/>
  <c r="B139" i="15"/>
  <c r="T138" i="15"/>
  <c r="B138" i="15"/>
  <c r="T137" i="15"/>
  <c r="B137" i="15"/>
  <c r="T136" i="15"/>
  <c r="B136" i="15"/>
  <c r="T135" i="15"/>
  <c r="B135" i="15"/>
  <c r="T134" i="15"/>
  <c r="B134" i="15"/>
  <c r="T133" i="15"/>
  <c r="B133" i="15"/>
  <c r="T132" i="15"/>
  <c r="B132" i="15"/>
  <c r="T131" i="15"/>
  <c r="B131" i="15"/>
  <c r="T130" i="15"/>
  <c r="B130" i="15"/>
  <c r="T129" i="15"/>
  <c r="B129" i="15"/>
  <c r="T128" i="15"/>
  <c r="B128" i="15"/>
  <c r="T127" i="15"/>
  <c r="B127" i="15"/>
  <c r="T126" i="15"/>
  <c r="B126" i="15"/>
  <c r="T125" i="15"/>
  <c r="B125" i="15"/>
  <c r="T124" i="15"/>
  <c r="B124" i="15"/>
  <c r="T123" i="15"/>
  <c r="B123" i="15"/>
  <c r="T122" i="15"/>
  <c r="B122" i="15"/>
  <c r="T121" i="15"/>
  <c r="B121" i="15"/>
  <c r="S120" i="15"/>
  <c r="R120" i="15"/>
  <c r="L120" i="15"/>
  <c r="K120" i="15"/>
  <c r="J120" i="15"/>
  <c r="I120" i="15"/>
  <c r="U120" i="15" s="1"/>
  <c r="T119" i="15"/>
  <c r="B119" i="15"/>
  <c r="T118" i="15"/>
  <c r="B118" i="15"/>
  <c r="T117" i="15"/>
  <c r="B117" i="15"/>
  <c r="T116" i="15"/>
  <c r="B116" i="15"/>
  <c r="T115" i="15"/>
  <c r="B115" i="15"/>
  <c r="T114" i="15"/>
  <c r="B114" i="15"/>
  <c r="T113" i="15"/>
  <c r="B113" i="15"/>
  <c r="T112" i="15"/>
  <c r="B112" i="15"/>
  <c r="T111" i="15"/>
  <c r="B111" i="15"/>
  <c r="T110" i="15"/>
  <c r="B110" i="15"/>
  <c r="T109" i="15"/>
  <c r="B109" i="15"/>
  <c r="T108" i="15"/>
  <c r="B108" i="15"/>
  <c r="T107" i="15"/>
  <c r="B107" i="15"/>
  <c r="T106" i="15"/>
  <c r="B106" i="15"/>
  <c r="T105" i="15"/>
  <c r="B105" i="15"/>
  <c r="T104" i="15"/>
  <c r="B104" i="15"/>
  <c r="T103" i="15"/>
  <c r="B103" i="15"/>
  <c r="T102" i="15"/>
  <c r="B102" i="15"/>
  <c r="T101" i="15"/>
  <c r="B101" i="15"/>
  <c r="T100" i="15"/>
  <c r="B100" i="15"/>
  <c r="T99" i="15"/>
  <c r="B99" i="15"/>
  <c r="T98" i="15"/>
  <c r="B98" i="15"/>
  <c r="T97" i="15"/>
  <c r="B97" i="15"/>
  <c r="T96" i="15"/>
  <c r="B96" i="15"/>
  <c r="T95" i="15"/>
  <c r="B95" i="15"/>
  <c r="T94" i="15"/>
  <c r="B94" i="15"/>
  <c r="T93" i="15"/>
  <c r="B93" i="15"/>
  <c r="T92" i="15"/>
  <c r="B92" i="15"/>
  <c r="T91" i="15"/>
  <c r="B91" i="15"/>
  <c r="T90" i="15"/>
  <c r="B90" i="15"/>
  <c r="T89" i="15"/>
  <c r="B89" i="15"/>
  <c r="T88" i="15"/>
  <c r="B88" i="15"/>
  <c r="T87" i="15"/>
  <c r="B87" i="15"/>
  <c r="T86" i="15"/>
  <c r="B86" i="15"/>
  <c r="T85" i="15"/>
  <c r="B85" i="15"/>
  <c r="T84" i="15"/>
  <c r="B84" i="15"/>
  <c r="T83" i="15"/>
  <c r="B83" i="15"/>
  <c r="T82" i="15"/>
  <c r="B82" i="15"/>
  <c r="T81" i="15"/>
  <c r="B81" i="15"/>
  <c r="T80" i="15"/>
  <c r="B80" i="15"/>
  <c r="T79" i="15"/>
  <c r="B79" i="15"/>
  <c r="T78" i="15"/>
  <c r="B78" i="15"/>
  <c r="T77" i="15"/>
  <c r="B77" i="15"/>
  <c r="T76" i="15"/>
  <c r="B76" i="15"/>
  <c r="T75" i="15"/>
  <c r="B75" i="15"/>
  <c r="T74" i="15"/>
  <c r="B74" i="15"/>
  <c r="T73" i="15"/>
  <c r="B73" i="15"/>
  <c r="T72" i="15"/>
  <c r="B72" i="15"/>
  <c r="T71" i="15"/>
  <c r="B71" i="15"/>
  <c r="T70" i="15"/>
  <c r="B70" i="15"/>
  <c r="T69" i="15"/>
  <c r="B69" i="15"/>
  <c r="T68" i="15"/>
  <c r="B68" i="15"/>
  <c r="T67" i="15"/>
  <c r="B67" i="15"/>
  <c r="T66" i="15"/>
  <c r="B66" i="15"/>
  <c r="T65" i="15"/>
  <c r="B65" i="15"/>
  <c r="T64" i="15"/>
  <c r="B64" i="15"/>
  <c r="T63" i="15"/>
  <c r="B63" i="15"/>
  <c r="T62" i="15"/>
  <c r="B62" i="15"/>
  <c r="T61" i="15"/>
  <c r="B61" i="15"/>
  <c r="T60" i="15"/>
  <c r="B60" i="15"/>
  <c r="T59" i="15"/>
  <c r="B59" i="15"/>
  <c r="T58" i="15"/>
  <c r="B58" i="15"/>
  <c r="T57" i="15"/>
  <c r="B57" i="15"/>
  <c r="T56" i="15"/>
  <c r="B56" i="15"/>
  <c r="T55" i="15"/>
  <c r="B55" i="15"/>
  <c r="T54" i="15"/>
  <c r="B54" i="15"/>
  <c r="T53" i="15"/>
  <c r="B53" i="15"/>
  <c r="T52" i="15"/>
  <c r="B52" i="15"/>
  <c r="T51" i="15"/>
  <c r="B51" i="15"/>
  <c r="T50" i="15"/>
  <c r="B50" i="15"/>
  <c r="T49" i="15"/>
  <c r="B49" i="15"/>
  <c r="T48" i="15"/>
  <c r="B48" i="15"/>
  <c r="T47" i="15"/>
  <c r="B47" i="15"/>
  <c r="T46" i="15"/>
  <c r="B46" i="15"/>
  <c r="T45" i="15"/>
  <c r="B45" i="15"/>
  <c r="T44" i="15"/>
  <c r="B44" i="15"/>
  <c r="T43" i="15"/>
  <c r="B43" i="15"/>
  <c r="T42" i="15"/>
  <c r="B42" i="15"/>
  <c r="T41" i="15"/>
  <c r="B41" i="15"/>
  <c r="T40" i="15"/>
  <c r="B40" i="15"/>
  <c r="T39" i="15"/>
  <c r="B39" i="15"/>
  <c r="T38" i="15"/>
  <c r="B38" i="15"/>
  <c r="T37" i="15"/>
  <c r="B37" i="15"/>
  <c r="T36" i="15"/>
  <c r="B36" i="15"/>
  <c r="T35" i="15"/>
  <c r="B35" i="15"/>
  <c r="T34" i="15"/>
  <c r="B34" i="15"/>
  <c r="T33" i="15"/>
  <c r="B33" i="15"/>
  <c r="T32" i="15"/>
  <c r="B32" i="15"/>
  <c r="T31" i="15"/>
  <c r="B31" i="15"/>
  <c r="T30" i="15"/>
  <c r="B30" i="15"/>
  <c r="T29" i="15"/>
  <c r="B29" i="15"/>
  <c r="T28" i="15"/>
  <c r="B28" i="15"/>
  <c r="T27" i="15"/>
  <c r="B27" i="15"/>
  <c r="T26" i="15"/>
  <c r="B26" i="15"/>
  <c r="T25" i="15"/>
  <c r="B25" i="15"/>
  <c r="T24" i="15"/>
  <c r="B24" i="15"/>
  <c r="T23" i="15"/>
  <c r="B23" i="15"/>
  <c r="T22" i="15"/>
  <c r="B22" i="15"/>
  <c r="T21" i="15"/>
  <c r="B21" i="15"/>
  <c r="T20" i="15"/>
  <c r="B20" i="15"/>
  <c r="T19" i="15"/>
  <c r="B19" i="15"/>
  <c r="T18" i="15"/>
  <c r="B18" i="15"/>
  <c r="T17" i="15"/>
  <c r="B17" i="15"/>
  <c r="U16" i="15"/>
  <c r="T16" i="15"/>
  <c r="B16" i="15"/>
  <c r="L15" i="15"/>
  <c r="K15" i="15"/>
  <c r="J15" i="15"/>
  <c r="I15" i="15"/>
  <c r="U15" i="15" s="1"/>
  <c r="Q91" i="13" l="1"/>
  <c r="R550" i="15"/>
  <c r="S550" i="15"/>
  <c r="C29" i="14" s="1"/>
  <c r="T15" i="15"/>
  <c r="T551" i="15"/>
  <c r="Q76" i="13"/>
  <c r="Q63" i="13" s="1"/>
  <c r="K550" i="15"/>
  <c r="Q11" i="13"/>
  <c r="L550" i="15"/>
  <c r="U640" i="15"/>
  <c r="I550" i="15"/>
  <c r="U550" i="15" s="1"/>
  <c r="J550" i="15"/>
  <c r="Q78" i="13"/>
  <c r="T344" i="15"/>
  <c r="T547" i="15"/>
  <c r="T266" i="15"/>
  <c r="T351" i="15"/>
  <c r="T374" i="15"/>
  <c r="T508" i="15"/>
  <c r="T524" i="15"/>
  <c r="T892" i="15"/>
  <c r="U951" i="15"/>
  <c r="U949" i="15"/>
  <c r="T505" i="15"/>
  <c r="T782" i="15"/>
  <c r="T286" i="15"/>
  <c r="T544" i="15"/>
  <c r="T1541" i="15"/>
  <c r="T883" i="15"/>
  <c r="T492" i="15"/>
  <c r="T412" i="15"/>
  <c r="T386" i="15"/>
  <c r="R1486" i="15"/>
  <c r="R1485" i="15" s="1"/>
  <c r="T1585" i="15"/>
  <c r="T516" i="15"/>
  <c r="T825" i="15"/>
  <c r="T890" i="15"/>
  <c r="T233" i="15"/>
  <c r="T398" i="15"/>
  <c r="T408" i="15"/>
  <c r="T381" i="15"/>
  <c r="T957" i="15"/>
  <c r="T972" i="15"/>
  <c r="J1486" i="15"/>
  <c r="J1485" i="15" s="1"/>
  <c r="S1486" i="15"/>
  <c r="S1485" i="15" s="1"/>
  <c r="T895" i="15"/>
  <c r="K1563" i="15"/>
  <c r="T497" i="15"/>
  <c r="T830" i="15"/>
  <c r="T886" i="15"/>
  <c r="T963" i="15"/>
  <c r="T435" i="15"/>
  <c r="T539" i="15"/>
  <c r="T868" i="15"/>
  <c r="R1563" i="15"/>
  <c r="T336" i="15"/>
  <c r="L14" i="15"/>
  <c r="T1536" i="15"/>
  <c r="R14" i="15"/>
  <c r="T239" i="15"/>
  <c r="T341" i="15"/>
  <c r="T939" i="15"/>
  <c r="T985" i="15"/>
  <c r="V1459" i="15"/>
  <c r="V1458" i="15" s="1"/>
  <c r="K1459" i="15"/>
  <c r="K1458" i="15" s="1"/>
  <c r="T1459" i="15"/>
  <c r="T1458" i="15" s="1"/>
  <c r="I1572" i="15"/>
  <c r="U1572" i="15" s="1"/>
  <c r="T933" i="15"/>
  <c r="T968" i="15"/>
  <c r="V1563" i="15"/>
  <c r="J1563" i="15"/>
  <c r="S1563" i="15"/>
  <c r="J14" i="15"/>
  <c r="S14" i="15"/>
  <c r="C8" i="14" s="1"/>
  <c r="C9" i="14" s="1"/>
  <c r="T279" i="15"/>
  <c r="T289" i="15"/>
  <c r="K14" i="15"/>
  <c r="T467" i="15"/>
  <c r="T295" i="15"/>
  <c r="T422" i="15"/>
  <c r="T429" i="15"/>
  <c r="T640" i="15"/>
  <c r="T927" i="15"/>
  <c r="T120" i="15"/>
  <c r="T196" i="15"/>
  <c r="T272" i="15"/>
  <c r="T356" i="15"/>
  <c r="T418" i="15"/>
  <c r="T438" i="15"/>
  <c r="T513" i="15"/>
  <c r="T804" i="15"/>
  <c r="T913" i="15"/>
  <c r="T150" i="15"/>
  <c r="T347" i="15"/>
  <c r="T391" i="15"/>
  <c r="T529" i="15"/>
  <c r="T812" i="15"/>
  <c r="T818" i="15"/>
  <c r="T846" i="15"/>
  <c r="T853" i="15"/>
  <c r="T951" i="15"/>
  <c r="T1016" i="15"/>
  <c r="K1486" i="15"/>
  <c r="K1485" i="15" s="1"/>
  <c r="T923" i="15"/>
  <c r="T898" i="15"/>
  <c r="T907" i="15"/>
  <c r="T997" i="15"/>
  <c r="I1563" i="15"/>
  <c r="U1570" i="15"/>
  <c r="L1486" i="15"/>
  <c r="L1485" i="15" s="1"/>
  <c r="T1573" i="15"/>
  <c r="L1459" i="15"/>
  <c r="L1458" i="15" s="1"/>
  <c r="L1563" i="15"/>
  <c r="J1572" i="15"/>
  <c r="L1572" i="15"/>
  <c r="I14" i="15"/>
  <c r="T303" i="15"/>
  <c r="T319" i="15"/>
  <c r="T461" i="15"/>
  <c r="T479" i="15"/>
  <c r="U551" i="15"/>
  <c r="T667" i="15"/>
  <c r="T832" i="15"/>
  <c r="T711" i="15"/>
  <c r="T871" i="15"/>
  <c r="V923" i="15"/>
  <c r="T977" i="15"/>
  <c r="V959" i="15"/>
  <c r="T1009" i="15"/>
  <c r="V957" i="15"/>
  <c r="T1502" i="15"/>
  <c r="J1459" i="15"/>
  <c r="J1458" i="15" s="1"/>
  <c r="U1487" i="15"/>
  <c r="I1486" i="15"/>
  <c r="I1485" i="15" s="1"/>
  <c r="R1579" i="15"/>
  <c r="I1459" i="15"/>
  <c r="I1458" i="15" s="1"/>
  <c r="T1487" i="15"/>
  <c r="K1573" i="15"/>
  <c r="K1572" i="15" s="1"/>
  <c r="T1564" i="15"/>
  <c r="T1563" i="15" s="1"/>
  <c r="S1572" i="15"/>
  <c r="Q10" i="13" l="1"/>
  <c r="L1562" i="15"/>
  <c r="S1562" i="15"/>
  <c r="K1562" i="15"/>
  <c r="J1562" i="15"/>
  <c r="U1563" i="15"/>
  <c r="I1562" i="15"/>
  <c r="U1562" i="15" s="1"/>
  <c r="V933" i="15"/>
  <c r="V890" i="15"/>
  <c r="V547" i="15"/>
  <c r="V825" i="15"/>
  <c r="V939" i="15"/>
  <c r="V989" i="15"/>
  <c r="V351" i="15"/>
  <c r="V347" i="15"/>
  <c r="V886" i="15"/>
  <c r="V374" i="15"/>
  <c r="V527" i="15"/>
  <c r="V503" i="15"/>
  <c r="V451" i="15"/>
  <c r="V406" i="15"/>
  <c r="V895" i="15"/>
  <c r="V868" i="15"/>
  <c r="V917" i="15"/>
  <c r="V233" i="15"/>
  <c r="V1009" i="15"/>
  <c r="V946" i="15"/>
  <c r="V858" i="15"/>
  <c r="V511" i="15"/>
  <c r="V488" i="15"/>
  <c r="V1022" i="15"/>
  <c r="V1003" i="15"/>
  <c r="V927" i="15"/>
  <c r="V449" i="15"/>
  <c r="V416" i="15"/>
  <c r="V354" i="15"/>
  <c r="V386" i="15"/>
  <c r="V828" i="15"/>
  <c r="V830" i="15"/>
  <c r="V522" i="15"/>
  <c r="V301" i="15"/>
  <c r="V864" i="15"/>
  <c r="V892" i="15"/>
  <c r="V505" i="15"/>
  <c r="V379" i="15"/>
  <c r="V1005" i="15"/>
  <c r="V966" i="15"/>
  <c r="V544" i="15"/>
  <c r="V453" i="15"/>
  <c r="V913" i="15"/>
  <c r="V295" i="15"/>
  <c r="V289" i="15"/>
  <c r="V344" i="15"/>
  <c r="V435" i="15"/>
  <c r="V524" i="15"/>
  <c r="V284" i="15"/>
  <c r="V422" i="15"/>
  <c r="V336" i="15"/>
  <c r="V883" i="15"/>
  <c r="R1577" i="15"/>
  <c r="C16" i="14"/>
  <c r="C14" i="14"/>
  <c r="C15" i="14"/>
  <c r="V818" i="15"/>
  <c r="V856" i="15"/>
  <c r="V391" i="15"/>
  <c r="T1572" i="15"/>
  <c r="T1562" i="15" s="1"/>
  <c r="V529" i="15"/>
  <c r="V279" i="15"/>
  <c r="V479" i="15"/>
  <c r="V812" i="15"/>
  <c r="V286" i="15"/>
  <c r="R13" i="15"/>
  <c r="C28" i="14"/>
  <c r="S13" i="15"/>
  <c r="V497" i="15"/>
  <c r="L13" i="15"/>
  <c r="K13" i="15"/>
  <c r="V963" i="15"/>
  <c r="V1016" i="15"/>
  <c r="V667" i="15"/>
  <c r="V150" i="15"/>
  <c r="V239" i="15"/>
  <c r="V853" i="15"/>
  <c r="J13" i="15"/>
  <c r="V804" i="15"/>
  <c r="T14" i="15"/>
  <c r="T1486" i="15"/>
  <c r="T1485" i="15" s="1"/>
  <c r="V972" i="15"/>
  <c r="V640" i="15"/>
  <c r="V319" i="15"/>
  <c r="V15" i="15"/>
  <c r="V711" i="15"/>
  <c r="V467" i="15"/>
  <c r="V516" i="15"/>
  <c r="U14" i="15"/>
  <c r="I13" i="15"/>
  <c r="V196" i="15"/>
  <c r="V997" i="15"/>
  <c r="V832" i="15"/>
  <c r="V846" i="15"/>
  <c r="V429" i="15"/>
  <c r="V438" i="15"/>
  <c r="V272" i="15"/>
  <c r="V492" i="15"/>
  <c r="V461" i="15"/>
  <c r="V539" i="15"/>
  <c r="V303" i="15"/>
  <c r="V120" i="15"/>
  <c r="V356" i="15"/>
  <c r="U1486" i="15"/>
  <c r="U1485" i="15"/>
  <c r="U1459" i="15"/>
  <c r="U1458" i="15"/>
  <c r="V985" i="15"/>
  <c r="V782" i="15"/>
  <c r="V398" i="15"/>
  <c r="V266" i="15"/>
  <c r="V1583" i="15"/>
  <c r="V1572" i="15" s="1"/>
  <c r="V766" i="15"/>
  <c r="V968" i="15"/>
  <c r="V898" i="15"/>
  <c r="V823" i="15"/>
  <c r="V551" i="15"/>
  <c r="V508" i="15"/>
  <c r="V381" i="15"/>
  <c r="V396" i="15"/>
  <c r="V412" i="15"/>
  <c r="V1562" i="15" l="1"/>
  <c r="V377" i="15"/>
  <c r="V14" i="15" s="1"/>
  <c r="R1572" i="15"/>
  <c r="R1562" i="15" s="1"/>
  <c r="V550" i="15"/>
  <c r="D1152" i="7" l="1"/>
  <c r="E11" i="5"/>
  <c r="E10" i="5" s="1"/>
  <c r="AE1494" i="7"/>
  <c r="AD1494" i="7"/>
  <c r="AB1494" i="7"/>
  <c r="AA1494" i="7"/>
  <c r="Z1494" i="7"/>
  <c r="Y1494" i="7"/>
  <c r="X1494" i="7"/>
  <c r="W1494" i="7"/>
  <c r="V1494" i="7"/>
  <c r="U1494" i="7"/>
  <c r="T1494" i="7"/>
  <c r="S1494" i="7"/>
  <c r="R1494" i="7"/>
  <c r="Q1494" i="7"/>
  <c r="P1494" i="7"/>
  <c r="O1494" i="7"/>
  <c r="N1494" i="7"/>
  <c r="M1494" i="7"/>
  <c r="L1494" i="7"/>
  <c r="K1494" i="7"/>
  <c r="J1494" i="7"/>
  <c r="I1494" i="7"/>
  <c r="H1494" i="7"/>
  <c r="G1494" i="7"/>
  <c r="F1494" i="7"/>
  <c r="E1494" i="7"/>
  <c r="C37" i="14" l="1"/>
  <c r="B629" i="7" l="1"/>
  <c r="B630" i="7"/>
  <c r="B631" i="7"/>
  <c r="D630" i="7"/>
  <c r="D629" i="7"/>
  <c r="AE836" i="7"/>
  <c r="AB836" i="7"/>
  <c r="AA836" i="7"/>
  <c r="Z836" i="7"/>
  <c r="Y836" i="7"/>
  <c r="X836" i="7"/>
  <c r="W836" i="7"/>
  <c r="V836" i="7"/>
  <c r="U836" i="7"/>
  <c r="T836" i="7"/>
  <c r="S836" i="7"/>
  <c r="R836" i="7"/>
  <c r="Q836" i="7"/>
  <c r="P836" i="7"/>
  <c r="O836" i="7"/>
  <c r="N836" i="7"/>
  <c r="M836" i="7"/>
  <c r="L836" i="7"/>
  <c r="K836" i="7"/>
  <c r="J836" i="7"/>
  <c r="I836" i="7"/>
  <c r="H836" i="7"/>
  <c r="G836" i="7"/>
  <c r="F836" i="7"/>
  <c r="E836" i="7"/>
  <c r="B850" i="7"/>
  <c r="D850" i="7"/>
  <c r="B1010" i="7"/>
  <c r="AC1010" i="7"/>
  <c r="AC1009" i="7" s="1"/>
  <c r="AE1009" i="7"/>
  <c r="AB1009" i="7"/>
  <c r="AA1009" i="7"/>
  <c r="Z1009" i="7"/>
  <c r="Y1009" i="7"/>
  <c r="X1009" i="7"/>
  <c r="W1009" i="7"/>
  <c r="V1009" i="7"/>
  <c r="U1009" i="7"/>
  <c r="T1009" i="7"/>
  <c r="S1009" i="7"/>
  <c r="R1009" i="7"/>
  <c r="Q1009" i="7"/>
  <c r="P1009" i="7"/>
  <c r="O1009" i="7"/>
  <c r="N1009" i="7"/>
  <c r="M1009" i="7"/>
  <c r="L1009" i="7"/>
  <c r="K1009" i="7"/>
  <c r="J1009" i="7"/>
  <c r="I1009" i="7"/>
  <c r="H1009" i="7"/>
  <c r="G1009" i="7"/>
  <c r="F1009" i="7"/>
  <c r="E1009" i="7"/>
  <c r="D1095" i="7"/>
  <c r="D1094" i="7"/>
  <c r="D1093" i="7"/>
  <c r="D1092" i="7"/>
  <c r="Y17" i="11"/>
  <c r="Y11" i="11" s="1"/>
  <c r="X17" i="11"/>
  <c r="X11" i="11" s="1"/>
  <c r="W17" i="11"/>
  <c r="W11" i="11" s="1"/>
  <c r="V17" i="11"/>
  <c r="V11" i="11" s="1"/>
  <c r="U17" i="11"/>
  <c r="U11" i="11" s="1"/>
  <c r="T17" i="11"/>
  <c r="T11" i="11" s="1"/>
  <c r="S17" i="11"/>
  <c r="S11" i="11" s="1"/>
  <c r="R17" i="11"/>
  <c r="R11" i="11" s="1"/>
  <c r="E19" i="11"/>
  <c r="AB18" i="11"/>
  <c r="AA18" i="11"/>
  <c r="Z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D1366" i="7"/>
  <c r="D1367" i="7" l="1"/>
  <c r="E18" i="11"/>
  <c r="D1010" i="7"/>
  <c r="D1009" i="7" l="1"/>
  <c r="B714" i="7" l="1"/>
  <c r="D714" i="7"/>
  <c r="D1448" i="7"/>
  <c r="D1339" i="7" l="1"/>
  <c r="D1338" i="7" s="1"/>
  <c r="D1034" i="7"/>
  <c r="B931" i="7" l="1"/>
  <c r="D931" i="7"/>
  <c r="D1244" i="7" l="1"/>
  <c r="D1243" i="7"/>
  <c r="D1242" i="7"/>
  <c r="D1241" i="7"/>
  <c r="AE1390" i="7"/>
  <c r="AD1390" i="7"/>
  <c r="AB1390" i="7"/>
  <c r="AA1390" i="7"/>
  <c r="Z1390" i="7"/>
  <c r="Y1390" i="7"/>
  <c r="X1390" i="7"/>
  <c r="W1390" i="7"/>
  <c r="V1390" i="7"/>
  <c r="U1390" i="7"/>
  <c r="T1390" i="7"/>
  <c r="S1390" i="7"/>
  <c r="R1390" i="7"/>
  <c r="Q1390" i="7"/>
  <c r="P1390" i="7"/>
  <c r="O1390" i="7"/>
  <c r="N1390" i="7"/>
  <c r="M1390" i="7"/>
  <c r="L1390" i="7"/>
  <c r="K1390" i="7"/>
  <c r="J1390" i="7"/>
  <c r="I1390" i="7"/>
  <c r="H1390" i="7"/>
  <c r="G1390" i="7"/>
  <c r="F1390" i="7"/>
  <c r="E1390" i="7"/>
  <c r="AE1548" i="7" l="1"/>
  <c r="AD1548" i="7"/>
  <c r="AB1548" i="7"/>
  <c r="AA1548" i="7"/>
  <c r="Z1548" i="7"/>
  <c r="Y1548" i="7"/>
  <c r="X1548" i="7"/>
  <c r="W1548" i="7"/>
  <c r="V1548" i="7"/>
  <c r="U1548" i="7"/>
  <c r="T1548" i="7"/>
  <c r="S1548" i="7"/>
  <c r="R1548" i="7"/>
  <c r="Q1548" i="7"/>
  <c r="P1548" i="7"/>
  <c r="O1548" i="7"/>
  <c r="N1548" i="7"/>
  <c r="M1548" i="7"/>
  <c r="K1548" i="7"/>
  <c r="J1548" i="7"/>
  <c r="I1548" i="7"/>
  <c r="H1548" i="7"/>
  <c r="G1548" i="7"/>
  <c r="F1548" i="7"/>
  <c r="E1548" i="7"/>
  <c r="AE1543" i="7"/>
  <c r="AD1543" i="7"/>
  <c r="AB1543" i="7"/>
  <c r="AA1543" i="7"/>
  <c r="Z1543" i="7"/>
  <c r="Y1543" i="7"/>
  <c r="X1543" i="7"/>
  <c r="W1543" i="7"/>
  <c r="V1543" i="7"/>
  <c r="U1543" i="7"/>
  <c r="T1543" i="7"/>
  <c r="S1543" i="7"/>
  <c r="R1543" i="7"/>
  <c r="Q1543" i="7"/>
  <c r="P1543" i="7"/>
  <c r="O1543" i="7"/>
  <c r="N1543" i="7"/>
  <c r="M1543" i="7"/>
  <c r="K1543" i="7"/>
  <c r="J1543" i="7"/>
  <c r="I1543" i="7"/>
  <c r="H1543" i="7"/>
  <c r="G1543" i="7"/>
  <c r="F1543" i="7"/>
  <c r="E1543" i="7"/>
  <c r="AE1509" i="7"/>
  <c r="AD1509" i="7"/>
  <c r="AB1509" i="7"/>
  <c r="AA1509" i="7"/>
  <c r="Z1509" i="7"/>
  <c r="Y1509" i="7"/>
  <c r="X1509" i="7"/>
  <c r="W1509" i="7"/>
  <c r="V1509" i="7"/>
  <c r="U1509" i="7"/>
  <c r="T1509" i="7"/>
  <c r="S1509" i="7"/>
  <c r="R1509" i="7"/>
  <c r="Q1509" i="7"/>
  <c r="P1509" i="7"/>
  <c r="O1509" i="7"/>
  <c r="N1509" i="7"/>
  <c r="M1509" i="7"/>
  <c r="L1509" i="7"/>
  <c r="K1509" i="7"/>
  <c r="J1509" i="7"/>
  <c r="I1509" i="7"/>
  <c r="H1509" i="7"/>
  <c r="G1509" i="7"/>
  <c r="F1509" i="7"/>
  <c r="E1509" i="7"/>
  <c r="AC1549" i="7"/>
  <c r="B1549" i="7"/>
  <c r="L1544" i="7"/>
  <c r="L1543" i="7" s="1"/>
  <c r="AC1544" i="7"/>
  <c r="B1544" i="7"/>
  <c r="AC1512" i="7"/>
  <c r="D1512" i="7" s="1"/>
  <c r="B1512" i="7"/>
  <c r="AC1511" i="7"/>
  <c r="D1511" i="7" s="1"/>
  <c r="B1511" i="7"/>
  <c r="AC1510" i="7"/>
  <c r="D1510" i="7" s="1"/>
  <c r="B1510" i="7"/>
  <c r="AC1498" i="7"/>
  <c r="D1498" i="7" s="1"/>
  <c r="B1498" i="7"/>
  <c r="AC1497" i="7"/>
  <c r="D1497" i="7" s="1"/>
  <c r="B1497" i="7"/>
  <c r="AC1554" i="7"/>
  <c r="D1554" i="7" s="1"/>
  <c r="B1554" i="7"/>
  <c r="AC1553" i="7"/>
  <c r="D1553" i="7" s="1"/>
  <c r="B1553" i="7"/>
  <c r="AC1552" i="7"/>
  <c r="D1552" i="7" s="1"/>
  <c r="B1552" i="7"/>
  <c r="AC1551" i="7"/>
  <c r="D1551" i="7" s="1"/>
  <c r="B1551" i="7"/>
  <c r="AC1550" i="7"/>
  <c r="D1550" i="7" s="1"/>
  <c r="B1550" i="7"/>
  <c r="AC1547" i="7"/>
  <c r="D1547" i="7" s="1"/>
  <c r="B1547" i="7"/>
  <c r="AC1546" i="7"/>
  <c r="D1546" i="7" s="1"/>
  <c r="B1546" i="7"/>
  <c r="AC1545" i="7"/>
  <c r="D1545" i="7" s="1"/>
  <c r="B1545" i="7"/>
  <c r="AC1542" i="7"/>
  <c r="D1542" i="7" s="1"/>
  <c r="B1542" i="7"/>
  <c r="AC1541" i="7"/>
  <c r="D1541" i="7" s="1"/>
  <c r="B1541" i="7"/>
  <c r="AC1540" i="7"/>
  <c r="D1540" i="7" s="1"/>
  <c r="B1540" i="7"/>
  <c r="AC1539" i="7"/>
  <c r="D1539" i="7" s="1"/>
  <c r="B1539" i="7"/>
  <c r="AC1538" i="7"/>
  <c r="D1538" i="7" s="1"/>
  <c r="B1538" i="7"/>
  <c r="AC1537" i="7"/>
  <c r="D1537" i="7" s="1"/>
  <c r="B1537" i="7"/>
  <c r="AC1536" i="7"/>
  <c r="D1536" i="7" s="1"/>
  <c r="B1536" i="7"/>
  <c r="AC1535" i="7"/>
  <c r="D1535" i="7" s="1"/>
  <c r="B1535" i="7"/>
  <c r="AC1534" i="7"/>
  <c r="D1534" i="7" s="1"/>
  <c r="B1534" i="7"/>
  <c r="AC1533" i="7"/>
  <c r="D1533" i="7" s="1"/>
  <c r="B1533" i="7"/>
  <c r="AC1532" i="7"/>
  <c r="D1532" i="7" s="1"/>
  <c r="B1532" i="7"/>
  <c r="AC1531" i="7"/>
  <c r="D1531" i="7" s="1"/>
  <c r="B1531" i="7"/>
  <c r="AC1530" i="7"/>
  <c r="D1530" i="7" s="1"/>
  <c r="B1530" i="7"/>
  <c r="AC1529" i="7"/>
  <c r="D1529" i="7" s="1"/>
  <c r="B1529" i="7"/>
  <c r="AC1528" i="7"/>
  <c r="D1528" i="7" s="1"/>
  <c r="B1528" i="7"/>
  <c r="AC1527" i="7"/>
  <c r="D1527" i="7" s="1"/>
  <c r="B1527" i="7"/>
  <c r="AC1526" i="7"/>
  <c r="D1526" i="7" s="1"/>
  <c r="B1526" i="7"/>
  <c r="AC1525" i="7"/>
  <c r="D1525" i="7" s="1"/>
  <c r="B1525" i="7"/>
  <c r="AC1524" i="7"/>
  <c r="D1524" i="7" s="1"/>
  <c r="B1524" i="7"/>
  <c r="AC1523" i="7"/>
  <c r="D1523" i="7" s="1"/>
  <c r="B1523" i="7"/>
  <c r="AC1522" i="7"/>
  <c r="D1522" i="7" s="1"/>
  <c r="B1522" i="7"/>
  <c r="AC1521" i="7"/>
  <c r="D1521" i="7" s="1"/>
  <c r="B1521" i="7"/>
  <c r="AC1520" i="7"/>
  <c r="D1520" i="7" s="1"/>
  <c r="B1520" i="7"/>
  <c r="AC1519" i="7"/>
  <c r="D1519" i="7" s="1"/>
  <c r="B1519" i="7"/>
  <c r="AC1518" i="7"/>
  <c r="D1518" i="7" s="1"/>
  <c r="B1518" i="7"/>
  <c r="AC1517" i="7"/>
  <c r="D1517" i="7" s="1"/>
  <c r="B1517" i="7"/>
  <c r="AC1516" i="7"/>
  <c r="D1516" i="7" s="1"/>
  <c r="B1516" i="7"/>
  <c r="AC1515" i="7"/>
  <c r="D1515" i="7" s="1"/>
  <c r="B1515" i="7"/>
  <c r="AC1514" i="7"/>
  <c r="D1514" i="7" s="1"/>
  <c r="B1514" i="7"/>
  <c r="AC1513" i="7"/>
  <c r="D1513" i="7" s="1"/>
  <c r="B1513" i="7"/>
  <c r="AC1508" i="7"/>
  <c r="D1508" i="7" s="1"/>
  <c r="B1508" i="7"/>
  <c r="AC1507" i="7"/>
  <c r="D1507" i="7" s="1"/>
  <c r="B1507" i="7"/>
  <c r="AC1506" i="7"/>
  <c r="D1506" i="7" s="1"/>
  <c r="B1506" i="7"/>
  <c r="AC1505" i="7"/>
  <c r="D1505" i="7" s="1"/>
  <c r="B1505" i="7"/>
  <c r="AC1504" i="7"/>
  <c r="D1504" i="7" s="1"/>
  <c r="B1504" i="7"/>
  <c r="AC1503" i="7"/>
  <c r="D1503" i="7" s="1"/>
  <c r="B1503" i="7"/>
  <c r="AC1502" i="7"/>
  <c r="D1502" i="7" s="1"/>
  <c r="B1502" i="7"/>
  <c r="AC1501" i="7"/>
  <c r="D1501" i="7" s="1"/>
  <c r="B1501" i="7"/>
  <c r="AC1500" i="7"/>
  <c r="D1500" i="7" s="1"/>
  <c r="B1500" i="7"/>
  <c r="AC1499" i="7"/>
  <c r="B1499" i="7"/>
  <c r="B1496" i="7"/>
  <c r="B1495" i="7"/>
  <c r="AC1495" i="7"/>
  <c r="D1199" i="7"/>
  <c r="D1198" i="7"/>
  <c r="D1129" i="7"/>
  <c r="D1495" i="7" l="1"/>
  <c r="H1493" i="7"/>
  <c r="H1492" i="7" s="1"/>
  <c r="P1493" i="7"/>
  <c r="P1492" i="7" s="1"/>
  <c r="T1493" i="7"/>
  <c r="T1492" i="7" s="1"/>
  <c r="X1493" i="7"/>
  <c r="X1492" i="7" s="1"/>
  <c r="AB1493" i="7"/>
  <c r="AB1492" i="7" s="1"/>
  <c r="F1493" i="7"/>
  <c r="F1492" i="7" s="1"/>
  <c r="J1493" i="7"/>
  <c r="J1492" i="7" s="1"/>
  <c r="N1493" i="7"/>
  <c r="N1492" i="7" s="1"/>
  <c r="R1493" i="7"/>
  <c r="R1492" i="7" s="1"/>
  <c r="V1493" i="7"/>
  <c r="V1492" i="7" s="1"/>
  <c r="Z1493" i="7"/>
  <c r="Z1492" i="7" s="1"/>
  <c r="AE1493" i="7"/>
  <c r="AE1492" i="7" s="1"/>
  <c r="E1493" i="7"/>
  <c r="E1492" i="7" s="1"/>
  <c r="I1493" i="7"/>
  <c r="I1492" i="7" s="1"/>
  <c r="M1493" i="7"/>
  <c r="M1492" i="7" s="1"/>
  <c r="Q1493" i="7"/>
  <c r="Q1492" i="7" s="1"/>
  <c r="U1493" i="7"/>
  <c r="U1492" i="7" s="1"/>
  <c r="Y1493" i="7"/>
  <c r="Y1492" i="7" s="1"/>
  <c r="AD1493" i="7"/>
  <c r="AD1492" i="7" s="1"/>
  <c r="D1509" i="7"/>
  <c r="G1493" i="7"/>
  <c r="G1492" i="7" s="1"/>
  <c r="K1493" i="7"/>
  <c r="K1492" i="7" s="1"/>
  <c r="O1493" i="7"/>
  <c r="O1492" i="7" s="1"/>
  <c r="S1493" i="7"/>
  <c r="S1492" i="7" s="1"/>
  <c r="W1493" i="7"/>
  <c r="W1492" i="7" s="1"/>
  <c r="AA1493" i="7"/>
  <c r="AA1492" i="7" s="1"/>
  <c r="AC1543" i="7"/>
  <c r="AC1548" i="7"/>
  <c r="AC1509" i="7"/>
  <c r="D1544" i="7"/>
  <c r="AC1496" i="7"/>
  <c r="AC1494" i="7" s="1"/>
  <c r="D1499" i="7"/>
  <c r="D1496" i="7" l="1"/>
  <c r="D1494" i="7" s="1"/>
  <c r="AC1493" i="7"/>
  <c r="AC1492" i="7" s="1"/>
  <c r="D1543" i="7"/>
  <c r="AC1389" i="7" l="1"/>
  <c r="B642" i="7" l="1"/>
  <c r="D642" i="7"/>
  <c r="AE929" i="7"/>
  <c r="AB929" i="7"/>
  <c r="AA929" i="7"/>
  <c r="Z929" i="7"/>
  <c r="Y929" i="7"/>
  <c r="X929" i="7"/>
  <c r="W929" i="7"/>
  <c r="V929" i="7"/>
  <c r="U929" i="7"/>
  <c r="T929" i="7"/>
  <c r="S929" i="7"/>
  <c r="R929" i="7"/>
  <c r="Q929" i="7"/>
  <c r="P929" i="7"/>
  <c r="O929" i="7"/>
  <c r="M929" i="7"/>
  <c r="L929" i="7"/>
  <c r="K929" i="7"/>
  <c r="J929" i="7"/>
  <c r="I929" i="7"/>
  <c r="H929" i="7"/>
  <c r="G929" i="7"/>
  <c r="F929" i="7"/>
  <c r="E929" i="7"/>
  <c r="B930" i="7"/>
  <c r="B1027" i="7"/>
  <c r="AE1026" i="7"/>
  <c r="AB1026" i="7"/>
  <c r="AA1026" i="7"/>
  <c r="Z1026" i="7"/>
  <c r="Y1026" i="7"/>
  <c r="X1026" i="7"/>
  <c r="W1026" i="7"/>
  <c r="V1026" i="7"/>
  <c r="U1026" i="7"/>
  <c r="T1026" i="7"/>
  <c r="S1026" i="7"/>
  <c r="R1026" i="7"/>
  <c r="Q1026" i="7"/>
  <c r="P1026" i="7"/>
  <c r="O1026" i="7"/>
  <c r="M1026" i="7"/>
  <c r="L1026" i="7"/>
  <c r="K1026" i="7"/>
  <c r="J1026" i="7"/>
  <c r="I1026" i="7"/>
  <c r="H1026" i="7"/>
  <c r="G1026" i="7"/>
  <c r="F1026" i="7"/>
  <c r="E1026" i="7"/>
  <c r="B679" i="7"/>
  <c r="B691" i="7"/>
  <c r="D691" i="7"/>
  <c r="AE913" i="7"/>
  <c r="AB913" i="7"/>
  <c r="AA913" i="7"/>
  <c r="Z913" i="7"/>
  <c r="Y913" i="7"/>
  <c r="X913" i="7"/>
  <c r="W913" i="7"/>
  <c r="V913" i="7"/>
  <c r="U913" i="7"/>
  <c r="T913" i="7"/>
  <c r="S913" i="7"/>
  <c r="R913" i="7"/>
  <c r="Q913" i="7"/>
  <c r="P913" i="7"/>
  <c r="O913" i="7"/>
  <c r="N913" i="7"/>
  <c r="M913" i="7"/>
  <c r="L913" i="7"/>
  <c r="K913" i="7"/>
  <c r="J913" i="7"/>
  <c r="I913" i="7"/>
  <c r="G913" i="7"/>
  <c r="F913" i="7"/>
  <c r="E913" i="7"/>
  <c r="B916" i="7"/>
  <c r="D916" i="7"/>
  <c r="D1027" i="7" l="1"/>
  <c r="AC1026" i="7"/>
  <c r="N1026" i="7"/>
  <c r="D679" i="7"/>
  <c r="H913" i="7"/>
  <c r="AC913" i="7"/>
  <c r="D930" i="7" l="1"/>
  <c r="D1026" i="7"/>
  <c r="N788" i="7" l="1"/>
  <c r="L79" i="13" l="1"/>
  <c r="J79" i="13"/>
  <c r="I79" i="13"/>
  <c r="P79" i="13" s="1"/>
  <c r="L82" i="13"/>
  <c r="K82" i="13"/>
  <c r="J82" i="13"/>
  <c r="I82" i="13"/>
  <c r="P82" i="13" s="1"/>
  <c r="K81" i="13"/>
  <c r="B377" i="7" l="1"/>
  <c r="B378" i="7"/>
  <c r="B379" i="7"/>
  <c r="B851" i="7"/>
  <c r="D849" i="7"/>
  <c r="B849" i="7"/>
  <c r="D851" i="7"/>
  <c r="B728" i="7"/>
  <c r="D728" i="7"/>
  <c r="AE859" i="7"/>
  <c r="AB859" i="7"/>
  <c r="AA859" i="7"/>
  <c r="Z859" i="7"/>
  <c r="Y859" i="7"/>
  <c r="X859" i="7"/>
  <c r="W859" i="7"/>
  <c r="V859" i="7"/>
  <c r="U859" i="7"/>
  <c r="T859" i="7"/>
  <c r="S859" i="7"/>
  <c r="R859" i="7"/>
  <c r="Q859" i="7"/>
  <c r="P859" i="7"/>
  <c r="O859" i="7"/>
  <c r="N859" i="7"/>
  <c r="M859" i="7"/>
  <c r="L859" i="7"/>
  <c r="K859" i="7"/>
  <c r="J859" i="7"/>
  <c r="I859" i="7"/>
  <c r="H859" i="7"/>
  <c r="G859" i="7"/>
  <c r="F859" i="7"/>
  <c r="E859" i="7"/>
  <c r="B861" i="7"/>
  <c r="AC861" i="7"/>
  <c r="D861" i="7" s="1"/>
  <c r="D787" i="7"/>
  <c r="B787" i="7"/>
  <c r="B953" i="7"/>
  <c r="AC953" i="7"/>
  <c r="B990" i="7"/>
  <c r="D989" i="7"/>
  <c r="B989" i="7"/>
  <c r="AE969" i="7"/>
  <c r="AB969" i="7"/>
  <c r="AA969" i="7"/>
  <c r="Z969" i="7"/>
  <c r="Y969" i="7"/>
  <c r="X969" i="7"/>
  <c r="W969" i="7"/>
  <c r="V969" i="7"/>
  <c r="U969" i="7"/>
  <c r="T969" i="7"/>
  <c r="S969" i="7"/>
  <c r="R969" i="7"/>
  <c r="Q969" i="7"/>
  <c r="P969" i="7"/>
  <c r="O969" i="7"/>
  <c r="N969" i="7"/>
  <c r="M969" i="7"/>
  <c r="L969" i="7"/>
  <c r="K969" i="7"/>
  <c r="J969" i="7"/>
  <c r="I969" i="7"/>
  <c r="H969" i="7"/>
  <c r="G969" i="7"/>
  <c r="F969" i="7"/>
  <c r="E969" i="7"/>
  <c r="B970" i="7"/>
  <c r="AC970" i="7"/>
  <c r="D970" i="7" s="1"/>
  <c r="AE1003" i="7"/>
  <c r="AB1003" i="7"/>
  <c r="AA1003" i="7"/>
  <c r="Z1003" i="7"/>
  <c r="Y1003" i="7"/>
  <c r="X1003" i="7"/>
  <c r="W1003" i="7"/>
  <c r="V1003" i="7"/>
  <c r="U1003" i="7"/>
  <c r="T1003" i="7"/>
  <c r="S1003" i="7"/>
  <c r="R1003" i="7"/>
  <c r="Q1003" i="7"/>
  <c r="P1003" i="7"/>
  <c r="O1003" i="7"/>
  <c r="M1003" i="7"/>
  <c r="L1003" i="7"/>
  <c r="K1003" i="7"/>
  <c r="J1003" i="7"/>
  <c r="I1003" i="7"/>
  <c r="H1003" i="7"/>
  <c r="G1003" i="7"/>
  <c r="F1003" i="7"/>
  <c r="E1003" i="7"/>
  <c r="B1007" i="7"/>
  <c r="B1008" i="7"/>
  <c r="D1008" i="7"/>
  <c r="D1007" i="7"/>
  <c r="AE673" i="7"/>
  <c r="AB673" i="7"/>
  <c r="AA673" i="7"/>
  <c r="Z673" i="7"/>
  <c r="Y673" i="7"/>
  <c r="X673" i="7"/>
  <c r="W673" i="7"/>
  <c r="V673" i="7"/>
  <c r="U673" i="7"/>
  <c r="T673" i="7"/>
  <c r="S673" i="7"/>
  <c r="R673" i="7"/>
  <c r="Q673" i="7"/>
  <c r="P673" i="7"/>
  <c r="O673" i="7"/>
  <c r="M673" i="7"/>
  <c r="K673" i="7"/>
  <c r="J673" i="7"/>
  <c r="I673" i="7"/>
  <c r="H673" i="7"/>
  <c r="G673" i="7"/>
  <c r="F673" i="7"/>
  <c r="E673" i="7"/>
  <c r="B715" i="7"/>
  <c r="B716" i="7"/>
  <c r="D716" i="7"/>
  <c r="D715" i="7"/>
  <c r="B839" i="7"/>
  <c r="D839" i="7"/>
  <c r="D840" i="7"/>
  <c r="B840" i="7"/>
  <c r="B982" i="7"/>
  <c r="D982" i="7"/>
  <c r="B976" i="7"/>
  <c r="AC976" i="7"/>
  <c r="D976" i="7" s="1"/>
  <c r="B632" i="7"/>
  <c r="B633" i="7"/>
  <c r="B634" i="7"/>
  <c r="B635" i="7"/>
  <c r="B636" i="7"/>
  <c r="B637" i="7"/>
  <c r="B638" i="7"/>
  <c r="B639" i="7"/>
  <c r="B640" i="7"/>
  <c r="B641" i="7"/>
  <c r="D641" i="7"/>
  <c r="D640" i="7"/>
  <c r="D639" i="7"/>
  <c r="D638" i="7"/>
  <c r="D636" i="7"/>
  <c r="D635" i="7"/>
  <c r="D634" i="7"/>
  <c r="D633" i="7"/>
  <c r="D632" i="7"/>
  <c r="B966" i="7"/>
  <c r="D966" i="7"/>
  <c r="AE965" i="7"/>
  <c r="AB965" i="7"/>
  <c r="AA965" i="7"/>
  <c r="Z965" i="7"/>
  <c r="Y965" i="7"/>
  <c r="X965" i="7"/>
  <c r="W965" i="7"/>
  <c r="V965" i="7"/>
  <c r="U965" i="7"/>
  <c r="T965" i="7"/>
  <c r="S965" i="7"/>
  <c r="R965" i="7"/>
  <c r="Q965" i="7"/>
  <c r="P965" i="7"/>
  <c r="O965" i="7"/>
  <c r="N965" i="7"/>
  <c r="M965" i="7"/>
  <c r="L965" i="7"/>
  <c r="K965" i="7"/>
  <c r="J965" i="7"/>
  <c r="I965" i="7"/>
  <c r="H965" i="7"/>
  <c r="G965" i="7"/>
  <c r="F965" i="7"/>
  <c r="E965" i="7"/>
  <c r="D631" i="7"/>
  <c r="B981" i="7"/>
  <c r="D981" i="7"/>
  <c r="D953" i="7" l="1"/>
  <c r="AC952" i="7"/>
  <c r="D990" i="7"/>
  <c r="D637" i="7"/>
  <c r="D965" i="7"/>
  <c r="AC965" i="7"/>
  <c r="D952" i="7" l="1"/>
  <c r="D1313" i="7"/>
  <c r="AE1312" i="7"/>
  <c r="AD1312" i="7"/>
  <c r="AB1312" i="7"/>
  <c r="AA1312" i="7"/>
  <c r="Z1312" i="7"/>
  <c r="Y1312" i="7"/>
  <c r="X1312" i="7"/>
  <c r="W1312" i="7"/>
  <c r="V1312" i="7"/>
  <c r="U1312" i="7"/>
  <c r="T1312" i="7"/>
  <c r="S1312" i="7"/>
  <c r="R1312" i="7"/>
  <c r="Q1312" i="7"/>
  <c r="P1312" i="7"/>
  <c r="O1312" i="7"/>
  <c r="N1312" i="7"/>
  <c r="M1312" i="7"/>
  <c r="L1312" i="7"/>
  <c r="K1312" i="7"/>
  <c r="J1312" i="7"/>
  <c r="I1312" i="7"/>
  <c r="H1312" i="7"/>
  <c r="G1312" i="7"/>
  <c r="F1312" i="7"/>
  <c r="E1312" i="7"/>
  <c r="AE1277" i="7"/>
  <c r="AD1277" i="7"/>
  <c r="AB1277" i="7"/>
  <c r="AA1277" i="7"/>
  <c r="Z1277" i="7"/>
  <c r="Y1277" i="7"/>
  <c r="X1277" i="7"/>
  <c r="W1277" i="7"/>
  <c r="V1277" i="7"/>
  <c r="U1277" i="7"/>
  <c r="T1277" i="7"/>
  <c r="S1277" i="7"/>
  <c r="R1277" i="7"/>
  <c r="Q1277" i="7"/>
  <c r="P1277" i="7"/>
  <c r="O1277" i="7"/>
  <c r="N1277" i="7"/>
  <c r="M1277" i="7"/>
  <c r="L1277" i="7"/>
  <c r="K1277" i="7"/>
  <c r="J1277" i="7"/>
  <c r="I1277" i="7"/>
  <c r="H1277" i="7"/>
  <c r="G1277" i="7"/>
  <c r="F1277" i="7"/>
  <c r="E1277" i="7"/>
  <c r="D1279" i="7"/>
  <c r="N1314" i="7"/>
  <c r="AE1314" i="7"/>
  <c r="AD1314" i="7"/>
  <c r="AB1314" i="7"/>
  <c r="AA1314" i="7"/>
  <c r="Z1314" i="7"/>
  <c r="Y1314" i="7"/>
  <c r="X1314" i="7"/>
  <c r="W1314" i="7"/>
  <c r="V1314" i="7"/>
  <c r="U1314" i="7"/>
  <c r="T1314" i="7"/>
  <c r="S1314" i="7"/>
  <c r="R1314" i="7"/>
  <c r="Q1314" i="7"/>
  <c r="P1314" i="7"/>
  <c r="O1314" i="7"/>
  <c r="M1314" i="7"/>
  <c r="L1314" i="7"/>
  <c r="K1314" i="7"/>
  <c r="J1314" i="7"/>
  <c r="I1314" i="7"/>
  <c r="H1314" i="7"/>
  <c r="G1314" i="7"/>
  <c r="F1314" i="7"/>
  <c r="E1314" i="7"/>
  <c r="AE1454" i="7"/>
  <c r="AD1454" i="7"/>
  <c r="AB1454" i="7"/>
  <c r="AA1454" i="7"/>
  <c r="Z1454" i="7"/>
  <c r="Y1454" i="7"/>
  <c r="X1454" i="7"/>
  <c r="W1454" i="7"/>
  <c r="V1454" i="7"/>
  <c r="U1454" i="7"/>
  <c r="T1454" i="7"/>
  <c r="S1454" i="7"/>
  <c r="R1454" i="7"/>
  <c r="Q1454" i="7"/>
  <c r="P1454" i="7"/>
  <c r="O1454" i="7"/>
  <c r="M1454" i="7"/>
  <c r="L1454" i="7"/>
  <c r="K1454" i="7"/>
  <c r="J1454" i="7"/>
  <c r="I1454" i="7"/>
  <c r="H1454" i="7"/>
  <c r="G1454" i="7"/>
  <c r="F1454" i="7"/>
  <c r="E1454" i="7"/>
  <c r="D1459" i="7"/>
  <c r="D1458" i="7"/>
  <c r="AE1411" i="7"/>
  <c r="AD1411" i="7"/>
  <c r="AB1411" i="7"/>
  <c r="AA1411" i="7"/>
  <c r="Z1411" i="7"/>
  <c r="Y1411" i="7"/>
  <c r="X1411" i="7"/>
  <c r="W1411" i="7"/>
  <c r="V1411" i="7"/>
  <c r="U1411" i="7"/>
  <c r="T1411" i="7"/>
  <c r="S1411" i="7"/>
  <c r="R1411" i="7"/>
  <c r="Q1411" i="7"/>
  <c r="P1411" i="7"/>
  <c r="O1411" i="7"/>
  <c r="M1411" i="7"/>
  <c r="L1411" i="7"/>
  <c r="K1411" i="7"/>
  <c r="J1411" i="7"/>
  <c r="I1411" i="7"/>
  <c r="H1411" i="7"/>
  <c r="G1411" i="7"/>
  <c r="F1411" i="7"/>
  <c r="E1411" i="7"/>
  <c r="N1411" i="7"/>
  <c r="D1407" i="7"/>
  <c r="D1172" i="7"/>
  <c r="D1171" i="7"/>
  <c r="D1169" i="7"/>
  <c r="D1168" i="7"/>
  <c r="D1167" i="7"/>
  <c r="D1166" i="7"/>
  <c r="D1164" i="7"/>
  <c r="D1163" i="7"/>
  <c r="D1162" i="7"/>
  <c r="D1161" i="7"/>
  <c r="D1160" i="7"/>
  <c r="D1159" i="7"/>
  <c r="D1158" i="7"/>
  <c r="D1157" i="7"/>
  <c r="D1156" i="7"/>
  <c r="D1384" i="7"/>
  <c r="D1195" i="7"/>
  <c r="D1194" i="7"/>
  <c r="D1193" i="7"/>
  <c r="D1192" i="7"/>
  <c r="D1191" i="7"/>
  <c r="AE1327" i="7"/>
  <c r="AD1327" i="7"/>
  <c r="AB1327" i="7"/>
  <c r="AA1327" i="7"/>
  <c r="Z1327" i="7"/>
  <c r="Y1327" i="7"/>
  <c r="X1327" i="7"/>
  <c r="W1327" i="7"/>
  <c r="V1327" i="7"/>
  <c r="U1327" i="7"/>
  <c r="T1327" i="7"/>
  <c r="S1327" i="7"/>
  <c r="R1327" i="7"/>
  <c r="Q1327" i="7"/>
  <c r="P1327" i="7"/>
  <c r="O1327" i="7"/>
  <c r="N1327" i="7"/>
  <c r="M1327" i="7"/>
  <c r="L1327" i="7"/>
  <c r="K1327" i="7"/>
  <c r="J1327" i="7"/>
  <c r="I1327" i="7"/>
  <c r="H1327" i="7"/>
  <c r="G1327" i="7"/>
  <c r="F1327" i="7"/>
  <c r="E1327" i="7"/>
  <c r="D1330" i="7"/>
  <c r="D1329" i="7"/>
  <c r="D1128" i="7"/>
  <c r="D1126" i="7"/>
  <c r="D1073" i="7"/>
  <c r="D1074" i="7"/>
  <c r="D1075" i="7"/>
  <c r="D1077" i="7"/>
  <c r="D1078" i="7"/>
  <c r="D1080" i="7"/>
  <c r="D1081" i="7"/>
  <c r="D1076" i="7"/>
  <c r="D1262" i="7"/>
  <c r="D1079" i="7" l="1"/>
  <c r="D1082" i="7"/>
  <c r="AC1312" i="7"/>
  <c r="D1312" i="7"/>
  <c r="AC1314" i="7"/>
  <c r="D1370" i="7"/>
  <c r="D1369" i="7" s="1"/>
  <c r="D1423" i="7"/>
  <c r="D1155" i="7"/>
  <c r="D1170" i="7"/>
  <c r="D1165" i="7"/>
  <c r="D1361" i="7"/>
  <c r="D1127" i="7"/>
  <c r="D1315" i="7" l="1"/>
  <c r="B84" i="8"/>
  <c r="F84" i="8"/>
  <c r="F83" i="8" s="1"/>
  <c r="AG83" i="8"/>
  <c r="AF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E83" i="8"/>
  <c r="AG80" i="8"/>
  <c r="AF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B82" i="8"/>
  <c r="F82" i="8"/>
  <c r="D1314" i="7" l="1"/>
  <c r="AE83" i="8"/>
  <c r="K89" i="13"/>
  <c r="K88" i="13" s="1"/>
  <c r="L88" i="13"/>
  <c r="J88" i="13"/>
  <c r="I88" i="13"/>
  <c r="P88" i="13" s="1"/>
  <c r="E36" i="10"/>
  <c r="B90" i="8"/>
  <c r="F90" i="8"/>
  <c r="F89" i="8" s="1"/>
  <c r="AG89" i="8"/>
  <c r="AF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E89" i="8"/>
  <c r="AE89" i="8" l="1"/>
  <c r="L72" i="13" l="1"/>
  <c r="J72" i="13"/>
  <c r="I72" i="13"/>
  <c r="P72" i="13" s="1"/>
  <c r="K80" i="13"/>
  <c r="K79" i="13" s="1"/>
  <c r="K87" i="13"/>
  <c r="K86" i="13" s="1"/>
  <c r="L86" i="13"/>
  <c r="J86" i="13"/>
  <c r="I86" i="13"/>
  <c r="P86" i="13" s="1"/>
  <c r="K85" i="13"/>
  <c r="K84" i="13" s="1"/>
  <c r="L84" i="13"/>
  <c r="J84" i="13"/>
  <c r="I84" i="13"/>
  <c r="P84" i="13" s="1"/>
  <c r="AE1446" i="7"/>
  <c r="AD1446" i="7"/>
  <c r="AB1446" i="7"/>
  <c r="AA1446" i="7"/>
  <c r="Z1446" i="7"/>
  <c r="Y1446" i="7"/>
  <c r="X1446" i="7"/>
  <c r="W1446" i="7"/>
  <c r="V1446" i="7"/>
  <c r="U1446" i="7"/>
  <c r="T1446" i="7"/>
  <c r="S1446" i="7"/>
  <c r="R1446" i="7"/>
  <c r="Q1446" i="7"/>
  <c r="P1446" i="7"/>
  <c r="O1446" i="7"/>
  <c r="M1446" i="7"/>
  <c r="L1446" i="7"/>
  <c r="K1446" i="7"/>
  <c r="J1446" i="7"/>
  <c r="I1446" i="7"/>
  <c r="H1446" i="7"/>
  <c r="G1446" i="7"/>
  <c r="F1446" i="7"/>
  <c r="E1446" i="7"/>
  <c r="D1449" i="7"/>
  <c r="AE1415" i="7"/>
  <c r="AD1415" i="7"/>
  <c r="AB1415" i="7"/>
  <c r="AA1415" i="7"/>
  <c r="Z1415" i="7"/>
  <c r="Y1415" i="7"/>
  <c r="X1415" i="7"/>
  <c r="W1415" i="7"/>
  <c r="V1415" i="7"/>
  <c r="U1415" i="7"/>
  <c r="T1415" i="7"/>
  <c r="S1415" i="7"/>
  <c r="Q1415" i="7"/>
  <c r="P1415" i="7"/>
  <c r="O1415" i="7"/>
  <c r="M1415" i="7"/>
  <c r="L1415" i="7"/>
  <c r="K1415" i="7"/>
  <c r="J1415" i="7"/>
  <c r="I1415" i="7"/>
  <c r="H1415" i="7"/>
  <c r="G1415" i="7"/>
  <c r="F1415" i="7"/>
  <c r="E1415" i="7"/>
  <c r="D1430" i="7"/>
  <c r="D1348" i="7"/>
  <c r="D1347" i="7"/>
  <c r="D1220" i="7"/>
  <c r="D1221" i="7"/>
  <c r="B663" i="7"/>
  <c r="B664" i="7"/>
  <c r="B665" i="7"/>
  <c r="B666" i="7"/>
  <c r="AC1414" i="7" l="1"/>
  <c r="AC1413" i="7" s="1"/>
  <c r="D1422" i="7"/>
  <c r="D1429" i="7"/>
  <c r="N1428" i="7"/>
  <c r="J78" i="13"/>
  <c r="L78" i="13"/>
  <c r="I78" i="13"/>
  <c r="P78" i="13" s="1"/>
  <c r="K78" i="13"/>
  <c r="D1083" i="7"/>
  <c r="D1418" i="7"/>
  <c r="D1349" i="7"/>
  <c r="D1414" i="7" l="1"/>
  <c r="D1413" i="7" l="1"/>
  <c r="D1087" i="7"/>
  <c r="D1097" i="7"/>
  <c r="D1098" i="7"/>
  <c r="D1096" i="7"/>
  <c r="D1091" i="7"/>
  <c r="D1090" i="7"/>
  <c r="D1089" i="7"/>
  <c r="D1088" i="7"/>
  <c r="D1086" i="7"/>
  <c r="D1085" i="7"/>
  <c r="D1084" i="7"/>
  <c r="R1301" i="7"/>
  <c r="D1398" i="7"/>
  <c r="N1274" i="7"/>
  <c r="N1270" i="7"/>
  <c r="D1263" i="7"/>
  <c r="D1261" i="7"/>
  <c r="D1255" i="7"/>
  <c r="D1254" i="7"/>
  <c r="D1239" i="7"/>
  <c r="AE1431" i="7"/>
  <c r="AD1431" i="7"/>
  <c r="AB1431" i="7"/>
  <c r="AA1431" i="7"/>
  <c r="Z1431" i="7"/>
  <c r="Y1431" i="7"/>
  <c r="X1431" i="7"/>
  <c r="W1431" i="7"/>
  <c r="V1431" i="7"/>
  <c r="U1431" i="7"/>
  <c r="T1431" i="7"/>
  <c r="S1431" i="7"/>
  <c r="R1431" i="7"/>
  <c r="Q1431" i="7"/>
  <c r="P1431" i="7"/>
  <c r="O1431" i="7"/>
  <c r="M1431" i="7"/>
  <c r="L1431" i="7"/>
  <c r="K1431" i="7"/>
  <c r="J1431" i="7"/>
  <c r="I1431" i="7"/>
  <c r="H1431" i="7"/>
  <c r="G1431" i="7"/>
  <c r="F1431" i="7"/>
  <c r="E1431" i="7"/>
  <c r="B825" i="7"/>
  <c r="D825" i="7"/>
  <c r="D826" i="7"/>
  <c r="B826" i="7"/>
  <c r="B627" i="7"/>
  <c r="B628" i="7"/>
  <c r="AE1301" i="7"/>
  <c r="AD1301" i="7"/>
  <c r="AB1301" i="7"/>
  <c r="AA1301" i="7"/>
  <c r="Z1301" i="7"/>
  <c r="Y1301" i="7"/>
  <c r="X1301" i="7"/>
  <c r="W1301" i="7"/>
  <c r="V1301" i="7"/>
  <c r="U1301" i="7"/>
  <c r="T1301" i="7"/>
  <c r="S1301" i="7"/>
  <c r="Q1301" i="7"/>
  <c r="P1301" i="7"/>
  <c r="O1301" i="7"/>
  <c r="M1301" i="7"/>
  <c r="L1301" i="7"/>
  <c r="K1301" i="7"/>
  <c r="J1301" i="7"/>
  <c r="I1301" i="7"/>
  <c r="H1301" i="7"/>
  <c r="G1301" i="7"/>
  <c r="F1301" i="7"/>
  <c r="E1301" i="7"/>
  <c r="D1306" i="7"/>
  <c r="D1309" i="7"/>
  <c r="AE1308" i="7"/>
  <c r="AD1308" i="7"/>
  <c r="AB1308" i="7"/>
  <c r="AA1308" i="7"/>
  <c r="Z1308" i="7"/>
  <c r="Y1308" i="7"/>
  <c r="X1308" i="7"/>
  <c r="W1308" i="7"/>
  <c r="V1308" i="7"/>
  <c r="U1308" i="7"/>
  <c r="T1308" i="7"/>
  <c r="S1308" i="7"/>
  <c r="R1308" i="7"/>
  <c r="Q1308" i="7"/>
  <c r="P1308" i="7"/>
  <c r="O1308" i="7"/>
  <c r="N1308" i="7"/>
  <c r="M1308" i="7"/>
  <c r="L1308" i="7"/>
  <c r="K1308" i="7"/>
  <c r="J1308" i="7"/>
  <c r="I1308" i="7"/>
  <c r="H1308" i="7"/>
  <c r="G1308" i="7"/>
  <c r="F1308" i="7"/>
  <c r="E1308" i="7"/>
  <c r="AE1460" i="7"/>
  <c r="AD1460" i="7"/>
  <c r="AB1460" i="7"/>
  <c r="AA1460" i="7"/>
  <c r="Z1460" i="7"/>
  <c r="Y1460" i="7"/>
  <c r="X1460" i="7"/>
  <c r="W1460" i="7"/>
  <c r="V1460" i="7"/>
  <c r="U1460" i="7"/>
  <c r="T1460" i="7"/>
  <c r="S1460" i="7"/>
  <c r="R1460" i="7"/>
  <c r="Q1460" i="7"/>
  <c r="P1460" i="7"/>
  <c r="O1460" i="7"/>
  <c r="M1460" i="7"/>
  <c r="L1460" i="7"/>
  <c r="K1460" i="7"/>
  <c r="J1460" i="7"/>
  <c r="I1460" i="7"/>
  <c r="H1460" i="7"/>
  <c r="G1460" i="7"/>
  <c r="F1460" i="7"/>
  <c r="E1460" i="7"/>
  <c r="D1462" i="7"/>
  <c r="AE1403" i="7"/>
  <c r="AD1403" i="7"/>
  <c r="AB1403" i="7"/>
  <c r="AA1403" i="7"/>
  <c r="Z1403" i="7"/>
  <c r="Y1403" i="7"/>
  <c r="X1403" i="7"/>
  <c r="W1403" i="7"/>
  <c r="V1403" i="7"/>
  <c r="U1403" i="7"/>
  <c r="T1403" i="7"/>
  <c r="S1403" i="7"/>
  <c r="R1403" i="7"/>
  <c r="Q1403" i="7"/>
  <c r="P1403" i="7"/>
  <c r="O1403" i="7"/>
  <c r="M1403" i="7"/>
  <c r="L1403" i="7"/>
  <c r="K1403" i="7"/>
  <c r="J1403" i="7"/>
  <c r="I1403" i="7"/>
  <c r="H1403" i="7"/>
  <c r="G1403" i="7"/>
  <c r="F1403" i="7"/>
  <c r="E1403" i="7"/>
  <c r="AE1396" i="7"/>
  <c r="AD1396" i="7"/>
  <c r="AB1396" i="7"/>
  <c r="AA1396" i="7"/>
  <c r="Z1396" i="7"/>
  <c r="Y1396" i="7"/>
  <c r="X1396" i="7"/>
  <c r="W1396" i="7"/>
  <c r="V1396" i="7"/>
  <c r="U1396" i="7"/>
  <c r="T1396" i="7"/>
  <c r="S1396" i="7"/>
  <c r="R1396" i="7"/>
  <c r="Q1396" i="7"/>
  <c r="P1396" i="7"/>
  <c r="O1396" i="7"/>
  <c r="M1396" i="7"/>
  <c r="L1396" i="7"/>
  <c r="K1396" i="7"/>
  <c r="J1396" i="7"/>
  <c r="I1396" i="7"/>
  <c r="H1396" i="7"/>
  <c r="G1396" i="7"/>
  <c r="F1396" i="7"/>
  <c r="E1396" i="7"/>
  <c r="AE1401" i="7"/>
  <c r="AD1401" i="7"/>
  <c r="AB1401" i="7"/>
  <c r="AA1401" i="7"/>
  <c r="Z1401" i="7"/>
  <c r="Y1401" i="7"/>
  <c r="X1401" i="7"/>
  <c r="W1401" i="7"/>
  <c r="V1401" i="7"/>
  <c r="U1401" i="7"/>
  <c r="T1401" i="7"/>
  <c r="S1401" i="7"/>
  <c r="R1401" i="7"/>
  <c r="Q1401" i="7"/>
  <c r="P1401" i="7"/>
  <c r="O1401" i="7"/>
  <c r="M1401" i="7"/>
  <c r="L1401" i="7"/>
  <c r="K1401" i="7"/>
  <c r="J1401" i="7"/>
  <c r="I1401" i="7"/>
  <c r="H1401" i="7"/>
  <c r="G1401" i="7"/>
  <c r="F1401" i="7"/>
  <c r="E1401" i="7"/>
  <c r="AE1274" i="7"/>
  <c r="AD1274" i="7"/>
  <c r="AB1274" i="7"/>
  <c r="AA1274" i="7"/>
  <c r="Z1274" i="7"/>
  <c r="Y1274" i="7"/>
  <c r="X1274" i="7"/>
  <c r="W1274" i="7"/>
  <c r="V1274" i="7"/>
  <c r="U1274" i="7"/>
  <c r="T1274" i="7"/>
  <c r="S1274" i="7"/>
  <c r="R1274" i="7"/>
  <c r="Q1274" i="7"/>
  <c r="P1274" i="7"/>
  <c r="O1274" i="7"/>
  <c r="M1274" i="7"/>
  <c r="L1274" i="7"/>
  <c r="K1274" i="7"/>
  <c r="J1274" i="7"/>
  <c r="I1274" i="7"/>
  <c r="H1274" i="7"/>
  <c r="G1274" i="7"/>
  <c r="F1274" i="7"/>
  <c r="E1274" i="7"/>
  <c r="AE1270" i="7"/>
  <c r="AD1270" i="7"/>
  <c r="AB1270" i="7"/>
  <c r="AA1270" i="7"/>
  <c r="Z1270" i="7"/>
  <c r="Y1270" i="7"/>
  <c r="X1270" i="7"/>
  <c r="W1270" i="7"/>
  <c r="V1270" i="7"/>
  <c r="U1270" i="7"/>
  <c r="T1270" i="7"/>
  <c r="S1270" i="7"/>
  <c r="R1270" i="7"/>
  <c r="Q1270" i="7"/>
  <c r="P1270" i="7"/>
  <c r="O1270" i="7"/>
  <c r="M1270" i="7"/>
  <c r="L1270" i="7"/>
  <c r="K1270" i="7"/>
  <c r="J1270" i="7"/>
  <c r="I1270" i="7"/>
  <c r="H1270" i="7"/>
  <c r="G1270" i="7"/>
  <c r="F1270" i="7"/>
  <c r="E1270" i="7"/>
  <c r="AE1331" i="7"/>
  <c r="AD1331" i="7"/>
  <c r="AB1331" i="7"/>
  <c r="AA1331" i="7"/>
  <c r="Z1331" i="7"/>
  <c r="Y1331" i="7"/>
  <c r="X1331" i="7"/>
  <c r="W1331" i="7"/>
  <c r="V1331" i="7"/>
  <c r="U1331" i="7"/>
  <c r="T1331" i="7"/>
  <c r="S1331" i="7"/>
  <c r="R1331" i="7"/>
  <c r="Q1331" i="7"/>
  <c r="P1331" i="7"/>
  <c r="O1331" i="7"/>
  <c r="N1331" i="7"/>
  <c r="M1331" i="7"/>
  <c r="L1331" i="7"/>
  <c r="K1331" i="7"/>
  <c r="J1331" i="7"/>
  <c r="I1331" i="7"/>
  <c r="H1331" i="7"/>
  <c r="G1331" i="7"/>
  <c r="F1331" i="7"/>
  <c r="E1331" i="7"/>
  <c r="D1333" i="7"/>
  <c r="AC1327" i="7"/>
  <c r="AE1324" i="7"/>
  <c r="AD1324" i="7"/>
  <c r="AB1324" i="7"/>
  <c r="AA1324" i="7"/>
  <c r="Z1324" i="7"/>
  <c r="Y1324" i="7"/>
  <c r="X1324" i="7"/>
  <c r="W1324" i="7"/>
  <c r="V1324" i="7"/>
  <c r="U1324" i="7"/>
  <c r="T1324" i="7"/>
  <c r="S1324" i="7"/>
  <c r="R1324" i="7"/>
  <c r="Q1324" i="7"/>
  <c r="P1324" i="7"/>
  <c r="O1324" i="7"/>
  <c r="N1324" i="7"/>
  <c r="M1324" i="7"/>
  <c r="L1324" i="7"/>
  <c r="K1324" i="7"/>
  <c r="J1324" i="7"/>
  <c r="I1324" i="7"/>
  <c r="H1324" i="7"/>
  <c r="G1324" i="7"/>
  <c r="F1324" i="7"/>
  <c r="E1324" i="7"/>
  <c r="D1326" i="7"/>
  <c r="AE1319" i="7"/>
  <c r="AD1319" i="7"/>
  <c r="AB1319" i="7"/>
  <c r="AA1319" i="7"/>
  <c r="Z1319" i="7"/>
  <c r="Y1319" i="7"/>
  <c r="X1319" i="7"/>
  <c r="W1319" i="7"/>
  <c r="V1319" i="7"/>
  <c r="U1319" i="7"/>
  <c r="T1319" i="7"/>
  <c r="S1319" i="7"/>
  <c r="R1319" i="7"/>
  <c r="Q1319" i="7"/>
  <c r="P1319" i="7"/>
  <c r="O1319" i="7"/>
  <c r="N1319" i="7"/>
  <c r="M1319" i="7"/>
  <c r="L1319" i="7"/>
  <c r="K1319" i="7"/>
  <c r="J1319" i="7"/>
  <c r="I1319" i="7"/>
  <c r="H1319" i="7"/>
  <c r="G1319" i="7"/>
  <c r="F1319" i="7"/>
  <c r="E1319" i="7"/>
  <c r="D1321" i="7"/>
  <c r="D1151" i="7"/>
  <c r="D1154" i="7"/>
  <c r="D1153" i="7"/>
  <c r="AC1374" i="7"/>
  <c r="D1297" i="7"/>
  <c r="D1298" i="7"/>
  <c r="D1426" i="7"/>
  <c r="D1072" i="7"/>
  <c r="N1460" i="7"/>
  <c r="AE1264" i="7"/>
  <c r="AD1264" i="7"/>
  <c r="AB1264" i="7"/>
  <c r="AA1264" i="7"/>
  <c r="Z1264" i="7"/>
  <c r="Y1264" i="7"/>
  <c r="X1264" i="7"/>
  <c r="W1264" i="7"/>
  <c r="V1264" i="7"/>
  <c r="U1264" i="7"/>
  <c r="T1264" i="7"/>
  <c r="S1264" i="7"/>
  <c r="R1264" i="7"/>
  <c r="Q1264" i="7"/>
  <c r="P1264" i="7"/>
  <c r="O1264" i="7"/>
  <c r="M1264" i="7"/>
  <c r="L1264" i="7"/>
  <c r="K1264" i="7"/>
  <c r="J1264" i="7"/>
  <c r="I1264" i="7"/>
  <c r="H1264" i="7"/>
  <c r="F1264" i="7"/>
  <c r="E1264" i="7"/>
  <c r="D1266" i="7"/>
  <c r="D1267" i="7"/>
  <c r="D1246" i="7"/>
  <c r="D1245" i="7"/>
  <c r="D1240" i="7"/>
  <c r="D1219" i="7"/>
  <c r="D1222" i="7"/>
  <c r="D1189" i="7"/>
  <c r="D1197" i="7"/>
  <c r="D1196" i="7"/>
  <c r="B86" i="8"/>
  <c r="F86" i="8"/>
  <c r="F85" i="8" s="1"/>
  <c r="AG85" i="8"/>
  <c r="AF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E85" i="8"/>
  <c r="B88" i="8"/>
  <c r="B81" i="8"/>
  <c r="E80" i="8"/>
  <c r="B774" i="7"/>
  <c r="D774" i="7"/>
  <c r="D1218" i="7" l="1"/>
  <c r="D1385" i="7"/>
  <c r="D1253" i="7"/>
  <c r="D1299" i="7"/>
  <c r="F81" i="8"/>
  <c r="F80" i="8" s="1"/>
  <c r="AE80" i="8"/>
  <c r="AC1308" i="7"/>
  <c r="D628" i="7"/>
  <c r="D1303" i="7"/>
  <c r="D1308" i="7"/>
  <c r="D1402" i="7"/>
  <c r="D1409" i="7"/>
  <c r="D1408" i="7" s="1"/>
  <c r="D1276" i="7"/>
  <c r="D1273" i="7"/>
  <c r="D1328" i="7"/>
  <c r="D1327" i="7" s="1"/>
  <c r="D1374" i="7"/>
  <c r="D1300" i="7"/>
  <c r="D1427" i="7"/>
  <c r="AC1460" i="7"/>
  <c r="D1346" i="7"/>
  <c r="N1264" i="7"/>
  <c r="D1351" i="7"/>
  <c r="G1264" i="7"/>
  <c r="D1260" i="7"/>
  <c r="AE85" i="8"/>
  <c r="D1391" i="7" l="1"/>
  <c r="AC1390" i="7"/>
  <c r="D1461" i="7"/>
  <c r="D1460" i="7" s="1"/>
  <c r="D1390" i="7" l="1"/>
  <c r="D1444" i="7" l="1"/>
  <c r="AC1433" i="7"/>
  <c r="N1401" i="7"/>
  <c r="AE1382" i="7"/>
  <c r="AD1382" i="7"/>
  <c r="AB1382" i="7"/>
  <c r="AA1382" i="7"/>
  <c r="Z1382" i="7"/>
  <c r="Y1382" i="7"/>
  <c r="X1382" i="7"/>
  <c r="W1382" i="7"/>
  <c r="V1382" i="7"/>
  <c r="U1382" i="7"/>
  <c r="T1382" i="7"/>
  <c r="S1382" i="7"/>
  <c r="R1382" i="7"/>
  <c r="Q1382" i="7"/>
  <c r="P1382" i="7"/>
  <c r="O1382" i="7"/>
  <c r="M1382" i="7"/>
  <c r="L1382" i="7"/>
  <c r="K1382" i="7"/>
  <c r="J1382" i="7"/>
  <c r="I1382" i="7"/>
  <c r="H1382" i="7"/>
  <c r="G1382" i="7"/>
  <c r="F1382" i="7"/>
  <c r="E1382" i="7"/>
  <c r="D1238" i="7"/>
  <c r="D1433" i="7" l="1"/>
  <c r="AC1401" i="7"/>
  <c r="D1125" i="7"/>
  <c r="D1401" i="7" l="1"/>
  <c r="L208" i="13" l="1"/>
  <c r="K208" i="13"/>
  <c r="J208" i="13"/>
  <c r="I208" i="13"/>
  <c r="P208" i="13" s="1"/>
  <c r="F210" i="8"/>
  <c r="F209" i="8" s="1"/>
  <c r="B210" i="8"/>
  <c r="AG209" i="8"/>
  <c r="AF209" i="8"/>
  <c r="AD209" i="8"/>
  <c r="AC209" i="8"/>
  <c r="AB209" i="8"/>
  <c r="AA209" i="8"/>
  <c r="Z209" i="8"/>
  <c r="Y209" i="8"/>
  <c r="X209" i="8"/>
  <c r="W209" i="8"/>
  <c r="V209" i="8"/>
  <c r="U209" i="8"/>
  <c r="T209" i="8"/>
  <c r="S209" i="8"/>
  <c r="R209" i="8"/>
  <c r="Q209" i="8"/>
  <c r="P209" i="8"/>
  <c r="O209" i="8"/>
  <c r="N209" i="8"/>
  <c r="M209" i="8"/>
  <c r="L209" i="8"/>
  <c r="K209" i="8"/>
  <c r="J209" i="8"/>
  <c r="I209" i="8"/>
  <c r="H209" i="8"/>
  <c r="G209" i="8"/>
  <c r="E209" i="8"/>
  <c r="AE209" i="8" l="1"/>
  <c r="D1149" i="7"/>
  <c r="R1415" i="7"/>
  <c r="AC1439" i="7"/>
  <c r="AC1437" i="7"/>
  <c r="AC1432" i="7"/>
  <c r="N1415" i="7"/>
  <c r="N1396" i="7"/>
  <c r="N1382" i="7"/>
  <c r="AC1379" i="7"/>
  <c r="AC1371" i="7"/>
  <c r="AC1318" i="7"/>
  <c r="AC1317" i="7"/>
  <c r="AC1311" i="7"/>
  <c r="AC1302" i="7"/>
  <c r="N1301" i="7" l="1"/>
  <c r="N1431" i="7"/>
  <c r="AC1441" i="7"/>
  <c r="N1446" i="7"/>
  <c r="N1454" i="7"/>
  <c r="N1403" i="7"/>
  <c r="D1148" i="7"/>
  <c r="L673" i="7" l="1"/>
  <c r="N1003" i="7"/>
  <c r="E241" i="5" l="1"/>
  <c r="D1595" i="7" l="1"/>
  <c r="D1594" i="7"/>
  <c r="D1593" i="7"/>
  <c r="AE1592" i="7"/>
  <c r="AD1592" i="7"/>
  <c r="AB1592" i="7"/>
  <c r="AA1592" i="7"/>
  <c r="Z1592" i="7"/>
  <c r="Y1592" i="7"/>
  <c r="X1592" i="7"/>
  <c r="W1592" i="7"/>
  <c r="V1592" i="7"/>
  <c r="U1592" i="7"/>
  <c r="T1592" i="7"/>
  <c r="S1592" i="7"/>
  <c r="R1592" i="7"/>
  <c r="Q1592" i="7"/>
  <c r="P1592" i="7"/>
  <c r="O1592" i="7"/>
  <c r="N1592" i="7"/>
  <c r="M1592" i="7"/>
  <c r="L1592" i="7"/>
  <c r="K1592" i="7"/>
  <c r="J1592" i="7"/>
  <c r="I1592" i="7"/>
  <c r="H1592" i="7"/>
  <c r="G1592" i="7"/>
  <c r="F1592" i="7"/>
  <c r="E1592" i="7"/>
  <c r="D1591" i="7"/>
  <c r="AE1590" i="7"/>
  <c r="AD1590" i="7"/>
  <c r="AB1590" i="7"/>
  <c r="AA1590" i="7"/>
  <c r="Z1590" i="7"/>
  <c r="Y1590" i="7"/>
  <c r="X1590" i="7"/>
  <c r="W1590" i="7"/>
  <c r="V1590" i="7"/>
  <c r="U1590" i="7"/>
  <c r="T1590" i="7"/>
  <c r="S1590" i="7"/>
  <c r="R1590" i="7"/>
  <c r="Q1590" i="7"/>
  <c r="P1590" i="7"/>
  <c r="O1590" i="7"/>
  <c r="N1590" i="7"/>
  <c r="M1590" i="7"/>
  <c r="L1590" i="7"/>
  <c r="K1590" i="7"/>
  <c r="J1590" i="7"/>
  <c r="I1590" i="7"/>
  <c r="H1590" i="7"/>
  <c r="G1590" i="7"/>
  <c r="F1590" i="7"/>
  <c r="E1590" i="7"/>
  <c r="D1589" i="7"/>
  <c r="AE1588" i="7"/>
  <c r="AD1588" i="7"/>
  <c r="AB1588" i="7"/>
  <c r="AA1588" i="7"/>
  <c r="Z1588" i="7"/>
  <c r="Y1588" i="7"/>
  <c r="X1588" i="7"/>
  <c r="W1588" i="7"/>
  <c r="V1588" i="7"/>
  <c r="U1588" i="7"/>
  <c r="T1588" i="7"/>
  <c r="S1588" i="7"/>
  <c r="R1588" i="7"/>
  <c r="Q1588" i="7"/>
  <c r="P1588" i="7"/>
  <c r="O1588" i="7"/>
  <c r="N1588" i="7"/>
  <c r="M1588" i="7"/>
  <c r="L1588" i="7"/>
  <c r="K1588" i="7"/>
  <c r="J1588" i="7"/>
  <c r="I1588" i="7"/>
  <c r="H1588" i="7"/>
  <c r="G1588" i="7"/>
  <c r="F1588" i="7"/>
  <c r="E1588" i="7"/>
  <c r="D1587" i="7"/>
  <c r="AE1586" i="7"/>
  <c r="AD1586" i="7"/>
  <c r="AB1586" i="7"/>
  <c r="AA1586" i="7"/>
  <c r="Z1586" i="7"/>
  <c r="Y1586" i="7"/>
  <c r="X1586" i="7"/>
  <c r="W1586" i="7"/>
  <c r="V1586" i="7"/>
  <c r="U1586" i="7"/>
  <c r="T1586" i="7"/>
  <c r="S1586" i="7"/>
  <c r="R1586" i="7"/>
  <c r="Q1586" i="7"/>
  <c r="P1586" i="7"/>
  <c r="O1586" i="7"/>
  <c r="N1586" i="7"/>
  <c r="M1586" i="7"/>
  <c r="L1586" i="7"/>
  <c r="K1586" i="7"/>
  <c r="J1586" i="7"/>
  <c r="I1586" i="7"/>
  <c r="H1586" i="7"/>
  <c r="G1586" i="7"/>
  <c r="F1586" i="7"/>
  <c r="E1586" i="7"/>
  <c r="AC1592" i="7" l="1"/>
  <c r="D1592" i="7"/>
  <c r="D1590" i="7"/>
  <c r="AC1590" i="7"/>
  <c r="D1588" i="7"/>
  <c r="AC1588" i="7"/>
  <c r="D1586" i="7"/>
  <c r="AC1586" i="7"/>
  <c r="D1051" i="7" l="1"/>
  <c r="AE1584" i="7"/>
  <c r="AD1584" i="7"/>
  <c r="AB1584" i="7"/>
  <c r="AA1584" i="7"/>
  <c r="Z1584" i="7"/>
  <c r="Y1584" i="7"/>
  <c r="X1584" i="7"/>
  <c r="W1584" i="7"/>
  <c r="V1584" i="7"/>
  <c r="U1584" i="7"/>
  <c r="T1584" i="7"/>
  <c r="S1584" i="7"/>
  <c r="R1584" i="7"/>
  <c r="Q1584" i="7"/>
  <c r="P1584" i="7"/>
  <c r="O1584" i="7"/>
  <c r="N1584" i="7"/>
  <c r="M1584" i="7"/>
  <c r="L1584" i="7"/>
  <c r="K1584" i="7"/>
  <c r="J1584" i="7"/>
  <c r="I1584" i="7"/>
  <c r="H1584" i="7"/>
  <c r="G1584" i="7"/>
  <c r="F1584" i="7"/>
  <c r="E1584" i="7"/>
  <c r="D1585" i="7"/>
  <c r="D1578" i="7"/>
  <c r="AE1577" i="7"/>
  <c r="AD1577" i="7"/>
  <c r="AC1577" i="7"/>
  <c r="AB1577" i="7"/>
  <c r="AA1577" i="7"/>
  <c r="Z1577" i="7"/>
  <c r="Y1577" i="7"/>
  <c r="X1577" i="7"/>
  <c r="W1577" i="7"/>
  <c r="V1577" i="7"/>
  <c r="U1577" i="7"/>
  <c r="T1577" i="7"/>
  <c r="S1577" i="7"/>
  <c r="R1577" i="7"/>
  <c r="Q1577" i="7"/>
  <c r="P1577" i="7"/>
  <c r="O1577" i="7"/>
  <c r="N1577" i="7"/>
  <c r="M1577" i="7"/>
  <c r="L1577" i="7"/>
  <c r="K1577" i="7"/>
  <c r="J1577" i="7"/>
  <c r="I1577" i="7"/>
  <c r="H1577" i="7"/>
  <c r="G1577" i="7"/>
  <c r="F1577" i="7"/>
  <c r="E1577" i="7"/>
  <c r="D1576" i="7"/>
  <c r="AE1575" i="7"/>
  <c r="AD1575" i="7"/>
  <c r="AC1575" i="7"/>
  <c r="AB1575" i="7"/>
  <c r="AA1575" i="7"/>
  <c r="Z1575" i="7"/>
  <c r="Y1575" i="7"/>
  <c r="X1575" i="7"/>
  <c r="W1575" i="7"/>
  <c r="V1575" i="7"/>
  <c r="U1575" i="7"/>
  <c r="T1575" i="7"/>
  <c r="S1575" i="7"/>
  <c r="R1575" i="7"/>
  <c r="Q1575" i="7"/>
  <c r="P1575" i="7"/>
  <c r="O1575" i="7"/>
  <c r="N1575" i="7"/>
  <c r="M1575" i="7"/>
  <c r="L1575" i="7"/>
  <c r="K1575" i="7"/>
  <c r="J1575" i="7"/>
  <c r="I1575" i="7"/>
  <c r="H1575" i="7"/>
  <c r="G1575" i="7"/>
  <c r="F1575" i="7"/>
  <c r="E1575" i="7"/>
  <c r="D1574" i="7"/>
  <c r="D1573" i="7"/>
  <c r="D1572" i="7"/>
  <c r="AE1571" i="7"/>
  <c r="AD1571" i="7"/>
  <c r="AC1571" i="7"/>
  <c r="AB1571" i="7"/>
  <c r="AA1571" i="7"/>
  <c r="Z1571" i="7"/>
  <c r="Y1571" i="7"/>
  <c r="X1571" i="7"/>
  <c r="W1571" i="7"/>
  <c r="V1571" i="7"/>
  <c r="U1571" i="7"/>
  <c r="T1571" i="7"/>
  <c r="S1571" i="7"/>
  <c r="R1571" i="7"/>
  <c r="Q1571" i="7"/>
  <c r="P1571" i="7"/>
  <c r="O1571" i="7"/>
  <c r="N1571" i="7"/>
  <c r="M1571" i="7"/>
  <c r="L1571" i="7"/>
  <c r="K1571" i="7"/>
  <c r="J1571" i="7"/>
  <c r="I1571" i="7"/>
  <c r="H1571" i="7"/>
  <c r="G1571" i="7"/>
  <c r="F1571" i="7"/>
  <c r="E1571" i="7"/>
  <c r="AC1584" i="7" l="1"/>
  <c r="D1584" i="7"/>
  <c r="G1570" i="7"/>
  <c r="K1570" i="7"/>
  <c r="O1570" i="7"/>
  <c r="S1570" i="7"/>
  <c r="W1570" i="7"/>
  <c r="AA1570" i="7"/>
  <c r="AE1570" i="7"/>
  <c r="D1571" i="7"/>
  <c r="L1570" i="7"/>
  <c r="P1570" i="7"/>
  <c r="X1570" i="7"/>
  <c r="AB1570" i="7"/>
  <c r="D1577" i="7"/>
  <c r="H1570" i="7"/>
  <c r="T1570" i="7"/>
  <c r="E1570" i="7"/>
  <c r="I1570" i="7"/>
  <c r="M1570" i="7"/>
  <c r="Q1570" i="7"/>
  <c r="U1570" i="7"/>
  <c r="Y1570" i="7"/>
  <c r="AC1570" i="7"/>
  <c r="F1570" i="7"/>
  <c r="J1570" i="7"/>
  <c r="N1570" i="7"/>
  <c r="R1570" i="7"/>
  <c r="V1570" i="7"/>
  <c r="Z1570" i="7"/>
  <c r="AD1570" i="7"/>
  <c r="D1575" i="7"/>
  <c r="D1570" i="7" l="1"/>
  <c r="C19" i="14" l="1"/>
  <c r="C23" i="14" s="1"/>
  <c r="D786" i="7" l="1"/>
  <c r="B786" i="7"/>
  <c r="D785" i="7"/>
  <c r="B785" i="7"/>
  <c r="D784" i="7"/>
  <c r="B784" i="7"/>
  <c r="D783" i="7"/>
  <c r="B783" i="7"/>
  <c r="D782" i="7"/>
  <c r="B782" i="7"/>
  <c r="D712" i="7"/>
  <c r="B712" i="7"/>
  <c r="D711" i="7"/>
  <c r="B711" i="7"/>
  <c r="D710" i="7"/>
  <c r="B710" i="7"/>
  <c r="D709" i="7"/>
  <c r="B709" i="7"/>
  <c r="D770" i="7"/>
  <c r="B770" i="7"/>
  <c r="D754" i="7"/>
  <c r="B754" i="7"/>
  <c r="D753" i="7"/>
  <c r="B753" i="7"/>
  <c r="D752" i="7"/>
  <c r="B752" i="7"/>
  <c r="D751" i="7"/>
  <c r="B751" i="7"/>
  <c r="D750" i="7"/>
  <c r="B750" i="7"/>
  <c r="D749" i="7"/>
  <c r="B749" i="7"/>
  <c r="D748" i="7"/>
  <c r="B748" i="7"/>
  <c r="D747" i="7"/>
  <c r="B747" i="7"/>
  <c r="D746" i="7"/>
  <c r="B746" i="7"/>
  <c r="D745" i="7"/>
  <c r="B745" i="7"/>
  <c r="D744" i="7"/>
  <c r="B744" i="7"/>
  <c r="D743" i="7"/>
  <c r="B743" i="7"/>
  <c r="D742" i="7"/>
  <c r="B742" i="7"/>
  <c r="D741" i="7"/>
  <c r="B741" i="7"/>
  <c r="D740" i="7"/>
  <c r="B740" i="7"/>
  <c r="D739" i="7"/>
  <c r="B739" i="7"/>
  <c r="D762" i="7"/>
  <c r="B762" i="7"/>
  <c r="D761" i="7"/>
  <c r="B761" i="7"/>
  <c r="D760" i="7"/>
  <c r="B760" i="7"/>
  <c r="D759" i="7"/>
  <c r="B759" i="7"/>
  <c r="D758" i="7"/>
  <c r="B758" i="7"/>
  <c r="D757" i="7"/>
  <c r="B757" i="7"/>
  <c r="D756" i="7"/>
  <c r="B756" i="7"/>
  <c r="D755" i="7"/>
  <c r="B755" i="7"/>
  <c r="D766" i="7"/>
  <c r="B766" i="7"/>
  <c r="D765" i="7"/>
  <c r="B765" i="7"/>
  <c r="D764" i="7"/>
  <c r="B764" i="7"/>
  <c r="D763" i="7"/>
  <c r="B763" i="7"/>
  <c r="D768" i="7"/>
  <c r="B768" i="7"/>
  <c r="D767" i="7"/>
  <c r="B767" i="7"/>
  <c r="D769" i="7"/>
  <c r="B769" i="7"/>
  <c r="D738" i="7"/>
  <c r="B738" i="7"/>
  <c r="D627" i="7"/>
  <c r="AC520" i="7" l="1"/>
  <c r="AC439" i="7"/>
  <c r="AC433" i="7"/>
  <c r="AC432" i="7"/>
  <c r="AC431" i="7"/>
  <c r="AC426" i="7"/>
  <c r="L1549" i="7" l="1"/>
  <c r="L1548" i="7" l="1"/>
  <c r="L1493" i="7" s="1"/>
  <c r="L1492" i="7" s="1"/>
  <c r="D1549" i="7"/>
  <c r="D1548" i="7" l="1"/>
  <c r="D1493" i="7" l="1"/>
  <c r="D1492" i="7" s="1"/>
  <c r="D1068" i="7"/>
  <c r="D1067" i="7"/>
  <c r="D1070" i="7"/>
  <c r="D1069" i="7"/>
  <c r="D1071" i="7"/>
  <c r="D1066" i="7"/>
  <c r="B626" i="7"/>
  <c r="D644" i="7"/>
  <c r="D626" i="7"/>
  <c r="D713" i="7" l="1"/>
  <c r="B713" i="7"/>
  <c r="D708" i="7"/>
  <c r="B708" i="7"/>
  <c r="N386" i="7"/>
  <c r="R68" i="7" l="1"/>
  <c r="F146" i="8" l="1"/>
  <c r="B146" i="8"/>
  <c r="F145" i="8"/>
  <c r="B145" i="8"/>
  <c r="AE93" i="8"/>
  <c r="N929" i="7" l="1"/>
  <c r="B340" i="7" l="1"/>
  <c r="B341" i="7"/>
  <c r="AC340" i="7"/>
  <c r="D340" i="7" s="1"/>
  <c r="C30" i="14" l="1"/>
  <c r="E22" i="11" l="1"/>
  <c r="E20" i="11" s="1"/>
  <c r="AB17" i="11"/>
  <c r="AA17" i="11"/>
  <c r="Z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AG191" i="8"/>
  <c r="AF191" i="8"/>
  <c r="AD191" i="8"/>
  <c r="AC191" i="8"/>
  <c r="AB191" i="8"/>
  <c r="AA191" i="8"/>
  <c r="Z191" i="8"/>
  <c r="Y191" i="8"/>
  <c r="X191" i="8"/>
  <c r="W191" i="8"/>
  <c r="V191" i="8"/>
  <c r="U191" i="8"/>
  <c r="T191" i="8"/>
  <c r="S191" i="8"/>
  <c r="R191" i="8"/>
  <c r="Q191" i="8"/>
  <c r="P191" i="8"/>
  <c r="O191" i="8"/>
  <c r="N191" i="8"/>
  <c r="M191" i="8"/>
  <c r="L191" i="8"/>
  <c r="K191" i="8"/>
  <c r="J191" i="8"/>
  <c r="I191" i="8"/>
  <c r="H191" i="8"/>
  <c r="G191" i="8"/>
  <c r="P13" i="8"/>
  <c r="E17" i="11" l="1"/>
  <c r="L237" i="7" l="1"/>
  <c r="D237" i="7" s="1"/>
  <c r="D706" i="7"/>
  <c r="B706" i="7"/>
  <c r="D707" i="7"/>
  <c r="B707" i="7"/>
  <c r="D781" i="7"/>
  <c r="B781" i="7"/>
  <c r="D780" i="7"/>
  <c r="B780" i="7"/>
  <c r="D779" i="7"/>
  <c r="B779" i="7"/>
  <c r="D734" i="7"/>
  <c r="B734" i="7"/>
  <c r="D733" i="7"/>
  <c r="B733" i="7"/>
  <c r="D732" i="7"/>
  <c r="B732" i="7"/>
  <c r="D736" i="7"/>
  <c r="B736" i="7"/>
  <c r="D735" i="7"/>
  <c r="B735" i="7"/>
  <c r="D737" i="7"/>
  <c r="B737" i="7"/>
  <c r="B60" i="13"/>
  <c r="K60" i="13"/>
  <c r="K59" i="13" s="1"/>
  <c r="L59" i="13"/>
  <c r="J59" i="13"/>
  <c r="I59" i="13"/>
  <c r="P59" i="13" s="1"/>
  <c r="B61" i="8"/>
  <c r="AE61" i="8"/>
  <c r="AG60" i="8"/>
  <c r="AF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E60" i="8"/>
  <c r="F61" i="8" l="1"/>
  <c r="AE60" i="8"/>
  <c r="F60" i="8" l="1"/>
  <c r="D922" i="7"/>
  <c r="AC924" i="7"/>
  <c r="D924" i="7" s="1"/>
  <c r="B924" i="7"/>
  <c r="AE923" i="7"/>
  <c r="AB923" i="7"/>
  <c r="AA923" i="7"/>
  <c r="Z923" i="7"/>
  <c r="Y923" i="7"/>
  <c r="X923" i="7"/>
  <c r="W923" i="7"/>
  <c r="V923" i="7"/>
  <c r="U923" i="7"/>
  <c r="T923" i="7"/>
  <c r="S923" i="7"/>
  <c r="R923" i="7"/>
  <c r="Q923" i="7"/>
  <c r="P923" i="7"/>
  <c r="O923" i="7"/>
  <c r="M923" i="7"/>
  <c r="L923" i="7"/>
  <c r="K923" i="7"/>
  <c r="J923" i="7"/>
  <c r="I923" i="7"/>
  <c r="H923" i="7"/>
  <c r="G923" i="7"/>
  <c r="F923" i="7"/>
  <c r="E923" i="7"/>
  <c r="D1021" i="7"/>
  <c r="N923" i="7" l="1"/>
  <c r="AC923" i="7"/>
  <c r="D923" i="7"/>
  <c r="D809" i="7" l="1"/>
  <c r="D888" i="7" l="1"/>
  <c r="B888" i="7" l="1"/>
  <c r="D921" i="7"/>
  <c r="B921" i="7"/>
  <c r="B922" i="7"/>
  <c r="B808" i="7"/>
  <c r="B809" i="7"/>
  <c r="D988" i="7"/>
  <c r="B988" i="7"/>
  <c r="D1020" i="7"/>
  <c r="B1020" i="7"/>
  <c r="B1021" i="7"/>
  <c r="D672" i="7"/>
  <c r="B672" i="7"/>
  <c r="D778" i="7"/>
  <c r="B778" i="7"/>
  <c r="D376" i="7"/>
  <c r="B376" i="7"/>
  <c r="AC379" i="7"/>
  <c r="D379" i="7" s="1"/>
  <c r="AC378" i="7"/>
  <c r="D378" i="7" s="1"/>
  <c r="AC377" i="7"/>
  <c r="D377" i="7" s="1"/>
  <c r="B671" i="7"/>
  <c r="D671" i="7"/>
  <c r="B719" i="7"/>
  <c r="B720" i="7"/>
  <c r="B721" i="7"/>
  <c r="B722" i="7"/>
  <c r="D808" i="7" l="1"/>
  <c r="D720" i="7"/>
  <c r="AC865" i="7" l="1"/>
  <c r="AC860" i="7"/>
  <c r="AC859" i="7" s="1"/>
  <c r="D704" i="7" l="1"/>
  <c r="B704" i="7"/>
  <c r="B705" i="7"/>
  <c r="D951" i="7"/>
  <c r="B951" i="7"/>
  <c r="D705" i="7" l="1"/>
  <c r="D1259" i="7"/>
  <c r="D771" i="7"/>
  <c r="D730" i="7"/>
  <c r="B730" i="7"/>
  <c r="D729" i="7"/>
  <c r="B729" i="7"/>
  <c r="D32" i="7"/>
  <c r="E29" i="10" l="1"/>
  <c r="E10" i="10"/>
  <c r="L210" i="13"/>
  <c r="K210" i="13"/>
  <c r="J210" i="13"/>
  <c r="I210" i="13"/>
  <c r="P210" i="13" s="1"/>
  <c r="L206" i="13"/>
  <c r="K206" i="13"/>
  <c r="J206" i="13"/>
  <c r="I206" i="13"/>
  <c r="P206" i="13" s="1"/>
  <c r="L204" i="13"/>
  <c r="K204" i="13"/>
  <c r="J204" i="13"/>
  <c r="I204" i="13"/>
  <c r="P204" i="13" s="1"/>
  <c r="L201" i="13"/>
  <c r="K201" i="13"/>
  <c r="J201" i="13"/>
  <c r="I201" i="13"/>
  <c r="P201" i="13" s="1"/>
  <c r="L199" i="13"/>
  <c r="K199" i="13"/>
  <c r="J199" i="13"/>
  <c r="I199" i="13"/>
  <c r="P199" i="13" s="1"/>
  <c r="L197" i="13"/>
  <c r="K197" i="13"/>
  <c r="J197" i="13"/>
  <c r="I197" i="13"/>
  <c r="P197" i="13" s="1"/>
  <c r="L195" i="13"/>
  <c r="K195" i="13"/>
  <c r="J195" i="13"/>
  <c r="I195" i="13"/>
  <c r="P195" i="13" s="1"/>
  <c r="L193" i="13"/>
  <c r="K193" i="13"/>
  <c r="J193" i="13"/>
  <c r="I193" i="13"/>
  <c r="P193" i="13" s="1"/>
  <c r="L190" i="13"/>
  <c r="K190" i="13"/>
  <c r="J190" i="13"/>
  <c r="I190" i="13"/>
  <c r="P190" i="13" s="1"/>
  <c r="L186" i="13"/>
  <c r="K186" i="13"/>
  <c r="J186" i="13"/>
  <c r="I186" i="13"/>
  <c r="P186" i="13" s="1"/>
  <c r="L184" i="13"/>
  <c r="K184" i="13"/>
  <c r="J184" i="13"/>
  <c r="I184" i="13"/>
  <c r="P184" i="13" s="1"/>
  <c r="P182" i="13"/>
  <c r="P179" i="13"/>
  <c r="K178" i="13"/>
  <c r="K174" i="13" s="1"/>
  <c r="L174" i="13"/>
  <c r="J174" i="13"/>
  <c r="I174" i="13"/>
  <c r="P174" i="13" s="1"/>
  <c r="L172" i="13"/>
  <c r="K172" i="13"/>
  <c r="J172" i="13"/>
  <c r="I172" i="13"/>
  <c r="P172" i="13" s="1"/>
  <c r="P170" i="13"/>
  <c r="L167" i="13"/>
  <c r="K167" i="13"/>
  <c r="J167" i="13"/>
  <c r="I167" i="13"/>
  <c r="P167" i="13" s="1"/>
  <c r="L161" i="13"/>
  <c r="K161" i="13"/>
  <c r="J161" i="13"/>
  <c r="I161" i="13"/>
  <c r="P161" i="13" s="1"/>
  <c r="P146" i="13"/>
  <c r="L131" i="13"/>
  <c r="K131" i="13"/>
  <c r="J131" i="13"/>
  <c r="I131" i="13"/>
  <c r="P131" i="13" s="1"/>
  <c r="L127" i="13"/>
  <c r="K127" i="13"/>
  <c r="J127" i="13"/>
  <c r="I127" i="13"/>
  <c r="P127" i="13" s="1"/>
  <c r="L119" i="13"/>
  <c r="K119" i="13"/>
  <c r="J119" i="13"/>
  <c r="I119" i="13"/>
  <c r="P119" i="13" s="1"/>
  <c r="P103" i="13"/>
  <c r="L99" i="13"/>
  <c r="K99" i="13"/>
  <c r="J99" i="13"/>
  <c r="I99" i="13"/>
  <c r="P92" i="13"/>
  <c r="K77" i="13"/>
  <c r="K76" i="13" s="1"/>
  <c r="B77" i="13"/>
  <c r="L76" i="13"/>
  <c r="J76" i="13"/>
  <c r="I76" i="13"/>
  <c r="P76" i="13" s="1"/>
  <c r="K75" i="13"/>
  <c r="K74" i="13" s="1"/>
  <c r="B75" i="13"/>
  <c r="L74" i="13"/>
  <c r="J74" i="13"/>
  <c r="I74" i="13"/>
  <c r="P74" i="13" s="1"/>
  <c r="K73" i="13"/>
  <c r="B73" i="13"/>
  <c r="B71" i="13"/>
  <c r="L70" i="13"/>
  <c r="L69" i="13" s="1"/>
  <c r="L68" i="13" s="1"/>
  <c r="K70" i="13"/>
  <c r="J70" i="13"/>
  <c r="I70" i="13"/>
  <c r="P70" i="13" s="1"/>
  <c r="K69" i="13"/>
  <c r="K68" i="13" s="1"/>
  <c r="B69" i="13"/>
  <c r="J68" i="13"/>
  <c r="I68" i="13"/>
  <c r="P68" i="13" s="1"/>
  <c r="B67" i="13"/>
  <c r="B66" i="13"/>
  <c r="K65" i="13"/>
  <c r="K64" i="13" s="1"/>
  <c r="B65" i="13"/>
  <c r="L64" i="13"/>
  <c r="J64" i="13"/>
  <c r="I64" i="13"/>
  <c r="P64" i="13" s="1"/>
  <c r="B62" i="13"/>
  <c r="L61" i="13"/>
  <c r="K61" i="13"/>
  <c r="J61" i="13"/>
  <c r="I61" i="13"/>
  <c r="P61" i="13" s="1"/>
  <c r="K58" i="13"/>
  <c r="K57" i="13" s="1"/>
  <c r="B58" i="13"/>
  <c r="L57" i="13"/>
  <c r="J57" i="13"/>
  <c r="I57" i="13"/>
  <c r="P57" i="13" s="1"/>
  <c r="B56" i="13"/>
  <c r="K55" i="13"/>
  <c r="K53" i="13" s="1"/>
  <c r="B55" i="13"/>
  <c r="B54" i="13"/>
  <c r="L53" i="13"/>
  <c r="J53" i="13"/>
  <c r="I53" i="13"/>
  <c r="P53" i="13" s="1"/>
  <c r="K52" i="13"/>
  <c r="K51" i="13" s="1"/>
  <c r="B52" i="13"/>
  <c r="L51" i="13"/>
  <c r="J51" i="13"/>
  <c r="I51" i="13"/>
  <c r="P51" i="13" s="1"/>
  <c r="K50" i="13"/>
  <c r="K49" i="13" s="1"/>
  <c r="B50" i="13"/>
  <c r="L49" i="13"/>
  <c r="J49" i="13"/>
  <c r="I49" i="13"/>
  <c r="P49" i="13" s="1"/>
  <c r="K48" i="13"/>
  <c r="K47" i="13" s="1"/>
  <c r="B48" i="13"/>
  <c r="L47" i="13"/>
  <c r="J47" i="13"/>
  <c r="I47" i="13"/>
  <c r="P47" i="13" s="1"/>
  <c r="K46" i="13"/>
  <c r="B46" i="13"/>
  <c r="K45" i="13"/>
  <c r="B45" i="13"/>
  <c r="K44" i="13"/>
  <c r="B44" i="13"/>
  <c r="L43" i="13"/>
  <c r="J43" i="13"/>
  <c r="I43" i="13"/>
  <c r="P43" i="13" s="1"/>
  <c r="K42" i="13"/>
  <c r="K41" i="13" s="1"/>
  <c r="B42" i="13"/>
  <c r="L41" i="13"/>
  <c r="J41" i="13"/>
  <c r="I41" i="13"/>
  <c r="P41" i="13" s="1"/>
  <c r="K40" i="13"/>
  <c r="K39" i="13" s="1"/>
  <c r="B40" i="13"/>
  <c r="L39" i="13"/>
  <c r="J39" i="13"/>
  <c r="I39" i="13"/>
  <c r="P39" i="13" s="1"/>
  <c r="K38" i="13"/>
  <c r="B38" i="13"/>
  <c r="K37" i="13"/>
  <c r="B37" i="13"/>
  <c r="K36" i="13"/>
  <c r="B36" i="13"/>
  <c r="L35" i="13"/>
  <c r="J35" i="13"/>
  <c r="I35" i="13"/>
  <c r="P35" i="13" s="1"/>
  <c r="B34" i="13"/>
  <c r="K33" i="13"/>
  <c r="K32" i="13" s="1"/>
  <c r="B33" i="13"/>
  <c r="L32" i="13"/>
  <c r="J32" i="13"/>
  <c r="I32" i="13"/>
  <c r="P32" i="13" s="1"/>
  <c r="K31" i="13"/>
  <c r="B31" i="13"/>
  <c r="K30" i="13"/>
  <c r="B30" i="13"/>
  <c r="L29" i="13"/>
  <c r="J29" i="13"/>
  <c r="I29" i="13"/>
  <c r="P29" i="13" s="1"/>
  <c r="K28" i="13"/>
  <c r="K27" i="13" s="1"/>
  <c r="B28" i="13"/>
  <c r="L27" i="13"/>
  <c r="J27" i="13"/>
  <c r="I27" i="13"/>
  <c r="P27" i="13" s="1"/>
  <c r="K26" i="13"/>
  <c r="K25" i="13" s="1"/>
  <c r="B26" i="13"/>
  <c r="L25" i="13"/>
  <c r="J25" i="13"/>
  <c r="I25" i="13"/>
  <c r="P25" i="13" s="1"/>
  <c r="K24" i="13"/>
  <c r="K23" i="13" s="1"/>
  <c r="B24" i="13"/>
  <c r="L23" i="13"/>
  <c r="J23" i="13"/>
  <c r="I23" i="13"/>
  <c r="P23" i="13" s="1"/>
  <c r="B22" i="13"/>
  <c r="B21" i="13"/>
  <c r="B20" i="13"/>
  <c r="K19" i="13"/>
  <c r="B19" i="13"/>
  <c r="K18" i="13"/>
  <c r="B18" i="13"/>
  <c r="K17" i="13"/>
  <c r="B17" i="13"/>
  <c r="K16" i="13"/>
  <c r="B16" i="13"/>
  <c r="K15" i="13"/>
  <c r="B15" i="13"/>
  <c r="L14" i="13"/>
  <c r="J14" i="13"/>
  <c r="I14" i="13"/>
  <c r="P14" i="13" s="1"/>
  <c r="K13" i="13"/>
  <c r="K12" i="13" s="1"/>
  <c r="B13" i="13"/>
  <c r="L12" i="13"/>
  <c r="J12" i="13"/>
  <c r="I12" i="13"/>
  <c r="P12" i="13" s="1"/>
  <c r="B212" i="8"/>
  <c r="AG211" i="8"/>
  <c r="AF211" i="8"/>
  <c r="AD211" i="8"/>
  <c r="AC211" i="8"/>
  <c r="AB211" i="8"/>
  <c r="AA211" i="8"/>
  <c r="Z211" i="8"/>
  <c r="Y211" i="8"/>
  <c r="X211" i="8"/>
  <c r="W211" i="8"/>
  <c r="V211" i="8"/>
  <c r="U211" i="8"/>
  <c r="T211" i="8"/>
  <c r="S211" i="8"/>
  <c r="R211" i="8"/>
  <c r="Q211" i="8"/>
  <c r="P211" i="8"/>
  <c r="O211" i="8"/>
  <c r="N211" i="8"/>
  <c r="M211" i="8"/>
  <c r="L211" i="8"/>
  <c r="K211" i="8"/>
  <c r="J211" i="8"/>
  <c r="I211" i="8"/>
  <c r="H211" i="8"/>
  <c r="G211" i="8"/>
  <c r="E211" i="8"/>
  <c r="B208" i="8"/>
  <c r="AG207" i="8"/>
  <c r="AF207" i="8"/>
  <c r="AD207" i="8"/>
  <c r="AC207" i="8"/>
  <c r="AB207" i="8"/>
  <c r="AA207" i="8"/>
  <c r="Z207" i="8"/>
  <c r="Y207" i="8"/>
  <c r="X207" i="8"/>
  <c r="W207" i="8"/>
  <c r="V207" i="8"/>
  <c r="U207" i="8"/>
  <c r="T207" i="8"/>
  <c r="S207" i="8"/>
  <c r="R207" i="8"/>
  <c r="Q207" i="8"/>
  <c r="P207" i="8"/>
  <c r="O207" i="8"/>
  <c r="N207" i="8"/>
  <c r="M207" i="8"/>
  <c r="L207" i="8"/>
  <c r="K207" i="8"/>
  <c r="J207" i="8"/>
  <c r="I207" i="8"/>
  <c r="H207" i="8"/>
  <c r="G207" i="8"/>
  <c r="B206" i="8"/>
  <c r="AG205" i="8"/>
  <c r="AF205" i="8"/>
  <c r="AD205" i="8"/>
  <c r="AC205" i="8"/>
  <c r="AB205" i="8"/>
  <c r="AA205" i="8"/>
  <c r="Z205" i="8"/>
  <c r="Y205" i="8"/>
  <c r="X205" i="8"/>
  <c r="W205" i="8"/>
  <c r="V205" i="8"/>
  <c r="U205" i="8"/>
  <c r="T205" i="8"/>
  <c r="S205" i="8"/>
  <c r="R205" i="8"/>
  <c r="Q205" i="8"/>
  <c r="P205" i="8"/>
  <c r="O205" i="8"/>
  <c r="N205" i="8"/>
  <c r="M205" i="8"/>
  <c r="L205" i="8"/>
  <c r="K205" i="8"/>
  <c r="J205" i="8"/>
  <c r="I205" i="8"/>
  <c r="H205" i="8"/>
  <c r="G205" i="8"/>
  <c r="E205" i="8"/>
  <c r="B204" i="8"/>
  <c r="F203" i="8"/>
  <c r="B203" i="8"/>
  <c r="AG202" i="8"/>
  <c r="AF202" i="8"/>
  <c r="AD202" i="8"/>
  <c r="AC202" i="8"/>
  <c r="AB202" i="8"/>
  <c r="AA202" i="8"/>
  <c r="Z202" i="8"/>
  <c r="Y202" i="8"/>
  <c r="X202" i="8"/>
  <c r="W202" i="8"/>
  <c r="V202" i="8"/>
  <c r="U202" i="8"/>
  <c r="T202" i="8"/>
  <c r="S202" i="8"/>
  <c r="R202" i="8"/>
  <c r="Q202" i="8"/>
  <c r="P202" i="8"/>
  <c r="O202" i="8"/>
  <c r="N202" i="8"/>
  <c r="M202" i="8"/>
  <c r="L202" i="8"/>
  <c r="K202" i="8"/>
  <c r="J202" i="8"/>
  <c r="I202" i="8"/>
  <c r="H202" i="8"/>
  <c r="G202" i="8"/>
  <c r="E202" i="8"/>
  <c r="B201" i="8"/>
  <c r="AG200" i="8"/>
  <c r="AF200" i="8"/>
  <c r="AD200" i="8"/>
  <c r="AC200" i="8"/>
  <c r="AB200" i="8"/>
  <c r="AA200" i="8"/>
  <c r="Z200" i="8"/>
  <c r="Y200" i="8"/>
  <c r="X200" i="8"/>
  <c r="W200" i="8"/>
  <c r="V200" i="8"/>
  <c r="U200" i="8"/>
  <c r="T200" i="8"/>
  <c r="S200" i="8"/>
  <c r="R200" i="8"/>
  <c r="Q200" i="8"/>
  <c r="P200" i="8"/>
  <c r="O200" i="8"/>
  <c r="N200" i="8"/>
  <c r="M200" i="8"/>
  <c r="L200" i="8"/>
  <c r="K200" i="8"/>
  <c r="J200" i="8"/>
  <c r="I200" i="8"/>
  <c r="H200" i="8"/>
  <c r="G200" i="8"/>
  <c r="E200" i="8"/>
  <c r="AE199" i="8"/>
  <c r="B199" i="8"/>
  <c r="AG198" i="8"/>
  <c r="AF198" i="8"/>
  <c r="AD198" i="8"/>
  <c r="AC198" i="8"/>
  <c r="AB198" i="8"/>
  <c r="AA198" i="8"/>
  <c r="Z198" i="8"/>
  <c r="Y198" i="8"/>
  <c r="X198" i="8"/>
  <c r="W198" i="8"/>
  <c r="V198" i="8"/>
  <c r="U198" i="8"/>
  <c r="T198" i="8"/>
  <c r="S198" i="8"/>
  <c r="R198" i="8"/>
  <c r="Q198" i="8"/>
  <c r="P198" i="8"/>
  <c r="O198" i="8"/>
  <c r="N198" i="8"/>
  <c r="M198" i="8"/>
  <c r="L198" i="8"/>
  <c r="K198" i="8"/>
  <c r="J198" i="8"/>
  <c r="I198" i="8"/>
  <c r="H198" i="8"/>
  <c r="G198" i="8"/>
  <c r="E198" i="8"/>
  <c r="F197" i="8"/>
  <c r="B197" i="8"/>
  <c r="AG196" i="8"/>
  <c r="AF196" i="8"/>
  <c r="AE196" i="8"/>
  <c r="AD196" i="8"/>
  <c r="AC196" i="8"/>
  <c r="AB196" i="8"/>
  <c r="AA196" i="8"/>
  <c r="Z196" i="8"/>
  <c r="Y196" i="8"/>
  <c r="X196" i="8"/>
  <c r="W196" i="8"/>
  <c r="V196" i="8"/>
  <c r="U196" i="8"/>
  <c r="T196" i="8"/>
  <c r="S196" i="8"/>
  <c r="R196" i="8"/>
  <c r="Q196" i="8"/>
  <c r="P196" i="8"/>
  <c r="O196" i="8"/>
  <c r="N196" i="8"/>
  <c r="M196" i="8"/>
  <c r="L196" i="8"/>
  <c r="K196" i="8"/>
  <c r="J196" i="8"/>
  <c r="I196" i="8"/>
  <c r="H196" i="8"/>
  <c r="G196" i="8"/>
  <c r="E196" i="8"/>
  <c r="F195" i="8"/>
  <c r="B195" i="8"/>
  <c r="AG194" i="8"/>
  <c r="AF194" i="8"/>
  <c r="AE194" i="8"/>
  <c r="AD194" i="8"/>
  <c r="AC194" i="8"/>
  <c r="AB194" i="8"/>
  <c r="AA194" i="8"/>
  <c r="Z194" i="8"/>
  <c r="Y194" i="8"/>
  <c r="X194" i="8"/>
  <c r="W194" i="8"/>
  <c r="V194" i="8"/>
  <c r="U194" i="8"/>
  <c r="T194" i="8"/>
  <c r="S194" i="8"/>
  <c r="R194" i="8"/>
  <c r="Q194" i="8"/>
  <c r="P194" i="8"/>
  <c r="O194" i="8"/>
  <c r="N194" i="8"/>
  <c r="M194" i="8"/>
  <c r="L194" i="8"/>
  <c r="K194" i="8"/>
  <c r="J194" i="8"/>
  <c r="I194" i="8"/>
  <c r="H194" i="8"/>
  <c r="G194" i="8"/>
  <c r="E194" i="8"/>
  <c r="B193" i="8"/>
  <c r="B192" i="8"/>
  <c r="E191" i="8"/>
  <c r="B190" i="8"/>
  <c r="B189" i="8"/>
  <c r="B188" i="8"/>
  <c r="AG187" i="8"/>
  <c r="AF187" i="8"/>
  <c r="AD187" i="8"/>
  <c r="AC187" i="8"/>
  <c r="AB187" i="8"/>
  <c r="AA187" i="8"/>
  <c r="Z187" i="8"/>
  <c r="Y187" i="8"/>
  <c r="X187" i="8"/>
  <c r="W187" i="8"/>
  <c r="V187" i="8"/>
  <c r="U187" i="8"/>
  <c r="T187" i="8"/>
  <c r="S187" i="8"/>
  <c r="R187" i="8"/>
  <c r="Q187" i="8"/>
  <c r="O187" i="8"/>
  <c r="N187" i="8"/>
  <c r="M187" i="8"/>
  <c r="L187" i="8"/>
  <c r="K187" i="8"/>
  <c r="J187" i="8"/>
  <c r="I187" i="8"/>
  <c r="H187" i="8"/>
  <c r="G187" i="8"/>
  <c r="E187" i="8"/>
  <c r="B186" i="8"/>
  <c r="E185" i="8"/>
  <c r="AE183" i="8"/>
  <c r="B184" i="8"/>
  <c r="E183" i="8"/>
  <c r="F181" i="8"/>
  <c r="F180" i="8" s="1"/>
  <c r="B181" i="8"/>
  <c r="AG180" i="8"/>
  <c r="E180" i="8"/>
  <c r="B179" i="8"/>
  <c r="B178" i="8"/>
  <c r="B177" i="8"/>
  <c r="B176" i="8"/>
  <c r="AG175" i="8"/>
  <c r="AF175" i="8"/>
  <c r="AD175" i="8"/>
  <c r="AC175" i="8"/>
  <c r="AB175" i="8"/>
  <c r="AA175" i="8"/>
  <c r="Z175" i="8"/>
  <c r="Y175" i="8"/>
  <c r="X175" i="8"/>
  <c r="W175" i="8"/>
  <c r="V175" i="8"/>
  <c r="U175" i="8"/>
  <c r="T175" i="8"/>
  <c r="S175" i="8"/>
  <c r="R175" i="8"/>
  <c r="Q175" i="8"/>
  <c r="P175" i="8"/>
  <c r="O175" i="8"/>
  <c r="N175" i="8"/>
  <c r="M175" i="8"/>
  <c r="L175" i="8"/>
  <c r="K175" i="8"/>
  <c r="J175" i="8"/>
  <c r="I175" i="8"/>
  <c r="H175" i="8"/>
  <c r="G175" i="8"/>
  <c r="E175" i="8"/>
  <c r="B174" i="8"/>
  <c r="AG173" i="8"/>
  <c r="AF173" i="8"/>
  <c r="AD173" i="8"/>
  <c r="AC173" i="8"/>
  <c r="AB173" i="8"/>
  <c r="AA173" i="8"/>
  <c r="Z173" i="8"/>
  <c r="Y173" i="8"/>
  <c r="X173" i="8"/>
  <c r="W173" i="8"/>
  <c r="V173" i="8"/>
  <c r="U173" i="8"/>
  <c r="T173" i="8"/>
  <c r="S173" i="8"/>
  <c r="R173" i="8"/>
  <c r="Q173" i="8"/>
  <c r="P173" i="8"/>
  <c r="O173" i="8"/>
  <c r="N173" i="8"/>
  <c r="M173" i="8"/>
  <c r="L173" i="8"/>
  <c r="K173" i="8"/>
  <c r="J173" i="8"/>
  <c r="I173" i="8"/>
  <c r="H173" i="8"/>
  <c r="G173" i="8"/>
  <c r="E173" i="8"/>
  <c r="F172" i="8"/>
  <c r="F171" i="8" s="1"/>
  <c r="B172" i="8"/>
  <c r="E171" i="8"/>
  <c r="F170" i="8"/>
  <c r="B170" i="8"/>
  <c r="F169" i="8"/>
  <c r="B169" i="8"/>
  <c r="AG168" i="8"/>
  <c r="AF168" i="8"/>
  <c r="AE168" i="8"/>
  <c r="AD168" i="8"/>
  <c r="AC168" i="8"/>
  <c r="AB168" i="8"/>
  <c r="AA168" i="8"/>
  <c r="Z168" i="8"/>
  <c r="Y168" i="8"/>
  <c r="X168" i="8"/>
  <c r="W168" i="8"/>
  <c r="V168" i="8"/>
  <c r="U168" i="8"/>
  <c r="T168" i="8"/>
  <c r="S168" i="8"/>
  <c r="R168" i="8"/>
  <c r="Q168" i="8"/>
  <c r="P168" i="8"/>
  <c r="O168" i="8"/>
  <c r="N168" i="8"/>
  <c r="M168" i="8"/>
  <c r="L168" i="8"/>
  <c r="K168" i="8"/>
  <c r="J168" i="8"/>
  <c r="I168" i="8"/>
  <c r="H168" i="8"/>
  <c r="G168" i="8"/>
  <c r="E168" i="8"/>
  <c r="B167" i="8"/>
  <c r="B166" i="8"/>
  <c r="B165" i="8"/>
  <c r="B164" i="8"/>
  <c r="B163" i="8"/>
  <c r="AG162" i="8"/>
  <c r="AF162" i="8"/>
  <c r="AD162" i="8"/>
  <c r="AC162" i="8"/>
  <c r="AB162" i="8"/>
  <c r="AA162" i="8"/>
  <c r="Z162" i="8"/>
  <c r="Y162" i="8"/>
  <c r="X162" i="8"/>
  <c r="W162" i="8"/>
  <c r="V162" i="8"/>
  <c r="U162" i="8"/>
  <c r="T162" i="8"/>
  <c r="S162" i="8"/>
  <c r="R162" i="8"/>
  <c r="Q162" i="8"/>
  <c r="P162" i="8"/>
  <c r="O162" i="8"/>
  <c r="N162" i="8"/>
  <c r="M162" i="8"/>
  <c r="L162" i="8"/>
  <c r="K162" i="8"/>
  <c r="J162" i="8"/>
  <c r="I162" i="8"/>
  <c r="H162" i="8"/>
  <c r="G162" i="8"/>
  <c r="E162" i="8"/>
  <c r="B161" i="8"/>
  <c r="B160" i="8"/>
  <c r="F159" i="8"/>
  <c r="B159" i="8"/>
  <c r="F158" i="8"/>
  <c r="B158" i="8"/>
  <c r="F157" i="8"/>
  <c r="B157" i="8"/>
  <c r="F156" i="8"/>
  <c r="B156" i="8"/>
  <c r="F155" i="8"/>
  <c r="B155" i="8"/>
  <c r="F154" i="8"/>
  <c r="B154" i="8"/>
  <c r="F153" i="8"/>
  <c r="B153" i="8"/>
  <c r="F152" i="8"/>
  <c r="B152" i="8"/>
  <c r="F151" i="8"/>
  <c r="B151" i="8"/>
  <c r="F150" i="8"/>
  <c r="B150" i="8"/>
  <c r="F149" i="8"/>
  <c r="B149" i="8"/>
  <c r="F148" i="8"/>
  <c r="B148" i="8"/>
  <c r="E147" i="8"/>
  <c r="B144" i="8"/>
  <c r="B143" i="8"/>
  <c r="B142" i="8"/>
  <c r="F141" i="8"/>
  <c r="B141" i="8"/>
  <c r="B140" i="8"/>
  <c r="B139" i="8"/>
  <c r="F138" i="8"/>
  <c r="B138" i="8"/>
  <c r="B137" i="8"/>
  <c r="F136" i="8"/>
  <c r="B136" i="8"/>
  <c r="F135" i="8"/>
  <c r="B135" i="8"/>
  <c r="B134" i="8"/>
  <c r="B133" i="8"/>
  <c r="AG132" i="8"/>
  <c r="AF132" i="8"/>
  <c r="AD132" i="8"/>
  <c r="AC132" i="8"/>
  <c r="AB132" i="8"/>
  <c r="AA132" i="8"/>
  <c r="Z132" i="8"/>
  <c r="Y132" i="8"/>
  <c r="X132" i="8"/>
  <c r="W132" i="8"/>
  <c r="V132" i="8"/>
  <c r="U132" i="8"/>
  <c r="T132" i="8"/>
  <c r="S132" i="8"/>
  <c r="R132" i="8"/>
  <c r="Q132" i="8"/>
  <c r="P132" i="8"/>
  <c r="O132" i="8"/>
  <c r="N132" i="8"/>
  <c r="M132" i="8"/>
  <c r="L132" i="8"/>
  <c r="K132" i="8"/>
  <c r="J132" i="8"/>
  <c r="I132" i="8"/>
  <c r="H132" i="8"/>
  <c r="G132" i="8"/>
  <c r="E132" i="8"/>
  <c r="F131" i="8"/>
  <c r="B131" i="8"/>
  <c r="F130" i="8"/>
  <c r="B130" i="8"/>
  <c r="F129" i="8"/>
  <c r="B129" i="8"/>
  <c r="AG128" i="8"/>
  <c r="AF128" i="8"/>
  <c r="AD128" i="8"/>
  <c r="AC128" i="8"/>
  <c r="AB128" i="8"/>
  <c r="AA128" i="8"/>
  <c r="Z128" i="8"/>
  <c r="Y128" i="8"/>
  <c r="X128" i="8"/>
  <c r="W128" i="8"/>
  <c r="V128" i="8"/>
  <c r="U128" i="8"/>
  <c r="T128" i="8"/>
  <c r="S128" i="8"/>
  <c r="R128" i="8"/>
  <c r="Q128" i="8"/>
  <c r="P128" i="8"/>
  <c r="O128" i="8"/>
  <c r="N128" i="8"/>
  <c r="M128" i="8"/>
  <c r="L128" i="8"/>
  <c r="K128" i="8"/>
  <c r="J128" i="8"/>
  <c r="I128" i="8"/>
  <c r="H128" i="8"/>
  <c r="G128" i="8"/>
  <c r="E128" i="8"/>
  <c r="B127" i="8"/>
  <c r="B126" i="8"/>
  <c r="F125" i="8"/>
  <c r="B125" i="8"/>
  <c r="F124" i="8"/>
  <c r="B124" i="8"/>
  <c r="F123" i="8"/>
  <c r="B123" i="8"/>
  <c r="B122" i="8"/>
  <c r="F121" i="8"/>
  <c r="B121" i="8"/>
  <c r="AG120" i="8"/>
  <c r="AF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E120" i="8"/>
  <c r="B118" i="8"/>
  <c r="F117" i="8"/>
  <c r="B117" i="8"/>
  <c r="B116" i="8"/>
  <c r="B115" i="8"/>
  <c r="F114" i="8"/>
  <c r="B114" i="8"/>
  <c r="F113" i="8"/>
  <c r="B113" i="8"/>
  <c r="F112" i="8"/>
  <c r="B112" i="8"/>
  <c r="F111" i="8"/>
  <c r="B111" i="8"/>
  <c r="B110" i="8"/>
  <c r="F109" i="8"/>
  <c r="B109" i="8"/>
  <c r="F108" i="8"/>
  <c r="B108" i="8"/>
  <c r="F107" i="8"/>
  <c r="B107" i="8"/>
  <c r="F106" i="8"/>
  <c r="B106" i="8"/>
  <c r="B105" i="8"/>
  <c r="B103" i="8"/>
  <c r="F102" i="8"/>
  <c r="B102" i="8"/>
  <c r="B101" i="8"/>
  <c r="AG100" i="8"/>
  <c r="AF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E100" i="8"/>
  <c r="F99" i="8"/>
  <c r="B99" i="8"/>
  <c r="B98" i="8"/>
  <c r="B97" i="8"/>
  <c r="B96" i="8"/>
  <c r="F95" i="8"/>
  <c r="B95" i="8"/>
  <c r="F94" i="8"/>
  <c r="B94" i="8"/>
  <c r="E93" i="8"/>
  <c r="AG87" i="8"/>
  <c r="AG79" i="8" s="1"/>
  <c r="AF87" i="8"/>
  <c r="AF79" i="8" s="1"/>
  <c r="AD87" i="8"/>
  <c r="AD79" i="8" s="1"/>
  <c r="AC87" i="8"/>
  <c r="AC79" i="8" s="1"/>
  <c r="AB87" i="8"/>
  <c r="AB79" i="8" s="1"/>
  <c r="AA87" i="8"/>
  <c r="AA79" i="8" s="1"/>
  <c r="Z87" i="8"/>
  <c r="Z79" i="8" s="1"/>
  <c r="Y87" i="8"/>
  <c r="Y79" i="8" s="1"/>
  <c r="X87" i="8"/>
  <c r="X79" i="8" s="1"/>
  <c r="W87" i="8"/>
  <c r="W79" i="8" s="1"/>
  <c r="V87" i="8"/>
  <c r="V79" i="8" s="1"/>
  <c r="U87" i="8"/>
  <c r="U79" i="8" s="1"/>
  <c r="T87" i="8"/>
  <c r="T79" i="8" s="1"/>
  <c r="S87" i="8"/>
  <c r="S79" i="8" s="1"/>
  <c r="R87" i="8"/>
  <c r="R79" i="8" s="1"/>
  <c r="Q87" i="8"/>
  <c r="Q79" i="8" s="1"/>
  <c r="P87" i="8"/>
  <c r="P79" i="8" s="1"/>
  <c r="O87" i="8"/>
  <c r="O79" i="8" s="1"/>
  <c r="N87" i="8"/>
  <c r="N79" i="8" s="1"/>
  <c r="M87" i="8"/>
  <c r="M79" i="8" s="1"/>
  <c r="L87" i="8"/>
  <c r="L79" i="8" s="1"/>
  <c r="K87" i="8"/>
  <c r="K79" i="8" s="1"/>
  <c r="J87" i="8"/>
  <c r="J79" i="8" s="1"/>
  <c r="I87" i="8"/>
  <c r="I79" i="8" s="1"/>
  <c r="H87" i="8"/>
  <c r="H79" i="8" s="1"/>
  <c r="G87" i="8"/>
  <c r="G79" i="8" s="1"/>
  <c r="E87" i="8"/>
  <c r="AE78" i="8"/>
  <c r="B78" i="8"/>
  <c r="AG77" i="8"/>
  <c r="AF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E77" i="8"/>
  <c r="B76" i="8"/>
  <c r="AG75" i="8"/>
  <c r="AF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E75" i="8"/>
  <c r="B74" i="8"/>
  <c r="AG73" i="8"/>
  <c r="AF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E73" i="8"/>
  <c r="AE72" i="8"/>
  <c r="B72" i="8"/>
  <c r="AG71" i="8"/>
  <c r="AF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E71" i="8"/>
  <c r="B70" i="8"/>
  <c r="AG69" i="8"/>
  <c r="AF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E69" i="8"/>
  <c r="B68" i="8"/>
  <c r="B67" i="8"/>
  <c r="B66" i="8"/>
  <c r="AG65" i="8"/>
  <c r="AF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E65" i="8"/>
  <c r="F63" i="8"/>
  <c r="B63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E62" i="8"/>
  <c r="F59" i="8"/>
  <c r="B59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E58" i="8"/>
  <c r="F57" i="8"/>
  <c r="B57" i="8"/>
  <c r="P56" i="8"/>
  <c r="B56" i="8"/>
  <c r="F55" i="8"/>
  <c r="B55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O54" i="8"/>
  <c r="N54" i="8"/>
  <c r="M54" i="8"/>
  <c r="L54" i="8"/>
  <c r="K54" i="8"/>
  <c r="J54" i="8"/>
  <c r="I54" i="8"/>
  <c r="H54" i="8"/>
  <c r="G54" i="8"/>
  <c r="E54" i="8"/>
  <c r="F53" i="8"/>
  <c r="B53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E52" i="8"/>
  <c r="AE51" i="8"/>
  <c r="B51" i="8"/>
  <c r="AG50" i="8"/>
  <c r="AF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E50" i="8"/>
  <c r="F49" i="8"/>
  <c r="B49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E48" i="8"/>
  <c r="B47" i="8"/>
  <c r="F46" i="8"/>
  <c r="B46" i="8"/>
  <c r="F45" i="8"/>
  <c r="B45" i="8"/>
  <c r="AG44" i="8"/>
  <c r="AF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E44" i="8"/>
  <c r="AE43" i="8"/>
  <c r="B43" i="8"/>
  <c r="AG42" i="8"/>
  <c r="AF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E42" i="8"/>
  <c r="B41" i="8"/>
  <c r="AG40" i="8"/>
  <c r="AF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E40" i="8"/>
  <c r="E36" i="8" s="1"/>
  <c r="AE39" i="8"/>
  <c r="B39" i="8"/>
  <c r="AE38" i="8"/>
  <c r="B38" i="8"/>
  <c r="AE37" i="8"/>
  <c r="B37" i="8"/>
  <c r="AG36" i="8"/>
  <c r="AF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5" i="8"/>
  <c r="B35" i="8"/>
  <c r="AE34" i="8"/>
  <c r="B34" i="8"/>
  <c r="AG33" i="8"/>
  <c r="AF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E33" i="8"/>
  <c r="AE32" i="8"/>
  <c r="B32" i="8"/>
  <c r="AE31" i="8"/>
  <c r="B31" i="8"/>
  <c r="AG30" i="8"/>
  <c r="AF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E30" i="8"/>
  <c r="AE29" i="8"/>
  <c r="B29" i="8"/>
  <c r="AG28" i="8"/>
  <c r="AF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E28" i="8"/>
  <c r="F27" i="8"/>
  <c r="B27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B25" i="8"/>
  <c r="AG24" i="8"/>
  <c r="AF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E24" i="8"/>
  <c r="B23" i="8"/>
  <c r="AE22" i="8"/>
  <c r="B22" i="8"/>
  <c r="AE21" i="8"/>
  <c r="F20" i="8"/>
  <c r="B20" i="8"/>
  <c r="F19" i="8"/>
  <c r="B19" i="8"/>
  <c r="AE18" i="8"/>
  <c r="B18" i="8"/>
  <c r="B17" i="8"/>
  <c r="F16" i="8"/>
  <c r="B16" i="8"/>
  <c r="AG15" i="8"/>
  <c r="AF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E15" i="8"/>
  <c r="B14" i="8"/>
  <c r="AG13" i="8"/>
  <c r="AF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O13" i="8"/>
  <c r="N13" i="8"/>
  <c r="M13" i="8"/>
  <c r="L13" i="8"/>
  <c r="K13" i="8"/>
  <c r="J13" i="8"/>
  <c r="I13" i="8"/>
  <c r="H13" i="8"/>
  <c r="G13" i="8"/>
  <c r="E13" i="8"/>
  <c r="E16" i="11"/>
  <c r="AB15" i="11"/>
  <c r="AA15" i="11"/>
  <c r="Z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4" i="11"/>
  <c r="AB13" i="11"/>
  <c r="AA13" i="11"/>
  <c r="Z13" i="11"/>
  <c r="Q13" i="11"/>
  <c r="Q12" i="11" s="1"/>
  <c r="Q11" i="11" s="1"/>
  <c r="P13" i="11"/>
  <c r="P12" i="11" s="1"/>
  <c r="P11" i="11" s="1"/>
  <c r="O13" i="11"/>
  <c r="N13" i="11"/>
  <c r="N12" i="11" s="1"/>
  <c r="N11" i="11" s="1"/>
  <c r="M13" i="11"/>
  <c r="L13" i="11"/>
  <c r="L12" i="11" s="1"/>
  <c r="L11" i="11" s="1"/>
  <c r="K13" i="11"/>
  <c r="K12" i="11" s="1"/>
  <c r="K11" i="11" s="1"/>
  <c r="J13" i="11"/>
  <c r="J12" i="11" s="1"/>
  <c r="J11" i="11" s="1"/>
  <c r="I13" i="11"/>
  <c r="I12" i="11" s="1"/>
  <c r="I11" i="11" s="1"/>
  <c r="H13" i="11"/>
  <c r="H12" i="11" s="1"/>
  <c r="H11" i="11" s="1"/>
  <c r="G13" i="11"/>
  <c r="F13" i="11"/>
  <c r="E10" i="11"/>
  <c r="F10" i="11" s="1"/>
  <c r="E237" i="5"/>
  <c r="E236" i="5" s="1"/>
  <c r="E214" i="5"/>
  <c r="E213" i="5" s="1"/>
  <c r="D214" i="5"/>
  <c r="D213" i="5" s="1"/>
  <c r="AC1580" i="7"/>
  <c r="AC1579" i="7" s="1"/>
  <c r="AC1569" i="7" s="1"/>
  <c r="D1582" i="7"/>
  <c r="D1581" i="7"/>
  <c r="AE1580" i="7"/>
  <c r="AE1579" i="7" s="1"/>
  <c r="AE1569" i="7" s="1"/>
  <c r="AD1580" i="7"/>
  <c r="AD1579" i="7" s="1"/>
  <c r="AD1569" i="7" s="1"/>
  <c r="AB1580" i="7"/>
  <c r="AB1579" i="7" s="1"/>
  <c r="AB1569" i="7" s="1"/>
  <c r="AA1580" i="7"/>
  <c r="AA1579" i="7" s="1"/>
  <c r="AA1569" i="7" s="1"/>
  <c r="Z1580" i="7"/>
  <c r="Z1579" i="7" s="1"/>
  <c r="Z1569" i="7" s="1"/>
  <c r="Y1580" i="7"/>
  <c r="Y1579" i="7" s="1"/>
  <c r="Y1569" i="7" s="1"/>
  <c r="X1580" i="7"/>
  <c r="X1579" i="7" s="1"/>
  <c r="X1569" i="7" s="1"/>
  <c r="W1580" i="7"/>
  <c r="W1579" i="7" s="1"/>
  <c r="W1569" i="7" s="1"/>
  <c r="V1580" i="7"/>
  <c r="V1579" i="7" s="1"/>
  <c r="V1569" i="7" s="1"/>
  <c r="U1580" i="7"/>
  <c r="U1579" i="7" s="1"/>
  <c r="U1569" i="7" s="1"/>
  <c r="T1580" i="7"/>
  <c r="T1579" i="7" s="1"/>
  <c r="T1569" i="7" s="1"/>
  <c r="S1580" i="7"/>
  <c r="S1579" i="7" s="1"/>
  <c r="S1569" i="7" s="1"/>
  <c r="R1580" i="7"/>
  <c r="R1579" i="7" s="1"/>
  <c r="R1569" i="7" s="1"/>
  <c r="Q1580" i="7"/>
  <c r="Q1579" i="7" s="1"/>
  <c r="Q1569" i="7" s="1"/>
  <c r="P1580" i="7"/>
  <c r="P1579" i="7" s="1"/>
  <c r="P1569" i="7" s="1"/>
  <c r="O1580" i="7"/>
  <c r="O1579" i="7" s="1"/>
  <c r="O1569" i="7" s="1"/>
  <c r="N1580" i="7"/>
  <c r="N1579" i="7" s="1"/>
  <c r="N1569" i="7" s="1"/>
  <c r="M1580" i="7"/>
  <c r="M1579" i="7" s="1"/>
  <c r="M1569" i="7" s="1"/>
  <c r="L1580" i="7"/>
  <c r="L1579" i="7" s="1"/>
  <c r="L1569" i="7" s="1"/>
  <c r="K1580" i="7"/>
  <c r="K1579" i="7" s="1"/>
  <c r="K1569" i="7" s="1"/>
  <c r="J1580" i="7"/>
  <c r="J1579" i="7" s="1"/>
  <c r="J1569" i="7" s="1"/>
  <c r="I1580" i="7"/>
  <c r="I1579" i="7" s="1"/>
  <c r="I1569" i="7" s="1"/>
  <c r="H1580" i="7"/>
  <c r="H1579" i="7" s="1"/>
  <c r="H1569" i="7" s="1"/>
  <c r="G1580" i="7"/>
  <c r="G1579" i="7" s="1"/>
  <c r="G1569" i="7" s="1"/>
  <c r="F1580" i="7"/>
  <c r="F1579" i="7" s="1"/>
  <c r="F1569" i="7" s="1"/>
  <c r="E1580" i="7"/>
  <c r="E1579" i="7" s="1"/>
  <c r="E1569" i="7" s="1"/>
  <c r="D1472" i="7"/>
  <c r="AE1471" i="7"/>
  <c r="AD1471" i="7"/>
  <c r="AC1471" i="7"/>
  <c r="AB1471" i="7"/>
  <c r="AA1471" i="7"/>
  <c r="Z1471" i="7"/>
  <c r="Y1471" i="7"/>
  <c r="X1471" i="7"/>
  <c r="W1471" i="7"/>
  <c r="V1471" i="7"/>
  <c r="U1471" i="7"/>
  <c r="T1471" i="7"/>
  <c r="S1471" i="7"/>
  <c r="R1471" i="7"/>
  <c r="Q1471" i="7"/>
  <c r="P1471" i="7"/>
  <c r="O1471" i="7"/>
  <c r="N1471" i="7"/>
  <c r="M1471" i="7"/>
  <c r="L1471" i="7"/>
  <c r="K1471" i="7"/>
  <c r="J1471" i="7"/>
  <c r="I1471" i="7"/>
  <c r="H1471" i="7"/>
  <c r="G1471" i="7"/>
  <c r="F1471" i="7"/>
  <c r="E1471" i="7"/>
  <c r="D1470" i="7"/>
  <c r="AE1469" i="7"/>
  <c r="AD1469" i="7"/>
  <c r="AC1469" i="7"/>
  <c r="AB1469" i="7"/>
  <c r="AA1469" i="7"/>
  <c r="Z1469" i="7"/>
  <c r="Y1469" i="7"/>
  <c r="X1469" i="7"/>
  <c r="W1469" i="7"/>
  <c r="V1469" i="7"/>
  <c r="U1469" i="7"/>
  <c r="T1469" i="7"/>
  <c r="S1469" i="7"/>
  <c r="R1469" i="7"/>
  <c r="Q1469" i="7"/>
  <c r="P1469" i="7"/>
  <c r="O1469" i="7"/>
  <c r="N1469" i="7"/>
  <c r="M1469" i="7"/>
  <c r="L1469" i="7"/>
  <c r="K1469" i="7"/>
  <c r="J1469" i="7"/>
  <c r="I1469" i="7"/>
  <c r="H1469" i="7"/>
  <c r="G1469" i="7"/>
  <c r="F1469" i="7"/>
  <c r="E1469" i="7"/>
  <c r="D1468" i="7"/>
  <c r="AE1467" i="7"/>
  <c r="AD1467" i="7"/>
  <c r="AC1467" i="7"/>
  <c r="AB1467" i="7"/>
  <c r="AA1467" i="7"/>
  <c r="Z1467" i="7"/>
  <c r="Y1467" i="7"/>
  <c r="X1467" i="7"/>
  <c r="W1467" i="7"/>
  <c r="V1467" i="7"/>
  <c r="U1467" i="7"/>
  <c r="T1467" i="7"/>
  <c r="S1467" i="7"/>
  <c r="R1467" i="7"/>
  <c r="Q1467" i="7"/>
  <c r="P1467" i="7"/>
  <c r="O1467" i="7"/>
  <c r="N1467" i="7"/>
  <c r="M1467" i="7"/>
  <c r="L1467" i="7"/>
  <c r="K1467" i="7"/>
  <c r="J1467" i="7"/>
  <c r="I1467" i="7"/>
  <c r="H1467" i="7"/>
  <c r="G1467" i="7"/>
  <c r="F1467" i="7"/>
  <c r="E1467" i="7"/>
  <c r="D1456" i="7"/>
  <c r="D1453" i="7"/>
  <c r="D1452" i="7" s="1"/>
  <c r="AE1452" i="7"/>
  <c r="AD1452" i="7"/>
  <c r="AB1452" i="7"/>
  <c r="AA1452" i="7"/>
  <c r="Z1452" i="7"/>
  <c r="Y1452" i="7"/>
  <c r="X1452" i="7"/>
  <c r="W1452" i="7"/>
  <c r="V1452" i="7"/>
  <c r="U1452" i="7"/>
  <c r="T1452" i="7"/>
  <c r="S1452" i="7"/>
  <c r="R1452" i="7"/>
  <c r="Q1452" i="7"/>
  <c r="P1452" i="7"/>
  <c r="O1452" i="7"/>
  <c r="M1452" i="7"/>
  <c r="L1452" i="7"/>
  <c r="K1452" i="7"/>
  <c r="J1452" i="7"/>
  <c r="I1452" i="7"/>
  <c r="H1452" i="7"/>
  <c r="G1452" i="7"/>
  <c r="F1452" i="7"/>
  <c r="E1452" i="7"/>
  <c r="D1451" i="7"/>
  <c r="AE1450" i="7"/>
  <c r="AD1450" i="7"/>
  <c r="AB1450" i="7"/>
  <c r="AA1450" i="7"/>
  <c r="Z1450" i="7"/>
  <c r="Y1450" i="7"/>
  <c r="X1450" i="7"/>
  <c r="W1450" i="7"/>
  <c r="V1450" i="7"/>
  <c r="U1450" i="7"/>
  <c r="T1450" i="7"/>
  <c r="S1450" i="7"/>
  <c r="R1450" i="7"/>
  <c r="Q1450" i="7"/>
  <c r="P1450" i="7"/>
  <c r="O1450" i="7"/>
  <c r="N1450" i="7"/>
  <c r="M1450" i="7"/>
  <c r="L1450" i="7"/>
  <c r="K1450" i="7"/>
  <c r="J1450" i="7"/>
  <c r="I1450" i="7"/>
  <c r="H1450" i="7"/>
  <c r="G1450" i="7"/>
  <c r="F1450" i="7"/>
  <c r="E1450" i="7"/>
  <c r="AC1446" i="7"/>
  <c r="D1443" i="7"/>
  <c r="D1440" i="7"/>
  <c r="D1439" i="7"/>
  <c r="AE1438" i="7"/>
  <c r="AD1438" i="7"/>
  <c r="AB1438" i="7"/>
  <c r="AA1438" i="7"/>
  <c r="Z1438" i="7"/>
  <c r="Y1438" i="7"/>
  <c r="X1438" i="7"/>
  <c r="W1438" i="7"/>
  <c r="V1438" i="7"/>
  <c r="U1438" i="7"/>
  <c r="T1438" i="7"/>
  <c r="S1438" i="7"/>
  <c r="R1438" i="7"/>
  <c r="Q1438" i="7"/>
  <c r="P1438" i="7"/>
  <c r="O1438" i="7"/>
  <c r="N1438" i="7"/>
  <c r="M1438" i="7"/>
  <c r="L1438" i="7"/>
  <c r="K1438" i="7"/>
  <c r="J1438" i="7"/>
  <c r="I1438" i="7"/>
  <c r="H1438" i="7"/>
  <c r="G1438" i="7"/>
  <c r="F1438" i="7"/>
  <c r="E1438" i="7"/>
  <c r="AE1436" i="7"/>
  <c r="AD1436" i="7"/>
  <c r="AB1436" i="7"/>
  <c r="AA1436" i="7"/>
  <c r="Z1436" i="7"/>
  <c r="Y1436" i="7"/>
  <c r="X1436" i="7"/>
  <c r="W1436" i="7"/>
  <c r="V1436" i="7"/>
  <c r="U1436" i="7"/>
  <c r="T1436" i="7"/>
  <c r="S1436" i="7"/>
  <c r="R1436" i="7"/>
  <c r="Q1436" i="7"/>
  <c r="P1436" i="7"/>
  <c r="O1436" i="7"/>
  <c r="N1436" i="7"/>
  <c r="M1436" i="7"/>
  <c r="L1436" i="7"/>
  <c r="K1436" i="7"/>
  <c r="J1436" i="7"/>
  <c r="I1436" i="7"/>
  <c r="H1436" i="7"/>
  <c r="G1436" i="7"/>
  <c r="F1436" i="7"/>
  <c r="E1436" i="7"/>
  <c r="AE1434" i="7"/>
  <c r="AD1434" i="7"/>
  <c r="AB1434" i="7"/>
  <c r="AA1434" i="7"/>
  <c r="Z1434" i="7"/>
  <c r="Y1434" i="7"/>
  <c r="X1434" i="7"/>
  <c r="W1434" i="7"/>
  <c r="V1434" i="7"/>
  <c r="U1434" i="7"/>
  <c r="T1434" i="7"/>
  <c r="S1434" i="7"/>
  <c r="R1434" i="7"/>
  <c r="Q1434" i="7"/>
  <c r="P1434" i="7"/>
  <c r="O1434" i="7"/>
  <c r="N1434" i="7"/>
  <c r="M1434" i="7"/>
  <c r="L1434" i="7"/>
  <c r="K1434" i="7"/>
  <c r="J1434" i="7"/>
  <c r="I1434" i="7"/>
  <c r="H1434" i="7"/>
  <c r="G1434" i="7"/>
  <c r="F1434" i="7"/>
  <c r="E1434" i="7"/>
  <c r="AE1428" i="7"/>
  <c r="AD1428" i="7"/>
  <c r="AB1428" i="7"/>
  <c r="AA1428" i="7"/>
  <c r="Z1428" i="7"/>
  <c r="Y1428" i="7"/>
  <c r="X1428" i="7"/>
  <c r="W1428" i="7"/>
  <c r="V1428" i="7"/>
  <c r="U1428" i="7"/>
  <c r="T1428" i="7"/>
  <c r="S1428" i="7"/>
  <c r="R1428" i="7"/>
  <c r="Q1428" i="7"/>
  <c r="P1428" i="7"/>
  <c r="O1428" i="7"/>
  <c r="L1428" i="7"/>
  <c r="K1428" i="7"/>
  <c r="J1428" i="7"/>
  <c r="I1428" i="7"/>
  <c r="H1428" i="7"/>
  <c r="G1428" i="7"/>
  <c r="F1428" i="7"/>
  <c r="E1428" i="7"/>
  <c r="AE1424" i="7"/>
  <c r="AD1424" i="7"/>
  <c r="AB1424" i="7"/>
  <c r="AA1424" i="7"/>
  <c r="Z1424" i="7"/>
  <c r="Y1424" i="7"/>
  <c r="X1424" i="7"/>
  <c r="W1424" i="7"/>
  <c r="V1424" i="7"/>
  <c r="U1424" i="7"/>
  <c r="T1424" i="7"/>
  <c r="S1424" i="7"/>
  <c r="R1424" i="7"/>
  <c r="Q1424" i="7"/>
  <c r="P1424" i="7"/>
  <c r="O1424" i="7"/>
  <c r="N1424" i="7"/>
  <c r="M1424" i="7"/>
  <c r="L1424" i="7"/>
  <c r="K1424" i="7"/>
  <c r="J1424" i="7"/>
  <c r="I1424" i="7"/>
  <c r="H1424" i="7"/>
  <c r="G1424" i="7"/>
  <c r="F1424" i="7"/>
  <c r="E1424" i="7"/>
  <c r="D1421" i="7"/>
  <c r="D1420" i="7"/>
  <c r="AE1419" i="7"/>
  <c r="AD1419" i="7"/>
  <c r="AB1419" i="7"/>
  <c r="AA1419" i="7"/>
  <c r="Z1419" i="7"/>
  <c r="Y1419" i="7"/>
  <c r="X1419" i="7"/>
  <c r="W1419" i="7"/>
  <c r="V1419" i="7"/>
  <c r="U1419" i="7"/>
  <c r="T1419" i="7"/>
  <c r="S1419" i="7"/>
  <c r="R1419" i="7"/>
  <c r="Q1419" i="7"/>
  <c r="P1419" i="7"/>
  <c r="O1419" i="7"/>
  <c r="N1419" i="7"/>
  <c r="M1419" i="7"/>
  <c r="L1419" i="7"/>
  <c r="K1419" i="7"/>
  <c r="J1419" i="7"/>
  <c r="I1419" i="7"/>
  <c r="H1419" i="7"/>
  <c r="G1419" i="7"/>
  <c r="F1419" i="7"/>
  <c r="E1419" i="7"/>
  <c r="D1417" i="7"/>
  <c r="AC1411" i="7"/>
  <c r="D1406" i="7"/>
  <c r="D1405" i="7"/>
  <c r="AE1399" i="7"/>
  <c r="AD1399" i="7"/>
  <c r="AB1399" i="7"/>
  <c r="AA1399" i="7"/>
  <c r="Z1399" i="7"/>
  <c r="Y1399" i="7"/>
  <c r="X1399" i="7"/>
  <c r="W1399" i="7"/>
  <c r="V1399" i="7"/>
  <c r="U1399" i="7"/>
  <c r="T1399" i="7"/>
  <c r="S1399" i="7"/>
  <c r="R1399" i="7"/>
  <c r="Q1399" i="7"/>
  <c r="P1399" i="7"/>
  <c r="O1399" i="7"/>
  <c r="N1399" i="7"/>
  <c r="M1399" i="7"/>
  <c r="L1399" i="7"/>
  <c r="K1399" i="7"/>
  <c r="J1399" i="7"/>
  <c r="I1399" i="7"/>
  <c r="H1399" i="7"/>
  <c r="G1399" i="7"/>
  <c r="F1399" i="7"/>
  <c r="E1399" i="7"/>
  <c r="AC1396" i="7"/>
  <c r="D1393" i="7"/>
  <c r="D1392" i="7" s="1"/>
  <c r="N1388" i="7"/>
  <c r="AE1388" i="7"/>
  <c r="AD1388" i="7"/>
  <c r="AB1388" i="7"/>
  <c r="AA1388" i="7"/>
  <c r="Z1388" i="7"/>
  <c r="Y1388" i="7"/>
  <c r="X1388" i="7"/>
  <c r="W1388" i="7"/>
  <c r="V1388" i="7"/>
  <c r="U1388" i="7"/>
  <c r="T1388" i="7"/>
  <c r="S1388" i="7"/>
  <c r="R1388" i="7"/>
  <c r="Q1388" i="7"/>
  <c r="P1388" i="7"/>
  <c r="O1388" i="7"/>
  <c r="M1388" i="7"/>
  <c r="L1388" i="7"/>
  <c r="K1388" i="7"/>
  <c r="J1388" i="7"/>
  <c r="I1388" i="7"/>
  <c r="H1388" i="7"/>
  <c r="G1388" i="7"/>
  <c r="F1388" i="7"/>
  <c r="E1388" i="7"/>
  <c r="AC1386" i="7"/>
  <c r="AE1386" i="7"/>
  <c r="AD1386" i="7"/>
  <c r="AB1386" i="7"/>
  <c r="AA1386" i="7"/>
  <c r="Z1386" i="7"/>
  <c r="Y1386" i="7"/>
  <c r="X1386" i="7"/>
  <c r="W1386" i="7"/>
  <c r="V1386" i="7"/>
  <c r="U1386" i="7"/>
  <c r="T1386" i="7"/>
  <c r="S1386" i="7"/>
  <c r="R1386" i="7"/>
  <c r="Q1386" i="7"/>
  <c r="P1386" i="7"/>
  <c r="O1386" i="7"/>
  <c r="N1386" i="7"/>
  <c r="M1386" i="7"/>
  <c r="L1386" i="7"/>
  <c r="K1386" i="7"/>
  <c r="J1386" i="7"/>
  <c r="I1386" i="7"/>
  <c r="H1386" i="7"/>
  <c r="G1386" i="7"/>
  <c r="F1386" i="7"/>
  <c r="E1386" i="7"/>
  <c r="AC1382" i="7"/>
  <c r="AE1380" i="7"/>
  <c r="AD1380" i="7"/>
  <c r="AB1380" i="7"/>
  <c r="AA1380" i="7"/>
  <c r="Z1380" i="7"/>
  <c r="Y1380" i="7"/>
  <c r="X1380" i="7"/>
  <c r="W1380" i="7"/>
  <c r="V1380" i="7"/>
  <c r="U1380" i="7"/>
  <c r="T1380" i="7"/>
  <c r="S1380" i="7"/>
  <c r="R1380" i="7"/>
  <c r="Q1380" i="7"/>
  <c r="P1380" i="7"/>
  <c r="O1380" i="7"/>
  <c r="N1380" i="7"/>
  <c r="M1380" i="7"/>
  <c r="L1380" i="7"/>
  <c r="K1380" i="7"/>
  <c r="J1380" i="7"/>
  <c r="I1380" i="7"/>
  <c r="H1380" i="7"/>
  <c r="G1380" i="7"/>
  <c r="F1380" i="7"/>
  <c r="E1380" i="7"/>
  <c r="AE1378" i="7"/>
  <c r="AD1378" i="7"/>
  <c r="AB1378" i="7"/>
  <c r="AA1378" i="7"/>
  <c r="Z1378" i="7"/>
  <c r="Y1378" i="7"/>
  <c r="X1378" i="7"/>
  <c r="W1378" i="7"/>
  <c r="V1378" i="7"/>
  <c r="U1378" i="7"/>
  <c r="T1378" i="7"/>
  <c r="S1378" i="7"/>
  <c r="R1378" i="7"/>
  <c r="Q1378" i="7"/>
  <c r="P1378" i="7"/>
  <c r="O1378" i="7"/>
  <c r="N1378" i="7"/>
  <c r="M1378" i="7"/>
  <c r="L1378" i="7"/>
  <c r="K1378" i="7"/>
  <c r="J1378" i="7"/>
  <c r="I1378" i="7"/>
  <c r="H1378" i="7"/>
  <c r="G1378" i="7"/>
  <c r="F1378" i="7"/>
  <c r="E1378" i="7"/>
  <c r="D1373" i="7"/>
  <c r="D1345" i="7"/>
  <c r="D1343" i="7"/>
  <c r="AE1336" i="7"/>
  <c r="AD1336" i="7"/>
  <c r="AB1336" i="7"/>
  <c r="AA1336" i="7"/>
  <c r="Z1336" i="7"/>
  <c r="Y1336" i="7"/>
  <c r="X1336" i="7"/>
  <c r="W1336" i="7"/>
  <c r="V1336" i="7"/>
  <c r="U1336" i="7"/>
  <c r="T1336" i="7"/>
  <c r="S1336" i="7"/>
  <c r="R1336" i="7"/>
  <c r="Q1336" i="7"/>
  <c r="P1336" i="7"/>
  <c r="O1336" i="7"/>
  <c r="N1336" i="7"/>
  <c r="M1336" i="7"/>
  <c r="L1336" i="7"/>
  <c r="K1336" i="7"/>
  <c r="J1336" i="7"/>
  <c r="I1336" i="7"/>
  <c r="H1336" i="7"/>
  <c r="G1336" i="7"/>
  <c r="F1336" i="7"/>
  <c r="E1336" i="7"/>
  <c r="AC1324" i="7"/>
  <c r="D1318" i="7"/>
  <c r="AE1316" i="7"/>
  <c r="AD1316" i="7"/>
  <c r="AB1316" i="7"/>
  <c r="AA1316" i="7"/>
  <c r="Z1316" i="7"/>
  <c r="Y1316" i="7"/>
  <c r="X1316" i="7"/>
  <c r="W1316" i="7"/>
  <c r="V1316" i="7"/>
  <c r="U1316" i="7"/>
  <c r="T1316" i="7"/>
  <c r="S1316" i="7"/>
  <c r="R1316" i="7"/>
  <c r="Q1316" i="7"/>
  <c r="P1316" i="7"/>
  <c r="O1316" i="7"/>
  <c r="N1316" i="7"/>
  <c r="M1316" i="7"/>
  <c r="L1316" i="7"/>
  <c r="K1316" i="7"/>
  <c r="J1316" i="7"/>
  <c r="I1316" i="7"/>
  <c r="H1316" i="7"/>
  <c r="G1316" i="7"/>
  <c r="F1316" i="7"/>
  <c r="E1316" i="7"/>
  <c r="AE1310" i="7"/>
  <c r="AD1310" i="7"/>
  <c r="AB1310" i="7"/>
  <c r="AA1310" i="7"/>
  <c r="Z1310" i="7"/>
  <c r="Y1310" i="7"/>
  <c r="X1310" i="7"/>
  <c r="W1310" i="7"/>
  <c r="V1310" i="7"/>
  <c r="U1310" i="7"/>
  <c r="T1310" i="7"/>
  <c r="S1310" i="7"/>
  <c r="R1310" i="7"/>
  <c r="Q1310" i="7"/>
  <c r="P1310" i="7"/>
  <c r="O1310" i="7"/>
  <c r="N1310" i="7"/>
  <c r="M1310" i="7"/>
  <c r="L1310" i="7"/>
  <c r="K1310" i="7"/>
  <c r="J1310" i="7"/>
  <c r="I1310" i="7"/>
  <c r="H1310" i="7"/>
  <c r="G1310" i="7"/>
  <c r="F1310" i="7"/>
  <c r="E1310" i="7"/>
  <c r="AE1295" i="7"/>
  <c r="AD1295" i="7"/>
  <c r="AB1295" i="7"/>
  <c r="AA1295" i="7"/>
  <c r="Z1295" i="7"/>
  <c r="Y1295" i="7"/>
  <c r="X1295" i="7"/>
  <c r="W1295" i="7"/>
  <c r="V1295" i="7"/>
  <c r="U1295" i="7"/>
  <c r="T1295" i="7"/>
  <c r="S1295" i="7"/>
  <c r="R1295" i="7"/>
  <c r="Q1295" i="7"/>
  <c r="P1295" i="7"/>
  <c r="O1295" i="7"/>
  <c r="N1295" i="7"/>
  <c r="M1295" i="7"/>
  <c r="L1295" i="7"/>
  <c r="K1295" i="7"/>
  <c r="J1295" i="7"/>
  <c r="I1295" i="7"/>
  <c r="H1295" i="7"/>
  <c r="G1295" i="7"/>
  <c r="F1295" i="7"/>
  <c r="E1295" i="7"/>
  <c r="AC1274" i="7"/>
  <c r="D1272" i="7"/>
  <c r="AC1264" i="7"/>
  <c r="D1258" i="7"/>
  <c r="D1257" i="7" s="1"/>
  <c r="D1237" i="7"/>
  <c r="D1236" i="7"/>
  <c r="D1235" i="7"/>
  <c r="D1234" i="7"/>
  <c r="D1231" i="7"/>
  <c r="D1188" i="7"/>
  <c r="D1187" i="7"/>
  <c r="D1185" i="7"/>
  <c r="D1184" i="7"/>
  <c r="D1183" i="7"/>
  <c r="D1150" i="7"/>
  <c r="D1147" i="7"/>
  <c r="D1146" i="7"/>
  <c r="D1145" i="7"/>
  <c r="D1144" i="7"/>
  <c r="D1143" i="7"/>
  <c r="D1142" i="7"/>
  <c r="D1141" i="7"/>
  <c r="D1140" i="7"/>
  <c r="D1138" i="7"/>
  <c r="D1137" i="7"/>
  <c r="D1136" i="7"/>
  <c r="D1135" i="7"/>
  <c r="D1134" i="7"/>
  <c r="D1133" i="7"/>
  <c r="D1124" i="7"/>
  <c r="D1123" i="7"/>
  <c r="D1122" i="7"/>
  <c r="D1121" i="7"/>
  <c r="D1120" i="7"/>
  <c r="D1119" i="7"/>
  <c r="D1118" i="7"/>
  <c r="D1117" i="7"/>
  <c r="D1116" i="7"/>
  <c r="D1115" i="7"/>
  <c r="D1113" i="7"/>
  <c r="D1112" i="7"/>
  <c r="D1065" i="7"/>
  <c r="D1064" i="7"/>
  <c r="D1063" i="7"/>
  <c r="D1062" i="7"/>
  <c r="D1061" i="7"/>
  <c r="D1060" i="7"/>
  <c r="D1059" i="7"/>
  <c r="D1058" i="7"/>
  <c r="D1057" i="7"/>
  <c r="D1056" i="7"/>
  <c r="D1055" i="7"/>
  <c r="D1054" i="7"/>
  <c r="D1053" i="7"/>
  <c r="D1052" i="7"/>
  <c r="D1049" i="7"/>
  <c r="D1048" i="7"/>
  <c r="D1047" i="7"/>
  <c r="D1046" i="7"/>
  <c r="D1045" i="7"/>
  <c r="D1043" i="7"/>
  <c r="D1042" i="7"/>
  <c r="D1041" i="7"/>
  <c r="D1040" i="7"/>
  <c r="D1039" i="7"/>
  <c r="D1038" i="7"/>
  <c r="D1037" i="7"/>
  <c r="D1036" i="7"/>
  <c r="D1035" i="7"/>
  <c r="D1033" i="7"/>
  <c r="D1032" i="7"/>
  <c r="B1032" i="7"/>
  <c r="AC1029" i="7"/>
  <c r="D1029" i="7" s="1"/>
  <c r="B1029" i="7"/>
  <c r="AE1028" i="7"/>
  <c r="AB1028" i="7"/>
  <c r="AA1028" i="7"/>
  <c r="Z1028" i="7"/>
  <c r="Y1028" i="7"/>
  <c r="X1028" i="7"/>
  <c r="W1028" i="7"/>
  <c r="V1028" i="7"/>
  <c r="U1028" i="7"/>
  <c r="T1028" i="7"/>
  <c r="S1028" i="7"/>
  <c r="R1028" i="7"/>
  <c r="Q1028" i="7"/>
  <c r="P1028" i="7"/>
  <c r="O1028" i="7"/>
  <c r="N1028" i="7"/>
  <c r="M1028" i="7"/>
  <c r="L1028" i="7"/>
  <c r="K1028" i="7"/>
  <c r="J1028" i="7"/>
  <c r="I1028" i="7"/>
  <c r="H1028" i="7"/>
  <c r="G1028" i="7"/>
  <c r="F1028" i="7"/>
  <c r="E1028" i="7"/>
  <c r="D1025" i="7"/>
  <c r="B1025" i="7"/>
  <c r="D1024" i="7"/>
  <c r="B1024" i="7"/>
  <c r="N1022" i="7"/>
  <c r="B1023" i="7"/>
  <c r="AE1022" i="7"/>
  <c r="AB1022" i="7"/>
  <c r="AA1022" i="7"/>
  <c r="Z1022" i="7"/>
  <c r="Y1022" i="7"/>
  <c r="X1022" i="7"/>
  <c r="W1022" i="7"/>
  <c r="V1022" i="7"/>
  <c r="U1022" i="7"/>
  <c r="T1022" i="7"/>
  <c r="S1022" i="7"/>
  <c r="R1022" i="7"/>
  <c r="Q1022" i="7"/>
  <c r="P1022" i="7"/>
  <c r="O1022" i="7"/>
  <c r="M1022" i="7"/>
  <c r="L1022" i="7"/>
  <c r="K1022" i="7"/>
  <c r="J1022" i="7"/>
  <c r="I1022" i="7"/>
  <c r="H1022" i="7"/>
  <c r="G1022" i="7"/>
  <c r="F1022" i="7"/>
  <c r="E1022" i="7"/>
  <c r="D1019" i="7"/>
  <c r="B1019" i="7"/>
  <c r="D1018" i="7"/>
  <c r="B1018" i="7"/>
  <c r="D1017" i="7"/>
  <c r="B1017" i="7"/>
  <c r="B1016" i="7"/>
  <c r="AE1015" i="7"/>
  <c r="AB1015" i="7"/>
  <c r="AA1015" i="7"/>
  <c r="Z1015" i="7"/>
  <c r="Y1015" i="7"/>
  <c r="X1015" i="7"/>
  <c r="W1015" i="7"/>
  <c r="V1015" i="7"/>
  <c r="U1015" i="7"/>
  <c r="T1015" i="7"/>
  <c r="S1015" i="7"/>
  <c r="R1015" i="7"/>
  <c r="Q1015" i="7"/>
  <c r="P1015" i="7"/>
  <c r="O1015" i="7"/>
  <c r="M1015" i="7"/>
  <c r="L1015" i="7"/>
  <c r="K1015" i="7"/>
  <c r="J1015" i="7"/>
  <c r="I1015" i="7"/>
  <c r="H1015" i="7"/>
  <c r="F1015" i="7"/>
  <c r="E1015" i="7"/>
  <c r="B1014" i="7"/>
  <c r="AE1013" i="7"/>
  <c r="AB1013" i="7"/>
  <c r="AA1013" i="7"/>
  <c r="Z1013" i="7"/>
  <c r="Y1013" i="7"/>
  <c r="X1013" i="7"/>
  <c r="W1013" i="7"/>
  <c r="V1013" i="7"/>
  <c r="U1013" i="7"/>
  <c r="T1013" i="7"/>
  <c r="S1013" i="7"/>
  <c r="R1013" i="7"/>
  <c r="Q1013" i="7"/>
  <c r="P1013" i="7"/>
  <c r="O1013" i="7"/>
  <c r="N1013" i="7"/>
  <c r="M1013" i="7"/>
  <c r="L1013" i="7"/>
  <c r="K1013" i="7"/>
  <c r="J1013" i="7"/>
  <c r="I1013" i="7"/>
  <c r="H1013" i="7"/>
  <c r="G1013" i="7"/>
  <c r="F1013" i="7"/>
  <c r="E1013" i="7"/>
  <c r="D1012" i="7"/>
  <c r="B1012" i="7"/>
  <c r="AE1011" i="7"/>
  <c r="AB1011" i="7"/>
  <c r="AA1011" i="7"/>
  <c r="Z1011" i="7"/>
  <c r="Y1011" i="7"/>
  <c r="X1011" i="7"/>
  <c r="W1011" i="7"/>
  <c r="V1011" i="7"/>
  <c r="U1011" i="7"/>
  <c r="T1011" i="7"/>
  <c r="S1011" i="7"/>
  <c r="R1011" i="7"/>
  <c r="Q1011" i="7"/>
  <c r="P1011" i="7"/>
  <c r="O1011" i="7"/>
  <c r="M1011" i="7"/>
  <c r="L1011" i="7"/>
  <c r="K1011" i="7"/>
  <c r="J1011" i="7"/>
  <c r="I1011" i="7"/>
  <c r="H1011" i="7"/>
  <c r="G1011" i="7"/>
  <c r="F1011" i="7"/>
  <c r="E1011" i="7"/>
  <c r="D1006" i="7"/>
  <c r="B1006" i="7"/>
  <c r="D1005" i="7"/>
  <c r="B1005" i="7"/>
  <c r="B1004" i="7"/>
  <c r="N1001" i="7"/>
  <c r="B1002" i="7"/>
  <c r="AE1001" i="7"/>
  <c r="AB1001" i="7"/>
  <c r="AA1001" i="7"/>
  <c r="Z1001" i="7"/>
  <c r="Y1001" i="7"/>
  <c r="X1001" i="7"/>
  <c r="W1001" i="7"/>
  <c r="V1001" i="7"/>
  <c r="U1001" i="7"/>
  <c r="T1001" i="7"/>
  <c r="S1001" i="7"/>
  <c r="R1001" i="7"/>
  <c r="Q1001" i="7"/>
  <c r="P1001" i="7"/>
  <c r="O1001" i="7"/>
  <c r="M1001" i="7"/>
  <c r="L1001" i="7"/>
  <c r="K1001" i="7"/>
  <c r="J1001" i="7"/>
  <c r="I1001" i="7"/>
  <c r="H1001" i="7"/>
  <c r="G1001" i="7"/>
  <c r="F1001" i="7"/>
  <c r="E1001" i="7"/>
  <c r="B1000" i="7"/>
  <c r="AE999" i="7"/>
  <c r="AB999" i="7"/>
  <c r="AA999" i="7"/>
  <c r="Z999" i="7"/>
  <c r="Y999" i="7"/>
  <c r="X999" i="7"/>
  <c r="W999" i="7"/>
  <c r="V999" i="7"/>
  <c r="U999" i="7"/>
  <c r="T999" i="7"/>
  <c r="S999" i="7"/>
  <c r="R999" i="7"/>
  <c r="Q999" i="7"/>
  <c r="P999" i="7"/>
  <c r="O999" i="7"/>
  <c r="N999" i="7"/>
  <c r="M999" i="7"/>
  <c r="L999" i="7"/>
  <c r="K999" i="7"/>
  <c r="J999" i="7"/>
  <c r="I999" i="7"/>
  <c r="H999" i="7"/>
  <c r="G999" i="7"/>
  <c r="F999" i="7"/>
  <c r="E999" i="7"/>
  <c r="N997" i="7"/>
  <c r="B998" i="7"/>
  <c r="AE997" i="7"/>
  <c r="AB997" i="7"/>
  <c r="AA997" i="7"/>
  <c r="Z997" i="7"/>
  <c r="Y997" i="7"/>
  <c r="X997" i="7"/>
  <c r="W997" i="7"/>
  <c r="V997" i="7"/>
  <c r="U997" i="7"/>
  <c r="T997" i="7"/>
  <c r="S997" i="7"/>
  <c r="R997" i="7"/>
  <c r="Q997" i="7"/>
  <c r="P997" i="7"/>
  <c r="O997" i="7"/>
  <c r="M997" i="7"/>
  <c r="L997" i="7"/>
  <c r="K997" i="7"/>
  <c r="J997" i="7"/>
  <c r="I997" i="7"/>
  <c r="H997" i="7"/>
  <c r="G997" i="7"/>
  <c r="F997" i="7"/>
  <c r="E997" i="7"/>
  <c r="N995" i="7"/>
  <c r="B996" i="7"/>
  <c r="AE995" i="7"/>
  <c r="AB995" i="7"/>
  <c r="AA995" i="7"/>
  <c r="Z995" i="7"/>
  <c r="Y995" i="7"/>
  <c r="X995" i="7"/>
  <c r="W995" i="7"/>
  <c r="V995" i="7"/>
  <c r="U995" i="7"/>
  <c r="T995" i="7"/>
  <c r="S995" i="7"/>
  <c r="R995" i="7"/>
  <c r="Q995" i="7"/>
  <c r="P995" i="7"/>
  <c r="O995" i="7"/>
  <c r="M995" i="7"/>
  <c r="L995" i="7"/>
  <c r="K995" i="7"/>
  <c r="J995" i="7"/>
  <c r="I995" i="7"/>
  <c r="H995" i="7"/>
  <c r="G995" i="7"/>
  <c r="F995" i="7"/>
  <c r="E995" i="7"/>
  <c r="R991" i="7"/>
  <c r="B994" i="7"/>
  <c r="D993" i="7"/>
  <c r="B993" i="7"/>
  <c r="B992" i="7"/>
  <c r="AE991" i="7"/>
  <c r="AB991" i="7"/>
  <c r="AA991" i="7"/>
  <c r="Z991" i="7"/>
  <c r="Y991" i="7"/>
  <c r="X991" i="7"/>
  <c r="W991" i="7"/>
  <c r="V991" i="7"/>
  <c r="U991" i="7"/>
  <c r="T991" i="7"/>
  <c r="S991" i="7"/>
  <c r="Q991" i="7"/>
  <c r="P991" i="7"/>
  <c r="O991" i="7"/>
  <c r="M991" i="7"/>
  <c r="L991" i="7"/>
  <c r="K991" i="7"/>
  <c r="J991" i="7"/>
  <c r="I991" i="7"/>
  <c r="H991" i="7"/>
  <c r="G991" i="7"/>
  <c r="F991" i="7"/>
  <c r="E991" i="7"/>
  <c r="B987" i="7"/>
  <c r="D986" i="7"/>
  <c r="B986" i="7"/>
  <c r="D985" i="7"/>
  <c r="B985" i="7"/>
  <c r="B984" i="7"/>
  <c r="AE983" i="7"/>
  <c r="AB983" i="7"/>
  <c r="AA983" i="7"/>
  <c r="Z983" i="7"/>
  <c r="Y983" i="7"/>
  <c r="X983" i="7"/>
  <c r="W983" i="7"/>
  <c r="V983" i="7"/>
  <c r="U983" i="7"/>
  <c r="T983" i="7"/>
  <c r="S983" i="7"/>
  <c r="R983" i="7"/>
  <c r="Q983" i="7"/>
  <c r="P983" i="7"/>
  <c r="O983" i="7"/>
  <c r="M983" i="7"/>
  <c r="L983" i="7"/>
  <c r="K983" i="7"/>
  <c r="J983" i="7"/>
  <c r="I983" i="7"/>
  <c r="H983" i="7"/>
  <c r="G983" i="7"/>
  <c r="F983" i="7"/>
  <c r="E983" i="7"/>
  <c r="D980" i="7"/>
  <c r="B980" i="7"/>
  <c r="D979" i="7"/>
  <c r="B979" i="7"/>
  <c r="AE978" i="7"/>
  <c r="AB978" i="7"/>
  <c r="AA978" i="7"/>
  <c r="Z978" i="7"/>
  <c r="Y978" i="7"/>
  <c r="X978" i="7"/>
  <c r="W978" i="7"/>
  <c r="V978" i="7"/>
  <c r="U978" i="7"/>
  <c r="T978" i="7"/>
  <c r="S978" i="7"/>
  <c r="R978" i="7"/>
  <c r="Q978" i="7"/>
  <c r="P978" i="7"/>
  <c r="O978" i="7"/>
  <c r="N978" i="7"/>
  <c r="M978" i="7"/>
  <c r="L978" i="7"/>
  <c r="K978" i="7"/>
  <c r="J978" i="7"/>
  <c r="I978" i="7"/>
  <c r="H978" i="7"/>
  <c r="G978" i="7"/>
  <c r="F978" i="7"/>
  <c r="E978" i="7"/>
  <c r="D977" i="7"/>
  <c r="B977" i="7"/>
  <c r="U974" i="7"/>
  <c r="AC975" i="7"/>
  <c r="B975" i="7"/>
  <c r="AE974" i="7"/>
  <c r="AB974" i="7"/>
  <c r="AA974" i="7"/>
  <c r="Z974" i="7"/>
  <c r="Y974" i="7"/>
  <c r="X974" i="7"/>
  <c r="W974" i="7"/>
  <c r="V974" i="7"/>
  <c r="T974" i="7"/>
  <c r="S974" i="7"/>
  <c r="R974" i="7"/>
  <c r="Q974" i="7"/>
  <c r="P974" i="7"/>
  <c r="O974" i="7"/>
  <c r="M974" i="7"/>
  <c r="L974" i="7"/>
  <c r="K974" i="7"/>
  <c r="J974" i="7"/>
  <c r="I974" i="7"/>
  <c r="H974" i="7"/>
  <c r="G974" i="7"/>
  <c r="F974" i="7"/>
  <c r="E974" i="7"/>
  <c r="N972" i="7"/>
  <c r="B973" i="7"/>
  <c r="AE972" i="7"/>
  <c r="AB972" i="7"/>
  <c r="AA972" i="7"/>
  <c r="Z972" i="7"/>
  <c r="Y972" i="7"/>
  <c r="X972" i="7"/>
  <c r="W972" i="7"/>
  <c r="V972" i="7"/>
  <c r="U972" i="7"/>
  <c r="T972" i="7"/>
  <c r="S972" i="7"/>
  <c r="R972" i="7"/>
  <c r="Q972" i="7"/>
  <c r="P972" i="7"/>
  <c r="O972" i="7"/>
  <c r="M972" i="7"/>
  <c r="L972" i="7"/>
  <c r="K972" i="7"/>
  <c r="J972" i="7"/>
  <c r="I972" i="7"/>
  <c r="H972" i="7"/>
  <c r="G972" i="7"/>
  <c r="F972" i="7"/>
  <c r="E972" i="7"/>
  <c r="AC971" i="7"/>
  <c r="B971" i="7"/>
  <c r="N967" i="7"/>
  <c r="B968" i="7"/>
  <c r="AE967" i="7"/>
  <c r="AB967" i="7"/>
  <c r="AA967" i="7"/>
  <c r="Z967" i="7"/>
  <c r="Y967" i="7"/>
  <c r="X967" i="7"/>
  <c r="W967" i="7"/>
  <c r="V967" i="7"/>
  <c r="U967" i="7"/>
  <c r="T967" i="7"/>
  <c r="S967" i="7"/>
  <c r="R967" i="7"/>
  <c r="Q967" i="7"/>
  <c r="P967" i="7"/>
  <c r="O967" i="7"/>
  <c r="M967" i="7"/>
  <c r="L967" i="7"/>
  <c r="K967" i="7"/>
  <c r="J967" i="7"/>
  <c r="I967" i="7"/>
  <c r="H967" i="7"/>
  <c r="G967" i="7"/>
  <c r="F967" i="7"/>
  <c r="E967" i="7"/>
  <c r="B964" i="7"/>
  <c r="N963" i="7"/>
  <c r="AE963" i="7"/>
  <c r="AB963" i="7"/>
  <c r="AA963" i="7"/>
  <c r="Z963" i="7"/>
  <c r="Y963" i="7"/>
  <c r="X963" i="7"/>
  <c r="W963" i="7"/>
  <c r="V963" i="7"/>
  <c r="U963" i="7"/>
  <c r="T963" i="7"/>
  <c r="S963" i="7"/>
  <c r="R963" i="7"/>
  <c r="Q963" i="7"/>
  <c r="P963" i="7"/>
  <c r="O963" i="7"/>
  <c r="M963" i="7"/>
  <c r="L963" i="7"/>
  <c r="K963" i="7"/>
  <c r="J963" i="7"/>
  <c r="I963" i="7"/>
  <c r="H963" i="7"/>
  <c r="G963" i="7"/>
  <c r="F963" i="7"/>
  <c r="E963" i="7"/>
  <c r="N961" i="7"/>
  <c r="B962" i="7"/>
  <c r="AE961" i="7"/>
  <c r="AB961" i="7"/>
  <c r="AA961" i="7"/>
  <c r="Z961" i="7"/>
  <c r="Y961" i="7"/>
  <c r="X961" i="7"/>
  <c r="W961" i="7"/>
  <c r="V961" i="7"/>
  <c r="U961" i="7"/>
  <c r="T961" i="7"/>
  <c r="S961" i="7"/>
  <c r="R961" i="7"/>
  <c r="Q961" i="7"/>
  <c r="P961" i="7"/>
  <c r="O961" i="7"/>
  <c r="M961" i="7"/>
  <c r="L961" i="7"/>
  <c r="K961" i="7"/>
  <c r="J961" i="7"/>
  <c r="I961" i="7"/>
  <c r="H961" i="7"/>
  <c r="G961" i="7"/>
  <c r="F961" i="7"/>
  <c r="E961" i="7"/>
  <c r="D960" i="7"/>
  <c r="B960" i="7"/>
  <c r="D959" i="7"/>
  <c r="B959" i="7"/>
  <c r="D958" i="7"/>
  <c r="B958" i="7"/>
  <c r="AE957" i="7"/>
  <c r="AB957" i="7"/>
  <c r="AA957" i="7"/>
  <c r="Z957" i="7"/>
  <c r="Y957" i="7"/>
  <c r="X957" i="7"/>
  <c r="W957" i="7"/>
  <c r="V957" i="7"/>
  <c r="U957" i="7"/>
  <c r="T957" i="7"/>
  <c r="S957" i="7"/>
  <c r="R957" i="7"/>
  <c r="Q957" i="7"/>
  <c r="P957" i="7"/>
  <c r="O957" i="7"/>
  <c r="N957" i="7"/>
  <c r="M957" i="7"/>
  <c r="L957" i="7"/>
  <c r="K957" i="7"/>
  <c r="J957" i="7"/>
  <c r="I957" i="7"/>
  <c r="H957" i="7"/>
  <c r="G957" i="7"/>
  <c r="F957" i="7"/>
  <c r="E957" i="7"/>
  <c r="D950" i="7"/>
  <c r="B950" i="7"/>
  <c r="D949" i="7"/>
  <c r="B949" i="7"/>
  <c r="B948" i="7"/>
  <c r="D947" i="7"/>
  <c r="B947" i="7"/>
  <c r="N945" i="7"/>
  <c r="B946" i="7"/>
  <c r="AE945" i="7"/>
  <c r="AB945" i="7"/>
  <c r="AA945" i="7"/>
  <c r="Z945" i="7"/>
  <c r="Y945" i="7"/>
  <c r="X945" i="7"/>
  <c r="W945" i="7"/>
  <c r="V945" i="7"/>
  <c r="U945" i="7"/>
  <c r="T945" i="7"/>
  <c r="S945" i="7"/>
  <c r="R945" i="7"/>
  <c r="Q945" i="7"/>
  <c r="P945" i="7"/>
  <c r="O945" i="7"/>
  <c r="M945" i="7"/>
  <c r="L945" i="7"/>
  <c r="K945" i="7"/>
  <c r="J945" i="7"/>
  <c r="I945" i="7"/>
  <c r="H945" i="7"/>
  <c r="G945" i="7"/>
  <c r="F945" i="7"/>
  <c r="E945" i="7"/>
  <c r="D944" i="7"/>
  <c r="B944" i="7"/>
  <c r="AE943" i="7"/>
  <c r="AB943" i="7"/>
  <c r="AA943" i="7"/>
  <c r="Z943" i="7"/>
  <c r="Y943" i="7"/>
  <c r="X943" i="7"/>
  <c r="W943" i="7"/>
  <c r="V943" i="7"/>
  <c r="U943" i="7"/>
  <c r="T943" i="7"/>
  <c r="S943" i="7"/>
  <c r="R943" i="7"/>
  <c r="Q943" i="7"/>
  <c r="P943" i="7"/>
  <c r="O943" i="7"/>
  <c r="N943" i="7"/>
  <c r="M943" i="7"/>
  <c r="L943" i="7"/>
  <c r="K943" i="7"/>
  <c r="J943" i="7"/>
  <c r="I943" i="7"/>
  <c r="H943" i="7"/>
  <c r="G943" i="7"/>
  <c r="F943" i="7"/>
  <c r="E943" i="7"/>
  <c r="AC942" i="7"/>
  <c r="D942" i="7" s="1"/>
  <c r="B942" i="7"/>
  <c r="AC940" i="7"/>
  <c r="B940" i="7"/>
  <c r="AE939" i="7"/>
  <c r="AB939" i="7"/>
  <c r="AA939" i="7"/>
  <c r="Z939" i="7"/>
  <c r="Y939" i="7"/>
  <c r="X939" i="7"/>
  <c r="W939" i="7"/>
  <c r="V939" i="7"/>
  <c r="U939" i="7"/>
  <c r="T939" i="7"/>
  <c r="S939" i="7"/>
  <c r="R939" i="7"/>
  <c r="Q939" i="7"/>
  <c r="P939" i="7"/>
  <c r="O939" i="7"/>
  <c r="N939" i="7"/>
  <c r="M939" i="7"/>
  <c r="L939" i="7"/>
  <c r="K939" i="7"/>
  <c r="J939" i="7"/>
  <c r="I939" i="7"/>
  <c r="H939" i="7"/>
  <c r="G939" i="7"/>
  <c r="F939" i="7"/>
  <c r="E939" i="7"/>
  <c r="D938" i="7"/>
  <c r="B938" i="7"/>
  <c r="D937" i="7"/>
  <c r="B937" i="7"/>
  <c r="D936" i="7"/>
  <c r="B936" i="7"/>
  <c r="D935" i="7"/>
  <c r="B935" i="7"/>
  <c r="B934" i="7"/>
  <c r="AE933" i="7"/>
  <c r="AB933" i="7"/>
  <c r="AA933" i="7"/>
  <c r="Z933" i="7"/>
  <c r="Y933" i="7"/>
  <c r="X933" i="7"/>
  <c r="W933" i="7"/>
  <c r="V933" i="7"/>
  <c r="U933" i="7"/>
  <c r="T933" i="7"/>
  <c r="S933" i="7"/>
  <c r="R933" i="7"/>
  <c r="Q933" i="7"/>
  <c r="P933" i="7"/>
  <c r="O933" i="7"/>
  <c r="M933" i="7"/>
  <c r="L933" i="7"/>
  <c r="K933" i="7"/>
  <c r="J933" i="7"/>
  <c r="I933" i="7"/>
  <c r="H933" i="7"/>
  <c r="F933" i="7"/>
  <c r="E933" i="7"/>
  <c r="B932" i="7"/>
  <c r="D928" i="7"/>
  <c r="B928" i="7"/>
  <c r="AE927" i="7"/>
  <c r="AB927" i="7"/>
  <c r="AA927" i="7"/>
  <c r="Z927" i="7"/>
  <c r="Y927" i="7"/>
  <c r="X927" i="7"/>
  <c r="W927" i="7"/>
  <c r="V927" i="7"/>
  <c r="U927" i="7"/>
  <c r="T927" i="7"/>
  <c r="S927" i="7"/>
  <c r="R927" i="7"/>
  <c r="Q927" i="7"/>
  <c r="P927" i="7"/>
  <c r="O927" i="7"/>
  <c r="N927" i="7"/>
  <c r="M927" i="7"/>
  <c r="L927" i="7"/>
  <c r="K927" i="7"/>
  <c r="J927" i="7"/>
  <c r="I927" i="7"/>
  <c r="H927" i="7"/>
  <c r="G927" i="7"/>
  <c r="F927" i="7"/>
  <c r="E927" i="7"/>
  <c r="D926" i="7"/>
  <c r="B926" i="7"/>
  <c r="AE925" i="7"/>
  <c r="AB925" i="7"/>
  <c r="AA925" i="7"/>
  <c r="Z925" i="7"/>
  <c r="Y925" i="7"/>
  <c r="X925" i="7"/>
  <c r="W925" i="7"/>
  <c r="V925" i="7"/>
  <c r="U925" i="7"/>
  <c r="T925" i="7"/>
  <c r="S925" i="7"/>
  <c r="R925" i="7"/>
  <c r="Q925" i="7"/>
  <c r="P925" i="7"/>
  <c r="O925" i="7"/>
  <c r="N925" i="7"/>
  <c r="M925" i="7"/>
  <c r="L925" i="7"/>
  <c r="K925" i="7"/>
  <c r="J925" i="7"/>
  <c r="I925" i="7"/>
  <c r="H925" i="7"/>
  <c r="G925" i="7"/>
  <c r="F925" i="7"/>
  <c r="E925" i="7"/>
  <c r="B920" i="7"/>
  <c r="AE919" i="7"/>
  <c r="AB919" i="7"/>
  <c r="AA919" i="7"/>
  <c r="Z919" i="7"/>
  <c r="Y919" i="7"/>
  <c r="X919" i="7"/>
  <c r="W919" i="7"/>
  <c r="V919" i="7"/>
  <c r="U919" i="7"/>
  <c r="T919" i="7"/>
  <c r="S919" i="7"/>
  <c r="R919" i="7"/>
  <c r="Q919" i="7"/>
  <c r="P919" i="7"/>
  <c r="O919" i="7"/>
  <c r="M919" i="7"/>
  <c r="L919" i="7"/>
  <c r="K919" i="7"/>
  <c r="J919" i="7"/>
  <c r="I919" i="7"/>
  <c r="H919" i="7"/>
  <c r="G919" i="7"/>
  <c r="F919" i="7"/>
  <c r="E919" i="7"/>
  <c r="B918" i="7"/>
  <c r="AE917" i="7"/>
  <c r="AB917" i="7"/>
  <c r="AA917" i="7"/>
  <c r="Z917" i="7"/>
  <c r="Y917" i="7"/>
  <c r="X917" i="7"/>
  <c r="W917" i="7"/>
  <c r="V917" i="7"/>
  <c r="U917" i="7"/>
  <c r="T917" i="7"/>
  <c r="S917" i="7"/>
  <c r="R917" i="7"/>
  <c r="Q917" i="7"/>
  <c r="P917" i="7"/>
  <c r="O917" i="7"/>
  <c r="N917" i="7"/>
  <c r="M917" i="7"/>
  <c r="L917" i="7"/>
  <c r="K917" i="7"/>
  <c r="J917" i="7"/>
  <c r="I917" i="7"/>
  <c r="H917" i="7"/>
  <c r="G917" i="7"/>
  <c r="F917" i="7"/>
  <c r="E917" i="7"/>
  <c r="D915" i="7"/>
  <c r="B915" i="7"/>
  <c r="B914" i="7"/>
  <c r="D912" i="7"/>
  <c r="B912" i="7"/>
  <c r="D911" i="7"/>
  <c r="B911" i="7"/>
  <c r="D910" i="7"/>
  <c r="B910" i="7"/>
  <c r="D909" i="7"/>
  <c r="B909" i="7"/>
  <c r="D908" i="7"/>
  <c r="B908" i="7"/>
  <c r="D907" i="7"/>
  <c r="B907" i="7"/>
  <c r="D906" i="7"/>
  <c r="B906" i="7"/>
  <c r="B905" i="7"/>
  <c r="AE904" i="7"/>
  <c r="AB904" i="7"/>
  <c r="AA904" i="7"/>
  <c r="Z904" i="7"/>
  <c r="Y904" i="7"/>
  <c r="X904" i="7"/>
  <c r="W904" i="7"/>
  <c r="V904" i="7"/>
  <c r="U904" i="7"/>
  <c r="T904" i="7"/>
  <c r="S904" i="7"/>
  <c r="R904" i="7"/>
  <c r="Q904" i="7"/>
  <c r="P904" i="7"/>
  <c r="O904" i="7"/>
  <c r="M904" i="7"/>
  <c r="L904" i="7"/>
  <c r="K904" i="7"/>
  <c r="J904" i="7"/>
  <c r="I904" i="7"/>
  <c r="H904" i="7"/>
  <c r="G904" i="7"/>
  <c r="F904" i="7"/>
  <c r="E904" i="7"/>
  <c r="B903" i="7"/>
  <c r="D902" i="7"/>
  <c r="B902" i="7"/>
  <c r="AE901" i="7"/>
  <c r="AB901" i="7"/>
  <c r="AA901" i="7"/>
  <c r="Z901" i="7"/>
  <c r="Y901" i="7"/>
  <c r="X901" i="7"/>
  <c r="W901" i="7"/>
  <c r="V901" i="7"/>
  <c r="U901" i="7"/>
  <c r="T901" i="7"/>
  <c r="S901" i="7"/>
  <c r="R901" i="7"/>
  <c r="Q901" i="7"/>
  <c r="P901" i="7"/>
  <c r="O901" i="7"/>
  <c r="N901" i="7"/>
  <c r="M901" i="7"/>
  <c r="L901" i="7"/>
  <c r="K901" i="7"/>
  <c r="J901" i="7"/>
  <c r="I901" i="7"/>
  <c r="H901" i="7"/>
  <c r="G901" i="7"/>
  <c r="F901" i="7"/>
  <c r="E901" i="7"/>
  <c r="D900" i="7"/>
  <c r="B900" i="7"/>
  <c r="B899" i="7"/>
  <c r="AE898" i="7"/>
  <c r="AB898" i="7"/>
  <c r="AA898" i="7"/>
  <c r="Z898" i="7"/>
  <c r="Y898" i="7"/>
  <c r="X898" i="7"/>
  <c r="W898" i="7"/>
  <c r="V898" i="7"/>
  <c r="U898" i="7"/>
  <c r="T898" i="7"/>
  <c r="S898" i="7"/>
  <c r="R898" i="7"/>
  <c r="Q898" i="7"/>
  <c r="P898" i="7"/>
  <c r="O898" i="7"/>
  <c r="N898" i="7"/>
  <c r="M898" i="7"/>
  <c r="L898" i="7"/>
  <c r="K898" i="7"/>
  <c r="J898" i="7"/>
  <c r="I898" i="7"/>
  <c r="H898" i="7"/>
  <c r="G898" i="7"/>
  <c r="F898" i="7"/>
  <c r="E898" i="7"/>
  <c r="AC897" i="7"/>
  <c r="B897" i="7"/>
  <c r="D895" i="7"/>
  <c r="B895" i="7"/>
  <c r="D894" i="7"/>
  <c r="B894" i="7"/>
  <c r="B893" i="7"/>
  <c r="AE892" i="7"/>
  <c r="AB892" i="7"/>
  <c r="AA892" i="7"/>
  <c r="Z892" i="7"/>
  <c r="Y892" i="7"/>
  <c r="X892" i="7"/>
  <c r="W892" i="7"/>
  <c r="V892" i="7"/>
  <c r="U892" i="7"/>
  <c r="T892" i="7"/>
  <c r="S892" i="7"/>
  <c r="R892" i="7"/>
  <c r="Q892" i="7"/>
  <c r="P892" i="7"/>
  <c r="O892" i="7"/>
  <c r="N892" i="7"/>
  <c r="M892" i="7"/>
  <c r="L892" i="7"/>
  <c r="K892" i="7"/>
  <c r="J892" i="7"/>
  <c r="I892" i="7"/>
  <c r="H892" i="7"/>
  <c r="G892" i="7"/>
  <c r="F892" i="7"/>
  <c r="E892" i="7"/>
  <c r="N889" i="7"/>
  <c r="B891" i="7"/>
  <c r="D890" i="7"/>
  <c r="B890" i="7"/>
  <c r="AE889" i="7"/>
  <c r="AB889" i="7"/>
  <c r="AA889" i="7"/>
  <c r="Z889" i="7"/>
  <c r="Y889" i="7"/>
  <c r="X889" i="7"/>
  <c r="W889" i="7"/>
  <c r="V889" i="7"/>
  <c r="T889" i="7"/>
  <c r="S889" i="7"/>
  <c r="R889" i="7"/>
  <c r="Q889" i="7"/>
  <c r="P889" i="7"/>
  <c r="O889" i="7"/>
  <c r="M889" i="7"/>
  <c r="L889" i="7"/>
  <c r="K889" i="7"/>
  <c r="J889" i="7"/>
  <c r="I889" i="7"/>
  <c r="H889" i="7"/>
  <c r="G889" i="7"/>
  <c r="F889" i="7"/>
  <c r="E889" i="7"/>
  <c r="D887" i="7"/>
  <c r="B887" i="7"/>
  <c r="D886" i="7"/>
  <c r="B886" i="7"/>
  <c r="D885" i="7"/>
  <c r="B885" i="7"/>
  <c r="D884" i="7"/>
  <c r="B884" i="7"/>
  <c r="D883" i="7"/>
  <c r="B883" i="7"/>
  <c r="D882" i="7"/>
  <c r="B882" i="7"/>
  <c r="D881" i="7"/>
  <c r="B881" i="7"/>
  <c r="B880" i="7"/>
  <c r="D879" i="7"/>
  <c r="B879" i="7"/>
  <c r="D878" i="7"/>
  <c r="B878" i="7"/>
  <c r="AE877" i="7"/>
  <c r="AB877" i="7"/>
  <c r="AA877" i="7"/>
  <c r="Z877" i="7"/>
  <c r="Y877" i="7"/>
  <c r="X877" i="7"/>
  <c r="W877" i="7"/>
  <c r="V877" i="7"/>
  <c r="U877" i="7"/>
  <c r="T877" i="7"/>
  <c r="S877" i="7"/>
  <c r="R877" i="7"/>
  <c r="Q877" i="7"/>
  <c r="P877" i="7"/>
  <c r="O877" i="7"/>
  <c r="M877" i="7"/>
  <c r="L877" i="7"/>
  <c r="K877" i="7"/>
  <c r="J877" i="7"/>
  <c r="I877" i="7"/>
  <c r="H877" i="7"/>
  <c r="G877" i="7"/>
  <c r="F877" i="7"/>
  <c r="E877" i="7"/>
  <c r="D876" i="7"/>
  <c r="B876" i="7"/>
  <c r="B875" i="7"/>
  <c r="AE874" i="7"/>
  <c r="AB874" i="7"/>
  <c r="AA874" i="7"/>
  <c r="Z874" i="7"/>
  <c r="Y874" i="7"/>
  <c r="X874" i="7"/>
  <c r="W874" i="7"/>
  <c r="V874" i="7"/>
  <c r="U874" i="7"/>
  <c r="T874" i="7"/>
  <c r="S874" i="7"/>
  <c r="R874" i="7"/>
  <c r="Q874" i="7"/>
  <c r="P874" i="7"/>
  <c r="O874" i="7"/>
  <c r="M874" i="7"/>
  <c r="L874" i="7"/>
  <c r="K874" i="7"/>
  <c r="J874" i="7"/>
  <c r="I874" i="7"/>
  <c r="H874" i="7"/>
  <c r="G874" i="7"/>
  <c r="F874" i="7"/>
  <c r="E874" i="7"/>
  <c r="AC873" i="7"/>
  <c r="D873" i="7" s="1"/>
  <c r="B873" i="7"/>
  <c r="AE872" i="7"/>
  <c r="AB872" i="7"/>
  <c r="AA872" i="7"/>
  <c r="Z872" i="7"/>
  <c r="Y872" i="7"/>
  <c r="X872" i="7"/>
  <c r="W872" i="7"/>
  <c r="V872" i="7"/>
  <c r="U872" i="7"/>
  <c r="T872" i="7"/>
  <c r="S872" i="7"/>
  <c r="R872" i="7"/>
  <c r="Q872" i="7"/>
  <c r="P872" i="7"/>
  <c r="O872" i="7"/>
  <c r="N872" i="7"/>
  <c r="M872" i="7"/>
  <c r="L872" i="7"/>
  <c r="K872" i="7"/>
  <c r="J872" i="7"/>
  <c r="I872" i="7"/>
  <c r="H872" i="7"/>
  <c r="G872" i="7"/>
  <c r="F872" i="7"/>
  <c r="E872" i="7"/>
  <c r="AC871" i="7"/>
  <c r="D871" i="7" s="1"/>
  <c r="D870" i="7" s="1"/>
  <c r="B871" i="7"/>
  <c r="AE870" i="7"/>
  <c r="AB870" i="7"/>
  <c r="AA870" i="7"/>
  <c r="Z870" i="7"/>
  <c r="Y870" i="7"/>
  <c r="X870" i="7"/>
  <c r="W870" i="7"/>
  <c r="V870" i="7"/>
  <c r="U870" i="7"/>
  <c r="T870" i="7"/>
  <c r="S870" i="7"/>
  <c r="R870" i="7"/>
  <c r="Q870" i="7"/>
  <c r="P870" i="7"/>
  <c r="O870" i="7"/>
  <c r="N870" i="7"/>
  <c r="M870" i="7"/>
  <c r="L870" i="7"/>
  <c r="K870" i="7"/>
  <c r="J870" i="7"/>
  <c r="I870" i="7"/>
  <c r="H870" i="7"/>
  <c r="G870" i="7"/>
  <c r="F870" i="7"/>
  <c r="E870" i="7"/>
  <c r="AC868" i="7"/>
  <c r="B869" i="7"/>
  <c r="AE868" i="7"/>
  <c r="AB868" i="7"/>
  <c r="AA868" i="7"/>
  <c r="Z868" i="7"/>
  <c r="Y868" i="7"/>
  <c r="X868" i="7"/>
  <c r="W868" i="7"/>
  <c r="V868" i="7"/>
  <c r="U868" i="7"/>
  <c r="T868" i="7"/>
  <c r="S868" i="7"/>
  <c r="R868" i="7"/>
  <c r="Q868" i="7"/>
  <c r="P868" i="7"/>
  <c r="O868" i="7"/>
  <c r="N868" i="7"/>
  <c r="M868" i="7"/>
  <c r="L868" i="7"/>
  <c r="K868" i="7"/>
  <c r="J868" i="7"/>
  <c r="I868" i="7"/>
  <c r="H868" i="7"/>
  <c r="G868" i="7"/>
  <c r="F868" i="7"/>
  <c r="E868" i="7"/>
  <c r="D867" i="7"/>
  <c r="D866" i="7" s="1"/>
  <c r="B867" i="7"/>
  <c r="AE866" i="7"/>
  <c r="AB866" i="7"/>
  <c r="AA866" i="7"/>
  <c r="Z866" i="7"/>
  <c r="Y866" i="7"/>
  <c r="X866" i="7"/>
  <c r="W866" i="7"/>
  <c r="V866" i="7"/>
  <c r="U866" i="7"/>
  <c r="T866" i="7"/>
  <c r="S866" i="7"/>
  <c r="R866" i="7"/>
  <c r="Q866" i="7"/>
  <c r="P866" i="7"/>
  <c r="O866" i="7"/>
  <c r="N866" i="7"/>
  <c r="M866" i="7"/>
  <c r="L866" i="7"/>
  <c r="K866" i="7"/>
  <c r="J866" i="7"/>
  <c r="I866" i="7"/>
  <c r="H866" i="7"/>
  <c r="G866" i="7"/>
  <c r="F866" i="7"/>
  <c r="E866" i="7"/>
  <c r="AC864" i="7"/>
  <c r="B865" i="7"/>
  <c r="AE864" i="7"/>
  <c r="AB864" i="7"/>
  <c r="AA864" i="7"/>
  <c r="Z864" i="7"/>
  <c r="Y864" i="7"/>
  <c r="X864" i="7"/>
  <c r="W864" i="7"/>
  <c r="V864" i="7"/>
  <c r="U864" i="7"/>
  <c r="T864" i="7"/>
  <c r="S864" i="7"/>
  <c r="R864" i="7"/>
  <c r="Q864" i="7"/>
  <c r="P864" i="7"/>
  <c r="O864" i="7"/>
  <c r="N864" i="7"/>
  <c r="M864" i="7"/>
  <c r="L864" i="7"/>
  <c r="K864" i="7"/>
  <c r="J864" i="7"/>
  <c r="I864" i="7"/>
  <c r="H864" i="7"/>
  <c r="G864" i="7"/>
  <c r="F864" i="7"/>
  <c r="E864" i="7"/>
  <c r="B863" i="7"/>
  <c r="AE862" i="7"/>
  <c r="AB862" i="7"/>
  <c r="AA862" i="7"/>
  <c r="Z862" i="7"/>
  <c r="Y862" i="7"/>
  <c r="X862" i="7"/>
  <c r="W862" i="7"/>
  <c r="V862" i="7"/>
  <c r="U862" i="7"/>
  <c r="T862" i="7"/>
  <c r="S862" i="7"/>
  <c r="Q862" i="7"/>
  <c r="P862" i="7"/>
  <c r="O862" i="7"/>
  <c r="N862" i="7"/>
  <c r="M862" i="7"/>
  <c r="L862" i="7"/>
  <c r="K862" i="7"/>
  <c r="J862" i="7"/>
  <c r="I862" i="7"/>
  <c r="H862" i="7"/>
  <c r="G862" i="7"/>
  <c r="F862" i="7"/>
  <c r="E862" i="7"/>
  <c r="D860" i="7"/>
  <c r="B860" i="7"/>
  <c r="D858" i="7"/>
  <c r="B858" i="7"/>
  <c r="D857" i="7"/>
  <c r="B857" i="7"/>
  <c r="D856" i="7"/>
  <c r="B856" i="7"/>
  <c r="D855" i="7"/>
  <c r="B855" i="7"/>
  <c r="D854" i="7"/>
  <c r="B854" i="7"/>
  <c r="N852" i="7"/>
  <c r="B853" i="7"/>
  <c r="AE852" i="7"/>
  <c r="AB852" i="7"/>
  <c r="AA852" i="7"/>
  <c r="Z852" i="7"/>
  <c r="Y852" i="7"/>
  <c r="X852" i="7"/>
  <c r="W852" i="7"/>
  <c r="V852" i="7"/>
  <c r="U852" i="7"/>
  <c r="T852" i="7"/>
  <c r="S852" i="7"/>
  <c r="R852" i="7"/>
  <c r="Q852" i="7"/>
  <c r="P852" i="7"/>
  <c r="O852" i="7"/>
  <c r="M852" i="7"/>
  <c r="L852" i="7"/>
  <c r="K852" i="7"/>
  <c r="J852" i="7"/>
  <c r="I852" i="7"/>
  <c r="H852" i="7"/>
  <c r="G852" i="7"/>
  <c r="F852" i="7"/>
  <c r="E852" i="7"/>
  <c r="D848" i="7"/>
  <c r="B848" i="7"/>
  <c r="D847" i="7"/>
  <c r="B847" i="7"/>
  <c r="D846" i="7"/>
  <c r="B846" i="7"/>
  <c r="D845" i="7"/>
  <c r="B845" i="7"/>
  <c r="D844" i="7"/>
  <c r="B844" i="7"/>
  <c r="D843" i="7"/>
  <c r="B843" i="7"/>
  <c r="B842" i="7"/>
  <c r="D841" i="7"/>
  <c r="B841" i="7"/>
  <c r="AE838" i="7"/>
  <c r="AB838" i="7"/>
  <c r="AA838" i="7"/>
  <c r="Z838" i="7"/>
  <c r="Y838" i="7"/>
  <c r="X838" i="7"/>
  <c r="W838" i="7"/>
  <c r="V838" i="7"/>
  <c r="U838" i="7"/>
  <c r="S838" i="7"/>
  <c r="Q838" i="7"/>
  <c r="P838" i="7"/>
  <c r="O838" i="7"/>
  <c r="M838" i="7"/>
  <c r="L838" i="7"/>
  <c r="K838" i="7"/>
  <c r="J838" i="7"/>
  <c r="I838" i="7"/>
  <c r="H838" i="7"/>
  <c r="G838" i="7"/>
  <c r="F838" i="7"/>
  <c r="E838" i="7"/>
  <c r="B837" i="7"/>
  <c r="AC835" i="7"/>
  <c r="B835" i="7"/>
  <c r="AE834" i="7"/>
  <c r="AB834" i="7"/>
  <c r="AA834" i="7"/>
  <c r="Z834" i="7"/>
  <c r="Y834" i="7"/>
  <c r="X834" i="7"/>
  <c r="W834" i="7"/>
  <c r="V834" i="7"/>
  <c r="U834" i="7"/>
  <c r="T834" i="7"/>
  <c r="S834" i="7"/>
  <c r="R834" i="7"/>
  <c r="Q834" i="7"/>
  <c r="P834" i="7"/>
  <c r="O834" i="7"/>
  <c r="N834" i="7"/>
  <c r="M834" i="7"/>
  <c r="L834" i="7"/>
  <c r="K834" i="7"/>
  <c r="J834" i="7"/>
  <c r="I834" i="7"/>
  <c r="H834" i="7"/>
  <c r="G834" i="7"/>
  <c r="F834" i="7"/>
  <c r="E834" i="7"/>
  <c r="D833" i="7"/>
  <c r="B833" i="7"/>
  <c r="D832" i="7"/>
  <c r="B832" i="7"/>
  <c r="AE831" i="7"/>
  <c r="AB831" i="7"/>
  <c r="AA831" i="7"/>
  <c r="Z831" i="7"/>
  <c r="Y831" i="7"/>
  <c r="X831" i="7"/>
  <c r="W831" i="7"/>
  <c r="V831" i="7"/>
  <c r="U831" i="7"/>
  <c r="T831" i="7"/>
  <c r="S831" i="7"/>
  <c r="R831" i="7"/>
  <c r="Q831" i="7"/>
  <c r="P831" i="7"/>
  <c r="O831" i="7"/>
  <c r="N831" i="7"/>
  <c r="M831" i="7"/>
  <c r="L831" i="7"/>
  <c r="K831" i="7"/>
  <c r="J831" i="7"/>
  <c r="I831" i="7"/>
  <c r="H831" i="7"/>
  <c r="G831" i="7"/>
  <c r="F831" i="7"/>
  <c r="E831" i="7"/>
  <c r="D830" i="7"/>
  <c r="B830" i="7"/>
  <c r="AE829" i="7"/>
  <c r="AB829" i="7"/>
  <c r="AA829" i="7"/>
  <c r="Z829" i="7"/>
  <c r="Y829" i="7"/>
  <c r="X829" i="7"/>
  <c r="W829" i="7"/>
  <c r="V829" i="7"/>
  <c r="U829" i="7"/>
  <c r="T829" i="7"/>
  <c r="S829" i="7"/>
  <c r="R829" i="7"/>
  <c r="Q829" i="7"/>
  <c r="P829" i="7"/>
  <c r="O829" i="7"/>
  <c r="N829" i="7"/>
  <c r="M829" i="7"/>
  <c r="L829" i="7"/>
  <c r="K829" i="7"/>
  <c r="J829" i="7"/>
  <c r="I829" i="7"/>
  <c r="H829" i="7"/>
  <c r="G829" i="7"/>
  <c r="F829" i="7"/>
  <c r="E829" i="7"/>
  <c r="AC828" i="7"/>
  <c r="D828" i="7" s="1"/>
  <c r="B828" i="7"/>
  <c r="AC827" i="7"/>
  <c r="B827" i="7"/>
  <c r="AE824" i="7"/>
  <c r="AB824" i="7"/>
  <c r="AA824" i="7"/>
  <c r="Z824" i="7"/>
  <c r="Y824" i="7"/>
  <c r="X824" i="7"/>
  <c r="W824" i="7"/>
  <c r="V824" i="7"/>
  <c r="U824" i="7"/>
  <c r="T824" i="7"/>
  <c r="S824" i="7"/>
  <c r="R824" i="7"/>
  <c r="Q824" i="7"/>
  <c r="P824" i="7"/>
  <c r="O824" i="7"/>
  <c r="N824" i="7"/>
  <c r="M824" i="7"/>
  <c r="L824" i="7"/>
  <c r="K824" i="7"/>
  <c r="J824" i="7"/>
  <c r="I824" i="7"/>
  <c r="H824" i="7"/>
  <c r="F824" i="7"/>
  <c r="E824" i="7"/>
  <c r="D821" i="7"/>
  <c r="B821" i="7"/>
  <c r="D819" i="7"/>
  <c r="B819" i="7"/>
  <c r="AE818" i="7"/>
  <c r="AB818" i="7"/>
  <c r="AA818" i="7"/>
  <c r="Z818" i="7"/>
  <c r="Y818" i="7"/>
  <c r="X818" i="7"/>
  <c r="W818" i="7"/>
  <c r="V818" i="7"/>
  <c r="U818" i="7"/>
  <c r="T818" i="7"/>
  <c r="S818" i="7"/>
  <c r="R818" i="7"/>
  <c r="Q818" i="7"/>
  <c r="P818" i="7"/>
  <c r="O818" i="7"/>
  <c r="M818" i="7"/>
  <c r="L818" i="7"/>
  <c r="K818" i="7"/>
  <c r="J818" i="7"/>
  <c r="I818" i="7"/>
  <c r="H818" i="7"/>
  <c r="G818" i="7"/>
  <c r="F818" i="7"/>
  <c r="E818" i="7"/>
  <c r="D817" i="7"/>
  <c r="B817" i="7"/>
  <c r="D816" i="7"/>
  <c r="B816" i="7"/>
  <c r="B815" i="7"/>
  <c r="B814" i="7"/>
  <c r="D812" i="7"/>
  <c r="B812" i="7"/>
  <c r="D811" i="7"/>
  <c r="B811" i="7"/>
  <c r="AE810" i="7"/>
  <c r="AB810" i="7"/>
  <c r="AA810" i="7"/>
  <c r="Z810" i="7"/>
  <c r="Y810" i="7"/>
  <c r="X810" i="7"/>
  <c r="W810" i="7"/>
  <c r="V810" i="7"/>
  <c r="U810" i="7"/>
  <c r="T810" i="7"/>
  <c r="S810" i="7"/>
  <c r="R810" i="7"/>
  <c r="Q810" i="7"/>
  <c r="P810" i="7"/>
  <c r="O810" i="7"/>
  <c r="M810" i="7"/>
  <c r="L810" i="7"/>
  <c r="K810" i="7"/>
  <c r="J810" i="7"/>
  <c r="I810" i="7"/>
  <c r="H810" i="7"/>
  <c r="G810" i="7"/>
  <c r="F810" i="7"/>
  <c r="E810" i="7"/>
  <c r="D807" i="7"/>
  <c r="B807" i="7"/>
  <c r="B806" i="7"/>
  <c r="D805" i="7"/>
  <c r="B805" i="7"/>
  <c r="D804" i="7"/>
  <c r="B804" i="7"/>
  <c r="D803" i="7"/>
  <c r="B803" i="7"/>
  <c r="B802" i="7"/>
  <c r="D801" i="7"/>
  <c r="B801" i="7"/>
  <c r="D800" i="7"/>
  <c r="B800" i="7"/>
  <c r="D799" i="7"/>
  <c r="B799" i="7"/>
  <c r="D798" i="7"/>
  <c r="B798" i="7"/>
  <c r="D797" i="7"/>
  <c r="B797" i="7"/>
  <c r="D796" i="7"/>
  <c r="B796" i="7"/>
  <c r="D795" i="7"/>
  <c r="B795" i="7"/>
  <c r="D794" i="7"/>
  <c r="B794" i="7"/>
  <c r="D793" i="7"/>
  <c r="B793" i="7"/>
  <c r="D792" i="7"/>
  <c r="B792" i="7"/>
  <c r="D791" i="7"/>
  <c r="B791" i="7"/>
  <c r="D777" i="7"/>
  <c r="B777" i="7"/>
  <c r="D776" i="7"/>
  <c r="B776" i="7"/>
  <c r="B775" i="7"/>
  <c r="D773" i="7"/>
  <c r="B773" i="7"/>
  <c r="AE772" i="7"/>
  <c r="AB772" i="7"/>
  <c r="AA772" i="7"/>
  <c r="Z772" i="7"/>
  <c r="Y772" i="7"/>
  <c r="X772" i="7"/>
  <c r="W772" i="7"/>
  <c r="V772" i="7"/>
  <c r="U772" i="7"/>
  <c r="T772" i="7"/>
  <c r="S772" i="7"/>
  <c r="R772" i="7"/>
  <c r="Q772" i="7"/>
  <c r="P772" i="7"/>
  <c r="O772" i="7"/>
  <c r="N772" i="7"/>
  <c r="M772" i="7"/>
  <c r="K772" i="7"/>
  <c r="J772" i="7"/>
  <c r="I772" i="7"/>
  <c r="H772" i="7"/>
  <c r="F772" i="7"/>
  <c r="E772" i="7"/>
  <c r="B771" i="7"/>
  <c r="D731" i="7"/>
  <c r="B731" i="7"/>
  <c r="D727" i="7"/>
  <c r="B727" i="7"/>
  <c r="D726" i="7"/>
  <c r="B726" i="7"/>
  <c r="D725" i="7"/>
  <c r="B725" i="7"/>
  <c r="D724" i="7"/>
  <c r="B724" i="7"/>
  <c r="D723" i="7"/>
  <c r="B723" i="7"/>
  <c r="D721" i="7"/>
  <c r="D719" i="7"/>
  <c r="D718" i="7"/>
  <c r="B718" i="7"/>
  <c r="AE717" i="7"/>
  <c r="AB717" i="7"/>
  <c r="AA717" i="7"/>
  <c r="Z717" i="7"/>
  <c r="Y717" i="7"/>
  <c r="X717" i="7"/>
  <c r="W717" i="7"/>
  <c r="V717" i="7"/>
  <c r="U717" i="7"/>
  <c r="T717" i="7"/>
  <c r="S717" i="7"/>
  <c r="R717" i="7"/>
  <c r="Q717" i="7"/>
  <c r="P717" i="7"/>
  <c r="O717" i="7"/>
  <c r="M717" i="7"/>
  <c r="K717" i="7"/>
  <c r="J717" i="7"/>
  <c r="I717" i="7"/>
  <c r="H717" i="7"/>
  <c r="F717" i="7"/>
  <c r="E717" i="7"/>
  <c r="D703" i="7"/>
  <c r="B703" i="7"/>
  <c r="D702" i="7"/>
  <c r="B702" i="7"/>
  <c r="D701" i="7"/>
  <c r="B701" i="7"/>
  <c r="D700" i="7"/>
  <c r="B700" i="7"/>
  <c r="D699" i="7"/>
  <c r="B699" i="7"/>
  <c r="B698" i="7"/>
  <c r="D697" i="7"/>
  <c r="B697" i="7"/>
  <c r="D696" i="7"/>
  <c r="B696" i="7"/>
  <c r="D695" i="7"/>
  <c r="B695" i="7"/>
  <c r="D694" i="7"/>
  <c r="B694" i="7"/>
  <c r="D693" i="7"/>
  <c r="B693" i="7"/>
  <c r="D692" i="7"/>
  <c r="B692" i="7"/>
  <c r="D690" i="7"/>
  <c r="B690" i="7"/>
  <c r="D689" i="7"/>
  <c r="B689" i="7"/>
  <c r="D688" i="7"/>
  <c r="B688" i="7"/>
  <c r="D687" i="7"/>
  <c r="B687" i="7"/>
  <c r="D686" i="7"/>
  <c r="B686" i="7"/>
  <c r="D685" i="7"/>
  <c r="B685" i="7"/>
  <c r="D684" i="7"/>
  <c r="B684" i="7"/>
  <c r="D683" i="7"/>
  <c r="B683" i="7"/>
  <c r="D682" i="7"/>
  <c r="B682" i="7"/>
  <c r="D681" i="7"/>
  <c r="B681" i="7"/>
  <c r="D680" i="7"/>
  <c r="B680" i="7"/>
  <c r="D678" i="7"/>
  <c r="B678" i="7"/>
  <c r="D677" i="7"/>
  <c r="B677" i="7"/>
  <c r="B676" i="7"/>
  <c r="D675" i="7"/>
  <c r="B675" i="7"/>
  <c r="B674" i="7"/>
  <c r="D670" i="7"/>
  <c r="B670" i="7"/>
  <c r="D669" i="7"/>
  <c r="B669" i="7"/>
  <c r="D668" i="7"/>
  <c r="B668" i="7"/>
  <c r="D667" i="7"/>
  <c r="B667" i="7"/>
  <c r="D666" i="7"/>
  <c r="D665" i="7"/>
  <c r="D664" i="7"/>
  <c r="D663" i="7"/>
  <c r="B662" i="7"/>
  <c r="D661" i="7"/>
  <c r="B661" i="7"/>
  <c r="D660" i="7"/>
  <c r="B660" i="7"/>
  <c r="D659" i="7"/>
  <c r="B659" i="7"/>
  <c r="D658" i="7"/>
  <c r="B658" i="7"/>
  <c r="D657" i="7"/>
  <c r="B657" i="7"/>
  <c r="D656" i="7"/>
  <c r="B656" i="7"/>
  <c r="D655" i="7"/>
  <c r="B655" i="7"/>
  <c r="D654" i="7"/>
  <c r="B654" i="7"/>
  <c r="D653" i="7"/>
  <c r="B653" i="7"/>
  <c r="D652" i="7"/>
  <c r="B652" i="7"/>
  <c r="D651" i="7"/>
  <c r="B651" i="7"/>
  <c r="D650" i="7"/>
  <c r="B650" i="7"/>
  <c r="D649" i="7"/>
  <c r="B649" i="7"/>
  <c r="D648" i="7"/>
  <c r="B648" i="7"/>
  <c r="D647" i="7"/>
  <c r="B647" i="7"/>
  <c r="AE646" i="7"/>
  <c r="AB646" i="7"/>
  <c r="AA646" i="7"/>
  <c r="Z646" i="7"/>
  <c r="Y646" i="7"/>
  <c r="X646" i="7"/>
  <c r="W646" i="7"/>
  <c r="V646" i="7"/>
  <c r="U646" i="7"/>
  <c r="T646" i="7"/>
  <c r="S646" i="7"/>
  <c r="Q646" i="7"/>
  <c r="P646" i="7"/>
  <c r="O646" i="7"/>
  <c r="M646" i="7"/>
  <c r="L646" i="7"/>
  <c r="K646" i="7"/>
  <c r="J646" i="7"/>
  <c r="I646" i="7"/>
  <c r="H646" i="7"/>
  <c r="F646" i="7"/>
  <c r="D625" i="7"/>
  <c r="B625" i="7"/>
  <c r="D624" i="7"/>
  <c r="B624" i="7"/>
  <c r="D623" i="7"/>
  <c r="B623" i="7"/>
  <c r="D622" i="7"/>
  <c r="B622" i="7"/>
  <c r="D621" i="7"/>
  <c r="B621" i="7"/>
  <c r="D620" i="7"/>
  <c r="B620" i="7"/>
  <c r="D619" i="7"/>
  <c r="B619" i="7"/>
  <c r="D618" i="7"/>
  <c r="B618" i="7"/>
  <c r="D617" i="7"/>
  <c r="B617" i="7"/>
  <c r="D616" i="7"/>
  <c r="B616" i="7"/>
  <c r="D615" i="7"/>
  <c r="B615" i="7"/>
  <c r="D614" i="7"/>
  <c r="B614" i="7"/>
  <c r="D613" i="7"/>
  <c r="B613" i="7"/>
  <c r="D612" i="7"/>
  <c r="B612" i="7"/>
  <c r="D611" i="7"/>
  <c r="B611" i="7"/>
  <c r="D610" i="7"/>
  <c r="B610" i="7"/>
  <c r="D609" i="7"/>
  <c r="B609" i="7"/>
  <c r="D608" i="7"/>
  <c r="B608" i="7"/>
  <c r="D607" i="7"/>
  <c r="B607" i="7"/>
  <c r="D606" i="7"/>
  <c r="B606" i="7"/>
  <c r="D605" i="7"/>
  <c r="B605" i="7"/>
  <c r="D604" i="7"/>
  <c r="B604" i="7"/>
  <c r="D603" i="7"/>
  <c r="B603" i="7"/>
  <c r="D602" i="7"/>
  <c r="B602" i="7"/>
  <c r="D601" i="7"/>
  <c r="B601" i="7"/>
  <c r="D600" i="7"/>
  <c r="B600" i="7"/>
  <c r="D599" i="7"/>
  <c r="B599" i="7"/>
  <c r="D598" i="7"/>
  <c r="B598" i="7"/>
  <c r="D597" i="7"/>
  <c r="B597" i="7"/>
  <c r="D596" i="7"/>
  <c r="B596" i="7"/>
  <c r="D595" i="7"/>
  <c r="B595" i="7"/>
  <c r="D594" i="7"/>
  <c r="B594" i="7"/>
  <c r="D593" i="7"/>
  <c r="B593" i="7"/>
  <c r="D592" i="7"/>
  <c r="B592" i="7"/>
  <c r="D591" i="7"/>
  <c r="B591" i="7"/>
  <c r="D590" i="7"/>
  <c r="B590" i="7"/>
  <c r="D589" i="7"/>
  <c r="B589" i="7"/>
  <c r="D588" i="7"/>
  <c r="B588" i="7"/>
  <c r="D586" i="7"/>
  <c r="B586" i="7"/>
  <c r="D585" i="7"/>
  <c r="B585" i="7"/>
  <c r="D583" i="7"/>
  <c r="B583" i="7"/>
  <c r="D582" i="7"/>
  <c r="B582" i="7"/>
  <c r="D581" i="7"/>
  <c r="B581" i="7"/>
  <c r="D580" i="7"/>
  <c r="B580" i="7"/>
  <c r="D579" i="7"/>
  <c r="B579" i="7"/>
  <c r="D578" i="7"/>
  <c r="B578" i="7"/>
  <c r="D577" i="7"/>
  <c r="B577" i="7"/>
  <c r="D576" i="7"/>
  <c r="B576" i="7"/>
  <c r="D575" i="7"/>
  <c r="B575" i="7"/>
  <c r="D574" i="7"/>
  <c r="B574" i="7"/>
  <c r="D573" i="7"/>
  <c r="B573" i="7"/>
  <c r="D572" i="7"/>
  <c r="B572" i="7"/>
  <c r="D571" i="7"/>
  <c r="B571" i="7"/>
  <c r="D570" i="7"/>
  <c r="B570" i="7"/>
  <c r="D569" i="7"/>
  <c r="B569" i="7"/>
  <c r="D568" i="7"/>
  <c r="B568" i="7"/>
  <c r="D567" i="7"/>
  <c r="B567" i="7"/>
  <c r="D566" i="7"/>
  <c r="B566" i="7"/>
  <c r="D565" i="7"/>
  <c r="B565" i="7"/>
  <c r="D564" i="7"/>
  <c r="B564" i="7"/>
  <c r="D563" i="7"/>
  <c r="B563" i="7"/>
  <c r="D562" i="7"/>
  <c r="B562" i="7"/>
  <c r="D560" i="7"/>
  <c r="B560" i="7"/>
  <c r="D559" i="7"/>
  <c r="B559" i="7"/>
  <c r="D558" i="7"/>
  <c r="B558" i="7"/>
  <c r="AD556" i="7"/>
  <c r="AC555" i="7"/>
  <c r="AC553" i="7" s="1"/>
  <c r="B555" i="7"/>
  <c r="D554" i="7"/>
  <c r="B554" i="7"/>
  <c r="AE553" i="7"/>
  <c r="AD553" i="7"/>
  <c r="AB553" i="7"/>
  <c r="AA553" i="7"/>
  <c r="Z553" i="7"/>
  <c r="Y553" i="7"/>
  <c r="X553" i="7"/>
  <c r="W553" i="7"/>
  <c r="V553" i="7"/>
  <c r="U553" i="7"/>
  <c r="T553" i="7"/>
  <c r="S553" i="7"/>
  <c r="R553" i="7"/>
  <c r="Q553" i="7"/>
  <c r="P553" i="7"/>
  <c r="O553" i="7"/>
  <c r="N553" i="7"/>
  <c r="M553" i="7"/>
  <c r="L553" i="7"/>
  <c r="K553" i="7"/>
  <c r="J553" i="7"/>
  <c r="I553" i="7"/>
  <c r="H553" i="7"/>
  <c r="G553" i="7"/>
  <c r="F553" i="7"/>
  <c r="E553" i="7"/>
  <c r="D552" i="7"/>
  <c r="B552" i="7"/>
  <c r="D551" i="7"/>
  <c r="B551" i="7"/>
  <c r="AE550" i="7"/>
  <c r="AD550" i="7"/>
  <c r="AC550" i="7"/>
  <c r="AB550" i="7"/>
  <c r="AA550" i="7"/>
  <c r="Z550" i="7"/>
  <c r="Y550" i="7"/>
  <c r="X550" i="7"/>
  <c r="W550" i="7"/>
  <c r="V550" i="7"/>
  <c r="U550" i="7"/>
  <c r="T550" i="7"/>
  <c r="S550" i="7"/>
  <c r="R550" i="7"/>
  <c r="Q550" i="7"/>
  <c r="P550" i="7"/>
  <c r="O550" i="7"/>
  <c r="N550" i="7"/>
  <c r="M550" i="7"/>
  <c r="L550" i="7"/>
  <c r="K550" i="7"/>
  <c r="J550" i="7"/>
  <c r="I550" i="7"/>
  <c r="H550" i="7"/>
  <c r="G550" i="7"/>
  <c r="F550" i="7"/>
  <c r="E550" i="7"/>
  <c r="D549" i="7"/>
  <c r="B549" i="7"/>
  <c r="D548" i="7"/>
  <c r="B548" i="7"/>
  <c r="AC547" i="7"/>
  <c r="D547" i="7" s="1"/>
  <c r="B547" i="7"/>
  <c r="D546" i="7"/>
  <c r="B546" i="7"/>
  <c r="AE545" i="7"/>
  <c r="AD545" i="7"/>
  <c r="AB545" i="7"/>
  <c r="AA545" i="7"/>
  <c r="Z545" i="7"/>
  <c r="Y545" i="7"/>
  <c r="X545" i="7"/>
  <c r="W545" i="7"/>
  <c r="V545" i="7"/>
  <c r="U545" i="7"/>
  <c r="T545" i="7"/>
  <c r="S545" i="7"/>
  <c r="R545" i="7"/>
  <c r="Q545" i="7"/>
  <c r="P545" i="7"/>
  <c r="O545" i="7"/>
  <c r="N545" i="7"/>
  <c r="M545" i="7"/>
  <c r="L545" i="7"/>
  <c r="K545" i="7"/>
  <c r="J545" i="7"/>
  <c r="I545" i="7"/>
  <c r="H545" i="7"/>
  <c r="G545" i="7"/>
  <c r="F545" i="7"/>
  <c r="E545" i="7"/>
  <c r="AC544" i="7"/>
  <c r="D544" i="7" s="1"/>
  <c r="B544" i="7"/>
  <c r="AC543" i="7"/>
  <c r="D543" i="7" s="1"/>
  <c r="B543" i="7"/>
  <c r="AC542" i="7"/>
  <c r="D542" i="7" s="1"/>
  <c r="B542" i="7"/>
  <c r="AC541" i="7"/>
  <c r="D541" i="7" s="1"/>
  <c r="B541" i="7"/>
  <c r="AC540" i="7"/>
  <c r="D540" i="7" s="1"/>
  <c r="B540" i="7"/>
  <c r="D539" i="7"/>
  <c r="B539" i="7"/>
  <c r="D538" i="7"/>
  <c r="B538" i="7"/>
  <c r="AC537" i="7"/>
  <c r="B537" i="7"/>
  <c r="AC536" i="7"/>
  <c r="D536" i="7" s="1"/>
  <c r="B536" i="7"/>
  <c r="AE535" i="7"/>
  <c r="AD535" i="7"/>
  <c r="AB535" i="7"/>
  <c r="AA535" i="7"/>
  <c r="Z535" i="7"/>
  <c r="Y535" i="7"/>
  <c r="X535" i="7"/>
  <c r="W535" i="7"/>
  <c r="V535" i="7"/>
  <c r="U535" i="7"/>
  <c r="T535" i="7"/>
  <c r="S535" i="7"/>
  <c r="R535" i="7"/>
  <c r="Q535" i="7"/>
  <c r="P535" i="7"/>
  <c r="O535" i="7"/>
  <c r="N535" i="7"/>
  <c r="M535" i="7"/>
  <c r="L535" i="7"/>
  <c r="K535" i="7"/>
  <c r="J535" i="7"/>
  <c r="I535" i="7"/>
  <c r="H535" i="7"/>
  <c r="G535" i="7"/>
  <c r="F535" i="7"/>
  <c r="E535" i="7"/>
  <c r="D534" i="7"/>
  <c r="B534" i="7"/>
  <c r="AE533" i="7"/>
  <c r="AD533" i="7"/>
  <c r="AC533" i="7"/>
  <c r="AB533" i="7"/>
  <c r="AA533" i="7"/>
  <c r="Z533" i="7"/>
  <c r="Y533" i="7"/>
  <c r="X533" i="7"/>
  <c r="W533" i="7"/>
  <c r="V533" i="7"/>
  <c r="U533" i="7"/>
  <c r="T533" i="7"/>
  <c r="S533" i="7"/>
  <c r="R533" i="7"/>
  <c r="Q533" i="7"/>
  <c r="P533" i="7"/>
  <c r="O533" i="7"/>
  <c r="N533" i="7"/>
  <c r="M533" i="7"/>
  <c r="L533" i="7"/>
  <c r="K533" i="7"/>
  <c r="J533" i="7"/>
  <c r="I533" i="7"/>
  <c r="H533" i="7"/>
  <c r="G533" i="7"/>
  <c r="F533" i="7"/>
  <c r="E533" i="7"/>
  <c r="R532" i="7"/>
  <c r="D532" i="7" s="1"/>
  <c r="B532" i="7"/>
  <c r="D531" i="7"/>
  <c r="B531" i="7"/>
  <c r="AE530" i="7"/>
  <c r="AD530" i="7"/>
  <c r="AC530" i="7"/>
  <c r="AB530" i="7"/>
  <c r="AA530" i="7"/>
  <c r="Z530" i="7"/>
  <c r="Y530" i="7"/>
  <c r="X530" i="7"/>
  <c r="W530" i="7"/>
  <c r="V530" i="7"/>
  <c r="U530" i="7"/>
  <c r="T530" i="7"/>
  <c r="S530" i="7"/>
  <c r="Q530" i="7"/>
  <c r="P530" i="7"/>
  <c r="O530" i="7"/>
  <c r="N530" i="7"/>
  <c r="M530" i="7"/>
  <c r="L530" i="7"/>
  <c r="K530" i="7"/>
  <c r="J530" i="7"/>
  <c r="I530" i="7"/>
  <c r="H530" i="7"/>
  <c r="G530" i="7"/>
  <c r="F530" i="7"/>
  <c r="E530" i="7"/>
  <c r="D529" i="7"/>
  <c r="B529" i="7"/>
  <c r="AE528" i="7"/>
  <c r="AD528" i="7"/>
  <c r="AC528" i="7"/>
  <c r="AB528" i="7"/>
  <c r="AA528" i="7"/>
  <c r="Z528" i="7"/>
  <c r="Y528" i="7"/>
  <c r="X528" i="7"/>
  <c r="W528" i="7"/>
  <c r="V528" i="7"/>
  <c r="U528" i="7"/>
  <c r="T528" i="7"/>
  <c r="S528" i="7"/>
  <c r="R528" i="7"/>
  <c r="Q528" i="7"/>
  <c r="P528" i="7"/>
  <c r="O528" i="7"/>
  <c r="N528" i="7"/>
  <c r="M528" i="7"/>
  <c r="L528" i="7"/>
  <c r="K528" i="7"/>
  <c r="J528" i="7"/>
  <c r="I528" i="7"/>
  <c r="H528" i="7"/>
  <c r="G528" i="7"/>
  <c r="F528" i="7"/>
  <c r="E528" i="7"/>
  <c r="D527" i="7"/>
  <c r="B527" i="7"/>
  <c r="D526" i="7"/>
  <c r="B526" i="7"/>
  <c r="D525" i="7"/>
  <c r="B525" i="7"/>
  <c r="AC524" i="7"/>
  <c r="B524" i="7"/>
  <c r="D523" i="7"/>
  <c r="B523" i="7"/>
  <c r="AE522" i="7"/>
  <c r="AD522" i="7"/>
  <c r="AB522" i="7"/>
  <c r="AA522" i="7"/>
  <c r="Z522" i="7"/>
  <c r="Y522" i="7"/>
  <c r="X522" i="7"/>
  <c r="W522" i="7"/>
  <c r="V522" i="7"/>
  <c r="U522" i="7"/>
  <c r="T522" i="7"/>
  <c r="S522" i="7"/>
  <c r="R522" i="7"/>
  <c r="Q522" i="7"/>
  <c r="P522" i="7"/>
  <c r="O522" i="7"/>
  <c r="N522" i="7"/>
  <c r="M522" i="7"/>
  <c r="L522" i="7"/>
  <c r="K522" i="7"/>
  <c r="J522" i="7"/>
  <c r="I522" i="7"/>
  <c r="H522" i="7"/>
  <c r="G522" i="7"/>
  <c r="F522" i="7"/>
  <c r="E522" i="7"/>
  <c r="AC521" i="7"/>
  <c r="B521" i="7"/>
  <c r="D520" i="7"/>
  <c r="B520" i="7"/>
  <c r="AE519" i="7"/>
  <c r="AD519" i="7"/>
  <c r="AB519" i="7"/>
  <c r="AA519" i="7"/>
  <c r="Z519" i="7"/>
  <c r="Y519" i="7"/>
  <c r="X519" i="7"/>
  <c r="W519" i="7"/>
  <c r="V519" i="7"/>
  <c r="U519" i="7"/>
  <c r="T519" i="7"/>
  <c r="S519" i="7"/>
  <c r="R519" i="7"/>
  <c r="Q519" i="7"/>
  <c r="P519" i="7"/>
  <c r="O519" i="7"/>
  <c r="N519" i="7"/>
  <c r="M519" i="7"/>
  <c r="L519" i="7"/>
  <c r="K519" i="7"/>
  <c r="J519" i="7"/>
  <c r="I519" i="7"/>
  <c r="H519" i="7"/>
  <c r="G519" i="7"/>
  <c r="F519" i="7"/>
  <c r="E519" i="7"/>
  <c r="D518" i="7"/>
  <c r="B518" i="7"/>
  <c r="AE517" i="7"/>
  <c r="AD517" i="7"/>
  <c r="AC517" i="7"/>
  <c r="AB517" i="7"/>
  <c r="AA517" i="7"/>
  <c r="Z517" i="7"/>
  <c r="Y517" i="7"/>
  <c r="X517" i="7"/>
  <c r="W517" i="7"/>
  <c r="V517" i="7"/>
  <c r="U517" i="7"/>
  <c r="T517" i="7"/>
  <c r="S517" i="7"/>
  <c r="R517" i="7"/>
  <c r="Q517" i="7"/>
  <c r="P517" i="7"/>
  <c r="O517" i="7"/>
  <c r="N517" i="7"/>
  <c r="M517" i="7"/>
  <c r="L517" i="7"/>
  <c r="K517" i="7"/>
  <c r="J517" i="7"/>
  <c r="I517" i="7"/>
  <c r="H517" i="7"/>
  <c r="G517" i="7"/>
  <c r="F517" i="7"/>
  <c r="E517" i="7"/>
  <c r="AC516" i="7"/>
  <c r="B516" i="7"/>
  <c r="D515" i="7"/>
  <c r="B515" i="7"/>
  <c r="AE514" i="7"/>
  <c r="AD514" i="7"/>
  <c r="AB514" i="7"/>
  <c r="AA514" i="7"/>
  <c r="Z514" i="7"/>
  <c r="Y514" i="7"/>
  <c r="X514" i="7"/>
  <c r="W514" i="7"/>
  <c r="V514" i="7"/>
  <c r="U514" i="7"/>
  <c r="T514" i="7"/>
  <c r="S514" i="7"/>
  <c r="R514" i="7"/>
  <c r="Q514" i="7"/>
  <c r="P514" i="7"/>
  <c r="O514" i="7"/>
  <c r="N514" i="7"/>
  <c r="M514" i="7"/>
  <c r="L514" i="7"/>
  <c r="K514" i="7"/>
  <c r="J514" i="7"/>
  <c r="I514" i="7"/>
  <c r="H514" i="7"/>
  <c r="G514" i="7"/>
  <c r="F514" i="7"/>
  <c r="E514" i="7"/>
  <c r="AC513" i="7"/>
  <c r="B513" i="7"/>
  <c r="D512" i="7"/>
  <c r="B512" i="7"/>
  <c r="AE511" i="7"/>
  <c r="AD511" i="7"/>
  <c r="AB511" i="7"/>
  <c r="AA511" i="7"/>
  <c r="Z511" i="7"/>
  <c r="Y511" i="7"/>
  <c r="X511" i="7"/>
  <c r="W511" i="7"/>
  <c r="V511" i="7"/>
  <c r="U511" i="7"/>
  <c r="T511" i="7"/>
  <c r="S511" i="7"/>
  <c r="R511" i="7"/>
  <c r="Q511" i="7"/>
  <c r="P511" i="7"/>
  <c r="O511" i="7"/>
  <c r="N511" i="7"/>
  <c r="M511" i="7"/>
  <c r="L511" i="7"/>
  <c r="K511" i="7"/>
  <c r="J511" i="7"/>
  <c r="I511" i="7"/>
  <c r="H511" i="7"/>
  <c r="G511" i="7"/>
  <c r="F511" i="7"/>
  <c r="E511" i="7"/>
  <c r="D510" i="7"/>
  <c r="B510" i="7"/>
  <c r="AE509" i="7"/>
  <c r="AD509" i="7"/>
  <c r="AC509" i="7"/>
  <c r="AB509" i="7"/>
  <c r="AA509" i="7"/>
  <c r="Z509" i="7"/>
  <c r="Y509" i="7"/>
  <c r="X509" i="7"/>
  <c r="W509" i="7"/>
  <c r="V509" i="7"/>
  <c r="U509" i="7"/>
  <c r="T509" i="7"/>
  <c r="S509" i="7"/>
  <c r="R509" i="7"/>
  <c r="Q509" i="7"/>
  <c r="P509" i="7"/>
  <c r="O509" i="7"/>
  <c r="N509" i="7"/>
  <c r="M509" i="7"/>
  <c r="L509" i="7"/>
  <c r="K509" i="7"/>
  <c r="J509" i="7"/>
  <c r="I509" i="7"/>
  <c r="H509" i="7"/>
  <c r="G509" i="7"/>
  <c r="F509" i="7"/>
  <c r="E509" i="7"/>
  <c r="D508" i="7"/>
  <c r="B508" i="7"/>
  <c r="AC507" i="7"/>
  <c r="D507" i="7" s="1"/>
  <c r="B507" i="7"/>
  <c r="D506" i="7"/>
  <c r="B506" i="7"/>
  <c r="D505" i="7"/>
  <c r="B505" i="7"/>
  <c r="D504" i="7"/>
  <c r="B504" i="7"/>
  <c r="AE503" i="7"/>
  <c r="AD503" i="7"/>
  <c r="AB503" i="7"/>
  <c r="AA503" i="7"/>
  <c r="Z503" i="7"/>
  <c r="Y503" i="7"/>
  <c r="X503" i="7"/>
  <c r="W503" i="7"/>
  <c r="V503" i="7"/>
  <c r="U503" i="7"/>
  <c r="T503" i="7"/>
  <c r="S503" i="7"/>
  <c r="R503" i="7"/>
  <c r="Q503" i="7"/>
  <c r="P503" i="7"/>
  <c r="O503" i="7"/>
  <c r="N503" i="7"/>
  <c r="M503" i="7"/>
  <c r="L503" i="7"/>
  <c r="K503" i="7"/>
  <c r="J503" i="7"/>
  <c r="I503" i="7"/>
  <c r="H503" i="7"/>
  <c r="G503" i="7"/>
  <c r="F503" i="7"/>
  <c r="E503" i="7"/>
  <c r="D502" i="7"/>
  <c r="B502" i="7"/>
  <c r="D501" i="7"/>
  <c r="B501" i="7"/>
  <c r="D500" i="7"/>
  <c r="B500" i="7"/>
  <c r="D499" i="7"/>
  <c r="B499" i="7"/>
  <c r="AE498" i="7"/>
  <c r="AD498" i="7"/>
  <c r="AC498" i="7"/>
  <c r="AB498" i="7"/>
  <c r="AA498" i="7"/>
  <c r="Z498" i="7"/>
  <c r="Y498" i="7"/>
  <c r="X498" i="7"/>
  <c r="W498" i="7"/>
  <c r="V498" i="7"/>
  <c r="U498" i="7"/>
  <c r="T498" i="7"/>
  <c r="S498" i="7"/>
  <c r="R498" i="7"/>
  <c r="Q498" i="7"/>
  <c r="P498" i="7"/>
  <c r="O498" i="7"/>
  <c r="N498" i="7"/>
  <c r="M498" i="7"/>
  <c r="L498" i="7"/>
  <c r="K498" i="7"/>
  <c r="J498" i="7"/>
  <c r="I498" i="7"/>
  <c r="H498" i="7"/>
  <c r="G498" i="7"/>
  <c r="F498" i="7"/>
  <c r="E498" i="7"/>
  <c r="AC496" i="7"/>
  <c r="B497" i="7"/>
  <c r="AE496" i="7"/>
  <c r="AD496" i="7"/>
  <c r="AB496" i="7"/>
  <c r="AA496" i="7"/>
  <c r="Z496" i="7"/>
  <c r="Y496" i="7"/>
  <c r="X496" i="7"/>
  <c r="W496" i="7"/>
  <c r="V496" i="7"/>
  <c r="U496" i="7"/>
  <c r="T496" i="7"/>
  <c r="S496" i="7"/>
  <c r="R496" i="7"/>
  <c r="Q496" i="7"/>
  <c r="P496" i="7"/>
  <c r="O496" i="7"/>
  <c r="N496" i="7"/>
  <c r="M496" i="7"/>
  <c r="L496" i="7"/>
  <c r="K496" i="7"/>
  <c r="J496" i="7"/>
  <c r="I496" i="7"/>
  <c r="H496" i="7"/>
  <c r="G496" i="7"/>
  <c r="F496" i="7"/>
  <c r="E496" i="7"/>
  <c r="D495" i="7"/>
  <c r="D494" i="7" s="1"/>
  <c r="B495" i="7"/>
  <c r="AE494" i="7"/>
  <c r="AD494" i="7"/>
  <c r="AC494" i="7"/>
  <c r="AB494" i="7"/>
  <c r="AA494" i="7"/>
  <c r="Z494" i="7"/>
  <c r="Y494" i="7"/>
  <c r="X494" i="7"/>
  <c r="W494" i="7"/>
  <c r="V494" i="7"/>
  <c r="U494" i="7"/>
  <c r="T494" i="7"/>
  <c r="S494" i="7"/>
  <c r="R494" i="7"/>
  <c r="Q494" i="7"/>
  <c r="P494" i="7"/>
  <c r="O494" i="7"/>
  <c r="N494" i="7"/>
  <c r="M494" i="7"/>
  <c r="L494" i="7"/>
  <c r="K494" i="7"/>
  <c r="J494" i="7"/>
  <c r="I494" i="7"/>
  <c r="H494" i="7"/>
  <c r="G494" i="7"/>
  <c r="F494" i="7"/>
  <c r="E494" i="7"/>
  <c r="D493" i="7"/>
  <c r="B493" i="7"/>
  <c r="D492" i="7"/>
  <c r="B492" i="7"/>
  <c r="D491" i="7"/>
  <c r="B491" i="7"/>
  <c r="D490" i="7"/>
  <c r="B490" i="7"/>
  <c r="AC489" i="7"/>
  <c r="B489" i="7"/>
  <c r="D488" i="7"/>
  <c r="B488" i="7"/>
  <c r="D487" i="7"/>
  <c r="B487" i="7"/>
  <c r="D486" i="7"/>
  <c r="B486" i="7"/>
  <c r="AE485" i="7"/>
  <c r="AD485" i="7"/>
  <c r="AB485" i="7"/>
  <c r="AA485" i="7"/>
  <c r="Z485" i="7"/>
  <c r="Y485" i="7"/>
  <c r="X485" i="7"/>
  <c r="W485" i="7"/>
  <c r="V485" i="7"/>
  <c r="U485" i="7"/>
  <c r="T485" i="7"/>
  <c r="S485" i="7"/>
  <c r="R485" i="7"/>
  <c r="Q485" i="7"/>
  <c r="P485" i="7"/>
  <c r="O485" i="7"/>
  <c r="N485" i="7"/>
  <c r="M485" i="7"/>
  <c r="L485" i="7"/>
  <c r="K485" i="7"/>
  <c r="J485" i="7"/>
  <c r="I485" i="7"/>
  <c r="H485" i="7"/>
  <c r="G485" i="7"/>
  <c r="F485" i="7"/>
  <c r="E485" i="7"/>
  <c r="D484" i="7"/>
  <c r="B484" i="7"/>
  <c r="D483" i="7"/>
  <c r="B483" i="7"/>
  <c r="D482" i="7"/>
  <c r="B482" i="7"/>
  <c r="AC481" i="7"/>
  <c r="D481" i="7" s="1"/>
  <c r="B481" i="7"/>
  <c r="AC480" i="7"/>
  <c r="D480" i="7" s="1"/>
  <c r="B480" i="7"/>
  <c r="D479" i="7"/>
  <c r="B479" i="7"/>
  <c r="D478" i="7"/>
  <c r="B478" i="7"/>
  <c r="D477" i="7"/>
  <c r="B477" i="7"/>
  <c r="D476" i="7"/>
  <c r="B476" i="7"/>
  <c r="B475" i="7"/>
  <c r="D474" i="7"/>
  <c r="B474" i="7"/>
  <c r="AE473" i="7"/>
  <c r="AD473" i="7"/>
  <c r="AB473" i="7"/>
  <c r="AA473" i="7"/>
  <c r="Z473" i="7"/>
  <c r="Y473" i="7"/>
  <c r="X473" i="7"/>
  <c r="W473" i="7"/>
  <c r="V473" i="7"/>
  <c r="U473" i="7"/>
  <c r="T473" i="7"/>
  <c r="S473" i="7"/>
  <c r="R473" i="7"/>
  <c r="Q473" i="7"/>
  <c r="P473" i="7"/>
  <c r="O473" i="7"/>
  <c r="N473" i="7"/>
  <c r="M473" i="7"/>
  <c r="L473" i="7"/>
  <c r="K473" i="7"/>
  <c r="J473" i="7"/>
  <c r="I473" i="7"/>
  <c r="H473" i="7"/>
  <c r="G473" i="7"/>
  <c r="F473" i="7"/>
  <c r="E473" i="7"/>
  <c r="AC472" i="7"/>
  <c r="D472" i="7" s="1"/>
  <c r="B472" i="7"/>
  <c r="D471" i="7"/>
  <c r="B471" i="7"/>
  <c r="D470" i="7"/>
  <c r="B470" i="7"/>
  <c r="D469" i="7"/>
  <c r="B469" i="7"/>
  <c r="AC468" i="7"/>
  <c r="B468" i="7"/>
  <c r="AE467" i="7"/>
  <c r="AD467" i="7"/>
  <c r="AB467" i="7"/>
  <c r="AA467" i="7"/>
  <c r="Z467" i="7"/>
  <c r="Y467" i="7"/>
  <c r="X467" i="7"/>
  <c r="W467" i="7"/>
  <c r="V467" i="7"/>
  <c r="U467" i="7"/>
  <c r="T467" i="7"/>
  <c r="S467" i="7"/>
  <c r="R467" i="7"/>
  <c r="Q467" i="7"/>
  <c r="P467" i="7"/>
  <c r="O467" i="7"/>
  <c r="M467" i="7"/>
  <c r="L467" i="7"/>
  <c r="K467" i="7"/>
  <c r="J467" i="7"/>
  <c r="I467" i="7"/>
  <c r="H467" i="7"/>
  <c r="G467" i="7"/>
  <c r="F467" i="7"/>
  <c r="E467" i="7"/>
  <c r="AC466" i="7"/>
  <c r="D466" i="7" s="1"/>
  <c r="B466" i="7"/>
  <c r="AE465" i="7"/>
  <c r="AD465" i="7"/>
  <c r="AB465" i="7"/>
  <c r="AA465" i="7"/>
  <c r="Z465" i="7"/>
  <c r="Y465" i="7"/>
  <c r="X465" i="7"/>
  <c r="W465" i="7"/>
  <c r="V465" i="7"/>
  <c r="U465" i="7"/>
  <c r="T465" i="7"/>
  <c r="S465" i="7"/>
  <c r="R465" i="7"/>
  <c r="Q465" i="7"/>
  <c r="P465" i="7"/>
  <c r="O465" i="7"/>
  <c r="N465" i="7"/>
  <c r="M465" i="7"/>
  <c r="L465" i="7"/>
  <c r="K465" i="7"/>
  <c r="J465" i="7"/>
  <c r="I465" i="7"/>
  <c r="H465" i="7"/>
  <c r="G465" i="7"/>
  <c r="F465" i="7"/>
  <c r="E465" i="7"/>
  <c r="AC464" i="7"/>
  <c r="AC463" i="7" s="1"/>
  <c r="B464" i="7"/>
  <c r="AE463" i="7"/>
  <c r="AD463" i="7"/>
  <c r="AB463" i="7"/>
  <c r="AA463" i="7"/>
  <c r="Z463" i="7"/>
  <c r="Y463" i="7"/>
  <c r="X463" i="7"/>
  <c r="W463" i="7"/>
  <c r="V463" i="7"/>
  <c r="U463" i="7"/>
  <c r="T463" i="7"/>
  <c r="S463" i="7"/>
  <c r="R463" i="7"/>
  <c r="Q463" i="7"/>
  <c r="P463" i="7"/>
  <c r="O463" i="7"/>
  <c r="N463" i="7"/>
  <c r="M463" i="7"/>
  <c r="L463" i="7"/>
  <c r="K463" i="7"/>
  <c r="J463" i="7"/>
  <c r="I463" i="7"/>
  <c r="H463" i="7"/>
  <c r="G463" i="7"/>
  <c r="F463" i="7"/>
  <c r="E463" i="7"/>
  <c r="AC462" i="7"/>
  <c r="AC461" i="7" s="1"/>
  <c r="B462" i="7"/>
  <c r="AE461" i="7"/>
  <c r="AD461" i="7"/>
  <c r="AB461" i="7"/>
  <c r="AA461" i="7"/>
  <c r="Z461" i="7"/>
  <c r="Y461" i="7"/>
  <c r="X461" i="7"/>
  <c r="W461" i="7"/>
  <c r="V461" i="7"/>
  <c r="U461" i="7"/>
  <c r="T461" i="7"/>
  <c r="S461" i="7"/>
  <c r="R461" i="7"/>
  <c r="Q461" i="7"/>
  <c r="P461" i="7"/>
  <c r="O461" i="7"/>
  <c r="N461" i="7"/>
  <c r="M461" i="7"/>
  <c r="L461" i="7"/>
  <c r="K461" i="7"/>
  <c r="J461" i="7"/>
  <c r="I461" i="7"/>
  <c r="H461" i="7"/>
  <c r="G461" i="7"/>
  <c r="F461" i="7"/>
  <c r="E461" i="7"/>
  <c r="D460" i="7"/>
  <c r="B460" i="7"/>
  <c r="AE459" i="7"/>
  <c r="AD459" i="7"/>
  <c r="AC459" i="7"/>
  <c r="AB459" i="7"/>
  <c r="AA459" i="7"/>
  <c r="Z459" i="7"/>
  <c r="Y459" i="7"/>
  <c r="X459" i="7"/>
  <c r="W459" i="7"/>
  <c r="V459" i="7"/>
  <c r="U459" i="7"/>
  <c r="T459" i="7"/>
  <c r="S459" i="7"/>
  <c r="R459" i="7"/>
  <c r="Q459" i="7"/>
  <c r="P459" i="7"/>
  <c r="O459" i="7"/>
  <c r="N459" i="7"/>
  <c r="M459" i="7"/>
  <c r="L459" i="7"/>
  <c r="K459" i="7"/>
  <c r="J459" i="7"/>
  <c r="I459" i="7"/>
  <c r="H459" i="7"/>
  <c r="G459" i="7"/>
  <c r="F459" i="7"/>
  <c r="E459" i="7"/>
  <c r="D458" i="7"/>
  <c r="D457" i="7" s="1"/>
  <c r="B458" i="7"/>
  <c r="AE457" i="7"/>
  <c r="AD457" i="7"/>
  <c r="AC457" i="7"/>
  <c r="AB457" i="7"/>
  <c r="AA457" i="7"/>
  <c r="Z457" i="7"/>
  <c r="Y457" i="7"/>
  <c r="X457" i="7"/>
  <c r="W457" i="7"/>
  <c r="V457" i="7"/>
  <c r="U457" i="7"/>
  <c r="T457" i="7"/>
  <c r="S457" i="7"/>
  <c r="R457" i="7"/>
  <c r="Q457" i="7"/>
  <c r="P457" i="7"/>
  <c r="O457" i="7"/>
  <c r="N457" i="7"/>
  <c r="M457" i="7"/>
  <c r="L457" i="7"/>
  <c r="K457" i="7"/>
  <c r="J457" i="7"/>
  <c r="I457" i="7"/>
  <c r="H457" i="7"/>
  <c r="G457" i="7"/>
  <c r="F457" i="7"/>
  <c r="E457" i="7"/>
  <c r="B456" i="7"/>
  <c r="AE455" i="7"/>
  <c r="AD455" i="7"/>
  <c r="AB455" i="7"/>
  <c r="AA455" i="7"/>
  <c r="Z455" i="7"/>
  <c r="Y455" i="7"/>
  <c r="X455" i="7"/>
  <c r="W455" i="7"/>
  <c r="V455" i="7"/>
  <c r="U455" i="7"/>
  <c r="T455" i="7"/>
  <c r="S455" i="7"/>
  <c r="R455" i="7"/>
  <c r="Q455" i="7"/>
  <c r="P455" i="7"/>
  <c r="O455" i="7"/>
  <c r="N455" i="7"/>
  <c r="M455" i="7"/>
  <c r="L455" i="7"/>
  <c r="K455" i="7"/>
  <c r="J455" i="7"/>
  <c r="I455" i="7"/>
  <c r="H455" i="7"/>
  <c r="G455" i="7"/>
  <c r="F455" i="7"/>
  <c r="E455" i="7"/>
  <c r="AC454" i="7"/>
  <c r="D454" i="7" s="1"/>
  <c r="B454" i="7"/>
  <c r="AC453" i="7"/>
  <c r="D453" i="7" s="1"/>
  <c r="B453" i="7"/>
  <c r="D452" i="7"/>
  <c r="B452" i="7"/>
  <c r="D451" i="7"/>
  <c r="B451" i="7"/>
  <c r="D450" i="7"/>
  <c r="B450" i="7"/>
  <c r="D449" i="7"/>
  <c r="B449" i="7"/>
  <c r="D448" i="7"/>
  <c r="B448" i="7"/>
  <c r="AC447" i="7"/>
  <c r="B447" i="7"/>
  <c r="D446" i="7"/>
  <c r="B446" i="7"/>
  <c r="D445" i="7"/>
  <c r="B445" i="7"/>
  <c r="AE444" i="7"/>
  <c r="AD444" i="7"/>
  <c r="AB444" i="7"/>
  <c r="AA444" i="7"/>
  <c r="Z444" i="7"/>
  <c r="Y444" i="7"/>
  <c r="X444" i="7"/>
  <c r="W444" i="7"/>
  <c r="V444" i="7"/>
  <c r="U444" i="7"/>
  <c r="T444" i="7"/>
  <c r="S444" i="7"/>
  <c r="R444" i="7"/>
  <c r="Q444" i="7"/>
  <c r="P444" i="7"/>
  <c r="O444" i="7"/>
  <c r="N444" i="7"/>
  <c r="M444" i="7"/>
  <c r="L444" i="7"/>
  <c r="K444" i="7"/>
  <c r="J444" i="7"/>
  <c r="I444" i="7"/>
  <c r="H444" i="7"/>
  <c r="G444" i="7"/>
  <c r="F444" i="7"/>
  <c r="E444" i="7"/>
  <c r="D443" i="7"/>
  <c r="B443" i="7"/>
  <c r="D442" i="7"/>
  <c r="B442" i="7"/>
  <c r="AE441" i="7"/>
  <c r="AD441" i="7"/>
  <c r="AB441" i="7"/>
  <c r="AA441" i="7"/>
  <c r="Z441" i="7"/>
  <c r="Y441" i="7"/>
  <c r="X441" i="7"/>
  <c r="W441" i="7"/>
  <c r="V441" i="7"/>
  <c r="U441" i="7"/>
  <c r="T441" i="7"/>
  <c r="S441" i="7"/>
  <c r="R441" i="7"/>
  <c r="Q441" i="7"/>
  <c r="P441" i="7"/>
  <c r="O441" i="7"/>
  <c r="N441" i="7"/>
  <c r="M441" i="7"/>
  <c r="L441" i="7"/>
  <c r="K441" i="7"/>
  <c r="J441" i="7"/>
  <c r="I441" i="7"/>
  <c r="H441" i="7"/>
  <c r="G441" i="7"/>
  <c r="F441" i="7"/>
  <c r="E441" i="7"/>
  <c r="D439" i="7"/>
  <c r="B439" i="7"/>
  <c r="D438" i="7"/>
  <c r="B438" i="7"/>
  <c r="D437" i="7"/>
  <c r="B437" i="7"/>
  <c r="D436" i="7"/>
  <c r="B436" i="7"/>
  <c r="AE435" i="7"/>
  <c r="AD435" i="7"/>
  <c r="AB435" i="7"/>
  <c r="AA435" i="7"/>
  <c r="Z435" i="7"/>
  <c r="Y435" i="7"/>
  <c r="X435" i="7"/>
  <c r="W435" i="7"/>
  <c r="V435" i="7"/>
  <c r="U435" i="7"/>
  <c r="T435" i="7"/>
  <c r="S435" i="7"/>
  <c r="R435" i="7"/>
  <c r="Q435" i="7"/>
  <c r="P435" i="7"/>
  <c r="O435" i="7"/>
  <c r="N435" i="7"/>
  <c r="M435" i="7"/>
  <c r="L435" i="7"/>
  <c r="K435" i="7"/>
  <c r="J435" i="7"/>
  <c r="I435" i="7"/>
  <c r="H435" i="7"/>
  <c r="G435" i="7"/>
  <c r="F435" i="7"/>
  <c r="E435" i="7"/>
  <c r="D434" i="7"/>
  <c r="B434" i="7"/>
  <c r="D433" i="7"/>
  <c r="B433" i="7"/>
  <c r="D432" i="7"/>
  <c r="B432" i="7"/>
  <c r="D431" i="7"/>
  <c r="B431" i="7"/>
  <c r="B430" i="7"/>
  <c r="AC429" i="7"/>
  <c r="D429" i="7" s="1"/>
  <c r="B429" i="7"/>
  <c r="AE428" i="7"/>
  <c r="AD428" i="7"/>
  <c r="AB428" i="7"/>
  <c r="AA428" i="7"/>
  <c r="Z428" i="7"/>
  <c r="Y428" i="7"/>
  <c r="X428" i="7"/>
  <c r="W428" i="7"/>
  <c r="V428" i="7"/>
  <c r="U428" i="7"/>
  <c r="T428" i="7"/>
  <c r="S428" i="7"/>
  <c r="R428" i="7"/>
  <c r="Q428" i="7"/>
  <c r="P428" i="7"/>
  <c r="O428" i="7"/>
  <c r="N428" i="7"/>
  <c r="M428" i="7"/>
  <c r="L428" i="7"/>
  <c r="K428" i="7"/>
  <c r="J428" i="7"/>
  <c r="I428" i="7"/>
  <c r="H428" i="7"/>
  <c r="G428" i="7"/>
  <c r="F428" i="7"/>
  <c r="E428" i="7"/>
  <c r="AC427" i="7"/>
  <c r="D427" i="7" s="1"/>
  <c r="B427" i="7"/>
  <c r="B426" i="7"/>
  <c r="AC425" i="7"/>
  <c r="D425" i="7" s="1"/>
  <c r="B425" i="7"/>
  <c r="AE424" i="7"/>
  <c r="AD424" i="7"/>
  <c r="AB424" i="7"/>
  <c r="AA424" i="7"/>
  <c r="Z424" i="7"/>
  <c r="Y424" i="7"/>
  <c r="X424" i="7"/>
  <c r="W424" i="7"/>
  <c r="V424" i="7"/>
  <c r="U424" i="7"/>
  <c r="T424" i="7"/>
  <c r="S424" i="7"/>
  <c r="R424" i="7"/>
  <c r="Q424" i="7"/>
  <c r="P424" i="7"/>
  <c r="O424" i="7"/>
  <c r="N424" i="7"/>
  <c r="M424" i="7"/>
  <c r="L424" i="7"/>
  <c r="K424" i="7"/>
  <c r="J424" i="7"/>
  <c r="I424" i="7"/>
  <c r="H424" i="7"/>
  <c r="G424" i="7"/>
  <c r="F424" i="7"/>
  <c r="E424" i="7"/>
  <c r="D423" i="7"/>
  <c r="B423" i="7"/>
  <c r="AE422" i="7"/>
  <c r="AD422" i="7"/>
  <c r="AC422" i="7"/>
  <c r="AB422" i="7"/>
  <c r="AA422" i="7"/>
  <c r="Z422" i="7"/>
  <c r="Y422" i="7"/>
  <c r="X422" i="7"/>
  <c r="W422" i="7"/>
  <c r="V422" i="7"/>
  <c r="U422" i="7"/>
  <c r="T422" i="7"/>
  <c r="S422" i="7"/>
  <c r="R422" i="7"/>
  <c r="Q422" i="7"/>
  <c r="P422" i="7"/>
  <c r="O422" i="7"/>
  <c r="N422" i="7"/>
  <c r="M422" i="7"/>
  <c r="L422" i="7"/>
  <c r="K422" i="7"/>
  <c r="J422" i="7"/>
  <c r="I422" i="7"/>
  <c r="H422" i="7"/>
  <c r="G422" i="7"/>
  <c r="F422" i="7"/>
  <c r="E422" i="7"/>
  <c r="D421" i="7"/>
  <c r="B421" i="7"/>
  <c r="D420" i="7"/>
  <c r="B420" i="7"/>
  <c r="D419" i="7"/>
  <c r="B419" i="7"/>
  <c r="AE418" i="7"/>
  <c r="AD418" i="7"/>
  <c r="AC418" i="7"/>
  <c r="AB418" i="7"/>
  <c r="AA418" i="7"/>
  <c r="Z418" i="7"/>
  <c r="Y418" i="7"/>
  <c r="X418" i="7"/>
  <c r="W418" i="7"/>
  <c r="V418" i="7"/>
  <c r="U418" i="7"/>
  <c r="T418" i="7"/>
  <c r="S418" i="7"/>
  <c r="R418" i="7"/>
  <c r="Q418" i="7"/>
  <c r="P418" i="7"/>
  <c r="O418" i="7"/>
  <c r="N418" i="7"/>
  <c r="M418" i="7"/>
  <c r="L418" i="7"/>
  <c r="K418" i="7"/>
  <c r="J418" i="7"/>
  <c r="I418" i="7"/>
  <c r="H418" i="7"/>
  <c r="G418" i="7"/>
  <c r="F418" i="7"/>
  <c r="E418" i="7"/>
  <c r="AC417" i="7"/>
  <c r="D417" i="7" s="1"/>
  <c r="B417" i="7"/>
  <c r="AC416" i="7"/>
  <c r="D416" i="7" s="1"/>
  <c r="B416" i="7"/>
  <c r="D415" i="7"/>
  <c r="B415" i="7"/>
  <c r="AE414" i="7"/>
  <c r="AD414" i="7"/>
  <c r="AB414" i="7"/>
  <c r="AA414" i="7"/>
  <c r="Z414" i="7"/>
  <c r="Y414" i="7"/>
  <c r="X414" i="7"/>
  <c r="W414" i="7"/>
  <c r="V414" i="7"/>
  <c r="U414" i="7"/>
  <c r="T414" i="7"/>
  <c r="S414" i="7"/>
  <c r="R414" i="7"/>
  <c r="Q414" i="7"/>
  <c r="P414" i="7"/>
  <c r="O414" i="7"/>
  <c r="N414" i="7"/>
  <c r="M414" i="7"/>
  <c r="L414" i="7"/>
  <c r="K414" i="7"/>
  <c r="J414" i="7"/>
  <c r="I414" i="7"/>
  <c r="H414" i="7"/>
  <c r="G414" i="7"/>
  <c r="F414" i="7"/>
  <c r="E414" i="7"/>
  <c r="D413" i="7"/>
  <c r="B413" i="7"/>
  <c r="AE412" i="7"/>
  <c r="AD412" i="7"/>
  <c r="AC412" i="7"/>
  <c r="AB412" i="7"/>
  <c r="AA412" i="7"/>
  <c r="Z412" i="7"/>
  <c r="Y412" i="7"/>
  <c r="X412" i="7"/>
  <c r="W412" i="7"/>
  <c r="V412" i="7"/>
  <c r="U412" i="7"/>
  <c r="T412" i="7"/>
  <c r="S412" i="7"/>
  <c r="R412" i="7"/>
  <c r="Q412" i="7"/>
  <c r="P412" i="7"/>
  <c r="O412" i="7"/>
  <c r="N412" i="7"/>
  <c r="M412" i="7"/>
  <c r="L412" i="7"/>
  <c r="K412" i="7"/>
  <c r="J412" i="7"/>
  <c r="I412" i="7"/>
  <c r="H412" i="7"/>
  <c r="G412" i="7"/>
  <c r="F412" i="7"/>
  <c r="E412" i="7"/>
  <c r="AC411" i="7"/>
  <c r="D411" i="7" s="1"/>
  <c r="B411" i="7"/>
  <c r="AC410" i="7"/>
  <c r="D410" i="7" s="1"/>
  <c r="B410" i="7"/>
  <c r="AC409" i="7"/>
  <c r="D409" i="7" s="1"/>
  <c r="B409" i="7"/>
  <c r="D408" i="7"/>
  <c r="B408" i="7"/>
  <c r="AC407" i="7"/>
  <c r="B407" i="7"/>
  <c r="D406" i="7"/>
  <c r="B406" i="7"/>
  <c r="D405" i="7"/>
  <c r="B405" i="7"/>
  <c r="AE404" i="7"/>
  <c r="AD404" i="7"/>
  <c r="AB404" i="7"/>
  <c r="AA404" i="7"/>
  <c r="Z404" i="7"/>
  <c r="Y404" i="7"/>
  <c r="X404" i="7"/>
  <c r="W404" i="7"/>
  <c r="V404" i="7"/>
  <c r="U404" i="7"/>
  <c r="T404" i="7"/>
  <c r="S404" i="7"/>
  <c r="R404" i="7"/>
  <c r="Q404" i="7"/>
  <c r="P404" i="7"/>
  <c r="O404" i="7"/>
  <c r="N404" i="7"/>
  <c r="M404" i="7"/>
  <c r="L404" i="7"/>
  <c r="K404" i="7"/>
  <c r="J404" i="7"/>
  <c r="I404" i="7"/>
  <c r="H404" i="7"/>
  <c r="G404" i="7"/>
  <c r="F404" i="7"/>
  <c r="E404" i="7"/>
  <c r="D403" i="7"/>
  <c r="D402" i="7" s="1"/>
  <c r="B403" i="7"/>
  <c r="AE402" i="7"/>
  <c r="AD402" i="7"/>
  <c r="AC402" i="7"/>
  <c r="AB402" i="7"/>
  <c r="AA402" i="7"/>
  <c r="Z402" i="7"/>
  <c r="Y402" i="7"/>
  <c r="X402" i="7"/>
  <c r="W402" i="7"/>
  <c r="V402" i="7"/>
  <c r="U402" i="7"/>
  <c r="T402" i="7"/>
  <c r="S402" i="7"/>
  <c r="R402" i="7"/>
  <c r="Q402" i="7"/>
  <c r="P402" i="7"/>
  <c r="O402" i="7"/>
  <c r="N402" i="7"/>
  <c r="M402" i="7"/>
  <c r="L402" i="7"/>
  <c r="K402" i="7"/>
  <c r="J402" i="7"/>
  <c r="I402" i="7"/>
  <c r="H402" i="7"/>
  <c r="G402" i="7"/>
  <c r="F402" i="7"/>
  <c r="E402" i="7"/>
  <c r="AC401" i="7"/>
  <c r="B401" i="7"/>
  <c r="D400" i="7"/>
  <c r="B400" i="7"/>
  <c r="D399" i="7"/>
  <c r="B399" i="7"/>
  <c r="AC398" i="7"/>
  <c r="D398" i="7" s="1"/>
  <c r="B398" i="7"/>
  <c r="AE397" i="7"/>
  <c r="AD397" i="7"/>
  <c r="AB397" i="7"/>
  <c r="AA397" i="7"/>
  <c r="Z397" i="7"/>
  <c r="Y397" i="7"/>
  <c r="X397" i="7"/>
  <c r="W397" i="7"/>
  <c r="V397" i="7"/>
  <c r="U397" i="7"/>
  <c r="T397" i="7"/>
  <c r="S397" i="7"/>
  <c r="R397" i="7"/>
  <c r="Q397" i="7"/>
  <c r="P397" i="7"/>
  <c r="O397" i="7"/>
  <c r="N397" i="7"/>
  <c r="M397" i="7"/>
  <c r="L397" i="7"/>
  <c r="K397" i="7"/>
  <c r="J397" i="7"/>
  <c r="I397" i="7"/>
  <c r="H397" i="7"/>
  <c r="G397" i="7"/>
  <c r="F397" i="7"/>
  <c r="E397" i="7"/>
  <c r="AC396" i="7"/>
  <c r="AC395" i="7" s="1"/>
  <c r="B396" i="7"/>
  <c r="AE395" i="7"/>
  <c r="AD395" i="7"/>
  <c r="AB395" i="7"/>
  <c r="AA395" i="7"/>
  <c r="Z395" i="7"/>
  <c r="Y395" i="7"/>
  <c r="X395" i="7"/>
  <c r="W395" i="7"/>
  <c r="V395" i="7"/>
  <c r="U395" i="7"/>
  <c r="T395" i="7"/>
  <c r="S395" i="7"/>
  <c r="R395" i="7"/>
  <c r="Q395" i="7"/>
  <c r="P395" i="7"/>
  <c r="O395" i="7"/>
  <c r="N395" i="7"/>
  <c r="M395" i="7"/>
  <c r="L395" i="7"/>
  <c r="K395" i="7"/>
  <c r="J395" i="7"/>
  <c r="I395" i="7"/>
  <c r="H395" i="7"/>
  <c r="G395" i="7"/>
  <c r="F395" i="7"/>
  <c r="E395" i="7"/>
  <c r="D394" i="7"/>
  <c r="B394" i="7"/>
  <c r="D393" i="7"/>
  <c r="B393" i="7"/>
  <c r="AE392" i="7"/>
  <c r="AD392" i="7"/>
  <c r="AC392" i="7"/>
  <c r="AB392" i="7"/>
  <c r="AA392" i="7"/>
  <c r="Z392" i="7"/>
  <c r="Y392" i="7"/>
  <c r="X392" i="7"/>
  <c r="W392" i="7"/>
  <c r="V392" i="7"/>
  <c r="U392" i="7"/>
  <c r="T392" i="7"/>
  <c r="S392" i="7"/>
  <c r="R392" i="7"/>
  <c r="Q392" i="7"/>
  <c r="P392" i="7"/>
  <c r="O392" i="7"/>
  <c r="N392" i="7"/>
  <c r="M392" i="7"/>
  <c r="L392" i="7"/>
  <c r="K392" i="7"/>
  <c r="J392" i="7"/>
  <c r="I392" i="7"/>
  <c r="H392" i="7"/>
  <c r="G392" i="7"/>
  <c r="F392" i="7"/>
  <c r="E392" i="7"/>
  <c r="AC391" i="7"/>
  <c r="D391" i="7" s="1"/>
  <c r="B391" i="7"/>
  <c r="AC390" i="7"/>
  <c r="B390" i="7"/>
  <c r="D389" i="7"/>
  <c r="B389" i="7"/>
  <c r="D388" i="7"/>
  <c r="B388" i="7"/>
  <c r="AE387" i="7"/>
  <c r="AD387" i="7"/>
  <c r="AB387" i="7"/>
  <c r="AA387" i="7"/>
  <c r="Z387" i="7"/>
  <c r="Y387" i="7"/>
  <c r="X387" i="7"/>
  <c r="W387" i="7"/>
  <c r="V387" i="7"/>
  <c r="U387" i="7"/>
  <c r="T387" i="7"/>
  <c r="S387" i="7"/>
  <c r="R387" i="7"/>
  <c r="Q387" i="7"/>
  <c r="P387" i="7"/>
  <c r="O387" i="7"/>
  <c r="N387" i="7"/>
  <c r="M387" i="7"/>
  <c r="L387" i="7"/>
  <c r="K387" i="7"/>
  <c r="J387" i="7"/>
  <c r="I387" i="7"/>
  <c r="H387" i="7"/>
  <c r="G387" i="7"/>
  <c r="F387" i="7"/>
  <c r="E387" i="7"/>
  <c r="D386" i="7"/>
  <c r="B386" i="7"/>
  <c r="AE385" i="7"/>
  <c r="AD385" i="7"/>
  <c r="AC385" i="7"/>
  <c r="AB385" i="7"/>
  <c r="AA385" i="7"/>
  <c r="Z385" i="7"/>
  <c r="Y385" i="7"/>
  <c r="X385" i="7"/>
  <c r="W385" i="7"/>
  <c r="V385" i="7"/>
  <c r="U385" i="7"/>
  <c r="T385" i="7"/>
  <c r="S385" i="7"/>
  <c r="R385" i="7"/>
  <c r="Q385" i="7"/>
  <c r="P385" i="7"/>
  <c r="O385" i="7"/>
  <c r="N385" i="7"/>
  <c r="M385" i="7"/>
  <c r="L385" i="7"/>
  <c r="K385" i="7"/>
  <c r="J385" i="7"/>
  <c r="I385" i="7"/>
  <c r="H385" i="7"/>
  <c r="G385" i="7"/>
  <c r="F385" i="7"/>
  <c r="E385" i="7"/>
  <c r="D384" i="7"/>
  <c r="B384" i="7"/>
  <c r="AE383" i="7"/>
  <c r="AD383" i="7"/>
  <c r="AC383" i="7"/>
  <c r="AB383" i="7"/>
  <c r="AA383" i="7"/>
  <c r="Z383" i="7"/>
  <c r="Y383" i="7"/>
  <c r="X383" i="7"/>
  <c r="W383" i="7"/>
  <c r="V383" i="7"/>
  <c r="U383" i="7"/>
  <c r="T383" i="7"/>
  <c r="S383" i="7"/>
  <c r="R383" i="7"/>
  <c r="Q383" i="7"/>
  <c r="P383" i="7"/>
  <c r="O383" i="7"/>
  <c r="N383" i="7"/>
  <c r="M383" i="7"/>
  <c r="L383" i="7"/>
  <c r="K383" i="7"/>
  <c r="J383" i="7"/>
  <c r="I383" i="7"/>
  <c r="H383" i="7"/>
  <c r="G383" i="7"/>
  <c r="F383" i="7"/>
  <c r="E383" i="7"/>
  <c r="B382" i="7"/>
  <c r="D381" i="7"/>
  <c r="B381" i="7"/>
  <c r="AE380" i="7"/>
  <c r="AD380" i="7"/>
  <c r="AB380" i="7"/>
  <c r="AA380" i="7"/>
  <c r="Z380" i="7"/>
  <c r="Y380" i="7"/>
  <c r="X380" i="7"/>
  <c r="W380" i="7"/>
  <c r="V380" i="7"/>
  <c r="U380" i="7"/>
  <c r="T380" i="7"/>
  <c r="S380" i="7"/>
  <c r="R380" i="7"/>
  <c r="Q380" i="7"/>
  <c r="P380" i="7"/>
  <c r="O380" i="7"/>
  <c r="N380" i="7"/>
  <c r="M380" i="7"/>
  <c r="L380" i="7"/>
  <c r="K380" i="7"/>
  <c r="J380" i="7"/>
  <c r="I380" i="7"/>
  <c r="G380" i="7"/>
  <c r="F380" i="7"/>
  <c r="E380" i="7"/>
  <c r="D375" i="7"/>
  <c r="B375" i="7"/>
  <c r="D374" i="7"/>
  <c r="B374" i="7"/>
  <c r="D373" i="7"/>
  <c r="B373" i="7"/>
  <c r="D372" i="7"/>
  <c r="B372" i="7"/>
  <c r="D371" i="7"/>
  <c r="B371" i="7"/>
  <c r="D370" i="7"/>
  <c r="B370" i="7"/>
  <c r="R369" i="7"/>
  <c r="D369" i="7" s="1"/>
  <c r="B369" i="7"/>
  <c r="D368" i="7"/>
  <c r="B368" i="7"/>
  <c r="D367" i="7"/>
  <c r="B367" i="7"/>
  <c r="D366" i="7"/>
  <c r="B366" i="7"/>
  <c r="D365" i="7"/>
  <c r="B365" i="7"/>
  <c r="D364" i="7"/>
  <c r="B364" i="7"/>
  <c r="AC363" i="7"/>
  <c r="B363" i="7"/>
  <c r="AE362" i="7"/>
  <c r="AD362" i="7"/>
  <c r="AB362" i="7"/>
  <c r="AA362" i="7"/>
  <c r="Z362" i="7"/>
  <c r="Y362" i="7"/>
  <c r="X362" i="7"/>
  <c r="W362" i="7"/>
  <c r="V362" i="7"/>
  <c r="U362" i="7"/>
  <c r="T362" i="7"/>
  <c r="S362" i="7"/>
  <c r="Q362" i="7"/>
  <c r="P362" i="7"/>
  <c r="O362" i="7"/>
  <c r="N362" i="7"/>
  <c r="M362" i="7"/>
  <c r="L362" i="7"/>
  <c r="K362" i="7"/>
  <c r="J362" i="7"/>
  <c r="I362" i="7"/>
  <c r="H362" i="7"/>
  <c r="G362" i="7"/>
  <c r="F362" i="7"/>
  <c r="E362" i="7"/>
  <c r="AC360" i="7"/>
  <c r="B361" i="7"/>
  <c r="AE360" i="7"/>
  <c r="AD360" i="7"/>
  <c r="AB360" i="7"/>
  <c r="AA360" i="7"/>
  <c r="Z360" i="7"/>
  <c r="Y360" i="7"/>
  <c r="X360" i="7"/>
  <c r="W360" i="7"/>
  <c r="V360" i="7"/>
  <c r="U360" i="7"/>
  <c r="T360" i="7"/>
  <c r="S360" i="7"/>
  <c r="R360" i="7"/>
  <c r="Q360" i="7"/>
  <c r="P360" i="7"/>
  <c r="O360" i="7"/>
  <c r="N360" i="7"/>
  <c r="M360" i="7"/>
  <c r="L360" i="7"/>
  <c r="K360" i="7"/>
  <c r="J360" i="7"/>
  <c r="I360" i="7"/>
  <c r="H360" i="7"/>
  <c r="G360" i="7"/>
  <c r="F360" i="7"/>
  <c r="E360" i="7"/>
  <c r="G359" i="7"/>
  <c r="D359" i="7" s="1"/>
  <c r="B359" i="7"/>
  <c r="D358" i="7"/>
  <c r="B358" i="7"/>
  <c r="AE357" i="7"/>
  <c r="AD357" i="7"/>
  <c r="AC357" i="7"/>
  <c r="AB357" i="7"/>
  <c r="AA357" i="7"/>
  <c r="Z357" i="7"/>
  <c r="Y357" i="7"/>
  <c r="X357" i="7"/>
  <c r="W357" i="7"/>
  <c r="V357" i="7"/>
  <c r="U357" i="7"/>
  <c r="T357" i="7"/>
  <c r="S357" i="7"/>
  <c r="R357" i="7"/>
  <c r="Q357" i="7"/>
  <c r="P357" i="7"/>
  <c r="O357" i="7"/>
  <c r="N357" i="7"/>
  <c r="M357" i="7"/>
  <c r="L357" i="7"/>
  <c r="K357" i="7"/>
  <c r="J357" i="7"/>
  <c r="I357" i="7"/>
  <c r="H357" i="7"/>
  <c r="F357" i="7"/>
  <c r="E357" i="7"/>
  <c r="D356" i="7"/>
  <c r="B356" i="7"/>
  <c r="D355" i="7"/>
  <c r="B355" i="7"/>
  <c r="AC354" i="7"/>
  <c r="D354" i="7" s="1"/>
  <c r="B354" i="7"/>
  <c r="AE353" i="7"/>
  <c r="AD353" i="7"/>
  <c r="AB353" i="7"/>
  <c r="AA353" i="7"/>
  <c r="Z353" i="7"/>
  <c r="Y353" i="7"/>
  <c r="X353" i="7"/>
  <c r="W353" i="7"/>
  <c r="V353" i="7"/>
  <c r="U353" i="7"/>
  <c r="T353" i="7"/>
  <c r="S353" i="7"/>
  <c r="R353" i="7"/>
  <c r="Q353" i="7"/>
  <c r="P353" i="7"/>
  <c r="O353" i="7"/>
  <c r="N353" i="7"/>
  <c r="M353" i="7"/>
  <c r="L353" i="7"/>
  <c r="K353" i="7"/>
  <c r="J353" i="7"/>
  <c r="I353" i="7"/>
  <c r="H353" i="7"/>
  <c r="G353" i="7"/>
  <c r="F353" i="7"/>
  <c r="E353" i="7"/>
  <c r="D352" i="7"/>
  <c r="B352" i="7"/>
  <c r="D351" i="7"/>
  <c r="B351" i="7"/>
  <c r="AE350" i="7"/>
  <c r="AD350" i="7"/>
  <c r="AC350" i="7"/>
  <c r="AB350" i="7"/>
  <c r="AA350" i="7"/>
  <c r="Z350" i="7"/>
  <c r="Y350" i="7"/>
  <c r="X350" i="7"/>
  <c r="W350" i="7"/>
  <c r="V350" i="7"/>
  <c r="U350" i="7"/>
  <c r="T350" i="7"/>
  <c r="S350" i="7"/>
  <c r="R350" i="7"/>
  <c r="Q350" i="7"/>
  <c r="P350" i="7"/>
  <c r="O350" i="7"/>
  <c r="N350" i="7"/>
  <c r="M350" i="7"/>
  <c r="L350" i="7"/>
  <c r="K350" i="7"/>
  <c r="J350" i="7"/>
  <c r="I350" i="7"/>
  <c r="H350" i="7"/>
  <c r="G350" i="7"/>
  <c r="F350" i="7"/>
  <c r="E350" i="7"/>
  <c r="D349" i="7"/>
  <c r="B349" i="7"/>
  <c r="D348" i="7"/>
  <c r="B348" i="7"/>
  <c r="AE347" i="7"/>
  <c r="AD347" i="7"/>
  <c r="AC347" i="7"/>
  <c r="AB347" i="7"/>
  <c r="AA347" i="7"/>
  <c r="Z347" i="7"/>
  <c r="Y347" i="7"/>
  <c r="X347" i="7"/>
  <c r="W347" i="7"/>
  <c r="V347" i="7"/>
  <c r="U347" i="7"/>
  <c r="T347" i="7"/>
  <c r="S347" i="7"/>
  <c r="R347" i="7"/>
  <c r="Q347" i="7"/>
  <c r="P347" i="7"/>
  <c r="O347" i="7"/>
  <c r="N347" i="7"/>
  <c r="M347" i="7"/>
  <c r="L347" i="7"/>
  <c r="K347" i="7"/>
  <c r="J347" i="7"/>
  <c r="I347" i="7"/>
  <c r="H347" i="7"/>
  <c r="G347" i="7"/>
  <c r="F347" i="7"/>
  <c r="E347" i="7"/>
  <c r="AC346" i="7"/>
  <c r="D346" i="7" s="1"/>
  <c r="B346" i="7"/>
  <c r="AC345" i="7"/>
  <c r="D345" i="7" s="1"/>
  <c r="B345" i="7"/>
  <c r="AC344" i="7"/>
  <c r="D344" i="7" s="1"/>
  <c r="B344" i="7"/>
  <c r="AC343" i="7"/>
  <c r="D343" i="7" s="1"/>
  <c r="B343" i="7"/>
  <c r="AE342" i="7"/>
  <c r="AD342" i="7"/>
  <c r="AB342" i="7"/>
  <c r="AA342" i="7"/>
  <c r="Z342" i="7"/>
  <c r="Y342" i="7"/>
  <c r="X342" i="7"/>
  <c r="W342" i="7"/>
  <c r="V342" i="7"/>
  <c r="U342" i="7"/>
  <c r="T342" i="7"/>
  <c r="S342" i="7"/>
  <c r="R342" i="7"/>
  <c r="Q342" i="7"/>
  <c r="P342" i="7"/>
  <c r="O342" i="7"/>
  <c r="N342" i="7"/>
  <c r="M342" i="7"/>
  <c r="L342" i="7"/>
  <c r="K342" i="7"/>
  <c r="J342" i="7"/>
  <c r="I342" i="7"/>
  <c r="H342" i="7"/>
  <c r="G342" i="7"/>
  <c r="F342" i="7"/>
  <c r="E342" i="7"/>
  <c r="AC341" i="7"/>
  <c r="D341" i="7" s="1"/>
  <c r="AC339" i="7"/>
  <c r="D339" i="7" s="1"/>
  <c r="B339" i="7"/>
  <c r="D338" i="7"/>
  <c r="B338" i="7"/>
  <c r="D337" i="7"/>
  <c r="B337" i="7"/>
  <c r="D336" i="7"/>
  <c r="B336" i="7"/>
  <c r="D335" i="7"/>
  <c r="B335" i="7"/>
  <c r="D334" i="7"/>
  <c r="B334" i="7"/>
  <c r="D333" i="7"/>
  <c r="B333" i="7"/>
  <c r="D332" i="7"/>
  <c r="B332" i="7"/>
  <c r="AC331" i="7"/>
  <c r="D331" i="7" s="1"/>
  <c r="B331" i="7"/>
  <c r="D330" i="7"/>
  <c r="B330" i="7"/>
  <c r="AC329" i="7"/>
  <c r="D329" i="7" s="1"/>
  <c r="B329" i="7"/>
  <c r="D328" i="7"/>
  <c r="B328" i="7"/>
  <c r="AC327" i="7"/>
  <c r="D327" i="7" s="1"/>
  <c r="B327" i="7"/>
  <c r="D326" i="7"/>
  <c r="B326" i="7"/>
  <c r="AE325" i="7"/>
  <c r="AD325" i="7"/>
  <c r="AB325" i="7"/>
  <c r="AA325" i="7"/>
  <c r="Z325" i="7"/>
  <c r="Y325" i="7"/>
  <c r="X325" i="7"/>
  <c r="W325" i="7"/>
  <c r="V325" i="7"/>
  <c r="U325" i="7"/>
  <c r="T325" i="7"/>
  <c r="S325" i="7"/>
  <c r="R325" i="7"/>
  <c r="Q325" i="7"/>
  <c r="P325" i="7"/>
  <c r="O325" i="7"/>
  <c r="N325" i="7"/>
  <c r="M325" i="7"/>
  <c r="L325" i="7"/>
  <c r="K325" i="7"/>
  <c r="J325" i="7"/>
  <c r="I325" i="7"/>
  <c r="H325" i="7"/>
  <c r="G325" i="7"/>
  <c r="F325" i="7"/>
  <c r="E325" i="7"/>
  <c r="AC324" i="7"/>
  <c r="D324" i="7" s="1"/>
  <c r="B324" i="7"/>
  <c r="D323" i="7"/>
  <c r="B323" i="7"/>
  <c r="AC322" i="7"/>
  <c r="D322" i="7" s="1"/>
  <c r="B322" i="7"/>
  <c r="D321" i="7"/>
  <c r="B321" i="7"/>
  <c r="D320" i="7"/>
  <c r="B320" i="7"/>
  <c r="D319" i="7"/>
  <c r="B319" i="7"/>
  <c r="D318" i="7"/>
  <c r="B318" i="7"/>
  <c r="AC317" i="7"/>
  <c r="B317" i="7"/>
  <c r="AC316" i="7"/>
  <c r="D316" i="7" s="1"/>
  <c r="B316" i="7"/>
  <c r="L315" i="7"/>
  <c r="D315" i="7" s="1"/>
  <c r="B315" i="7"/>
  <c r="D314" i="7"/>
  <c r="B314" i="7"/>
  <c r="D313" i="7"/>
  <c r="B313" i="7"/>
  <c r="D312" i="7"/>
  <c r="B312" i="7"/>
  <c r="D311" i="7"/>
  <c r="B311" i="7"/>
  <c r="AC310" i="7"/>
  <c r="D310" i="7" s="1"/>
  <c r="B310" i="7"/>
  <c r="AE309" i="7"/>
  <c r="AD309" i="7"/>
  <c r="AB309" i="7"/>
  <c r="AA309" i="7"/>
  <c r="Z309" i="7"/>
  <c r="Y309" i="7"/>
  <c r="X309" i="7"/>
  <c r="W309" i="7"/>
  <c r="V309" i="7"/>
  <c r="U309" i="7"/>
  <c r="T309" i="7"/>
  <c r="S309" i="7"/>
  <c r="R309" i="7"/>
  <c r="Q309" i="7"/>
  <c r="P309" i="7"/>
  <c r="O309" i="7"/>
  <c r="N309" i="7"/>
  <c r="M309" i="7"/>
  <c r="K309" i="7"/>
  <c r="J309" i="7"/>
  <c r="I309" i="7"/>
  <c r="H309" i="7"/>
  <c r="G309" i="7"/>
  <c r="F309" i="7"/>
  <c r="E309" i="7"/>
  <c r="D308" i="7"/>
  <c r="B308" i="7"/>
  <c r="AE307" i="7"/>
  <c r="AD307" i="7"/>
  <c r="AC307" i="7"/>
  <c r="AB307" i="7"/>
  <c r="AA307" i="7"/>
  <c r="Z307" i="7"/>
  <c r="Y307" i="7"/>
  <c r="X307" i="7"/>
  <c r="W307" i="7"/>
  <c r="V307" i="7"/>
  <c r="U307" i="7"/>
  <c r="T307" i="7"/>
  <c r="S307" i="7"/>
  <c r="R307" i="7"/>
  <c r="Q307" i="7"/>
  <c r="P307" i="7"/>
  <c r="O307" i="7"/>
  <c r="N307" i="7"/>
  <c r="M307" i="7"/>
  <c r="L307" i="7"/>
  <c r="K307" i="7"/>
  <c r="J307" i="7"/>
  <c r="I307" i="7"/>
  <c r="H307" i="7"/>
  <c r="G307" i="7"/>
  <c r="F307" i="7"/>
  <c r="E307" i="7"/>
  <c r="D306" i="7"/>
  <c r="B306" i="7"/>
  <c r="B305" i="7"/>
  <c r="D304" i="7"/>
  <c r="B304" i="7"/>
  <c r="AC303" i="7"/>
  <c r="D303" i="7" s="1"/>
  <c r="B303" i="7"/>
  <c r="D302" i="7"/>
  <c r="B302" i="7"/>
  <c r="AE301" i="7"/>
  <c r="AD301" i="7"/>
  <c r="AB301" i="7"/>
  <c r="AA301" i="7"/>
  <c r="Z301" i="7"/>
  <c r="Y301" i="7"/>
  <c r="X301" i="7"/>
  <c r="W301" i="7"/>
  <c r="V301" i="7"/>
  <c r="U301" i="7"/>
  <c r="T301" i="7"/>
  <c r="S301" i="7"/>
  <c r="R301" i="7"/>
  <c r="Q301" i="7"/>
  <c r="P301" i="7"/>
  <c r="O301" i="7"/>
  <c r="N301" i="7"/>
  <c r="M301" i="7"/>
  <c r="L301" i="7"/>
  <c r="K301" i="7"/>
  <c r="J301" i="7"/>
  <c r="H301" i="7"/>
  <c r="G301" i="7"/>
  <c r="F301" i="7"/>
  <c r="E301" i="7"/>
  <c r="AC300" i="7"/>
  <c r="D300" i="7" s="1"/>
  <c r="B300" i="7"/>
  <c r="AC299" i="7"/>
  <c r="B299" i="7"/>
  <c r="D298" i="7"/>
  <c r="B298" i="7"/>
  <c r="D297" i="7"/>
  <c r="B297" i="7"/>
  <c r="D296" i="7"/>
  <c r="B296" i="7"/>
  <c r="AE295" i="7"/>
  <c r="AD295" i="7"/>
  <c r="AB295" i="7"/>
  <c r="AA295" i="7"/>
  <c r="Z295" i="7"/>
  <c r="Y295" i="7"/>
  <c r="X295" i="7"/>
  <c r="W295" i="7"/>
  <c r="V295" i="7"/>
  <c r="U295" i="7"/>
  <c r="T295" i="7"/>
  <c r="S295" i="7"/>
  <c r="R295" i="7"/>
  <c r="Q295" i="7"/>
  <c r="P295" i="7"/>
  <c r="O295" i="7"/>
  <c r="N295" i="7"/>
  <c r="M295" i="7"/>
  <c r="L295" i="7"/>
  <c r="K295" i="7"/>
  <c r="J295" i="7"/>
  <c r="I295" i="7"/>
  <c r="H295" i="7"/>
  <c r="G295" i="7"/>
  <c r="F295" i="7"/>
  <c r="E295" i="7"/>
  <c r="D294" i="7"/>
  <c r="B294" i="7"/>
  <c r="B293" i="7"/>
  <c r="AE292" i="7"/>
  <c r="AD292" i="7"/>
  <c r="AB292" i="7"/>
  <c r="AA292" i="7"/>
  <c r="Z292" i="7"/>
  <c r="Y292" i="7"/>
  <c r="X292" i="7"/>
  <c r="W292" i="7"/>
  <c r="V292" i="7"/>
  <c r="U292" i="7"/>
  <c r="T292" i="7"/>
  <c r="S292" i="7"/>
  <c r="R292" i="7"/>
  <c r="Q292" i="7"/>
  <c r="P292" i="7"/>
  <c r="O292" i="7"/>
  <c r="N292" i="7"/>
  <c r="M292" i="7"/>
  <c r="L292" i="7"/>
  <c r="K292" i="7"/>
  <c r="J292" i="7"/>
  <c r="I292" i="7"/>
  <c r="H292" i="7"/>
  <c r="G292" i="7"/>
  <c r="F292" i="7"/>
  <c r="E292" i="7"/>
  <c r="D291" i="7"/>
  <c r="D290" i="7" s="1"/>
  <c r="B291" i="7"/>
  <c r="AE290" i="7"/>
  <c r="AD290" i="7"/>
  <c r="AC290" i="7"/>
  <c r="AB290" i="7"/>
  <c r="AA290" i="7"/>
  <c r="Z290" i="7"/>
  <c r="Y290" i="7"/>
  <c r="X290" i="7"/>
  <c r="W290" i="7"/>
  <c r="V290" i="7"/>
  <c r="U290" i="7"/>
  <c r="T290" i="7"/>
  <c r="S290" i="7"/>
  <c r="R290" i="7"/>
  <c r="Q290" i="7"/>
  <c r="P290" i="7"/>
  <c r="O290" i="7"/>
  <c r="N290" i="7"/>
  <c r="M290" i="7"/>
  <c r="L290" i="7"/>
  <c r="K290" i="7"/>
  <c r="J290" i="7"/>
  <c r="I290" i="7"/>
  <c r="H290" i="7"/>
  <c r="G290" i="7"/>
  <c r="F290" i="7"/>
  <c r="E290" i="7"/>
  <c r="D289" i="7"/>
  <c r="B289" i="7"/>
  <c r="D288" i="7"/>
  <c r="B288" i="7"/>
  <c r="D287" i="7"/>
  <c r="B287" i="7"/>
  <c r="D286" i="7"/>
  <c r="B286" i="7"/>
  <c r="AE285" i="7"/>
  <c r="AD285" i="7"/>
  <c r="AC285" i="7"/>
  <c r="AB285" i="7"/>
  <c r="AA285" i="7"/>
  <c r="Z285" i="7"/>
  <c r="Y285" i="7"/>
  <c r="X285" i="7"/>
  <c r="W285" i="7"/>
  <c r="V285" i="7"/>
  <c r="U285" i="7"/>
  <c r="T285" i="7"/>
  <c r="S285" i="7"/>
  <c r="R285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D284" i="7"/>
  <c r="B284" i="7"/>
  <c r="D283" i="7"/>
  <c r="B283" i="7"/>
  <c r="D282" i="7"/>
  <c r="B282" i="7"/>
  <c r="D281" i="7"/>
  <c r="B281" i="7"/>
  <c r="D280" i="7"/>
  <c r="B280" i="7"/>
  <c r="D279" i="7"/>
  <c r="B279" i="7"/>
  <c r="AE278" i="7"/>
  <c r="AD278" i="7"/>
  <c r="AC278" i="7"/>
  <c r="AB278" i="7"/>
  <c r="AA278" i="7"/>
  <c r="Z278" i="7"/>
  <c r="Y278" i="7"/>
  <c r="X278" i="7"/>
  <c r="W278" i="7"/>
  <c r="V278" i="7"/>
  <c r="U278" i="7"/>
  <c r="T278" i="7"/>
  <c r="S278" i="7"/>
  <c r="R278" i="7"/>
  <c r="Q278" i="7"/>
  <c r="P278" i="7"/>
  <c r="O278" i="7"/>
  <c r="N278" i="7"/>
  <c r="M278" i="7"/>
  <c r="L278" i="7"/>
  <c r="K278" i="7"/>
  <c r="J278" i="7"/>
  <c r="I278" i="7"/>
  <c r="H278" i="7"/>
  <c r="G278" i="7"/>
  <c r="F278" i="7"/>
  <c r="E278" i="7"/>
  <c r="D277" i="7"/>
  <c r="B277" i="7"/>
  <c r="D276" i="7"/>
  <c r="B276" i="7"/>
  <c r="D275" i="7"/>
  <c r="B275" i="7"/>
  <c r="D274" i="7"/>
  <c r="B274" i="7"/>
  <c r="D273" i="7"/>
  <c r="B273" i="7"/>
  <c r="AE272" i="7"/>
  <c r="AD272" i="7"/>
  <c r="AC272" i="7"/>
  <c r="AB272" i="7"/>
  <c r="AA272" i="7"/>
  <c r="Z272" i="7"/>
  <c r="Y272" i="7"/>
  <c r="X272" i="7"/>
  <c r="W272" i="7"/>
  <c r="V272" i="7"/>
  <c r="U272" i="7"/>
  <c r="T272" i="7"/>
  <c r="S272" i="7"/>
  <c r="R272" i="7"/>
  <c r="Q272" i="7"/>
  <c r="P272" i="7"/>
  <c r="O272" i="7"/>
  <c r="N272" i="7"/>
  <c r="M272" i="7"/>
  <c r="L272" i="7"/>
  <c r="K272" i="7"/>
  <c r="J272" i="7"/>
  <c r="I272" i="7"/>
  <c r="H272" i="7"/>
  <c r="G272" i="7"/>
  <c r="F272" i="7"/>
  <c r="E272" i="7"/>
  <c r="D271" i="7"/>
  <c r="B271" i="7"/>
  <c r="AC270" i="7"/>
  <c r="D270" i="7" s="1"/>
  <c r="B270" i="7"/>
  <c r="D269" i="7"/>
  <c r="B269" i="7"/>
  <c r="D268" i="7"/>
  <c r="B268" i="7"/>
  <c r="D267" i="7"/>
  <c r="B267" i="7"/>
  <c r="D266" i="7"/>
  <c r="B266" i="7"/>
  <c r="D265" i="7"/>
  <c r="B265" i="7"/>
  <c r="D264" i="7"/>
  <c r="B264" i="7"/>
  <c r="D263" i="7"/>
  <c r="B263" i="7"/>
  <c r="D262" i="7"/>
  <c r="B262" i="7"/>
  <c r="D261" i="7"/>
  <c r="B261" i="7"/>
  <c r="D260" i="7"/>
  <c r="B260" i="7"/>
  <c r="D259" i="7"/>
  <c r="B259" i="7"/>
  <c r="D258" i="7"/>
  <c r="B258" i="7"/>
  <c r="D257" i="7"/>
  <c r="B257" i="7"/>
  <c r="D256" i="7"/>
  <c r="B256" i="7"/>
  <c r="D255" i="7"/>
  <c r="B255" i="7"/>
  <c r="D254" i="7"/>
  <c r="B254" i="7"/>
  <c r="D253" i="7"/>
  <c r="B253" i="7"/>
  <c r="D252" i="7"/>
  <c r="B252" i="7"/>
  <c r="D251" i="7"/>
  <c r="B251" i="7"/>
  <c r="D250" i="7"/>
  <c r="B250" i="7"/>
  <c r="D249" i="7"/>
  <c r="B249" i="7"/>
  <c r="AC248" i="7"/>
  <c r="D248" i="7" s="1"/>
  <c r="B248" i="7"/>
  <c r="AC247" i="7"/>
  <c r="D247" i="7" s="1"/>
  <c r="B247" i="7"/>
  <c r="L246" i="7"/>
  <c r="D246" i="7" s="1"/>
  <c r="B246" i="7"/>
  <c r="AE245" i="7"/>
  <c r="AD245" i="7"/>
  <c r="AB245" i="7"/>
  <c r="AA245" i="7"/>
  <c r="Z245" i="7"/>
  <c r="Y245" i="7"/>
  <c r="X245" i="7"/>
  <c r="W245" i="7"/>
  <c r="V245" i="7"/>
  <c r="U245" i="7"/>
  <c r="T245" i="7"/>
  <c r="S245" i="7"/>
  <c r="R245" i="7"/>
  <c r="Q245" i="7"/>
  <c r="P245" i="7"/>
  <c r="O245" i="7"/>
  <c r="N245" i="7"/>
  <c r="M245" i="7"/>
  <c r="K245" i="7"/>
  <c r="J245" i="7"/>
  <c r="I245" i="7"/>
  <c r="H245" i="7"/>
  <c r="G245" i="7"/>
  <c r="F245" i="7"/>
  <c r="E245" i="7"/>
  <c r="D244" i="7"/>
  <c r="B244" i="7"/>
  <c r="D243" i="7"/>
  <c r="B243" i="7"/>
  <c r="AC242" i="7"/>
  <c r="D242" i="7" s="1"/>
  <c r="B242" i="7"/>
  <c r="D241" i="7"/>
  <c r="B241" i="7"/>
  <c r="D240" i="7"/>
  <c r="B240" i="7"/>
  <c r="AE239" i="7"/>
  <c r="AD239" i="7"/>
  <c r="AB239" i="7"/>
  <c r="AA239" i="7"/>
  <c r="Z239" i="7"/>
  <c r="Y239" i="7"/>
  <c r="X239" i="7"/>
  <c r="W239" i="7"/>
  <c r="V239" i="7"/>
  <c r="U239" i="7"/>
  <c r="T239" i="7"/>
  <c r="S239" i="7"/>
  <c r="R239" i="7"/>
  <c r="Q239" i="7"/>
  <c r="P239" i="7"/>
  <c r="O239" i="7"/>
  <c r="N239" i="7"/>
  <c r="M239" i="7"/>
  <c r="L239" i="7"/>
  <c r="K239" i="7"/>
  <c r="J239" i="7"/>
  <c r="I239" i="7"/>
  <c r="H239" i="7"/>
  <c r="G239" i="7"/>
  <c r="F239" i="7"/>
  <c r="E239" i="7"/>
  <c r="AC238" i="7"/>
  <c r="D238" i="7" s="1"/>
  <c r="B238" i="7"/>
  <c r="B237" i="7"/>
  <c r="D236" i="7"/>
  <c r="B236" i="7"/>
  <c r="D235" i="7"/>
  <c r="B235" i="7"/>
  <c r="L234" i="7"/>
  <c r="D234" i="7" s="1"/>
  <c r="B234" i="7"/>
  <c r="L233" i="7"/>
  <c r="D233" i="7" s="1"/>
  <c r="B233" i="7"/>
  <c r="L232" i="7"/>
  <c r="D232" i="7" s="1"/>
  <c r="B232" i="7"/>
  <c r="D231" i="7"/>
  <c r="B231" i="7"/>
  <c r="D230" i="7"/>
  <c r="B230" i="7"/>
  <c r="D229" i="7"/>
  <c r="B229" i="7"/>
  <c r="D228" i="7"/>
  <c r="B228" i="7"/>
  <c r="D227" i="7"/>
  <c r="B227" i="7"/>
  <c r="D226" i="7"/>
  <c r="B226" i="7"/>
  <c r="D225" i="7"/>
  <c r="B225" i="7"/>
  <c r="D224" i="7"/>
  <c r="B224" i="7"/>
  <c r="D223" i="7"/>
  <c r="B223" i="7"/>
  <c r="AC222" i="7"/>
  <c r="D222" i="7" s="1"/>
  <c r="B222" i="7"/>
  <c r="D221" i="7"/>
  <c r="B221" i="7"/>
  <c r="D220" i="7"/>
  <c r="B220" i="7"/>
  <c r="D219" i="7"/>
  <c r="B219" i="7"/>
  <c r="D218" i="7"/>
  <c r="B218" i="7"/>
  <c r="D217" i="7"/>
  <c r="B217" i="7"/>
  <c r="D216" i="7"/>
  <c r="B216" i="7"/>
  <c r="D215" i="7"/>
  <c r="B215" i="7"/>
  <c r="D214" i="7"/>
  <c r="B214" i="7"/>
  <c r="D213" i="7"/>
  <c r="B213" i="7"/>
  <c r="AC212" i="7"/>
  <c r="D212" i="7" s="1"/>
  <c r="B212" i="7"/>
  <c r="AC211" i="7"/>
  <c r="D211" i="7" s="1"/>
  <c r="B211" i="7"/>
  <c r="D210" i="7"/>
  <c r="B210" i="7"/>
  <c r="L209" i="7"/>
  <c r="D209" i="7" s="1"/>
  <c r="B209" i="7"/>
  <c r="L208" i="7"/>
  <c r="D208" i="7" s="1"/>
  <c r="B208" i="7"/>
  <c r="D207" i="7"/>
  <c r="B207" i="7"/>
  <c r="L206" i="7"/>
  <c r="D206" i="7" s="1"/>
  <c r="B206" i="7"/>
  <c r="AC205" i="7"/>
  <c r="D205" i="7" s="1"/>
  <c r="B205" i="7"/>
  <c r="D204" i="7"/>
  <c r="B204" i="7"/>
  <c r="AC203" i="7"/>
  <c r="D203" i="7" s="1"/>
  <c r="B203" i="7"/>
  <c r="AE202" i="7"/>
  <c r="AD202" i="7"/>
  <c r="AB202" i="7"/>
  <c r="AA202" i="7"/>
  <c r="Z202" i="7"/>
  <c r="Y202" i="7"/>
  <c r="X202" i="7"/>
  <c r="W202" i="7"/>
  <c r="V202" i="7"/>
  <c r="U202" i="7"/>
  <c r="T202" i="7"/>
  <c r="S202" i="7"/>
  <c r="R202" i="7"/>
  <c r="Q202" i="7"/>
  <c r="P202" i="7"/>
  <c r="O202" i="7"/>
  <c r="N202" i="7"/>
  <c r="M202" i="7"/>
  <c r="K202" i="7"/>
  <c r="J202" i="7"/>
  <c r="I202" i="7"/>
  <c r="H202" i="7"/>
  <c r="G202" i="7"/>
  <c r="F202" i="7"/>
  <c r="E202" i="7"/>
  <c r="AC201" i="7"/>
  <c r="D201" i="7" s="1"/>
  <c r="B201" i="7"/>
  <c r="AC200" i="7"/>
  <c r="D200" i="7" s="1"/>
  <c r="B200" i="7"/>
  <c r="AC199" i="7"/>
  <c r="D199" i="7" s="1"/>
  <c r="B199" i="7"/>
  <c r="AC198" i="7"/>
  <c r="D198" i="7" s="1"/>
  <c r="B198" i="7"/>
  <c r="AC197" i="7"/>
  <c r="D197" i="7" s="1"/>
  <c r="B197" i="7"/>
  <c r="AC196" i="7"/>
  <c r="D196" i="7" s="1"/>
  <c r="B196" i="7"/>
  <c r="AC195" i="7"/>
  <c r="D195" i="7" s="1"/>
  <c r="B195" i="7"/>
  <c r="D194" i="7"/>
  <c r="B194" i="7"/>
  <c r="D193" i="7"/>
  <c r="B193" i="7"/>
  <c r="D192" i="7"/>
  <c r="B192" i="7"/>
  <c r="D191" i="7"/>
  <c r="B191" i="7"/>
  <c r="D190" i="7"/>
  <c r="B190" i="7"/>
  <c r="D189" i="7"/>
  <c r="B189" i="7"/>
  <c r="D188" i="7"/>
  <c r="B188" i="7"/>
  <c r="D187" i="7"/>
  <c r="B187" i="7"/>
  <c r="D186" i="7"/>
  <c r="B186" i="7"/>
  <c r="AC185" i="7"/>
  <c r="B185" i="7"/>
  <c r="D184" i="7"/>
  <c r="B184" i="7"/>
  <c r="D183" i="7"/>
  <c r="B183" i="7"/>
  <c r="D182" i="7"/>
  <c r="B182" i="7"/>
  <c r="D181" i="7"/>
  <c r="B181" i="7"/>
  <c r="D180" i="7"/>
  <c r="B180" i="7"/>
  <c r="D179" i="7"/>
  <c r="B179" i="7"/>
  <c r="D178" i="7"/>
  <c r="B178" i="7"/>
  <c r="D177" i="7"/>
  <c r="B177" i="7"/>
  <c r="D176" i="7"/>
  <c r="B176" i="7"/>
  <c r="D175" i="7"/>
  <c r="B175" i="7"/>
  <c r="D174" i="7"/>
  <c r="B174" i="7"/>
  <c r="D173" i="7"/>
  <c r="B173" i="7"/>
  <c r="D172" i="7"/>
  <c r="B172" i="7"/>
  <c r="D171" i="7"/>
  <c r="B171" i="7"/>
  <c r="D170" i="7"/>
  <c r="B170" i="7"/>
  <c r="D169" i="7"/>
  <c r="B169" i="7"/>
  <c r="D168" i="7"/>
  <c r="B168" i="7"/>
  <c r="D167" i="7"/>
  <c r="B167" i="7"/>
  <c r="D166" i="7"/>
  <c r="B166" i="7"/>
  <c r="D165" i="7"/>
  <c r="B165" i="7"/>
  <c r="D164" i="7"/>
  <c r="B164" i="7"/>
  <c r="D163" i="7"/>
  <c r="B163" i="7"/>
  <c r="D162" i="7"/>
  <c r="B162" i="7"/>
  <c r="D161" i="7"/>
  <c r="B161" i="7"/>
  <c r="D160" i="7"/>
  <c r="B160" i="7"/>
  <c r="D159" i="7"/>
  <c r="B159" i="7"/>
  <c r="D158" i="7"/>
  <c r="B158" i="7"/>
  <c r="D157" i="7"/>
  <c r="B157" i="7"/>
  <c r="AE156" i="7"/>
  <c r="AD156" i="7"/>
  <c r="AB156" i="7"/>
  <c r="AA156" i="7"/>
  <c r="Z156" i="7"/>
  <c r="Y156" i="7"/>
  <c r="X156" i="7"/>
  <c r="W156" i="7"/>
  <c r="V156" i="7"/>
  <c r="U156" i="7"/>
  <c r="T156" i="7"/>
  <c r="S156" i="7"/>
  <c r="R156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AC155" i="7"/>
  <c r="D155" i="7" s="1"/>
  <c r="B155" i="7"/>
  <c r="AC154" i="7"/>
  <c r="D154" i="7" s="1"/>
  <c r="B154" i="7"/>
  <c r="D153" i="7"/>
  <c r="B153" i="7"/>
  <c r="D152" i="7"/>
  <c r="B152" i="7"/>
  <c r="D151" i="7"/>
  <c r="B151" i="7"/>
  <c r="D150" i="7"/>
  <c r="B150" i="7"/>
  <c r="D149" i="7"/>
  <c r="B149" i="7"/>
  <c r="D148" i="7"/>
  <c r="B148" i="7"/>
  <c r="D147" i="7"/>
  <c r="B147" i="7"/>
  <c r="D146" i="7"/>
  <c r="B146" i="7"/>
  <c r="D145" i="7"/>
  <c r="B145" i="7"/>
  <c r="D144" i="7"/>
  <c r="B144" i="7"/>
  <c r="D143" i="7"/>
  <c r="B143" i="7"/>
  <c r="D142" i="7"/>
  <c r="B142" i="7"/>
  <c r="D141" i="7"/>
  <c r="B141" i="7"/>
  <c r="D140" i="7"/>
  <c r="B140" i="7"/>
  <c r="AC139" i="7"/>
  <c r="D139" i="7" s="1"/>
  <c r="B139" i="7"/>
  <c r="AC138" i="7"/>
  <c r="D138" i="7" s="1"/>
  <c r="B138" i="7"/>
  <c r="D137" i="7"/>
  <c r="B137" i="7"/>
  <c r="D136" i="7"/>
  <c r="B136" i="7"/>
  <c r="D135" i="7"/>
  <c r="B135" i="7"/>
  <c r="D134" i="7"/>
  <c r="B134" i="7"/>
  <c r="D133" i="7"/>
  <c r="B133" i="7"/>
  <c r="D132" i="7"/>
  <c r="B132" i="7"/>
  <c r="D131" i="7"/>
  <c r="B131" i="7"/>
  <c r="AC130" i="7"/>
  <c r="D130" i="7" s="1"/>
  <c r="B130" i="7"/>
  <c r="D129" i="7"/>
  <c r="B129" i="7"/>
  <c r="D128" i="7"/>
  <c r="B128" i="7"/>
  <c r="D127" i="7"/>
  <c r="B127" i="7"/>
  <c r="AE126" i="7"/>
  <c r="AD126" i="7"/>
  <c r="AB126" i="7"/>
  <c r="AA126" i="7"/>
  <c r="Z126" i="7"/>
  <c r="Y126" i="7"/>
  <c r="X126" i="7"/>
  <c r="W126" i="7"/>
  <c r="V126" i="7"/>
  <c r="U126" i="7"/>
  <c r="T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5" i="7"/>
  <c r="B125" i="7"/>
  <c r="D124" i="7"/>
  <c r="B124" i="7"/>
  <c r="D123" i="7"/>
  <c r="B123" i="7"/>
  <c r="D122" i="7"/>
  <c r="B122" i="7"/>
  <c r="D121" i="7"/>
  <c r="B121" i="7"/>
  <c r="D120" i="7"/>
  <c r="B120" i="7"/>
  <c r="D119" i="7"/>
  <c r="B119" i="7"/>
  <c r="D118" i="7"/>
  <c r="B118" i="7"/>
  <c r="D117" i="7"/>
  <c r="B117" i="7"/>
  <c r="D116" i="7"/>
  <c r="B116" i="7"/>
  <c r="D115" i="7"/>
  <c r="B115" i="7"/>
  <c r="L114" i="7"/>
  <c r="D114" i="7" s="1"/>
  <c r="B114" i="7"/>
  <c r="D113" i="7"/>
  <c r="B113" i="7"/>
  <c r="L112" i="7"/>
  <c r="D112" i="7" s="1"/>
  <c r="B112" i="7"/>
  <c r="D111" i="7"/>
  <c r="B111" i="7"/>
  <c r="D110" i="7"/>
  <c r="B110" i="7"/>
  <c r="AC109" i="7"/>
  <c r="R109" i="7"/>
  <c r="R21" i="7" s="1"/>
  <c r="B109" i="7"/>
  <c r="D108" i="7"/>
  <c r="B108" i="7"/>
  <c r="D107" i="7"/>
  <c r="B107" i="7"/>
  <c r="D106" i="7"/>
  <c r="B106" i="7"/>
  <c r="D105" i="7"/>
  <c r="B105" i="7"/>
  <c r="D104" i="7"/>
  <c r="B104" i="7"/>
  <c r="D103" i="7"/>
  <c r="B103" i="7"/>
  <c r="D102" i="7"/>
  <c r="B102" i="7"/>
  <c r="D101" i="7"/>
  <c r="B101" i="7"/>
  <c r="D100" i="7"/>
  <c r="B100" i="7"/>
  <c r="D99" i="7"/>
  <c r="B99" i="7"/>
  <c r="D98" i="7"/>
  <c r="B98" i="7"/>
  <c r="D97" i="7"/>
  <c r="B97" i="7"/>
  <c r="D96" i="7"/>
  <c r="B96" i="7"/>
  <c r="D95" i="7"/>
  <c r="B95" i="7"/>
  <c r="D94" i="7"/>
  <c r="B94" i="7"/>
  <c r="D93" i="7"/>
  <c r="B93" i="7"/>
  <c r="D92" i="7"/>
  <c r="B92" i="7"/>
  <c r="D91" i="7"/>
  <c r="B91" i="7"/>
  <c r="D90" i="7"/>
  <c r="B90" i="7"/>
  <c r="D89" i="7"/>
  <c r="B89" i="7"/>
  <c r="D88" i="7"/>
  <c r="B88" i="7"/>
  <c r="D87" i="7"/>
  <c r="B87" i="7"/>
  <c r="D86" i="7"/>
  <c r="B86" i="7"/>
  <c r="D85" i="7"/>
  <c r="B85" i="7"/>
  <c r="D84" i="7"/>
  <c r="B84" i="7"/>
  <c r="D83" i="7"/>
  <c r="B83" i="7"/>
  <c r="D82" i="7"/>
  <c r="B82" i="7"/>
  <c r="D81" i="7"/>
  <c r="B81" i="7"/>
  <c r="D80" i="7"/>
  <c r="B80" i="7"/>
  <c r="D79" i="7"/>
  <c r="B79" i="7"/>
  <c r="M78" i="7"/>
  <c r="M21" i="7" s="1"/>
  <c r="D78" i="7"/>
  <c r="B78" i="7"/>
  <c r="D77" i="7"/>
  <c r="B77" i="7"/>
  <c r="D76" i="7"/>
  <c r="B76" i="7"/>
  <c r="D75" i="7"/>
  <c r="B75" i="7"/>
  <c r="D74" i="7"/>
  <c r="B74" i="7"/>
  <c r="D73" i="7"/>
  <c r="B73" i="7"/>
  <c r="D72" i="7"/>
  <c r="B72" i="7"/>
  <c r="D71" i="7"/>
  <c r="B71" i="7"/>
  <c r="D70" i="7"/>
  <c r="B70" i="7"/>
  <c r="N69" i="7"/>
  <c r="D69" i="7" s="1"/>
  <c r="B69" i="7"/>
  <c r="D68" i="7"/>
  <c r="B68" i="7"/>
  <c r="D67" i="7"/>
  <c r="B67" i="7"/>
  <c r="D66" i="7"/>
  <c r="B66" i="7"/>
  <c r="D65" i="7"/>
  <c r="B65" i="7"/>
  <c r="D64" i="7"/>
  <c r="B64" i="7"/>
  <c r="D63" i="7"/>
  <c r="B63" i="7"/>
  <c r="D62" i="7"/>
  <c r="B62" i="7"/>
  <c r="D61" i="7"/>
  <c r="B61" i="7"/>
  <c r="D60" i="7"/>
  <c r="B60" i="7"/>
  <c r="D59" i="7"/>
  <c r="B59" i="7"/>
  <c r="D58" i="7"/>
  <c r="B58" i="7"/>
  <c r="D57" i="7"/>
  <c r="B57" i="7"/>
  <c r="D56" i="7"/>
  <c r="B56" i="7"/>
  <c r="D55" i="7"/>
  <c r="B55" i="7"/>
  <c r="D54" i="7"/>
  <c r="B54" i="7"/>
  <c r="D53" i="7"/>
  <c r="B53" i="7"/>
  <c r="D52" i="7"/>
  <c r="B52" i="7"/>
  <c r="D51" i="7"/>
  <c r="B51" i="7"/>
  <c r="D50" i="7"/>
  <c r="B50" i="7"/>
  <c r="D49" i="7"/>
  <c r="B49" i="7"/>
  <c r="D48" i="7"/>
  <c r="B48" i="7"/>
  <c r="D47" i="7"/>
  <c r="B47" i="7"/>
  <c r="L46" i="7"/>
  <c r="D46" i="7" s="1"/>
  <c r="B46" i="7"/>
  <c r="D45" i="7"/>
  <c r="B45" i="7"/>
  <c r="L44" i="7"/>
  <c r="D44" i="7" s="1"/>
  <c r="B44" i="7"/>
  <c r="L43" i="7"/>
  <c r="D43" i="7" s="1"/>
  <c r="B43" i="7"/>
  <c r="D42" i="7"/>
  <c r="B42" i="7"/>
  <c r="D41" i="7"/>
  <c r="B41" i="7"/>
  <c r="D40" i="7"/>
  <c r="B40" i="7"/>
  <c r="D39" i="7"/>
  <c r="B39" i="7"/>
  <c r="D38" i="7"/>
  <c r="B38" i="7"/>
  <c r="D37" i="7"/>
  <c r="B37" i="7"/>
  <c r="D36" i="7"/>
  <c r="B36" i="7"/>
  <c r="L35" i="7"/>
  <c r="D35" i="7" s="1"/>
  <c r="B35" i="7"/>
  <c r="D34" i="7"/>
  <c r="B34" i="7"/>
  <c r="D33" i="7"/>
  <c r="B33" i="7"/>
  <c r="B32" i="7"/>
  <c r="D31" i="7"/>
  <c r="B31" i="7"/>
  <c r="D30" i="7"/>
  <c r="B30" i="7"/>
  <c r="D29" i="7"/>
  <c r="B29" i="7"/>
  <c r="D28" i="7"/>
  <c r="B28" i="7"/>
  <c r="D27" i="7"/>
  <c r="B27" i="7"/>
  <c r="D26" i="7"/>
  <c r="B26" i="7"/>
  <c r="D25" i="7"/>
  <c r="B25" i="7"/>
  <c r="D24" i="7"/>
  <c r="B24" i="7"/>
  <c r="D23" i="7"/>
  <c r="B23" i="7"/>
  <c r="D22" i="7"/>
  <c r="B22" i="7"/>
  <c r="AE21" i="7"/>
  <c r="AD21" i="7"/>
  <c r="AB21" i="7"/>
  <c r="AA21" i="7"/>
  <c r="Z21" i="7"/>
  <c r="Y21" i="7"/>
  <c r="X21" i="7"/>
  <c r="W21" i="7"/>
  <c r="V21" i="7"/>
  <c r="U21" i="7"/>
  <c r="T21" i="7"/>
  <c r="S21" i="7"/>
  <c r="Q21" i="7"/>
  <c r="P21" i="7"/>
  <c r="O21" i="7"/>
  <c r="K21" i="7"/>
  <c r="J21" i="7"/>
  <c r="I21" i="7"/>
  <c r="H21" i="7"/>
  <c r="G21" i="7"/>
  <c r="F21" i="7"/>
  <c r="E21" i="7"/>
  <c r="G92" i="8" l="1"/>
  <c r="K92" i="8"/>
  <c r="O92" i="8"/>
  <c r="S92" i="8"/>
  <c r="W92" i="8"/>
  <c r="AA92" i="8"/>
  <c r="AF92" i="8"/>
  <c r="L91" i="13"/>
  <c r="J91" i="13"/>
  <c r="I91" i="13"/>
  <c r="P91" i="13" s="1"/>
  <c r="K91" i="13"/>
  <c r="H92" i="8"/>
  <c r="L92" i="8"/>
  <c r="T92" i="8"/>
  <c r="X92" i="8"/>
  <c r="AB92" i="8"/>
  <c r="AG92" i="8"/>
  <c r="I92" i="8"/>
  <c r="M92" i="8"/>
  <c r="Q92" i="8"/>
  <c r="U92" i="8"/>
  <c r="Y92" i="8"/>
  <c r="AC92" i="8"/>
  <c r="J92" i="8"/>
  <c r="N92" i="8"/>
  <c r="R92" i="8"/>
  <c r="V92" i="8"/>
  <c r="Z92" i="8"/>
  <c r="AD92" i="8"/>
  <c r="F1030" i="7"/>
  <c r="J1030" i="7"/>
  <c r="R1030" i="7"/>
  <c r="V1030" i="7"/>
  <c r="Z1030" i="7"/>
  <c r="AE1030" i="7"/>
  <c r="G1030" i="7"/>
  <c r="K1030" i="7"/>
  <c r="O1030" i="7"/>
  <c r="S1030" i="7"/>
  <c r="W1030" i="7"/>
  <c r="AA1030" i="7"/>
  <c r="H1030" i="7"/>
  <c r="L1030" i="7"/>
  <c r="P1030" i="7"/>
  <c r="T1030" i="7"/>
  <c r="X1030" i="7"/>
  <c r="AB1030" i="7"/>
  <c r="E1030" i="7"/>
  <c r="I1030" i="7"/>
  <c r="M1030" i="7"/>
  <c r="Q1030" i="7"/>
  <c r="U1030" i="7"/>
  <c r="Y1030" i="7"/>
  <c r="AD1030" i="7"/>
  <c r="D1031" i="7"/>
  <c r="P99" i="13"/>
  <c r="AE147" i="8"/>
  <c r="D557" i="7"/>
  <c r="O12" i="11"/>
  <c r="O11" i="11" s="1"/>
  <c r="E9" i="10"/>
  <c r="G12" i="11"/>
  <c r="G11" i="11" s="1"/>
  <c r="AA12" i="11"/>
  <c r="AA11" i="11" s="1"/>
  <c r="AB12" i="11"/>
  <c r="AB11" i="11" s="1"/>
  <c r="M12" i="11"/>
  <c r="M11" i="11" s="1"/>
  <c r="F12" i="11"/>
  <c r="F11" i="11" s="1"/>
  <c r="Z12" i="11"/>
  <c r="Z11" i="11" s="1"/>
  <c r="AE104" i="8"/>
  <c r="M556" i="7"/>
  <c r="Y556" i="7"/>
  <c r="I556" i="7"/>
  <c r="Q556" i="7"/>
  <c r="F556" i="7"/>
  <c r="K556" i="7"/>
  <c r="O556" i="7"/>
  <c r="S556" i="7"/>
  <c r="W556" i="7"/>
  <c r="AA556" i="7"/>
  <c r="AE556" i="7"/>
  <c r="J556" i="7"/>
  <c r="V556" i="7"/>
  <c r="Z556" i="7"/>
  <c r="H556" i="7"/>
  <c r="P556" i="7"/>
  <c r="X556" i="7"/>
  <c r="AB556" i="7"/>
  <c r="D802" i="7"/>
  <c r="AC788" i="7"/>
  <c r="D897" i="7"/>
  <c r="AC896" i="7"/>
  <c r="D859" i="7"/>
  <c r="D971" i="7"/>
  <c r="AC969" i="7"/>
  <c r="D1004" i="7"/>
  <c r="AC1003" i="7"/>
  <c r="D676" i="7"/>
  <c r="D698" i="7"/>
  <c r="N673" i="7"/>
  <c r="D1278" i="7"/>
  <c r="D1277" i="7" s="1"/>
  <c r="AC1277" i="7"/>
  <c r="D1455" i="7"/>
  <c r="AC1454" i="7"/>
  <c r="I63" i="13"/>
  <c r="P63" i="13" s="1"/>
  <c r="J63" i="13"/>
  <c r="L63" i="13"/>
  <c r="K72" i="13"/>
  <c r="K63" i="13" s="1"/>
  <c r="J64" i="8"/>
  <c r="N64" i="8"/>
  <c r="R64" i="8"/>
  <c r="V64" i="8"/>
  <c r="Z64" i="8"/>
  <c r="AD64" i="8"/>
  <c r="G64" i="8"/>
  <c r="K64" i="8"/>
  <c r="O64" i="8"/>
  <c r="S64" i="8"/>
  <c r="W64" i="8"/>
  <c r="AA64" i="8"/>
  <c r="AF64" i="8"/>
  <c r="AC1415" i="7"/>
  <c r="H64" i="8"/>
  <c r="L64" i="8"/>
  <c r="P64" i="8"/>
  <c r="T64" i="8"/>
  <c r="X64" i="8"/>
  <c r="AB64" i="8"/>
  <c r="AG64" i="8"/>
  <c r="I64" i="8"/>
  <c r="M64" i="8"/>
  <c r="Q64" i="8"/>
  <c r="U64" i="8"/>
  <c r="Y64" i="8"/>
  <c r="AC64" i="8"/>
  <c r="D1432" i="7"/>
  <c r="D1431" i="7" s="1"/>
  <c r="AC1431" i="7"/>
  <c r="D1442" i="7"/>
  <c r="D1441" i="7" s="1"/>
  <c r="AC1403" i="7"/>
  <c r="D1302" i="7"/>
  <c r="D1301" i="7" s="1"/>
  <c r="AC1301" i="7"/>
  <c r="AC1270" i="7"/>
  <c r="D1320" i="7"/>
  <c r="D1319" i="7" s="1"/>
  <c r="AC1319" i="7"/>
  <c r="E79" i="8"/>
  <c r="N877" i="7"/>
  <c r="AC717" i="7"/>
  <c r="E15" i="11"/>
  <c r="E13" i="11"/>
  <c r="AC978" i="7"/>
  <c r="P1466" i="7"/>
  <c r="P1465" i="7" s="1"/>
  <c r="C214" i="5"/>
  <c r="C213" i="5" s="1"/>
  <c r="X1466" i="7"/>
  <c r="X1465" i="7" s="1"/>
  <c r="K29" i="13"/>
  <c r="K14" i="13"/>
  <c r="I11" i="13"/>
  <c r="P11" i="13" s="1"/>
  <c r="J11" i="13"/>
  <c r="L11" i="13"/>
  <c r="K35" i="13"/>
  <c r="F18" i="8"/>
  <c r="F22" i="8"/>
  <c r="F37" i="8"/>
  <c r="F39" i="8"/>
  <c r="F52" i="8"/>
  <c r="F67" i="8"/>
  <c r="F72" i="8"/>
  <c r="F97" i="8"/>
  <c r="F122" i="8"/>
  <c r="F126" i="8"/>
  <c r="F134" i="8"/>
  <c r="F137" i="8"/>
  <c r="F139" i="8"/>
  <c r="F140" i="8"/>
  <c r="F143" i="8"/>
  <c r="F164" i="8"/>
  <c r="F166" i="8"/>
  <c r="F184" i="8"/>
  <c r="F183" i="8" s="1"/>
  <c r="F194" i="8"/>
  <c r="F199" i="8"/>
  <c r="F212" i="8"/>
  <c r="F26" i="8"/>
  <c r="F32" i="8"/>
  <c r="F48" i="8"/>
  <c r="F62" i="8"/>
  <c r="F74" i="8"/>
  <c r="F116" i="8"/>
  <c r="F118" i="8"/>
  <c r="F161" i="8"/>
  <c r="F177" i="8"/>
  <c r="F179" i="8"/>
  <c r="F186" i="8"/>
  <c r="F185" i="8" s="1"/>
  <c r="F188" i="8"/>
  <c r="F190" i="8"/>
  <c r="F201" i="8"/>
  <c r="F17" i="8"/>
  <c r="F21" i="8"/>
  <c r="F23" i="8"/>
  <c r="F29" i="8"/>
  <c r="F38" i="8"/>
  <c r="F51" i="8"/>
  <c r="F66" i="8"/>
  <c r="F68" i="8"/>
  <c r="F96" i="8"/>
  <c r="F98" i="8"/>
  <c r="F101" i="8"/>
  <c r="F103" i="8"/>
  <c r="F127" i="8"/>
  <c r="F133" i="8"/>
  <c r="F142" i="8"/>
  <c r="F144" i="8"/>
  <c r="F163" i="8"/>
  <c r="F167" i="8"/>
  <c r="F193" i="8"/>
  <c r="F196" i="8"/>
  <c r="F208" i="8"/>
  <c r="F25" i="8"/>
  <c r="F31" i="8"/>
  <c r="F56" i="8"/>
  <c r="F54" i="8" s="1"/>
  <c r="F58" i="8"/>
  <c r="F70" i="8"/>
  <c r="F110" i="8"/>
  <c r="F115" i="8"/>
  <c r="F128" i="8"/>
  <c r="F160" i="8"/>
  <c r="F178" i="8"/>
  <c r="F189" i="8"/>
  <c r="F192" i="8"/>
  <c r="AE191" i="8"/>
  <c r="P187" i="8"/>
  <c r="P92" i="8" s="1"/>
  <c r="N12" i="8"/>
  <c r="W12" i="8"/>
  <c r="AF12" i="8"/>
  <c r="J12" i="8"/>
  <c r="S12" i="8"/>
  <c r="AA12" i="8"/>
  <c r="K12" i="8"/>
  <c r="X12" i="8"/>
  <c r="AE198" i="8"/>
  <c r="G12" i="8"/>
  <c r="T12" i="8"/>
  <c r="AB12" i="8"/>
  <c r="H12" i="8"/>
  <c r="L12" i="8"/>
  <c r="Q12" i="8"/>
  <c r="U12" i="8"/>
  <c r="Y12" i="8"/>
  <c r="AC12" i="8"/>
  <c r="AE24" i="8"/>
  <c r="O12" i="8"/>
  <c r="AG12" i="8"/>
  <c r="I12" i="8"/>
  <c r="M12" i="8"/>
  <c r="R12" i="8"/>
  <c r="V12" i="8"/>
  <c r="Z12" i="8"/>
  <c r="AD12" i="8"/>
  <c r="K43" i="13"/>
  <c r="AE71" i="8"/>
  <c r="F168" i="8"/>
  <c r="R862" i="7"/>
  <c r="T1466" i="7"/>
  <c r="T1465" i="7" s="1"/>
  <c r="R362" i="7"/>
  <c r="G824" i="7"/>
  <c r="AE200" i="8"/>
  <c r="AE73" i="8"/>
  <c r="E12" i="8"/>
  <c r="AE69" i="8"/>
  <c r="AE100" i="8"/>
  <c r="E11" i="8"/>
  <c r="P54" i="8"/>
  <c r="P12" i="8" s="1"/>
  <c r="E64" i="8"/>
  <c r="AE50" i="8"/>
  <c r="AE132" i="8"/>
  <c r="F43" i="8"/>
  <c r="AE42" i="8"/>
  <c r="F88" i="8"/>
  <c r="AE87" i="8"/>
  <c r="AE79" i="8" s="1"/>
  <c r="F165" i="8"/>
  <c r="AE162" i="8"/>
  <c r="F206" i="8"/>
  <c r="AE205" i="8"/>
  <c r="F14" i="8"/>
  <c r="AE13" i="8"/>
  <c r="AE30" i="8"/>
  <c r="AE65" i="8"/>
  <c r="F76" i="8"/>
  <c r="AE75" i="8"/>
  <c r="F174" i="8"/>
  <c r="AE173" i="8"/>
  <c r="F204" i="8"/>
  <c r="AE202" i="8"/>
  <c r="AE15" i="8"/>
  <c r="AE28" i="8"/>
  <c r="F34" i="8"/>
  <c r="AE33" i="8"/>
  <c r="AE36" i="8"/>
  <c r="F41" i="8"/>
  <c r="AE40" i="8"/>
  <c r="F47" i="8"/>
  <c r="AE44" i="8"/>
  <c r="F78" i="8"/>
  <c r="AE77" i="8"/>
  <c r="AE120" i="8"/>
  <c r="F176" i="8"/>
  <c r="AE175" i="8"/>
  <c r="AE128" i="8"/>
  <c r="AE207" i="8"/>
  <c r="AE211" i="8"/>
  <c r="H1466" i="7"/>
  <c r="H1465" i="7" s="1"/>
  <c r="N467" i="7"/>
  <c r="N1452" i="7"/>
  <c r="N1030" i="7" s="1"/>
  <c r="N818" i="7"/>
  <c r="R838" i="7"/>
  <c r="N1011" i="7"/>
  <c r="AC353" i="7"/>
  <c r="D946" i="7"/>
  <c r="N21" i="7"/>
  <c r="N983" i="7"/>
  <c r="D109" i="7"/>
  <c r="L772" i="7"/>
  <c r="L245" i="7"/>
  <c r="G717" i="7"/>
  <c r="D1389" i="7"/>
  <c r="D1388" i="7" s="1"/>
  <c r="R530" i="7"/>
  <c r="E646" i="7"/>
  <c r="E556" i="7" s="1"/>
  <c r="N646" i="7"/>
  <c r="R646" i="7"/>
  <c r="G646" i="7"/>
  <c r="L717" i="7"/>
  <c r="D973" i="7"/>
  <c r="D972" i="7" s="1"/>
  <c r="G357" i="7"/>
  <c r="G20" i="7" s="1"/>
  <c r="H380" i="7"/>
  <c r="H20" i="7" s="1"/>
  <c r="D994" i="7"/>
  <c r="N1015" i="7"/>
  <c r="G772" i="7"/>
  <c r="N991" i="7"/>
  <c r="D1002" i="7"/>
  <c r="D1016" i="7"/>
  <c r="L21" i="7"/>
  <c r="N874" i="7"/>
  <c r="N904" i="7"/>
  <c r="N919" i="7"/>
  <c r="D662" i="7"/>
  <c r="N838" i="7"/>
  <c r="AC837" i="7"/>
  <c r="T838" i="7"/>
  <c r="T556" i="7" s="1"/>
  <c r="D842" i="7"/>
  <c r="D891" i="7"/>
  <c r="N933" i="7"/>
  <c r="D996" i="7"/>
  <c r="D995" i="7" s="1"/>
  <c r="D1023" i="7"/>
  <c r="D1342" i="7"/>
  <c r="D1341" i="7" s="1"/>
  <c r="L202" i="7"/>
  <c r="D806" i="7"/>
  <c r="D853" i="7"/>
  <c r="AC875" i="7"/>
  <c r="D875" i="7" s="1"/>
  <c r="U889" i="7"/>
  <c r="U556" i="7" s="1"/>
  <c r="AC904" i="7"/>
  <c r="AC919" i="7"/>
  <c r="G933" i="7"/>
  <c r="D962" i="7"/>
  <c r="D968" i="7"/>
  <c r="N974" i="7"/>
  <c r="D987" i="7"/>
  <c r="D998" i="7"/>
  <c r="D997" i="7" s="1"/>
  <c r="G1015" i="7"/>
  <c r="D1233" i="7"/>
  <c r="I301" i="7"/>
  <c r="I20" i="7" s="1"/>
  <c r="L309" i="7"/>
  <c r="AC829" i="7"/>
  <c r="AC927" i="7"/>
  <c r="AC925" i="7"/>
  <c r="AC387" i="7"/>
  <c r="AC441" i="7"/>
  <c r="AC545" i="7"/>
  <c r="AC465" i="7"/>
  <c r="D943" i="7"/>
  <c r="D412" i="7"/>
  <c r="D1583" i="7"/>
  <c r="D1305" i="7"/>
  <c r="D1304" i="7" s="1"/>
  <c r="AC866" i="7"/>
  <c r="AC435" i="7"/>
  <c r="D815" i="7"/>
  <c r="D1252" i="7"/>
  <c r="D1251" i="7" s="1"/>
  <c r="AB20" i="7"/>
  <c r="D307" i="7"/>
  <c r="AC1452" i="7"/>
  <c r="AC872" i="7"/>
  <c r="AC202" i="7"/>
  <c r="D418" i="7"/>
  <c r="D464" i="7"/>
  <c r="D528" i="7"/>
  <c r="M20" i="7"/>
  <c r="Y20" i="7"/>
  <c r="AC295" i="7"/>
  <c r="D347" i="7"/>
  <c r="D390" i="7"/>
  <c r="U20" i="7"/>
  <c r="D414" i="7"/>
  <c r="D1311" i="7"/>
  <c r="AC1310" i="7"/>
  <c r="E20" i="7"/>
  <c r="Q20" i="7"/>
  <c r="D1269" i="7"/>
  <c r="P20" i="7"/>
  <c r="T20" i="7"/>
  <c r="X20" i="7"/>
  <c r="D383" i="7"/>
  <c r="D396" i="7"/>
  <c r="D1000" i="7"/>
  <c r="D999" i="7" s="1"/>
  <c r="AC999" i="7"/>
  <c r="O1466" i="7"/>
  <c r="O1465" i="7" s="1"/>
  <c r="D497" i="7"/>
  <c r="D496" i="7" s="1"/>
  <c r="D869" i="7"/>
  <c r="AC1295" i="7"/>
  <c r="F1466" i="7"/>
  <c r="F1465" i="7" s="1"/>
  <c r="J1466" i="7"/>
  <c r="J1465" i="7" s="1"/>
  <c r="N1466" i="7"/>
  <c r="N1465" i="7" s="1"/>
  <c r="R1466" i="7"/>
  <c r="R1465" i="7" s="1"/>
  <c r="V1466" i="7"/>
  <c r="V1465" i="7" s="1"/>
  <c r="Z1466" i="7"/>
  <c r="Z1465" i="7" s="1"/>
  <c r="AD1466" i="7"/>
  <c r="AD1465" i="7" s="1"/>
  <c r="D353" i="7"/>
  <c r="D1400" i="7"/>
  <c r="D1399" i="7" s="1"/>
  <c r="AC1399" i="7"/>
  <c r="D1404" i="7"/>
  <c r="AC1434" i="7"/>
  <c r="D1435" i="7"/>
  <c r="AD20" i="7"/>
  <c r="AC239" i="7"/>
  <c r="D245" i="7"/>
  <c r="D278" i="7"/>
  <c r="AC309" i="7"/>
  <c r="D361" i="7"/>
  <c r="AC503" i="7"/>
  <c r="D521" i="7"/>
  <c r="AC519" i="7"/>
  <c r="D863" i="7"/>
  <c r="D1028" i="7"/>
  <c r="D948" i="7"/>
  <c r="F20" i="7"/>
  <c r="J20" i="7"/>
  <c r="V20" i="7"/>
  <c r="Z20" i="7"/>
  <c r="AE20" i="7"/>
  <c r="D422" i="7"/>
  <c r="D465" i="7"/>
  <c r="D516" i="7"/>
  <c r="AC514" i="7"/>
  <c r="D456" i="7"/>
  <c r="AC455" i="7"/>
  <c r="AC522" i="7"/>
  <c r="D524" i="7"/>
  <c r="K20" i="7"/>
  <c r="O20" i="7"/>
  <c r="S20" i="7"/>
  <c r="W20" i="7"/>
  <c r="AA20" i="7"/>
  <c r="AC126" i="7"/>
  <c r="AC342" i="7"/>
  <c r="D441" i="7"/>
  <c r="D517" i="7"/>
  <c r="AC901" i="7"/>
  <c r="D903" i="7"/>
  <c r="D533" i="7"/>
  <c r="AC535" i="7"/>
  <c r="D550" i="7"/>
  <c r="AC831" i="7"/>
  <c r="D918" i="7"/>
  <c r="D917" i="7" s="1"/>
  <c r="AC917" i="7"/>
  <c r="D1014" i="7"/>
  <c r="AC1013" i="7"/>
  <c r="D1419" i="7"/>
  <c r="D1424" i="7"/>
  <c r="AC1424" i="7"/>
  <c r="L1466" i="7"/>
  <c r="L1465" i="7" s="1"/>
  <c r="AB1466" i="7"/>
  <c r="AB1465" i="7" s="1"/>
  <c r="D498" i="7"/>
  <c r="D555" i="7"/>
  <c r="N810" i="7"/>
  <c r="D865" i="7"/>
  <c r="D1381" i="7"/>
  <c r="AC1380" i="7"/>
  <c r="AC1428" i="7"/>
  <c r="AC485" i="7"/>
  <c r="D1337" i="7"/>
  <c r="AC1336" i="7"/>
  <c r="D1360" i="7"/>
  <c r="D1359" i="7" s="1"/>
  <c r="AC943" i="7"/>
  <c r="AC1011" i="7"/>
  <c r="D1296" i="7"/>
  <c r="D1295" i="7" s="1"/>
  <c r="D1387" i="7"/>
  <c r="AC1438" i="7"/>
  <c r="D1450" i="7"/>
  <c r="AC957" i="7"/>
  <c r="D1365" i="7"/>
  <c r="D1364" i="7" s="1"/>
  <c r="AC1450" i="7"/>
  <c r="D1469" i="7"/>
  <c r="D202" i="7"/>
  <c r="AC245" i="7"/>
  <c r="D305" i="7"/>
  <c r="AC301" i="7"/>
  <c r="D342" i="7"/>
  <c r="D363" i="7"/>
  <c r="AC362" i="7"/>
  <c r="D392" i="7"/>
  <c r="D426" i="7"/>
  <c r="AC424" i="7"/>
  <c r="D430" i="7"/>
  <c r="AC428" i="7"/>
  <c r="D447" i="7"/>
  <c r="AC444" i="7"/>
  <c r="D509" i="7"/>
  <c r="D513" i="7"/>
  <c r="AC511" i="7"/>
  <c r="D530" i="7"/>
  <c r="D831" i="7"/>
  <c r="D835" i="7"/>
  <c r="AC834" i="7"/>
  <c r="D899" i="7"/>
  <c r="AC898" i="7"/>
  <c r="D914" i="7"/>
  <c r="D913" i="7" s="1"/>
  <c r="D325" i="7"/>
  <c r="D475" i="7"/>
  <c r="AC473" i="7"/>
  <c r="D814" i="7"/>
  <c r="AC810" i="7"/>
  <c r="D872" i="7"/>
  <c r="D272" i="7"/>
  <c r="AC21" i="7"/>
  <c r="D185" i="7"/>
  <c r="AC156" i="7"/>
  <c r="D239" i="7"/>
  <c r="D285" i="7"/>
  <c r="D293" i="7"/>
  <c r="AC292" i="7"/>
  <c r="D299" i="7"/>
  <c r="AC325" i="7"/>
  <c r="D385" i="7"/>
  <c r="D401" i="7"/>
  <c r="AC397" i="7"/>
  <c r="AC414" i="7"/>
  <c r="D435" i="7"/>
  <c r="D462" i="7"/>
  <c r="D489" i="7"/>
  <c r="D880" i="7"/>
  <c r="AC877" i="7"/>
  <c r="D984" i="7"/>
  <c r="D317" i="7"/>
  <c r="D350" i="7"/>
  <c r="D357" i="7"/>
  <c r="D382" i="7"/>
  <c r="AC380" i="7"/>
  <c r="D407" i="7"/>
  <c r="AC404" i="7"/>
  <c r="D459" i="7"/>
  <c r="D503" i="7"/>
  <c r="D537" i="7"/>
  <c r="AC892" i="7"/>
  <c r="D893" i="7"/>
  <c r="D957" i="7"/>
  <c r="D925" i="7"/>
  <c r="D992" i="7"/>
  <c r="D1139" i="7"/>
  <c r="D1132" i="7" s="1"/>
  <c r="D468" i="7"/>
  <c r="AC467" i="7"/>
  <c r="D545" i="7"/>
  <c r="AC818" i="7"/>
  <c r="D827" i="7"/>
  <c r="AC824" i="7"/>
  <c r="D722" i="7"/>
  <c r="D775" i="7"/>
  <c r="AC772" i="7"/>
  <c r="D1011" i="7"/>
  <c r="D674" i="7"/>
  <c r="D927" i="7"/>
  <c r="D934" i="7"/>
  <c r="AC933" i="7"/>
  <c r="D1397" i="7"/>
  <c r="D1438" i="7"/>
  <c r="N717" i="7"/>
  <c r="D829" i="7"/>
  <c r="D975" i="7"/>
  <c r="AC870" i="7"/>
  <c r="D940" i="7"/>
  <c r="AC939" i="7"/>
  <c r="D964" i="7"/>
  <c r="D1232" i="7"/>
  <c r="D1265" i="7"/>
  <c r="D1264" i="7" s="1"/>
  <c r="D1325" i="7"/>
  <c r="D1324" i="7" s="1"/>
  <c r="D1457" i="7"/>
  <c r="D1182" i="7"/>
  <c r="D1317" i="7"/>
  <c r="AC1316" i="7"/>
  <c r="D1437" i="7"/>
  <c r="AC1436" i="7"/>
  <c r="AE1466" i="7"/>
  <c r="AE1465" i="7" s="1"/>
  <c r="D1271" i="7"/>
  <c r="D1270" i="7" s="1"/>
  <c r="D1372" i="7"/>
  <c r="D1371" i="7" s="1"/>
  <c r="D1416" i="7"/>
  <c r="D1415" i="7" s="1"/>
  <c r="G1466" i="7"/>
  <c r="G1465" i="7" s="1"/>
  <c r="K1466" i="7"/>
  <c r="K1465" i="7" s="1"/>
  <c r="S1466" i="7"/>
  <c r="S1465" i="7" s="1"/>
  <c r="W1466" i="7"/>
  <c r="W1465" i="7" s="1"/>
  <c r="AA1466" i="7"/>
  <c r="AA1465" i="7" s="1"/>
  <c r="AC1028" i="7"/>
  <c r="D1114" i="7"/>
  <c r="D1111" i="7" s="1"/>
  <c r="D1275" i="7"/>
  <c r="D1274" i="7" s="1"/>
  <c r="D1412" i="7"/>
  <c r="D1411" i="7" s="1"/>
  <c r="D1447" i="7"/>
  <c r="D1446" i="7" s="1"/>
  <c r="D1379" i="7"/>
  <c r="AC1378" i="7"/>
  <c r="D1383" i="7"/>
  <c r="D1382" i="7" s="1"/>
  <c r="AC1419" i="7"/>
  <c r="D1471" i="7"/>
  <c r="D1467" i="7"/>
  <c r="E1466" i="7"/>
  <c r="E1465" i="7" s="1"/>
  <c r="I1466" i="7"/>
  <c r="I1465" i="7" s="1"/>
  <c r="M1466" i="7"/>
  <c r="M1465" i="7" s="1"/>
  <c r="Q1466" i="7"/>
  <c r="Q1465" i="7" s="1"/>
  <c r="U1466" i="7"/>
  <c r="U1465" i="7" s="1"/>
  <c r="Y1466" i="7"/>
  <c r="Y1465" i="7" s="1"/>
  <c r="AC1466" i="7"/>
  <c r="AC1465" i="7" s="1"/>
  <c r="D1230" i="7" l="1"/>
  <c r="D1396" i="7"/>
  <c r="D1268" i="7"/>
  <c r="D1466" i="7"/>
  <c r="D1465" i="7" s="1"/>
  <c r="F147" i="8"/>
  <c r="F93" i="8"/>
  <c r="E12" i="11"/>
  <c r="E11" i="11" s="1"/>
  <c r="F104" i="8"/>
  <c r="N20" i="7"/>
  <c r="L556" i="7"/>
  <c r="R556" i="7"/>
  <c r="G556" i="7"/>
  <c r="G19" i="7" s="1"/>
  <c r="N556" i="7"/>
  <c r="D788" i="7"/>
  <c r="D896" i="7"/>
  <c r="D837" i="7"/>
  <c r="AC836" i="7"/>
  <c r="D932" i="7"/>
  <c r="AC929" i="7"/>
  <c r="D673" i="7"/>
  <c r="D969" i="7"/>
  <c r="D1003" i="7"/>
  <c r="AC673" i="7"/>
  <c r="D1454" i="7"/>
  <c r="L10" i="13"/>
  <c r="I10" i="13"/>
  <c r="P10" i="13" s="1"/>
  <c r="J10" i="13"/>
  <c r="AE64" i="8"/>
  <c r="D1403" i="7"/>
  <c r="D1332" i="7"/>
  <c r="AC1331" i="7"/>
  <c r="AD11" i="8"/>
  <c r="M11" i="8"/>
  <c r="T11" i="8"/>
  <c r="X11" i="8"/>
  <c r="J11" i="8"/>
  <c r="AG11" i="8"/>
  <c r="Y11" i="8"/>
  <c r="H11" i="8"/>
  <c r="W11" i="8"/>
  <c r="R11" i="8"/>
  <c r="Q11" i="8"/>
  <c r="P11" i="8"/>
  <c r="Z11" i="8"/>
  <c r="I11" i="8"/>
  <c r="AC11" i="8"/>
  <c r="L11" i="8"/>
  <c r="G11" i="8"/>
  <c r="K11" i="8"/>
  <c r="AF11" i="8"/>
  <c r="V11" i="8"/>
  <c r="AA11" i="8"/>
  <c r="O11" i="8"/>
  <c r="U11" i="8"/>
  <c r="AB11" i="8"/>
  <c r="S11" i="8"/>
  <c r="N11" i="8"/>
  <c r="F65" i="8"/>
  <c r="F191" i="8"/>
  <c r="F36" i="8"/>
  <c r="F73" i="8"/>
  <c r="F30" i="8"/>
  <c r="F187" i="8"/>
  <c r="F120" i="8"/>
  <c r="F15" i="8"/>
  <c r="F132" i="8"/>
  <c r="AE187" i="8"/>
  <c r="AE92" i="8" s="1"/>
  <c r="F100" i="8"/>
  <c r="K11" i="13"/>
  <c r="K10" i="13" s="1"/>
  <c r="F33" i="8"/>
  <c r="F202" i="8"/>
  <c r="F173" i="8"/>
  <c r="F13" i="8"/>
  <c r="F69" i="8"/>
  <c r="F50" i="8"/>
  <c r="F77" i="8"/>
  <c r="F40" i="8"/>
  <c r="F87" i="8"/>
  <c r="F79" i="8" s="1"/>
  <c r="F24" i="8"/>
  <c r="F28" i="8"/>
  <c r="F211" i="8"/>
  <c r="F198" i="8"/>
  <c r="F175" i="8"/>
  <c r="F75" i="8"/>
  <c r="F205" i="8"/>
  <c r="F162" i="8"/>
  <c r="F200" i="8"/>
  <c r="F71" i="8"/>
  <c r="F44" i="8"/>
  <c r="F42" i="8"/>
  <c r="F207" i="8"/>
  <c r="AE12" i="8"/>
  <c r="AC963" i="7"/>
  <c r="AC945" i="7"/>
  <c r="R20" i="7"/>
  <c r="AC991" i="7"/>
  <c r="D21" i="7"/>
  <c r="AC1388" i="7"/>
  <c r="AC972" i="7"/>
  <c r="D126" i="7"/>
  <c r="AC1022" i="7"/>
  <c r="AC852" i="7"/>
  <c r="AC1015" i="7"/>
  <c r="D920" i="7"/>
  <c r="D1580" i="7"/>
  <c r="AC862" i="7"/>
  <c r="AC1001" i="7"/>
  <c r="D1001" i="7"/>
  <c r="D1015" i="7"/>
  <c r="AC997" i="7"/>
  <c r="D646" i="7"/>
  <c r="AC961" i="7"/>
  <c r="D868" i="7"/>
  <c r="D961" i="7"/>
  <c r="AC974" i="7"/>
  <c r="L20" i="7"/>
  <c r="D967" i="7"/>
  <c r="D905" i="7"/>
  <c r="D904" i="7" s="1"/>
  <c r="AC838" i="7"/>
  <c r="AC646" i="7"/>
  <c r="AC995" i="7"/>
  <c r="D838" i="7"/>
  <c r="AC967" i="7"/>
  <c r="D519" i="7"/>
  <c r="AC889" i="7"/>
  <c r="AC983" i="7"/>
  <c r="AC874" i="7"/>
  <c r="D889" i="7"/>
  <c r="I19" i="7"/>
  <c r="D1310" i="7"/>
  <c r="D862" i="7"/>
  <c r="AD19" i="7"/>
  <c r="AE19" i="7"/>
  <c r="D1380" i="7"/>
  <c r="D395" i="7"/>
  <c r="F19" i="7"/>
  <c r="Z19" i="7"/>
  <c r="Y19" i="7"/>
  <c r="D485" i="7"/>
  <c r="P19" i="7"/>
  <c r="E19" i="7"/>
  <c r="D1186" i="7"/>
  <c r="D1181" i="7" s="1"/>
  <c r="Q19" i="7"/>
  <c r="D463" i="7"/>
  <c r="D514" i="7"/>
  <c r="U19" i="7"/>
  <c r="D522" i="7"/>
  <c r="D1428" i="7"/>
  <c r="T19" i="7"/>
  <c r="D387" i="7"/>
  <c r="D945" i="7"/>
  <c r="V19" i="7"/>
  <c r="D360" i="7"/>
  <c r="D810" i="7"/>
  <c r="K19" i="7"/>
  <c r="D1336" i="7"/>
  <c r="D864" i="7"/>
  <c r="D1013" i="7"/>
  <c r="AA19" i="7"/>
  <c r="O19" i="7"/>
  <c r="D901" i="7"/>
  <c r="AB19" i="7"/>
  <c r="D553" i="7"/>
  <c r="D1386" i="7"/>
  <c r="W19" i="7"/>
  <c r="D1434" i="7"/>
  <c r="M19" i="7"/>
  <c r="D455" i="7"/>
  <c r="S19" i="7"/>
  <c r="D824" i="7"/>
  <c r="X19" i="7"/>
  <c r="H19" i="7"/>
  <c r="D424" i="7"/>
  <c r="J19" i="7"/>
  <c r="D933" i="7"/>
  <c r="D963" i="7"/>
  <c r="D461" i="7"/>
  <c r="D877" i="7"/>
  <c r="D467" i="7"/>
  <c r="D991" i="7"/>
  <c r="D156" i="7"/>
  <c r="D309" i="7"/>
  <c r="D397" i="7"/>
  <c r="D473" i="7"/>
  <c r="D874" i="7"/>
  <c r="D834" i="7"/>
  <c r="D939" i="7"/>
  <c r="D974" i="7"/>
  <c r="D852" i="7"/>
  <c r="D772" i="7"/>
  <c r="D983" i="7"/>
  <c r="D898" i="7"/>
  <c r="D444" i="7"/>
  <c r="D362" i="7"/>
  <c r="D428" i="7"/>
  <c r="D1378" i="7"/>
  <c r="D1436" i="7"/>
  <c r="D1316" i="7"/>
  <c r="D1022" i="7"/>
  <c r="D818" i="7"/>
  <c r="D892" i="7"/>
  <c r="D535" i="7"/>
  <c r="D380" i="7"/>
  <c r="D292" i="7"/>
  <c r="AC20" i="7"/>
  <c r="D295" i="7"/>
  <c r="D511" i="7"/>
  <c r="D301" i="7"/>
  <c r="D404" i="7"/>
  <c r="F92" i="8" l="1"/>
  <c r="AC1030" i="7"/>
  <c r="AC556" i="7"/>
  <c r="D1579" i="7"/>
  <c r="D1569" i="7" s="1"/>
  <c r="D836" i="7"/>
  <c r="D929" i="7"/>
  <c r="F64" i="8"/>
  <c r="D1331" i="7"/>
  <c r="D1030" i="7" s="1"/>
  <c r="AE11" i="8"/>
  <c r="D717" i="7"/>
  <c r="D978" i="7"/>
  <c r="F12" i="8"/>
  <c r="R19" i="7"/>
  <c r="L19" i="7"/>
  <c r="D919" i="7"/>
  <c r="N19" i="7"/>
  <c r="D20" i="7"/>
  <c r="D556" i="7" l="1"/>
  <c r="C40" i="14"/>
  <c r="C44" i="14" s="1"/>
  <c r="F11" i="8"/>
  <c r="AC19" i="7"/>
  <c r="D19" i="7" l="1"/>
  <c r="T777" i="15" l="1"/>
  <c r="T766" i="15" s="1"/>
  <c r="U777" i="15"/>
  <c r="T550" i="15" l="1"/>
  <c r="T1131" i="15"/>
  <c r="U1131" i="15"/>
  <c r="U1146" i="15"/>
  <c r="V1146" i="15" s="1"/>
  <c r="V1126" i="15" s="1"/>
  <c r="T1146" i="15"/>
  <c r="T1126" i="15" l="1"/>
  <c r="U1126" i="15"/>
  <c r="T1451" i="15" l="1"/>
  <c r="U1451" i="15"/>
  <c r="T1448" i="15" l="1"/>
  <c r="T1369" i="15" l="1"/>
  <c r="T1365" i="15" s="1"/>
  <c r="U1369" i="15"/>
  <c r="V1024" i="15" s="1"/>
  <c r="V13" i="15" s="1"/>
  <c r="T1024" i="15" l="1"/>
  <c r="T13" i="15" s="1"/>
  <c r="U1365" i="15"/>
  <c r="P1024" i="15"/>
  <c r="P13" i="15" s="1"/>
  <c r="U13" i="15" s="1"/>
  <c r="C47" i="14" l="1"/>
  <c r="C51" i="14" s="1"/>
  <c r="U1024" i="15"/>
  <c r="P19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/>
    <author>RePack by Diakov</author>
  </authors>
  <commentList>
    <comment ref="L4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7,8,9 под. 3,4,5,6 под.</t>
        </r>
      </text>
    </comment>
    <comment ref="R109" authorId="1" shapeId="0" xr:uid="{00000000-0006-0000-0000-000002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1 этап и 2 этап</t>
        </r>
      </text>
    </comment>
    <comment ref="N264" authorId="0" shapeId="0" xr:uid="{00000000-0006-0000-0000-000003000000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Будет 2-й этап на 377278,61, выставили
</t>
        </r>
      </text>
    </comment>
    <comment ref="AD279" authorId="1" shapeId="0" xr:uid="{00000000-0006-0000-0000-000004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с учетом ПСД на фасад</t>
        </r>
      </text>
    </comment>
    <comment ref="R369" authorId="1" shapeId="0" xr:uid="{00000000-0006-0000-0000-000005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1-й этап и 2-й этап оплачены оба
</t>
        </r>
      </text>
    </comment>
    <comment ref="N423" authorId="1" shapeId="0" xr:uid="{00000000-0006-0000-0000-000006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AD423" authorId="1" shapeId="0" xr:uid="{00000000-0006-0000-0000-000007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C499" authorId="2" shapeId="0" xr:uid="{00000000-0006-0000-0000-000008000000}">
      <text>
        <r>
          <rPr>
            <b/>
            <sz val="16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корп.1</t>
        </r>
      </text>
    </comment>
    <comment ref="C500" authorId="2" shapeId="0" xr:uid="{00000000-0006-0000-0000-000009000000}">
      <text>
        <r>
          <rPr>
            <b/>
            <sz val="14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корп.3</t>
        </r>
      </text>
    </comment>
    <comment ref="C501" authorId="2" shapeId="0" xr:uid="{00000000-0006-0000-0000-00000A000000}">
      <text>
        <r>
          <rPr>
            <b/>
            <sz val="18"/>
            <color indexed="81"/>
            <rFont val="Tahoma"/>
            <family val="2"/>
            <charset val="204"/>
          </rPr>
          <t>RePack by Diakov: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корп.3</t>
        </r>
      </text>
    </comment>
    <comment ref="C502" authorId="2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RePack by Diakov: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>корп.1</t>
        </r>
      </text>
    </comment>
    <comment ref="AC512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Оплачено с учетом ведения с 10%</t>
        </r>
      </text>
    </comment>
    <comment ref="R532" authorId="1" shapeId="0" xr:uid="{00000000-0006-0000-0000-00000D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36"/>
            <color rgb="FF000000"/>
            <rFont val="Tahoma"/>
            <family val="2"/>
            <charset val="204"/>
          </rPr>
          <t>1-й этап
и 2-й этап</t>
        </r>
      </text>
    </comment>
    <comment ref="AC532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2</t>
        </r>
        <r>
          <rPr>
            <sz val="36"/>
            <color indexed="81"/>
            <rFont val="Times New Roman"/>
            <family val="1"/>
            <charset val="204"/>
          </rPr>
          <t xml:space="preserve"> этап</t>
        </r>
      </text>
    </comment>
    <comment ref="AD885" authorId="0" shapeId="0" xr:uid="{00000000-0006-0000-0000-00000F000000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Крыша и фасад</t>
        </r>
      </text>
    </comment>
    <comment ref="G1329" authorId="0" shapeId="0" xr:uid="{00000000-0006-0000-0000-00001000000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G1330" authorId="0" shapeId="0" xr:uid="{00000000-0006-0000-0000-00001100000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AD1414" authorId="0" shapeId="0" xr:uid="{00000000-0006-0000-0000-000012000000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Крыша и ЭЭ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>Екатерина Александровна Бутылина</author>
  </authors>
  <commentList>
    <comment ref="AE47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 xml:space="preserve">Оплачено только 6284,85
</t>
        </r>
      </text>
    </comment>
    <comment ref="P99" authorId="0" shapeId="0" xr:uid="{FD194BD4-E205-42C7-8611-9F52FC330045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Добали еще по второму кругу</t>
        </r>
      </text>
    </comment>
    <comment ref="C208" authorId="1" shapeId="0" xr:uid="{00000000-0006-0000-0600-000002000000}">
      <text>
        <r>
          <rPr>
            <sz val="36"/>
            <color indexed="81"/>
            <rFont val="Tahoma"/>
            <family val="2"/>
            <charset val="204"/>
          </rPr>
          <t xml:space="preserve">
корп. 1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</authors>
  <commentList>
    <comment ref="P7" authorId="0" shapeId="0" xr:uid="{39F19174-BDBC-44C9-B2C6-4C1CF10CFB9E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Добали еще по второму кругу</t>
        </r>
      </text>
    </comment>
  </commentList>
</comments>
</file>

<file path=xl/sharedStrings.xml><?xml version="1.0" encoding="utf-8"?>
<sst xmlns="http://schemas.openxmlformats.org/spreadsheetml/2006/main" count="19695" uniqueCount="3659">
  <si>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</si>
  <si>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</si>
  <si>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</si>
  <si>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</si>
  <si>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</si>
  <si>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</si>
  <si>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</si>
  <si>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</si>
  <si>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</si>
  <si>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</si>
  <si>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</si>
  <si>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</si>
  <si>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</si>
  <si>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</si>
  <si>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</si>
  <si>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</si>
  <si>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</si>
  <si>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</si>
  <si>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</si>
  <si>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</si>
  <si>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</si>
  <si>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</si>
  <si>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</si>
  <si>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</si>
  <si>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</si>
  <si>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</si>
  <si>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</si>
  <si>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</si>
  <si>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</si>
  <si>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</si>
  <si>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</si>
  <si>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</si>
  <si>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</si>
  <si>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</si>
  <si>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</si>
  <si>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</si>
  <si>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</si>
  <si>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</si>
  <si>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</si>
  <si>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</si>
  <si>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</si>
  <si>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</si>
  <si>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</si>
  <si>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</si>
  <si>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</si>
  <si>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</si>
  <si>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</si>
  <si>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</si>
  <si>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</si>
  <si>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</si>
  <si>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</si>
  <si>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</si>
  <si>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</si>
  <si>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</si>
  <si>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</si>
  <si>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</si>
  <si>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</si>
  <si>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</si>
  <si>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</si>
  <si>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</si>
  <si>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</si>
  <si>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</si>
  <si>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</si>
  <si>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</si>
  <si>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</si>
  <si>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</si>
  <si>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</si>
  <si>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55</t>
  </si>
  <si>
    <t>Петушинский р-н, Покров г, Пролетарская ул, 5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</si>
  <si>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</si>
  <si>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</si>
  <si>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</si>
  <si>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</si>
  <si>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</si>
  <si>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</si>
  <si>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</si>
  <si>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</si>
  <si>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</si>
  <si>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</si>
  <si>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</si>
  <si>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</si>
  <si>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</si>
  <si>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</si>
  <si>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</si>
  <si>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</si>
  <si>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</si>
  <si>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</si>
  <si>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</si>
  <si>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</si>
  <si>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</si>
  <si>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</si>
  <si>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</si>
  <si>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</si>
  <si>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</si>
  <si>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</si>
  <si>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</si>
  <si>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</si>
  <si>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</si>
  <si>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</si>
  <si>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</si>
  <si>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</si>
  <si>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</si>
  <si>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</si>
  <si>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</si>
  <si>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</si>
  <si>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</si>
  <si>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</si>
  <si>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</si>
  <si>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</si>
  <si>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</si>
  <si>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</si>
  <si>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</si>
  <si>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</si>
  <si>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</si>
  <si>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</si>
  <si>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</si>
  <si>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</si>
  <si>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</si>
  <si>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</si>
  <si>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</si>
  <si>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</si>
  <si>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</si>
  <si>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</si>
  <si>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</si>
  <si>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</si>
  <si>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</si>
  <si>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</si>
  <si>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</si>
  <si>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</si>
  <si>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</si>
  <si>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</si>
  <si>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</si>
  <si>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</si>
  <si>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</si>
  <si>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</si>
  <si>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</si>
  <si>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</si>
  <si>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</si>
  <si>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</si>
  <si>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</si>
  <si>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</si>
  <si>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</si>
  <si>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</si>
  <si>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</si>
  <si>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</si>
  <si>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</si>
  <si>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</si>
  <si>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</si>
  <si>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</si>
  <si>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</si>
  <si>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</si>
  <si>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</si>
  <si>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</si>
  <si>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</si>
  <si>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</si>
  <si>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</si>
  <si>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</si>
  <si>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Ставрово п, Советская ул, 82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</si>
  <si>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</si>
  <si>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</si>
  <si>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</si>
  <si>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</si>
  <si>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</si>
  <si>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</si>
  <si>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</si>
  <si>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</si>
  <si>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</si>
  <si>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</si>
  <si>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</si>
  <si>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</si>
  <si>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</si>
  <si>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</si>
  <si>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</si>
  <si>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Мелехово пгт, Строительная ул, 3</t>
  </si>
  <si>
    <t>Ковровский р-н, подстанция Заря р-н, 1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</si>
  <si>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</si>
  <si>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</si>
  <si>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</si>
  <si>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</si>
  <si>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</si>
  <si>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</si>
  <si>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</si>
  <si>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</si>
  <si>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</si>
  <si>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</si>
  <si>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</si>
  <si>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</si>
  <si>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</si>
  <si>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</si>
  <si>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</si>
  <si>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</si>
  <si>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64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</si>
  <si>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</si>
  <si>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</si>
  <si>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</si>
  <si>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</si>
  <si>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</si>
  <si>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</si>
  <si>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</si>
  <si>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</si>
  <si>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</si>
  <si>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</si>
  <si>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</si>
  <si>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</si>
  <si>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</si>
  <si>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</si>
  <si>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</si>
  <si>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</si>
  <si>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</si>
  <si>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</si>
  <si>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</si>
  <si>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</si>
  <si>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</si>
  <si>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</si>
  <si>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</si>
  <si>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</si>
  <si>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</si>
  <si>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</si>
  <si>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</si>
  <si>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</si>
  <si>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</si>
  <si>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</si>
  <si>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</si>
  <si>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</si>
  <si>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</si>
  <si>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</si>
  <si>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</si>
  <si>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</si>
  <si>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</si>
  <si>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</si>
  <si>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</si>
  <si>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</si>
  <si>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</si>
  <si>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</si>
  <si>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</si>
  <si>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</si>
  <si>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</si>
  <si>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</si>
  <si>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</si>
  <si>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</si>
  <si>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</si>
  <si>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</si>
  <si>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</si>
  <si>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</si>
  <si>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</si>
  <si>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</si>
  <si>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</si>
  <si>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</si>
  <si>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</si>
  <si>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</si>
  <si>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</si>
  <si>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</si>
  <si>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</si>
  <si>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</si>
  <si>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</si>
  <si>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</si>
  <si>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</si>
  <si>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</si>
  <si>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</si>
  <si>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</si>
  <si>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</si>
  <si>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</si>
  <si>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</si>
  <si>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</si>
  <si>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</si>
  <si>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</si>
  <si>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</si>
  <si>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</si>
  <si>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</si>
  <si>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</si>
  <si>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</si>
  <si>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</si>
  <si>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</si>
  <si>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</si>
  <si>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</si>
  <si>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</si>
  <si>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</si>
  <si>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</si>
  <si>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</si>
  <si>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</si>
  <si>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</si>
  <si>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</si>
  <si>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</si>
  <si>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</si>
  <si>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</si>
  <si>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</si>
  <si>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ЖСК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</si>
  <si>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</si>
  <si>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</si>
  <si>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</si>
  <si>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</si>
  <si>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</si>
  <si>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</si>
  <si>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</si>
  <si>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</si>
  <si>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</si>
  <si>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</si>
  <si>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</si>
  <si>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</si>
  <si>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</si>
  <si>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</si>
  <si>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</si>
  <si>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</si>
  <si>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</si>
  <si>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</si>
  <si>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</si>
  <si>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</si>
  <si>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</si>
  <si>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</si>
  <si>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</si>
  <si>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</si>
  <si>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</si>
  <si>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</si>
  <si>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</si>
  <si>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</si>
  <si>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</si>
  <si>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</si>
  <si>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</si>
  <si>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</si>
  <si>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</si>
  <si>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</si>
  <si>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</si>
  <si>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</si>
  <si>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</si>
  <si>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</si>
  <si>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</si>
  <si>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</si>
  <si>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</si>
  <si>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</si>
  <si>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</si>
  <si>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</si>
  <si>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</si>
  <si>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</si>
  <si>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</si>
  <si>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</si>
  <si>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</si>
  <si>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</si>
  <si>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</si>
  <si>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</si>
  <si>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</si>
  <si>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</si>
  <si>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</si>
  <si>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</si>
  <si>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</si>
  <si>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</si>
  <si>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</si>
  <si>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</si>
  <si>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</si>
  <si>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</si>
  <si>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</si>
  <si>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</si>
  <si>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</si>
  <si>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</si>
  <si>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1985</t>
  </si>
  <si>
    <t>1974</t>
  </si>
  <si>
    <t>6</t>
  </si>
  <si>
    <t>1983</t>
  </si>
  <si>
    <t>1966</t>
  </si>
  <si>
    <t>1994</t>
  </si>
  <si>
    <t>1973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</si>
  <si>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</si>
  <si>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</si>
  <si>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</si>
  <si>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</si>
  <si>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</si>
  <si>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</si>
  <si>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</si>
  <si>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</si>
  <si>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</si>
  <si>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</si>
  <si>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</si>
  <si>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</si>
  <si>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</si>
  <si>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</si>
  <si>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</si>
  <si>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</si>
  <si>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</si>
  <si>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</si>
  <si>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</si>
  <si>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</si>
  <si>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</si>
  <si>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</si>
  <si>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</si>
  <si>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</si>
  <si>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</si>
  <si>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</si>
  <si>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</si>
  <si>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</si>
  <si>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</si>
  <si>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</si>
  <si>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</si>
  <si>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</si>
  <si>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</si>
  <si>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</si>
  <si>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</si>
  <si>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</si>
  <si>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</si>
  <si>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</si>
  <si>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</si>
  <si>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Филатова ул, 19а</t>
  </si>
  <si>
    <t>Муром г, Цветочный б-р, 6</t>
  </si>
  <si>
    <t>Муром г, Южная ул, 7</t>
  </si>
  <si>
    <t>Муром г, Заводская ул, 21</t>
  </si>
  <si>
    <t>Муром г, Коммунистическая ул, 39</t>
  </si>
  <si>
    <t>Муром г, Лаврентьева ул, 41</t>
  </si>
  <si>
    <t>Муром г, Ленинградская ул, 19</t>
  </si>
  <si>
    <t>Муром г, Московская ул, 86</t>
  </si>
  <si>
    <t>Муром г, Московская ул, 71</t>
  </si>
  <si>
    <t>Муром г, Муромская ул, 19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</si>
  <si>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</si>
  <si>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</si>
  <si>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</si>
  <si>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</si>
  <si>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</si>
  <si>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</si>
  <si>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</si>
  <si>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</si>
  <si>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</si>
  <si>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</si>
  <si>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</si>
  <si>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</si>
  <si>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</si>
  <si>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</si>
  <si>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</si>
  <si>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</si>
  <si>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</si>
  <si>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</si>
  <si>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</si>
  <si>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</si>
  <si>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</si>
  <si>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</si>
  <si>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</si>
  <si>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</si>
  <si>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</si>
  <si>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</si>
  <si>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</si>
  <si>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</si>
  <si>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</si>
  <si>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</si>
  <si>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</si>
  <si>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</si>
  <si>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</si>
  <si>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</si>
  <si>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</si>
  <si>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</si>
  <si>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</si>
  <si>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</si>
  <si>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</si>
  <si>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</si>
  <si>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</si>
  <si>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</si>
  <si>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</si>
  <si>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</si>
  <si>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</si>
  <si>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</si>
  <si>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</si>
  <si>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</si>
  <si>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</si>
  <si>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</si>
  <si>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</si>
  <si>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</si>
  <si>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</si>
  <si>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</si>
  <si>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</si>
  <si>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</si>
  <si>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</si>
  <si>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</si>
  <si>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</si>
  <si>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</si>
  <si>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</si>
  <si>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</si>
  <si>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</si>
  <si>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</si>
  <si>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</si>
  <si>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</si>
  <si>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</si>
  <si>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</si>
  <si>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</si>
  <si>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</si>
  <si>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</si>
  <si>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</si>
  <si>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</si>
  <si>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</si>
  <si>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</si>
  <si>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</si>
  <si>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</si>
  <si>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</si>
  <si>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</si>
  <si>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</si>
  <si>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</si>
  <si>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</si>
  <si>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</si>
  <si>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</si>
  <si>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</si>
  <si>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</si>
  <si>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</si>
  <si>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</si>
  <si>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</si>
  <si>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</si>
  <si>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</si>
  <si>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</si>
  <si>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</si>
  <si>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</si>
  <si>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</si>
  <si>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</si>
  <si>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</si>
  <si>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</si>
  <si>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</si>
  <si>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</si>
  <si>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</si>
  <si>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</si>
  <si>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</si>
  <si>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</si>
  <si>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</si>
  <si>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</si>
  <si>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</si>
  <si>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</si>
  <si>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</si>
  <si>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</si>
  <si>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</si>
  <si>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</si>
  <si>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</si>
  <si>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</si>
  <si>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Октябрьский пр-кт, 43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</si>
  <si>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</si>
  <si>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</si>
  <si>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</si>
  <si>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Спасское с, Садовая ул, 1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</si>
  <si>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</si>
  <si>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</si>
  <si>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</si>
  <si>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</si>
  <si>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</si>
  <si>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</si>
  <si>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</si>
  <si>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</si>
  <si>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</si>
  <si>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</si>
  <si>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Алябьева ул, 23а</t>
  </si>
  <si>
    <t>Владимир г, Балакирева ул, 29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</si>
  <si>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</si>
  <si>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</si>
  <si>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</si>
  <si>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</si>
  <si>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</si>
  <si>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8Б</t>
  </si>
  <si>
    <t>Владимир г, Казарменная ул, 5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</si>
  <si>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</si>
  <si>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</si>
  <si>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</si>
  <si>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</si>
  <si>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</si>
  <si>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</si>
  <si>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</si>
  <si>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</si>
  <si>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</si>
  <si>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41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</si>
  <si>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</si>
  <si>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</si>
  <si>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</si>
  <si>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25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</si>
  <si>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</si>
  <si>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</si>
  <si>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</si>
  <si>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Фатьянова ул, 24</t>
  </si>
  <si>
    <t>Владимир г, Энергетик мкр, Энергетиков ул, 11Б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</si>
  <si>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</si>
  <si>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</si>
  <si>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</si>
  <si>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</si>
  <si>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</si>
  <si>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</si>
  <si>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</si>
  <si>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</si>
  <si>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</si>
  <si>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</si>
  <si>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</si>
  <si>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</si>
  <si>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</si>
  <si>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</si>
  <si>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</si>
  <si>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</si>
  <si>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</si>
  <si>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</si>
  <si>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</si>
  <si>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</si>
  <si>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</si>
  <si>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</si>
  <si>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</si>
  <si>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</si>
  <si>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</si>
  <si>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</si>
  <si>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</si>
  <si>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</si>
  <si>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</si>
  <si>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</si>
  <si>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</si>
  <si>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</si>
  <si>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</si>
  <si>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</si>
  <si>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</si>
  <si>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</si>
  <si>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</si>
  <si>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</si>
  <si>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</si>
  <si>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</si>
  <si>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</si>
  <si>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</si>
  <si>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</si>
  <si>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</si>
  <si>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</si>
  <si>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</si>
  <si>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</si>
  <si>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</si>
  <si>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</si>
  <si>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</si>
  <si>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</si>
  <si>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</si>
  <si>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</si>
  <si>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</si>
  <si>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</si>
  <si>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</si>
  <si>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</si>
  <si>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</si>
  <si>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</si>
  <si>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</si>
  <si>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</si>
  <si>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</si>
  <si>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</si>
  <si>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</si>
  <si>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</si>
  <si>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</si>
  <si>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</si>
  <si>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</si>
  <si>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</si>
  <si>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</si>
  <si>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</si>
  <si>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</si>
  <si>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</si>
  <si>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</si>
  <si>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</si>
  <si>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</si>
  <si>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</si>
  <si>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</si>
  <si>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</si>
  <si>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</si>
  <si>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</si>
  <si>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</si>
  <si>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</si>
  <si>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</si>
  <si>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</si>
  <si>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</si>
  <si>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</si>
  <si>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</si>
  <si>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</si>
  <si>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</si>
  <si>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</si>
  <si>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</si>
  <si>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</si>
  <si>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</si>
  <si>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</si>
  <si>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</si>
  <si>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</si>
  <si>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</si>
  <si>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</si>
  <si>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</si>
  <si>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</si>
  <si>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</si>
  <si>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</si>
  <si>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</si>
  <si>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</si>
  <si>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</si>
  <si>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</si>
  <si>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</si>
  <si>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</si>
  <si>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</si>
  <si>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</si>
  <si>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</si>
  <si>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</si>
  <si>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</si>
  <si>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</si>
  <si>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</si>
  <si>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</si>
  <si>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</si>
  <si>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</si>
  <si>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</si>
  <si>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</si>
  <si>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</si>
  <si>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</si>
  <si>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</si>
  <si>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</si>
  <si>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</si>
  <si>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</si>
  <si>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</si>
  <si>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</si>
  <si>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</si>
  <si>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</si>
  <si>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</si>
  <si>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</si>
  <si>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</si>
  <si>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</si>
  <si>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</si>
  <si>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</si>
  <si>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</si>
  <si>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</si>
  <si>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</si>
  <si>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</si>
  <si>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</si>
  <si>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</si>
  <si>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</si>
  <si>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</si>
  <si>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</si>
  <si>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</si>
  <si>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</si>
  <si>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</si>
  <si>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</si>
  <si>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</si>
  <si>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</si>
  <si>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</si>
  <si>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</si>
  <si>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</si>
  <si>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</si>
  <si>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</si>
  <si>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</si>
  <si>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</si>
  <si>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</si>
  <si>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</si>
  <si>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</si>
  <si>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</si>
  <si>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</si>
  <si>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</si>
  <si>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</si>
  <si>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</si>
  <si>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</si>
  <si>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</si>
  <si>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</si>
  <si>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</si>
  <si>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</si>
  <si>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</si>
  <si>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</si>
  <si>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</si>
  <si>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</si>
  <si>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</si>
  <si>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</si>
  <si>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</si>
  <si>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</si>
  <si>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</si>
  <si>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</si>
  <si>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</si>
  <si>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</si>
  <si>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</si>
  <si>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</si>
  <si>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</si>
  <si>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</si>
  <si>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</si>
  <si>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</si>
  <si>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</si>
  <si>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</si>
  <si>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</si>
  <si>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</si>
  <si>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</si>
  <si>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</si>
  <si>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</si>
  <si>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</si>
  <si>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</si>
  <si>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</si>
  <si>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</si>
  <si>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</si>
  <si>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</si>
  <si>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</si>
  <si>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</si>
  <si>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</si>
  <si>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</si>
  <si>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</si>
  <si>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</si>
  <si>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</si>
  <si>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</si>
  <si>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</si>
  <si>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</si>
  <si>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</si>
  <si>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</si>
  <si>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</si>
  <si>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</si>
  <si>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</si>
  <si>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</si>
  <si>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</si>
  <si>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</si>
  <si>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</si>
  <si>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</si>
  <si>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</si>
  <si>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</si>
  <si>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</si>
  <si>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</si>
  <si>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</si>
  <si>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</si>
  <si>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</si>
  <si>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</si>
  <si>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</si>
  <si>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</si>
  <si>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</si>
  <si>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</si>
  <si>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</si>
  <si>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</si>
  <si>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</si>
  <si>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</si>
  <si>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</si>
  <si>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</si>
  <si>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</si>
  <si>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</si>
  <si>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</si>
  <si>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</si>
  <si>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</si>
  <si>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</si>
  <si>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</si>
  <si>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</si>
  <si>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</si>
  <si>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</si>
  <si>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</si>
  <si>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</si>
  <si>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</si>
  <si>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</si>
  <si>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</si>
  <si>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</si>
  <si>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</si>
  <si>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</si>
  <si>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</si>
  <si>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</si>
  <si>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</si>
  <si>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</si>
  <si>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</si>
  <si>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</si>
  <si>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</si>
  <si>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</si>
  <si>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</si>
  <si>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</si>
  <si>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</si>
  <si>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</si>
  <si>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</si>
  <si>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</si>
  <si>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</si>
  <si>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</si>
  <si>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</si>
  <si>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</si>
  <si>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</si>
  <si>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</si>
  <si>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</si>
  <si>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</si>
  <si>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</si>
  <si>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</si>
  <si>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</si>
  <si>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</si>
  <si>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</si>
  <si>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</si>
  <si>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</si>
  <si>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</si>
  <si>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</si>
  <si>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</si>
  <si>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</si>
  <si>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</si>
  <si>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</si>
  <si>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</si>
  <si>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</si>
  <si>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</si>
  <si>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</si>
  <si>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</si>
  <si>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</si>
  <si>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</si>
  <si>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</si>
  <si>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</si>
  <si>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</si>
  <si>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</si>
  <si>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</si>
  <si>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</si>
  <si>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</si>
  <si>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</si>
  <si>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</si>
  <si>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</si>
  <si>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</si>
  <si>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</si>
  <si>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</si>
  <si>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</si>
  <si>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</si>
  <si>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</si>
  <si>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</si>
  <si>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</si>
  <si>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</si>
  <si>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</si>
  <si>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</si>
  <si>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</si>
  <si>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</si>
  <si>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</si>
  <si>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</si>
  <si>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</si>
  <si>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</si>
  <si>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</si>
  <si>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</si>
  <si>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</si>
  <si>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</si>
  <si>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</si>
  <si>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</si>
  <si>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</si>
  <si>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</si>
  <si>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</si>
  <si>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</si>
  <si>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</si>
  <si>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</si>
  <si>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</si>
  <si>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</si>
  <si>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</si>
  <si>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</si>
  <si>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</si>
  <si>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</si>
  <si>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</si>
  <si>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</si>
  <si>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</si>
  <si>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</si>
  <si>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</si>
  <si>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</si>
  <si>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</si>
  <si>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</si>
  <si>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</si>
  <si>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</si>
  <si>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</si>
  <si>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</si>
  <si>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</si>
  <si>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</si>
  <si>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</si>
  <si>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</si>
  <si>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</si>
  <si>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</si>
  <si>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</si>
  <si>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</si>
  <si>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</si>
  <si>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</si>
  <si>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</si>
  <si>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</si>
  <si>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</si>
  <si>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</si>
  <si>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</si>
  <si>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</si>
  <si>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</si>
  <si>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</si>
  <si>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</si>
  <si>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</si>
  <si>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</si>
  <si>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</si>
  <si>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</si>
  <si>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</si>
  <si>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</si>
  <si>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</si>
  <si>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</si>
  <si>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</si>
  <si>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</si>
  <si>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</si>
  <si>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</si>
  <si>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</si>
  <si>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</si>
  <si>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</si>
  <si>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</si>
  <si>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</si>
  <si>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</si>
  <si>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</si>
  <si>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</si>
  <si>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</si>
  <si>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</si>
  <si>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</si>
  <si>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</si>
  <si>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</si>
  <si>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</si>
  <si>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</si>
  <si>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</si>
  <si>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</si>
  <si>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</si>
  <si>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</si>
  <si>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</si>
  <si>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</si>
  <si>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</si>
  <si>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</si>
  <si>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</si>
  <si>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</si>
  <si>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</si>
  <si>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</si>
  <si>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</si>
  <si>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</si>
  <si>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</si>
  <si>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</si>
  <si>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</si>
  <si>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</si>
  <si>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</si>
  <si>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</si>
  <si>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</si>
  <si>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</si>
  <si>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</si>
  <si>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</si>
  <si>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</si>
  <si>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</si>
  <si>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</si>
  <si>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</si>
  <si>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</si>
  <si>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</si>
  <si>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</si>
  <si>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</si>
  <si>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</si>
  <si>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</si>
  <si>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</si>
  <si>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</si>
  <si>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</si>
  <si>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</si>
  <si>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</si>
  <si>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</si>
  <si>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</si>
  <si>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</si>
  <si>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</si>
  <si>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</si>
  <si>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</si>
  <si>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</si>
  <si>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</si>
  <si>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</si>
  <si>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</si>
  <si>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</si>
  <si>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</si>
  <si>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</si>
  <si>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</si>
  <si>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</si>
  <si>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</si>
  <si>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</si>
  <si>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</si>
  <si>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</si>
  <si>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</si>
  <si>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</si>
  <si>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</si>
  <si>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</si>
  <si>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</si>
  <si>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</si>
  <si>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</si>
  <si>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</si>
  <si>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</si>
  <si>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</si>
  <si>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</si>
  <si>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</si>
  <si>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</si>
  <si>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</si>
  <si>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</si>
  <si>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</si>
  <si>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</si>
  <si>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</si>
  <si>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</si>
  <si>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</si>
  <si>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</si>
  <si>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</si>
  <si>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</si>
  <si>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</si>
  <si>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</si>
  <si>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</si>
  <si>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</si>
  <si>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</si>
  <si>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</si>
  <si>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</si>
  <si>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</si>
  <si>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</si>
  <si>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</si>
  <si>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</si>
  <si>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</si>
  <si>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</si>
  <si>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</si>
  <si>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</si>
  <si>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</si>
  <si>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</si>
  <si>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</si>
  <si>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</si>
  <si>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</si>
  <si>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</si>
  <si>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</si>
  <si>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</si>
  <si>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</si>
  <si>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</si>
  <si>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</si>
  <si>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</si>
  <si>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</si>
  <si>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</si>
  <si>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</si>
  <si>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</si>
  <si>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</si>
  <si>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</si>
  <si>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</si>
  <si>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</si>
  <si>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</si>
  <si>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</si>
  <si>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</si>
  <si>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</si>
  <si>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</si>
  <si>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</si>
  <si>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</si>
  <si>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</si>
  <si>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</si>
  <si>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</si>
  <si>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</si>
  <si>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</si>
  <si>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</si>
  <si>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</si>
  <si>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</si>
  <si>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</si>
  <si>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</si>
  <si>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</si>
  <si>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</si>
  <si>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</si>
  <si>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</si>
  <si>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</si>
  <si>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</si>
  <si>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</si>
  <si>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</si>
  <si>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</si>
  <si>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</si>
  <si>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</si>
  <si>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</si>
  <si>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</si>
  <si>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</si>
  <si>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</si>
  <si>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</si>
  <si>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</si>
  <si>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</si>
  <si>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</si>
  <si>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Александровский р-н, Карабаново г, Садовая ул, 6</t>
  </si>
  <si>
    <t>Александровский р-н, Струнино г, Дубки кв-л, 6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</si>
  <si>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</si>
  <si>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</si>
  <si>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</si>
  <si>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</si>
  <si>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</si>
  <si>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</si>
  <si>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</si>
  <si>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</si>
  <si>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</si>
  <si>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</si>
  <si>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</si>
  <si>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</si>
  <si>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</si>
  <si>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</si>
  <si>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</si>
  <si>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</si>
  <si>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</si>
  <si>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</si>
  <si>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</si>
  <si>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</si>
  <si>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</si>
  <si>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</si>
  <si>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</si>
  <si>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</si>
  <si>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</si>
  <si>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</si>
  <si>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</si>
  <si>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</si>
  <si>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</si>
  <si>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</si>
  <si>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</si>
  <si>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</si>
  <si>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</si>
  <si>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</si>
  <si>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</si>
  <si>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</si>
  <si>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</si>
  <si>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</si>
  <si>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</si>
  <si>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</si>
  <si>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</si>
  <si>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</si>
  <si>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</si>
  <si>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</si>
  <si>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</si>
  <si>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</si>
  <si>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</si>
  <si>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</si>
  <si>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</si>
  <si>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</si>
  <si>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</si>
  <si>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</si>
  <si>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</si>
  <si>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</si>
  <si>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</si>
  <si>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</si>
  <si>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</si>
  <si>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</si>
  <si>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</si>
  <si>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</si>
  <si>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</si>
  <si>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</si>
  <si>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</si>
  <si>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</si>
  <si>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</si>
  <si>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</si>
  <si>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</si>
  <si>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</si>
  <si>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</si>
  <si>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</si>
  <si>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</si>
  <si>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</si>
  <si>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</si>
  <si>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</si>
  <si>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</si>
  <si>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</si>
  <si>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</si>
  <si>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</si>
  <si>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</si>
  <si>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</si>
  <si>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</si>
  <si>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</si>
  <si>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</si>
  <si>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</si>
  <si>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</si>
  <si>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</si>
  <si>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</si>
  <si>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</si>
  <si>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</si>
  <si>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</si>
  <si>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</si>
  <si>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</si>
  <si>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</si>
  <si>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</si>
  <si>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</si>
  <si>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</si>
  <si>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</si>
  <si>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</si>
  <si>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</si>
  <si>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</si>
  <si>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</si>
  <si>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</si>
  <si>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</si>
  <si>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</si>
  <si>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</si>
  <si>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</si>
  <si>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</si>
  <si>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</si>
  <si>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</si>
  <si>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</si>
  <si>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</si>
  <si>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</si>
  <si>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</si>
  <si>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</si>
  <si>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</si>
  <si>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</si>
  <si>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</si>
  <si>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</si>
  <si>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</si>
  <si>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</si>
  <si>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</si>
  <si>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</si>
  <si>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</si>
  <si>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</si>
  <si>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</si>
  <si>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</si>
  <si>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</si>
  <si>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</si>
  <si>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</si>
  <si>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</si>
  <si>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</si>
  <si>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</si>
  <si>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</si>
  <si>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</si>
  <si>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</si>
  <si>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</si>
  <si>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</si>
  <si>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</si>
  <si>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</si>
  <si>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</si>
  <si>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</si>
  <si>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</si>
  <si>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</si>
  <si>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</si>
  <si>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</si>
  <si>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</si>
  <si>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</si>
  <si>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</si>
  <si>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</si>
  <si>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</si>
  <si>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</si>
  <si>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</si>
  <si>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</si>
  <si>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</si>
  <si>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</si>
  <si>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</si>
  <si>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</si>
  <si>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</si>
  <si>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</si>
  <si>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</si>
  <si>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</si>
  <si>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</si>
  <si>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</si>
  <si>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</si>
  <si>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</si>
  <si>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</si>
  <si>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</si>
  <si>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</si>
  <si>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</si>
  <si>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</si>
  <si>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</si>
  <si>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</si>
  <si>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</si>
  <si>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</si>
  <si>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</si>
  <si>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</si>
  <si>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</si>
  <si>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</si>
  <si>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</si>
  <si>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</si>
  <si>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</si>
  <si>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</si>
  <si>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</si>
  <si>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</si>
  <si>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</si>
  <si>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</si>
  <si>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</si>
  <si>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</si>
  <si>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</si>
  <si>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</si>
  <si>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</si>
  <si>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</si>
  <si>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</si>
  <si>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</si>
  <si>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</si>
  <si>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</si>
  <si>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</si>
  <si>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</si>
  <si>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</si>
  <si>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</si>
  <si>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Итого по округ Муром</t>
  </si>
  <si>
    <t>Итого по ЗАТО город Радужный</t>
  </si>
  <si>
    <t>Итого по Второвское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</si>
  <si>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</si>
  <si>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</si>
  <si>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</si>
  <si>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</si>
  <si>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</si>
  <si>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</si>
  <si>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</si>
  <si>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</si>
  <si>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</si>
  <si>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</si>
  <si>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</si>
  <si>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</si>
  <si>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</si>
  <si>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</si>
  <si>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</si>
  <si>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</si>
  <si>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</si>
  <si>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</si>
  <si>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</si>
  <si>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</si>
  <si>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</si>
  <si>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</si>
  <si>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</si>
  <si>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</si>
  <si>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</si>
  <si>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</si>
  <si>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</si>
  <si>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</si>
  <si>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Ленина пр-кт, 7</t>
  </si>
  <si>
    <t>Ковров г, Дегтярева ул, 4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</si>
  <si>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</si>
  <si>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</si>
  <si>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</si>
  <si>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</si>
  <si>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</si>
  <si>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</si>
  <si>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</si>
  <si>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</si>
  <si>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</si>
  <si>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</si>
  <si>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</si>
  <si>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</si>
  <si>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</si>
  <si>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</si>
  <si>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</si>
  <si>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</si>
  <si>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</si>
  <si>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</si>
  <si>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</si>
  <si>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</si>
  <si>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</si>
  <si>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</si>
  <si>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</si>
  <si>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</si>
  <si>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</si>
  <si>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</si>
  <si>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</si>
  <si>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</si>
  <si>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</si>
  <si>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</si>
  <si>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</si>
  <si>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</si>
  <si>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</si>
  <si>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</si>
  <si>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</si>
  <si>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</si>
  <si>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</si>
  <si>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</si>
  <si>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</si>
  <si>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</si>
  <si>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</si>
  <si>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</si>
  <si>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</si>
  <si>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</si>
  <si>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</si>
  <si>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</si>
  <si>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</si>
  <si>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</si>
  <si>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</si>
  <si>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</si>
  <si>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</si>
  <si>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</si>
  <si>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</si>
  <si>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</si>
  <si>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</si>
  <si>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</si>
  <si>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</si>
  <si>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</si>
  <si>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</si>
  <si>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</si>
  <si>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</si>
  <si>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</si>
  <si>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</si>
  <si>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</si>
  <si>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</si>
  <si>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"Согласие" 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</si>
  <si>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</si>
  <si>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</si>
  <si>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</si>
  <si>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</si>
  <si>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</si>
  <si>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</si>
  <si>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</si>
  <si>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</si>
  <si>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</si>
  <si>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</si>
  <si>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</si>
  <si>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</si>
  <si>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</si>
  <si>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</si>
  <si>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</si>
  <si>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</si>
  <si>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</si>
  <si>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</si>
  <si>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</si>
  <si>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</si>
  <si>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</si>
  <si>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</si>
  <si>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</si>
  <si>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</si>
  <si>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</si>
  <si>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</si>
  <si>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</si>
  <si>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</si>
  <si>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</si>
  <si>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</si>
  <si>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</si>
  <si>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</si>
  <si>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</si>
  <si>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</si>
  <si>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</si>
  <si>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</si>
  <si>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</si>
  <si>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</si>
  <si>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</si>
  <si>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</si>
  <si>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</si>
  <si>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</si>
  <si>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</si>
  <si>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</si>
  <si>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</si>
  <si>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</si>
  <si>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</si>
  <si>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</si>
  <si>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</si>
  <si>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</si>
  <si>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</si>
  <si>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</si>
  <si>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</si>
  <si>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</si>
  <si>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</si>
  <si>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</si>
  <si>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</si>
  <si>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</si>
  <si>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</si>
  <si>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</si>
  <si>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</si>
  <si>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</si>
  <si>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</si>
  <si>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</si>
  <si>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</si>
  <si>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</si>
  <si>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</si>
  <si>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</si>
  <si>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</si>
  <si>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</si>
  <si>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</si>
  <si>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</si>
  <si>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</si>
  <si>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</si>
  <si>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</si>
  <si>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</si>
  <si>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</si>
  <si>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</si>
  <si>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</si>
  <si>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</si>
  <si>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</si>
  <si>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</si>
  <si>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</si>
  <si>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</si>
  <si>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</si>
  <si>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</si>
  <si>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</si>
  <si>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>Гороховец г, Ленина ул, 6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</si>
  <si>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</si>
  <si>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</si>
  <si>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</si>
  <si>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</si>
  <si>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</si>
  <si>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</si>
  <si>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</si>
  <si>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</si>
  <si>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</si>
  <si>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</si>
  <si>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</si>
  <si>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</si>
  <si>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</si>
  <si>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</si>
  <si>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</si>
  <si>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</si>
  <si>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</si>
  <si>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</si>
  <si>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</si>
  <si>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</si>
  <si>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</si>
  <si>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Ленина пр-кт, 64</t>
  </si>
  <si>
    <t>Владимир г, Ставровская ул, 2Б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</si>
  <si>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</si>
  <si>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</si>
  <si>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</si>
  <si>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</si>
  <si>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</si>
  <si>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</si>
  <si>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</si>
  <si>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</si>
  <si>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</si>
  <si>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</si>
  <si>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</si>
  <si>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</si>
  <si>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</si>
  <si>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</si>
  <si>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</si>
  <si>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</si>
  <si>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</si>
  <si>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</si>
  <si>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</si>
  <si>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</si>
  <si>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п Красный Октябрь ул Мира д.15</t>
  </si>
  <si>
    <t>п Красный Октябрь ул Комсомольская д.1</t>
  </si>
  <si>
    <t>п Малыгино ул Юбилейная д.51</t>
  </si>
  <si>
    <t>п Мелехово ул Первомайская д.53</t>
  </si>
  <si>
    <t>г Гусь-Хрустальный ул Дружбы Народов д.8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</si>
  <si>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</si>
  <si>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</si>
  <si>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</si>
  <si>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</si>
  <si>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Итого по Владимирской области на 2020 год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</si>
  <si>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</si>
  <si>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</si>
  <si>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Ковров г, Федорова ул, 93</t>
  </si>
  <si>
    <t>Муром г, Цветочный б-р, 3</t>
  </si>
  <si>
    <t>Муром г, Советская ул, 66</t>
  </si>
  <si>
    <t>Ковров г, Брюсова ул, 52/1</t>
  </si>
  <si>
    <t>ООО"УК"ЖКО РОСКО"</t>
  </si>
  <si>
    <t>Кольчугино г, Мира ул, 15</t>
  </si>
  <si>
    <t>Кольчугино г, Луговая ул, 7</t>
  </si>
  <si>
    <t>Собинский р-н, Заречное с, Парковая ул, 5</t>
  </si>
  <si>
    <t>Собинский р-н, Заречное с, Парковая ул, 2</t>
  </si>
  <si>
    <t>Собинский р-н, Заречное с, Парковая ул, 3</t>
  </si>
  <si>
    <t>Собинский р-н, Заречное с, Парковая ул, 4</t>
  </si>
  <si>
    <t>Петушинский р-н, Костерево г, 40 лет Октября ул, 2</t>
  </si>
  <si>
    <t>Владимир г, Михайловская ул, 53</t>
  </si>
  <si>
    <t>Владимир г, Фатьянова ул, 28</t>
  </si>
  <si>
    <t>Александров г, Стрелецкая Набережная ул, 9</t>
  </si>
  <si>
    <t>ТСЖ "Стрелецкий"</t>
  </si>
  <si>
    <t>ООО"УК ЛЮКС"</t>
  </si>
  <si>
    <t>ООО "ЖЭУ"</t>
  </si>
  <si>
    <t>ООО "ЖРЭП № 8"</t>
  </si>
  <si>
    <t>Гусь-Хрустальный р-н, Иванищи п, Южная ул, 1а</t>
  </si>
  <si>
    <t>Гусь-Хрустальный р-н, Иванищи п, Южная ул, 6</t>
  </si>
  <si>
    <t>Ковровский р-н, Гигант п, Первомайская ул, 15</t>
  </si>
  <si>
    <t>Гусь-Хрустальный г, Транспортная ул, 4а</t>
  </si>
  <si>
    <t>Владимир г, Перекопский военный городок, 8</t>
  </si>
  <si>
    <t>Муром г, Ленинградская ул, 29 корп. 2</t>
  </si>
  <si>
    <t>Владимир г, Безыменского ул, 12</t>
  </si>
  <si>
    <t>Владимир г, Усти-на-Лабе ул, 14</t>
  </si>
  <si>
    <t>Меленковский р-н, Денятино с, Механизаторов ул, 1</t>
  </si>
  <si>
    <t>Итого по Денятинское</t>
  </si>
  <si>
    <t>ТСЖ "Денятино"</t>
  </si>
  <si>
    <t>Денятинское</t>
  </si>
  <si>
    <t>Срок проведения капитального ремонта в           МКД</t>
  </si>
  <si>
    <t>замена плоской кровли на           стропильную</t>
  </si>
  <si>
    <t>капитальный ремонт внутридомовых инженерных систем вентиляции и дымоудаления при капитальном            ремонте крыш</t>
  </si>
  <si>
    <t>ремонт внутридомовых инженерных               систем теплоснабжения с заменой отопительных приборов (радиаторов) в               местах общего пользования и                    отопительных приборов (радиаторов), расположенных в жилых помещениях,         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</si>
  <si>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           канализации</t>
  </si>
  <si>
    <t>ремонт выпусков системы              водоотведения до первого                          смотрового колодца при капитальном               ремонте внутридомовых инженерных                      систем водоотведения</t>
  </si>
  <si>
    <t>установка узлов управления и                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</si>
  <si>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          капитального ремонта внутридомовых инженерных систем теплоснабжения</t>
  </si>
  <si>
    <t>авторский надзор при выполнении работ             по  МКД, имеющих статус объекта культурного наследия (памятника истории             и культуры) народов РФ</t>
  </si>
  <si>
    <t>Итого по Владимирской области за период 2020-2022 годы:</t>
  </si>
  <si>
    <t>Итого по Владимирской области в 2020 году:</t>
  </si>
  <si>
    <t>Киржачский р-н, Горка п, Шелковиков ул, 6</t>
  </si>
  <si>
    <t>Итого по Горкинское</t>
  </si>
  <si>
    <t>Информация о ранее проведенных отдельных работах по капитальному ремонту общего имущества многоквартирных домов на территории Владимирской области в период 2020- 2022 годов</t>
  </si>
  <si>
    <t>Владимир г, Стасова ул, 31</t>
  </si>
  <si>
    <t>Срок проведения капитального ремонта в МКД</t>
  </si>
  <si>
    <t>Кольчугино г, Лермонтова ул, 5</t>
  </si>
  <si>
    <t>Владимир г, Тракторная ул, 4</t>
  </si>
  <si>
    <t>Владимир г, Балакирева ул, 27</t>
  </si>
  <si>
    <t>Владимир г, Безыменского ул, 11</t>
  </si>
  <si>
    <t>Владимир г, Белоконской ул, 15Б</t>
  </si>
  <si>
    <t>Владимир г, Благонравова ул, 5</t>
  </si>
  <si>
    <t>Владимир г, Большая Нижегородская ул, 27а</t>
  </si>
  <si>
    <t>Владимир г, Варваринский проезд, 3</t>
  </si>
  <si>
    <t>Владимир г, Верхняя Дуброва ул, 3</t>
  </si>
  <si>
    <t>Владимир г, Верхняя Дуброва ул, 26А</t>
  </si>
  <si>
    <t>Владимир г, Верхняя Дуброва ул, 26Г</t>
  </si>
  <si>
    <t>Владимир г, Горького ул, 125</t>
  </si>
  <si>
    <t>Владимир г, Горького ул, 129</t>
  </si>
  <si>
    <t>Владимир г, Красноармейская ул, 46</t>
  </si>
  <si>
    <t>Владимир г, Куйбышева ул, 66а</t>
  </si>
  <si>
    <t>Владимир г, Ленина пр-кт, 13Б</t>
  </si>
  <si>
    <t>Владимир г, Ленина пр-кт, 32</t>
  </si>
  <si>
    <t>Владимир г, Ленина пр-кт, 34</t>
  </si>
  <si>
    <t>Владимир г, Мира ул, 15</t>
  </si>
  <si>
    <t>Владимир г, Мира ул, 4Б</t>
  </si>
  <si>
    <t>Владимир г, Народная ул, 8</t>
  </si>
  <si>
    <t>Владимир г, Нижняя Дуброва ул, 21А</t>
  </si>
  <si>
    <t>Владимир г, Нижняя Дуброва ул, 34</t>
  </si>
  <si>
    <t>Владимир г, Нижняя Дуброва ул, 42</t>
  </si>
  <si>
    <t>Владимир г, Никитина ул, 4А</t>
  </si>
  <si>
    <t>Владимир г, Октябрьский пр-кт, 25</t>
  </si>
  <si>
    <t>Владимир г, Октябрьский пр-кт, 36</t>
  </si>
  <si>
    <t>Владимир г, Сакко и Ванцетти ул, 23Б</t>
  </si>
  <si>
    <t>Владимир г, Северная ул, 26</t>
  </si>
  <si>
    <t>Владимир г, Соколова-Соколенка ул, 16</t>
  </si>
  <si>
    <t>Владимир г, Соколова-Соколенка ул, 3Б</t>
  </si>
  <si>
    <t>Владимир г, Соколова-Соколенка ул, 29</t>
  </si>
  <si>
    <t>Владимир г, Соколова-Соколенка ул, 30</t>
  </si>
  <si>
    <t>Владимир г, Стрелецкая ул, 36А</t>
  </si>
  <si>
    <t>Владимир г, Суздальский пр-кт, 13А</t>
  </si>
  <si>
    <t>Владимир г, Тихонравова ул, 9</t>
  </si>
  <si>
    <t>Владимир г, Тихонравова ул, 11</t>
  </si>
  <si>
    <t>Владимир г, Юбилейная ул, 20</t>
  </si>
  <si>
    <t>Владимир г, Хирурга Орлова ул, 2б</t>
  </si>
  <si>
    <t>Владимир г, Чайковского ул, 25А</t>
  </si>
  <si>
    <t>Владимир г, Красноармейская ул, 43Г</t>
  </si>
  <si>
    <t>Владимир г, Безыменского ул, 4</t>
  </si>
  <si>
    <t>Владимир г, Верхняя Дуброва ул, 18Б</t>
  </si>
  <si>
    <t>Владимир г, Верхняя Дуброва ул, 38Б</t>
  </si>
  <si>
    <t>Владимир г, Диктора Левитана ул, 5</t>
  </si>
  <si>
    <t>Владимир г, Добросельская ул, 199а</t>
  </si>
  <si>
    <t>Владимир г, Добросельская ул, 207</t>
  </si>
  <si>
    <t>Владимир г, Комиссарова ул, 13</t>
  </si>
  <si>
    <t>Владимир г, Комиссарова ул, 23</t>
  </si>
  <si>
    <t>Владимир г, Лакина проезд, 8</t>
  </si>
  <si>
    <t>Владимир г, Лесной мкр, Лесная ул, 6</t>
  </si>
  <si>
    <t>Владимир г, Нижняя Дуброва ул, 32А</t>
  </si>
  <si>
    <t>Владимир г, Нижняя Дуброва ул, 46</t>
  </si>
  <si>
    <t>Владимир г, Нижняя Дуброва ул, 46Б</t>
  </si>
  <si>
    <t>Владимир г, Октябрьский пр-кт, 27</t>
  </si>
  <si>
    <t>Владимир г, Оргтруд мкр, Молодежная ул, 15</t>
  </si>
  <si>
    <t>Владимир г, Оргтруд мкр, Молодежная ул, 18</t>
  </si>
  <si>
    <t>Владимир г, Оргтруд мкр, Молодежная ул, 19</t>
  </si>
  <si>
    <t>Владимир г, Оргтруд мкр, Октябрьская ул, 27</t>
  </si>
  <si>
    <t>Владимир г, Оргтруд мкр, Строителей ул, 1</t>
  </si>
  <si>
    <t>Владимир г, Оргтруд мкр, Строителей ул, 4</t>
  </si>
  <si>
    <t>Владимир г, Полины Осипенко ул, 17</t>
  </si>
  <si>
    <t>Владимир г, Растопчина ул, 33а</t>
  </si>
  <si>
    <t>Владимир г, Растопчина ул, 55</t>
  </si>
  <si>
    <t>Владимир г, Соколова-Соколенка ул, 9</t>
  </si>
  <si>
    <t>Владимир г, Солнечная ул, 41А</t>
  </si>
  <si>
    <t>Владимир г, Суздальский пр-кт, 21</t>
  </si>
  <si>
    <t>Владимир г, Тихонравова ул, 4</t>
  </si>
  <si>
    <t>Владимир г, Тракторная ул, 5</t>
  </si>
  <si>
    <t>Владимир г, Энергетик мкр, Энергетиков ул, 6</t>
  </si>
  <si>
    <t>Владимир г, Энергетик мкр, Энергетиков ул, 9</t>
  </si>
  <si>
    <t>Владимир г, Юбилейная ул, 76А</t>
  </si>
  <si>
    <t>Владимир г, Юрьевец мкр, Михалькова ул, 2</t>
  </si>
  <si>
    <t>Владимир г, Юрьевец мкр, Михалькова ул, 5</t>
  </si>
  <si>
    <t>Александров г, Ленина ул, 2</t>
  </si>
  <si>
    <t>Гусь-Хрустальный г, 50 лет Советской Власти пр-кт, 35</t>
  </si>
  <si>
    <t>Гусь-Хрустальный г, Карла Либкнехта ул, 5а</t>
  </si>
  <si>
    <t>Гусь-Хрустальный г, Октябрьская ул, 68</t>
  </si>
  <si>
    <t>Гусь-Хрустальный г, Транспортная ул, 16а</t>
  </si>
  <si>
    <t>Ковров г, 5 Декабря ул, 22</t>
  </si>
  <si>
    <t>Ковров г, Грибоедова ул, 7</t>
  </si>
  <si>
    <t>Ковров г, Грибоедова ул, 9</t>
  </si>
  <si>
    <t>Ковров г, Зои Космодемьянской ул, 11</t>
  </si>
  <si>
    <t>Ковров г, Киркижа ул, 20</t>
  </si>
  <si>
    <t>Ковров г, Комсомольская ул, 24</t>
  </si>
  <si>
    <t>Ковров г, Куйбышева ул, 6</t>
  </si>
  <si>
    <t>Ковров г, Ленина пр-кт, 49/1</t>
  </si>
  <si>
    <t>Ковров г, Ленина пр-кт, 5</t>
  </si>
  <si>
    <t>Ковров г, Лесная ул, 4</t>
  </si>
  <si>
    <t>Ковров г, Малеева ул, 1/1</t>
  </si>
  <si>
    <t>Ковров г, Матвеева ул, 5</t>
  </si>
  <si>
    <t>Ковров г, Машиностроителей ул, 3</t>
  </si>
  <si>
    <t>Ковров г, Маяковского ул, 4</t>
  </si>
  <si>
    <t>Ковров г, Мира пр-кт, 6</t>
  </si>
  <si>
    <t>Ковров г, Партизанская ул, 1</t>
  </si>
  <si>
    <t>Ковров г, Садовая ул, 23</t>
  </si>
  <si>
    <t>Ковров г, Сергея Лазо ул, 4</t>
  </si>
  <si>
    <t>Ковров г, Строителей ул, 12/1</t>
  </si>
  <si>
    <t>Ковров г, Строителей ул, 33</t>
  </si>
  <si>
    <t>Ковров г, Тимофея Павловского ул, 10</t>
  </si>
  <si>
    <t>Ковров г, Волго-Донская ул, 11В</t>
  </si>
  <si>
    <t>Итого по Григорьевское</t>
  </si>
  <si>
    <t>Гусь-Хрустальный р-н, Вековка ст, 1</t>
  </si>
  <si>
    <t>Гусь-Хрустальный р-н, Вековка ст, 3</t>
  </si>
  <si>
    <t>Гусь-Хрустальный р-н, Вековка ст, 4</t>
  </si>
  <si>
    <t>Гусь-Хрустальный р-н, Вековка ст, 5</t>
  </si>
  <si>
    <t>Камешковский р-н, им Максима Горького п, Шоссейная ул, 6</t>
  </si>
  <si>
    <t>Кольчугино г, 3 Интернационала ул, 57</t>
  </si>
  <si>
    <t>Кольчугино г, 50 лет Октября ул, 26</t>
  </si>
  <si>
    <t>Кольчугино г, 50 лет Октября ул, 5А</t>
  </si>
  <si>
    <t>Кольчугино г, Дружбы ул, 20а</t>
  </si>
  <si>
    <t>Кольчугино г, Максимова ул, 21</t>
  </si>
  <si>
    <t>Кольчугино г, Мира ул, 3</t>
  </si>
  <si>
    <t>Кольчугино г, Веденеева ул, 12</t>
  </si>
  <si>
    <t>Кольчугино г, Добровольского ул, 15</t>
  </si>
  <si>
    <t>Кольчугино г, Добровольского ул, 17</t>
  </si>
  <si>
    <t>Кольчугино г, Добровольского ул, 19</t>
  </si>
  <si>
    <t>Кольчугино г, Добровольского ул, 27</t>
  </si>
  <si>
    <t>Кольчугино г, Коллективная ул, 41</t>
  </si>
  <si>
    <t>Кольчугино г, Московская ул, 62</t>
  </si>
  <si>
    <t>Муром г, 30 лет Победы ул, 8</t>
  </si>
  <si>
    <t>Муром г, Автодора ул, 37</t>
  </si>
  <si>
    <t>Муром г, Воровского ул, 88</t>
  </si>
  <si>
    <t>Муром г, Ковровская ул, 12</t>
  </si>
  <si>
    <t>Муром г, Кооперативная ул, 6</t>
  </si>
  <si>
    <t>Муром г, Куйбышева ул, 36</t>
  </si>
  <si>
    <t>Муром г, Куйбышева ул, 38</t>
  </si>
  <si>
    <t>Муром г, Лаврентьева ул, 39</t>
  </si>
  <si>
    <t>Муром г, Ленинградская ул, 24</t>
  </si>
  <si>
    <t>Муром г, Муромская ул, 25</t>
  </si>
  <si>
    <t>Муром г, Нижегородская ул, 29</t>
  </si>
  <si>
    <t>Муром г, Свердлова ул, 33</t>
  </si>
  <si>
    <t>Муром г, Филатова ул, 5</t>
  </si>
  <si>
    <t>Муром г, Владимирская ул, 9</t>
  </si>
  <si>
    <t>Муром г, Комсомольская ул, 49</t>
  </si>
  <si>
    <t>Муром г, Красногвардейская ул, 40</t>
  </si>
  <si>
    <t>Муром г, Мечникова ул, 36</t>
  </si>
  <si>
    <t>Собинка г, Некрасова ул, 2А</t>
  </si>
  <si>
    <t>Собинка г, Некрасова ул, 2Б</t>
  </si>
  <si>
    <t>Собинка г, Некрасова ул, 2В</t>
  </si>
  <si>
    <t>Собинский р-н, Лакинск г, Мира ул, 89</t>
  </si>
  <si>
    <t>Суздальский р-н, Павловское с, Школьная ул, 19</t>
  </si>
  <si>
    <t>Суздальский р-н, Павловское с, Школьная ул, 20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</si>
  <si>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2020-2022 годы в рамках реализации региональной программы капитального ремонта</t>
  </si>
  <si>
    <t>Муром г, Кленовая ул, 5</t>
  </si>
  <si>
    <t>Владимир г, Гастелло ул, 1</t>
  </si>
  <si>
    <t>Кольчугино г, Ломако ул, 12</t>
  </si>
  <si>
    <t>ТСЖ "Весна"</t>
  </si>
  <si>
    <t>Ковровский р-н, Старая д, Совхозная ул, 27</t>
  </si>
  <si>
    <t>Кольчугино г, Ломако ул, 16</t>
  </si>
  <si>
    <t>Кольчугино г, Ульяновская ул, 45</t>
  </si>
  <si>
    <t>ООО "Управляющая компания в ЖКХ города Кольчугино"</t>
  </si>
  <si>
    <t>ОАО "ПЭО "Сфера"</t>
  </si>
  <si>
    <t>2014</t>
  </si>
  <si>
    <t>2015</t>
  </si>
  <si>
    <t>Вязниковский р-н, Никологоры п, 40 лет Октября ул, 2</t>
  </si>
  <si>
    <t>2017</t>
  </si>
  <si>
    <t>Владимир г, Лакина ул, 133</t>
  </si>
  <si>
    <t>Вязники г, Дечинский мкр, 16</t>
  </si>
  <si>
    <t>Ковров г, Лизы Чайкиной ул, 36</t>
  </si>
  <si>
    <t>Ковров г, Пугачева ул, 30</t>
  </si>
  <si>
    <t>Ковров г, Моховая ул, 3</t>
  </si>
  <si>
    <t>Муром г, Ленинградская ул, 34 корп. 5</t>
  </si>
  <si>
    <t>Муром г, Первомайская ул, 13</t>
  </si>
  <si>
    <t>Петушинский р-н, Пекша д, Октябрьская ул, 2</t>
  </si>
  <si>
    <t>Гороховецкий р-н, Фоминки с, Чекунова ул, 4</t>
  </si>
  <si>
    <t>Собинка г, Мира ул, 1А</t>
  </si>
  <si>
    <t>ТСЖ "ЗОА,16"</t>
  </si>
  <si>
    <t>ООО "ЖЭЦ-Управление"</t>
  </si>
  <si>
    <t>ООО "УМД Континент"</t>
  </si>
  <si>
    <t>ООО"Управдом"</t>
  </si>
  <si>
    <t>ООО "СМК-Реконструкция"</t>
  </si>
  <si>
    <t>ООО УК "Спецстройгарант-1"</t>
  </si>
  <si>
    <t>Селивановский р-н, Красная Горбатка п, Свободы ул, 81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</si>
  <si>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</si>
  <si>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</si>
  <si>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Итого по Владимирской области в 2020 году</t>
  </si>
  <si>
    <t>Александровский р-н, Струнино г, Островского ул, 3</t>
  </si>
  <si>
    <t>ООО "УК "Содружество С"</t>
  </si>
  <si>
    <t>Киржачский р-н, Ефремово д, Восточная ул, 4</t>
  </si>
  <si>
    <t>Владимир г, Юбилейная ул, 56</t>
  </si>
  <si>
    <t>Александровский р-н, Балакирево пгт, 60 лет Октября ул, 10</t>
  </si>
  <si>
    <t>Владимир г, Доватора ул, 2</t>
  </si>
  <si>
    <t>Владимир г, Белоконской ул, 8</t>
  </si>
  <si>
    <t>Владимир г, Белоконской ул, 8А</t>
  </si>
  <si>
    <t>Владимир г, Судогодское ш, 31</t>
  </si>
  <si>
    <t>Гусь-Хрустальный г, Менделеева ул, 17а</t>
  </si>
  <si>
    <t>Ковров г, Брюсова ул, 52/2</t>
  </si>
  <si>
    <t>Ковров г, Генералова ул, 10</t>
  </si>
  <si>
    <t>Александров г, 2-я Стрелецкая ул, 17</t>
  </si>
  <si>
    <t>Александров г, 1-я Крестьянская ул, 12</t>
  </si>
  <si>
    <t>Александров г, Институтская ул, 18</t>
  </si>
  <si>
    <t>Александровский р-н, Струнино г, Заречная ул, 36</t>
  </si>
  <si>
    <t>Итого по Владимирской области по 2021 году:</t>
  </si>
  <si>
    <t>Гусь-Хрустальный г, Курловская ул, 25</t>
  </si>
  <si>
    <t>Всего по субъекту:</t>
  </si>
  <si>
    <t>Собинский р-н, Лакинск г, Карла Маркса ул, 21</t>
  </si>
  <si>
    <t>Радужный г, 1-й кв-л, 6</t>
  </si>
  <si>
    <t>Вязники г, Новая ул, 13</t>
  </si>
  <si>
    <t>Вязники г, Жуковского ул, 1</t>
  </si>
  <si>
    <t>Собинский р-н, Ставрово п, Южная ул, 2</t>
  </si>
  <si>
    <t>Александровский р-н, Карабаново г, Лермонтова пл, 14</t>
  </si>
  <si>
    <t>Александровский р-н, Карабаново г, Почтовая ул, 18</t>
  </si>
  <si>
    <t>Александровский р-н, Карабаново г, Лермонтова пл, 1</t>
  </si>
  <si>
    <t>Камешковский р-н, им Красина п, Садовая ул, 8</t>
  </si>
  <si>
    <t>Собинка г, Гагарина ул, 16</t>
  </si>
  <si>
    <t>Ковровский р-н, Красный Октябрь п, Мира ул, 15</t>
  </si>
  <si>
    <t>Собинский р-н, Ставрово п, Комсомольская ул, 3А</t>
  </si>
  <si>
    <t>Владимир г, Безыменского ул, 17а</t>
  </si>
  <si>
    <t>Владимир г, Безыменского ул, 1а</t>
  </si>
  <si>
    <t>Владимир г, Диктора Левитана ул, 42</t>
  </si>
  <si>
    <t>Владимир г, Добросельская ул, 209</t>
  </si>
  <si>
    <t>Владимир г, Егорова ул, 16а</t>
  </si>
  <si>
    <t>Владимир г, Жуковского ул, 20а</t>
  </si>
  <si>
    <t>Владимир г, Казарменная ул, 5А</t>
  </si>
  <si>
    <t>Владимир г, Комиссарова ул, 21</t>
  </si>
  <si>
    <t>Владимир г, Комиссарова ул, 22</t>
  </si>
  <si>
    <t>Владимир г, Красноармейская ул, 45</t>
  </si>
  <si>
    <t>Владимир г, Лакина ул, 141В</t>
  </si>
  <si>
    <t>Владимир г, Лакина ул, 3</t>
  </si>
  <si>
    <t>Владимир г, Ленина пр-кт, 71а</t>
  </si>
  <si>
    <t>Владимир г, Лесной мкр, Лесная ул, 10</t>
  </si>
  <si>
    <t>Владимир г, Лесной мкр, Лесная ул, 12</t>
  </si>
  <si>
    <t>Владимир г, Лесной мкр, Лесная ул, 13</t>
  </si>
  <si>
    <t>Владимир г, Ново-Ямская ул, 29А</t>
  </si>
  <si>
    <t>Владимир г, Оргтруд мкр, Октябрьская ул, 18</t>
  </si>
  <si>
    <t>Владимир г, Оргтруд мкр, Строителей ул, 3</t>
  </si>
  <si>
    <t>Владимир г, Северная ул, 28</t>
  </si>
  <si>
    <t>Владимир г, Соколова-Соколенка ул, 23</t>
  </si>
  <si>
    <t>Владимир г, Строителей пр-кт, 15Б</t>
  </si>
  <si>
    <t>Владимир г, Строителей пр-кт, 34А</t>
  </si>
  <si>
    <t>Владимир г, Строителей пр-кт, 4</t>
  </si>
  <si>
    <t>Владимир г, Суздальский пр-кт, 16</t>
  </si>
  <si>
    <t>Владимир г, Суздальский пр-кт, 26</t>
  </si>
  <si>
    <t>Владимир г, Тракторная ул, 7А</t>
  </si>
  <si>
    <t>Владимир г, Чайковского ул, 48</t>
  </si>
  <si>
    <t>Владимир г, Энергетик мкр, Садовая ул, 13</t>
  </si>
  <si>
    <t>Владимир г, Энергетик мкр, Энергетиков ул, 3</t>
  </si>
  <si>
    <t>Владимир г, 2-я Кольцевая ул, 26а</t>
  </si>
  <si>
    <t>Владимир г, 3-я Кольцевая ул, 25а</t>
  </si>
  <si>
    <t>Владимир г, Безыменского ул, 9в</t>
  </si>
  <si>
    <t>Владимир г, Безыменского ул, 9д</t>
  </si>
  <si>
    <t>Владимир г, Безыменского ул, 13б</t>
  </si>
  <si>
    <t>Владимир г, Белоконской ул, 15</t>
  </si>
  <si>
    <t>Владимир г, Большой проезд, 15а</t>
  </si>
  <si>
    <t>Владимир г, Василисина ул, 8б</t>
  </si>
  <si>
    <t>Владимир г, Василисина ул, 22а</t>
  </si>
  <si>
    <t>Владимир г, Верхняя Дуброва ул, 18</t>
  </si>
  <si>
    <t>Владимир г, Горького ул, 85А</t>
  </si>
  <si>
    <t>Владимир г, Диктора Левитана ул, 5А</t>
  </si>
  <si>
    <t>Владимир г, Егорова ул, 1</t>
  </si>
  <si>
    <t>Владимир г, Егорова ул, 10б</t>
  </si>
  <si>
    <t>Владимир г, Западная ул, 59</t>
  </si>
  <si>
    <t>Владимир г, Кирова ул, 3А</t>
  </si>
  <si>
    <t>Владимир г, Кирова ул, 6</t>
  </si>
  <si>
    <t>Владимир г, Кирова ул, 7</t>
  </si>
  <si>
    <t>Владимир г, Комиссарова ул, 4</t>
  </si>
  <si>
    <t>Владимир г, Коммунар мкр, Зеленая ул, 62</t>
  </si>
  <si>
    <t>Владимир г, Коммунар мкр, Зеленая ул, 64</t>
  </si>
  <si>
    <t>Владимир г, Коммунар мкр, Зеленая ул, 68</t>
  </si>
  <si>
    <t>Владимир г, Костерин пер, 10</t>
  </si>
  <si>
    <t>Владимир г, Куйбышева ул, 66</t>
  </si>
  <si>
    <t>Владимир г, Лакина ул, 155А</t>
  </si>
  <si>
    <t>Владимир г, Ленина пр-кт, 49</t>
  </si>
  <si>
    <t>Владимир г, Ленина пр-кт, 60</t>
  </si>
  <si>
    <t>Владимир г, Лермонтова ул, 45</t>
  </si>
  <si>
    <t>Владимир г, Мира ул, 6</t>
  </si>
  <si>
    <t>Владимир г, Мира ул, 6Б</t>
  </si>
  <si>
    <t>Владимир г, Мира ул, 22</t>
  </si>
  <si>
    <t>Владимир г, Михайловская ул, 6</t>
  </si>
  <si>
    <t>Владимир г, Михайловская ул, 12</t>
  </si>
  <si>
    <t>Владимир г, Михайловская ул, 55</t>
  </si>
  <si>
    <t>Владимир г, Нижняя Дуброва ул, 26</t>
  </si>
  <si>
    <t>Владимир г, Нижняя Дуброва ул, 33</t>
  </si>
  <si>
    <t>Владимир г, Ново-Ямская ул, 70</t>
  </si>
  <si>
    <t>Владимир г, Офицерская ул, 9А</t>
  </si>
  <si>
    <t>Владимир г, Офицерская ул, 16</t>
  </si>
  <si>
    <t>Владимир г, Пичугина ул, 5</t>
  </si>
  <si>
    <t>Владимир г, Пичугина ул, 14</t>
  </si>
  <si>
    <t>Владимир г, Полины Осипенко ул, 11</t>
  </si>
  <si>
    <t>Владимир г, Растопчина ул, 33в</t>
  </si>
  <si>
    <t>Владимир г, Растопчина ул, 39в</t>
  </si>
  <si>
    <t>Владимир г, Растопчина ул, 61</t>
  </si>
  <si>
    <t>Владимир г, Растопчина ул, 61а</t>
  </si>
  <si>
    <t>Владимир г, Северная ул, 22</t>
  </si>
  <si>
    <t>Владимир г, Семашко ул, 8</t>
  </si>
  <si>
    <t>Владимир г, Соколова-Соколенка ул, 20</t>
  </si>
  <si>
    <t>Владимир г, Столетовых ул, 5</t>
  </si>
  <si>
    <t>Владимир г, Строителей пр-кт, 34В</t>
  </si>
  <si>
    <t>Владимир г, Студенческая ул, 6Д</t>
  </si>
  <si>
    <t>Владимир г, Суворова ул, 11</t>
  </si>
  <si>
    <t>Владимир г, Судогодское ш, 17а</t>
  </si>
  <si>
    <t>Владимир г, Судогодское ш, 27а</t>
  </si>
  <si>
    <t>Владимир г, Сурикова ул, 14</t>
  </si>
  <si>
    <t>Владимир г, Сущевская ул, 3</t>
  </si>
  <si>
    <t>Владимир г, Сущевская ул, 7</t>
  </si>
  <si>
    <t>Владимир г, Тракторная ул, 13</t>
  </si>
  <si>
    <t>Владимир г, Университетская ул, 7</t>
  </si>
  <si>
    <t>Владимир г, Усти-на-Лабе ул, 16</t>
  </si>
  <si>
    <t>Владимир г, Усти-на-Лабе ул, 23</t>
  </si>
  <si>
    <t>Владимир г, Юбилейная ул, 12</t>
  </si>
  <si>
    <t>Владимир г, Юбилейная ул, 50</t>
  </si>
  <si>
    <t>Владимир г, Юбилейная ул, 52</t>
  </si>
  <si>
    <t>Владимир г, Юбилейная ул, 58</t>
  </si>
  <si>
    <t>Владимир г, Юбилейная ул, 68</t>
  </si>
  <si>
    <t>Владимир г, Юрьевец мкр, Школьный проезд, 4</t>
  </si>
  <si>
    <t>Александров г, Институтская ул, 8</t>
  </si>
  <si>
    <t>Александров г, Королева ул, 1</t>
  </si>
  <si>
    <t>Александров г, Королева ул, 12</t>
  </si>
  <si>
    <t>Александров г, Коссович ул, 6</t>
  </si>
  <si>
    <t>Александров г, Коссович ул, 7</t>
  </si>
  <si>
    <t>Александров г, Ленина ул, 14</t>
  </si>
  <si>
    <t>Александров г, Маяковского ул, 13</t>
  </si>
  <si>
    <t>Александров г, Октябрьская ул, 6 корп. 2</t>
  </si>
  <si>
    <t>Александров г, П.Топоркова ул, 2</t>
  </si>
  <si>
    <t>Александров г, Революции ул, 24</t>
  </si>
  <si>
    <t>Александров г, Революции ул, 36</t>
  </si>
  <si>
    <t>Александров г, Терешковой ул, 10 корп. 2</t>
  </si>
  <si>
    <t>Александров г, Энтузиастов ул, 11</t>
  </si>
  <si>
    <t>Гусь-Хрустальный г, 50 лет Советской Власти пр-кт, 29</t>
  </si>
  <si>
    <t>Гусь-Хрустальный г, Интернациональная ул, 40б</t>
  </si>
  <si>
    <t>Гусь-Хрустальный г, Калинина ул, 41</t>
  </si>
  <si>
    <t>Гусь-Хрустальный г, Каховского ул, 10</t>
  </si>
  <si>
    <t>Гусь-Хрустальный г, Красноармейская ул, 19</t>
  </si>
  <si>
    <t>Гусь-Хрустальный г, Курловская ул, 18</t>
  </si>
  <si>
    <t>Гусь-Хрустальный г, Маяковского ул, 1а</t>
  </si>
  <si>
    <t>Гусь-Хрустальный г, Менделеева ул, 15а</t>
  </si>
  <si>
    <t>Гусь-Хрустальный г, Муравьева-Апостола ул, 11</t>
  </si>
  <si>
    <t>Гусь-Хрустальный г, Октябрьская ул, 76</t>
  </si>
  <si>
    <t>Гусь-Хрустальный г, Полевая ул, 3</t>
  </si>
  <si>
    <t>Гусь-Хрустальный г, Полярная ул, 9</t>
  </si>
  <si>
    <t>Гусь-Хрустальный г, Торфяная ул, 7</t>
  </si>
  <si>
    <t>Гусь-Хрустальный г, Торфяная ул, 15</t>
  </si>
  <si>
    <t>Гусь-Хрустальный г, Транспортная ул, 19</t>
  </si>
  <si>
    <t>Ковров г, Абельмана ул, 130</t>
  </si>
  <si>
    <t>Ковров г, Белинского ул, 1/1</t>
  </si>
  <si>
    <t>Ковров г, Ватутина ул, 49</t>
  </si>
  <si>
    <t>Ковров г, Ватутина ул, 53</t>
  </si>
  <si>
    <t>Ковров г, Ватутина ул, 55</t>
  </si>
  <si>
    <t>Ковров г, Грибоедова ул, 11</t>
  </si>
  <si>
    <t>Ковров г, Грибоедова ул, 13</t>
  </si>
  <si>
    <t>Ковров г, Еловая ул, 86/2</t>
  </si>
  <si>
    <t>Ковров г, Еловая ул, 86/9</t>
  </si>
  <si>
    <t>Ковров г, Молодогвардейская ул, 3</t>
  </si>
  <si>
    <t>Ковров г, Моховая ул, 1/3</t>
  </si>
  <si>
    <t>Ковров г, Муромская ул, 23/2</t>
  </si>
  <si>
    <t>Ковров г, Абельмана ул, 27</t>
  </si>
  <si>
    <t>Ковров г, Ватутина ул, 86</t>
  </si>
  <si>
    <t>Ковров г, Волго-Донская ул, 7а</t>
  </si>
  <si>
    <t>Ковров г, Восточная ул, 52 корп. 4</t>
  </si>
  <si>
    <t>Ковров г, Восточный проезд, 14/2</t>
  </si>
  <si>
    <t>Ковров г, Восточный проезд, 16/1</t>
  </si>
  <si>
    <t>Ковров г, Гастелло ул, 9</t>
  </si>
  <si>
    <t>Ковров г, Дегтярева ул, 19</t>
  </si>
  <si>
    <t>Ковров г, Димитрова ул, 8</t>
  </si>
  <si>
    <t>Ковров г, Димитрова ул, 16</t>
  </si>
  <si>
    <t>Ковров г, Димитрова ул, 18</t>
  </si>
  <si>
    <t>Ковров г, Еловая ул, 88</t>
  </si>
  <si>
    <t>Ковров г, Зои Космодемьянской ул, 23</t>
  </si>
  <si>
    <t>Ковров г, Калинина ул, 9</t>
  </si>
  <si>
    <t>Ковров г, Калинина ул, 20</t>
  </si>
  <si>
    <t>Ковров г, Калинина ул, 21</t>
  </si>
  <si>
    <t>Ковров г, Киркижа ул, 16</t>
  </si>
  <si>
    <t>Ковров г, Комсомольская ул, 28</t>
  </si>
  <si>
    <t>Ковров г, Комсомольская ул, 30</t>
  </si>
  <si>
    <t>Ковров г, Комсомольская ул, 36/4</t>
  </si>
  <si>
    <t>Ковров г, Космонавтов ул, 4/3</t>
  </si>
  <si>
    <t>Ковров г, Куйбышева ул, 4</t>
  </si>
  <si>
    <t>Ковров г, Куйбышева ул, 14</t>
  </si>
  <si>
    <t>Ковров г, Куйбышева ул, 15</t>
  </si>
  <si>
    <t>Ковров г, Куйбышева ул, 18</t>
  </si>
  <si>
    <t>Ковров г, Ленина пр-кт, 46</t>
  </si>
  <si>
    <t>Ковров г, Ленина пр-кт, 49</t>
  </si>
  <si>
    <t>Ковров г, Летняя ул, 29</t>
  </si>
  <si>
    <t>Ковров г, Лопатина ул, 19</t>
  </si>
  <si>
    <t>Ковров г, Машиностроителей ул, 5</t>
  </si>
  <si>
    <t>Ковров г, Машиностроителей ул, 13</t>
  </si>
  <si>
    <t>Ковров г, Машиностроителей ул, 15</t>
  </si>
  <si>
    <t>Ковров г, Маяковского ул, 24</t>
  </si>
  <si>
    <t>Ковров г, Маяковского ул, 28</t>
  </si>
  <si>
    <t>Ковров г, Маяковского ул, 30</t>
  </si>
  <si>
    <t>Ковров г, Московская ул, 3</t>
  </si>
  <si>
    <t>Ковров г, Московская ул, 4</t>
  </si>
  <si>
    <t>Ковров г, Московская ул, 6</t>
  </si>
  <si>
    <t>Ковров г, Московская ул, 7</t>
  </si>
  <si>
    <t>Ковров г, Московская ул, 9</t>
  </si>
  <si>
    <t>Ковров г, Моховая ул, 2/9</t>
  </si>
  <si>
    <t>Ковров г, Муромская ул, 31</t>
  </si>
  <si>
    <t>Ковров г, Муромская ул, 33</t>
  </si>
  <si>
    <t>Ковров г, Ногина пер, 3</t>
  </si>
  <si>
    <t>Ковров г, Ногина пер, 5</t>
  </si>
  <si>
    <t>Ковров г, Островского ул, 73</t>
  </si>
  <si>
    <t>Ковров г, Островского ул, 79</t>
  </si>
  <si>
    <t>Ковров г, Островского ул, 81</t>
  </si>
  <si>
    <t>Ковров г, Пионерская ул, 6</t>
  </si>
  <si>
    <t>Ковров г, Подлесная ул, 21</t>
  </si>
  <si>
    <t>Ковров г, Подлесная ул, 22</t>
  </si>
  <si>
    <t>Ковров г, Подлесная ул, 24</t>
  </si>
  <si>
    <t>Ковров г, Сосновая ул, 35</t>
  </si>
  <si>
    <t>Ковров г, Сосновая ул, 37</t>
  </si>
  <si>
    <t>Ковров г, Социалистическая ул, 15</t>
  </si>
  <si>
    <t>Ковров г, Строителей ул, 8</t>
  </si>
  <si>
    <t>Ковров г, Строителей ул, 9</t>
  </si>
  <si>
    <t>Ковров г, Строителей ул, 10</t>
  </si>
  <si>
    <t>Ковров г, Строителей ул, 14</t>
  </si>
  <si>
    <t>Ковров г, Строителей ул, 15/2</t>
  </si>
  <si>
    <t>Ковров г, Транспортная ул, 81</t>
  </si>
  <si>
    <t>Ковров г, Фурманова ул, 27</t>
  </si>
  <si>
    <t>Ковров г, Циолковского ул, 19</t>
  </si>
  <si>
    <t>Ковров г, Циолковского ул, 40</t>
  </si>
  <si>
    <t>Ковров г, Ленина пр-кт, 21</t>
  </si>
  <si>
    <t>Ковров г, Никитина ул, 34</t>
  </si>
  <si>
    <t>Гусь-Хрустальный р-н, Курлово г, Володарского ул, 1</t>
  </si>
  <si>
    <t>Кольчугино г, 3 Интернационала ул, 60</t>
  </si>
  <si>
    <t>Кольчугино г, Добровольского ул, 3</t>
  </si>
  <si>
    <t>Кольчугино г, Добровольского ул, 21</t>
  </si>
  <si>
    <t>Кольчугино г, Дружбы ул, 6а</t>
  </si>
  <si>
    <t>Кольчугино г, Дружбы ул, 8</t>
  </si>
  <si>
    <t>Кольчугино г, Дружбы ул, 12</t>
  </si>
  <si>
    <t>Кольчугино г, Дружбы ул, 23</t>
  </si>
  <si>
    <t>Кольчугино г, Дружбы ул, 32</t>
  </si>
  <si>
    <t>Кольчугино г, Ломако ул, 26</t>
  </si>
  <si>
    <t>Кольчугино г, Мира ул, 1</t>
  </si>
  <si>
    <t>Кольчугино г, Мира ул, 2</t>
  </si>
  <si>
    <t>Кольчугино г, Московская ул, 60</t>
  </si>
  <si>
    <t>Кольчугино г, Октябрьская ул, 36</t>
  </si>
  <si>
    <t>Кольчугино г, Победы ул, 9</t>
  </si>
  <si>
    <t>Кольчугино г, Победы ул, 11</t>
  </si>
  <si>
    <t>Кольчугино г, Ульяновская ул, 37</t>
  </si>
  <si>
    <t>Кольчугино г, Алексеева ул, 3б</t>
  </si>
  <si>
    <t>Муром г, Ленинградская ул, 26/6</t>
  </si>
  <si>
    <t>Муром г, Пролетарская ул, 50</t>
  </si>
  <si>
    <t>Муром г, Щербакова ул, 10</t>
  </si>
  <si>
    <t>Муром г, 30 лет Победы ул, 9 корп. 2</t>
  </si>
  <si>
    <t>Муром г, Артема ул, 20</t>
  </si>
  <si>
    <t>Муром г, Вокзальная ул, 16</t>
  </si>
  <si>
    <t>Муром г, Карла Маркса ул, 50</t>
  </si>
  <si>
    <t>Муром г, Кленовая ул, 30</t>
  </si>
  <si>
    <t>Муром г, Кленовая ул, 36</t>
  </si>
  <si>
    <t>Муром г, Кооперативная ул, 8</t>
  </si>
  <si>
    <t>Муром г, Кооперативная ул, 11</t>
  </si>
  <si>
    <t>Муром г, Кооперативная ул, 13</t>
  </si>
  <si>
    <t>Муром г, Кооперативный проезд, 8</t>
  </si>
  <si>
    <t>Муром г, Куйбышева ул, 32</t>
  </si>
  <si>
    <t>Муром г, Ленина ул, 55</t>
  </si>
  <si>
    <t>Муром г, Ленина ул, 85</t>
  </si>
  <si>
    <t>Муром г, Ленинградская ул, 20</t>
  </si>
  <si>
    <t>Муром г, Меленковская ул, 7</t>
  </si>
  <si>
    <t>Муром г, Меленковская ул, 11</t>
  </si>
  <si>
    <t>Муром г, Московская ул, 47</t>
  </si>
  <si>
    <t>Муром г, Муромская ул, 23</t>
  </si>
  <si>
    <t>Муром г, Совхозная ул, 15А</t>
  </si>
  <si>
    <t>Муром г, Филатова ул, 7</t>
  </si>
  <si>
    <t>Муром г, Чкалова ул, 6Б</t>
  </si>
  <si>
    <t>Муром г, Школьная ул, 1А</t>
  </si>
  <si>
    <t>Муром г, Энгельса ул, 7</t>
  </si>
  <si>
    <t>Камешково г, Свердлова ул, 9</t>
  </si>
  <si>
    <t>Камешково г, Молодежная ул, 2</t>
  </si>
  <si>
    <t>Камешково г, Ногина ул, 5</t>
  </si>
  <si>
    <t>Камешково г, Смурова ул, 10</t>
  </si>
  <si>
    <t>Камешково г, Совхозная ул, 21</t>
  </si>
  <si>
    <t>Камешково г, Школьная ул, 7</t>
  </si>
  <si>
    <t>Камешково г, Ленина ул, 6</t>
  </si>
  <si>
    <t>Юрьев-Польский г, Авангардский пер, 9</t>
  </si>
  <si>
    <t>Юрьев-Польский г, Авангардский пер, 5А</t>
  </si>
  <si>
    <t>Юрьев-Польский г, Революции ул, 9</t>
  </si>
  <si>
    <t>Юрьев-Польский г, Свободы ул, 129</t>
  </si>
  <si>
    <t>Юрьев-Польский г, Свободы ул, 133</t>
  </si>
  <si>
    <t>Юрьев-Польский г, Шибанкова ул, 116</t>
  </si>
  <si>
    <t>Вязники г, Дечинский мкр, 12а</t>
  </si>
  <si>
    <t>Вязники г, Ефимьево ул, 4</t>
  </si>
  <si>
    <t>Вязники г, Ленина ул, 19</t>
  </si>
  <si>
    <t>Вязники г, Металлистов ул, 10</t>
  </si>
  <si>
    <t>Вязники г, Спортивная ул, 8</t>
  </si>
  <si>
    <t>Вязники г, Стахановская ул, 16</t>
  </si>
  <si>
    <t>Радужный г, 1-й кв-л, 15</t>
  </si>
  <si>
    <t>Радужный г, 3-й кв-л, 26</t>
  </si>
  <si>
    <t>Радужный г, 3-й кв-л, 5</t>
  </si>
  <si>
    <t>Киржач г, Красный Октябрь мкр, Солнечный кв-л, 4</t>
  </si>
  <si>
    <t>Киржач г, Пугачева ул, 6</t>
  </si>
  <si>
    <t>Меленки г, Академика Королева ул, 25</t>
  </si>
  <si>
    <t>Итого по Ковардитское</t>
  </si>
  <si>
    <t>Муромский р-н, Ковардицы с, Молодежная ул, 11</t>
  </si>
  <si>
    <t>Петушинский р-н, Покров г, Больничный проезд, 4 корп. 2</t>
  </si>
  <si>
    <t>Петушки г, Московская ул, 5</t>
  </si>
  <si>
    <t>Петушки г, Строителей ул, 22</t>
  </si>
  <si>
    <t>Собинка г, Гагарина ул, 7</t>
  </si>
  <si>
    <t>Собинка г, Калинина ул, 2А</t>
  </si>
  <si>
    <t>Собинка г, Мира ул, 2</t>
  </si>
  <si>
    <t>Собинка г, Мира ул, 10</t>
  </si>
  <si>
    <t>Собинка г, Центральная ул, 26</t>
  </si>
  <si>
    <t>Собинский р-н, Лакинск г, 17 Партсъезда ул, 5</t>
  </si>
  <si>
    <t>Собинский р-н, Лакинск г, Парижской Коммуны ул, 31</t>
  </si>
  <si>
    <t>Собинский р-н, Лакинск г, Парковый проезд, 4</t>
  </si>
  <si>
    <t>Собинский р-н, Ставрово п, Комсомольская ул, 5</t>
  </si>
  <si>
    <t>Собинский р-н, Ставрово п, Комсомольская ул, 10</t>
  </si>
  <si>
    <t>Собинский р-н, Ставрово п, Школьная ул, 3</t>
  </si>
  <si>
    <t>Собинский р-н, Ставрово п, Школьная ул, 4</t>
  </si>
  <si>
    <t>Суздальский р-н, Боголюбово п, Западная ул, 13</t>
  </si>
  <si>
    <t>Суздальский р-н, Боголюбово п, Западная ул, 25а</t>
  </si>
  <si>
    <t>Суздальский р-н, Боголюбово п, Западная ул, 27а</t>
  </si>
  <si>
    <t>Суздальский р-н, Сокол п, 7</t>
  </si>
  <si>
    <t>Суздальский р-н, Сокол п, 14</t>
  </si>
  <si>
    <t>Суздальский р-н, Боголюбово п, Новая ул, 26</t>
  </si>
  <si>
    <t xml:space="preserve">Итого по Новоалександровское 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</si>
  <si>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</si>
  <si>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</si>
  <si>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Садовый п, Садовая ул, 3</t>
  </si>
  <si>
    <t>Суздальский р-н, Спасское-Городище с, Центральная ул, 12</t>
  </si>
  <si>
    <t>ООО "УК ЖРЭП"</t>
  </si>
  <si>
    <t>8</t>
  </si>
  <si>
    <t>7</t>
  </si>
  <si>
    <t>10</t>
  </si>
  <si>
    <t>МУП города Владимира "ГУК"</t>
  </si>
  <si>
    <t>12</t>
  </si>
  <si>
    <t>ООО "Ресурс"</t>
  </si>
  <si>
    <t>ООО "ГКС 1"</t>
  </si>
  <si>
    <t>ООО "Нерехта"</t>
  </si>
  <si>
    <t>Ковров г, Ковров-8 тер, 8</t>
  </si>
  <si>
    <t>Вязниковский р-н, Пировы-Городищи д, Молодежная ул, 5</t>
  </si>
  <si>
    <t>Кольчугино г, Луговая ул, 5</t>
  </si>
  <si>
    <t>ООО "ЖЭУ 2"</t>
  </si>
  <si>
    <t>Кольчугинский р-н, Бавлены п, Центральная ул, 10А</t>
  </si>
  <si>
    <t>Собинский р-н, Ставрово п, Юбилейная ул, 7</t>
  </si>
  <si>
    <t>Ковровский р-н, Мелехово пгт, Пионерская ул, 5</t>
  </si>
  <si>
    <t>Петушки г, Московская ул, 18</t>
  </si>
  <si>
    <t>Собинский р-н, Лакинск г, Мира ул, 49б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</si>
  <si>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</si>
  <si>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>Радужный г, 1-й кв-л, 28</t>
  </si>
  <si>
    <t>Гусь-Хрустальный р-н, Анопино п, Чехова ул, 2</t>
  </si>
  <si>
    <t>Суздальский р-н, Красногвардейский п, Октябрьская ул, 15</t>
  </si>
  <si>
    <t>Владимир г, Бобкова ул, 1а</t>
  </si>
  <si>
    <t>Владимир г, Диктора Левитана ул, 31</t>
  </si>
  <si>
    <t>Владимир г, Каманина ул, 18</t>
  </si>
  <si>
    <t>Владимир г, Каманина ул, 28</t>
  </si>
  <si>
    <t>Владимир г, Краснознаменная ул, 10</t>
  </si>
  <si>
    <t>Владимир г, МОПРа ул, 13</t>
  </si>
  <si>
    <t>Владимир г, Октябрьский пр-кт, 42</t>
  </si>
  <si>
    <t>Владимир г, Юбилейная ул, 4</t>
  </si>
  <si>
    <t>Собинка г, Молодежная ул, 26</t>
  </si>
  <si>
    <t>Суздальский р-н, Новое с, Молодежная ул, 3</t>
  </si>
  <si>
    <t>Ковров г, Ранжева ул, 5</t>
  </si>
  <si>
    <t>Ковров г, Туманова ул, 12</t>
  </si>
  <si>
    <t>Александровский р-н, Карабаново г, Лермонтова пл, 13</t>
  </si>
  <si>
    <t>Петушки г, Советская пл, 11</t>
  </si>
  <si>
    <t>Муром г, Войкова ул, 2а</t>
  </si>
  <si>
    <t>Муром г, Кооперативная ул, 2</t>
  </si>
  <si>
    <t>Гусь-Хрустальный г, Мира ул, 18</t>
  </si>
  <si>
    <t>Александров г, Ново-Стрелецкий проезд ул, 14</t>
  </si>
  <si>
    <t>Вязники г, Владимирская ул, 2</t>
  </si>
  <si>
    <t>Киржач г, Ленинградская ул, 98</t>
  </si>
  <si>
    <t>Собинка г, Ленина ул, 31</t>
  </si>
  <si>
    <t>Итого по Бутылицкое</t>
  </si>
  <si>
    <t>Меленковский р-н, Архангел с, Совхозная ул, 182</t>
  </si>
  <si>
    <t>Бутылицкое</t>
  </si>
  <si>
    <t>Меленки г, Муромская ул, 39</t>
  </si>
  <si>
    <t>Радужный г, 3-й кв-л, 34</t>
  </si>
  <si>
    <t>Ковров г, Брюсова ул, 52</t>
  </si>
  <si>
    <t>Ковров г, Лизы Чайкиной ул, 104</t>
  </si>
  <si>
    <t>Ковров г, Лизы Чайкиной ул, 108</t>
  </si>
  <si>
    <t>Ковров г, Маяковского ул, 83</t>
  </si>
  <si>
    <t>Ковров г, Маяковского ул, 85</t>
  </si>
  <si>
    <t>Ковров г, Маяковского ул, 87</t>
  </si>
  <si>
    <t>Радужный г, 3-й кв-л, 25</t>
  </si>
  <si>
    <t>Муром г, Дзержинского ул, 2Б</t>
  </si>
  <si>
    <t>Муром г, Кленовая ул, 34</t>
  </si>
  <si>
    <t>Владимир г, Завадского ул, 13Б</t>
  </si>
  <si>
    <t>Владимир г, Нижняя Дуброва ул, 37</t>
  </si>
  <si>
    <t>Владимир г, Нижняя Дуброва ул, 44</t>
  </si>
  <si>
    <t>Владимир г, Соколова-Соколенка ул, 11</t>
  </si>
  <si>
    <t>Владимир г, Суворова ул, 2</t>
  </si>
  <si>
    <t>Владимир г, Фатьянова ул, 21</t>
  </si>
  <si>
    <t>Владимир г, Энергетик мкр, Энергетиков ул, 1А</t>
  </si>
  <si>
    <t>Владимир г, Юбилейная ул, 46</t>
  </si>
  <si>
    <t>Владимир г, Балакирева ул, 55</t>
  </si>
  <si>
    <t>Владимир г, Белоконской ул, 25</t>
  </si>
  <si>
    <t>Владимир г, Верхняя Дуброва ул, 18А</t>
  </si>
  <si>
    <t>Владимир г, Верхняя Дуброва ул, 38Д</t>
  </si>
  <si>
    <t>Владимир г, Горная ул, 5</t>
  </si>
  <si>
    <t>Владимир г, Горького ул, 44</t>
  </si>
  <si>
    <t>Владимир г, Добросельская ул, 165</t>
  </si>
  <si>
    <t>Владимир г, Завадского ул, 15А</t>
  </si>
  <si>
    <t>Владимир г, Куйбышева ул, 42</t>
  </si>
  <si>
    <t>Владимир г, Лакина ул, 143А</t>
  </si>
  <si>
    <t>Владимир г, Ленина пр-кт, 42</t>
  </si>
  <si>
    <t>Владимир г, Ленина пр-кт, 51</t>
  </si>
  <si>
    <t>Владимир г, Ленина пр-кт, 67А</t>
  </si>
  <si>
    <t>Владимир г, Лесной мкр, Лесная ул, 8</t>
  </si>
  <si>
    <t>Владимир г, Нижняя Дуброва ул, 1</t>
  </si>
  <si>
    <t>Владимир г, Нижняя Дуброва ул, 27</t>
  </si>
  <si>
    <t>Владимир г, Оргтруд мкр, Октябрьская ул, 10</t>
  </si>
  <si>
    <t>Владимир г, Оргтруд мкр, Октябрьская ул, 16</t>
  </si>
  <si>
    <t>Владимир г, Оргтруд мкр, Октябрьская ул, 25</t>
  </si>
  <si>
    <t>Владимир г, Оргтруд мкр, Строителей ул, 5</t>
  </si>
  <si>
    <t>Владимир г, Пичугина ул, 12</t>
  </si>
  <si>
    <t>Владимир г, Растопчина ул, 1</t>
  </si>
  <si>
    <t>Владимир г, Растопчина ул, 49а</t>
  </si>
  <si>
    <t>Владимир г, Растопчина ул, 55а</t>
  </si>
  <si>
    <t>Владимир г, Садовая ул, 17</t>
  </si>
  <si>
    <t>Владимир г, Соколова-Соколенка ул, 21</t>
  </si>
  <si>
    <t>Владимир г, Соколова-Соколенка ул, 5а</t>
  </si>
  <si>
    <t>Владимир г, Строителей пр-кт, 12</t>
  </si>
  <si>
    <t>Владимир г, Строителей пр-кт, 22</t>
  </si>
  <si>
    <t>Владимир г, Строителей пр-кт, 44А</t>
  </si>
  <si>
    <t>Владимир г, Чайковского ул, 44Б</t>
  </si>
  <si>
    <t>Владимир г, Энергетик мкр, Садовая ул, 15</t>
  </si>
  <si>
    <t>Владимир г, Энергетик мкр, Энергетиков ул, 23</t>
  </si>
  <si>
    <t>Владимир г, Юрьевец мкр, Институтский городок, 26</t>
  </si>
  <si>
    <t>Владимир г, Юрьевец мкр, Михалькова ул, 12</t>
  </si>
  <si>
    <t>Владимир г, Юрьевец мкр, Школьный проезд, 1А</t>
  </si>
  <si>
    <t>Гусь-Хрустальный г, Транспортная ул, 12</t>
  </si>
  <si>
    <t>Гусь-Хрустальный г, Курловская ул, 30</t>
  </si>
  <si>
    <t>Ковров г, Абельмана ул, 128</t>
  </si>
  <si>
    <t>Ковров г, Абельмана ул, 139/1</t>
  </si>
  <si>
    <t>Ковров г, Волго-Донская ул, 26</t>
  </si>
  <si>
    <t>Ковров г, Димитрова ул, 2</t>
  </si>
  <si>
    <t>Ковров г, Еловая ул, 86/8</t>
  </si>
  <si>
    <t>Ковров г, Кирова ул, 75</t>
  </si>
  <si>
    <t>Ковров г, Комсомольская ул, 32</t>
  </si>
  <si>
    <t>Ковров г, Ленина пр-кт, 12А</t>
  </si>
  <si>
    <t>Ковров г, Молодогвардейская ул, 7</t>
  </si>
  <si>
    <t>Ковров г, Тимофея Павловского ул, 8</t>
  </si>
  <si>
    <t>Ковров г, Комсомольская ул, 34/3</t>
  </si>
  <si>
    <t>Кольчугино г, Белая Речка мкр, Школьная ул, 11а</t>
  </si>
  <si>
    <t>Кольчугино г, Веденеева ул, 3</t>
  </si>
  <si>
    <t>Кольчугино г, Дружбы ул, 22</t>
  </si>
  <si>
    <t>Кольчугино г, Дружбы ул, 7</t>
  </si>
  <si>
    <t>Кольчугино г, Коллективная ул, 47</t>
  </si>
  <si>
    <t>Кольчугино г, Ленина ул, 11а</t>
  </si>
  <si>
    <t>Кольчугино г, Ленина ул, 2</t>
  </si>
  <si>
    <t>Кольчугино г, Лермонтова ул, 3</t>
  </si>
  <si>
    <t>Кольчугино г, Луговая ул, 10</t>
  </si>
  <si>
    <t>Кольчугино г, Чапаева ул, 2а</t>
  </si>
  <si>
    <t>Кольчугино г, Шмелева ул, 17</t>
  </si>
  <si>
    <t>Кольчугино г, 50 лет Октября ул, 14</t>
  </si>
  <si>
    <t>Кольчугино г, 50 лет СССР ул, 6</t>
  </si>
  <si>
    <t>Кольчугино г, Чапаева ул, 1г</t>
  </si>
  <si>
    <t>Муром г, Заводская ул, 19</t>
  </si>
  <si>
    <t>Муром г, Карачаровское ш, 26б</t>
  </si>
  <si>
    <t>Муром г, Карачаровское ш, 30а</t>
  </si>
  <si>
    <t>Муром г, Кленовая ул, 3 корп. 2</t>
  </si>
  <si>
    <t>Муром г, Льва Толстого ул, 54</t>
  </si>
  <si>
    <t>Муром г, Машинистов ул, 5</t>
  </si>
  <si>
    <t>Муром г, Октябрьская ул, 29</t>
  </si>
  <si>
    <t>Муром г, Октябрьская ул, 9а</t>
  </si>
  <si>
    <t>Муром г, Энгельса ул, 21</t>
  </si>
  <si>
    <t>Муром г, Карачаровское ш, 26а</t>
  </si>
  <si>
    <t>Муром г, Кленовая ул, 3 корп. 1</t>
  </si>
  <si>
    <t>Муром г, Ковровская ул, 10</t>
  </si>
  <si>
    <t>Муром г, Льва Толстого ул, 96</t>
  </si>
  <si>
    <t>Муром г, Муромская ул, 23 корп. 2</t>
  </si>
  <si>
    <t>Муром г, Первомайская ул, 93</t>
  </si>
  <si>
    <t>Муром г, Филатова ул, 6</t>
  </si>
  <si>
    <t>Муром г, Энгельса ул, 25</t>
  </si>
  <si>
    <t>Камешково г, 3 Интернационала ул, 3</t>
  </si>
  <si>
    <t>Камешково г, Володарского ул, 2</t>
  </si>
  <si>
    <t>Камешково г, Молодежная ул, 9</t>
  </si>
  <si>
    <t>Камешково г, Крупской ул, 8А</t>
  </si>
  <si>
    <t>Юрьев-Польский г, Школьная ул, 40</t>
  </si>
  <si>
    <t>Вязники г, Куйбышева ул, 4</t>
  </si>
  <si>
    <t>Суздальский р-н, Сокол п, 9</t>
  </si>
  <si>
    <t>Суздальский р-н, Кутуково с, Школьная ул, 5</t>
  </si>
  <si>
    <t>Суздальский р-н, Павловское с, Центральная ул, 29</t>
  </si>
  <si>
    <t>Селивановский р-н, Красная Горбатка п, 2-я Заводская ул, 5</t>
  </si>
  <si>
    <t>Селивановский р-н, Красная Горбатка п, Северная ул, 75</t>
  </si>
  <si>
    <t>Селивановский р-н, Красная Горбатка п, Строителей ул, 5</t>
  </si>
  <si>
    <t>Селивановский р-н, Красная Горбатка п, Школьная ул, 29</t>
  </si>
  <si>
    <t>Селивановский р-н, Красная Горбатка п, Школьная ул, 22</t>
  </si>
  <si>
    <t>Судогодский р-н, Бараки д, Молодежная ул, 1</t>
  </si>
  <si>
    <t>Итого по Владимирской области в 2021 году:</t>
  </si>
  <si>
    <t>Петушинский р-н, Нагорный п, Горячкина ул, 3</t>
  </si>
  <si>
    <t>ООО УК "Управдом"</t>
  </si>
  <si>
    <t>ООО «НАШЕ ЖКО»</t>
  </si>
  <si>
    <t>11</t>
  </si>
  <si>
    <t>ТСЖ Дечинский 14</t>
  </si>
  <si>
    <t>ООО "Ком-сервис"</t>
  </si>
  <si>
    <t>Ковров г, Лизы Чайкиной ул, 106</t>
  </si>
  <si>
    <t>Ковров г, Матвеева ул, 3</t>
  </si>
  <si>
    <t>ООО "УК "ЖКО РОСКО"</t>
  </si>
  <si>
    <t xml:space="preserve">Итого по Владимирской области по 2021 году: </t>
  </si>
  <si>
    <t>Вязники г, Дечинский мкр, 6</t>
  </si>
  <si>
    <t>Камешковский р-н, Мирный п, Центральная ул, 82</t>
  </si>
  <si>
    <t>Итого по Владимирской области на 2021 год</t>
  </si>
  <si>
    <t>Всего по Владимирской области на 2020-2022 годы</t>
  </si>
  <si>
    <t>Всего по Владимирской области на 2020-2022 годы:</t>
  </si>
  <si>
    <t xml:space="preserve">Всего по Владимирской области на 2020-2022 годы: </t>
  </si>
  <si>
    <t>Камешково г, Крупской ул, 17В</t>
  </si>
  <si>
    <t>ООО"УЮТ"</t>
  </si>
  <si>
    <t>Юрьев-Польский г, Луговая ул, 51</t>
  </si>
  <si>
    <t>Ковров г, Набережная ул, 17</t>
  </si>
  <si>
    <t>Ковров г, Социалистическая ул, 17</t>
  </si>
  <si>
    <t>Итого по поселок Золотково</t>
  </si>
  <si>
    <t>Гусь-Хрустальный р-н, Золотково п, Ломоносова ул, 7</t>
  </si>
  <si>
    <t>поселок Золотково</t>
  </si>
  <si>
    <t>Муром г, Мечникова ул, 56</t>
  </si>
  <si>
    <t>Владимир г, Асаткина ул, 2А</t>
  </si>
  <si>
    <t>Владимир г, Верхняя Дуброва ул, 20А</t>
  </si>
  <si>
    <t>Владимир г, Добросельская ул, 195а</t>
  </si>
  <si>
    <t>Владимир г, Егорова ул, 3</t>
  </si>
  <si>
    <t>Владимир г, Лермонтова ул, 44</t>
  </si>
  <si>
    <t>Владимир г, Растопчина ул, 45а</t>
  </si>
  <si>
    <t>Владимир г, 9 Января ул, 3</t>
  </si>
  <si>
    <t>Муром г, Дзержинского ул, 5а</t>
  </si>
  <si>
    <t>Муром г, Комсомольская ул, 50</t>
  </si>
  <si>
    <t>Муром г, Московская ул, 64</t>
  </si>
  <si>
    <t>Муром г, Орловская ул, 5</t>
  </si>
  <si>
    <t>Муром г, Экземплярского ул, 70</t>
  </si>
  <si>
    <t>Владимир г, Суворова ул, 3а</t>
  </si>
  <si>
    <t>Владимир г, Батурина ул, 33</t>
  </si>
  <si>
    <t>Владимир г, Безыменского ул, 13а</t>
  </si>
  <si>
    <t>Владимир г, Белоконской ул, 13А</t>
  </si>
  <si>
    <t>Владимир г, Верхняя Дуброва ул, 33</t>
  </si>
  <si>
    <t>Владимир г, Воровского ул, 8а</t>
  </si>
  <si>
    <t>Владимир г, Горького ул, 84</t>
  </si>
  <si>
    <t>Владимир г, Ленина пр-кт, 44</t>
  </si>
  <si>
    <t>Владимир г, Ленина пр-кт, 47А</t>
  </si>
  <si>
    <t>Владимир г, Мира ул, 4А</t>
  </si>
  <si>
    <t>Владимир г, Строителей пр-кт, 42Г</t>
  </si>
  <si>
    <t>Владимир г, Добросельская ул, 193Г</t>
  </si>
  <si>
    <t>Владимир г, Энергетик мкр, Энергетиков ул, 6Б</t>
  </si>
  <si>
    <t>Владимир г, Диктора Левитана ул, 4Г</t>
  </si>
  <si>
    <t>Владимир г, Чайковского ул, 36</t>
  </si>
  <si>
    <t>Владимир г, Василисина ул, 9</t>
  </si>
  <si>
    <t>Владимир г, Василисина ул, 4</t>
  </si>
  <si>
    <t>Владимир г, Верхняя Дуброва ул, 10</t>
  </si>
  <si>
    <t>Владимир г, Строителей пр-кт, 2Г</t>
  </si>
  <si>
    <t>Владимир г, Фатьянова ул, 2А</t>
  </si>
  <si>
    <t>Владимир г, Верхняя Дуброва ул, 38А</t>
  </si>
  <si>
    <t>Владимир г, Перекопский военный городок, 25</t>
  </si>
  <si>
    <t>Владимир г, Почаевская ул, 22А</t>
  </si>
  <si>
    <t>Владимир г, Пугачева ул, 62</t>
  </si>
  <si>
    <t>Владимир г, Разина ул, 26</t>
  </si>
  <si>
    <t>Владимир г, Диктора Левитана ул, 55</t>
  </si>
  <si>
    <t>Владимир г, Юбилейная ул, 42</t>
  </si>
  <si>
    <t>Владимир г, Безыменского ул, 4а</t>
  </si>
  <si>
    <t>Владимир г, Верхняя Дуброва ул, 2</t>
  </si>
  <si>
    <t>Владимир г, Ново-Ямская ул, 2</t>
  </si>
  <si>
    <t>Владимир г, Московское ш, 1б</t>
  </si>
  <si>
    <t>Владимир г, Комиссарова ул, 23а</t>
  </si>
  <si>
    <t>Владимир г, Ломоносова ул, 1</t>
  </si>
  <si>
    <t>Владимир г, Мира ул, 17</t>
  </si>
  <si>
    <t>Владимир г, Октябрьский военный городок, 25</t>
  </si>
  <si>
    <t>Владимир г, Полины Осипенко ул, 27</t>
  </si>
  <si>
    <t>Владимир г, Соколова-Соколенка ул, 6в</t>
  </si>
  <si>
    <t>Владимир г, Строителей пр-кт, 34Б</t>
  </si>
  <si>
    <t>Владимир г, Тракторная ул, 1Г</t>
  </si>
  <si>
    <t>Владимир г, Юбилейная ул, 5</t>
  </si>
  <si>
    <t>Владимир г, Белоконской ул, 14</t>
  </si>
  <si>
    <t>Владимир г, Горького ул, 115</t>
  </si>
  <si>
    <t>Владимир г, Юбилейная ул, 38А</t>
  </si>
  <si>
    <t>Александров г, Революции ул, 38</t>
  </si>
  <si>
    <t>Александров г, Революции ул, 72</t>
  </si>
  <si>
    <t>Александров г, Институтская ул, 6 корп. 2</t>
  </si>
  <si>
    <t>Александров г, Королева ул, 16</t>
  </si>
  <si>
    <t>Александров г, Королева ул, 18</t>
  </si>
  <si>
    <t>Александров г, Королева ул, 20</t>
  </si>
  <si>
    <t>Александров г, Маяковского ул, 36А</t>
  </si>
  <si>
    <t>Александров г, Ческа-Липа ул, 10</t>
  </si>
  <si>
    <t>Александров г, Геологов ул, 8</t>
  </si>
  <si>
    <t>Гусь-Хрустальный г, Маяковского ул, 3а</t>
  </si>
  <si>
    <t>Гусь-Хрустальный г, Менделеева ул, 19а</t>
  </si>
  <si>
    <t>Гусь-Хрустальный г, Менделеева ул, 25</t>
  </si>
  <si>
    <t>Гусь-Хрустальный г, Пролетарская ул, 18</t>
  </si>
  <si>
    <t>Гусь-Хрустальный г, Рязанская ул, 2</t>
  </si>
  <si>
    <t>Гусь-Хрустальный г, Теплицкий пр-кт, 12</t>
  </si>
  <si>
    <t>Гусь-Хрустальный г, Транспортная ул, 16</t>
  </si>
  <si>
    <t>Ковров г, 5 Декабря ул, 22/2</t>
  </si>
  <si>
    <t>Ковров г, Комсомольская ул, 104</t>
  </si>
  <si>
    <t>Ковров г, МОПРа ул, 26</t>
  </si>
  <si>
    <t>Ковров г, Строителей ул, 2</t>
  </si>
  <si>
    <t>Ковров г, Строителей ул, 22</t>
  </si>
  <si>
    <t>Ковров г, Волго-Донская ул, 27</t>
  </si>
  <si>
    <t>Ковров г, Брюсова ул, 54/1</t>
  </si>
  <si>
    <t>Ковров г, Грибоедова ул, 125</t>
  </si>
  <si>
    <t>Ковров г, Зои Космодемьянской ул, 7/3</t>
  </si>
  <si>
    <t>Ковров г, Зои Космодемьянской ул, 9</t>
  </si>
  <si>
    <t>Ковров г, Зои Космодемьянской ул, 26/2</t>
  </si>
  <si>
    <t>Ковров г, Комсомольская ул, 36/3</t>
  </si>
  <si>
    <t>Ковров г, Летняя ул, 19</t>
  </si>
  <si>
    <t>Ковров г, Летняя ул, 86</t>
  </si>
  <si>
    <t>Ковров г, Лопатина ул, 44</t>
  </si>
  <si>
    <t>Ковров г, Машиностроителей ул, 7</t>
  </si>
  <si>
    <t>Ковров г, Маяковского ул, 2</t>
  </si>
  <si>
    <t>Ковров г, Моховая ул, 2 корп. 10</t>
  </si>
  <si>
    <t>Ковров г, Моховая ул, 2/6</t>
  </si>
  <si>
    <t>Ковров г, Ногина ул, 20</t>
  </si>
  <si>
    <t>Ковров г, Северный проезд, 10а</t>
  </si>
  <si>
    <t>Ковров г, Сосновая ул, 39</t>
  </si>
  <si>
    <t>Ковров г, Строителей ул, 16</t>
  </si>
  <si>
    <t>Ковров г, Строителей ул, 18</t>
  </si>
  <si>
    <t>Ковров г, Фабричный проезд, 6</t>
  </si>
  <si>
    <t>Ковров г, Фурманова ул, 35</t>
  </si>
  <si>
    <t>Ковров г, Клязьменская ул, 6</t>
  </si>
  <si>
    <t>Ковров г, Лопатина ул, 68</t>
  </si>
  <si>
    <t>Ковров г, Сосновая ул, 15/3</t>
  </si>
  <si>
    <t>Ковров г, Строителей ул, 15</t>
  </si>
  <si>
    <t>Кольчугино г, Белая Речка мкр, Новая ул, 5</t>
  </si>
  <si>
    <t>Кольчугино г, Ульяновская ул, 35</t>
  </si>
  <si>
    <t>Кольчугино г, Дружбы ул, 6</t>
  </si>
  <si>
    <t>Кольчугино г, Максимова ул, 25</t>
  </si>
  <si>
    <t>Кольчугино г, Московская ул, 66</t>
  </si>
  <si>
    <t>Кольчугино г, 3 Интернационала ул, 63</t>
  </si>
  <si>
    <t>Кольчугино г, Инициативная ул, 13</t>
  </si>
  <si>
    <t>Кольчугино г, 50 лет Октября ул, 22</t>
  </si>
  <si>
    <t>Кольчугино г, Добровольского ул, 9</t>
  </si>
  <si>
    <t>Кольчугино г, Шмелева ул, 2</t>
  </si>
  <si>
    <t>Муром г, 30 лет Победы ул, 9 корп. 1</t>
  </si>
  <si>
    <t>Муром г, Ленинградская ул, 31</t>
  </si>
  <si>
    <t>Муром г, Ленинградская ул, 42</t>
  </si>
  <si>
    <t>Муром г, Советская ул, 44</t>
  </si>
  <si>
    <t>Муром г, Пролетарская ул, 21</t>
  </si>
  <si>
    <t>Муром г, Кленовая ул, 7А</t>
  </si>
  <si>
    <t>Муром г, Кооперативная ул, 5</t>
  </si>
  <si>
    <t>Муром г, Кооперативная ул, 7</t>
  </si>
  <si>
    <t>Муром г, Лесная ул, 1</t>
  </si>
  <si>
    <t>Муром г, Меленковская ул, 3 корп. 2</t>
  </si>
  <si>
    <t>Муром г, Муромская ул, 9 корп. 2</t>
  </si>
  <si>
    <t>Муром г, Муромская ул, 12</t>
  </si>
  <si>
    <t>Муром г, Чкалова ул, 10Б</t>
  </si>
  <si>
    <t>Муром г, Орловская ул, 21</t>
  </si>
  <si>
    <t>Муром г, Лаврентьева ул, 43</t>
  </si>
  <si>
    <t>Муром г, Свердлова ул, 65</t>
  </si>
  <si>
    <t>Муром г, Красногвардейская ул, 32</t>
  </si>
  <si>
    <t>Камешково г, Дорофеичева ул, 7а</t>
  </si>
  <si>
    <t>Камешково г, Совхозная ул, 17</t>
  </si>
  <si>
    <t>Юрьев-Польский г, Авангардский пер, 20</t>
  </si>
  <si>
    <t>Юрьев-Польский г, Садовый пер, 4</t>
  </si>
  <si>
    <t>Вязники г, Высоковольтная ул, 61</t>
  </si>
  <si>
    <t>Вязники г, Чехова ул, 19а</t>
  </si>
  <si>
    <t>Вязники г, Нововязники мкр, Механизаторов ул, 113</t>
  </si>
  <si>
    <t>Радужный г, 3-й кв-л, 13</t>
  </si>
  <si>
    <t>Радужный г, 3-й кв-л, 2</t>
  </si>
  <si>
    <t>Меленки г, Комсомольская ул, 98</t>
  </si>
  <si>
    <t>Петушинский р-н, Покров г, Герасимова ул, 30</t>
  </si>
  <si>
    <t>Собинка г, Гагарина ул, 2</t>
  </si>
  <si>
    <t>Собинка г, Гагарина ул, 4</t>
  </si>
  <si>
    <t>Собинка г, Молодежная ул, 1</t>
  </si>
  <si>
    <t>Собинка г, Молодежная ул, 2</t>
  </si>
  <si>
    <t>Собинка г, Чайковского ул, 4</t>
  </si>
  <si>
    <t>Собинский р-н, Лакинск г, 21 Партсъезда ул, 17</t>
  </si>
  <si>
    <t>Собинский р-н, Лакинск г, 21 Партсъезда ул, 19</t>
  </si>
  <si>
    <t>Собинский р-н, Лакинск г, 21 Партсъезда ул, 21</t>
  </si>
  <si>
    <t>Собинский р-н, Лакинск г, Горького ул, 12</t>
  </si>
  <si>
    <t>Собинский р-н, Ставрово п, Октябрьская ул, 140</t>
  </si>
  <si>
    <t>Собинский р-н, Ставрово п, Юбилейная ул, 4</t>
  </si>
  <si>
    <t>Собинский р-н, Ставрово п, Юбилейная ул, 4А</t>
  </si>
  <si>
    <t>Собинский р-н, Ставрово п, Юбилейная ул, 6</t>
  </si>
  <si>
    <t>Собинский р-н, Ставрово п, Юбилейная ул, 8</t>
  </si>
  <si>
    <t>Суздальский р-н, Сокол п, 10</t>
  </si>
  <si>
    <t>Суздальский р-н, Сокол п, 11</t>
  </si>
  <si>
    <t>Суздальский р-н, Сокол п, 15</t>
  </si>
  <si>
    <t>Суздальский р-н, Новоалександрово с, Рабочая ул, 2</t>
  </si>
  <si>
    <t>Кольчугинский р-н, Бавлены п, Мира ул, 9</t>
  </si>
  <si>
    <t>Владимир г, Верхняя Дуброва ул, 22</t>
  </si>
  <si>
    <t>Владимир г, Горького ул, 99</t>
  </si>
  <si>
    <t>Владимир г, Лакина ул, 153А</t>
  </si>
  <si>
    <t>Владимир г, Горького ул, 103</t>
  </si>
  <si>
    <t>Владимир г, Лесной мкр, Лесная ул, 15</t>
  </si>
  <si>
    <t>Владимир г, Нижняя Дуброва ул, 3а</t>
  </si>
  <si>
    <t>Кольчугино г, Белая Речка мкр, Молодежная ул, 2</t>
  </si>
  <si>
    <t>Кольчугино г, Чапаева ул, 1а</t>
  </si>
  <si>
    <t>Кольчугино г, Ломако ул, 32</t>
  </si>
  <si>
    <t>Кольчугино г, Щорса ул, 11</t>
  </si>
  <si>
    <t>Муром г, Ковровская ул, 20</t>
  </si>
  <si>
    <t>Петушинский р-н, Покров г, 3 Интернационала ул, 83</t>
  </si>
  <si>
    <t>Ковров г, Волго-Донская ул, 25</t>
  </si>
  <si>
    <t>Ковров г, Грибоедова ул, 13/2</t>
  </si>
  <si>
    <t>Ковров г, Грибоедова ул, 13/3</t>
  </si>
  <si>
    <t>Ковров г, Грибоедова ул, 7/3</t>
  </si>
  <si>
    <t>Ковров г, Еловая ул, 94</t>
  </si>
  <si>
    <t>Ковров г, Еловая ул, 96/1</t>
  </si>
  <si>
    <t>Ковров г, Зои Космодемьянской ул, 1/11</t>
  </si>
  <si>
    <t>Ковров г, Зои Космодемьянской ул, 1/12</t>
  </si>
  <si>
    <t>Ковров г, Зои Космодемьянской ул, 1/8</t>
  </si>
  <si>
    <t>Ковров г, Зои Космодемьянской ул, 1/9</t>
  </si>
  <si>
    <t>Ковров г, Зои Космодемьянской ул, 28</t>
  </si>
  <si>
    <t>Ковров г, Кирова ул, 79</t>
  </si>
  <si>
    <t>Ковров г, Комсомольская ул, 99</t>
  </si>
  <si>
    <t>Ковров г, Комсомольская ул, 99/1</t>
  </si>
  <si>
    <t>Ковров г, Ленина пр-кт, 1Б</t>
  </si>
  <si>
    <t>Ковров г, Лизы Чайкиной ул, 102</t>
  </si>
  <si>
    <t>Ковров г, Маяковского ул, 81</t>
  </si>
  <si>
    <t>Ковров г, Маяковского ул, 89</t>
  </si>
  <si>
    <t>Ковров г, Пролетарская ул, 14/1</t>
  </si>
  <si>
    <t>Ковров г, Рабочая ул, 35</t>
  </si>
  <si>
    <t>Ковров г, Сосновая ул, 41</t>
  </si>
  <si>
    <t>Ковров г, Строителей ул, 3</t>
  </si>
  <si>
    <t>Ковров г, Строителей ул, 39</t>
  </si>
  <si>
    <t>Ковров г, Строителей ул, 41</t>
  </si>
  <si>
    <t>Ковров г, Строителей ул, 43</t>
  </si>
  <si>
    <t>Муром г, Нижегородская ул, 1</t>
  </si>
  <si>
    <t>Муром г, Фрунзе ул, 2</t>
  </si>
  <si>
    <t>Муром г, Чкалова ул, 20</t>
  </si>
  <si>
    <t>Радужный г, 1-й кв-л, 35</t>
  </si>
  <si>
    <t>Радужный г, 3-й кв-л, 17А</t>
  </si>
  <si>
    <t>Радужный г, 3-й кв-л, 21</t>
  </si>
  <si>
    <t>Радужный г, 3-й кв-л, 23</t>
  </si>
  <si>
    <t>Радужный г, 3-й кв-л, 9</t>
  </si>
  <si>
    <t>Владимир г, Растопчина ул, 51</t>
  </si>
  <si>
    <t>Владимир г, Соколова-Соколенка ул, 17б</t>
  </si>
  <si>
    <t>400</t>
  </si>
  <si>
    <t>266</t>
  </si>
  <si>
    <t>472</t>
  </si>
  <si>
    <t>367</t>
  </si>
  <si>
    <t>289</t>
  </si>
  <si>
    <t>Кирпич</t>
  </si>
  <si>
    <t>321</t>
  </si>
  <si>
    <t>220</t>
  </si>
  <si>
    <t>151</t>
  </si>
  <si>
    <t>160</t>
  </si>
  <si>
    <t>977</t>
  </si>
  <si>
    <t>ООО "УМД КОНТИНЕНТ"</t>
  </si>
  <si>
    <t>256</t>
  </si>
  <si>
    <t>237</t>
  </si>
  <si>
    <t>330</t>
  </si>
  <si>
    <t>ООО "ЖЭЦ-УПРАВЛЕНИЕ"</t>
  </si>
  <si>
    <t>326</t>
  </si>
  <si>
    <t>ООО "НАШЕ ЖКО"</t>
  </si>
  <si>
    <t>163</t>
  </si>
  <si>
    <t>179</t>
  </si>
  <si>
    <t>304</t>
  </si>
  <si>
    <t>331</t>
  </si>
  <si>
    <t>359</t>
  </si>
  <si>
    <t>415</t>
  </si>
  <si>
    <t>318</t>
  </si>
  <si>
    <t>249</t>
  </si>
  <si>
    <t>ООО УК "ВИКА"</t>
  </si>
  <si>
    <t>146</t>
  </si>
  <si>
    <t>161</t>
  </si>
  <si>
    <t>302</t>
  </si>
  <si>
    <t>ТСЖ "ДОМ-5"</t>
  </si>
  <si>
    <t>365</t>
  </si>
  <si>
    <t>ТСЖ "МАШИНОСТРОИТЕЛЕЙ 7"</t>
  </si>
  <si>
    <t>562</t>
  </si>
  <si>
    <t>ЖСК № 59</t>
  </si>
  <si>
    <t>138</t>
  </si>
  <si>
    <t>2008</t>
  </si>
  <si>
    <t>315</t>
  </si>
  <si>
    <t>ООО УК "УПРАВДОМ"</t>
  </si>
  <si>
    <t>240</t>
  </si>
  <si>
    <t>230</t>
  </si>
  <si>
    <t>141</t>
  </si>
  <si>
    <t>495</t>
  </si>
  <si>
    <t>247</t>
  </si>
  <si>
    <t>411</t>
  </si>
  <si>
    <t>197</t>
  </si>
  <si>
    <t>ООО "УК ЛЮКС"</t>
  </si>
  <si>
    <t>ТСН "Пушкина 16"</t>
  </si>
  <si>
    <t>Владимир г, Безыменского ул, 16</t>
  </si>
  <si>
    <t>Владимир г, Безыменского ул, 16а</t>
  </si>
  <si>
    <t>Владимир г, Добросельская ул, 185</t>
  </si>
  <si>
    <t>Владимир г, Соколова-Соколенка ул, 17</t>
  </si>
  <si>
    <t>Владимир г, Соколова-Соколенка ул, 19</t>
  </si>
  <si>
    <t>Владимир г, Соколова-Соколенка ул, 7</t>
  </si>
  <si>
    <t>Владимир г, Комиссарова ул, 3Б</t>
  </si>
  <si>
    <t>Владимир г, Василисина ул, 6</t>
  </si>
  <si>
    <t>Владимир г, Василисина ул, 8а</t>
  </si>
  <si>
    <t>Владимир г, Ново-Ямская ул, 25</t>
  </si>
  <si>
    <t>Гороховец г, Братьев Бесединых ул, 8</t>
  </si>
  <si>
    <t>Гороховец г, Сиреневая ул, 1</t>
  </si>
  <si>
    <t>Гороховецкий р-н, Арефино д, Совхозная ул, 10</t>
  </si>
  <si>
    <t>Гороховец г, Гагарина ул, 52</t>
  </si>
  <si>
    <t>Муром г, Совхозная ул, 3</t>
  </si>
  <si>
    <t>Итого по Владимирской области в 2021 году</t>
  </si>
  <si>
    <t>ООО "Дом-сервис"</t>
  </si>
  <si>
    <t>Вязниковский р-н, Степанцево п, Ленина ул, 9</t>
  </si>
  <si>
    <t>Киржач г, Красный Октябрь мкр, Первомайская ул, 14а</t>
  </si>
  <si>
    <t>Киржач г, Красный Октябрь мкр, Фурманова ул, 10</t>
  </si>
  <si>
    <t>Киржач г, Красный Октябрь мкр, Фурманова ул, 39</t>
  </si>
  <si>
    <t>Муром г, Орджоникидзе ул, 5а</t>
  </si>
  <si>
    <t>Муром г, Карачаровское ш, 11</t>
  </si>
  <si>
    <t>Александровский р-н, Струнино г, Дубки кв-л, 10</t>
  </si>
  <si>
    <t>Вязниковский р-н, Никологоры п, 3-я Пролетарская ул, 28</t>
  </si>
  <si>
    <t>Владимир г, Разина ул, 31</t>
  </si>
  <si>
    <t>Владимир г, Балакирева ул, 49</t>
  </si>
  <si>
    <t>Владимир г, Безыменского ул, 7</t>
  </si>
  <si>
    <t>Владимир г, Добросельская ул, 175</t>
  </si>
  <si>
    <t>Владимир г, Егорова ул, 11а</t>
  </si>
  <si>
    <t>Владимир г, Комиссарова ул, 47</t>
  </si>
  <si>
    <t>Владимир г, Куйбышева ул, 58</t>
  </si>
  <si>
    <t>Владимир г, Лакина ул, 129</t>
  </si>
  <si>
    <t>Владимир г, Лакина ул, 137Б</t>
  </si>
  <si>
    <t>Владимир г, Лесной мкр, Лесная ул, 3</t>
  </si>
  <si>
    <t>Владимир г, Растопчина ул, 3</t>
  </si>
  <si>
    <t>Владимир г, Растопчина ул, 53</t>
  </si>
  <si>
    <t>Владимир г, Строителей пр-кт, 14А</t>
  </si>
  <si>
    <t>Владимир г, Строителей пр-кт, 18А</t>
  </si>
  <si>
    <t>Владимир г, Энергетик мкр, Северная ул, 4</t>
  </si>
  <si>
    <t>Владимир г, Энергетик мкр, Энергетиков ул, 25</t>
  </si>
  <si>
    <t>Владимир г, Энергетик мкр, Энергетиков ул, 27</t>
  </si>
  <si>
    <t>Владимир г, Энергетик мкр, Энергетиков ул, 27А</t>
  </si>
  <si>
    <t>Владимир г, Юрьевец мкр, Институтский городок, 28</t>
  </si>
  <si>
    <t>Владимир г, Юрьевец мкр, Михалькова ул, 8</t>
  </si>
  <si>
    <t>Владимир г, Юрьевец мкр, Ноябрьская ул, 8А</t>
  </si>
  <si>
    <t>Гусь-Хрустальный р-н, Добрятино п, 60 лет Октября ул, 8</t>
  </si>
  <si>
    <t>Кольчугино г, 3 Интернационала ул, 53</t>
  </si>
  <si>
    <t>Кольчугино г, Алексеева ул, 1а</t>
  </si>
  <si>
    <t>Кольчугино г, Белая Речка мкр, Родниковая ул, 45</t>
  </si>
  <si>
    <t>Кольчугино г, Белая Речка мкр, Школьная ул, 12</t>
  </si>
  <si>
    <t>Кольчугино г, Веденеева ул, 10</t>
  </si>
  <si>
    <t>Кольчугино г, Веденеева ул, 16</t>
  </si>
  <si>
    <t>Кольчугино г, Веденеева ул, 6</t>
  </si>
  <si>
    <t>Кольчугино г, Дружбы ул, 24</t>
  </si>
  <si>
    <t>Кольчугино г, Ленина ул, 10</t>
  </si>
  <si>
    <t>Кольчугино г, Ленина ул, 6</t>
  </si>
  <si>
    <t>Кольчугино г, Ульяновская ул, 27</t>
  </si>
  <si>
    <t>Кольчугино г, Шмелева ул, 16</t>
  </si>
  <si>
    <t>Муром г, Кленовая ул, 12а</t>
  </si>
  <si>
    <t>Муром г, Лакина ул, 41</t>
  </si>
  <si>
    <t>Муром г, Осипенко ул, 25</t>
  </si>
  <si>
    <t>Муром г, Осипенко ул, 30</t>
  </si>
  <si>
    <t>Муром г, Трудовая ул, 33</t>
  </si>
  <si>
    <t>Суздальский р-н, Кутуково с, Садовая ул, 7</t>
  </si>
  <si>
    <t>Судогодский р-н, Вяткино д, Докучаева ул, 10</t>
  </si>
  <si>
    <t>Камешковский р-н, Гатиха с, Военный городок ул, 19а</t>
  </si>
  <si>
    <t>Камешковский р-н, Гатиха с, Военный городок ул, 19в</t>
  </si>
  <si>
    <t>Камешковский р-н, Гатиха с, Военный городок ул, 19г</t>
  </si>
  <si>
    <t>Итого по Вольгинский</t>
  </si>
  <si>
    <t>Петушинский р-н, Вольгинский п, Новосеменковская ул, 21</t>
  </si>
  <si>
    <t>Владимир г, Василисина ул, 7</t>
  </si>
  <si>
    <t>Владимир г, Егорова ул, 10а</t>
  </si>
  <si>
    <t>Владимир г, Завадского ул, 9Б</t>
  </si>
  <si>
    <t>Владимир г, Кирова ул, 22</t>
  </si>
  <si>
    <t>Владимир г, Комиссарова ул, 28</t>
  </si>
  <si>
    <t>Владимир г, Куйбышева ул, 46</t>
  </si>
  <si>
    <t>Владимир г, Куйбышева ул, 52</t>
  </si>
  <si>
    <t>Владимир г, Лакина ул, 147А</t>
  </si>
  <si>
    <t>Владимир г, Оргтруд мкр, Молодежная ул, 13</t>
  </si>
  <si>
    <t>Владимир г, Оргтруд мкр, Молодежная ул, 7</t>
  </si>
  <si>
    <t>Владимир г, Оргтруд мкр, Строителей ул, 7</t>
  </si>
  <si>
    <t>Владимир г, Перекопский военный городок, 22</t>
  </si>
  <si>
    <t>Владимир г, Растопчина ул, 35</t>
  </si>
  <si>
    <t>Владимир г, Соколова-Соколенка ул, 28</t>
  </si>
  <si>
    <t>Владимир г, Соколова-Соколенка ул, 5б</t>
  </si>
  <si>
    <t>Владимир г, Строителей пр-кт, 14</t>
  </si>
  <si>
    <t>Владимир г, Строителей пр-кт, 32А</t>
  </si>
  <si>
    <t>Владимир г, Суворова ул, 1</t>
  </si>
  <si>
    <t>Владимир г, Суздальский пр-кт, 6</t>
  </si>
  <si>
    <t>Владимир г, Суздальский пр-кт, 9Б</t>
  </si>
  <si>
    <t>Владимир г, Сурикова ул, 15</t>
  </si>
  <si>
    <t>Владимир г, Сущевский проезд, 1</t>
  </si>
  <si>
    <t>Владимир г, Тихонравова ул, 10</t>
  </si>
  <si>
    <t>Владимир г, Тракторная ул, 3</t>
  </si>
  <si>
    <t>Владимир г, Тракторная ул, 9</t>
  </si>
  <si>
    <t>Владимир г, Усти-на-Лабе ул, 27</t>
  </si>
  <si>
    <t>Владимир г, Чайковского ул, 36Б</t>
  </si>
  <si>
    <t>Владимир г, Энергетик мкр, Энергетиков ул, 12Б</t>
  </si>
  <si>
    <t>Владимир г, Энергетик мкр, Энергетиков ул, 3А</t>
  </si>
  <si>
    <t>Владимир г, Юбилейная ул, 10</t>
  </si>
  <si>
    <t>Владимир г, Юбилейная ул, 26</t>
  </si>
  <si>
    <t>Владимир г, Юбилейная ул, 74</t>
  </si>
  <si>
    <t>Владимир г, Юрьевец мкр, Михалькова ул, 1</t>
  </si>
  <si>
    <t>Кольчугино г, 5 Линия Ленинского поселка ул, 1а</t>
  </si>
  <si>
    <t>Кольчугино г, 50 лет Октября ул, 5</t>
  </si>
  <si>
    <t>Кольчугино г, 50 лет Октября ул, 9</t>
  </si>
  <si>
    <t>Кольчугино г, Алексеева ул, 2</t>
  </si>
  <si>
    <t>Кольчугино г, Луговая ул, 8</t>
  </si>
  <si>
    <t>Кольчугино г, Шмелева ул, 14</t>
  </si>
  <si>
    <t>Кольчугино г, Щорса ул, 13</t>
  </si>
  <si>
    <t>Муром г, Заводская ул, 5</t>
  </si>
  <si>
    <t>Муром г, Ковровская ул, 2</t>
  </si>
  <si>
    <t>Муром г, Мечтателей ул, 10</t>
  </si>
  <si>
    <t>Муром г, Московская ул, 85А</t>
  </si>
  <si>
    <t>Гусь-Хрустальный г, Микрорайон ул, 45</t>
  </si>
  <si>
    <t>Ковров г, Абельмана ул, 139</t>
  </si>
  <si>
    <t>Ковров г, Абельмана ул, 139/2</t>
  </si>
  <si>
    <t>Ковров г, Восточный проезд, 14/3</t>
  </si>
  <si>
    <t>Ковров г, Еловая ул, 90/2</t>
  </si>
  <si>
    <t>Селивановский р-н, Красная Горбатка п, 2-я Заводская ул, 4</t>
  </si>
  <si>
    <t>Суздальский р-н, Павловское с, Школьная ул, 23</t>
  </si>
  <si>
    <t>Юрьев-Польский г, Садовый пер, 23</t>
  </si>
  <si>
    <t>Итого по Владимирской области по 2022 году:</t>
  </si>
  <si>
    <t>ООО УК "Наш дом"</t>
  </si>
  <si>
    <t>Вязники г, Нововязники мкр, Привокзальная ул, 59</t>
  </si>
  <si>
    <t>Получатель бюджетных средств - Некоммерческая организация "Фонд капитального ремонта многоквартирных домов Владимирской области" (далее - Некоммерческая организация)</t>
  </si>
  <si>
    <t xml:space="preserve">Получатель бюджетных средств - Некоммерческая организация (в рамках постановления администрации области от 05.10.2018 №742) </t>
  </si>
  <si>
    <t>в том числе: областной бюджет</t>
  </si>
  <si>
    <t xml:space="preserve">Получатель бюджетных средств - Некоммерческая организация </t>
  </si>
  <si>
    <t xml:space="preserve">Проведение капитального ремонта общего имущества в связи с возникновением аварии, иных чрезвычайных ситуаций природного или техногенного характера (постановление администрации Владимирской области от 14.08.2017 № 678) </t>
  </si>
  <si>
    <t>Владимир г, Юбилейная ул, 60</t>
  </si>
  <si>
    <t>Перечень многоквартирных домов, по которым предоставляется финансовая поддержка на замену лифтового оборудования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Губернатора области от 13.02.2014 № 111)</t>
  </si>
  <si>
    <t>СС</t>
  </si>
  <si>
    <t>ООО "УНИВЕРСАЛ СТРОЙ"</t>
  </si>
  <si>
    <t>Александров г, Терешковой ул, 11 корп. 2</t>
  </si>
  <si>
    <t>Киржач г, Морозовская ул, 126</t>
  </si>
  <si>
    <t>Владимир г, Балакирева ул, 39</t>
  </si>
  <si>
    <t>Киржачский р-н, Федоровское д, Советская ул, 4</t>
  </si>
  <si>
    <t>Владимир г, Тракторная ул, 11</t>
  </si>
  <si>
    <t>Владимир г, Энергетик мкр, Энергетиков ул, 4А</t>
  </si>
  <si>
    <t>Александров г, Вокзальный пер, 5</t>
  </si>
  <si>
    <t>Александров г, Гагарина ул, 25</t>
  </si>
  <si>
    <t>Александров г, Ленина ул, 17</t>
  </si>
  <si>
    <t>Гусь-Хрустальный г, Калинина ул, 50б</t>
  </si>
  <si>
    <t>Гусь-Хрустальный г, Осьмова ул, 25</t>
  </si>
  <si>
    <t>Гусь-Хрустальный г, Транспортная ул, 14</t>
  </si>
  <si>
    <t>Ковров г, Грибоедова ул, 5 корп. 2</t>
  </si>
  <si>
    <t>Кольчугино г, Дружбы ул, 25</t>
  </si>
  <si>
    <t>Муром г, 30 лет Победы ул, 6</t>
  </si>
  <si>
    <t>Муром г, Орловская ул, 17</t>
  </si>
  <si>
    <t>Вязники г, Дечинский мкр, 8</t>
  </si>
  <si>
    <t>Владимир г, 3-я Кольцевая ул, 10</t>
  </si>
  <si>
    <t>Владимир г, Батурина ул, 37Б</t>
  </si>
  <si>
    <t>Владимир г, Батурина ул, 37Г</t>
  </si>
  <si>
    <t>Владимир г, Безыменского ул, 26а</t>
  </si>
  <si>
    <t>Владимир г, Верхняя Дуброва ул, 38</t>
  </si>
  <si>
    <t>Владимир г, Верхняя Дуброва ул, 8</t>
  </si>
  <si>
    <t>Владимир г, Гастелло ул, 7Г</t>
  </si>
  <si>
    <t>Владимир г, Егорова ул, 12</t>
  </si>
  <si>
    <t>Владимир г, Комиссарова ул, 1Г</t>
  </si>
  <si>
    <t>Владимир г, Комиссарова ул, 22а</t>
  </si>
  <si>
    <t>Владимир г, Комиссарова ул, 37</t>
  </si>
  <si>
    <t>Владимир г, Комиссарова ул, 9</t>
  </si>
  <si>
    <t>Владимир г, Коммунар мкр, Песочная ул, 17а</t>
  </si>
  <si>
    <t>Владимир г, Коммунар мкр, Песочная ул, 19Б</t>
  </si>
  <si>
    <t>Владимир г, Крайнова ул, 12</t>
  </si>
  <si>
    <t>Владимир г, Лакина ул, 159А</t>
  </si>
  <si>
    <t>Владимир г, Мира ул, 15А</t>
  </si>
  <si>
    <t>Владимир г, Михайловская ул, 14</t>
  </si>
  <si>
    <t>Владимир г, Михайловская ул, 32</t>
  </si>
  <si>
    <t>Владимир г, Молодежная ул, 2</t>
  </si>
  <si>
    <t>Владимир г, Нижняя Дуброва ул, 28</t>
  </si>
  <si>
    <t>Владимир г, Нижняя Дуброва ул, 40</t>
  </si>
  <si>
    <t>Владимир г, Октябрьский пр-кт, 16</t>
  </si>
  <si>
    <t>Владимир г, Почаевская ул, 20</t>
  </si>
  <si>
    <t>Владимир г, Почаевская ул, 25</t>
  </si>
  <si>
    <t>Владимир г, Пугачева ул, 79</t>
  </si>
  <si>
    <t>Владимир г, Растопчина ул, 61Б</t>
  </si>
  <si>
    <t>Владимир г, Садовая ул, 12</t>
  </si>
  <si>
    <t>Владимир г, Северная ул, 26А</t>
  </si>
  <si>
    <t>Владимир г, Соколова-Соколенка ул, 24</t>
  </si>
  <si>
    <t>Владимир г, Солнечная ул, 54</t>
  </si>
  <si>
    <t>Владимир г, Стрелецкий пер, 3</t>
  </si>
  <si>
    <t>Владимир г, Строителей пр-кт, 2А</t>
  </si>
  <si>
    <t>Владимир г, Судогодское ш, 27ж</t>
  </si>
  <si>
    <t>Владимир г, Сурикова ул, 18</t>
  </si>
  <si>
    <t>Владимир г, Тракторная ул, 9Б</t>
  </si>
  <si>
    <t>Владимир г, Фейгина ул, 11/74</t>
  </si>
  <si>
    <t>Владимир г, Юбилейная ул, 70</t>
  </si>
  <si>
    <t>Владимир г, Юрьевец мкр, Строительный проезд, 11а</t>
  </si>
  <si>
    <t>Владимир г, 1-я Пионерская ул, 61А</t>
  </si>
  <si>
    <t>Владимир г, Безыменского ул, 1</t>
  </si>
  <si>
    <t>Владимир г, Безыменского ул, 9б</t>
  </si>
  <si>
    <t>Владимир г, Бобкова ул, 7</t>
  </si>
  <si>
    <t>Владимир г, Верхняя Дуброва ул, 32</t>
  </si>
  <si>
    <t>Владимир г, Горького ул, 79А</t>
  </si>
  <si>
    <t>Владимир г, Горького ул, 98</t>
  </si>
  <si>
    <t>Владимир г, Добросельская ул, 165а</t>
  </si>
  <si>
    <t>Владимир г, Добросельская ул, 191А</t>
  </si>
  <si>
    <t>Владимир г, Комиссарова ул, 1А</t>
  </si>
  <si>
    <t>Владимир г, Крайнова ул, 18</t>
  </si>
  <si>
    <t>Владимир г, Лакина ул, 171Б</t>
  </si>
  <si>
    <t>Владимир г, Лакина ул, 187А</t>
  </si>
  <si>
    <t>Владимир г, Лакина ул, 195</t>
  </si>
  <si>
    <t>Владимир г, Ленина пр-кт, 25</t>
  </si>
  <si>
    <t>Владимир г, Ленина пр-кт, 42а</t>
  </si>
  <si>
    <t>Владимир г, Нижняя Дуброва ул, 3</t>
  </si>
  <si>
    <t>Владимир г, Перекопский военный городок, 6а</t>
  </si>
  <si>
    <t>Владимир г, Разина ул, 12А</t>
  </si>
  <si>
    <t>Владимир г, Разина ул, 20</t>
  </si>
  <si>
    <t>Владимир г, Разина ул, 28</t>
  </si>
  <si>
    <t>Владимир г, Северная ул, 4</t>
  </si>
  <si>
    <t>Владимир г, Соколова-Соколенка ул, 11б</t>
  </si>
  <si>
    <t>Владимир г, Строителей пр-кт, 13Г</t>
  </si>
  <si>
    <t>Владимир г, Суворова ул, 5</t>
  </si>
  <si>
    <t>Владимир г, Суворова ул, 8</t>
  </si>
  <si>
    <t>Владимир г, Тихонравова ул, 6</t>
  </si>
  <si>
    <t>Владимир г, Университетская ул, 8А</t>
  </si>
  <si>
    <t>Владимир г, Фатьянова ул, 27А</t>
  </si>
  <si>
    <t>Владимир г, Энергетик мкр, Энергетиков ул, 2</t>
  </si>
  <si>
    <t>Владимир г, Юбилейная ул, 24</t>
  </si>
  <si>
    <t>Владимир г, Юрьевец мкр, Институтский городок, 14</t>
  </si>
  <si>
    <t>Владимир г, Юрьевец мкр, Михалькова ул, 5А</t>
  </si>
  <si>
    <t>Владимир г, Юрьевец мкр, Ноябрьская ул, 8Б</t>
  </si>
  <si>
    <t>Владимир г, Юрьевец мкр, Строительный проезд, 11</t>
  </si>
  <si>
    <t>Кольчугино г, Добровольского ул, 7</t>
  </si>
  <si>
    <t>Кольчугино г, Дружбы ул, 20</t>
  </si>
  <si>
    <t>Кольчугино г, Ульяновская ул, 33</t>
  </si>
  <si>
    <t>Кольчугино г, Чапаева ул, 1Б</t>
  </si>
  <si>
    <t>Кольчугино г, 3 Интернационала ул, 67</t>
  </si>
  <si>
    <t>Кольчугино г, 50 лет СССР ул, 4</t>
  </si>
  <si>
    <t>Кольчугино г, Белая Речка мкр, Школьная ул, 9</t>
  </si>
  <si>
    <t>Кольчугино г, Добровольского ул, 25</t>
  </si>
  <si>
    <t>Кольчугино г, Дружбы ул, 13</t>
  </si>
  <si>
    <t>Кольчугино г, Дружбы ул, 15</t>
  </si>
  <si>
    <t>Кольчугино г, Дружбы ул, 8а</t>
  </si>
  <si>
    <t>Кольчугино г, Ленина пл, 3</t>
  </si>
  <si>
    <t>Кольчугино г, Ломако ул, 14</t>
  </si>
  <si>
    <t>Кольчугино г, Ломако ул, 22</t>
  </si>
  <si>
    <t>Муром г, Дзержинского ул, 20</t>
  </si>
  <si>
    <t>Муром г, Ленинградская ул, 28</t>
  </si>
  <si>
    <t>Муром г, Ленинградская ул, 29</t>
  </si>
  <si>
    <t>Муром г, Орловская ул, 11</t>
  </si>
  <si>
    <t>Муром г, Свердлова ул, 35</t>
  </si>
  <si>
    <t>Муром г, Свердлова ул, 37</t>
  </si>
  <si>
    <t>Муром г, Чкалова ул, 12Б</t>
  </si>
  <si>
    <t>Муром г, Чкалова ул, 4Б</t>
  </si>
  <si>
    <t>Муром г, Щербакова ул, 12</t>
  </si>
  <si>
    <t>Муром г, Щербакова ул, 27</t>
  </si>
  <si>
    <t>Муром г, Экземплярского ул, 10</t>
  </si>
  <si>
    <t>Муром г, Экземплярского ул, 10 корп. 1</t>
  </si>
  <si>
    <t>Муром г, Серова ул, 38</t>
  </si>
  <si>
    <t>Гусь-Хрустальный г, 50 лет Советской Власти пр-кт, 24</t>
  </si>
  <si>
    <t>Гусь-Хрустальный г, Каховского ул, 5</t>
  </si>
  <si>
    <t>Гусь-Хрустальный г, Мичурина ул, 2</t>
  </si>
  <si>
    <t>Гусь-Хрустальный г, Муравьева-Апостола ул, 15</t>
  </si>
  <si>
    <t>Гусь-Хрустальный г, Муравьева-Апостола ул, 17</t>
  </si>
  <si>
    <t>Гусь-Хрустальный г, Окружная ул, 6</t>
  </si>
  <si>
    <t>Гусь-Хрустальный г, Теплицкий пр-кт, 10</t>
  </si>
  <si>
    <t>Гусь-Хрустальный г, Старых Большевиков ул, 17а</t>
  </si>
  <si>
    <t>Гусь-Хрустальный г, Транспортная ул, 18</t>
  </si>
  <si>
    <t>Ковров г, Дегтярева ул, 6</t>
  </si>
  <si>
    <t>Ковров г, Ковров-8 тер, 18</t>
  </si>
  <si>
    <t>Ковров г, Колхозная ул, 28</t>
  </si>
  <si>
    <t>Ковров г, Космонавтов ул, 12</t>
  </si>
  <si>
    <t>Ковров г, Космонавтов ул, 6/2</t>
  </si>
  <si>
    <t>Ковров г, Куйбышева ул, 3</t>
  </si>
  <si>
    <t>Ковров г, Лепсе ул, 4</t>
  </si>
  <si>
    <t>Ковров г, Лопатина ул, 13/1</t>
  </si>
  <si>
    <t>Ковров г, Малеева ул, 12</t>
  </si>
  <si>
    <t>Ковров г, Маяковского ул, 6</t>
  </si>
  <si>
    <t>Ковров г, Моховая ул, 1/7</t>
  </si>
  <si>
    <t>Ковров г, Муромская ул, 25</t>
  </si>
  <si>
    <t>Ковров г, Ногина пер, 8</t>
  </si>
  <si>
    <t>Ковров г, Подлесная ул, 23</t>
  </si>
  <si>
    <t>Ковров г, Сергея Лазо ул, 6</t>
  </si>
  <si>
    <t>Ковров г, Станиславского ул, 1/1</t>
  </si>
  <si>
    <t>Ковров г, Тимофея Павловского ул, 1</t>
  </si>
  <si>
    <t>Ковров г, Федорова ул, 95</t>
  </si>
  <si>
    <t>Ковров г, Федорова ул, 99</t>
  </si>
  <si>
    <t>Ковров г, Фурманова ул, 18</t>
  </si>
  <si>
    <t>Ковров г, Циолковского ул, 12</t>
  </si>
  <si>
    <t>Ковров г, Шмидта ул, 11</t>
  </si>
  <si>
    <t>Ковров г, Белинского ул, 1/3</t>
  </si>
  <si>
    <t>Ковров г, Волго-Донская ул, 29</t>
  </si>
  <si>
    <t>Ковров г, Волго-Донская ул, 31</t>
  </si>
  <si>
    <t>Ковров г, Еловая ул, 84/5</t>
  </si>
  <si>
    <t>Ковров г, Еловая ул, 86/3</t>
  </si>
  <si>
    <t>Ковров г, Еловая ул, 90/1</t>
  </si>
  <si>
    <t>Ковров г, Еловая ул, 94/2</t>
  </si>
  <si>
    <t>Ковров г, Строителей ул, 39/1</t>
  </si>
  <si>
    <t>Ковров г, Туманова ул, 15</t>
  </si>
  <si>
    <t>Ковров г, Федорова ул, 91/2</t>
  </si>
  <si>
    <t>Селивановский р-н, Красная Горбатка п, 2-я Заводская ул, 11</t>
  </si>
  <si>
    <t>Селивановский р-н, Красная Горбатка п, 2-я Заводская ул, 13</t>
  </si>
  <si>
    <t>Селивановский р-н, Красная Горбатка п, Новая ул, 108</t>
  </si>
  <si>
    <t>Селивановский р-н, Красная Горбатка п, Школьная ул, 26</t>
  </si>
  <si>
    <t>Юрьев-Польский г, Садовый пер, 1</t>
  </si>
  <si>
    <t>Юрьев-Польский г, Шибанкова ул, 89</t>
  </si>
  <si>
    <t>Александров г, Королева ул, 5</t>
  </si>
  <si>
    <t>Александров г, Кубасова ул, 9</t>
  </si>
  <si>
    <t>Александров г, Терешковой ул, 4</t>
  </si>
  <si>
    <t>Александровский р-н, Карабаново г, Победы ул, 4</t>
  </si>
  <si>
    <t>Александровский р-н, Карабаново г, Победы ул, 4А</t>
  </si>
  <si>
    <t>Вязники г, Ленина ул, 3</t>
  </si>
  <si>
    <t>Вязники г, Нововязники мкр, Механизаторов ул, 112</t>
  </si>
  <si>
    <t>Камешково г, Володарского ул, 6</t>
  </si>
  <si>
    <t>Камешково г, Дорофеичева ул, 7б</t>
  </si>
  <si>
    <t>Камешково г, Смурова ул, 9</t>
  </si>
  <si>
    <t>Камешково г, Рабочая ул, 8Б</t>
  </si>
  <si>
    <t>Камешково г, Свердлова ул, 17</t>
  </si>
  <si>
    <t>Камешково г, Совхозная ул, 19</t>
  </si>
  <si>
    <t>Камешково г, Школьная ул, 9</t>
  </si>
  <si>
    <t>Меленки г, Пролетарская ул, 37</t>
  </si>
  <si>
    <t>Меленки г, Пролетарская ул, 53</t>
  </si>
  <si>
    <t>Радужный г, 1-й кв-л, 33</t>
  </si>
  <si>
    <t>Радужный г, 3-й кв-л, 27</t>
  </si>
  <si>
    <t>Собинка г, Гагарина ул, 10</t>
  </si>
  <si>
    <t>Собинка г, Гоголя ул, 1А</t>
  </si>
  <si>
    <t>Собинка г, Гоголя ул, 3Б</t>
  </si>
  <si>
    <t>Собинка г, Гоголя ул, 5</t>
  </si>
  <si>
    <t>Собинка г, Лакина ул, 8</t>
  </si>
  <si>
    <t>Собинский р-н, Лакинск г, Лермонтова ул, 34</t>
  </si>
  <si>
    <t>Собинский р-н, Ставрово п, Комсомольская ул, 11</t>
  </si>
  <si>
    <t>Собинский р-н, Ставрово п, Юбилейная ул, 11</t>
  </si>
  <si>
    <t>Суздальский р-н, Садовый п, Владимирская ул, 15</t>
  </si>
  <si>
    <t>Суздальский р-н, Сновицы с, Школьная ул, 5</t>
  </si>
  <si>
    <t>Суздальский р-н, Сновицы с, Школьная ул, 6</t>
  </si>
  <si>
    <t>Суздальский р-н, Сокол п, 8</t>
  </si>
  <si>
    <t>Петушинский р-н, Вольгинский п, Новосеменковская ул, 19</t>
  </si>
  <si>
    <t>Петушинский р-н, Вольгинский п, Новосеменковская ул, 22</t>
  </si>
  <si>
    <t>Петушинский р-н, Городищи п, Советская ул, 19</t>
  </si>
  <si>
    <t>Суздаль г, Гоголя ул, 25</t>
  </si>
  <si>
    <t>Суздальский р-н, Боголюбово п, Садовая ул, 30б</t>
  </si>
  <si>
    <t>Информация по многоквартирным домам,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</si>
  <si>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Информация по многоквартирным домам, по которым предоставляется финансовая поддержка на замену лифтового оборудования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Губернатора области от 13.02.2014 № 111)</t>
  </si>
  <si>
    <t>Владимир г, Комиссарова ул, 69а</t>
  </si>
  <si>
    <t>ООО «Компания «Наш дом-3»</t>
  </si>
  <si>
    <t>Владимир г, Белоконской ул, 6</t>
  </si>
  <si>
    <t>Владимир г, Диктора Левитана ул, 51</t>
  </si>
  <si>
    <t>Владимир г, Сурикова ул, 11/32</t>
  </si>
  <si>
    <t>Получатель бюджетных средств - Некоммерческая организация (в рамках постановления Губернатора области от 13.02.2014 № 111, в отношении многоквартиных домов, формирующих фонд капитального ремонта на специальных счетах)</t>
  </si>
  <si>
    <t>Александровский р-н, Балакирево п, Юго-Западный кв-л, 17</t>
  </si>
  <si>
    <t>Александровский р-н, Балакирево п, Заводская ул, 2</t>
  </si>
  <si>
    <t>Александровский р-н, Балакирево п, Юго-Западный кв-л, 16</t>
  </si>
  <si>
    <t>Александровский р-н, Балакирево п, Заводская ул, 3</t>
  </si>
  <si>
    <t>Александровский р-н, Балакирево п, Радужный кв-л, 2</t>
  </si>
  <si>
    <t>Александровский р-н, Балакирево п, Юго-Западный кв-л, 19</t>
  </si>
  <si>
    <t>Александровский р-н, Балакирево п, Вокзальная ул, 10</t>
  </si>
  <si>
    <t>Александровский р-н, Балакирево п, Юго-Западный кв-л, 9</t>
  </si>
  <si>
    <t>Александровский р-н, Балакирево п, 60 лет Октября ул, 2</t>
  </si>
  <si>
    <t>Александровский р-н, Балакирево п, Юго-Западный кв-л, 8</t>
  </si>
  <si>
    <t>Александровский р-н, Балакирево п, Юго-Западный кв-л, 22</t>
  </si>
  <si>
    <t>Александровский р-н, Балакирево п, Юго-Западный кв-л, 7</t>
  </si>
  <si>
    <t>Александровский р-н, Балакирево п, Вокзальная ул, 13</t>
  </si>
  <si>
    <t>Александровский р-н, Балакирево п, Юго-Западный кв-л, 6</t>
  </si>
  <si>
    <t>Владимир г, Балакирева ул, 43а</t>
  </si>
  <si>
    <t>Владимир г, Безыменского ул, 5а</t>
  </si>
  <si>
    <t>Владимир г, Верхняя Дуброва ул, 29</t>
  </si>
  <si>
    <t>Владимир г, Егорова ул, 14</t>
  </si>
  <si>
    <t>Владимир г, Комиссарова ул, 41</t>
  </si>
  <si>
    <t>Владимир г, Куйбышева ул, 54</t>
  </si>
  <si>
    <t>Владимир г, Лакина проезд, 6</t>
  </si>
  <si>
    <t>Владимир г, Ленина пр-кт, 43</t>
  </si>
  <si>
    <t>Владимир г, Лесной мкр, Лесная ул, 1</t>
  </si>
  <si>
    <t>Владимир г, Лесной мкр, Лесная ул, 11</t>
  </si>
  <si>
    <t>Владимир г, Лесной мкр, Лесная ул, 2</t>
  </si>
  <si>
    <t>Владимир г, Лесной мкр, Лесная ул, 7</t>
  </si>
  <si>
    <t>Владимир г, Лесной мкр, Лесная ул, 9</t>
  </si>
  <si>
    <t>Владимир г, Строителей пр-кт, 16</t>
  </si>
  <si>
    <t>Владимир г, Строителей пр-кт, 28В</t>
  </si>
  <si>
    <t>Владимир г, Строителей пр-кт, 30В</t>
  </si>
  <si>
    <t>Владимир г, Студенческая ул, 4</t>
  </si>
  <si>
    <t>Владимир г, Юрьевец мкр, Михалькова ул, 3Б</t>
  </si>
  <si>
    <t>Владимир г, Безыменского ул, 20</t>
  </si>
  <si>
    <t>Владимир г, Лесной мкр, Лесная ул, 14</t>
  </si>
  <si>
    <t>Владимир г, Разина ул, 11</t>
  </si>
  <si>
    <t>Владимир г, Сурикова ул, 5</t>
  </si>
  <si>
    <t>Владимир г, Усти-на-Лабе ул, 2</t>
  </si>
  <si>
    <t>Владимир г, Усти-на-Лабе ул, 6</t>
  </si>
  <si>
    <t>Кольчугино г, 50 лет Октября ул, 12</t>
  </si>
  <si>
    <t>Кольчугино г, Белая Речка мкр, Новая ул, 3</t>
  </si>
  <si>
    <t>Кольчугино г, Веденеева ул, 18</t>
  </si>
  <si>
    <t>Кольчугино г, Добровольского ул, 23</t>
  </si>
  <si>
    <t>Кольчугино г, Октябрьская ул, 12</t>
  </si>
  <si>
    <t>Кольчугино г, Шмелева ул, 12</t>
  </si>
  <si>
    <t>Кольчугино г, Шмелева ул, 15</t>
  </si>
  <si>
    <t>Кольчугино г, Шмелева ул, 18</t>
  </si>
  <si>
    <t>Кольчугино г, Щербакова ул, 34</t>
  </si>
  <si>
    <t>Кольчугино г, Максимова ул, 23</t>
  </si>
  <si>
    <t>Кольчугино г, Максимова ул, 3</t>
  </si>
  <si>
    <t>Кольчугино г, Шмелева ул, 10</t>
  </si>
  <si>
    <t>Муром г, Владимирская ул, 1</t>
  </si>
  <si>
    <t>Ковров г, Колхозная ул, 29</t>
  </si>
  <si>
    <t>Ковров г, Пионерская ул, 2</t>
  </si>
  <si>
    <t>Камешково г, Совхозная ул, 20</t>
  </si>
  <si>
    <t>Камешково г, Смурова ул, 4</t>
  </si>
  <si>
    <t>Петушинский р-н, Вольгинский п, Новосеменковская ул, 11</t>
  </si>
  <si>
    <t>Петушинский р-н, Вольгинский п, Старовская ул, 27</t>
  </si>
  <si>
    <t>Юрьев-Польский г, Артиллерийская ул, 13</t>
  </si>
  <si>
    <t>Муром г, Свердлова ул, 38</t>
  </si>
  <si>
    <t>Александровский р-н, Карабаново г, Маяковского ул, 11</t>
  </si>
  <si>
    <t>Владимир г, Суздальский пр-кт, 29</t>
  </si>
  <si>
    <t>2020, 2022</t>
  </si>
  <si>
    <t>Муромский р-н, Муромский п, Кольцевая ул, 25</t>
  </si>
  <si>
    <t>Собинский р-н, Лакинск г, Мира ул, 100</t>
  </si>
  <si>
    <t xml:space="preserve">Итого по Владимирской области по 2022 году: </t>
  </si>
  <si>
    <t>Камешковский р-н, им Кирова п, Школьная ул, 25</t>
  </si>
  <si>
    <t>замена плоской кровли на  стропильную</t>
  </si>
  <si>
    <t>Итого по Владимирской области за период 2020-2022  годы</t>
  </si>
  <si>
    <t>Владимир г, Октябрьский военный городок, 21</t>
  </si>
  <si>
    <t>Владимир г, Ново-Ямская ул, 17А</t>
  </si>
  <si>
    <t>Владимир г, Добросельская ул, 183</t>
  </si>
  <si>
    <t>Владимир г, Оргтруд мкр, Строителей ул, 6</t>
  </si>
  <si>
    <t>Гусь-Хрустальный г, Коммунистическая ул, 2</t>
  </si>
  <si>
    <t>2020</t>
  </si>
  <si>
    <t>Ковров г, Восточная ул, 52/6</t>
  </si>
  <si>
    <t>Муром г, Карачаровское ш, 30Д</t>
  </si>
  <si>
    <t>Суздальский р-н, Садовый п, Строителей ул, 3</t>
  </si>
  <si>
    <t>2021</t>
  </si>
  <si>
    <t>Владимир г, Белоконской ул, 12Б</t>
  </si>
  <si>
    <t>Владимир г, Горького ул, 27</t>
  </si>
  <si>
    <t>Владимир г, Коммунар мкр, Песочная ул, 19</t>
  </si>
  <si>
    <t>Владимир г, Коммунар мкр, Песочная ул, 2д</t>
  </si>
  <si>
    <t>Владимир г, Крайнова ул, 14</t>
  </si>
  <si>
    <t>Владимир г, Красноармейская ул, 43к</t>
  </si>
  <si>
    <t>Владимир г, Лакина ул, 139Б</t>
  </si>
  <si>
    <t>Владимир г, Ленина пр-кт, 40</t>
  </si>
  <si>
    <t>Владимир г, Ленина пр-кт, 48</t>
  </si>
  <si>
    <t>Владимир г, Мира ул, 15Б</t>
  </si>
  <si>
    <t>Владимир г, Мира ул, 2</t>
  </si>
  <si>
    <t>Владимир г, Мира ул, 22А</t>
  </si>
  <si>
    <t>Владимир г, Мира ул, 9</t>
  </si>
  <si>
    <t>Владимир г, Михайловская ул, 8</t>
  </si>
  <si>
    <t>Владимир г, Нижняя Дуброва ул, 21</t>
  </si>
  <si>
    <t>Владимир г, Ново-Ямская ул, 31А</t>
  </si>
  <si>
    <t>Владимир г, Офицерская ул, 11А</t>
  </si>
  <si>
    <t>Владимир г, Растопчина ул, 61а пристрой</t>
  </si>
  <si>
    <t>Владимир г, Сакко и Ванцетти ул, 23</t>
  </si>
  <si>
    <t>Владимир г, Судогодское ш, 23г</t>
  </si>
  <si>
    <t>Владимир г, Судогодское ш, 29и</t>
  </si>
  <si>
    <t>Владимир г, Сурикова ул, 10А</t>
  </si>
  <si>
    <t>Владимир г, Сурикова ул, 10Б</t>
  </si>
  <si>
    <t>Владимир г, Тихонравова ул, 13</t>
  </si>
  <si>
    <t>Владимир г, Балакирева ул, 53</t>
  </si>
  <si>
    <t>Владимир г, Белоконской ул, 13Б</t>
  </si>
  <si>
    <t>Владимир г, Верхняя Дуброва ул, 6</t>
  </si>
  <si>
    <t>Владимир г, Комиссарова ул, 6</t>
  </si>
  <si>
    <t>Владимир г, Коммунар мкр, Зеленая ул, 53а</t>
  </si>
  <si>
    <t>Владимир г, Коммунар мкр, Зеленая ул, 66</t>
  </si>
  <si>
    <t>Владимир г, Михайловская ул, 16</t>
  </si>
  <si>
    <t>Владимир г, Ново-Ямская ул, 17</t>
  </si>
  <si>
    <t>Владимир г, Ново-Ямская ул, 19</t>
  </si>
  <si>
    <t>Владимир г, Растопчина ул, 21</t>
  </si>
  <si>
    <t>Владимир г, Северная ул, 24</t>
  </si>
  <si>
    <t>Владимир г, Соколова-Соколенка ул, 27</t>
  </si>
  <si>
    <t>Владимир г, Строителей пр-кт, 46В</t>
  </si>
  <si>
    <t>Владимир г, Студенческая ул, 12</t>
  </si>
  <si>
    <t>Владимир г, Суздальский пр-кт, 17</t>
  </si>
  <si>
    <t>Владимир г, Тракторная ул, 1</t>
  </si>
  <si>
    <t>Владимир г, Усти-на-Лабе ул, 27А</t>
  </si>
  <si>
    <t>Владимир г, Усти-на-Лабе ул, 36</t>
  </si>
  <si>
    <t>Владимир г, Юрьевец мкр, Михалькова ул, 1А</t>
  </si>
  <si>
    <t>Владимир г, Василисина ул, 12</t>
  </si>
  <si>
    <t>Владимир г, Диктора Левитана ул, 53</t>
  </si>
  <si>
    <t>Владимир г, Западная ул, 57</t>
  </si>
  <si>
    <t>Владимир г, Коммунар мкр, Песочная ул, 7</t>
  </si>
  <si>
    <t>Владимир г, Кремлевская ул, 10</t>
  </si>
  <si>
    <t>Владимир г, Пугачева ул, 60А</t>
  </si>
  <si>
    <t>Владимир г, Соколова-Соколенка ул, 21б</t>
  </si>
  <si>
    <t>Владимир г, Строителей пр-кт, 24Б</t>
  </si>
  <si>
    <t>Кольчугино г, 3 Интернационала ул, 51</t>
  </si>
  <si>
    <t>Кольчугино г, Веденеева ул, 8</t>
  </si>
  <si>
    <t>Кольчугино г, Дружбы ул, 27</t>
  </si>
  <si>
    <t>Кольчугино г, Ленина пл, 6</t>
  </si>
  <si>
    <t>Кольчугино г, 3 Линия Леспромхоза ул, 2</t>
  </si>
  <si>
    <t>Кольчугино г, Белая Речка мкр, Молодежная ул, 3</t>
  </si>
  <si>
    <t>Кольчугино г, Белая Речка мкр, Молодежная ул, 5</t>
  </si>
  <si>
    <t>Кольчугино г, Белая Речка мкр, Новая ул, 6</t>
  </si>
  <si>
    <t>Кольчугино г, Белая Речка мкр, Школьная ул, 11</t>
  </si>
  <si>
    <t>Кольчугино г, Дружбы ул, 11</t>
  </si>
  <si>
    <t>Кольчугино г, Ломако ул, 18</t>
  </si>
  <si>
    <t>Кольчугино г, Белая Речка мкр, Молодежная ул, 4</t>
  </si>
  <si>
    <t>Кольчугино г, Ломако ул, 34</t>
  </si>
  <si>
    <t>Кольчугино г, Максимова ул, 15</t>
  </si>
  <si>
    <t>Муром г, Орловская ул, 15</t>
  </si>
  <si>
    <t>Муром г, Артема ул, 29</t>
  </si>
  <si>
    <t>Муром г, Артема ул, 40</t>
  </si>
  <si>
    <t>Муром г, Владимирская ул, 26</t>
  </si>
  <si>
    <t>Муром г, Карла Маркса ул, 66</t>
  </si>
  <si>
    <t>Муром г, Кленовая ул, 3/3</t>
  </si>
  <si>
    <t>Муром г, Лакина ул, 66</t>
  </si>
  <si>
    <t>Муром г, Ленина ул, 65</t>
  </si>
  <si>
    <t>Муромский р-н, Механизаторов п, 70</t>
  </si>
  <si>
    <t>Муром г, Московская ул, 111В</t>
  </si>
  <si>
    <t>Муром г, Совхозная ул, 64 корп. 2</t>
  </si>
  <si>
    <t>Муром г, Владимирская ул, 5</t>
  </si>
  <si>
    <t>Муром г, Карачаровское ш, 26</t>
  </si>
  <si>
    <t>Муром г, Льва Толстого ул, 18</t>
  </si>
  <si>
    <t>Муром г, Льва Толстого ул, 20</t>
  </si>
  <si>
    <t>Муром г, Московская ул, 118</t>
  </si>
  <si>
    <t>Муром г, Расковой ул, 48</t>
  </si>
  <si>
    <t>Муром г, Дзержинского ул, 50</t>
  </si>
  <si>
    <t>Муром г, Лакина ул, 64</t>
  </si>
  <si>
    <t>Муром г, Мечтателей ул, 6</t>
  </si>
  <si>
    <t>Муром г, Московская ул, 25</t>
  </si>
  <si>
    <t>Гусь-Хрустальный г, Интернациональная ул, 42А</t>
  </si>
  <si>
    <t>Гусь-Хрустальный г, Интернациональная ул, 46</t>
  </si>
  <si>
    <t>Гусь-Хрустальный г, Каховского ул, 2</t>
  </si>
  <si>
    <t>Гусь-Хрустальный г, Курловская ул, 33</t>
  </si>
  <si>
    <t>Гусь-Хрустальный г, Маяковского ул, 7</t>
  </si>
  <si>
    <t>Гусь-Хрустальный г, Муравьева-Апостола ул, 14</t>
  </si>
  <si>
    <t>Гусь-Хрустальный г, Окружная ул, 4</t>
  </si>
  <si>
    <t>Гусь-Хрустальный г, Садовая ул, 51</t>
  </si>
  <si>
    <t>Гусь-Хрустальный г, 2-ая Народная ул, 4а</t>
  </si>
  <si>
    <t>Гусь-Хрустальный г, Иркутская ул, 26а</t>
  </si>
  <si>
    <t>Гусь-Хрустальный г, Менделеева ул, 21</t>
  </si>
  <si>
    <t>Гусь-Хрустальный г, Теплицкий пр-кт, 21</t>
  </si>
  <si>
    <t>Ковров г, Зои Космодемьянской ул, 5/3</t>
  </si>
  <si>
    <t>Ковров г, Куйбышева ул, 16/2</t>
  </si>
  <si>
    <t>Ковров г, Моховая ул, 1/6</t>
  </si>
  <si>
    <t>Ковров г, Моховая ул, 2/11</t>
  </si>
  <si>
    <t>Ковров г, Блинова ул, 76</t>
  </si>
  <si>
    <t>Ковров г, Дзержинского ул, 2</t>
  </si>
  <si>
    <t>Ковров г, Калинина ул, 8</t>
  </si>
  <si>
    <t>Ковров г, Киркижа ул, 12</t>
  </si>
  <si>
    <t>Ковров г, Киркижа ул, 20А</t>
  </si>
  <si>
    <t>Ковров г, Комсомольская ул, 100</t>
  </si>
  <si>
    <t>Ковров г, Космонавтов ул, 2</t>
  </si>
  <si>
    <t>Ковров г, Космонавтов ул, 4/2</t>
  </si>
  <si>
    <t>Ковров г, Космонавтов ул, 6/3</t>
  </si>
  <si>
    <t>Ковров г, Космонавтов ул, 6/5</t>
  </si>
  <si>
    <t>Ковров г, Куйбышева ул, 16</t>
  </si>
  <si>
    <t>Ковров г, Куйбышева ул, 5</t>
  </si>
  <si>
    <t>Ковров г, Ленина пр-кт, 3</t>
  </si>
  <si>
    <t>Ковров г, Лопатина ул, 13/5</t>
  </si>
  <si>
    <t>Ковров г, Муромская ул, 11</t>
  </si>
  <si>
    <t>Ковров г, Набережная ул, 5</t>
  </si>
  <si>
    <t>Ковров г, Пионерская ул, 12</t>
  </si>
  <si>
    <t>Ковров г, Подлесная ул, 22а</t>
  </si>
  <si>
    <t>Ковров г, Сергея Лазо ул, 4/1</t>
  </si>
  <si>
    <t>Ковров г, Урожайная ул, 100</t>
  </si>
  <si>
    <t>Ковров г, Восточная ул, 54</t>
  </si>
  <si>
    <t>Ковров г, Еловая ул, 86/1</t>
  </si>
  <si>
    <t>Ковров г, Еловая ул, 86/7</t>
  </si>
  <si>
    <t>Ковров г, Кирова ул, 71</t>
  </si>
  <si>
    <t>Ковров г, Лопатина ул, 13/4</t>
  </si>
  <si>
    <t>Ковров г, Набережная 2-я ул, 10</t>
  </si>
  <si>
    <t>Ковров г, Разина ул, 3</t>
  </si>
  <si>
    <t>Ковров г, Туманова ул, 8а</t>
  </si>
  <si>
    <t>Ковров г, Щорса ул, 1</t>
  </si>
  <si>
    <t>Ковров г, Восточный проезд, 14/4</t>
  </si>
  <si>
    <t>Ковров г, Грибоедова ул, 117</t>
  </si>
  <si>
    <t>Ковров г, Грибоедова ул, 28</t>
  </si>
  <si>
    <t>Ковров г, Димитрова ул, 20</t>
  </si>
  <si>
    <t>Ковров г, Колхозная ул, 32</t>
  </si>
  <si>
    <t>Ковров г, Комсомольская ул, 36</t>
  </si>
  <si>
    <t>Ковров г, Космонавтов ул, 2/4</t>
  </si>
  <si>
    <t>Ковров г, Лопатина ул, 21 корп. 1</t>
  </si>
  <si>
    <t>Ковров г, Муромская ул, 23</t>
  </si>
  <si>
    <t>Ковров г, Парковая ул, 2</t>
  </si>
  <si>
    <t>Ковров г, Подлесная ул, 22б</t>
  </si>
  <si>
    <t>Ковров г, Фурманова ул, 31</t>
  </si>
  <si>
    <t>Ковров г, Щорса ул, 23</t>
  </si>
  <si>
    <t>Александров г, Восстания 1905 г ул, 1</t>
  </si>
  <si>
    <t>Александров г, Королева ул, 8</t>
  </si>
  <si>
    <t>Александров г, Октябрьская ул, 4</t>
  </si>
  <si>
    <t>Александров г, Октябрьская ул, 8</t>
  </si>
  <si>
    <t>Александров г, Свердлова ул, 36</t>
  </si>
  <si>
    <t>Александров г, Ческа-Липа ул, 6</t>
  </si>
  <si>
    <t>Александров г, Энтузиастов ул, 19</t>
  </si>
  <si>
    <t>Александров г, Гагарина ул, 23 корп. 3</t>
  </si>
  <si>
    <t>Александров г, Терешковой ул, 13</t>
  </si>
  <si>
    <t>Александров г, Ленина ул, 7</t>
  </si>
  <si>
    <t>Александровский р-н, Карабаново г, Победы ул, 1</t>
  </si>
  <si>
    <t>Вязники г, 1 Мая ул, 27</t>
  </si>
  <si>
    <t>Вязники г, Владимирская ул, 7</t>
  </si>
  <si>
    <t>Вязники г, Металлистов ул, 13</t>
  </si>
  <si>
    <t>Вязники г, Чехова ул, 27</t>
  </si>
  <si>
    <t>Камешково г, Дорофеичева ул, 8</t>
  </si>
  <si>
    <t>Меленки г, Маяковского ул, 26</t>
  </si>
  <si>
    <t>Радужный г, 1-й кв-л, 14</t>
  </si>
  <si>
    <t>Радужный г, 1-й кв-л, 21</t>
  </si>
  <si>
    <t>Радужный г, 1-й кв-л, 36</t>
  </si>
  <si>
    <t>Радужный г, 3-й кв-л, 4</t>
  </si>
  <si>
    <t>Радужный г, 1-й кв-л, 30</t>
  </si>
  <si>
    <t>Радужный г, 1-й кв-л, 31</t>
  </si>
  <si>
    <t>Радужный г, 3-й кв-л, 8</t>
  </si>
  <si>
    <t>Собинка г, Лакина ул, 7</t>
  </si>
  <si>
    <t>Собинка г, Молодежная ул, 3</t>
  </si>
  <si>
    <t>Собинка г, Некрасова ул, 2Г</t>
  </si>
  <si>
    <t>Собинка г, Родниковская ул, 24</t>
  </si>
  <si>
    <t>Собинка г, Гагарина ул, 6</t>
  </si>
  <si>
    <t>Собинка г, Мира ул, 7</t>
  </si>
  <si>
    <t>Собинский р-н, Лакинск г, Лермонтова ул, 40</t>
  </si>
  <si>
    <t>Собинский р-н, Лакинск г, 21 Партсъезда ул, 14</t>
  </si>
  <si>
    <t>Суздальский р-н, Сновицы с, Вознесенская ул, 2А</t>
  </si>
  <si>
    <t>Петушинский р-н, Городищи п, Советская ул, 23</t>
  </si>
  <si>
    <t>Петушинский р-н, Городищи п, Октябрьская-2 ул, 31</t>
  </si>
  <si>
    <t>Суздаль г, Советская ул, 23</t>
  </si>
  <si>
    <t>Юрьев-Польский г, Луговая ул, 25</t>
  </si>
  <si>
    <t>Юрьев-Польский г, Свободы ул, 22</t>
  </si>
  <si>
    <t>Киржач г, Текстильщиков ул, 5</t>
  </si>
  <si>
    <t>Киржач г, Чехова ул, 12</t>
  </si>
  <si>
    <t>Ковровский р-н, Ручей д, Центральная ул, 10</t>
  </si>
  <si>
    <t>Судогда г, Коммунистическая ул, 9</t>
  </si>
  <si>
    <t>Суздальский р-н, Гавриловское с, Школьная ул, 1</t>
  </si>
  <si>
    <t>Суздальский р-н, Гавриловское с, Школьная ул, 2</t>
  </si>
  <si>
    <t>Суздальский р-н, Гавриловское с, Школьная ул, 3</t>
  </si>
  <si>
    <t>Суздальский р-н, Гавриловское с, Школьная ул, 4</t>
  </si>
  <si>
    <t>Суздальский р-н, Гавриловское с, Школьная ул, 5</t>
  </si>
  <si>
    <t>Кольчугинский р-н, Бавлены п, Полевая ул, 2</t>
  </si>
  <si>
    <t>Ковровский р-н, Мелехово пгт, Первомайская ул, 68</t>
  </si>
  <si>
    <t>Ковровский р-н, Мелехово пгт, Первомайская ул, 70</t>
  </si>
  <si>
    <t>Петушинский р-н, Покров г, Пролетарская ул, 9</t>
  </si>
  <si>
    <t>Итого по Владимирской области в 2022 году:</t>
  </si>
  <si>
    <t>Владимир г, Лакина ул, 193</t>
  </si>
  <si>
    <t>Владимир г, Лакина ул, 171А</t>
  </si>
  <si>
    <t>Владимир г, Асаткина ул, 30</t>
  </si>
  <si>
    <t>Камешковский р-н, им Карла Маркса п, Шоссейная ул, 21</t>
  </si>
  <si>
    <t>ООО "НАДЕЖДА"</t>
  </si>
  <si>
    <t>Итого по Владимирской области в 2022 году</t>
  </si>
  <si>
    <t>МУП Г ВЛАДИМИРА "ГУК"</t>
  </si>
  <si>
    <t>Кольчугино г, Шмелева ул, 1</t>
  </si>
  <si>
    <t>Владимир г, Верхняя Дуброва ул, 36</t>
  </si>
  <si>
    <t>Владимир г, Комиссарова ул, 69</t>
  </si>
  <si>
    <t>Владимир г, Куйбышева ул, 40</t>
  </si>
  <si>
    <t>Владимир г, Лакина ул, 185</t>
  </si>
  <si>
    <t>Владимир г, Музейная ул, 13</t>
  </si>
  <si>
    <t>Владимир г, Октябрьский военный городок, 22</t>
  </si>
  <si>
    <t>Владимир г, Перекопский военный городок, 30</t>
  </si>
  <si>
    <t>Владимир г, Перекопский военный городок, 31</t>
  </si>
  <si>
    <t>Владимир г, Сурикова ул, 16</t>
  </si>
  <si>
    <t>Владимир г, Энергетик мкр, Энергетиков ул, 5А</t>
  </si>
  <si>
    <t>Владимир г, Юрьевец мкр, Михалькова ул, 13</t>
  </si>
  <si>
    <t>Кольчугино г, Дружбы ул, 26</t>
  </si>
  <si>
    <t>Кольчугино г, Шмелева ул, 4</t>
  </si>
  <si>
    <t>Кольчугино г, Шмелева ул, 7</t>
  </si>
  <si>
    <t>Муром г, Трудовая ул, 21</t>
  </si>
  <si>
    <t>Ковров г, Дорожная ул, 11</t>
  </si>
  <si>
    <t>Суздальский р-н, Новое с, Молодежная ул, 6</t>
  </si>
  <si>
    <t>Владимир г, Белоконской ул, 18</t>
  </si>
  <si>
    <t>Владимир г, Верхняя Дуброва ул, 28В</t>
  </si>
  <si>
    <t>Владимир г, Верхняя Дуброва ул, 9</t>
  </si>
  <si>
    <t>Владимир г, Гастелло ул, 7А</t>
  </si>
  <si>
    <t>Владимир г, Комиссарова ул, 1Б</t>
  </si>
  <si>
    <t>Владимир г, Лакина ул, 167А</t>
  </si>
  <si>
    <t>Владимир г, Лакина ул, 173А</t>
  </si>
  <si>
    <t>Владимир г, Лакина ул, 189</t>
  </si>
  <si>
    <t>Владимир г, Василисина ул, 4а</t>
  </si>
  <si>
    <t>Муром г, Трудовая ул, 35</t>
  </si>
  <si>
    <t>Кольчугино г, 50 лет Октября ул, 11</t>
  </si>
  <si>
    <t>Кольчугино г, Дружбы ул, 29</t>
  </si>
  <si>
    <t>Кольчугино г, Луговая ул, 9</t>
  </si>
  <si>
    <t>Кольчугино г, Максимова ул, 11</t>
  </si>
  <si>
    <t>Кольчугино г, Шмелева ул, 11</t>
  </si>
  <si>
    <t>Ковров г, Жуковского ул, 3</t>
  </si>
  <si>
    <t>Селивановский р-н, Красная Горбатка п, Комсомольская ул, 74</t>
  </si>
  <si>
    <t>Суздальский р-н, Садовый п, Центральная ул, 2</t>
  </si>
  <si>
    <t>Меленки г, Академика Королева ул, 2</t>
  </si>
  <si>
    <t>ООО "УПРАВЛЯЮЩАЯ КОМПАНИЯ"</t>
  </si>
  <si>
    <t>за счет средств Фонда</t>
  </si>
  <si>
    <t>Итого по Владимирской области на 2022 год</t>
  </si>
  <si>
    <t>Владимир г, Соколова-Соколенка ул, 25</t>
  </si>
  <si>
    <t>Владимир г, Суздальский пр-кт, 27</t>
  </si>
  <si>
    <t>Кольчугино г, Алексеева ул, 3А</t>
  </si>
  <si>
    <t>Кольчугино г, Белая Речка мкр, Молодежная ул, 1</t>
  </si>
  <si>
    <t>6 473,7</t>
  </si>
  <si>
    <t>ООО "Наш дом"</t>
  </si>
  <si>
    <t>ООО "ЖИЛИЩНИК"</t>
  </si>
  <si>
    <t>ТСЖ "РИТМ"</t>
  </si>
  <si>
    <t>Собинка г, Мира ул, 8</t>
  </si>
  <si>
    <t>Ковров г, Шмидта ул, 9</t>
  </si>
  <si>
    <t>Владимир г, Горького ул, 56</t>
  </si>
  <si>
    <t>ООО УК "Теплый Дом"</t>
  </si>
  <si>
    <t>Итого по поселок Уршельский</t>
  </si>
  <si>
    <t>Александров г, Лермонтова ул, 12</t>
  </si>
  <si>
    <t>Гусь-Хрустальный р-н, Уршельский п, Московская ул, 5а</t>
  </si>
  <si>
    <t>Муромский р-н, Пестенькино д, Центральная ул, 52</t>
  </si>
  <si>
    <t>ООО УК "ТЕПЛОСЕРВИС"</t>
  </si>
  <si>
    <t>МУП "ЖКХ п.Тасинский Бор"</t>
  </si>
  <si>
    <t>ООО "РТЭК"</t>
  </si>
  <si>
    <t>Собинка г, Рабочий пр-кт, 5/12</t>
  </si>
  <si>
    <t>ЖСК-164</t>
  </si>
  <si>
    <t>поселок Уршельский</t>
  </si>
  <si>
    <t>Кольчугинский р-н, Бавлены п, Лесная ул, 2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</si>
  <si>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2020-2022 годы
за счет средств регионального оператора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</si>
  <si>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2020-2022 годы
за счет средств регионального оператора * **</t>
  </si>
  <si>
    <t>Владимир г, Разина ул, 22</t>
  </si>
  <si>
    <t>Ковров г, Еловая ул, 96</t>
  </si>
  <si>
    <t>Ковров г, Зои Космодемьянской ул, 30/1</t>
  </si>
  <si>
    <t>Ковров г, Зои Космодемьянской ул, 30/2</t>
  </si>
  <si>
    <t>Ковров г, Комсомольская ул, 102</t>
  </si>
  <si>
    <t>Ковров г, Мира пр-кт, 4</t>
  </si>
  <si>
    <t>Ковров г, Пролетарская ул, 14</t>
  </si>
  <si>
    <t>Ковров г, Сергея Лазо ул, 6/1</t>
  </si>
  <si>
    <t>Ковров г, Строителей ул, 24</t>
  </si>
  <si>
    <t>Ковров г, Федорова ул, 101</t>
  </si>
  <si>
    <t>Ковров г, Циолковского ул, 3</t>
  </si>
  <si>
    <t>Муром г, Владимирская ул, 3а</t>
  </si>
  <si>
    <t>Муром г, Осипенко ул, 9</t>
  </si>
  <si>
    <t>Радужный г, 1-й кв-л, 34</t>
  </si>
  <si>
    <t>Александров г, Горького ул, 1</t>
  </si>
  <si>
    <t>Александров г, Горького ул, 9</t>
  </si>
  <si>
    <t>Александров г, Красный Переулок ул, 25 корп. 1</t>
  </si>
  <si>
    <t>Александров г, Красный Переулок ул, 23</t>
  </si>
  <si>
    <t>Вязники г, Ефимьево ул, 1</t>
  </si>
  <si>
    <t>Ковров г, Краснознаменная ул, 9</t>
  </si>
  <si>
    <t>Кирпичные</t>
  </si>
  <si>
    <t>ООО «Ресурс»</t>
  </si>
  <si>
    <t>ТСЖ "Луч"</t>
  </si>
  <si>
    <t>ТСЖ "Союз"</t>
  </si>
  <si>
    <t>ТСЖ "Мир"</t>
  </si>
  <si>
    <t>ООО УК "ЖКО Роско"</t>
  </si>
  <si>
    <t>ТСЖ "Авангард"</t>
  </si>
  <si>
    <t>ТСЖ "Ефимьево 1"</t>
  </si>
  <si>
    <t>Владимир г, Куйбышева ул, 36а</t>
  </si>
  <si>
    <t>Владимир г, Студенческая ул, 6</t>
  </si>
  <si>
    <t>Владимир г, Юрьевец мкр, Михалькова ул, 6</t>
  </si>
  <si>
    <t>Владимир г, Чапаева ул, 3</t>
  </si>
  <si>
    <t>Владимир г, Тихонравова ул, 3</t>
  </si>
  <si>
    <t>Владимир г, Добросельская ул, 167а</t>
  </si>
  <si>
    <t>Владимир г, Северная ул, 5</t>
  </si>
  <si>
    <t>ООО "ЖИЛИЩНИК-ВЛАДИМИР"</t>
  </si>
  <si>
    <t>ООО "КОМПАНИЯ "НАШ ДОМ-3"</t>
  </si>
  <si>
    <t>ООО "ЖИЛИЩНАЯ КОМПАНИЯ"</t>
  </si>
  <si>
    <t>ООО "РЕСУРС"</t>
  </si>
  <si>
    <t>ЖСК №148</t>
  </si>
  <si>
    <t>ООО "ЖИЛРЕМСТРОЙ"</t>
  </si>
  <si>
    <t>Киржач г, Красный Октябрь мкр, Октябрьская ул, 11а</t>
  </si>
  <si>
    <t>Киржач г, Островского ул, 18</t>
  </si>
  <si>
    <t>Киржач г, Чехова ул, 3</t>
  </si>
  <si>
    <t>Киржач г, Красный Октябрь мкр, Пушкина ул, 5</t>
  </si>
  <si>
    <t>Киржач г, Красный Октябрь мкр, Фурманова ул, 4</t>
  </si>
  <si>
    <t>Киржачский р-н, Кипрево д, Лесная ул, 1</t>
  </si>
  <si>
    <t>Киржачский р-н, Федоровское д, Советская ул, 6</t>
  </si>
  <si>
    <t>Петушинский р-н, Вольгинский п, Новосеменковская ул, 29</t>
  </si>
  <si>
    <t>Владимир г, Соколова-Соколенка ул, 21а</t>
  </si>
  <si>
    <t>Владимир г, Фатьянова ул, 16</t>
  </si>
  <si>
    <t>Владимир г, Балакирева ул, 37Б</t>
  </si>
  <si>
    <t>Владимир г, Ставровская ул, 6</t>
  </si>
  <si>
    <t>Владимир г, Верхняя Дуброва ул, 38Г</t>
  </si>
  <si>
    <t>Кольчугино г, Дружбы ул, 30</t>
  </si>
  <si>
    <t>Ковров г, Московская ул, 5</t>
  </si>
  <si>
    <t>Ковров г, Полевая ул, 2</t>
  </si>
  <si>
    <t>Ковров г, Островского ул, 75</t>
  </si>
  <si>
    <t>Меленки г, Коминтерна ул, 106</t>
  </si>
  <si>
    <t>Владимир г, Северная ул, 108</t>
  </si>
  <si>
    <t>Владимир г, Строителей пр-кт, 1А</t>
  </si>
  <si>
    <t>Владимир г, Суворова ул, 9а</t>
  </si>
  <si>
    <t>Владимир г, Фатьянова ул, 2</t>
  </si>
  <si>
    <t>2022</t>
  </si>
  <si>
    <t>Владимир г, Верхняя Дуброва ул, 26Ж</t>
  </si>
  <si>
    <t>Владимир г, Коммунар мкр, Песочная ул, 19Г</t>
  </si>
  <si>
    <t>Владимир г, Ленина пр-кт, 5А</t>
  </si>
  <si>
    <t>Владимир г, Нижняя Дуброва ул, 35</t>
  </si>
  <si>
    <t>Владимир г, Балакирева ул, 25</t>
  </si>
  <si>
    <t>Владимир г, Балакирева ул, 25а</t>
  </si>
  <si>
    <t>Владимир г, Растопчина ул, 39</t>
  </si>
  <si>
    <t>Владимир г, Балакирева ул, 35</t>
  </si>
  <si>
    <t>Владимир г, Лакина ул, 137</t>
  </si>
  <si>
    <t>Владимир г, Строителей пр-кт, 46</t>
  </si>
  <si>
    <t>Владимир г, Зеленая ул, 2</t>
  </si>
  <si>
    <t>Муром г, Мечникова ул, 49</t>
  </si>
  <si>
    <t>Муром г, Автодора ул, 40</t>
  </si>
  <si>
    <t>Муром г, Карачаровское ш, 28</t>
  </si>
  <si>
    <t>Муром г, Кооперативная ул, 10А</t>
  </si>
  <si>
    <t>Муром г, Чкалова ул, 8Б</t>
  </si>
  <si>
    <t>Муром г, Трудовая ул, 41</t>
  </si>
  <si>
    <t>Муром г, Лаврентьева ул, 46</t>
  </si>
  <si>
    <t>Гусь-Хрустальный г, 50 лет Советской Власти пр-кт, 31</t>
  </si>
  <si>
    <t>Гусь-Хрустальный г, Мезиновская ул, 16</t>
  </si>
  <si>
    <t>Гусь-Хрустальный г, Чайковского ул, 4</t>
  </si>
  <si>
    <t>Кольчугино г, Веденеева ул, 1</t>
  </si>
  <si>
    <t>Кольчугино г, 50 лет Октября ул, 30</t>
  </si>
  <si>
    <t>Кольчугино г, Добровольского ул, 5</t>
  </si>
  <si>
    <t>Кольчугино г, Дружбы ул, 10</t>
  </si>
  <si>
    <t>Кольчугино г, Московская ул, 58</t>
  </si>
  <si>
    <t>Кольчугино г, Дружбы ул, 18А</t>
  </si>
  <si>
    <t>Кольчугино г, 3 Интернационала ул, 62</t>
  </si>
  <si>
    <t>Александров г, Энтузиастов ул, 17</t>
  </si>
  <si>
    <t>Александров г, Первомайская ул, 50</t>
  </si>
  <si>
    <t>Александров г, Терешковой ул, 11 корп. 4</t>
  </si>
  <si>
    <t>Александров г, Юбилейная ул, 2 корп. 2</t>
  </si>
  <si>
    <t>Ковров г, Гастелло ул, 16</t>
  </si>
  <si>
    <t>Ковров г, Московская ул, 8</t>
  </si>
  <si>
    <t>Ковров г, Абельмана ул, 18</t>
  </si>
  <si>
    <t>Ковров г, Бабушкина ул, 11</t>
  </si>
  <si>
    <t>Ковров г, Грибоедова ул, 125А</t>
  </si>
  <si>
    <t>Ковров г, Жуковского ул, 1</t>
  </si>
  <si>
    <t>Ковров г, Подлесная ул, 19</t>
  </si>
  <si>
    <t>Ковров г, Циолковского ул, 21</t>
  </si>
  <si>
    <t>Ковров г, Ленина пр-кт, 10А</t>
  </si>
  <si>
    <t>Ковров г, Долинная ул, 1</t>
  </si>
  <si>
    <t>Ковров г, Восточная ул, 52/7</t>
  </si>
  <si>
    <t>Ковров г, МОПРа ул, 24</t>
  </si>
  <si>
    <t>Камешково г, Ленина ул, 8</t>
  </si>
  <si>
    <t>Камешково г, Смурова ул, 11</t>
  </si>
  <si>
    <t>Камешково г, Ленина ул, 3</t>
  </si>
  <si>
    <t>Радужный г, 1-й кв-л, 4</t>
  </si>
  <si>
    <t>Радужный г, 3-й кв-л, 35</t>
  </si>
  <si>
    <t>Радужный г, 3-й кв-л, 6</t>
  </si>
  <si>
    <t>Собинка г, Красноборская ул, 1А</t>
  </si>
  <si>
    <t>Собинка г, Фабричная ул, 2А</t>
  </si>
  <si>
    <t>Собинский р-н, Лакинск г, Красноармейская ул, 1А</t>
  </si>
  <si>
    <t>Собинский р-н, Ставрово п, Комсомольская ул, 14</t>
  </si>
  <si>
    <t>Юрьев-Польский г, Шибанкова ул, 118</t>
  </si>
  <si>
    <t>Юрьев-Польский г, Шибанкова ул, 91</t>
  </si>
  <si>
    <t>Кольчугинский р-н, Бавлены п, Лесная ул, 1</t>
  </si>
  <si>
    <t>Владимир г, Никитина ул, 6</t>
  </si>
  <si>
    <t>Владимир г, Усти-на-Лабе ул, 13/19</t>
  </si>
  <si>
    <t>Владимир г, Добросельская ул, 201Б</t>
  </si>
  <si>
    <t>Ковров г, Строителей ул, 22/2</t>
  </si>
  <si>
    <t>Ковров г, Зои Космодемьянской ул, 3/1</t>
  </si>
  <si>
    <t>Ковров г, Комсомольская ул, 34/2</t>
  </si>
  <si>
    <t>Ковров г, Муромская ул, 23/3</t>
  </si>
  <si>
    <t>Ковров г, Сосновая ул, 15/1</t>
  </si>
  <si>
    <t>Владимир г, Лесной мкр, Лесная ул, 5</t>
  </si>
  <si>
    <t>Владимир г, Почаевская ул, 2б</t>
  </si>
  <si>
    <t>Владимир г, Разина ул, 7А</t>
  </si>
  <si>
    <t>Кольчугино г, Ленина ул, 9</t>
  </si>
  <si>
    <t>Ковров г, Грибоедова ул, 7/2</t>
  </si>
  <si>
    <t>Ковров г, Куйбышева ул, 4/1</t>
  </si>
  <si>
    <t>Ковров г, Космонавтов ул, 4/5</t>
  </si>
  <si>
    <t>Ковров г, Муромская ул, 25/3</t>
  </si>
  <si>
    <t>Ковров г, Зои Космодемьянской ул, 1/10</t>
  </si>
  <si>
    <t>Ковров г, Зои Космодемьянской ул, 7/1</t>
  </si>
  <si>
    <t>Ковров г, Моховая ул, 2/5</t>
  </si>
  <si>
    <t>Владимир г, Перекопский военный городок, 1</t>
  </si>
  <si>
    <t>Владимир г, 850-летия ул, 7</t>
  </si>
  <si>
    <t>Владимир г, Балакирева ул, 43б</t>
  </si>
  <si>
    <t>Владимир г, Балакирева ул, 43г</t>
  </si>
  <si>
    <t>Владимир г, Безыменского ул, 11Б</t>
  </si>
  <si>
    <t>Владимир г, Безыменского ул, 4А</t>
  </si>
  <si>
    <t>Владимир г, Верхняя Дуброва ул, 12</t>
  </si>
  <si>
    <t>Владимир г, Горького ул, 89</t>
  </si>
  <si>
    <t>Владимир г, Добросельская ул, 189а</t>
  </si>
  <si>
    <t>Владимир г, Добросельская ул, 211</t>
  </si>
  <si>
    <t>Владимир г, Егорова ул, 10</t>
  </si>
  <si>
    <t>Владимир г, Егорова ул, 5</t>
  </si>
  <si>
    <t>Владимир г, Жуковского ул, 8</t>
  </si>
  <si>
    <t>Владимир г, Завадского ул, 5</t>
  </si>
  <si>
    <t>Владимир г, Комиссарова ул, 26</t>
  </si>
  <si>
    <t>Владимир г, Комиссарова ул, 37а</t>
  </si>
  <si>
    <t>Владимир г, Комиссарова ул, 4а</t>
  </si>
  <si>
    <t>Владимир г, Красноармейская ул, 24А</t>
  </si>
  <si>
    <t>Владимир г, Красноармейская ул, 42</t>
  </si>
  <si>
    <t>Владимир г, Куйбышева ул, 36</t>
  </si>
  <si>
    <t>Владимир г, Лакина ул, 129А</t>
  </si>
  <si>
    <t>Владимир г, Лакина ул, 129Б</t>
  </si>
  <si>
    <t>Владимир г, Лакина ул, 159</t>
  </si>
  <si>
    <t>Владимир г, Лакина ул, 177</t>
  </si>
  <si>
    <t>Владимир г, Ленина пр-кт, 17</t>
  </si>
  <si>
    <t>Владимир г, Ленина пр-кт, 18А</t>
  </si>
  <si>
    <t>Владимир г, Лесной мкр, Лесная ул, 4</t>
  </si>
  <si>
    <t>Владимир г, Оргтруд мкр, Молодежная ул, 14</t>
  </si>
  <si>
    <t>Владимир г, Перекопский военный городок, 27</t>
  </si>
  <si>
    <t>Владимир г, Перекопский военный городок, 6</t>
  </si>
  <si>
    <t>Владимир г, Пичугина ул, 11Б</t>
  </si>
  <si>
    <t>Владимир г, Соколова-Соколенка ул, 5</t>
  </si>
  <si>
    <t>Владимир г, Строителей пр-кт, 16А</t>
  </si>
  <si>
    <t>Владимир г, Строителей пр-кт, 42А</t>
  </si>
  <si>
    <t>Владимир г, Строителей пр-кт, 44Г</t>
  </si>
  <si>
    <t>Владимир г, Строителей пр-кт, 46Б</t>
  </si>
  <si>
    <t>Владимир г, Суздальский пр-кт, 15</t>
  </si>
  <si>
    <t>Владимир г, Сущевская ул, 4</t>
  </si>
  <si>
    <t>Владимир г, Токарева ул, 1Г</t>
  </si>
  <si>
    <t>Владимир г, Университетская ул, 12</t>
  </si>
  <si>
    <t>Владимир г, Фатьянова ул, 26</t>
  </si>
  <si>
    <t>Владимир г, Энергетик мкр, Северная ул, 2</t>
  </si>
  <si>
    <t>Владимир г, Энергетик мкр, Энергетиков ул, 14Б</t>
  </si>
  <si>
    <t>Владимир г, Юбилейная ул, 6</t>
  </si>
  <si>
    <t>Владимир г, Юрьевец мкр, Михалькова ул, 3</t>
  </si>
  <si>
    <t>Владимир г, Юрьевец мкр, Михалькова ул, 3В</t>
  </si>
  <si>
    <t>Муром г, Артема ул, 11</t>
  </si>
  <si>
    <t>Муром г, Дзержинского ул, 10</t>
  </si>
  <si>
    <t>Муром г, Ковровская ул, 14</t>
  </si>
  <si>
    <t>Муром г, Куликова ул, 22</t>
  </si>
  <si>
    <t>Муром г, Льва Толстого ул, 80</t>
  </si>
  <si>
    <t>Муром г, Радиозаводское ш, 44</t>
  </si>
  <si>
    <t>Гусь-Хрустальный г, Маяковского ул, 5а</t>
  </si>
  <si>
    <t>Гусь-Хрустальный г, Полевая ул, 5</t>
  </si>
  <si>
    <t>Гусь-Хрустальный г, Свердлова ул, 2а</t>
  </si>
  <si>
    <t>Гусь-Хрустальный г, Теплицкий пр-кт, 2/7</t>
  </si>
  <si>
    <t>Гусь-Хрустальный г, Теплицкий пр-кт, 35</t>
  </si>
  <si>
    <t>Гусь-Хрустальный г, Транспортная ул, 16б</t>
  </si>
  <si>
    <t>Кольчугино г, 50 лет СССР ул, 8</t>
  </si>
  <si>
    <t>Кольчугино г, Веденеева ул, 5</t>
  </si>
  <si>
    <t>Кольчугино г, Дружбы ул, 13а</t>
  </si>
  <si>
    <t>Кольчугино г, Инициативная ул, 14</t>
  </si>
  <si>
    <t>Кольчугино г, Мира ул, 24</t>
  </si>
  <si>
    <t>Александров г, Красный Переулок ул, 17 корп. 1</t>
  </si>
  <si>
    <t>Александров г, Красный Переулок ул, 21</t>
  </si>
  <si>
    <t>Ковров г, 5 Декабря ул, 22/1</t>
  </si>
  <si>
    <t>Ковров г, Зои Космодемьянской ул, 5/2</t>
  </si>
  <si>
    <t>Ковров г, Космонавтов ул, 2/2</t>
  </si>
  <si>
    <t>Ковров г, Космонавтов ул, 4/4</t>
  </si>
  <si>
    <t>Ковров г, Ватутина ул, 45</t>
  </si>
  <si>
    <t>Ковров г, Волго-Донская ул, 23</t>
  </si>
  <si>
    <t>Ковров г, Волго-Донская ул, 7б</t>
  </si>
  <si>
    <t>Ковров г, Еловая ул, 84/6</t>
  </si>
  <si>
    <t>Ковров г, Еловая ул, 86/4</t>
  </si>
  <si>
    <t>Ковров г, Ленина пр-кт, 59</t>
  </si>
  <si>
    <t>Ковров г, Летняя ул, 23</t>
  </si>
  <si>
    <t>Ковров г, Строителей ул, 35</t>
  </si>
  <si>
    <t>Ковров г, Фурманова ул, 33</t>
  </si>
  <si>
    <t>Камешково г, Ногина ул, 18</t>
  </si>
  <si>
    <t>Камешково г, Школьная ул, 5</t>
  </si>
  <si>
    <t>Собинский р-н, Ставрово п, Юбилейная ул, 15</t>
  </si>
  <si>
    <t>Селивановский р-н, Красная Горбатка п, 1-я Заводская ул, 2</t>
  </si>
  <si>
    <t>Селивановский р-н, Красная Горбатка п, Свободы ул, 71</t>
  </si>
  <si>
    <t>Камешковский р-н, им Максима Горького п, Шоссейная ул, 3</t>
  </si>
  <si>
    <t>Петушинский р-н, Вольгинский п, Новосеменковская ул, 1</t>
  </si>
  <si>
    <t>Петушинский р-н, Вольгинский п, Новосеменковская ул, 9</t>
  </si>
  <si>
    <t>Селивановский р-н, Новлянка п, Молодежная ул, 13</t>
  </si>
  <si>
    <t>Киржач г, Б. Московская ул, 1а</t>
  </si>
  <si>
    <t>Александров г, Совхоз "Правда" ул, 32</t>
  </si>
  <si>
    <t>Александров г, Совхоз "Правда" ул, 37</t>
  </si>
  <si>
    <t>Александров г, Совхоз "Правда" ул, 27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</si>
  <si>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</si>
  <si>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ремонта внутридомовых инженерных систем теплоснабжения</t>
  </si>
  <si>
    <t>,</t>
  </si>
  <si>
    <t>Кольчугино г, Дружбы ул, 4А</t>
  </si>
  <si>
    <t>Владимир г, Верхняя Дуброва ул, 21</t>
  </si>
  <si>
    <t>Владимир г, Горького ул, 117</t>
  </si>
  <si>
    <t>Владимир г, Горького ул, 93</t>
  </si>
  <si>
    <t>Владимир г, Добросельская ул, 189</t>
  </si>
  <si>
    <t>Владимир г, Егорова ул, 8</t>
  </si>
  <si>
    <t>Владимир г, Завадского ул, 3</t>
  </si>
  <si>
    <t>Владимир г, Кирова ул, 19</t>
  </si>
  <si>
    <t>Владимир г, Нижняя Дуброва ул, 5</t>
  </si>
  <si>
    <t>Владимир г, Ново-Ямская ул, 29</t>
  </si>
  <si>
    <t>Владимир г, Перекопский военный городок, 4</t>
  </si>
  <si>
    <t>Владимир г, Почаевская ул, 3</t>
  </si>
  <si>
    <t>Владимир г, Соколова-Соколенка ул, 6а</t>
  </si>
  <si>
    <t>Владимир г, Стрелецкая ул, 3</t>
  </si>
  <si>
    <t>Владимир г, Строителей ул, 8</t>
  </si>
  <si>
    <t>Владимир г, Суздальский пр-кт, 24</t>
  </si>
  <si>
    <t>Владимир г, Энергетик мкр, Северная ул, 11</t>
  </si>
  <si>
    <t>Владимир г, Юбилейная ул, 16А</t>
  </si>
  <si>
    <t>Муром г, Артема ул, 55</t>
  </si>
  <si>
    <t>Муром г, Комсомольская ул, 7</t>
  </si>
  <si>
    <t>Муром г, Комсомольский пер, 10</t>
  </si>
  <si>
    <t>Муром г, Кооперативная ул, 12</t>
  </si>
  <si>
    <t>Муром г, Кооперативный проезд, 6</t>
  </si>
  <si>
    <t>Муром г, Лаврентьева ул, 50</t>
  </si>
  <si>
    <t>Муром г, Ленина ул, 131а</t>
  </si>
  <si>
    <t>Муром г, Ленинградская ул, 34/1</t>
  </si>
  <si>
    <t>Муром г, Октябрьская ул, 54</t>
  </si>
  <si>
    <t>Муром г, Серова ул, 30</t>
  </si>
  <si>
    <t>Гусь-Хрустальный г, Теплицкий пр-кт, 32</t>
  </si>
  <si>
    <t>Кольчугино г, 50 лет Октября ул, 15</t>
  </si>
  <si>
    <t>Кольчугино г, 50 лет Октября ул, 24</t>
  </si>
  <si>
    <t>Кольчугино г, 6 Линия Ленинского поселка ул, 28</t>
  </si>
  <si>
    <t>Кольчугино г, Ленина ул, 11</t>
  </si>
  <si>
    <t>Кольчугино г, Мира ул, 7</t>
  </si>
  <si>
    <t>Кольчугино г, Чапаева ул, 1в</t>
  </si>
  <si>
    <t>Кольчугино г, Щербакова ул, 32</t>
  </si>
  <si>
    <t>Ковров г, Блинова ул, 76/1</t>
  </si>
  <si>
    <t>Ковров г, Волго-Донская ул, 11А</t>
  </si>
  <si>
    <t>Ковров г, Восточная ул, 52/9</t>
  </si>
  <si>
    <t>Ковров г, Грибоедова ул, 7/1</t>
  </si>
  <si>
    <t>Ковров г, Киркижа ул, 8</t>
  </si>
  <si>
    <t>Ковров г, Кирова ул, 67</t>
  </si>
  <si>
    <t>Ковров г, Ленина пр-кт, 19</t>
  </si>
  <si>
    <t>Ковров г, Ленина пр-кт, 2</t>
  </si>
  <si>
    <t>Ковров г, Туманова ул, 29</t>
  </si>
  <si>
    <t>Вязники г, 1 Мая ул, 33/21</t>
  </si>
  <si>
    <t>Камешково г, Крупской ул, 10В</t>
  </si>
  <si>
    <t>Камешково г, Ленина ул, 5</t>
  </si>
  <si>
    <t>Юрьев-Польский г, Луговая ул, 23А</t>
  </si>
  <si>
    <t>Селивановский р-н, Красная Горбатка п, Красноармейская ул, 18</t>
  </si>
  <si>
    <t>Ковровский р-н, Малыгино п, Юбилейная ул, 67</t>
  </si>
  <si>
    <t>Ковровский р-н, Малыгино п, Юбилейная ул, 68</t>
  </si>
  <si>
    <t>Петушинский р-н, Городищи п, Октябрьская-2 ул, 29</t>
  </si>
  <si>
    <t>Петушинский р-н, Городищи п, Советская ул, 36</t>
  </si>
  <si>
    <t>Петушинский р-н, Покров г, 3 Интернационала ул, 59</t>
  </si>
  <si>
    <t>Ковровский р-н, Мелехово п, Советская ул, 14</t>
  </si>
  <si>
    <t>Гусь-Хрустальный г, Микрорайон ул, 32</t>
  </si>
  <si>
    <t>Муром г, Энгельса ул, 1А</t>
  </si>
  <si>
    <t>Собинский р-н, Ставрово п, Комсомольская ул, 7</t>
  </si>
  <si>
    <t>Владимир г, Горького ул, 96</t>
  </si>
  <si>
    <t>Владимир г, Юрьевец мкр, Михалькова ул, 15</t>
  </si>
  <si>
    <t>Владимир г, Горького ул, 131</t>
  </si>
  <si>
    <t>Ковров г, Грибоедова ул, 30</t>
  </si>
  <si>
    <t>Владимир г, 1-я Кольцевая ул, 28а</t>
  </si>
  <si>
    <t>Владимир г, 1-я Пионерская ул, 38</t>
  </si>
  <si>
    <t>Владимир г, 1-я Пионерская ул, 64</t>
  </si>
  <si>
    <t>Владимир г, Балакирева ул, 37Г</t>
  </si>
  <si>
    <t>Владимир г, Василисина ул, 16</t>
  </si>
  <si>
    <t>Владимир г, Василисина ул, 18а</t>
  </si>
  <si>
    <t>Владимир г, Василисина ул, 8Б</t>
  </si>
  <si>
    <t>Владимир г, Горького ул, 91</t>
  </si>
  <si>
    <t>Владимир г, Добросельская ул, 193б</t>
  </si>
  <si>
    <t>Владимир г, Коммунар мкр, Зеленая ул, 58</t>
  </si>
  <si>
    <t>Владимир г, Коммунар мкр, Зеленая ул, 60</t>
  </si>
  <si>
    <t>Владимир г, Коммунар мкр, Песочная ул, 4</t>
  </si>
  <si>
    <t>Владимир г, Лакина ул, 139А</t>
  </si>
  <si>
    <t>Владимир г, Ленина пр-кт, 38</t>
  </si>
  <si>
    <t>Владимир г, Лермонтова ул, 21б</t>
  </si>
  <si>
    <t>Владимир г, Луговая ул, 20</t>
  </si>
  <si>
    <t>Владимир г, Михайловская ул, 10А</t>
  </si>
  <si>
    <t>Владимир г, Михайловская ул, 57</t>
  </si>
  <si>
    <t>Владимир г, Никитина ул, 7</t>
  </si>
  <si>
    <t>Владимир г, Ново-Ямская ул, 21А</t>
  </si>
  <si>
    <t>Владимир г, Ново-Ямской пер, 6</t>
  </si>
  <si>
    <t>Владимир г, Пичугина ул, 12А</t>
  </si>
  <si>
    <t>Владимир г, Почаевская ул, 26</t>
  </si>
  <si>
    <t>Владимир г, Почаевская ул, 5</t>
  </si>
  <si>
    <t>Владимир г, Растопчина ул, 1г</t>
  </si>
  <si>
    <t>Владимир г, Растопчина ул, 53а</t>
  </si>
  <si>
    <t>Владимир г, Ставровская ул, 2</t>
  </si>
  <si>
    <t>Владимир г, Студеная Гора ул, 34А</t>
  </si>
  <si>
    <t>Владимир г, Университетская ул, 9</t>
  </si>
  <si>
    <t>Владимир г, Чайковского ул, 34А</t>
  </si>
  <si>
    <t>Владимир г, Юбилейная ул, 8</t>
  </si>
  <si>
    <t>Владимир г, Юрьевец мкр, Славная ул, 17</t>
  </si>
  <si>
    <t>Муром г, Воровского ул, 67</t>
  </si>
  <si>
    <t>Муром г, Куйбышева ул, 34</t>
  </si>
  <si>
    <t>Муром г, Меленковская ул, 3</t>
  </si>
  <si>
    <t>Муром г, Мечникова ул, 65</t>
  </si>
  <si>
    <t>Муром г, Щербакова ул, 17</t>
  </si>
  <si>
    <t>Гусь-Хрустальный г, Интернациональная ул, 44</t>
  </si>
  <si>
    <t>Гусь-Хрустальный г, Каховского ул, 12</t>
  </si>
  <si>
    <t>Гусь-Хрустальный г, Маяковского ул, 6/23</t>
  </si>
  <si>
    <t>Гусь-Хрустальный г, Менделеева ул, 19Б</t>
  </si>
  <si>
    <t>Гусь-Хрустальный г, Муравьева-Апостола ул, 13</t>
  </si>
  <si>
    <t>Гусь-Хрустальный г, Муравьева-Апостола ул, 16</t>
  </si>
  <si>
    <t>Гусь-Хрустальный г, Торфяная ул, 13</t>
  </si>
  <si>
    <t>Гусь-Хрустальный г, Чайковского ул, 11</t>
  </si>
  <si>
    <t>Гусь-Хрустальный г, Чайковского ул, 17</t>
  </si>
  <si>
    <t>Кольчугино г, Веденеева ул, 2А</t>
  </si>
  <si>
    <t>Кольчугино г, Дружбы ул, 6А</t>
  </si>
  <si>
    <t>Александров г, Коссович ул, 8</t>
  </si>
  <si>
    <t>Александров г, Лермонтова ул, 24</t>
  </si>
  <si>
    <t>Ковров г, Бабушкина ул, 10</t>
  </si>
  <si>
    <t>Ковров г, Брюсова ул, 56</t>
  </si>
  <si>
    <t>Ковров г, Дегтярева ул, 18</t>
  </si>
  <si>
    <t>Ковров г, Димитрова ул, 57</t>
  </si>
  <si>
    <t>Ковров г, Зои Космодемьянской ул, 1/6</t>
  </si>
  <si>
    <t>Ковров г, Киркижа ул, 22</t>
  </si>
  <si>
    <t>Ковров г, Колхозная ул, 27</t>
  </si>
  <si>
    <t>Ковров г, Лепсе ул, 11</t>
  </si>
  <si>
    <t>Ковров г, Пионерская ул, 16</t>
  </si>
  <si>
    <t>Ковров г, Подлесная ул, 12</t>
  </si>
  <si>
    <t>Ковров г, Социалистическая ул, 13</t>
  </si>
  <si>
    <t>Ковров г, Строителей ул, 27/1</t>
  </si>
  <si>
    <t>Ковров г, Фурманова ул, 14</t>
  </si>
  <si>
    <t>Ковров г, Чкалова ул, 48/2</t>
  </si>
  <si>
    <t>Вязники г, Владимирская ул, 9</t>
  </si>
  <si>
    <t>Вязники г, Дечинский мкр, 4</t>
  </si>
  <si>
    <t>Вязники г, Ленина ул, 13</t>
  </si>
  <si>
    <t>Камешково г, Дорофеичева ул, 11</t>
  </si>
  <si>
    <t>Меленки г, Конышева ул, 2</t>
  </si>
  <si>
    <t>Собинка г, Гагарина ул, 8А</t>
  </si>
  <si>
    <t>Собинка г, Гоголя ул, 3</t>
  </si>
  <si>
    <t>Собинка г, Лакина ул, 11</t>
  </si>
  <si>
    <t>Собинка г, Мира ул, 2а</t>
  </si>
  <si>
    <t>Собинка г, Рабочий пр-кт, 15</t>
  </si>
  <si>
    <t>Собинка г, Родниковская ул, 19</t>
  </si>
  <si>
    <t>Собинка г, Чайковского ул, 10</t>
  </si>
  <si>
    <t>Собинка г, Чайковского ул, 12</t>
  </si>
  <si>
    <t>Собинский р-н, Лакинск г, Горького ул, 14</t>
  </si>
  <si>
    <t>Собинский р-н, Лакинск г, Лермонтова ул, 43</t>
  </si>
  <si>
    <t>Собинский р-н, Лакинск г, Парижской Коммуны ул, 29</t>
  </si>
  <si>
    <t>Суздальский р-н, Садовый п, Владимирская ул, 19</t>
  </si>
  <si>
    <t>Юрьев-Польский г, Луговая ул, 27</t>
  </si>
  <si>
    <t>Юрьев-Польский г, Садовый пер, 31</t>
  </si>
  <si>
    <t>Юрьев-Польский г, Садовый пер, 33</t>
  </si>
  <si>
    <t>Киржач г, Красный Октябрь мкр, Калинина ул, 66</t>
  </si>
  <si>
    <t>Киржач г, Красный Октябрь мкр, Солнечный кв-л, 3</t>
  </si>
  <si>
    <t>Киржач г, Томаровича ул, 9</t>
  </si>
  <si>
    <t>Кольчугинский р-н, Бавлены п, Лесная ул, 3</t>
  </si>
  <si>
    <t>Итого по Струнино</t>
  </si>
  <si>
    <t>Александровский р-н, Струнино г, Дзержинского ул, 5</t>
  </si>
  <si>
    <t>Александровский р-н, Струнино г, Шувалова ул, 7а</t>
  </si>
  <si>
    <t>Камешковский р-н, Сергеиха д, Фрунзе ул, 114</t>
  </si>
  <si>
    <t>Камешковский р-н, Сергеиха д, Фрунзе ул, 115</t>
  </si>
  <si>
    <t>Петушки г, Московская ул, 40</t>
  </si>
  <si>
    <t>Суздаль г, Гоголя ул, 21</t>
  </si>
  <si>
    <t>Владимир г, Стрелецкий мыс ул, 3</t>
  </si>
  <si>
    <t>Ковров г, Восточная ул, 52/3</t>
  </si>
  <si>
    <t>Ковров г, Зои Космодемьянской ул, 1/3</t>
  </si>
  <si>
    <t>Ковров г, Зои Космодемьянской ул, 1/5</t>
  </si>
  <si>
    <t>Ковров г, Космонавтов ул, 2/3</t>
  </si>
  <si>
    <t>Ковров г, Космонавтов ул, 4/6</t>
  </si>
  <si>
    <t>Ковров г, Куйбышева ул, 16/1</t>
  </si>
  <si>
    <t>Ковров г, Лопатина ул, 21/1</t>
  </si>
  <si>
    <t>Ковров г, Муромская ул, 25/2</t>
  </si>
  <si>
    <t>Ковров г, Муромская ул, 35/2</t>
  </si>
  <si>
    <t>Ковров г, Строителей ул, 15/1</t>
  </si>
  <si>
    <t>Ковров г, Строителей ул, 22/1</t>
  </si>
  <si>
    <t xml:space="preserve">к приказу Министерства жилищно-коммунального хозяйства Владимирской области </t>
  </si>
  <si>
    <t>Владимир г, Верхняя Дуброва ул, 22Б</t>
  </si>
  <si>
    <t>Ковров г, Грибоедова ул, 5/2</t>
  </si>
  <si>
    <t>Муром г, Автодора ул, 44</t>
  </si>
  <si>
    <t>ремонт внутридомовых инженерных систем теплоснабжения с заменой отопительных приборов (радиаторов)  в местах общего пользования и отопительных приборов (радиаторов), расположенных в жилых помещениях, не имеющих отключающих устройств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</si>
</sst>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_р_._-;\-* #,##0.00_р_._-;_-* &quot;-&quot;??_р_._-;_-@_-"/>
    <numFmt numFmtId="165" formatCode="_-* #,##0.00\ _₽_-;\-* #,##0.00\ _₽_-;_-* &quot;-&quot;??\ _₽_-;_-@_-"/>
    <numFmt numFmtId="166" formatCode="[$-419]General"/>
    <numFmt numFmtId="167" formatCode="###\ ###\ ###\ ##0.00"/>
    <numFmt numFmtId="168" formatCode="###\ ###\ ###\ ##0"/>
    <numFmt numFmtId="169" formatCode="[$-419]#,##0.00"/>
  </numFmts>
  <fonts count="6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36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24"/>
      <color theme="1"/>
      <name val="Calibri"/>
      <family val="2"/>
      <charset val="204"/>
      <scheme val="minor"/>
    </font>
    <font>
      <b/>
      <sz val="36"/>
      <color indexed="81"/>
      <name val="Tahoma"/>
      <family val="2"/>
      <charset val="204"/>
    </font>
    <font>
      <sz val="48"/>
      <color rgb="FF000000"/>
      <name val="Tahoma"/>
      <family val="2"/>
      <charset val="204"/>
    </font>
    <font>
      <sz val="36"/>
      <color rgb="FF000000"/>
      <name val="Tahoma"/>
      <family val="2"/>
      <charset val="204"/>
    </font>
    <font>
      <b/>
      <sz val="48"/>
      <name val="Times New Roman"/>
      <family val="1"/>
      <charset val="204"/>
    </font>
    <font>
      <sz val="11"/>
      <name val="Times New Roman"/>
      <family val="1"/>
      <charset val="204"/>
    </font>
    <font>
      <sz val="36"/>
      <color indexed="81"/>
      <name val="Times New Roman"/>
      <family val="1"/>
      <charset val="204"/>
    </font>
    <font>
      <sz val="48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7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" fontId="0" fillId="0" borderId="0" xfId="0" applyNumberFormat="1"/>
    <xf numFmtId="0" fontId="2" fillId="0" borderId="0" xfId="0" applyFont="1"/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67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43" fontId="0" fillId="0" borderId="0" xfId="31" applyFont="1" applyFill="1"/>
    <xf numFmtId="0" fontId="2" fillId="0" borderId="0" xfId="0" applyFont="1" applyAlignment="1">
      <alignment vertical="center"/>
    </xf>
    <xf numFmtId="165" fontId="0" fillId="0" borderId="0" xfId="0" applyNumberFormat="1"/>
    <xf numFmtId="0" fontId="4" fillId="0" borderId="0" xfId="24"/>
    <xf numFmtId="0" fontId="52" fillId="0" borderId="0" xfId="24" applyFont="1"/>
    <xf numFmtId="0" fontId="8" fillId="0" borderId="0" xfId="24" applyFont="1" applyAlignment="1">
      <alignment horizontal="right"/>
    </xf>
    <xf numFmtId="0" fontId="17" fillId="0" borderId="0" xfId="24" applyFont="1" applyAlignment="1">
      <alignment horizontal="right"/>
    </xf>
    <xf numFmtId="0" fontId="4" fillId="0" borderId="0" xfId="24" applyAlignment="1">
      <alignment horizontal="center"/>
    </xf>
    <xf numFmtId="0" fontId="34" fillId="0" borderId="0" xfId="24" applyFont="1"/>
    <xf numFmtId="0" fontId="38" fillId="0" borderId="1" xfId="8" applyFont="1" applyBorder="1" applyAlignment="1">
      <alignment horizontal="center" vertical="center" textRotation="90" wrapText="1"/>
    </xf>
    <xf numFmtId="4" fontId="38" fillId="0" borderId="1" xfId="24" applyNumberFormat="1" applyFont="1" applyBorder="1" applyAlignment="1">
      <alignment horizontal="center" vertical="center" wrapText="1"/>
    </xf>
    <xf numFmtId="0" fontId="38" fillId="0" borderId="1" xfId="24" applyFont="1" applyBorder="1" applyAlignment="1">
      <alignment horizontal="center" vertical="center" wrapText="1"/>
    </xf>
    <xf numFmtId="0" fontId="34" fillId="0" borderId="1" xfId="24" applyFont="1" applyBorder="1" applyAlignment="1">
      <alignment horizontal="center" wrapText="1"/>
    </xf>
    <xf numFmtId="0" fontId="38" fillId="0" borderId="1" xfId="24" applyFont="1" applyBorder="1" applyAlignment="1">
      <alignment horizontal="center" wrapText="1"/>
    </xf>
    <xf numFmtId="0" fontId="34" fillId="0" borderId="6" xfId="24" applyFont="1" applyBorder="1" applyAlignment="1">
      <alignment horizontal="left"/>
    </xf>
    <xf numFmtId="4" fontId="34" fillId="0" borderId="1" xfId="24" applyNumberFormat="1" applyFont="1" applyBorder="1" applyAlignment="1">
      <alignment horizontal="right" wrapText="1"/>
    </xf>
    <xf numFmtId="0" fontId="34" fillId="0" borderId="1" xfId="24" applyFont="1" applyBorder="1" applyAlignment="1">
      <alignment horizontal="right" wrapText="1"/>
    </xf>
    <xf numFmtId="0" fontId="34" fillId="0" borderId="1" xfId="24" applyFont="1" applyBorder="1" applyAlignment="1">
      <alignment horizontal="left"/>
    </xf>
    <xf numFmtId="0" fontId="34" fillId="0" borderId="1" xfId="24" applyFont="1" applyBorder="1" applyAlignment="1">
      <alignment horizontal="center"/>
    </xf>
    <xf numFmtId="0" fontId="34" fillId="0" borderId="1" xfId="24" applyFont="1" applyBorder="1"/>
    <xf numFmtId="4" fontId="34" fillId="0" borderId="1" xfId="24" applyNumberFormat="1" applyFont="1" applyBorder="1"/>
    <xf numFmtId="0" fontId="1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4" fillId="0" borderId="0" xfId="23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21" fillId="0" borderId="1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21" fillId="0" borderId="0" xfId="0" applyFont="1"/>
    <xf numFmtId="4" fontId="21" fillId="0" borderId="0" xfId="0" applyNumberFormat="1" applyFont="1"/>
    <xf numFmtId="4" fontId="21" fillId="0" borderId="1" xfId="0" applyNumberFormat="1" applyFont="1" applyBorder="1"/>
    <xf numFmtId="0" fontId="26" fillId="0" borderId="1" xfId="28" applyFont="1" applyBorder="1" applyAlignment="1">
      <alignment horizontal="center"/>
    </xf>
    <xf numFmtId="4" fontId="21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1" fontId="21" fillId="0" borderId="5" xfId="0" applyNumberFormat="1" applyFont="1" applyBorder="1" applyAlignment="1">
      <alignment horizontal="center"/>
    </xf>
    <xf numFmtId="43" fontId="23" fillId="0" borderId="1" xfId="31" applyFont="1" applyFill="1" applyBorder="1" applyAlignment="1" applyProtection="1">
      <alignment horizontal="right"/>
    </xf>
    <xf numFmtId="4" fontId="21" fillId="0" borderId="0" xfId="0" applyNumberFormat="1" applyFont="1" applyAlignment="1">
      <alignment vertical="center"/>
    </xf>
    <xf numFmtId="0" fontId="57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21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1" fillId="0" borderId="1" xfId="0" applyFont="1" applyBorder="1" applyAlignment="1">
      <alignment vertical="center"/>
    </xf>
    <xf numFmtId="0" fontId="6" fillId="0" borderId="0" xfId="0" applyFont="1"/>
    <xf numFmtId="0" fontId="62" fillId="0" borderId="0" xfId="0" applyFont="1"/>
    <xf numFmtId="4" fontId="62" fillId="0" borderId="0" xfId="0" applyNumberFormat="1" applyFont="1"/>
    <xf numFmtId="0" fontId="29" fillId="0" borderId="1" xfId="0" applyFont="1" applyBorder="1" applyAlignment="1">
      <alignment vertical="center"/>
    </xf>
    <xf numFmtId="0" fontId="28" fillId="0" borderId="1" xfId="0" applyFont="1" applyBorder="1" applyAlignment="1">
      <alignment horizontal="left" vertical="center"/>
    </xf>
    <xf numFmtId="4" fontId="34" fillId="0" borderId="1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0" fontId="32" fillId="0" borderId="1" xfId="28" applyFont="1" applyBorder="1" applyAlignment="1">
      <alignment horizontal="center" vertical="center"/>
    </xf>
    <xf numFmtId="4" fontId="34" fillId="0" borderId="1" xfId="0" applyNumberFormat="1" applyFont="1" applyBorder="1" applyAlignment="1">
      <alignment vertical="center" wrapText="1"/>
    </xf>
    <xf numFmtId="0" fontId="59" fillId="0" borderId="0" xfId="0" applyFont="1" applyAlignment="1">
      <alignment vertical="center"/>
    </xf>
    <xf numFmtId="0" fontId="28" fillId="0" borderId="1" xfId="0" applyFont="1" applyBorder="1" applyAlignment="1">
      <alignment horizontal="left"/>
    </xf>
    <xf numFmtId="4" fontId="34" fillId="0" borderId="1" xfId="0" applyNumberFormat="1" applyFont="1" applyBorder="1" applyAlignment="1">
      <alignment horizontal="right"/>
    </xf>
    <xf numFmtId="0" fontId="32" fillId="0" borderId="1" xfId="28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4" fontId="34" fillId="0" borderId="1" xfId="0" applyNumberFormat="1" applyFont="1" applyBorder="1"/>
    <xf numFmtId="3" fontId="34" fillId="0" borderId="1" xfId="0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63" fillId="0" borderId="1" xfId="0" applyFont="1" applyBorder="1"/>
    <xf numFmtId="0" fontId="63" fillId="0" borderId="1" xfId="9" applyFont="1" applyBorder="1" applyAlignment="1">
      <alignment horizontal="center" vertical="center"/>
    </xf>
    <xf numFmtId="0" fontId="63" fillId="0" borderId="1" xfId="0" applyFont="1" applyBorder="1" applyAlignment="1">
      <alignment horizontal="center"/>
    </xf>
    <xf numFmtId="0" fontId="64" fillId="0" borderId="1" xfId="0" applyFont="1" applyBorder="1" applyAlignment="1">
      <alignment horizontal="center"/>
    </xf>
    <xf numFmtId="0" fontId="63" fillId="0" borderId="1" xfId="0" applyFont="1" applyBorder="1" applyAlignment="1">
      <alignment horizontal="left"/>
    </xf>
    <xf numFmtId="10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167" fontId="21" fillId="0" borderId="1" xfId="0" applyNumberFormat="1" applyFont="1" applyBorder="1" applyAlignment="1">
      <alignment horizontal="left" wrapText="1"/>
    </xf>
    <xf numFmtId="167" fontId="21" fillId="0" borderId="1" xfId="0" applyNumberFormat="1" applyFont="1" applyBorder="1" applyAlignment="1">
      <alignment horizontal="right"/>
    </xf>
    <xf numFmtId="0" fontId="29" fillId="0" borderId="0" xfId="0" applyFont="1"/>
    <xf numFmtId="0" fontId="26" fillId="0" borderId="1" xfId="28" applyFont="1" applyBorder="1" applyAlignment="1">
      <alignment horizontal="left" vertical="center"/>
    </xf>
    <xf numFmtId="0" fontId="28" fillId="0" borderId="0" xfId="19" applyFont="1" applyAlignment="1">
      <alignment wrapText="1"/>
    </xf>
    <xf numFmtId="0" fontId="28" fillId="0" borderId="0" xfId="19" applyFont="1" applyAlignment="1">
      <alignment horizontal="center" wrapText="1"/>
    </xf>
    <xf numFmtId="0" fontId="28" fillId="0" borderId="0" xfId="19" applyFont="1" applyAlignment="1">
      <alignment horizontal="right" wrapText="1"/>
    </xf>
    <xf numFmtId="0" fontId="61" fillId="0" borderId="0" xfId="0" applyFont="1"/>
    <xf numFmtId="0" fontId="28" fillId="0" borderId="0" xfId="19" applyFont="1" applyAlignment="1">
      <alignment vertical="center" wrapText="1"/>
    </xf>
    <xf numFmtId="0" fontId="28" fillId="0" borderId="1" xfId="29" applyFont="1" applyBorder="1" applyAlignment="1">
      <alignment horizontal="center" vertical="center"/>
    </xf>
    <xf numFmtId="1" fontId="28" fillId="0" borderId="1" xfId="29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32" fillId="0" borderId="1" xfId="28" applyFont="1" applyBorder="1" applyAlignment="1">
      <alignment horizontal="left" vertical="center"/>
    </xf>
    <xf numFmtId="0" fontId="32" fillId="0" borderId="1" xfId="28" applyFont="1" applyBorder="1" applyAlignment="1">
      <alignment horizontal="left"/>
    </xf>
    <xf numFmtId="168" fontId="28" fillId="0" borderId="1" xfId="0" applyNumberFormat="1" applyFont="1" applyBorder="1" applyAlignment="1">
      <alignment horizontal="left"/>
    </xf>
    <xf numFmtId="0" fontId="38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 wrapText="1"/>
    </xf>
    <xf numFmtId="4" fontId="38" fillId="0" borderId="1" xfId="0" applyNumberFormat="1" applyFont="1" applyBorder="1" applyAlignment="1">
      <alignment horizontal="right"/>
    </xf>
    <xf numFmtId="3" fontId="38" fillId="0" borderId="1" xfId="0" applyNumberFormat="1" applyFont="1" applyBorder="1" applyAlignment="1">
      <alignment horizontal="right"/>
    </xf>
    <xf numFmtId="3" fontId="38" fillId="0" borderId="1" xfId="0" applyNumberFormat="1" applyFont="1" applyBorder="1" applyAlignment="1">
      <alignment horizontal="center"/>
    </xf>
    <xf numFmtId="1" fontId="32" fillId="0" borderId="1" xfId="28" applyNumberFormat="1" applyFont="1" applyBorder="1" applyAlignment="1">
      <alignment horizontal="center"/>
    </xf>
    <xf numFmtId="167" fontId="28" fillId="0" borderId="1" xfId="0" applyNumberFormat="1" applyFont="1" applyBorder="1" applyAlignment="1">
      <alignment horizontal="left" wrapText="1"/>
    </xf>
    <xf numFmtId="4" fontId="38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right" wrapText="1"/>
    </xf>
    <xf numFmtId="0" fontId="15" fillId="0" borderId="1" xfId="0" applyFont="1" applyBorder="1" applyAlignment="1">
      <alignment horizontal="right"/>
    </xf>
    <xf numFmtId="0" fontId="0" fillId="2" borderId="0" xfId="0" applyFill="1"/>
    <xf numFmtId="0" fontId="26" fillId="2" borderId="1" xfId="28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left" wrapText="1"/>
    </xf>
    <xf numFmtId="0" fontId="21" fillId="2" borderId="1" xfId="0" applyFont="1" applyFill="1" applyBorder="1" applyAlignment="1">
      <alignment horizontal="center" wrapText="1"/>
    </xf>
    <xf numFmtId="10" fontId="21" fillId="2" borderId="1" xfId="0" applyNumberFormat="1" applyFont="1" applyFill="1" applyBorder="1" applyAlignment="1">
      <alignment horizontal="center"/>
    </xf>
    <xf numFmtId="4" fontId="21" fillId="2" borderId="1" xfId="0" applyNumberFormat="1" applyFont="1" applyFill="1" applyBorder="1" applyAlignment="1">
      <alignment horizontal="right"/>
    </xf>
    <xf numFmtId="0" fontId="21" fillId="2" borderId="1" xfId="0" applyFont="1" applyFill="1" applyBorder="1" applyAlignment="1">
      <alignment horizontal="right"/>
    </xf>
    <xf numFmtId="167" fontId="21" fillId="2" borderId="1" xfId="0" applyNumberFormat="1" applyFont="1" applyFill="1" applyBorder="1" applyAlignment="1">
      <alignment horizontal="right"/>
    </xf>
    <xf numFmtId="0" fontId="21" fillId="2" borderId="1" xfId="0" applyFont="1" applyFill="1" applyBorder="1" applyAlignment="1">
      <alignment horizontal="center"/>
    </xf>
    <xf numFmtId="0" fontId="29" fillId="2" borderId="0" xfId="0" applyFont="1" applyFill="1"/>
    <xf numFmtId="4" fontId="23" fillId="2" borderId="1" xfId="0" applyNumberFormat="1" applyFont="1" applyFill="1" applyBorder="1" applyAlignment="1">
      <alignment horizontal="right"/>
    </xf>
    <xf numFmtId="1" fontId="21" fillId="2" borderId="5" xfId="0" applyNumberFormat="1" applyFont="1" applyFill="1" applyBorder="1" applyAlignment="1">
      <alignment horizontal="center"/>
    </xf>
    <xf numFmtId="0" fontId="2" fillId="3" borderId="0" xfId="0" applyFont="1" applyFill="1"/>
    <xf numFmtId="4" fontId="65" fillId="0" borderId="1" xfId="0" applyNumberFormat="1" applyFont="1" applyBorder="1" applyAlignment="1">
      <alignment horizontal="right"/>
    </xf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4" fontId="1" fillId="0" borderId="1" xfId="23" applyNumberFormat="1" applyFont="1" applyBorder="1" applyAlignment="1">
      <alignment horizontal="right" vertical="center" wrapText="1"/>
    </xf>
    <xf numFmtId="4" fontId="65" fillId="0" borderId="1" xfId="0" applyNumberFormat="1" applyFont="1" applyBorder="1"/>
    <xf numFmtId="4" fontId="66" fillId="0" borderId="1" xfId="0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wrapText="1"/>
    </xf>
    <xf numFmtId="3" fontId="25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3" fontId="24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4" fontId="22" fillId="0" borderId="1" xfId="0" applyNumberFormat="1" applyFont="1" applyBorder="1" applyAlignment="1">
      <alignment horizontal="right" wrapText="1"/>
    </xf>
    <xf numFmtId="4" fontId="21" fillId="0" borderId="1" xfId="0" applyNumberFormat="1" applyFont="1" applyBorder="1" applyAlignment="1">
      <alignment horizontal="right" wrapText="1"/>
    </xf>
    <xf numFmtId="3" fontId="21" fillId="0" borderId="1" xfId="0" applyNumberFormat="1" applyFont="1" applyBorder="1" applyAlignment="1">
      <alignment horizontal="right" wrapText="1"/>
    </xf>
    <xf numFmtId="4" fontId="22" fillId="0" borderId="1" xfId="0" applyNumberFormat="1" applyFont="1" applyBorder="1"/>
    <xf numFmtId="3" fontId="21" fillId="0" borderId="1" xfId="0" applyNumberFormat="1" applyFont="1" applyBorder="1"/>
    <xf numFmtId="0" fontId="22" fillId="0" borderId="1" xfId="0" applyFont="1" applyBorder="1" applyAlignment="1">
      <alignment horizontal="center"/>
    </xf>
    <xf numFmtId="3" fontId="21" fillId="0" borderId="1" xfId="0" applyNumberFormat="1" applyFont="1" applyBorder="1" applyAlignment="1">
      <alignment horizontal="right"/>
    </xf>
    <xf numFmtId="4" fontId="23" fillId="0" borderId="1" xfId="0" applyNumberFormat="1" applyFont="1" applyBorder="1" applyAlignment="1">
      <alignment horizontal="right" wrapText="1"/>
    </xf>
    <xf numFmtId="1" fontId="21" fillId="0" borderId="1" xfId="0" applyNumberFormat="1" applyFont="1" applyBorder="1" applyAlignment="1">
      <alignment horizontal="center"/>
    </xf>
    <xf numFmtId="3" fontId="23" fillId="0" borderId="1" xfId="0" applyNumberFormat="1" applyFont="1" applyBorder="1" applyAlignment="1">
      <alignment horizontal="right"/>
    </xf>
    <xf numFmtId="4" fontId="23" fillId="0" borderId="1" xfId="8" applyNumberFormat="1" applyFont="1" applyBorder="1" applyAlignment="1">
      <alignment horizontal="right"/>
    </xf>
    <xf numFmtId="4" fontId="26" fillId="0" borderId="1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/>
    </xf>
    <xf numFmtId="4" fontId="21" fillId="0" borderId="1" xfId="8" applyNumberFormat="1" applyFont="1" applyBorder="1" applyAlignment="1">
      <alignment horizontal="right"/>
    </xf>
    <xf numFmtId="0" fontId="22" fillId="0" borderId="1" xfId="0" applyFont="1" applyBorder="1" applyAlignment="1">
      <alignment horizontal="left"/>
    </xf>
    <xf numFmtId="4" fontId="22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vertical="center" wrapText="1"/>
    </xf>
    <xf numFmtId="3" fontId="42" fillId="0" borderId="1" xfId="0" applyNumberFormat="1" applyFont="1" applyBorder="1" applyAlignment="1">
      <alignment horizontal="right"/>
    </xf>
    <xf numFmtId="4" fontId="23" fillId="0" borderId="1" xfId="10" applyNumberFormat="1" applyFont="1" applyBorder="1" applyAlignment="1">
      <alignment horizontal="right" wrapText="1"/>
    </xf>
    <xf numFmtId="4" fontId="23" fillId="0" borderId="1" xfId="22" applyNumberFormat="1" applyFont="1" applyBorder="1" applyAlignment="1">
      <alignment horizontal="right"/>
    </xf>
    <xf numFmtId="4" fontId="23" fillId="0" borderId="1" xfId="10" applyNumberFormat="1" applyFont="1" applyBorder="1" applyAlignment="1">
      <alignment horizontal="right"/>
    </xf>
    <xf numFmtId="169" fontId="23" fillId="0" borderId="1" xfId="10" applyNumberFormat="1" applyFont="1" applyBorder="1" applyAlignment="1">
      <alignment horizontal="right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1" fontId="21" fillId="0" borderId="1" xfId="0" applyNumberFormat="1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right" vertical="center" readingOrder="1"/>
    </xf>
    <xf numFmtId="3" fontId="23" fillId="0" borderId="1" xfId="0" applyNumberFormat="1" applyFont="1" applyBorder="1" applyAlignment="1">
      <alignment horizontal="right" wrapText="1"/>
    </xf>
    <xf numFmtId="4" fontId="26" fillId="0" borderId="1" xfId="0" applyNumberFormat="1" applyFont="1" applyBorder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left"/>
    </xf>
    <xf numFmtId="3" fontId="23" fillId="0" borderId="1" xfId="10" applyNumberFormat="1" applyFont="1" applyBorder="1" applyAlignment="1">
      <alignment horizontal="right"/>
    </xf>
    <xf numFmtId="1" fontId="26" fillId="0" borderId="1" xfId="0" applyNumberFormat="1" applyFont="1" applyBorder="1" applyAlignment="1">
      <alignment horizontal="center"/>
    </xf>
    <xf numFmtId="4" fontId="26" fillId="0" borderId="1" xfId="10" applyNumberFormat="1" applyFont="1" applyBorder="1" applyAlignment="1">
      <alignment horizontal="right" wrapText="1"/>
    </xf>
    <xf numFmtId="4" fontId="23" fillId="0" borderId="1" xfId="0" applyNumberFormat="1" applyFont="1" applyBorder="1" applyAlignment="1">
      <alignment horizontal="right" vertical="center"/>
    </xf>
    <xf numFmtId="1" fontId="21" fillId="0" borderId="5" xfId="0" applyNumberFormat="1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1" fontId="21" fillId="0" borderId="1" xfId="0" quotePrefix="1" applyNumberFormat="1" applyFont="1" applyBorder="1" applyAlignment="1">
      <alignment horizontal="center"/>
    </xf>
    <xf numFmtId="4" fontId="26" fillId="0" borderId="1" xfId="0" applyNumberFormat="1" applyFont="1" applyBorder="1" applyAlignment="1">
      <alignment horizontal="right" vertical="center"/>
    </xf>
    <xf numFmtId="4" fontId="23" fillId="0" borderId="1" xfId="34" applyNumberFormat="1" applyFont="1" applyBorder="1" applyAlignment="1">
      <alignment horizontal="right"/>
    </xf>
    <xf numFmtId="4" fontId="26" fillId="0" borderId="1" xfId="14" applyNumberFormat="1" applyFont="1" applyBorder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6" fillId="0" borderId="1" xfId="28" applyFont="1" applyBorder="1" applyAlignment="1">
      <alignment horizontal="center" vertical="center"/>
    </xf>
    <xf numFmtId="4" fontId="21" fillId="0" borderId="5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4" fontId="19" fillId="0" borderId="1" xfId="8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4" fontId="21" fillId="0" borderId="14" xfId="0" applyNumberFormat="1" applyFont="1" applyBorder="1" applyAlignment="1">
      <alignment horizontal="right"/>
    </xf>
    <xf numFmtId="0" fontId="21" fillId="0" borderId="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right" vertical="center"/>
    </xf>
    <xf numFmtId="4" fontId="21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21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1" fontId="2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8" fillId="0" borderId="1" xfId="9" applyFont="1" applyBorder="1" applyAlignment="1">
      <alignment horizontal="center" vertical="center"/>
    </xf>
    <xf numFmtId="4" fontId="28" fillId="0" borderId="1" xfId="9" applyNumberFormat="1" applyFont="1" applyBorder="1" applyAlignment="1">
      <alignment horizontal="center" vertical="center"/>
    </xf>
    <xf numFmtId="0" fontId="28" fillId="0" borderId="1" xfId="9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4" fontId="34" fillId="0" borderId="1" xfId="0" applyNumberFormat="1" applyFont="1" applyBorder="1" applyAlignment="1">
      <alignment horizontal="right" vertical="center"/>
    </xf>
    <xf numFmtId="3" fontId="34" fillId="0" borderId="1" xfId="0" applyNumberFormat="1" applyFont="1" applyBorder="1" applyAlignment="1">
      <alignment horizontal="right" vertical="center"/>
    </xf>
    <xf numFmtId="0" fontId="34" fillId="0" borderId="1" xfId="0" applyFont="1" applyBorder="1" applyAlignment="1">
      <alignment horizontal="center" vertical="center" wrapText="1"/>
    </xf>
    <xf numFmtId="4" fontId="65" fillId="0" borderId="1" xfId="0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center" vertical="center"/>
    </xf>
    <xf numFmtId="1" fontId="34" fillId="0" borderId="1" xfId="0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left" vertical="center"/>
    </xf>
    <xf numFmtId="4" fontId="65" fillId="0" borderId="1" xfId="0" applyNumberFormat="1" applyFont="1" applyBorder="1" applyAlignment="1">
      <alignment vertical="center"/>
    </xf>
    <xf numFmtId="0" fontId="35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3" fontId="34" fillId="0" borderId="1" xfId="0" applyNumberFormat="1" applyFont="1" applyBorder="1" applyAlignment="1">
      <alignment vertical="center"/>
    </xf>
    <xf numFmtId="0" fontId="32" fillId="0" borderId="1" xfId="0" applyFont="1" applyBorder="1" applyAlignment="1">
      <alignment horizontal="left" vertical="center"/>
    </xf>
    <xf numFmtId="0" fontId="60" fillId="0" borderId="1" xfId="0" applyFont="1" applyBorder="1" applyAlignment="1">
      <alignment horizontal="center" vertical="center"/>
    </xf>
    <xf numFmtId="4" fontId="60" fillId="0" borderId="1" xfId="0" applyNumberFormat="1" applyFont="1" applyBorder="1" applyAlignment="1">
      <alignment horizontal="right" vertical="center"/>
    </xf>
    <xf numFmtId="1" fontId="60" fillId="0" borderId="1" xfId="0" applyNumberFormat="1" applyFont="1" applyBorder="1" applyAlignment="1">
      <alignment horizontal="right" vertical="center"/>
    </xf>
    <xf numFmtId="0" fontId="6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/>
    </xf>
    <xf numFmtId="1" fontId="34" fillId="0" borderId="1" xfId="0" applyNumberFormat="1" applyFont="1" applyBorder="1" applyAlignment="1">
      <alignment vertical="center"/>
    </xf>
    <xf numFmtId="0" fontId="31" fillId="0" borderId="1" xfId="0" applyFont="1" applyBorder="1" applyAlignment="1">
      <alignment horizontal="left"/>
    </xf>
    <xf numFmtId="4" fontId="34" fillId="0" borderId="1" xfId="0" applyNumberFormat="1" applyFont="1" applyBorder="1" applyAlignment="1">
      <alignment horizontal="right" vertical="center" wrapText="1"/>
    </xf>
    <xf numFmtId="0" fontId="32" fillId="0" borderId="1" xfId="0" applyFont="1" applyBorder="1" applyAlignment="1">
      <alignment horizontal="left"/>
    </xf>
    <xf numFmtId="0" fontId="33" fillId="0" borderId="6" xfId="0" applyFont="1" applyBorder="1" applyAlignment="1">
      <alignment vertical="center" wrapText="1"/>
    </xf>
    <xf numFmtId="3" fontId="34" fillId="0" borderId="1" xfId="0" applyNumberFormat="1" applyFont="1" applyBorder="1" applyAlignment="1">
      <alignment horizontal="right"/>
    </xf>
    <xf numFmtId="0" fontId="34" fillId="0" borderId="1" xfId="0" applyFont="1" applyBorder="1" applyAlignment="1">
      <alignment horizontal="center" wrapText="1"/>
    </xf>
    <xf numFmtId="4" fontId="34" fillId="0" borderId="1" xfId="9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wrapText="1"/>
    </xf>
    <xf numFmtId="4" fontId="28" fillId="0" borderId="1" xfId="0" applyNumberFormat="1" applyFont="1" applyBorder="1" applyAlignment="1">
      <alignment horizontal="right"/>
    </xf>
    <xf numFmtId="3" fontId="28" fillId="0" borderId="1" xfId="0" applyNumberFormat="1" applyFont="1" applyBorder="1" applyAlignment="1">
      <alignment horizontal="right"/>
    </xf>
    <xf numFmtId="4" fontId="28" fillId="0" borderId="1" xfId="0" applyNumberFormat="1" applyFont="1" applyBorder="1" applyAlignment="1">
      <alignment horizontal="right" vertical="center" wrapText="1"/>
    </xf>
    <xf numFmtId="4" fontId="28" fillId="0" borderId="1" xfId="9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right" vertical="center"/>
    </xf>
    <xf numFmtId="0" fontId="34" fillId="0" borderId="1" xfId="0" applyFont="1" applyBorder="1" applyAlignment="1">
      <alignment vertical="center"/>
    </xf>
    <xf numFmtId="0" fontId="28" fillId="0" borderId="7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4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right"/>
    </xf>
    <xf numFmtId="0" fontId="56" fillId="0" borderId="1" xfId="28" applyFont="1" applyBorder="1" applyAlignment="1">
      <alignment horizontal="left"/>
    </xf>
    <xf numFmtId="0" fontId="22" fillId="0" borderId="1" xfId="0" applyFont="1" applyBorder="1" applyAlignment="1">
      <alignment horizontal="right"/>
    </xf>
    <xf numFmtId="4" fontId="21" fillId="0" borderId="1" xfId="0" applyNumberFormat="1" applyFont="1" applyBorder="1" applyAlignment="1">
      <alignment horizontal="center"/>
    </xf>
    <xf numFmtId="0" fontId="26" fillId="0" borderId="1" xfId="28" applyFont="1" applyBorder="1" applyAlignment="1">
      <alignment horizontal="left"/>
    </xf>
    <xf numFmtId="4" fontId="23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Border="1"/>
    <xf numFmtId="4" fontId="26" fillId="0" borderId="1" xfId="0" applyNumberFormat="1" applyFont="1" applyBorder="1"/>
    <xf numFmtId="4" fontId="21" fillId="0" borderId="1" xfId="34" applyNumberFormat="1" applyFont="1" applyBorder="1" applyAlignment="1">
      <alignment horizontal="right"/>
    </xf>
    <xf numFmtId="168" fontId="21" fillId="0" borderId="5" xfId="0" applyNumberFormat="1" applyFont="1" applyBorder="1" applyAlignment="1">
      <alignment horizontal="center"/>
    </xf>
    <xf numFmtId="168" fontId="21" fillId="0" borderId="1" xfId="0" applyNumberFormat="1" applyFont="1" applyBorder="1" applyAlignment="1">
      <alignment horizontal="left"/>
    </xf>
    <xf numFmtId="167" fontId="29" fillId="0" borderId="1" xfId="0" applyNumberFormat="1" applyFont="1" applyBorder="1" applyAlignment="1">
      <alignment wrapText="1"/>
    </xf>
    <xf numFmtId="0" fontId="21" fillId="0" borderId="1" xfId="0" quotePrefix="1" applyFont="1" applyBorder="1" applyAlignment="1">
      <alignment horizontal="center"/>
    </xf>
    <xf numFmtId="0" fontId="37" fillId="0" borderId="0" xfId="0" applyFont="1"/>
    <xf numFmtId="0" fontId="38" fillId="0" borderId="1" xfId="0" applyFont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4" fontId="37" fillId="0" borderId="1" xfId="0" applyNumberFormat="1" applyFont="1" applyBorder="1" applyAlignment="1">
      <alignment horizontal="center" vertical="center" wrapText="1"/>
    </xf>
    <xf numFmtId="1" fontId="38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wrapText="1"/>
    </xf>
    <xf numFmtId="1" fontId="37" fillId="0" borderId="1" xfId="0" applyNumberFormat="1" applyFont="1" applyBorder="1" applyAlignment="1">
      <alignment horizontal="center" wrapText="1"/>
    </xf>
    <xf numFmtId="0" fontId="30" fillId="0" borderId="0" xfId="19" applyFont="1"/>
    <xf numFmtId="0" fontId="28" fillId="0" borderId="6" xfId="19" applyFont="1" applyBorder="1" applyAlignment="1">
      <alignment horizontal="left"/>
    </xf>
    <xf numFmtId="0" fontId="28" fillId="0" borderId="5" xfId="19" applyFont="1" applyBorder="1" applyAlignment="1">
      <alignment wrapText="1"/>
    </xf>
    <xf numFmtId="4" fontId="38" fillId="0" borderId="1" xfId="19" applyNumberFormat="1" applyFont="1" applyBorder="1" applyAlignment="1">
      <alignment horizontal="right" wrapText="1"/>
    </xf>
    <xf numFmtId="1" fontId="38" fillId="0" borderId="1" xfId="19" applyNumberFormat="1" applyFont="1" applyBorder="1" applyAlignment="1">
      <alignment horizontal="right" wrapText="1"/>
    </xf>
    <xf numFmtId="4" fontId="38" fillId="0" borderId="1" xfId="19" applyNumberFormat="1" applyFont="1" applyBorder="1" applyAlignment="1">
      <alignment horizontal="center" wrapText="1"/>
    </xf>
    <xf numFmtId="0" fontId="28" fillId="0" borderId="1" xfId="19" applyFont="1" applyBorder="1" applyAlignment="1">
      <alignment horizontal="left"/>
    </xf>
    <xf numFmtId="0" fontId="28" fillId="0" borderId="1" xfId="19" applyFont="1" applyBorder="1"/>
    <xf numFmtId="4" fontId="38" fillId="0" borderId="1" xfId="19" applyNumberFormat="1" applyFont="1" applyBorder="1"/>
    <xf numFmtId="1" fontId="38" fillId="0" borderId="1" xfId="19" applyNumberFormat="1" applyFont="1" applyBorder="1"/>
    <xf numFmtId="0" fontId="38" fillId="0" borderId="1" xfId="19" applyFont="1" applyBorder="1" applyAlignment="1">
      <alignment horizontal="center"/>
    </xf>
    <xf numFmtId="4" fontId="38" fillId="0" borderId="1" xfId="19" applyNumberFormat="1" applyFont="1" applyBorder="1" applyAlignment="1">
      <alignment horizontal="right"/>
    </xf>
    <xf numFmtId="1" fontId="38" fillId="0" borderId="1" xfId="19" applyNumberFormat="1" applyFont="1" applyBorder="1" applyAlignment="1">
      <alignment horizontal="right"/>
    </xf>
    <xf numFmtId="0" fontId="28" fillId="0" borderId="1" xfId="0" applyFont="1" applyBorder="1"/>
    <xf numFmtId="1" fontId="38" fillId="0" borderId="1" xfId="19" applyNumberFormat="1" applyFont="1" applyBorder="1" applyAlignment="1">
      <alignment horizontal="center"/>
    </xf>
    <xf numFmtId="0" fontId="28" fillId="0" borderId="5" xfId="19" applyFont="1" applyBorder="1"/>
    <xf numFmtId="3" fontId="38" fillId="0" borderId="1" xfId="19" applyNumberFormat="1" applyFont="1" applyBorder="1" applyAlignment="1">
      <alignment horizontal="right" wrapText="1"/>
    </xf>
    <xf numFmtId="1" fontId="0" fillId="0" borderId="0" xfId="0" applyNumberFormat="1"/>
    <xf numFmtId="0" fontId="19" fillId="0" borderId="6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textRotation="90" wrapText="1"/>
    </xf>
    <xf numFmtId="0" fontId="24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textRotation="90" wrapText="1"/>
    </xf>
    <xf numFmtId="2" fontId="24" fillId="0" borderId="1" xfId="0" applyNumberFormat="1" applyFont="1" applyBorder="1" applyAlignment="1">
      <alignment horizontal="center" vertical="center" textRotation="90" wrapText="1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/>
    </xf>
    <xf numFmtId="0" fontId="41" fillId="0" borderId="6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0" fillId="0" borderId="6" xfId="28" applyFont="1" applyBorder="1" applyAlignment="1">
      <alignment horizontal="center" vertical="center"/>
    </xf>
    <xf numFmtId="0" fontId="40" fillId="0" borderId="7" xfId="28" applyFont="1" applyBorder="1" applyAlignment="1">
      <alignment horizontal="center" vertical="center"/>
    </xf>
    <xf numFmtId="0" fontId="40" fillId="0" borderId="5" xfId="28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4" fontId="28" fillId="0" borderId="2" xfId="9" applyNumberFormat="1" applyFont="1" applyBorder="1" applyAlignment="1">
      <alignment horizontal="center" vertical="center" textRotation="90" wrapText="1"/>
    </xf>
    <xf numFmtId="4" fontId="28" fillId="0" borderId="4" xfId="9" applyNumberFormat="1" applyFont="1" applyBorder="1" applyAlignment="1">
      <alignment horizontal="center" vertical="center" textRotation="90" wrapText="1"/>
    </xf>
    <xf numFmtId="0" fontId="28" fillId="0" borderId="6" xfId="9" applyFont="1" applyBorder="1" applyAlignment="1">
      <alignment horizontal="center" vertical="center" wrapText="1"/>
    </xf>
    <xf numFmtId="0" fontId="28" fillId="0" borderId="5" xfId="9" applyFont="1" applyBorder="1" applyAlignment="1">
      <alignment horizontal="center" vertical="center" wrapText="1"/>
    </xf>
    <xf numFmtId="0" fontId="28" fillId="0" borderId="2" xfId="9" applyFont="1" applyBorder="1" applyAlignment="1">
      <alignment horizontal="center" vertical="center" textRotation="90" wrapText="1"/>
    </xf>
    <xf numFmtId="0" fontId="28" fillId="0" borderId="3" xfId="9" applyFont="1" applyBorder="1" applyAlignment="1">
      <alignment horizontal="center" vertical="center" textRotation="90" wrapText="1"/>
    </xf>
    <xf numFmtId="0" fontId="28" fillId="0" borderId="4" xfId="9" applyFont="1" applyBorder="1" applyAlignment="1">
      <alignment horizontal="center" vertical="center" textRotation="90" wrapText="1"/>
    </xf>
    <xf numFmtId="0" fontId="28" fillId="0" borderId="2" xfId="9" applyFont="1" applyBorder="1" applyAlignment="1">
      <alignment horizontal="center" textRotation="90" wrapText="1"/>
    </xf>
    <xf numFmtId="0" fontId="28" fillId="0" borderId="3" xfId="9" applyFont="1" applyBorder="1" applyAlignment="1">
      <alignment horizontal="center" textRotation="90" wrapText="1"/>
    </xf>
    <xf numFmtId="0" fontId="28" fillId="0" borderId="4" xfId="9" applyFont="1" applyBorder="1" applyAlignment="1">
      <alignment horizontal="center" textRotation="90" wrapText="1"/>
    </xf>
    <xf numFmtId="0" fontId="28" fillId="0" borderId="2" xfId="9" applyFont="1" applyBorder="1" applyAlignment="1">
      <alignment horizontal="center" vertical="center" wrapText="1"/>
    </xf>
    <xf numFmtId="0" fontId="28" fillId="0" borderId="3" xfId="9" applyFont="1" applyBorder="1" applyAlignment="1">
      <alignment horizontal="center" vertical="center" wrapText="1"/>
    </xf>
    <xf numFmtId="0" fontId="28" fillId="0" borderId="4" xfId="9" applyFont="1" applyBorder="1" applyAlignment="1">
      <alignment horizontal="center" vertical="center" wrapText="1"/>
    </xf>
    <xf numFmtId="4" fontId="28" fillId="0" borderId="6" xfId="9" applyNumberFormat="1" applyFont="1" applyBorder="1" applyAlignment="1">
      <alignment horizontal="center" vertical="center" wrapText="1"/>
    </xf>
    <xf numFmtId="4" fontId="28" fillId="0" borderId="7" xfId="9" applyNumberFormat="1" applyFont="1" applyBorder="1" applyAlignment="1">
      <alignment horizontal="center" vertical="center" wrapText="1"/>
    </xf>
    <xf numFmtId="4" fontId="28" fillId="0" borderId="5" xfId="9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4" fontId="28" fillId="0" borderId="3" xfId="9" applyNumberFormat="1" applyFont="1" applyBorder="1" applyAlignment="1">
      <alignment horizontal="center" vertical="center" textRotation="90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9" fillId="0" borderId="0" xfId="23" applyFont="1" applyAlignment="1">
      <alignment horizontal="center" vertical="center"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left" vertical="center"/>
    </xf>
    <xf numFmtId="1" fontId="1" fillId="0" borderId="5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38" fillId="0" borderId="1" xfId="0" applyNumberFormat="1" applyFont="1" applyBorder="1" applyAlignment="1">
      <alignment horizontal="center" vertical="center" textRotation="90" wrapText="1"/>
    </xf>
    <xf numFmtId="0" fontId="22" fillId="0" borderId="8" xfId="23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4" fontId="38" fillId="0" borderId="2" xfId="0" applyNumberFormat="1" applyFont="1" applyBorder="1" applyAlignment="1">
      <alignment horizontal="center" vertical="center" textRotation="90" wrapText="1"/>
    </xf>
    <xf numFmtId="4" fontId="38" fillId="0" borderId="3" xfId="0" applyNumberFormat="1" applyFont="1" applyBorder="1" applyAlignment="1">
      <alignment horizontal="center" vertical="center" textRotation="90" wrapText="1"/>
    </xf>
    <xf numFmtId="4" fontId="38" fillId="0" borderId="4" xfId="0" applyNumberFormat="1" applyFont="1" applyBorder="1" applyAlignment="1">
      <alignment horizontal="center" vertical="center" textRotation="90" wrapText="1"/>
    </xf>
    <xf numFmtId="0" fontId="38" fillId="0" borderId="6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1" xfId="33" applyFont="1" applyBorder="1" applyAlignment="1">
      <alignment horizontal="center" vertical="center" textRotation="90" wrapText="1"/>
    </xf>
    <xf numFmtId="1" fontId="38" fillId="0" borderId="1" xfId="0" applyNumberFormat="1" applyFont="1" applyBorder="1" applyAlignment="1">
      <alignment horizontal="center" vertical="center" textRotation="90" wrapText="1"/>
    </xf>
    <xf numFmtId="0" fontId="38" fillId="0" borderId="1" xfId="0" applyFont="1" applyBorder="1" applyAlignment="1">
      <alignment horizontal="center" vertical="center" textRotation="90" wrapText="1"/>
    </xf>
    <xf numFmtId="0" fontId="38" fillId="0" borderId="1" xfId="32" applyFont="1" applyBorder="1" applyAlignment="1">
      <alignment horizontal="center" vertical="center" textRotation="90" wrapText="1"/>
    </xf>
    <xf numFmtId="0" fontId="38" fillId="0" borderId="1" xfId="24" applyFont="1" applyBorder="1" applyAlignment="1">
      <alignment horizontal="center" vertical="center" wrapText="1"/>
    </xf>
    <xf numFmtId="0" fontId="38" fillId="0" borderId="1" xfId="24" applyFont="1" applyBorder="1" applyAlignment="1">
      <alignment horizontal="center" vertical="center" textRotation="90" wrapText="1"/>
    </xf>
    <xf numFmtId="2" fontId="38" fillId="0" borderId="2" xfId="24" applyNumberFormat="1" applyFont="1" applyBorder="1" applyAlignment="1">
      <alignment horizontal="center" vertical="center" textRotation="90" wrapText="1"/>
    </xf>
    <xf numFmtId="2" fontId="38" fillId="0" borderId="4" xfId="24" applyNumberFormat="1" applyFont="1" applyBorder="1" applyAlignment="1">
      <alignment horizontal="center" vertical="center" textRotation="90" wrapText="1"/>
    </xf>
    <xf numFmtId="0" fontId="52" fillId="0" borderId="0" xfId="24" applyFont="1" applyAlignment="1">
      <alignment horizontal="center"/>
    </xf>
    <xf numFmtId="0" fontId="7" fillId="0" borderId="0" xfId="24" applyFont="1" applyAlignment="1">
      <alignment horizontal="right"/>
    </xf>
    <xf numFmtId="0" fontId="22" fillId="0" borderId="8" xfId="24" applyFont="1" applyBorder="1" applyAlignment="1">
      <alignment horizontal="center" vertical="center" wrapText="1"/>
    </xf>
    <xf numFmtId="0" fontId="28" fillId="0" borderId="1" xfId="24" applyFont="1" applyBorder="1" applyAlignment="1">
      <alignment horizontal="center" vertical="center" wrapText="1"/>
    </xf>
    <xf numFmtId="4" fontId="38" fillId="0" borderId="2" xfId="24" applyNumberFormat="1" applyFont="1" applyBorder="1" applyAlignment="1">
      <alignment horizontal="center" vertical="center" textRotation="90" wrapText="1"/>
    </xf>
    <xf numFmtId="4" fontId="38" fillId="0" borderId="3" xfId="24" applyNumberFormat="1" applyFont="1" applyBorder="1" applyAlignment="1">
      <alignment horizontal="center" vertical="center" textRotation="90" wrapText="1"/>
    </xf>
    <xf numFmtId="4" fontId="38" fillId="0" borderId="4" xfId="24" applyNumberFormat="1" applyFont="1" applyBorder="1" applyAlignment="1">
      <alignment horizontal="center" vertical="center" textRotation="90" wrapText="1"/>
    </xf>
    <xf numFmtId="2" fontId="38" fillId="0" borderId="9" xfId="24" applyNumberFormat="1" applyFont="1" applyBorder="1" applyAlignment="1">
      <alignment horizontal="center" vertical="center" wrapText="1"/>
    </xf>
    <xf numFmtId="2" fontId="38" fillId="0" borderId="13" xfId="24" applyNumberFormat="1" applyFont="1" applyBorder="1" applyAlignment="1">
      <alignment horizontal="center" vertical="center" wrapText="1"/>
    </xf>
    <xf numFmtId="168" fontId="21" fillId="0" borderId="6" xfId="0" applyNumberFormat="1" applyFont="1" applyBorder="1" applyAlignment="1">
      <alignment horizontal="left"/>
    </xf>
    <xf numFmtId="168" fontId="21" fillId="0" borderId="5" xfId="0" applyNumberFormat="1" applyFont="1" applyBorder="1" applyAlignment="1">
      <alignment horizontal="left"/>
    </xf>
    <xf numFmtId="0" fontId="21" fillId="0" borderId="1" xfId="0" applyFont="1" applyBorder="1" applyAlignment="1">
      <alignment horizontal="center" vertical="center"/>
    </xf>
    <xf numFmtId="2" fontId="24" fillId="0" borderId="2" xfId="19" applyNumberFormat="1" applyFont="1" applyBorder="1" applyAlignment="1">
      <alignment horizontal="center" vertical="center" textRotation="90" wrapText="1"/>
    </xf>
    <xf numFmtId="2" fontId="24" fillId="0" borderId="4" xfId="19" applyNumberFormat="1" applyFont="1" applyBorder="1" applyAlignment="1">
      <alignment horizontal="center" vertical="center" textRotation="90" wrapText="1"/>
    </xf>
    <xf numFmtId="2" fontId="24" fillId="0" borderId="2" xfId="0" applyNumberFormat="1" applyFont="1" applyBorder="1" applyAlignment="1">
      <alignment horizontal="center" vertical="center" textRotation="90" wrapText="1"/>
    </xf>
    <xf numFmtId="2" fontId="24" fillId="0" borderId="4" xfId="0" applyNumberFormat="1" applyFont="1" applyBorder="1" applyAlignment="1">
      <alignment horizontal="center" vertical="center" textRotation="90" wrapText="1"/>
    </xf>
    <xf numFmtId="0" fontId="24" fillId="0" borderId="2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wrapText="1"/>
    </xf>
    <xf numFmtId="0" fontId="19" fillId="0" borderId="8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2" fontId="24" fillId="0" borderId="1" xfId="19" applyNumberFormat="1" applyFont="1" applyBorder="1" applyAlignment="1">
      <alignment horizontal="center" vertical="center" wrapText="1"/>
    </xf>
    <xf numFmtId="0" fontId="24" fillId="0" borderId="6" xfId="29" applyFont="1" applyBorder="1" applyAlignment="1">
      <alignment horizontal="center" vertical="center"/>
    </xf>
    <xf numFmtId="0" fontId="24" fillId="0" borderId="7" xfId="29" applyFont="1" applyBorder="1" applyAlignment="1">
      <alignment horizontal="center" vertical="center"/>
    </xf>
    <xf numFmtId="0" fontId="24" fillId="0" borderId="5" xfId="29" applyFont="1" applyBorder="1" applyAlignment="1">
      <alignment horizontal="center" vertical="center"/>
    </xf>
    <xf numFmtId="0" fontId="28" fillId="0" borderId="1" xfId="29" applyFont="1" applyBorder="1" applyAlignment="1">
      <alignment horizontal="center" textRotation="90" wrapText="1"/>
    </xf>
    <xf numFmtId="0" fontId="28" fillId="0" borderId="1" xfId="29" applyFont="1" applyBorder="1" applyAlignment="1">
      <alignment horizontal="center" wrapText="1"/>
    </xf>
    <xf numFmtId="0" fontId="28" fillId="0" borderId="1" xfId="29" applyFont="1" applyBorder="1" applyAlignment="1">
      <alignment horizontal="center" vertical="center" textRotation="90" wrapText="1"/>
    </xf>
    <xf numFmtId="0" fontId="28" fillId="0" borderId="1" xfId="29" applyFont="1" applyBorder="1" applyAlignment="1">
      <alignment vertical="center" wrapText="1"/>
    </xf>
    <xf numFmtId="0" fontId="28" fillId="0" borderId="1" xfId="29" applyFont="1" applyBorder="1" applyAlignment="1">
      <alignment vertical="center"/>
    </xf>
    <xf numFmtId="0" fontId="28" fillId="0" borderId="2" xfId="29" applyFont="1" applyBorder="1" applyAlignment="1">
      <alignment horizontal="center" vertical="center" textRotation="90" wrapText="1"/>
    </xf>
    <xf numFmtId="0" fontId="28" fillId="0" borderId="3" xfId="29" applyFont="1" applyBorder="1" applyAlignment="1">
      <alignment horizontal="center" vertical="center" wrapText="1"/>
    </xf>
    <xf numFmtId="0" fontId="28" fillId="0" borderId="4" xfId="29" applyFont="1" applyBorder="1" applyAlignment="1">
      <alignment horizontal="center" vertical="center"/>
    </xf>
    <xf numFmtId="0" fontId="28" fillId="0" borderId="4" xfId="29" applyFont="1" applyBorder="1" applyAlignment="1">
      <alignment vertical="center" wrapText="1"/>
    </xf>
    <xf numFmtId="0" fontId="28" fillId="0" borderId="1" xfId="29" applyFont="1" applyBorder="1" applyAlignment="1">
      <alignment horizontal="center" vertical="center" wrapText="1"/>
    </xf>
    <xf numFmtId="0" fontId="28" fillId="0" borderId="2" xfId="29" applyFont="1" applyBorder="1" applyAlignment="1">
      <alignment horizontal="center" textRotation="90" wrapText="1"/>
    </xf>
    <xf numFmtId="0" fontId="28" fillId="0" borderId="3" xfId="29" applyFont="1" applyBorder="1" applyAlignment="1">
      <alignment horizontal="center" wrapText="1"/>
    </xf>
    <xf numFmtId="0" fontId="28" fillId="0" borderId="4" xfId="29" applyFont="1" applyBorder="1" applyAlignment="1">
      <alignment horizontal="center" wrapText="1"/>
    </xf>
    <xf numFmtId="0" fontId="28" fillId="0" borderId="3" xfId="29" applyFont="1" applyBorder="1" applyAlignment="1">
      <alignment horizontal="center" textRotation="90" wrapText="1"/>
    </xf>
    <xf numFmtId="0" fontId="28" fillId="0" borderId="4" xfId="29" applyFont="1" applyBorder="1" applyAlignment="1">
      <alignment horizontal="center" textRotation="90" wrapText="1"/>
    </xf>
    <xf numFmtId="0" fontId="28" fillId="0" borderId="2" xfId="29" applyFont="1" applyBorder="1" applyAlignment="1">
      <alignment horizontal="center" vertical="center" wrapText="1"/>
    </xf>
    <xf numFmtId="0" fontId="28" fillId="0" borderId="4" xfId="29" applyFont="1" applyBorder="1" applyAlignment="1">
      <alignment horizontal="center" vertical="center" wrapText="1"/>
    </xf>
    <xf numFmtId="0" fontId="28" fillId="0" borderId="0" xfId="19" applyFont="1" applyAlignment="1">
      <alignment horizontal="right" wrapText="1"/>
    </xf>
    <xf numFmtId="0" fontId="28" fillId="0" borderId="0" xfId="19" applyFont="1" applyAlignment="1">
      <alignment horizontal="right" vertical="center" wrapText="1"/>
    </xf>
    <xf numFmtId="0" fontId="36" fillId="0" borderId="0" xfId="19" applyFont="1" applyAlignment="1">
      <alignment horizontal="center" vertical="center" wrapText="1"/>
    </xf>
    <xf numFmtId="0" fontId="28" fillId="0" borderId="3" xfId="29" applyFont="1" applyBorder="1" applyAlignment="1">
      <alignment vertical="center" wrapText="1"/>
    </xf>
    <xf numFmtId="0" fontId="28" fillId="0" borderId="4" xfId="29" applyFont="1" applyBorder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</cellXfs>
  <cellStyles count="35">
    <cellStyle name="Excel Built-in Normal" xfId="10" xr:uid="{00000000-0005-0000-0000-000000000000}"/>
    <cellStyle name="Excel Built-in Normal 1" xfId="22" xr:uid="{00000000-0005-0000-0000-000001000000}"/>
    <cellStyle name="Excel Built-in Normal 2 2" xfId="14" xr:uid="{00000000-0005-0000-0000-000002000000}"/>
    <cellStyle name="Обычный" xfId="0" builtinId="0"/>
    <cellStyle name="Обычный 10" xfId="11" xr:uid="{00000000-0005-0000-0000-000004000000}"/>
    <cellStyle name="Обычный 11" xfId="19" xr:uid="{00000000-0005-0000-0000-000005000000}"/>
    <cellStyle name="Обычный 13" xfId="17" xr:uid="{00000000-0005-0000-0000-000006000000}"/>
    <cellStyle name="Обычный 14" xfId="1" xr:uid="{00000000-0005-0000-0000-000007000000}"/>
    <cellStyle name="Обычный 15" xfId="24" xr:uid="{00000000-0005-0000-0000-000008000000}"/>
    <cellStyle name="Обычный 17" xfId="6" xr:uid="{00000000-0005-0000-0000-000009000000}"/>
    <cellStyle name="Обычный 18" xfId="4" xr:uid="{00000000-0005-0000-0000-00000A000000}"/>
    <cellStyle name="Обычный 19" xfId="5" xr:uid="{00000000-0005-0000-0000-00000B000000}"/>
    <cellStyle name="Обычный 2" xfId="9" xr:uid="{00000000-0005-0000-0000-00000C000000}"/>
    <cellStyle name="Обычный 2 10" xfId="12" xr:uid="{00000000-0005-0000-0000-00000D000000}"/>
    <cellStyle name="Обычный 2 2 2" xfId="16" xr:uid="{00000000-0005-0000-0000-00000E000000}"/>
    <cellStyle name="Обычный 2 3" xfId="26" xr:uid="{00000000-0005-0000-0000-00000F000000}"/>
    <cellStyle name="Обычный 2 6" xfId="33" xr:uid="{00000000-0005-0000-0000-000010000000}"/>
    <cellStyle name="Обычный 2 8" xfId="29" xr:uid="{00000000-0005-0000-0000-000011000000}"/>
    <cellStyle name="Обычный 2 9" xfId="32" xr:uid="{00000000-0005-0000-0000-000012000000}"/>
    <cellStyle name="Обычный 21" xfId="7" xr:uid="{00000000-0005-0000-0000-000013000000}"/>
    <cellStyle name="Обычный 3" xfId="2" xr:uid="{00000000-0005-0000-0000-000014000000}"/>
    <cellStyle name="Обычный 3 16" xfId="8" xr:uid="{00000000-0005-0000-0000-000015000000}"/>
    <cellStyle name="Обычный 3 2" xfId="27" xr:uid="{00000000-0005-0000-0000-000016000000}"/>
    <cellStyle name="Обычный 3 3" xfId="15" xr:uid="{00000000-0005-0000-0000-000017000000}"/>
    <cellStyle name="Обычный 4" xfId="3" xr:uid="{00000000-0005-0000-0000-000018000000}"/>
    <cellStyle name="Обычный 4 2" xfId="13" xr:uid="{00000000-0005-0000-0000-000019000000}"/>
    <cellStyle name="Обычный 4 2 2 2" xfId="23" xr:uid="{00000000-0005-0000-0000-00001A000000}"/>
    <cellStyle name="Обычный 5" xfId="20" xr:uid="{00000000-0005-0000-0000-00001B000000}"/>
    <cellStyle name="Обычный 6" xfId="18" xr:uid="{00000000-0005-0000-0000-00001C000000}"/>
    <cellStyle name="Обычный 7" xfId="34" xr:uid="{00000000-0005-0000-0000-00001D000000}"/>
    <cellStyle name="Обычный 8" xfId="30" xr:uid="{00000000-0005-0000-0000-00001E000000}"/>
    <cellStyle name="Обычный 9" xfId="21" xr:uid="{00000000-0005-0000-0000-00001F000000}"/>
    <cellStyle name="Обычный_Лист1" xfId="28" xr:uid="{00000000-0005-0000-0000-000020000000}"/>
    <cellStyle name="Финансовый" xfId="31" builtinId="3"/>
    <cellStyle name="Финансовый 2" xfId="25" xr:uid="{00000000-0005-0000-0000-000022000000}"/>
  </cellStyles>
  <dxfs count="43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  <color rgb="FFCCCC00"/>
      <color rgb="FF99CCFF"/>
      <color rgb="FFFFCCCC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WYA1646"/>
  <sheetViews>
    <sheetView view="pageBreakPreview" topLeftCell="B1572" zoomScale="20" zoomScaleNormal="20" zoomScaleSheetLayoutView="20" workbookViewId="0">
      <selection activeCell="B1" sqref="B1:AH1600"/>
    </sheetView>
  </sheetViews>
  <sheetFormatPr defaultColWidth="9.140625" defaultRowHeight="15" x14ac:dyDescent="0.25"/>
  <cols>
    <col min="1" max="1" width="7.28515625" style="7" hidden="1" customWidth="1"/>
    <col min="2" max="2" width="17" style="51" bestFit="1" customWidth="1"/>
    <col min="3" max="3" width="255.7109375" style="52" bestFit="1" customWidth="1"/>
    <col min="4" max="4" width="75.85546875" style="7" customWidth="1"/>
    <col min="5" max="5" width="56.5703125" style="7" customWidth="1"/>
    <col min="6" max="6" width="62.28515625" style="7" customWidth="1"/>
    <col min="7" max="7" width="60.140625" style="7" customWidth="1"/>
    <col min="8" max="8" width="58.7109375" style="7" customWidth="1"/>
    <col min="9" max="9" width="68" style="7" customWidth="1"/>
    <col min="10" max="10" width="49.42578125" style="7" customWidth="1"/>
    <col min="11" max="11" width="32.28515625" style="53" customWidth="1"/>
    <col min="12" max="12" width="63.7109375" style="7" customWidth="1"/>
    <col min="13" max="13" width="50.140625" style="7" customWidth="1"/>
    <col min="14" max="14" width="70.28515625" style="7" customWidth="1"/>
    <col min="15" max="15" width="43" style="7" customWidth="1"/>
    <col min="16" max="16" width="57.5703125" style="7" customWidth="1"/>
    <col min="17" max="17" width="48.7109375" style="7" customWidth="1"/>
    <col min="18" max="18" width="65.85546875" style="7" customWidth="1"/>
    <col min="19" max="19" width="34.42578125" style="7" customWidth="1"/>
    <col min="20" max="20" width="57.5703125" style="7" customWidth="1"/>
    <col min="21" max="21" width="63" style="7" customWidth="1"/>
    <col min="22" max="22" width="54.42578125" style="7" customWidth="1"/>
    <col min="23" max="23" width="75.85546875" style="7" customWidth="1"/>
    <col min="24" max="24" width="70.140625" style="7" customWidth="1"/>
    <col min="25" max="25" width="33.7109375" style="7" customWidth="1"/>
    <col min="26" max="26" width="54.42578125" style="7" customWidth="1"/>
    <col min="27" max="27" width="85.85546875" style="7" customWidth="1"/>
    <col min="28" max="28" width="68.7109375" style="7" customWidth="1"/>
    <col min="29" max="29" width="60.85546875" style="7" customWidth="1"/>
    <col min="30" max="30" width="63.7109375" style="7" customWidth="1"/>
    <col min="31" max="31" width="64.42578125" style="7" customWidth="1"/>
    <col min="32" max="34" width="38.85546875" style="51" customWidth="1"/>
    <col min="35" max="86" width="9.140625" style="7" customWidth="1"/>
    <col min="87" max="16384" width="9.140625" style="7"/>
  </cols>
  <sheetData>
    <row r="1" spans="2:34" ht="91.5" x14ac:dyDescent="1.25">
      <c r="B1" s="146"/>
      <c r="C1" s="147"/>
      <c r="D1" s="148"/>
      <c r="E1" s="148"/>
      <c r="F1" s="148"/>
      <c r="G1" s="148"/>
      <c r="H1" s="148"/>
      <c r="I1" s="148"/>
      <c r="J1" s="148"/>
      <c r="K1" s="149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50"/>
      <c r="W1" s="317" t="s">
        <v>921</v>
      </c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</row>
    <row r="2" spans="2:34" ht="143.25" customHeight="1" x14ac:dyDescent="0.45">
      <c r="B2" s="146"/>
      <c r="C2" s="147"/>
      <c r="D2" s="148"/>
      <c r="E2" s="148"/>
      <c r="F2" s="148"/>
      <c r="G2" s="148"/>
      <c r="H2" s="148"/>
      <c r="I2" s="148"/>
      <c r="J2" s="148"/>
      <c r="K2" s="149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318" t="s">
        <v>3654</v>
      </c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</row>
    <row r="3" spans="2:34" ht="154.5" customHeight="1" x14ac:dyDescent="1.25">
      <c r="B3" s="151"/>
      <c r="C3" s="152"/>
      <c r="D3" s="150"/>
      <c r="E3" s="150"/>
      <c r="F3" s="150"/>
      <c r="G3" s="150"/>
      <c r="H3" s="150"/>
      <c r="I3" s="150"/>
      <c r="J3" s="150"/>
      <c r="K3" s="153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318" t="s">
        <v>922</v>
      </c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</row>
    <row r="4" spans="2:34" ht="90" x14ac:dyDescent="1.1499999999999999">
      <c r="B4" s="319" t="s">
        <v>923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</row>
    <row r="5" spans="2:34" ht="90" x14ac:dyDescent="0.25">
      <c r="B5" s="320" t="s">
        <v>924</v>
      </c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</row>
    <row r="6" spans="2:34" ht="90" x14ac:dyDescent="0.25">
      <c r="B6" s="320" t="s">
        <v>928</v>
      </c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320"/>
    </row>
    <row r="7" spans="2:34" x14ac:dyDescent="0.25">
      <c r="B7" s="323" t="s">
        <v>925</v>
      </c>
      <c r="C7" s="321" t="s">
        <v>950</v>
      </c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</row>
    <row r="8" spans="2:34" ht="117.75" customHeight="1" x14ac:dyDescent="0.25">
      <c r="B8" s="323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</row>
    <row r="9" spans="2:34" ht="117.75" customHeight="1" x14ac:dyDescent="0.25">
      <c r="B9" s="154" t="s">
        <v>926</v>
      </c>
      <c r="C9" s="321" t="s">
        <v>927</v>
      </c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</row>
    <row r="11" spans="2:34" ht="90.75" customHeight="1" x14ac:dyDescent="0.25">
      <c r="B11" s="314" t="s">
        <v>6</v>
      </c>
      <c r="C11" s="314" t="s">
        <v>7</v>
      </c>
      <c r="D11" s="333" t="s">
        <v>8</v>
      </c>
      <c r="E11" s="314" t="s">
        <v>929</v>
      </c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22" t="s">
        <v>9</v>
      </c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13" t="s">
        <v>10</v>
      </c>
      <c r="AG11" s="313" t="s">
        <v>11</v>
      </c>
      <c r="AH11" s="313" t="s">
        <v>12</v>
      </c>
    </row>
    <row r="12" spans="2:34" ht="90.75" customHeight="1" x14ac:dyDescent="0.25">
      <c r="B12" s="314"/>
      <c r="C12" s="314"/>
      <c r="D12" s="333"/>
      <c r="E12" s="314" t="s">
        <v>13</v>
      </c>
      <c r="F12" s="314"/>
      <c r="G12" s="314"/>
      <c r="H12" s="314"/>
      <c r="I12" s="314"/>
      <c r="J12" s="314"/>
      <c r="K12" s="314" t="s">
        <v>14</v>
      </c>
      <c r="L12" s="314"/>
      <c r="M12" s="314" t="s">
        <v>15</v>
      </c>
      <c r="N12" s="314"/>
      <c r="O12" s="314" t="s">
        <v>16</v>
      </c>
      <c r="P12" s="314"/>
      <c r="Q12" s="314" t="s">
        <v>17</v>
      </c>
      <c r="R12" s="314"/>
      <c r="S12" s="314" t="s">
        <v>18</v>
      </c>
      <c r="T12" s="314"/>
      <c r="U12" s="316" t="s">
        <v>19</v>
      </c>
      <c r="V12" s="316" t="s">
        <v>20</v>
      </c>
      <c r="W12" s="316" t="s">
        <v>21</v>
      </c>
      <c r="X12" s="316" t="s">
        <v>22</v>
      </c>
      <c r="Y12" s="316" t="s">
        <v>23</v>
      </c>
      <c r="Z12" s="316" t="s">
        <v>24</v>
      </c>
      <c r="AA12" s="316" t="s">
        <v>25</v>
      </c>
      <c r="AB12" s="316" t="s">
        <v>26</v>
      </c>
      <c r="AC12" s="316" t="s">
        <v>27</v>
      </c>
      <c r="AD12" s="315" t="s">
        <v>28</v>
      </c>
      <c r="AE12" s="316" t="s">
        <v>29</v>
      </c>
      <c r="AF12" s="313"/>
      <c r="AG12" s="313"/>
      <c r="AH12" s="313"/>
    </row>
    <row r="13" spans="2:34" ht="18.75" customHeight="1" x14ac:dyDescent="0.25">
      <c r="B13" s="314"/>
      <c r="C13" s="314"/>
      <c r="D13" s="333"/>
      <c r="E13" s="313" t="s">
        <v>30</v>
      </c>
      <c r="F13" s="313" t="s">
        <v>31</v>
      </c>
      <c r="G13" s="313" t="s">
        <v>32</v>
      </c>
      <c r="H13" s="313" t="s">
        <v>33</v>
      </c>
      <c r="I13" s="313" t="s">
        <v>34</v>
      </c>
      <c r="J13" s="313" t="s">
        <v>35</v>
      </c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6"/>
      <c r="V13" s="316"/>
      <c r="W13" s="316"/>
      <c r="X13" s="316"/>
      <c r="Y13" s="316"/>
      <c r="Z13" s="316"/>
      <c r="AA13" s="316"/>
      <c r="AB13" s="316"/>
      <c r="AC13" s="316"/>
      <c r="AD13" s="315"/>
      <c r="AE13" s="316"/>
      <c r="AF13" s="313"/>
      <c r="AG13" s="313"/>
      <c r="AH13" s="313"/>
    </row>
    <row r="14" spans="2:34" ht="18.75" customHeight="1" x14ac:dyDescent="0.25">
      <c r="B14" s="314"/>
      <c r="C14" s="314"/>
      <c r="D14" s="333"/>
      <c r="E14" s="313"/>
      <c r="F14" s="313"/>
      <c r="G14" s="313"/>
      <c r="H14" s="313"/>
      <c r="I14" s="313"/>
      <c r="J14" s="313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6"/>
      <c r="V14" s="316"/>
      <c r="W14" s="316"/>
      <c r="X14" s="316"/>
      <c r="Y14" s="316"/>
      <c r="Z14" s="316"/>
      <c r="AA14" s="316"/>
      <c r="AB14" s="316"/>
      <c r="AC14" s="316"/>
      <c r="AD14" s="315"/>
      <c r="AE14" s="316"/>
      <c r="AF14" s="313"/>
      <c r="AG14" s="313"/>
      <c r="AH14" s="313"/>
    </row>
    <row r="15" spans="2:34" ht="195" customHeight="1" x14ac:dyDescent="0.25">
      <c r="B15" s="314"/>
      <c r="C15" s="314"/>
      <c r="D15" s="333"/>
      <c r="E15" s="313"/>
      <c r="F15" s="313"/>
      <c r="G15" s="313"/>
      <c r="H15" s="313"/>
      <c r="I15" s="313"/>
      <c r="J15" s="313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6"/>
      <c r="V15" s="316"/>
      <c r="W15" s="316"/>
      <c r="X15" s="316"/>
      <c r="Y15" s="316"/>
      <c r="Z15" s="316"/>
      <c r="AA15" s="316"/>
      <c r="AB15" s="316"/>
      <c r="AC15" s="316"/>
      <c r="AD15" s="315"/>
      <c r="AE15" s="316"/>
      <c r="AF15" s="313"/>
      <c r="AG15" s="313"/>
      <c r="AH15" s="313"/>
    </row>
    <row r="16" spans="2:34" ht="409.5" customHeight="1" x14ac:dyDescent="0.25">
      <c r="B16" s="314"/>
      <c r="C16" s="314"/>
      <c r="D16" s="333"/>
      <c r="E16" s="313"/>
      <c r="F16" s="313"/>
      <c r="G16" s="313"/>
      <c r="H16" s="313"/>
      <c r="I16" s="313"/>
      <c r="J16" s="313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6"/>
      <c r="V16" s="316"/>
      <c r="W16" s="316"/>
      <c r="X16" s="316"/>
      <c r="Y16" s="316"/>
      <c r="Z16" s="316"/>
      <c r="AA16" s="316"/>
      <c r="AB16" s="316"/>
      <c r="AC16" s="316"/>
      <c r="AD16" s="315"/>
      <c r="AE16" s="316"/>
      <c r="AF16" s="313"/>
      <c r="AG16" s="313"/>
      <c r="AH16" s="313"/>
    </row>
    <row r="17" spans="1:34" ht="80.25" customHeight="1" x14ac:dyDescent="0.25">
      <c r="B17" s="334"/>
      <c r="C17" s="334"/>
      <c r="D17" s="156" t="s">
        <v>36</v>
      </c>
      <c r="E17" s="156" t="s">
        <v>36</v>
      </c>
      <c r="F17" s="156" t="s">
        <v>36</v>
      </c>
      <c r="G17" s="156" t="s">
        <v>36</v>
      </c>
      <c r="H17" s="156" t="s">
        <v>36</v>
      </c>
      <c r="I17" s="156" t="s">
        <v>36</v>
      </c>
      <c r="J17" s="156" t="s">
        <v>36</v>
      </c>
      <c r="K17" s="159" t="s">
        <v>37</v>
      </c>
      <c r="L17" s="155" t="s">
        <v>36</v>
      </c>
      <c r="M17" s="155" t="s">
        <v>38</v>
      </c>
      <c r="N17" s="155" t="s">
        <v>36</v>
      </c>
      <c r="O17" s="155" t="s">
        <v>38</v>
      </c>
      <c r="P17" s="155" t="s">
        <v>36</v>
      </c>
      <c r="Q17" s="155" t="s">
        <v>38</v>
      </c>
      <c r="R17" s="155" t="s">
        <v>36</v>
      </c>
      <c r="S17" s="155" t="s">
        <v>39</v>
      </c>
      <c r="T17" s="155" t="s">
        <v>36</v>
      </c>
      <c r="U17" s="155" t="s">
        <v>36</v>
      </c>
      <c r="V17" s="157" t="s">
        <v>36</v>
      </c>
      <c r="W17" s="155" t="s">
        <v>36</v>
      </c>
      <c r="X17" s="155" t="s">
        <v>36</v>
      </c>
      <c r="Y17" s="156" t="s">
        <v>36</v>
      </c>
      <c r="Z17" s="155" t="s">
        <v>36</v>
      </c>
      <c r="AA17" s="155" t="s">
        <v>36</v>
      </c>
      <c r="AB17" s="155" t="s">
        <v>36</v>
      </c>
      <c r="AC17" s="155" t="s">
        <v>36</v>
      </c>
      <c r="AD17" s="156" t="s">
        <v>36</v>
      </c>
      <c r="AE17" s="155" t="s">
        <v>36</v>
      </c>
      <c r="AF17" s="313"/>
      <c r="AG17" s="313"/>
      <c r="AH17" s="313"/>
    </row>
    <row r="18" spans="1:34" ht="55.5" customHeight="1" x14ac:dyDescent="0.25">
      <c r="B18" s="155">
        <v>1</v>
      </c>
      <c r="C18" s="155">
        <v>2</v>
      </c>
      <c r="D18" s="155">
        <v>3</v>
      </c>
      <c r="E18" s="155">
        <v>4</v>
      </c>
      <c r="F18" s="155">
        <v>5</v>
      </c>
      <c r="G18" s="155">
        <v>6</v>
      </c>
      <c r="H18" s="155">
        <v>7</v>
      </c>
      <c r="I18" s="155">
        <v>8</v>
      </c>
      <c r="J18" s="155">
        <v>9</v>
      </c>
      <c r="K18" s="159">
        <v>10</v>
      </c>
      <c r="L18" s="155">
        <v>11</v>
      </c>
      <c r="M18" s="155">
        <v>12</v>
      </c>
      <c r="N18" s="155">
        <v>13</v>
      </c>
      <c r="O18" s="155">
        <v>14</v>
      </c>
      <c r="P18" s="155">
        <v>15</v>
      </c>
      <c r="Q18" s="155">
        <v>16</v>
      </c>
      <c r="R18" s="155">
        <v>17</v>
      </c>
      <c r="S18" s="155">
        <v>18</v>
      </c>
      <c r="T18" s="155">
        <v>19</v>
      </c>
      <c r="U18" s="155">
        <v>20</v>
      </c>
      <c r="V18" s="155">
        <v>21</v>
      </c>
      <c r="W18" s="155">
        <v>22</v>
      </c>
      <c r="X18" s="155">
        <v>23</v>
      </c>
      <c r="Y18" s="155">
        <v>24</v>
      </c>
      <c r="Z18" s="155">
        <v>25</v>
      </c>
      <c r="AA18" s="155">
        <v>26</v>
      </c>
      <c r="AB18" s="155">
        <v>27</v>
      </c>
      <c r="AC18" s="155">
        <v>28</v>
      </c>
      <c r="AD18" s="155">
        <v>29</v>
      </c>
      <c r="AE18" s="155">
        <v>30</v>
      </c>
      <c r="AF18" s="155">
        <v>31</v>
      </c>
      <c r="AG18" s="155">
        <v>32</v>
      </c>
      <c r="AH18" s="155">
        <v>33</v>
      </c>
    </row>
    <row r="19" spans="1:34" ht="99" customHeight="1" x14ac:dyDescent="0.85">
      <c r="B19" s="160" t="s">
        <v>702</v>
      </c>
      <c r="C19" s="161"/>
      <c r="D19" s="162">
        <f t="shared" ref="D19:AE19" si="0">D20+D556+D1030</f>
        <v>4045007507.8583751</v>
      </c>
      <c r="E19" s="163">
        <f t="shared" si="0"/>
        <v>6723289.9700000007</v>
      </c>
      <c r="F19" s="163">
        <f t="shared" si="0"/>
        <v>8808492.75</v>
      </c>
      <c r="G19" s="163">
        <f t="shared" si="0"/>
        <v>98090998.400000006</v>
      </c>
      <c r="H19" s="163">
        <f t="shared" si="0"/>
        <v>9310707.9700000007</v>
      </c>
      <c r="I19" s="163">
        <f t="shared" si="0"/>
        <v>23607396.409999996</v>
      </c>
      <c r="J19" s="163">
        <f t="shared" si="0"/>
        <v>0</v>
      </c>
      <c r="K19" s="164">
        <f t="shared" si="0"/>
        <v>493</v>
      </c>
      <c r="L19" s="163">
        <f t="shared" si="0"/>
        <v>1018997451.4399999</v>
      </c>
      <c r="M19" s="163">
        <f t="shared" si="0"/>
        <v>453751.36499999993</v>
      </c>
      <c r="N19" s="163">
        <f t="shared" si="0"/>
        <v>2305293635.5900002</v>
      </c>
      <c r="O19" s="163">
        <f t="shared" si="0"/>
        <v>1787.05</v>
      </c>
      <c r="P19" s="163">
        <f t="shared" si="0"/>
        <v>5413571.2400000012</v>
      </c>
      <c r="Q19" s="163">
        <f t="shared" si="0"/>
        <v>104605.12200000002</v>
      </c>
      <c r="R19" s="163">
        <f t="shared" si="0"/>
        <v>373338656.68999994</v>
      </c>
      <c r="S19" s="163">
        <f t="shared" si="0"/>
        <v>302.53999999999996</v>
      </c>
      <c r="T19" s="163">
        <f t="shared" si="0"/>
        <v>6221804.5799999991</v>
      </c>
      <c r="U19" s="163">
        <f t="shared" si="0"/>
        <v>48009568.190000005</v>
      </c>
      <c r="V19" s="163">
        <f t="shared" si="0"/>
        <v>660431.58000000007</v>
      </c>
      <c r="W19" s="163">
        <f t="shared" si="0"/>
        <v>0</v>
      </c>
      <c r="X19" s="163">
        <f t="shared" si="0"/>
        <v>0</v>
      </c>
      <c r="Y19" s="163">
        <f t="shared" si="0"/>
        <v>0</v>
      </c>
      <c r="Z19" s="163">
        <f t="shared" si="0"/>
        <v>0</v>
      </c>
      <c r="AA19" s="163">
        <f t="shared" si="0"/>
        <v>261153.49</v>
      </c>
      <c r="AB19" s="163">
        <f t="shared" si="0"/>
        <v>20967730.350000001</v>
      </c>
      <c r="AC19" s="163">
        <f t="shared" si="0"/>
        <v>39608560.928375006</v>
      </c>
      <c r="AD19" s="163">
        <f t="shared" si="0"/>
        <v>78614058.280000001</v>
      </c>
      <c r="AE19" s="163">
        <f t="shared" si="0"/>
        <v>1080000</v>
      </c>
      <c r="AF19" s="54" t="s">
        <v>701</v>
      </c>
      <c r="AG19" s="54" t="s">
        <v>701</v>
      </c>
      <c r="AH19" s="55" t="s">
        <v>701</v>
      </c>
    </row>
    <row r="20" spans="1:34" ht="91.5" customHeight="1" x14ac:dyDescent="0.85">
      <c r="B20" s="160" t="s">
        <v>703</v>
      </c>
      <c r="C20" s="161"/>
      <c r="D20" s="165">
        <f t="shared" ref="D20:AE20" si="1">D21+D126+D156+D202+D239+D245+D272+D285+D278+D292+D295+D301+D307+D309+D325+D342+D347+D353+D350+D357+D360+D362+D383+D380+D385+D387+D392+D395+D397+D402+D412+D404+D414+D418+D422+D424+D428+D435+D441+D444+D457+D459+D463+D465+D467+D473+D485+D494+D503+D509+D511+D514+D517+D519+D522+D528+D530+D533+D535+D545+D550+D553+D290+D461+D496+D455+D498</f>
        <v>1064911444.7999998</v>
      </c>
      <c r="E20" s="58">
        <f t="shared" si="1"/>
        <v>3545203.22</v>
      </c>
      <c r="F20" s="58">
        <f t="shared" si="1"/>
        <v>4246777.28</v>
      </c>
      <c r="G20" s="58">
        <f t="shared" si="1"/>
        <v>45240074.510000005</v>
      </c>
      <c r="H20" s="58">
        <f t="shared" si="1"/>
        <v>3904082.5500000003</v>
      </c>
      <c r="I20" s="58">
        <f t="shared" si="1"/>
        <v>10974725.089999998</v>
      </c>
      <c r="J20" s="58">
        <f t="shared" si="1"/>
        <v>0</v>
      </c>
      <c r="K20" s="166">
        <f t="shared" si="1"/>
        <v>146</v>
      </c>
      <c r="L20" s="58">
        <f t="shared" si="1"/>
        <v>237746461.33000001</v>
      </c>
      <c r="M20" s="58">
        <f t="shared" si="1"/>
        <v>165388.32999999999</v>
      </c>
      <c r="N20" s="58">
        <f t="shared" si="1"/>
        <v>601471564.67000008</v>
      </c>
      <c r="O20" s="58">
        <f t="shared" si="1"/>
        <v>1787.05</v>
      </c>
      <c r="P20" s="58">
        <f t="shared" si="1"/>
        <v>5413571.2400000012</v>
      </c>
      <c r="Q20" s="58">
        <f t="shared" si="1"/>
        <v>47689.472000000016</v>
      </c>
      <c r="R20" s="58">
        <f t="shared" si="1"/>
        <v>119841361.07999998</v>
      </c>
      <c r="S20" s="58">
        <f t="shared" si="1"/>
        <v>19.07</v>
      </c>
      <c r="T20" s="58">
        <f t="shared" si="1"/>
        <v>210458.31</v>
      </c>
      <c r="U20" s="58">
        <f t="shared" si="1"/>
        <v>4132272.85</v>
      </c>
      <c r="V20" s="58">
        <f t="shared" si="1"/>
        <v>340198.58</v>
      </c>
      <c r="W20" s="58">
        <f t="shared" si="1"/>
        <v>0</v>
      </c>
      <c r="X20" s="58">
        <f t="shared" si="1"/>
        <v>0</v>
      </c>
      <c r="Y20" s="58">
        <f t="shared" si="1"/>
        <v>0</v>
      </c>
      <c r="Z20" s="58">
        <f t="shared" si="1"/>
        <v>0</v>
      </c>
      <c r="AA20" s="58">
        <f t="shared" si="1"/>
        <v>0</v>
      </c>
      <c r="AB20" s="58">
        <f t="shared" si="1"/>
        <v>0</v>
      </c>
      <c r="AC20" s="58">
        <f t="shared" si="1"/>
        <v>7549477.0500000007</v>
      </c>
      <c r="AD20" s="58">
        <f t="shared" si="1"/>
        <v>19455217.039999995</v>
      </c>
      <c r="AE20" s="58">
        <f t="shared" si="1"/>
        <v>840000</v>
      </c>
      <c r="AF20" s="54" t="s">
        <v>701</v>
      </c>
      <c r="AG20" s="54" t="s">
        <v>701</v>
      </c>
      <c r="AH20" s="55" t="s">
        <v>701</v>
      </c>
    </row>
    <row r="21" spans="1:34" ht="61.5" x14ac:dyDescent="0.85">
      <c r="B21" s="160" t="s">
        <v>1027</v>
      </c>
      <c r="C21" s="167"/>
      <c r="D21" s="165">
        <f t="shared" ref="D21:AE21" si="2">SUM(D22:D125)</f>
        <v>265883729</v>
      </c>
      <c r="E21" s="58">
        <f t="shared" si="2"/>
        <v>87007.41</v>
      </c>
      <c r="F21" s="58">
        <f t="shared" si="2"/>
        <v>0</v>
      </c>
      <c r="G21" s="58">
        <f t="shared" si="2"/>
        <v>0</v>
      </c>
      <c r="H21" s="58">
        <f t="shared" si="2"/>
        <v>126575.53</v>
      </c>
      <c r="I21" s="58">
        <f t="shared" si="2"/>
        <v>0</v>
      </c>
      <c r="J21" s="58">
        <f t="shared" si="2"/>
        <v>0</v>
      </c>
      <c r="K21" s="166">
        <f t="shared" si="2"/>
        <v>44</v>
      </c>
      <c r="L21" s="58">
        <f t="shared" si="2"/>
        <v>75730891.61999999</v>
      </c>
      <c r="M21" s="58">
        <f t="shared" si="2"/>
        <v>40983.39</v>
      </c>
      <c r="N21" s="58">
        <f t="shared" si="2"/>
        <v>132571093.74999997</v>
      </c>
      <c r="O21" s="58">
        <f t="shared" si="2"/>
        <v>0</v>
      </c>
      <c r="P21" s="58">
        <f t="shared" si="2"/>
        <v>0</v>
      </c>
      <c r="Q21" s="58">
        <f t="shared" si="2"/>
        <v>20622.91</v>
      </c>
      <c r="R21" s="58">
        <f t="shared" si="2"/>
        <v>48063150.75</v>
      </c>
      <c r="S21" s="58">
        <f t="shared" si="2"/>
        <v>0</v>
      </c>
      <c r="T21" s="58">
        <f t="shared" si="2"/>
        <v>0</v>
      </c>
      <c r="U21" s="58">
        <f t="shared" si="2"/>
        <v>4132272.85</v>
      </c>
      <c r="V21" s="58">
        <f t="shared" si="2"/>
        <v>0</v>
      </c>
      <c r="W21" s="58">
        <f t="shared" si="2"/>
        <v>0</v>
      </c>
      <c r="X21" s="58">
        <f t="shared" si="2"/>
        <v>0</v>
      </c>
      <c r="Y21" s="58">
        <f t="shared" si="2"/>
        <v>0</v>
      </c>
      <c r="Z21" s="58">
        <f t="shared" si="2"/>
        <v>0</v>
      </c>
      <c r="AA21" s="58">
        <f t="shared" si="2"/>
        <v>0</v>
      </c>
      <c r="AB21" s="58">
        <f t="shared" si="2"/>
        <v>0</v>
      </c>
      <c r="AC21" s="58">
        <f t="shared" si="2"/>
        <v>2367783.1900000004</v>
      </c>
      <c r="AD21" s="58">
        <f t="shared" si="2"/>
        <v>2804953.8999999994</v>
      </c>
      <c r="AE21" s="58">
        <f t="shared" si="2"/>
        <v>0</v>
      </c>
      <c r="AF21" s="54" t="s">
        <v>701</v>
      </c>
      <c r="AG21" s="54" t="s">
        <v>701</v>
      </c>
      <c r="AH21" s="55" t="s">
        <v>701</v>
      </c>
    </row>
    <row r="22" spans="1:34" ht="61.5" x14ac:dyDescent="0.85">
      <c r="A22" s="7">
        <v>1</v>
      </c>
      <c r="B22" s="59">
        <f>SUBTOTAL(103,$A$22:A22)</f>
        <v>1</v>
      </c>
      <c r="C22" s="160" t="s">
        <v>454</v>
      </c>
      <c r="D22" s="60">
        <f t="shared" ref="D22:D53" si="3">E22+F22+G22+H22+I22+J22+L22+N22+P22+R22+T22+U22+V22+W22+X22+Y22+Z22+AA22+AB22+AC22+AD22+AE22</f>
        <v>1821107.48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168">
        <v>0</v>
      </c>
      <c r="L22" s="60">
        <v>0</v>
      </c>
      <c r="M22" s="62">
        <v>390</v>
      </c>
      <c r="N22" s="62">
        <v>1736836.14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163">
        <v>23968.34</v>
      </c>
      <c r="AD22" s="169">
        <v>60303</v>
      </c>
      <c r="AE22" s="60">
        <v>0</v>
      </c>
      <c r="AF22" s="170">
        <v>2020</v>
      </c>
      <c r="AG22" s="170">
        <v>2020</v>
      </c>
      <c r="AH22" s="170">
        <v>2020</v>
      </c>
    </row>
    <row r="23" spans="1:34" ht="61.5" x14ac:dyDescent="0.85">
      <c r="A23" s="7">
        <v>1</v>
      </c>
      <c r="B23" s="59">
        <f>SUBTOTAL(103,$A$22:A23)</f>
        <v>2</v>
      </c>
      <c r="C23" s="160" t="s">
        <v>1003</v>
      </c>
      <c r="D23" s="60">
        <f t="shared" si="3"/>
        <v>69778.55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168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  <c r="AC23" s="60">
        <v>0</v>
      </c>
      <c r="AD23" s="62">
        <v>69778.55</v>
      </c>
      <c r="AE23" s="60">
        <v>0</v>
      </c>
      <c r="AF23" s="170">
        <v>2020</v>
      </c>
      <c r="AG23" s="63" t="s">
        <v>257</v>
      </c>
      <c r="AH23" s="63" t="s">
        <v>257</v>
      </c>
    </row>
    <row r="24" spans="1:34" ht="61.5" x14ac:dyDescent="0.85">
      <c r="A24" s="7">
        <v>1</v>
      </c>
      <c r="B24" s="59">
        <f>SUBTOTAL(103,$A$22:A24)</f>
        <v>3</v>
      </c>
      <c r="C24" s="160" t="s">
        <v>455</v>
      </c>
      <c r="D24" s="60">
        <f t="shared" si="3"/>
        <v>1775379.67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171">
        <v>1</v>
      </c>
      <c r="L24" s="62">
        <v>1775379.67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C24" s="60">
        <v>0</v>
      </c>
      <c r="AD24" s="60">
        <v>0</v>
      </c>
      <c r="AE24" s="60">
        <v>0</v>
      </c>
      <c r="AF24" s="170" t="s">
        <v>257</v>
      </c>
      <c r="AG24" s="170">
        <v>2020</v>
      </c>
      <c r="AH24" s="63" t="s">
        <v>257</v>
      </c>
    </row>
    <row r="25" spans="1:34" ht="61.5" x14ac:dyDescent="0.85">
      <c r="A25" s="7">
        <v>1</v>
      </c>
      <c r="B25" s="59">
        <f>SUBTOTAL(103,$A$22:A25)</f>
        <v>4</v>
      </c>
      <c r="C25" s="160" t="s">
        <v>457</v>
      </c>
      <c r="D25" s="60">
        <f t="shared" si="3"/>
        <v>2444609.7599999998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168">
        <v>0</v>
      </c>
      <c r="L25" s="60">
        <v>0</v>
      </c>
      <c r="M25" s="62">
        <v>596</v>
      </c>
      <c r="N25" s="62">
        <v>2411333.36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C25" s="62">
        <v>33276.400000000001</v>
      </c>
      <c r="AD25" s="60">
        <v>0</v>
      </c>
      <c r="AE25" s="60">
        <v>0</v>
      </c>
      <c r="AF25" s="170" t="s">
        <v>257</v>
      </c>
      <c r="AG25" s="170">
        <v>2020</v>
      </c>
      <c r="AH25" s="63">
        <v>2020</v>
      </c>
    </row>
    <row r="26" spans="1:34" ht="61.5" x14ac:dyDescent="0.85">
      <c r="A26" s="7">
        <v>1</v>
      </c>
      <c r="B26" s="59">
        <f>SUBTOTAL(103,$A$22:A26)</f>
        <v>5</v>
      </c>
      <c r="C26" s="160" t="s">
        <v>458</v>
      </c>
      <c r="D26" s="60">
        <f t="shared" si="3"/>
        <v>1178315.53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168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472</v>
      </c>
      <c r="R26" s="60">
        <v>1162276.1200000001</v>
      </c>
      <c r="S26" s="60">
        <v>0</v>
      </c>
      <c r="T26" s="60">
        <v>0</v>
      </c>
      <c r="U26" s="60">
        <v>0</v>
      </c>
      <c r="V26" s="60">
        <v>0</v>
      </c>
      <c r="W26" s="60">
        <v>0</v>
      </c>
      <c r="X26" s="60">
        <v>0</v>
      </c>
      <c r="Y26" s="60">
        <v>0</v>
      </c>
      <c r="Z26" s="60">
        <v>0</v>
      </c>
      <c r="AA26" s="60">
        <v>0</v>
      </c>
      <c r="AB26" s="60">
        <v>0</v>
      </c>
      <c r="AC26" s="62">
        <v>16039.41</v>
      </c>
      <c r="AD26" s="60">
        <v>0</v>
      </c>
      <c r="AE26" s="60">
        <v>0</v>
      </c>
      <c r="AF26" s="170" t="s">
        <v>257</v>
      </c>
      <c r="AG26" s="170">
        <v>2020</v>
      </c>
      <c r="AH26" s="63">
        <v>2020</v>
      </c>
    </row>
    <row r="27" spans="1:34" ht="61.5" x14ac:dyDescent="0.85">
      <c r="A27" s="7">
        <v>1</v>
      </c>
      <c r="B27" s="59">
        <f>SUBTOTAL(103,$A$22:A27)</f>
        <v>6</v>
      </c>
      <c r="C27" s="160" t="s">
        <v>459</v>
      </c>
      <c r="D27" s="60">
        <f t="shared" si="3"/>
        <v>1996366.9600000002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168">
        <v>0</v>
      </c>
      <c r="L27" s="60">
        <v>0</v>
      </c>
      <c r="M27" s="62">
        <v>612</v>
      </c>
      <c r="N27" s="169">
        <v>1969192.11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C27" s="169">
        <v>27174.85</v>
      </c>
      <c r="AD27" s="60">
        <v>0</v>
      </c>
      <c r="AE27" s="60">
        <v>0</v>
      </c>
      <c r="AF27" s="170" t="s">
        <v>257</v>
      </c>
      <c r="AG27" s="170">
        <v>2020</v>
      </c>
      <c r="AH27" s="63">
        <v>2020</v>
      </c>
    </row>
    <row r="28" spans="1:34" ht="61.5" x14ac:dyDescent="0.85">
      <c r="A28" s="7">
        <v>1</v>
      </c>
      <c r="B28" s="59">
        <f>SUBTOTAL(103,$A$22:A28)</f>
        <v>7</v>
      </c>
      <c r="C28" s="160" t="s">
        <v>461</v>
      </c>
      <c r="D28" s="60">
        <f t="shared" si="3"/>
        <v>3053881.54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168">
        <v>0</v>
      </c>
      <c r="L28" s="60">
        <v>0</v>
      </c>
      <c r="M28" s="62">
        <v>713.67</v>
      </c>
      <c r="N28" s="62">
        <v>2950406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60">
        <v>0</v>
      </c>
      <c r="Y28" s="60">
        <v>0</v>
      </c>
      <c r="Z28" s="60">
        <v>0</v>
      </c>
      <c r="AA28" s="60">
        <v>0</v>
      </c>
      <c r="AB28" s="60">
        <v>0</v>
      </c>
      <c r="AC28" s="62">
        <v>40715.599999999999</v>
      </c>
      <c r="AD28" s="62">
        <v>62759.94</v>
      </c>
      <c r="AE28" s="60">
        <v>0</v>
      </c>
      <c r="AF28" s="170">
        <v>2020</v>
      </c>
      <c r="AG28" s="170">
        <v>2020</v>
      </c>
      <c r="AH28" s="63">
        <v>2020</v>
      </c>
    </row>
    <row r="29" spans="1:34" ht="61.5" x14ac:dyDescent="0.85">
      <c r="A29" s="7">
        <v>1</v>
      </c>
      <c r="B29" s="59">
        <f>SUBTOTAL(103,$A$22:A29)</f>
        <v>8</v>
      </c>
      <c r="C29" s="160" t="s">
        <v>462</v>
      </c>
      <c r="D29" s="60">
        <f t="shared" si="3"/>
        <v>1639309.32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168">
        <v>0</v>
      </c>
      <c r="L29" s="60">
        <v>0</v>
      </c>
      <c r="M29" s="62">
        <v>635</v>
      </c>
      <c r="N29" s="62">
        <v>1559527.98</v>
      </c>
      <c r="O29" s="60">
        <v>0</v>
      </c>
      <c r="P29" s="60">
        <v>0</v>
      </c>
      <c r="Q29" s="60">
        <v>0</v>
      </c>
      <c r="R29" s="60">
        <v>0</v>
      </c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0">
        <v>0</v>
      </c>
      <c r="AB29" s="60">
        <v>0</v>
      </c>
      <c r="AC29" s="163">
        <v>21521.49</v>
      </c>
      <c r="AD29" s="62">
        <v>58259.85</v>
      </c>
      <c r="AE29" s="60">
        <v>0</v>
      </c>
      <c r="AF29" s="170">
        <v>2020</v>
      </c>
      <c r="AG29" s="170">
        <v>2020</v>
      </c>
      <c r="AH29" s="170">
        <v>2020</v>
      </c>
    </row>
    <row r="30" spans="1:34" ht="61.5" x14ac:dyDescent="0.85">
      <c r="A30" s="7">
        <v>1</v>
      </c>
      <c r="B30" s="59">
        <f>SUBTOTAL(103,$A$22:A30)</f>
        <v>9</v>
      </c>
      <c r="C30" s="160" t="s">
        <v>463</v>
      </c>
      <c r="D30" s="60">
        <f t="shared" si="3"/>
        <v>98784.97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168">
        <v>0</v>
      </c>
      <c r="L30" s="60">
        <v>0</v>
      </c>
      <c r="M30" s="60">
        <v>0</v>
      </c>
      <c r="N30" s="60">
        <v>0</v>
      </c>
      <c r="O30" s="60">
        <v>0</v>
      </c>
      <c r="P30" s="60">
        <v>0</v>
      </c>
      <c r="Q30" s="60">
        <v>0</v>
      </c>
      <c r="R30" s="60">
        <v>0</v>
      </c>
      <c r="S30" s="60">
        <v>0</v>
      </c>
      <c r="T30" s="60">
        <v>0</v>
      </c>
      <c r="U30" s="60">
        <v>0</v>
      </c>
      <c r="V30" s="60">
        <v>0</v>
      </c>
      <c r="W30" s="60">
        <v>0</v>
      </c>
      <c r="X30" s="60">
        <v>0</v>
      </c>
      <c r="Y30" s="60">
        <v>0</v>
      </c>
      <c r="Z30" s="60">
        <v>0</v>
      </c>
      <c r="AA30" s="60">
        <v>0</v>
      </c>
      <c r="AB30" s="60">
        <v>0</v>
      </c>
      <c r="AC30" s="60">
        <v>0</v>
      </c>
      <c r="AD30" s="62">
        <v>98784.97</v>
      </c>
      <c r="AE30" s="60">
        <v>0</v>
      </c>
      <c r="AF30" s="170">
        <v>2020</v>
      </c>
      <c r="AG30" s="170" t="s">
        <v>257</v>
      </c>
      <c r="AH30" s="170" t="s">
        <v>257</v>
      </c>
    </row>
    <row r="31" spans="1:34" ht="61.5" x14ac:dyDescent="0.85">
      <c r="A31" s="7">
        <v>1</v>
      </c>
      <c r="B31" s="59">
        <f>SUBTOTAL(103,$A$22:A31)</f>
        <v>10</v>
      </c>
      <c r="C31" s="160" t="s">
        <v>464</v>
      </c>
      <c r="D31" s="60">
        <f t="shared" si="3"/>
        <v>3124667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168">
        <v>0</v>
      </c>
      <c r="L31" s="60">
        <v>0</v>
      </c>
      <c r="M31" s="62">
        <v>1045</v>
      </c>
      <c r="N31" s="62">
        <v>3124667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60">
        <v>0</v>
      </c>
      <c r="AB31" s="60">
        <v>0</v>
      </c>
      <c r="AC31" s="60">
        <v>0</v>
      </c>
      <c r="AD31" s="60">
        <v>0</v>
      </c>
      <c r="AE31" s="60">
        <v>0</v>
      </c>
      <c r="AF31" s="170" t="s">
        <v>257</v>
      </c>
      <c r="AG31" s="170">
        <v>2020</v>
      </c>
      <c r="AH31" s="170" t="s">
        <v>257</v>
      </c>
    </row>
    <row r="32" spans="1:34" ht="61.5" x14ac:dyDescent="0.85">
      <c r="A32" s="7">
        <v>1</v>
      </c>
      <c r="B32" s="59">
        <f>SUBTOTAL(103,$A$22:A32)</f>
        <v>11</v>
      </c>
      <c r="C32" s="160" t="s">
        <v>465</v>
      </c>
      <c r="D32" s="60">
        <f t="shared" si="3"/>
        <v>89397.8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168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0">
        <v>0</v>
      </c>
      <c r="AB32" s="60">
        <v>0</v>
      </c>
      <c r="AC32" s="60">
        <v>0</v>
      </c>
      <c r="AD32" s="62">
        <v>89397.8</v>
      </c>
      <c r="AE32" s="60">
        <v>0</v>
      </c>
      <c r="AF32" s="170">
        <v>2020</v>
      </c>
      <c r="AG32" s="170" t="s">
        <v>257</v>
      </c>
      <c r="AH32" s="170" t="s">
        <v>257</v>
      </c>
    </row>
    <row r="33" spans="1:34" ht="61.5" x14ac:dyDescent="0.85">
      <c r="A33" s="7">
        <v>1</v>
      </c>
      <c r="B33" s="59">
        <f>SUBTOTAL(103,$A$22:A33)</f>
        <v>12</v>
      </c>
      <c r="C33" s="160" t="s">
        <v>467</v>
      </c>
      <c r="D33" s="60">
        <f t="shared" si="3"/>
        <v>2353912.86</v>
      </c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168">
        <v>0</v>
      </c>
      <c r="L33" s="60">
        <v>0</v>
      </c>
      <c r="M33" s="62">
        <v>740.47</v>
      </c>
      <c r="N33" s="62">
        <v>2321871.04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0</v>
      </c>
      <c r="Y33" s="60">
        <v>0</v>
      </c>
      <c r="Z33" s="60">
        <v>0</v>
      </c>
      <c r="AA33" s="60">
        <v>0</v>
      </c>
      <c r="AB33" s="60">
        <v>0</v>
      </c>
      <c r="AC33" s="62">
        <v>32041.82</v>
      </c>
      <c r="AD33" s="60">
        <v>0</v>
      </c>
      <c r="AE33" s="60">
        <v>0</v>
      </c>
      <c r="AF33" s="170" t="s">
        <v>257</v>
      </c>
      <c r="AG33" s="170">
        <v>2020</v>
      </c>
      <c r="AH33" s="63">
        <v>2020</v>
      </c>
    </row>
    <row r="34" spans="1:34" ht="61.5" x14ac:dyDescent="0.85">
      <c r="A34" s="7">
        <v>1</v>
      </c>
      <c r="B34" s="59">
        <f>SUBTOTAL(103,$A$22:A34)</f>
        <v>13</v>
      </c>
      <c r="C34" s="160" t="s">
        <v>468</v>
      </c>
      <c r="D34" s="60">
        <f t="shared" si="3"/>
        <v>2593330.65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168">
        <v>0</v>
      </c>
      <c r="L34" s="60">
        <v>0</v>
      </c>
      <c r="M34" s="62">
        <v>940</v>
      </c>
      <c r="N34" s="62">
        <v>2593330.65</v>
      </c>
      <c r="O34" s="60">
        <v>0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60">
        <v>0</v>
      </c>
      <c r="W34" s="60">
        <v>0</v>
      </c>
      <c r="X34" s="60">
        <v>0</v>
      </c>
      <c r="Y34" s="60">
        <v>0</v>
      </c>
      <c r="Z34" s="60">
        <v>0</v>
      </c>
      <c r="AA34" s="60">
        <v>0</v>
      </c>
      <c r="AB34" s="60">
        <v>0</v>
      </c>
      <c r="AC34" s="60">
        <v>0</v>
      </c>
      <c r="AD34" s="60">
        <v>0</v>
      </c>
      <c r="AE34" s="60">
        <v>0</v>
      </c>
      <c r="AF34" s="170" t="s">
        <v>257</v>
      </c>
      <c r="AG34" s="170">
        <v>2020</v>
      </c>
      <c r="AH34" s="63" t="s">
        <v>257</v>
      </c>
    </row>
    <row r="35" spans="1:34" ht="61.5" x14ac:dyDescent="0.85">
      <c r="A35" s="7">
        <v>1</v>
      </c>
      <c r="B35" s="59">
        <f>SUBTOTAL(103,$A$22:A35)</f>
        <v>14</v>
      </c>
      <c r="C35" s="160" t="s">
        <v>469</v>
      </c>
      <c r="D35" s="60">
        <f t="shared" si="3"/>
        <v>14319460.059999999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171">
        <v>8</v>
      </c>
      <c r="L35" s="62">
        <f>1793893.97+1793893.97+4*1788829.52+1788177.02*2</f>
        <v>14319460.059999999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  <c r="S35" s="60">
        <v>0</v>
      </c>
      <c r="T35" s="60">
        <v>0</v>
      </c>
      <c r="U35" s="60">
        <v>0</v>
      </c>
      <c r="V35" s="60">
        <v>0</v>
      </c>
      <c r="W35" s="60">
        <v>0</v>
      </c>
      <c r="X35" s="60">
        <v>0</v>
      </c>
      <c r="Y35" s="60">
        <v>0</v>
      </c>
      <c r="Z35" s="60">
        <v>0</v>
      </c>
      <c r="AA35" s="60">
        <v>0</v>
      </c>
      <c r="AB35" s="60">
        <v>0</v>
      </c>
      <c r="AC35" s="60">
        <v>0</v>
      </c>
      <c r="AD35" s="60">
        <v>0</v>
      </c>
      <c r="AE35" s="60">
        <v>0</v>
      </c>
      <c r="AF35" s="170" t="s">
        <v>257</v>
      </c>
      <c r="AG35" s="170">
        <v>2020</v>
      </c>
      <c r="AH35" s="63" t="s">
        <v>257</v>
      </c>
    </row>
    <row r="36" spans="1:34" ht="61.5" x14ac:dyDescent="0.85">
      <c r="A36" s="7">
        <v>1</v>
      </c>
      <c r="B36" s="59">
        <f>SUBTOTAL(103,$A$22:A36)</f>
        <v>15</v>
      </c>
      <c r="C36" s="160" t="s">
        <v>470</v>
      </c>
      <c r="D36" s="60">
        <f t="shared" si="3"/>
        <v>721831.31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168">
        <v>0</v>
      </c>
      <c r="L36" s="60">
        <v>0</v>
      </c>
      <c r="M36" s="62">
        <v>250</v>
      </c>
      <c r="N36" s="169">
        <v>712005.63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0">
        <v>0</v>
      </c>
      <c r="W36" s="60">
        <v>0</v>
      </c>
      <c r="X36" s="60">
        <v>0</v>
      </c>
      <c r="Y36" s="60">
        <v>0</v>
      </c>
      <c r="Z36" s="60">
        <v>0</v>
      </c>
      <c r="AA36" s="60">
        <v>0</v>
      </c>
      <c r="AB36" s="60">
        <v>0</v>
      </c>
      <c r="AC36" s="60">
        <v>9825.68</v>
      </c>
      <c r="AD36" s="60">
        <v>0</v>
      </c>
      <c r="AE36" s="60">
        <v>0</v>
      </c>
      <c r="AF36" s="170" t="s">
        <v>257</v>
      </c>
      <c r="AG36" s="170">
        <v>2020</v>
      </c>
      <c r="AH36" s="63">
        <v>2020</v>
      </c>
    </row>
    <row r="37" spans="1:34" ht="61.5" x14ac:dyDescent="0.85">
      <c r="A37" s="7">
        <v>1</v>
      </c>
      <c r="B37" s="59">
        <f>SUBTOTAL(103,$A$22:A37)</f>
        <v>16</v>
      </c>
      <c r="C37" s="160" t="s">
        <v>475</v>
      </c>
      <c r="D37" s="60">
        <f t="shared" si="3"/>
        <v>3879957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168">
        <v>0</v>
      </c>
      <c r="L37" s="60">
        <v>0</v>
      </c>
      <c r="M37" s="62">
        <v>1020</v>
      </c>
      <c r="N37" s="62">
        <v>3879957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0</v>
      </c>
      <c r="W37" s="60">
        <v>0</v>
      </c>
      <c r="X37" s="60">
        <v>0</v>
      </c>
      <c r="Y37" s="60">
        <v>0</v>
      </c>
      <c r="Z37" s="60">
        <v>0</v>
      </c>
      <c r="AA37" s="60">
        <v>0</v>
      </c>
      <c r="AB37" s="60">
        <v>0</v>
      </c>
      <c r="AC37" s="60">
        <v>0</v>
      </c>
      <c r="AD37" s="60">
        <v>0</v>
      </c>
      <c r="AE37" s="60">
        <v>0</v>
      </c>
      <c r="AF37" s="170" t="s">
        <v>257</v>
      </c>
      <c r="AG37" s="170">
        <v>2020</v>
      </c>
      <c r="AH37" s="63" t="s">
        <v>257</v>
      </c>
    </row>
    <row r="38" spans="1:34" ht="61.5" x14ac:dyDescent="0.85">
      <c r="A38" s="7">
        <v>1</v>
      </c>
      <c r="B38" s="59">
        <f>SUBTOTAL(103,$A$22:A38)</f>
        <v>17</v>
      </c>
      <c r="C38" s="160" t="s">
        <v>1528</v>
      </c>
      <c r="D38" s="60">
        <f t="shared" si="3"/>
        <v>1297271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168">
        <v>0</v>
      </c>
      <c r="L38" s="60">
        <v>0</v>
      </c>
      <c r="M38" s="62">
        <v>549</v>
      </c>
      <c r="N38" s="62">
        <v>1279612.3500000001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>
        <v>0</v>
      </c>
      <c r="AB38" s="60">
        <v>0</v>
      </c>
      <c r="AC38" s="163">
        <v>17658.650000000001</v>
      </c>
      <c r="AD38" s="60">
        <v>0</v>
      </c>
      <c r="AE38" s="60">
        <v>0</v>
      </c>
      <c r="AF38" s="170" t="s">
        <v>257</v>
      </c>
      <c r="AG38" s="170">
        <v>2020</v>
      </c>
      <c r="AH38" s="63">
        <v>2020</v>
      </c>
    </row>
    <row r="39" spans="1:34" ht="61.5" x14ac:dyDescent="0.85">
      <c r="A39" s="7">
        <v>1</v>
      </c>
      <c r="B39" s="59">
        <f>SUBTOTAL(103,$A$22:A39)</f>
        <v>18</v>
      </c>
      <c r="C39" s="160" t="s">
        <v>476</v>
      </c>
      <c r="D39" s="60">
        <f t="shared" si="3"/>
        <v>2988276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168">
        <v>0</v>
      </c>
      <c r="L39" s="60">
        <v>0</v>
      </c>
      <c r="M39" s="62">
        <v>980</v>
      </c>
      <c r="N39" s="62">
        <v>2988276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0</v>
      </c>
      <c r="U39" s="60">
        <v>0</v>
      </c>
      <c r="V39" s="60">
        <v>0</v>
      </c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0">
        <v>0</v>
      </c>
      <c r="AD39" s="60">
        <v>0</v>
      </c>
      <c r="AE39" s="60">
        <v>0</v>
      </c>
      <c r="AF39" s="170" t="s">
        <v>257</v>
      </c>
      <c r="AG39" s="170">
        <v>2020</v>
      </c>
      <c r="AH39" s="63" t="s">
        <v>257</v>
      </c>
    </row>
    <row r="40" spans="1:34" ht="61.5" x14ac:dyDescent="0.85">
      <c r="A40" s="7">
        <v>1</v>
      </c>
      <c r="B40" s="59">
        <f>SUBTOTAL(103,$A$22:A40)</f>
        <v>19</v>
      </c>
      <c r="C40" s="160" t="s">
        <v>478</v>
      </c>
      <c r="D40" s="60">
        <f t="shared" si="3"/>
        <v>56688.3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168">
        <v>0</v>
      </c>
      <c r="L40" s="60">
        <v>0</v>
      </c>
      <c r="M40" s="60">
        <v>0</v>
      </c>
      <c r="N40" s="60">
        <v>0</v>
      </c>
      <c r="O40" s="60">
        <v>0</v>
      </c>
      <c r="P40" s="60">
        <v>0</v>
      </c>
      <c r="Q40" s="60">
        <v>0</v>
      </c>
      <c r="R40" s="60">
        <v>0</v>
      </c>
      <c r="S40" s="60">
        <v>0</v>
      </c>
      <c r="T40" s="60">
        <v>0</v>
      </c>
      <c r="U40" s="60">
        <v>0</v>
      </c>
      <c r="V40" s="60">
        <v>0</v>
      </c>
      <c r="W40" s="60">
        <v>0</v>
      </c>
      <c r="X40" s="60">
        <v>0</v>
      </c>
      <c r="Y40" s="60">
        <v>0</v>
      </c>
      <c r="Z40" s="60">
        <v>0</v>
      </c>
      <c r="AA40" s="60">
        <v>0</v>
      </c>
      <c r="AB40" s="60">
        <v>0</v>
      </c>
      <c r="AC40" s="60">
        <v>0</v>
      </c>
      <c r="AD40" s="62">
        <v>56688.3</v>
      </c>
      <c r="AE40" s="60">
        <v>0</v>
      </c>
      <c r="AF40" s="170">
        <v>2020</v>
      </c>
      <c r="AG40" s="170" t="s">
        <v>257</v>
      </c>
      <c r="AH40" s="63" t="s">
        <v>257</v>
      </c>
    </row>
    <row r="41" spans="1:34" ht="61.5" x14ac:dyDescent="0.85">
      <c r="A41" s="7">
        <v>1</v>
      </c>
      <c r="B41" s="59">
        <f>SUBTOTAL(103,$A$22:A41)</f>
        <v>20</v>
      </c>
      <c r="C41" s="160" t="s">
        <v>479</v>
      </c>
      <c r="D41" s="60">
        <f t="shared" si="3"/>
        <v>89064.28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168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0">
        <v>0</v>
      </c>
      <c r="T41" s="60">
        <v>0</v>
      </c>
      <c r="U41" s="60">
        <v>0</v>
      </c>
      <c r="V41" s="60">
        <v>0</v>
      </c>
      <c r="W41" s="60">
        <v>0</v>
      </c>
      <c r="X41" s="60">
        <v>0</v>
      </c>
      <c r="Y41" s="60">
        <v>0</v>
      </c>
      <c r="Z41" s="60">
        <v>0</v>
      </c>
      <c r="AA41" s="60">
        <v>0</v>
      </c>
      <c r="AB41" s="60">
        <v>0</v>
      </c>
      <c r="AC41" s="60">
        <v>0</v>
      </c>
      <c r="AD41" s="169">
        <v>89064.28</v>
      </c>
      <c r="AE41" s="60">
        <v>0</v>
      </c>
      <c r="AF41" s="170">
        <v>2020</v>
      </c>
      <c r="AG41" s="170" t="s">
        <v>257</v>
      </c>
      <c r="AH41" s="63" t="s">
        <v>257</v>
      </c>
    </row>
    <row r="42" spans="1:34" ht="61.5" x14ac:dyDescent="0.85">
      <c r="A42" s="7">
        <v>1</v>
      </c>
      <c r="B42" s="59">
        <f>SUBTOTAL(103,$A$22:A42)</f>
        <v>21</v>
      </c>
      <c r="C42" s="160" t="s">
        <v>480</v>
      </c>
      <c r="D42" s="60">
        <f t="shared" si="3"/>
        <v>2641217.09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168">
        <v>0</v>
      </c>
      <c r="L42" s="60">
        <v>0</v>
      </c>
      <c r="M42" s="62">
        <v>654</v>
      </c>
      <c r="N42" s="60">
        <v>2522475.65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60">
        <v>0</v>
      </c>
      <c r="AB42" s="60">
        <v>0</v>
      </c>
      <c r="AC42" s="62">
        <v>34810.160000000003</v>
      </c>
      <c r="AD42" s="169">
        <v>83931.28</v>
      </c>
      <c r="AE42" s="60">
        <v>0</v>
      </c>
      <c r="AF42" s="170">
        <v>2020</v>
      </c>
      <c r="AG42" s="170">
        <v>2020</v>
      </c>
      <c r="AH42" s="63">
        <v>2020</v>
      </c>
    </row>
    <row r="43" spans="1:34" ht="61.5" x14ac:dyDescent="0.85">
      <c r="A43" s="7">
        <v>1</v>
      </c>
      <c r="B43" s="59">
        <f>SUBTOTAL(103,$A$22:A43)</f>
        <v>22</v>
      </c>
      <c r="C43" s="160" t="s">
        <v>481</v>
      </c>
      <c r="D43" s="60">
        <f t="shared" si="3"/>
        <v>12192587.91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171">
        <v>7</v>
      </c>
      <c r="L43" s="62">
        <f>1793082.78+1793082.78+1688153.47+1670941.04+1670938.04+1788194.9+1788194.9</f>
        <v>12192587.91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0</v>
      </c>
      <c r="W43" s="60">
        <v>0</v>
      </c>
      <c r="X43" s="60">
        <v>0</v>
      </c>
      <c r="Y43" s="60">
        <v>0</v>
      </c>
      <c r="Z43" s="60">
        <v>0</v>
      </c>
      <c r="AA43" s="60">
        <v>0</v>
      </c>
      <c r="AB43" s="60">
        <v>0</v>
      </c>
      <c r="AC43" s="60">
        <v>0</v>
      </c>
      <c r="AD43" s="60">
        <v>0</v>
      </c>
      <c r="AE43" s="60">
        <v>0</v>
      </c>
      <c r="AF43" s="170" t="s">
        <v>257</v>
      </c>
      <c r="AG43" s="170">
        <v>2020</v>
      </c>
      <c r="AH43" s="63" t="s">
        <v>257</v>
      </c>
    </row>
    <row r="44" spans="1:34" ht="61.5" x14ac:dyDescent="0.85">
      <c r="A44" s="7">
        <v>1</v>
      </c>
      <c r="B44" s="59">
        <f>SUBTOTAL(103,$A$22:A44)</f>
        <v>23</v>
      </c>
      <c r="C44" s="160" t="s">
        <v>482</v>
      </c>
      <c r="D44" s="60">
        <f t="shared" si="3"/>
        <v>3433160.05</v>
      </c>
      <c r="E44" s="60">
        <v>0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171">
        <v>2</v>
      </c>
      <c r="L44" s="62">
        <f>1657599.77+1775560.28</f>
        <v>3433160.05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0</v>
      </c>
      <c r="Y44" s="60">
        <v>0</v>
      </c>
      <c r="Z44" s="60">
        <v>0</v>
      </c>
      <c r="AA44" s="60">
        <v>0</v>
      </c>
      <c r="AB44" s="60">
        <v>0</v>
      </c>
      <c r="AC44" s="60">
        <v>0</v>
      </c>
      <c r="AD44" s="60">
        <v>0</v>
      </c>
      <c r="AE44" s="60">
        <v>0</v>
      </c>
      <c r="AF44" s="170" t="s">
        <v>257</v>
      </c>
      <c r="AG44" s="170">
        <v>2020</v>
      </c>
      <c r="AH44" s="63" t="s">
        <v>257</v>
      </c>
    </row>
    <row r="45" spans="1:34" ht="61.5" x14ac:dyDescent="0.85">
      <c r="A45" s="7">
        <v>1</v>
      </c>
      <c r="B45" s="59">
        <f>SUBTOTAL(103,$A$22:A45)</f>
        <v>24</v>
      </c>
      <c r="C45" s="160" t="s">
        <v>483</v>
      </c>
      <c r="D45" s="60">
        <f t="shared" si="3"/>
        <v>1772747.75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171">
        <v>1</v>
      </c>
      <c r="L45" s="62">
        <v>1772747.75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0">
        <v>0</v>
      </c>
      <c r="T45" s="60">
        <v>0</v>
      </c>
      <c r="U45" s="60">
        <v>0</v>
      </c>
      <c r="V45" s="60">
        <v>0</v>
      </c>
      <c r="W45" s="60">
        <v>0</v>
      </c>
      <c r="X45" s="60">
        <v>0</v>
      </c>
      <c r="Y45" s="60">
        <v>0</v>
      </c>
      <c r="Z45" s="60">
        <v>0</v>
      </c>
      <c r="AA45" s="60">
        <v>0</v>
      </c>
      <c r="AB45" s="60">
        <v>0</v>
      </c>
      <c r="AC45" s="60">
        <v>0</v>
      </c>
      <c r="AD45" s="60">
        <v>0</v>
      </c>
      <c r="AE45" s="60">
        <v>0</v>
      </c>
      <c r="AF45" s="170" t="s">
        <v>257</v>
      </c>
      <c r="AG45" s="170">
        <v>2020</v>
      </c>
      <c r="AH45" s="63" t="s">
        <v>257</v>
      </c>
    </row>
    <row r="46" spans="1:34" ht="61.5" x14ac:dyDescent="0.85">
      <c r="A46" s="7">
        <v>1</v>
      </c>
      <c r="B46" s="59">
        <f>SUBTOTAL(103,$A$22:A46)</f>
        <v>25</v>
      </c>
      <c r="C46" s="160" t="s">
        <v>484</v>
      </c>
      <c r="D46" s="60">
        <f t="shared" si="3"/>
        <v>3535514.86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171">
        <v>2</v>
      </c>
      <c r="L46" s="62">
        <f>1767757.43+1767757.43</f>
        <v>3535514.86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60">
        <v>0</v>
      </c>
      <c r="AB46" s="60">
        <v>0</v>
      </c>
      <c r="AC46" s="60">
        <v>0</v>
      </c>
      <c r="AD46" s="60">
        <v>0</v>
      </c>
      <c r="AE46" s="60">
        <v>0</v>
      </c>
      <c r="AF46" s="170" t="s">
        <v>257</v>
      </c>
      <c r="AG46" s="170">
        <v>2020</v>
      </c>
      <c r="AH46" s="63" t="s">
        <v>257</v>
      </c>
    </row>
    <row r="47" spans="1:34" ht="61.5" x14ac:dyDescent="0.85">
      <c r="A47" s="7">
        <v>1</v>
      </c>
      <c r="B47" s="59">
        <f>SUBTOTAL(103,$A$22:A47)</f>
        <v>26</v>
      </c>
      <c r="C47" s="160" t="s">
        <v>485</v>
      </c>
      <c r="D47" s="60">
        <f t="shared" si="3"/>
        <v>1142069.99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168">
        <v>0</v>
      </c>
      <c r="L47" s="60">
        <v>0</v>
      </c>
      <c r="M47" s="62">
        <v>305.72000000000003</v>
      </c>
      <c r="N47" s="62">
        <v>1126523.96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  <c r="Z47" s="60">
        <v>0</v>
      </c>
      <c r="AA47" s="60">
        <v>0</v>
      </c>
      <c r="AB47" s="60">
        <v>0</v>
      </c>
      <c r="AC47" s="62">
        <v>15546.03</v>
      </c>
      <c r="AD47" s="60">
        <v>0</v>
      </c>
      <c r="AE47" s="60">
        <v>0</v>
      </c>
      <c r="AF47" s="170" t="s">
        <v>257</v>
      </c>
      <c r="AG47" s="170">
        <v>2020</v>
      </c>
      <c r="AH47" s="63">
        <v>2020</v>
      </c>
    </row>
    <row r="48" spans="1:34" ht="61.5" x14ac:dyDescent="0.85">
      <c r="A48" s="7">
        <v>1</v>
      </c>
      <c r="B48" s="59">
        <f>SUBTOTAL(103,$A$22:A48)</f>
        <v>27</v>
      </c>
      <c r="C48" s="160" t="s">
        <v>486</v>
      </c>
      <c r="D48" s="60">
        <f t="shared" si="3"/>
        <v>715422.73</v>
      </c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0">
        <v>0</v>
      </c>
      <c r="K48" s="168">
        <v>0</v>
      </c>
      <c r="L48" s="60">
        <v>0</v>
      </c>
      <c r="M48" s="169">
        <v>151</v>
      </c>
      <c r="N48" s="169">
        <v>705684.29</v>
      </c>
      <c r="O48" s="60">
        <v>0</v>
      </c>
      <c r="P48" s="60">
        <v>0</v>
      </c>
      <c r="Q48" s="60">
        <v>0</v>
      </c>
      <c r="R48" s="60">
        <v>0</v>
      </c>
      <c r="S48" s="60">
        <v>0</v>
      </c>
      <c r="T48" s="60">
        <v>0</v>
      </c>
      <c r="U48" s="60">
        <v>0</v>
      </c>
      <c r="V48" s="60">
        <v>0</v>
      </c>
      <c r="W48" s="60">
        <v>0</v>
      </c>
      <c r="X48" s="60">
        <v>0</v>
      </c>
      <c r="Y48" s="60">
        <v>0</v>
      </c>
      <c r="Z48" s="60">
        <v>0</v>
      </c>
      <c r="AA48" s="60">
        <v>0</v>
      </c>
      <c r="AB48" s="60">
        <v>0</v>
      </c>
      <c r="AC48" s="163">
        <v>9738.44</v>
      </c>
      <c r="AD48" s="60">
        <v>0</v>
      </c>
      <c r="AE48" s="60">
        <v>0</v>
      </c>
      <c r="AF48" s="170" t="s">
        <v>257</v>
      </c>
      <c r="AG48" s="170">
        <v>2020</v>
      </c>
      <c r="AH48" s="63">
        <v>2020</v>
      </c>
    </row>
    <row r="49" spans="1:34" ht="61.5" x14ac:dyDescent="0.85">
      <c r="A49" s="7">
        <v>1</v>
      </c>
      <c r="B49" s="59">
        <f>SUBTOTAL(103,$A$22:A49)</f>
        <v>28</v>
      </c>
      <c r="C49" s="160" t="s">
        <v>487</v>
      </c>
      <c r="D49" s="60">
        <f t="shared" si="3"/>
        <v>1010260.5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168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2">
        <v>424</v>
      </c>
      <c r="R49" s="62">
        <v>958282.99</v>
      </c>
      <c r="S49" s="60">
        <v>0</v>
      </c>
      <c r="T49" s="60">
        <v>0</v>
      </c>
      <c r="U49" s="60">
        <v>0</v>
      </c>
      <c r="V49" s="60">
        <v>0</v>
      </c>
      <c r="W49" s="60">
        <v>0</v>
      </c>
      <c r="X49" s="60">
        <v>0</v>
      </c>
      <c r="Y49" s="60">
        <v>0</v>
      </c>
      <c r="Z49" s="60">
        <v>0</v>
      </c>
      <c r="AA49" s="60">
        <v>0</v>
      </c>
      <c r="AB49" s="60">
        <v>0</v>
      </c>
      <c r="AC49" s="62">
        <v>13224.31</v>
      </c>
      <c r="AD49" s="169">
        <v>38753.199999999997</v>
      </c>
      <c r="AE49" s="60">
        <v>0</v>
      </c>
      <c r="AF49" s="170">
        <v>2020</v>
      </c>
      <c r="AG49" s="170">
        <v>2020</v>
      </c>
      <c r="AH49" s="63">
        <v>2020</v>
      </c>
    </row>
    <row r="50" spans="1:34" ht="61.5" x14ac:dyDescent="0.85">
      <c r="A50" s="7">
        <v>1</v>
      </c>
      <c r="B50" s="59">
        <f>SUBTOTAL(103,$A$22:A50)</f>
        <v>29</v>
      </c>
      <c r="C50" s="160" t="s">
        <v>488</v>
      </c>
      <c r="D50" s="60">
        <f t="shared" si="3"/>
        <v>1761427.66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171">
        <v>1</v>
      </c>
      <c r="L50" s="62">
        <v>1761427.66</v>
      </c>
      <c r="M50" s="60">
        <v>0</v>
      </c>
      <c r="N50" s="60">
        <v>0</v>
      </c>
      <c r="O50" s="60">
        <v>0</v>
      </c>
      <c r="P50" s="60">
        <v>0</v>
      </c>
      <c r="Q50" s="60">
        <v>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  <c r="Z50" s="60">
        <v>0</v>
      </c>
      <c r="AA50" s="60">
        <v>0</v>
      </c>
      <c r="AB50" s="60">
        <v>0</v>
      </c>
      <c r="AC50" s="60">
        <v>0</v>
      </c>
      <c r="AD50" s="60">
        <v>0</v>
      </c>
      <c r="AE50" s="60">
        <v>0</v>
      </c>
      <c r="AF50" s="170" t="s">
        <v>257</v>
      </c>
      <c r="AG50" s="170">
        <v>2020</v>
      </c>
      <c r="AH50" s="63" t="s">
        <v>257</v>
      </c>
    </row>
    <row r="51" spans="1:34" ht="61.5" x14ac:dyDescent="0.85">
      <c r="A51" s="7">
        <v>1</v>
      </c>
      <c r="B51" s="59">
        <f>SUBTOTAL(103,$A$22:A51)</f>
        <v>30</v>
      </c>
      <c r="C51" s="160" t="s">
        <v>489</v>
      </c>
      <c r="D51" s="60">
        <f t="shared" si="3"/>
        <v>2417044.6000000006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168">
        <v>0</v>
      </c>
      <c r="L51" s="60">
        <v>0</v>
      </c>
      <c r="M51" s="62">
        <v>952</v>
      </c>
      <c r="N51" s="62">
        <v>2302037.7400000002</v>
      </c>
      <c r="O51" s="60">
        <v>0</v>
      </c>
      <c r="P51" s="60">
        <v>0</v>
      </c>
      <c r="Q51" s="60">
        <v>0</v>
      </c>
      <c r="R51" s="60">
        <v>0</v>
      </c>
      <c r="S51" s="60">
        <v>0</v>
      </c>
      <c r="T51" s="60">
        <v>0</v>
      </c>
      <c r="U51" s="60">
        <v>0</v>
      </c>
      <c r="V51" s="60">
        <v>0</v>
      </c>
      <c r="W51" s="60">
        <v>0</v>
      </c>
      <c r="X51" s="60">
        <v>0</v>
      </c>
      <c r="Y51" s="60">
        <v>0</v>
      </c>
      <c r="Z51" s="60">
        <v>0</v>
      </c>
      <c r="AA51" s="60">
        <v>0</v>
      </c>
      <c r="AB51" s="60">
        <v>0</v>
      </c>
      <c r="AC51" s="62">
        <v>31768.12</v>
      </c>
      <c r="AD51" s="62">
        <v>83238.740000000005</v>
      </c>
      <c r="AE51" s="60">
        <v>0</v>
      </c>
      <c r="AF51" s="170">
        <v>2020</v>
      </c>
      <c r="AG51" s="170">
        <v>2020</v>
      </c>
      <c r="AH51" s="63">
        <v>2020</v>
      </c>
    </row>
    <row r="52" spans="1:34" ht="61.5" x14ac:dyDescent="0.85">
      <c r="A52" s="7">
        <v>1</v>
      </c>
      <c r="B52" s="59">
        <f>SUBTOTAL(103,$A$22:A52)</f>
        <v>31</v>
      </c>
      <c r="C52" s="160" t="s">
        <v>490</v>
      </c>
      <c r="D52" s="60">
        <f t="shared" si="3"/>
        <v>2398202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168">
        <v>0</v>
      </c>
      <c r="L52" s="60">
        <v>0</v>
      </c>
      <c r="M52" s="62">
        <v>677.7</v>
      </c>
      <c r="N52" s="169">
        <v>2398202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0</v>
      </c>
      <c r="Y52" s="60">
        <v>0</v>
      </c>
      <c r="Z52" s="60">
        <v>0</v>
      </c>
      <c r="AA52" s="60">
        <v>0</v>
      </c>
      <c r="AB52" s="60">
        <v>0</v>
      </c>
      <c r="AC52" s="60">
        <v>0</v>
      </c>
      <c r="AD52" s="60">
        <v>0</v>
      </c>
      <c r="AE52" s="60">
        <v>0</v>
      </c>
      <c r="AF52" s="170" t="s">
        <v>257</v>
      </c>
      <c r="AG52" s="170">
        <v>2020</v>
      </c>
      <c r="AH52" s="63" t="s">
        <v>257</v>
      </c>
    </row>
    <row r="53" spans="1:34" ht="61.5" x14ac:dyDescent="0.85">
      <c r="A53" s="7">
        <v>1</v>
      </c>
      <c r="B53" s="59">
        <f>SUBTOTAL(103,$A$22:A53)</f>
        <v>32</v>
      </c>
      <c r="C53" s="160" t="s">
        <v>491</v>
      </c>
      <c r="D53" s="60">
        <f t="shared" si="3"/>
        <v>952298.84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168">
        <v>0</v>
      </c>
      <c r="L53" s="60">
        <v>0</v>
      </c>
      <c r="M53" s="62">
        <v>249.72</v>
      </c>
      <c r="N53" s="62">
        <v>939336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0</v>
      </c>
      <c r="Y53" s="60">
        <v>0</v>
      </c>
      <c r="Z53" s="60">
        <v>0</v>
      </c>
      <c r="AA53" s="60">
        <v>0</v>
      </c>
      <c r="AB53" s="60">
        <v>0</v>
      </c>
      <c r="AC53" s="163">
        <v>12962.84</v>
      </c>
      <c r="AD53" s="60">
        <v>0</v>
      </c>
      <c r="AE53" s="60">
        <v>0</v>
      </c>
      <c r="AF53" s="170" t="s">
        <v>257</v>
      </c>
      <c r="AG53" s="170">
        <v>2020</v>
      </c>
      <c r="AH53" s="63">
        <v>2020</v>
      </c>
    </row>
    <row r="54" spans="1:34" ht="61.5" x14ac:dyDescent="0.85">
      <c r="A54" s="7">
        <v>1</v>
      </c>
      <c r="B54" s="59">
        <f>SUBTOTAL(103,$A$22:A54)</f>
        <v>33</v>
      </c>
      <c r="C54" s="160" t="s">
        <v>492</v>
      </c>
      <c r="D54" s="60">
        <f t="shared" ref="D54:D85" si="4">E54+F54+G54+H54+I54+J54+L54+N54+P54+R54+T54+U54+V54+W54+X54+Y54+Z54+AA54+AB54+AC54+AD54+AE54</f>
        <v>2602788.06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168">
        <v>0</v>
      </c>
      <c r="L54" s="60">
        <v>0</v>
      </c>
      <c r="M54" s="62">
        <v>1512.41</v>
      </c>
      <c r="N54" s="62">
        <v>2567359.87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0</v>
      </c>
      <c r="Y54" s="60">
        <v>0</v>
      </c>
      <c r="Z54" s="60">
        <v>0</v>
      </c>
      <c r="AA54" s="60">
        <v>0</v>
      </c>
      <c r="AB54" s="60">
        <v>0</v>
      </c>
      <c r="AC54" s="62">
        <v>35428.19</v>
      </c>
      <c r="AD54" s="60">
        <v>0</v>
      </c>
      <c r="AE54" s="60">
        <v>0</v>
      </c>
      <c r="AF54" s="170" t="s">
        <v>257</v>
      </c>
      <c r="AG54" s="170">
        <v>2020</v>
      </c>
      <c r="AH54" s="63">
        <v>2020</v>
      </c>
    </row>
    <row r="55" spans="1:34" ht="61.5" x14ac:dyDescent="0.85">
      <c r="A55" s="7">
        <v>1</v>
      </c>
      <c r="B55" s="59">
        <f>SUBTOTAL(103,$A$22:A55)</f>
        <v>34</v>
      </c>
      <c r="C55" s="160" t="s">
        <v>493</v>
      </c>
      <c r="D55" s="60">
        <f t="shared" si="4"/>
        <v>4237431.1099999994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168">
        <v>0</v>
      </c>
      <c r="L55" s="60">
        <v>0</v>
      </c>
      <c r="M55" s="62">
        <v>1812</v>
      </c>
      <c r="N55" s="62">
        <v>4179750.55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60">
        <v>0</v>
      </c>
      <c r="AA55" s="60">
        <v>0</v>
      </c>
      <c r="AB55" s="60">
        <v>0</v>
      </c>
      <c r="AC55" s="62">
        <v>57680.56</v>
      </c>
      <c r="AD55" s="60">
        <v>0</v>
      </c>
      <c r="AE55" s="60">
        <v>0</v>
      </c>
      <c r="AF55" s="170" t="s">
        <v>257</v>
      </c>
      <c r="AG55" s="170">
        <v>2020</v>
      </c>
      <c r="AH55" s="63">
        <v>2020</v>
      </c>
    </row>
    <row r="56" spans="1:34" ht="61.5" x14ac:dyDescent="0.85">
      <c r="A56" s="7">
        <v>1</v>
      </c>
      <c r="B56" s="59">
        <f>SUBTOTAL(103,$A$22:A56)</f>
        <v>35</v>
      </c>
      <c r="C56" s="160" t="s">
        <v>494</v>
      </c>
      <c r="D56" s="60">
        <f t="shared" si="4"/>
        <v>2474623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168">
        <v>0</v>
      </c>
      <c r="L56" s="60">
        <v>0</v>
      </c>
      <c r="M56" s="62">
        <v>767</v>
      </c>
      <c r="N56" s="62">
        <v>2474623</v>
      </c>
      <c r="O56" s="60">
        <v>0</v>
      </c>
      <c r="P56" s="60">
        <v>0</v>
      </c>
      <c r="Q56" s="60">
        <v>0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0</v>
      </c>
      <c r="X56" s="60">
        <v>0</v>
      </c>
      <c r="Y56" s="60">
        <v>0</v>
      </c>
      <c r="Z56" s="60">
        <v>0</v>
      </c>
      <c r="AA56" s="60">
        <v>0</v>
      </c>
      <c r="AB56" s="60">
        <v>0</v>
      </c>
      <c r="AC56" s="60">
        <v>0</v>
      </c>
      <c r="AD56" s="60">
        <v>0</v>
      </c>
      <c r="AE56" s="60">
        <v>0</v>
      </c>
      <c r="AF56" s="170" t="s">
        <v>257</v>
      </c>
      <c r="AG56" s="170">
        <v>2020</v>
      </c>
      <c r="AH56" s="63" t="s">
        <v>257</v>
      </c>
    </row>
    <row r="57" spans="1:34" ht="61.5" x14ac:dyDescent="0.85">
      <c r="A57" s="7">
        <v>1</v>
      </c>
      <c r="B57" s="59">
        <f>SUBTOTAL(103,$A$22:A57)</f>
        <v>36</v>
      </c>
      <c r="C57" s="160" t="s">
        <v>495</v>
      </c>
      <c r="D57" s="60">
        <f t="shared" si="4"/>
        <v>3215346.54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168">
        <v>0</v>
      </c>
      <c r="L57" s="60">
        <v>0</v>
      </c>
      <c r="M57" s="62">
        <v>976</v>
      </c>
      <c r="N57" s="62">
        <v>3171578.75</v>
      </c>
      <c r="O57" s="60">
        <v>0</v>
      </c>
      <c r="P57" s="60">
        <v>0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60">
        <v>0</v>
      </c>
      <c r="W57" s="60">
        <v>0</v>
      </c>
      <c r="X57" s="60">
        <v>0</v>
      </c>
      <c r="Y57" s="60">
        <v>0</v>
      </c>
      <c r="Z57" s="60">
        <v>0</v>
      </c>
      <c r="AA57" s="60">
        <v>0</v>
      </c>
      <c r="AB57" s="60">
        <v>0</v>
      </c>
      <c r="AC57" s="62">
        <v>43767.79</v>
      </c>
      <c r="AD57" s="60">
        <v>0</v>
      </c>
      <c r="AE57" s="60">
        <v>0</v>
      </c>
      <c r="AF57" s="170" t="s">
        <v>257</v>
      </c>
      <c r="AG57" s="170">
        <v>2020</v>
      </c>
      <c r="AH57" s="63">
        <v>2020</v>
      </c>
    </row>
    <row r="58" spans="1:34" ht="61.5" x14ac:dyDescent="0.85">
      <c r="A58" s="7">
        <v>1</v>
      </c>
      <c r="B58" s="59">
        <f>SUBTOTAL(103,$A$22:A58)</f>
        <v>37</v>
      </c>
      <c r="C58" s="160" t="s">
        <v>496</v>
      </c>
      <c r="D58" s="60">
        <f t="shared" si="4"/>
        <v>2336593.7599999998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168">
        <v>0</v>
      </c>
      <c r="L58" s="60">
        <v>0</v>
      </c>
      <c r="M58" s="62">
        <v>579</v>
      </c>
      <c r="N58" s="62">
        <v>2304787.69</v>
      </c>
      <c r="O58" s="60">
        <v>0</v>
      </c>
      <c r="P58" s="60">
        <v>0</v>
      </c>
      <c r="Q58" s="60">
        <v>0</v>
      </c>
      <c r="R58" s="60">
        <v>0</v>
      </c>
      <c r="S58" s="60">
        <v>0</v>
      </c>
      <c r="T58" s="60">
        <v>0</v>
      </c>
      <c r="U58" s="60">
        <v>0</v>
      </c>
      <c r="V58" s="60">
        <v>0</v>
      </c>
      <c r="W58" s="60">
        <v>0</v>
      </c>
      <c r="X58" s="60">
        <v>0</v>
      </c>
      <c r="Y58" s="60">
        <v>0</v>
      </c>
      <c r="Z58" s="60">
        <v>0</v>
      </c>
      <c r="AA58" s="60">
        <v>0</v>
      </c>
      <c r="AB58" s="60">
        <v>0</v>
      </c>
      <c r="AC58" s="62">
        <v>31806.07</v>
      </c>
      <c r="AD58" s="60">
        <v>0</v>
      </c>
      <c r="AE58" s="60">
        <v>0</v>
      </c>
      <c r="AF58" s="170" t="s">
        <v>257</v>
      </c>
      <c r="AG58" s="170">
        <v>2020</v>
      </c>
      <c r="AH58" s="63">
        <v>2020</v>
      </c>
    </row>
    <row r="59" spans="1:34" ht="61.5" x14ac:dyDescent="0.85">
      <c r="A59" s="7">
        <v>1</v>
      </c>
      <c r="B59" s="59">
        <f>SUBTOTAL(103,$A$22:A59)</f>
        <v>38</v>
      </c>
      <c r="C59" s="160" t="s">
        <v>497</v>
      </c>
      <c r="D59" s="60">
        <f t="shared" si="4"/>
        <v>2470286.52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168">
        <v>0</v>
      </c>
      <c r="L59" s="60">
        <v>0</v>
      </c>
      <c r="M59" s="62">
        <v>767</v>
      </c>
      <c r="N59" s="62">
        <v>2351994.85</v>
      </c>
      <c r="O59" s="60">
        <v>0</v>
      </c>
      <c r="P59" s="60">
        <v>0</v>
      </c>
      <c r="Q59" s="60">
        <v>0</v>
      </c>
      <c r="R59" s="60">
        <v>0</v>
      </c>
      <c r="S59" s="60">
        <v>0</v>
      </c>
      <c r="T59" s="60">
        <v>0</v>
      </c>
      <c r="U59" s="60">
        <v>0</v>
      </c>
      <c r="V59" s="60">
        <v>0</v>
      </c>
      <c r="W59" s="60">
        <v>0</v>
      </c>
      <c r="X59" s="60">
        <v>0</v>
      </c>
      <c r="Y59" s="60">
        <v>0</v>
      </c>
      <c r="Z59" s="60">
        <v>0</v>
      </c>
      <c r="AA59" s="60">
        <v>0</v>
      </c>
      <c r="AB59" s="60">
        <v>0</v>
      </c>
      <c r="AC59" s="169">
        <v>32457.53</v>
      </c>
      <c r="AD59" s="169">
        <v>85834.14</v>
      </c>
      <c r="AE59" s="60">
        <v>0</v>
      </c>
      <c r="AF59" s="170">
        <v>2020</v>
      </c>
      <c r="AG59" s="170">
        <v>2020</v>
      </c>
      <c r="AH59" s="63">
        <v>2020</v>
      </c>
    </row>
    <row r="60" spans="1:34" ht="61.5" x14ac:dyDescent="0.85">
      <c r="A60" s="7">
        <v>1</v>
      </c>
      <c r="B60" s="59">
        <f>SUBTOTAL(103,$A$22:A60)</f>
        <v>39</v>
      </c>
      <c r="C60" s="160" t="s">
        <v>498</v>
      </c>
      <c r="D60" s="60">
        <f t="shared" si="4"/>
        <v>2594696.8800000004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168">
        <v>0</v>
      </c>
      <c r="L60" s="60">
        <v>0</v>
      </c>
      <c r="M60" s="62">
        <v>812</v>
      </c>
      <c r="N60" s="62">
        <v>2559377.4700000002</v>
      </c>
      <c r="O60" s="60">
        <v>0</v>
      </c>
      <c r="P60" s="60">
        <v>0</v>
      </c>
      <c r="Q60" s="60">
        <v>0</v>
      </c>
      <c r="R60" s="60">
        <v>0</v>
      </c>
      <c r="S60" s="60">
        <v>0</v>
      </c>
      <c r="T60" s="60">
        <v>0</v>
      </c>
      <c r="U60" s="60">
        <v>0</v>
      </c>
      <c r="V60" s="60">
        <v>0</v>
      </c>
      <c r="W60" s="60">
        <v>0</v>
      </c>
      <c r="X60" s="60">
        <v>0</v>
      </c>
      <c r="Y60" s="60">
        <v>0</v>
      </c>
      <c r="Z60" s="60">
        <v>0</v>
      </c>
      <c r="AA60" s="60">
        <v>0</v>
      </c>
      <c r="AB60" s="60">
        <v>0</v>
      </c>
      <c r="AC60" s="62">
        <v>35319.410000000003</v>
      </c>
      <c r="AD60" s="60">
        <v>0</v>
      </c>
      <c r="AE60" s="60">
        <v>0</v>
      </c>
      <c r="AF60" s="170" t="s">
        <v>257</v>
      </c>
      <c r="AG60" s="170">
        <v>2020</v>
      </c>
      <c r="AH60" s="63">
        <v>2020</v>
      </c>
    </row>
    <row r="61" spans="1:34" ht="61.5" x14ac:dyDescent="0.85">
      <c r="A61" s="7">
        <v>1</v>
      </c>
      <c r="B61" s="59">
        <f>SUBTOTAL(103,$A$22:A61)</f>
        <v>40</v>
      </c>
      <c r="C61" s="160" t="s">
        <v>499</v>
      </c>
      <c r="D61" s="60">
        <f t="shared" si="4"/>
        <v>3746791.29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168">
        <v>0</v>
      </c>
      <c r="L61" s="60">
        <v>0</v>
      </c>
      <c r="M61" s="62">
        <v>899</v>
      </c>
      <c r="N61" s="62">
        <v>3608250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60">
        <v>0</v>
      </c>
      <c r="W61" s="60">
        <v>0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163">
        <v>49793.85</v>
      </c>
      <c r="AD61" s="62">
        <v>88747.44</v>
      </c>
      <c r="AE61" s="60">
        <v>0</v>
      </c>
      <c r="AF61" s="170">
        <v>2020</v>
      </c>
      <c r="AG61" s="170">
        <v>2020</v>
      </c>
      <c r="AH61" s="170">
        <v>2020</v>
      </c>
    </row>
    <row r="62" spans="1:34" ht="61.5" x14ac:dyDescent="0.85">
      <c r="A62" s="7">
        <v>1</v>
      </c>
      <c r="B62" s="59">
        <f>SUBTOTAL(103,$A$22:A62)</f>
        <v>41</v>
      </c>
      <c r="C62" s="160" t="s">
        <v>501</v>
      </c>
      <c r="D62" s="60">
        <f t="shared" si="4"/>
        <v>2867076.98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168">
        <v>0</v>
      </c>
      <c r="L62" s="60">
        <v>0</v>
      </c>
      <c r="M62" s="62">
        <v>1400</v>
      </c>
      <c r="N62" s="62">
        <v>2828049.89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60">
        <v>0</v>
      </c>
      <c r="W62" s="60">
        <v>0</v>
      </c>
      <c r="X62" s="60">
        <v>0</v>
      </c>
      <c r="Y62" s="60">
        <v>0</v>
      </c>
      <c r="Z62" s="60">
        <v>0</v>
      </c>
      <c r="AA62" s="60">
        <v>0</v>
      </c>
      <c r="AB62" s="60">
        <v>0</v>
      </c>
      <c r="AC62" s="62">
        <v>39027.089999999997</v>
      </c>
      <c r="AD62" s="60">
        <v>0</v>
      </c>
      <c r="AE62" s="60">
        <v>0</v>
      </c>
      <c r="AF62" s="170" t="s">
        <v>257</v>
      </c>
      <c r="AG62" s="170">
        <v>2020</v>
      </c>
      <c r="AH62" s="63">
        <v>2020</v>
      </c>
    </row>
    <row r="63" spans="1:34" ht="61.5" x14ac:dyDescent="0.85">
      <c r="A63" s="7">
        <v>1</v>
      </c>
      <c r="B63" s="59">
        <f>SUBTOTAL(103,$A$22:A63)</f>
        <v>42</v>
      </c>
      <c r="C63" s="160" t="s">
        <v>502</v>
      </c>
      <c r="D63" s="60">
        <f t="shared" si="4"/>
        <v>62259.5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168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60">
        <v>0</v>
      </c>
      <c r="Z63" s="60">
        <v>0</v>
      </c>
      <c r="AA63" s="60">
        <v>0</v>
      </c>
      <c r="AB63" s="60">
        <v>0</v>
      </c>
      <c r="AC63" s="60">
        <v>0</v>
      </c>
      <c r="AD63" s="62">
        <v>62259.5</v>
      </c>
      <c r="AE63" s="60">
        <v>0</v>
      </c>
      <c r="AF63" s="170">
        <v>2020</v>
      </c>
      <c r="AG63" s="170" t="s">
        <v>257</v>
      </c>
      <c r="AH63" s="170" t="s">
        <v>257</v>
      </c>
    </row>
    <row r="64" spans="1:34" ht="61.5" x14ac:dyDescent="0.85">
      <c r="A64" s="7">
        <v>1</v>
      </c>
      <c r="B64" s="59">
        <f>SUBTOTAL(103,$A$22:A64)</f>
        <v>43</v>
      </c>
      <c r="C64" s="160" t="s">
        <v>1291</v>
      </c>
      <c r="D64" s="60">
        <f t="shared" si="4"/>
        <v>605681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168">
        <v>0</v>
      </c>
      <c r="L64" s="60">
        <v>0</v>
      </c>
      <c r="M64" s="62">
        <v>305.76</v>
      </c>
      <c r="N64" s="62">
        <v>597436.38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60">
        <v>0</v>
      </c>
      <c r="X64" s="60">
        <v>0</v>
      </c>
      <c r="Y64" s="60">
        <v>0</v>
      </c>
      <c r="Z64" s="60">
        <v>0</v>
      </c>
      <c r="AA64" s="60">
        <v>0</v>
      </c>
      <c r="AB64" s="60">
        <v>0</v>
      </c>
      <c r="AC64" s="62">
        <v>8244.6200000000008</v>
      </c>
      <c r="AD64" s="60">
        <v>0</v>
      </c>
      <c r="AE64" s="60">
        <v>0</v>
      </c>
      <c r="AF64" s="170" t="s">
        <v>257</v>
      </c>
      <c r="AG64" s="170">
        <v>2020</v>
      </c>
      <c r="AH64" s="63">
        <v>2020</v>
      </c>
    </row>
    <row r="65" spans="1:34" ht="61.5" x14ac:dyDescent="0.85">
      <c r="A65" s="7">
        <v>1</v>
      </c>
      <c r="B65" s="59">
        <f>SUBTOTAL(103,$A$22:A65)</f>
        <v>44</v>
      </c>
      <c r="C65" s="160" t="s">
        <v>1293</v>
      </c>
      <c r="D65" s="60">
        <f t="shared" si="4"/>
        <v>3492157.8499999996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168">
        <v>0</v>
      </c>
      <c r="L65" s="60">
        <v>0</v>
      </c>
      <c r="M65" s="62">
        <v>804</v>
      </c>
      <c r="N65" s="62">
        <v>3444622.07</v>
      </c>
      <c r="O65" s="60">
        <v>0</v>
      </c>
      <c r="P65" s="60">
        <v>0</v>
      </c>
      <c r="Q65" s="60">
        <v>0</v>
      </c>
      <c r="R65" s="60">
        <v>0</v>
      </c>
      <c r="S65" s="60">
        <v>0</v>
      </c>
      <c r="T65" s="60">
        <v>0</v>
      </c>
      <c r="U65" s="60">
        <v>0</v>
      </c>
      <c r="V65" s="60">
        <v>0</v>
      </c>
      <c r="W65" s="60">
        <v>0</v>
      </c>
      <c r="X65" s="60">
        <v>0</v>
      </c>
      <c r="Y65" s="60">
        <v>0</v>
      </c>
      <c r="Z65" s="60">
        <v>0</v>
      </c>
      <c r="AA65" s="60">
        <v>0</v>
      </c>
      <c r="AB65" s="60">
        <v>0</v>
      </c>
      <c r="AC65" s="62">
        <v>47535.78</v>
      </c>
      <c r="AD65" s="60">
        <v>0</v>
      </c>
      <c r="AE65" s="60">
        <v>0</v>
      </c>
      <c r="AF65" s="170" t="s">
        <v>257</v>
      </c>
      <c r="AG65" s="170">
        <v>2020</v>
      </c>
      <c r="AH65" s="63">
        <v>2020</v>
      </c>
    </row>
    <row r="66" spans="1:34" ht="61.5" x14ac:dyDescent="0.85">
      <c r="A66" s="7">
        <v>1</v>
      </c>
      <c r="B66" s="59">
        <f>SUBTOTAL(103,$A$22:A66)</f>
        <v>45</v>
      </c>
      <c r="C66" s="160" t="s">
        <v>1030</v>
      </c>
      <c r="D66" s="60">
        <f t="shared" si="4"/>
        <v>4195168.8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171">
        <v>3</v>
      </c>
      <c r="L66" s="62">
        <v>4195168.8</v>
      </c>
      <c r="M66" s="60">
        <v>0</v>
      </c>
      <c r="N66" s="60">
        <v>0</v>
      </c>
      <c r="O66" s="60">
        <v>0</v>
      </c>
      <c r="P66" s="60">
        <v>0</v>
      </c>
      <c r="Q66" s="60">
        <v>0</v>
      </c>
      <c r="R66" s="60">
        <v>0</v>
      </c>
      <c r="S66" s="60">
        <v>0</v>
      </c>
      <c r="T66" s="60">
        <v>0</v>
      </c>
      <c r="U66" s="60">
        <v>0</v>
      </c>
      <c r="V66" s="60">
        <v>0</v>
      </c>
      <c r="W66" s="60">
        <v>0</v>
      </c>
      <c r="X66" s="60">
        <v>0</v>
      </c>
      <c r="Y66" s="60">
        <v>0</v>
      </c>
      <c r="Z66" s="60">
        <v>0</v>
      </c>
      <c r="AA66" s="60">
        <v>0</v>
      </c>
      <c r="AB66" s="60">
        <v>0</v>
      </c>
      <c r="AC66" s="60">
        <v>0</v>
      </c>
      <c r="AD66" s="60">
        <v>0</v>
      </c>
      <c r="AE66" s="60">
        <v>0</v>
      </c>
      <c r="AF66" s="170" t="s">
        <v>257</v>
      </c>
      <c r="AG66" s="170">
        <v>2020</v>
      </c>
      <c r="AH66" s="63" t="s">
        <v>257</v>
      </c>
    </row>
    <row r="67" spans="1:34" ht="61.5" x14ac:dyDescent="0.85">
      <c r="A67" s="7">
        <v>1</v>
      </c>
      <c r="B67" s="59">
        <f>SUBTOTAL(103,$A$22:A67)</f>
        <v>46</v>
      </c>
      <c r="C67" s="160" t="s">
        <v>1031</v>
      </c>
      <c r="D67" s="60">
        <f t="shared" si="4"/>
        <v>11667617.030000001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168">
        <v>0</v>
      </c>
      <c r="L67" s="60">
        <v>0</v>
      </c>
      <c r="M67" s="60">
        <v>0</v>
      </c>
      <c r="N67" s="60">
        <v>0</v>
      </c>
      <c r="O67" s="60">
        <v>0</v>
      </c>
      <c r="P67" s="60">
        <v>0</v>
      </c>
      <c r="Q67" s="62">
        <v>6500</v>
      </c>
      <c r="R67" s="62">
        <v>11496038.65</v>
      </c>
      <c r="S67" s="60">
        <v>0</v>
      </c>
      <c r="T67" s="60">
        <v>0</v>
      </c>
      <c r="U67" s="60">
        <v>0</v>
      </c>
      <c r="V67" s="60">
        <v>0</v>
      </c>
      <c r="W67" s="60">
        <v>0</v>
      </c>
      <c r="X67" s="60">
        <v>0</v>
      </c>
      <c r="Y67" s="60">
        <v>0</v>
      </c>
      <c r="Z67" s="60">
        <v>0</v>
      </c>
      <c r="AA67" s="60">
        <v>0</v>
      </c>
      <c r="AB67" s="60">
        <v>0</v>
      </c>
      <c r="AC67" s="62">
        <v>171578.38</v>
      </c>
      <c r="AD67" s="60">
        <v>0</v>
      </c>
      <c r="AE67" s="60">
        <v>0</v>
      </c>
      <c r="AF67" s="170" t="s">
        <v>257</v>
      </c>
      <c r="AG67" s="170">
        <v>2020</v>
      </c>
      <c r="AH67" s="63">
        <v>2020</v>
      </c>
    </row>
    <row r="68" spans="1:34" ht="61.5" x14ac:dyDescent="0.85">
      <c r="A68" s="7">
        <v>1</v>
      </c>
      <c r="B68" s="59">
        <f>SUBTOTAL(103,$A$22:A68)</f>
        <v>47</v>
      </c>
      <c r="C68" s="160" t="s">
        <v>1032</v>
      </c>
      <c r="D68" s="60">
        <f t="shared" si="4"/>
        <v>7273505.4900000002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168">
        <v>0</v>
      </c>
      <c r="L68" s="60">
        <v>0</v>
      </c>
      <c r="M68" s="60">
        <v>0</v>
      </c>
      <c r="N68" s="60">
        <v>0</v>
      </c>
      <c r="O68" s="60">
        <v>0</v>
      </c>
      <c r="P68" s="60">
        <v>0</v>
      </c>
      <c r="Q68" s="62">
        <v>3852.16</v>
      </c>
      <c r="R68" s="62">
        <f>2250697.93+3067188.98+1848657.9</f>
        <v>7166544.8100000005</v>
      </c>
      <c r="S68" s="60">
        <v>0</v>
      </c>
      <c r="T68" s="60">
        <v>0</v>
      </c>
      <c r="U68" s="60">
        <v>0</v>
      </c>
      <c r="V68" s="60">
        <v>0</v>
      </c>
      <c r="W68" s="60">
        <v>0</v>
      </c>
      <c r="X68" s="60">
        <v>0</v>
      </c>
      <c r="Y68" s="60">
        <v>0</v>
      </c>
      <c r="Z68" s="60">
        <v>0</v>
      </c>
      <c r="AA68" s="60">
        <v>0</v>
      </c>
      <c r="AB68" s="60">
        <v>0</v>
      </c>
      <c r="AC68" s="163">
        <v>106960.68</v>
      </c>
      <c r="AD68" s="60">
        <v>0</v>
      </c>
      <c r="AE68" s="60">
        <v>0</v>
      </c>
      <c r="AF68" s="170" t="s">
        <v>257</v>
      </c>
      <c r="AG68" s="170">
        <v>2020</v>
      </c>
      <c r="AH68" s="63">
        <v>2020</v>
      </c>
    </row>
    <row r="69" spans="1:34" ht="61.5" x14ac:dyDescent="0.85">
      <c r="A69" s="7">
        <v>1</v>
      </c>
      <c r="B69" s="59">
        <f>SUBTOTAL(103,$A$22:A69)</f>
        <v>48</v>
      </c>
      <c r="C69" s="160" t="s">
        <v>1034</v>
      </c>
      <c r="D69" s="60">
        <f t="shared" si="4"/>
        <v>726648.72000000009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168">
        <v>0</v>
      </c>
      <c r="L69" s="60">
        <v>0</v>
      </c>
      <c r="M69" s="62">
        <v>206.2</v>
      </c>
      <c r="N69" s="62">
        <f>119355.05+607293.67</f>
        <v>726648.72000000009</v>
      </c>
      <c r="O69" s="60">
        <v>0</v>
      </c>
      <c r="P69" s="60">
        <v>0</v>
      </c>
      <c r="Q69" s="60">
        <v>0</v>
      </c>
      <c r="R69" s="60">
        <v>0</v>
      </c>
      <c r="S69" s="60">
        <v>0</v>
      </c>
      <c r="T69" s="60">
        <v>0</v>
      </c>
      <c r="U69" s="60">
        <v>0</v>
      </c>
      <c r="V69" s="60">
        <v>0</v>
      </c>
      <c r="W69" s="60">
        <v>0</v>
      </c>
      <c r="X69" s="60">
        <v>0</v>
      </c>
      <c r="Y69" s="60">
        <v>0</v>
      </c>
      <c r="Z69" s="60">
        <v>0</v>
      </c>
      <c r="AA69" s="60">
        <v>0</v>
      </c>
      <c r="AB69" s="60">
        <v>0</v>
      </c>
      <c r="AC69" s="60">
        <v>0</v>
      </c>
      <c r="AD69" s="60">
        <v>0</v>
      </c>
      <c r="AE69" s="60">
        <v>0</v>
      </c>
      <c r="AF69" s="170" t="s">
        <v>257</v>
      </c>
      <c r="AG69" s="170">
        <v>2020</v>
      </c>
      <c r="AH69" s="170" t="s">
        <v>257</v>
      </c>
    </row>
    <row r="70" spans="1:34" ht="61.5" x14ac:dyDescent="0.85">
      <c r="A70" s="7">
        <v>1</v>
      </c>
      <c r="B70" s="59">
        <f>SUBTOTAL(103,$A$22:A70)</f>
        <v>49</v>
      </c>
      <c r="C70" s="160" t="s">
        <v>1035</v>
      </c>
      <c r="D70" s="60">
        <f t="shared" si="4"/>
        <v>3306287.7600000002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168">
        <v>0</v>
      </c>
      <c r="L70" s="60">
        <v>0</v>
      </c>
      <c r="M70" s="62">
        <v>916</v>
      </c>
      <c r="N70" s="62">
        <v>3257667.08</v>
      </c>
      <c r="O70" s="60">
        <v>0</v>
      </c>
      <c r="P70" s="60">
        <v>0</v>
      </c>
      <c r="Q70" s="60">
        <v>0</v>
      </c>
      <c r="R70" s="60">
        <v>0</v>
      </c>
      <c r="S70" s="60">
        <v>0</v>
      </c>
      <c r="T70" s="60">
        <v>0</v>
      </c>
      <c r="U70" s="60">
        <v>0</v>
      </c>
      <c r="V70" s="60">
        <v>0</v>
      </c>
      <c r="W70" s="60">
        <v>0</v>
      </c>
      <c r="X70" s="60">
        <v>0</v>
      </c>
      <c r="Y70" s="60">
        <v>0</v>
      </c>
      <c r="Z70" s="60">
        <v>0</v>
      </c>
      <c r="AA70" s="60">
        <v>0</v>
      </c>
      <c r="AB70" s="60">
        <v>0</v>
      </c>
      <c r="AC70" s="62">
        <v>48620.68</v>
      </c>
      <c r="AD70" s="60">
        <v>0</v>
      </c>
      <c r="AE70" s="60">
        <v>0</v>
      </c>
      <c r="AF70" s="170" t="s">
        <v>257</v>
      </c>
      <c r="AG70" s="170">
        <v>2020</v>
      </c>
      <c r="AH70" s="63">
        <v>2020</v>
      </c>
    </row>
    <row r="71" spans="1:34" ht="61.5" x14ac:dyDescent="0.85">
      <c r="A71" s="7">
        <v>1</v>
      </c>
      <c r="B71" s="59">
        <f>SUBTOTAL(103,$A$22:A71)</f>
        <v>50</v>
      </c>
      <c r="C71" s="160" t="s">
        <v>1037</v>
      </c>
      <c r="D71" s="60">
        <f t="shared" si="4"/>
        <v>4193947.02</v>
      </c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168">
        <v>0</v>
      </c>
      <c r="L71" s="60">
        <v>0</v>
      </c>
      <c r="M71" s="60">
        <v>0</v>
      </c>
      <c r="N71" s="60">
        <v>0</v>
      </c>
      <c r="O71" s="60">
        <v>0</v>
      </c>
      <c r="P71" s="60">
        <v>0</v>
      </c>
      <c r="Q71" s="60">
        <v>0</v>
      </c>
      <c r="R71" s="60">
        <v>0</v>
      </c>
      <c r="S71" s="60">
        <v>0</v>
      </c>
      <c r="T71" s="60">
        <v>0</v>
      </c>
      <c r="U71" s="62">
        <v>4132272.85</v>
      </c>
      <c r="V71" s="60">
        <v>0</v>
      </c>
      <c r="W71" s="60">
        <v>0</v>
      </c>
      <c r="X71" s="60">
        <v>0</v>
      </c>
      <c r="Y71" s="60">
        <v>0</v>
      </c>
      <c r="Z71" s="60">
        <v>0</v>
      </c>
      <c r="AA71" s="60">
        <v>0</v>
      </c>
      <c r="AB71" s="60">
        <v>0</v>
      </c>
      <c r="AC71" s="62">
        <v>61674.17</v>
      </c>
      <c r="AD71" s="60">
        <v>0</v>
      </c>
      <c r="AE71" s="60">
        <v>0</v>
      </c>
      <c r="AF71" s="170" t="s">
        <v>257</v>
      </c>
      <c r="AG71" s="170">
        <v>2020</v>
      </c>
      <c r="AH71" s="63">
        <v>2020</v>
      </c>
    </row>
    <row r="72" spans="1:34" ht="61.5" x14ac:dyDescent="0.85">
      <c r="A72" s="7">
        <v>1</v>
      </c>
      <c r="B72" s="59">
        <f>SUBTOTAL(103,$A$22:A72)</f>
        <v>51</v>
      </c>
      <c r="C72" s="160" t="s">
        <v>1038</v>
      </c>
      <c r="D72" s="60">
        <f t="shared" si="4"/>
        <v>3323174.92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168">
        <v>0</v>
      </c>
      <c r="L72" s="60">
        <v>0</v>
      </c>
      <c r="M72" s="60">
        <v>945.1</v>
      </c>
      <c r="N72" s="60">
        <v>3195303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  <c r="T72" s="60">
        <v>0</v>
      </c>
      <c r="U72" s="60">
        <v>0</v>
      </c>
      <c r="V72" s="60">
        <v>0</v>
      </c>
      <c r="W72" s="60">
        <v>0</v>
      </c>
      <c r="X72" s="60">
        <v>0</v>
      </c>
      <c r="Y72" s="60">
        <v>0</v>
      </c>
      <c r="Z72" s="60">
        <v>0</v>
      </c>
      <c r="AA72" s="60">
        <v>0</v>
      </c>
      <c r="AB72" s="60">
        <v>0</v>
      </c>
      <c r="AC72" s="62">
        <v>47689.9</v>
      </c>
      <c r="AD72" s="62">
        <v>80182.02</v>
      </c>
      <c r="AE72" s="60">
        <v>0</v>
      </c>
      <c r="AF72" s="170">
        <v>2020</v>
      </c>
      <c r="AG72" s="170">
        <v>2020</v>
      </c>
      <c r="AH72" s="63">
        <v>2020</v>
      </c>
    </row>
    <row r="73" spans="1:34" ht="61.5" x14ac:dyDescent="0.85">
      <c r="A73" s="7">
        <v>1</v>
      </c>
      <c r="B73" s="59">
        <f>SUBTOTAL(103,$A$22:A73)</f>
        <v>52</v>
      </c>
      <c r="C73" s="160" t="s">
        <v>1039</v>
      </c>
      <c r="D73" s="60">
        <f t="shared" si="4"/>
        <v>4024360.63</v>
      </c>
      <c r="E73" s="6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168">
        <v>0</v>
      </c>
      <c r="L73" s="60">
        <v>0</v>
      </c>
      <c r="M73" s="62">
        <v>967.44</v>
      </c>
      <c r="N73" s="62">
        <v>3965180.31</v>
      </c>
      <c r="O73" s="60">
        <v>0</v>
      </c>
      <c r="P73" s="60">
        <v>0</v>
      </c>
      <c r="Q73" s="60">
        <v>0</v>
      </c>
      <c r="R73" s="60">
        <v>0</v>
      </c>
      <c r="S73" s="60">
        <v>0</v>
      </c>
      <c r="T73" s="60">
        <v>0</v>
      </c>
      <c r="U73" s="60">
        <v>0</v>
      </c>
      <c r="V73" s="60">
        <v>0</v>
      </c>
      <c r="W73" s="60">
        <v>0</v>
      </c>
      <c r="X73" s="60">
        <v>0</v>
      </c>
      <c r="Y73" s="60">
        <v>0</v>
      </c>
      <c r="Z73" s="60">
        <v>0</v>
      </c>
      <c r="AA73" s="60">
        <v>0</v>
      </c>
      <c r="AB73" s="60">
        <v>0</v>
      </c>
      <c r="AC73" s="62">
        <v>59180.32</v>
      </c>
      <c r="AD73" s="60">
        <v>0</v>
      </c>
      <c r="AE73" s="60">
        <v>0</v>
      </c>
      <c r="AF73" s="170" t="s">
        <v>257</v>
      </c>
      <c r="AG73" s="170">
        <v>2020</v>
      </c>
      <c r="AH73" s="63">
        <v>2020</v>
      </c>
    </row>
    <row r="74" spans="1:34" ht="61.5" x14ac:dyDescent="0.85">
      <c r="A74" s="7">
        <v>1</v>
      </c>
      <c r="B74" s="59">
        <f>SUBTOTAL(103,$A$22:A74)</f>
        <v>53</v>
      </c>
      <c r="C74" s="160" t="s">
        <v>1040</v>
      </c>
      <c r="D74" s="60">
        <f t="shared" si="4"/>
        <v>2994194.1500000004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168">
        <v>0</v>
      </c>
      <c r="L74" s="60">
        <v>0</v>
      </c>
      <c r="M74" s="62">
        <v>717</v>
      </c>
      <c r="N74" s="169">
        <v>2950162.97</v>
      </c>
      <c r="O74" s="60">
        <v>0</v>
      </c>
      <c r="P74" s="60">
        <v>0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0</v>
      </c>
      <c r="AC74" s="169">
        <v>44031.18</v>
      </c>
      <c r="AD74" s="60">
        <v>0</v>
      </c>
      <c r="AE74" s="60">
        <v>0</v>
      </c>
      <c r="AF74" s="170" t="s">
        <v>257</v>
      </c>
      <c r="AG74" s="170">
        <v>2020</v>
      </c>
      <c r="AH74" s="63">
        <v>2020</v>
      </c>
    </row>
    <row r="75" spans="1:34" ht="61.5" x14ac:dyDescent="0.85">
      <c r="A75" s="7">
        <v>1</v>
      </c>
      <c r="B75" s="59">
        <f>SUBTOTAL(103,$A$22:A75)</f>
        <v>54</v>
      </c>
      <c r="C75" s="160" t="s">
        <v>1042</v>
      </c>
      <c r="D75" s="60">
        <f t="shared" si="4"/>
        <v>4839579.08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168">
        <v>0</v>
      </c>
      <c r="L75" s="60">
        <v>0</v>
      </c>
      <c r="M75" s="60">
        <v>0</v>
      </c>
      <c r="N75" s="60">
        <v>0</v>
      </c>
      <c r="O75" s="60">
        <v>0</v>
      </c>
      <c r="P75" s="60">
        <v>0</v>
      </c>
      <c r="Q75" s="60">
        <v>1085</v>
      </c>
      <c r="R75" s="60">
        <v>4768410.55</v>
      </c>
      <c r="S75" s="60">
        <v>0</v>
      </c>
      <c r="T75" s="60">
        <v>0</v>
      </c>
      <c r="U75" s="60">
        <v>0</v>
      </c>
      <c r="V75" s="60">
        <v>0</v>
      </c>
      <c r="W75" s="60">
        <v>0</v>
      </c>
      <c r="X75" s="60">
        <v>0</v>
      </c>
      <c r="Y75" s="60">
        <v>0</v>
      </c>
      <c r="Z75" s="60">
        <v>0</v>
      </c>
      <c r="AA75" s="60">
        <v>0</v>
      </c>
      <c r="AB75" s="60">
        <v>0</v>
      </c>
      <c r="AC75" s="62">
        <v>71168.53</v>
      </c>
      <c r="AD75" s="60">
        <v>0</v>
      </c>
      <c r="AE75" s="60">
        <v>0</v>
      </c>
      <c r="AF75" s="170" t="s">
        <v>257</v>
      </c>
      <c r="AG75" s="170">
        <v>2020</v>
      </c>
      <c r="AH75" s="63">
        <v>2020</v>
      </c>
    </row>
    <row r="76" spans="1:34" ht="61.5" x14ac:dyDescent="0.85">
      <c r="A76" s="7">
        <v>1</v>
      </c>
      <c r="B76" s="59">
        <f>SUBTOTAL(103,$A$22:A76)</f>
        <v>55</v>
      </c>
      <c r="C76" s="160" t="s">
        <v>1043</v>
      </c>
      <c r="D76" s="60">
        <f t="shared" si="4"/>
        <v>1872015.22</v>
      </c>
      <c r="E76" s="60">
        <v>0</v>
      </c>
      <c r="F76" s="60">
        <v>0</v>
      </c>
      <c r="G76" s="60">
        <v>0</v>
      </c>
      <c r="H76" s="60">
        <v>0</v>
      </c>
      <c r="I76" s="60">
        <v>0</v>
      </c>
      <c r="J76" s="60">
        <v>0</v>
      </c>
      <c r="K76" s="168">
        <v>0</v>
      </c>
      <c r="L76" s="60">
        <v>0</v>
      </c>
      <c r="M76" s="62">
        <v>825</v>
      </c>
      <c r="N76" s="169">
        <v>1844486.26</v>
      </c>
      <c r="O76" s="60">
        <v>0</v>
      </c>
      <c r="P76" s="60">
        <v>0</v>
      </c>
      <c r="Q76" s="60">
        <v>0</v>
      </c>
      <c r="R76" s="60">
        <v>0</v>
      </c>
      <c r="S76" s="60">
        <v>0</v>
      </c>
      <c r="T76" s="60">
        <v>0</v>
      </c>
      <c r="U76" s="60">
        <v>0</v>
      </c>
      <c r="V76" s="60">
        <v>0</v>
      </c>
      <c r="W76" s="60">
        <v>0</v>
      </c>
      <c r="X76" s="60">
        <v>0</v>
      </c>
      <c r="Y76" s="60">
        <v>0</v>
      </c>
      <c r="Z76" s="60">
        <v>0</v>
      </c>
      <c r="AA76" s="60">
        <v>0</v>
      </c>
      <c r="AB76" s="60">
        <v>0</v>
      </c>
      <c r="AC76" s="169">
        <v>27528.959999999999</v>
      </c>
      <c r="AD76" s="60">
        <v>0</v>
      </c>
      <c r="AE76" s="60">
        <v>0</v>
      </c>
      <c r="AF76" s="170" t="s">
        <v>257</v>
      </c>
      <c r="AG76" s="170">
        <v>2020</v>
      </c>
      <c r="AH76" s="63">
        <v>2020</v>
      </c>
    </row>
    <row r="77" spans="1:34" ht="61.5" x14ac:dyDescent="0.85">
      <c r="A77" s="7">
        <v>1</v>
      </c>
      <c r="B77" s="59">
        <f>SUBTOTAL(103,$A$22:A77)</f>
        <v>56</v>
      </c>
      <c r="C77" s="160" t="s">
        <v>1044</v>
      </c>
      <c r="D77" s="60">
        <f t="shared" si="4"/>
        <v>2373016.2799999998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168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2">
        <v>558.45000000000005</v>
      </c>
      <c r="R77" s="62">
        <v>2338119.84</v>
      </c>
      <c r="S77" s="60">
        <v>0</v>
      </c>
      <c r="T77" s="60">
        <v>0</v>
      </c>
      <c r="U77" s="60">
        <v>0</v>
      </c>
      <c r="V77" s="60">
        <v>0</v>
      </c>
      <c r="W77" s="60">
        <v>0</v>
      </c>
      <c r="X77" s="60">
        <v>0</v>
      </c>
      <c r="Y77" s="60">
        <v>0</v>
      </c>
      <c r="Z77" s="60">
        <v>0</v>
      </c>
      <c r="AA77" s="60">
        <v>0</v>
      </c>
      <c r="AB77" s="60">
        <v>0</v>
      </c>
      <c r="AC77" s="62">
        <v>34896.44</v>
      </c>
      <c r="AD77" s="60">
        <v>0</v>
      </c>
      <c r="AE77" s="60">
        <v>0</v>
      </c>
      <c r="AF77" s="170" t="s">
        <v>257</v>
      </c>
      <c r="AG77" s="170">
        <v>2020</v>
      </c>
      <c r="AH77" s="63">
        <v>2020</v>
      </c>
    </row>
    <row r="78" spans="1:34" ht="61.5" x14ac:dyDescent="0.85">
      <c r="A78" s="7">
        <v>1</v>
      </c>
      <c r="B78" s="59">
        <f>SUBTOTAL(103,$A$22:A78)</f>
        <v>57</v>
      </c>
      <c r="C78" s="160" t="s">
        <v>1045</v>
      </c>
      <c r="D78" s="60">
        <f t="shared" si="4"/>
        <v>3249268.89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168">
        <v>0</v>
      </c>
      <c r="L78" s="60">
        <v>0</v>
      </c>
      <c r="M78" s="62">
        <f>959.6+211</f>
        <v>1170.5999999999999</v>
      </c>
      <c r="N78" s="169">
        <v>3201486.7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</v>
      </c>
      <c r="V78" s="60">
        <v>0</v>
      </c>
      <c r="W78" s="60">
        <v>0</v>
      </c>
      <c r="X78" s="60">
        <v>0</v>
      </c>
      <c r="Y78" s="60">
        <v>0</v>
      </c>
      <c r="Z78" s="60">
        <v>0</v>
      </c>
      <c r="AA78" s="60">
        <v>0</v>
      </c>
      <c r="AB78" s="60">
        <v>0</v>
      </c>
      <c r="AC78" s="169">
        <v>47782.19</v>
      </c>
      <c r="AD78" s="60">
        <v>0</v>
      </c>
      <c r="AE78" s="60">
        <v>0</v>
      </c>
      <c r="AF78" s="170" t="s">
        <v>257</v>
      </c>
      <c r="AG78" s="170">
        <v>2020</v>
      </c>
      <c r="AH78" s="63">
        <v>2020</v>
      </c>
    </row>
    <row r="79" spans="1:34" ht="61.5" x14ac:dyDescent="0.85">
      <c r="A79" s="7">
        <v>1</v>
      </c>
      <c r="B79" s="59">
        <f>SUBTOTAL(103,$A$22:A79)</f>
        <v>58</v>
      </c>
      <c r="C79" s="160" t="s">
        <v>1046</v>
      </c>
      <c r="D79" s="60">
        <f t="shared" si="4"/>
        <v>2561819.3000000003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168">
        <v>0</v>
      </c>
      <c r="L79" s="60">
        <v>0</v>
      </c>
      <c r="M79" s="62">
        <v>929</v>
      </c>
      <c r="N79" s="169">
        <v>2524146.41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v>0</v>
      </c>
      <c r="V79" s="60">
        <v>0</v>
      </c>
      <c r="W79" s="60">
        <v>0</v>
      </c>
      <c r="X79" s="60">
        <v>0</v>
      </c>
      <c r="Y79" s="60">
        <v>0</v>
      </c>
      <c r="Z79" s="60">
        <v>0</v>
      </c>
      <c r="AA79" s="60">
        <v>0</v>
      </c>
      <c r="AB79" s="60">
        <v>0</v>
      </c>
      <c r="AC79" s="169">
        <v>37672.89</v>
      </c>
      <c r="AD79" s="60">
        <v>0</v>
      </c>
      <c r="AE79" s="60">
        <v>0</v>
      </c>
      <c r="AF79" s="170" t="s">
        <v>257</v>
      </c>
      <c r="AG79" s="170">
        <v>2020</v>
      </c>
      <c r="AH79" s="63">
        <v>2020</v>
      </c>
    </row>
    <row r="80" spans="1:34" ht="61.5" x14ac:dyDescent="0.85">
      <c r="A80" s="7">
        <v>1</v>
      </c>
      <c r="B80" s="59">
        <f>SUBTOTAL(103,$A$22:A80)</f>
        <v>59</v>
      </c>
      <c r="C80" s="160" t="s">
        <v>1047</v>
      </c>
      <c r="D80" s="60">
        <f t="shared" si="4"/>
        <v>967510.08</v>
      </c>
      <c r="E80" s="60">
        <v>0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168">
        <v>0</v>
      </c>
      <c r="L80" s="60">
        <v>0</v>
      </c>
      <c r="M80" s="62">
        <v>365</v>
      </c>
      <c r="N80" s="62">
        <v>953282.34</v>
      </c>
      <c r="O80" s="60">
        <v>0</v>
      </c>
      <c r="P80" s="60">
        <v>0</v>
      </c>
      <c r="Q80" s="60">
        <v>0</v>
      </c>
      <c r="R80" s="60">
        <v>0</v>
      </c>
      <c r="S80" s="60">
        <v>0</v>
      </c>
      <c r="T80" s="60">
        <v>0</v>
      </c>
      <c r="U80" s="60">
        <v>0</v>
      </c>
      <c r="V80" s="60">
        <v>0</v>
      </c>
      <c r="W80" s="60">
        <v>0</v>
      </c>
      <c r="X80" s="60">
        <v>0</v>
      </c>
      <c r="Y80" s="60">
        <v>0</v>
      </c>
      <c r="Z80" s="60">
        <v>0</v>
      </c>
      <c r="AA80" s="60">
        <v>0</v>
      </c>
      <c r="AB80" s="60">
        <v>0</v>
      </c>
      <c r="AC80" s="62">
        <v>14227.74</v>
      </c>
      <c r="AD80" s="60">
        <v>0</v>
      </c>
      <c r="AE80" s="60">
        <v>0</v>
      </c>
      <c r="AF80" s="170" t="s">
        <v>257</v>
      </c>
      <c r="AG80" s="170">
        <v>2020</v>
      </c>
      <c r="AH80" s="63">
        <v>2020</v>
      </c>
    </row>
    <row r="81" spans="1:34" ht="61.5" x14ac:dyDescent="0.85">
      <c r="A81" s="7">
        <v>1</v>
      </c>
      <c r="B81" s="59">
        <f>SUBTOTAL(103,$A$22:A81)</f>
        <v>60</v>
      </c>
      <c r="C81" s="160" t="s">
        <v>1048</v>
      </c>
      <c r="D81" s="60">
        <f t="shared" si="4"/>
        <v>966024.86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168">
        <v>0</v>
      </c>
      <c r="L81" s="60">
        <v>0</v>
      </c>
      <c r="M81" s="62">
        <v>358</v>
      </c>
      <c r="N81" s="62">
        <v>951818.96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0</v>
      </c>
      <c r="V81" s="60">
        <v>0</v>
      </c>
      <c r="W81" s="60">
        <v>0</v>
      </c>
      <c r="X81" s="60">
        <v>0</v>
      </c>
      <c r="Y81" s="60">
        <v>0</v>
      </c>
      <c r="Z81" s="60">
        <v>0</v>
      </c>
      <c r="AA81" s="60">
        <v>0</v>
      </c>
      <c r="AB81" s="60">
        <v>0</v>
      </c>
      <c r="AC81" s="62">
        <v>14205.9</v>
      </c>
      <c r="AD81" s="60">
        <v>0</v>
      </c>
      <c r="AE81" s="60">
        <v>0</v>
      </c>
      <c r="AF81" s="170" t="s">
        <v>257</v>
      </c>
      <c r="AG81" s="170">
        <v>2020</v>
      </c>
      <c r="AH81" s="63">
        <v>2020</v>
      </c>
    </row>
    <row r="82" spans="1:34" ht="61.5" x14ac:dyDescent="0.85">
      <c r="A82" s="7">
        <v>1</v>
      </c>
      <c r="B82" s="59">
        <f>SUBTOTAL(103,$A$22:A82)</f>
        <v>61</v>
      </c>
      <c r="C82" s="160" t="s">
        <v>1049</v>
      </c>
      <c r="D82" s="60">
        <f t="shared" si="4"/>
        <v>2880785.14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71">
        <v>2</v>
      </c>
      <c r="L82" s="62">
        <v>2880785.14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0">
        <v>0</v>
      </c>
      <c r="W82" s="60">
        <v>0</v>
      </c>
      <c r="X82" s="60">
        <v>0</v>
      </c>
      <c r="Y82" s="60">
        <v>0</v>
      </c>
      <c r="Z82" s="60">
        <v>0</v>
      </c>
      <c r="AA82" s="60">
        <v>0</v>
      </c>
      <c r="AB82" s="60">
        <v>0</v>
      </c>
      <c r="AC82" s="60">
        <v>0</v>
      </c>
      <c r="AD82" s="60">
        <v>0</v>
      </c>
      <c r="AE82" s="60">
        <v>0</v>
      </c>
      <c r="AF82" s="170" t="s">
        <v>257</v>
      </c>
      <c r="AG82" s="170">
        <v>2020</v>
      </c>
      <c r="AH82" s="63" t="s">
        <v>257</v>
      </c>
    </row>
    <row r="83" spans="1:34" ht="61.5" x14ac:dyDescent="0.85">
      <c r="A83" s="7">
        <v>1</v>
      </c>
      <c r="B83" s="59">
        <f>SUBTOTAL(103,$A$22:A83)</f>
        <v>62</v>
      </c>
      <c r="C83" s="160" t="s">
        <v>1050</v>
      </c>
      <c r="D83" s="60">
        <f t="shared" si="4"/>
        <v>3859190.52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171">
        <v>2</v>
      </c>
      <c r="L83" s="62">
        <v>3859190.52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0">
        <v>0</v>
      </c>
      <c r="T83" s="60">
        <v>0</v>
      </c>
      <c r="U83" s="60">
        <v>0</v>
      </c>
      <c r="V83" s="60">
        <v>0</v>
      </c>
      <c r="W83" s="60">
        <v>0</v>
      </c>
      <c r="X83" s="60">
        <v>0</v>
      </c>
      <c r="Y83" s="60">
        <v>0</v>
      </c>
      <c r="Z83" s="60">
        <v>0</v>
      </c>
      <c r="AA83" s="60">
        <v>0</v>
      </c>
      <c r="AB83" s="60">
        <v>0</v>
      </c>
      <c r="AC83" s="60">
        <v>0</v>
      </c>
      <c r="AD83" s="60">
        <v>0</v>
      </c>
      <c r="AE83" s="60">
        <v>0</v>
      </c>
      <c r="AF83" s="170" t="s">
        <v>257</v>
      </c>
      <c r="AG83" s="170">
        <v>2020</v>
      </c>
      <c r="AH83" s="63" t="s">
        <v>257</v>
      </c>
    </row>
    <row r="84" spans="1:34" ht="61.5" x14ac:dyDescent="0.85">
      <c r="A84" s="7">
        <v>1</v>
      </c>
      <c r="B84" s="59">
        <f>SUBTOTAL(103,$A$22:A84)</f>
        <v>63</v>
      </c>
      <c r="C84" s="160" t="s">
        <v>1051</v>
      </c>
      <c r="D84" s="60">
        <f t="shared" si="4"/>
        <v>216770.67</v>
      </c>
      <c r="E84" s="169">
        <v>87007.41</v>
      </c>
      <c r="F84" s="60">
        <v>0</v>
      </c>
      <c r="G84" s="60">
        <v>0</v>
      </c>
      <c r="H84" s="169">
        <v>126575.53</v>
      </c>
      <c r="I84" s="60">
        <v>0</v>
      </c>
      <c r="J84" s="60">
        <v>0</v>
      </c>
      <c r="K84" s="168">
        <v>0</v>
      </c>
      <c r="L84" s="60">
        <v>0</v>
      </c>
      <c r="M84" s="60">
        <v>0</v>
      </c>
      <c r="N84" s="60">
        <v>0</v>
      </c>
      <c r="O84" s="60">
        <v>0</v>
      </c>
      <c r="P84" s="60">
        <v>0</v>
      </c>
      <c r="Q84" s="60">
        <v>0</v>
      </c>
      <c r="R84" s="60">
        <v>0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60">
        <v>0</v>
      </c>
      <c r="Y84" s="60">
        <v>0</v>
      </c>
      <c r="Z84" s="60">
        <v>0</v>
      </c>
      <c r="AA84" s="60">
        <v>0</v>
      </c>
      <c r="AB84" s="60">
        <v>0</v>
      </c>
      <c r="AC84" s="60">
        <v>3187.73</v>
      </c>
      <c r="AD84" s="60">
        <v>0</v>
      </c>
      <c r="AE84" s="60">
        <v>0</v>
      </c>
      <c r="AF84" s="170" t="s">
        <v>257</v>
      </c>
      <c r="AG84" s="170">
        <v>2020</v>
      </c>
      <c r="AH84" s="63">
        <v>2020</v>
      </c>
    </row>
    <row r="85" spans="1:34" ht="61.5" x14ac:dyDescent="0.85">
      <c r="A85" s="7">
        <v>1</v>
      </c>
      <c r="B85" s="59">
        <f>SUBTOTAL(103,$A$22:A85)</f>
        <v>64</v>
      </c>
      <c r="C85" s="160" t="s">
        <v>1056</v>
      </c>
      <c r="D85" s="60">
        <f t="shared" si="4"/>
        <v>3764827.4299999997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168">
        <v>0</v>
      </c>
      <c r="L85" s="60">
        <v>0</v>
      </c>
      <c r="M85" s="62">
        <v>1174</v>
      </c>
      <c r="N85" s="62">
        <v>3713580.03</v>
      </c>
      <c r="O85" s="60">
        <v>0</v>
      </c>
      <c r="P85" s="60">
        <v>0</v>
      </c>
      <c r="Q85" s="60">
        <v>0</v>
      </c>
      <c r="R85" s="60">
        <v>0</v>
      </c>
      <c r="S85" s="60">
        <v>0</v>
      </c>
      <c r="T85" s="60">
        <v>0</v>
      </c>
      <c r="U85" s="60">
        <v>0</v>
      </c>
      <c r="V85" s="60">
        <v>0</v>
      </c>
      <c r="W85" s="60">
        <v>0</v>
      </c>
      <c r="X85" s="60">
        <v>0</v>
      </c>
      <c r="Y85" s="60">
        <v>0</v>
      </c>
      <c r="Z85" s="60">
        <v>0</v>
      </c>
      <c r="AA85" s="60">
        <v>0</v>
      </c>
      <c r="AB85" s="60">
        <v>0</v>
      </c>
      <c r="AC85" s="62">
        <v>51247.4</v>
      </c>
      <c r="AD85" s="60">
        <v>0</v>
      </c>
      <c r="AE85" s="60">
        <v>0</v>
      </c>
      <c r="AF85" s="170" t="s">
        <v>257</v>
      </c>
      <c r="AG85" s="170">
        <v>2020</v>
      </c>
      <c r="AH85" s="63">
        <v>2020</v>
      </c>
    </row>
    <row r="86" spans="1:34" ht="61.5" x14ac:dyDescent="0.85">
      <c r="A86" s="7">
        <v>1</v>
      </c>
      <c r="B86" s="59">
        <f>SUBTOTAL(103,$A$22:A86)</f>
        <v>65</v>
      </c>
      <c r="C86" s="160" t="s">
        <v>1057</v>
      </c>
      <c r="D86" s="60">
        <f t="shared" ref="D86:D117" si="5">E86+F86+G86+H86+I86+J86+L86+N86+P86+R86+T86+U86+V86+W86+X86+Y86+Z86+AA86+AB86+AC86+AD86+AE86</f>
        <v>3712372.02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168">
        <v>0</v>
      </c>
      <c r="L86" s="60">
        <v>0</v>
      </c>
      <c r="M86" s="60">
        <v>0</v>
      </c>
      <c r="N86" s="60">
        <v>0</v>
      </c>
      <c r="O86" s="60">
        <v>0</v>
      </c>
      <c r="P86" s="60">
        <v>0</v>
      </c>
      <c r="Q86" s="62">
        <v>820</v>
      </c>
      <c r="R86" s="62">
        <v>3657509.38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60">
        <v>0</v>
      </c>
      <c r="Y86" s="60">
        <v>0</v>
      </c>
      <c r="Z86" s="60">
        <v>0</v>
      </c>
      <c r="AA86" s="60">
        <v>0</v>
      </c>
      <c r="AB86" s="60">
        <v>0</v>
      </c>
      <c r="AC86" s="62">
        <v>54862.64</v>
      </c>
      <c r="AD86" s="60">
        <v>0</v>
      </c>
      <c r="AE86" s="60">
        <v>0</v>
      </c>
      <c r="AF86" s="170" t="s">
        <v>257</v>
      </c>
      <c r="AG86" s="170">
        <v>2020</v>
      </c>
      <c r="AH86" s="63">
        <v>2020</v>
      </c>
    </row>
    <row r="87" spans="1:34" ht="61.5" x14ac:dyDescent="0.85">
      <c r="A87" s="7">
        <v>1</v>
      </c>
      <c r="B87" s="59">
        <f>SUBTOTAL(103,$A$22:A87)</f>
        <v>66</v>
      </c>
      <c r="C87" s="160" t="s">
        <v>1058</v>
      </c>
      <c r="D87" s="60">
        <f t="shared" si="5"/>
        <v>1900391.55</v>
      </c>
      <c r="E87" s="60">
        <v>0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168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2">
        <v>516</v>
      </c>
      <c r="R87" s="62">
        <v>1872306.95</v>
      </c>
      <c r="S87" s="60">
        <v>0</v>
      </c>
      <c r="T87" s="60">
        <v>0</v>
      </c>
      <c r="U87" s="60">
        <v>0</v>
      </c>
      <c r="V87" s="60">
        <v>0</v>
      </c>
      <c r="W87" s="60">
        <v>0</v>
      </c>
      <c r="X87" s="60">
        <v>0</v>
      </c>
      <c r="Y87" s="60">
        <v>0</v>
      </c>
      <c r="Z87" s="60">
        <v>0</v>
      </c>
      <c r="AA87" s="60">
        <v>0</v>
      </c>
      <c r="AB87" s="60">
        <v>0</v>
      </c>
      <c r="AC87" s="62">
        <v>28084.6</v>
      </c>
      <c r="AD87" s="60">
        <v>0</v>
      </c>
      <c r="AE87" s="60">
        <v>0</v>
      </c>
      <c r="AF87" s="170" t="s">
        <v>257</v>
      </c>
      <c r="AG87" s="170">
        <v>2020</v>
      </c>
      <c r="AH87" s="63">
        <v>2020</v>
      </c>
    </row>
    <row r="88" spans="1:34" ht="61.5" x14ac:dyDescent="0.85">
      <c r="A88" s="7">
        <v>1</v>
      </c>
      <c r="B88" s="59">
        <f>SUBTOTAL(103,$A$22:A88)</f>
        <v>67</v>
      </c>
      <c r="C88" s="160" t="s">
        <v>1059</v>
      </c>
      <c r="D88" s="60">
        <f t="shared" si="5"/>
        <v>2106147.9500000002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168">
        <v>0</v>
      </c>
      <c r="L88" s="60">
        <v>0</v>
      </c>
      <c r="M88" s="60">
        <v>0</v>
      </c>
      <c r="N88" s="60">
        <v>0</v>
      </c>
      <c r="O88" s="60">
        <v>0</v>
      </c>
      <c r="P88" s="60">
        <v>0</v>
      </c>
      <c r="Q88" s="62">
        <v>559</v>
      </c>
      <c r="R88" s="62">
        <v>2075022.61</v>
      </c>
      <c r="S88" s="60">
        <v>0</v>
      </c>
      <c r="T88" s="60">
        <v>0</v>
      </c>
      <c r="U88" s="60">
        <v>0</v>
      </c>
      <c r="V88" s="60">
        <v>0</v>
      </c>
      <c r="W88" s="60">
        <v>0</v>
      </c>
      <c r="X88" s="60">
        <v>0</v>
      </c>
      <c r="Y88" s="60">
        <v>0</v>
      </c>
      <c r="Z88" s="60">
        <v>0</v>
      </c>
      <c r="AA88" s="60">
        <v>0</v>
      </c>
      <c r="AB88" s="60">
        <v>0</v>
      </c>
      <c r="AC88" s="62">
        <v>31125.34</v>
      </c>
      <c r="AD88" s="60">
        <v>0</v>
      </c>
      <c r="AE88" s="60">
        <v>0</v>
      </c>
      <c r="AF88" s="170" t="s">
        <v>257</v>
      </c>
      <c r="AG88" s="170">
        <v>2020</v>
      </c>
      <c r="AH88" s="63">
        <v>2020</v>
      </c>
    </row>
    <row r="89" spans="1:34" ht="61.5" x14ac:dyDescent="0.85">
      <c r="A89" s="7">
        <v>1</v>
      </c>
      <c r="B89" s="59">
        <f>SUBTOTAL(103,$A$22:A89)</f>
        <v>68</v>
      </c>
      <c r="C89" s="160" t="s">
        <v>1060</v>
      </c>
      <c r="D89" s="60">
        <f t="shared" si="5"/>
        <v>2813385.7399999998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168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2">
        <v>1522.8</v>
      </c>
      <c r="R89" s="62">
        <v>2771808.61</v>
      </c>
      <c r="S89" s="60">
        <v>0</v>
      </c>
      <c r="T89" s="60">
        <v>0</v>
      </c>
      <c r="U89" s="60">
        <v>0</v>
      </c>
      <c r="V89" s="60">
        <v>0</v>
      </c>
      <c r="W89" s="60">
        <v>0</v>
      </c>
      <c r="X89" s="60">
        <v>0</v>
      </c>
      <c r="Y89" s="60">
        <v>0</v>
      </c>
      <c r="Z89" s="60">
        <v>0</v>
      </c>
      <c r="AA89" s="60">
        <v>0</v>
      </c>
      <c r="AB89" s="60">
        <v>0</v>
      </c>
      <c r="AC89" s="62">
        <v>41577.129999999997</v>
      </c>
      <c r="AD89" s="60">
        <v>0</v>
      </c>
      <c r="AE89" s="60">
        <v>0</v>
      </c>
      <c r="AF89" s="170" t="s">
        <v>257</v>
      </c>
      <c r="AG89" s="170">
        <v>2020</v>
      </c>
      <c r="AH89" s="63">
        <v>2020</v>
      </c>
    </row>
    <row r="90" spans="1:34" ht="61.5" x14ac:dyDescent="0.85">
      <c r="A90" s="7">
        <v>1</v>
      </c>
      <c r="B90" s="59">
        <f>SUBTOTAL(103,$A$22:A90)</f>
        <v>69</v>
      </c>
      <c r="C90" s="160" t="s">
        <v>1061</v>
      </c>
      <c r="D90" s="60">
        <f t="shared" si="5"/>
        <v>2278510.5799999996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168">
        <v>0</v>
      </c>
      <c r="L90" s="60">
        <v>0</v>
      </c>
      <c r="M90" s="62">
        <v>556.6</v>
      </c>
      <c r="N90" s="62">
        <v>2244838.0099999998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60">
        <v>0</v>
      </c>
      <c r="Y90" s="60">
        <v>0</v>
      </c>
      <c r="Z90" s="60">
        <v>0</v>
      </c>
      <c r="AA90" s="60">
        <v>0</v>
      </c>
      <c r="AB90" s="60">
        <v>0</v>
      </c>
      <c r="AC90" s="62">
        <v>33672.57</v>
      </c>
      <c r="AD90" s="60">
        <v>0</v>
      </c>
      <c r="AE90" s="60">
        <v>0</v>
      </c>
      <c r="AF90" s="170" t="s">
        <v>257</v>
      </c>
      <c r="AG90" s="170">
        <v>2020</v>
      </c>
      <c r="AH90" s="63">
        <v>2020</v>
      </c>
    </row>
    <row r="91" spans="1:34" ht="61.5" x14ac:dyDescent="0.85">
      <c r="A91" s="7">
        <v>1</v>
      </c>
      <c r="B91" s="59">
        <f>SUBTOTAL(103,$A$22:A91)</f>
        <v>70</v>
      </c>
      <c r="C91" s="160" t="s">
        <v>1062</v>
      </c>
      <c r="D91" s="60">
        <f t="shared" si="5"/>
        <v>2391493.25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168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2">
        <v>643</v>
      </c>
      <c r="R91" s="62">
        <v>2356150.9900000002</v>
      </c>
      <c r="S91" s="60">
        <v>0</v>
      </c>
      <c r="T91" s="60">
        <v>0</v>
      </c>
      <c r="U91" s="60">
        <v>0</v>
      </c>
      <c r="V91" s="60">
        <v>0</v>
      </c>
      <c r="W91" s="60">
        <v>0</v>
      </c>
      <c r="X91" s="60">
        <v>0</v>
      </c>
      <c r="Y91" s="60">
        <v>0</v>
      </c>
      <c r="Z91" s="60">
        <v>0</v>
      </c>
      <c r="AA91" s="60">
        <v>0</v>
      </c>
      <c r="AB91" s="60">
        <v>0</v>
      </c>
      <c r="AC91" s="62">
        <v>35342.26</v>
      </c>
      <c r="AD91" s="60">
        <v>0</v>
      </c>
      <c r="AE91" s="60">
        <v>0</v>
      </c>
      <c r="AF91" s="170" t="s">
        <v>257</v>
      </c>
      <c r="AG91" s="170">
        <v>2020</v>
      </c>
      <c r="AH91" s="63">
        <v>2020</v>
      </c>
    </row>
    <row r="92" spans="1:34" ht="61.5" x14ac:dyDescent="0.85">
      <c r="A92" s="7">
        <v>1</v>
      </c>
      <c r="B92" s="59">
        <f>SUBTOTAL(103,$A$22:A92)</f>
        <v>71</v>
      </c>
      <c r="C92" s="160" t="s">
        <v>1063</v>
      </c>
      <c r="D92" s="60">
        <f t="shared" si="5"/>
        <v>4355328.45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168">
        <v>0</v>
      </c>
      <c r="L92" s="60">
        <v>0</v>
      </c>
      <c r="M92" s="169">
        <v>1083.7</v>
      </c>
      <c r="N92" s="169">
        <v>4291281.08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60">
        <v>0</v>
      </c>
      <c r="Y92" s="60">
        <v>0</v>
      </c>
      <c r="Z92" s="60">
        <v>0</v>
      </c>
      <c r="AA92" s="60">
        <v>0</v>
      </c>
      <c r="AB92" s="60">
        <v>0</v>
      </c>
      <c r="AC92" s="163">
        <v>64047.37</v>
      </c>
      <c r="AD92" s="60">
        <v>0</v>
      </c>
      <c r="AE92" s="60">
        <v>0</v>
      </c>
      <c r="AF92" s="170" t="s">
        <v>257</v>
      </c>
      <c r="AG92" s="170">
        <v>2020</v>
      </c>
      <c r="AH92" s="63">
        <v>2020</v>
      </c>
    </row>
    <row r="93" spans="1:34" ht="61.5" x14ac:dyDescent="0.85">
      <c r="A93" s="7">
        <v>1</v>
      </c>
      <c r="B93" s="59">
        <f>SUBTOTAL(103,$A$22:A93)</f>
        <v>72</v>
      </c>
      <c r="C93" s="160" t="s">
        <v>1066</v>
      </c>
      <c r="D93" s="60">
        <f t="shared" si="5"/>
        <v>1505981.24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168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2">
        <v>680</v>
      </c>
      <c r="R93" s="62">
        <v>1483835</v>
      </c>
      <c r="S93" s="60">
        <v>0</v>
      </c>
      <c r="T93" s="60">
        <v>0</v>
      </c>
      <c r="U93" s="60">
        <v>0</v>
      </c>
      <c r="V93" s="60">
        <v>0</v>
      </c>
      <c r="W93" s="60">
        <v>0</v>
      </c>
      <c r="X93" s="60">
        <v>0</v>
      </c>
      <c r="Y93" s="60">
        <v>0</v>
      </c>
      <c r="Z93" s="60">
        <v>0</v>
      </c>
      <c r="AA93" s="60">
        <v>0</v>
      </c>
      <c r="AB93" s="60">
        <v>0</v>
      </c>
      <c r="AC93" s="62">
        <v>22146.240000000002</v>
      </c>
      <c r="AD93" s="60">
        <v>0</v>
      </c>
      <c r="AE93" s="60">
        <v>0</v>
      </c>
      <c r="AF93" s="170" t="s">
        <v>257</v>
      </c>
      <c r="AG93" s="170">
        <v>2020</v>
      </c>
      <c r="AH93" s="63">
        <v>2020</v>
      </c>
    </row>
    <row r="94" spans="1:34" ht="61.5" x14ac:dyDescent="0.85">
      <c r="A94" s="7">
        <v>1</v>
      </c>
      <c r="B94" s="59">
        <f>SUBTOTAL(103,$A$22:A94)</f>
        <v>73</v>
      </c>
      <c r="C94" s="160" t="s">
        <v>1067</v>
      </c>
      <c r="D94" s="60">
        <f t="shared" si="5"/>
        <v>820883.7</v>
      </c>
      <c r="E94" s="60">
        <v>0</v>
      </c>
      <c r="F94" s="60">
        <v>0</v>
      </c>
      <c r="G94" s="60">
        <v>0</v>
      </c>
      <c r="H94" s="60">
        <v>0</v>
      </c>
      <c r="I94" s="60">
        <v>0</v>
      </c>
      <c r="J94" s="60">
        <v>0</v>
      </c>
      <c r="K94" s="168">
        <v>0</v>
      </c>
      <c r="L94" s="60">
        <v>0</v>
      </c>
      <c r="M94" s="60">
        <v>0</v>
      </c>
      <c r="N94" s="60">
        <v>0</v>
      </c>
      <c r="O94" s="60">
        <v>0</v>
      </c>
      <c r="P94" s="60">
        <v>0</v>
      </c>
      <c r="Q94" s="62">
        <v>432</v>
      </c>
      <c r="R94" s="62">
        <v>760754.47</v>
      </c>
      <c r="S94" s="60">
        <v>0</v>
      </c>
      <c r="T94" s="60">
        <v>0</v>
      </c>
      <c r="U94" s="60">
        <v>0</v>
      </c>
      <c r="V94" s="60">
        <v>0</v>
      </c>
      <c r="W94" s="60">
        <v>0</v>
      </c>
      <c r="X94" s="60">
        <v>0</v>
      </c>
      <c r="Y94" s="60">
        <v>0</v>
      </c>
      <c r="Z94" s="60">
        <v>0</v>
      </c>
      <c r="AA94" s="60">
        <v>0</v>
      </c>
      <c r="AB94" s="60">
        <v>0</v>
      </c>
      <c r="AC94" s="163">
        <v>11354.26</v>
      </c>
      <c r="AD94" s="62">
        <v>48774.97</v>
      </c>
      <c r="AE94" s="60">
        <v>0</v>
      </c>
      <c r="AF94" s="170">
        <v>2020</v>
      </c>
      <c r="AG94" s="170">
        <v>2020</v>
      </c>
      <c r="AH94" s="63">
        <v>2020</v>
      </c>
    </row>
    <row r="95" spans="1:34" ht="61.5" x14ac:dyDescent="0.85">
      <c r="A95" s="7">
        <v>1</v>
      </c>
      <c r="B95" s="59">
        <f>SUBTOTAL(103,$A$22:A95)</f>
        <v>74</v>
      </c>
      <c r="C95" s="160" t="s">
        <v>1451</v>
      </c>
      <c r="D95" s="60">
        <f t="shared" si="5"/>
        <v>1677475.96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168">
        <v>0</v>
      </c>
      <c r="L95" s="60">
        <v>0</v>
      </c>
      <c r="M95" s="172">
        <v>466.12</v>
      </c>
      <c r="N95" s="172">
        <v>1677475.96</v>
      </c>
      <c r="O95" s="60">
        <v>0</v>
      </c>
      <c r="P95" s="60">
        <v>0</v>
      </c>
      <c r="Q95" s="60">
        <v>0</v>
      </c>
      <c r="R95" s="60">
        <v>0</v>
      </c>
      <c r="S95" s="60">
        <v>0</v>
      </c>
      <c r="T95" s="60">
        <v>0</v>
      </c>
      <c r="U95" s="60">
        <v>0</v>
      </c>
      <c r="V95" s="60">
        <v>0</v>
      </c>
      <c r="W95" s="60">
        <v>0</v>
      </c>
      <c r="X95" s="60">
        <v>0</v>
      </c>
      <c r="Y95" s="60">
        <v>0</v>
      </c>
      <c r="Z95" s="60">
        <v>0</v>
      </c>
      <c r="AA95" s="60">
        <v>0</v>
      </c>
      <c r="AB95" s="60">
        <v>0</v>
      </c>
      <c r="AC95" s="60">
        <v>0</v>
      </c>
      <c r="AD95" s="60">
        <v>0</v>
      </c>
      <c r="AE95" s="60">
        <v>0</v>
      </c>
      <c r="AF95" s="170" t="s">
        <v>257</v>
      </c>
      <c r="AG95" s="170">
        <v>2020</v>
      </c>
      <c r="AH95" s="63" t="s">
        <v>257</v>
      </c>
    </row>
    <row r="96" spans="1:34" ht="61.5" x14ac:dyDescent="0.85">
      <c r="A96" s="7">
        <v>1</v>
      </c>
      <c r="B96" s="59">
        <f>SUBTOTAL(103,$A$22:A96)</f>
        <v>75</v>
      </c>
      <c r="C96" s="160" t="s">
        <v>1447</v>
      </c>
      <c r="D96" s="60">
        <f t="shared" si="5"/>
        <v>3647517.81</v>
      </c>
      <c r="E96" s="60">
        <v>0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168">
        <v>0</v>
      </c>
      <c r="L96" s="60">
        <v>0</v>
      </c>
      <c r="M96" s="172">
        <v>859</v>
      </c>
      <c r="N96" s="172">
        <v>3593879.16</v>
      </c>
      <c r="O96" s="60">
        <v>0</v>
      </c>
      <c r="P96" s="60">
        <v>0</v>
      </c>
      <c r="Q96" s="60">
        <v>0</v>
      </c>
      <c r="R96" s="60">
        <v>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60">
        <v>0</v>
      </c>
      <c r="Y96" s="60">
        <v>0</v>
      </c>
      <c r="Z96" s="60">
        <v>0</v>
      </c>
      <c r="AA96" s="60">
        <v>0</v>
      </c>
      <c r="AB96" s="60">
        <v>0</v>
      </c>
      <c r="AC96" s="62">
        <v>53638.65</v>
      </c>
      <c r="AD96" s="60">
        <v>0</v>
      </c>
      <c r="AE96" s="60">
        <v>0</v>
      </c>
      <c r="AF96" s="170" t="s">
        <v>257</v>
      </c>
      <c r="AG96" s="170">
        <v>2020</v>
      </c>
      <c r="AH96" s="63">
        <v>2020</v>
      </c>
    </row>
    <row r="97" spans="1:34" ht="61.5" x14ac:dyDescent="0.85">
      <c r="A97" s="7">
        <v>1</v>
      </c>
      <c r="B97" s="59">
        <f>SUBTOTAL(103,$A$22:A97)</f>
        <v>76</v>
      </c>
      <c r="C97" s="160" t="s">
        <v>1450</v>
      </c>
      <c r="D97" s="60">
        <f t="shared" si="5"/>
        <v>5096776.0799999991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168">
        <v>0</v>
      </c>
      <c r="L97" s="60">
        <v>0</v>
      </c>
      <c r="M97" s="172">
        <v>996</v>
      </c>
      <c r="N97" s="172">
        <v>5021454.2699999996</v>
      </c>
      <c r="O97" s="60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60">
        <v>0</v>
      </c>
      <c r="V97" s="60">
        <v>0</v>
      </c>
      <c r="W97" s="60">
        <v>0</v>
      </c>
      <c r="X97" s="60">
        <v>0</v>
      </c>
      <c r="Y97" s="60">
        <v>0</v>
      </c>
      <c r="Z97" s="60">
        <v>0</v>
      </c>
      <c r="AA97" s="60">
        <v>0</v>
      </c>
      <c r="AB97" s="60">
        <v>0</v>
      </c>
      <c r="AC97" s="62">
        <v>75321.81</v>
      </c>
      <c r="AD97" s="60">
        <v>0</v>
      </c>
      <c r="AE97" s="60">
        <v>0</v>
      </c>
      <c r="AF97" s="170" t="s">
        <v>257</v>
      </c>
      <c r="AG97" s="170">
        <v>2020</v>
      </c>
      <c r="AH97" s="63">
        <v>2020</v>
      </c>
    </row>
    <row r="98" spans="1:34" ht="61.5" x14ac:dyDescent="0.85">
      <c r="A98" s="7">
        <v>1</v>
      </c>
      <c r="B98" s="59">
        <f>SUBTOTAL(103,$A$22:A98)</f>
        <v>77</v>
      </c>
      <c r="C98" s="160" t="s">
        <v>1446</v>
      </c>
      <c r="D98" s="60">
        <f t="shared" si="5"/>
        <v>3789473.9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168">
        <v>0</v>
      </c>
      <c r="L98" s="60">
        <v>0</v>
      </c>
      <c r="M98" s="172">
        <v>1028.5</v>
      </c>
      <c r="N98" s="172">
        <v>3733471.82</v>
      </c>
      <c r="O98" s="60">
        <v>0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0">
        <v>0</v>
      </c>
      <c r="W98" s="60">
        <v>0</v>
      </c>
      <c r="X98" s="60">
        <v>0</v>
      </c>
      <c r="Y98" s="60">
        <v>0</v>
      </c>
      <c r="Z98" s="60">
        <v>0</v>
      </c>
      <c r="AA98" s="60">
        <v>0</v>
      </c>
      <c r="AB98" s="60">
        <v>0</v>
      </c>
      <c r="AC98" s="172">
        <v>56002.080000000002</v>
      </c>
      <c r="AD98" s="60">
        <v>0</v>
      </c>
      <c r="AE98" s="60">
        <v>0</v>
      </c>
      <c r="AF98" s="170" t="s">
        <v>257</v>
      </c>
      <c r="AG98" s="170">
        <v>2020</v>
      </c>
      <c r="AH98" s="63">
        <v>2020</v>
      </c>
    </row>
    <row r="99" spans="1:34" ht="61.5" x14ac:dyDescent="0.85">
      <c r="A99" s="7">
        <v>1</v>
      </c>
      <c r="B99" s="59">
        <f>SUBTOTAL(103,$A$22:A99)</f>
        <v>78</v>
      </c>
      <c r="C99" s="160" t="s">
        <v>1436</v>
      </c>
      <c r="D99" s="60">
        <f t="shared" si="5"/>
        <v>597387.81000000006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168">
        <v>0</v>
      </c>
      <c r="L99" s="60">
        <v>0</v>
      </c>
      <c r="M99" s="172">
        <v>294</v>
      </c>
      <c r="N99" s="172">
        <v>588602.91</v>
      </c>
      <c r="O99" s="60">
        <v>0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60">
        <v>0</v>
      </c>
      <c r="V99" s="60">
        <v>0</v>
      </c>
      <c r="W99" s="60">
        <v>0</v>
      </c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2">
        <v>8784.9</v>
      </c>
      <c r="AD99" s="60">
        <v>0</v>
      </c>
      <c r="AE99" s="60">
        <v>0</v>
      </c>
      <c r="AF99" s="170" t="s">
        <v>257</v>
      </c>
      <c r="AG99" s="170">
        <v>2020</v>
      </c>
      <c r="AH99" s="63">
        <v>2020</v>
      </c>
    </row>
    <row r="100" spans="1:34" ht="61.5" x14ac:dyDescent="0.85">
      <c r="A100" s="7">
        <v>1</v>
      </c>
      <c r="B100" s="59">
        <f>SUBTOTAL(103,$A$22:A100)</f>
        <v>79</v>
      </c>
      <c r="C100" s="160" t="s">
        <v>1448</v>
      </c>
      <c r="D100" s="60">
        <f t="shared" si="5"/>
        <v>4468866.21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168">
        <v>0</v>
      </c>
      <c r="L100" s="60">
        <v>0</v>
      </c>
      <c r="M100" s="62">
        <v>1545</v>
      </c>
      <c r="N100" s="62">
        <v>4403149.21</v>
      </c>
      <c r="O100" s="60">
        <v>0</v>
      </c>
      <c r="P100" s="60">
        <v>0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0</v>
      </c>
      <c r="W100" s="60">
        <v>0</v>
      </c>
      <c r="X100" s="60">
        <v>0</v>
      </c>
      <c r="Y100" s="60">
        <v>0</v>
      </c>
      <c r="Z100" s="60">
        <v>0</v>
      </c>
      <c r="AA100" s="60">
        <v>0</v>
      </c>
      <c r="AB100" s="60">
        <v>0</v>
      </c>
      <c r="AC100" s="62">
        <v>65717</v>
      </c>
      <c r="AD100" s="60">
        <v>0</v>
      </c>
      <c r="AE100" s="60">
        <v>0</v>
      </c>
      <c r="AF100" s="170" t="s">
        <v>257</v>
      </c>
      <c r="AG100" s="170">
        <v>2020</v>
      </c>
      <c r="AH100" s="63">
        <v>2020</v>
      </c>
    </row>
    <row r="101" spans="1:34" ht="61.5" x14ac:dyDescent="0.85">
      <c r="A101" s="7">
        <v>1</v>
      </c>
      <c r="B101" s="59">
        <f>SUBTOTAL(103,$A$22:A101)</f>
        <v>80</v>
      </c>
      <c r="C101" s="160" t="s">
        <v>1449</v>
      </c>
      <c r="D101" s="60">
        <f t="shared" si="5"/>
        <v>6330505.6400000006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168">
        <v>0</v>
      </c>
      <c r="L101" s="60">
        <v>0</v>
      </c>
      <c r="M101" s="172">
        <v>1663.4</v>
      </c>
      <c r="N101" s="172">
        <v>6142341.9000000004</v>
      </c>
      <c r="O101" s="60">
        <v>0</v>
      </c>
      <c r="P101" s="60">
        <v>0</v>
      </c>
      <c r="Q101" s="60">
        <v>0</v>
      </c>
      <c r="R101" s="60">
        <v>0</v>
      </c>
      <c r="S101" s="60">
        <v>0</v>
      </c>
      <c r="T101" s="60">
        <v>0</v>
      </c>
      <c r="U101" s="60">
        <v>0</v>
      </c>
      <c r="V101" s="60">
        <v>0</v>
      </c>
      <c r="W101" s="60">
        <v>0</v>
      </c>
      <c r="X101" s="60">
        <v>0</v>
      </c>
      <c r="Y101" s="60">
        <v>0</v>
      </c>
      <c r="Z101" s="60">
        <v>0</v>
      </c>
      <c r="AA101" s="60">
        <v>0</v>
      </c>
      <c r="AB101" s="60">
        <v>0</v>
      </c>
      <c r="AC101" s="172">
        <v>91674.45</v>
      </c>
      <c r="AD101" s="62">
        <v>96489.29</v>
      </c>
      <c r="AE101" s="60">
        <v>0</v>
      </c>
      <c r="AF101" s="170">
        <v>2020</v>
      </c>
      <c r="AG101" s="170">
        <v>2020</v>
      </c>
      <c r="AH101" s="63">
        <v>2020</v>
      </c>
    </row>
    <row r="102" spans="1:34" ht="61.5" x14ac:dyDescent="0.85">
      <c r="A102" s="7">
        <v>1</v>
      </c>
      <c r="B102" s="59">
        <f>SUBTOTAL(103,$A$22:A102)</f>
        <v>81</v>
      </c>
      <c r="C102" s="160" t="s">
        <v>1437</v>
      </c>
      <c r="D102" s="60">
        <f t="shared" si="5"/>
        <v>1913423.73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168">
        <v>0</v>
      </c>
      <c r="L102" s="60">
        <v>0</v>
      </c>
      <c r="M102" s="172">
        <v>508</v>
      </c>
      <c r="N102" s="172">
        <v>1913423.73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60">
        <v>0</v>
      </c>
      <c r="Y102" s="60">
        <v>0</v>
      </c>
      <c r="Z102" s="60">
        <v>0</v>
      </c>
      <c r="AA102" s="60">
        <v>0</v>
      </c>
      <c r="AB102" s="60">
        <v>0</v>
      </c>
      <c r="AC102" s="60">
        <v>0</v>
      </c>
      <c r="AD102" s="60">
        <v>0</v>
      </c>
      <c r="AE102" s="60">
        <v>0</v>
      </c>
      <c r="AF102" s="170" t="s">
        <v>257</v>
      </c>
      <c r="AG102" s="170">
        <v>2020</v>
      </c>
      <c r="AH102" s="63" t="s">
        <v>257</v>
      </c>
    </row>
    <row r="103" spans="1:34" ht="61.5" x14ac:dyDescent="0.85">
      <c r="A103" s="7">
        <v>1</v>
      </c>
      <c r="B103" s="59">
        <f>SUBTOTAL(103,$A$22:A103)</f>
        <v>82</v>
      </c>
      <c r="C103" s="160" t="s">
        <v>1488</v>
      </c>
      <c r="D103" s="60">
        <f t="shared" si="5"/>
        <v>1963557.73</v>
      </c>
      <c r="E103" s="60">
        <v>0</v>
      </c>
      <c r="F103" s="60">
        <v>0</v>
      </c>
      <c r="G103" s="60">
        <v>0</v>
      </c>
      <c r="H103" s="60">
        <v>0</v>
      </c>
      <c r="I103" s="60">
        <v>0</v>
      </c>
      <c r="J103" s="60">
        <v>0</v>
      </c>
      <c r="K103" s="168">
        <v>0</v>
      </c>
      <c r="L103" s="60">
        <v>0</v>
      </c>
      <c r="M103" s="173">
        <v>501.3</v>
      </c>
      <c r="N103" s="173">
        <v>1871204.38</v>
      </c>
      <c r="O103" s="60">
        <v>0</v>
      </c>
      <c r="P103" s="60">
        <v>0</v>
      </c>
      <c r="Q103" s="60">
        <v>0</v>
      </c>
      <c r="R103" s="60">
        <v>0</v>
      </c>
      <c r="S103" s="60">
        <v>0</v>
      </c>
      <c r="T103" s="60">
        <v>0</v>
      </c>
      <c r="U103" s="60">
        <v>0</v>
      </c>
      <c r="V103" s="60">
        <v>0</v>
      </c>
      <c r="W103" s="60">
        <v>0</v>
      </c>
      <c r="X103" s="60">
        <v>0</v>
      </c>
      <c r="Y103" s="60">
        <v>0</v>
      </c>
      <c r="Z103" s="60">
        <v>0</v>
      </c>
      <c r="AA103" s="60">
        <v>0</v>
      </c>
      <c r="AB103" s="60">
        <v>0</v>
      </c>
      <c r="AC103" s="163">
        <v>25822.62</v>
      </c>
      <c r="AD103" s="62">
        <v>66530.73</v>
      </c>
      <c r="AE103" s="60">
        <v>0</v>
      </c>
      <c r="AF103" s="170">
        <v>2020</v>
      </c>
      <c r="AG103" s="170">
        <v>2020</v>
      </c>
      <c r="AH103" s="170">
        <v>2020</v>
      </c>
    </row>
    <row r="104" spans="1:34" ht="61.5" x14ac:dyDescent="0.85">
      <c r="A104" s="7">
        <v>1</v>
      </c>
      <c r="B104" s="59">
        <f>SUBTOTAL(103,$A$22:A104)</f>
        <v>83</v>
      </c>
      <c r="C104" s="160" t="s">
        <v>1489</v>
      </c>
      <c r="D104" s="60">
        <f t="shared" si="5"/>
        <v>86742.97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168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60">
        <v>0</v>
      </c>
      <c r="Y104" s="60">
        <v>0</v>
      </c>
      <c r="Z104" s="60">
        <v>0</v>
      </c>
      <c r="AA104" s="60">
        <v>0</v>
      </c>
      <c r="AB104" s="60">
        <v>0</v>
      </c>
      <c r="AC104" s="60">
        <v>0</v>
      </c>
      <c r="AD104" s="62">
        <v>86742.97</v>
      </c>
      <c r="AE104" s="60">
        <v>0</v>
      </c>
      <c r="AF104" s="170">
        <v>2020</v>
      </c>
      <c r="AG104" s="63" t="s">
        <v>257</v>
      </c>
      <c r="AH104" s="63" t="s">
        <v>257</v>
      </c>
    </row>
    <row r="105" spans="1:34" ht="61.5" x14ac:dyDescent="0.85">
      <c r="A105" s="7">
        <v>1</v>
      </c>
      <c r="B105" s="59">
        <f>SUBTOTAL(103,$A$22:A105)</f>
        <v>84</v>
      </c>
      <c r="C105" s="160" t="s">
        <v>1491</v>
      </c>
      <c r="D105" s="60">
        <f t="shared" si="5"/>
        <v>70589.929999999993</v>
      </c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168">
        <v>0</v>
      </c>
      <c r="L105" s="60">
        <v>0</v>
      </c>
      <c r="M105" s="60">
        <v>0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60">
        <v>0</v>
      </c>
      <c r="T105" s="60">
        <v>0</v>
      </c>
      <c r="U105" s="60">
        <v>0</v>
      </c>
      <c r="V105" s="60">
        <v>0</v>
      </c>
      <c r="W105" s="60">
        <v>0</v>
      </c>
      <c r="X105" s="60">
        <v>0</v>
      </c>
      <c r="Y105" s="60">
        <v>0</v>
      </c>
      <c r="Z105" s="60">
        <v>0</v>
      </c>
      <c r="AA105" s="60">
        <v>0</v>
      </c>
      <c r="AB105" s="60">
        <v>0</v>
      </c>
      <c r="AC105" s="60">
        <v>0</v>
      </c>
      <c r="AD105" s="62">
        <v>70589.929999999993</v>
      </c>
      <c r="AE105" s="60">
        <v>0</v>
      </c>
      <c r="AF105" s="170">
        <v>2020</v>
      </c>
      <c r="AG105" s="63" t="s">
        <v>257</v>
      </c>
      <c r="AH105" s="63" t="s">
        <v>257</v>
      </c>
    </row>
    <row r="106" spans="1:34" ht="61.5" x14ac:dyDescent="0.85">
      <c r="A106" s="7">
        <v>1</v>
      </c>
      <c r="B106" s="59">
        <f>SUBTOTAL(103,$A$22:A106)</f>
        <v>85</v>
      </c>
      <c r="C106" s="160" t="s">
        <v>1492</v>
      </c>
      <c r="D106" s="60">
        <f t="shared" si="5"/>
        <v>2062889.95</v>
      </c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60">
        <v>0</v>
      </c>
      <c r="K106" s="168">
        <v>0</v>
      </c>
      <c r="L106" s="60">
        <v>0</v>
      </c>
      <c r="M106" s="60">
        <v>0</v>
      </c>
      <c r="N106" s="60">
        <v>0</v>
      </c>
      <c r="O106" s="60">
        <v>0</v>
      </c>
      <c r="P106" s="60">
        <v>0</v>
      </c>
      <c r="Q106" s="62">
        <v>780</v>
      </c>
      <c r="R106" s="62">
        <v>1965144.06</v>
      </c>
      <c r="S106" s="60">
        <v>0</v>
      </c>
      <c r="T106" s="60">
        <v>0</v>
      </c>
      <c r="U106" s="60">
        <v>0</v>
      </c>
      <c r="V106" s="60">
        <v>0</v>
      </c>
      <c r="W106" s="60">
        <v>0</v>
      </c>
      <c r="X106" s="60">
        <v>0</v>
      </c>
      <c r="Y106" s="60">
        <v>0</v>
      </c>
      <c r="Z106" s="60">
        <v>0</v>
      </c>
      <c r="AA106" s="60">
        <v>0</v>
      </c>
      <c r="AB106" s="60">
        <v>0</v>
      </c>
      <c r="AC106" s="62">
        <v>27118.99</v>
      </c>
      <c r="AD106" s="169">
        <v>70626.899999999994</v>
      </c>
      <c r="AE106" s="60">
        <v>0</v>
      </c>
      <c r="AF106" s="170">
        <v>2020</v>
      </c>
      <c r="AG106" s="170">
        <v>2020</v>
      </c>
      <c r="AH106" s="63">
        <v>2020</v>
      </c>
    </row>
    <row r="107" spans="1:34" ht="61.5" x14ac:dyDescent="0.85">
      <c r="A107" s="7">
        <v>1</v>
      </c>
      <c r="B107" s="59">
        <f>SUBTOTAL(103,$A$22:A107)</f>
        <v>86</v>
      </c>
      <c r="C107" s="160" t="s">
        <v>1512</v>
      </c>
      <c r="D107" s="60">
        <f t="shared" si="5"/>
        <v>1414038.2200000002</v>
      </c>
      <c r="E107" s="60">
        <v>0</v>
      </c>
      <c r="F107" s="60">
        <v>0</v>
      </c>
      <c r="G107" s="60">
        <v>0</v>
      </c>
      <c r="H107" s="60">
        <v>0</v>
      </c>
      <c r="I107" s="60">
        <v>0</v>
      </c>
      <c r="J107" s="60">
        <v>0</v>
      </c>
      <c r="K107" s="168">
        <v>0</v>
      </c>
      <c r="L107" s="60">
        <v>0</v>
      </c>
      <c r="M107" s="62">
        <v>289</v>
      </c>
      <c r="N107" s="62">
        <v>1394790.12</v>
      </c>
      <c r="O107" s="60">
        <v>0</v>
      </c>
      <c r="P107" s="60">
        <v>0</v>
      </c>
      <c r="Q107" s="60">
        <v>0</v>
      </c>
      <c r="R107" s="60">
        <v>0</v>
      </c>
      <c r="S107" s="60">
        <v>0</v>
      </c>
      <c r="T107" s="60">
        <v>0</v>
      </c>
      <c r="U107" s="60">
        <v>0</v>
      </c>
      <c r="V107" s="60">
        <v>0</v>
      </c>
      <c r="W107" s="60">
        <v>0</v>
      </c>
      <c r="X107" s="60">
        <v>0</v>
      </c>
      <c r="Y107" s="60">
        <v>0</v>
      </c>
      <c r="Z107" s="60">
        <v>0</v>
      </c>
      <c r="AA107" s="60">
        <v>0</v>
      </c>
      <c r="AB107" s="60">
        <v>0</v>
      </c>
      <c r="AC107" s="62">
        <v>19248.099999999999</v>
      </c>
      <c r="AD107" s="60">
        <v>0</v>
      </c>
      <c r="AE107" s="60">
        <v>0</v>
      </c>
      <c r="AF107" s="170" t="s">
        <v>257</v>
      </c>
      <c r="AG107" s="170">
        <v>2020</v>
      </c>
      <c r="AH107" s="63">
        <v>2020</v>
      </c>
    </row>
    <row r="108" spans="1:34" ht="61.5" x14ac:dyDescent="0.85">
      <c r="A108" s="7">
        <v>1</v>
      </c>
      <c r="B108" s="59">
        <f>SUBTOTAL(103,$A$22:A108)</f>
        <v>87</v>
      </c>
      <c r="C108" s="160" t="s">
        <v>1513</v>
      </c>
      <c r="D108" s="60">
        <f t="shared" si="5"/>
        <v>2070332.01</v>
      </c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60">
        <v>0</v>
      </c>
      <c r="K108" s="174">
        <v>1</v>
      </c>
      <c r="L108" s="173">
        <v>1961754.06</v>
      </c>
      <c r="M108" s="60">
        <v>0</v>
      </c>
      <c r="N108" s="60">
        <v>0</v>
      </c>
      <c r="O108" s="60">
        <v>0</v>
      </c>
      <c r="P108" s="60">
        <v>0</v>
      </c>
      <c r="Q108" s="60">
        <v>0</v>
      </c>
      <c r="R108" s="60">
        <v>0</v>
      </c>
      <c r="S108" s="60">
        <v>0</v>
      </c>
      <c r="T108" s="60">
        <v>0</v>
      </c>
      <c r="U108" s="60">
        <v>0</v>
      </c>
      <c r="V108" s="60">
        <v>0</v>
      </c>
      <c r="W108" s="60">
        <v>0</v>
      </c>
      <c r="X108" s="60">
        <v>0</v>
      </c>
      <c r="Y108" s="60">
        <v>0</v>
      </c>
      <c r="Z108" s="60">
        <v>0</v>
      </c>
      <c r="AA108" s="60">
        <v>0</v>
      </c>
      <c r="AB108" s="60">
        <v>0</v>
      </c>
      <c r="AC108" s="60">
        <v>0</v>
      </c>
      <c r="AD108" s="173">
        <v>108577.95</v>
      </c>
      <c r="AE108" s="60">
        <v>0</v>
      </c>
      <c r="AF108" s="170">
        <v>2020</v>
      </c>
      <c r="AG108" s="170">
        <v>2020</v>
      </c>
      <c r="AH108" s="63" t="s">
        <v>257</v>
      </c>
    </row>
    <row r="109" spans="1:34" ht="61.5" x14ac:dyDescent="0.85">
      <c r="A109" s="7">
        <v>1</v>
      </c>
      <c r="B109" s="59">
        <f>SUBTOTAL(103,$A$22:A109)</f>
        <v>88</v>
      </c>
      <c r="C109" s="160" t="s">
        <v>1055</v>
      </c>
      <c r="D109" s="60">
        <f t="shared" si="5"/>
        <v>3278227.2600000002</v>
      </c>
      <c r="E109" s="60">
        <v>0</v>
      </c>
      <c r="F109" s="60">
        <v>0</v>
      </c>
      <c r="G109" s="60">
        <v>0</v>
      </c>
      <c r="H109" s="60">
        <v>0</v>
      </c>
      <c r="I109" s="60">
        <v>0</v>
      </c>
      <c r="J109" s="60">
        <v>0</v>
      </c>
      <c r="K109" s="168">
        <v>0</v>
      </c>
      <c r="L109" s="60">
        <v>0</v>
      </c>
      <c r="M109" s="60">
        <v>0</v>
      </c>
      <c r="N109" s="60">
        <v>0</v>
      </c>
      <c r="O109" s="60">
        <v>0</v>
      </c>
      <c r="P109" s="60">
        <v>0</v>
      </c>
      <c r="Q109" s="62">
        <v>1778.5</v>
      </c>
      <c r="R109" s="62">
        <f>2245405.85+985539.87</f>
        <v>3230945.72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0</v>
      </c>
      <c r="Z109" s="60">
        <v>0</v>
      </c>
      <c r="AA109" s="60">
        <v>0</v>
      </c>
      <c r="AB109" s="60">
        <v>0</v>
      </c>
      <c r="AC109" s="64">
        <f>33681.09+13600.45</f>
        <v>47281.539999999994</v>
      </c>
      <c r="AD109" s="60">
        <v>0</v>
      </c>
      <c r="AE109" s="60">
        <v>0</v>
      </c>
      <c r="AF109" s="170" t="s">
        <v>257</v>
      </c>
      <c r="AG109" s="170">
        <v>2020</v>
      </c>
      <c r="AH109" s="63">
        <v>2020</v>
      </c>
    </row>
    <row r="110" spans="1:34" ht="61.5" x14ac:dyDescent="0.85">
      <c r="A110" s="7">
        <v>1</v>
      </c>
      <c r="B110" s="59">
        <f>SUBTOTAL(103,$A$22:A110)</f>
        <v>89</v>
      </c>
      <c r="C110" s="160" t="s">
        <v>507</v>
      </c>
      <c r="D110" s="60">
        <f t="shared" si="5"/>
        <v>1702747.3199999998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168">
        <v>1</v>
      </c>
      <c r="L110" s="60">
        <v>1631846.65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60">
        <v>0</v>
      </c>
      <c r="Y110" s="60">
        <v>0</v>
      </c>
      <c r="Z110" s="60">
        <v>0</v>
      </c>
      <c r="AA110" s="60">
        <v>0</v>
      </c>
      <c r="AB110" s="60">
        <v>0</v>
      </c>
      <c r="AC110" s="60">
        <v>0</v>
      </c>
      <c r="AD110" s="60">
        <v>70900.67</v>
      </c>
      <c r="AE110" s="60">
        <v>0</v>
      </c>
      <c r="AF110" s="170">
        <v>2020</v>
      </c>
      <c r="AG110" s="170">
        <v>2020</v>
      </c>
      <c r="AH110" s="63" t="s">
        <v>257</v>
      </c>
    </row>
    <row r="111" spans="1:34" ht="61.5" x14ac:dyDescent="0.85">
      <c r="A111" s="7">
        <v>1</v>
      </c>
      <c r="B111" s="59">
        <f>SUBTOTAL(103,$A$22:A111)</f>
        <v>90</v>
      </c>
      <c r="C111" s="160" t="s">
        <v>508</v>
      </c>
      <c r="D111" s="60">
        <f t="shared" si="5"/>
        <v>1698388.8199999998</v>
      </c>
      <c r="E111" s="60">
        <v>0</v>
      </c>
      <c r="F111" s="60">
        <v>0</v>
      </c>
      <c r="G111" s="60">
        <v>0</v>
      </c>
      <c r="H111" s="60">
        <v>0</v>
      </c>
      <c r="I111" s="60">
        <v>0</v>
      </c>
      <c r="J111" s="60">
        <v>0</v>
      </c>
      <c r="K111" s="168">
        <v>1</v>
      </c>
      <c r="L111" s="60">
        <v>1627567.91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60">
        <v>0</v>
      </c>
      <c r="Z111" s="60">
        <v>0</v>
      </c>
      <c r="AA111" s="60">
        <v>0</v>
      </c>
      <c r="AB111" s="60">
        <v>0</v>
      </c>
      <c r="AC111" s="60">
        <v>0</v>
      </c>
      <c r="AD111" s="60">
        <v>70820.91</v>
      </c>
      <c r="AE111" s="60">
        <v>0</v>
      </c>
      <c r="AF111" s="170">
        <v>2020</v>
      </c>
      <c r="AG111" s="170">
        <v>2020</v>
      </c>
      <c r="AH111" s="63" t="s">
        <v>257</v>
      </c>
    </row>
    <row r="112" spans="1:34" ht="61.5" x14ac:dyDescent="0.85">
      <c r="A112" s="7">
        <v>1</v>
      </c>
      <c r="B112" s="59">
        <f>SUBTOTAL(103,$A$22:A112)</f>
        <v>91</v>
      </c>
      <c r="C112" s="160" t="s">
        <v>1295</v>
      </c>
      <c r="D112" s="60">
        <f t="shared" si="5"/>
        <v>9902722.7999999989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168">
        <v>6</v>
      </c>
      <c r="L112" s="60">
        <f>1633824.21+1633824.21+1633824.21+1633824.21+1633824.21+1633824.21</f>
        <v>9802945.2599999998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60">
        <v>0</v>
      </c>
      <c r="Y112" s="60">
        <v>0</v>
      </c>
      <c r="Z112" s="60">
        <v>0</v>
      </c>
      <c r="AA112" s="60">
        <v>0</v>
      </c>
      <c r="AB112" s="60">
        <v>0</v>
      </c>
      <c r="AC112" s="60">
        <v>0</v>
      </c>
      <c r="AD112" s="60">
        <v>99777.54</v>
      </c>
      <c r="AE112" s="60">
        <v>0</v>
      </c>
      <c r="AF112" s="170">
        <v>2020</v>
      </c>
      <c r="AG112" s="170">
        <v>2020</v>
      </c>
      <c r="AH112" s="63" t="s">
        <v>257</v>
      </c>
    </row>
    <row r="113" spans="1:34" ht="61.5" x14ac:dyDescent="0.85">
      <c r="A113" s="7">
        <v>1</v>
      </c>
      <c r="B113" s="59">
        <f>SUBTOTAL(103,$A$22:A113)</f>
        <v>92</v>
      </c>
      <c r="C113" s="160" t="s">
        <v>520</v>
      </c>
      <c r="D113" s="60">
        <f t="shared" si="5"/>
        <v>1918155.32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168">
        <v>1</v>
      </c>
      <c r="L113" s="60">
        <v>1845694.58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60">
        <v>0</v>
      </c>
      <c r="Z113" s="60">
        <v>0</v>
      </c>
      <c r="AA113" s="60">
        <v>0</v>
      </c>
      <c r="AB113" s="60">
        <v>0</v>
      </c>
      <c r="AC113" s="60">
        <v>0</v>
      </c>
      <c r="AD113" s="60">
        <v>72460.740000000005</v>
      </c>
      <c r="AE113" s="60">
        <v>0</v>
      </c>
      <c r="AF113" s="170">
        <v>2020</v>
      </c>
      <c r="AG113" s="170">
        <v>2020</v>
      </c>
      <c r="AH113" s="63" t="s">
        <v>257</v>
      </c>
    </row>
    <row r="114" spans="1:34" ht="61.5" x14ac:dyDescent="0.85">
      <c r="A114" s="7">
        <v>1</v>
      </c>
      <c r="B114" s="59">
        <f>SUBTOTAL(103,$A$22:A114)</f>
        <v>93</v>
      </c>
      <c r="C114" s="160" t="s">
        <v>1025</v>
      </c>
      <c r="D114" s="60">
        <f t="shared" si="5"/>
        <v>7396376.3500000006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168">
        <v>4</v>
      </c>
      <c r="L114" s="60">
        <f>1826169.04+1826169.04+1826169.04+1826169.04</f>
        <v>7304676.1600000001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0</v>
      </c>
      <c r="T114" s="60">
        <v>0</v>
      </c>
      <c r="U114" s="60">
        <v>0</v>
      </c>
      <c r="V114" s="60">
        <v>0</v>
      </c>
      <c r="W114" s="60">
        <v>0</v>
      </c>
      <c r="X114" s="60">
        <v>0</v>
      </c>
      <c r="Y114" s="60">
        <v>0</v>
      </c>
      <c r="Z114" s="60">
        <v>0</v>
      </c>
      <c r="AA114" s="60">
        <v>0</v>
      </c>
      <c r="AB114" s="60">
        <v>0</v>
      </c>
      <c r="AC114" s="60">
        <v>0</v>
      </c>
      <c r="AD114" s="60">
        <v>91700.19</v>
      </c>
      <c r="AE114" s="60">
        <v>0</v>
      </c>
      <c r="AF114" s="170">
        <v>2020</v>
      </c>
      <c r="AG114" s="170">
        <v>2020</v>
      </c>
      <c r="AH114" s="63" t="s">
        <v>257</v>
      </c>
    </row>
    <row r="115" spans="1:34" ht="61.5" x14ac:dyDescent="0.85">
      <c r="A115" s="7">
        <v>1</v>
      </c>
      <c r="B115" s="59">
        <f>SUBTOTAL(103,$A$22:A115)</f>
        <v>94</v>
      </c>
      <c r="C115" s="160" t="s">
        <v>526</v>
      </c>
      <c r="D115" s="60">
        <f t="shared" si="5"/>
        <v>1901891.1600000001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168">
        <v>1</v>
      </c>
      <c r="L115" s="60">
        <v>1830984.58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60">
        <v>0</v>
      </c>
      <c r="Z115" s="60">
        <v>0</v>
      </c>
      <c r="AA115" s="60">
        <v>0</v>
      </c>
      <c r="AB115" s="60">
        <v>0</v>
      </c>
      <c r="AC115" s="60">
        <v>0</v>
      </c>
      <c r="AD115" s="60">
        <v>70906.58</v>
      </c>
      <c r="AE115" s="60">
        <v>0</v>
      </c>
      <c r="AF115" s="170">
        <v>2020</v>
      </c>
      <c r="AG115" s="170">
        <v>2020</v>
      </c>
      <c r="AH115" s="63" t="s">
        <v>257</v>
      </c>
    </row>
    <row r="116" spans="1:34" ht="61.5" x14ac:dyDescent="0.85">
      <c r="A116" s="7">
        <v>1</v>
      </c>
      <c r="B116" s="59">
        <f>SUBTOTAL(103,$A$22:A116)</f>
        <v>95</v>
      </c>
      <c r="C116" s="160" t="s">
        <v>1053</v>
      </c>
      <c r="D116" s="60">
        <f t="shared" si="5"/>
        <v>814287.52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168">
        <v>0</v>
      </c>
      <c r="L116" s="60">
        <v>0</v>
      </c>
      <c r="M116" s="175">
        <v>523.98</v>
      </c>
      <c r="N116" s="175">
        <v>802313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60">
        <v>0</v>
      </c>
      <c r="AB116" s="60">
        <v>0</v>
      </c>
      <c r="AC116" s="175">
        <v>11974.52</v>
      </c>
      <c r="AD116" s="60">
        <v>0</v>
      </c>
      <c r="AE116" s="60">
        <v>0</v>
      </c>
      <c r="AF116" s="63" t="s">
        <v>257</v>
      </c>
      <c r="AG116" s="170">
        <v>2020</v>
      </c>
      <c r="AH116" s="170">
        <v>2020</v>
      </c>
    </row>
    <row r="117" spans="1:34" ht="61.5" x14ac:dyDescent="0.85">
      <c r="A117" s="7">
        <v>1</v>
      </c>
      <c r="B117" s="59">
        <f>SUBTOTAL(103,$A$22:A117)</f>
        <v>96</v>
      </c>
      <c r="C117" s="160" t="s">
        <v>1064</v>
      </c>
      <c r="D117" s="60">
        <f t="shared" si="5"/>
        <v>52271.7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168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0">
        <v>0</v>
      </c>
      <c r="T117" s="60">
        <v>0</v>
      </c>
      <c r="U117" s="60">
        <v>0</v>
      </c>
      <c r="V117" s="60">
        <v>0</v>
      </c>
      <c r="W117" s="60">
        <v>0</v>
      </c>
      <c r="X117" s="60">
        <v>0</v>
      </c>
      <c r="Y117" s="60">
        <v>0</v>
      </c>
      <c r="Z117" s="60">
        <v>0</v>
      </c>
      <c r="AA117" s="60">
        <v>0</v>
      </c>
      <c r="AB117" s="60">
        <v>0</v>
      </c>
      <c r="AC117" s="60">
        <v>0</v>
      </c>
      <c r="AD117" s="62">
        <v>52271.7</v>
      </c>
      <c r="AE117" s="60">
        <v>0</v>
      </c>
      <c r="AF117" s="170">
        <v>2020</v>
      </c>
      <c r="AG117" s="63" t="s">
        <v>257</v>
      </c>
      <c r="AH117" s="63" t="s">
        <v>257</v>
      </c>
    </row>
    <row r="118" spans="1:34" ht="61.5" x14ac:dyDescent="0.85">
      <c r="A118" s="7">
        <v>1</v>
      </c>
      <c r="B118" s="59">
        <f>SUBTOTAL(103,$A$22:A118)</f>
        <v>97</v>
      </c>
      <c r="C118" s="160" t="s">
        <v>460</v>
      </c>
      <c r="D118" s="60">
        <f t="shared" ref="D118:D125" si="6">E118+F118+G118+H118+I118+J118+L118+N118+P118+R118+T118+U118+V118+W118+X118+Y118+Z118+AA118+AB118+AC118+AD118+AE118</f>
        <v>83051.86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168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60">
        <v>0</v>
      </c>
      <c r="Y118" s="60">
        <v>0</v>
      </c>
      <c r="Z118" s="60">
        <v>0</v>
      </c>
      <c r="AA118" s="60">
        <v>0</v>
      </c>
      <c r="AB118" s="60">
        <v>0</v>
      </c>
      <c r="AC118" s="60">
        <v>0</v>
      </c>
      <c r="AD118" s="60">
        <v>83051.86</v>
      </c>
      <c r="AE118" s="60">
        <v>0</v>
      </c>
      <c r="AF118" s="170">
        <v>2020</v>
      </c>
      <c r="AG118" s="63" t="s">
        <v>257</v>
      </c>
      <c r="AH118" s="63" t="s">
        <v>257</v>
      </c>
    </row>
    <row r="119" spans="1:34" ht="61.5" x14ac:dyDescent="0.85">
      <c r="A119" s="7">
        <v>1</v>
      </c>
      <c r="B119" s="59">
        <f>SUBTOTAL(103,$A$22:A119)</f>
        <v>98</v>
      </c>
      <c r="C119" s="160" t="s">
        <v>1065</v>
      </c>
      <c r="D119" s="60">
        <f t="shared" si="6"/>
        <v>50689.120000000003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168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0">
        <v>0</v>
      </c>
      <c r="T119" s="60">
        <v>0</v>
      </c>
      <c r="U119" s="60">
        <v>0</v>
      </c>
      <c r="V119" s="60">
        <v>0</v>
      </c>
      <c r="W119" s="60">
        <v>0</v>
      </c>
      <c r="X119" s="60">
        <v>0</v>
      </c>
      <c r="Y119" s="60">
        <v>0</v>
      </c>
      <c r="Z119" s="60">
        <v>0</v>
      </c>
      <c r="AA119" s="60">
        <v>0</v>
      </c>
      <c r="AB119" s="60">
        <v>0</v>
      </c>
      <c r="AC119" s="60">
        <v>0</v>
      </c>
      <c r="AD119" s="169">
        <v>50689.120000000003</v>
      </c>
      <c r="AE119" s="60">
        <v>0</v>
      </c>
      <c r="AF119" s="170">
        <v>2020</v>
      </c>
      <c r="AG119" s="63" t="s">
        <v>257</v>
      </c>
      <c r="AH119" s="63" t="s">
        <v>257</v>
      </c>
    </row>
    <row r="120" spans="1:34" ht="61.5" x14ac:dyDescent="0.85">
      <c r="A120" s="7">
        <v>1</v>
      </c>
      <c r="B120" s="59">
        <f>SUBTOTAL(103,$A$22:A120)</f>
        <v>99</v>
      </c>
      <c r="C120" s="160" t="s">
        <v>474</v>
      </c>
      <c r="D120" s="60">
        <f t="shared" si="6"/>
        <v>95587.09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168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60">
        <v>0</v>
      </c>
      <c r="Y120" s="60">
        <v>0</v>
      </c>
      <c r="Z120" s="60">
        <v>0</v>
      </c>
      <c r="AA120" s="60">
        <v>0</v>
      </c>
      <c r="AB120" s="60">
        <v>0</v>
      </c>
      <c r="AC120" s="60">
        <v>0</v>
      </c>
      <c r="AD120" s="62">
        <v>95587.09</v>
      </c>
      <c r="AE120" s="60">
        <v>0</v>
      </c>
      <c r="AF120" s="170">
        <v>2020</v>
      </c>
      <c r="AG120" s="63" t="s">
        <v>257</v>
      </c>
      <c r="AH120" s="63" t="s">
        <v>257</v>
      </c>
    </row>
    <row r="121" spans="1:34" ht="61.5" x14ac:dyDescent="0.85">
      <c r="A121" s="7">
        <v>1</v>
      </c>
      <c r="B121" s="59">
        <f>SUBTOTAL(103,$A$22:A121)</f>
        <v>100</v>
      </c>
      <c r="C121" s="160" t="s">
        <v>1004</v>
      </c>
      <c r="D121" s="60">
        <f t="shared" si="6"/>
        <v>79784.160000000003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168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0">
        <v>0</v>
      </c>
      <c r="T121" s="60">
        <v>0</v>
      </c>
      <c r="U121" s="60">
        <v>0</v>
      </c>
      <c r="V121" s="60">
        <v>0</v>
      </c>
      <c r="W121" s="60">
        <v>0</v>
      </c>
      <c r="X121" s="60">
        <v>0</v>
      </c>
      <c r="Y121" s="60">
        <v>0</v>
      </c>
      <c r="Z121" s="60">
        <v>0</v>
      </c>
      <c r="AA121" s="60">
        <v>0</v>
      </c>
      <c r="AB121" s="60">
        <v>0</v>
      </c>
      <c r="AC121" s="60">
        <v>0</v>
      </c>
      <c r="AD121" s="60">
        <v>79784.160000000003</v>
      </c>
      <c r="AE121" s="60">
        <v>0</v>
      </c>
      <c r="AF121" s="170">
        <v>2020</v>
      </c>
      <c r="AG121" s="63" t="s">
        <v>257</v>
      </c>
      <c r="AH121" s="63" t="s">
        <v>257</v>
      </c>
    </row>
    <row r="122" spans="1:34" ht="61.5" x14ac:dyDescent="0.85">
      <c r="A122" s="7">
        <v>1</v>
      </c>
      <c r="B122" s="59">
        <f>SUBTOTAL(103,$A$22:A122)</f>
        <v>101</v>
      </c>
      <c r="C122" s="160" t="s">
        <v>1318</v>
      </c>
      <c r="D122" s="60">
        <f t="shared" si="6"/>
        <v>71679.100000000006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168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60">
        <v>0</v>
      </c>
      <c r="Y122" s="60">
        <v>0</v>
      </c>
      <c r="Z122" s="60">
        <v>0</v>
      </c>
      <c r="AA122" s="60">
        <v>0</v>
      </c>
      <c r="AB122" s="60">
        <v>0</v>
      </c>
      <c r="AC122" s="60">
        <v>0</v>
      </c>
      <c r="AD122" s="60">
        <v>71679.100000000006</v>
      </c>
      <c r="AE122" s="60">
        <v>0</v>
      </c>
      <c r="AF122" s="170">
        <v>2020</v>
      </c>
      <c r="AG122" s="63" t="s">
        <v>257</v>
      </c>
      <c r="AH122" s="63" t="s">
        <v>257</v>
      </c>
    </row>
    <row r="123" spans="1:34" ht="61.5" x14ac:dyDescent="0.85">
      <c r="A123" s="7">
        <v>1</v>
      </c>
      <c r="B123" s="59">
        <f>SUBTOTAL(103,$A$22:A123)</f>
        <v>102</v>
      </c>
      <c r="C123" s="160" t="s">
        <v>1292</v>
      </c>
      <c r="D123" s="60">
        <f t="shared" si="6"/>
        <v>55904.38</v>
      </c>
      <c r="E123" s="60">
        <v>0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168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0">
        <v>0</v>
      </c>
      <c r="T123" s="60">
        <v>0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  <c r="Z123" s="60">
        <v>0</v>
      </c>
      <c r="AA123" s="60">
        <v>0</v>
      </c>
      <c r="AB123" s="60">
        <v>0</v>
      </c>
      <c r="AC123" s="60">
        <v>0</v>
      </c>
      <c r="AD123" s="60">
        <v>55904.38</v>
      </c>
      <c r="AE123" s="60">
        <v>0</v>
      </c>
      <c r="AF123" s="170">
        <v>2020</v>
      </c>
      <c r="AG123" s="63" t="s">
        <v>257</v>
      </c>
      <c r="AH123" s="63" t="s">
        <v>257</v>
      </c>
    </row>
    <row r="124" spans="1:34" ht="61.5" x14ac:dyDescent="0.85">
      <c r="A124" s="7">
        <v>1</v>
      </c>
      <c r="B124" s="59">
        <f>SUBTOTAL(103,$A$22:A124)</f>
        <v>103</v>
      </c>
      <c r="C124" s="160" t="s">
        <v>1579</v>
      </c>
      <c r="D124" s="60">
        <f t="shared" si="6"/>
        <v>100382.56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168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173">
        <v>100382.56</v>
      </c>
      <c r="AE124" s="60">
        <v>0</v>
      </c>
      <c r="AF124" s="170">
        <v>2020</v>
      </c>
      <c r="AG124" s="63" t="s">
        <v>257</v>
      </c>
      <c r="AH124" s="63" t="s">
        <v>257</v>
      </c>
    </row>
    <row r="125" spans="1:34" ht="61.5" x14ac:dyDescent="0.85">
      <c r="A125" s="7">
        <v>1</v>
      </c>
      <c r="B125" s="59">
        <f>SUBTOTAL(103,$A$22:A125)</f>
        <v>104</v>
      </c>
      <c r="C125" s="160" t="s">
        <v>500</v>
      </c>
      <c r="D125" s="60">
        <f t="shared" si="6"/>
        <v>82721.55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168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  <c r="Z125" s="60">
        <v>0</v>
      </c>
      <c r="AA125" s="60">
        <v>0</v>
      </c>
      <c r="AB125" s="60">
        <v>0</v>
      </c>
      <c r="AC125" s="60">
        <v>0</v>
      </c>
      <c r="AD125" s="62">
        <v>82721.55</v>
      </c>
      <c r="AE125" s="60">
        <v>0</v>
      </c>
      <c r="AF125" s="170">
        <v>2020</v>
      </c>
      <c r="AG125" s="170" t="s">
        <v>257</v>
      </c>
      <c r="AH125" s="63" t="s">
        <v>257</v>
      </c>
    </row>
    <row r="126" spans="1:34" ht="61.5" x14ac:dyDescent="0.85">
      <c r="B126" s="160" t="s">
        <v>706</v>
      </c>
      <c r="C126" s="176"/>
      <c r="D126" s="177">
        <f t="shared" ref="D126:AE126" si="7">SUM(D127:D155)</f>
        <v>50842017.239999995</v>
      </c>
      <c r="E126" s="60">
        <f t="shared" si="7"/>
        <v>392971.79</v>
      </c>
      <c r="F126" s="60">
        <f t="shared" si="7"/>
        <v>287233.21999999997</v>
      </c>
      <c r="G126" s="60">
        <f t="shared" si="7"/>
        <v>1294699.6299999999</v>
      </c>
      <c r="H126" s="60">
        <f t="shared" si="7"/>
        <v>643435.68999999994</v>
      </c>
      <c r="I126" s="60">
        <f t="shared" si="7"/>
        <v>4483524.6500000004</v>
      </c>
      <c r="J126" s="60">
        <f t="shared" si="7"/>
        <v>0</v>
      </c>
      <c r="K126" s="168">
        <f t="shared" si="7"/>
        <v>4</v>
      </c>
      <c r="L126" s="60">
        <f t="shared" si="7"/>
        <v>5593558.4000000004</v>
      </c>
      <c r="M126" s="60">
        <f t="shared" si="7"/>
        <v>8193.49</v>
      </c>
      <c r="N126" s="60">
        <f t="shared" si="7"/>
        <v>31283343.900000002</v>
      </c>
      <c r="O126" s="60">
        <f t="shared" si="7"/>
        <v>0</v>
      </c>
      <c r="P126" s="60">
        <f t="shared" si="7"/>
        <v>0</v>
      </c>
      <c r="Q126" s="60">
        <f t="shared" si="7"/>
        <v>2678.1099999999997</v>
      </c>
      <c r="R126" s="60">
        <f t="shared" si="7"/>
        <v>5635955.5300000003</v>
      </c>
      <c r="S126" s="60">
        <f t="shared" si="7"/>
        <v>0</v>
      </c>
      <c r="T126" s="60">
        <f t="shared" si="7"/>
        <v>0</v>
      </c>
      <c r="U126" s="60">
        <f t="shared" si="7"/>
        <v>0</v>
      </c>
      <c r="V126" s="60">
        <f t="shared" si="7"/>
        <v>0</v>
      </c>
      <c r="W126" s="60">
        <f t="shared" si="7"/>
        <v>0</v>
      </c>
      <c r="X126" s="60">
        <f t="shared" si="7"/>
        <v>0</v>
      </c>
      <c r="Y126" s="60">
        <f t="shared" si="7"/>
        <v>0</v>
      </c>
      <c r="Z126" s="60">
        <f t="shared" si="7"/>
        <v>0</v>
      </c>
      <c r="AA126" s="60">
        <f t="shared" si="7"/>
        <v>0</v>
      </c>
      <c r="AB126" s="60">
        <f t="shared" si="7"/>
        <v>0</v>
      </c>
      <c r="AC126" s="60">
        <f t="shared" si="7"/>
        <v>274374.53000000003</v>
      </c>
      <c r="AD126" s="60">
        <f t="shared" si="7"/>
        <v>952919.9</v>
      </c>
      <c r="AE126" s="60">
        <f t="shared" si="7"/>
        <v>0</v>
      </c>
      <c r="AF126" s="54" t="s">
        <v>701</v>
      </c>
      <c r="AG126" s="54" t="s">
        <v>701</v>
      </c>
      <c r="AH126" s="55" t="s">
        <v>701</v>
      </c>
    </row>
    <row r="127" spans="1:34" ht="61.5" x14ac:dyDescent="0.85">
      <c r="A127" s="7">
        <v>1</v>
      </c>
      <c r="B127" s="59">
        <f>SUBTOTAL(103,$A$22:A127)</f>
        <v>105</v>
      </c>
      <c r="C127" s="160" t="s">
        <v>417</v>
      </c>
      <c r="D127" s="60">
        <f t="shared" ref="D127:D155" si="8">E127+F127+G127+H127+I127+J127+L127+N127+P127+R127+T127+U127+V127+W127+X127+Y127+Z127+AA127+AB127+AC127+AD127+AE127</f>
        <v>2291514.0300000003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168">
        <v>0</v>
      </c>
      <c r="L127" s="60">
        <v>0</v>
      </c>
      <c r="M127" s="62">
        <v>636.21</v>
      </c>
      <c r="N127" s="62">
        <v>2242129.4900000002</v>
      </c>
      <c r="O127" s="60">
        <v>0</v>
      </c>
      <c r="P127" s="60">
        <v>0</v>
      </c>
      <c r="Q127" s="60">
        <v>0</v>
      </c>
      <c r="R127" s="60">
        <v>0</v>
      </c>
      <c r="S127" s="60">
        <v>0</v>
      </c>
      <c r="T127" s="60">
        <v>0</v>
      </c>
      <c r="U127" s="60">
        <v>0</v>
      </c>
      <c r="V127" s="60">
        <v>0</v>
      </c>
      <c r="W127" s="60">
        <v>0</v>
      </c>
      <c r="X127" s="60">
        <v>0</v>
      </c>
      <c r="Y127" s="60">
        <v>0</v>
      </c>
      <c r="Z127" s="60">
        <v>0</v>
      </c>
      <c r="AA127" s="60">
        <v>0</v>
      </c>
      <c r="AB127" s="60">
        <v>0</v>
      </c>
      <c r="AC127" s="62">
        <v>14461.74</v>
      </c>
      <c r="AD127" s="62">
        <v>34922.800000000003</v>
      </c>
      <c r="AE127" s="60">
        <v>0</v>
      </c>
      <c r="AF127" s="170">
        <v>2020</v>
      </c>
      <c r="AG127" s="170">
        <v>2020</v>
      </c>
      <c r="AH127" s="63">
        <v>2020</v>
      </c>
    </row>
    <row r="128" spans="1:34" ht="61.5" x14ac:dyDescent="0.85">
      <c r="A128" s="7">
        <v>1</v>
      </c>
      <c r="B128" s="59">
        <f>SUBTOTAL(103,$A$22:A128)</f>
        <v>106</v>
      </c>
      <c r="C128" s="160" t="s">
        <v>418</v>
      </c>
      <c r="D128" s="60">
        <f t="shared" si="8"/>
        <v>2189911.6500000004</v>
      </c>
      <c r="E128" s="60">
        <v>0</v>
      </c>
      <c r="F128" s="60">
        <v>0</v>
      </c>
      <c r="G128" s="60">
        <v>0</v>
      </c>
      <c r="H128" s="60">
        <v>0</v>
      </c>
      <c r="I128" s="60">
        <v>0</v>
      </c>
      <c r="J128" s="60">
        <v>0</v>
      </c>
      <c r="K128" s="168">
        <v>0</v>
      </c>
      <c r="L128" s="60">
        <v>0</v>
      </c>
      <c r="M128" s="62">
        <v>585.59</v>
      </c>
      <c r="N128" s="169">
        <v>2122436.64</v>
      </c>
      <c r="O128" s="60">
        <v>0</v>
      </c>
      <c r="P128" s="60">
        <v>0</v>
      </c>
      <c r="Q128" s="60">
        <v>0</v>
      </c>
      <c r="R128" s="60">
        <v>0</v>
      </c>
      <c r="S128" s="60">
        <v>0</v>
      </c>
      <c r="T128" s="60">
        <v>0</v>
      </c>
      <c r="U128" s="60">
        <v>0</v>
      </c>
      <c r="V128" s="60">
        <v>0</v>
      </c>
      <c r="W128" s="60">
        <v>0</v>
      </c>
      <c r="X128" s="60">
        <v>0</v>
      </c>
      <c r="Y128" s="60">
        <v>0</v>
      </c>
      <c r="Z128" s="60">
        <v>0</v>
      </c>
      <c r="AA128" s="60">
        <v>0</v>
      </c>
      <c r="AB128" s="60">
        <v>0</v>
      </c>
      <c r="AC128" s="169">
        <v>13689.72</v>
      </c>
      <c r="AD128" s="62">
        <v>53785.29</v>
      </c>
      <c r="AE128" s="60">
        <v>0</v>
      </c>
      <c r="AF128" s="170">
        <v>2020</v>
      </c>
      <c r="AG128" s="170">
        <v>2020</v>
      </c>
      <c r="AH128" s="63">
        <v>2020</v>
      </c>
    </row>
    <row r="129" spans="1:34" ht="61.5" x14ac:dyDescent="0.85">
      <c r="A129" s="7">
        <v>1</v>
      </c>
      <c r="B129" s="59">
        <f>SUBTOTAL(103,$A$22:A129)</f>
        <v>107</v>
      </c>
      <c r="C129" s="160" t="s">
        <v>419</v>
      </c>
      <c r="D129" s="60">
        <f t="shared" si="8"/>
        <v>2241889.83</v>
      </c>
      <c r="E129" s="60">
        <v>0</v>
      </c>
      <c r="F129" s="60">
        <v>0</v>
      </c>
      <c r="G129" s="60">
        <v>0</v>
      </c>
      <c r="H129" s="60">
        <v>0</v>
      </c>
      <c r="I129" s="60">
        <v>0</v>
      </c>
      <c r="J129" s="60">
        <v>0</v>
      </c>
      <c r="K129" s="168">
        <v>0</v>
      </c>
      <c r="L129" s="60">
        <v>0</v>
      </c>
      <c r="M129" s="60">
        <v>515.38</v>
      </c>
      <c r="N129" s="60">
        <v>2169539.4</v>
      </c>
      <c r="O129" s="60">
        <v>0</v>
      </c>
      <c r="P129" s="60">
        <v>0</v>
      </c>
      <c r="Q129" s="60">
        <v>0</v>
      </c>
      <c r="R129" s="60">
        <v>0</v>
      </c>
      <c r="S129" s="60">
        <v>0</v>
      </c>
      <c r="T129" s="60">
        <v>0</v>
      </c>
      <c r="U129" s="60">
        <v>0</v>
      </c>
      <c r="V129" s="60">
        <v>0</v>
      </c>
      <c r="W129" s="60">
        <v>0</v>
      </c>
      <c r="X129" s="60">
        <v>0</v>
      </c>
      <c r="Y129" s="60">
        <v>0</v>
      </c>
      <c r="Z129" s="60">
        <v>0</v>
      </c>
      <c r="AA129" s="60">
        <v>0</v>
      </c>
      <c r="AB129" s="60">
        <v>0</v>
      </c>
      <c r="AC129" s="60">
        <v>22454.73</v>
      </c>
      <c r="AD129" s="62">
        <v>49895.7</v>
      </c>
      <c r="AE129" s="60">
        <v>0</v>
      </c>
      <c r="AF129" s="170">
        <v>2020</v>
      </c>
      <c r="AG129" s="170">
        <v>2020</v>
      </c>
      <c r="AH129" s="170">
        <v>2020</v>
      </c>
    </row>
    <row r="130" spans="1:34" ht="61.5" x14ac:dyDescent="0.85">
      <c r="A130" s="7">
        <v>1</v>
      </c>
      <c r="B130" s="59">
        <f>SUBTOTAL(103,$A$22:A130)</f>
        <v>108</v>
      </c>
      <c r="C130" s="160" t="s">
        <v>420</v>
      </c>
      <c r="D130" s="60">
        <f t="shared" si="8"/>
        <v>55080.59</v>
      </c>
      <c r="E130" s="60">
        <v>0</v>
      </c>
      <c r="F130" s="60">
        <v>0</v>
      </c>
      <c r="G130" s="60">
        <v>0</v>
      </c>
      <c r="H130" s="60">
        <v>0</v>
      </c>
      <c r="I130" s="60">
        <v>0</v>
      </c>
      <c r="J130" s="60">
        <v>0</v>
      </c>
      <c r="K130" s="168">
        <v>0</v>
      </c>
      <c r="L130" s="60">
        <v>0</v>
      </c>
      <c r="M130" s="60">
        <v>0</v>
      </c>
      <c r="N130" s="60">
        <v>0</v>
      </c>
      <c r="O130" s="60">
        <v>0</v>
      </c>
      <c r="P130" s="60">
        <v>0</v>
      </c>
      <c r="Q130" s="60">
        <v>0</v>
      </c>
      <c r="R130" s="60">
        <v>0</v>
      </c>
      <c r="S130" s="60">
        <v>0</v>
      </c>
      <c r="T130" s="60">
        <v>0</v>
      </c>
      <c r="U130" s="60">
        <v>0</v>
      </c>
      <c r="V130" s="60">
        <v>0</v>
      </c>
      <c r="W130" s="60">
        <v>0</v>
      </c>
      <c r="X130" s="60">
        <v>0</v>
      </c>
      <c r="Y130" s="60">
        <v>0</v>
      </c>
      <c r="Z130" s="60">
        <v>0</v>
      </c>
      <c r="AA130" s="60">
        <v>0</v>
      </c>
      <c r="AB130" s="60">
        <v>0</v>
      </c>
      <c r="AC130" s="60">
        <f>ROUND(N130*1.5%,2)</f>
        <v>0</v>
      </c>
      <c r="AD130" s="169">
        <v>55080.59</v>
      </c>
      <c r="AE130" s="60">
        <v>0</v>
      </c>
      <c r="AF130" s="170">
        <v>2020</v>
      </c>
      <c r="AG130" s="170" t="s">
        <v>257</v>
      </c>
      <c r="AH130" s="63" t="s">
        <v>257</v>
      </c>
    </row>
    <row r="131" spans="1:34" ht="61.5" x14ac:dyDescent="0.85">
      <c r="A131" s="7">
        <v>1</v>
      </c>
      <c r="B131" s="59">
        <f>SUBTOTAL(103,$A$22:A131)</f>
        <v>109</v>
      </c>
      <c r="C131" s="160" t="s">
        <v>421</v>
      </c>
      <c r="D131" s="60">
        <f t="shared" si="8"/>
        <v>2479536.17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168">
        <v>0</v>
      </c>
      <c r="L131" s="60">
        <v>0</v>
      </c>
      <c r="M131" s="62">
        <v>597.83000000000004</v>
      </c>
      <c r="N131" s="62">
        <v>2411595.7999999998</v>
      </c>
      <c r="O131" s="60">
        <v>0</v>
      </c>
      <c r="P131" s="60">
        <v>0</v>
      </c>
      <c r="Q131" s="60">
        <v>0</v>
      </c>
      <c r="R131" s="60">
        <v>0</v>
      </c>
      <c r="S131" s="60">
        <v>0</v>
      </c>
      <c r="T131" s="60">
        <v>0</v>
      </c>
      <c r="U131" s="60">
        <v>0</v>
      </c>
      <c r="V131" s="60">
        <v>0</v>
      </c>
      <c r="W131" s="60">
        <v>0</v>
      </c>
      <c r="X131" s="60">
        <v>0</v>
      </c>
      <c r="Y131" s="60">
        <v>0</v>
      </c>
      <c r="Z131" s="60">
        <v>0</v>
      </c>
      <c r="AA131" s="60">
        <v>0</v>
      </c>
      <c r="AB131" s="60">
        <v>0</v>
      </c>
      <c r="AC131" s="62">
        <v>15554.79</v>
      </c>
      <c r="AD131" s="62">
        <v>52385.58</v>
      </c>
      <c r="AE131" s="60">
        <v>0</v>
      </c>
      <c r="AF131" s="170">
        <v>2020</v>
      </c>
      <c r="AG131" s="170">
        <v>2020</v>
      </c>
      <c r="AH131" s="63">
        <v>2020</v>
      </c>
    </row>
    <row r="132" spans="1:34" ht="61.5" x14ac:dyDescent="0.85">
      <c r="A132" s="7">
        <v>1</v>
      </c>
      <c r="B132" s="59">
        <f>SUBTOTAL(103,$A$22:A132)</f>
        <v>110</v>
      </c>
      <c r="C132" s="160" t="s">
        <v>422</v>
      </c>
      <c r="D132" s="60">
        <f t="shared" si="8"/>
        <v>2128855.41</v>
      </c>
      <c r="E132" s="60">
        <v>0</v>
      </c>
      <c r="F132" s="60">
        <v>0</v>
      </c>
      <c r="G132" s="60">
        <v>0</v>
      </c>
      <c r="H132" s="60">
        <v>0</v>
      </c>
      <c r="I132" s="60">
        <v>0</v>
      </c>
      <c r="J132" s="60">
        <v>0</v>
      </c>
      <c r="K132" s="168">
        <v>0</v>
      </c>
      <c r="L132" s="60">
        <v>0</v>
      </c>
      <c r="M132" s="62">
        <v>618.17999999999995</v>
      </c>
      <c r="N132" s="169">
        <v>2062274.75</v>
      </c>
      <c r="O132" s="60">
        <v>0</v>
      </c>
      <c r="P132" s="60">
        <v>0</v>
      </c>
      <c r="Q132" s="60">
        <v>0</v>
      </c>
      <c r="R132" s="60">
        <v>0</v>
      </c>
      <c r="S132" s="60">
        <v>0</v>
      </c>
      <c r="T132" s="60">
        <v>0</v>
      </c>
      <c r="U132" s="60">
        <v>0</v>
      </c>
      <c r="V132" s="60">
        <v>0</v>
      </c>
      <c r="W132" s="60">
        <v>0</v>
      </c>
      <c r="X132" s="60">
        <v>0</v>
      </c>
      <c r="Y132" s="60">
        <v>0</v>
      </c>
      <c r="Z132" s="60">
        <v>0</v>
      </c>
      <c r="AA132" s="60">
        <v>0</v>
      </c>
      <c r="AB132" s="60">
        <v>0</v>
      </c>
      <c r="AC132" s="62">
        <v>13301.67</v>
      </c>
      <c r="AD132" s="62">
        <v>53278.99</v>
      </c>
      <c r="AE132" s="60">
        <v>0</v>
      </c>
      <c r="AF132" s="170">
        <v>2020</v>
      </c>
      <c r="AG132" s="170">
        <v>2020</v>
      </c>
      <c r="AH132" s="63">
        <v>2020</v>
      </c>
    </row>
    <row r="133" spans="1:34" ht="61.5" x14ac:dyDescent="0.85">
      <c r="A133" s="7">
        <v>1</v>
      </c>
      <c r="B133" s="59">
        <f>SUBTOTAL(103,$A$22:A133)</f>
        <v>111</v>
      </c>
      <c r="C133" s="160" t="s">
        <v>423</v>
      </c>
      <c r="D133" s="60">
        <f t="shared" si="8"/>
        <v>2540318.89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168">
        <v>0</v>
      </c>
      <c r="L133" s="60">
        <v>0</v>
      </c>
      <c r="M133" s="62">
        <v>548.33000000000004</v>
      </c>
      <c r="N133" s="62">
        <v>2453870.5</v>
      </c>
      <c r="O133" s="60">
        <v>0</v>
      </c>
      <c r="P133" s="60">
        <v>0</v>
      </c>
      <c r="Q133" s="60">
        <v>0</v>
      </c>
      <c r="R133" s="60">
        <v>0</v>
      </c>
      <c r="S133" s="60">
        <v>0</v>
      </c>
      <c r="T133" s="60">
        <v>0</v>
      </c>
      <c r="U133" s="60">
        <v>0</v>
      </c>
      <c r="V133" s="60">
        <v>0</v>
      </c>
      <c r="W133" s="60">
        <v>0</v>
      </c>
      <c r="X133" s="60">
        <v>0</v>
      </c>
      <c r="Y133" s="60">
        <v>0</v>
      </c>
      <c r="Z133" s="60">
        <v>0</v>
      </c>
      <c r="AA133" s="60">
        <v>0</v>
      </c>
      <c r="AB133" s="60">
        <v>0</v>
      </c>
      <c r="AC133" s="62">
        <v>15827.46</v>
      </c>
      <c r="AD133" s="62">
        <v>70620.929999999993</v>
      </c>
      <c r="AE133" s="60">
        <v>0</v>
      </c>
      <c r="AF133" s="170">
        <v>2020</v>
      </c>
      <c r="AG133" s="170">
        <v>2020</v>
      </c>
      <c r="AH133" s="63">
        <v>2020</v>
      </c>
    </row>
    <row r="134" spans="1:34" ht="61.5" x14ac:dyDescent="0.85">
      <c r="A134" s="7">
        <v>1</v>
      </c>
      <c r="B134" s="59">
        <f>SUBTOTAL(103,$A$22:A134)</f>
        <v>112</v>
      </c>
      <c r="C134" s="160" t="s">
        <v>424</v>
      </c>
      <c r="D134" s="60">
        <f t="shared" si="8"/>
        <v>2317566.0299999998</v>
      </c>
      <c r="E134" s="60">
        <v>0</v>
      </c>
      <c r="F134" s="60">
        <v>0</v>
      </c>
      <c r="G134" s="60">
        <v>0</v>
      </c>
      <c r="H134" s="60">
        <v>0</v>
      </c>
      <c r="I134" s="60">
        <v>0</v>
      </c>
      <c r="J134" s="60">
        <v>0</v>
      </c>
      <c r="K134" s="168">
        <v>0</v>
      </c>
      <c r="L134" s="60">
        <v>0</v>
      </c>
      <c r="M134" s="62">
        <v>561.44000000000005</v>
      </c>
      <c r="N134" s="62">
        <v>2249862</v>
      </c>
      <c r="O134" s="60">
        <v>0</v>
      </c>
      <c r="P134" s="60">
        <v>0</v>
      </c>
      <c r="Q134" s="60">
        <v>0</v>
      </c>
      <c r="R134" s="60">
        <v>0</v>
      </c>
      <c r="S134" s="60">
        <v>0</v>
      </c>
      <c r="T134" s="60">
        <v>0</v>
      </c>
      <c r="U134" s="60">
        <v>0</v>
      </c>
      <c r="V134" s="60">
        <v>0</v>
      </c>
      <c r="W134" s="60">
        <v>0</v>
      </c>
      <c r="X134" s="60">
        <v>0</v>
      </c>
      <c r="Y134" s="60">
        <v>0</v>
      </c>
      <c r="Z134" s="60">
        <v>0</v>
      </c>
      <c r="AA134" s="60">
        <v>0</v>
      </c>
      <c r="AB134" s="60">
        <v>0</v>
      </c>
      <c r="AC134" s="62">
        <v>14511.61</v>
      </c>
      <c r="AD134" s="62">
        <v>53192.42</v>
      </c>
      <c r="AE134" s="60">
        <v>0</v>
      </c>
      <c r="AF134" s="170">
        <v>2020</v>
      </c>
      <c r="AG134" s="170">
        <v>2020</v>
      </c>
      <c r="AH134" s="63">
        <v>2020</v>
      </c>
    </row>
    <row r="135" spans="1:34" ht="61.5" x14ac:dyDescent="0.85">
      <c r="A135" s="7">
        <v>1</v>
      </c>
      <c r="B135" s="59">
        <f>SUBTOTAL(103,$A$22:A135)</f>
        <v>113</v>
      </c>
      <c r="C135" s="160" t="s">
        <v>425</v>
      </c>
      <c r="D135" s="60">
        <f t="shared" si="8"/>
        <v>2392182.6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168">
        <v>0</v>
      </c>
      <c r="L135" s="60">
        <v>0</v>
      </c>
      <c r="M135" s="62">
        <v>585.91</v>
      </c>
      <c r="N135" s="62">
        <v>2323884.75</v>
      </c>
      <c r="O135" s="60">
        <v>0</v>
      </c>
      <c r="P135" s="60">
        <v>0</v>
      </c>
      <c r="Q135" s="60">
        <v>0</v>
      </c>
      <c r="R135" s="60">
        <v>0</v>
      </c>
      <c r="S135" s="60">
        <v>0</v>
      </c>
      <c r="T135" s="60">
        <v>0</v>
      </c>
      <c r="U135" s="60">
        <v>0</v>
      </c>
      <c r="V135" s="60">
        <v>0</v>
      </c>
      <c r="W135" s="60">
        <v>0</v>
      </c>
      <c r="X135" s="60">
        <v>0</v>
      </c>
      <c r="Y135" s="60">
        <v>0</v>
      </c>
      <c r="Z135" s="60">
        <v>0</v>
      </c>
      <c r="AA135" s="60">
        <v>0</v>
      </c>
      <c r="AB135" s="60">
        <v>0</v>
      </c>
      <c r="AC135" s="62">
        <v>14989.06</v>
      </c>
      <c r="AD135" s="62">
        <v>53308.79</v>
      </c>
      <c r="AE135" s="60">
        <v>0</v>
      </c>
      <c r="AF135" s="170">
        <v>2020</v>
      </c>
      <c r="AG135" s="170">
        <v>2020</v>
      </c>
      <c r="AH135" s="63">
        <v>2020</v>
      </c>
    </row>
    <row r="136" spans="1:34" ht="61.5" x14ac:dyDescent="0.85">
      <c r="A136" s="7">
        <v>1</v>
      </c>
      <c r="B136" s="59">
        <f>SUBTOTAL(103,$A$22:A136)</f>
        <v>114</v>
      </c>
      <c r="C136" s="160" t="s">
        <v>426</v>
      </c>
      <c r="D136" s="60">
        <f t="shared" si="8"/>
        <v>3299178.75</v>
      </c>
      <c r="E136" s="60">
        <v>0</v>
      </c>
      <c r="F136" s="60">
        <v>0</v>
      </c>
      <c r="G136" s="60">
        <v>0</v>
      </c>
      <c r="H136" s="60">
        <v>0</v>
      </c>
      <c r="I136" s="60">
        <v>0</v>
      </c>
      <c r="J136" s="60">
        <v>0</v>
      </c>
      <c r="K136" s="168">
        <v>0</v>
      </c>
      <c r="L136" s="60">
        <v>0</v>
      </c>
      <c r="M136" s="62">
        <v>847.77</v>
      </c>
      <c r="N136" s="62">
        <v>3158718</v>
      </c>
      <c r="O136" s="60">
        <v>0</v>
      </c>
      <c r="P136" s="60">
        <v>0</v>
      </c>
      <c r="Q136" s="60">
        <v>0</v>
      </c>
      <c r="R136" s="60">
        <v>0</v>
      </c>
      <c r="S136" s="60">
        <v>0</v>
      </c>
      <c r="T136" s="60">
        <v>0</v>
      </c>
      <c r="U136" s="60">
        <v>0</v>
      </c>
      <c r="V136" s="60">
        <v>0</v>
      </c>
      <c r="W136" s="60">
        <v>0</v>
      </c>
      <c r="X136" s="60">
        <v>0</v>
      </c>
      <c r="Y136" s="60">
        <v>0</v>
      </c>
      <c r="Z136" s="60">
        <v>0</v>
      </c>
      <c r="AA136" s="60">
        <v>0</v>
      </c>
      <c r="AB136" s="60">
        <v>0</v>
      </c>
      <c r="AC136" s="62">
        <v>20373.73</v>
      </c>
      <c r="AD136" s="62">
        <v>120087.02</v>
      </c>
      <c r="AE136" s="60">
        <v>0</v>
      </c>
      <c r="AF136" s="170">
        <v>2020</v>
      </c>
      <c r="AG136" s="170">
        <v>2020</v>
      </c>
      <c r="AH136" s="63">
        <v>2020</v>
      </c>
    </row>
    <row r="137" spans="1:34" ht="61.5" x14ac:dyDescent="0.85">
      <c r="A137" s="7">
        <v>1</v>
      </c>
      <c r="B137" s="59">
        <f>SUBTOTAL(103,$A$22:A137)</f>
        <v>115</v>
      </c>
      <c r="C137" s="160" t="s">
        <v>427</v>
      </c>
      <c r="D137" s="60">
        <f t="shared" si="8"/>
        <v>2218259.69</v>
      </c>
      <c r="E137" s="60">
        <v>0</v>
      </c>
      <c r="F137" s="60">
        <v>0</v>
      </c>
      <c r="G137" s="60">
        <v>0</v>
      </c>
      <c r="H137" s="60">
        <v>0</v>
      </c>
      <c r="I137" s="60">
        <v>0</v>
      </c>
      <c r="J137" s="60">
        <v>0</v>
      </c>
      <c r="K137" s="168">
        <v>0</v>
      </c>
      <c r="L137" s="60">
        <v>0</v>
      </c>
      <c r="M137" s="62">
        <v>581.07000000000005</v>
      </c>
      <c r="N137" s="62">
        <v>2150786.5</v>
      </c>
      <c r="O137" s="60">
        <v>0</v>
      </c>
      <c r="P137" s="60">
        <v>0</v>
      </c>
      <c r="Q137" s="60">
        <v>0</v>
      </c>
      <c r="R137" s="60">
        <v>0</v>
      </c>
      <c r="S137" s="60">
        <v>0</v>
      </c>
      <c r="T137" s="60">
        <v>0</v>
      </c>
      <c r="U137" s="60">
        <v>0</v>
      </c>
      <c r="V137" s="60">
        <v>0</v>
      </c>
      <c r="W137" s="60">
        <v>0</v>
      </c>
      <c r="X137" s="60">
        <v>0</v>
      </c>
      <c r="Y137" s="60">
        <v>0</v>
      </c>
      <c r="Z137" s="60">
        <v>0</v>
      </c>
      <c r="AA137" s="60">
        <v>0</v>
      </c>
      <c r="AB137" s="60">
        <v>0</v>
      </c>
      <c r="AC137" s="62">
        <v>13872.57</v>
      </c>
      <c r="AD137" s="62">
        <v>53600.62</v>
      </c>
      <c r="AE137" s="60">
        <v>0</v>
      </c>
      <c r="AF137" s="170">
        <v>2020</v>
      </c>
      <c r="AG137" s="170">
        <v>2020</v>
      </c>
      <c r="AH137" s="63">
        <v>2020</v>
      </c>
    </row>
    <row r="138" spans="1:34" ht="61.5" x14ac:dyDescent="0.85">
      <c r="A138" s="7">
        <v>1</v>
      </c>
      <c r="B138" s="59">
        <f>SUBTOTAL(103,$A$22:A138)</f>
        <v>116</v>
      </c>
      <c r="C138" s="160" t="s">
        <v>428</v>
      </c>
      <c r="D138" s="60">
        <f t="shared" si="8"/>
        <v>91764.43</v>
      </c>
      <c r="E138" s="60">
        <v>0</v>
      </c>
      <c r="F138" s="60">
        <v>0</v>
      </c>
      <c r="G138" s="60">
        <v>0</v>
      </c>
      <c r="H138" s="60">
        <v>0</v>
      </c>
      <c r="I138" s="60">
        <v>0</v>
      </c>
      <c r="J138" s="60">
        <v>0</v>
      </c>
      <c r="K138" s="168">
        <v>0</v>
      </c>
      <c r="L138" s="60">
        <v>0</v>
      </c>
      <c r="M138" s="60">
        <v>0</v>
      </c>
      <c r="N138" s="60">
        <v>0</v>
      </c>
      <c r="O138" s="60">
        <v>0</v>
      </c>
      <c r="P138" s="60">
        <v>0</v>
      </c>
      <c r="Q138" s="60">
        <v>0</v>
      </c>
      <c r="R138" s="60">
        <v>0</v>
      </c>
      <c r="S138" s="60">
        <v>0</v>
      </c>
      <c r="T138" s="60">
        <v>0</v>
      </c>
      <c r="U138" s="60">
        <v>0</v>
      </c>
      <c r="V138" s="60">
        <v>0</v>
      </c>
      <c r="W138" s="60">
        <v>0</v>
      </c>
      <c r="X138" s="60">
        <v>0</v>
      </c>
      <c r="Y138" s="60">
        <v>0</v>
      </c>
      <c r="Z138" s="60">
        <v>0</v>
      </c>
      <c r="AA138" s="60">
        <v>0</v>
      </c>
      <c r="AB138" s="60">
        <v>0</v>
      </c>
      <c r="AC138" s="60">
        <f>ROUND(N138*1.5%,2)</f>
        <v>0</v>
      </c>
      <c r="AD138" s="62">
        <v>91764.43</v>
      </c>
      <c r="AE138" s="60">
        <v>0</v>
      </c>
      <c r="AF138" s="170">
        <v>2020</v>
      </c>
      <c r="AG138" s="170" t="s">
        <v>257</v>
      </c>
      <c r="AH138" s="170" t="s">
        <v>257</v>
      </c>
    </row>
    <row r="139" spans="1:34" ht="61.5" x14ac:dyDescent="0.85">
      <c r="A139" s="7">
        <v>1</v>
      </c>
      <c r="B139" s="59">
        <f>SUBTOTAL(103,$A$22:A139)</f>
        <v>117</v>
      </c>
      <c r="C139" s="160" t="s">
        <v>429</v>
      </c>
      <c r="D139" s="60">
        <f t="shared" si="8"/>
        <v>45369.9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168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60">
        <v>0</v>
      </c>
      <c r="Y139" s="60">
        <v>0</v>
      </c>
      <c r="Z139" s="60">
        <v>0</v>
      </c>
      <c r="AA139" s="60">
        <v>0</v>
      </c>
      <c r="AB139" s="60">
        <v>0</v>
      </c>
      <c r="AC139" s="60">
        <f>ROUND(R139*1.5%,2)</f>
        <v>0</v>
      </c>
      <c r="AD139" s="60">
        <v>45369.9</v>
      </c>
      <c r="AE139" s="60">
        <v>0</v>
      </c>
      <c r="AF139" s="170">
        <v>2020</v>
      </c>
      <c r="AG139" s="170" t="s">
        <v>257</v>
      </c>
      <c r="AH139" s="170" t="s">
        <v>257</v>
      </c>
    </row>
    <row r="140" spans="1:34" ht="61.5" x14ac:dyDescent="0.85">
      <c r="A140" s="7">
        <v>1</v>
      </c>
      <c r="B140" s="59">
        <f>SUBTOTAL(103,$A$22:A140)</f>
        <v>118</v>
      </c>
      <c r="C140" s="160" t="s">
        <v>1068</v>
      </c>
      <c r="D140" s="60">
        <f t="shared" si="8"/>
        <v>2872501.01</v>
      </c>
      <c r="E140" s="60">
        <v>0</v>
      </c>
      <c r="F140" s="60">
        <v>0</v>
      </c>
      <c r="G140" s="60">
        <v>1294699.6299999999</v>
      </c>
      <c r="H140" s="60">
        <v>0</v>
      </c>
      <c r="I140" s="60">
        <v>1564983.85</v>
      </c>
      <c r="J140" s="60">
        <v>0</v>
      </c>
      <c r="K140" s="168">
        <v>0</v>
      </c>
      <c r="L140" s="60">
        <v>0</v>
      </c>
      <c r="M140" s="60">
        <v>0</v>
      </c>
      <c r="N140" s="60">
        <v>0</v>
      </c>
      <c r="O140" s="60">
        <v>0</v>
      </c>
      <c r="P140" s="60">
        <v>0</v>
      </c>
      <c r="Q140" s="60">
        <v>0</v>
      </c>
      <c r="R140" s="60">
        <v>0</v>
      </c>
      <c r="S140" s="60">
        <v>0</v>
      </c>
      <c r="T140" s="60">
        <v>0</v>
      </c>
      <c r="U140" s="60">
        <v>0</v>
      </c>
      <c r="V140" s="60">
        <v>0</v>
      </c>
      <c r="W140" s="60">
        <v>0</v>
      </c>
      <c r="X140" s="60">
        <v>0</v>
      </c>
      <c r="Y140" s="60">
        <v>0</v>
      </c>
      <c r="Z140" s="60">
        <v>0</v>
      </c>
      <c r="AA140" s="60">
        <v>0</v>
      </c>
      <c r="AB140" s="60">
        <v>0</v>
      </c>
      <c r="AC140" s="62">
        <v>12817.53</v>
      </c>
      <c r="AD140" s="60">
        <v>0</v>
      </c>
      <c r="AE140" s="60">
        <v>0</v>
      </c>
      <c r="AF140" s="170" t="s">
        <v>257</v>
      </c>
      <c r="AG140" s="170">
        <v>2020</v>
      </c>
      <c r="AH140" s="63">
        <v>2020</v>
      </c>
    </row>
    <row r="141" spans="1:34" ht="61.5" x14ac:dyDescent="0.85">
      <c r="A141" s="7">
        <v>1</v>
      </c>
      <c r="B141" s="59">
        <f>SUBTOTAL(103,$A$22:A141)</f>
        <v>119</v>
      </c>
      <c r="C141" s="160" t="s">
        <v>1069</v>
      </c>
      <c r="D141" s="60">
        <f t="shared" si="8"/>
        <v>985412.63</v>
      </c>
      <c r="E141" s="60">
        <v>0</v>
      </c>
      <c r="F141" s="60">
        <v>0</v>
      </c>
      <c r="G141" s="175">
        <v>0</v>
      </c>
      <c r="H141" s="60">
        <v>0</v>
      </c>
      <c r="I141" s="169">
        <v>980084.46</v>
      </c>
      <c r="J141" s="60">
        <v>0</v>
      </c>
      <c r="K141" s="168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60">
        <v>0</v>
      </c>
      <c r="Y141" s="60">
        <v>0</v>
      </c>
      <c r="Z141" s="60">
        <v>0</v>
      </c>
      <c r="AA141" s="60">
        <v>0</v>
      </c>
      <c r="AB141" s="60">
        <v>0</v>
      </c>
      <c r="AC141" s="60">
        <v>5328.17</v>
      </c>
      <c r="AD141" s="60">
        <v>0</v>
      </c>
      <c r="AE141" s="60">
        <v>0</v>
      </c>
      <c r="AF141" s="170" t="s">
        <v>257</v>
      </c>
      <c r="AG141" s="170">
        <v>2020</v>
      </c>
      <c r="AH141" s="63">
        <v>2020</v>
      </c>
    </row>
    <row r="142" spans="1:34" ht="61.5" x14ac:dyDescent="0.85">
      <c r="A142" s="7">
        <v>1</v>
      </c>
      <c r="B142" s="59">
        <f>SUBTOTAL(103,$A$22:A142)</f>
        <v>120</v>
      </c>
      <c r="C142" s="160" t="s">
        <v>1071</v>
      </c>
      <c r="D142" s="60">
        <f t="shared" si="8"/>
        <v>1787071.37</v>
      </c>
      <c r="E142" s="60">
        <v>0</v>
      </c>
      <c r="F142" s="60">
        <v>0</v>
      </c>
      <c r="G142" s="60">
        <v>0</v>
      </c>
      <c r="H142" s="60">
        <v>0</v>
      </c>
      <c r="I142" s="60">
        <v>0</v>
      </c>
      <c r="J142" s="60">
        <v>0</v>
      </c>
      <c r="K142" s="168">
        <v>0</v>
      </c>
      <c r="L142" s="60">
        <v>0</v>
      </c>
      <c r="M142" s="60">
        <v>0</v>
      </c>
      <c r="N142" s="60">
        <v>0</v>
      </c>
      <c r="O142" s="60">
        <v>0</v>
      </c>
      <c r="P142" s="60">
        <v>0</v>
      </c>
      <c r="Q142" s="62">
        <v>866.16</v>
      </c>
      <c r="R142" s="62">
        <v>1777408.59</v>
      </c>
      <c r="S142" s="60">
        <v>0</v>
      </c>
      <c r="T142" s="60">
        <v>0</v>
      </c>
      <c r="U142" s="60">
        <v>0</v>
      </c>
      <c r="V142" s="60">
        <v>0</v>
      </c>
      <c r="W142" s="60">
        <v>0</v>
      </c>
      <c r="X142" s="60">
        <v>0</v>
      </c>
      <c r="Y142" s="60">
        <v>0</v>
      </c>
      <c r="Z142" s="60">
        <v>0</v>
      </c>
      <c r="AA142" s="60">
        <v>0</v>
      </c>
      <c r="AB142" s="60">
        <v>0</v>
      </c>
      <c r="AC142" s="60">
        <v>9662.7800000000007</v>
      </c>
      <c r="AD142" s="60">
        <v>0</v>
      </c>
      <c r="AE142" s="60">
        <v>0</v>
      </c>
      <c r="AF142" s="170" t="s">
        <v>257</v>
      </c>
      <c r="AG142" s="170">
        <v>2020</v>
      </c>
      <c r="AH142" s="63">
        <v>2020</v>
      </c>
    </row>
    <row r="143" spans="1:34" ht="61.5" x14ac:dyDescent="0.85">
      <c r="A143" s="7">
        <v>1</v>
      </c>
      <c r="B143" s="59">
        <f>SUBTOTAL(103,$A$22:A143)</f>
        <v>121</v>
      </c>
      <c r="C143" s="160" t="s">
        <v>1072</v>
      </c>
      <c r="D143" s="60">
        <f t="shared" si="8"/>
        <v>121797.55</v>
      </c>
      <c r="E143" s="60">
        <v>0</v>
      </c>
      <c r="F143" s="60">
        <v>0</v>
      </c>
      <c r="G143" s="60">
        <v>0</v>
      </c>
      <c r="H143" s="60">
        <v>0</v>
      </c>
      <c r="I143" s="60">
        <v>121138.98</v>
      </c>
      <c r="J143" s="60">
        <v>0</v>
      </c>
      <c r="K143" s="168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60">
        <v>0</v>
      </c>
      <c r="Y143" s="60">
        <v>0</v>
      </c>
      <c r="Z143" s="60">
        <v>0</v>
      </c>
      <c r="AA143" s="60">
        <v>0</v>
      </c>
      <c r="AB143" s="60">
        <v>0</v>
      </c>
      <c r="AC143" s="62">
        <v>658.57</v>
      </c>
      <c r="AD143" s="60">
        <v>0</v>
      </c>
      <c r="AE143" s="60">
        <v>0</v>
      </c>
      <c r="AF143" s="170" t="s">
        <v>257</v>
      </c>
      <c r="AG143" s="170">
        <v>2020</v>
      </c>
      <c r="AH143" s="63">
        <v>2020</v>
      </c>
    </row>
    <row r="144" spans="1:34" ht="61.5" x14ac:dyDescent="0.85">
      <c r="A144" s="7">
        <v>1</v>
      </c>
      <c r="B144" s="59">
        <f>SUBTOTAL(103,$A$22:A144)</f>
        <v>122</v>
      </c>
      <c r="C144" s="160" t="s">
        <v>1073</v>
      </c>
      <c r="D144" s="60">
        <f t="shared" si="8"/>
        <v>940372.45000000007</v>
      </c>
      <c r="E144" s="60">
        <v>0</v>
      </c>
      <c r="F144" s="60">
        <v>0</v>
      </c>
      <c r="G144" s="60">
        <v>0</v>
      </c>
      <c r="H144" s="60">
        <v>0</v>
      </c>
      <c r="I144" s="60">
        <v>0</v>
      </c>
      <c r="J144" s="60">
        <v>0</v>
      </c>
      <c r="K144" s="168">
        <v>0</v>
      </c>
      <c r="L144" s="60">
        <v>0</v>
      </c>
      <c r="M144" s="60">
        <v>0</v>
      </c>
      <c r="N144" s="60">
        <v>0</v>
      </c>
      <c r="O144" s="60">
        <v>0</v>
      </c>
      <c r="P144" s="60">
        <v>0</v>
      </c>
      <c r="Q144" s="62">
        <v>435.9</v>
      </c>
      <c r="R144" s="169">
        <v>935287.81</v>
      </c>
      <c r="S144" s="60">
        <v>0</v>
      </c>
      <c r="T144" s="60">
        <v>0</v>
      </c>
      <c r="U144" s="60">
        <v>0</v>
      </c>
      <c r="V144" s="60">
        <v>0</v>
      </c>
      <c r="W144" s="60">
        <v>0</v>
      </c>
      <c r="X144" s="60">
        <v>0</v>
      </c>
      <c r="Y144" s="60">
        <v>0</v>
      </c>
      <c r="Z144" s="60">
        <v>0</v>
      </c>
      <c r="AA144" s="60">
        <v>0</v>
      </c>
      <c r="AB144" s="60">
        <v>0</v>
      </c>
      <c r="AC144" s="163">
        <v>5084.6400000000003</v>
      </c>
      <c r="AD144" s="60">
        <v>0</v>
      </c>
      <c r="AE144" s="60">
        <v>0</v>
      </c>
      <c r="AF144" s="170" t="s">
        <v>257</v>
      </c>
      <c r="AG144" s="170">
        <v>2020</v>
      </c>
      <c r="AH144" s="63">
        <v>2020</v>
      </c>
    </row>
    <row r="145" spans="1:34" ht="61.5" x14ac:dyDescent="0.85">
      <c r="A145" s="7">
        <v>1</v>
      </c>
      <c r="B145" s="59">
        <f>SUBTOTAL(103,$A$22:A145)</f>
        <v>123</v>
      </c>
      <c r="C145" s="160" t="s">
        <v>1074</v>
      </c>
      <c r="D145" s="60">
        <f t="shared" si="8"/>
        <v>291919.45999999996</v>
      </c>
      <c r="E145" s="60">
        <v>65413.4</v>
      </c>
      <c r="F145" s="60">
        <v>0</v>
      </c>
      <c r="G145" s="60">
        <v>0</v>
      </c>
      <c r="H145" s="60">
        <v>73602.460000000006</v>
      </c>
      <c r="I145" s="60">
        <v>151325.24</v>
      </c>
      <c r="J145" s="60">
        <v>0</v>
      </c>
      <c r="K145" s="168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60">
        <v>0</v>
      </c>
      <c r="Y145" s="60">
        <v>0</v>
      </c>
      <c r="Z145" s="60">
        <v>0</v>
      </c>
      <c r="AA145" s="60">
        <v>0</v>
      </c>
      <c r="AB145" s="60">
        <v>0</v>
      </c>
      <c r="AC145" s="163">
        <v>1578.3600000000001</v>
      </c>
      <c r="AD145" s="60">
        <v>0</v>
      </c>
      <c r="AE145" s="60">
        <v>0</v>
      </c>
      <c r="AF145" s="170" t="s">
        <v>257</v>
      </c>
      <c r="AG145" s="170">
        <v>2020</v>
      </c>
      <c r="AH145" s="63">
        <v>2020</v>
      </c>
    </row>
    <row r="146" spans="1:34" ht="61.5" x14ac:dyDescent="0.85">
      <c r="A146" s="7">
        <v>1</v>
      </c>
      <c r="B146" s="59">
        <f>SUBTOTAL(103,$A$22:A146)</f>
        <v>124</v>
      </c>
      <c r="C146" s="160" t="s">
        <v>1075</v>
      </c>
      <c r="D146" s="60">
        <f t="shared" si="8"/>
        <v>1755092.12</v>
      </c>
      <c r="E146" s="60">
        <v>0</v>
      </c>
      <c r="F146" s="60">
        <v>0</v>
      </c>
      <c r="G146" s="60">
        <v>0</v>
      </c>
      <c r="H146" s="60">
        <v>0</v>
      </c>
      <c r="I146" s="60">
        <v>0</v>
      </c>
      <c r="J146" s="60">
        <v>0</v>
      </c>
      <c r="K146" s="168">
        <v>0</v>
      </c>
      <c r="L146" s="60">
        <v>0</v>
      </c>
      <c r="M146" s="60">
        <v>0</v>
      </c>
      <c r="N146" s="60">
        <v>0</v>
      </c>
      <c r="O146" s="60">
        <v>0</v>
      </c>
      <c r="P146" s="60">
        <v>0</v>
      </c>
      <c r="Q146" s="60">
        <v>802.93</v>
      </c>
      <c r="R146" s="163">
        <v>1745602.25</v>
      </c>
      <c r="S146" s="60">
        <v>0</v>
      </c>
      <c r="T146" s="60">
        <v>0</v>
      </c>
      <c r="U146" s="60">
        <v>0</v>
      </c>
      <c r="V146" s="60">
        <v>0</v>
      </c>
      <c r="W146" s="60">
        <v>0</v>
      </c>
      <c r="X146" s="60">
        <v>0</v>
      </c>
      <c r="Y146" s="60">
        <v>0</v>
      </c>
      <c r="Z146" s="60">
        <v>0</v>
      </c>
      <c r="AA146" s="60">
        <v>0</v>
      </c>
      <c r="AB146" s="60">
        <v>0</v>
      </c>
      <c r="AC146" s="62">
        <v>9489.8700000000008</v>
      </c>
      <c r="AD146" s="60">
        <v>0</v>
      </c>
      <c r="AE146" s="60">
        <v>0</v>
      </c>
      <c r="AF146" s="170" t="s">
        <v>257</v>
      </c>
      <c r="AG146" s="170">
        <v>2020</v>
      </c>
      <c r="AH146" s="63">
        <v>2020</v>
      </c>
    </row>
    <row r="147" spans="1:34" ht="61.5" x14ac:dyDescent="0.85">
      <c r="A147" s="7">
        <v>1</v>
      </c>
      <c r="B147" s="59">
        <f>SUBTOTAL(103,$A$22:A147)</f>
        <v>125</v>
      </c>
      <c r="C147" s="160" t="s">
        <v>1076</v>
      </c>
      <c r="D147" s="60">
        <f t="shared" si="8"/>
        <v>1184059.1499999999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168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573.12</v>
      </c>
      <c r="R147" s="163">
        <v>1177656.8799999999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60">
        <v>0</v>
      </c>
      <c r="Y147" s="60">
        <v>0</v>
      </c>
      <c r="Z147" s="60">
        <v>0</v>
      </c>
      <c r="AA147" s="60">
        <v>0</v>
      </c>
      <c r="AB147" s="60">
        <v>0</v>
      </c>
      <c r="AC147" s="169">
        <v>6402.27</v>
      </c>
      <c r="AD147" s="60">
        <v>0</v>
      </c>
      <c r="AE147" s="60">
        <v>0</v>
      </c>
      <c r="AF147" s="170" t="s">
        <v>257</v>
      </c>
      <c r="AG147" s="170">
        <v>2020</v>
      </c>
      <c r="AH147" s="63">
        <v>2020</v>
      </c>
    </row>
    <row r="148" spans="1:34" ht="61.5" x14ac:dyDescent="0.85">
      <c r="A148" s="7">
        <v>1</v>
      </c>
      <c r="B148" s="59">
        <f>SUBTOTAL(103,$A$22:A148)</f>
        <v>126</v>
      </c>
      <c r="C148" s="160" t="s">
        <v>1077</v>
      </c>
      <c r="D148" s="60">
        <f t="shared" si="8"/>
        <v>5593558.4000000004</v>
      </c>
      <c r="E148" s="60">
        <v>0</v>
      </c>
      <c r="F148" s="60">
        <v>0</v>
      </c>
      <c r="G148" s="60">
        <v>0</v>
      </c>
      <c r="H148" s="60">
        <v>0</v>
      </c>
      <c r="I148" s="60">
        <v>0</v>
      </c>
      <c r="J148" s="60">
        <v>0</v>
      </c>
      <c r="K148" s="168">
        <v>4</v>
      </c>
      <c r="L148" s="60">
        <v>5593558.4000000004</v>
      </c>
      <c r="M148" s="60">
        <v>0</v>
      </c>
      <c r="N148" s="60">
        <v>0</v>
      </c>
      <c r="O148" s="60">
        <v>0</v>
      </c>
      <c r="P148" s="60">
        <v>0</v>
      </c>
      <c r="Q148" s="60">
        <v>0</v>
      </c>
      <c r="R148" s="60">
        <v>0</v>
      </c>
      <c r="S148" s="60">
        <v>0</v>
      </c>
      <c r="T148" s="60">
        <v>0</v>
      </c>
      <c r="U148" s="60">
        <v>0</v>
      </c>
      <c r="V148" s="60">
        <v>0</v>
      </c>
      <c r="W148" s="60">
        <v>0</v>
      </c>
      <c r="X148" s="60">
        <v>0</v>
      </c>
      <c r="Y148" s="60">
        <v>0</v>
      </c>
      <c r="Z148" s="60">
        <v>0</v>
      </c>
      <c r="AA148" s="60">
        <v>0</v>
      </c>
      <c r="AB148" s="60">
        <v>0</v>
      </c>
      <c r="AC148" s="60">
        <v>0</v>
      </c>
      <c r="AD148" s="60">
        <v>0</v>
      </c>
      <c r="AE148" s="60">
        <v>0</v>
      </c>
      <c r="AF148" s="170" t="s">
        <v>257</v>
      </c>
      <c r="AG148" s="170">
        <v>2020</v>
      </c>
      <c r="AH148" s="63" t="s">
        <v>257</v>
      </c>
    </row>
    <row r="149" spans="1:34" ht="61.5" x14ac:dyDescent="0.85">
      <c r="A149" s="7">
        <v>1</v>
      </c>
      <c r="B149" s="59">
        <f>SUBTOTAL(103,$A$22:A149)</f>
        <v>127</v>
      </c>
      <c r="C149" s="160" t="s">
        <v>1078</v>
      </c>
      <c r="D149" s="60">
        <f t="shared" si="8"/>
        <v>1052135.68</v>
      </c>
      <c r="E149" s="163">
        <v>167591.53</v>
      </c>
      <c r="F149" s="60">
        <v>0</v>
      </c>
      <c r="G149" s="60">
        <v>0</v>
      </c>
      <c r="H149" s="163">
        <v>140858.07999999999</v>
      </c>
      <c r="I149" s="169">
        <v>737997.53</v>
      </c>
      <c r="J149" s="60">
        <v>0</v>
      </c>
      <c r="K149" s="168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0">
        <v>0</v>
      </c>
      <c r="T149" s="60">
        <v>0</v>
      </c>
      <c r="U149" s="60">
        <v>0</v>
      </c>
      <c r="V149" s="60">
        <v>0</v>
      </c>
      <c r="W149" s="60">
        <v>0</v>
      </c>
      <c r="X149" s="60">
        <v>0</v>
      </c>
      <c r="Y149" s="60">
        <v>0</v>
      </c>
      <c r="Z149" s="60">
        <v>0</v>
      </c>
      <c r="AA149" s="60">
        <v>0</v>
      </c>
      <c r="AB149" s="60">
        <v>0</v>
      </c>
      <c r="AC149" s="163">
        <v>5688.54</v>
      </c>
      <c r="AD149" s="60">
        <v>0</v>
      </c>
      <c r="AE149" s="60">
        <v>0</v>
      </c>
      <c r="AF149" s="170" t="s">
        <v>257</v>
      </c>
      <c r="AG149" s="170">
        <v>2020</v>
      </c>
      <c r="AH149" s="63">
        <v>2020</v>
      </c>
    </row>
    <row r="150" spans="1:34" ht="61.5" x14ac:dyDescent="0.85">
      <c r="A150" s="7">
        <v>1</v>
      </c>
      <c r="B150" s="59">
        <f>SUBTOTAL(103,$A$22:A150)</f>
        <v>128</v>
      </c>
      <c r="C150" s="160" t="s">
        <v>1079</v>
      </c>
      <c r="D150" s="60">
        <f t="shared" si="8"/>
        <v>1528398.16</v>
      </c>
      <c r="E150" s="60">
        <v>159966.85999999999</v>
      </c>
      <c r="F150" s="60">
        <v>287233.21999999997</v>
      </c>
      <c r="G150" s="60">
        <v>0</v>
      </c>
      <c r="H150" s="60">
        <v>144939.76999999999</v>
      </c>
      <c r="I150" s="62">
        <v>927994.59</v>
      </c>
      <c r="J150" s="60">
        <v>0</v>
      </c>
      <c r="K150" s="168">
        <v>0</v>
      </c>
      <c r="L150" s="60">
        <v>0</v>
      </c>
      <c r="M150" s="60">
        <v>0</v>
      </c>
      <c r="N150" s="60">
        <v>0</v>
      </c>
      <c r="O150" s="60">
        <v>0</v>
      </c>
      <c r="P150" s="60">
        <v>0</v>
      </c>
      <c r="Q150" s="60">
        <v>0</v>
      </c>
      <c r="R150" s="60">
        <v>0</v>
      </c>
      <c r="S150" s="60">
        <v>0</v>
      </c>
      <c r="T150" s="60">
        <v>0</v>
      </c>
      <c r="U150" s="60">
        <v>0</v>
      </c>
      <c r="V150" s="60">
        <v>0</v>
      </c>
      <c r="W150" s="60">
        <v>0</v>
      </c>
      <c r="X150" s="60">
        <v>0</v>
      </c>
      <c r="Y150" s="60">
        <v>0</v>
      </c>
      <c r="Z150" s="60">
        <v>0</v>
      </c>
      <c r="AA150" s="60">
        <v>0</v>
      </c>
      <c r="AB150" s="60">
        <v>0</v>
      </c>
      <c r="AC150" s="163">
        <v>8263.7199999999993</v>
      </c>
      <c r="AD150" s="60">
        <v>0</v>
      </c>
      <c r="AE150" s="60">
        <v>0</v>
      </c>
      <c r="AF150" s="170" t="s">
        <v>257</v>
      </c>
      <c r="AG150" s="170">
        <v>2020</v>
      </c>
      <c r="AH150" s="63">
        <v>2020</v>
      </c>
    </row>
    <row r="151" spans="1:34" ht="61.5" x14ac:dyDescent="0.85">
      <c r="A151" s="7">
        <v>1</v>
      </c>
      <c r="B151" s="59">
        <f>SUBTOTAL(103,$A$22:A151)</f>
        <v>129</v>
      </c>
      <c r="C151" s="160" t="s">
        <v>1080</v>
      </c>
      <c r="D151" s="60">
        <f t="shared" si="8"/>
        <v>285579.52000000002</v>
      </c>
      <c r="E151" s="60">
        <v>0</v>
      </c>
      <c r="F151" s="60">
        <v>0</v>
      </c>
      <c r="G151" s="60">
        <v>0</v>
      </c>
      <c r="H151" s="163">
        <v>284035.38</v>
      </c>
      <c r="I151" s="60">
        <v>0</v>
      </c>
      <c r="J151" s="60">
        <v>0</v>
      </c>
      <c r="K151" s="168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0">
        <v>0</v>
      </c>
      <c r="T151" s="60">
        <v>0</v>
      </c>
      <c r="U151" s="60">
        <v>0</v>
      </c>
      <c r="V151" s="60">
        <v>0</v>
      </c>
      <c r="W151" s="60">
        <v>0</v>
      </c>
      <c r="X151" s="60">
        <v>0</v>
      </c>
      <c r="Y151" s="60">
        <v>0</v>
      </c>
      <c r="Z151" s="60">
        <v>0</v>
      </c>
      <c r="AA151" s="60">
        <v>0</v>
      </c>
      <c r="AB151" s="60">
        <v>0</v>
      </c>
      <c r="AC151" s="169">
        <v>1544.14</v>
      </c>
      <c r="AD151" s="60">
        <v>0</v>
      </c>
      <c r="AE151" s="60">
        <v>0</v>
      </c>
      <c r="AF151" s="170" t="s">
        <v>257</v>
      </c>
      <c r="AG151" s="170">
        <v>2020</v>
      </c>
      <c r="AH151" s="63">
        <v>2020</v>
      </c>
    </row>
    <row r="152" spans="1:34" ht="61.5" x14ac:dyDescent="0.85">
      <c r="A152" s="7">
        <v>1</v>
      </c>
      <c r="B152" s="59">
        <f>SUBTOTAL(103,$A$22:A152)</f>
        <v>130</v>
      </c>
      <c r="C152" s="160" t="s">
        <v>1081</v>
      </c>
      <c r="D152" s="60">
        <f t="shared" si="8"/>
        <v>2415665.65</v>
      </c>
      <c r="E152" s="60">
        <v>0</v>
      </c>
      <c r="F152" s="60">
        <v>0</v>
      </c>
      <c r="G152" s="60">
        <v>0</v>
      </c>
      <c r="H152" s="60">
        <v>0</v>
      </c>
      <c r="I152" s="60">
        <v>0</v>
      </c>
      <c r="J152" s="60">
        <v>0</v>
      </c>
      <c r="K152" s="168">
        <v>0</v>
      </c>
      <c r="L152" s="60">
        <v>0</v>
      </c>
      <c r="M152" s="60">
        <v>619</v>
      </c>
      <c r="N152" s="60">
        <v>2350957</v>
      </c>
      <c r="O152" s="60">
        <v>0</v>
      </c>
      <c r="P152" s="60">
        <v>0</v>
      </c>
      <c r="Q152" s="60">
        <v>0</v>
      </c>
      <c r="R152" s="60">
        <v>0</v>
      </c>
      <c r="S152" s="60">
        <v>0</v>
      </c>
      <c r="T152" s="60">
        <v>0</v>
      </c>
      <c r="U152" s="60">
        <v>0</v>
      </c>
      <c r="V152" s="60">
        <v>0</v>
      </c>
      <c r="W152" s="60">
        <v>0</v>
      </c>
      <c r="X152" s="60">
        <v>0</v>
      </c>
      <c r="Y152" s="60">
        <v>0</v>
      </c>
      <c r="Z152" s="60">
        <v>0</v>
      </c>
      <c r="AA152" s="60">
        <v>0</v>
      </c>
      <c r="AB152" s="60">
        <v>0</v>
      </c>
      <c r="AC152" s="62">
        <v>12780.85</v>
      </c>
      <c r="AD152" s="60">
        <v>51927.8</v>
      </c>
      <c r="AE152" s="60">
        <v>0</v>
      </c>
      <c r="AF152" s="170">
        <v>2020</v>
      </c>
      <c r="AG152" s="170">
        <v>2020</v>
      </c>
      <c r="AH152" s="63">
        <v>2020</v>
      </c>
    </row>
    <row r="153" spans="1:34" ht="61.5" x14ac:dyDescent="0.85">
      <c r="A153" s="7">
        <v>1</v>
      </c>
      <c r="B153" s="59">
        <f>SUBTOTAL(103,$A$22:A153)</f>
        <v>131</v>
      </c>
      <c r="C153" s="160" t="s">
        <v>1206</v>
      </c>
      <c r="D153" s="60">
        <f t="shared" si="8"/>
        <v>5623327.0800000001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168">
        <v>0</v>
      </c>
      <c r="L153" s="60">
        <v>0</v>
      </c>
      <c r="M153" s="60">
        <v>1496.78</v>
      </c>
      <c r="N153" s="60">
        <v>5587289.0700000003</v>
      </c>
      <c r="O153" s="60">
        <v>0</v>
      </c>
      <c r="P153" s="60">
        <v>0</v>
      </c>
      <c r="Q153" s="60">
        <v>0</v>
      </c>
      <c r="R153" s="60">
        <v>0</v>
      </c>
      <c r="S153" s="60">
        <v>0</v>
      </c>
      <c r="T153" s="60">
        <v>0</v>
      </c>
      <c r="U153" s="60">
        <v>0</v>
      </c>
      <c r="V153" s="60">
        <v>0</v>
      </c>
      <c r="W153" s="60">
        <v>0</v>
      </c>
      <c r="X153" s="60">
        <v>0</v>
      </c>
      <c r="Y153" s="60">
        <v>0</v>
      </c>
      <c r="Z153" s="60">
        <v>0</v>
      </c>
      <c r="AA153" s="60">
        <v>0</v>
      </c>
      <c r="AB153" s="60">
        <v>0</v>
      </c>
      <c r="AC153" s="62">
        <v>36038.01</v>
      </c>
      <c r="AD153" s="60">
        <v>0</v>
      </c>
      <c r="AE153" s="60">
        <v>0</v>
      </c>
      <c r="AF153" s="170" t="s">
        <v>257</v>
      </c>
      <c r="AG153" s="170">
        <v>2020</v>
      </c>
      <c r="AH153" s="63">
        <v>2020</v>
      </c>
    </row>
    <row r="154" spans="1:34" ht="61.5" x14ac:dyDescent="0.85">
      <c r="A154" s="7">
        <v>1</v>
      </c>
      <c r="B154" s="59">
        <f>SUBTOTAL(103,$A$22:A154)</f>
        <v>132</v>
      </c>
      <c r="C154" s="160" t="s">
        <v>437</v>
      </c>
      <c r="D154" s="60">
        <f t="shared" si="8"/>
        <v>52567.68</v>
      </c>
      <c r="E154" s="60">
        <v>0</v>
      </c>
      <c r="F154" s="60">
        <v>0</v>
      </c>
      <c r="G154" s="60">
        <v>0</v>
      </c>
      <c r="H154" s="60">
        <v>0</v>
      </c>
      <c r="I154" s="60">
        <v>0</v>
      </c>
      <c r="J154" s="60">
        <v>0</v>
      </c>
      <c r="K154" s="168">
        <v>0</v>
      </c>
      <c r="L154" s="60">
        <v>0</v>
      </c>
      <c r="M154" s="60">
        <v>0</v>
      </c>
      <c r="N154" s="60">
        <v>0</v>
      </c>
      <c r="O154" s="60">
        <v>0</v>
      </c>
      <c r="P154" s="60">
        <v>0</v>
      </c>
      <c r="Q154" s="60">
        <v>0</v>
      </c>
      <c r="R154" s="60">
        <v>0</v>
      </c>
      <c r="S154" s="60">
        <v>0</v>
      </c>
      <c r="T154" s="60">
        <v>0</v>
      </c>
      <c r="U154" s="60">
        <v>0</v>
      </c>
      <c r="V154" s="60">
        <v>0</v>
      </c>
      <c r="W154" s="60">
        <v>0</v>
      </c>
      <c r="X154" s="60">
        <v>0</v>
      </c>
      <c r="Y154" s="60">
        <v>0</v>
      </c>
      <c r="Z154" s="60">
        <v>0</v>
      </c>
      <c r="AA154" s="60">
        <v>0</v>
      </c>
      <c r="AB154" s="60">
        <v>0</v>
      </c>
      <c r="AC154" s="60">
        <f>ROUND(N154*1.5%,2)</f>
        <v>0</v>
      </c>
      <c r="AD154" s="60">
        <v>52567.68</v>
      </c>
      <c r="AE154" s="60">
        <v>0</v>
      </c>
      <c r="AF154" s="170">
        <v>2020</v>
      </c>
      <c r="AG154" s="170" t="s">
        <v>257</v>
      </c>
      <c r="AH154" s="170" t="s">
        <v>257</v>
      </c>
    </row>
    <row r="155" spans="1:34" ht="61.5" x14ac:dyDescent="0.85">
      <c r="A155" s="7">
        <v>1</v>
      </c>
      <c r="B155" s="59">
        <f>SUBTOTAL(103,$A$22:A155)</f>
        <v>133</v>
      </c>
      <c r="C155" s="160" t="s">
        <v>1207</v>
      </c>
      <c r="D155" s="60">
        <f t="shared" si="8"/>
        <v>61131.360000000001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168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60">
        <v>0</v>
      </c>
      <c r="Y155" s="60">
        <v>0</v>
      </c>
      <c r="Z155" s="60">
        <v>0</v>
      </c>
      <c r="AA155" s="60">
        <v>0</v>
      </c>
      <c r="AB155" s="60">
        <v>0</v>
      </c>
      <c r="AC155" s="60">
        <f>ROUND(R155*1.5%,2)</f>
        <v>0</v>
      </c>
      <c r="AD155" s="60">
        <v>61131.360000000001</v>
      </c>
      <c r="AE155" s="60">
        <v>0</v>
      </c>
      <c r="AF155" s="170">
        <v>2020</v>
      </c>
      <c r="AG155" s="170" t="s">
        <v>257</v>
      </c>
      <c r="AH155" s="170" t="s">
        <v>257</v>
      </c>
    </row>
    <row r="156" spans="1:34" ht="61.5" x14ac:dyDescent="0.85">
      <c r="B156" s="160" t="s">
        <v>707</v>
      </c>
      <c r="C156" s="176"/>
      <c r="D156" s="177">
        <f t="shared" ref="D156:AE156" si="9">SUM(D157:D201)</f>
        <v>112751259.44999994</v>
      </c>
      <c r="E156" s="60">
        <f t="shared" si="9"/>
        <v>358075</v>
      </c>
      <c r="F156" s="60">
        <f t="shared" si="9"/>
        <v>609470</v>
      </c>
      <c r="G156" s="60">
        <f t="shared" si="9"/>
        <v>10937113.330000002</v>
      </c>
      <c r="H156" s="60">
        <f t="shared" si="9"/>
        <v>118902</v>
      </c>
      <c r="I156" s="60">
        <f t="shared" si="9"/>
        <v>228228</v>
      </c>
      <c r="J156" s="60">
        <f t="shared" si="9"/>
        <v>0</v>
      </c>
      <c r="K156" s="168">
        <f t="shared" si="9"/>
        <v>17</v>
      </c>
      <c r="L156" s="60">
        <f t="shared" si="9"/>
        <v>26506080.609999996</v>
      </c>
      <c r="M156" s="60">
        <f t="shared" si="9"/>
        <v>16535.420000000002</v>
      </c>
      <c r="N156" s="60">
        <f t="shared" si="9"/>
        <v>68407583.209999993</v>
      </c>
      <c r="O156" s="60">
        <f t="shared" si="9"/>
        <v>725.5</v>
      </c>
      <c r="P156" s="60">
        <f t="shared" si="9"/>
        <v>2136439.1800000002</v>
      </c>
      <c r="Q156" s="60">
        <f t="shared" si="9"/>
        <v>0</v>
      </c>
      <c r="R156" s="60">
        <f t="shared" si="9"/>
        <v>0</v>
      </c>
      <c r="S156" s="60">
        <f t="shared" si="9"/>
        <v>19.07</v>
      </c>
      <c r="T156" s="60">
        <f t="shared" si="9"/>
        <v>210458.31</v>
      </c>
      <c r="U156" s="60">
        <f t="shared" si="9"/>
        <v>0</v>
      </c>
      <c r="V156" s="60">
        <f t="shared" si="9"/>
        <v>0</v>
      </c>
      <c r="W156" s="60">
        <f t="shared" si="9"/>
        <v>0</v>
      </c>
      <c r="X156" s="60">
        <f t="shared" si="9"/>
        <v>0</v>
      </c>
      <c r="Y156" s="60">
        <f t="shared" si="9"/>
        <v>0</v>
      </c>
      <c r="Z156" s="60">
        <f t="shared" si="9"/>
        <v>0</v>
      </c>
      <c r="AA156" s="60">
        <f t="shared" si="9"/>
        <v>0</v>
      </c>
      <c r="AB156" s="60">
        <f t="shared" si="9"/>
        <v>0</v>
      </c>
      <c r="AC156" s="60">
        <f t="shared" si="9"/>
        <v>348764.68999999989</v>
      </c>
      <c r="AD156" s="60">
        <f t="shared" si="9"/>
        <v>2890145.1199999996</v>
      </c>
      <c r="AE156" s="60">
        <f t="shared" si="9"/>
        <v>0</v>
      </c>
      <c r="AF156" s="54" t="s">
        <v>701</v>
      </c>
      <c r="AG156" s="54" t="s">
        <v>701</v>
      </c>
      <c r="AH156" s="55" t="s">
        <v>701</v>
      </c>
    </row>
    <row r="157" spans="1:34" ht="61.5" x14ac:dyDescent="0.85">
      <c r="A157" s="7">
        <v>1</v>
      </c>
      <c r="B157" s="59">
        <f>SUBTOTAL(103,$A$22:A157)</f>
        <v>134</v>
      </c>
      <c r="C157" s="160" t="s">
        <v>366</v>
      </c>
      <c r="D157" s="60">
        <f t="shared" ref="D157:D201" si="10">E157+F157+G157+H157+I157+J157+L157+N157+P157+R157+T157+U157+V157+W157+X157+Y157+Z157+AA157+AB157+AC157+AD157+AE157</f>
        <v>2649277.08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168">
        <v>0</v>
      </c>
      <c r="L157" s="60">
        <v>0</v>
      </c>
      <c r="M157" s="60">
        <v>1108.98</v>
      </c>
      <c r="N157" s="60">
        <v>2492694.84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60">
        <v>0</v>
      </c>
      <c r="Y157" s="60">
        <v>0</v>
      </c>
      <c r="Z157" s="60">
        <v>0</v>
      </c>
      <c r="AA157" s="60">
        <v>0</v>
      </c>
      <c r="AB157" s="60">
        <v>0</v>
      </c>
      <c r="AC157" s="60">
        <v>0</v>
      </c>
      <c r="AD157" s="62">
        <v>156582.24</v>
      </c>
      <c r="AE157" s="60">
        <v>0</v>
      </c>
      <c r="AF157" s="170">
        <v>2020</v>
      </c>
      <c r="AG157" s="170">
        <v>2020</v>
      </c>
      <c r="AH157" s="63" t="s">
        <v>257</v>
      </c>
    </row>
    <row r="158" spans="1:34" ht="61.5" x14ac:dyDescent="0.85">
      <c r="A158" s="7">
        <v>1</v>
      </c>
      <c r="B158" s="59">
        <f>SUBTOTAL(103,$A$22:A158)</f>
        <v>135</v>
      </c>
      <c r="C158" s="160" t="s">
        <v>367</v>
      </c>
      <c r="D158" s="60">
        <f t="shared" si="10"/>
        <v>2599693.37</v>
      </c>
      <c r="E158" s="60">
        <v>358075</v>
      </c>
      <c r="F158" s="60">
        <v>609470</v>
      </c>
      <c r="G158" s="60">
        <v>1447301</v>
      </c>
      <c r="H158" s="60">
        <v>0</v>
      </c>
      <c r="I158" s="60">
        <v>0</v>
      </c>
      <c r="J158" s="60">
        <v>0</v>
      </c>
      <c r="K158" s="168">
        <v>0</v>
      </c>
      <c r="L158" s="60">
        <v>0</v>
      </c>
      <c r="M158" s="60">
        <v>0</v>
      </c>
      <c r="N158" s="60">
        <v>0</v>
      </c>
      <c r="O158" s="60">
        <v>0</v>
      </c>
      <c r="P158" s="60">
        <v>0</v>
      </c>
      <c r="Q158" s="60">
        <v>0</v>
      </c>
      <c r="R158" s="60">
        <v>0</v>
      </c>
      <c r="S158" s="60">
        <v>0</v>
      </c>
      <c r="T158" s="60">
        <v>0</v>
      </c>
      <c r="U158" s="60">
        <v>0</v>
      </c>
      <c r="V158" s="60">
        <v>0</v>
      </c>
      <c r="W158" s="60">
        <v>0</v>
      </c>
      <c r="X158" s="60">
        <v>0</v>
      </c>
      <c r="Y158" s="60">
        <v>0</v>
      </c>
      <c r="Z158" s="60">
        <v>0</v>
      </c>
      <c r="AA158" s="60">
        <v>0</v>
      </c>
      <c r="AB158" s="60">
        <v>0</v>
      </c>
      <c r="AC158" s="62">
        <v>11410.15</v>
      </c>
      <c r="AD158" s="62">
        <v>173437.22</v>
      </c>
      <c r="AE158" s="60">
        <v>0</v>
      </c>
      <c r="AF158" s="170">
        <v>2020</v>
      </c>
      <c r="AG158" s="170">
        <v>2020</v>
      </c>
      <c r="AH158" s="63">
        <v>2020</v>
      </c>
    </row>
    <row r="159" spans="1:34" ht="61.5" x14ac:dyDescent="0.85">
      <c r="A159" s="7">
        <v>1</v>
      </c>
      <c r="B159" s="59">
        <f>SUBTOTAL(103,$A$22:A159)</f>
        <v>136</v>
      </c>
      <c r="C159" s="160" t="s">
        <v>368</v>
      </c>
      <c r="D159" s="60">
        <f t="shared" si="10"/>
        <v>3188621.1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168">
        <v>0</v>
      </c>
      <c r="L159" s="60">
        <v>0</v>
      </c>
      <c r="M159" s="62">
        <v>600</v>
      </c>
      <c r="N159" s="62">
        <v>3110660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60">
        <v>0</v>
      </c>
      <c r="Y159" s="60">
        <v>0</v>
      </c>
      <c r="Z159" s="60">
        <v>0</v>
      </c>
      <c r="AA159" s="60">
        <v>0</v>
      </c>
      <c r="AB159" s="60">
        <v>0</v>
      </c>
      <c r="AC159" s="60">
        <v>0</v>
      </c>
      <c r="AD159" s="62">
        <v>77961.100000000006</v>
      </c>
      <c r="AE159" s="60">
        <v>0</v>
      </c>
      <c r="AF159" s="170">
        <v>2020</v>
      </c>
      <c r="AG159" s="170">
        <v>2020</v>
      </c>
      <c r="AH159" s="63" t="s">
        <v>257</v>
      </c>
    </row>
    <row r="160" spans="1:34" ht="61.5" x14ac:dyDescent="0.85">
      <c r="A160" s="7">
        <v>1</v>
      </c>
      <c r="B160" s="59">
        <f>SUBTOTAL(103,$A$22:A160)</f>
        <v>137</v>
      </c>
      <c r="C160" s="160" t="s">
        <v>369</v>
      </c>
      <c r="D160" s="60">
        <f t="shared" si="10"/>
        <v>5265781.6800000006</v>
      </c>
      <c r="E160" s="60">
        <v>0</v>
      </c>
      <c r="F160" s="60">
        <v>0</v>
      </c>
      <c r="G160" s="60">
        <v>0</v>
      </c>
      <c r="H160" s="60">
        <v>0</v>
      </c>
      <c r="I160" s="60">
        <v>0</v>
      </c>
      <c r="J160" s="60">
        <v>0</v>
      </c>
      <c r="K160" s="168">
        <v>0</v>
      </c>
      <c r="L160" s="60">
        <v>0</v>
      </c>
      <c r="M160" s="62">
        <v>1093</v>
      </c>
      <c r="N160" s="169">
        <v>5109413.2</v>
      </c>
      <c r="O160" s="60">
        <v>0</v>
      </c>
      <c r="P160" s="60">
        <v>0</v>
      </c>
      <c r="Q160" s="60">
        <v>0</v>
      </c>
      <c r="R160" s="60">
        <v>0</v>
      </c>
      <c r="S160" s="60">
        <v>0</v>
      </c>
      <c r="T160" s="60">
        <v>0</v>
      </c>
      <c r="U160" s="60">
        <v>0</v>
      </c>
      <c r="V160" s="60">
        <v>0</v>
      </c>
      <c r="W160" s="60">
        <v>0</v>
      </c>
      <c r="X160" s="60">
        <v>0</v>
      </c>
      <c r="Y160" s="60">
        <v>0</v>
      </c>
      <c r="Z160" s="60">
        <v>0</v>
      </c>
      <c r="AA160" s="60">
        <v>0</v>
      </c>
      <c r="AB160" s="60">
        <v>0</v>
      </c>
      <c r="AC160" s="169">
        <v>24141.98</v>
      </c>
      <c r="AD160" s="62">
        <v>132226.5</v>
      </c>
      <c r="AE160" s="60">
        <v>0</v>
      </c>
      <c r="AF160" s="170">
        <v>2020</v>
      </c>
      <c r="AG160" s="170">
        <v>2020</v>
      </c>
      <c r="AH160" s="63">
        <v>2020</v>
      </c>
    </row>
    <row r="161" spans="1:34" ht="61.5" x14ac:dyDescent="0.85">
      <c r="A161" s="7">
        <v>1</v>
      </c>
      <c r="B161" s="59">
        <f>SUBTOTAL(103,$A$22:A161)</f>
        <v>138</v>
      </c>
      <c r="C161" s="160" t="s">
        <v>370</v>
      </c>
      <c r="D161" s="60">
        <f t="shared" si="10"/>
        <v>5393074.9299999997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168">
        <v>0</v>
      </c>
      <c r="L161" s="60">
        <v>0</v>
      </c>
      <c r="M161" s="62">
        <v>1092.54</v>
      </c>
      <c r="N161" s="169">
        <v>5234761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60">
        <v>0</v>
      </c>
      <c r="Y161" s="60">
        <v>0</v>
      </c>
      <c r="Z161" s="60">
        <v>0</v>
      </c>
      <c r="AA161" s="60">
        <v>0</v>
      </c>
      <c r="AB161" s="60">
        <v>0</v>
      </c>
      <c r="AC161" s="169">
        <v>24734.25</v>
      </c>
      <c r="AD161" s="62">
        <v>133579.68</v>
      </c>
      <c r="AE161" s="60">
        <v>0</v>
      </c>
      <c r="AF161" s="170">
        <v>2020</v>
      </c>
      <c r="AG161" s="170">
        <v>2020</v>
      </c>
      <c r="AH161" s="63">
        <v>2020</v>
      </c>
    </row>
    <row r="162" spans="1:34" ht="61.5" x14ac:dyDescent="0.85">
      <c r="A162" s="7">
        <v>1</v>
      </c>
      <c r="B162" s="59">
        <f>SUBTOTAL(103,$A$22:A162)</f>
        <v>139</v>
      </c>
      <c r="C162" s="160" t="s">
        <v>371</v>
      </c>
      <c r="D162" s="60">
        <f t="shared" si="10"/>
        <v>4873547.67</v>
      </c>
      <c r="E162" s="60">
        <v>0</v>
      </c>
      <c r="F162" s="60">
        <v>0</v>
      </c>
      <c r="G162" s="60">
        <v>0</v>
      </c>
      <c r="H162" s="60">
        <v>0</v>
      </c>
      <c r="I162" s="60">
        <v>0</v>
      </c>
      <c r="J162" s="60">
        <v>0</v>
      </c>
      <c r="K162" s="168">
        <v>3</v>
      </c>
      <c r="L162" s="60">
        <v>4873547.67</v>
      </c>
      <c r="M162" s="60">
        <v>0</v>
      </c>
      <c r="N162" s="60">
        <v>0</v>
      </c>
      <c r="O162" s="60">
        <v>0</v>
      </c>
      <c r="P162" s="60">
        <v>0</v>
      </c>
      <c r="Q162" s="60">
        <v>0</v>
      </c>
      <c r="R162" s="60">
        <v>0</v>
      </c>
      <c r="S162" s="60">
        <v>0</v>
      </c>
      <c r="T162" s="60">
        <v>0</v>
      </c>
      <c r="U162" s="60">
        <v>0</v>
      </c>
      <c r="V162" s="60">
        <v>0</v>
      </c>
      <c r="W162" s="60">
        <v>0</v>
      </c>
      <c r="X162" s="60">
        <v>0</v>
      </c>
      <c r="Y162" s="60">
        <v>0</v>
      </c>
      <c r="Z162" s="60">
        <v>0</v>
      </c>
      <c r="AA162" s="60">
        <v>0</v>
      </c>
      <c r="AB162" s="60">
        <v>0</v>
      </c>
      <c r="AC162" s="60">
        <v>0</v>
      </c>
      <c r="AD162" s="60">
        <v>0</v>
      </c>
      <c r="AE162" s="60">
        <v>0</v>
      </c>
      <c r="AF162" s="170" t="s">
        <v>257</v>
      </c>
      <c r="AG162" s="170">
        <v>2020</v>
      </c>
      <c r="AH162" s="63" t="s">
        <v>257</v>
      </c>
    </row>
    <row r="163" spans="1:34" ht="61.5" x14ac:dyDescent="0.85">
      <c r="A163" s="7">
        <v>1</v>
      </c>
      <c r="B163" s="59">
        <f>SUBTOTAL(103,$A$22:A163)</f>
        <v>140</v>
      </c>
      <c r="C163" s="160" t="s">
        <v>372</v>
      </c>
      <c r="D163" s="60">
        <f t="shared" si="10"/>
        <v>2215482.85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168">
        <v>0</v>
      </c>
      <c r="L163" s="60">
        <v>0</v>
      </c>
      <c r="M163" s="60">
        <v>443.8</v>
      </c>
      <c r="N163" s="60">
        <v>2215482.85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60">
        <v>0</v>
      </c>
      <c r="Z163" s="60">
        <v>0</v>
      </c>
      <c r="AA163" s="60">
        <v>0</v>
      </c>
      <c r="AB163" s="60">
        <v>0</v>
      </c>
      <c r="AC163" s="60">
        <v>0</v>
      </c>
      <c r="AD163" s="60">
        <v>0</v>
      </c>
      <c r="AE163" s="60">
        <v>0</v>
      </c>
      <c r="AF163" s="170" t="s">
        <v>257</v>
      </c>
      <c r="AG163" s="170">
        <v>2020</v>
      </c>
      <c r="AH163" s="63" t="s">
        <v>257</v>
      </c>
    </row>
    <row r="164" spans="1:34" ht="61.5" x14ac:dyDescent="0.85">
      <c r="A164" s="7">
        <v>1</v>
      </c>
      <c r="B164" s="59">
        <f>SUBTOTAL(103,$A$22:A164)</f>
        <v>141</v>
      </c>
      <c r="C164" s="160" t="s">
        <v>373</v>
      </c>
      <c r="D164" s="60">
        <f t="shared" si="10"/>
        <v>4885396.4400000004</v>
      </c>
      <c r="E164" s="60">
        <v>0</v>
      </c>
      <c r="F164" s="60">
        <v>0</v>
      </c>
      <c r="G164" s="60">
        <v>0</v>
      </c>
      <c r="H164" s="60">
        <v>0</v>
      </c>
      <c r="I164" s="60">
        <v>0</v>
      </c>
      <c r="J164" s="60">
        <v>0</v>
      </c>
      <c r="K164" s="168">
        <v>3</v>
      </c>
      <c r="L164" s="60">
        <v>4885396.4400000004</v>
      </c>
      <c r="M164" s="60">
        <v>0</v>
      </c>
      <c r="N164" s="60">
        <v>0</v>
      </c>
      <c r="O164" s="60">
        <v>0</v>
      </c>
      <c r="P164" s="60">
        <v>0</v>
      </c>
      <c r="Q164" s="60">
        <v>0</v>
      </c>
      <c r="R164" s="60">
        <v>0</v>
      </c>
      <c r="S164" s="60">
        <v>0</v>
      </c>
      <c r="T164" s="60">
        <v>0</v>
      </c>
      <c r="U164" s="60">
        <v>0</v>
      </c>
      <c r="V164" s="60">
        <v>0</v>
      </c>
      <c r="W164" s="60">
        <v>0</v>
      </c>
      <c r="X164" s="60">
        <v>0</v>
      </c>
      <c r="Y164" s="60">
        <v>0</v>
      </c>
      <c r="Z164" s="60">
        <v>0</v>
      </c>
      <c r="AA164" s="60">
        <v>0</v>
      </c>
      <c r="AB164" s="60">
        <v>0</v>
      </c>
      <c r="AC164" s="60">
        <v>0</v>
      </c>
      <c r="AD164" s="60">
        <v>0</v>
      </c>
      <c r="AE164" s="60">
        <v>0</v>
      </c>
      <c r="AF164" s="170" t="s">
        <v>257</v>
      </c>
      <c r="AG164" s="170">
        <v>2020</v>
      </c>
      <c r="AH164" s="63" t="s">
        <v>257</v>
      </c>
    </row>
    <row r="165" spans="1:34" ht="61.5" x14ac:dyDescent="0.85">
      <c r="A165" s="7">
        <v>1</v>
      </c>
      <c r="B165" s="59">
        <f>SUBTOTAL(103,$A$22:A165)</f>
        <v>142</v>
      </c>
      <c r="C165" s="160" t="s">
        <v>374</v>
      </c>
      <c r="D165" s="60">
        <f t="shared" si="10"/>
        <v>7884254.25</v>
      </c>
      <c r="E165" s="60">
        <v>0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168">
        <v>0</v>
      </c>
      <c r="L165" s="60">
        <v>0</v>
      </c>
      <c r="M165" s="58">
        <v>1503.05</v>
      </c>
      <c r="N165" s="58">
        <v>7687845</v>
      </c>
      <c r="O165" s="60">
        <v>0</v>
      </c>
      <c r="P165" s="60">
        <v>0</v>
      </c>
      <c r="Q165" s="60">
        <v>0</v>
      </c>
      <c r="R165" s="60">
        <v>0</v>
      </c>
      <c r="S165" s="60">
        <v>0</v>
      </c>
      <c r="T165" s="60">
        <v>0</v>
      </c>
      <c r="U165" s="60">
        <v>0</v>
      </c>
      <c r="V165" s="60">
        <v>0</v>
      </c>
      <c r="W165" s="60">
        <v>0</v>
      </c>
      <c r="X165" s="60">
        <v>0</v>
      </c>
      <c r="Y165" s="60">
        <v>0</v>
      </c>
      <c r="Z165" s="60">
        <v>0</v>
      </c>
      <c r="AA165" s="60">
        <v>0</v>
      </c>
      <c r="AB165" s="60">
        <v>0</v>
      </c>
      <c r="AC165" s="62">
        <v>36325.07</v>
      </c>
      <c r="AD165" s="62">
        <v>160084.18</v>
      </c>
      <c r="AE165" s="60">
        <v>0</v>
      </c>
      <c r="AF165" s="170">
        <v>2020</v>
      </c>
      <c r="AG165" s="170">
        <v>2020</v>
      </c>
      <c r="AH165" s="63">
        <v>2020</v>
      </c>
    </row>
    <row r="166" spans="1:34" ht="61.5" x14ac:dyDescent="0.85">
      <c r="A166" s="7">
        <v>1</v>
      </c>
      <c r="B166" s="59">
        <f>SUBTOTAL(103,$A$22:A166)</f>
        <v>143</v>
      </c>
      <c r="C166" s="160" t="s">
        <v>375</v>
      </c>
      <c r="D166" s="60">
        <f t="shared" si="10"/>
        <v>2908813.4299999997</v>
      </c>
      <c r="E166" s="60">
        <v>0</v>
      </c>
      <c r="F166" s="60">
        <v>0</v>
      </c>
      <c r="G166" s="60">
        <v>0</v>
      </c>
      <c r="H166" s="60">
        <v>0</v>
      </c>
      <c r="I166" s="60">
        <v>0</v>
      </c>
      <c r="J166" s="60">
        <v>0</v>
      </c>
      <c r="K166" s="168">
        <v>0</v>
      </c>
      <c r="L166" s="60">
        <v>0</v>
      </c>
      <c r="M166" s="58">
        <v>935.22</v>
      </c>
      <c r="N166" s="178">
        <v>2738778.69</v>
      </c>
      <c r="O166" s="60">
        <v>0</v>
      </c>
      <c r="P166" s="60">
        <v>0</v>
      </c>
      <c r="Q166" s="60">
        <v>0</v>
      </c>
      <c r="R166" s="60">
        <v>0</v>
      </c>
      <c r="S166" s="60">
        <v>0</v>
      </c>
      <c r="T166" s="60">
        <v>0</v>
      </c>
      <c r="U166" s="60">
        <v>0</v>
      </c>
      <c r="V166" s="60">
        <v>0</v>
      </c>
      <c r="W166" s="60">
        <v>0</v>
      </c>
      <c r="X166" s="60">
        <v>0</v>
      </c>
      <c r="Y166" s="60">
        <v>0</v>
      </c>
      <c r="Z166" s="60">
        <v>0</v>
      </c>
      <c r="AA166" s="60">
        <v>0</v>
      </c>
      <c r="AB166" s="60">
        <v>0</v>
      </c>
      <c r="AC166" s="62">
        <v>12940.73</v>
      </c>
      <c r="AD166" s="62">
        <v>157094.01</v>
      </c>
      <c r="AE166" s="60">
        <v>0</v>
      </c>
      <c r="AF166" s="170">
        <v>2020</v>
      </c>
      <c r="AG166" s="170">
        <v>2020</v>
      </c>
      <c r="AH166" s="63">
        <v>2020</v>
      </c>
    </row>
    <row r="167" spans="1:34" ht="61.5" x14ac:dyDescent="0.85">
      <c r="A167" s="7">
        <v>1</v>
      </c>
      <c r="B167" s="59">
        <f>SUBTOTAL(103,$A$22:A167)</f>
        <v>144</v>
      </c>
      <c r="C167" s="160" t="s">
        <v>376</v>
      </c>
      <c r="D167" s="60">
        <f t="shared" si="10"/>
        <v>2189551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168">
        <v>0</v>
      </c>
      <c r="L167" s="60">
        <v>0</v>
      </c>
      <c r="M167" s="58">
        <v>473</v>
      </c>
      <c r="N167" s="58">
        <v>2189551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60">
        <v>0</v>
      </c>
      <c r="Y167" s="60">
        <v>0</v>
      </c>
      <c r="Z167" s="60">
        <v>0</v>
      </c>
      <c r="AA167" s="60">
        <v>0</v>
      </c>
      <c r="AB167" s="60">
        <v>0</v>
      </c>
      <c r="AC167" s="60">
        <v>0</v>
      </c>
      <c r="AD167" s="60">
        <v>0</v>
      </c>
      <c r="AE167" s="60">
        <v>0</v>
      </c>
      <c r="AF167" s="170" t="s">
        <v>257</v>
      </c>
      <c r="AG167" s="170">
        <v>2020</v>
      </c>
      <c r="AH167" s="63" t="s">
        <v>257</v>
      </c>
    </row>
    <row r="168" spans="1:34" ht="61.5" x14ac:dyDescent="0.85">
      <c r="A168" s="7">
        <v>1</v>
      </c>
      <c r="B168" s="59">
        <f>SUBTOTAL(103,$A$22:A168)</f>
        <v>145</v>
      </c>
      <c r="C168" s="160" t="s">
        <v>377</v>
      </c>
      <c r="D168" s="60">
        <f t="shared" si="10"/>
        <v>2855710.47</v>
      </c>
      <c r="E168" s="60">
        <v>0</v>
      </c>
      <c r="F168" s="60">
        <v>0</v>
      </c>
      <c r="G168" s="60">
        <v>0</v>
      </c>
      <c r="H168" s="60">
        <v>0</v>
      </c>
      <c r="I168" s="60">
        <v>0</v>
      </c>
      <c r="J168" s="60">
        <v>0</v>
      </c>
      <c r="K168" s="168">
        <v>0</v>
      </c>
      <c r="L168" s="60">
        <v>0</v>
      </c>
      <c r="M168" s="58">
        <v>550</v>
      </c>
      <c r="N168" s="58">
        <v>2777462</v>
      </c>
      <c r="O168" s="60">
        <v>0</v>
      </c>
      <c r="P168" s="60">
        <v>0</v>
      </c>
      <c r="Q168" s="60">
        <v>0</v>
      </c>
      <c r="R168" s="60">
        <v>0</v>
      </c>
      <c r="S168" s="60">
        <v>0</v>
      </c>
      <c r="T168" s="60">
        <v>0</v>
      </c>
      <c r="U168" s="60">
        <v>0</v>
      </c>
      <c r="V168" s="60">
        <v>0</v>
      </c>
      <c r="W168" s="60">
        <v>0</v>
      </c>
      <c r="X168" s="60">
        <v>0</v>
      </c>
      <c r="Y168" s="60">
        <v>0</v>
      </c>
      <c r="Z168" s="60">
        <v>0</v>
      </c>
      <c r="AA168" s="60">
        <v>0</v>
      </c>
      <c r="AB168" s="60">
        <v>0</v>
      </c>
      <c r="AC168" s="60">
        <v>0</v>
      </c>
      <c r="AD168" s="62">
        <v>78248.47</v>
      </c>
      <c r="AE168" s="60">
        <v>0</v>
      </c>
      <c r="AF168" s="170">
        <v>2020</v>
      </c>
      <c r="AG168" s="170">
        <v>2020</v>
      </c>
      <c r="AH168" s="63" t="s">
        <v>257</v>
      </c>
    </row>
    <row r="169" spans="1:34" ht="61.5" x14ac:dyDescent="0.85">
      <c r="A169" s="7">
        <v>1</v>
      </c>
      <c r="B169" s="59">
        <f>SUBTOTAL(103,$A$22:A169)</f>
        <v>146</v>
      </c>
      <c r="C169" s="160" t="s">
        <v>378</v>
      </c>
      <c r="D169" s="60">
        <f t="shared" si="10"/>
        <v>3945816.73</v>
      </c>
      <c r="E169" s="60">
        <v>0</v>
      </c>
      <c r="F169" s="60">
        <v>0</v>
      </c>
      <c r="G169" s="62">
        <v>3842425</v>
      </c>
      <c r="H169" s="60">
        <v>0</v>
      </c>
      <c r="I169" s="60">
        <v>0</v>
      </c>
      <c r="J169" s="60">
        <v>0</v>
      </c>
      <c r="K169" s="168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60">
        <v>0</v>
      </c>
      <c r="Y169" s="60">
        <v>0</v>
      </c>
      <c r="Z169" s="60">
        <v>0</v>
      </c>
      <c r="AA169" s="60">
        <v>0</v>
      </c>
      <c r="AB169" s="60">
        <v>0</v>
      </c>
      <c r="AC169" s="62">
        <v>18155.46</v>
      </c>
      <c r="AD169" s="62">
        <v>85236.27</v>
      </c>
      <c r="AE169" s="60">
        <v>0</v>
      </c>
      <c r="AF169" s="170">
        <v>2020</v>
      </c>
      <c r="AG169" s="170">
        <v>2020</v>
      </c>
      <c r="AH169" s="63">
        <v>2020</v>
      </c>
    </row>
    <row r="170" spans="1:34" ht="61.5" x14ac:dyDescent="0.85">
      <c r="A170" s="7">
        <v>1</v>
      </c>
      <c r="B170" s="59">
        <f>SUBTOTAL(103,$A$22:A170)</f>
        <v>147</v>
      </c>
      <c r="C170" s="160" t="s">
        <v>189</v>
      </c>
      <c r="D170" s="60">
        <f t="shared" si="10"/>
        <v>2766905.7600000002</v>
      </c>
      <c r="E170" s="60">
        <v>0</v>
      </c>
      <c r="F170" s="60">
        <v>0</v>
      </c>
      <c r="G170" s="60">
        <v>0</v>
      </c>
      <c r="H170" s="60">
        <v>0</v>
      </c>
      <c r="I170" s="60">
        <v>0</v>
      </c>
      <c r="J170" s="60">
        <v>0</v>
      </c>
      <c r="K170" s="168">
        <v>0</v>
      </c>
      <c r="L170" s="60">
        <v>0</v>
      </c>
      <c r="M170" s="62">
        <v>1190.4000000000001</v>
      </c>
      <c r="N170" s="62">
        <v>2598303.89</v>
      </c>
      <c r="O170" s="60">
        <v>0</v>
      </c>
      <c r="P170" s="60">
        <v>0</v>
      </c>
      <c r="Q170" s="60">
        <v>0</v>
      </c>
      <c r="R170" s="60">
        <v>0</v>
      </c>
      <c r="S170" s="60">
        <v>0</v>
      </c>
      <c r="T170" s="60">
        <v>0</v>
      </c>
      <c r="U170" s="60">
        <v>0</v>
      </c>
      <c r="V170" s="60">
        <v>0</v>
      </c>
      <c r="W170" s="60">
        <v>0</v>
      </c>
      <c r="X170" s="60">
        <v>0</v>
      </c>
      <c r="Y170" s="60">
        <v>0</v>
      </c>
      <c r="Z170" s="60">
        <v>0</v>
      </c>
      <c r="AA170" s="60">
        <v>0</v>
      </c>
      <c r="AB170" s="60">
        <v>0</v>
      </c>
      <c r="AC170" s="62">
        <v>12276.99</v>
      </c>
      <c r="AD170" s="62">
        <v>156324.88</v>
      </c>
      <c r="AE170" s="60">
        <v>0</v>
      </c>
      <c r="AF170" s="170">
        <v>2020</v>
      </c>
      <c r="AG170" s="170">
        <v>2020</v>
      </c>
      <c r="AH170" s="63">
        <v>2020</v>
      </c>
    </row>
    <row r="171" spans="1:34" ht="61.5" x14ac:dyDescent="0.85">
      <c r="A171" s="7">
        <v>1</v>
      </c>
      <c r="B171" s="59">
        <f>SUBTOTAL(103,$A$22:A171)</f>
        <v>148</v>
      </c>
      <c r="C171" s="160" t="s">
        <v>379</v>
      </c>
      <c r="D171" s="60">
        <f t="shared" si="10"/>
        <v>1828369.47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168">
        <v>0</v>
      </c>
      <c r="L171" s="60">
        <v>0</v>
      </c>
      <c r="M171" s="62">
        <v>342</v>
      </c>
      <c r="N171" s="62">
        <v>1828369.47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170" t="s">
        <v>257</v>
      </c>
      <c r="AG171" s="170">
        <v>2020</v>
      </c>
      <c r="AH171" s="63" t="s">
        <v>257</v>
      </c>
    </row>
    <row r="172" spans="1:34" ht="61.5" x14ac:dyDescent="0.85">
      <c r="A172" s="7">
        <v>1</v>
      </c>
      <c r="B172" s="59">
        <f>SUBTOTAL(103,$A$22:A172)</f>
        <v>149</v>
      </c>
      <c r="C172" s="160" t="s">
        <v>380</v>
      </c>
      <c r="D172" s="60">
        <f t="shared" si="10"/>
        <v>9316893.9800000004</v>
      </c>
      <c r="E172" s="60">
        <v>0</v>
      </c>
      <c r="F172" s="60">
        <v>0</v>
      </c>
      <c r="G172" s="60">
        <v>0</v>
      </c>
      <c r="H172" s="60">
        <v>0</v>
      </c>
      <c r="I172" s="60">
        <v>0</v>
      </c>
      <c r="J172" s="60">
        <v>0</v>
      </c>
      <c r="K172" s="168">
        <v>0</v>
      </c>
      <c r="L172" s="60">
        <v>0</v>
      </c>
      <c r="M172" s="62">
        <v>2014</v>
      </c>
      <c r="N172" s="62">
        <v>9115520</v>
      </c>
      <c r="O172" s="60">
        <v>0</v>
      </c>
      <c r="P172" s="60">
        <v>0</v>
      </c>
      <c r="Q172" s="60">
        <v>0</v>
      </c>
      <c r="R172" s="60">
        <v>0</v>
      </c>
      <c r="S172" s="60">
        <v>0</v>
      </c>
      <c r="T172" s="60">
        <v>0</v>
      </c>
      <c r="U172" s="60">
        <v>0</v>
      </c>
      <c r="V172" s="60">
        <v>0</v>
      </c>
      <c r="W172" s="60">
        <v>0</v>
      </c>
      <c r="X172" s="60">
        <v>0</v>
      </c>
      <c r="Y172" s="60">
        <v>0</v>
      </c>
      <c r="Z172" s="60">
        <v>0</v>
      </c>
      <c r="AA172" s="60">
        <v>0</v>
      </c>
      <c r="AB172" s="60">
        <v>0</v>
      </c>
      <c r="AC172" s="62">
        <v>43070.83</v>
      </c>
      <c r="AD172" s="62">
        <v>158303.15</v>
      </c>
      <c r="AE172" s="60">
        <v>0</v>
      </c>
      <c r="AF172" s="170">
        <v>2020</v>
      </c>
      <c r="AG172" s="170">
        <v>2020</v>
      </c>
      <c r="AH172" s="63">
        <v>2020</v>
      </c>
    </row>
    <row r="173" spans="1:34" ht="61.5" x14ac:dyDescent="0.85">
      <c r="A173" s="7">
        <v>1</v>
      </c>
      <c r="B173" s="59">
        <f>SUBTOTAL(103,$A$22:A173)</f>
        <v>150</v>
      </c>
      <c r="C173" s="160" t="s">
        <v>1082</v>
      </c>
      <c r="D173" s="60">
        <f t="shared" si="10"/>
        <v>1472380.11</v>
      </c>
      <c r="E173" s="60">
        <v>0</v>
      </c>
      <c r="F173" s="60">
        <v>0</v>
      </c>
      <c r="G173" s="62">
        <v>1103598</v>
      </c>
      <c r="H173" s="62">
        <v>118902</v>
      </c>
      <c r="I173" s="62">
        <v>228228</v>
      </c>
      <c r="J173" s="60">
        <v>0</v>
      </c>
      <c r="K173" s="168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60">
        <v>0</v>
      </c>
      <c r="Y173" s="60">
        <v>0</v>
      </c>
      <c r="Z173" s="60">
        <v>0</v>
      </c>
      <c r="AA173" s="60">
        <v>0</v>
      </c>
      <c r="AB173" s="60">
        <v>0</v>
      </c>
      <c r="AC173" s="60">
        <v>21652.11</v>
      </c>
      <c r="AD173" s="60">
        <v>0</v>
      </c>
      <c r="AE173" s="60">
        <v>0</v>
      </c>
      <c r="AF173" s="170" t="s">
        <v>257</v>
      </c>
      <c r="AG173" s="170">
        <v>2020</v>
      </c>
      <c r="AH173" s="63">
        <v>2020</v>
      </c>
    </row>
    <row r="174" spans="1:34" ht="61.5" x14ac:dyDescent="0.85">
      <c r="A174" s="7">
        <v>1</v>
      </c>
      <c r="B174" s="59">
        <f>SUBTOTAL(103,$A$22:A174)</f>
        <v>151</v>
      </c>
      <c r="C174" s="160" t="s">
        <v>1083</v>
      </c>
      <c r="D174" s="60">
        <f t="shared" si="10"/>
        <v>1557950.91</v>
      </c>
      <c r="E174" s="60">
        <v>0</v>
      </c>
      <c r="F174" s="60">
        <v>0</v>
      </c>
      <c r="G174" s="60">
        <v>0</v>
      </c>
      <c r="H174" s="60">
        <v>0</v>
      </c>
      <c r="I174" s="60">
        <v>0</v>
      </c>
      <c r="J174" s="60">
        <v>0</v>
      </c>
      <c r="K174" s="168">
        <v>0</v>
      </c>
      <c r="L174" s="60">
        <v>0</v>
      </c>
      <c r="M174" s="60">
        <v>331</v>
      </c>
      <c r="N174" s="175">
        <v>1549352</v>
      </c>
      <c r="O174" s="60">
        <v>0</v>
      </c>
      <c r="P174" s="60">
        <v>0</v>
      </c>
      <c r="Q174" s="60">
        <v>0</v>
      </c>
      <c r="R174" s="60">
        <v>0</v>
      </c>
      <c r="S174" s="60">
        <v>0</v>
      </c>
      <c r="T174" s="60">
        <v>0</v>
      </c>
      <c r="U174" s="60">
        <v>0</v>
      </c>
      <c r="V174" s="60">
        <v>0</v>
      </c>
      <c r="W174" s="60">
        <v>0</v>
      </c>
      <c r="X174" s="60">
        <v>0</v>
      </c>
      <c r="Y174" s="60">
        <v>0</v>
      </c>
      <c r="Z174" s="60">
        <v>0</v>
      </c>
      <c r="AA174" s="60">
        <v>0</v>
      </c>
      <c r="AB174" s="60">
        <v>0</v>
      </c>
      <c r="AC174" s="62">
        <v>8598.91</v>
      </c>
      <c r="AD174" s="60">
        <v>0</v>
      </c>
      <c r="AE174" s="60">
        <v>0</v>
      </c>
      <c r="AF174" s="170" t="s">
        <v>257</v>
      </c>
      <c r="AG174" s="170">
        <v>2020</v>
      </c>
      <c r="AH174" s="63">
        <v>2020</v>
      </c>
    </row>
    <row r="175" spans="1:34" ht="61.5" x14ac:dyDescent="0.85">
      <c r="A175" s="7">
        <v>1</v>
      </c>
      <c r="B175" s="59">
        <f>SUBTOTAL(103,$A$22:A175)</f>
        <v>152</v>
      </c>
      <c r="C175" s="160" t="s">
        <v>1084</v>
      </c>
      <c r="D175" s="60">
        <f t="shared" si="10"/>
        <v>2712861.94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168">
        <v>2</v>
      </c>
      <c r="L175" s="60">
        <v>2712861.94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170" t="s">
        <v>257</v>
      </c>
      <c r="AG175" s="170">
        <v>2020</v>
      </c>
      <c r="AH175" s="63" t="s">
        <v>257</v>
      </c>
    </row>
    <row r="176" spans="1:34" ht="61.5" x14ac:dyDescent="0.85">
      <c r="A176" s="7">
        <v>1</v>
      </c>
      <c r="B176" s="59">
        <f>SUBTOTAL(103,$A$22:A176)</f>
        <v>153</v>
      </c>
      <c r="C176" s="160" t="s">
        <v>1085</v>
      </c>
      <c r="D176" s="60">
        <f t="shared" si="10"/>
        <v>211626.35</v>
      </c>
      <c r="E176" s="60">
        <v>0</v>
      </c>
      <c r="F176" s="60">
        <v>0</v>
      </c>
      <c r="G176" s="60">
        <v>0</v>
      </c>
      <c r="H176" s="60">
        <v>0</v>
      </c>
      <c r="I176" s="60">
        <v>0</v>
      </c>
      <c r="J176" s="60">
        <v>0</v>
      </c>
      <c r="K176" s="168">
        <v>0</v>
      </c>
      <c r="L176" s="60">
        <v>0</v>
      </c>
      <c r="M176" s="60">
        <v>0</v>
      </c>
      <c r="N176" s="60">
        <v>0</v>
      </c>
      <c r="O176" s="60">
        <v>0</v>
      </c>
      <c r="P176" s="60">
        <v>0</v>
      </c>
      <c r="Q176" s="60">
        <v>0</v>
      </c>
      <c r="R176" s="60">
        <v>0</v>
      </c>
      <c r="S176" s="60">
        <v>19.07</v>
      </c>
      <c r="T176" s="163">
        <v>210458.31</v>
      </c>
      <c r="U176" s="60">
        <v>0</v>
      </c>
      <c r="V176" s="60">
        <v>0</v>
      </c>
      <c r="W176" s="60">
        <v>0</v>
      </c>
      <c r="X176" s="60">
        <v>0</v>
      </c>
      <c r="Y176" s="60">
        <v>0</v>
      </c>
      <c r="Z176" s="60">
        <v>0</v>
      </c>
      <c r="AA176" s="60">
        <v>0</v>
      </c>
      <c r="AB176" s="60">
        <v>0</v>
      </c>
      <c r="AC176" s="169">
        <v>1168.04</v>
      </c>
      <c r="AD176" s="60">
        <v>0</v>
      </c>
      <c r="AE176" s="60">
        <v>0</v>
      </c>
      <c r="AF176" s="170" t="s">
        <v>257</v>
      </c>
      <c r="AG176" s="170">
        <v>2020</v>
      </c>
      <c r="AH176" s="63">
        <v>2020</v>
      </c>
    </row>
    <row r="177" spans="1:34" ht="61.5" x14ac:dyDescent="0.85">
      <c r="A177" s="7">
        <v>1</v>
      </c>
      <c r="B177" s="59">
        <f>SUBTOTAL(103,$A$22:A177)</f>
        <v>154</v>
      </c>
      <c r="C177" s="160" t="s">
        <v>1086</v>
      </c>
      <c r="D177" s="60">
        <f t="shared" si="10"/>
        <v>2148296.4200000004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168">
        <v>0</v>
      </c>
      <c r="L177" s="60">
        <v>0</v>
      </c>
      <c r="M177" s="60">
        <v>0</v>
      </c>
      <c r="N177" s="60">
        <v>0</v>
      </c>
      <c r="O177" s="62">
        <v>725.5</v>
      </c>
      <c r="P177" s="62">
        <v>2136439.1800000002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60">
        <v>0</v>
      </c>
      <c r="Y177" s="60">
        <v>0</v>
      </c>
      <c r="Z177" s="60">
        <v>0</v>
      </c>
      <c r="AA177" s="60">
        <v>0</v>
      </c>
      <c r="AB177" s="60">
        <v>0</v>
      </c>
      <c r="AC177" s="62">
        <v>11857.24</v>
      </c>
      <c r="AD177" s="60">
        <v>0</v>
      </c>
      <c r="AE177" s="60">
        <v>0</v>
      </c>
      <c r="AF177" s="170" t="s">
        <v>257</v>
      </c>
      <c r="AG177" s="170">
        <v>2020</v>
      </c>
      <c r="AH177" s="63">
        <v>2020</v>
      </c>
    </row>
    <row r="178" spans="1:34" ht="61.5" x14ac:dyDescent="0.85">
      <c r="A178" s="7">
        <v>1</v>
      </c>
      <c r="B178" s="59">
        <f>SUBTOTAL(103,$A$22:A178)</f>
        <v>155</v>
      </c>
      <c r="C178" s="160" t="s">
        <v>1087</v>
      </c>
      <c r="D178" s="60">
        <f t="shared" si="10"/>
        <v>2712861.94</v>
      </c>
      <c r="E178" s="60">
        <v>0</v>
      </c>
      <c r="F178" s="60">
        <v>0</v>
      </c>
      <c r="G178" s="60">
        <v>0</v>
      </c>
      <c r="H178" s="60">
        <v>0</v>
      </c>
      <c r="I178" s="60">
        <v>0</v>
      </c>
      <c r="J178" s="60">
        <v>0</v>
      </c>
      <c r="K178" s="168">
        <v>2</v>
      </c>
      <c r="L178" s="60">
        <v>2712861.94</v>
      </c>
      <c r="M178" s="60">
        <v>0</v>
      </c>
      <c r="N178" s="60">
        <v>0</v>
      </c>
      <c r="O178" s="60">
        <v>0</v>
      </c>
      <c r="P178" s="60">
        <v>0</v>
      </c>
      <c r="Q178" s="60">
        <v>0</v>
      </c>
      <c r="R178" s="60">
        <v>0</v>
      </c>
      <c r="S178" s="60">
        <v>0</v>
      </c>
      <c r="T178" s="60">
        <v>0</v>
      </c>
      <c r="U178" s="60">
        <v>0</v>
      </c>
      <c r="V178" s="60">
        <v>0</v>
      </c>
      <c r="W178" s="60">
        <v>0</v>
      </c>
      <c r="X178" s="60">
        <v>0</v>
      </c>
      <c r="Y178" s="60">
        <v>0</v>
      </c>
      <c r="Z178" s="60">
        <v>0</v>
      </c>
      <c r="AA178" s="60">
        <v>0</v>
      </c>
      <c r="AB178" s="60">
        <v>0</v>
      </c>
      <c r="AC178" s="60">
        <v>0</v>
      </c>
      <c r="AD178" s="60">
        <v>0</v>
      </c>
      <c r="AE178" s="60">
        <v>0</v>
      </c>
      <c r="AF178" s="170" t="s">
        <v>257</v>
      </c>
      <c r="AG178" s="170">
        <v>2020</v>
      </c>
      <c r="AH178" s="63" t="s">
        <v>257</v>
      </c>
    </row>
    <row r="179" spans="1:34" ht="61.5" x14ac:dyDescent="0.85">
      <c r="A179" s="7">
        <v>1</v>
      </c>
      <c r="B179" s="59">
        <f>SUBTOTAL(103,$A$22:A179)</f>
        <v>156</v>
      </c>
      <c r="C179" s="160" t="s">
        <v>1088</v>
      </c>
      <c r="D179" s="60">
        <f t="shared" si="10"/>
        <v>2237682.5499999998</v>
      </c>
      <c r="E179" s="60">
        <v>0</v>
      </c>
      <c r="F179" s="60">
        <v>0</v>
      </c>
      <c r="G179" s="62">
        <v>2225331.96</v>
      </c>
      <c r="H179" s="60">
        <v>0</v>
      </c>
      <c r="I179" s="60">
        <v>0</v>
      </c>
      <c r="J179" s="60">
        <v>0</v>
      </c>
      <c r="K179" s="168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60">
        <v>0</v>
      </c>
      <c r="Y179" s="60">
        <v>0</v>
      </c>
      <c r="Z179" s="60">
        <v>0</v>
      </c>
      <c r="AA179" s="60">
        <v>0</v>
      </c>
      <c r="AB179" s="60">
        <v>0</v>
      </c>
      <c r="AC179" s="62">
        <v>12350.59</v>
      </c>
      <c r="AD179" s="60">
        <v>0</v>
      </c>
      <c r="AE179" s="60">
        <v>0</v>
      </c>
      <c r="AF179" s="170" t="s">
        <v>257</v>
      </c>
      <c r="AG179" s="170">
        <v>2020</v>
      </c>
      <c r="AH179" s="63">
        <v>2020</v>
      </c>
    </row>
    <row r="180" spans="1:34" ht="61.5" x14ac:dyDescent="0.85">
      <c r="A180" s="7">
        <v>1</v>
      </c>
      <c r="B180" s="59">
        <f>SUBTOTAL(103,$A$22:A180)</f>
        <v>157</v>
      </c>
      <c r="C180" s="160" t="s">
        <v>1089</v>
      </c>
      <c r="D180" s="60">
        <f t="shared" si="10"/>
        <v>2418873.6</v>
      </c>
      <c r="E180" s="60">
        <v>0</v>
      </c>
      <c r="F180" s="60">
        <v>0</v>
      </c>
      <c r="G180" s="60">
        <v>0</v>
      </c>
      <c r="H180" s="60">
        <v>0</v>
      </c>
      <c r="I180" s="60">
        <v>0</v>
      </c>
      <c r="J180" s="60">
        <v>0</v>
      </c>
      <c r="K180" s="168">
        <v>0</v>
      </c>
      <c r="L180" s="60">
        <v>0</v>
      </c>
      <c r="M180" s="62">
        <v>494.53</v>
      </c>
      <c r="N180" s="169">
        <v>2337937.12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60">
        <v>0</v>
      </c>
      <c r="X180" s="60">
        <v>0</v>
      </c>
      <c r="Y180" s="60">
        <v>0</v>
      </c>
      <c r="Z180" s="60">
        <v>0</v>
      </c>
      <c r="AA180" s="60">
        <v>0</v>
      </c>
      <c r="AB180" s="60">
        <v>0</v>
      </c>
      <c r="AC180" s="169">
        <v>12975.55</v>
      </c>
      <c r="AD180" s="62">
        <v>67960.929999999993</v>
      </c>
      <c r="AE180" s="60">
        <v>0</v>
      </c>
      <c r="AF180" s="170">
        <v>2020</v>
      </c>
      <c r="AG180" s="170">
        <v>2020</v>
      </c>
      <c r="AH180" s="63">
        <v>2020</v>
      </c>
    </row>
    <row r="181" spans="1:34" ht="61.5" x14ac:dyDescent="0.85">
      <c r="A181" s="7">
        <v>1</v>
      </c>
      <c r="B181" s="59">
        <f>SUBTOTAL(103,$A$22:A181)</f>
        <v>158</v>
      </c>
      <c r="C181" s="160" t="s">
        <v>1092</v>
      </c>
      <c r="D181" s="60">
        <f t="shared" si="10"/>
        <v>1640571.49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179">
        <v>1</v>
      </c>
      <c r="L181" s="175">
        <v>1640571.49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60">
        <v>0</v>
      </c>
      <c r="Y181" s="60">
        <v>0</v>
      </c>
      <c r="Z181" s="60">
        <v>0</v>
      </c>
      <c r="AA181" s="60">
        <v>0</v>
      </c>
      <c r="AB181" s="60">
        <v>0</v>
      </c>
      <c r="AC181" s="60">
        <v>0</v>
      </c>
      <c r="AD181" s="60">
        <v>0</v>
      </c>
      <c r="AE181" s="60">
        <v>0</v>
      </c>
      <c r="AF181" s="170" t="s">
        <v>257</v>
      </c>
      <c r="AG181" s="170">
        <v>2020</v>
      </c>
      <c r="AH181" s="63" t="s">
        <v>257</v>
      </c>
    </row>
    <row r="182" spans="1:34" ht="61.5" x14ac:dyDescent="0.85">
      <c r="A182" s="7">
        <v>1</v>
      </c>
      <c r="B182" s="59">
        <f>SUBTOTAL(103,$A$22:A182)</f>
        <v>159</v>
      </c>
      <c r="C182" s="160" t="s">
        <v>1093</v>
      </c>
      <c r="D182" s="60">
        <f t="shared" si="10"/>
        <v>1784450.96</v>
      </c>
      <c r="E182" s="60">
        <v>0</v>
      </c>
      <c r="F182" s="60">
        <v>0</v>
      </c>
      <c r="G182" s="60">
        <v>0</v>
      </c>
      <c r="H182" s="60">
        <v>0</v>
      </c>
      <c r="I182" s="60">
        <v>0</v>
      </c>
      <c r="J182" s="60">
        <v>0</v>
      </c>
      <c r="K182" s="179">
        <v>1</v>
      </c>
      <c r="L182" s="175">
        <v>1784450.96</v>
      </c>
      <c r="M182" s="60">
        <v>0</v>
      </c>
      <c r="N182" s="60">
        <v>0</v>
      </c>
      <c r="O182" s="60">
        <v>0</v>
      </c>
      <c r="P182" s="60">
        <v>0</v>
      </c>
      <c r="Q182" s="60">
        <v>0</v>
      </c>
      <c r="R182" s="60">
        <v>0</v>
      </c>
      <c r="S182" s="60">
        <v>0</v>
      </c>
      <c r="T182" s="60">
        <v>0</v>
      </c>
      <c r="U182" s="60">
        <v>0</v>
      </c>
      <c r="V182" s="60">
        <v>0</v>
      </c>
      <c r="W182" s="60">
        <v>0</v>
      </c>
      <c r="X182" s="60">
        <v>0</v>
      </c>
      <c r="Y182" s="60">
        <v>0</v>
      </c>
      <c r="Z182" s="60">
        <v>0</v>
      </c>
      <c r="AA182" s="60">
        <v>0</v>
      </c>
      <c r="AB182" s="60">
        <v>0</v>
      </c>
      <c r="AC182" s="60">
        <v>0</v>
      </c>
      <c r="AD182" s="60">
        <v>0</v>
      </c>
      <c r="AE182" s="60">
        <v>0</v>
      </c>
      <c r="AF182" s="170" t="s">
        <v>257</v>
      </c>
      <c r="AG182" s="170">
        <v>2020</v>
      </c>
      <c r="AH182" s="63" t="s">
        <v>257</v>
      </c>
    </row>
    <row r="183" spans="1:34" ht="61.5" x14ac:dyDescent="0.85">
      <c r="A183" s="7">
        <v>1</v>
      </c>
      <c r="B183" s="59">
        <f>SUBTOTAL(103,$A$22:A183)</f>
        <v>160</v>
      </c>
      <c r="C183" s="160" t="s">
        <v>1094</v>
      </c>
      <c r="D183" s="60">
        <f t="shared" si="10"/>
        <v>6364982.3099999996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168">
        <v>4</v>
      </c>
      <c r="L183" s="60">
        <v>6364982.3099999996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60">
        <v>0</v>
      </c>
      <c r="Y183" s="60">
        <v>0</v>
      </c>
      <c r="Z183" s="60">
        <v>0</v>
      </c>
      <c r="AA183" s="60">
        <v>0</v>
      </c>
      <c r="AB183" s="60">
        <v>0</v>
      </c>
      <c r="AC183" s="60">
        <v>0</v>
      </c>
      <c r="AD183" s="60">
        <v>0</v>
      </c>
      <c r="AE183" s="60">
        <v>0</v>
      </c>
      <c r="AF183" s="170" t="s">
        <v>257</v>
      </c>
      <c r="AG183" s="170">
        <v>2020</v>
      </c>
      <c r="AH183" s="63" t="s">
        <v>257</v>
      </c>
    </row>
    <row r="184" spans="1:34" ht="61.5" x14ac:dyDescent="0.85">
      <c r="A184" s="7">
        <v>1</v>
      </c>
      <c r="B184" s="59">
        <f>SUBTOTAL(103,$A$22:A184)</f>
        <v>161</v>
      </c>
      <c r="C184" s="160" t="s">
        <v>1200</v>
      </c>
      <c r="D184" s="60">
        <f t="shared" si="10"/>
        <v>2331324.81</v>
      </c>
      <c r="E184" s="60">
        <v>0</v>
      </c>
      <c r="F184" s="60">
        <v>0</v>
      </c>
      <c r="G184" s="62">
        <v>2318457.37</v>
      </c>
      <c r="H184" s="60">
        <v>0</v>
      </c>
      <c r="I184" s="60">
        <v>0</v>
      </c>
      <c r="J184" s="60">
        <v>0</v>
      </c>
      <c r="K184" s="168">
        <v>0</v>
      </c>
      <c r="L184" s="60">
        <v>0</v>
      </c>
      <c r="M184" s="60">
        <v>0</v>
      </c>
      <c r="N184" s="60">
        <v>0</v>
      </c>
      <c r="O184" s="60">
        <v>0</v>
      </c>
      <c r="P184" s="60">
        <v>0</v>
      </c>
      <c r="Q184" s="60">
        <v>0</v>
      </c>
      <c r="R184" s="60">
        <v>0</v>
      </c>
      <c r="S184" s="60">
        <v>0</v>
      </c>
      <c r="T184" s="60">
        <v>0</v>
      </c>
      <c r="U184" s="60">
        <v>0</v>
      </c>
      <c r="V184" s="60">
        <v>0</v>
      </c>
      <c r="W184" s="60">
        <v>0</v>
      </c>
      <c r="X184" s="60">
        <v>0</v>
      </c>
      <c r="Y184" s="60">
        <v>0</v>
      </c>
      <c r="Z184" s="60">
        <v>0</v>
      </c>
      <c r="AA184" s="60">
        <v>0</v>
      </c>
      <c r="AB184" s="60">
        <v>0</v>
      </c>
      <c r="AC184" s="62">
        <v>12867.44</v>
      </c>
      <c r="AD184" s="60">
        <v>0</v>
      </c>
      <c r="AE184" s="60">
        <v>0</v>
      </c>
      <c r="AF184" s="170" t="s">
        <v>257</v>
      </c>
      <c r="AG184" s="170">
        <v>2020</v>
      </c>
      <c r="AH184" s="63">
        <v>2020</v>
      </c>
    </row>
    <row r="185" spans="1:34" ht="61.5" x14ac:dyDescent="0.85">
      <c r="A185" s="7">
        <v>1</v>
      </c>
      <c r="B185" s="59">
        <f>SUBTOTAL(103,$A$22:A185)</f>
        <v>162</v>
      </c>
      <c r="C185" s="160" t="s">
        <v>1213</v>
      </c>
      <c r="D185" s="60">
        <f t="shared" si="10"/>
        <v>131828.92000000001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168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f>ROUND(R185*1.5%,2)</f>
        <v>0</v>
      </c>
      <c r="AD185" s="62">
        <v>131828.92000000001</v>
      </c>
      <c r="AE185" s="60">
        <v>0</v>
      </c>
      <c r="AF185" s="170">
        <v>2020</v>
      </c>
      <c r="AG185" s="170" t="s">
        <v>257</v>
      </c>
      <c r="AH185" s="63" t="s">
        <v>257</v>
      </c>
    </row>
    <row r="186" spans="1:34" ht="61.5" x14ac:dyDescent="0.85">
      <c r="A186" s="7">
        <v>1</v>
      </c>
      <c r="B186" s="59">
        <f>SUBTOTAL(103,$A$22:A186)</f>
        <v>163</v>
      </c>
      <c r="C186" s="160" t="s">
        <v>1214</v>
      </c>
      <c r="D186" s="60">
        <f t="shared" si="10"/>
        <v>2376594.88</v>
      </c>
      <c r="E186" s="60">
        <v>0</v>
      </c>
      <c r="F186" s="60">
        <v>0</v>
      </c>
      <c r="G186" s="60">
        <v>0</v>
      </c>
      <c r="H186" s="60">
        <v>0</v>
      </c>
      <c r="I186" s="60">
        <v>0</v>
      </c>
      <c r="J186" s="60">
        <v>0</v>
      </c>
      <c r="K186" s="168">
        <v>0</v>
      </c>
      <c r="L186" s="60">
        <v>0</v>
      </c>
      <c r="M186" s="62">
        <v>479</v>
      </c>
      <c r="N186" s="62">
        <v>2305669.96</v>
      </c>
      <c r="O186" s="60">
        <v>0</v>
      </c>
      <c r="P186" s="60">
        <v>0</v>
      </c>
      <c r="Q186" s="60">
        <v>0</v>
      </c>
      <c r="R186" s="60">
        <v>0</v>
      </c>
      <c r="S186" s="60">
        <v>0</v>
      </c>
      <c r="T186" s="60">
        <v>0</v>
      </c>
      <c r="U186" s="60">
        <v>0</v>
      </c>
      <c r="V186" s="60">
        <v>0</v>
      </c>
      <c r="W186" s="60">
        <v>0</v>
      </c>
      <c r="X186" s="60">
        <v>0</v>
      </c>
      <c r="Y186" s="60">
        <v>0</v>
      </c>
      <c r="Z186" s="60">
        <v>0</v>
      </c>
      <c r="AA186" s="60">
        <v>0</v>
      </c>
      <c r="AB186" s="60">
        <v>0</v>
      </c>
      <c r="AC186" s="62">
        <v>10894.29</v>
      </c>
      <c r="AD186" s="62">
        <v>60030.63</v>
      </c>
      <c r="AE186" s="60">
        <v>0</v>
      </c>
      <c r="AF186" s="170">
        <v>2020</v>
      </c>
      <c r="AG186" s="170">
        <v>2020</v>
      </c>
      <c r="AH186" s="63">
        <v>2020</v>
      </c>
    </row>
    <row r="187" spans="1:34" ht="61.5" x14ac:dyDescent="0.85">
      <c r="A187" s="7">
        <v>1</v>
      </c>
      <c r="B187" s="59">
        <f>SUBTOTAL(103,$A$22:A187)</f>
        <v>164</v>
      </c>
      <c r="C187" s="160" t="s">
        <v>1215</v>
      </c>
      <c r="D187" s="60">
        <f t="shared" si="10"/>
        <v>3042838.07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168">
        <v>0</v>
      </c>
      <c r="L187" s="60">
        <v>0</v>
      </c>
      <c r="M187" s="62">
        <v>654.20000000000005</v>
      </c>
      <c r="N187" s="62">
        <v>2946964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60">
        <v>0</v>
      </c>
      <c r="Y187" s="60">
        <v>0</v>
      </c>
      <c r="Z187" s="60">
        <v>0</v>
      </c>
      <c r="AA187" s="60">
        <v>0</v>
      </c>
      <c r="AB187" s="60">
        <v>0</v>
      </c>
      <c r="AC187" s="163">
        <v>13924.4</v>
      </c>
      <c r="AD187" s="62">
        <v>81949.67</v>
      </c>
      <c r="AE187" s="60">
        <v>0</v>
      </c>
      <c r="AF187" s="170">
        <v>2020</v>
      </c>
      <c r="AG187" s="170">
        <v>2020</v>
      </c>
      <c r="AH187" s="63">
        <v>2020</v>
      </c>
    </row>
    <row r="188" spans="1:34" ht="61.5" x14ac:dyDescent="0.85">
      <c r="A188" s="7">
        <v>1</v>
      </c>
      <c r="B188" s="59">
        <f>SUBTOTAL(103,$A$22:A188)</f>
        <v>165</v>
      </c>
      <c r="C188" s="160" t="s">
        <v>1216</v>
      </c>
      <c r="D188" s="60">
        <f t="shared" si="10"/>
        <v>1139819.0599999998</v>
      </c>
      <c r="E188" s="60">
        <v>0</v>
      </c>
      <c r="F188" s="60">
        <v>0</v>
      </c>
      <c r="G188" s="60">
        <v>0</v>
      </c>
      <c r="H188" s="60">
        <v>0</v>
      </c>
      <c r="I188" s="60">
        <v>0</v>
      </c>
      <c r="J188" s="60">
        <v>0</v>
      </c>
      <c r="K188" s="168">
        <v>0</v>
      </c>
      <c r="L188" s="60">
        <v>0</v>
      </c>
      <c r="M188" s="62">
        <v>259.76</v>
      </c>
      <c r="N188" s="169">
        <v>1089346.73</v>
      </c>
      <c r="O188" s="60">
        <v>0</v>
      </c>
      <c r="P188" s="60">
        <v>0</v>
      </c>
      <c r="Q188" s="60">
        <v>0</v>
      </c>
      <c r="R188" s="60">
        <v>0</v>
      </c>
      <c r="S188" s="60">
        <v>0</v>
      </c>
      <c r="T188" s="60">
        <v>0</v>
      </c>
      <c r="U188" s="60">
        <v>0</v>
      </c>
      <c r="V188" s="60">
        <v>0</v>
      </c>
      <c r="W188" s="60">
        <v>0</v>
      </c>
      <c r="X188" s="60">
        <v>0</v>
      </c>
      <c r="Y188" s="60">
        <v>0</v>
      </c>
      <c r="Z188" s="60">
        <v>0</v>
      </c>
      <c r="AA188" s="60">
        <v>0</v>
      </c>
      <c r="AB188" s="60">
        <v>0</v>
      </c>
      <c r="AC188" s="169">
        <v>5147.16</v>
      </c>
      <c r="AD188" s="62">
        <v>45325.17</v>
      </c>
      <c r="AE188" s="60">
        <v>0</v>
      </c>
      <c r="AF188" s="170">
        <v>2020</v>
      </c>
      <c r="AG188" s="170">
        <v>2020</v>
      </c>
      <c r="AH188" s="63">
        <v>2020</v>
      </c>
    </row>
    <row r="189" spans="1:34" ht="61.5" x14ac:dyDescent="0.85">
      <c r="A189" s="7">
        <v>1</v>
      </c>
      <c r="B189" s="59">
        <f>SUBTOTAL(103,$A$22:A189)</f>
        <v>166</v>
      </c>
      <c r="C189" s="160" t="s">
        <v>1217</v>
      </c>
      <c r="D189" s="60">
        <f t="shared" si="10"/>
        <v>1396947.25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168">
        <v>0</v>
      </c>
      <c r="L189" s="60">
        <v>0</v>
      </c>
      <c r="M189" s="62">
        <v>255.1</v>
      </c>
      <c r="N189" s="62">
        <v>1343152.62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60">
        <v>0</v>
      </c>
      <c r="Y189" s="60">
        <v>0</v>
      </c>
      <c r="Z189" s="60">
        <v>0</v>
      </c>
      <c r="AA189" s="60">
        <v>0</v>
      </c>
      <c r="AB189" s="60">
        <v>0</v>
      </c>
      <c r="AC189" s="163">
        <v>6346.4</v>
      </c>
      <c r="AD189" s="62">
        <v>47448.23</v>
      </c>
      <c r="AE189" s="60">
        <v>0</v>
      </c>
      <c r="AF189" s="170">
        <v>2020</v>
      </c>
      <c r="AG189" s="170">
        <v>2020</v>
      </c>
      <c r="AH189" s="63">
        <v>2020</v>
      </c>
    </row>
    <row r="190" spans="1:34" ht="61.5" x14ac:dyDescent="0.85">
      <c r="A190" s="7">
        <v>1</v>
      </c>
      <c r="B190" s="59">
        <f>SUBTOTAL(103,$A$22:A190)</f>
        <v>167</v>
      </c>
      <c r="C190" s="160" t="s">
        <v>1456</v>
      </c>
      <c r="D190" s="60">
        <f t="shared" si="10"/>
        <v>2343822.52</v>
      </c>
      <c r="E190" s="60">
        <v>0</v>
      </c>
      <c r="F190" s="60">
        <v>0</v>
      </c>
      <c r="G190" s="60">
        <v>0</v>
      </c>
      <c r="H190" s="60">
        <v>0</v>
      </c>
      <c r="I190" s="60">
        <v>0</v>
      </c>
      <c r="J190" s="60">
        <v>0</v>
      </c>
      <c r="K190" s="168">
        <v>0</v>
      </c>
      <c r="L190" s="60">
        <v>0</v>
      </c>
      <c r="M190" s="60">
        <v>792</v>
      </c>
      <c r="N190" s="60">
        <v>2330886.1</v>
      </c>
      <c r="O190" s="60">
        <v>0</v>
      </c>
      <c r="P190" s="60">
        <v>0</v>
      </c>
      <c r="Q190" s="60">
        <v>0</v>
      </c>
      <c r="R190" s="60">
        <v>0</v>
      </c>
      <c r="S190" s="60">
        <v>0</v>
      </c>
      <c r="T190" s="60">
        <v>0</v>
      </c>
      <c r="U190" s="60">
        <v>0</v>
      </c>
      <c r="V190" s="60">
        <v>0</v>
      </c>
      <c r="W190" s="60">
        <v>0</v>
      </c>
      <c r="X190" s="60">
        <v>0</v>
      </c>
      <c r="Y190" s="60">
        <v>0</v>
      </c>
      <c r="Z190" s="60">
        <v>0</v>
      </c>
      <c r="AA190" s="60">
        <v>0</v>
      </c>
      <c r="AB190" s="60">
        <v>0</v>
      </c>
      <c r="AC190" s="62">
        <v>12936.42</v>
      </c>
      <c r="AD190" s="60">
        <v>0</v>
      </c>
      <c r="AE190" s="60">
        <v>0</v>
      </c>
      <c r="AF190" s="170" t="s">
        <v>257</v>
      </c>
      <c r="AG190" s="170">
        <v>2020</v>
      </c>
      <c r="AH190" s="63">
        <v>2020</v>
      </c>
    </row>
    <row r="191" spans="1:34" ht="61.5" x14ac:dyDescent="0.85">
      <c r="A191" s="7">
        <v>1</v>
      </c>
      <c r="B191" s="59">
        <f>SUBTOTAL(103,$A$22:A191)</f>
        <v>168</v>
      </c>
      <c r="C191" s="160" t="s">
        <v>1467</v>
      </c>
      <c r="D191" s="60">
        <f t="shared" si="10"/>
        <v>2905261.2600000002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168">
        <v>0</v>
      </c>
      <c r="L191" s="60">
        <v>0</v>
      </c>
      <c r="M191" s="62">
        <v>553</v>
      </c>
      <c r="N191" s="62">
        <v>2821489.33</v>
      </c>
      <c r="O191" s="60">
        <v>0</v>
      </c>
      <c r="P191" s="60">
        <v>0</v>
      </c>
      <c r="Q191" s="60">
        <v>0</v>
      </c>
      <c r="R191" s="60">
        <v>0</v>
      </c>
      <c r="S191" s="60">
        <v>0</v>
      </c>
      <c r="T191" s="60">
        <v>0</v>
      </c>
      <c r="U191" s="60">
        <v>0</v>
      </c>
      <c r="V191" s="60">
        <v>0</v>
      </c>
      <c r="W191" s="60">
        <v>0</v>
      </c>
      <c r="X191" s="60">
        <v>0</v>
      </c>
      <c r="Y191" s="60">
        <v>0</v>
      </c>
      <c r="Z191" s="60">
        <v>0</v>
      </c>
      <c r="AA191" s="60">
        <v>0</v>
      </c>
      <c r="AB191" s="60">
        <v>0</v>
      </c>
      <c r="AC191" s="62">
        <v>13331.54</v>
      </c>
      <c r="AD191" s="62">
        <v>70440.39</v>
      </c>
      <c r="AE191" s="60">
        <v>0</v>
      </c>
      <c r="AF191" s="170">
        <v>2020</v>
      </c>
      <c r="AG191" s="170">
        <v>2020</v>
      </c>
      <c r="AH191" s="63">
        <v>2020</v>
      </c>
    </row>
    <row r="192" spans="1:34" ht="61.5" x14ac:dyDescent="0.85">
      <c r="A192" s="7">
        <v>1</v>
      </c>
      <c r="B192" s="59">
        <f>SUBTOTAL(103,$A$22:A192)</f>
        <v>169</v>
      </c>
      <c r="C192" s="160" t="s">
        <v>1468</v>
      </c>
      <c r="D192" s="60">
        <f t="shared" si="10"/>
        <v>2908972.99</v>
      </c>
      <c r="E192" s="60">
        <v>0</v>
      </c>
      <c r="F192" s="60">
        <v>0</v>
      </c>
      <c r="G192" s="60">
        <v>0</v>
      </c>
      <c r="H192" s="60">
        <v>0</v>
      </c>
      <c r="I192" s="60">
        <v>0</v>
      </c>
      <c r="J192" s="60">
        <v>0</v>
      </c>
      <c r="K192" s="168">
        <v>0</v>
      </c>
      <c r="L192" s="60">
        <v>0</v>
      </c>
      <c r="M192" s="62">
        <v>577.86</v>
      </c>
      <c r="N192" s="62">
        <v>2816936.74</v>
      </c>
      <c r="O192" s="60">
        <v>0</v>
      </c>
      <c r="P192" s="60">
        <v>0</v>
      </c>
      <c r="Q192" s="60">
        <v>0</v>
      </c>
      <c r="R192" s="60">
        <v>0</v>
      </c>
      <c r="S192" s="60">
        <v>0</v>
      </c>
      <c r="T192" s="60">
        <v>0</v>
      </c>
      <c r="U192" s="60">
        <v>0</v>
      </c>
      <c r="V192" s="60">
        <v>0</v>
      </c>
      <c r="W192" s="60">
        <v>0</v>
      </c>
      <c r="X192" s="60">
        <v>0</v>
      </c>
      <c r="Y192" s="60">
        <v>0</v>
      </c>
      <c r="Z192" s="60">
        <v>0</v>
      </c>
      <c r="AA192" s="60">
        <v>0</v>
      </c>
      <c r="AB192" s="60">
        <v>0</v>
      </c>
      <c r="AC192" s="62">
        <v>13310.03</v>
      </c>
      <c r="AD192" s="62">
        <v>78726.22</v>
      </c>
      <c r="AE192" s="60">
        <v>0</v>
      </c>
      <c r="AF192" s="170">
        <v>2020</v>
      </c>
      <c r="AG192" s="170">
        <v>2020</v>
      </c>
      <c r="AH192" s="63">
        <v>2020</v>
      </c>
    </row>
    <row r="193" spans="1:34" ht="61.5" x14ac:dyDescent="0.85">
      <c r="A193" s="7">
        <v>1</v>
      </c>
      <c r="B193" s="59">
        <f>SUBTOTAL(103,$A$22:A193)</f>
        <v>170</v>
      </c>
      <c r="C193" s="160" t="s">
        <v>1495</v>
      </c>
      <c r="D193" s="60">
        <f t="shared" si="10"/>
        <v>2039264.59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168">
        <v>0</v>
      </c>
      <c r="L193" s="60">
        <v>0</v>
      </c>
      <c r="M193" s="60">
        <v>792.98</v>
      </c>
      <c r="N193" s="60">
        <v>1767006.67</v>
      </c>
      <c r="O193" s="60">
        <v>0</v>
      </c>
      <c r="P193" s="60">
        <v>0</v>
      </c>
      <c r="Q193" s="60">
        <v>0</v>
      </c>
      <c r="R193" s="60">
        <v>0</v>
      </c>
      <c r="S193" s="60">
        <v>0</v>
      </c>
      <c r="T193" s="60">
        <v>0</v>
      </c>
      <c r="U193" s="60">
        <v>0</v>
      </c>
      <c r="V193" s="60">
        <v>0</v>
      </c>
      <c r="W193" s="60">
        <v>0</v>
      </c>
      <c r="X193" s="60">
        <v>0</v>
      </c>
      <c r="Y193" s="60">
        <v>0</v>
      </c>
      <c r="Z193" s="60">
        <v>0</v>
      </c>
      <c r="AA193" s="60">
        <v>0</v>
      </c>
      <c r="AB193" s="60">
        <v>0</v>
      </c>
      <c r="AC193" s="62">
        <v>8349.11</v>
      </c>
      <c r="AD193" s="62">
        <v>263908.81</v>
      </c>
      <c r="AE193" s="60">
        <v>0</v>
      </c>
      <c r="AF193" s="170">
        <v>2020</v>
      </c>
      <c r="AG193" s="170">
        <v>2020</v>
      </c>
      <c r="AH193" s="63">
        <v>2020</v>
      </c>
    </row>
    <row r="194" spans="1:34" ht="61.5" x14ac:dyDescent="0.85">
      <c r="A194" s="7">
        <v>1</v>
      </c>
      <c r="B194" s="59">
        <f>SUBTOTAL(103,$A$22:A194)</f>
        <v>171</v>
      </c>
      <c r="C194" s="160" t="s">
        <v>382</v>
      </c>
      <c r="D194" s="60">
        <f t="shared" si="10"/>
        <v>1604039.9000000001</v>
      </c>
      <c r="E194" s="60">
        <v>0</v>
      </c>
      <c r="F194" s="60">
        <v>0</v>
      </c>
      <c r="G194" s="60">
        <v>0</v>
      </c>
      <c r="H194" s="60">
        <v>0</v>
      </c>
      <c r="I194" s="60">
        <v>0</v>
      </c>
      <c r="J194" s="60">
        <v>0</v>
      </c>
      <c r="K194" s="168">
        <v>1</v>
      </c>
      <c r="L194" s="60">
        <v>1531407.86</v>
      </c>
      <c r="M194" s="60">
        <v>0</v>
      </c>
      <c r="N194" s="60">
        <v>0</v>
      </c>
      <c r="O194" s="60">
        <v>0</v>
      </c>
      <c r="P194" s="60">
        <v>0</v>
      </c>
      <c r="Q194" s="60">
        <v>0</v>
      </c>
      <c r="R194" s="60">
        <v>0</v>
      </c>
      <c r="S194" s="60">
        <v>0</v>
      </c>
      <c r="T194" s="60">
        <v>0</v>
      </c>
      <c r="U194" s="60">
        <v>0</v>
      </c>
      <c r="V194" s="60">
        <v>0</v>
      </c>
      <c r="W194" s="60">
        <v>0</v>
      </c>
      <c r="X194" s="60">
        <v>0</v>
      </c>
      <c r="Y194" s="60">
        <v>0</v>
      </c>
      <c r="Z194" s="60">
        <v>0</v>
      </c>
      <c r="AA194" s="60">
        <v>0</v>
      </c>
      <c r="AB194" s="60">
        <v>0</v>
      </c>
      <c r="AC194" s="60">
        <v>0</v>
      </c>
      <c r="AD194" s="58">
        <v>72632.039999999994</v>
      </c>
      <c r="AE194" s="60">
        <v>0</v>
      </c>
      <c r="AF194" s="170">
        <v>2020</v>
      </c>
      <c r="AG194" s="170">
        <v>2020</v>
      </c>
      <c r="AH194" s="63" t="s">
        <v>257</v>
      </c>
    </row>
    <row r="195" spans="1:34" ht="61.5" x14ac:dyDescent="0.85">
      <c r="A195" s="7">
        <v>1</v>
      </c>
      <c r="B195" s="59">
        <f>SUBTOTAL(103,$A$22:A195)</f>
        <v>172</v>
      </c>
      <c r="C195" s="160" t="s">
        <v>413</v>
      </c>
      <c r="D195" s="60">
        <f t="shared" si="10"/>
        <v>105635.39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168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0">
        <v>0</v>
      </c>
      <c r="T195" s="60">
        <v>0</v>
      </c>
      <c r="U195" s="60">
        <v>0</v>
      </c>
      <c r="V195" s="60">
        <v>0</v>
      </c>
      <c r="W195" s="60">
        <v>0</v>
      </c>
      <c r="X195" s="60">
        <v>0</v>
      </c>
      <c r="Y195" s="60">
        <v>0</v>
      </c>
      <c r="Z195" s="60">
        <v>0</v>
      </c>
      <c r="AA195" s="60">
        <v>0</v>
      </c>
      <c r="AB195" s="60">
        <v>0</v>
      </c>
      <c r="AC195" s="60">
        <f t="shared" ref="AC195:AC201" si="11">ROUND(N195*1.5%,2)</f>
        <v>0</v>
      </c>
      <c r="AD195" s="60">
        <v>105635.39</v>
      </c>
      <c r="AE195" s="60">
        <v>0</v>
      </c>
      <c r="AF195" s="170">
        <v>2020</v>
      </c>
      <c r="AG195" s="63" t="s">
        <v>257</v>
      </c>
      <c r="AH195" s="63" t="s">
        <v>257</v>
      </c>
    </row>
    <row r="196" spans="1:34" ht="61.5" x14ac:dyDescent="0.85">
      <c r="A196" s="7">
        <v>1</v>
      </c>
      <c r="B196" s="59">
        <f>SUBTOTAL(103,$A$22:A196)</f>
        <v>173</v>
      </c>
      <c r="C196" s="160" t="s">
        <v>386</v>
      </c>
      <c r="D196" s="60">
        <f t="shared" si="10"/>
        <v>81776.960000000006</v>
      </c>
      <c r="E196" s="60">
        <v>0</v>
      </c>
      <c r="F196" s="60">
        <v>0</v>
      </c>
      <c r="G196" s="60">
        <v>0</v>
      </c>
      <c r="H196" s="60">
        <v>0</v>
      </c>
      <c r="I196" s="60">
        <v>0</v>
      </c>
      <c r="J196" s="60">
        <v>0</v>
      </c>
      <c r="K196" s="168">
        <v>0</v>
      </c>
      <c r="L196" s="60">
        <v>0</v>
      </c>
      <c r="M196" s="60">
        <v>0</v>
      </c>
      <c r="N196" s="60">
        <v>0</v>
      </c>
      <c r="O196" s="60">
        <v>0</v>
      </c>
      <c r="P196" s="60">
        <v>0</v>
      </c>
      <c r="Q196" s="60">
        <v>0</v>
      </c>
      <c r="R196" s="60">
        <v>0</v>
      </c>
      <c r="S196" s="60">
        <v>0</v>
      </c>
      <c r="T196" s="60">
        <v>0</v>
      </c>
      <c r="U196" s="60">
        <v>0</v>
      </c>
      <c r="V196" s="60">
        <v>0</v>
      </c>
      <c r="W196" s="60">
        <v>0</v>
      </c>
      <c r="X196" s="60">
        <v>0</v>
      </c>
      <c r="Y196" s="60">
        <v>0</v>
      </c>
      <c r="Z196" s="60">
        <v>0</v>
      </c>
      <c r="AA196" s="60">
        <v>0</v>
      </c>
      <c r="AB196" s="60">
        <v>0</v>
      </c>
      <c r="AC196" s="60">
        <f t="shared" si="11"/>
        <v>0</v>
      </c>
      <c r="AD196" s="60">
        <v>81776.960000000006</v>
      </c>
      <c r="AE196" s="60">
        <v>0</v>
      </c>
      <c r="AF196" s="170">
        <v>2020</v>
      </c>
      <c r="AG196" s="63" t="s">
        <v>257</v>
      </c>
      <c r="AH196" s="63" t="s">
        <v>257</v>
      </c>
    </row>
    <row r="197" spans="1:34" ht="61.5" x14ac:dyDescent="0.85">
      <c r="A197" s="7">
        <v>1</v>
      </c>
      <c r="B197" s="59">
        <f>SUBTOTAL(103,$A$22:A197)</f>
        <v>174</v>
      </c>
      <c r="C197" s="160" t="s">
        <v>387</v>
      </c>
      <c r="D197" s="60">
        <f t="shared" si="10"/>
        <v>64771.71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168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0">
        <v>0</v>
      </c>
      <c r="T197" s="60">
        <v>0</v>
      </c>
      <c r="U197" s="60">
        <v>0</v>
      </c>
      <c r="V197" s="60">
        <v>0</v>
      </c>
      <c r="W197" s="60">
        <v>0</v>
      </c>
      <c r="X197" s="60">
        <v>0</v>
      </c>
      <c r="Y197" s="60">
        <v>0</v>
      </c>
      <c r="Z197" s="60">
        <v>0</v>
      </c>
      <c r="AA197" s="60">
        <v>0</v>
      </c>
      <c r="AB197" s="60">
        <v>0</v>
      </c>
      <c r="AC197" s="60">
        <f t="shared" si="11"/>
        <v>0</v>
      </c>
      <c r="AD197" s="60">
        <v>64771.71</v>
      </c>
      <c r="AE197" s="60">
        <v>0</v>
      </c>
      <c r="AF197" s="170">
        <v>2020</v>
      </c>
      <c r="AG197" s="63" t="s">
        <v>257</v>
      </c>
      <c r="AH197" s="63" t="s">
        <v>257</v>
      </c>
    </row>
    <row r="198" spans="1:34" ht="61.5" x14ac:dyDescent="0.85">
      <c r="A198" s="7">
        <v>1</v>
      </c>
      <c r="B198" s="59">
        <f>SUBTOTAL(103,$A$22:A198)</f>
        <v>175</v>
      </c>
      <c r="C198" s="160" t="s">
        <v>388</v>
      </c>
      <c r="D198" s="60">
        <f t="shared" si="10"/>
        <v>64458.1</v>
      </c>
      <c r="E198" s="60">
        <v>0</v>
      </c>
      <c r="F198" s="60">
        <v>0</v>
      </c>
      <c r="G198" s="60">
        <v>0</v>
      </c>
      <c r="H198" s="60">
        <v>0</v>
      </c>
      <c r="I198" s="60">
        <v>0</v>
      </c>
      <c r="J198" s="60">
        <v>0</v>
      </c>
      <c r="K198" s="168">
        <v>0</v>
      </c>
      <c r="L198" s="60">
        <v>0</v>
      </c>
      <c r="M198" s="60">
        <v>0</v>
      </c>
      <c r="N198" s="60">
        <v>0</v>
      </c>
      <c r="O198" s="60">
        <v>0</v>
      </c>
      <c r="P198" s="60">
        <v>0</v>
      </c>
      <c r="Q198" s="60">
        <v>0</v>
      </c>
      <c r="R198" s="60">
        <v>0</v>
      </c>
      <c r="S198" s="60">
        <v>0</v>
      </c>
      <c r="T198" s="60">
        <v>0</v>
      </c>
      <c r="U198" s="60">
        <v>0</v>
      </c>
      <c r="V198" s="60">
        <v>0</v>
      </c>
      <c r="W198" s="60">
        <v>0</v>
      </c>
      <c r="X198" s="60">
        <v>0</v>
      </c>
      <c r="Y198" s="60">
        <v>0</v>
      </c>
      <c r="Z198" s="60">
        <v>0</v>
      </c>
      <c r="AA198" s="60">
        <v>0</v>
      </c>
      <c r="AB198" s="60">
        <v>0</v>
      </c>
      <c r="AC198" s="60">
        <f t="shared" si="11"/>
        <v>0</v>
      </c>
      <c r="AD198" s="60">
        <v>64458.1</v>
      </c>
      <c r="AE198" s="60">
        <v>0</v>
      </c>
      <c r="AF198" s="170">
        <v>2020</v>
      </c>
      <c r="AG198" s="63" t="s">
        <v>257</v>
      </c>
      <c r="AH198" s="63" t="s">
        <v>257</v>
      </c>
    </row>
    <row r="199" spans="1:34" ht="61.5" x14ac:dyDescent="0.85">
      <c r="A199" s="7">
        <v>1</v>
      </c>
      <c r="B199" s="59">
        <f>SUBTOTAL(103,$A$22:A199)</f>
        <v>176</v>
      </c>
      <c r="C199" s="160" t="s">
        <v>393</v>
      </c>
      <c r="D199" s="60">
        <f t="shared" si="10"/>
        <v>68984.12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168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0">
        <v>0</v>
      </c>
      <c r="T199" s="60">
        <v>0</v>
      </c>
      <c r="U199" s="60">
        <v>0</v>
      </c>
      <c r="V199" s="60">
        <v>0</v>
      </c>
      <c r="W199" s="60">
        <v>0</v>
      </c>
      <c r="X199" s="60">
        <v>0</v>
      </c>
      <c r="Y199" s="60">
        <v>0</v>
      </c>
      <c r="Z199" s="60">
        <v>0</v>
      </c>
      <c r="AA199" s="60">
        <v>0</v>
      </c>
      <c r="AB199" s="60">
        <v>0</v>
      </c>
      <c r="AC199" s="60">
        <f t="shared" si="11"/>
        <v>0</v>
      </c>
      <c r="AD199" s="60">
        <v>68984.12</v>
      </c>
      <c r="AE199" s="60">
        <v>0</v>
      </c>
      <c r="AF199" s="170">
        <v>2020</v>
      </c>
      <c r="AG199" s="63" t="s">
        <v>257</v>
      </c>
      <c r="AH199" s="63" t="s">
        <v>257</v>
      </c>
    </row>
    <row r="200" spans="1:34" ht="61.5" x14ac:dyDescent="0.85">
      <c r="A200" s="7">
        <v>1</v>
      </c>
      <c r="B200" s="59">
        <f>SUBTOTAL(103,$A$22:A200)</f>
        <v>177</v>
      </c>
      <c r="C200" s="160" t="s">
        <v>394</v>
      </c>
      <c r="D200" s="60">
        <f t="shared" si="10"/>
        <v>49086.239999999998</v>
      </c>
      <c r="E200" s="60">
        <v>0</v>
      </c>
      <c r="F200" s="60">
        <v>0</v>
      </c>
      <c r="G200" s="60">
        <v>0</v>
      </c>
      <c r="H200" s="60">
        <v>0</v>
      </c>
      <c r="I200" s="60">
        <v>0</v>
      </c>
      <c r="J200" s="60">
        <v>0</v>
      </c>
      <c r="K200" s="168">
        <v>0</v>
      </c>
      <c r="L200" s="60">
        <v>0</v>
      </c>
      <c r="M200" s="60">
        <v>0</v>
      </c>
      <c r="N200" s="60">
        <v>0</v>
      </c>
      <c r="O200" s="60">
        <v>0</v>
      </c>
      <c r="P200" s="60">
        <v>0</v>
      </c>
      <c r="Q200" s="60">
        <v>0</v>
      </c>
      <c r="R200" s="60">
        <v>0</v>
      </c>
      <c r="S200" s="60">
        <v>0</v>
      </c>
      <c r="T200" s="60">
        <v>0</v>
      </c>
      <c r="U200" s="60">
        <v>0</v>
      </c>
      <c r="V200" s="60">
        <v>0</v>
      </c>
      <c r="W200" s="60">
        <v>0</v>
      </c>
      <c r="X200" s="60">
        <v>0</v>
      </c>
      <c r="Y200" s="60">
        <v>0</v>
      </c>
      <c r="Z200" s="60">
        <v>0</v>
      </c>
      <c r="AA200" s="60">
        <v>0</v>
      </c>
      <c r="AB200" s="60">
        <v>0</v>
      </c>
      <c r="AC200" s="60">
        <f t="shared" si="11"/>
        <v>0</v>
      </c>
      <c r="AD200" s="60">
        <v>49086.239999999998</v>
      </c>
      <c r="AE200" s="60">
        <v>0</v>
      </c>
      <c r="AF200" s="170">
        <v>2020</v>
      </c>
      <c r="AG200" s="63" t="s">
        <v>257</v>
      </c>
      <c r="AH200" s="63" t="s">
        <v>257</v>
      </c>
    </row>
    <row r="201" spans="1:34" ht="61.5" x14ac:dyDescent="0.85">
      <c r="A201" s="7">
        <v>1</v>
      </c>
      <c r="B201" s="59">
        <f>SUBTOTAL(103,$A$22:A201)</f>
        <v>178</v>
      </c>
      <c r="C201" s="160" t="s">
        <v>401</v>
      </c>
      <c r="D201" s="60">
        <f t="shared" si="10"/>
        <v>66103.89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168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0">
        <v>0</v>
      </c>
      <c r="T201" s="60">
        <v>0</v>
      </c>
      <c r="U201" s="60">
        <v>0</v>
      </c>
      <c r="V201" s="60">
        <v>0</v>
      </c>
      <c r="W201" s="60">
        <v>0</v>
      </c>
      <c r="X201" s="60">
        <v>0</v>
      </c>
      <c r="Y201" s="60">
        <v>0</v>
      </c>
      <c r="Z201" s="60">
        <v>0</v>
      </c>
      <c r="AA201" s="60">
        <v>0</v>
      </c>
      <c r="AB201" s="60">
        <v>0</v>
      </c>
      <c r="AC201" s="60">
        <f t="shared" si="11"/>
        <v>0</v>
      </c>
      <c r="AD201" s="60">
        <v>66103.89</v>
      </c>
      <c r="AE201" s="60">
        <v>0</v>
      </c>
      <c r="AF201" s="170">
        <v>2020</v>
      </c>
      <c r="AG201" s="63" t="s">
        <v>257</v>
      </c>
      <c r="AH201" s="63" t="s">
        <v>257</v>
      </c>
    </row>
    <row r="202" spans="1:34" ht="61.5" x14ac:dyDescent="0.85">
      <c r="B202" s="160" t="s">
        <v>710</v>
      </c>
      <c r="C202" s="176"/>
      <c r="D202" s="177">
        <f t="shared" ref="D202:AE202" si="12">SUM(D203:D238)</f>
        <v>128937901.11000001</v>
      </c>
      <c r="E202" s="60">
        <f t="shared" si="12"/>
        <v>0</v>
      </c>
      <c r="F202" s="60">
        <f t="shared" si="12"/>
        <v>0</v>
      </c>
      <c r="G202" s="60">
        <f t="shared" si="12"/>
        <v>0</v>
      </c>
      <c r="H202" s="60">
        <f t="shared" si="12"/>
        <v>0</v>
      </c>
      <c r="I202" s="60">
        <f t="shared" si="12"/>
        <v>576161.37</v>
      </c>
      <c r="J202" s="60">
        <f t="shared" si="12"/>
        <v>0</v>
      </c>
      <c r="K202" s="168">
        <f t="shared" si="12"/>
        <v>66</v>
      </c>
      <c r="L202" s="60">
        <f t="shared" si="12"/>
        <v>106298275.30000001</v>
      </c>
      <c r="M202" s="60">
        <f t="shared" si="12"/>
        <v>3279.26</v>
      </c>
      <c r="N202" s="60">
        <f t="shared" si="12"/>
        <v>12410000.699999999</v>
      </c>
      <c r="O202" s="60">
        <f t="shared" si="12"/>
        <v>0</v>
      </c>
      <c r="P202" s="60">
        <f t="shared" si="12"/>
        <v>0</v>
      </c>
      <c r="Q202" s="60">
        <f t="shared" si="12"/>
        <v>2091.2799999999997</v>
      </c>
      <c r="R202" s="60">
        <f t="shared" si="12"/>
        <v>7877592.3200000003</v>
      </c>
      <c r="S202" s="60">
        <f t="shared" si="12"/>
        <v>0</v>
      </c>
      <c r="T202" s="60">
        <f t="shared" si="12"/>
        <v>0</v>
      </c>
      <c r="U202" s="60">
        <f t="shared" si="12"/>
        <v>0</v>
      </c>
      <c r="V202" s="60">
        <f t="shared" si="12"/>
        <v>0</v>
      </c>
      <c r="W202" s="60">
        <f t="shared" si="12"/>
        <v>0</v>
      </c>
      <c r="X202" s="60">
        <f t="shared" si="12"/>
        <v>0</v>
      </c>
      <c r="Y202" s="60">
        <f t="shared" si="12"/>
        <v>0</v>
      </c>
      <c r="Z202" s="60">
        <f t="shared" si="12"/>
        <v>0</v>
      </c>
      <c r="AA202" s="60">
        <f t="shared" si="12"/>
        <v>0</v>
      </c>
      <c r="AB202" s="60">
        <f t="shared" si="12"/>
        <v>0</v>
      </c>
      <c r="AC202" s="60">
        <f t="shared" si="12"/>
        <v>161902.00999999998</v>
      </c>
      <c r="AD202" s="60">
        <f t="shared" si="12"/>
        <v>1613969.4100000004</v>
      </c>
      <c r="AE202" s="60">
        <f t="shared" si="12"/>
        <v>0</v>
      </c>
      <c r="AF202" s="54" t="s">
        <v>701</v>
      </c>
      <c r="AG202" s="54" t="s">
        <v>701</v>
      </c>
      <c r="AH202" s="55" t="s">
        <v>701</v>
      </c>
    </row>
    <row r="203" spans="1:34" ht="61.5" x14ac:dyDescent="0.85">
      <c r="A203" s="7">
        <v>1</v>
      </c>
      <c r="B203" s="59">
        <f>SUBTOTAL(103,$A$22:A203)</f>
        <v>179</v>
      </c>
      <c r="C203" s="160" t="s">
        <v>711</v>
      </c>
      <c r="D203" s="60">
        <f t="shared" ref="D203:D238" si="13">E203+F203+G203+H203+I203+J203+L203+N203+P203+R203+T203+U203+V203+W203+X203+Y203+Z203+AA203+AB203+AC203+AD203+AE203</f>
        <v>131699.56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168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0">
        <v>0</v>
      </c>
      <c r="T203" s="60">
        <v>0</v>
      </c>
      <c r="U203" s="60">
        <v>0</v>
      </c>
      <c r="V203" s="60">
        <v>0</v>
      </c>
      <c r="W203" s="60">
        <v>0</v>
      </c>
      <c r="X203" s="60">
        <v>0</v>
      </c>
      <c r="Y203" s="60">
        <v>0</v>
      </c>
      <c r="Z203" s="60">
        <v>0</v>
      </c>
      <c r="AA203" s="60">
        <v>0</v>
      </c>
      <c r="AB203" s="60">
        <v>0</v>
      </c>
      <c r="AC203" s="60">
        <f>ROUND(R203*1.5%,2)</f>
        <v>0</v>
      </c>
      <c r="AD203" s="173">
        <v>131699.56</v>
      </c>
      <c r="AE203" s="60">
        <v>0</v>
      </c>
      <c r="AF203" s="170">
        <v>2020</v>
      </c>
      <c r="AG203" s="63" t="s">
        <v>257</v>
      </c>
      <c r="AH203" s="63" t="s">
        <v>257</v>
      </c>
    </row>
    <row r="204" spans="1:34" ht="61.5" x14ac:dyDescent="0.85">
      <c r="A204" s="7">
        <v>1</v>
      </c>
      <c r="B204" s="59">
        <f>SUBTOTAL(103,$A$22:A204)</f>
        <v>180</v>
      </c>
      <c r="C204" s="160" t="s">
        <v>712</v>
      </c>
      <c r="D204" s="60">
        <f t="shared" si="13"/>
        <v>2194413.6799999997</v>
      </c>
      <c r="E204" s="60">
        <v>0</v>
      </c>
      <c r="F204" s="60">
        <v>0</v>
      </c>
      <c r="G204" s="60">
        <v>0</v>
      </c>
      <c r="H204" s="60">
        <v>0</v>
      </c>
      <c r="I204" s="60">
        <v>0</v>
      </c>
      <c r="J204" s="60">
        <v>0</v>
      </c>
      <c r="K204" s="168">
        <v>0</v>
      </c>
      <c r="L204" s="60">
        <v>0</v>
      </c>
      <c r="M204" s="62">
        <v>540.37</v>
      </c>
      <c r="N204" s="169">
        <v>2078453.13</v>
      </c>
      <c r="O204" s="60">
        <v>0</v>
      </c>
      <c r="P204" s="60">
        <v>0</v>
      </c>
      <c r="Q204" s="60">
        <v>0</v>
      </c>
      <c r="R204" s="60">
        <v>0</v>
      </c>
      <c r="S204" s="60">
        <v>0</v>
      </c>
      <c r="T204" s="60">
        <v>0</v>
      </c>
      <c r="U204" s="60">
        <v>0</v>
      </c>
      <c r="V204" s="60">
        <v>0</v>
      </c>
      <c r="W204" s="60">
        <v>0</v>
      </c>
      <c r="X204" s="60">
        <v>0</v>
      </c>
      <c r="Y204" s="60">
        <v>0</v>
      </c>
      <c r="Z204" s="60">
        <v>0</v>
      </c>
      <c r="AA204" s="60">
        <v>0</v>
      </c>
      <c r="AB204" s="60">
        <v>0</v>
      </c>
      <c r="AC204" s="62">
        <v>26812.05</v>
      </c>
      <c r="AD204" s="62">
        <v>89148.5</v>
      </c>
      <c r="AE204" s="60">
        <v>0</v>
      </c>
      <c r="AF204" s="170">
        <v>2020</v>
      </c>
      <c r="AG204" s="170">
        <v>2020</v>
      </c>
      <c r="AH204" s="63">
        <v>2020</v>
      </c>
    </row>
    <row r="205" spans="1:34" ht="61.5" x14ac:dyDescent="0.85">
      <c r="A205" s="7">
        <v>1</v>
      </c>
      <c r="B205" s="59">
        <f>SUBTOTAL(103,$A$22:A205)</f>
        <v>181</v>
      </c>
      <c r="C205" s="160" t="s">
        <v>713</v>
      </c>
      <c r="D205" s="60">
        <f t="shared" si="13"/>
        <v>62023.07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168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0">
        <v>0</v>
      </c>
      <c r="T205" s="60">
        <v>0</v>
      </c>
      <c r="U205" s="60">
        <v>0</v>
      </c>
      <c r="V205" s="60">
        <v>0</v>
      </c>
      <c r="W205" s="60">
        <v>0</v>
      </c>
      <c r="X205" s="60">
        <v>0</v>
      </c>
      <c r="Y205" s="60">
        <v>0</v>
      </c>
      <c r="Z205" s="60">
        <v>0</v>
      </c>
      <c r="AA205" s="60">
        <v>0</v>
      </c>
      <c r="AB205" s="60">
        <v>0</v>
      </c>
      <c r="AC205" s="60">
        <f>ROUND(N205*1.5%,2)</f>
        <v>0</v>
      </c>
      <c r="AD205" s="169">
        <v>62023.07</v>
      </c>
      <c r="AE205" s="60">
        <v>0</v>
      </c>
      <c r="AF205" s="170">
        <v>2020</v>
      </c>
      <c r="AG205" s="63" t="s">
        <v>257</v>
      </c>
      <c r="AH205" s="63" t="s">
        <v>257</v>
      </c>
    </row>
    <row r="206" spans="1:34" ht="61.5" x14ac:dyDescent="0.85">
      <c r="A206" s="7">
        <v>1</v>
      </c>
      <c r="B206" s="59">
        <f>SUBTOTAL(103,$A$22:A206)</f>
        <v>182</v>
      </c>
      <c r="C206" s="160" t="s">
        <v>714</v>
      </c>
      <c r="D206" s="60">
        <f t="shared" si="13"/>
        <v>4939980.5199999996</v>
      </c>
      <c r="E206" s="60">
        <v>0</v>
      </c>
      <c r="F206" s="60">
        <v>0</v>
      </c>
      <c r="G206" s="60">
        <v>0</v>
      </c>
      <c r="H206" s="60">
        <v>0</v>
      </c>
      <c r="I206" s="60">
        <v>0</v>
      </c>
      <c r="J206" s="60">
        <v>0</v>
      </c>
      <c r="K206" s="171">
        <v>3</v>
      </c>
      <c r="L206" s="62">
        <f>1646660.18+1646660.17+1646660.17</f>
        <v>4939980.5199999996</v>
      </c>
      <c r="M206" s="60">
        <v>0</v>
      </c>
      <c r="N206" s="60">
        <v>0</v>
      </c>
      <c r="O206" s="60">
        <v>0</v>
      </c>
      <c r="P206" s="60">
        <v>0</v>
      </c>
      <c r="Q206" s="60">
        <v>0</v>
      </c>
      <c r="R206" s="60">
        <v>0</v>
      </c>
      <c r="S206" s="60">
        <v>0</v>
      </c>
      <c r="T206" s="60">
        <v>0</v>
      </c>
      <c r="U206" s="60">
        <v>0</v>
      </c>
      <c r="V206" s="60">
        <v>0</v>
      </c>
      <c r="W206" s="60">
        <v>0</v>
      </c>
      <c r="X206" s="60">
        <v>0</v>
      </c>
      <c r="Y206" s="60">
        <v>0</v>
      </c>
      <c r="Z206" s="60">
        <v>0</v>
      </c>
      <c r="AA206" s="60">
        <v>0</v>
      </c>
      <c r="AB206" s="60">
        <v>0</v>
      </c>
      <c r="AC206" s="60">
        <v>0</v>
      </c>
      <c r="AD206" s="60">
        <v>0</v>
      </c>
      <c r="AE206" s="60">
        <v>0</v>
      </c>
      <c r="AF206" s="170" t="s">
        <v>257</v>
      </c>
      <c r="AG206" s="170">
        <v>2020</v>
      </c>
      <c r="AH206" s="63" t="s">
        <v>257</v>
      </c>
    </row>
    <row r="207" spans="1:34" ht="61.5" x14ac:dyDescent="0.85">
      <c r="A207" s="7">
        <v>1</v>
      </c>
      <c r="B207" s="59">
        <f>SUBTOTAL(103,$A$22:A207)</f>
        <v>183</v>
      </c>
      <c r="C207" s="160" t="s">
        <v>715</v>
      </c>
      <c r="D207" s="60">
        <f t="shared" si="13"/>
        <v>6608023.2199999997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171">
        <v>4</v>
      </c>
      <c r="L207" s="62">
        <v>6608023.2199999997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0">
        <v>0</v>
      </c>
      <c r="T207" s="60">
        <v>0</v>
      </c>
      <c r="U207" s="60">
        <v>0</v>
      </c>
      <c r="V207" s="60">
        <v>0</v>
      </c>
      <c r="W207" s="60">
        <v>0</v>
      </c>
      <c r="X207" s="60">
        <v>0</v>
      </c>
      <c r="Y207" s="60">
        <v>0</v>
      </c>
      <c r="Z207" s="60">
        <v>0</v>
      </c>
      <c r="AA207" s="60">
        <v>0</v>
      </c>
      <c r="AB207" s="60">
        <v>0</v>
      </c>
      <c r="AC207" s="60">
        <v>0</v>
      </c>
      <c r="AD207" s="60">
        <v>0</v>
      </c>
      <c r="AE207" s="60">
        <v>0</v>
      </c>
      <c r="AF207" s="170" t="s">
        <v>257</v>
      </c>
      <c r="AG207" s="170">
        <v>2020</v>
      </c>
      <c r="AH207" s="63" t="s">
        <v>257</v>
      </c>
    </row>
    <row r="208" spans="1:34" ht="61.5" x14ac:dyDescent="0.85">
      <c r="A208" s="7">
        <v>1</v>
      </c>
      <c r="B208" s="59">
        <f>SUBTOTAL(103,$A$22:A208)</f>
        <v>184</v>
      </c>
      <c r="C208" s="160" t="s">
        <v>716</v>
      </c>
      <c r="D208" s="60">
        <f t="shared" si="13"/>
        <v>8162096.2000000002</v>
      </c>
      <c r="E208" s="60">
        <v>0</v>
      </c>
      <c r="F208" s="60">
        <v>0</v>
      </c>
      <c r="G208" s="60">
        <v>0</v>
      </c>
      <c r="H208" s="60">
        <v>0</v>
      </c>
      <c r="I208" s="60">
        <v>0</v>
      </c>
      <c r="J208" s="60">
        <v>0</v>
      </c>
      <c r="K208" s="171">
        <v>5</v>
      </c>
      <c r="L208" s="62">
        <f>1632419.24+1632419.24+1632419.24+1632419.24+1632419.24</f>
        <v>8162096.2000000002</v>
      </c>
      <c r="M208" s="60">
        <v>0</v>
      </c>
      <c r="N208" s="60">
        <v>0</v>
      </c>
      <c r="O208" s="60">
        <v>0</v>
      </c>
      <c r="P208" s="60">
        <v>0</v>
      </c>
      <c r="Q208" s="60">
        <v>0</v>
      </c>
      <c r="R208" s="60">
        <v>0</v>
      </c>
      <c r="S208" s="60">
        <v>0</v>
      </c>
      <c r="T208" s="60">
        <v>0</v>
      </c>
      <c r="U208" s="60">
        <v>0</v>
      </c>
      <c r="V208" s="60">
        <v>0</v>
      </c>
      <c r="W208" s="60">
        <v>0</v>
      </c>
      <c r="X208" s="60">
        <v>0</v>
      </c>
      <c r="Y208" s="60">
        <v>0</v>
      </c>
      <c r="Z208" s="60">
        <v>0</v>
      </c>
      <c r="AA208" s="60">
        <v>0</v>
      </c>
      <c r="AB208" s="60">
        <v>0</v>
      </c>
      <c r="AC208" s="60">
        <v>0</v>
      </c>
      <c r="AD208" s="60">
        <v>0</v>
      </c>
      <c r="AE208" s="60">
        <v>0</v>
      </c>
      <c r="AF208" s="170" t="s">
        <v>257</v>
      </c>
      <c r="AG208" s="170">
        <v>2020</v>
      </c>
      <c r="AH208" s="63" t="s">
        <v>257</v>
      </c>
    </row>
    <row r="209" spans="1:34" ht="61.5" x14ac:dyDescent="0.85">
      <c r="A209" s="7">
        <v>1</v>
      </c>
      <c r="B209" s="59">
        <f>SUBTOTAL(103,$A$22:A209)</f>
        <v>185</v>
      </c>
      <c r="C209" s="160" t="s">
        <v>717</v>
      </c>
      <c r="D209" s="60">
        <f t="shared" si="13"/>
        <v>7899262.5999999996</v>
      </c>
      <c r="E209" s="60">
        <v>0</v>
      </c>
      <c r="F209" s="60">
        <v>0</v>
      </c>
      <c r="G209" s="60">
        <v>0</v>
      </c>
      <c r="H209" s="60">
        <v>0</v>
      </c>
      <c r="I209" s="60">
        <v>0</v>
      </c>
      <c r="J209" s="60">
        <v>0</v>
      </c>
      <c r="K209" s="171">
        <v>5</v>
      </c>
      <c r="L209" s="62">
        <f>1579852.52+1579852.52+1579852.52+1579852.52+1579852.52</f>
        <v>7899262.5999999996</v>
      </c>
      <c r="M209" s="60">
        <v>0</v>
      </c>
      <c r="N209" s="60">
        <v>0</v>
      </c>
      <c r="O209" s="60">
        <v>0</v>
      </c>
      <c r="P209" s="60">
        <v>0</v>
      </c>
      <c r="Q209" s="60">
        <v>0</v>
      </c>
      <c r="R209" s="60">
        <v>0</v>
      </c>
      <c r="S209" s="60">
        <v>0</v>
      </c>
      <c r="T209" s="60">
        <v>0</v>
      </c>
      <c r="U209" s="60">
        <v>0</v>
      </c>
      <c r="V209" s="60">
        <v>0</v>
      </c>
      <c r="W209" s="60">
        <v>0</v>
      </c>
      <c r="X209" s="60">
        <v>0</v>
      </c>
      <c r="Y209" s="60">
        <v>0</v>
      </c>
      <c r="Z209" s="60">
        <v>0</v>
      </c>
      <c r="AA209" s="60">
        <v>0</v>
      </c>
      <c r="AB209" s="60">
        <v>0</v>
      </c>
      <c r="AC209" s="60">
        <v>0</v>
      </c>
      <c r="AD209" s="60">
        <v>0</v>
      </c>
      <c r="AE209" s="60">
        <v>0</v>
      </c>
      <c r="AF209" s="170" t="s">
        <v>257</v>
      </c>
      <c r="AG209" s="170">
        <v>2020</v>
      </c>
      <c r="AH209" s="63" t="s">
        <v>257</v>
      </c>
    </row>
    <row r="210" spans="1:34" ht="61.5" x14ac:dyDescent="0.85">
      <c r="A210" s="7">
        <v>1</v>
      </c>
      <c r="B210" s="59">
        <f>SUBTOTAL(103,$A$22:A210)</f>
        <v>186</v>
      </c>
      <c r="C210" s="160" t="s">
        <v>719</v>
      </c>
      <c r="D210" s="60">
        <f t="shared" si="13"/>
        <v>1703879.76</v>
      </c>
      <c r="E210" s="60">
        <v>0</v>
      </c>
      <c r="F210" s="60">
        <v>0</v>
      </c>
      <c r="G210" s="60">
        <v>0</v>
      </c>
      <c r="H210" s="60">
        <v>0</v>
      </c>
      <c r="I210" s="60">
        <v>0</v>
      </c>
      <c r="J210" s="60">
        <v>0</v>
      </c>
      <c r="K210" s="168">
        <v>0</v>
      </c>
      <c r="L210" s="60">
        <v>0</v>
      </c>
      <c r="M210" s="62">
        <v>420.77</v>
      </c>
      <c r="N210" s="62">
        <v>1622576.28</v>
      </c>
      <c r="O210" s="60">
        <v>0</v>
      </c>
      <c r="P210" s="60">
        <v>0</v>
      </c>
      <c r="Q210" s="60">
        <v>0</v>
      </c>
      <c r="R210" s="60">
        <v>0</v>
      </c>
      <c r="S210" s="60">
        <v>0</v>
      </c>
      <c r="T210" s="60">
        <v>0</v>
      </c>
      <c r="U210" s="60">
        <v>0</v>
      </c>
      <c r="V210" s="60">
        <v>0</v>
      </c>
      <c r="W210" s="60">
        <v>0</v>
      </c>
      <c r="X210" s="60">
        <v>0</v>
      </c>
      <c r="Y210" s="60">
        <v>0</v>
      </c>
      <c r="Z210" s="60">
        <v>0</v>
      </c>
      <c r="AA210" s="60">
        <v>0</v>
      </c>
      <c r="AB210" s="60">
        <v>0</v>
      </c>
      <c r="AC210" s="60">
        <v>0</v>
      </c>
      <c r="AD210" s="62">
        <v>81303.48</v>
      </c>
      <c r="AE210" s="60">
        <v>0</v>
      </c>
      <c r="AF210" s="170">
        <v>2020</v>
      </c>
      <c r="AG210" s="170">
        <v>2020</v>
      </c>
      <c r="AH210" s="63" t="s">
        <v>257</v>
      </c>
    </row>
    <row r="211" spans="1:34" ht="61.5" x14ac:dyDescent="0.85">
      <c r="A211" s="7">
        <v>1</v>
      </c>
      <c r="B211" s="59">
        <f>SUBTOTAL(103,$A$22:A211)</f>
        <v>187</v>
      </c>
      <c r="C211" s="160" t="s">
        <v>720</v>
      </c>
      <c r="D211" s="60">
        <f t="shared" si="13"/>
        <v>114842.89</v>
      </c>
      <c r="E211" s="60">
        <v>0</v>
      </c>
      <c r="F211" s="60">
        <v>0</v>
      </c>
      <c r="G211" s="60">
        <v>0</v>
      </c>
      <c r="H211" s="60">
        <v>0</v>
      </c>
      <c r="I211" s="60">
        <v>0</v>
      </c>
      <c r="J211" s="60">
        <v>0</v>
      </c>
      <c r="K211" s="168">
        <v>0</v>
      </c>
      <c r="L211" s="60">
        <v>0</v>
      </c>
      <c r="M211" s="60">
        <v>0</v>
      </c>
      <c r="N211" s="60">
        <v>0</v>
      </c>
      <c r="O211" s="60">
        <v>0</v>
      </c>
      <c r="P211" s="60">
        <v>0</v>
      </c>
      <c r="Q211" s="60">
        <v>0</v>
      </c>
      <c r="R211" s="60">
        <v>0</v>
      </c>
      <c r="S211" s="60">
        <v>0</v>
      </c>
      <c r="T211" s="60">
        <v>0</v>
      </c>
      <c r="U211" s="60">
        <v>0</v>
      </c>
      <c r="V211" s="60">
        <v>0</v>
      </c>
      <c r="W211" s="60">
        <v>0</v>
      </c>
      <c r="X211" s="60">
        <v>0</v>
      </c>
      <c r="Y211" s="60">
        <v>0</v>
      </c>
      <c r="Z211" s="60">
        <v>0</v>
      </c>
      <c r="AA211" s="60">
        <v>0</v>
      </c>
      <c r="AB211" s="60">
        <v>0</v>
      </c>
      <c r="AC211" s="60">
        <f>ROUND(N211*1.5%,2)</f>
        <v>0</v>
      </c>
      <c r="AD211" s="62">
        <v>114842.89</v>
      </c>
      <c r="AE211" s="60">
        <v>0</v>
      </c>
      <c r="AF211" s="170">
        <v>2020</v>
      </c>
      <c r="AG211" s="170" t="s">
        <v>257</v>
      </c>
      <c r="AH211" s="170" t="s">
        <v>257</v>
      </c>
    </row>
    <row r="212" spans="1:34" ht="61.5" x14ac:dyDescent="0.85">
      <c r="A212" s="7">
        <v>1</v>
      </c>
      <c r="B212" s="59">
        <f>SUBTOTAL(103,$A$22:A212)</f>
        <v>188</v>
      </c>
      <c r="C212" s="160" t="s">
        <v>721</v>
      </c>
      <c r="D212" s="60">
        <f t="shared" si="13"/>
        <v>136497.56</v>
      </c>
      <c r="E212" s="60">
        <v>0</v>
      </c>
      <c r="F212" s="60">
        <v>0</v>
      </c>
      <c r="G212" s="60">
        <v>0</v>
      </c>
      <c r="H212" s="60">
        <v>0</v>
      </c>
      <c r="I212" s="60">
        <v>0</v>
      </c>
      <c r="J212" s="60">
        <v>0</v>
      </c>
      <c r="K212" s="168">
        <v>0</v>
      </c>
      <c r="L212" s="60">
        <v>0</v>
      </c>
      <c r="M212" s="60">
        <v>0</v>
      </c>
      <c r="N212" s="60">
        <v>0</v>
      </c>
      <c r="O212" s="60">
        <v>0</v>
      </c>
      <c r="P212" s="60">
        <v>0</v>
      </c>
      <c r="Q212" s="60">
        <v>0</v>
      </c>
      <c r="R212" s="60">
        <v>0</v>
      </c>
      <c r="S212" s="60">
        <v>0</v>
      </c>
      <c r="T212" s="60">
        <v>0</v>
      </c>
      <c r="U212" s="60">
        <v>0</v>
      </c>
      <c r="V212" s="60">
        <v>0</v>
      </c>
      <c r="W212" s="60">
        <v>0</v>
      </c>
      <c r="X212" s="60">
        <v>0</v>
      </c>
      <c r="Y212" s="60">
        <v>0</v>
      </c>
      <c r="Z212" s="60">
        <v>0</v>
      </c>
      <c r="AA212" s="60">
        <v>0</v>
      </c>
      <c r="AB212" s="60">
        <v>0</v>
      </c>
      <c r="AC212" s="60">
        <f>ROUND(N212*1.5%,2)</f>
        <v>0</v>
      </c>
      <c r="AD212" s="62">
        <v>136497.56</v>
      </c>
      <c r="AE212" s="60">
        <v>0</v>
      </c>
      <c r="AF212" s="170">
        <v>2020</v>
      </c>
      <c r="AG212" s="170" t="s">
        <v>257</v>
      </c>
      <c r="AH212" s="170" t="s">
        <v>257</v>
      </c>
    </row>
    <row r="213" spans="1:34" ht="61.5" x14ac:dyDescent="0.85">
      <c r="A213" s="7">
        <v>1</v>
      </c>
      <c r="B213" s="59">
        <f>SUBTOTAL(103,$A$22:A213)</f>
        <v>189</v>
      </c>
      <c r="C213" s="160" t="s">
        <v>1095</v>
      </c>
      <c r="D213" s="60">
        <f t="shared" si="13"/>
        <v>3517276.18</v>
      </c>
      <c r="E213" s="60">
        <v>0</v>
      </c>
      <c r="F213" s="60">
        <v>0</v>
      </c>
      <c r="G213" s="60">
        <v>0</v>
      </c>
      <c r="H213" s="60">
        <v>0</v>
      </c>
      <c r="I213" s="60">
        <v>0</v>
      </c>
      <c r="J213" s="60">
        <v>0</v>
      </c>
      <c r="K213" s="168">
        <v>0</v>
      </c>
      <c r="L213" s="60">
        <v>0</v>
      </c>
      <c r="M213" s="60">
        <v>0</v>
      </c>
      <c r="N213" s="60">
        <v>0</v>
      </c>
      <c r="O213" s="60">
        <v>0</v>
      </c>
      <c r="P213" s="60">
        <v>0</v>
      </c>
      <c r="Q213" s="172">
        <v>815.66</v>
      </c>
      <c r="R213" s="172">
        <v>3517276.18</v>
      </c>
      <c r="S213" s="60">
        <v>0</v>
      </c>
      <c r="T213" s="60">
        <v>0</v>
      </c>
      <c r="U213" s="60">
        <v>0</v>
      </c>
      <c r="V213" s="60">
        <v>0</v>
      </c>
      <c r="W213" s="60">
        <v>0</v>
      </c>
      <c r="X213" s="60">
        <v>0</v>
      </c>
      <c r="Y213" s="60">
        <v>0</v>
      </c>
      <c r="Z213" s="60">
        <v>0</v>
      </c>
      <c r="AA213" s="60">
        <v>0</v>
      </c>
      <c r="AB213" s="60">
        <v>0</v>
      </c>
      <c r="AC213" s="60">
        <v>0</v>
      </c>
      <c r="AD213" s="60">
        <v>0</v>
      </c>
      <c r="AE213" s="60">
        <v>0</v>
      </c>
      <c r="AF213" s="170" t="s">
        <v>257</v>
      </c>
      <c r="AG213" s="170">
        <v>2020</v>
      </c>
      <c r="AH213" s="63" t="s">
        <v>257</v>
      </c>
    </row>
    <row r="214" spans="1:34" ht="61.5" x14ac:dyDescent="0.85">
      <c r="A214" s="7">
        <v>1</v>
      </c>
      <c r="B214" s="59">
        <f>SUBTOTAL(103,$A$22:A214)</f>
        <v>190</v>
      </c>
      <c r="C214" s="160" t="s">
        <v>1096</v>
      </c>
      <c r="D214" s="60">
        <f t="shared" si="13"/>
        <v>581865.37</v>
      </c>
      <c r="E214" s="60">
        <v>0</v>
      </c>
      <c r="F214" s="60">
        <v>0</v>
      </c>
      <c r="G214" s="60">
        <v>0</v>
      </c>
      <c r="H214" s="60">
        <v>0</v>
      </c>
      <c r="I214" s="169">
        <v>576161.37</v>
      </c>
      <c r="J214" s="60">
        <v>0</v>
      </c>
      <c r="K214" s="168">
        <v>0</v>
      </c>
      <c r="L214" s="60">
        <v>0</v>
      </c>
      <c r="M214" s="60">
        <v>0</v>
      </c>
      <c r="N214" s="60">
        <v>0</v>
      </c>
      <c r="O214" s="60">
        <v>0</v>
      </c>
      <c r="P214" s="60">
        <v>0</v>
      </c>
      <c r="Q214" s="60">
        <v>0</v>
      </c>
      <c r="R214" s="60">
        <v>0</v>
      </c>
      <c r="S214" s="60">
        <v>0</v>
      </c>
      <c r="T214" s="60">
        <v>0</v>
      </c>
      <c r="U214" s="60">
        <v>0</v>
      </c>
      <c r="V214" s="60">
        <v>0</v>
      </c>
      <c r="W214" s="60">
        <v>0</v>
      </c>
      <c r="X214" s="60">
        <v>0</v>
      </c>
      <c r="Y214" s="60">
        <v>0</v>
      </c>
      <c r="Z214" s="60">
        <v>0</v>
      </c>
      <c r="AA214" s="60">
        <v>0</v>
      </c>
      <c r="AB214" s="60">
        <v>0</v>
      </c>
      <c r="AC214" s="169">
        <v>5704</v>
      </c>
      <c r="AD214" s="60">
        <v>0</v>
      </c>
      <c r="AE214" s="60">
        <v>0</v>
      </c>
      <c r="AF214" s="170" t="s">
        <v>257</v>
      </c>
      <c r="AG214" s="170">
        <v>2020</v>
      </c>
      <c r="AH214" s="63">
        <v>2020</v>
      </c>
    </row>
    <row r="215" spans="1:34" ht="61.5" x14ac:dyDescent="0.85">
      <c r="A215" s="7">
        <v>1</v>
      </c>
      <c r="B215" s="59">
        <f>SUBTOTAL(103,$A$22:A215)</f>
        <v>191</v>
      </c>
      <c r="C215" s="160" t="s">
        <v>1097</v>
      </c>
      <c r="D215" s="60">
        <f t="shared" si="13"/>
        <v>4997938.54</v>
      </c>
      <c r="E215" s="60">
        <v>0</v>
      </c>
      <c r="F215" s="60">
        <v>0</v>
      </c>
      <c r="G215" s="60">
        <v>0</v>
      </c>
      <c r="H215" s="60">
        <v>0</v>
      </c>
      <c r="I215" s="60">
        <v>0</v>
      </c>
      <c r="J215" s="60">
        <v>0</v>
      </c>
      <c r="K215" s="168">
        <v>0</v>
      </c>
      <c r="L215" s="60">
        <v>0</v>
      </c>
      <c r="M215" s="172">
        <v>1206.22</v>
      </c>
      <c r="N215" s="172">
        <v>4948943.99</v>
      </c>
      <c r="O215" s="60">
        <v>0</v>
      </c>
      <c r="P215" s="60">
        <v>0</v>
      </c>
      <c r="Q215" s="60">
        <v>0</v>
      </c>
      <c r="R215" s="60">
        <v>0</v>
      </c>
      <c r="S215" s="60">
        <v>0</v>
      </c>
      <c r="T215" s="60">
        <v>0</v>
      </c>
      <c r="U215" s="60">
        <v>0</v>
      </c>
      <c r="V215" s="60">
        <v>0</v>
      </c>
      <c r="W215" s="60">
        <v>0</v>
      </c>
      <c r="X215" s="60">
        <v>0</v>
      </c>
      <c r="Y215" s="60">
        <v>0</v>
      </c>
      <c r="Z215" s="60">
        <v>0</v>
      </c>
      <c r="AA215" s="60">
        <v>0</v>
      </c>
      <c r="AB215" s="60">
        <v>0</v>
      </c>
      <c r="AC215" s="163">
        <v>48994.55</v>
      </c>
      <c r="AD215" s="60">
        <v>0</v>
      </c>
      <c r="AE215" s="60">
        <v>0</v>
      </c>
      <c r="AF215" s="170" t="s">
        <v>257</v>
      </c>
      <c r="AG215" s="170">
        <v>2020</v>
      </c>
      <c r="AH215" s="63">
        <v>2020</v>
      </c>
    </row>
    <row r="216" spans="1:34" ht="61.5" x14ac:dyDescent="0.85">
      <c r="A216" s="7">
        <v>1</v>
      </c>
      <c r="B216" s="59">
        <f>SUBTOTAL(103,$A$22:A216)</f>
        <v>192</v>
      </c>
      <c r="C216" s="160" t="s">
        <v>1100</v>
      </c>
      <c r="D216" s="60">
        <f t="shared" si="13"/>
        <v>3797251.5799999996</v>
      </c>
      <c r="E216" s="60">
        <v>0</v>
      </c>
      <c r="F216" s="60">
        <v>0</v>
      </c>
      <c r="G216" s="60">
        <v>0</v>
      </c>
      <c r="H216" s="60">
        <v>0</v>
      </c>
      <c r="I216" s="60">
        <v>0</v>
      </c>
      <c r="J216" s="60">
        <v>0</v>
      </c>
      <c r="K216" s="168">
        <v>0</v>
      </c>
      <c r="L216" s="60">
        <v>0</v>
      </c>
      <c r="M216" s="62">
        <v>1111.9000000000001</v>
      </c>
      <c r="N216" s="62">
        <v>3760027.3</v>
      </c>
      <c r="O216" s="60">
        <v>0</v>
      </c>
      <c r="P216" s="60">
        <v>0</v>
      </c>
      <c r="Q216" s="60">
        <v>0</v>
      </c>
      <c r="R216" s="60">
        <v>0</v>
      </c>
      <c r="S216" s="60">
        <v>0</v>
      </c>
      <c r="T216" s="60">
        <v>0</v>
      </c>
      <c r="U216" s="60">
        <v>0</v>
      </c>
      <c r="V216" s="60">
        <v>0</v>
      </c>
      <c r="W216" s="60">
        <v>0</v>
      </c>
      <c r="X216" s="60">
        <v>0</v>
      </c>
      <c r="Y216" s="60">
        <v>0</v>
      </c>
      <c r="Z216" s="60">
        <v>0</v>
      </c>
      <c r="AA216" s="60">
        <v>0</v>
      </c>
      <c r="AB216" s="60">
        <v>0</v>
      </c>
      <c r="AC216" s="62">
        <v>37224.28</v>
      </c>
      <c r="AD216" s="60">
        <v>0</v>
      </c>
      <c r="AE216" s="60">
        <v>0</v>
      </c>
      <c r="AF216" s="170" t="s">
        <v>257</v>
      </c>
      <c r="AG216" s="170">
        <v>2020</v>
      </c>
      <c r="AH216" s="63">
        <v>2020</v>
      </c>
    </row>
    <row r="217" spans="1:34" ht="61.5" x14ac:dyDescent="0.85">
      <c r="A217" s="7">
        <v>1</v>
      </c>
      <c r="B217" s="59">
        <f>SUBTOTAL(103,$A$22:A217)</f>
        <v>193</v>
      </c>
      <c r="C217" s="160" t="s">
        <v>1101</v>
      </c>
      <c r="D217" s="60">
        <f t="shared" si="13"/>
        <v>1338677.8699999999</v>
      </c>
      <c r="E217" s="60">
        <v>0</v>
      </c>
      <c r="F217" s="60">
        <v>0</v>
      </c>
      <c r="G217" s="60">
        <v>0</v>
      </c>
      <c r="H217" s="60">
        <v>0</v>
      </c>
      <c r="I217" s="60">
        <v>0</v>
      </c>
      <c r="J217" s="60">
        <v>0</v>
      </c>
      <c r="K217" s="168">
        <v>0</v>
      </c>
      <c r="L217" s="60">
        <v>0</v>
      </c>
      <c r="M217" s="60">
        <v>0</v>
      </c>
      <c r="N217" s="60">
        <v>0</v>
      </c>
      <c r="O217" s="60">
        <v>0</v>
      </c>
      <c r="P217" s="60">
        <v>0</v>
      </c>
      <c r="Q217" s="62">
        <v>379.48</v>
      </c>
      <c r="R217" s="62">
        <v>1325554.8799999999</v>
      </c>
      <c r="S217" s="60">
        <v>0</v>
      </c>
      <c r="T217" s="60">
        <v>0</v>
      </c>
      <c r="U217" s="60">
        <v>0</v>
      </c>
      <c r="V217" s="60">
        <v>0</v>
      </c>
      <c r="W217" s="60">
        <v>0</v>
      </c>
      <c r="X217" s="60">
        <v>0</v>
      </c>
      <c r="Y217" s="60">
        <v>0</v>
      </c>
      <c r="Z217" s="60">
        <v>0</v>
      </c>
      <c r="AA217" s="60">
        <v>0</v>
      </c>
      <c r="AB217" s="60">
        <v>0</v>
      </c>
      <c r="AC217" s="62">
        <v>13122.99</v>
      </c>
      <c r="AD217" s="60">
        <v>0</v>
      </c>
      <c r="AE217" s="60">
        <v>0</v>
      </c>
      <c r="AF217" s="170" t="s">
        <v>257</v>
      </c>
      <c r="AG217" s="170">
        <v>2020</v>
      </c>
      <c r="AH217" s="63">
        <v>2020</v>
      </c>
    </row>
    <row r="218" spans="1:34" ht="61.5" x14ac:dyDescent="0.85">
      <c r="A218" s="7">
        <v>1</v>
      </c>
      <c r="B218" s="59">
        <f>SUBTOTAL(103,$A$22:A218)</f>
        <v>194</v>
      </c>
      <c r="C218" s="160" t="s">
        <v>1102</v>
      </c>
      <c r="D218" s="60">
        <f t="shared" si="13"/>
        <v>4355063.8499999996</v>
      </c>
      <c r="E218" s="60">
        <v>0</v>
      </c>
      <c r="F218" s="60">
        <v>0</v>
      </c>
      <c r="G218" s="60">
        <v>0</v>
      </c>
      <c r="H218" s="60">
        <v>0</v>
      </c>
      <c r="I218" s="60">
        <v>0</v>
      </c>
      <c r="J218" s="60">
        <v>0</v>
      </c>
      <c r="K218" s="171">
        <v>3</v>
      </c>
      <c r="L218" s="62">
        <v>4355063.8499999996</v>
      </c>
      <c r="M218" s="60">
        <v>0</v>
      </c>
      <c r="N218" s="60">
        <v>0</v>
      </c>
      <c r="O218" s="60">
        <v>0</v>
      </c>
      <c r="P218" s="60">
        <v>0</v>
      </c>
      <c r="Q218" s="60">
        <v>0</v>
      </c>
      <c r="R218" s="60">
        <v>0</v>
      </c>
      <c r="S218" s="60">
        <v>0</v>
      </c>
      <c r="T218" s="60">
        <v>0</v>
      </c>
      <c r="U218" s="60">
        <v>0</v>
      </c>
      <c r="V218" s="60">
        <v>0</v>
      </c>
      <c r="W218" s="60">
        <v>0</v>
      </c>
      <c r="X218" s="60">
        <v>0</v>
      </c>
      <c r="Y218" s="60">
        <v>0</v>
      </c>
      <c r="Z218" s="60">
        <v>0</v>
      </c>
      <c r="AA218" s="60">
        <v>0</v>
      </c>
      <c r="AB218" s="60">
        <v>0</v>
      </c>
      <c r="AC218" s="60">
        <v>0</v>
      </c>
      <c r="AD218" s="60">
        <v>0</v>
      </c>
      <c r="AE218" s="60">
        <v>0</v>
      </c>
      <c r="AF218" s="170" t="s">
        <v>257</v>
      </c>
      <c r="AG218" s="170">
        <v>2020</v>
      </c>
      <c r="AH218" s="63" t="s">
        <v>257</v>
      </c>
    </row>
    <row r="219" spans="1:34" ht="61.5" x14ac:dyDescent="0.85">
      <c r="A219" s="7">
        <v>1</v>
      </c>
      <c r="B219" s="59">
        <f>SUBTOTAL(103,$A$22:A219)</f>
        <v>195</v>
      </c>
      <c r="C219" s="160" t="s">
        <v>1103</v>
      </c>
      <c r="D219" s="60">
        <f t="shared" si="13"/>
        <v>1700754.66</v>
      </c>
      <c r="E219" s="60">
        <v>0</v>
      </c>
      <c r="F219" s="60">
        <v>0</v>
      </c>
      <c r="G219" s="60">
        <v>0</v>
      </c>
      <c r="H219" s="60">
        <v>0</v>
      </c>
      <c r="I219" s="60">
        <v>0</v>
      </c>
      <c r="J219" s="60">
        <v>0</v>
      </c>
      <c r="K219" s="168">
        <v>0</v>
      </c>
      <c r="L219" s="60">
        <v>0</v>
      </c>
      <c r="M219" s="60">
        <v>0</v>
      </c>
      <c r="N219" s="60">
        <v>0</v>
      </c>
      <c r="O219" s="60">
        <v>0</v>
      </c>
      <c r="P219" s="60">
        <v>0</v>
      </c>
      <c r="Q219" s="62">
        <v>503.64</v>
      </c>
      <c r="R219" s="169">
        <v>1684082.24</v>
      </c>
      <c r="S219" s="60">
        <v>0</v>
      </c>
      <c r="T219" s="60">
        <v>0</v>
      </c>
      <c r="U219" s="60">
        <v>0</v>
      </c>
      <c r="V219" s="60">
        <v>0</v>
      </c>
      <c r="W219" s="60">
        <v>0</v>
      </c>
      <c r="X219" s="60">
        <v>0</v>
      </c>
      <c r="Y219" s="60">
        <v>0</v>
      </c>
      <c r="Z219" s="60">
        <v>0</v>
      </c>
      <c r="AA219" s="60">
        <v>0</v>
      </c>
      <c r="AB219" s="60">
        <v>0</v>
      </c>
      <c r="AC219" s="169">
        <v>16672.419999999998</v>
      </c>
      <c r="AD219" s="60">
        <v>0</v>
      </c>
      <c r="AE219" s="60">
        <v>0</v>
      </c>
      <c r="AF219" s="170" t="s">
        <v>257</v>
      </c>
      <c r="AG219" s="170">
        <v>2020</v>
      </c>
      <c r="AH219" s="63">
        <v>2020</v>
      </c>
    </row>
    <row r="220" spans="1:34" ht="61.5" x14ac:dyDescent="0.85">
      <c r="A220" s="7">
        <v>1</v>
      </c>
      <c r="B220" s="59">
        <f>SUBTOTAL(103,$A$22:A220)</f>
        <v>196</v>
      </c>
      <c r="C220" s="160" t="s">
        <v>1104</v>
      </c>
      <c r="D220" s="60">
        <f t="shared" si="13"/>
        <v>1402602.78</v>
      </c>
      <c r="E220" s="60">
        <v>0</v>
      </c>
      <c r="F220" s="60">
        <v>0</v>
      </c>
      <c r="G220" s="60">
        <v>0</v>
      </c>
      <c r="H220" s="60">
        <v>0</v>
      </c>
      <c r="I220" s="60">
        <v>0</v>
      </c>
      <c r="J220" s="60">
        <v>0</v>
      </c>
      <c r="K220" s="168">
        <v>0</v>
      </c>
      <c r="L220" s="60">
        <v>0</v>
      </c>
      <c r="M220" s="60">
        <v>0</v>
      </c>
      <c r="N220" s="60">
        <v>0</v>
      </c>
      <c r="O220" s="60">
        <v>0</v>
      </c>
      <c r="P220" s="60">
        <v>0</v>
      </c>
      <c r="Q220" s="62">
        <v>392.5</v>
      </c>
      <c r="R220" s="62">
        <v>1350679.02</v>
      </c>
      <c r="S220" s="60">
        <v>0</v>
      </c>
      <c r="T220" s="60">
        <v>0</v>
      </c>
      <c r="U220" s="60">
        <v>0</v>
      </c>
      <c r="V220" s="60">
        <v>0</v>
      </c>
      <c r="W220" s="60">
        <v>0</v>
      </c>
      <c r="X220" s="60">
        <v>0</v>
      </c>
      <c r="Y220" s="60">
        <v>0</v>
      </c>
      <c r="Z220" s="60">
        <v>0</v>
      </c>
      <c r="AA220" s="60">
        <v>0</v>
      </c>
      <c r="AB220" s="60">
        <v>0</v>
      </c>
      <c r="AC220" s="62">
        <v>13371.72</v>
      </c>
      <c r="AD220" s="62">
        <v>38552.04</v>
      </c>
      <c r="AE220" s="60">
        <v>0</v>
      </c>
      <c r="AF220" s="170">
        <v>2020</v>
      </c>
      <c r="AG220" s="170">
        <v>2020</v>
      </c>
      <c r="AH220" s="63">
        <v>2020</v>
      </c>
    </row>
    <row r="221" spans="1:34" ht="61.5" x14ac:dyDescent="0.85">
      <c r="A221" s="7">
        <v>1</v>
      </c>
      <c r="B221" s="59">
        <f>SUBTOTAL(103,$A$22:A221)</f>
        <v>197</v>
      </c>
      <c r="C221" s="160" t="s">
        <v>1105</v>
      </c>
      <c r="D221" s="60">
        <f t="shared" si="13"/>
        <v>6356844.0800000001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171">
        <v>4</v>
      </c>
      <c r="L221" s="62">
        <v>6356844.0800000001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0">
        <v>0</v>
      </c>
      <c r="T221" s="60">
        <v>0</v>
      </c>
      <c r="U221" s="60">
        <v>0</v>
      </c>
      <c r="V221" s="60">
        <v>0</v>
      </c>
      <c r="W221" s="60">
        <v>0</v>
      </c>
      <c r="X221" s="60">
        <v>0</v>
      </c>
      <c r="Y221" s="60">
        <v>0</v>
      </c>
      <c r="Z221" s="60">
        <v>0</v>
      </c>
      <c r="AA221" s="60">
        <v>0</v>
      </c>
      <c r="AB221" s="60">
        <v>0</v>
      </c>
      <c r="AC221" s="60">
        <v>0</v>
      </c>
      <c r="AD221" s="60">
        <v>0</v>
      </c>
      <c r="AE221" s="60">
        <v>0</v>
      </c>
      <c r="AF221" s="170" t="s">
        <v>257</v>
      </c>
      <c r="AG221" s="170">
        <v>2020</v>
      </c>
      <c r="AH221" s="63" t="s">
        <v>257</v>
      </c>
    </row>
    <row r="222" spans="1:34" ht="61.5" x14ac:dyDescent="0.85">
      <c r="A222" s="7">
        <v>1</v>
      </c>
      <c r="B222" s="59">
        <f>SUBTOTAL(103,$A$22:A222)</f>
        <v>198</v>
      </c>
      <c r="C222" s="160" t="s">
        <v>1199</v>
      </c>
      <c r="D222" s="60">
        <f t="shared" si="13"/>
        <v>172775.04000000001</v>
      </c>
      <c r="E222" s="60">
        <v>0</v>
      </c>
      <c r="F222" s="60">
        <v>0</v>
      </c>
      <c r="G222" s="60">
        <v>0</v>
      </c>
      <c r="H222" s="60">
        <v>0</v>
      </c>
      <c r="I222" s="60">
        <v>0</v>
      </c>
      <c r="J222" s="60">
        <v>0</v>
      </c>
      <c r="K222" s="168">
        <v>0</v>
      </c>
      <c r="L222" s="60">
        <v>0</v>
      </c>
      <c r="M222" s="60">
        <v>0</v>
      </c>
      <c r="N222" s="60">
        <v>0</v>
      </c>
      <c r="O222" s="60">
        <v>0</v>
      </c>
      <c r="P222" s="60">
        <v>0</v>
      </c>
      <c r="Q222" s="60">
        <v>0</v>
      </c>
      <c r="R222" s="60">
        <v>0</v>
      </c>
      <c r="S222" s="60">
        <v>0</v>
      </c>
      <c r="T222" s="60">
        <v>0</v>
      </c>
      <c r="U222" s="60">
        <v>0</v>
      </c>
      <c r="V222" s="60">
        <v>0</v>
      </c>
      <c r="W222" s="60">
        <v>0</v>
      </c>
      <c r="X222" s="60">
        <v>0</v>
      </c>
      <c r="Y222" s="60">
        <v>0</v>
      </c>
      <c r="Z222" s="60">
        <v>0</v>
      </c>
      <c r="AA222" s="60">
        <v>0</v>
      </c>
      <c r="AB222" s="60">
        <v>0</v>
      </c>
      <c r="AC222" s="60">
        <f>ROUND(N222*1.5%,2)</f>
        <v>0</v>
      </c>
      <c r="AD222" s="169">
        <v>172775.04000000001</v>
      </c>
      <c r="AE222" s="60">
        <v>0</v>
      </c>
      <c r="AF222" s="170">
        <v>2020</v>
      </c>
      <c r="AG222" s="170" t="s">
        <v>257</v>
      </c>
      <c r="AH222" s="170" t="s">
        <v>257</v>
      </c>
    </row>
    <row r="223" spans="1:34" ht="61.5" x14ac:dyDescent="0.85">
      <c r="A223" s="7">
        <v>1</v>
      </c>
      <c r="B223" s="59">
        <f>SUBTOTAL(103,$A$22:A223)</f>
        <v>199</v>
      </c>
      <c r="C223" s="160" t="s">
        <v>1290</v>
      </c>
      <c r="D223" s="60">
        <f t="shared" si="13"/>
        <v>13083489.59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171">
        <v>9</v>
      </c>
      <c r="L223" s="62">
        <v>13083489.59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0">
        <v>0</v>
      </c>
      <c r="T223" s="60">
        <v>0</v>
      </c>
      <c r="U223" s="60">
        <v>0</v>
      </c>
      <c r="V223" s="60">
        <v>0</v>
      </c>
      <c r="W223" s="60">
        <v>0</v>
      </c>
      <c r="X223" s="60">
        <v>0</v>
      </c>
      <c r="Y223" s="60">
        <v>0</v>
      </c>
      <c r="Z223" s="60">
        <v>0</v>
      </c>
      <c r="AA223" s="60">
        <v>0</v>
      </c>
      <c r="AB223" s="60">
        <v>0</v>
      </c>
      <c r="AC223" s="60">
        <v>0</v>
      </c>
      <c r="AD223" s="60">
        <v>0</v>
      </c>
      <c r="AE223" s="60">
        <v>0</v>
      </c>
      <c r="AF223" s="170" t="s">
        <v>257</v>
      </c>
      <c r="AG223" s="170">
        <v>2020</v>
      </c>
      <c r="AH223" s="63" t="s">
        <v>257</v>
      </c>
    </row>
    <row r="224" spans="1:34" ht="61.5" x14ac:dyDescent="0.85">
      <c r="A224" s="7">
        <v>1</v>
      </c>
      <c r="B224" s="59">
        <f>SUBTOTAL(103,$A$22:A224)</f>
        <v>200</v>
      </c>
      <c r="C224" s="160" t="s">
        <v>1305</v>
      </c>
      <c r="D224" s="60">
        <f t="shared" si="13"/>
        <v>5478127.7400000002</v>
      </c>
      <c r="E224" s="60">
        <v>0</v>
      </c>
      <c r="F224" s="60">
        <v>0</v>
      </c>
      <c r="G224" s="60">
        <v>0</v>
      </c>
      <c r="H224" s="60">
        <v>0</v>
      </c>
      <c r="I224" s="60">
        <v>0</v>
      </c>
      <c r="J224" s="60">
        <v>0</v>
      </c>
      <c r="K224" s="171">
        <v>3</v>
      </c>
      <c r="L224" s="62">
        <v>5478127.7400000002</v>
      </c>
      <c r="M224" s="60">
        <v>0</v>
      </c>
      <c r="N224" s="60">
        <v>0</v>
      </c>
      <c r="O224" s="60">
        <v>0</v>
      </c>
      <c r="P224" s="60">
        <v>0</v>
      </c>
      <c r="Q224" s="60">
        <v>0</v>
      </c>
      <c r="R224" s="60">
        <v>0</v>
      </c>
      <c r="S224" s="60">
        <v>0</v>
      </c>
      <c r="T224" s="60">
        <v>0</v>
      </c>
      <c r="U224" s="60">
        <v>0</v>
      </c>
      <c r="V224" s="60">
        <v>0</v>
      </c>
      <c r="W224" s="60">
        <v>0</v>
      </c>
      <c r="X224" s="60">
        <v>0</v>
      </c>
      <c r="Y224" s="60">
        <v>0</v>
      </c>
      <c r="Z224" s="60">
        <v>0</v>
      </c>
      <c r="AA224" s="60">
        <v>0</v>
      </c>
      <c r="AB224" s="60">
        <v>0</v>
      </c>
      <c r="AC224" s="60">
        <v>0</v>
      </c>
      <c r="AD224" s="60">
        <v>0</v>
      </c>
      <c r="AE224" s="60">
        <v>0</v>
      </c>
      <c r="AF224" s="170" t="s">
        <v>257</v>
      </c>
      <c r="AG224" s="170">
        <v>2020</v>
      </c>
      <c r="AH224" s="63" t="s">
        <v>257</v>
      </c>
    </row>
    <row r="225" spans="1:34" ht="61.5" x14ac:dyDescent="0.85">
      <c r="A225" s="7">
        <v>1</v>
      </c>
      <c r="B225" s="59">
        <f>SUBTOTAL(103,$A$22:A225)</f>
        <v>201</v>
      </c>
      <c r="C225" s="160" t="s">
        <v>1306</v>
      </c>
      <c r="D225" s="60">
        <f t="shared" si="13"/>
        <v>7310851.2000000002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171">
        <v>4</v>
      </c>
      <c r="L225" s="62">
        <v>7310851.2000000002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0">
        <v>0</v>
      </c>
      <c r="T225" s="60">
        <v>0</v>
      </c>
      <c r="U225" s="60">
        <v>0</v>
      </c>
      <c r="V225" s="60">
        <v>0</v>
      </c>
      <c r="W225" s="60">
        <v>0</v>
      </c>
      <c r="X225" s="60">
        <v>0</v>
      </c>
      <c r="Y225" s="60">
        <v>0</v>
      </c>
      <c r="Z225" s="60">
        <v>0</v>
      </c>
      <c r="AA225" s="60">
        <v>0</v>
      </c>
      <c r="AB225" s="60">
        <v>0</v>
      </c>
      <c r="AC225" s="60">
        <v>0</v>
      </c>
      <c r="AD225" s="60">
        <v>0</v>
      </c>
      <c r="AE225" s="60">
        <v>0</v>
      </c>
      <c r="AF225" s="170" t="s">
        <v>257</v>
      </c>
      <c r="AG225" s="170">
        <v>2020</v>
      </c>
      <c r="AH225" s="63" t="s">
        <v>257</v>
      </c>
    </row>
    <row r="226" spans="1:34" ht="61.5" x14ac:dyDescent="0.85">
      <c r="A226" s="7">
        <v>1</v>
      </c>
      <c r="B226" s="59">
        <f>SUBTOTAL(103,$A$22:A226)</f>
        <v>202</v>
      </c>
      <c r="C226" s="160" t="s">
        <v>1307</v>
      </c>
      <c r="D226" s="60">
        <f t="shared" si="13"/>
        <v>5327196</v>
      </c>
      <c r="E226" s="60">
        <v>0</v>
      </c>
      <c r="F226" s="60">
        <v>0</v>
      </c>
      <c r="G226" s="60">
        <v>0</v>
      </c>
      <c r="H226" s="60">
        <v>0</v>
      </c>
      <c r="I226" s="60">
        <v>0</v>
      </c>
      <c r="J226" s="60">
        <v>0</v>
      </c>
      <c r="K226" s="171">
        <v>3</v>
      </c>
      <c r="L226" s="62">
        <v>5327196</v>
      </c>
      <c r="M226" s="60">
        <v>0</v>
      </c>
      <c r="N226" s="60">
        <v>0</v>
      </c>
      <c r="O226" s="60">
        <v>0</v>
      </c>
      <c r="P226" s="60">
        <v>0</v>
      </c>
      <c r="Q226" s="60">
        <v>0</v>
      </c>
      <c r="R226" s="60">
        <v>0</v>
      </c>
      <c r="S226" s="60">
        <v>0</v>
      </c>
      <c r="T226" s="60">
        <v>0</v>
      </c>
      <c r="U226" s="60">
        <v>0</v>
      </c>
      <c r="V226" s="60">
        <v>0</v>
      </c>
      <c r="W226" s="60">
        <v>0</v>
      </c>
      <c r="X226" s="60">
        <v>0</v>
      </c>
      <c r="Y226" s="60">
        <v>0</v>
      </c>
      <c r="Z226" s="60">
        <v>0</v>
      </c>
      <c r="AA226" s="60">
        <v>0</v>
      </c>
      <c r="AB226" s="60">
        <v>0</v>
      </c>
      <c r="AC226" s="60">
        <v>0</v>
      </c>
      <c r="AD226" s="60">
        <v>0</v>
      </c>
      <c r="AE226" s="60">
        <v>0</v>
      </c>
      <c r="AF226" s="170" t="s">
        <v>257</v>
      </c>
      <c r="AG226" s="170">
        <v>2020</v>
      </c>
      <c r="AH226" s="63" t="s">
        <v>257</v>
      </c>
    </row>
    <row r="227" spans="1:34" ht="61.5" x14ac:dyDescent="0.85">
      <c r="A227" s="7">
        <v>1</v>
      </c>
      <c r="B227" s="59">
        <f>SUBTOTAL(103,$A$22:A227)</f>
        <v>203</v>
      </c>
      <c r="C227" s="160" t="s">
        <v>1308</v>
      </c>
      <c r="D227" s="60">
        <f t="shared" si="13"/>
        <v>7367915.9199999999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171">
        <v>4</v>
      </c>
      <c r="L227" s="62">
        <v>7367915.9199999999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0">
        <v>0</v>
      </c>
      <c r="T227" s="60">
        <v>0</v>
      </c>
      <c r="U227" s="60">
        <v>0</v>
      </c>
      <c r="V227" s="60">
        <v>0</v>
      </c>
      <c r="W227" s="60">
        <v>0</v>
      </c>
      <c r="X227" s="60">
        <v>0</v>
      </c>
      <c r="Y227" s="60">
        <v>0</v>
      </c>
      <c r="Z227" s="60">
        <v>0</v>
      </c>
      <c r="AA227" s="60">
        <v>0</v>
      </c>
      <c r="AB227" s="60">
        <v>0</v>
      </c>
      <c r="AC227" s="60">
        <v>0</v>
      </c>
      <c r="AD227" s="60">
        <v>0</v>
      </c>
      <c r="AE227" s="60">
        <v>0</v>
      </c>
      <c r="AF227" s="170" t="s">
        <v>257</v>
      </c>
      <c r="AG227" s="170">
        <v>2020</v>
      </c>
      <c r="AH227" s="63" t="s">
        <v>257</v>
      </c>
    </row>
    <row r="228" spans="1:34" ht="61.5" x14ac:dyDescent="0.85">
      <c r="A228" s="7">
        <v>1</v>
      </c>
      <c r="B228" s="59">
        <f>SUBTOTAL(103,$A$22:A228)</f>
        <v>204</v>
      </c>
      <c r="C228" s="160" t="s">
        <v>1309</v>
      </c>
      <c r="D228" s="60">
        <f t="shared" si="13"/>
        <v>5462413.6200000001</v>
      </c>
      <c r="E228" s="60">
        <v>0</v>
      </c>
      <c r="F228" s="60">
        <v>0</v>
      </c>
      <c r="G228" s="60">
        <v>0</v>
      </c>
      <c r="H228" s="60">
        <v>0</v>
      </c>
      <c r="I228" s="60">
        <v>0</v>
      </c>
      <c r="J228" s="60">
        <v>0</v>
      </c>
      <c r="K228" s="171">
        <v>3</v>
      </c>
      <c r="L228" s="62">
        <v>5462413.6200000001</v>
      </c>
      <c r="M228" s="60">
        <v>0</v>
      </c>
      <c r="N228" s="60">
        <v>0</v>
      </c>
      <c r="O228" s="60">
        <v>0</v>
      </c>
      <c r="P228" s="60">
        <v>0</v>
      </c>
      <c r="Q228" s="60">
        <v>0</v>
      </c>
      <c r="R228" s="60">
        <v>0</v>
      </c>
      <c r="S228" s="60">
        <v>0</v>
      </c>
      <c r="T228" s="60">
        <v>0</v>
      </c>
      <c r="U228" s="60">
        <v>0</v>
      </c>
      <c r="V228" s="60">
        <v>0</v>
      </c>
      <c r="W228" s="60">
        <v>0</v>
      </c>
      <c r="X228" s="60">
        <v>0</v>
      </c>
      <c r="Y228" s="60">
        <v>0</v>
      </c>
      <c r="Z228" s="60">
        <v>0</v>
      </c>
      <c r="AA228" s="60">
        <v>0</v>
      </c>
      <c r="AB228" s="60">
        <v>0</v>
      </c>
      <c r="AC228" s="60">
        <v>0</v>
      </c>
      <c r="AD228" s="60">
        <v>0</v>
      </c>
      <c r="AE228" s="60">
        <v>0</v>
      </c>
      <c r="AF228" s="170" t="s">
        <v>257</v>
      </c>
      <c r="AG228" s="170">
        <v>2020</v>
      </c>
      <c r="AH228" s="63" t="s">
        <v>257</v>
      </c>
    </row>
    <row r="229" spans="1:34" ht="61.5" x14ac:dyDescent="0.85">
      <c r="A229" s="7">
        <v>1</v>
      </c>
      <c r="B229" s="59">
        <f>SUBTOTAL(103,$A$22:A229)</f>
        <v>205</v>
      </c>
      <c r="C229" s="160" t="s">
        <v>1442</v>
      </c>
      <c r="D229" s="60">
        <f t="shared" si="13"/>
        <v>1452147.29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171">
        <v>1</v>
      </c>
      <c r="L229" s="62">
        <v>1452147.29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0">
        <v>0</v>
      </c>
      <c r="T229" s="60">
        <v>0</v>
      </c>
      <c r="U229" s="60">
        <v>0</v>
      </c>
      <c r="V229" s="60">
        <v>0</v>
      </c>
      <c r="W229" s="60">
        <v>0</v>
      </c>
      <c r="X229" s="60">
        <v>0</v>
      </c>
      <c r="Y229" s="60">
        <v>0</v>
      </c>
      <c r="Z229" s="60">
        <v>0</v>
      </c>
      <c r="AA229" s="60">
        <v>0</v>
      </c>
      <c r="AB229" s="60">
        <v>0</v>
      </c>
      <c r="AC229" s="60">
        <v>0</v>
      </c>
      <c r="AD229" s="60">
        <v>0</v>
      </c>
      <c r="AE229" s="60">
        <v>0</v>
      </c>
      <c r="AF229" s="170" t="s">
        <v>257</v>
      </c>
      <c r="AG229" s="170">
        <v>2020</v>
      </c>
      <c r="AH229" s="63" t="s">
        <v>257</v>
      </c>
    </row>
    <row r="230" spans="1:34" ht="61.5" x14ac:dyDescent="0.85">
      <c r="A230" s="7">
        <v>1</v>
      </c>
      <c r="B230" s="59">
        <f>SUBTOTAL(103,$A$22:A230)</f>
        <v>206</v>
      </c>
      <c r="C230" s="160" t="s">
        <v>1443</v>
      </c>
      <c r="D230" s="60">
        <f t="shared" si="13"/>
        <v>2915220.6</v>
      </c>
      <c r="E230" s="60">
        <v>0</v>
      </c>
      <c r="F230" s="60">
        <v>0</v>
      </c>
      <c r="G230" s="60">
        <v>0</v>
      </c>
      <c r="H230" s="60">
        <v>0</v>
      </c>
      <c r="I230" s="60">
        <v>0</v>
      </c>
      <c r="J230" s="60">
        <v>0</v>
      </c>
      <c r="K230" s="171">
        <v>2</v>
      </c>
      <c r="L230" s="62">
        <v>2915220.6</v>
      </c>
      <c r="M230" s="60">
        <v>0</v>
      </c>
      <c r="N230" s="60">
        <v>0</v>
      </c>
      <c r="O230" s="60">
        <v>0</v>
      </c>
      <c r="P230" s="60">
        <v>0</v>
      </c>
      <c r="Q230" s="60">
        <v>0</v>
      </c>
      <c r="R230" s="60">
        <v>0</v>
      </c>
      <c r="S230" s="60">
        <v>0</v>
      </c>
      <c r="T230" s="60">
        <v>0</v>
      </c>
      <c r="U230" s="60">
        <v>0</v>
      </c>
      <c r="V230" s="60">
        <v>0</v>
      </c>
      <c r="W230" s="60">
        <v>0</v>
      </c>
      <c r="X230" s="60">
        <v>0</v>
      </c>
      <c r="Y230" s="60">
        <v>0</v>
      </c>
      <c r="Z230" s="60">
        <v>0</v>
      </c>
      <c r="AA230" s="60">
        <v>0</v>
      </c>
      <c r="AB230" s="60">
        <v>0</v>
      </c>
      <c r="AC230" s="60">
        <v>0</v>
      </c>
      <c r="AD230" s="60">
        <v>0</v>
      </c>
      <c r="AE230" s="60">
        <v>0</v>
      </c>
      <c r="AF230" s="170" t="s">
        <v>257</v>
      </c>
      <c r="AG230" s="170">
        <v>2020</v>
      </c>
      <c r="AH230" s="63" t="s">
        <v>257</v>
      </c>
    </row>
    <row r="231" spans="1:34" ht="61.5" x14ac:dyDescent="0.85">
      <c r="A231" s="7">
        <v>1</v>
      </c>
      <c r="B231" s="59">
        <f>SUBTOTAL(103,$A$22:A231)</f>
        <v>207</v>
      </c>
      <c r="C231" s="160" t="s">
        <v>1444</v>
      </c>
      <c r="D231" s="60">
        <f t="shared" si="13"/>
        <v>4354761.09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171">
        <v>3</v>
      </c>
      <c r="L231" s="62">
        <v>4354761.09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0">
        <v>0</v>
      </c>
      <c r="T231" s="60">
        <v>0</v>
      </c>
      <c r="U231" s="60">
        <v>0</v>
      </c>
      <c r="V231" s="60">
        <v>0</v>
      </c>
      <c r="W231" s="60">
        <v>0</v>
      </c>
      <c r="X231" s="60">
        <v>0</v>
      </c>
      <c r="Y231" s="60">
        <v>0</v>
      </c>
      <c r="Z231" s="60">
        <v>0</v>
      </c>
      <c r="AA231" s="60">
        <v>0</v>
      </c>
      <c r="AB231" s="60">
        <v>0</v>
      </c>
      <c r="AC231" s="60">
        <v>0</v>
      </c>
      <c r="AD231" s="60">
        <v>0</v>
      </c>
      <c r="AE231" s="60">
        <v>0</v>
      </c>
      <c r="AF231" s="170" t="s">
        <v>257</v>
      </c>
      <c r="AG231" s="170">
        <v>2020</v>
      </c>
      <c r="AH231" s="63" t="s">
        <v>257</v>
      </c>
    </row>
    <row r="232" spans="1:34" ht="61.5" x14ac:dyDescent="0.85">
      <c r="A232" s="7">
        <v>1</v>
      </c>
      <c r="B232" s="59">
        <f>SUBTOTAL(103,$A$22:A232)</f>
        <v>208</v>
      </c>
      <c r="C232" s="160" t="s">
        <v>723</v>
      </c>
      <c r="D232" s="60">
        <f t="shared" si="13"/>
        <v>4557762.04</v>
      </c>
      <c r="E232" s="60">
        <v>0</v>
      </c>
      <c r="F232" s="60">
        <v>0</v>
      </c>
      <c r="G232" s="60">
        <v>0</v>
      </c>
      <c r="H232" s="60">
        <v>0</v>
      </c>
      <c r="I232" s="60">
        <v>0</v>
      </c>
      <c r="J232" s="60">
        <v>0</v>
      </c>
      <c r="K232" s="168">
        <v>3</v>
      </c>
      <c r="L232" s="60">
        <f>1491526.65+1491526.66+1491526.66</f>
        <v>4474579.97</v>
      </c>
      <c r="M232" s="60">
        <v>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60">
        <v>0</v>
      </c>
      <c r="T232" s="60">
        <v>0</v>
      </c>
      <c r="U232" s="60">
        <v>0</v>
      </c>
      <c r="V232" s="60">
        <v>0</v>
      </c>
      <c r="W232" s="60">
        <v>0</v>
      </c>
      <c r="X232" s="60">
        <v>0</v>
      </c>
      <c r="Y232" s="60">
        <v>0</v>
      </c>
      <c r="Z232" s="60">
        <v>0</v>
      </c>
      <c r="AA232" s="60">
        <v>0</v>
      </c>
      <c r="AB232" s="60">
        <v>0</v>
      </c>
      <c r="AC232" s="60">
        <v>0</v>
      </c>
      <c r="AD232" s="60">
        <v>83182.070000000007</v>
      </c>
      <c r="AE232" s="60">
        <v>0</v>
      </c>
      <c r="AF232" s="170">
        <v>2020</v>
      </c>
      <c r="AG232" s="170">
        <v>2020</v>
      </c>
      <c r="AH232" s="63" t="s">
        <v>257</v>
      </c>
    </row>
    <row r="233" spans="1:34" ht="61.5" x14ac:dyDescent="0.85">
      <c r="A233" s="7">
        <v>1</v>
      </c>
      <c r="B233" s="59">
        <f>SUBTOTAL(103,$A$22:A233)</f>
        <v>209</v>
      </c>
      <c r="C233" s="160" t="s">
        <v>726</v>
      </c>
      <c r="D233" s="60">
        <f t="shared" si="13"/>
        <v>3054448.7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168">
        <v>2</v>
      </c>
      <c r="L233" s="60">
        <f>1489026.29+1489026.29</f>
        <v>2978052.58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0">
        <v>0</v>
      </c>
      <c r="T233" s="60">
        <v>0</v>
      </c>
      <c r="U233" s="60">
        <v>0</v>
      </c>
      <c r="V233" s="60">
        <v>0</v>
      </c>
      <c r="W233" s="60">
        <v>0</v>
      </c>
      <c r="X233" s="60">
        <v>0</v>
      </c>
      <c r="Y233" s="60">
        <v>0</v>
      </c>
      <c r="Z233" s="60">
        <v>0</v>
      </c>
      <c r="AA233" s="60">
        <v>0</v>
      </c>
      <c r="AB233" s="60">
        <v>0</v>
      </c>
      <c r="AC233" s="60">
        <v>0</v>
      </c>
      <c r="AD233" s="60">
        <v>76396.12</v>
      </c>
      <c r="AE233" s="60">
        <v>0</v>
      </c>
      <c r="AF233" s="170">
        <v>2020</v>
      </c>
      <c r="AG233" s="170">
        <v>2020</v>
      </c>
      <c r="AH233" s="63" t="s">
        <v>257</v>
      </c>
    </row>
    <row r="234" spans="1:34" ht="61.5" x14ac:dyDescent="0.85">
      <c r="A234" s="7">
        <v>1</v>
      </c>
      <c r="B234" s="59">
        <f>SUBTOTAL(103,$A$22:A234)</f>
        <v>210</v>
      </c>
      <c r="C234" s="160" t="s">
        <v>728</v>
      </c>
      <c r="D234" s="60">
        <f t="shared" si="13"/>
        <v>3051298.6999999997</v>
      </c>
      <c r="E234" s="60">
        <v>0</v>
      </c>
      <c r="F234" s="60">
        <v>0</v>
      </c>
      <c r="G234" s="60">
        <v>0</v>
      </c>
      <c r="H234" s="60">
        <v>0</v>
      </c>
      <c r="I234" s="60">
        <v>0</v>
      </c>
      <c r="J234" s="60">
        <v>0</v>
      </c>
      <c r="K234" s="168">
        <v>2</v>
      </c>
      <c r="L234" s="60">
        <f>1487377.4+1487377.4</f>
        <v>2974754.8</v>
      </c>
      <c r="M234" s="60">
        <v>0</v>
      </c>
      <c r="N234" s="60">
        <v>0</v>
      </c>
      <c r="O234" s="60">
        <v>0</v>
      </c>
      <c r="P234" s="60">
        <v>0</v>
      </c>
      <c r="Q234" s="60">
        <v>0</v>
      </c>
      <c r="R234" s="60">
        <v>0</v>
      </c>
      <c r="S234" s="60">
        <v>0</v>
      </c>
      <c r="T234" s="60">
        <v>0</v>
      </c>
      <c r="U234" s="60">
        <v>0</v>
      </c>
      <c r="V234" s="60">
        <v>0</v>
      </c>
      <c r="W234" s="60">
        <v>0</v>
      </c>
      <c r="X234" s="60">
        <v>0</v>
      </c>
      <c r="Y234" s="60">
        <v>0</v>
      </c>
      <c r="Z234" s="60">
        <v>0</v>
      </c>
      <c r="AA234" s="60">
        <v>0</v>
      </c>
      <c r="AB234" s="60">
        <v>0</v>
      </c>
      <c r="AC234" s="60">
        <v>0</v>
      </c>
      <c r="AD234" s="60">
        <v>76543.899999999994</v>
      </c>
      <c r="AE234" s="60">
        <v>0</v>
      </c>
      <c r="AF234" s="170">
        <v>2020</v>
      </c>
      <c r="AG234" s="170">
        <v>2020</v>
      </c>
      <c r="AH234" s="63" t="s">
        <v>257</v>
      </c>
    </row>
    <row r="235" spans="1:34" ht="61.5" x14ac:dyDescent="0.85">
      <c r="A235" s="7">
        <v>1</v>
      </c>
      <c r="B235" s="59">
        <f>SUBTOTAL(103,$A$22:A235)</f>
        <v>211</v>
      </c>
      <c r="C235" s="160" t="s">
        <v>724</v>
      </c>
      <c r="D235" s="60">
        <f t="shared" si="13"/>
        <v>123350.33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168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0">
        <v>0</v>
      </c>
      <c r="T235" s="60">
        <v>0</v>
      </c>
      <c r="U235" s="60">
        <v>0</v>
      </c>
      <c r="V235" s="60">
        <v>0</v>
      </c>
      <c r="W235" s="60">
        <v>0</v>
      </c>
      <c r="X235" s="60">
        <v>0</v>
      </c>
      <c r="Y235" s="60">
        <v>0</v>
      </c>
      <c r="Z235" s="60">
        <v>0</v>
      </c>
      <c r="AA235" s="60">
        <v>0</v>
      </c>
      <c r="AB235" s="60">
        <v>0</v>
      </c>
      <c r="AC235" s="60">
        <v>0</v>
      </c>
      <c r="AD235" s="60">
        <v>123350.33</v>
      </c>
      <c r="AE235" s="60">
        <v>0</v>
      </c>
      <c r="AF235" s="170">
        <v>2020</v>
      </c>
      <c r="AG235" s="170" t="s">
        <v>257</v>
      </c>
      <c r="AH235" s="63" t="s">
        <v>257</v>
      </c>
    </row>
    <row r="236" spans="1:34" ht="61.5" x14ac:dyDescent="0.85">
      <c r="A236" s="7">
        <v>1</v>
      </c>
      <c r="B236" s="59">
        <f>SUBTOTAL(103,$A$22:A236)</f>
        <v>212</v>
      </c>
      <c r="C236" s="160" t="s">
        <v>729</v>
      </c>
      <c r="D236" s="60">
        <f t="shared" si="13"/>
        <v>1765429.7</v>
      </c>
      <c r="E236" s="60">
        <v>0</v>
      </c>
      <c r="F236" s="60">
        <v>0</v>
      </c>
      <c r="G236" s="60">
        <v>0</v>
      </c>
      <c r="H236" s="60">
        <v>0</v>
      </c>
      <c r="I236" s="60">
        <v>0</v>
      </c>
      <c r="J236" s="60">
        <v>0</v>
      </c>
      <c r="K236" s="168">
        <v>1</v>
      </c>
      <c r="L236" s="60">
        <v>1653491.95</v>
      </c>
      <c r="M236" s="60">
        <v>0</v>
      </c>
      <c r="N236" s="60">
        <v>0</v>
      </c>
      <c r="O236" s="60">
        <v>0</v>
      </c>
      <c r="P236" s="60">
        <v>0</v>
      </c>
      <c r="Q236" s="60">
        <v>0</v>
      </c>
      <c r="R236" s="60">
        <v>0</v>
      </c>
      <c r="S236" s="60">
        <v>0</v>
      </c>
      <c r="T236" s="60">
        <v>0</v>
      </c>
      <c r="U236" s="60">
        <v>0</v>
      </c>
      <c r="V236" s="60">
        <v>0</v>
      </c>
      <c r="W236" s="60">
        <v>0</v>
      </c>
      <c r="X236" s="60">
        <v>0</v>
      </c>
      <c r="Y236" s="60">
        <v>0</v>
      </c>
      <c r="Z236" s="60">
        <v>0</v>
      </c>
      <c r="AA236" s="60">
        <v>0</v>
      </c>
      <c r="AB236" s="60">
        <v>0</v>
      </c>
      <c r="AC236" s="60">
        <v>0</v>
      </c>
      <c r="AD236" s="62">
        <v>111937.75</v>
      </c>
      <c r="AE236" s="60">
        <v>0</v>
      </c>
      <c r="AF236" s="170">
        <v>2020</v>
      </c>
      <c r="AG236" s="170">
        <v>2020</v>
      </c>
      <c r="AH236" s="63" t="s">
        <v>257</v>
      </c>
    </row>
    <row r="237" spans="1:34" ht="61.5" x14ac:dyDescent="0.85">
      <c r="A237" s="7">
        <v>1</v>
      </c>
      <c r="B237" s="59">
        <f>SUBTOTAL(103,$A$22:A237)</f>
        <v>213</v>
      </c>
      <c r="C237" s="160" t="s">
        <v>1569</v>
      </c>
      <c r="D237" s="60">
        <f t="shared" si="13"/>
        <v>3250173.78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168">
        <v>2</v>
      </c>
      <c r="L237" s="60">
        <f>1570767.74+1573234.74</f>
        <v>3144002.48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0">
        <v>0</v>
      </c>
      <c r="T237" s="60">
        <v>0</v>
      </c>
      <c r="U237" s="60">
        <v>0</v>
      </c>
      <c r="V237" s="60">
        <v>0</v>
      </c>
      <c r="W237" s="60">
        <v>0</v>
      </c>
      <c r="X237" s="60">
        <v>0</v>
      </c>
      <c r="Y237" s="60">
        <v>0</v>
      </c>
      <c r="Z237" s="60">
        <v>0</v>
      </c>
      <c r="AA237" s="60">
        <v>0</v>
      </c>
      <c r="AB237" s="60">
        <v>0</v>
      </c>
      <c r="AC237" s="60">
        <v>0</v>
      </c>
      <c r="AD237" s="62">
        <v>106171.3</v>
      </c>
      <c r="AE237" s="60">
        <v>0</v>
      </c>
      <c r="AF237" s="170">
        <v>2020</v>
      </c>
      <c r="AG237" s="170">
        <v>2020</v>
      </c>
      <c r="AH237" s="63" t="s">
        <v>257</v>
      </c>
    </row>
    <row r="238" spans="1:34" ht="61.5" x14ac:dyDescent="0.85">
      <c r="A238" s="7">
        <v>1</v>
      </c>
      <c r="B238" s="59">
        <f>SUBTOTAL(103,$A$22:A238)</f>
        <v>214</v>
      </c>
      <c r="C238" s="160" t="s">
        <v>1099</v>
      </c>
      <c r="D238" s="60">
        <f t="shared" si="13"/>
        <v>209545.8</v>
      </c>
      <c r="E238" s="60">
        <v>0</v>
      </c>
      <c r="F238" s="60">
        <v>0</v>
      </c>
      <c r="G238" s="60">
        <v>0</v>
      </c>
      <c r="H238" s="60">
        <v>0</v>
      </c>
      <c r="I238" s="60">
        <v>0</v>
      </c>
      <c r="J238" s="60">
        <v>0</v>
      </c>
      <c r="K238" s="168">
        <v>0</v>
      </c>
      <c r="L238" s="60">
        <v>0</v>
      </c>
      <c r="M238" s="60">
        <v>0</v>
      </c>
      <c r="N238" s="60">
        <v>0</v>
      </c>
      <c r="O238" s="60">
        <v>0</v>
      </c>
      <c r="P238" s="60">
        <v>0</v>
      </c>
      <c r="Q238" s="60">
        <v>0</v>
      </c>
      <c r="R238" s="60">
        <v>0</v>
      </c>
      <c r="S238" s="60">
        <v>0</v>
      </c>
      <c r="T238" s="60">
        <v>0</v>
      </c>
      <c r="U238" s="60">
        <v>0</v>
      </c>
      <c r="V238" s="60">
        <v>0</v>
      </c>
      <c r="W238" s="60">
        <v>0</v>
      </c>
      <c r="X238" s="60">
        <v>0</v>
      </c>
      <c r="Y238" s="60">
        <v>0</v>
      </c>
      <c r="Z238" s="60">
        <v>0</v>
      </c>
      <c r="AA238" s="60">
        <v>0</v>
      </c>
      <c r="AB238" s="60">
        <v>0</v>
      </c>
      <c r="AC238" s="60">
        <f>ROUND(R238*1.5%,2)</f>
        <v>0</v>
      </c>
      <c r="AD238" s="60">
        <v>209545.8</v>
      </c>
      <c r="AE238" s="60">
        <v>0</v>
      </c>
      <c r="AF238" s="170">
        <v>2020</v>
      </c>
      <c r="AG238" s="170" t="s">
        <v>257</v>
      </c>
      <c r="AH238" s="170" t="s">
        <v>257</v>
      </c>
    </row>
    <row r="239" spans="1:34" ht="61.5" x14ac:dyDescent="0.85">
      <c r="B239" s="160" t="s">
        <v>708</v>
      </c>
      <c r="C239" s="176"/>
      <c r="D239" s="177">
        <f t="shared" ref="D239:AE239" si="14">SUM(D240:D244)</f>
        <v>11570369.789999999</v>
      </c>
      <c r="E239" s="60">
        <f t="shared" si="14"/>
        <v>0</v>
      </c>
      <c r="F239" s="60">
        <f t="shared" si="14"/>
        <v>0</v>
      </c>
      <c r="G239" s="60">
        <f t="shared" si="14"/>
        <v>0</v>
      </c>
      <c r="H239" s="60">
        <f t="shared" si="14"/>
        <v>0</v>
      </c>
      <c r="I239" s="60">
        <f t="shared" si="14"/>
        <v>0</v>
      </c>
      <c r="J239" s="60">
        <f t="shared" si="14"/>
        <v>0</v>
      </c>
      <c r="K239" s="168">
        <f t="shared" si="14"/>
        <v>4</v>
      </c>
      <c r="L239" s="60">
        <f t="shared" si="14"/>
        <v>6300657.04</v>
      </c>
      <c r="M239" s="60">
        <f t="shared" si="14"/>
        <v>346.6</v>
      </c>
      <c r="N239" s="60">
        <f t="shared" si="14"/>
        <v>1209598.77</v>
      </c>
      <c r="O239" s="60">
        <f t="shared" si="14"/>
        <v>0</v>
      </c>
      <c r="P239" s="60">
        <f t="shared" si="14"/>
        <v>0</v>
      </c>
      <c r="Q239" s="60">
        <f t="shared" si="14"/>
        <v>2995.9</v>
      </c>
      <c r="R239" s="60">
        <f t="shared" si="14"/>
        <v>3560240.43</v>
      </c>
      <c r="S239" s="60">
        <f t="shared" si="14"/>
        <v>0</v>
      </c>
      <c r="T239" s="60">
        <f t="shared" si="14"/>
        <v>0</v>
      </c>
      <c r="U239" s="60">
        <f t="shared" si="14"/>
        <v>0</v>
      </c>
      <c r="V239" s="60">
        <f t="shared" si="14"/>
        <v>0</v>
      </c>
      <c r="W239" s="60">
        <f t="shared" si="14"/>
        <v>0</v>
      </c>
      <c r="X239" s="60">
        <f t="shared" si="14"/>
        <v>0</v>
      </c>
      <c r="Y239" s="60">
        <f t="shared" si="14"/>
        <v>0</v>
      </c>
      <c r="Z239" s="60">
        <f t="shared" si="14"/>
        <v>0</v>
      </c>
      <c r="AA239" s="60">
        <f t="shared" si="14"/>
        <v>0</v>
      </c>
      <c r="AB239" s="60">
        <f t="shared" si="14"/>
        <v>0</v>
      </c>
      <c r="AC239" s="60">
        <f t="shared" si="14"/>
        <v>30765.46</v>
      </c>
      <c r="AD239" s="60">
        <f t="shared" si="14"/>
        <v>469108.09</v>
      </c>
      <c r="AE239" s="60">
        <f t="shared" si="14"/>
        <v>0</v>
      </c>
      <c r="AF239" s="54" t="s">
        <v>701</v>
      </c>
      <c r="AG239" s="54" t="s">
        <v>701</v>
      </c>
      <c r="AH239" s="55" t="s">
        <v>701</v>
      </c>
    </row>
    <row r="240" spans="1:34" ht="61.5" x14ac:dyDescent="0.85">
      <c r="A240" s="7">
        <v>1</v>
      </c>
      <c r="B240" s="59">
        <f>SUBTOTAL(103,$A$22:A240)</f>
        <v>215</v>
      </c>
      <c r="C240" s="160" t="s">
        <v>360</v>
      </c>
      <c r="D240" s="60">
        <f>E240+F240+G240+H240+I240+J240+L240+N240+P240+R240+T240+U240+V240+W240+X240+Y240+Z240+AA240+AB240+AC240+AD240+AE240</f>
        <v>1217400.68</v>
      </c>
      <c r="E240" s="60">
        <v>0</v>
      </c>
      <c r="F240" s="60">
        <v>0</v>
      </c>
      <c r="G240" s="60">
        <v>0</v>
      </c>
      <c r="H240" s="60">
        <v>0</v>
      </c>
      <c r="I240" s="60">
        <v>0</v>
      </c>
      <c r="J240" s="60">
        <v>0</v>
      </c>
      <c r="K240" s="168">
        <v>0</v>
      </c>
      <c r="L240" s="60">
        <v>0</v>
      </c>
      <c r="M240" s="62">
        <v>346.6</v>
      </c>
      <c r="N240" s="62">
        <v>1209598.77</v>
      </c>
      <c r="O240" s="60">
        <v>0</v>
      </c>
      <c r="P240" s="60">
        <v>0</v>
      </c>
      <c r="Q240" s="60">
        <v>0</v>
      </c>
      <c r="R240" s="60">
        <v>0</v>
      </c>
      <c r="S240" s="60">
        <v>0</v>
      </c>
      <c r="T240" s="60">
        <v>0</v>
      </c>
      <c r="U240" s="60">
        <v>0</v>
      </c>
      <c r="V240" s="60">
        <v>0</v>
      </c>
      <c r="W240" s="60">
        <v>0</v>
      </c>
      <c r="X240" s="60">
        <v>0</v>
      </c>
      <c r="Y240" s="60">
        <v>0</v>
      </c>
      <c r="Z240" s="60">
        <v>0</v>
      </c>
      <c r="AA240" s="60">
        <v>0</v>
      </c>
      <c r="AB240" s="60">
        <v>0</v>
      </c>
      <c r="AC240" s="62">
        <v>7801.91</v>
      </c>
      <c r="AD240" s="60">
        <v>0</v>
      </c>
      <c r="AE240" s="60">
        <v>0</v>
      </c>
      <c r="AF240" s="170" t="s">
        <v>257</v>
      </c>
      <c r="AG240" s="170">
        <v>2020</v>
      </c>
      <c r="AH240" s="63">
        <v>2020</v>
      </c>
    </row>
    <row r="241" spans="1:34" ht="61.5" x14ac:dyDescent="0.85">
      <c r="A241" s="7">
        <v>1</v>
      </c>
      <c r="B241" s="59">
        <f>SUBTOTAL(103,$A$22:A241)</f>
        <v>216</v>
      </c>
      <c r="C241" s="160" t="s">
        <v>361</v>
      </c>
      <c r="D241" s="60">
        <f>E241+F241+G241+H241+I241+J241+L241+N241+P241+R241+T241+U241+V241+W241+X241+Y241+Z241+AA241+AB241+AC241+AD241+AE241</f>
        <v>3757493.57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168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2">
        <v>2995.9</v>
      </c>
      <c r="R241" s="169">
        <v>3560240.43</v>
      </c>
      <c r="S241" s="60">
        <v>0</v>
      </c>
      <c r="T241" s="60">
        <v>0</v>
      </c>
      <c r="U241" s="60">
        <v>0</v>
      </c>
      <c r="V241" s="60">
        <v>0</v>
      </c>
      <c r="W241" s="60">
        <v>0</v>
      </c>
      <c r="X241" s="60">
        <v>0</v>
      </c>
      <c r="Y241" s="60">
        <v>0</v>
      </c>
      <c r="Z241" s="60">
        <v>0</v>
      </c>
      <c r="AA241" s="60">
        <v>0</v>
      </c>
      <c r="AB241" s="60">
        <v>0</v>
      </c>
      <c r="AC241" s="169">
        <v>22963.55</v>
      </c>
      <c r="AD241" s="62">
        <v>174289.59</v>
      </c>
      <c r="AE241" s="60">
        <v>0</v>
      </c>
      <c r="AF241" s="170">
        <v>2020</v>
      </c>
      <c r="AG241" s="170">
        <v>2020</v>
      </c>
      <c r="AH241" s="63">
        <v>2020</v>
      </c>
    </row>
    <row r="242" spans="1:34" ht="61.5" x14ac:dyDescent="0.85">
      <c r="A242" s="7">
        <v>1</v>
      </c>
      <c r="B242" s="59">
        <f>SUBTOTAL(103,$A$22:A242)</f>
        <v>217</v>
      </c>
      <c r="C242" s="160" t="s">
        <v>362</v>
      </c>
      <c r="D242" s="60">
        <f>E242+F242+G242+H242+I242+J242+L242+N242+P242+R242+T242+U242+V242+W242+X242+Y242+Z242+AA242+AB242+AC242+AD242+AE242</f>
        <v>174120.8</v>
      </c>
      <c r="E242" s="60">
        <v>0</v>
      </c>
      <c r="F242" s="60">
        <v>0</v>
      </c>
      <c r="G242" s="60">
        <v>0</v>
      </c>
      <c r="H242" s="60">
        <v>0</v>
      </c>
      <c r="I242" s="60">
        <v>0</v>
      </c>
      <c r="J242" s="60">
        <v>0</v>
      </c>
      <c r="K242" s="168">
        <v>0</v>
      </c>
      <c r="L242" s="60">
        <v>0</v>
      </c>
      <c r="M242" s="60">
        <v>0</v>
      </c>
      <c r="N242" s="60">
        <v>0</v>
      </c>
      <c r="O242" s="60">
        <v>0</v>
      </c>
      <c r="P242" s="60">
        <v>0</v>
      </c>
      <c r="Q242" s="60">
        <v>0</v>
      </c>
      <c r="R242" s="60">
        <v>0</v>
      </c>
      <c r="S242" s="60">
        <v>0</v>
      </c>
      <c r="T242" s="60">
        <v>0</v>
      </c>
      <c r="U242" s="60">
        <v>0</v>
      </c>
      <c r="V242" s="60">
        <v>0</v>
      </c>
      <c r="W242" s="60">
        <v>0</v>
      </c>
      <c r="X242" s="60">
        <v>0</v>
      </c>
      <c r="Y242" s="60">
        <v>0</v>
      </c>
      <c r="Z242" s="60">
        <v>0</v>
      </c>
      <c r="AA242" s="60">
        <v>0</v>
      </c>
      <c r="AB242" s="60">
        <v>0</v>
      </c>
      <c r="AC242" s="60">
        <f>ROUND(R242*1.5%,2)</f>
        <v>0</v>
      </c>
      <c r="AD242" s="169">
        <v>174120.8</v>
      </c>
      <c r="AE242" s="60">
        <v>0</v>
      </c>
      <c r="AF242" s="170">
        <v>2020</v>
      </c>
      <c r="AG242" s="63" t="s">
        <v>257</v>
      </c>
      <c r="AH242" s="63" t="s">
        <v>257</v>
      </c>
    </row>
    <row r="243" spans="1:34" ht="61.5" x14ac:dyDescent="0.85">
      <c r="A243" s="7">
        <v>1</v>
      </c>
      <c r="B243" s="59">
        <f>SUBTOTAL(103,$A$22:A243)</f>
        <v>218</v>
      </c>
      <c r="C243" s="160" t="s">
        <v>1460</v>
      </c>
      <c r="D243" s="60">
        <f>E243+F243+G243+H243+I243+J243+L243+N243+P243+R243+T243+U243+V243+W243+X243+Y243+Z243+AA243+AB243+AC243+AD243+AE243</f>
        <v>6300657.04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171">
        <v>4</v>
      </c>
      <c r="L243" s="62">
        <v>6300657.04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0">
        <v>0</v>
      </c>
      <c r="T243" s="60">
        <v>0</v>
      </c>
      <c r="U243" s="60">
        <v>0</v>
      </c>
      <c r="V243" s="60">
        <v>0</v>
      </c>
      <c r="W243" s="60">
        <v>0</v>
      </c>
      <c r="X243" s="60">
        <v>0</v>
      </c>
      <c r="Y243" s="60">
        <v>0</v>
      </c>
      <c r="Z243" s="60">
        <v>0</v>
      </c>
      <c r="AA243" s="60">
        <v>0</v>
      </c>
      <c r="AB243" s="60">
        <v>0</v>
      </c>
      <c r="AC243" s="60">
        <v>0</v>
      </c>
      <c r="AD243" s="60">
        <v>0</v>
      </c>
      <c r="AE243" s="60">
        <v>0</v>
      </c>
      <c r="AF243" s="170" t="s">
        <v>257</v>
      </c>
      <c r="AG243" s="170">
        <v>2020</v>
      </c>
      <c r="AH243" s="63" t="s">
        <v>257</v>
      </c>
    </row>
    <row r="244" spans="1:34" ht="61.5" x14ac:dyDescent="0.85">
      <c r="A244" s="7">
        <v>1</v>
      </c>
      <c r="B244" s="59">
        <f>SUBTOTAL(103,$A$22:A244)</f>
        <v>219</v>
      </c>
      <c r="C244" s="160" t="s">
        <v>363</v>
      </c>
      <c r="D244" s="60">
        <f>E244+F244+G244+H244+I244+J244+L244+N244+P244+R244+T244+U244+V244+W244+X244+Y244+Z244+AA244+AB244+AC244+AD244+AE244</f>
        <v>120697.7</v>
      </c>
      <c r="E244" s="60">
        <v>0</v>
      </c>
      <c r="F244" s="60">
        <v>0</v>
      </c>
      <c r="G244" s="60">
        <v>0</v>
      </c>
      <c r="H244" s="60">
        <v>0</v>
      </c>
      <c r="I244" s="60">
        <v>0</v>
      </c>
      <c r="J244" s="60">
        <v>0</v>
      </c>
      <c r="K244" s="168">
        <v>0</v>
      </c>
      <c r="L244" s="60">
        <v>0</v>
      </c>
      <c r="M244" s="60">
        <v>0</v>
      </c>
      <c r="N244" s="60">
        <v>0</v>
      </c>
      <c r="O244" s="60">
        <v>0</v>
      </c>
      <c r="P244" s="60">
        <v>0</v>
      </c>
      <c r="Q244" s="60">
        <v>0</v>
      </c>
      <c r="R244" s="60">
        <v>0</v>
      </c>
      <c r="S244" s="60">
        <v>0</v>
      </c>
      <c r="T244" s="60">
        <v>0</v>
      </c>
      <c r="U244" s="60">
        <v>0</v>
      </c>
      <c r="V244" s="60">
        <v>0</v>
      </c>
      <c r="W244" s="60">
        <v>0</v>
      </c>
      <c r="X244" s="60">
        <v>0</v>
      </c>
      <c r="Y244" s="60">
        <v>0</v>
      </c>
      <c r="Z244" s="60">
        <v>0</v>
      </c>
      <c r="AA244" s="60">
        <v>0</v>
      </c>
      <c r="AB244" s="60">
        <v>0</v>
      </c>
      <c r="AC244" s="60">
        <v>0</v>
      </c>
      <c r="AD244" s="60">
        <v>120697.7</v>
      </c>
      <c r="AE244" s="60">
        <v>0</v>
      </c>
      <c r="AF244" s="170">
        <v>2020</v>
      </c>
      <c r="AG244" s="63" t="s">
        <v>257</v>
      </c>
      <c r="AH244" s="63" t="s">
        <v>257</v>
      </c>
    </row>
    <row r="245" spans="1:34" ht="61.5" x14ac:dyDescent="0.85">
      <c r="B245" s="160" t="s">
        <v>760</v>
      </c>
      <c r="C245" s="176"/>
      <c r="D245" s="177">
        <f t="shared" ref="D245:AE245" si="15">SUM(D246:D271)</f>
        <v>65365711.729999989</v>
      </c>
      <c r="E245" s="60">
        <f t="shared" si="15"/>
        <v>682532.23</v>
      </c>
      <c r="F245" s="60">
        <f t="shared" si="15"/>
        <v>1291083.82</v>
      </c>
      <c r="G245" s="60">
        <f t="shared" si="15"/>
        <v>0</v>
      </c>
      <c r="H245" s="60">
        <f t="shared" si="15"/>
        <v>288852.59999999998</v>
      </c>
      <c r="I245" s="60">
        <f t="shared" si="15"/>
        <v>0</v>
      </c>
      <c r="J245" s="60">
        <f t="shared" si="15"/>
        <v>0</v>
      </c>
      <c r="K245" s="168">
        <f t="shared" si="15"/>
        <v>5</v>
      </c>
      <c r="L245" s="60">
        <f t="shared" si="15"/>
        <v>8620900.5199999996</v>
      </c>
      <c r="M245" s="60">
        <f t="shared" si="15"/>
        <v>15160.69</v>
      </c>
      <c r="N245" s="60">
        <f t="shared" si="15"/>
        <v>51287574.990000002</v>
      </c>
      <c r="O245" s="60">
        <f t="shared" si="15"/>
        <v>0</v>
      </c>
      <c r="P245" s="60">
        <f t="shared" si="15"/>
        <v>0</v>
      </c>
      <c r="Q245" s="60">
        <f t="shared" si="15"/>
        <v>639.89</v>
      </c>
      <c r="R245" s="60">
        <f t="shared" si="15"/>
        <v>1660924.18</v>
      </c>
      <c r="S245" s="60">
        <f t="shared" si="15"/>
        <v>0</v>
      </c>
      <c r="T245" s="60">
        <f t="shared" si="15"/>
        <v>0</v>
      </c>
      <c r="U245" s="60">
        <f t="shared" si="15"/>
        <v>0</v>
      </c>
      <c r="V245" s="60">
        <f t="shared" si="15"/>
        <v>0</v>
      </c>
      <c r="W245" s="60">
        <f t="shared" si="15"/>
        <v>0</v>
      </c>
      <c r="X245" s="60">
        <f t="shared" si="15"/>
        <v>0</v>
      </c>
      <c r="Y245" s="60">
        <f t="shared" si="15"/>
        <v>0</v>
      </c>
      <c r="Z245" s="60">
        <f t="shared" si="15"/>
        <v>0</v>
      </c>
      <c r="AA245" s="60">
        <f t="shared" si="15"/>
        <v>0</v>
      </c>
      <c r="AB245" s="60">
        <f t="shared" si="15"/>
        <v>0</v>
      </c>
      <c r="AC245" s="60">
        <f t="shared" si="15"/>
        <v>474788.58</v>
      </c>
      <c r="AD245" s="60">
        <f t="shared" si="15"/>
        <v>1059054.8099999998</v>
      </c>
      <c r="AE245" s="60">
        <f t="shared" si="15"/>
        <v>0</v>
      </c>
      <c r="AF245" s="54" t="s">
        <v>701</v>
      </c>
      <c r="AG245" s="54" t="s">
        <v>701</v>
      </c>
      <c r="AH245" s="55" t="s">
        <v>701</v>
      </c>
    </row>
    <row r="246" spans="1:34" ht="61.5" x14ac:dyDescent="0.85">
      <c r="A246" s="7">
        <v>1</v>
      </c>
      <c r="B246" s="59">
        <f>SUBTOTAL(103,$A$22:A246)</f>
        <v>220</v>
      </c>
      <c r="C246" s="160" t="s">
        <v>574</v>
      </c>
      <c r="D246" s="60">
        <f t="shared" ref="D246:D271" si="16">E246+F246+G246+H246+I246+J246+L246+N246+P246+R246+T246+U246+V246+W246+X246+Y246+Z246+AA246+AB246+AC246+AD246+AE246</f>
        <v>3589738.75</v>
      </c>
      <c r="E246" s="180">
        <v>0</v>
      </c>
      <c r="F246" s="180">
        <v>0</v>
      </c>
      <c r="G246" s="180">
        <v>0</v>
      </c>
      <c r="H246" s="180">
        <v>0</v>
      </c>
      <c r="I246" s="180">
        <v>0</v>
      </c>
      <c r="J246" s="180">
        <v>0</v>
      </c>
      <c r="K246" s="171">
        <v>2</v>
      </c>
      <c r="L246" s="62">
        <f>1884703.03+1705035.72</f>
        <v>3589738.75</v>
      </c>
      <c r="M246" s="60">
        <v>0</v>
      </c>
      <c r="N246" s="60">
        <v>0</v>
      </c>
      <c r="O246" s="180">
        <v>0</v>
      </c>
      <c r="P246" s="180">
        <v>0</v>
      </c>
      <c r="Q246" s="180">
        <v>0</v>
      </c>
      <c r="R246" s="180">
        <v>0</v>
      </c>
      <c r="S246" s="60">
        <v>0</v>
      </c>
      <c r="T246" s="60">
        <v>0</v>
      </c>
      <c r="U246" s="60">
        <v>0</v>
      </c>
      <c r="V246" s="60">
        <v>0</v>
      </c>
      <c r="W246" s="60">
        <v>0</v>
      </c>
      <c r="X246" s="60">
        <v>0</v>
      </c>
      <c r="Y246" s="60">
        <v>0</v>
      </c>
      <c r="Z246" s="60">
        <v>0</v>
      </c>
      <c r="AA246" s="60">
        <v>0</v>
      </c>
      <c r="AB246" s="60">
        <v>0</v>
      </c>
      <c r="AC246" s="60">
        <v>0</v>
      </c>
      <c r="AD246" s="60">
        <v>0</v>
      </c>
      <c r="AE246" s="60">
        <v>0</v>
      </c>
      <c r="AF246" s="170" t="s">
        <v>257</v>
      </c>
      <c r="AG246" s="170">
        <v>2020</v>
      </c>
      <c r="AH246" s="63" t="s">
        <v>257</v>
      </c>
    </row>
    <row r="247" spans="1:34" ht="61.5" x14ac:dyDescent="0.85">
      <c r="A247" s="7">
        <v>1</v>
      </c>
      <c r="B247" s="59">
        <f>SUBTOTAL(103,$A$22:A247)</f>
        <v>221</v>
      </c>
      <c r="C247" s="160" t="s">
        <v>578</v>
      </c>
      <c r="D247" s="60">
        <f t="shared" si="16"/>
        <v>130936.07</v>
      </c>
      <c r="E247" s="180">
        <v>0</v>
      </c>
      <c r="F247" s="180">
        <v>0</v>
      </c>
      <c r="G247" s="180">
        <v>0</v>
      </c>
      <c r="H247" s="180">
        <v>0</v>
      </c>
      <c r="I247" s="180">
        <v>0</v>
      </c>
      <c r="J247" s="180">
        <v>0</v>
      </c>
      <c r="K247" s="168">
        <v>0</v>
      </c>
      <c r="L247" s="60">
        <v>0</v>
      </c>
      <c r="M247" s="60">
        <v>0</v>
      </c>
      <c r="N247" s="60">
        <v>0</v>
      </c>
      <c r="O247" s="180">
        <v>0</v>
      </c>
      <c r="P247" s="180">
        <v>0</v>
      </c>
      <c r="Q247" s="180">
        <v>0</v>
      </c>
      <c r="R247" s="180">
        <v>0</v>
      </c>
      <c r="S247" s="60">
        <v>0</v>
      </c>
      <c r="T247" s="60">
        <v>0</v>
      </c>
      <c r="U247" s="60">
        <v>0</v>
      </c>
      <c r="V247" s="60">
        <v>0</v>
      </c>
      <c r="W247" s="60">
        <v>0</v>
      </c>
      <c r="X247" s="60">
        <v>0</v>
      </c>
      <c r="Y247" s="60">
        <v>0</v>
      </c>
      <c r="Z247" s="60">
        <v>0</v>
      </c>
      <c r="AA247" s="60">
        <v>0</v>
      </c>
      <c r="AB247" s="60">
        <v>0</v>
      </c>
      <c r="AC247" s="60">
        <f>ROUND(U247*1.5%,2)</f>
        <v>0</v>
      </c>
      <c r="AD247" s="62">
        <v>130936.07</v>
      </c>
      <c r="AE247" s="60">
        <v>0</v>
      </c>
      <c r="AF247" s="170">
        <v>2020</v>
      </c>
      <c r="AG247" s="63" t="s">
        <v>257</v>
      </c>
      <c r="AH247" s="63" t="s">
        <v>257</v>
      </c>
    </row>
    <row r="248" spans="1:34" ht="61.5" x14ac:dyDescent="0.85">
      <c r="A248" s="7">
        <v>1</v>
      </c>
      <c r="B248" s="59">
        <f>SUBTOTAL(103,$A$22:A248)</f>
        <v>222</v>
      </c>
      <c r="C248" s="160" t="s">
        <v>579</v>
      </c>
      <c r="D248" s="60">
        <f t="shared" si="16"/>
        <v>143632.79</v>
      </c>
      <c r="E248" s="180">
        <v>0</v>
      </c>
      <c r="F248" s="180">
        <v>0</v>
      </c>
      <c r="G248" s="180">
        <v>0</v>
      </c>
      <c r="H248" s="180">
        <v>0</v>
      </c>
      <c r="I248" s="180">
        <v>0</v>
      </c>
      <c r="J248" s="180">
        <v>0</v>
      </c>
      <c r="K248" s="168">
        <v>0</v>
      </c>
      <c r="L248" s="60">
        <v>0</v>
      </c>
      <c r="M248" s="60">
        <v>0</v>
      </c>
      <c r="N248" s="60">
        <v>0</v>
      </c>
      <c r="O248" s="180">
        <v>0</v>
      </c>
      <c r="P248" s="180">
        <v>0</v>
      </c>
      <c r="Q248" s="60">
        <v>0</v>
      </c>
      <c r="R248" s="60">
        <v>0</v>
      </c>
      <c r="S248" s="60">
        <v>0</v>
      </c>
      <c r="T248" s="60">
        <v>0</v>
      </c>
      <c r="U248" s="60">
        <v>0</v>
      </c>
      <c r="V248" s="60">
        <v>0</v>
      </c>
      <c r="W248" s="60">
        <v>0</v>
      </c>
      <c r="X248" s="60">
        <v>0</v>
      </c>
      <c r="Y248" s="60">
        <v>0</v>
      </c>
      <c r="Z248" s="60">
        <v>0</v>
      </c>
      <c r="AA248" s="60">
        <v>0</v>
      </c>
      <c r="AB248" s="60">
        <v>0</v>
      </c>
      <c r="AC248" s="60">
        <f>ROUND((R248+T248)*1.5%,2)</f>
        <v>0</v>
      </c>
      <c r="AD248" s="169">
        <v>143632.79</v>
      </c>
      <c r="AE248" s="60">
        <v>0</v>
      </c>
      <c r="AF248" s="170">
        <v>2020</v>
      </c>
      <c r="AG248" s="63" t="s">
        <v>257</v>
      </c>
      <c r="AH248" s="63" t="s">
        <v>257</v>
      </c>
    </row>
    <row r="249" spans="1:34" ht="61.5" x14ac:dyDescent="0.85">
      <c r="A249" s="7">
        <v>1</v>
      </c>
      <c r="B249" s="59">
        <f>SUBTOTAL(103,$A$22:A249)</f>
        <v>223</v>
      </c>
      <c r="C249" s="160" t="s">
        <v>582</v>
      </c>
      <c r="D249" s="60">
        <f t="shared" si="16"/>
        <v>3407945.42</v>
      </c>
      <c r="E249" s="180">
        <v>0</v>
      </c>
      <c r="F249" s="180">
        <v>0</v>
      </c>
      <c r="G249" s="180">
        <v>0</v>
      </c>
      <c r="H249" s="180">
        <v>0</v>
      </c>
      <c r="I249" s="180">
        <v>0</v>
      </c>
      <c r="J249" s="180">
        <v>0</v>
      </c>
      <c r="K249" s="171">
        <v>2</v>
      </c>
      <c r="L249" s="62">
        <v>3407945.42</v>
      </c>
      <c r="M249" s="60">
        <v>0</v>
      </c>
      <c r="N249" s="60">
        <v>0</v>
      </c>
      <c r="O249" s="180">
        <v>0</v>
      </c>
      <c r="P249" s="180">
        <v>0</v>
      </c>
      <c r="Q249" s="60">
        <v>0</v>
      </c>
      <c r="R249" s="60">
        <v>0</v>
      </c>
      <c r="S249" s="60">
        <v>0</v>
      </c>
      <c r="T249" s="60">
        <v>0</v>
      </c>
      <c r="U249" s="60">
        <v>0</v>
      </c>
      <c r="V249" s="60">
        <v>0</v>
      </c>
      <c r="W249" s="60">
        <v>0</v>
      </c>
      <c r="X249" s="60">
        <v>0</v>
      </c>
      <c r="Y249" s="60">
        <v>0</v>
      </c>
      <c r="Z249" s="60">
        <v>0</v>
      </c>
      <c r="AA249" s="60">
        <v>0</v>
      </c>
      <c r="AB249" s="60">
        <v>0</v>
      </c>
      <c r="AC249" s="60">
        <v>0</v>
      </c>
      <c r="AD249" s="60">
        <v>0</v>
      </c>
      <c r="AE249" s="60">
        <v>0</v>
      </c>
      <c r="AF249" s="170" t="s">
        <v>257</v>
      </c>
      <c r="AG249" s="170">
        <v>2020</v>
      </c>
      <c r="AH249" s="63" t="s">
        <v>257</v>
      </c>
    </row>
    <row r="250" spans="1:34" ht="61.5" x14ac:dyDescent="0.85">
      <c r="A250" s="7">
        <v>1</v>
      </c>
      <c r="B250" s="59">
        <f>SUBTOTAL(103,$A$22:A250)</f>
        <v>224</v>
      </c>
      <c r="C250" s="160" t="s">
        <v>584</v>
      </c>
      <c r="D250" s="60">
        <f t="shared" si="16"/>
        <v>1860691.51</v>
      </c>
      <c r="E250" s="180">
        <v>0</v>
      </c>
      <c r="F250" s="180">
        <v>0</v>
      </c>
      <c r="G250" s="180">
        <v>0</v>
      </c>
      <c r="H250" s="180">
        <v>0</v>
      </c>
      <c r="I250" s="180">
        <v>0</v>
      </c>
      <c r="J250" s="180">
        <v>0</v>
      </c>
      <c r="K250" s="168">
        <v>0</v>
      </c>
      <c r="L250" s="60">
        <v>0</v>
      </c>
      <c r="M250" s="62">
        <v>500</v>
      </c>
      <c r="N250" s="62">
        <v>1799039.95</v>
      </c>
      <c r="O250" s="180">
        <v>0</v>
      </c>
      <c r="P250" s="180">
        <v>0</v>
      </c>
      <c r="Q250" s="60">
        <v>0</v>
      </c>
      <c r="R250" s="60">
        <v>0</v>
      </c>
      <c r="S250" s="60">
        <v>0</v>
      </c>
      <c r="T250" s="60">
        <v>0</v>
      </c>
      <c r="U250" s="60">
        <v>0</v>
      </c>
      <c r="V250" s="60">
        <v>0</v>
      </c>
      <c r="W250" s="60">
        <v>0</v>
      </c>
      <c r="X250" s="60">
        <v>0</v>
      </c>
      <c r="Y250" s="60">
        <v>0</v>
      </c>
      <c r="Z250" s="60">
        <v>0</v>
      </c>
      <c r="AA250" s="60">
        <v>0</v>
      </c>
      <c r="AB250" s="60">
        <v>0</v>
      </c>
      <c r="AC250" s="62">
        <v>10794.24</v>
      </c>
      <c r="AD250" s="62">
        <v>50857.32</v>
      </c>
      <c r="AE250" s="60">
        <v>0</v>
      </c>
      <c r="AF250" s="170">
        <v>2020</v>
      </c>
      <c r="AG250" s="170">
        <v>2020</v>
      </c>
      <c r="AH250" s="63">
        <v>2020</v>
      </c>
    </row>
    <row r="251" spans="1:34" ht="61.5" x14ac:dyDescent="0.85">
      <c r="A251" s="7">
        <v>1</v>
      </c>
      <c r="B251" s="59">
        <f>SUBTOTAL(103,$A$22:A251)</f>
        <v>225</v>
      </c>
      <c r="C251" s="160" t="s">
        <v>587</v>
      </c>
      <c r="D251" s="60">
        <f t="shared" si="16"/>
        <v>2404378.48</v>
      </c>
      <c r="E251" s="180">
        <v>0</v>
      </c>
      <c r="F251" s="180">
        <v>0</v>
      </c>
      <c r="G251" s="180">
        <v>0</v>
      </c>
      <c r="H251" s="180">
        <v>0</v>
      </c>
      <c r="I251" s="180">
        <v>0</v>
      </c>
      <c r="J251" s="180">
        <v>0</v>
      </c>
      <c r="K251" s="168">
        <v>0</v>
      </c>
      <c r="L251" s="60">
        <v>0</v>
      </c>
      <c r="M251" s="62">
        <v>541.6</v>
      </c>
      <c r="N251" s="62">
        <v>2283128.7999999998</v>
      </c>
      <c r="O251" s="180">
        <v>0</v>
      </c>
      <c r="P251" s="180">
        <v>0</v>
      </c>
      <c r="Q251" s="60">
        <v>0</v>
      </c>
      <c r="R251" s="60">
        <v>0</v>
      </c>
      <c r="S251" s="60">
        <v>0</v>
      </c>
      <c r="T251" s="60">
        <v>0</v>
      </c>
      <c r="U251" s="60">
        <v>0</v>
      </c>
      <c r="V251" s="60">
        <v>0</v>
      </c>
      <c r="W251" s="60">
        <v>0</v>
      </c>
      <c r="X251" s="60">
        <v>0</v>
      </c>
      <c r="Y251" s="60">
        <v>0</v>
      </c>
      <c r="Z251" s="60">
        <v>0</v>
      </c>
      <c r="AA251" s="60">
        <v>0</v>
      </c>
      <c r="AB251" s="60">
        <v>0</v>
      </c>
      <c r="AC251" s="169">
        <v>13698.77</v>
      </c>
      <c r="AD251" s="169">
        <v>107550.91</v>
      </c>
      <c r="AE251" s="60">
        <v>0</v>
      </c>
      <c r="AF251" s="170">
        <v>2020</v>
      </c>
      <c r="AG251" s="170">
        <v>2020</v>
      </c>
      <c r="AH251" s="63">
        <v>2020</v>
      </c>
    </row>
    <row r="252" spans="1:34" ht="61.5" x14ac:dyDescent="0.85">
      <c r="A252" s="7">
        <v>1</v>
      </c>
      <c r="B252" s="59">
        <f>SUBTOTAL(103,$A$22:A252)</f>
        <v>226</v>
      </c>
      <c r="C252" s="160" t="s">
        <v>588</v>
      </c>
      <c r="D252" s="60">
        <f t="shared" si="16"/>
        <v>1323171.2200000002</v>
      </c>
      <c r="E252" s="180">
        <v>0</v>
      </c>
      <c r="F252" s="180">
        <v>0</v>
      </c>
      <c r="G252" s="180">
        <v>0</v>
      </c>
      <c r="H252" s="180">
        <v>0</v>
      </c>
      <c r="I252" s="180">
        <v>0</v>
      </c>
      <c r="J252" s="180">
        <v>0</v>
      </c>
      <c r="K252" s="168">
        <v>0</v>
      </c>
      <c r="L252" s="60">
        <v>0</v>
      </c>
      <c r="M252" s="62">
        <v>391.2</v>
      </c>
      <c r="N252" s="62">
        <v>1270891.82</v>
      </c>
      <c r="O252" s="180">
        <v>0</v>
      </c>
      <c r="P252" s="180">
        <v>0</v>
      </c>
      <c r="Q252" s="60">
        <v>0</v>
      </c>
      <c r="R252" s="60">
        <v>0</v>
      </c>
      <c r="S252" s="60">
        <v>0</v>
      </c>
      <c r="T252" s="60">
        <v>0</v>
      </c>
      <c r="U252" s="60">
        <v>0</v>
      </c>
      <c r="V252" s="60">
        <v>0</v>
      </c>
      <c r="W252" s="60">
        <v>0</v>
      </c>
      <c r="X252" s="60">
        <v>0</v>
      </c>
      <c r="Y252" s="60">
        <v>0</v>
      </c>
      <c r="Z252" s="60">
        <v>0</v>
      </c>
      <c r="AA252" s="60">
        <v>0</v>
      </c>
      <c r="AB252" s="60">
        <v>0</v>
      </c>
      <c r="AC252" s="62">
        <v>7625.35</v>
      </c>
      <c r="AD252" s="62">
        <v>44654.05</v>
      </c>
      <c r="AE252" s="60">
        <v>0</v>
      </c>
      <c r="AF252" s="170">
        <v>2020</v>
      </c>
      <c r="AG252" s="170">
        <v>2020</v>
      </c>
      <c r="AH252" s="63">
        <v>2020</v>
      </c>
    </row>
    <row r="253" spans="1:34" ht="61.5" x14ac:dyDescent="0.85">
      <c r="A253" s="7">
        <v>1</v>
      </c>
      <c r="B253" s="59">
        <f>SUBTOTAL(103,$A$22:A253)</f>
        <v>227</v>
      </c>
      <c r="C253" s="160" t="s">
        <v>589</v>
      </c>
      <c r="D253" s="60">
        <f t="shared" si="16"/>
        <v>1623216.35</v>
      </c>
      <c r="E253" s="180">
        <v>0</v>
      </c>
      <c r="F253" s="180">
        <v>0</v>
      </c>
      <c r="G253" s="180">
        <v>0</v>
      </c>
      <c r="H253" s="180">
        <v>0</v>
      </c>
      <c r="I253" s="180">
        <v>0</v>
      </c>
      <c r="J253" s="180">
        <v>0</v>
      </c>
      <c r="K253" s="171">
        <v>1</v>
      </c>
      <c r="L253" s="62">
        <v>1623216.35</v>
      </c>
      <c r="M253" s="60">
        <v>0</v>
      </c>
      <c r="N253" s="60">
        <v>0</v>
      </c>
      <c r="O253" s="180">
        <v>0</v>
      </c>
      <c r="P253" s="180">
        <v>0</v>
      </c>
      <c r="Q253" s="60">
        <v>0</v>
      </c>
      <c r="R253" s="60">
        <v>0</v>
      </c>
      <c r="S253" s="60">
        <v>0</v>
      </c>
      <c r="T253" s="60">
        <v>0</v>
      </c>
      <c r="U253" s="60">
        <v>0</v>
      </c>
      <c r="V253" s="60">
        <v>0</v>
      </c>
      <c r="W253" s="60">
        <v>0</v>
      </c>
      <c r="X253" s="60">
        <v>0</v>
      </c>
      <c r="Y253" s="60">
        <v>0</v>
      </c>
      <c r="Z253" s="60">
        <v>0</v>
      </c>
      <c r="AA253" s="60">
        <v>0</v>
      </c>
      <c r="AB253" s="60">
        <v>0</v>
      </c>
      <c r="AC253" s="60">
        <v>0</v>
      </c>
      <c r="AD253" s="60">
        <v>0</v>
      </c>
      <c r="AE253" s="60">
        <v>0</v>
      </c>
      <c r="AF253" s="170" t="s">
        <v>257</v>
      </c>
      <c r="AG253" s="170">
        <v>2020</v>
      </c>
      <c r="AH253" s="63" t="s">
        <v>257</v>
      </c>
    </row>
    <row r="254" spans="1:34" ht="61.5" x14ac:dyDescent="0.85">
      <c r="A254" s="7">
        <v>1</v>
      </c>
      <c r="B254" s="59">
        <f>SUBTOTAL(103,$A$22:A254)</f>
        <v>228</v>
      </c>
      <c r="C254" s="160" t="s">
        <v>591</v>
      </c>
      <c r="D254" s="60">
        <f t="shared" si="16"/>
        <v>833755.4800000001</v>
      </c>
      <c r="E254" s="180">
        <v>0</v>
      </c>
      <c r="F254" s="180">
        <v>0</v>
      </c>
      <c r="G254" s="180">
        <v>0</v>
      </c>
      <c r="H254" s="180">
        <v>0</v>
      </c>
      <c r="I254" s="180">
        <v>0</v>
      </c>
      <c r="J254" s="180">
        <v>0</v>
      </c>
      <c r="K254" s="168">
        <v>0</v>
      </c>
      <c r="L254" s="60">
        <v>0</v>
      </c>
      <c r="M254" s="62">
        <v>215.9</v>
      </c>
      <c r="N254" s="62">
        <v>785551.29</v>
      </c>
      <c r="O254" s="180">
        <v>0</v>
      </c>
      <c r="P254" s="180">
        <v>0</v>
      </c>
      <c r="Q254" s="60">
        <v>0</v>
      </c>
      <c r="R254" s="60">
        <v>0</v>
      </c>
      <c r="S254" s="60">
        <v>0</v>
      </c>
      <c r="T254" s="60">
        <v>0</v>
      </c>
      <c r="U254" s="60">
        <v>0</v>
      </c>
      <c r="V254" s="60">
        <v>0</v>
      </c>
      <c r="W254" s="60">
        <v>0</v>
      </c>
      <c r="X254" s="60">
        <v>0</v>
      </c>
      <c r="Y254" s="60">
        <v>0</v>
      </c>
      <c r="Z254" s="60">
        <v>0</v>
      </c>
      <c r="AA254" s="60">
        <v>0</v>
      </c>
      <c r="AB254" s="60">
        <v>0</v>
      </c>
      <c r="AC254" s="62">
        <v>4713.3100000000004</v>
      </c>
      <c r="AD254" s="169">
        <v>43490.879999999997</v>
      </c>
      <c r="AE254" s="60">
        <v>0</v>
      </c>
      <c r="AF254" s="170">
        <v>2020</v>
      </c>
      <c r="AG254" s="170">
        <v>2020</v>
      </c>
      <c r="AH254" s="63">
        <v>2020</v>
      </c>
    </row>
    <row r="255" spans="1:34" ht="61.5" x14ac:dyDescent="0.85">
      <c r="A255" s="7">
        <v>1</v>
      </c>
      <c r="B255" s="59">
        <f>SUBTOTAL(103,$A$22:A255)</f>
        <v>229</v>
      </c>
      <c r="C255" s="160" t="s">
        <v>595</v>
      </c>
      <c r="D255" s="60">
        <f t="shared" si="16"/>
        <v>1500690.63</v>
      </c>
      <c r="E255" s="180">
        <v>0</v>
      </c>
      <c r="F255" s="180">
        <v>0</v>
      </c>
      <c r="G255" s="180">
        <v>0</v>
      </c>
      <c r="H255" s="180">
        <v>0</v>
      </c>
      <c r="I255" s="180">
        <v>0</v>
      </c>
      <c r="J255" s="180">
        <v>0</v>
      </c>
      <c r="K255" s="168">
        <v>0</v>
      </c>
      <c r="L255" s="60">
        <v>0</v>
      </c>
      <c r="M255" s="62">
        <v>565</v>
      </c>
      <c r="N255" s="62">
        <v>1491740.19</v>
      </c>
      <c r="O255" s="180">
        <v>0</v>
      </c>
      <c r="P255" s="180">
        <v>0</v>
      </c>
      <c r="Q255" s="60">
        <v>0</v>
      </c>
      <c r="R255" s="60">
        <v>0</v>
      </c>
      <c r="S255" s="60">
        <v>0</v>
      </c>
      <c r="T255" s="60">
        <v>0</v>
      </c>
      <c r="U255" s="60">
        <v>0</v>
      </c>
      <c r="V255" s="60">
        <v>0</v>
      </c>
      <c r="W255" s="60">
        <v>0</v>
      </c>
      <c r="X255" s="60">
        <v>0</v>
      </c>
      <c r="Y255" s="60">
        <v>0</v>
      </c>
      <c r="Z255" s="60">
        <v>0</v>
      </c>
      <c r="AA255" s="60">
        <v>0</v>
      </c>
      <c r="AB255" s="60">
        <v>0</v>
      </c>
      <c r="AC255" s="62">
        <v>8950.44</v>
      </c>
      <c r="AD255" s="60">
        <v>0</v>
      </c>
      <c r="AE255" s="60">
        <v>0</v>
      </c>
      <c r="AF255" s="170" t="s">
        <v>257</v>
      </c>
      <c r="AG255" s="170">
        <v>2020</v>
      </c>
      <c r="AH255" s="63">
        <v>2020</v>
      </c>
    </row>
    <row r="256" spans="1:34" ht="61.5" x14ac:dyDescent="0.85">
      <c r="A256" s="7">
        <v>1</v>
      </c>
      <c r="B256" s="59">
        <f>SUBTOTAL(103,$A$22:A256)</f>
        <v>230</v>
      </c>
      <c r="C256" s="160" t="s">
        <v>1029</v>
      </c>
      <c r="D256" s="60">
        <f t="shared" si="16"/>
        <v>4876210.959999999</v>
      </c>
      <c r="E256" s="60">
        <v>0</v>
      </c>
      <c r="F256" s="60">
        <v>0</v>
      </c>
      <c r="G256" s="60">
        <v>0</v>
      </c>
      <c r="H256" s="60">
        <v>0</v>
      </c>
      <c r="I256" s="60">
        <v>0</v>
      </c>
      <c r="J256" s="60">
        <v>0</v>
      </c>
      <c r="K256" s="168">
        <v>0</v>
      </c>
      <c r="L256" s="60">
        <v>0</v>
      </c>
      <c r="M256" s="62">
        <v>1093</v>
      </c>
      <c r="N256" s="62">
        <v>4724224.93</v>
      </c>
      <c r="O256" s="60">
        <v>0</v>
      </c>
      <c r="P256" s="60">
        <v>0</v>
      </c>
      <c r="Q256" s="60">
        <v>0</v>
      </c>
      <c r="R256" s="60">
        <v>0</v>
      </c>
      <c r="S256" s="60">
        <v>0</v>
      </c>
      <c r="T256" s="60">
        <v>0</v>
      </c>
      <c r="U256" s="60">
        <v>0</v>
      </c>
      <c r="V256" s="60">
        <v>0</v>
      </c>
      <c r="W256" s="60">
        <v>0</v>
      </c>
      <c r="X256" s="60">
        <v>0</v>
      </c>
      <c r="Y256" s="60">
        <v>0</v>
      </c>
      <c r="Z256" s="60">
        <v>0</v>
      </c>
      <c r="AA256" s="60">
        <v>0</v>
      </c>
      <c r="AB256" s="60">
        <v>0</v>
      </c>
      <c r="AC256" s="62">
        <v>28345.35</v>
      </c>
      <c r="AD256" s="62">
        <v>123640.68</v>
      </c>
      <c r="AE256" s="60">
        <v>0</v>
      </c>
      <c r="AF256" s="170">
        <v>2020</v>
      </c>
      <c r="AG256" s="170">
        <v>2020</v>
      </c>
      <c r="AH256" s="63">
        <v>2020</v>
      </c>
    </row>
    <row r="257" spans="1:34" ht="61.5" x14ac:dyDescent="0.85">
      <c r="A257" s="7">
        <v>1</v>
      </c>
      <c r="B257" s="59">
        <f>SUBTOTAL(103,$A$22:A257)</f>
        <v>231</v>
      </c>
      <c r="C257" s="160" t="s">
        <v>1108</v>
      </c>
      <c r="D257" s="60">
        <f t="shared" si="16"/>
        <v>978702.2</v>
      </c>
      <c r="E257" s="180">
        <v>0</v>
      </c>
      <c r="F257" s="180">
        <v>0</v>
      </c>
      <c r="G257" s="180">
        <v>0</v>
      </c>
      <c r="H257" s="180">
        <v>0</v>
      </c>
      <c r="I257" s="180">
        <v>0</v>
      </c>
      <c r="J257" s="180">
        <v>0</v>
      </c>
      <c r="K257" s="168">
        <v>0</v>
      </c>
      <c r="L257" s="60">
        <v>0</v>
      </c>
      <c r="M257" s="62">
        <v>540.5</v>
      </c>
      <c r="N257" s="62">
        <v>964309.88</v>
      </c>
      <c r="O257" s="180">
        <v>0</v>
      </c>
      <c r="P257" s="180">
        <v>0</v>
      </c>
      <c r="Q257" s="60">
        <v>0</v>
      </c>
      <c r="R257" s="60">
        <v>0</v>
      </c>
      <c r="S257" s="60">
        <v>0</v>
      </c>
      <c r="T257" s="60">
        <v>0</v>
      </c>
      <c r="U257" s="60">
        <v>0</v>
      </c>
      <c r="V257" s="60">
        <v>0</v>
      </c>
      <c r="W257" s="60">
        <v>0</v>
      </c>
      <c r="X257" s="60">
        <v>0</v>
      </c>
      <c r="Y257" s="60">
        <v>0</v>
      </c>
      <c r="Z257" s="60">
        <v>0</v>
      </c>
      <c r="AA257" s="60">
        <v>0</v>
      </c>
      <c r="AB257" s="60">
        <v>0</v>
      </c>
      <c r="AC257" s="62">
        <v>14392.32</v>
      </c>
      <c r="AD257" s="60">
        <v>0</v>
      </c>
      <c r="AE257" s="60">
        <v>0</v>
      </c>
      <c r="AF257" s="170" t="s">
        <v>257</v>
      </c>
      <c r="AG257" s="170">
        <v>2020</v>
      </c>
      <c r="AH257" s="63">
        <v>2020</v>
      </c>
    </row>
    <row r="258" spans="1:34" ht="61.5" x14ac:dyDescent="0.85">
      <c r="A258" s="7">
        <v>1</v>
      </c>
      <c r="B258" s="59">
        <f>SUBTOTAL(103,$A$22:A258)</f>
        <v>232</v>
      </c>
      <c r="C258" s="160" t="s">
        <v>1109</v>
      </c>
      <c r="D258" s="60">
        <f t="shared" si="16"/>
        <v>3006507.7</v>
      </c>
      <c r="E258" s="180">
        <v>0</v>
      </c>
      <c r="F258" s="180">
        <v>0</v>
      </c>
      <c r="G258" s="180">
        <v>0</v>
      </c>
      <c r="H258" s="180">
        <v>0</v>
      </c>
      <c r="I258" s="180">
        <v>0</v>
      </c>
      <c r="J258" s="180">
        <v>0</v>
      </c>
      <c r="K258" s="168">
        <v>0</v>
      </c>
      <c r="L258" s="60">
        <v>0</v>
      </c>
      <c r="M258" s="62">
        <v>612.78</v>
      </c>
      <c r="N258" s="62">
        <v>2885569.14</v>
      </c>
      <c r="O258" s="180">
        <v>0</v>
      </c>
      <c r="P258" s="180">
        <v>0</v>
      </c>
      <c r="Q258" s="60">
        <v>0</v>
      </c>
      <c r="R258" s="60">
        <v>0</v>
      </c>
      <c r="S258" s="60">
        <v>0</v>
      </c>
      <c r="T258" s="60">
        <v>0</v>
      </c>
      <c r="U258" s="60">
        <v>0</v>
      </c>
      <c r="V258" s="60">
        <v>0</v>
      </c>
      <c r="W258" s="60">
        <v>0</v>
      </c>
      <c r="X258" s="60">
        <v>0</v>
      </c>
      <c r="Y258" s="60">
        <v>0</v>
      </c>
      <c r="Z258" s="60">
        <v>0</v>
      </c>
      <c r="AA258" s="60">
        <v>0</v>
      </c>
      <c r="AB258" s="60">
        <v>0</v>
      </c>
      <c r="AC258" s="60">
        <v>43067.12</v>
      </c>
      <c r="AD258" s="62">
        <v>77871.44</v>
      </c>
      <c r="AE258" s="60">
        <v>0</v>
      </c>
      <c r="AF258" s="170">
        <v>2020</v>
      </c>
      <c r="AG258" s="170">
        <v>2020</v>
      </c>
      <c r="AH258" s="170">
        <v>2020</v>
      </c>
    </row>
    <row r="259" spans="1:34" ht="61.5" x14ac:dyDescent="0.85">
      <c r="A259" s="7">
        <v>1</v>
      </c>
      <c r="B259" s="59">
        <f>SUBTOTAL(103,$A$22:A259)</f>
        <v>233</v>
      </c>
      <c r="C259" s="160" t="s">
        <v>1110</v>
      </c>
      <c r="D259" s="60">
        <f t="shared" si="16"/>
        <v>8000402.0100000007</v>
      </c>
      <c r="E259" s="180">
        <v>0</v>
      </c>
      <c r="F259" s="180">
        <v>0</v>
      </c>
      <c r="G259" s="180">
        <v>0</v>
      </c>
      <c r="H259" s="180">
        <v>0</v>
      </c>
      <c r="I259" s="180">
        <v>0</v>
      </c>
      <c r="J259" s="180">
        <v>0</v>
      </c>
      <c r="K259" s="168">
        <v>0</v>
      </c>
      <c r="L259" s="60">
        <v>0</v>
      </c>
      <c r="M259" s="172">
        <v>1580.66</v>
      </c>
      <c r="N259" s="172">
        <v>7882751.9400000004</v>
      </c>
      <c r="O259" s="180">
        <v>0</v>
      </c>
      <c r="P259" s="180">
        <v>0</v>
      </c>
      <c r="Q259" s="60">
        <v>0</v>
      </c>
      <c r="R259" s="60">
        <v>0</v>
      </c>
      <c r="S259" s="60">
        <v>0</v>
      </c>
      <c r="T259" s="60">
        <v>0</v>
      </c>
      <c r="U259" s="60">
        <v>0</v>
      </c>
      <c r="V259" s="60">
        <v>0</v>
      </c>
      <c r="W259" s="60">
        <v>0</v>
      </c>
      <c r="X259" s="60">
        <v>0</v>
      </c>
      <c r="Y259" s="60">
        <v>0</v>
      </c>
      <c r="Z259" s="60">
        <v>0</v>
      </c>
      <c r="AA259" s="60">
        <v>0</v>
      </c>
      <c r="AB259" s="60">
        <v>0</v>
      </c>
      <c r="AC259" s="172">
        <v>117650.07</v>
      </c>
      <c r="AD259" s="60">
        <v>0</v>
      </c>
      <c r="AE259" s="60">
        <v>0</v>
      </c>
      <c r="AF259" s="170" t="s">
        <v>257</v>
      </c>
      <c r="AG259" s="170">
        <v>2020</v>
      </c>
      <c r="AH259" s="63">
        <v>2020</v>
      </c>
    </row>
    <row r="260" spans="1:34" ht="61.5" x14ac:dyDescent="0.85">
      <c r="A260" s="7">
        <v>1</v>
      </c>
      <c r="B260" s="59">
        <f>SUBTOTAL(103,$A$22:A260)</f>
        <v>234</v>
      </c>
      <c r="C260" s="160" t="s">
        <v>1111</v>
      </c>
      <c r="D260" s="60">
        <f t="shared" si="16"/>
        <v>1685713.47</v>
      </c>
      <c r="E260" s="180">
        <v>0</v>
      </c>
      <c r="F260" s="180">
        <v>0</v>
      </c>
      <c r="G260" s="180">
        <v>0</v>
      </c>
      <c r="H260" s="180">
        <v>0</v>
      </c>
      <c r="I260" s="180">
        <v>0</v>
      </c>
      <c r="J260" s="180">
        <v>0</v>
      </c>
      <c r="K260" s="168">
        <v>0</v>
      </c>
      <c r="L260" s="60">
        <v>0</v>
      </c>
      <c r="M260" s="60">
        <v>0</v>
      </c>
      <c r="N260" s="60">
        <v>0</v>
      </c>
      <c r="O260" s="180">
        <v>0</v>
      </c>
      <c r="P260" s="180">
        <v>0</v>
      </c>
      <c r="Q260" s="62">
        <v>639.89</v>
      </c>
      <c r="R260" s="62">
        <v>1660924.18</v>
      </c>
      <c r="S260" s="60">
        <v>0</v>
      </c>
      <c r="T260" s="60">
        <v>0</v>
      </c>
      <c r="U260" s="60">
        <v>0</v>
      </c>
      <c r="V260" s="60">
        <v>0</v>
      </c>
      <c r="W260" s="60">
        <v>0</v>
      </c>
      <c r="X260" s="60">
        <v>0</v>
      </c>
      <c r="Y260" s="60">
        <v>0</v>
      </c>
      <c r="Z260" s="60">
        <v>0</v>
      </c>
      <c r="AA260" s="60">
        <v>0</v>
      </c>
      <c r="AB260" s="60">
        <v>0</v>
      </c>
      <c r="AC260" s="62">
        <v>24789.29</v>
      </c>
      <c r="AD260" s="60">
        <v>0</v>
      </c>
      <c r="AE260" s="60">
        <v>0</v>
      </c>
      <c r="AF260" s="170" t="s">
        <v>257</v>
      </c>
      <c r="AG260" s="170">
        <v>2020</v>
      </c>
      <c r="AH260" s="63">
        <v>2020</v>
      </c>
    </row>
    <row r="261" spans="1:34" ht="61.5" x14ac:dyDescent="0.85">
      <c r="A261" s="7">
        <v>1</v>
      </c>
      <c r="B261" s="59">
        <f>SUBTOTAL(103,$A$22:A261)</f>
        <v>235</v>
      </c>
      <c r="C261" s="160" t="s">
        <v>1112</v>
      </c>
      <c r="D261" s="60">
        <f t="shared" si="16"/>
        <v>3785233.7800000003</v>
      </c>
      <c r="E261" s="180">
        <v>0</v>
      </c>
      <c r="F261" s="180">
        <v>0</v>
      </c>
      <c r="G261" s="180">
        <v>0</v>
      </c>
      <c r="H261" s="180">
        <v>0</v>
      </c>
      <c r="I261" s="180">
        <v>0</v>
      </c>
      <c r="J261" s="180">
        <v>0</v>
      </c>
      <c r="K261" s="168">
        <v>0</v>
      </c>
      <c r="L261" s="60">
        <v>0</v>
      </c>
      <c r="M261" s="62">
        <v>1913</v>
      </c>
      <c r="N261" s="62">
        <v>3729569.95</v>
      </c>
      <c r="O261" s="180">
        <v>0</v>
      </c>
      <c r="P261" s="180">
        <v>0</v>
      </c>
      <c r="Q261" s="60">
        <v>0</v>
      </c>
      <c r="R261" s="60">
        <v>0</v>
      </c>
      <c r="S261" s="60">
        <v>0</v>
      </c>
      <c r="T261" s="60">
        <v>0</v>
      </c>
      <c r="U261" s="60">
        <v>0</v>
      </c>
      <c r="V261" s="60">
        <v>0</v>
      </c>
      <c r="W261" s="60">
        <v>0</v>
      </c>
      <c r="X261" s="60">
        <v>0</v>
      </c>
      <c r="Y261" s="60">
        <v>0</v>
      </c>
      <c r="Z261" s="60">
        <v>0</v>
      </c>
      <c r="AA261" s="60">
        <v>0</v>
      </c>
      <c r="AB261" s="60">
        <v>0</v>
      </c>
      <c r="AC261" s="62">
        <v>55663.83</v>
      </c>
      <c r="AD261" s="60">
        <v>0</v>
      </c>
      <c r="AE261" s="60">
        <v>0</v>
      </c>
      <c r="AF261" s="170" t="s">
        <v>257</v>
      </c>
      <c r="AG261" s="170">
        <v>2020</v>
      </c>
      <c r="AH261" s="63">
        <v>2020</v>
      </c>
    </row>
    <row r="262" spans="1:34" ht="61.5" x14ac:dyDescent="0.85">
      <c r="A262" s="7">
        <v>1</v>
      </c>
      <c r="B262" s="59">
        <f>SUBTOTAL(103,$A$22:A262)</f>
        <v>236</v>
      </c>
      <c r="C262" s="160" t="s">
        <v>1116</v>
      </c>
      <c r="D262" s="60">
        <f t="shared" si="16"/>
        <v>2272822.6599999997</v>
      </c>
      <c r="E262" s="62">
        <v>682532.23</v>
      </c>
      <c r="F262" s="62">
        <v>1291083.82</v>
      </c>
      <c r="G262" s="180">
        <v>0</v>
      </c>
      <c r="H262" s="62">
        <v>288852.59999999998</v>
      </c>
      <c r="I262" s="180">
        <v>0</v>
      </c>
      <c r="J262" s="180">
        <v>0</v>
      </c>
      <c r="K262" s="168">
        <v>0</v>
      </c>
      <c r="L262" s="60">
        <v>0</v>
      </c>
      <c r="M262" s="60">
        <v>0</v>
      </c>
      <c r="N262" s="60">
        <v>0</v>
      </c>
      <c r="O262" s="180">
        <v>0</v>
      </c>
      <c r="P262" s="180">
        <v>0</v>
      </c>
      <c r="Q262" s="60">
        <v>0</v>
      </c>
      <c r="R262" s="60">
        <v>0</v>
      </c>
      <c r="S262" s="60">
        <v>0</v>
      </c>
      <c r="T262" s="60">
        <v>0</v>
      </c>
      <c r="U262" s="60">
        <v>0</v>
      </c>
      <c r="V262" s="60">
        <v>0</v>
      </c>
      <c r="W262" s="60">
        <v>0</v>
      </c>
      <c r="X262" s="60">
        <v>0</v>
      </c>
      <c r="Y262" s="60">
        <v>0</v>
      </c>
      <c r="Z262" s="60">
        <v>0</v>
      </c>
      <c r="AA262" s="60">
        <v>0</v>
      </c>
      <c r="AB262" s="60">
        <v>0</v>
      </c>
      <c r="AC262" s="62">
        <v>10354.01</v>
      </c>
      <c r="AD262" s="60">
        <v>0</v>
      </c>
      <c r="AE262" s="60">
        <v>0</v>
      </c>
      <c r="AF262" s="170" t="s">
        <v>257</v>
      </c>
      <c r="AG262" s="170">
        <v>2020</v>
      </c>
      <c r="AH262" s="63">
        <v>2020</v>
      </c>
    </row>
    <row r="263" spans="1:34" ht="61.5" x14ac:dyDescent="0.85">
      <c r="A263" s="7">
        <v>1</v>
      </c>
      <c r="B263" s="59">
        <f>SUBTOTAL(103,$A$22:A263)</f>
        <v>237</v>
      </c>
      <c r="C263" s="160" t="s">
        <v>1117</v>
      </c>
      <c r="D263" s="60">
        <f t="shared" si="16"/>
        <v>4444796.6100000003</v>
      </c>
      <c r="E263" s="180">
        <v>0</v>
      </c>
      <c r="F263" s="180">
        <v>0</v>
      </c>
      <c r="G263" s="180">
        <v>0</v>
      </c>
      <c r="H263" s="180">
        <v>0</v>
      </c>
      <c r="I263" s="180">
        <v>0</v>
      </c>
      <c r="J263" s="180">
        <v>0</v>
      </c>
      <c r="K263" s="168">
        <v>0</v>
      </c>
      <c r="L263" s="60">
        <v>0</v>
      </c>
      <c r="M263" s="62">
        <v>1284.6300000000001</v>
      </c>
      <c r="N263" s="62">
        <v>4419604.91</v>
      </c>
      <c r="O263" s="180">
        <v>0</v>
      </c>
      <c r="P263" s="180">
        <v>0</v>
      </c>
      <c r="Q263" s="60">
        <v>0</v>
      </c>
      <c r="R263" s="60">
        <v>0</v>
      </c>
      <c r="S263" s="60">
        <v>0</v>
      </c>
      <c r="T263" s="60">
        <v>0</v>
      </c>
      <c r="U263" s="60">
        <v>0</v>
      </c>
      <c r="V263" s="60">
        <v>0</v>
      </c>
      <c r="W263" s="60">
        <v>0</v>
      </c>
      <c r="X263" s="60">
        <v>0</v>
      </c>
      <c r="Y263" s="60">
        <v>0</v>
      </c>
      <c r="Z263" s="60">
        <v>0</v>
      </c>
      <c r="AA263" s="60">
        <v>0</v>
      </c>
      <c r="AB263" s="60">
        <v>0</v>
      </c>
      <c r="AC263" s="62">
        <v>25191.7</v>
      </c>
      <c r="AD263" s="60">
        <v>0</v>
      </c>
      <c r="AE263" s="60">
        <v>0</v>
      </c>
      <c r="AF263" s="170" t="s">
        <v>257</v>
      </c>
      <c r="AG263" s="170">
        <v>2020</v>
      </c>
      <c r="AH263" s="63">
        <v>2020</v>
      </c>
    </row>
    <row r="264" spans="1:34" ht="61.5" x14ac:dyDescent="0.85">
      <c r="A264" s="7">
        <v>1</v>
      </c>
      <c r="B264" s="59">
        <f>SUBTOTAL(103,$A$22:A264)</f>
        <v>238</v>
      </c>
      <c r="C264" s="160" t="s">
        <v>1118</v>
      </c>
      <c r="D264" s="60">
        <f t="shared" si="16"/>
        <v>3526049.4499999997</v>
      </c>
      <c r="E264" s="180">
        <v>0</v>
      </c>
      <c r="F264" s="180">
        <v>0</v>
      </c>
      <c r="G264" s="180">
        <v>0</v>
      </c>
      <c r="H264" s="180">
        <v>0</v>
      </c>
      <c r="I264" s="180">
        <v>0</v>
      </c>
      <c r="J264" s="180">
        <v>0</v>
      </c>
      <c r="K264" s="168">
        <v>0</v>
      </c>
      <c r="L264" s="60">
        <v>0</v>
      </c>
      <c r="M264" s="60">
        <v>838.77</v>
      </c>
      <c r="N264" s="175">
        <v>3506064.92</v>
      </c>
      <c r="O264" s="180">
        <v>0</v>
      </c>
      <c r="P264" s="180">
        <v>0</v>
      </c>
      <c r="Q264" s="60">
        <v>0</v>
      </c>
      <c r="R264" s="60">
        <v>0</v>
      </c>
      <c r="S264" s="60">
        <v>0</v>
      </c>
      <c r="T264" s="60">
        <v>0</v>
      </c>
      <c r="U264" s="60">
        <v>0</v>
      </c>
      <c r="V264" s="60">
        <v>0</v>
      </c>
      <c r="W264" s="60">
        <v>0</v>
      </c>
      <c r="X264" s="60">
        <v>0</v>
      </c>
      <c r="Y264" s="60">
        <v>0</v>
      </c>
      <c r="Z264" s="60">
        <v>0</v>
      </c>
      <c r="AA264" s="60">
        <v>0</v>
      </c>
      <c r="AB264" s="60">
        <v>0</v>
      </c>
      <c r="AC264" s="172">
        <v>19984.53</v>
      </c>
      <c r="AD264" s="60">
        <v>0</v>
      </c>
      <c r="AE264" s="60">
        <v>0</v>
      </c>
      <c r="AF264" s="170" t="s">
        <v>257</v>
      </c>
      <c r="AG264" s="170">
        <v>2020</v>
      </c>
      <c r="AH264" s="63">
        <v>2020</v>
      </c>
    </row>
    <row r="265" spans="1:34" ht="61.5" x14ac:dyDescent="0.85">
      <c r="A265" s="7">
        <v>1</v>
      </c>
      <c r="B265" s="59">
        <f>SUBTOTAL(103,$A$22:A265)</f>
        <v>239</v>
      </c>
      <c r="C265" s="160" t="s">
        <v>1119</v>
      </c>
      <c r="D265" s="60">
        <f t="shared" si="16"/>
        <v>5490389.4400000004</v>
      </c>
      <c r="E265" s="180">
        <v>0</v>
      </c>
      <c r="F265" s="180">
        <v>0</v>
      </c>
      <c r="G265" s="180">
        <v>0</v>
      </c>
      <c r="H265" s="180">
        <v>0</v>
      </c>
      <c r="I265" s="180">
        <v>0</v>
      </c>
      <c r="J265" s="180">
        <v>0</v>
      </c>
      <c r="K265" s="168">
        <v>0</v>
      </c>
      <c r="L265" s="60">
        <v>0</v>
      </c>
      <c r="M265" s="62">
        <v>2418</v>
      </c>
      <c r="N265" s="62">
        <v>5459271.6500000004</v>
      </c>
      <c r="O265" s="180">
        <v>0</v>
      </c>
      <c r="P265" s="180">
        <v>0</v>
      </c>
      <c r="Q265" s="60">
        <v>0</v>
      </c>
      <c r="R265" s="60">
        <v>0</v>
      </c>
      <c r="S265" s="60">
        <v>0</v>
      </c>
      <c r="T265" s="60">
        <v>0</v>
      </c>
      <c r="U265" s="60">
        <v>0</v>
      </c>
      <c r="V265" s="60">
        <v>0</v>
      </c>
      <c r="W265" s="60">
        <v>0</v>
      </c>
      <c r="X265" s="60">
        <v>0</v>
      </c>
      <c r="Y265" s="60">
        <v>0</v>
      </c>
      <c r="Z265" s="60">
        <v>0</v>
      </c>
      <c r="AA265" s="60">
        <v>0</v>
      </c>
      <c r="AB265" s="60">
        <v>0</v>
      </c>
      <c r="AC265" s="62">
        <v>31117.79</v>
      </c>
      <c r="AD265" s="60">
        <v>0</v>
      </c>
      <c r="AE265" s="60">
        <v>0</v>
      </c>
      <c r="AF265" s="170" t="s">
        <v>257</v>
      </c>
      <c r="AG265" s="170">
        <v>2020</v>
      </c>
      <c r="AH265" s="63">
        <v>2020</v>
      </c>
    </row>
    <row r="266" spans="1:34" ht="61.5" x14ac:dyDescent="0.85">
      <c r="A266" s="7">
        <v>1</v>
      </c>
      <c r="B266" s="59">
        <f>SUBTOTAL(103,$A$22:A266)</f>
        <v>240</v>
      </c>
      <c r="C266" s="160" t="s">
        <v>1121</v>
      </c>
      <c r="D266" s="60">
        <f t="shared" si="16"/>
        <v>4738452.92</v>
      </c>
      <c r="E266" s="180">
        <v>0</v>
      </c>
      <c r="F266" s="180">
        <v>0</v>
      </c>
      <c r="G266" s="180">
        <v>0</v>
      </c>
      <c r="H266" s="180">
        <v>0</v>
      </c>
      <c r="I266" s="180">
        <v>0</v>
      </c>
      <c r="J266" s="180">
        <v>0</v>
      </c>
      <c r="K266" s="168">
        <v>0</v>
      </c>
      <c r="L266" s="60">
        <v>0</v>
      </c>
      <c r="M266" s="62">
        <v>1174.5999999999999</v>
      </c>
      <c r="N266" s="172">
        <v>4711596.87</v>
      </c>
      <c r="O266" s="180">
        <v>0</v>
      </c>
      <c r="P266" s="180">
        <v>0</v>
      </c>
      <c r="Q266" s="60">
        <v>0</v>
      </c>
      <c r="R266" s="60">
        <v>0</v>
      </c>
      <c r="S266" s="60">
        <v>0</v>
      </c>
      <c r="T266" s="60">
        <v>0</v>
      </c>
      <c r="U266" s="60">
        <v>0</v>
      </c>
      <c r="V266" s="60">
        <v>0</v>
      </c>
      <c r="W266" s="60">
        <v>0</v>
      </c>
      <c r="X266" s="60">
        <v>0</v>
      </c>
      <c r="Y266" s="60">
        <v>0</v>
      </c>
      <c r="Z266" s="60">
        <v>0</v>
      </c>
      <c r="AA266" s="60">
        <v>0</v>
      </c>
      <c r="AB266" s="60">
        <v>0</v>
      </c>
      <c r="AC266" s="172">
        <v>26856.05</v>
      </c>
      <c r="AD266" s="60">
        <v>0</v>
      </c>
      <c r="AE266" s="60">
        <v>0</v>
      </c>
      <c r="AF266" s="170" t="s">
        <v>257</v>
      </c>
      <c r="AG266" s="170">
        <v>2020</v>
      </c>
      <c r="AH266" s="63">
        <v>2020</v>
      </c>
    </row>
    <row r="267" spans="1:34" ht="61.5" x14ac:dyDescent="0.85">
      <c r="A267" s="7">
        <v>1</v>
      </c>
      <c r="B267" s="59">
        <f>SUBTOTAL(103,$A$22:A267)</f>
        <v>241</v>
      </c>
      <c r="C267" s="160" t="s">
        <v>3478</v>
      </c>
      <c r="D267" s="60">
        <f t="shared" si="16"/>
        <v>2182746.96</v>
      </c>
      <c r="E267" s="180">
        <v>0</v>
      </c>
      <c r="F267" s="180">
        <v>0</v>
      </c>
      <c r="G267" s="180">
        <v>0</v>
      </c>
      <c r="H267" s="180">
        <v>0</v>
      </c>
      <c r="I267" s="180">
        <v>0</v>
      </c>
      <c r="J267" s="180">
        <v>0</v>
      </c>
      <c r="K267" s="168">
        <v>0</v>
      </c>
      <c r="L267" s="60">
        <v>0</v>
      </c>
      <c r="M267" s="62">
        <v>484.14</v>
      </c>
      <c r="N267" s="172">
        <v>2170375.84</v>
      </c>
      <c r="O267" s="180">
        <v>0</v>
      </c>
      <c r="P267" s="180">
        <v>0</v>
      </c>
      <c r="Q267" s="60">
        <v>0</v>
      </c>
      <c r="R267" s="60">
        <v>0</v>
      </c>
      <c r="S267" s="60">
        <v>0</v>
      </c>
      <c r="T267" s="60">
        <v>0</v>
      </c>
      <c r="U267" s="60">
        <v>0</v>
      </c>
      <c r="V267" s="60">
        <v>0</v>
      </c>
      <c r="W267" s="60">
        <v>0</v>
      </c>
      <c r="X267" s="60">
        <v>0</v>
      </c>
      <c r="Y267" s="60">
        <v>0</v>
      </c>
      <c r="Z267" s="60">
        <v>0</v>
      </c>
      <c r="AA267" s="60">
        <v>0</v>
      </c>
      <c r="AB267" s="60">
        <v>0</v>
      </c>
      <c r="AC267" s="172">
        <v>12371.12</v>
      </c>
      <c r="AD267" s="60">
        <v>0</v>
      </c>
      <c r="AE267" s="60">
        <v>0</v>
      </c>
      <c r="AF267" s="170" t="s">
        <v>257</v>
      </c>
      <c r="AG267" s="170">
        <v>2020</v>
      </c>
      <c r="AH267" s="63">
        <v>2020</v>
      </c>
    </row>
    <row r="268" spans="1:34" ht="61.5" x14ac:dyDescent="0.85">
      <c r="A268" s="7">
        <v>1</v>
      </c>
      <c r="B268" s="59">
        <f>SUBTOTAL(103,$A$22:A268)</f>
        <v>242</v>
      </c>
      <c r="C268" s="160" t="s">
        <v>1272</v>
      </c>
      <c r="D268" s="60">
        <f t="shared" si="16"/>
        <v>1724602.98</v>
      </c>
      <c r="E268" s="60">
        <v>0</v>
      </c>
      <c r="F268" s="60">
        <v>0</v>
      </c>
      <c r="G268" s="60">
        <v>0</v>
      </c>
      <c r="H268" s="60">
        <v>0</v>
      </c>
      <c r="I268" s="60">
        <v>0</v>
      </c>
      <c r="J268" s="60">
        <v>0</v>
      </c>
      <c r="K268" s="168">
        <v>0</v>
      </c>
      <c r="L268" s="60">
        <v>0</v>
      </c>
      <c r="M268" s="62">
        <v>527.41999999999996</v>
      </c>
      <c r="N268" s="172">
        <v>1663637.88</v>
      </c>
      <c r="O268" s="60">
        <v>0</v>
      </c>
      <c r="P268" s="60">
        <v>0</v>
      </c>
      <c r="Q268" s="60">
        <v>0</v>
      </c>
      <c r="R268" s="60">
        <v>0</v>
      </c>
      <c r="S268" s="60">
        <v>0</v>
      </c>
      <c r="T268" s="60">
        <v>0</v>
      </c>
      <c r="U268" s="60">
        <v>0</v>
      </c>
      <c r="V268" s="60">
        <v>0</v>
      </c>
      <c r="W268" s="60">
        <v>0</v>
      </c>
      <c r="X268" s="60">
        <v>0</v>
      </c>
      <c r="Y268" s="60">
        <v>0</v>
      </c>
      <c r="Z268" s="60">
        <v>0</v>
      </c>
      <c r="AA268" s="60">
        <v>0</v>
      </c>
      <c r="AB268" s="60">
        <v>0</v>
      </c>
      <c r="AC268" s="172">
        <v>9981.82</v>
      </c>
      <c r="AD268" s="62">
        <v>50983.28</v>
      </c>
      <c r="AE268" s="60">
        <v>0</v>
      </c>
      <c r="AF268" s="170">
        <v>2020</v>
      </c>
      <c r="AG268" s="170">
        <v>2020</v>
      </c>
      <c r="AH268" s="63">
        <v>2020</v>
      </c>
    </row>
    <row r="269" spans="1:34" ht="61.5" x14ac:dyDescent="0.85">
      <c r="A269" s="7">
        <v>1</v>
      </c>
      <c r="B269" s="59">
        <f>SUBTOTAL(103,$A$22:A269)</f>
        <v>243</v>
      </c>
      <c r="C269" s="160" t="s">
        <v>1271</v>
      </c>
      <c r="D269" s="60">
        <f t="shared" si="16"/>
        <v>1598078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168">
        <v>0</v>
      </c>
      <c r="L269" s="60">
        <v>0</v>
      </c>
      <c r="M269" s="62">
        <v>479.49</v>
      </c>
      <c r="N269" s="172">
        <v>1540245.03</v>
      </c>
      <c r="O269" s="60">
        <v>0</v>
      </c>
      <c r="P269" s="60">
        <v>0</v>
      </c>
      <c r="Q269" s="60">
        <v>0</v>
      </c>
      <c r="R269" s="60">
        <v>0</v>
      </c>
      <c r="S269" s="60">
        <v>0</v>
      </c>
      <c r="T269" s="60">
        <v>0</v>
      </c>
      <c r="U269" s="60">
        <v>0</v>
      </c>
      <c r="V269" s="60">
        <v>0</v>
      </c>
      <c r="W269" s="60">
        <v>0</v>
      </c>
      <c r="X269" s="60">
        <v>0</v>
      </c>
      <c r="Y269" s="60">
        <v>0</v>
      </c>
      <c r="Z269" s="60">
        <v>0</v>
      </c>
      <c r="AA269" s="60">
        <v>0</v>
      </c>
      <c r="AB269" s="60">
        <v>0</v>
      </c>
      <c r="AC269" s="172">
        <v>9241.4699999999993</v>
      </c>
      <c r="AD269" s="62">
        <v>48591.5</v>
      </c>
      <c r="AE269" s="60">
        <v>0</v>
      </c>
      <c r="AF269" s="170">
        <v>2020</v>
      </c>
      <c r="AG269" s="170">
        <v>2020</v>
      </c>
      <c r="AH269" s="63">
        <v>2020</v>
      </c>
    </row>
    <row r="270" spans="1:34" ht="61.5" x14ac:dyDescent="0.85">
      <c r="A270" s="7">
        <v>1</v>
      </c>
      <c r="B270" s="59">
        <f>SUBTOTAL(103,$A$22:A270)</f>
        <v>244</v>
      </c>
      <c r="C270" s="160" t="s">
        <v>1461</v>
      </c>
      <c r="D270" s="60">
        <f t="shared" si="16"/>
        <v>130960.35</v>
      </c>
      <c r="E270" s="60">
        <v>0</v>
      </c>
      <c r="F270" s="60">
        <v>0</v>
      </c>
      <c r="G270" s="60">
        <v>0</v>
      </c>
      <c r="H270" s="60">
        <v>0</v>
      </c>
      <c r="I270" s="60">
        <v>0</v>
      </c>
      <c r="J270" s="60">
        <v>0</v>
      </c>
      <c r="K270" s="168">
        <v>0</v>
      </c>
      <c r="L270" s="60">
        <v>0</v>
      </c>
      <c r="M270" s="60">
        <v>0</v>
      </c>
      <c r="N270" s="60">
        <v>0</v>
      </c>
      <c r="O270" s="60">
        <v>0</v>
      </c>
      <c r="P270" s="60">
        <v>0</v>
      </c>
      <c r="Q270" s="60">
        <v>0</v>
      </c>
      <c r="R270" s="60">
        <v>0</v>
      </c>
      <c r="S270" s="60">
        <v>0</v>
      </c>
      <c r="T270" s="60">
        <v>0</v>
      </c>
      <c r="U270" s="60">
        <v>0</v>
      </c>
      <c r="V270" s="60">
        <v>0</v>
      </c>
      <c r="W270" s="60">
        <v>0</v>
      </c>
      <c r="X270" s="60">
        <v>0</v>
      </c>
      <c r="Y270" s="60">
        <v>0</v>
      </c>
      <c r="Z270" s="60">
        <v>0</v>
      </c>
      <c r="AA270" s="60">
        <v>0</v>
      </c>
      <c r="AB270" s="60">
        <v>0</v>
      </c>
      <c r="AC270" s="60">
        <f>ROUND(N270*1.5%,2)</f>
        <v>0</v>
      </c>
      <c r="AD270" s="169">
        <v>130960.35</v>
      </c>
      <c r="AE270" s="60">
        <v>0</v>
      </c>
      <c r="AF270" s="170">
        <v>2020</v>
      </c>
      <c r="AG270" s="170" t="s">
        <v>257</v>
      </c>
      <c r="AH270" s="170" t="s">
        <v>257</v>
      </c>
    </row>
    <row r="271" spans="1:34" ht="61.5" x14ac:dyDescent="0.85">
      <c r="A271" s="7">
        <v>1</v>
      </c>
      <c r="B271" s="59">
        <f>SUBTOTAL(103,$A$22:A271)</f>
        <v>245</v>
      </c>
      <c r="C271" s="160" t="s">
        <v>585</v>
      </c>
      <c r="D271" s="60">
        <f t="shared" si="16"/>
        <v>105885.54</v>
      </c>
      <c r="E271" s="180">
        <v>0</v>
      </c>
      <c r="F271" s="180">
        <v>0</v>
      </c>
      <c r="G271" s="180">
        <v>0</v>
      </c>
      <c r="H271" s="180">
        <v>0</v>
      </c>
      <c r="I271" s="180">
        <v>0</v>
      </c>
      <c r="J271" s="180">
        <v>0</v>
      </c>
      <c r="K271" s="168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0">
        <v>0</v>
      </c>
      <c r="T271" s="60">
        <v>0</v>
      </c>
      <c r="U271" s="60">
        <v>0</v>
      </c>
      <c r="V271" s="60">
        <v>0</v>
      </c>
      <c r="W271" s="60">
        <v>0</v>
      </c>
      <c r="X271" s="60">
        <v>0</v>
      </c>
      <c r="Y271" s="60">
        <v>0</v>
      </c>
      <c r="Z271" s="60">
        <v>0</v>
      </c>
      <c r="AA271" s="60">
        <v>0</v>
      </c>
      <c r="AB271" s="60">
        <v>0</v>
      </c>
      <c r="AC271" s="60">
        <v>0</v>
      </c>
      <c r="AD271" s="60">
        <v>105885.54</v>
      </c>
      <c r="AE271" s="60">
        <v>0</v>
      </c>
      <c r="AF271" s="170">
        <v>2020</v>
      </c>
      <c r="AG271" s="170" t="s">
        <v>257</v>
      </c>
      <c r="AH271" s="170" t="s">
        <v>257</v>
      </c>
    </row>
    <row r="272" spans="1:34" ht="61.5" x14ac:dyDescent="0.85">
      <c r="B272" s="160" t="s">
        <v>761</v>
      </c>
      <c r="C272" s="160"/>
      <c r="D272" s="177">
        <f t="shared" ref="D272:AE272" si="17">SUM(D273:D277)</f>
        <v>14114868.93</v>
      </c>
      <c r="E272" s="60">
        <f t="shared" si="17"/>
        <v>0</v>
      </c>
      <c r="F272" s="60">
        <f t="shared" si="17"/>
        <v>0</v>
      </c>
      <c r="G272" s="60">
        <f t="shared" si="17"/>
        <v>0</v>
      </c>
      <c r="H272" s="60">
        <f t="shared" si="17"/>
        <v>0</v>
      </c>
      <c r="I272" s="60">
        <f t="shared" si="17"/>
        <v>0</v>
      </c>
      <c r="J272" s="60">
        <f t="shared" si="17"/>
        <v>0</v>
      </c>
      <c r="K272" s="168">
        <f t="shared" si="17"/>
        <v>0</v>
      </c>
      <c r="L272" s="60">
        <f t="shared" si="17"/>
        <v>0</v>
      </c>
      <c r="M272" s="60">
        <f t="shared" si="17"/>
        <v>4487.16</v>
      </c>
      <c r="N272" s="60">
        <f t="shared" si="17"/>
        <v>13726303.279999999</v>
      </c>
      <c r="O272" s="60">
        <f t="shared" si="17"/>
        <v>0</v>
      </c>
      <c r="P272" s="60">
        <f t="shared" si="17"/>
        <v>0</v>
      </c>
      <c r="Q272" s="60">
        <f t="shared" si="17"/>
        <v>0</v>
      </c>
      <c r="R272" s="60">
        <f t="shared" si="17"/>
        <v>0</v>
      </c>
      <c r="S272" s="60">
        <f t="shared" si="17"/>
        <v>0</v>
      </c>
      <c r="T272" s="60">
        <f t="shared" si="17"/>
        <v>0</v>
      </c>
      <c r="U272" s="60">
        <f t="shared" si="17"/>
        <v>0</v>
      </c>
      <c r="V272" s="60">
        <f t="shared" si="17"/>
        <v>0</v>
      </c>
      <c r="W272" s="60">
        <f t="shared" si="17"/>
        <v>0</v>
      </c>
      <c r="X272" s="60">
        <f t="shared" si="17"/>
        <v>0</v>
      </c>
      <c r="Y272" s="60">
        <f t="shared" si="17"/>
        <v>0</v>
      </c>
      <c r="Z272" s="60">
        <f t="shared" si="17"/>
        <v>0</v>
      </c>
      <c r="AA272" s="60">
        <f t="shared" si="17"/>
        <v>0</v>
      </c>
      <c r="AB272" s="60">
        <f t="shared" si="17"/>
        <v>0</v>
      </c>
      <c r="AC272" s="60">
        <f t="shared" si="17"/>
        <v>80305.45</v>
      </c>
      <c r="AD272" s="60">
        <f t="shared" si="17"/>
        <v>308260.2</v>
      </c>
      <c r="AE272" s="60">
        <f t="shared" si="17"/>
        <v>0</v>
      </c>
      <c r="AF272" s="54" t="s">
        <v>701</v>
      </c>
      <c r="AG272" s="54" t="s">
        <v>701</v>
      </c>
      <c r="AH272" s="55" t="s">
        <v>701</v>
      </c>
    </row>
    <row r="273" spans="1:34" ht="61.5" x14ac:dyDescent="0.85">
      <c r="A273" s="7">
        <v>1</v>
      </c>
      <c r="B273" s="59">
        <f>SUBTOTAL(103,$A$22:A273)</f>
        <v>246</v>
      </c>
      <c r="C273" s="160" t="s">
        <v>2910</v>
      </c>
      <c r="D273" s="60">
        <f>E273+F273+G273+H273+I273+J273+L273+N273+P273+R273+T273+U273+V273+W273+X273+Y273+Z273+AA273+AB273+AC273+AD273+AE273</f>
        <v>3927547.9699999997</v>
      </c>
      <c r="E273" s="180">
        <v>0</v>
      </c>
      <c r="F273" s="180">
        <v>0</v>
      </c>
      <c r="G273" s="180">
        <v>0</v>
      </c>
      <c r="H273" s="180">
        <v>0</v>
      </c>
      <c r="I273" s="180">
        <v>0</v>
      </c>
      <c r="J273" s="180">
        <v>0</v>
      </c>
      <c r="K273" s="168">
        <v>0</v>
      </c>
      <c r="L273" s="60">
        <v>0</v>
      </c>
      <c r="M273" s="62">
        <v>1278.5</v>
      </c>
      <c r="N273" s="62">
        <v>3747445.51</v>
      </c>
      <c r="O273" s="180">
        <v>0</v>
      </c>
      <c r="P273" s="180">
        <v>0</v>
      </c>
      <c r="Q273" s="60">
        <v>0</v>
      </c>
      <c r="R273" s="60">
        <v>0</v>
      </c>
      <c r="S273" s="60">
        <v>0</v>
      </c>
      <c r="T273" s="60">
        <v>0</v>
      </c>
      <c r="U273" s="60">
        <v>0</v>
      </c>
      <c r="V273" s="60">
        <v>0</v>
      </c>
      <c r="W273" s="60">
        <v>0</v>
      </c>
      <c r="X273" s="60">
        <v>0</v>
      </c>
      <c r="Y273" s="60">
        <v>0</v>
      </c>
      <c r="Z273" s="60">
        <v>0</v>
      </c>
      <c r="AA273" s="60">
        <v>0</v>
      </c>
      <c r="AB273" s="60">
        <v>0</v>
      </c>
      <c r="AC273" s="62">
        <v>22484.67</v>
      </c>
      <c r="AD273" s="62">
        <v>157617.79</v>
      </c>
      <c r="AE273" s="60">
        <v>0</v>
      </c>
      <c r="AF273" s="170">
        <v>2020</v>
      </c>
      <c r="AG273" s="170">
        <v>2020</v>
      </c>
      <c r="AH273" s="63">
        <v>2020</v>
      </c>
    </row>
    <row r="274" spans="1:34" ht="61.5" x14ac:dyDescent="0.85">
      <c r="A274" s="7">
        <v>1</v>
      </c>
      <c r="B274" s="59">
        <f>SUBTOTAL(103,$A$22:A274)</f>
        <v>247</v>
      </c>
      <c r="C274" s="160" t="s">
        <v>2911</v>
      </c>
      <c r="D274" s="60">
        <f>E274+F274+G274+H274+I274+J274+L274+N274+P274+R274+T274+U274+V274+W274+X274+Y274+Z274+AA274+AB274+AC274+AD274+AE274</f>
        <v>3307384.7800000003</v>
      </c>
      <c r="E274" s="180">
        <v>0</v>
      </c>
      <c r="F274" s="180">
        <v>0</v>
      </c>
      <c r="G274" s="180">
        <v>0</v>
      </c>
      <c r="H274" s="180">
        <v>0</v>
      </c>
      <c r="I274" s="180">
        <v>0</v>
      </c>
      <c r="J274" s="180">
        <v>0</v>
      </c>
      <c r="K274" s="168">
        <v>0</v>
      </c>
      <c r="L274" s="60">
        <v>0</v>
      </c>
      <c r="M274" s="62">
        <v>1021.96</v>
      </c>
      <c r="N274" s="62">
        <v>3137914.89</v>
      </c>
      <c r="O274" s="180">
        <v>0</v>
      </c>
      <c r="P274" s="180">
        <v>0</v>
      </c>
      <c r="Q274" s="60">
        <v>0</v>
      </c>
      <c r="R274" s="60">
        <v>0</v>
      </c>
      <c r="S274" s="60">
        <v>0</v>
      </c>
      <c r="T274" s="60">
        <v>0</v>
      </c>
      <c r="U274" s="60">
        <v>0</v>
      </c>
      <c r="V274" s="60">
        <v>0</v>
      </c>
      <c r="W274" s="60">
        <v>0</v>
      </c>
      <c r="X274" s="60">
        <v>0</v>
      </c>
      <c r="Y274" s="60">
        <v>0</v>
      </c>
      <c r="Z274" s="60">
        <v>0</v>
      </c>
      <c r="AA274" s="60">
        <v>0</v>
      </c>
      <c r="AB274" s="60">
        <v>0</v>
      </c>
      <c r="AC274" s="62">
        <v>18827.48</v>
      </c>
      <c r="AD274" s="62">
        <v>150642.41</v>
      </c>
      <c r="AE274" s="60">
        <v>0</v>
      </c>
      <c r="AF274" s="170">
        <v>2020</v>
      </c>
      <c r="AG274" s="170">
        <v>2020</v>
      </c>
      <c r="AH274" s="63">
        <v>2020</v>
      </c>
    </row>
    <row r="275" spans="1:34" ht="61.5" x14ac:dyDescent="0.85">
      <c r="A275" s="7">
        <v>1</v>
      </c>
      <c r="B275" s="59">
        <f>SUBTOTAL(103,$A$22:A275)</f>
        <v>248</v>
      </c>
      <c r="C275" s="160" t="s">
        <v>2912</v>
      </c>
      <c r="D275" s="60">
        <f>E275+F275+G275+H275+I275+J275+L275+N275+P275+R275+T275+U275+V275+W275+X275+Y275+Z275+AA275+AB275+AC275+AD275+AE275</f>
        <v>1446069.26</v>
      </c>
      <c r="E275" s="180">
        <v>0</v>
      </c>
      <c r="F275" s="180">
        <v>0</v>
      </c>
      <c r="G275" s="180">
        <v>0</v>
      </c>
      <c r="H275" s="180">
        <v>0</v>
      </c>
      <c r="I275" s="180">
        <v>0</v>
      </c>
      <c r="J275" s="180">
        <v>0</v>
      </c>
      <c r="K275" s="168">
        <v>0</v>
      </c>
      <c r="L275" s="60">
        <v>0</v>
      </c>
      <c r="M275" s="62">
        <v>438.9</v>
      </c>
      <c r="N275" s="62">
        <v>1437873.4</v>
      </c>
      <c r="O275" s="180">
        <v>0</v>
      </c>
      <c r="P275" s="180">
        <v>0</v>
      </c>
      <c r="Q275" s="60">
        <v>0</v>
      </c>
      <c r="R275" s="60">
        <v>0</v>
      </c>
      <c r="S275" s="60">
        <v>0</v>
      </c>
      <c r="T275" s="60">
        <v>0</v>
      </c>
      <c r="U275" s="60">
        <v>0</v>
      </c>
      <c r="V275" s="60">
        <v>0</v>
      </c>
      <c r="W275" s="60">
        <v>0</v>
      </c>
      <c r="X275" s="60">
        <v>0</v>
      </c>
      <c r="Y275" s="60">
        <v>0</v>
      </c>
      <c r="Z275" s="60">
        <v>0</v>
      </c>
      <c r="AA275" s="60">
        <v>0</v>
      </c>
      <c r="AB275" s="60">
        <v>0</v>
      </c>
      <c r="AC275" s="169">
        <v>8195.86</v>
      </c>
      <c r="AD275" s="60">
        <v>0</v>
      </c>
      <c r="AE275" s="60">
        <v>0</v>
      </c>
      <c r="AF275" s="170" t="s">
        <v>257</v>
      </c>
      <c r="AG275" s="170">
        <v>2020</v>
      </c>
      <c r="AH275" s="63">
        <v>2020</v>
      </c>
    </row>
    <row r="276" spans="1:34" ht="61.5" x14ac:dyDescent="0.85">
      <c r="A276" s="7">
        <v>1</v>
      </c>
      <c r="B276" s="59">
        <f>SUBTOTAL(103,$A$22:A276)</f>
        <v>249</v>
      </c>
      <c r="C276" s="160" t="s">
        <v>2913</v>
      </c>
      <c r="D276" s="60">
        <f>E276+F276+G276+H276+I276+J276+L276+N276+P276+R276+T276+U276+V276+W276+X276+Y276+Z276+AA276+AB276+AC276+AD276+AE276</f>
        <v>2997039.15</v>
      </c>
      <c r="E276" s="180">
        <v>0</v>
      </c>
      <c r="F276" s="180">
        <v>0</v>
      </c>
      <c r="G276" s="180">
        <v>0</v>
      </c>
      <c r="H276" s="180">
        <v>0</v>
      </c>
      <c r="I276" s="180">
        <v>0</v>
      </c>
      <c r="J276" s="180">
        <v>0</v>
      </c>
      <c r="K276" s="168">
        <v>0</v>
      </c>
      <c r="L276" s="60">
        <v>0</v>
      </c>
      <c r="M276" s="62">
        <v>970</v>
      </c>
      <c r="N276" s="62">
        <v>2980052.88</v>
      </c>
      <c r="O276" s="180">
        <v>0</v>
      </c>
      <c r="P276" s="180">
        <v>0</v>
      </c>
      <c r="Q276" s="60">
        <v>0</v>
      </c>
      <c r="R276" s="60">
        <v>0</v>
      </c>
      <c r="S276" s="60">
        <v>0</v>
      </c>
      <c r="T276" s="60">
        <v>0</v>
      </c>
      <c r="U276" s="60">
        <v>0</v>
      </c>
      <c r="V276" s="60">
        <v>0</v>
      </c>
      <c r="W276" s="60">
        <v>0</v>
      </c>
      <c r="X276" s="60">
        <v>0</v>
      </c>
      <c r="Y276" s="60">
        <v>0</v>
      </c>
      <c r="Z276" s="60">
        <v>0</v>
      </c>
      <c r="AA276" s="60">
        <v>0</v>
      </c>
      <c r="AB276" s="60">
        <v>0</v>
      </c>
      <c r="AC276" s="62">
        <v>16986.27</v>
      </c>
      <c r="AD276" s="60">
        <v>0</v>
      </c>
      <c r="AE276" s="60">
        <v>0</v>
      </c>
      <c r="AF276" s="170" t="s">
        <v>257</v>
      </c>
      <c r="AG276" s="170">
        <v>2020</v>
      </c>
      <c r="AH276" s="63">
        <v>2020</v>
      </c>
    </row>
    <row r="277" spans="1:34" ht="61.5" x14ac:dyDescent="0.85">
      <c r="A277" s="7">
        <v>1</v>
      </c>
      <c r="B277" s="59">
        <f>SUBTOTAL(103,$A$22:A277)</f>
        <v>250</v>
      </c>
      <c r="C277" s="160" t="s">
        <v>2914</v>
      </c>
      <c r="D277" s="60">
        <f>E277+F277+G277+H277+I277+J277+L277+N277+P277+R277+T277+U277+V277+W277+X277+Y277+Z277+AA277+AB277+AC277+AD277+AE277</f>
        <v>2436827.77</v>
      </c>
      <c r="E277" s="180">
        <v>0</v>
      </c>
      <c r="F277" s="180">
        <v>0</v>
      </c>
      <c r="G277" s="180">
        <v>0</v>
      </c>
      <c r="H277" s="180">
        <v>0</v>
      </c>
      <c r="I277" s="180">
        <v>0</v>
      </c>
      <c r="J277" s="180">
        <v>0</v>
      </c>
      <c r="K277" s="168">
        <v>0</v>
      </c>
      <c r="L277" s="60">
        <v>0</v>
      </c>
      <c r="M277" s="62">
        <v>777.8</v>
      </c>
      <c r="N277" s="62">
        <v>2423016.6</v>
      </c>
      <c r="O277" s="180">
        <v>0</v>
      </c>
      <c r="P277" s="180">
        <v>0</v>
      </c>
      <c r="Q277" s="60">
        <v>0</v>
      </c>
      <c r="R277" s="60">
        <v>0</v>
      </c>
      <c r="S277" s="60">
        <v>0</v>
      </c>
      <c r="T277" s="60">
        <v>0</v>
      </c>
      <c r="U277" s="60">
        <v>0</v>
      </c>
      <c r="V277" s="60">
        <v>0</v>
      </c>
      <c r="W277" s="60">
        <v>0</v>
      </c>
      <c r="X277" s="60">
        <v>0</v>
      </c>
      <c r="Y277" s="60">
        <v>0</v>
      </c>
      <c r="Z277" s="60">
        <v>0</v>
      </c>
      <c r="AA277" s="60">
        <v>0</v>
      </c>
      <c r="AB277" s="60">
        <v>0</v>
      </c>
      <c r="AC277" s="62">
        <v>13811.17</v>
      </c>
      <c r="AD277" s="60">
        <v>0</v>
      </c>
      <c r="AE277" s="60">
        <v>0</v>
      </c>
      <c r="AF277" s="170" t="s">
        <v>257</v>
      </c>
      <c r="AG277" s="170">
        <v>2020</v>
      </c>
      <c r="AH277" s="63">
        <v>2020</v>
      </c>
    </row>
    <row r="278" spans="1:34" ht="61.5" x14ac:dyDescent="0.85">
      <c r="B278" s="160" t="s">
        <v>762</v>
      </c>
      <c r="C278" s="160"/>
      <c r="D278" s="177">
        <f t="shared" ref="D278:AE278" si="18">SUM(D279:D284)</f>
        <v>30964559.009999998</v>
      </c>
      <c r="E278" s="60">
        <f t="shared" si="18"/>
        <v>0</v>
      </c>
      <c r="F278" s="60">
        <f t="shared" si="18"/>
        <v>0</v>
      </c>
      <c r="G278" s="60">
        <f t="shared" si="18"/>
        <v>0</v>
      </c>
      <c r="H278" s="60">
        <f t="shared" si="18"/>
        <v>0</v>
      </c>
      <c r="I278" s="60">
        <f t="shared" si="18"/>
        <v>0</v>
      </c>
      <c r="J278" s="60">
        <f t="shared" si="18"/>
        <v>0</v>
      </c>
      <c r="K278" s="168">
        <f t="shared" si="18"/>
        <v>0</v>
      </c>
      <c r="L278" s="60">
        <f t="shared" si="18"/>
        <v>0</v>
      </c>
      <c r="M278" s="60">
        <f t="shared" si="18"/>
        <v>4568.6000000000004</v>
      </c>
      <c r="N278" s="60">
        <f t="shared" si="18"/>
        <v>22101832.469999999</v>
      </c>
      <c r="O278" s="60">
        <f t="shared" si="18"/>
        <v>0</v>
      </c>
      <c r="P278" s="60">
        <f t="shared" si="18"/>
        <v>0</v>
      </c>
      <c r="Q278" s="60">
        <f t="shared" si="18"/>
        <v>2556.4</v>
      </c>
      <c r="R278" s="60">
        <f t="shared" si="18"/>
        <v>8126707.1399999997</v>
      </c>
      <c r="S278" s="60">
        <f t="shared" si="18"/>
        <v>0</v>
      </c>
      <c r="T278" s="60">
        <f t="shared" si="18"/>
        <v>0</v>
      </c>
      <c r="U278" s="60">
        <f t="shared" si="18"/>
        <v>0</v>
      </c>
      <c r="V278" s="60">
        <f t="shared" si="18"/>
        <v>0</v>
      </c>
      <c r="W278" s="60">
        <f t="shared" si="18"/>
        <v>0</v>
      </c>
      <c r="X278" s="60">
        <f t="shared" si="18"/>
        <v>0</v>
      </c>
      <c r="Y278" s="60">
        <f t="shared" si="18"/>
        <v>0</v>
      </c>
      <c r="Z278" s="60">
        <f t="shared" si="18"/>
        <v>0</v>
      </c>
      <c r="AA278" s="60">
        <f t="shared" si="18"/>
        <v>0</v>
      </c>
      <c r="AB278" s="60">
        <f t="shared" si="18"/>
        <v>0</v>
      </c>
      <c r="AC278" s="60">
        <f t="shared" si="18"/>
        <v>268137.47000000003</v>
      </c>
      <c r="AD278" s="60">
        <f t="shared" si="18"/>
        <v>467881.93</v>
      </c>
      <c r="AE278" s="60">
        <f t="shared" si="18"/>
        <v>0</v>
      </c>
      <c r="AF278" s="54" t="s">
        <v>701</v>
      </c>
      <c r="AG278" s="54" t="s">
        <v>701</v>
      </c>
      <c r="AH278" s="55" t="s">
        <v>701</v>
      </c>
    </row>
    <row r="279" spans="1:34" ht="61.5" x14ac:dyDescent="0.85">
      <c r="A279" s="7">
        <v>1</v>
      </c>
      <c r="B279" s="59">
        <f>SUBTOTAL(103,$A$22:A279)</f>
        <v>251</v>
      </c>
      <c r="C279" s="160" t="s">
        <v>602</v>
      </c>
      <c r="D279" s="60">
        <f t="shared" ref="D279:D284" si="19">E279+F279+G279+H279+I279+J279+L279+N279+P279+R279+T279+U279+V279+W279+X279+Y279+Z279+AA279+AB279+AC279+AD279+AE279</f>
        <v>3101907.63</v>
      </c>
      <c r="E279" s="180">
        <v>0</v>
      </c>
      <c r="F279" s="180">
        <v>0</v>
      </c>
      <c r="G279" s="180">
        <v>0</v>
      </c>
      <c r="H279" s="180">
        <v>0</v>
      </c>
      <c r="I279" s="180">
        <v>0</v>
      </c>
      <c r="J279" s="180">
        <v>0</v>
      </c>
      <c r="K279" s="168">
        <v>0</v>
      </c>
      <c r="L279" s="60">
        <v>0</v>
      </c>
      <c r="M279" s="62">
        <v>318.42</v>
      </c>
      <c r="N279" s="62">
        <v>1354124</v>
      </c>
      <c r="O279" s="181">
        <v>0</v>
      </c>
      <c r="P279" s="181">
        <v>0</v>
      </c>
      <c r="Q279" s="62">
        <v>617</v>
      </c>
      <c r="R279" s="62">
        <v>1623290</v>
      </c>
      <c r="S279" s="60">
        <v>0</v>
      </c>
      <c r="T279" s="60">
        <v>0</v>
      </c>
      <c r="U279" s="60">
        <v>0</v>
      </c>
      <c r="V279" s="60">
        <v>0</v>
      </c>
      <c r="W279" s="60">
        <v>0</v>
      </c>
      <c r="X279" s="60">
        <v>0</v>
      </c>
      <c r="Y279" s="60">
        <v>0</v>
      </c>
      <c r="Z279" s="60">
        <v>0</v>
      </c>
      <c r="AA279" s="60">
        <v>0</v>
      </c>
      <c r="AB279" s="60">
        <v>0</v>
      </c>
      <c r="AC279" s="60">
        <v>17864.48</v>
      </c>
      <c r="AD279" s="62">
        <v>106629.15</v>
      </c>
      <c r="AE279" s="60">
        <v>0</v>
      </c>
      <c r="AF279" s="170">
        <v>2020</v>
      </c>
      <c r="AG279" s="170">
        <v>2020</v>
      </c>
      <c r="AH279" s="63">
        <v>2020</v>
      </c>
    </row>
    <row r="280" spans="1:34" ht="61.5" x14ac:dyDescent="0.85">
      <c r="A280" s="7">
        <v>1</v>
      </c>
      <c r="B280" s="59">
        <f>SUBTOTAL(103,$A$22:A280)</f>
        <v>252</v>
      </c>
      <c r="C280" s="160" t="s">
        <v>597</v>
      </c>
      <c r="D280" s="60">
        <f t="shared" si="19"/>
        <v>3151307.31</v>
      </c>
      <c r="E280" s="180">
        <v>0</v>
      </c>
      <c r="F280" s="180">
        <v>0</v>
      </c>
      <c r="G280" s="180">
        <v>0</v>
      </c>
      <c r="H280" s="180">
        <v>0</v>
      </c>
      <c r="I280" s="180">
        <v>0</v>
      </c>
      <c r="J280" s="180">
        <v>0</v>
      </c>
      <c r="K280" s="168">
        <v>0</v>
      </c>
      <c r="L280" s="60">
        <v>0</v>
      </c>
      <c r="M280" s="62">
        <v>623</v>
      </c>
      <c r="N280" s="62">
        <v>3013159.02</v>
      </c>
      <c r="O280" s="180">
        <v>0</v>
      </c>
      <c r="P280" s="180">
        <v>0</v>
      </c>
      <c r="Q280" s="60">
        <v>0</v>
      </c>
      <c r="R280" s="60">
        <v>0</v>
      </c>
      <c r="S280" s="60">
        <v>0</v>
      </c>
      <c r="T280" s="60">
        <v>0</v>
      </c>
      <c r="U280" s="60">
        <v>0</v>
      </c>
      <c r="V280" s="60">
        <v>0</v>
      </c>
      <c r="W280" s="60">
        <v>0</v>
      </c>
      <c r="X280" s="60">
        <v>0</v>
      </c>
      <c r="Y280" s="60">
        <v>0</v>
      </c>
      <c r="Z280" s="60">
        <v>0</v>
      </c>
      <c r="AA280" s="60">
        <v>0</v>
      </c>
      <c r="AB280" s="60">
        <v>0</v>
      </c>
      <c r="AC280" s="62">
        <v>18078.95</v>
      </c>
      <c r="AD280" s="62">
        <v>120069.34</v>
      </c>
      <c r="AE280" s="60">
        <v>0</v>
      </c>
      <c r="AF280" s="170">
        <v>2020</v>
      </c>
      <c r="AG280" s="170">
        <v>2020</v>
      </c>
      <c r="AH280" s="63">
        <v>2020</v>
      </c>
    </row>
    <row r="281" spans="1:34" ht="61.5" x14ac:dyDescent="0.85">
      <c r="A281" s="7">
        <v>1</v>
      </c>
      <c r="B281" s="59">
        <f>SUBTOTAL(103,$A$22:A281)</f>
        <v>253</v>
      </c>
      <c r="C281" s="160" t="s">
        <v>601</v>
      </c>
      <c r="D281" s="60">
        <f t="shared" si="19"/>
        <v>4866736.68</v>
      </c>
      <c r="E281" s="180">
        <v>0</v>
      </c>
      <c r="F281" s="180">
        <v>0</v>
      </c>
      <c r="G281" s="180">
        <v>0</v>
      </c>
      <c r="H281" s="180">
        <v>0</v>
      </c>
      <c r="I281" s="180">
        <v>0</v>
      </c>
      <c r="J281" s="180">
        <v>0</v>
      </c>
      <c r="K281" s="168">
        <v>0</v>
      </c>
      <c r="L281" s="60">
        <v>0</v>
      </c>
      <c r="M281" s="62">
        <v>1038.72</v>
      </c>
      <c r="N281" s="169">
        <v>4711362.12</v>
      </c>
      <c r="O281" s="180">
        <v>0</v>
      </c>
      <c r="P281" s="180">
        <v>0</v>
      </c>
      <c r="Q281" s="60">
        <v>0</v>
      </c>
      <c r="R281" s="60">
        <v>0</v>
      </c>
      <c r="S281" s="60">
        <v>0</v>
      </c>
      <c r="T281" s="60">
        <v>0</v>
      </c>
      <c r="U281" s="60">
        <v>0</v>
      </c>
      <c r="V281" s="60">
        <v>0</v>
      </c>
      <c r="W281" s="60">
        <v>0</v>
      </c>
      <c r="X281" s="60">
        <v>0</v>
      </c>
      <c r="Y281" s="60">
        <v>0</v>
      </c>
      <c r="Z281" s="60">
        <v>0</v>
      </c>
      <c r="AA281" s="60">
        <v>0</v>
      </c>
      <c r="AB281" s="60">
        <v>0</v>
      </c>
      <c r="AC281" s="169">
        <v>28268.17</v>
      </c>
      <c r="AD281" s="62">
        <v>127106.39</v>
      </c>
      <c r="AE281" s="60">
        <v>0</v>
      </c>
      <c r="AF281" s="170">
        <v>2020</v>
      </c>
      <c r="AG281" s="170">
        <v>2020</v>
      </c>
      <c r="AH281" s="63">
        <v>2020</v>
      </c>
    </row>
    <row r="282" spans="1:34" ht="61.5" x14ac:dyDescent="0.85">
      <c r="A282" s="7">
        <v>1</v>
      </c>
      <c r="B282" s="59">
        <f>SUBTOTAL(103,$A$22:A282)</f>
        <v>254</v>
      </c>
      <c r="C282" s="160" t="s">
        <v>1122</v>
      </c>
      <c r="D282" s="60">
        <f t="shared" si="19"/>
        <v>6540486.5499999998</v>
      </c>
      <c r="E282" s="180">
        <v>0</v>
      </c>
      <c r="F282" s="180">
        <v>0</v>
      </c>
      <c r="G282" s="180">
        <v>0</v>
      </c>
      <c r="H282" s="180">
        <v>0</v>
      </c>
      <c r="I282" s="180">
        <v>0</v>
      </c>
      <c r="J282" s="180">
        <v>0</v>
      </c>
      <c r="K282" s="168">
        <v>0</v>
      </c>
      <c r="L282" s="60">
        <v>0</v>
      </c>
      <c r="M282" s="60">
        <v>0</v>
      </c>
      <c r="N282" s="60">
        <v>0</v>
      </c>
      <c r="O282" s="180">
        <v>0</v>
      </c>
      <c r="P282" s="180">
        <v>0</v>
      </c>
      <c r="Q282" s="62">
        <v>1939.4</v>
      </c>
      <c r="R282" s="62">
        <v>6503417.1399999997</v>
      </c>
      <c r="S282" s="60">
        <v>0</v>
      </c>
      <c r="T282" s="60">
        <v>0</v>
      </c>
      <c r="U282" s="60">
        <v>0</v>
      </c>
      <c r="V282" s="60">
        <v>0</v>
      </c>
      <c r="W282" s="60">
        <v>0</v>
      </c>
      <c r="X282" s="60">
        <v>0</v>
      </c>
      <c r="Y282" s="60">
        <v>0</v>
      </c>
      <c r="Z282" s="60">
        <v>0</v>
      </c>
      <c r="AA282" s="60">
        <v>0</v>
      </c>
      <c r="AB282" s="60">
        <v>0</v>
      </c>
      <c r="AC282" s="62">
        <v>37069.410000000003</v>
      </c>
      <c r="AD282" s="60">
        <v>0</v>
      </c>
      <c r="AE282" s="60">
        <v>0</v>
      </c>
      <c r="AF282" s="170" t="s">
        <v>257</v>
      </c>
      <c r="AG282" s="170">
        <v>2020</v>
      </c>
      <c r="AH282" s="63">
        <v>2020</v>
      </c>
    </row>
    <row r="283" spans="1:34" ht="61.5" x14ac:dyDescent="0.85">
      <c r="A283" s="7">
        <v>1</v>
      </c>
      <c r="B283" s="59">
        <f>SUBTOTAL(103,$A$22:A283)</f>
        <v>255</v>
      </c>
      <c r="C283" s="160" t="s">
        <v>1113</v>
      </c>
      <c r="D283" s="60">
        <f t="shared" si="19"/>
        <v>10088677.58</v>
      </c>
      <c r="E283" s="180">
        <v>0</v>
      </c>
      <c r="F283" s="180">
        <v>0</v>
      </c>
      <c r="G283" s="180">
        <v>0</v>
      </c>
      <c r="H283" s="180">
        <v>0</v>
      </c>
      <c r="I283" s="180">
        <v>0</v>
      </c>
      <c r="J283" s="180">
        <v>0</v>
      </c>
      <c r="K283" s="168">
        <v>0</v>
      </c>
      <c r="L283" s="60">
        <v>0</v>
      </c>
      <c r="M283" s="172">
        <v>1878.14</v>
      </c>
      <c r="N283" s="172">
        <v>9940318.3300000001</v>
      </c>
      <c r="O283" s="180">
        <v>0</v>
      </c>
      <c r="P283" s="180">
        <v>0</v>
      </c>
      <c r="Q283" s="60">
        <v>0</v>
      </c>
      <c r="R283" s="60">
        <v>0</v>
      </c>
      <c r="S283" s="60">
        <v>0</v>
      </c>
      <c r="T283" s="60">
        <v>0</v>
      </c>
      <c r="U283" s="60">
        <v>0</v>
      </c>
      <c r="V283" s="60">
        <v>0</v>
      </c>
      <c r="W283" s="60">
        <v>0</v>
      </c>
      <c r="X283" s="60">
        <v>0</v>
      </c>
      <c r="Y283" s="60">
        <v>0</v>
      </c>
      <c r="Z283" s="60">
        <v>0</v>
      </c>
      <c r="AA283" s="60">
        <v>0</v>
      </c>
      <c r="AB283" s="60">
        <v>0</v>
      </c>
      <c r="AC283" s="169">
        <v>148359.25</v>
      </c>
      <c r="AD283" s="60">
        <v>0</v>
      </c>
      <c r="AE283" s="60">
        <v>0</v>
      </c>
      <c r="AF283" s="170" t="s">
        <v>257</v>
      </c>
      <c r="AG283" s="170">
        <v>2020</v>
      </c>
      <c r="AH283" s="63">
        <v>2020</v>
      </c>
    </row>
    <row r="284" spans="1:34" ht="61.5" x14ac:dyDescent="0.85">
      <c r="A284" s="7">
        <v>1</v>
      </c>
      <c r="B284" s="59">
        <f>SUBTOTAL(103,$A$22:A284)</f>
        <v>256</v>
      </c>
      <c r="C284" s="160" t="s">
        <v>1469</v>
      </c>
      <c r="D284" s="60">
        <f t="shared" si="19"/>
        <v>3215443.26</v>
      </c>
      <c r="E284" s="180">
        <v>0</v>
      </c>
      <c r="F284" s="180">
        <v>0</v>
      </c>
      <c r="G284" s="180">
        <v>0</v>
      </c>
      <c r="H284" s="180">
        <v>0</v>
      </c>
      <c r="I284" s="180">
        <v>0</v>
      </c>
      <c r="J284" s="180">
        <v>0</v>
      </c>
      <c r="K284" s="168">
        <v>0</v>
      </c>
      <c r="L284" s="60">
        <v>0</v>
      </c>
      <c r="M284" s="172">
        <v>710.32</v>
      </c>
      <c r="N284" s="172">
        <v>3082869</v>
      </c>
      <c r="O284" s="180">
        <v>0</v>
      </c>
      <c r="P284" s="180">
        <v>0</v>
      </c>
      <c r="Q284" s="60">
        <v>0</v>
      </c>
      <c r="R284" s="60">
        <v>0</v>
      </c>
      <c r="S284" s="60">
        <v>0</v>
      </c>
      <c r="T284" s="60">
        <v>0</v>
      </c>
      <c r="U284" s="60">
        <v>0</v>
      </c>
      <c r="V284" s="60">
        <v>0</v>
      </c>
      <c r="W284" s="60">
        <v>0</v>
      </c>
      <c r="X284" s="60">
        <v>0</v>
      </c>
      <c r="Y284" s="60">
        <v>0</v>
      </c>
      <c r="Z284" s="60">
        <v>0</v>
      </c>
      <c r="AA284" s="60">
        <v>0</v>
      </c>
      <c r="AB284" s="60">
        <v>0</v>
      </c>
      <c r="AC284" s="172">
        <v>18497.21</v>
      </c>
      <c r="AD284" s="62">
        <v>114077.05</v>
      </c>
      <c r="AE284" s="60">
        <v>0</v>
      </c>
      <c r="AF284" s="170">
        <v>2020</v>
      </c>
      <c r="AG284" s="170">
        <v>2020</v>
      </c>
      <c r="AH284" s="63">
        <v>2020</v>
      </c>
    </row>
    <row r="285" spans="1:34" ht="61.5" x14ac:dyDescent="0.85">
      <c r="B285" s="160" t="s">
        <v>763</v>
      </c>
      <c r="C285" s="160"/>
      <c r="D285" s="177">
        <f t="shared" ref="D285:AE285" si="20">SUM(D286:D289)</f>
        <v>12442442.430000002</v>
      </c>
      <c r="E285" s="60">
        <f t="shared" si="20"/>
        <v>0</v>
      </c>
      <c r="F285" s="60">
        <f t="shared" si="20"/>
        <v>83564.44</v>
      </c>
      <c r="G285" s="60">
        <f t="shared" si="20"/>
        <v>895725.75</v>
      </c>
      <c r="H285" s="60">
        <f t="shared" si="20"/>
        <v>61962.38</v>
      </c>
      <c r="I285" s="60">
        <f t="shared" si="20"/>
        <v>0</v>
      </c>
      <c r="J285" s="60">
        <f t="shared" si="20"/>
        <v>0</v>
      </c>
      <c r="K285" s="168">
        <f t="shared" si="20"/>
        <v>0</v>
      </c>
      <c r="L285" s="60">
        <f t="shared" si="20"/>
        <v>0</v>
      </c>
      <c r="M285" s="60">
        <f t="shared" si="20"/>
        <v>2985.79</v>
      </c>
      <c r="N285" s="60">
        <f t="shared" si="20"/>
        <v>11043668.1</v>
      </c>
      <c r="O285" s="60">
        <f t="shared" si="20"/>
        <v>0</v>
      </c>
      <c r="P285" s="60">
        <f t="shared" si="20"/>
        <v>0</v>
      </c>
      <c r="Q285" s="60">
        <f t="shared" si="20"/>
        <v>0</v>
      </c>
      <c r="R285" s="60">
        <f t="shared" si="20"/>
        <v>0</v>
      </c>
      <c r="S285" s="60">
        <f t="shared" si="20"/>
        <v>0</v>
      </c>
      <c r="T285" s="60">
        <f t="shared" si="20"/>
        <v>0</v>
      </c>
      <c r="U285" s="60">
        <f t="shared" si="20"/>
        <v>0</v>
      </c>
      <c r="V285" s="60">
        <f t="shared" si="20"/>
        <v>0</v>
      </c>
      <c r="W285" s="60">
        <f t="shared" si="20"/>
        <v>0</v>
      </c>
      <c r="X285" s="60">
        <f t="shared" si="20"/>
        <v>0</v>
      </c>
      <c r="Y285" s="60">
        <f t="shared" si="20"/>
        <v>0</v>
      </c>
      <c r="Z285" s="60">
        <f t="shared" si="20"/>
        <v>0</v>
      </c>
      <c r="AA285" s="60">
        <f t="shared" si="20"/>
        <v>0</v>
      </c>
      <c r="AB285" s="60">
        <f t="shared" si="20"/>
        <v>0</v>
      </c>
      <c r="AC285" s="60">
        <f t="shared" si="20"/>
        <v>99418.28</v>
      </c>
      <c r="AD285" s="60">
        <f t="shared" si="20"/>
        <v>258103.47999999998</v>
      </c>
      <c r="AE285" s="60">
        <f t="shared" si="20"/>
        <v>0</v>
      </c>
      <c r="AF285" s="54" t="s">
        <v>701</v>
      </c>
      <c r="AG285" s="54" t="s">
        <v>701</v>
      </c>
      <c r="AH285" s="55" t="s">
        <v>701</v>
      </c>
    </row>
    <row r="286" spans="1:34" ht="61.5" x14ac:dyDescent="0.85">
      <c r="A286" s="7">
        <v>1</v>
      </c>
      <c r="B286" s="59">
        <f>SUBTOTAL(103,$A$22:A286)</f>
        <v>257</v>
      </c>
      <c r="C286" s="160" t="s">
        <v>606</v>
      </c>
      <c r="D286" s="60">
        <f>E286+F286+G286+H286+I286+J286+L286+N286+P286+R286+T286+U286+V286+W286+X286+Y286+Z286+AA286+AB286+AC286+AD286+AE286</f>
        <v>5056079.6400000006</v>
      </c>
      <c r="E286" s="180">
        <v>0</v>
      </c>
      <c r="F286" s="180">
        <v>0</v>
      </c>
      <c r="G286" s="180">
        <v>0</v>
      </c>
      <c r="H286" s="180">
        <v>0</v>
      </c>
      <c r="I286" s="180">
        <v>0</v>
      </c>
      <c r="J286" s="180">
        <v>0</v>
      </c>
      <c r="K286" s="168">
        <v>0</v>
      </c>
      <c r="L286" s="60">
        <v>0</v>
      </c>
      <c r="M286" s="62">
        <v>1078.7</v>
      </c>
      <c r="N286" s="169">
        <v>4883507.32</v>
      </c>
      <c r="O286" s="180">
        <v>0</v>
      </c>
      <c r="P286" s="180">
        <v>0</v>
      </c>
      <c r="Q286" s="60">
        <v>0</v>
      </c>
      <c r="R286" s="60">
        <v>0</v>
      </c>
      <c r="S286" s="60">
        <v>0</v>
      </c>
      <c r="T286" s="60">
        <v>0</v>
      </c>
      <c r="U286" s="60">
        <v>0</v>
      </c>
      <c r="V286" s="60">
        <v>0</v>
      </c>
      <c r="W286" s="60">
        <v>0</v>
      </c>
      <c r="X286" s="60">
        <v>0</v>
      </c>
      <c r="Y286" s="60">
        <v>0</v>
      </c>
      <c r="Z286" s="60">
        <v>0</v>
      </c>
      <c r="AA286" s="60">
        <v>0</v>
      </c>
      <c r="AB286" s="60">
        <v>0</v>
      </c>
      <c r="AC286" s="169">
        <v>29301.040000000001</v>
      </c>
      <c r="AD286" s="62">
        <v>143271.28</v>
      </c>
      <c r="AE286" s="60">
        <v>0</v>
      </c>
      <c r="AF286" s="170">
        <v>2020</v>
      </c>
      <c r="AG286" s="170">
        <v>2020</v>
      </c>
      <c r="AH286" s="63">
        <v>2020</v>
      </c>
    </row>
    <row r="287" spans="1:34" ht="61.5" x14ac:dyDescent="0.85">
      <c r="A287" s="7">
        <v>1</v>
      </c>
      <c r="B287" s="59">
        <f>SUBTOTAL(103,$A$22:A287)</f>
        <v>258</v>
      </c>
      <c r="C287" s="160" t="s">
        <v>603</v>
      </c>
      <c r="D287" s="60">
        <f>E287+F287+G287+H287+I287+J287+L287+N287+P287+R287+T287+U287+V287+W287+X287+Y287+Z287+AA287+AB287+AC287+AD287+AE287</f>
        <v>1162332.27</v>
      </c>
      <c r="E287" s="182">
        <v>0</v>
      </c>
      <c r="F287" s="183">
        <v>83564.44</v>
      </c>
      <c r="G287" s="62">
        <v>895725.75</v>
      </c>
      <c r="H287" s="183">
        <v>61962.38</v>
      </c>
      <c r="I287" s="182">
        <v>0</v>
      </c>
      <c r="J287" s="182">
        <v>0</v>
      </c>
      <c r="K287" s="168">
        <v>0</v>
      </c>
      <c r="L287" s="60">
        <v>0</v>
      </c>
      <c r="M287" s="60">
        <v>0</v>
      </c>
      <c r="N287" s="60">
        <v>0</v>
      </c>
      <c r="O287" s="182">
        <v>0</v>
      </c>
      <c r="P287" s="182">
        <v>0</v>
      </c>
      <c r="Q287" s="60">
        <v>0</v>
      </c>
      <c r="R287" s="60">
        <v>0</v>
      </c>
      <c r="S287" s="60">
        <v>0</v>
      </c>
      <c r="T287" s="60">
        <v>0</v>
      </c>
      <c r="U287" s="60">
        <v>0</v>
      </c>
      <c r="V287" s="60">
        <v>0</v>
      </c>
      <c r="W287" s="60">
        <v>0</v>
      </c>
      <c r="X287" s="60">
        <v>0</v>
      </c>
      <c r="Y287" s="60">
        <v>0</v>
      </c>
      <c r="Z287" s="60">
        <v>0</v>
      </c>
      <c r="AA287" s="60">
        <v>0</v>
      </c>
      <c r="AB287" s="60">
        <v>0</v>
      </c>
      <c r="AC287" s="62">
        <v>6247.5</v>
      </c>
      <c r="AD287" s="62">
        <v>114832.2</v>
      </c>
      <c r="AE287" s="60">
        <v>0</v>
      </c>
      <c r="AF287" s="170">
        <v>2020</v>
      </c>
      <c r="AG287" s="170">
        <v>2020</v>
      </c>
      <c r="AH287" s="63">
        <v>2020</v>
      </c>
    </row>
    <row r="288" spans="1:34" ht="61.5" x14ac:dyDescent="0.85">
      <c r="A288" s="7">
        <v>1</v>
      </c>
      <c r="B288" s="59">
        <f>SUBTOTAL(103,$A$22:A288)</f>
        <v>259</v>
      </c>
      <c r="C288" s="160" t="s">
        <v>1123</v>
      </c>
      <c r="D288" s="60">
        <f>E288+F288+G288+H288+I288+J288+L288+N288+P288+R288+T288+U288+V288+W288+X288+Y288+Z288+AA288+AB288+AC288+AD288+AE288</f>
        <v>3164041.96</v>
      </c>
      <c r="E288" s="180">
        <v>0</v>
      </c>
      <c r="F288" s="180">
        <v>0</v>
      </c>
      <c r="G288" s="180">
        <v>0</v>
      </c>
      <c r="H288" s="180">
        <v>0</v>
      </c>
      <c r="I288" s="180">
        <v>0</v>
      </c>
      <c r="J288" s="180">
        <v>0</v>
      </c>
      <c r="K288" s="168">
        <v>0</v>
      </c>
      <c r="L288" s="60">
        <v>0</v>
      </c>
      <c r="M288" s="62">
        <v>789.35</v>
      </c>
      <c r="N288" s="62">
        <v>3145170.94</v>
      </c>
      <c r="O288" s="180">
        <v>0</v>
      </c>
      <c r="P288" s="180">
        <v>0</v>
      </c>
      <c r="Q288" s="60">
        <v>0</v>
      </c>
      <c r="R288" s="60">
        <v>0</v>
      </c>
      <c r="S288" s="60">
        <v>0</v>
      </c>
      <c r="T288" s="60">
        <v>0</v>
      </c>
      <c r="U288" s="60">
        <v>0</v>
      </c>
      <c r="V288" s="60">
        <v>0</v>
      </c>
      <c r="W288" s="60">
        <v>0</v>
      </c>
      <c r="X288" s="60">
        <v>0</v>
      </c>
      <c r="Y288" s="60">
        <v>0</v>
      </c>
      <c r="Z288" s="60">
        <v>0</v>
      </c>
      <c r="AA288" s="60">
        <v>0</v>
      </c>
      <c r="AB288" s="60">
        <v>0</v>
      </c>
      <c r="AC288" s="62">
        <v>18871.02</v>
      </c>
      <c r="AD288" s="60">
        <v>0</v>
      </c>
      <c r="AE288" s="60">
        <v>0</v>
      </c>
      <c r="AF288" s="170" t="s">
        <v>257</v>
      </c>
      <c r="AG288" s="170">
        <v>2020</v>
      </c>
      <c r="AH288" s="63">
        <v>2020</v>
      </c>
    </row>
    <row r="289" spans="1:34" ht="61.5" x14ac:dyDescent="0.85">
      <c r="A289" s="7">
        <v>1</v>
      </c>
      <c r="B289" s="59">
        <f>SUBTOTAL(103,$A$22:A289)</f>
        <v>260</v>
      </c>
      <c r="C289" s="160" t="s">
        <v>1115</v>
      </c>
      <c r="D289" s="60">
        <f>E289+F289+G289+H289+I289+J289+L289+N289+P289+R289+T289+U289+V289+W289+X289+Y289+Z289+AA289+AB289+AC289+AD289+AE289</f>
        <v>3059988.56</v>
      </c>
      <c r="E289" s="180">
        <v>0</v>
      </c>
      <c r="F289" s="180">
        <v>0</v>
      </c>
      <c r="G289" s="180">
        <v>0</v>
      </c>
      <c r="H289" s="180">
        <v>0</v>
      </c>
      <c r="I289" s="180">
        <v>0</v>
      </c>
      <c r="J289" s="180">
        <v>0</v>
      </c>
      <c r="K289" s="168">
        <v>0</v>
      </c>
      <c r="L289" s="60">
        <v>0</v>
      </c>
      <c r="M289" s="62">
        <v>1117.74</v>
      </c>
      <c r="N289" s="169">
        <v>3014989.84</v>
      </c>
      <c r="O289" s="180">
        <v>0</v>
      </c>
      <c r="P289" s="180">
        <v>0</v>
      </c>
      <c r="Q289" s="60">
        <v>0</v>
      </c>
      <c r="R289" s="60">
        <v>0</v>
      </c>
      <c r="S289" s="60">
        <v>0</v>
      </c>
      <c r="T289" s="60">
        <v>0</v>
      </c>
      <c r="U289" s="60">
        <v>0</v>
      </c>
      <c r="V289" s="60">
        <v>0</v>
      </c>
      <c r="W289" s="60">
        <v>0</v>
      </c>
      <c r="X289" s="60">
        <v>0</v>
      </c>
      <c r="Y289" s="60">
        <v>0</v>
      </c>
      <c r="Z289" s="60">
        <v>0</v>
      </c>
      <c r="AA289" s="60">
        <v>0</v>
      </c>
      <c r="AB289" s="60">
        <v>0</v>
      </c>
      <c r="AC289" s="169">
        <v>44998.720000000001</v>
      </c>
      <c r="AD289" s="60">
        <v>0</v>
      </c>
      <c r="AE289" s="60">
        <v>0</v>
      </c>
      <c r="AF289" s="170" t="s">
        <v>257</v>
      </c>
      <c r="AG289" s="170">
        <v>2020</v>
      </c>
      <c r="AH289" s="63">
        <v>2020</v>
      </c>
    </row>
    <row r="290" spans="1:34" ht="61.5" x14ac:dyDescent="0.85">
      <c r="B290" s="160" t="s">
        <v>1198</v>
      </c>
      <c r="C290" s="160"/>
      <c r="D290" s="177">
        <f t="shared" ref="D290:AE290" si="21">D291</f>
        <v>345276.04000000004</v>
      </c>
      <c r="E290" s="60">
        <f t="shared" si="21"/>
        <v>0</v>
      </c>
      <c r="F290" s="60">
        <f t="shared" si="21"/>
        <v>0</v>
      </c>
      <c r="G290" s="60">
        <f t="shared" si="21"/>
        <v>0</v>
      </c>
      <c r="H290" s="60">
        <f t="shared" si="21"/>
        <v>0</v>
      </c>
      <c r="I290" s="60">
        <f t="shared" si="21"/>
        <v>0</v>
      </c>
      <c r="J290" s="60">
        <f t="shared" si="21"/>
        <v>0</v>
      </c>
      <c r="K290" s="168">
        <f t="shared" si="21"/>
        <v>0</v>
      </c>
      <c r="L290" s="60">
        <f t="shared" si="21"/>
        <v>0</v>
      </c>
      <c r="M290" s="60">
        <f t="shared" si="21"/>
        <v>0</v>
      </c>
      <c r="N290" s="60">
        <f t="shared" si="21"/>
        <v>0</v>
      </c>
      <c r="O290" s="60">
        <f t="shared" si="21"/>
        <v>0</v>
      </c>
      <c r="P290" s="60">
        <f t="shared" si="21"/>
        <v>0</v>
      </c>
      <c r="Q290" s="60">
        <f t="shared" si="21"/>
        <v>0</v>
      </c>
      <c r="R290" s="60">
        <f t="shared" si="21"/>
        <v>0</v>
      </c>
      <c r="S290" s="60">
        <f t="shared" si="21"/>
        <v>0</v>
      </c>
      <c r="T290" s="60">
        <f t="shared" si="21"/>
        <v>0</v>
      </c>
      <c r="U290" s="60">
        <f t="shared" si="21"/>
        <v>0</v>
      </c>
      <c r="V290" s="60">
        <f t="shared" si="21"/>
        <v>340198.58</v>
      </c>
      <c r="W290" s="60">
        <f t="shared" si="21"/>
        <v>0</v>
      </c>
      <c r="X290" s="60">
        <f t="shared" si="21"/>
        <v>0</v>
      </c>
      <c r="Y290" s="60">
        <f t="shared" si="21"/>
        <v>0</v>
      </c>
      <c r="Z290" s="60">
        <f t="shared" si="21"/>
        <v>0</v>
      </c>
      <c r="AA290" s="60">
        <f t="shared" si="21"/>
        <v>0</v>
      </c>
      <c r="AB290" s="60">
        <f t="shared" si="21"/>
        <v>0</v>
      </c>
      <c r="AC290" s="60">
        <f t="shared" si="21"/>
        <v>5077.46</v>
      </c>
      <c r="AD290" s="60">
        <f t="shared" si="21"/>
        <v>0</v>
      </c>
      <c r="AE290" s="60">
        <f t="shared" si="21"/>
        <v>0</v>
      </c>
      <c r="AF290" s="54" t="s">
        <v>701</v>
      </c>
      <c r="AG290" s="54" t="s">
        <v>701</v>
      </c>
      <c r="AH290" s="55" t="s">
        <v>701</v>
      </c>
    </row>
    <row r="291" spans="1:34" ht="61.5" x14ac:dyDescent="0.85">
      <c r="A291" s="7">
        <v>1</v>
      </c>
      <c r="B291" s="59">
        <f>SUBTOTAL(103,$A$22:A291)</f>
        <v>261</v>
      </c>
      <c r="C291" s="160" t="s">
        <v>1114</v>
      </c>
      <c r="D291" s="60">
        <f>E291+F291+G291+H291+I291+J291+L291+N291+P291+R291+T291+U291+V291+W291+X291+Y291+Z291+AA291+AB291+AC291+AD291+AE291</f>
        <v>345276.04000000004</v>
      </c>
      <c r="E291" s="180">
        <v>0</v>
      </c>
      <c r="F291" s="180">
        <v>0</v>
      </c>
      <c r="G291" s="180">
        <v>0</v>
      </c>
      <c r="H291" s="180">
        <v>0</v>
      </c>
      <c r="I291" s="180">
        <v>0</v>
      </c>
      <c r="J291" s="180">
        <v>0</v>
      </c>
      <c r="K291" s="168">
        <v>0</v>
      </c>
      <c r="L291" s="60">
        <v>0</v>
      </c>
      <c r="M291" s="60">
        <v>0</v>
      </c>
      <c r="N291" s="60">
        <v>0</v>
      </c>
      <c r="O291" s="180">
        <v>0</v>
      </c>
      <c r="P291" s="180">
        <v>0</v>
      </c>
      <c r="Q291" s="60">
        <v>0</v>
      </c>
      <c r="R291" s="60">
        <v>0</v>
      </c>
      <c r="S291" s="60">
        <v>0</v>
      </c>
      <c r="T291" s="60">
        <v>0</v>
      </c>
      <c r="U291" s="60">
        <v>0</v>
      </c>
      <c r="V291" s="169">
        <v>340198.58</v>
      </c>
      <c r="W291" s="60">
        <v>0</v>
      </c>
      <c r="X291" s="60">
        <v>0</v>
      </c>
      <c r="Y291" s="60">
        <v>0</v>
      </c>
      <c r="Z291" s="60">
        <v>0</v>
      </c>
      <c r="AA291" s="60">
        <v>0</v>
      </c>
      <c r="AB291" s="60">
        <v>0</v>
      </c>
      <c r="AC291" s="169">
        <v>5077.46</v>
      </c>
      <c r="AD291" s="60">
        <v>0</v>
      </c>
      <c r="AE291" s="60">
        <v>0</v>
      </c>
      <c r="AF291" s="170" t="s">
        <v>257</v>
      </c>
      <c r="AG291" s="170">
        <v>2020</v>
      </c>
      <c r="AH291" s="63">
        <v>2020</v>
      </c>
    </row>
    <row r="292" spans="1:34" ht="61.5" x14ac:dyDescent="0.85">
      <c r="B292" s="160" t="s">
        <v>764</v>
      </c>
      <c r="C292" s="176"/>
      <c r="D292" s="177">
        <f t="shared" ref="D292:AE292" si="22">SUM(D293:D294)</f>
        <v>5773107.5300000003</v>
      </c>
      <c r="E292" s="60">
        <f t="shared" si="22"/>
        <v>0</v>
      </c>
      <c r="F292" s="60">
        <f t="shared" si="22"/>
        <v>0</v>
      </c>
      <c r="G292" s="60">
        <f t="shared" si="22"/>
        <v>0</v>
      </c>
      <c r="H292" s="60">
        <f t="shared" si="22"/>
        <v>0</v>
      </c>
      <c r="I292" s="60">
        <f t="shared" si="22"/>
        <v>0</v>
      </c>
      <c r="J292" s="60">
        <f t="shared" si="22"/>
        <v>0</v>
      </c>
      <c r="K292" s="168">
        <f t="shared" si="22"/>
        <v>0</v>
      </c>
      <c r="L292" s="60">
        <f t="shared" si="22"/>
        <v>0</v>
      </c>
      <c r="M292" s="60">
        <f t="shared" si="22"/>
        <v>1310.67</v>
      </c>
      <c r="N292" s="60">
        <f t="shared" si="22"/>
        <v>5593662.3499999996</v>
      </c>
      <c r="O292" s="60">
        <f t="shared" si="22"/>
        <v>0</v>
      </c>
      <c r="P292" s="60">
        <f t="shared" si="22"/>
        <v>0</v>
      </c>
      <c r="Q292" s="60">
        <f t="shared" si="22"/>
        <v>0</v>
      </c>
      <c r="R292" s="60">
        <f t="shared" si="22"/>
        <v>0</v>
      </c>
      <c r="S292" s="60">
        <f t="shared" si="22"/>
        <v>0</v>
      </c>
      <c r="T292" s="60">
        <f t="shared" si="22"/>
        <v>0</v>
      </c>
      <c r="U292" s="60">
        <f t="shared" si="22"/>
        <v>0</v>
      </c>
      <c r="V292" s="60">
        <f t="shared" si="22"/>
        <v>0</v>
      </c>
      <c r="W292" s="60">
        <f t="shared" si="22"/>
        <v>0</v>
      </c>
      <c r="X292" s="60">
        <f t="shared" si="22"/>
        <v>0</v>
      </c>
      <c r="Y292" s="60">
        <f t="shared" si="22"/>
        <v>0</v>
      </c>
      <c r="Z292" s="60">
        <f t="shared" si="22"/>
        <v>0</v>
      </c>
      <c r="AA292" s="60">
        <f t="shared" si="22"/>
        <v>0</v>
      </c>
      <c r="AB292" s="60">
        <f t="shared" si="22"/>
        <v>0</v>
      </c>
      <c r="AC292" s="60">
        <f t="shared" si="22"/>
        <v>56635.83</v>
      </c>
      <c r="AD292" s="60">
        <f t="shared" si="22"/>
        <v>122809.35</v>
      </c>
      <c r="AE292" s="60">
        <f t="shared" si="22"/>
        <v>0</v>
      </c>
      <c r="AF292" s="54" t="s">
        <v>701</v>
      </c>
      <c r="AG292" s="54" t="s">
        <v>701</v>
      </c>
      <c r="AH292" s="55" t="s">
        <v>701</v>
      </c>
    </row>
    <row r="293" spans="1:34" ht="61.5" x14ac:dyDescent="0.85">
      <c r="A293" s="7">
        <v>1</v>
      </c>
      <c r="B293" s="59">
        <f>SUBTOTAL(103,$A$22:A293)</f>
        <v>262</v>
      </c>
      <c r="C293" s="160" t="s">
        <v>628</v>
      </c>
      <c r="D293" s="60">
        <f>E293+F293+G293+H293+I293+J293+L293+N293+P293+R293+T293+U293+V293+W293+X293+Y293+Z293+AA293+AB293+AC293+AD293+AE293</f>
        <v>4843097.09</v>
      </c>
      <c r="E293" s="182">
        <v>0</v>
      </c>
      <c r="F293" s="182">
        <v>0</v>
      </c>
      <c r="G293" s="60">
        <v>0</v>
      </c>
      <c r="H293" s="182">
        <v>0</v>
      </c>
      <c r="I293" s="182">
        <v>0</v>
      </c>
      <c r="J293" s="182">
        <v>0</v>
      </c>
      <c r="K293" s="168">
        <v>0</v>
      </c>
      <c r="L293" s="60">
        <v>0</v>
      </c>
      <c r="M293" s="62">
        <v>1067</v>
      </c>
      <c r="N293" s="62">
        <v>4705104.47</v>
      </c>
      <c r="O293" s="182">
        <v>0</v>
      </c>
      <c r="P293" s="182">
        <v>0</v>
      </c>
      <c r="Q293" s="60">
        <v>0</v>
      </c>
      <c r="R293" s="60">
        <v>0</v>
      </c>
      <c r="S293" s="60">
        <v>0</v>
      </c>
      <c r="T293" s="60">
        <v>0</v>
      </c>
      <c r="U293" s="60">
        <v>0</v>
      </c>
      <c r="V293" s="60">
        <v>0</v>
      </c>
      <c r="W293" s="60">
        <v>0</v>
      </c>
      <c r="X293" s="60">
        <v>0</v>
      </c>
      <c r="Y293" s="60">
        <v>0</v>
      </c>
      <c r="Z293" s="60">
        <v>0</v>
      </c>
      <c r="AA293" s="60">
        <v>0</v>
      </c>
      <c r="AB293" s="60">
        <v>0</v>
      </c>
      <c r="AC293" s="60">
        <v>47639.18</v>
      </c>
      <c r="AD293" s="62">
        <v>90353.44</v>
      </c>
      <c r="AE293" s="60">
        <v>0</v>
      </c>
      <c r="AF293" s="170">
        <v>2020</v>
      </c>
      <c r="AG293" s="170">
        <v>2020</v>
      </c>
      <c r="AH293" s="63">
        <v>2020</v>
      </c>
    </row>
    <row r="294" spans="1:34" ht="61.5" x14ac:dyDescent="0.85">
      <c r="A294" s="7">
        <v>1</v>
      </c>
      <c r="B294" s="59">
        <f>SUBTOTAL(103,$A$22:A294)</f>
        <v>263</v>
      </c>
      <c r="C294" s="160" t="s">
        <v>626</v>
      </c>
      <c r="D294" s="60">
        <f>E294+F294+G294+H294+I294+J294+L294+N294+P294+R294+T294+U294+V294+W294+X294+Y294+Z294+AA294+AB294+AC294+AD294+AE294</f>
        <v>930010.44000000006</v>
      </c>
      <c r="E294" s="182">
        <v>0</v>
      </c>
      <c r="F294" s="182">
        <v>0</v>
      </c>
      <c r="G294" s="60">
        <v>0</v>
      </c>
      <c r="H294" s="182">
        <v>0</v>
      </c>
      <c r="I294" s="182">
        <v>0</v>
      </c>
      <c r="J294" s="182">
        <v>0</v>
      </c>
      <c r="K294" s="168">
        <v>0</v>
      </c>
      <c r="L294" s="60">
        <v>0</v>
      </c>
      <c r="M294" s="62">
        <v>243.67</v>
      </c>
      <c r="N294" s="62">
        <v>888557.88</v>
      </c>
      <c r="O294" s="182">
        <v>0</v>
      </c>
      <c r="P294" s="182">
        <v>0</v>
      </c>
      <c r="Q294" s="60">
        <v>0</v>
      </c>
      <c r="R294" s="60">
        <v>0</v>
      </c>
      <c r="S294" s="60">
        <v>0</v>
      </c>
      <c r="T294" s="60">
        <v>0</v>
      </c>
      <c r="U294" s="60">
        <v>0</v>
      </c>
      <c r="V294" s="60">
        <v>0</v>
      </c>
      <c r="W294" s="60">
        <v>0</v>
      </c>
      <c r="X294" s="60">
        <v>0</v>
      </c>
      <c r="Y294" s="60">
        <v>0</v>
      </c>
      <c r="Z294" s="60">
        <v>0</v>
      </c>
      <c r="AA294" s="60">
        <v>0</v>
      </c>
      <c r="AB294" s="60">
        <v>0</v>
      </c>
      <c r="AC294" s="60">
        <v>8996.65</v>
      </c>
      <c r="AD294" s="62">
        <v>32455.91</v>
      </c>
      <c r="AE294" s="60">
        <v>0</v>
      </c>
      <c r="AF294" s="170">
        <v>2020</v>
      </c>
      <c r="AG294" s="170">
        <v>2020</v>
      </c>
      <c r="AH294" s="170">
        <v>2020</v>
      </c>
    </row>
    <row r="295" spans="1:34" ht="61.5" x14ac:dyDescent="0.85">
      <c r="B295" s="160" t="s">
        <v>765</v>
      </c>
      <c r="C295" s="160"/>
      <c r="D295" s="177">
        <f t="shared" ref="D295:AE295" si="23">SUM(D296:D300)</f>
        <v>10624337.110000001</v>
      </c>
      <c r="E295" s="60">
        <f t="shared" si="23"/>
        <v>56761.29</v>
      </c>
      <c r="F295" s="60">
        <f t="shared" si="23"/>
        <v>0</v>
      </c>
      <c r="G295" s="60">
        <f t="shared" si="23"/>
        <v>313554.02</v>
      </c>
      <c r="H295" s="60">
        <f t="shared" si="23"/>
        <v>166897.82</v>
      </c>
      <c r="I295" s="60">
        <f t="shared" si="23"/>
        <v>0</v>
      </c>
      <c r="J295" s="60">
        <f t="shared" si="23"/>
        <v>0</v>
      </c>
      <c r="K295" s="168">
        <f t="shared" si="23"/>
        <v>0</v>
      </c>
      <c r="L295" s="60">
        <f t="shared" si="23"/>
        <v>0</v>
      </c>
      <c r="M295" s="60">
        <f t="shared" si="23"/>
        <v>0</v>
      </c>
      <c r="N295" s="60">
        <f t="shared" si="23"/>
        <v>0</v>
      </c>
      <c r="O295" s="60">
        <f t="shared" si="23"/>
        <v>339.3</v>
      </c>
      <c r="P295" s="60">
        <f t="shared" si="23"/>
        <v>2618206.87</v>
      </c>
      <c r="Q295" s="60">
        <f t="shared" si="23"/>
        <v>1964.82</v>
      </c>
      <c r="R295" s="60">
        <f t="shared" si="23"/>
        <v>7256375.5399999991</v>
      </c>
      <c r="S295" s="60">
        <f t="shared" si="23"/>
        <v>0</v>
      </c>
      <c r="T295" s="60">
        <f t="shared" si="23"/>
        <v>0</v>
      </c>
      <c r="U295" s="60">
        <f t="shared" si="23"/>
        <v>0</v>
      </c>
      <c r="V295" s="60">
        <f t="shared" si="23"/>
        <v>0</v>
      </c>
      <c r="W295" s="60">
        <f t="shared" si="23"/>
        <v>0</v>
      </c>
      <c r="X295" s="60">
        <f t="shared" si="23"/>
        <v>0</v>
      </c>
      <c r="Y295" s="60">
        <f t="shared" si="23"/>
        <v>0</v>
      </c>
      <c r="Z295" s="60">
        <f t="shared" si="23"/>
        <v>0</v>
      </c>
      <c r="AA295" s="60">
        <f t="shared" si="23"/>
        <v>0</v>
      </c>
      <c r="AB295" s="60">
        <f t="shared" si="23"/>
        <v>0</v>
      </c>
      <c r="AC295" s="60">
        <f t="shared" si="23"/>
        <v>117571.73000000001</v>
      </c>
      <c r="AD295" s="60">
        <f t="shared" si="23"/>
        <v>94969.84</v>
      </c>
      <c r="AE295" s="60">
        <f t="shared" si="23"/>
        <v>0</v>
      </c>
      <c r="AF295" s="54" t="s">
        <v>701</v>
      </c>
      <c r="AG295" s="54" t="s">
        <v>701</v>
      </c>
      <c r="AH295" s="55" t="s">
        <v>701</v>
      </c>
    </row>
    <row r="296" spans="1:34" ht="61.5" x14ac:dyDescent="0.85">
      <c r="A296" s="7">
        <v>1</v>
      </c>
      <c r="B296" s="59">
        <f>SUBTOTAL(103,$A$22:A296)</f>
        <v>264</v>
      </c>
      <c r="C296" s="160" t="s">
        <v>640</v>
      </c>
      <c r="D296" s="60">
        <f>E296+F296+G296+H296+I296+J296+L296+N296+P296+R296+T296+U296+V296+W296+X296+Y296+Z296+AA296+AB296+AC296+AD296+AE296</f>
        <v>2376905.8499999996</v>
      </c>
      <c r="E296" s="182">
        <v>0</v>
      </c>
      <c r="F296" s="182">
        <v>0</v>
      </c>
      <c r="G296" s="60">
        <v>0</v>
      </c>
      <c r="H296" s="182">
        <v>0</v>
      </c>
      <c r="I296" s="182">
        <v>0</v>
      </c>
      <c r="J296" s="182">
        <v>0</v>
      </c>
      <c r="K296" s="168">
        <v>0</v>
      </c>
      <c r="L296" s="60">
        <v>0</v>
      </c>
      <c r="M296" s="60">
        <v>0</v>
      </c>
      <c r="N296" s="60">
        <v>0</v>
      </c>
      <c r="O296" s="182">
        <v>0</v>
      </c>
      <c r="P296" s="182">
        <v>0</v>
      </c>
      <c r="Q296" s="62">
        <v>664.92</v>
      </c>
      <c r="R296" s="62">
        <v>2259063</v>
      </c>
      <c r="S296" s="60">
        <v>0</v>
      </c>
      <c r="T296" s="60">
        <v>0</v>
      </c>
      <c r="U296" s="60">
        <v>0</v>
      </c>
      <c r="V296" s="60">
        <v>0</v>
      </c>
      <c r="W296" s="60">
        <v>0</v>
      </c>
      <c r="X296" s="60">
        <v>0</v>
      </c>
      <c r="Y296" s="60">
        <v>0</v>
      </c>
      <c r="Z296" s="60">
        <v>0</v>
      </c>
      <c r="AA296" s="60">
        <v>0</v>
      </c>
      <c r="AB296" s="60">
        <v>0</v>
      </c>
      <c r="AC296" s="60">
        <v>22873.01</v>
      </c>
      <c r="AD296" s="62">
        <v>94969.84</v>
      </c>
      <c r="AE296" s="60">
        <v>0</v>
      </c>
      <c r="AF296" s="170">
        <v>2020</v>
      </c>
      <c r="AG296" s="170">
        <v>2020</v>
      </c>
      <c r="AH296" s="63">
        <v>2020</v>
      </c>
    </row>
    <row r="297" spans="1:34" ht="61.5" x14ac:dyDescent="0.85">
      <c r="A297" s="7">
        <v>1</v>
      </c>
      <c r="B297" s="59">
        <f>SUBTOTAL(103,$A$22:A297)</f>
        <v>265</v>
      </c>
      <c r="C297" s="160" t="s">
        <v>1125</v>
      </c>
      <c r="D297" s="60">
        <f>E297+F297+G297+H297+I297+J297+L297+N297+P297+R297+T297+U297+V297+W297+X297+Y297+Z297+AA297+AB297+AC297+AD297+AE297</f>
        <v>2513294.65</v>
      </c>
      <c r="E297" s="182">
        <v>0</v>
      </c>
      <c r="F297" s="182">
        <v>0</v>
      </c>
      <c r="G297" s="60">
        <v>0</v>
      </c>
      <c r="H297" s="182">
        <v>0</v>
      </c>
      <c r="I297" s="182">
        <v>0</v>
      </c>
      <c r="J297" s="182">
        <v>0</v>
      </c>
      <c r="K297" s="168">
        <v>0</v>
      </c>
      <c r="L297" s="60">
        <v>0</v>
      </c>
      <c r="M297" s="60">
        <v>0</v>
      </c>
      <c r="N297" s="60">
        <v>0</v>
      </c>
      <c r="O297" s="182">
        <v>0</v>
      </c>
      <c r="P297" s="182">
        <v>0</v>
      </c>
      <c r="Q297" s="62">
        <v>647.20000000000005</v>
      </c>
      <c r="R297" s="62">
        <v>2488287.36</v>
      </c>
      <c r="S297" s="60">
        <v>0</v>
      </c>
      <c r="T297" s="60">
        <v>0</v>
      </c>
      <c r="U297" s="60">
        <v>0</v>
      </c>
      <c r="V297" s="60">
        <v>0</v>
      </c>
      <c r="W297" s="60">
        <v>0</v>
      </c>
      <c r="X297" s="60">
        <v>0</v>
      </c>
      <c r="Y297" s="60">
        <v>0</v>
      </c>
      <c r="Z297" s="60">
        <v>0</v>
      </c>
      <c r="AA297" s="60">
        <v>0</v>
      </c>
      <c r="AB297" s="60">
        <v>0</v>
      </c>
      <c r="AC297" s="62">
        <v>25007.29</v>
      </c>
      <c r="AD297" s="60">
        <v>0</v>
      </c>
      <c r="AE297" s="60">
        <v>0</v>
      </c>
      <c r="AF297" s="170" t="s">
        <v>257</v>
      </c>
      <c r="AG297" s="170">
        <v>2020</v>
      </c>
      <c r="AH297" s="63">
        <v>2020</v>
      </c>
    </row>
    <row r="298" spans="1:34" ht="61.5" x14ac:dyDescent="0.85">
      <c r="A298" s="7">
        <v>1</v>
      </c>
      <c r="B298" s="59">
        <f>SUBTOTAL(103,$A$22:A298)</f>
        <v>266</v>
      </c>
      <c r="C298" s="160" t="s">
        <v>1126</v>
      </c>
      <c r="D298" s="60">
        <f>E298+F298+G298+H298+I298+J298+L298+N298+P298+R298+T298+U298+V298+W298+X298+Y298+Z298+AA298+AB298+AC298+AD298+AE298</f>
        <v>2534240.8800000004</v>
      </c>
      <c r="E298" s="182">
        <v>0</v>
      </c>
      <c r="F298" s="182">
        <v>0</v>
      </c>
      <c r="G298" s="60">
        <v>0</v>
      </c>
      <c r="H298" s="182">
        <v>0</v>
      </c>
      <c r="I298" s="182">
        <v>0</v>
      </c>
      <c r="J298" s="182">
        <v>0</v>
      </c>
      <c r="K298" s="168">
        <v>0</v>
      </c>
      <c r="L298" s="60">
        <v>0</v>
      </c>
      <c r="M298" s="60">
        <v>0</v>
      </c>
      <c r="N298" s="60">
        <v>0</v>
      </c>
      <c r="O298" s="182">
        <v>0</v>
      </c>
      <c r="P298" s="182">
        <v>0</v>
      </c>
      <c r="Q298" s="62">
        <v>652.70000000000005</v>
      </c>
      <c r="R298" s="62">
        <v>2509025.1800000002</v>
      </c>
      <c r="S298" s="60">
        <v>0</v>
      </c>
      <c r="T298" s="60">
        <v>0</v>
      </c>
      <c r="U298" s="60">
        <v>0</v>
      </c>
      <c r="V298" s="60">
        <v>0</v>
      </c>
      <c r="W298" s="60">
        <v>0</v>
      </c>
      <c r="X298" s="60">
        <v>0</v>
      </c>
      <c r="Y298" s="60">
        <v>0</v>
      </c>
      <c r="Z298" s="60">
        <v>0</v>
      </c>
      <c r="AA298" s="60">
        <v>0</v>
      </c>
      <c r="AB298" s="60">
        <v>0</v>
      </c>
      <c r="AC298" s="62">
        <v>25215.7</v>
      </c>
      <c r="AD298" s="60">
        <v>0</v>
      </c>
      <c r="AE298" s="60">
        <v>0</v>
      </c>
      <c r="AF298" s="170" t="s">
        <v>257</v>
      </c>
      <c r="AG298" s="170">
        <v>2020</v>
      </c>
      <c r="AH298" s="63">
        <v>2020</v>
      </c>
    </row>
    <row r="299" spans="1:34" ht="61.5" x14ac:dyDescent="0.85">
      <c r="A299" s="7">
        <v>1</v>
      </c>
      <c r="B299" s="59">
        <f>SUBTOTAL(103,$A$22:A299)</f>
        <v>267</v>
      </c>
      <c r="C299" s="160" t="s">
        <v>1127</v>
      </c>
      <c r="D299" s="60">
        <f>E299+F299+G299+H299+I299+J299+L299+N299+P299+R299+T299+U299+V299+W299+X299+Y299+Z299+AA299+AB299+AC299+AD299+AE299</f>
        <v>542612.12</v>
      </c>
      <c r="E299" s="169">
        <v>56761.29</v>
      </c>
      <c r="F299" s="182">
        <v>0</v>
      </c>
      <c r="G299" s="169">
        <v>313554.02</v>
      </c>
      <c r="H299" s="169">
        <v>166897.82</v>
      </c>
      <c r="I299" s="182">
        <v>0</v>
      </c>
      <c r="J299" s="182">
        <v>0</v>
      </c>
      <c r="K299" s="168">
        <v>0</v>
      </c>
      <c r="L299" s="60">
        <v>0</v>
      </c>
      <c r="M299" s="60">
        <v>0</v>
      </c>
      <c r="N299" s="60">
        <v>0</v>
      </c>
      <c r="O299" s="182">
        <v>0</v>
      </c>
      <c r="P299" s="182">
        <v>0</v>
      </c>
      <c r="Q299" s="60">
        <v>0</v>
      </c>
      <c r="R299" s="60">
        <v>0</v>
      </c>
      <c r="S299" s="60">
        <v>0</v>
      </c>
      <c r="T299" s="60">
        <v>0</v>
      </c>
      <c r="U299" s="60">
        <v>0</v>
      </c>
      <c r="V299" s="60">
        <v>0</v>
      </c>
      <c r="W299" s="60">
        <v>0</v>
      </c>
      <c r="X299" s="60">
        <v>0</v>
      </c>
      <c r="Y299" s="60">
        <v>0</v>
      </c>
      <c r="Z299" s="60">
        <v>0</v>
      </c>
      <c r="AA299" s="60">
        <v>0</v>
      </c>
      <c r="AB299" s="60">
        <v>0</v>
      </c>
      <c r="AC299" s="60">
        <f>ROUND((E299+F299+G299+H299+I299+J299)*1.005%,2)</f>
        <v>5398.99</v>
      </c>
      <c r="AD299" s="60">
        <v>0</v>
      </c>
      <c r="AE299" s="60">
        <v>0</v>
      </c>
      <c r="AF299" s="170" t="s">
        <v>257</v>
      </c>
      <c r="AG299" s="170">
        <v>2020</v>
      </c>
      <c r="AH299" s="63">
        <v>2020</v>
      </c>
    </row>
    <row r="300" spans="1:34" ht="61.5" x14ac:dyDescent="0.85">
      <c r="A300" s="7">
        <v>1</v>
      </c>
      <c r="B300" s="59">
        <f>SUBTOTAL(103,$A$22:A300)</f>
        <v>268</v>
      </c>
      <c r="C300" s="160" t="s">
        <v>1128</v>
      </c>
      <c r="D300" s="60">
        <f>E300+F300+G300+H300+I300+J300+L300+N300+P300+R300+T300+U300+V300+W300+X300+Y300+Z300+AA300+AB300+AC300+AD300+AE300</f>
        <v>2657283.6100000003</v>
      </c>
      <c r="E300" s="182">
        <v>0</v>
      </c>
      <c r="F300" s="182">
        <v>0</v>
      </c>
      <c r="G300" s="60">
        <v>0</v>
      </c>
      <c r="H300" s="182">
        <v>0</v>
      </c>
      <c r="I300" s="182">
        <v>0</v>
      </c>
      <c r="J300" s="182">
        <v>0</v>
      </c>
      <c r="K300" s="168">
        <v>0</v>
      </c>
      <c r="L300" s="60">
        <v>0</v>
      </c>
      <c r="M300" s="60">
        <v>0</v>
      </c>
      <c r="N300" s="60">
        <v>0</v>
      </c>
      <c r="O300" s="62">
        <v>339.3</v>
      </c>
      <c r="P300" s="62">
        <v>2618206.87</v>
      </c>
      <c r="Q300" s="60">
        <v>0</v>
      </c>
      <c r="R300" s="60">
        <v>0</v>
      </c>
      <c r="S300" s="60">
        <v>0</v>
      </c>
      <c r="T300" s="60">
        <v>0</v>
      </c>
      <c r="U300" s="60">
        <v>0</v>
      </c>
      <c r="V300" s="60">
        <v>0</v>
      </c>
      <c r="W300" s="60">
        <v>0</v>
      </c>
      <c r="X300" s="60">
        <v>0</v>
      </c>
      <c r="Y300" s="60">
        <v>0</v>
      </c>
      <c r="Z300" s="60">
        <v>0</v>
      </c>
      <c r="AA300" s="60">
        <v>0</v>
      </c>
      <c r="AB300" s="60">
        <v>0</v>
      </c>
      <c r="AC300" s="60">
        <f>ROUND(P300*1.4925%,2)</f>
        <v>39076.74</v>
      </c>
      <c r="AD300" s="60">
        <v>0</v>
      </c>
      <c r="AE300" s="60">
        <v>0</v>
      </c>
      <c r="AF300" s="170" t="s">
        <v>257</v>
      </c>
      <c r="AG300" s="170">
        <v>2020</v>
      </c>
      <c r="AH300" s="63">
        <v>2020</v>
      </c>
    </row>
    <row r="301" spans="1:34" ht="61.5" x14ac:dyDescent="0.85">
      <c r="B301" s="160" t="s">
        <v>766</v>
      </c>
      <c r="C301" s="160"/>
      <c r="D301" s="177">
        <f t="shared" ref="D301:AE301" si="24">SUM(D302:D306)</f>
        <v>4459924</v>
      </c>
      <c r="E301" s="60">
        <f t="shared" si="24"/>
        <v>94214.06</v>
      </c>
      <c r="F301" s="60">
        <f t="shared" si="24"/>
        <v>0</v>
      </c>
      <c r="G301" s="60">
        <f t="shared" si="24"/>
        <v>0</v>
      </c>
      <c r="H301" s="60">
        <f t="shared" si="24"/>
        <v>205262.31</v>
      </c>
      <c r="I301" s="60">
        <f t="shared" si="24"/>
        <v>585724.52</v>
      </c>
      <c r="J301" s="60">
        <f t="shared" si="24"/>
        <v>0</v>
      </c>
      <c r="K301" s="168">
        <f t="shared" si="24"/>
        <v>0</v>
      </c>
      <c r="L301" s="60">
        <f t="shared" si="24"/>
        <v>0</v>
      </c>
      <c r="M301" s="60">
        <f t="shared" si="24"/>
        <v>647</v>
      </c>
      <c r="N301" s="60">
        <f t="shared" si="24"/>
        <v>3348175.42</v>
      </c>
      <c r="O301" s="60">
        <f t="shared" si="24"/>
        <v>0</v>
      </c>
      <c r="P301" s="60">
        <f t="shared" si="24"/>
        <v>0</v>
      </c>
      <c r="Q301" s="60">
        <f t="shared" si="24"/>
        <v>0</v>
      </c>
      <c r="R301" s="60">
        <f t="shared" si="24"/>
        <v>0</v>
      </c>
      <c r="S301" s="60">
        <f t="shared" si="24"/>
        <v>0</v>
      </c>
      <c r="T301" s="60">
        <f t="shared" si="24"/>
        <v>0</v>
      </c>
      <c r="U301" s="60">
        <f t="shared" si="24"/>
        <v>0</v>
      </c>
      <c r="V301" s="60">
        <f t="shared" si="24"/>
        <v>0</v>
      </c>
      <c r="W301" s="60">
        <f t="shared" si="24"/>
        <v>0</v>
      </c>
      <c r="X301" s="60">
        <f t="shared" si="24"/>
        <v>0</v>
      </c>
      <c r="Y301" s="60">
        <f t="shared" si="24"/>
        <v>0</v>
      </c>
      <c r="Z301" s="60">
        <f t="shared" si="24"/>
        <v>0</v>
      </c>
      <c r="AA301" s="60">
        <f t="shared" si="24"/>
        <v>0</v>
      </c>
      <c r="AB301" s="60">
        <f t="shared" si="24"/>
        <v>0</v>
      </c>
      <c r="AC301" s="60">
        <f t="shared" si="24"/>
        <v>44670.939999999995</v>
      </c>
      <c r="AD301" s="60">
        <f t="shared" si="24"/>
        <v>181876.75</v>
      </c>
      <c r="AE301" s="60">
        <f t="shared" si="24"/>
        <v>0</v>
      </c>
      <c r="AF301" s="54" t="s">
        <v>701</v>
      </c>
      <c r="AG301" s="54" t="s">
        <v>701</v>
      </c>
      <c r="AH301" s="55" t="s">
        <v>701</v>
      </c>
    </row>
    <row r="302" spans="1:34" ht="61.5" x14ac:dyDescent="0.85">
      <c r="A302" s="7">
        <v>1</v>
      </c>
      <c r="B302" s="59">
        <f>SUBTOTAL(103,$A$22:A302)</f>
        <v>269</v>
      </c>
      <c r="C302" s="160" t="s">
        <v>641</v>
      </c>
      <c r="D302" s="60">
        <f>E302+F302+G302+H302+I302+J302+L302+N302+P302+R302+T302+U302+V302+W302+X302+Y302+Z302+AA302+AB302+AC302+AD302+AE302</f>
        <v>3466608.69</v>
      </c>
      <c r="E302" s="182">
        <v>0</v>
      </c>
      <c r="F302" s="182">
        <v>0</v>
      </c>
      <c r="G302" s="60">
        <v>0</v>
      </c>
      <c r="H302" s="182">
        <v>0</v>
      </c>
      <c r="I302" s="182">
        <v>0</v>
      </c>
      <c r="J302" s="182">
        <v>0</v>
      </c>
      <c r="K302" s="168">
        <v>0</v>
      </c>
      <c r="L302" s="60">
        <v>0</v>
      </c>
      <c r="M302" s="62">
        <v>647</v>
      </c>
      <c r="N302" s="62">
        <v>3348175.42</v>
      </c>
      <c r="O302" s="182">
        <v>0</v>
      </c>
      <c r="P302" s="182">
        <v>0</v>
      </c>
      <c r="Q302" s="60">
        <v>0</v>
      </c>
      <c r="R302" s="60">
        <v>0</v>
      </c>
      <c r="S302" s="60">
        <v>0</v>
      </c>
      <c r="T302" s="60">
        <v>0</v>
      </c>
      <c r="U302" s="60">
        <v>0</v>
      </c>
      <c r="V302" s="60">
        <v>0</v>
      </c>
      <c r="W302" s="60">
        <v>0</v>
      </c>
      <c r="X302" s="60">
        <v>0</v>
      </c>
      <c r="Y302" s="60">
        <v>0</v>
      </c>
      <c r="Z302" s="60">
        <v>0</v>
      </c>
      <c r="AA302" s="60">
        <v>0</v>
      </c>
      <c r="AB302" s="60">
        <v>0</v>
      </c>
      <c r="AC302" s="62">
        <v>33900.28</v>
      </c>
      <c r="AD302" s="62">
        <v>84532.99</v>
      </c>
      <c r="AE302" s="60">
        <v>0</v>
      </c>
      <c r="AF302" s="170">
        <v>2020</v>
      </c>
      <c r="AG302" s="170">
        <v>2020</v>
      </c>
      <c r="AH302" s="63">
        <v>2020</v>
      </c>
    </row>
    <row r="303" spans="1:34" ht="61.5" x14ac:dyDescent="0.85">
      <c r="A303" s="7">
        <v>1</v>
      </c>
      <c r="B303" s="59">
        <f>SUBTOTAL(103,$A$22:A303)</f>
        <v>270</v>
      </c>
      <c r="C303" s="160" t="s">
        <v>634</v>
      </c>
      <c r="D303" s="60">
        <f>E303+F303+G303+H303+I303+J303+L303+N303+P303+R303+T303+U303+V303+W303+X303+Y303+Z303+AA303+AB303+AC303+AD303+AE303</f>
        <v>34358.44</v>
      </c>
      <c r="E303" s="182">
        <v>0</v>
      </c>
      <c r="F303" s="182">
        <v>0</v>
      </c>
      <c r="G303" s="60">
        <v>0</v>
      </c>
      <c r="H303" s="182">
        <v>0</v>
      </c>
      <c r="I303" s="60">
        <v>0</v>
      </c>
      <c r="J303" s="182">
        <v>0</v>
      </c>
      <c r="K303" s="168">
        <v>0</v>
      </c>
      <c r="L303" s="60">
        <v>0</v>
      </c>
      <c r="M303" s="60">
        <v>0</v>
      </c>
      <c r="N303" s="60">
        <v>0</v>
      </c>
      <c r="O303" s="182">
        <v>0</v>
      </c>
      <c r="P303" s="182">
        <v>0</v>
      </c>
      <c r="Q303" s="60">
        <v>0</v>
      </c>
      <c r="R303" s="60">
        <v>0</v>
      </c>
      <c r="S303" s="60">
        <v>0</v>
      </c>
      <c r="T303" s="60">
        <v>0</v>
      </c>
      <c r="U303" s="60">
        <v>0</v>
      </c>
      <c r="V303" s="60">
        <v>0</v>
      </c>
      <c r="W303" s="60">
        <v>0</v>
      </c>
      <c r="X303" s="60">
        <v>0</v>
      </c>
      <c r="Y303" s="60">
        <v>0</v>
      </c>
      <c r="Z303" s="60">
        <v>0</v>
      </c>
      <c r="AA303" s="60">
        <v>0</v>
      </c>
      <c r="AB303" s="60">
        <v>0</v>
      </c>
      <c r="AC303" s="60">
        <f>ROUND((E303+F303+G303+H303+I303+J303)*1.5%,2)</f>
        <v>0</v>
      </c>
      <c r="AD303" s="62">
        <v>34358.44</v>
      </c>
      <c r="AE303" s="60">
        <v>0</v>
      </c>
      <c r="AF303" s="170">
        <v>2020</v>
      </c>
      <c r="AG303" s="170" t="s">
        <v>257</v>
      </c>
      <c r="AH303" s="170" t="s">
        <v>257</v>
      </c>
    </row>
    <row r="304" spans="1:34" ht="61.5" x14ac:dyDescent="0.85">
      <c r="A304" s="7">
        <v>1</v>
      </c>
      <c r="B304" s="59">
        <f>SUBTOTAL(103,$A$22:A304)</f>
        <v>271</v>
      </c>
      <c r="C304" s="160" t="s">
        <v>633</v>
      </c>
      <c r="D304" s="60">
        <f>E304+F304+G304+H304+I304+J304+L304+N304+P304+R304+T304+U304+V304+W304+X304+Y304+Z304+AA304+AB304+AC304+AD304+AE304</f>
        <v>576667.37</v>
      </c>
      <c r="E304" s="182">
        <v>0</v>
      </c>
      <c r="F304" s="182">
        <v>0</v>
      </c>
      <c r="G304" s="60">
        <v>0</v>
      </c>
      <c r="H304" s="182">
        <v>0</v>
      </c>
      <c r="I304" s="62">
        <v>508533.15</v>
      </c>
      <c r="J304" s="182">
        <v>0</v>
      </c>
      <c r="K304" s="168">
        <v>0</v>
      </c>
      <c r="L304" s="60">
        <v>0</v>
      </c>
      <c r="M304" s="60">
        <v>0</v>
      </c>
      <c r="N304" s="60">
        <v>0</v>
      </c>
      <c r="O304" s="182">
        <v>0</v>
      </c>
      <c r="P304" s="182">
        <v>0</v>
      </c>
      <c r="Q304" s="60">
        <v>0</v>
      </c>
      <c r="R304" s="60">
        <v>0</v>
      </c>
      <c r="S304" s="60">
        <v>0</v>
      </c>
      <c r="T304" s="60">
        <v>0</v>
      </c>
      <c r="U304" s="60">
        <v>0</v>
      </c>
      <c r="V304" s="60">
        <v>0</v>
      </c>
      <c r="W304" s="60">
        <v>0</v>
      </c>
      <c r="X304" s="60">
        <v>0</v>
      </c>
      <c r="Y304" s="60">
        <v>0</v>
      </c>
      <c r="Z304" s="60">
        <v>0</v>
      </c>
      <c r="AA304" s="60">
        <v>0</v>
      </c>
      <c r="AB304" s="60">
        <v>0</v>
      </c>
      <c r="AC304" s="60">
        <v>5148.8999999999996</v>
      </c>
      <c r="AD304" s="62">
        <v>62985.32</v>
      </c>
      <c r="AE304" s="60">
        <v>0</v>
      </c>
      <c r="AF304" s="170">
        <v>2020</v>
      </c>
      <c r="AG304" s="170">
        <v>2020</v>
      </c>
      <c r="AH304" s="63">
        <v>2020</v>
      </c>
    </row>
    <row r="305" spans="1:34" ht="61.5" x14ac:dyDescent="0.85">
      <c r="A305" s="7">
        <v>1</v>
      </c>
      <c r="B305" s="59">
        <f>SUBTOTAL(103,$A$22:A305)</f>
        <v>272</v>
      </c>
      <c r="C305" s="160" t="s">
        <v>1133</v>
      </c>
      <c r="D305" s="60">
        <f>E305+F305+G305+H305+I305+J305+L305+N305+P305+R305+T305+U305+V305+W305+X305+Y305+Z305+AA305+AB305+AC305+AD305+AE305</f>
        <v>248507.08000000002</v>
      </c>
      <c r="E305" s="169">
        <v>94214.06</v>
      </c>
      <c r="F305" s="182">
        <v>0</v>
      </c>
      <c r="G305" s="60">
        <v>0</v>
      </c>
      <c r="H305" s="169">
        <v>150638.6</v>
      </c>
      <c r="I305" s="182">
        <v>0</v>
      </c>
      <c r="J305" s="182">
        <v>0</v>
      </c>
      <c r="K305" s="168">
        <v>0</v>
      </c>
      <c r="L305" s="60">
        <v>0</v>
      </c>
      <c r="M305" s="60">
        <v>0</v>
      </c>
      <c r="N305" s="60">
        <v>0</v>
      </c>
      <c r="O305" s="182">
        <v>0</v>
      </c>
      <c r="P305" s="182">
        <v>0</v>
      </c>
      <c r="Q305" s="60">
        <v>0</v>
      </c>
      <c r="R305" s="60">
        <v>0</v>
      </c>
      <c r="S305" s="60">
        <v>0</v>
      </c>
      <c r="T305" s="60">
        <v>0</v>
      </c>
      <c r="U305" s="60">
        <v>0</v>
      </c>
      <c r="V305" s="60">
        <v>0</v>
      </c>
      <c r="W305" s="60">
        <v>0</v>
      </c>
      <c r="X305" s="60">
        <v>0</v>
      </c>
      <c r="Y305" s="60">
        <v>0</v>
      </c>
      <c r="Z305" s="60">
        <v>0</v>
      </c>
      <c r="AA305" s="60">
        <v>0</v>
      </c>
      <c r="AB305" s="60">
        <v>0</v>
      </c>
      <c r="AC305" s="60">
        <v>3654.42</v>
      </c>
      <c r="AD305" s="60">
        <v>0</v>
      </c>
      <c r="AE305" s="60">
        <v>0</v>
      </c>
      <c r="AF305" s="170" t="s">
        <v>257</v>
      </c>
      <c r="AG305" s="170">
        <v>2020</v>
      </c>
      <c r="AH305" s="63">
        <v>2020</v>
      </c>
    </row>
    <row r="306" spans="1:34" ht="61.5" x14ac:dyDescent="0.85">
      <c r="A306" s="7">
        <v>1</v>
      </c>
      <c r="B306" s="59">
        <f>SUBTOTAL(103,$A$22:A306)</f>
        <v>273</v>
      </c>
      <c r="C306" s="160" t="s">
        <v>1134</v>
      </c>
      <c r="D306" s="60">
        <f>E306+F306+G306+H306+I306+J306+L306+N306+P306+R306+T306+U306+V306+W306+X306+Y306+Z306+AA306+AB306+AC306+AD306+AE306</f>
        <v>133782.41999999998</v>
      </c>
      <c r="E306" s="182">
        <v>0</v>
      </c>
      <c r="F306" s="182">
        <v>0</v>
      </c>
      <c r="G306" s="60">
        <v>0</v>
      </c>
      <c r="H306" s="169">
        <v>54623.71</v>
      </c>
      <c r="I306" s="169">
        <v>77191.37</v>
      </c>
      <c r="J306" s="182">
        <v>0</v>
      </c>
      <c r="K306" s="168">
        <v>0</v>
      </c>
      <c r="L306" s="60">
        <v>0</v>
      </c>
      <c r="M306" s="60">
        <v>0</v>
      </c>
      <c r="N306" s="60">
        <v>0</v>
      </c>
      <c r="O306" s="182">
        <v>0</v>
      </c>
      <c r="P306" s="182">
        <v>0</v>
      </c>
      <c r="Q306" s="60">
        <v>0</v>
      </c>
      <c r="R306" s="60">
        <v>0</v>
      </c>
      <c r="S306" s="60">
        <v>0</v>
      </c>
      <c r="T306" s="60">
        <v>0</v>
      </c>
      <c r="U306" s="60">
        <v>0</v>
      </c>
      <c r="V306" s="60">
        <v>0</v>
      </c>
      <c r="W306" s="60">
        <v>0</v>
      </c>
      <c r="X306" s="60">
        <v>0</v>
      </c>
      <c r="Y306" s="60">
        <v>0</v>
      </c>
      <c r="Z306" s="60">
        <v>0</v>
      </c>
      <c r="AA306" s="60">
        <v>0</v>
      </c>
      <c r="AB306" s="60">
        <v>0</v>
      </c>
      <c r="AC306" s="60">
        <v>1967.34</v>
      </c>
      <c r="AD306" s="60">
        <v>0</v>
      </c>
      <c r="AE306" s="60">
        <v>0</v>
      </c>
      <c r="AF306" s="170" t="s">
        <v>257</v>
      </c>
      <c r="AG306" s="170">
        <v>2020</v>
      </c>
      <c r="AH306" s="63">
        <v>2020</v>
      </c>
    </row>
    <row r="307" spans="1:34" ht="61.5" x14ac:dyDescent="0.85">
      <c r="B307" s="160" t="s">
        <v>767</v>
      </c>
      <c r="C307" s="160"/>
      <c r="D307" s="177">
        <f t="shared" ref="D307:AE307" si="25">D308</f>
        <v>1997229.1400000001</v>
      </c>
      <c r="E307" s="60">
        <f t="shared" si="25"/>
        <v>0</v>
      </c>
      <c r="F307" s="60">
        <f t="shared" si="25"/>
        <v>0</v>
      </c>
      <c r="G307" s="60">
        <f t="shared" si="25"/>
        <v>0</v>
      </c>
      <c r="H307" s="60">
        <f t="shared" si="25"/>
        <v>0</v>
      </c>
      <c r="I307" s="60">
        <f t="shared" si="25"/>
        <v>0</v>
      </c>
      <c r="J307" s="60">
        <f t="shared" si="25"/>
        <v>0</v>
      </c>
      <c r="K307" s="168">
        <f t="shared" si="25"/>
        <v>0</v>
      </c>
      <c r="L307" s="60">
        <f t="shared" si="25"/>
        <v>0</v>
      </c>
      <c r="M307" s="60">
        <f t="shared" si="25"/>
        <v>775.93</v>
      </c>
      <c r="N307" s="60">
        <f t="shared" si="25"/>
        <v>1845774.1</v>
      </c>
      <c r="O307" s="60">
        <f t="shared" si="25"/>
        <v>0</v>
      </c>
      <c r="P307" s="60">
        <f t="shared" si="25"/>
        <v>0</v>
      </c>
      <c r="Q307" s="60">
        <f t="shared" si="25"/>
        <v>0</v>
      </c>
      <c r="R307" s="60">
        <f t="shared" si="25"/>
        <v>0</v>
      </c>
      <c r="S307" s="60">
        <f t="shared" si="25"/>
        <v>0</v>
      </c>
      <c r="T307" s="60">
        <f t="shared" si="25"/>
        <v>0</v>
      </c>
      <c r="U307" s="60">
        <f t="shared" si="25"/>
        <v>0</v>
      </c>
      <c r="V307" s="60">
        <f t="shared" si="25"/>
        <v>0</v>
      </c>
      <c r="W307" s="60">
        <f t="shared" si="25"/>
        <v>0</v>
      </c>
      <c r="X307" s="60">
        <f t="shared" si="25"/>
        <v>0</v>
      </c>
      <c r="Y307" s="60">
        <f t="shared" si="25"/>
        <v>0</v>
      </c>
      <c r="Z307" s="60">
        <f t="shared" si="25"/>
        <v>0</v>
      </c>
      <c r="AA307" s="60">
        <f t="shared" si="25"/>
        <v>0</v>
      </c>
      <c r="AB307" s="60">
        <f t="shared" si="25"/>
        <v>0</v>
      </c>
      <c r="AC307" s="60">
        <f t="shared" si="25"/>
        <v>18688.46</v>
      </c>
      <c r="AD307" s="60">
        <f t="shared" si="25"/>
        <v>132766.57999999999</v>
      </c>
      <c r="AE307" s="60">
        <f t="shared" si="25"/>
        <v>0</v>
      </c>
      <c r="AF307" s="54" t="s">
        <v>701</v>
      </c>
      <c r="AG307" s="54" t="s">
        <v>701</v>
      </c>
      <c r="AH307" s="55" t="s">
        <v>701</v>
      </c>
    </row>
    <row r="308" spans="1:34" ht="61.5" x14ac:dyDescent="0.85">
      <c r="A308" s="7">
        <v>1</v>
      </c>
      <c r="B308" s="59">
        <f>SUBTOTAL(103,$A$22:A308)</f>
        <v>274</v>
      </c>
      <c r="C308" s="160" t="s">
        <v>631</v>
      </c>
      <c r="D308" s="60">
        <f>E308+F308+G308+H308+I308+J308+L308+N308+P308+R308+T308+U308+V308+W308+X308+Y308+Z308+AA308+AB308+AC308+AD308+AE308</f>
        <v>1997229.1400000001</v>
      </c>
      <c r="E308" s="182">
        <v>0</v>
      </c>
      <c r="F308" s="182">
        <v>0</v>
      </c>
      <c r="G308" s="60">
        <v>0</v>
      </c>
      <c r="H308" s="182">
        <v>0</v>
      </c>
      <c r="I308" s="182">
        <v>0</v>
      </c>
      <c r="J308" s="182">
        <v>0</v>
      </c>
      <c r="K308" s="168">
        <v>0</v>
      </c>
      <c r="L308" s="60">
        <v>0</v>
      </c>
      <c r="M308" s="62">
        <v>775.93</v>
      </c>
      <c r="N308" s="62">
        <v>1845774.1</v>
      </c>
      <c r="O308" s="182">
        <v>0</v>
      </c>
      <c r="P308" s="182">
        <v>0</v>
      </c>
      <c r="Q308" s="60">
        <v>0</v>
      </c>
      <c r="R308" s="60">
        <v>0</v>
      </c>
      <c r="S308" s="60">
        <v>0</v>
      </c>
      <c r="T308" s="60">
        <v>0</v>
      </c>
      <c r="U308" s="60">
        <v>0</v>
      </c>
      <c r="V308" s="60">
        <v>0</v>
      </c>
      <c r="W308" s="60">
        <v>0</v>
      </c>
      <c r="X308" s="60">
        <v>0</v>
      </c>
      <c r="Y308" s="60">
        <v>0</v>
      </c>
      <c r="Z308" s="60">
        <v>0</v>
      </c>
      <c r="AA308" s="60">
        <v>0</v>
      </c>
      <c r="AB308" s="60">
        <v>0</v>
      </c>
      <c r="AC308" s="62">
        <v>18688.46</v>
      </c>
      <c r="AD308" s="62">
        <v>132766.57999999999</v>
      </c>
      <c r="AE308" s="60">
        <v>0</v>
      </c>
      <c r="AF308" s="170">
        <v>2020</v>
      </c>
      <c r="AG308" s="170">
        <v>2020</v>
      </c>
      <c r="AH308" s="63">
        <v>2020</v>
      </c>
    </row>
    <row r="309" spans="1:34" ht="61.5" x14ac:dyDescent="0.85">
      <c r="B309" s="160" t="s">
        <v>768</v>
      </c>
      <c r="C309" s="160"/>
      <c r="D309" s="177">
        <f t="shared" ref="D309:AE309" si="26">SUM(D310:D324)</f>
        <v>29976052.369999997</v>
      </c>
      <c r="E309" s="60">
        <f t="shared" si="26"/>
        <v>0</v>
      </c>
      <c r="F309" s="60">
        <f t="shared" si="26"/>
        <v>0</v>
      </c>
      <c r="G309" s="60">
        <f t="shared" si="26"/>
        <v>0</v>
      </c>
      <c r="H309" s="60">
        <f t="shared" si="26"/>
        <v>0</v>
      </c>
      <c r="I309" s="60">
        <f t="shared" si="26"/>
        <v>0</v>
      </c>
      <c r="J309" s="60">
        <f t="shared" si="26"/>
        <v>0</v>
      </c>
      <c r="K309" s="168">
        <f t="shared" si="26"/>
        <v>6</v>
      </c>
      <c r="L309" s="60">
        <f t="shared" si="26"/>
        <v>8696097.8399999999</v>
      </c>
      <c r="M309" s="60">
        <f t="shared" si="26"/>
        <v>5138.55</v>
      </c>
      <c r="N309" s="60">
        <f t="shared" si="26"/>
        <v>17781364.059999999</v>
      </c>
      <c r="O309" s="60">
        <f t="shared" si="26"/>
        <v>0</v>
      </c>
      <c r="P309" s="60">
        <f t="shared" si="26"/>
        <v>0</v>
      </c>
      <c r="Q309" s="60">
        <f t="shared" si="26"/>
        <v>664.65200000000004</v>
      </c>
      <c r="R309" s="60">
        <f t="shared" si="26"/>
        <v>2073147.13</v>
      </c>
      <c r="S309" s="60">
        <f t="shared" si="26"/>
        <v>0</v>
      </c>
      <c r="T309" s="60">
        <f t="shared" si="26"/>
        <v>0</v>
      </c>
      <c r="U309" s="60">
        <f t="shared" si="26"/>
        <v>0</v>
      </c>
      <c r="V309" s="60">
        <f t="shared" si="26"/>
        <v>0</v>
      </c>
      <c r="W309" s="60">
        <f t="shared" si="26"/>
        <v>0</v>
      </c>
      <c r="X309" s="60">
        <f t="shared" si="26"/>
        <v>0</v>
      </c>
      <c r="Y309" s="60">
        <f t="shared" si="26"/>
        <v>0</v>
      </c>
      <c r="Z309" s="60">
        <f t="shared" si="26"/>
        <v>0</v>
      </c>
      <c r="AA309" s="60">
        <f t="shared" si="26"/>
        <v>0</v>
      </c>
      <c r="AB309" s="60">
        <f t="shared" si="26"/>
        <v>0</v>
      </c>
      <c r="AC309" s="60">
        <f t="shared" si="26"/>
        <v>217841.08</v>
      </c>
      <c r="AD309" s="60">
        <f t="shared" si="26"/>
        <v>847602.26</v>
      </c>
      <c r="AE309" s="60">
        <f t="shared" si="26"/>
        <v>360000</v>
      </c>
      <c r="AF309" s="54" t="s">
        <v>701</v>
      </c>
      <c r="AG309" s="54" t="s">
        <v>701</v>
      </c>
      <c r="AH309" s="55" t="s">
        <v>701</v>
      </c>
    </row>
    <row r="310" spans="1:34" ht="61.5" x14ac:dyDescent="0.85">
      <c r="A310" s="7">
        <v>1</v>
      </c>
      <c r="B310" s="59">
        <f>SUBTOTAL(103,$A$22:A310)</f>
        <v>275</v>
      </c>
      <c r="C310" s="160" t="s">
        <v>635</v>
      </c>
      <c r="D310" s="60">
        <f t="shared" ref="D310:D324" si="27">E310+F310+G310+H310+I310+J310+L310+N310+P310+R310+T310+U310+V310+W310+X310+Y310+Z310+AA310+AB310+AC310+AD310+AE310</f>
        <v>95474.18</v>
      </c>
      <c r="E310" s="182">
        <v>0</v>
      </c>
      <c r="F310" s="182">
        <v>0</v>
      </c>
      <c r="G310" s="60">
        <v>0</v>
      </c>
      <c r="H310" s="182">
        <v>0</v>
      </c>
      <c r="I310" s="182">
        <v>0</v>
      </c>
      <c r="J310" s="182">
        <v>0</v>
      </c>
      <c r="K310" s="168">
        <v>0</v>
      </c>
      <c r="L310" s="60">
        <v>0</v>
      </c>
      <c r="M310" s="60">
        <v>0</v>
      </c>
      <c r="N310" s="60">
        <v>0</v>
      </c>
      <c r="O310" s="182">
        <v>0</v>
      </c>
      <c r="P310" s="182">
        <v>0</v>
      </c>
      <c r="Q310" s="60">
        <v>0</v>
      </c>
      <c r="R310" s="60">
        <v>0</v>
      </c>
      <c r="S310" s="60">
        <v>0</v>
      </c>
      <c r="T310" s="60">
        <v>0</v>
      </c>
      <c r="U310" s="60">
        <v>0</v>
      </c>
      <c r="V310" s="60">
        <v>0</v>
      </c>
      <c r="W310" s="60">
        <v>0</v>
      </c>
      <c r="X310" s="60">
        <v>0</v>
      </c>
      <c r="Y310" s="60">
        <v>0</v>
      </c>
      <c r="Z310" s="60">
        <v>0</v>
      </c>
      <c r="AA310" s="60">
        <v>0</v>
      </c>
      <c r="AB310" s="60">
        <v>0</v>
      </c>
      <c r="AC310" s="60">
        <f>ROUND(N310*1.5%,2)</f>
        <v>0</v>
      </c>
      <c r="AD310" s="62">
        <v>95474.18</v>
      </c>
      <c r="AE310" s="60">
        <v>0</v>
      </c>
      <c r="AF310" s="170">
        <v>2020</v>
      </c>
      <c r="AG310" s="170" t="s">
        <v>257</v>
      </c>
      <c r="AH310" s="170" t="s">
        <v>257</v>
      </c>
    </row>
    <row r="311" spans="1:34" ht="61.5" x14ac:dyDescent="0.85">
      <c r="A311" s="7">
        <v>1</v>
      </c>
      <c r="B311" s="59">
        <f>SUBTOTAL(103,$A$22:A311)</f>
        <v>276</v>
      </c>
      <c r="C311" s="160" t="s">
        <v>621</v>
      </c>
      <c r="D311" s="60">
        <f t="shared" si="27"/>
        <v>6906704.6500000004</v>
      </c>
      <c r="E311" s="182">
        <v>0</v>
      </c>
      <c r="F311" s="182">
        <v>0</v>
      </c>
      <c r="G311" s="60">
        <v>0</v>
      </c>
      <c r="H311" s="182">
        <v>0</v>
      </c>
      <c r="I311" s="182">
        <v>0</v>
      </c>
      <c r="J311" s="182">
        <v>0</v>
      </c>
      <c r="K311" s="168">
        <v>0</v>
      </c>
      <c r="L311" s="60">
        <v>0</v>
      </c>
      <c r="M311" s="62">
        <v>1260</v>
      </c>
      <c r="N311" s="62">
        <v>6705665.3499999996</v>
      </c>
      <c r="O311" s="182">
        <v>0</v>
      </c>
      <c r="P311" s="182">
        <v>0</v>
      </c>
      <c r="Q311" s="60">
        <v>0</v>
      </c>
      <c r="R311" s="60">
        <v>0</v>
      </c>
      <c r="S311" s="60">
        <v>0</v>
      </c>
      <c r="T311" s="60">
        <v>0</v>
      </c>
      <c r="U311" s="60">
        <v>0</v>
      </c>
      <c r="V311" s="60">
        <v>0</v>
      </c>
      <c r="W311" s="60">
        <v>0</v>
      </c>
      <c r="X311" s="60">
        <v>0</v>
      </c>
      <c r="Y311" s="60">
        <v>0</v>
      </c>
      <c r="Z311" s="60">
        <v>0</v>
      </c>
      <c r="AA311" s="60">
        <v>0</v>
      </c>
      <c r="AB311" s="60">
        <v>0</v>
      </c>
      <c r="AC311" s="62">
        <v>67894.86</v>
      </c>
      <c r="AD311" s="62">
        <v>133144.44</v>
      </c>
      <c r="AE311" s="60">
        <v>0</v>
      </c>
      <c r="AF311" s="170">
        <v>2020</v>
      </c>
      <c r="AG311" s="170">
        <v>2020</v>
      </c>
      <c r="AH311" s="63">
        <v>2020</v>
      </c>
    </row>
    <row r="312" spans="1:34" ht="61.5" x14ac:dyDescent="0.85">
      <c r="A312" s="7">
        <v>1</v>
      </c>
      <c r="B312" s="59">
        <f>SUBTOTAL(103,$A$22:A312)</f>
        <v>277</v>
      </c>
      <c r="C312" s="160" t="s">
        <v>616</v>
      </c>
      <c r="D312" s="60">
        <f t="shared" si="27"/>
        <v>1582418.76</v>
      </c>
      <c r="E312" s="182">
        <v>0</v>
      </c>
      <c r="F312" s="182">
        <v>0</v>
      </c>
      <c r="G312" s="60">
        <v>0</v>
      </c>
      <c r="H312" s="182">
        <v>0</v>
      </c>
      <c r="I312" s="182">
        <v>0</v>
      </c>
      <c r="J312" s="182">
        <v>0</v>
      </c>
      <c r="K312" s="168">
        <v>0</v>
      </c>
      <c r="L312" s="60">
        <v>0</v>
      </c>
      <c r="M312" s="62">
        <v>740.9</v>
      </c>
      <c r="N312" s="62">
        <v>1479456.34</v>
      </c>
      <c r="O312" s="182">
        <v>0</v>
      </c>
      <c r="P312" s="182">
        <v>0</v>
      </c>
      <c r="Q312" s="60">
        <v>0</v>
      </c>
      <c r="R312" s="60">
        <v>0</v>
      </c>
      <c r="S312" s="60">
        <v>0</v>
      </c>
      <c r="T312" s="60">
        <v>0</v>
      </c>
      <c r="U312" s="60">
        <v>0</v>
      </c>
      <c r="V312" s="60">
        <v>0</v>
      </c>
      <c r="W312" s="60">
        <v>0</v>
      </c>
      <c r="X312" s="60">
        <v>0</v>
      </c>
      <c r="Y312" s="60">
        <v>0</v>
      </c>
      <c r="Z312" s="60">
        <v>0</v>
      </c>
      <c r="AA312" s="60">
        <v>0</v>
      </c>
      <c r="AB312" s="60">
        <v>0</v>
      </c>
      <c r="AC312" s="62">
        <v>14979.5</v>
      </c>
      <c r="AD312" s="62">
        <v>87982.92</v>
      </c>
      <c r="AE312" s="60">
        <v>0</v>
      </c>
      <c r="AF312" s="170">
        <v>2020</v>
      </c>
      <c r="AG312" s="170">
        <v>2020</v>
      </c>
      <c r="AH312" s="63">
        <v>2020</v>
      </c>
    </row>
    <row r="313" spans="1:34" ht="61.5" x14ac:dyDescent="0.85">
      <c r="A313" s="7">
        <v>1</v>
      </c>
      <c r="B313" s="59">
        <f>SUBTOTAL(103,$A$22:A313)</f>
        <v>278</v>
      </c>
      <c r="C313" s="160" t="s">
        <v>617</v>
      </c>
      <c r="D313" s="60">
        <f t="shared" si="27"/>
        <v>1494720.17</v>
      </c>
      <c r="E313" s="182">
        <v>0</v>
      </c>
      <c r="F313" s="182">
        <v>0</v>
      </c>
      <c r="G313" s="60">
        <v>0</v>
      </c>
      <c r="H313" s="182">
        <v>0</v>
      </c>
      <c r="I313" s="182">
        <v>0</v>
      </c>
      <c r="J313" s="182">
        <v>0</v>
      </c>
      <c r="K313" s="168">
        <v>0</v>
      </c>
      <c r="L313" s="60">
        <v>0</v>
      </c>
      <c r="M313" s="62">
        <v>787.1</v>
      </c>
      <c r="N313" s="62">
        <v>1392636.8</v>
      </c>
      <c r="O313" s="182">
        <v>0</v>
      </c>
      <c r="P313" s="182">
        <v>0</v>
      </c>
      <c r="Q313" s="60">
        <v>0</v>
      </c>
      <c r="R313" s="60">
        <v>0</v>
      </c>
      <c r="S313" s="60">
        <v>0</v>
      </c>
      <c r="T313" s="60">
        <v>0</v>
      </c>
      <c r="U313" s="60">
        <v>0</v>
      </c>
      <c r="V313" s="60">
        <v>0</v>
      </c>
      <c r="W313" s="60">
        <v>0</v>
      </c>
      <c r="X313" s="60">
        <v>0</v>
      </c>
      <c r="Y313" s="60">
        <v>0</v>
      </c>
      <c r="Z313" s="60">
        <v>0</v>
      </c>
      <c r="AA313" s="60">
        <v>0</v>
      </c>
      <c r="AB313" s="60">
        <v>0</v>
      </c>
      <c r="AC313" s="62">
        <v>14100.45</v>
      </c>
      <c r="AD313" s="62">
        <v>87982.92</v>
      </c>
      <c r="AE313" s="60">
        <v>0</v>
      </c>
      <c r="AF313" s="170">
        <v>2020</v>
      </c>
      <c r="AG313" s="170">
        <v>2020</v>
      </c>
      <c r="AH313" s="63">
        <v>2020</v>
      </c>
    </row>
    <row r="314" spans="1:34" ht="61.5" x14ac:dyDescent="0.85">
      <c r="A314" s="7">
        <v>1</v>
      </c>
      <c r="B314" s="59">
        <f>SUBTOTAL(103,$A$22:A314)</f>
        <v>279</v>
      </c>
      <c r="C314" s="160" t="s">
        <v>618</v>
      </c>
      <c r="D314" s="60">
        <f t="shared" si="27"/>
        <v>1534580.28</v>
      </c>
      <c r="E314" s="182">
        <v>0</v>
      </c>
      <c r="F314" s="182">
        <v>0</v>
      </c>
      <c r="G314" s="60">
        <v>0</v>
      </c>
      <c r="H314" s="182">
        <v>0</v>
      </c>
      <c r="I314" s="182">
        <v>0</v>
      </c>
      <c r="J314" s="182">
        <v>0</v>
      </c>
      <c r="K314" s="168">
        <v>0</v>
      </c>
      <c r="L314" s="60">
        <v>0</v>
      </c>
      <c r="M314" s="62">
        <v>760.1</v>
      </c>
      <c r="N314" s="62">
        <v>1432097.37</v>
      </c>
      <c r="O314" s="182">
        <v>0</v>
      </c>
      <c r="P314" s="182">
        <v>0</v>
      </c>
      <c r="Q314" s="60">
        <v>0</v>
      </c>
      <c r="R314" s="60">
        <v>0</v>
      </c>
      <c r="S314" s="60">
        <v>0</v>
      </c>
      <c r="T314" s="60">
        <v>0</v>
      </c>
      <c r="U314" s="60">
        <v>0</v>
      </c>
      <c r="V314" s="60">
        <v>0</v>
      </c>
      <c r="W314" s="60">
        <v>0</v>
      </c>
      <c r="X314" s="60">
        <v>0</v>
      </c>
      <c r="Y314" s="60">
        <v>0</v>
      </c>
      <c r="Z314" s="60">
        <v>0</v>
      </c>
      <c r="AA314" s="60">
        <v>0</v>
      </c>
      <c r="AB314" s="60">
        <v>0</v>
      </c>
      <c r="AC314" s="62">
        <v>14499.99</v>
      </c>
      <c r="AD314" s="62">
        <v>87982.92</v>
      </c>
      <c r="AE314" s="60">
        <v>0</v>
      </c>
      <c r="AF314" s="170">
        <v>2020</v>
      </c>
      <c r="AG314" s="170">
        <v>2020</v>
      </c>
      <c r="AH314" s="63">
        <v>2020</v>
      </c>
    </row>
    <row r="315" spans="1:34" ht="61.5" x14ac:dyDescent="0.85">
      <c r="A315" s="7">
        <v>1</v>
      </c>
      <c r="B315" s="59">
        <f>SUBTOTAL(103,$A$22:A315)</f>
        <v>280</v>
      </c>
      <c r="C315" s="160" t="s">
        <v>611</v>
      </c>
      <c r="D315" s="60">
        <f t="shared" si="27"/>
        <v>3346564.4</v>
      </c>
      <c r="E315" s="182">
        <v>0</v>
      </c>
      <c r="F315" s="182">
        <v>0</v>
      </c>
      <c r="G315" s="60">
        <v>0</v>
      </c>
      <c r="H315" s="182">
        <v>0</v>
      </c>
      <c r="I315" s="182">
        <v>0</v>
      </c>
      <c r="J315" s="182">
        <v>0</v>
      </c>
      <c r="K315" s="168">
        <v>2</v>
      </c>
      <c r="L315" s="60">
        <f>1635186.98*2</f>
        <v>3270373.96</v>
      </c>
      <c r="M315" s="60">
        <v>0</v>
      </c>
      <c r="N315" s="60">
        <v>0</v>
      </c>
      <c r="O315" s="182">
        <v>0</v>
      </c>
      <c r="P315" s="182">
        <v>0</v>
      </c>
      <c r="Q315" s="60">
        <v>0</v>
      </c>
      <c r="R315" s="60">
        <v>0</v>
      </c>
      <c r="S315" s="60">
        <v>0</v>
      </c>
      <c r="T315" s="60">
        <v>0</v>
      </c>
      <c r="U315" s="60">
        <v>0</v>
      </c>
      <c r="V315" s="60">
        <v>0</v>
      </c>
      <c r="W315" s="60">
        <v>0</v>
      </c>
      <c r="X315" s="60">
        <v>0</v>
      </c>
      <c r="Y315" s="60">
        <v>0</v>
      </c>
      <c r="Z315" s="60">
        <v>0</v>
      </c>
      <c r="AA315" s="60">
        <v>0</v>
      </c>
      <c r="AB315" s="60">
        <v>0</v>
      </c>
      <c r="AC315" s="60">
        <v>0</v>
      </c>
      <c r="AD315" s="62">
        <v>76190.44</v>
      </c>
      <c r="AE315" s="60">
        <v>0</v>
      </c>
      <c r="AF315" s="170">
        <v>2020</v>
      </c>
      <c r="AG315" s="170">
        <v>2020</v>
      </c>
      <c r="AH315" s="63" t="s">
        <v>257</v>
      </c>
    </row>
    <row r="316" spans="1:34" ht="61.5" x14ac:dyDescent="0.85">
      <c r="A316" s="7">
        <v>1</v>
      </c>
      <c r="B316" s="59">
        <f>SUBTOTAL(103,$A$22:A316)</f>
        <v>281</v>
      </c>
      <c r="C316" s="160" t="s">
        <v>623</v>
      </c>
      <c r="D316" s="60">
        <f t="shared" si="27"/>
        <v>101554.75</v>
      </c>
      <c r="E316" s="182">
        <v>0</v>
      </c>
      <c r="F316" s="182">
        <v>0</v>
      </c>
      <c r="G316" s="60">
        <v>0</v>
      </c>
      <c r="H316" s="182">
        <v>0</v>
      </c>
      <c r="I316" s="182">
        <v>0</v>
      </c>
      <c r="J316" s="182">
        <v>0</v>
      </c>
      <c r="K316" s="168">
        <v>0</v>
      </c>
      <c r="L316" s="60">
        <v>0</v>
      </c>
      <c r="M316" s="60">
        <v>0</v>
      </c>
      <c r="N316" s="60">
        <v>0</v>
      </c>
      <c r="O316" s="182">
        <v>0</v>
      </c>
      <c r="P316" s="182">
        <v>0</v>
      </c>
      <c r="Q316" s="60">
        <v>0</v>
      </c>
      <c r="R316" s="60">
        <v>0</v>
      </c>
      <c r="S316" s="60">
        <v>0</v>
      </c>
      <c r="T316" s="60">
        <v>0</v>
      </c>
      <c r="U316" s="60">
        <v>0</v>
      </c>
      <c r="V316" s="60">
        <v>0</v>
      </c>
      <c r="W316" s="60">
        <v>0</v>
      </c>
      <c r="X316" s="60">
        <v>0</v>
      </c>
      <c r="Y316" s="60">
        <v>0</v>
      </c>
      <c r="Z316" s="60">
        <v>0</v>
      </c>
      <c r="AA316" s="60">
        <v>0</v>
      </c>
      <c r="AB316" s="60">
        <v>0</v>
      </c>
      <c r="AC316" s="60">
        <f>ROUND(N316*1.5%,2)</f>
        <v>0</v>
      </c>
      <c r="AD316" s="62">
        <v>101554.75</v>
      </c>
      <c r="AE316" s="60">
        <v>0</v>
      </c>
      <c r="AF316" s="170">
        <v>2020</v>
      </c>
      <c r="AG316" s="63" t="s">
        <v>257</v>
      </c>
      <c r="AH316" s="63" t="s">
        <v>257</v>
      </c>
    </row>
    <row r="317" spans="1:34" ht="61.5" x14ac:dyDescent="0.85">
      <c r="A317" s="7">
        <v>1</v>
      </c>
      <c r="B317" s="59">
        <f>SUBTOTAL(103,$A$22:A317)</f>
        <v>282</v>
      </c>
      <c r="C317" s="160" t="s">
        <v>612</v>
      </c>
      <c r="D317" s="60">
        <f t="shared" si="27"/>
        <v>104089.37</v>
      </c>
      <c r="E317" s="182">
        <v>0</v>
      </c>
      <c r="F317" s="182">
        <v>0</v>
      </c>
      <c r="G317" s="60">
        <v>0</v>
      </c>
      <c r="H317" s="182">
        <v>0</v>
      </c>
      <c r="I317" s="182">
        <v>0</v>
      </c>
      <c r="J317" s="182">
        <v>0</v>
      </c>
      <c r="K317" s="168">
        <v>0</v>
      </c>
      <c r="L317" s="60">
        <v>0</v>
      </c>
      <c r="M317" s="60">
        <v>0</v>
      </c>
      <c r="N317" s="60">
        <v>0</v>
      </c>
      <c r="O317" s="182">
        <v>0</v>
      </c>
      <c r="P317" s="182">
        <v>0</v>
      </c>
      <c r="Q317" s="60">
        <v>0</v>
      </c>
      <c r="R317" s="60">
        <v>0</v>
      </c>
      <c r="S317" s="60">
        <v>0</v>
      </c>
      <c r="T317" s="60">
        <v>0</v>
      </c>
      <c r="U317" s="60">
        <v>0</v>
      </c>
      <c r="V317" s="60">
        <v>0</v>
      </c>
      <c r="W317" s="60">
        <v>0</v>
      </c>
      <c r="X317" s="60">
        <v>0</v>
      </c>
      <c r="Y317" s="60">
        <v>0</v>
      </c>
      <c r="Z317" s="60">
        <v>0</v>
      </c>
      <c r="AA317" s="60">
        <v>0</v>
      </c>
      <c r="AB317" s="60">
        <v>0</v>
      </c>
      <c r="AC317" s="60">
        <f>ROUND(N317*1.5%,2)</f>
        <v>0</v>
      </c>
      <c r="AD317" s="62">
        <v>104089.37</v>
      </c>
      <c r="AE317" s="60">
        <v>0</v>
      </c>
      <c r="AF317" s="170">
        <v>2020</v>
      </c>
      <c r="AG317" s="63" t="s">
        <v>257</v>
      </c>
      <c r="AH317" s="63" t="s">
        <v>257</v>
      </c>
    </row>
    <row r="318" spans="1:34" ht="61.5" x14ac:dyDescent="0.85">
      <c r="A318" s="7">
        <v>1</v>
      </c>
      <c r="B318" s="59">
        <f>SUBTOTAL(103,$A$22:A318)</f>
        <v>283</v>
      </c>
      <c r="C318" s="160" t="s">
        <v>1124</v>
      </c>
      <c r="D318" s="60">
        <f t="shared" si="27"/>
        <v>4230013.1300000008</v>
      </c>
      <c r="E318" s="182">
        <v>0</v>
      </c>
      <c r="F318" s="182">
        <v>0</v>
      </c>
      <c r="G318" s="60">
        <v>0</v>
      </c>
      <c r="H318" s="182">
        <v>0</v>
      </c>
      <c r="I318" s="182">
        <v>0</v>
      </c>
      <c r="J318" s="182">
        <v>0</v>
      </c>
      <c r="K318" s="168">
        <v>0</v>
      </c>
      <c r="L318" s="60">
        <v>0</v>
      </c>
      <c r="M318" s="62">
        <v>953.5</v>
      </c>
      <c r="N318" s="62">
        <v>4069118.49</v>
      </c>
      <c r="O318" s="182">
        <v>0</v>
      </c>
      <c r="P318" s="182">
        <v>0</v>
      </c>
      <c r="Q318" s="60">
        <v>0</v>
      </c>
      <c r="R318" s="60">
        <v>0</v>
      </c>
      <c r="S318" s="60">
        <v>0</v>
      </c>
      <c r="T318" s="60">
        <v>0</v>
      </c>
      <c r="U318" s="60">
        <v>0</v>
      </c>
      <c r="V318" s="60">
        <v>0</v>
      </c>
      <c r="W318" s="60">
        <v>0</v>
      </c>
      <c r="X318" s="60">
        <v>0</v>
      </c>
      <c r="Y318" s="60">
        <v>0</v>
      </c>
      <c r="Z318" s="60">
        <v>0</v>
      </c>
      <c r="AA318" s="60">
        <v>0</v>
      </c>
      <c r="AB318" s="60">
        <v>0</v>
      </c>
      <c r="AC318" s="62">
        <v>40894.639999999999</v>
      </c>
      <c r="AD318" s="60">
        <v>0</v>
      </c>
      <c r="AE318" s="60">
        <v>120000</v>
      </c>
      <c r="AF318" s="170" t="s">
        <v>257</v>
      </c>
      <c r="AG318" s="170">
        <v>2020</v>
      </c>
      <c r="AH318" s="63">
        <v>2020</v>
      </c>
    </row>
    <row r="319" spans="1:34" ht="61.5" x14ac:dyDescent="0.85">
      <c r="A319" s="7">
        <v>1</v>
      </c>
      <c r="B319" s="59">
        <f>SUBTOTAL(103,$A$22:A319)</f>
        <v>284</v>
      </c>
      <c r="C319" s="160" t="s">
        <v>1129</v>
      </c>
      <c r="D319" s="60">
        <f t="shared" si="27"/>
        <v>5425723.8799999999</v>
      </c>
      <c r="E319" s="182">
        <v>0</v>
      </c>
      <c r="F319" s="182">
        <v>0</v>
      </c>
      <c r="G319" s="60">
        <v>0</v>
      </c>
      <c r="H319" s="182">
        <v>0</v>
      </c>
      <c r="I319" s="182">
        <v>0</v>
      </c>
      <c r="J319" s="182">
        <v>0</v>
      </c>
      <c r="K319" s="171">
        <v>4</v>
      </c>
      <c r="L319" s="62">
        <v>5425723.8799999999</v>
      </c>
      <c r="M319" s="60">
        <v>0</v>
      </c>
      <c r="N319" s="60">
        <v>0</v>
      </c>
      <c r="O319" s="182">
        <v>0</v>
      </c>
      <c r="P319" s="182">
        <v>0</v>
      </c>
      <c r="Q319" s="60">
        <v>0</v>
      </c>
      <c r="R319" s="60">
        <v>0</v>
      </c>
      <c r="S319" s="60">
        <v>0</v>
      </c>
      <c r="T319" s="60">
        <v>0</v>
      </c>
      <c r="U319" s="60">
        <v>0</v>
      </c>
      <c r="V319" s="60">
        <v>0</v>
      </c>
      <c r="W319" s="60">
        <v>0</v>
      </c>
      <c r="X319" s="60">
        <v>0</v>
      </c>
      <c r="Y319" s="60">
        <v>0</v>
      </c>
      <c r="Z319" s="60">
        <v>0</v>
      </c>
      <c r="AA319" s="60">
        <v>0</v>
      </c>
      <c r="AB319" s="60">
        <v>0</v>
      </c>
      <c r="AC319" s="60">
        <v>0</v>
      </c>
      <c r="AD319" s="60">
        <v>0</v>
      </c>
      <c r="AE319" s="60">
        <v>0</v>
      </c>
      <c r="AF319" s="170" t="s">
        <v>257</v>
      </c>
      <c r="AG319" s="170">
        <v>2020</v>
      </c>
      <c r="AH319" s="63" t="s">
        <v>257</v>
      </c>
    </row>
    <row r="320" spans="1:34" ht="61.5" x14ac:dyDescent="0.85">
      <c r="A320" s="7">
        <v>1</v>
      </c>
      <c r="B320" s="59">
        <f>SUBTOTAL(103,$A$22:A320)</f>
        <v>285</v>
      </c>
      <c r="C320" s="160" t="s">
        <v>1130</v>
      </c>
      <c r="D320" s="60">
        <f t="shared" si="27"/>
        <v>839027.99</v>
      </c>
      <c r="E320" s="182">
        <v>0</v>
      </c>
      <c r="F320" s="182">
        <v>0</v>
      </c>
      <c r="G320" s="60">
        <v>0</v>
      </c>
      <c r="H320" s="182">
        <v>0</v>
      </c>
      <c r="I320" s="182">
        <v>0</v>
      </c>
      <c r="J320" s="182">
        <v>0</v>
      </c>
      <c r="K320" s="168">
        <v>0</v>
      </c>
      <c r="L320" s="60">
        <v>0</v>
      </c>
      <c r="M320" s="60">
        <v>0</v>
      </c>
      <c r="N320" s="60">
        <v>0</v>
      </c>
      <c r="O320" s="182">
        <v>0</v>
      </c>
      <c r="P320" s="182">
        <v>0</v>
      </c>
      <c r="Q320" s="62">
        <v>273.98200000000003</v>
      </c>
      <c r="R320" s="62">
        <v>826689.65</v>
      </c>
      <c r="S320" s="60">
        <v>0</v>
      </c>
      <c r="T320" s="60">
        <v>0</v>
      </c>
      <c r="U320" s="60">
        <v>0</v>
      </c>
      <c r="V320" s="60">
        <v>0</v>
      </c>
      <c r="W320" s="60">
        <v>0</v>
      </c>
      <c r="X320" s="60">
        <v>0</v>
      </c>
      <c r="Y320" s="60">
        <v>0</v>
      </c>
      <c r="Z320" s="60">
        <v>0</v>
      </c>
      <c r="AA320" s="60">
        <v>0</v>
      </c>
      <c r="AB320" s="60">
        <v>0</v>
      </c>
      <c r="AC320" s="62">
        <v>12338.34</v>
      </c>
      <c r="AD320" s="60">
        <v>0</v>
      </c>
      <c r="AE320" s="60">
        <v>0</v>
      </c>
      <c r="AF320" s="170" t="s">
        <v>257</v>
      </c>
      <c r="AG320" s="170">
        <v>2020</v>
      </c>
      <c r="AH320" s="63">
        <v>2020</v>
      </c>
    </row>
    <row r="321" spans="1:34" ht="61.5" x14ac:dyDescent="0.85">
      <c r="A321" s="7">
        <v>1</v>
      </c>
      <c r="B321" s="59">
        <f>SUBTOTAL(103,$A$22:A321)</f>
        <v>286</v>
      </c>
      <c r="C321" s="160" t="s">
        <v>1131</v>
      </c>
      <c r="D321" s="60">
        <f t="shared" si="27"/>
        <v>1265060.8599999999</v>
      </c>
      <c r="E321" s="182">
        <v>0</v>
      </c>
      <c r="F321" s="182">
        <v>0</v>
      </c>
      <c r="G321" s="60">
        <v>0</v>
      </c>
      <c r="H321" s="182">
        <v>0</v>
      </c>
      <c r="I321" s="182">
        <v>0</v>
      </c>
      <c r="J321" s="182">
        <v>0</v>
      </c>
      <c r="K321" s="168">
        <v>0</v>
      </c>
      <c r="L321" s="60">
        <v>0</v>
      </c>
      <c r="M321" s="60">
        <v>0</v>
      </c>
      <c r="N321" s="60">
        <v>0</v>
      </c>
      <c r="O321" s="182">
        <v>0</v>
      </c>
      <c r="P321" s="182">
        <v>0</v>
      </c>
      <c r="Q321" s="62">
        <v>390.67</v>
      </c>
      <c r="R321" s="62">
        <v>1246457.48</v>
      </c>
      <c r="S321" s="60">
        <v>0</v>
      </c>
      <c r="T321" s="60">
        <v>0</v>
      </c>
      <c r="U321" s="60">
        <v>0</v>
      </c>
      <c r="V321" s="60">
        <v>0</v>
      </c>
      <c r="W321" s="60">
        <v>0</v>
      </c>
      <c r="X321" s="60">
        <v>0</v>
      </c>
      <c r="Y321" s="60">
        <v>0</v>
      </c>
      <c r="Z321" s="60">
        <v>0</v>
      </c>
      <c r="AA321" s="60">
        <v>0</v>
      </c>
      <c r="AB321" s="60">
        <v>0</v>
      </c>
      <c r="AC321" s="62">
        <v>18603.38</v>
      </c>
      <c r="AD321" s="60">
        <v>0</v>
      </c>
      <c r="AE321" s="60">
        <v>0</v>
      </c>
      <c r="AF321" s="170" t="s">
        <v>257</v>
      </c>
      <c r="AG321" s="170">
        <v>2020</v>
      </c>
      <c r="AH321" s="63">
        <v>2020</v>
      </c>
    </row>
    <row r="322" spans="1:34" ht="61.5" x14ac:dyDescent="0.85">
      <c r="A322" s="7">
        <v>1</v>
      </c>
      <c r="B322" s="59">
        <f>SUBTOTAL(103,$A$22:A322)</f>
        <v>287</v>
      </c>
      <c r="C322" s="160" t="s">
        <v>1132</v>
      </c>
      <c r="D322" s="60">
        <f t="shared" si="27"/>
        <v>73200.320000000007</v>
      </c>
      <c r="E322" s="182">
        <v>0</v>
      </c>
      <c r="F322" s="182">
        <v>0</v>
      </c>
      <c r="G322" s="60">
        <v>0</v>
      </c>
      <c r="H322" s="182">
        <v>0</v>
      </c>
      <c r="I322" s="182">
        <v>0</v>
      </c>
      <c r="J322" s="182">
        <v>0</v>
      </c>
      <c r="K322" s="168">
        <v>0</v>
      </c>
      <c r="L322" s="60">
        <v>0</v>
      </c>
      <c r="M322" s="60">
        <v>0</v>
      </c>
      <c r="N322" s="60">
        <v>0</v>
      </c>
      <c r="O322" s="182">
        <v>0</v>
      </c>
      <c r="P322" s="182">
        <v>0</v>
      </c>
      <c r="Q322" s="60">
        <v>0</v>
      </c>
      <c r="R322" s="60">
        <v>0</v>
      </c>
      <c r="S322" s="60">
        <v>0</v>
      </c>
      <c r="T322" s="60">
        <v>0</v>
      </c>
      <c r="U322" s="60">
        <v>0</v>
      </c>
      <c r="V322" s="60">
        <v>0</v>
      </c>
      <c r="W322" s="60">
        <v>0</v>
      </c>
      <c r="X322" s="60">
        <v>0</v>
      </c>
      <c r="Y322" s="60">
        <v>0</v>
      </c>
      <c r="Z322" s="60">
        <v>0</v>
      </c>
      <c r="AA322" s="60">
        <v>0</v>
      </c>
      <c r="AB322" s="60">
        <v>0</v>
      </c>
      <c r="AC322" s="60">
        <f>ROUND(N322*1.5%,2)</f>
        <v>0</v>
      </c>
      <c r="AD322" s="62">
        <v>73200.320000000007</v>
      </c>
      <c r="AE322" s="60">
        <v>0</v>
      </c>
      <c r="AF322" s="170">
        <v>2020</v>
      </c>
      <c r="AG322" s="63" t="s">
        <v>257</v>
      </c>
      <c r="AH322" s="63" t="s">
        <v>257</v>
      </c>
    </row>
    <row r="323" spans="1:34" ht="61.5" x14ac:dyDescent="0.85">
      <c r="A323" s="7">
        <v>1</v>
      </c>
      <c r="B323" s="59">
        <f>SUBTOTAL(103,$A$22:A323)</f>
        <v>288</v>
      </c>
      <c r="C323" s="160" t="s">
        <v>1445</v>
      </c>
      <c r="D323" s="60">
        <f t="shared" si="27"/>
        <v>1322373.3</v>
      </c>
      <c r="E323" s="182">
        <v>0</v>
      </c>
      <c r="F323" s="182">
        <v>0</v>
      </c>
      <c r="G323" s="60">
        <v>0</v>
      </c>
      <c r="H323" s="182">
        <v>0</v>
      </c>
      <c r="I323" s="182">
        <v>0</v>
      </c>
      <c r="J323" s="182">
        <v>0</v>
      </c>
      <c r="K323" s="168">
        <v>0</v>
      </c>
      <c r="L323" s="60">
        <v>0</v>
      </c>
      <c r="M323" s="62">
        <v>292.45</v>
      </c>
      <c r="N323" s="62">
        <v>1190409.68</v>
      </c>
      <c r="O323" s="182">
        <v>0</v>
      </c>
      <c r="P323" s="182">
        <v>0</v>
      </c>
      <c r="Q323" s="60">
        <v>0</v>
      </c>
      <c r="R323" s="60">
        <v>0</v>
      </c>
      <c r="S323" s="60">
        <v>0</v>
      </c>
      <c r="T323" s="60">
        <v>0</v>
      </c>
      <c r="U323" s="60">
        <v>0</v>
      </c>
      <c r="V323" s="60">
        <v>0</v>
      </c>
      <c r="W323" s="60">
        <v>0</v>
      </c>
      <c r="X323" s="60">
        <v>0</v>
      </c>
      <c r="Y323" s="60">
        <v>0</v>
      </c>
      <c r="Z323" s="60">
        <v>0</v>
      </c>
      <c r="AA323" s="60">
        <v>0</v>
      </c>
      <c r="AB323" s="60">
        <v>0</v>
      </c>
      <c r="AC323" s="62">
        <v>11963.62</v>
      </c>
      <c r="AD323" s="60">
        <v>0</v>
      </c>
      <c r="AE323" s="60">
        <v>120000</v>
      </c>
      <c r="AF323" s="170" t="s">
        <v>257</v>
      </c>
      <c r="AG323" s="170">
        <v>2020</v>
      </c>
      <c r="AH323" s="63">
        <v>2020</v>
      </c>
    </row>
    <row r="324" spans="1:34" ht="61.5" x14ac:dyDescent="0.85">
      <c r="A324" s="7">
        <v>1</v>
      </c>
      <c r="B324" s="59">
        <f>SUBTOTAL(103,$A$22:A324)</f>
        <v>289</v>
      </c>
      <c r="C324" s="160" t="s">
        <v>1455</v>
      </c>
      <c r="D324" s="60">
        <f t="shared" si="27"/>
        <v>1654546.33</v>
      </c>
      <c r="E324" s="182">
        <v>0</v>
      </c>
      <c r="F324" s="182">
        <v>0</v>
      </c>
      <c r="G324" s="60">
        <v>0</v>
      </c>
      <c r="H324" s="182">
        <v>0</v>
      </c>
      <c r="I324" s="182">
        <v>0</v>
      </c>
      <c r="J324" s="182">
        <v>0</v>
      </c>
      <c r="K324" s="168">
        <v>0</v>
      </c>
      <c r="L324" s="60">
        <v>0</v>
      </c>
      <c r="M324" s="62">
        <v>344.5</v>
      </c>
      <c r="N324" s="62">
        <v>1511980.03</v>
      </c>
      <c r="O324" s="182">
        <v>0</v>
      </c>
      <c r="P324" s="182">
        <v>0</v>
      </c>
      <c r="Q324" s="60">
        <v>0</v>
      </c>
      <c r="R324" s="60">
        <v>0</v>
      </c>
      <c r="S324" s="60">
        <v>0</v>
      </c>
      <c r="T324" s="60">
        <v>0</v>
      </c>
      <c r="U324" s="60">
        <v>0</v>
      </c>
      <c r="V324" s="60">
        <v>0</v>
      </c>
      <c r="W324" s="60">
        <v>0</v>
      </c>
      <c r="X324" s="60">
        <v>0</v>
      </c>
      <c r="Y324" s="60">
        <v>0</v>
      </c>
      <c r="Z324" s="60">
        <v>0</v>
      </c>
      <c r="AA324" s="60">
        <v>0</v>
      </c>
      <c r="AB324" s="60">
        <v>0</v>
      </c>
      <c r="AC324" s="60">
        <f>ROUND(N324*1.4925%,2)</f>
        <v>22566.3</v>
      </c>
      <c r="AD324" s="60">
        <v>0</v>
      </c>
      <c r="AE324" s="60">
        <v>120000</v>
      </c>
      <c r="AF324" s="170" t="s">
        <v>257</v>
      </c>
      <c r="AG324" s="170">
        <v>2020</v>
      </c>
      <c r="AH324" s="63">
        <v>2020</v>
      </c>
    </row>
    <row r="325" spans="1:34" ht="61.5" x14ac:dyDescent="0.85">
      <c r="B325" s="160" t="s">
        <v>769</v>
      </c>
      <c r="C325" s="176"/>
      <c r="D325" s="177">
        <f t="shared" ref="D325:AE325" si="28">SUM(D326:D341)</f>
        <v>22830689.180000003</v>
      </c>
      <c r="E325" s="60">
        <f t="shared" si="28"/>
        <v>0</v>
      </c>
      <c r="F325" s="60">
        <f t="shared" si="28"/>
        <v>0</v>
      </c>
      <c r="G325" s="60">
        <f t="shared" si="28"/>
        <v>0</v>
      </c>
      <c r="H325" s="60">
        <f t="shared" si="28"/>
        <v>0</v>
      </c>
      <c r="I325" s="60">
        <f t="shared" si="28"/>
        <v>2268467.9300000002</v>
      </c>
      <c r="J325" s="60">
        <f t="shared" si="28"/>
        <v>0</v>
      </c>
      <c r="K325" s="168">
        <f t="shared" si="28"/>
        <v>0</v>
      </c>
      <c r="L325" s="60">
        <f t="shared" si="28"/>
        <v>0</v>
      </c>
      <c r="M325" s="60">
        <f t="shared" si="28"/>
        <v>3653.92</v>
      </c>
      <c r="N325" s="60">
        <f t="shared" si="28"/>
        <v>14137054.039999999</v>
      </c>
      <c r="O325" s="60">
        <f t="shared" si="28"/>
        <v>0</v>
      </c>
      <c r="P325" s="60">
        <f t="shared" si="28"/>
        <v>0</v>
      </c>
      <c r="Q325" s="60">
        <f t="shared" si="28"/>
        <v>1413.88</v>
      </c>
      <c r="R325" s="60">
        <f t="shared" si="28"/>
        <v>5539556.1299999999</v>
      </c>
      <c r="S325" s="60">
        <f t="shared" si="28"/>
        <v>0</v>
      </c>
      <c r="T325" s="60">
        <f t="shared" si="28"/>
        <v>0</v>
      </c>
      <c r="U325" s="60">
        <f t="shared" si="28"/>
        <v>0</v>
      </c>
      <c r="V325" s="60">
        <f t="shared" si="28"/>
        <v>0</v>
      </c>
      <c r="W325" s="60">
        <f t="shared" si="28"/>
        <v>0</v>
      </c>
      <c r="X325" s="60">
        <f t="shared" si="28"/>
        <v>0</v>
      </c>
      <c r="Y325" s="60">
        <f t="shared" si="28"/>
        <v>0</v>
      </c>
      <c r="Z325" s="60">
        <f t="shared" si="28"/>
        <v>0</v>
      </c>
      <c r="AA325" s="60">
        <f t="shared" si="28"/>
        <v>0</v>
      </c>
      <c r="AB325" s="60">
        <f t="shared" si="28"/>
        <v>0</v>
      </c>
      <c r="AC325" s="60">
        <f t="shared" si="28"/>
        <v>257422.68000000005</v>
      </c>
      <c r="AD325" s="60">
        <f t="shared" si="28"/>
        <v>508188.39999999997</v>
      </c>
      <c r="AE325" s="60">
        <f t="shared" si="28"/>
        <v>120000</v>
      </c>
      <c r="AF325" s="54" t="s">
        <v>701</v>
      </c>
      <c r="AG325" s="54" t="s">
        <v>701</v>
      </c>
      <c r="AH325" s="55" t="s">
        <v>701</v>
      </c>
    </row>
    <row r="326" spans="1:34" ht="61.5" x14ac:dyDescent="0.85">
      <c r="A326" s="7">
        <v>1</v>
      </c>
      <c r="B326" s="59">
        <f>SUBTOTAL(103,$A$22:A326)</f>
        <v>290</v>
      </c>
      <c r="C326" s="160" t="s">
        <v>220</v>
      </c>
      <c r="D326" s="60">
        <f t="shared" ref="D326:D341" si="29">E326+F326+G326+H326+I326+J326+L326+N326+P326+R326+T326+U326+V326+W326+X326+Y326+Z326+AA326+AB326+AC326+AD326+AE326</f>
        <v>1413561.06</v>
      </c>
      <c r="E326" s="60">
        <v>0</v>
      </c>
      <c r="F326" s="60">
        <v>0</v>
      </c>
      <c r="G326" s="60">
        <v>0</v>
      </c>
      <c r="H326" s="60">
        <v>0</v>
      </c>
      <c r="I326" s="60">
        <v>0</v>
      </c>
      <c r="J326" s="60">
        <v>0</v>
      </c>
      <c r="K326" s="168">
        <v>0</v>
      </c>
      <c r="L326" s="60">
        <v>0</v>
      </c>
      <c r="M326" s="62">
        <v>343</v>
      </c>
      <c r="N326" s="62">
        <v>1339821.01</v>
      </c>
      <c r="O326" s="60">
        <v>0</v>
      </c>
      <c r="P326" s="60">
        <v>0</v>
      </c>
      <c r="Q326" s="60">
        <v>0</v>
      </c>
      <c r="R326" s="60">
        <v>0</v>
      </c>
      <c r="S326" s="60">
        <v>0</v>
      </c>
      <c r="T326" s="60">
        <v>0</v>
      </c>
      <c r="U326" s="60">
        <v>0</v>
      </c>
      <c r="V326" s="60">
        <v>0</v>
      </c>
      <c r="W326" s="60">
        <v>0</v>
      </c>
      <c r="X326" s="60">
        <v>0</v>
      </c>
      <c r="Y326" s="60">
        <v>0</v>
      </c>
      <c r="Z326" s="60">
        <v>0</v>
      </c>
      <c r="AA326" s="60">
        <v>0</v>
      </c>
      <c r="AB326" s="60">
        <v>0</v>
      </c>
      <c r="AC326" s="62">
        <v>13565.69</v>
      </c>
      <c r="AD326" s="169">
        <v>60174.36</v>
      </c>
      <c r="AE326" s="60">
        <v>0</v>
      </c>
      <c r="AF326" s="170">
        <v>2020</v>
      </c>
      <c r="AG326" s="170">
        <v>2020</v>
      </c>
      <c r="AH326" s="63">
        <v>2020</v>
      </c>
    </row>
    <row r="327" spans="1:34" ht="61.5" x14ac:dyDescent="0.85">
      <c r="A327" s="7">
        <v>1</v>
      </c>
      <c r="B327" s="59">
        <f>SUBTOTAL(103,$A$22:A327)</f>
        <v>291</v>
      </c>
      <c r="C327" s="160" t="s">
        <v>222</v>
      </c>
      <c r="D327" s="60">
        <f t="shared" si="29"/>
        <v>75889.97</v>
      </c>
      <c r="E327" s="60">
        <v>0</v>
      </c>
      <c r="F327" s="60">
        <v>0</v>
      </c>
      <c r="G327" s="60">
        <v>0</v>
      </c>
      <c r="H327" s="60">
        <v>0</v>
      </c>
      <c r="I327" s="60">
        <v>0</v>
      </c>
      <c r="J327" s="60">
        <v>0</v>
      </c>
      <c r="K327" s="168">
        <v>0</v>
      </c>
      <c r="L327" s="60">
        <v>0</v>
      </c>
      <c r="M327" s="60">
        <v>0</v>
      </c>
      <c r="N327" s="60">
        <v>0</v>
      </c>
      <c r="O327" s="60">
        <v>0</v>
      </c>
      <c r="P327" s="60">
        <v>0</v>
      </c>
      <c r="Q327" s="60">
        <v>0</v>
      </c>
      <c r="R327" s="60">
        <v>0</v>
      </c>
      <c r="S327" s="60">
        <v>0</v>
      </c>
      <c r="T327" s="60">
        <v>0</v>
      </c>
      <c r="U327" s="60">
        <v>0</v>
      </c>
      <c r="V327" s="60">
        <v>0</v>
      </c>
      <c r="W327" s="60">
        <v>0</v>
      </c>
      <c r="X327" s="60">
        <v>0</v>
      </c>
      <c r="Y327" s="60">
        <v>0</v>
      </c>
      <c r="Z327" s="60">
        <v>0</v>
      </c>
      <c r="AA327" s="60">
        <v>0</v>
      </c>
      <c r="AB327" s="60">
        <v>0</v>
      </c>
      <c r="AC327" s="60">
        <f>ROUND(R327*1.5%,2)</f>
        <v>0</v>
      </c>
      <c r="AD327" s="60">
        <v>75889.97</v>
      </c>
      <c r="AE327" s="60">
        <v>0</v>
      </c>
      <c r="AF327" s="170">
        <v>2020</v>
      </c>
      <c r="AG327" s="63" t="s">
        <v>257</v>
      </c>
      <c r="AH327" s="63" t="s">
        <v>257</v>
      </c>
    </row>
    <row r="328" spans="1:34" ht="61.5" x14ac:dyDescent="0.85">
      <c r="A328" s="7">
        <v>1</v>
      </c>
      <c r="B328" s="59">
        <f>SUBTOTAL(103,$A$22:A328)</f>
        <v>292</v>
      </c>
      <c r="C328" s="160" t="s">
        <v>225</v>
      </c>
      <c r="D328" s="60">
        <f t="shared" si="29"/>
        <v>1769883.07</v>
      </c>
      <c r="E328" s="60">
        <v>0</v>
      </c>
      <c r="F328" s="60">
        <v>0</v>
      </c>
      <c r="G328" s="60">
        <v>0</v>
      </c>
      <c r="H328" s="60">
        <v>0</v>
      </c>
      <c r="I328" s="60">
        <v>0</v>
      </c>
      <c r="J328" s="60">
        <v>0</v>
      </c>
      <c r="K328" s="168">
        <v>0</v>
      </c>
      <c r="L328" s="60">
        <v>0</v>
      </c>
      <c r="M328" s="62">
        <v>489.14</v>
      </c>
      <c r="N328" s="62">
        <v>1682950.22</v>
      </c>
      <c r="O328" s="60">
        <v>0</v>
      </c>
      <c r="P328" s="60">
        <v>0</v>
      </c>
      <c r="Q328" s="60">
        <v>0</v>
      </c>
      <c r="R328" s="60">
        <v>0</v>
      </c>
      <c r="S328" s="60">
        <v>0</v>
      </c>
      <c r="T328" s="60">
        <v>0</v>
      </c>
      <c r="U328" s="60">
        <v>0</v>
      </c>
      <c r="V328" s="60">
        <v>0</v>
      </c>
      <c r="W328" s="60">
        <v>0</v>
      </c>
      <c r="X328" s="60">
        <v>0</v>
      </c>
      <c r="Y328" s="60">
        <v>0</v>
      </c>
      <c r="Z328" s="60">
        <v>0</v>
      </c>
      <c r="AA328" s="60">
        <v>0</v>
      </c>
      <c r="AB328" s="60">
        <v>0</v>
      </c>
      <c r="AC328" s="60">
        <v>17039.87</v>
      </c>
      <c r="AD328" s="169">
        <v>69892.98</v>
      </c>
      <c r="AE328" s="60">
        <v>0</v>
      </c>
      <c r="AF328" s="170">
        <v>2020</v>
      </c>
      <c r="AG328" s="170">
        <v>2020</v>
      </c>
      <c r="AH328" s="63">
        <v>2020</v>
      </c>
    </row>
    <row r="329" spans="1:34" ht="61.5" x14ac:dyDescent="0.85">
      <c r="A329" s="7">
        <v>1</v>
      </c>
      <c r="B329" s="59">
        <f>SUBTOTAL(103,$A$22:A329)</f>
        <v>293</v>
      </c>
      <c r="C329" s="160" t="s">
        <v>226</v>
      </c>
      <c r="D329" s="60">
        <f t="shared" si="29"/>
        <v>48252.34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168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0">
        <v>0</v>
      </c>
      <c r="T329" s="60">
        <v>0</v>
      </c>
      <c r="U329" s="60">
        <v>0</v>
      </c>
      <c r="V329" s="60">
        <v>0</v>
      </c>
      <c r="W329" s="60">
        <v>0</v>
      </c>
      <c r="X329" s="60">
        <v>0</v>
      </c>
      <c r="Y329" s="60">
        <v>0</v>
      </c>
      <c r="Z329" s="60">
        <v>0</v>
      </c>
      <c r="AA329" s="60">
        <v>0</v>
      </c>
      <c r="AB329" s="60">
        <v>0</v>
      </c>
      <c r="AC329" s="60">
        <f>ROUND(N329*1.5%,2)</f>
        <v>0</v>
      </c>
      <c r="AD329" s="62">
        <v>48252.34</v>
      </c>
      <c r="AE329" s="60">
        <v>0</v>
      </c>
      <c r="AF329" s="170">
        <v>2020</v>
      </c>
      <c r="AG329" s="63" t="s">
        <v>257</v>
      </c>
      <c r="AH329" s="63" t="s">
        <v>257</v>
      </c>
    </row>
    <row r="330" spans="1:34" ht="61.5" x14ac:dyDescent="0.85">
      <c r="A330" s="7">
        <v>1</v>
      </c>
      <c r="B330" s="59">
        <f>SUBTOTAL(103,$A$22:A330)</f>
        <v>294</v>
      </c>
      <c r="C330" s="160" t="s">
        <v>221</v>
      </c>
      <c r="D330" s="60">
        <f t="shared" si="29"/>
        <v>1361877.77</v>
      </c>
      <c r="E330" s="60">
        <v>0</v>
      </c>
      <c r="F330" s="60">
        <v>0</v>
      </c>
      <c r="G330" s="60">
        <v>0</v>
      </c>
      <c r="H330" s="60">
        <v>0</v>
      </c>
      <c r="I330" s="60">
        <v>0</v>
      </c>
      <c r="J330" s="60">
        <v>0</v>
      </c>
      <c r="K330" s="168">
        <v>0</v>
      </c>
      <c r="L330" s="60">
        <v>0</v>
      </c>
      <c r="M330" s="62">
        <v>296.32</v>
      </c>
      <c r="N330" s="62">
        <v>1291319.8999999999</v>
      </c>
      <c r="O330" s="60">
        <v>0</v>
      </c>
      <c r="P330" s="60">
        <v>0</v>
      </c>
      <c r="Q330" s="60">
        <v>0</v>
      </c>
      <c r="R330" s="60">
        <v>0</v>
      </c>
      <c r="S330" s="60">
        <v>0</v>
      </c>
      <c r="T330" s="60">
        <v>0</v>
      </c>
      <c r="U330" s="60">
        <v>0</v>
      </c>
      <c r="V330" s="60">
        <v>0</v>
      </c>
      <c r="W330" s="60">
        <v>0</v>
      </c>
      <c r="X330" s="60">
        <v>0</v>
      </c>
      <c r="Y330" s="60">
        <v>0</v>
      </c>
      <c r="Z330" s="60">
        <v>0</v>
      </c>
      <c r="AA330" s="60">
        <v>0</v>
      </c>
      <c r="AB330" s="60">
        <v>0</v>
      </c>
      <c r="AC330" s="62">
        <v>13074.61</v>
      </c>
      <c r="AD330" s="169">
        <v>57483.26</v>
      </c>
      <c r="AE330" s="60">
        <v>0</v>
      </c>
      <c r="AF330" s="170">
        <v>2020</v>
      </c>
      <c r="AG330" s="170">
        <v>2020</v>
      </c>
      <c r="AH330" s="63">
        <v>2020</v>
      </c>
    </row>
    <row r="331" spans="1:34" ht="61.5" x14ac:dyDescent="0.85">
      <c r="A331" s="7">
        <v>1</v>
      </c>
      <c r="B331" s="59">
        <f>SUBTOTAL(103,$A$22:A331)</f>
        <v>295</v>
      </c>
      <c r="C331" s="160" t="s">
        <v>228</v>
      </c>
      <c r="D331" s="60">
        <f t="shared" si="29"/>
        <v>82017.66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168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0">
        <v>0</v>
      </c>
      <c r="T331" s="60">
        <v>0</v>
      </c>
      <c r="U331" s="60">
        <v>0</v>
      </c>
      <c r="V331" s="60">
        <v>0</v>
      </c>
      <c r="W331" s="60">
        <v>0</v>
      </c>
      <c r="X331" s="60">
        <v>0</v>
      </c>
      <c r="Y331" s="60">
        <v>0</v>
      </c>
      <c r="Z331" s="60">
        <v>0</v>
      </c>
      <c r="AA331" s="60">
        <v>0</v>
      </c>
      <c r="AB331" s="60">
        <v>0</v>
      </c>
      <c r="AC331" s="60">
        <f>ROUND(N331*1.5%,2)</f>
        <v>0</v>
      </c>
      <c r="AD331" s="62">
        <v>82017.66</v>
      </c>
      <c r="AE331" s="60">
        <v>0</v>
      </c>
      <c r="AF331" s="170">
        <v>2020</v>
      </c>
      <c r="AG331" s="63" t="s">
        <v>257</v>
      </c>
      <c r="AH331" s="63" t="s">
        <v>257</v>
      </c>
    </row>
    <row r="332" spans="1:34" ht="61.5" x14ac:dyDescent="0.85">
      <c r="A332" s="7">
        <v>1</v>
      </c>
      <c r="B332" s="59">
        <f>SUBTOTAL(103,$A$22:A332)</f>
        <v>296</v>
      </c>
      <c r="C332" s="160" t="s">
        <v>1135</v>
      </c>
      <c r="D332" s="60">
        <f t="shared" si="29"/>
        <v>2704515.35</v>
      </c>
      <c r="E332" s="182">
        <v>0</v>
      </c>
      <c r="F332" s="182">
        <v>0</v>
      </c>
      <c r="G332" s="60">
        <v>0</v>
      </c>
      <c r="H332" s="182">
        <v>0</v>
      </c>
      <c r="I332" s="182">
        <v>0</v>
      </c>
      <c r="J332" s="182">
        <v>0</v>
      </c>
      <c r="K332" s="168">
        <v>0</v>
      </c>
      <c r="L332" s="60">
        <v>0</v>
      </c>
      <c r="M332" s="60">
        <v>0</v>
      </c>
      <c r="N332" s="60">
        <v>0</v>
      </c>
      <c r="O332" s="182">
        <v>0</v>
      </c>
      <c r="P332" s="182">
        <v>0</v>
      </c>
      <c r="Q332" s="62">
        <v>658.88</v>
      </c>
      <c r="R332" s="62">
        <v>2677605.42</v>
      </c>
      <c r="S332" s="60">
        <v>0</v>
      </c>
      <c r="T332" s="60">
        <v>0</v>
      </c>
      <c r="U332" s="60">
        <v>0</v>
      </c>
      <c r="V332" s="60">
        <v>0</v>
      </c>
      <c r="W332" s="60">
        <v>0</v>
      </c>
      <c r="X332" s="60">
        <v>0</v>
      </c>
      <c r="Y332" s="60">
        <v>0</v>
      </c>
      <c r="Z332" s="60">
        <v>0</v>
      </c>
      <c r="AA332" s="60">
        <v>0</v>
      </c>
      <c r="AB332" s="60">
        <v>0</v>
      </c>
      <c r="AC332" s="60">
        <v>26909.93</v>
      </c>
      <c r="AD332" s="60">
        <v>0</v>
      </c>
      <c r="AE332" s="60">
        <v>0</v>
      </c>
      <c r="AF332" s="170" t="s">
        <v>257</v>
      </c>
      <c r="AG332" s="170">
        <v>2020</v>
      </c>
      <c r="AH332" s="63">
        <v>2020</v>
      </c>
    </row>
    <row r="333" spans="1:34" ht="61.5" x14ac:dyDescent="0.85">
      <c r="A333" s="7">
        <v>1</v>
      </c>
      <c r="B333" s="59">
        <f>SUBTOTAL(103,$A$22:A333)</f>
        <v>297</v>
      </c>
      <c r="C333" s="160" t="s">
        <v>1136</v>
      </c>
      <c r="D333" s="60">
        <f t="shared" si="29"/>
        <v>2291266.0300000003</v>
      </c>
      <c r="E333" s="182">
        <v>0</v>
      </c>
      <c r="F333" s="182">
        <v>0</v>
      </c>
      <c r="G333" s="60">
        <v>0</v>
      </c>
      <c r="H333" s="182">
        <v>0</v>
      </c>
      <c r="I333" s="62">
        <v>2268467.9300000002</v>
      </c>
      <c r="J333" s="182">
        <v>0</v>
      </c>
      <c r="K333" s="168">
        <v>0</v>
      </c>
      <c r="L333" s="60">
        <v>0</v>
      </c>
      <c r="M333" s="60">
        <v>0</v>
      </c>
      <c r="N333" s="60">
        <v>0</v>
      </c>
      <c r="O333" s="182">
        <v>0</v>
      </c>
      <c r="P333" s="182">
        <v>0</v>
      </c>
      <c r="Q333" s="60">
        <v>0</v>
      </c>
      <c r="R333" s="60">
        <v>0</v>
      </c>
      <c r="S333" s="60">
        <v>0</v>
      </c>
      <c r="T333" s="60">
        <v>0</v>
      </c>
      <c r="U333" s="60">
        <v>0</v>
      </c>
      <c r="V333" s="60">
        <v>0</v>
      </c>
      <c r="W333" s="60">
        <v>0</v>
      </c>
      <c r="X333" s="60">
        <v>0</v>
      </c>
      <c r="Y333" s="60">
        <v>0</v>
      </c>
      <c r="Z333" s="60">
        <v>0</v>
      </c>
      <c r="AA333" s="60">
        <v>0</v>
      </c>
      <c r="AB333" s="60">
        <v>0</v>
      </c>
      <c r="AC333" s="62">
        <v>22798.1</v>
      </c>
      <c r="AD333" s="60">
        <v>0</v>
      </c>
      <c r="AE333" s="60">
        <v>0</v>
      </c>
      <c r="AF333" s="170" t="s">
        <v>257</v>
      </c>
      <c r="AG333" s="170">
        <v>2020</v>
      </c>
      <c r="AH333" s="63">
        <v>2020</v>
      </c>
    </row>
    <row r="334" spans="1:34" ht="61.5" x14ac:dyDescent="0.85">
      <c r="A334" s="7">
        <v>1</v>
      </c>
      <c r="B334" s="59">
        <f>SUBTOTAL(103,$A$22:A334)</f>
        <v>298</v>
      </c>
      <c r="C334" s="160" t="s">
        <v>1137</v>
      </c>
      <c r="D334" s="60">
        <f t="shared" si="29"/>
        <v>2890713.31</v>
      </c>
      <c r="E334" s="182">
        <v>0</v>
      </c>
      <c r="F334" s="182">
        <v>0</v>
      </c>
      <c r="G334" s="60">
        <v>0</v>
      </c>
      <c r="H334" s="182">
        <v>0</v>
      </c>
      <c r="I334" s="182">
        <v>0</v>
      </c>
      <c r="J334" s="182">
        <v>0</v>
      </c>
      <c r="K334" s="168">
        <v>0</v>
      </c>
      <c r="L334" s="60">
        <v>0</v>
      </c>
      <c r="M334" s="60">
        <v>0</v>
      </c>
      <c r="N334" s="60">
        <v>0</v>
      </c>
      <c r="O334" s="182">
        <v>0</v>
      </c>
      <c r="P334" s="182">
        <v>0</v>
      </c>
      <c r="Q334" s="62">
        <v>755</v>
      </c>
      <c r="R334" s="62">
        <v>2861950.71</v>
      </c>
      <c r="S334" s="60">
        <v>0</v>
      </c>
      <c r="T334" s="60">
        <v>0</v>
      </c>
      <c r="U334" s="60">
        <v>0</v>
      </c>
      <c r="V334" s="60">
        <v>0</v>
      </c>
      <c r="W334" s="60">
        <v>0</v>
      </c>
      <c r="X334" s="60">
        <v>0</v>
      </c>
      <c r="Y334" s="60">
        <v>0</v>
      </c>
      <c r="Z334" s="60">
        <v>0</v>
      </c>
      <c r="AA334" s="60">
        <v>0</v>
      </c>
      <c r="AB334" s="60">
        <v>0</v>
      </c>
      <c r="AC334" s="62">
        <v>28762.6</v>
      </c>
      <c r="AD334" s="60">
        <v>0</v>
      </c>
      <c r="AE334" s="60">
        <v>0</v>
      </c>
      <c r="AF334" s="170" t="s">
        <v>257</v>
      </c>
      <c r="AG334" s="170">
        <v>2020</v>
      </c>
      <c r="AH334" s="63">
        <v>2020</v>
      </c>
    </row>
    <row r="335" spans="1:34" ht="61.5" x14ac:dyDescent="0.85">
      <c r="A335" s="7">
        <v>1</v>
      </c>
      <c r="B335" s="59">
        <f>SUBTOTAL(103,$A$22:A335)</f>
        <v>299</v>
      </c>
      <c r="C335" s="160" t="s">
        <v>1140</v>
      </c>
      <c r="D335" s="60">
        <f t="shared" si="29"/>
        <v>1714543.07</v>
      </c>
      <c r="E335" s="182">
        <v>0</v>
      </c>
      <c r="F335" s="182">
        <v>0</v>
      </c>
      <c r="G335" s="60">
        <v>0</v>
      </c>
      <c r="H335" s="182">
        <v>0</v>
      </c>
      <c r="I335" s="182">
        <v>0</v>
      </c>
      <c r="J335" s="182">
        <v>0</v>
      </c>
      <c r="K335" s="168">
        <v>0</v>
      </c>
      <c r="L335" s="60">
        <v>0</v>
      </c>
      <c r="M335" s="62">
        <v>374.3</v>
      </c>
      <c r="N335" s="62">
        <v>1571094.48</v>
      </c>
      <c r="O335" s="182">
        <v>0</v>
      </c>
      <c r="P335" s="182">
        <v>0</v>
      </c>
      <c r="Q335" s="60">
        <v>0</v>
      </c>
      <c r="R335" s="60">
        <v>0</v>
      </c>
      <c r="S335" s="60">
        <v>0</v>
      </c>
      <c r="T335" s="60">
        <v>0</v>
      </c>
      <c r="U335" s="60">
        <v>0</v>
      </c>
      <c r="V335" s="60">
        <v>0</v>
      </c>
      <c r="W335" s="60">
        <v>0</v>
      </c>
      <c r="X335" s="60">
        <v>0</v>
      </c>
      <c r="Y335" s="60">
        <v>0</v>
      </c>
      <c r="Z335" s="60">
        <v>0</v>
      </c>
      <c r="AA335" s="60">
        <v>0</v>
      </c>
      <c r="AB335" s="60">
        <v>0</v>
      </c>
      <c r="AC335" s="60">
        <v>23448.59</v>
      </c>
      <c r="AD335" s="60">
        <v>0</v>
      </c>
      <c r="AE335" s="60">
        <v>120000</v>
      </c>
      <c r="AF335" s="170" t="s">
        <v>257</v>
      </c>
      <c r="AG335" s="170">
        <v>2020</v>
      </c>
      <c r="AH335" s="63">
        <v>2020</v>
      </c>
    </row>
    <row r="336" spans="1:34" ht="61.5" x14ac:dyDescent="0.85">
      <c r="A336" s="7">
        <v>1</v>
      </c>
      <c r="B336" s="59">
        <f>SUBTOTAL(103,$A$22:A336)</f>
        <v>300</v>
      </c>
      <c r="C336" s="160" t="s">
        <v>1438</v>
      </c>
      <c r="D336" s="60">
        <f t="shared" si="29"/>
        <v>1422597.9100000001</v>
      </c>
      <c r="E336" s="182">
        <v>0</v>
      </c>
      <c r="F336" s="182">
        <v>0</v>
      </c>
      <c r="G336" s="60">
        <v>0</v>
      </c>
      <c r="H336" s="182">
        <v>0</v>
      </c>
      <c r="I336" s="182">
        <v>0</v>
      </c>
      <c r="J336" s="182">
        <v>0</v>
      </c>
      <c r="K336" s="168">
        <v>0</v>
      </c>
      <c r="L336" s="60">
        <v>0</v>
      </c>
      <c r="M336" s="62">
        <v>327.87</v>
      </c>
      <c r="N336" s="169">
        <v>1401677.87</v>
      </c>
      <c r="O336" s="182">
        <v>0</v>
      </c>
      <c r="P336" s="182">
        <v>0</v>
      </c>
      <c r="Q336" s="60">
        <v>0</v>
      </c>
      <c r="R336" s="60">
        <v>0</v>
      </c>
      <c r="S336" s="60">
        <v>0</v>
      </c>
      <c r="T336" s="60">
        <v>0</v>
      </c>
      <c r="U336" s="60">
        <v>0</v>
      </c>
      <c r="V336" s="60">
        <v>0</v>
      </c>
      <c r="W336" s="60">
        <v>0</v>
      </c>
      <c r="X336" s="60">
        <v>0</v>
      </c>
      <c r="Y336" s="60">
        <v>0</v>
      </c>
      <c r="Z336" s="60">
        <v>0</v>
      </c>
      <c r="AA336" s="60">
        <v>0</v>
      </c>
      <c r="AB336" s="60">
        <v>0</v>
      </c>
      <c r="AC336" s="62">
        <v>20920.04</v>
      </c>
      <c r="AD336" s="60">
        <v>0</v>
      </c>
      <c r="AE336" s="60">
        <v>0</v>
      </c>
      <c r="AF336" s="170" t="s">
        <v>257</v>
      </c>
      <c r="AG336" s="170">
        <v>2020</v>
      </c>
      <c r="AH336" s="63">
        <v>2020</v>
      </c>
    </row>
    <row r="337" spans="1:34" ht="61.5" x14ac:dyDescent="0.85">
      <c r="A337" s="7">
        <v>1</v>
      </c>
      <c r="B337" s="59">
        <f>SUBTOTAL(103,$A$22:A337)</f>
        <v>301</v>
      </c>
      <c r="C337" s="160" t="s">
        <v>1439</v>
      </c>
      <c r="D337" s="60">
        <f t="shared" si="29"/>
        <v>2288055.7799999998</v>
      </c>
      <c r="E337" s="182">
        <v>0</v>
      </c>
      <c r="F337" s="182">
        <v>0</v>
      </c>
      <c r="G337" s="60">
        <v>0</v>
      </c>
      <c r="H337" s="182">
        <v>0</v>
      </c>
      <c r="I337" s="182">
        <v>0</v>
      </c>
      <c r="J337" s="182">
        <v>0</v>
      </c>
      <c r="K337" s="168">
        <v>0</v>
      </c>
      <c r="L337" s="60">
        <v>0</v>
      </c>
      <c r="M337" s="62">
        <v>600.53</v>
      </c>
      <c r="N337" s="62">
        <v>2254408.73</v>
      </c>
      <c r="O337" s="182">
        <v>0</v>
      </c>
      <c r="P337" s="182">
        <v>0</v>
      </c>
      <c r="Q337" s="60">
        <v>0</v>
      </c>
      <c r="R337" s="60">
        <v>0</v>
      </c>
      <c r="S337" s="60">
        <v>0</v>
      </c>
      <c r="T337" s="60">
        <v>0</v>
      </c>
      <c r="U337" s="60">
        <v>0</v>
      </c>
      <c r="V337" s="60">
        <v>0</v>
      </c>
      <c r="W337" s="60">
        <v>0</v>
      </c>
      <c r="X337" s="60">
        <v>0</v>
      </c>
      <c r="Y337" s="60">
        <v>0</v>
      </c>
      <c r="Z337" s="60">
        <v>0</v>
      </c>
      <c r="AA337" s="60">
        <v>0</v>
      </c>
      <c r="AB337" s="60">
        <v>0</v>
      </c>
      <c r="AC337" s="62">
        <v>33647.050000000003</v>
      </c>
      <c r="AD337" s="60">
        <v>0</v>
      </c>
      <c r="AE337" s="60">
        <v>0</v>
      </c>
      <c r="AF337" s="170" t="s">
        <v>257</v>
      </c>
      <c r="AG337" s="170">
        <v>2020</v>
      </c>
      <c r="AH337" s="63">
        <v>2020</v>
      </c>
    </row>
    <row r="338" spans="1:34" ht="61.5" x14ac:dyDescent="0.85">
      <c r="A338" s="7">
        <v>1</v>
      </c>
      <c r="B338" s="59">
        <f>SUBTOTAL(103,$A$22:A338)</f>
        <v>302</v>
      </c>
      <c r="C338" s="160" t="s">
        <v>1453</v>
      </c>
      <c r="D338" s="60">
        <f t="shared" si="29"/>
        <v>2348671.69</v>
      </c>
      <c r="E338" s="182">
        <v>0</v>
      </c>
      <c r="F338" s="182">
        <v>0</v>
      </c>
      <c r="G338" s="60">
        <v>0</v>
      </c>
      <c r="H338" s="182">
        <v>0</v>
      </c>
      <c r="I338" s="182">
        <v>0</v>
      </c>
      <c r="J338" s="182">
        <v>0</v>
      </c>
      <c r="K338" s="168">
        <v>0</v>
      </c>
      <c r="L338" s="60">
        <v>0</v>
      </c>
      <c r="M338" s="62">
        <v>630.69000000000005</v>
      </c>
      <c r="N338" s="62">
        <v>2325302.4</v>
      </c>
      <c r="O338" s="182">
        <v>0</v>
      </c>
      <c r="P338" s="182">
        <v>0</v>
      </c>
      <c r="Q338" s="60">
        <v>0</v>
      </c>
      <c r="R338" s="60">
        <v>0</v>
      </c>
      <c r="S338" s="60">
        <v>0</v>
      </c>
      <c r="T338" s="60">
        <v>0</v>
      </c>
      <c r="U338" s="60">
        <v>0</v>
      </c>
      <c r="V338" s="60">
        <v>0</v>
      </c>
      <c r="W338" s="60">
        <v>0</v>
      </c>
      <c r="X338" s="60">
        <v>0</v>
      </c>
      <c r="Y338" s="60">
        <v>0</v>
      </c>
      <c r="Z338" s="60">
        <v>0</v>
      </c>
      <c r="AA338" s="60">
        <v>0</v>
      </c>
      <c r="AB338" s="60">
        <v>0</v>
      </c>
      <c r="AC338" s="62">
        <v>23369.29</v>
      </c>
      <c r="AD338" s="60">
        <v>0</v>
      </c>
      <c r="AE338" s="60">
        <v>0</v>
      </c>
      <c r="AF338" s="170" t="s">
        <v>257</v>
      </c>
      <c r="AG338" s="170">
        <v>2020</v>
      </c>
      <c r="AH338" s="63">
        <v>2020</v>
      </c>
    </row>
    <row r="339" spans="1:34" ht="61.5" x14ac:dyDescent="0.85">
      <c r="A339" s="7">
        <v>1</v>
      </c>
      <c r="B339" s="59">
        <f>SUBTOTAL(103,$A$22:A339)</f>
        <v>303</v>
      </c>
      <c r="C339" s="160" t="s">
        <v>1454</v>
      </c>
      <c r="D339" s="60">
        <f t="shared" si="29"/>
        <v>2304366.3400000003</v>
      </c>
      <c r="E339" s="182">
        <v>0</v>
      </c>
      <c r="F339" s="182">
        <v>0</v>
      </c>
      <c r="G339" s="60">
        <v>0</v>
      </c>
      <c r="H339" s="182">
        <v>0</v>
      </c>
      <c r="I339" s="182">
        <v>0</v>
      </c>
      <c r="J339" s="182">
        <v>0</v>
      </c>
      <c r="K339" s="168">
        <v>0</v>
      </c>
      <c r="L339" s="60">
        <v>0</v>
      </c>
      <c r="M339" s="62">
        <v>592.07000000000005</v>
      </c>
      <c r="N339" s="62">
        <v>2270479.4300000002</v>
      </c>
      <c r="O339" s="182">
        <v>0</v>
      </c>
      <c r="P339" s="182">
        <v>0</v>
      </c>
      <c r="Q339" s="60">
        <v>0</v>
      </c>
      <c r="R339" s="60">
        <v>0</v>
      </c>
      <c r="S339" s="60">
        <v>0</v>
      </c>
      <c r="T339" s="60">
        <v>0</v>
      </c>
      <c r="U339" s="60">
        <v>0</v>
      </c>
      <c r="V339" s="60">
        <v>0</v>
      </c>
      <c r="W339" s="60">
        <v>0</v>
      </c>
      <c r="X339" s="60">
        <v>0</v>
      </c>
      <c r="Y339" s="60">
        <v>0</v>
      </c>
      <c r="Z339" s="60">
        <v>0</v>
      </c>
      <c r="AA339" s="60">
        <v>0</v>
      </c>
      <c r="AB339" s="60">
        <v>0</v>
      </c>
      <c r="AC339" s="60">
        <f>ROUND(N339*1.4925%,2)</f>
        <v>33886.910000000003</v>
      </c>
      <c r="AD339" s="60">
        <v>0</v>
      </c>
      <c r="AE339" s="60">
        <v>0</v>
      </c>
      <c r="AF339" s="170" t="s">
        <v>257</v>
      </c>
      <c r="AG339" s="170">
        <v>2020</v>
      </c>
      <c r="AH339" s="63">
        <v>2020</v>
      </c>
    </row>
    <row r="340" spans="1:34" ht="61.5" x14ac:dyDescent="0.85">
      <c r="A340" s="7">
        <v>1</v>
      </c>
      <c r="B340" s="59">
        <f>SUBTOTAL(103,$A$22:A340)</f>
        <v>304</v>
      </c>
      <c r="C340" s="160" t="s">
        <v>1138</v>
      </c>
      <c r="D340" s="60">
        <f t="shared" si="29"/>
        <v>78793.16</v>
      </c>
      <c r="E340" s="182">
        <v>0</v>
      </c>
      <c r="F340" s="182">
        <v>0</v>
      </c>
      <c r="G340" s="60">
        <v>0</v>
      </c>
      <c r="H340" s="182">
        <v>0</v>
      </c>
      <c r="I340" s="182">
        <v>0</v>
      </c>
      <c r="J340" s="182">
        <v>0</v>
      </c>
      <c r="K340" s="168">
        <v>0</v>
      </c>
      <c r="L340" s="60">
        <v>0</v>
      </c>
      <c r="M340" s="60">
        <v>0</v>
      </c>
      <c r="N340" s="60">
        <v>0</v>
      </c>
      <c r="O340" s="182">
        <v>0</v>
      </c>
      <c r="P340" s="182">
        <v>0</v>
      </c>
      <c r="Q340" s="60">
        <v>0</v>
      </c>
      <c r="R340" s="60">
        <v>0</v>
      </c>
      <c r="S340" s="60">
        <v>0</v>
      </c>
      <c r="T340" s="60">
        <v>0</v>
      </c>
      <c r="U340" s="60">
        <v>0</v>
      </c>
      <c r="V340" s="60">
        <v>0</v>
      </c>
      <c r="W340" s="60">
        <v>0</v>
      </c>
      <c r="X340" s="60">
        <v>0</v>
      </c>
      <c r="Y340" s="60">
        <v>0</v>
      </c>
      <c r="Z340" s="60">
        <v>0</v>
      </c>
      <c r="AA340" s="60">
        <v>0</v>
      </c>
      <c r="AB340" s="60">
        <v>0</v>
      </c>
      <c r="AC340" s="60">
        <f>ROUND(N340*1.26%,2)</f>
        <v>0</v>
      </c>
      <c r="AD340" s="60">
        <v>78793.16</v>
      </c>
      <c r="AE340" s="60">
        <v>0</v>
      </c>
      <c r="AF340" s="170">
        <v>2020</v>
      </c>
      <c r="AG340" s="63" t="s">
        <v>257</v>
      </c>
      <c r="AH340" s="63" t="s">
        <v>257</v>
      </c>
    </row>
    <row r="341" spans="1:34" ht="61.5" x14ac:dyDescent="0.85">
      <c r="A341" s="7">
        <v>1</v>
      </c>
      <c r="B341" s="59">
        <f>SUBTOTAL(103,$A$22:A341)</f>
        <v>305</v>
      </c>
      <c r="C341" s="160" t="s">
        <v>1487</v>
      </c>
      <c r="D341" s="60">
        <f t="shared" si="29"/>
        <v>35684.67</v>
      </c>
      <c r="E341" s="182">
        <v>0</v>
      </c>
      <c r="F341" s="182">
        <v>0</v>
      </c>
      <c r="G341" s="60">
        <v>0</v>
      </c>
      <c r="H341" s="182">
        <v>0</v>
      </c>
      <c r="I341" s="182">
        <v>0</v>
      </c>
      <c r="J341" s="182">
        <v>0</v>
      </c>
      <c r="K341" s="168">
        <v>0</v>
      </c>
      <c r="L341" s="60">
        <v>0</v>
      </c>
      <c r="M341" s="60">
        <v>0</v>
      </c>
      <c r="N341" s="60">
        <v>0</v>
      </c>
      <c r="O341" s="182">
        <v>0</v>
      </c>
      <c r="P341" s="182">
        <v>0</v>
      </c>
      <c r="Q341" s="60">
        <v>0</v>
      </c>
      <c r="R341" s="60">
        <v>0</v>
      </c>
      <c r="S341" s="60">
        <v>0</v>
      </c>
      <c r="T341" s="60">
        <v>0</v>
      </c>
      <c r="U341" s="60">
        <v>0</v>
      </c>
      <c r="V341" s="60">
        <v>0</v>
      </c>
      <c r="W341" s="60">
        <v>0</v>
      </c>
      <c r="X341" s="60">
        <v>0</v>
      </c>
      <c r="Y341" s="60">
        <v>0</v>
      </c>
      <c r="Z341" s="60">
        <v>0</v>
      </c>
      <c r="AA341" s="60">
        <v>0</v>
      </c>
      <c r="AB341" s="60">
        <v>0</v>
      </c>
      <c r="AC341" s="60">
        <f>ROUND(R341*1.5%,2)</f>
        <v>0</v>
      </c>
      <c r="AD341" s="173">
        <v>35684.67</v>
      </c>
      <c r="AE341" s="60">
        <v>0</v>
      </c>
      <c r="AF341" s="170">
        <v>2020</v>
      </c>
      <c r="AG341" s="63" t="s">
        <v>257</v>
      </c>
      <c r="AH341" s="63" t="s">
        <v>257</v>
      </c>
    </row>
    <row r="342" spans="1:34" ht="61.5" x14ac:dyDescent="0.85">
      <c r="B342" s="160" t="s">
        <v>770</v>
      </c>
      <c r="C342" s="160"/>
      <c r="D342" s="177">
        <f t="shared" ref="D342:AE342" si="30">SUM(D343:D346)</f>
        <v>2221160.0099999998</v>
      </c>
      <c r="E342" s="60">
        <f t="shared" si="30"/>
        <v>0</v>
      </c>
      <c r="F342" s="60">
        <f t="shared" si="30"/>
        <v>0</v>
      </c>
      <c r="G342" s="60">
        <f t="shared" si="30"/>
        <v>0</v>
      </c>
      <c r="H342" s="60">
        <f t="shared" si="30"/>
        <v>0</v>
      </c>
      <c r="I342" s="60">
        <f t="shared" si="30"/>
        <v>0</v>
      </c>
      <c r="J342" s="60">
        <f t="shared" si="30"/>
        <v>0</v>
      </c>
      <c r="K342" s="168">
        <f t="shared" si="30"/>
        <v>0</v>
      </c>
      <c r="L342" s="60">
        <f t="shared" si="30"/>
        <v>0</v>
      </c>
      <c r="M342" s="60">
        <f t="shared" si="30"/>
        <v>559.91</v>
      </c>
      <c r="N342" s="60">
        <f t="shared" si="30"/>
        <v>2126707.66</v>
      </c>
      <c r="O342" s="60">
        <f t="shared" si="30"/>
        <v>0</v>
      </c>
      <c r="P342" s="60">
        <f t="shared" si="30"/>
        <v>0</v>
      </c>
      <c r="Q342" s="60">
        <f t="shared" si="30"/>
        <v>0</v>
      </c>
      <c r="R342" s="60">
        <f t="shared" si="30"/>
        <v>0</v>
      </c>
      <c r="S342" s="60">
        <f t="shared" si="30"/>
        <v>0</v>
      </c>
      <c r="T342" s="60">
        <f t="shared" si="30"/>
        <v>0</v>
      </c>
      <c r="U342" s="60">
        <f t="shared" si="30"/>
        <v>0</v>
      </c>
      <c r="V342" s="60">
        <f t="shared" si="30"/>
        <v>0</v>
      </c>
      <c r="W342" s="60">
        <f t="shared" si="30"/>
        <v>0</v>
      </c>
      <c r="X342" s="60">
        <f t="shared" si="30"/>
        <v>0</v>
      </c>
      <c r="Y342" s="60">
        <f t="shared" si="30"/>
        <v>0</v>
      </c>
      <c r="Z342" s="60">
        <f t="shared" si="30"/>
        <v>0</v>
      </c>
      <c r="AA342" s="60">
        <f t="shared" si="30"/>
        <v>0</v>
      </c>
      <c r="AB342" s="60">
        <f t="shared" si="30"/>
        <v>0</v>
      </c>
      <c r="AC342" s="60">
        <f t="shared" si="30"/>
        <v>31741.11</v>
      </c>
      <c r="AD342" s="60">
        <f t="shared" si="30"/>
        <v>62711.240000000005</v>
      </c>
      <c r="AE342" s="60">
        <f t="shared" si="30"/>
        <v>0</v>
      </c>
      <c r="AF342" s="54" t="s">
        <v>701</v>
      </c>
      <c r="AG342" s="54" t="s">
        <v>701</v>
      </c>
      <c r="AH342" s="55" t="s">
        <v>701</v>
      </c>
    </row>
    <row r="343" spans="1:34" ht="61.5" x14ac:dyDescent="0.85">
      <c r="A343" s="7">
        <v>1</v>
      </c>
      <c r="B343" s="59">
        <f>SUBTOTAL(103,$A$22:A343)</f>
        <v>306</v>
      </c>
      <c r="C343" s="160" t="s">
        <v>235</v>
      </c>
      <c r="D343" s="60">
        <f>E343+F343+G343+H343+I343+J343+L343+N343+P343+R343+T343+U343+V343+W343+X343+Y343+Z343+AA343+AB343+AC343+AD343+AE343</f>
        <v>9547.9500000000007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168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0">
        <v>0</v>
      </c>
      <c r="T343" s="60">
        <v>0</v>
      </c>
      <c r="U343" s="60">
        <v>0</v>
      </c>
      <c r="V343" s="60">
        <v>0</v>
      </c>
      <c r="W343" s="60">
        <v>0</v>
      </c>
      <c r="X343" s="60">
        <v>0</v>
      </c>
      <c r="Y343" s="60">
        <v>0</v>
      </c>
      <c r="Z343" s="60">
        <v>0</v>
      </c>
      <c r="AA343" s="60">
        <v>0</v>
      </c>
      <c r="AB343" s="60">
        <v>0</v>
      </c>
      <c r="AC343" s="60">
        <f>ROUND((E343+F343+G343+H343+I343+J343)*1.5%,2)</f>
        <v>0</v>
      </c>
      <c r="AD343" s="62">
        <v>9547.9500000000007</v>
      </c>
      <c r="AE343" s="60">
        <v>0</v>
      </c>
      <c r="AF343" s="170">
        <v>2020</v>
      </c>
      <c r="AG343" s="170" t="s">
        <v>257</v>
      </c>
      <c r="AH343" s="63" t="s">
        <v>257</v>
      </c>
    </row>
    <row r="344" spans="1:34" ht="61.5" x14ac:dyDescent="0.85">
      <c r="A344" s="7">
        <v>1</v>
      </c>
      <c r="B344" s="59">
        <f>SUBTOTAL(103,$A$22:A344)</f>
        <v>307</v>
      </c>
      <c r="C344" s="160" t="s">
        <v>233</v>
      </c>
      <c r="D344" s="60">
        <f>E344+F344+G344+H344+I344+J344+L344+N344+P344+R344+T344+U344+V344+W344+X344+Y344+Z344+AA344+AB344+AC344+AD344+AE344</f>
        <v>53163.29</v>
      </c>
      <c r="E344" s="60">
        <v>0</v>
      </c>
      <c r="F344" s="60">
        <v>0</v>
      </c>
      <c r="G344" s="60">
        <v>0</v>
      </c>
      <c r="H344" s="60">
        <v>0</v>
      </c>
      <c r="I344" s="60">
        <v>0</v>
      </c>
      <c r="J344" s="60">
        <v>0</v>
      </c>
      <c r="K344" s="168">
        <v>0</v>
      </c>
      <c r="L344" s="60">
        <v>0</v>
      </c>
      <c r="M344" s="60">
        <v>0</v>
      </c>
      <c r="N344" s="60">
        <v>0</v>
      </c>
      <c r="O344" s="60">
        <v>0</v>
      </c>
      <c r="P344" s="60">
        <v>0</v>
      </c>
      <c r="Q344" s="60">
        <v>0</v>
      </c>
      <c r="R344" s="60">
        <v>0</v>
      </c>
      <c r="S344" s="60">
        <v>0</v>
      </c>
      <c r="T344" s="60">
        <v>0</v>
      </c>
      <c r="U344" s="60">
        <v>0</v>
      </c>
      <c r="V344" s="60">
        <v>0</v>
      </c>
      <c r="W344" s="60">
        <v>0</v>
      </c>
      <c r="X344" s="60">
        <v>0</v>
      </c>
      <c r="Y344" s="60">
        <v>0</v>
      </c>
      <c r="Z344" s="60">
        <v>0</v>
      </c>
      <c r="AA344" s="60">
        <v>0</v>
      </c>
      <c r="AB344" s="60">
        <v>0</v>
      </c>
      <c r="AC344" s="60">
        <f>ROUND(R344*1.5%,2)</f>
        <v>0</v>
      </c>
      <c r="AD344" s="173">
        <v>53163.29</v>
      </c>
      <c r="AE344" s="60">
        <v>0</v>
      </c>
      <c r="AF344" s="170">
        <v>2020</v>
      </c>
      <c r="AG344" s="170" t="s">
        <v>257</v>
      </c>
      <c r="AH344" s="63" t="s">
        <v>257</v>
      </c>
    </row>
    <row r="345" spans="1:34" ht="61.5" x14ac:dyDescent="0.85">
      <c r="A345" s="7">
        <v>1</v>
      </c>
      <c r="B345" s="59">
        <f>SUBTOTAL(103,$A$22:A345)</f>
        <v>308</v>
      </c>
      <c r="C345" s="160" t="s">
        <v>1440</v>
      </c>
      <c r="D345" s="60">
        <f>E345+F345+G345+H345+I345+J345+L345+N345+P345+R345+T345+U345+V345+W345+X345+Y345+Z345+AA345+AB345+AC345+AD345+AE345</f>
        <v>944539.29999999993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168">
        <v>0</v>
      </c>
      <c r="L345" s="60">
        <v>0</v>
      </c>
      <c r="M345" s="62">
        <v>259.76</v>
      </c>
      <c r="N345" s="62">
        <v>930649.36</v>
      </c>
      <c r="O345" s="60">
        <v>0</v>
      </c>
      <c r="P345" s="60">
        <v>0</v>
      </c>
      <c r="Q345" s="60">
        <v>0</v>
      </c>
      <c r="R345" s="60">
        <v>0</v>
      </c>
      <c r="S345" s="60">
        <v>0</v>
      </c>
      <c r="T345" s="60">
        <v>0</v>
      </c>
      <c r="U345" s="60">
        <v>0</v>
      </c>
      <c r="V345" s="60">
        <v>0</v>
      </c>
      <c r="W345" s="60">
        <v>0</v>
      </c>
      <c r="X345" s="60">
        <v>0</v>
      </c>
      <c r="Y345" s="60">
        <v>0</v>
      </c>
      <c r="Z345" s="60">
        <v>0</v>
      </c>
      <c r="AA345" s="60">
        <v>0</v>
      </c>
      <c r="AB345" s="60">
        <v>0</v>
      </c>
      <c r="AC345" s="60">
        <f>ROUND(N345*1.4925%,2)</f>
        <v>13889.94</v>
      </c>
      <c r="AD345" s="60">
        <v>0</v>
      </c>
      <c r="AE345" s="60">
        <v>0</v>
      </c>
      <c r="AF345" s="170" t="s">
        <v>257</v>
      </c>
      <c r="AG345" s="170">
        <v>2020</v>
      </c>
      <c r="AH345" s="63">
        <v>2020</v>
      </c>
    </row>
    <row r="346" spans="1:34" ht="61.5" x14ac:dyDescent="0.85">
      <c r="A346" s="7">
        <v>1</v>
      </c>
      <c r="B346" s="59">
        <f>SUBTOTAL(103,$A$22:A346)</f>
        <v>309</v>
      </c>
      <c r="C346" s="160" t="s">
        <v>1441</v>
      </c>
      <c r="D346" s="60">
        <f>E346+F346+G346+H346+I346+J346+L346+N346+P346+R346+T346+U346+V346+W346+X346+Y346+Z346+AA346+AB346+AC346+AD346+AE346</f>
        <v>1213909.47</v>
      </c>
      <c r="E346" s="60">
        <v>0</v>
      </c>
      <c r="F346" s="60">
        <v>0</v>
      </c>
      <c r="G346" s="60">
        <v>0</v>
      </c>
      <c r="H346" s="60">
        <v>0</v>
      </c>
      <c r="I346" s="60">
        <v>0</v>
      </c>
      <c r="J346" s="60">
        <v>0</v>
      </c>
      <c r="K346" s="168">
        <v>0</v>
      </c>
      <c r="L346" s="60">
        <v>0</v>
      </c>
      <c r="M346" s="62">
        <v>300.14999999999998</v>
      </c>
      <c r="N346" s="62">
        <v>1196058.3</v>
      </c>
      <c r="O346" s="60">
        <v>0</v>
      </c>
      <c r="P346" s="60">
        <v>0</v>
      </c>
      <c r="Q346" s="60">
        <v>0</v>
      </c>
      <c r="R346" s="60">
        <v>0</v>
      </c>
      <c r="S346" s="60">
        <v>0</v>
      </c>
      <c r="T346" s="60">
        <v>0</v>
      </c>
      <c r="U346" s="60">
        <v>0</v>
      </c>
      <c r="V346" s="60">
        <v>0</v>
      </c>
      <c r="W346" s="60">
        <v>0</v>
      </c>
      <c r="X346" s="60">
        <v>0</v>
      </c>
      <c r="Y346" s="60">
        <v>0</v>
      </c>
      <c r="Z346" s="60">
        <v>0</v>
      </c>
      <c r="AA346" s="60">
        <v>0</v>
      </c>
      <c r="AB346" s="60">
        <v>0</v>
      </c>
      <c r="AC346" s="60">
        <f>ROUND(N346*1.4925%,2)</f>
        <v>17851.169999999998</v>
      </c>
      <c r="AD346" s="60">
        <v>0</v>
      </c>
      <c r="AE346" s="60">
        <v>0</v>
      </c>
      <c r="AF346" s="170" t="s">
        <v>257</v>
      </c>
      <c r="AG346" s="170">
        <v>2020</v>
      </c>
      <c r="AH346" s="63">
        <v>2020</v>
      </c>
    </row>
    <row r="347" spans="1:34" ht="61.5" x14ac:dyDescent="0.85">
      <c r="B347" s="160" t="s">
        <v>771</v>
      </c>
      <c r="C347" s="160"/>
      <c r="D347" s="177">
        <f t="shared" ref="D347:AE347" si="31">SUM(D348:D349)</f>
        <v>4069083.7199999997</v>
      </c>
      <c r="E347" s="60">
        <f t="shared" si="31"/>
        <v>0</v>
      </c>
      <c r="F347" s="60">
        <f t="shared" si="31"/>
        <v>0</v>
      </c>
      <c r="G347" s="60">
        <f t="shared" si="31"/>
        <v>0</v>
      </c>
      <c r="H347" s="60">
        <f t="shared" si="31"/>
        <v>0</v>
      </c>
      <c r="I347" s="60">
        <f t="shared" si="31"/>
        <v>0</v>
      </c>
      <c r="J347" s="60">
        <f t="shared" si="31"/>
        <v>0</v>
      </c>
      <c r="K347" s="168">
        <f t="shared" si="31"/>
        <v>0</v>
      </c>
      <c r="L347" s="60">
        <f t="shared" si="31"/>
        <v>0</v>
      </c>
      <c r="M347" s="60">
        <f t="shared" si="31"/>
        <v>0</v>
      </c>
      <c r="N347" s="60">
        <f t="shared" si="31"/>
        <v>0</v>
      </c>
      <c r="O347" s="60">
        <f t="shared" si="31"/>
        <v>0</v>
      </c>
      <c r="P347" s="60">
        <f t="shared" si="31"/>
        <v>0</v>
      </c>
      <c r="Q347" s="60">
        <f t="shared" si="31"/>
        <v>1294.5300000000002</v>
      </c>
      <c r="R347" s="60">
        <f t="shared" si="31"/>
        <v>3949594.9800000004</v>
      </c>
      <c r="S347" s="60">
        <f t="shared" si="31"/>
        <v>0</v>
      </c>
      <c r="T347" s="60">
        <f t="shared" si="31"/>
        <v>0</v>
      </c>
      <c r="U347" s="60">
        <f t="shared" si="31"/>
        <v>0</v>
      </c>
      <c r="V347" s="60">
        <f t="shared" si="31"/>
        <v>0</v>
      </c>
      <c r="W347" s="60">
        <f t="shared" si="31"/>
        <v>0</v>
      </c>
      <c r="X347" s="60">
        <f t="shared" si="31"/>
        <v>0</v>
      </c>
      <c r="Y347" s="60">
        <f t="shared" si="31"/>
        <v>0</v>
      </c>
      <c r="Z347" s="60">
        <f t="shared" si="31"/>
        <v>0</v>
      </c>
      <c r="AA347" s="60">
        <f t="shared" si="31"/>
        <v>0</v>
      </c>
      <c r="AB347" s="60">
        <f t="shared" si="31"/>
        <v>0</v>
      </c>
      <c r="AC347" s="60">
        <f t="shared" si="31"/>
        <v>39831.32</v>
      </c>
      <c r="AD347" s="60">
        <f t="shared" si="31"/>
        <v>79657.42</v>
      </c>
      <c r="AE347" s="60">
        <f t="shared" si="31"/>
        <v>0</v>
      </c>
      <c r="AF347" s="54" t="s">
        <v>701</v>
      </c>
      <c r="AG347" s="54" t="s">
        <v>701</v>
      </c>
      <c r="AH347" s="55" t="s">
        <v>701</v>
      </c>
    </row>
    <row r="348" spans="1:34" ht="61.5" x14ac:dyDescent="0.85">
      <c r="A348" s="7">
        <v>1</v>
      </c>
      <c r="B348" s="59">
        <f>SUBTOTAL(103,$A$22:A348)</f>
        <v>310</v>
      </c>
      <c r="C348" s="160" t="s">
        <v>230</v>
      </c>
      <c r="D348" s="60">
        <f>E348+F348+G348+H348+I348+J348+L348+N348+P348+R348+T348+U348+V348+W348+X348+Y348+Z348+AA348+AB348+AC348+AD348+AE348</f>
        <v>1936809.91</v>
      </c>
      <c r="E348" s="60">
        <v>0</v>
      </c>
      <c r="F348" s="60">
        <v>0</v>
      </c>
      <c r="G348" s="60">
        <v>0</v>
      </c>
      <c r="H348" s="60">
        <v>0</v>
      </c>
      <c r="I348" s="60">
        <v>0</v>
      </c>
      <c r="J348" s="60">
        <v>0</v>
      </c>
      <c r="K348" s="168">
        <v>0</v>
      </c>
      <c r="L348" s="60">
        <v>0</v>
      </c>
      <c r="M348" s="60">
        <v>0</v>
      </c>
      <c r="N348" s="60">
        <v>0</v>
      </c>
      <c r="O348" s="60">
        <v>0</v>
      </c>
      <c r="P348" s="60">
        <v>0</v>
      </c>
      <c r="Q348" s="62">
        <v>647.46</v>
      </c>
      <c r="R348" s="62">
        <v>1838537.3</v>
      </c>
      <c r="S348" s="60">
        <v>0</v>
      </c>
      <c r="T348" s="60">
        <v>0</v>
      </c>
      <c r="U348" s="60">
        <v>0</v>
      </c>
      <c r="V348" s="60">
        <v>0</v>
      </c>
      <c r="W348" s="60">
        <v>0</v>
      </c>
      <c r="X348" s="60">
        <v>0</v>
      </c>
      <c r="Y348" s="60">
        <v>0</v>
      </c>
      <c r="Z348" s="60">
        <v>0</v>
      </c>
      <c r="AA348" s="60">
        <v>0</v>
      </c>
      <c r="AB348" s="60">
        <v>0</v>
      </c>
      <c r="AC348" s="62">
        <v>18615.189999999999</v>
      </c>
      <c r="AD348" s="62">
        <v>79657.42</v>
      </c>
      <c r="AE348" s="60">
        <v>0</v>
      </c>
      <c r="AF348" s="170">
        <v>2020</v>
      </c>
      <c r="AG348" s="170">
        <v>2020</v>
      </c>
      <c r="AH348" s="63">
        <v>2020</v>
      </c>
    </row>
    <row r="349" spans="1:34" ht="61.5" x14ac:dyDescent="0.85">
      <c r="A349" s="7">
        <v>1</v>
      </c>
      <c r="B349" s="59">
        <f>SUBTOTAL(103,$A$22:A349)</f>
        <v>311</v>
      </c>
      <c r="C349" s="160" t="s">
        <v>1141</v>
      </c>
      <c r="D349" s="60">
        <f>E349+F349+G349+H349+I349+J349+L349+N349+P349+R349+T349+U349+V349+W349+X349+Y349+Z349+AA349+AB349+AC349+AD349+AE349</f>
        <v>2132273.81</v>
      </c>
      <c r="E349" s="182">
        <v>0</v>
      </c>
      <c r="F349" s="182">
        <v>0</v>
      </c>
      <c r="G349" s="60">
        <v>0</v>
      </c>
      <c r="H349" s="182">
        <v>0</v>
      </c>
      <c r="I349" s="182">
        <v>0</v>
      </c>
      <c r="J349" s="182">
        <v>0</v>
      </c>
      <c r="K349" s="168">
        <v>0</v>
      </c>
      <c r="L349" s="60">
        <v>0</v>
      </c>
      <c r="M349" s="60">
        <v>0</v>
      </c>
      <c r="N349" s="60">
        <v>0</v>
      </c>
      <c r="O349" s="182">
        <v>0</v>
      </c>
      <c r="P349" s="182">
        <v>0</v>
      </c>
      <c r="Q349" s="62">
        <v>647.07000000000005</v>
      </c>
      <c r="R349" s="62">
        <v>2111057.6800000002</v>
      </c>
      <c r="S349" s="60">
        <v>0</v>
      </c>
      <c r="T349" s="60">
        <v>0</v>
      </c>
      <c r="U349" s="60">
        <v>0</v>
      </c>
      <c r="V349" s="60">
        <v>0</v>
      </c>
      <c r="W349" s="60">
        <v>0</v>
      </c>
      <c r="X349" s="60">
        <v>0</v>
      </c>
      <c r="Y349" s="60">
        <v>0</v>
      </c>
      <c r="Z349" s="60">
        <v>0</v>
      </c>
      <c r="AA349" s="60">
        <v>0</v>
      </c>
      <c r="AB349" s="60">
        <v>0</v>
      </c>
      <c r="AC349" s="62">
        <v>21216.13</v>
      </c>
      <c r="AD349" s="60">
        <v>0</v>
      </c>
      <c r="AE349" s="60">
        <v>0</v>
      </c>
      <c r="AF349" s="170" t="s">
        <v>257</v>
      </c>
      <c r="AG349" s="170">
        <v>2020</v>
      </c>
      <c r="AH349" s="63">
        <v>2020</v>
      </c>
    </row>
    <row r="350" spans="1:34" ht="61.5" x14ac:dyDescent="0.85">
      <c r="B350" s="160" t="s">
        <v>772</v>
      </c>
      <c r="C350" s="184"/>
      <c r="D350" s="162">
        <f t="shared" ref="D350:AE350" si="32">SUM(D351:D352)</f>
        <v>5178138.5</v>
      </c>
      <c r="E350" s="163">
        <f t="shared" si="32"/>
        <v>0</v>
      </c>
      <c r="F350" s="163">
        <f t="shared" si="32"/>
        <v>0</v>
      </c>
      <c r="G350" s="163">
        <f t="shared" si="32"/>
        <v>0</v>
      </c>
      <c r="H350" s="163">
        <f t="shared" si="32"/>
        <v>0</v>
      </c>
      <c r="I350" s="163">
        <f t="shared" si="32"/>
        <v>0</v>
      </c>
      <c r="J350" s="163">
        <f t="shared" si="32"/>
        <v>0</v>
      </c>
      <c r="K350" s="164">
        <f t="shared" si="32"/>
        <v>0</v>
      </c>
      <c r="L350" s="163">
        <f t="shared" si="32"/>
        <v>0</v>
      </c>
      <c r="M350" s="163">
        <f t="shared" si="32"/>
        <v>1357</v>
      </c>
      <c r="N350" s="163">
        <f t="shared" si="32"/>
        <v>5163118.6400000006</v>
      </c>
      <c r="O350" s="163">
        <f t="shared" si="32"/>
        <v>0</v>
      </c>
      <c r="P350" s="163">
        <f t="shared" si="32"/>
        <v>0</v>
      </c>
      <c r="Q350" s="163">
        <f t="shared" si="32"/>
        <v>0</v>
      </c>
      <c r="R350" s="163">
        <f t="shared" si="32"/>
        <v>0</v>
      </c>
      <c r="S350" s="163">
        <f t="shared" si="32"/>
        <v>0</v>
      </c>
      <c r="T350" s="163">
        <f t="shared" si="32"/>
        <v>0</v>
      </c>
      <c r="U350" s="163">
        <f t="shared" si="32"/>
        <v>0</v>
      </c>
      <c r="V350" s="163">
        <f t="shared" si="32"/>
        <v>0</v>
      </c>
      <c r="W350" s="163">
        <f t="shared" si="32"/>
        <v>0</v>
      </c>
      <c r="X350" s="163">
        <f t="shared" si="32"/>
        <v>0</v>
      </c>
      <c r="Y350" s="163">
        <f t="shared" si="32"/>
        <v>0</v>
      </c>
      <c r="Z350" s="163">
        <f t="shared" si="32"/>
        <v>0</v>
      </c>
      <c r="AA350" s="163">
        <f t="shared" si="32"/>
        <v>0</v>
      </c>
      <c r="AB350" s="163">
        <f t="shared" si="32"/>
        <v>0</v>
      </c>
      <c r="AC350" s="163">
        <f t="shared" si="32"/>
        <v>15019.86</v>
      </c>
      <c r="AD350" s="163">
        <f t="shared" si="32"/>
        <v>0</v>
      </c>
      <c r="AE350" s="163">
        <f t="shared" si="32"/>
        <v>0</v>
      </c>
      <c r="AF350" s="54" t="s">
        <v>701</v>
      </c>
      <c r="AG350" s="54" t="s">
        <v>701</v>
      </c>
      <c r="AH350" s="55" t="s">
        <v>701</v>
      </c>
    </row>
    <row r="351" spans="1:34" ht="61.5" x14ac:dyDescent="0.85">
      <c r="A351" s="7">
        <v>1</v>
      </c>
      <c r="B351" s="59">
        <f>SUBTOTAL(103,$A$22:A351)</f>
        <v>312</v>
      </c>
      <c r="C351" s="185" t="s">
        <v>0</v>
      </c>
      <c r="D351" s="60">
        <f>E351+F351+G351+H351+I351+J351+L351+N351+P351+R351+T351+U351+V351+W351+X351+Y351+Z351+AA351+AB351+AC351+AD351+AE351</f>
        <v>2834457.48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168">
        <v>0</v>
      </c>
      <c r="L351" s="60">
        <v>0</v>
      </c>
      <c r="M351" s="62">
        <v>618.1</v>
      </c>
      <c r="N351" s="62">
        <v>2834457.48</v>
      </c>
      <c r="O351" s="60">
        <v>0</v>
      </c>
      <c r="P351" s="60">
        <v>0</v>
      </c>
      <c r="Q351" s="60">
        <v>0</v>
      </c>
      <c r="R351" s="60">
        <v>0</v>
      </c>
      <c r="S351" s="60">
        <v>0</v>
      </c>
      <c r="T351" s="60">
        <v>0</v>
      </c>
      <c r="U351" s="60">
        <v>0</v>
      </c>
      <c r="V351" s="60">
        <v>0</v>
      </c>
      <c r="W351" s="60">
        <v>0</v>
      </c>
      <c r="X351" s="60">
        <v>0</v>
      </c>
      <c r="Y351" s="60">
        <v>0</v>
      </c>
      <c r="Z351" s="60">
        <v>0</v>
      </c>
      <c r="AA351" s="60">
        <v>0</v>
      </c>
      <c r="AB351" s="60">
        <v>0</v>
      </c>
      <c r="AC351" s="60">
        <v>0</v>
      </c>
      <c r="AD351" s="60">
        <v>0</v>
      </c>
      <c r="AE351" s="60">
        <v>0</v>
      </c>
      <c r="AF351" s="170" t="s">
        <v>257</v>
      </c>
      <c r="AG351" s="170">
        <v>2020</v>
      </c>
      <c r="AH351" s="63" t="s">
        <v>257</v>
      </c>
    </row>
    <row r="352" spans="1:34" ht="61.5" x14ac:dyDescent="0.85">
      <c r="A352" s="7">
        <v>1</v>
      </c>
      <c r="B352" s="59">
        <f>SUBTOTAL(103,$A$22:A352)</f>
        <v>313</v>
      </c>
      <c r="C352" s="160" t="s">
        <v>5</v>
      </c>
      <c r="D352" s="60">
        <f>E352+F352+G352+H352+I352+J352+L352+N352+P352+R352+T352+U352+V352+W352+X352+Y352+Z352+AA352+AB352+AC352+AD352+AE352</f>
        <v>2343681.02</v>
      </c>
      <c r="E352" s="60">
        <v>0</v>
      </c>
      <c r="F352" s="60">
        <v>0</v>
      </c>
      <c r="G352" s="60">
        <v>0</v>
      </c>
      <c r="H352" s="60">
        <v>0</v>
      </c>
      <c r="I352" s="60">
        <v>0</v>
      </c>
      <c r="J352" s="60">
        <v>0</v>
      </c>
      <c r="K352" s="168">
        <v>0</v>
      </c>
      <c r="L352" s="60">
        <v>0</v>
      </c>
      <c r="M352" s="62">
        <v>738.9</v>
      </c>
      <c r="N352" s="62">
        <v>2328661.16</v>
      </c>
      <c r="O352" s="60">
        <v>0</v>
      </c>
      <c r="P352" s="60">
        <v>0</v>
      </c>
      <c r="Q352" s="60">
        <v>0</v>
      </c>
      <c r="R352" s="60">
        <v>0</v>
      </c>
      <c r="S352" s="60">
        <v>0</v>
      </c>
      <c r="T352" s="60">
        <v>0</v>
      </c>
      <c r="U352" s="60">
        <v>0</v>
      </c>
      <c r="V352" s="60">
        <v>0</v>
      </c>
      <c r="W352" s="60">
        <v>0</v>
      </c>
      <c r="X352" s="60">
        <v>0</v>
      </c>
      <c r="Y352" s="60">
        <v>0</v>
      </c>
      <c r="Z352" s="60">
        <v>0</v>
      </c>
      <c r="AA352" s="60">
        <v>0</v>
      </c>
      <c r="AB352" s="60">
        <v>0</v>
      </c>
      <c r="AC352" s="62">
        <v>15019.86</v>
      </c>
      <c r="AD352" s="60">
        <v>0</v>
      </c>
      <c r="AE352" s="60">
        <v>0</v>
      </c>
      <c r="AF352" s="170" t="s">
        <v>257</v>
      </c>
      <c r="AG352" s="170">
        <v>2020</v>
      </c>
      <c r="AH352" s="63">
        <v>2020</v>
      </c>
    </row>
    <row r="353" spans="1:34" ht="61.5" x14ac:dyDescent="0.85">
      <c r="B353" s="160" t="s">
        <v>773</v>
      </c>
      <c r="C353" s="176"/>
      <c r="D353" s="177">
        <f t="shared" ref="D353:AE353" si="33">SUM(D354:D356)</f>
        <v>8426851.959999999</v>
      </c>
      <c r="E353" s="60">
        <f t="shared" si="33"/>
        <v>0</v>
      </c>
      <c r="F353" s="60">
        <f t="shared" si="33"/>
        <v>0</v>
      </c>
      <c r="G353" s="60">
        <f t="shared" si="33"/>
        <v>6562845.1299999999</v>
      </c>
      <c r="H353" s="60">
        <f t="shared" si="33"/>
        <v>0</v>
      </c>
      <c r="I353" s="60">
        <f t="shared" si="33"/>
        <v>0</v>
      </c>
      <c r="J353" s="60">
        <f t="shared" si="33"/>
        <v>0</v>
      </c>
      <c r="K353" s="168">
        <f t="shared" si="33"/>
        <v>0</v>
      </c>
      <c r="L353" s="60">
        <f t="shared" si="33"/>
        <v>0</v>
      </c>
      <c r="M353" s="60">
        <f t="shared" si="33"/>
        <v>406.9</v>
      </c>
      <c r="N353" s="60">
        <f t="shared" si="33"/>
        <v>1731921.7</v>
      </c>
      <c r="O353" s="60">
        <f t="shared" si="33"/>
        <v>0</v>
      </c>
      <c r="P353" s="60">
        <f t="shared" si="33"/>
        <v>0</v>
      </c>
      <c r="Q353" s="60">
        <f t="shared" si="33"/>
        <v>0</v>
      </c>
      <c r="R353" s="60">
        <f t="shared" si="33"/>
        <v>0</v>
      </c>
      <c r="S353" s="60">
        <f t="shared" si="33"/>
        <v>0</v>
      </c>
      <c r="T353" s="60">
        <f t="shared" si="33"/>
        <v>0</v>
      </c>
      <c r="U353" s="60">
        <f t="shared" si="33"/>
        <v>0</v>
      </c>
      <c r="V353" s="60">
        <f t="shared" si="33"/>
        <v>0</v>
      </c>
      <c r="W353" s="60">
        <f t="shared" si="33"/>
        <v>0</v>
      </c>
      <c r="X353" s="60">
        <f t="shared" si="33"/>
        <v>0</v>
      </c>
      <c r="Y353" s="60">
        <f t="shared" si="33"/>
        <v>0</v>
      </c>
      <c r="Z353" s="60">
        <f t="shared" si="33"/>
        <v>0</v>
      </c>
      <c r="AA353" s="60">
        <f t="shared" si="33"/>
        <v>0</v>
      </c>
      <c r="AB353" s="60">
        <f t="shared" si="33"/>
        <v>0</v>
      </c>
      <c r="AC353" s="60">
        <f t="shared" si="33"/>
        <v>22341.79</v>
      </c>
      <c r="AD353" s="60">
        <f t="shared" si="33"/>
        <v>109743.34</v>
      </c>
      <c r="AE353" s="60">
        <f t="shared" si="33"/>
        <v>0</v>
      </c>
      <c r="AF353" s="54" t="s">
        <v>701</v>
      </c>
      <c r="AG353" s="54" t="s">
        <v>701</v>
      </c>
      <c r="AH353" s="55" t="s">
        <v>701</v>
      </c>
    </row>
    <row r="354" spans="1:34" ht="61.5" x14ac:dyDescent="0.85">
      <c r="A354" s="7">
        <v>1</v>
      </c>
      <c r="B354" s="59">
        <f>SUBTOTAL(103,$A$22:A354)</f>
        <v>314</v>
      </c>
      <c r="C354" s="160" t="s">
        <v>643</v>
      </c>
      <c r="D354" s="60">
        <f>E354+F354+G354+H354+I354+J354+L354+N354+P354+R354+T354+U354+V354+W354+X354+Y354+Z354+AA354+AB354+AC354+AD354+AE354</f>
        <v>51949.1</v>
      </c>
      <c r="E354" s="60">
        <v>0</v>
      </c>
      <c r="F354" s="60">
        <v>0</v>
      </c>
      <c r="G354" s="60">
        <v>0</v>
      </c>
      <c r="H354" s="60">
        <v>0</v>
      </c>
      <c r="I354" s="60">
        <v>0</v>
      </c>
      <c r="J354" s="60">
        <v>0</v>
      </c>
      <c r="K354" s="168">
        <v>0</v>
      </c>
      <c r="L354" s="60">
        <v>0</v>
      </c>
      <c r="M354" s="60">
        <v>0</v>
      </c>
      <c r="N354" s="60">
        <v>0</v>
      </c>
      <c r="O354" s="60">
        <v>0</v>
      </c>
      <c r="P354" s="60">
        <v>0</v>
      </c>
      <c r="Q354" s="60">
        <v>0</v>
      </c>
      <c r="R354" s="60">
        <v>0</v>
      </c>
      <c r="S354" s="60">
        <v>0</v>
      </c>
      <c r="T354" s="60">
        <v>0</v>
      </c>
      <c r="U354" s="60">
        <v>0</v>
      </c>
      <c r="V354" s="60">
        <v>0</v>
      </c>
      <c r="W354" s="60">
        <v>0</v>
      </c>
      <c r="X354" s="60">
        <v>0</v>
      </c>
      <c r="Y354" s="60">
        <v>0</v>
      </c>
      <c r="Z354" s="60">
        <v>0</v>
      </c>
      <c r="AA354" s="60">
        <v>0</v>
      </c>
      <c r="AB354" s="60">
        <v>0</v>
      </c>
      <c r="AC354" s="60">
        <f>ROUND(N354*1.5%,2)</f>
        <v>0</v>
      </c>
      <c r="AD354" s="62">
        <v>51949.1</v>
      </c>
      <c r="AE354" s="60">
        <v>0</v>
      </c>
      <c r="AF354" s="170">
        <v>2020</v>
      </c>
      <c r="AG354" s="170" t="s">
        <v>257</v>
      </c>
      <c r="AH354" s="63" t="s">
        <v>257</v>
      </c>
    </row>
    <row r="355" spans="1:34" ht="61.5" x14ac:dyDescent="0.85">
      <c r="A355" s="7">
        <v>1</v>
      </c>
      <c r="B355" s="59">
        <f>SUBTOTAL(103,$A$22:A355)</f>
        <v>315</v>
      </c>
      <c r="C355" s="160" t="s">
        <v>1144</v>
      </c>
      <c r="D355" s="60">
        <f>E355+F355+G355+H355+I355+J355+L355+N355+P355+R355+T355+U355+V355+W355+X355+Y355+Z355+AA355+AB355+AC355+AD355+AE355</f>
        <v>6562845.1299999999</v>
      </c>
      <c r="E355" s="182">
        <v>0</v>
      </c>
      <c r="F355" s="182">
        <v>0</v>
      </c>
      <c r="G355" s="62">
        <v>6562845.1299999999</v>
      </c>
      <c r="H355" s="182">
        <v>0</v>
      </c>
      <c r="I355" s="182">
        <v>0</v>
      </c>
      <c r="J355" s="182">
        <v>0</v>
      </c>
      <c r="K355" s="168">
        <v>0</v>
      </c>
      <c r="L355" s="60">
        <v>0</v>
      </c>
      <c r="M355" s="60">
        <v>0</v>
      </c>
      <c r="N355" s="60">
        <v>0</v>
      </c>
      <c r="O355" s="182">
        <v>0</v>
      </c>
      <c r="P355" s="182">
        <v>0</v>
      </c>
      <c r="Q355" s="60">
        <v>0</v>
      </c>
      <c r="R355" s="60">
        <v>0</v>
      </c>
      <c r="S355" s="60">
        <v>0</v>
      </c>
      <c r="T355" s="60">
        <v>0</v>
      </c>
      <c r="U355" s="60">
        <v>0</v>
      </c>
      <c r="V355" s="60">
        <v>0</v>
      </c>
      <c r="W355" s="60">
        <v>0</v>
      </c>
      <c r="X355" s="60">
        <v>0</v>
      </c>
      <c r="Y355" s="60">
        <v>0</v>
      </c>
      <c r="Z355" s="60">
        <v>0</v>
      </c>
      <c r="AA355" s="60">
        <v>0</v>
      </c>
      <c r="AB355" s="60">
        <v>0</v>
      </c>
      <c r="AC355" s="60">
        <v>0</v>
      </c>
      <c r="AD355" s="60">
        <v>0</v>
      </c>
      <c r="AE355" s="60">
        <v>0</v>
      </c>
      <c r="AF355" s="170" t="s">
        <v>257</v>
      </c>
      <c r="AG355" s="170">
        <v>2020</v>
      </c>
      <c r="AH355" s="63" t="s">
        <v>257</v>
      </c>
    </row>
    <row r="356" spans="1:34" ht="61.5" x14ac:dyDescent="0.85">
      <c r="A356" s="7">
        <v>1</v>
      </c>
      <c r="B356" s="59">
        <f>SUBTOTAL(103,$A$22:A356)</f>
        <v>316</v>
      </c>
      <c r="C356" s="160" t="s">
        <v>1475</v>
      </c>
      <c r="D356" s="60">
        <f>E356+F356+G356+H356+I356+J356+L356+N356+P356+R356+T356+U356+V356+W356+X356+Y356+Z356+AA356+AB356+AC356+AD356+AE356</f>
        <v>1812057.73</v>
      </c>
      <c r="E356" s="182">
        <v>0</v>
      </c>
      <c r="F356" s="182">
        <v>0</v>
      </c>
      <c r="G356" s="60">
        <v>0</v>
      </c>
      <c r="H356" s="182">
        <v>0</v>
      </c>
      <c r="I356" s="182">
        <v>0</v>
      </c>
      <c r="J356" s="182">
        <v>0</v>
      </c>
      <c r="K356" s="168">
        <v>0</v>
      </c>
      <c r="L356" s="60">
        <v>0</v>
      </c>
      <c r="M356" s="62">
        <v>406.9</v>
      </c>
      <c r="N356" s="62">
        <v>1731921.7</v>
      </c>
      <c r="O356" s="182">
        <v>0</v>
      </c>
      <c r="P356" s="182">
        <v>0</v>
      </c>
      <c r="Q356" s="60">
        <v>0</v>
      </c>
      <c r="R356" s="60">
        <v>0</v>
      </c>
      <c r="S356" s="60">
        <v>0</v>
      </c>
      <c r="T356" s="60">
        <v>0</v>
      </c>
      <c r="U356" s="60">
        <v>0</v>
      </c>
      <c r="V356" s="60">
        <v>0</v>
      </c>
      <c r="W356" s="60">
        <v>0</v>
      </c>
      <c r="X356" s="60">
        <v>0</v>
      </c>
      <c r="Y356" s="60">
        <v>0</v>
      </c>
      <c r="Z356" s="60">
        <v>0</v>
      </c>
      <c r="AA356" s="60">
        <v>0</v>
      </c>
      <c r="AB356" s="60">
        <v>0</v>
      </c>
      <c r="AC356" s="62">
        <v>22341.79</v>
      </c>
      <c r="AD356" s="62">
        <v>57794.239999999998</v>
      </c>
      <c r="AE356" s="60">
        <v>0</v>
      </c>
      <c r="AF356" s="170">
        <v>2020</v>
      </c>
      <c r="AG356" s="170">
        <v>2020</v>
      </c>
      <c r="AH356" s="63">
        <v>2020</v>
      </c>
    </row>
    <row r="357" spans="1:34" ht="61.5" x14ac:dyDescent="0.85">
      <c r="B357" s="160" t="s">
        <v>774</v>
      </c>
      <c r="C357" s="160"/>
      <c r="D357" s="177">
        <f t="shared" ref="D357:AE357" si="34">SUM(D358:D359)</f>
        <v>7968708.8700000001</v>
      </c>
      <c r="E357" s="60">
        <f t="shared" si="34"/>
        <v>0</v>
      </c>
      <c r="F357" s="60">
        <f t="shared" si="34"/>
        <v>0</v>
      </c>
      <c r="G357" s="60">
        <f t="shared" si="34"/>
        <v>4236373.1399999997</v>
      </c>
      <c r="H357" s="60">
        <f t="shared" si="34"/>
        <v>474283.04</v>
      </c>
      <c r="I357" s="60">
        <f t="shared" si="34"/>
        <v>0</v>
      </c>
      <c r="J357" s="60">
        <f t="shared" si="34"/>
        <v>0</v>
      </c>
      <c r="K357" s="168">
        <f t="shared" si="34"/>
        <v>0</v>
      </c>
      <c r="L357" s="60">
        <f t="shared" si="34"/>
        <v>0</v>
      </c>
      <c r="M357" s="60">
        <f t="shared" si="34"/>
        <v>1144.52</v>
      </c>
      <c r="N357" s="60">
        <f t="shared" si="34"/>
        <v>3057208.51</v>
      </c>
      <c r="O357" s="60">
        <f t="shared" si="34"/>
        <v>0</v>
      </c>
      <c r="P357" s="60">
        <f t="shared" si="34"/>
        <v>0</v>
      </c>
      <c r="Q357" s="60">
        <f t="shared" si="34"/>
        <v>0</v>
      </c>
      <c r="R357" s="60">
        <f t="shared" si="34"/>
        <v>0</v>
      </c>
      <c r="S357" s="60">
        <f t="shared" si="34"/>
        <v>0</v>
      </c>
      <c r="T357" s="60">
        <f t="shared" si="34"/>
        <v>0</v>
      </c>
      <c r="U357" s="60">
        <f t="shared" si="34"/>
        <v>0</v>
      </c>
      <c r="V357" s="60">
        <f t="shared" si="34"/>
        <v>0</v>
      </c>
      <c r="W357" s="60">
        <f t="shared" si="34"/>
        <v>0</v>
      </c>
      <c r="X357" s="60">
        <f t="shared" si="34"/>
        <v>0</v>
      </c>
      <c r="Y357" s="60">
        <f t="shared" si="34"/>
        <v>0</v>
      </c>
      <c r="Z357" s="60">
        <f t="shared" si="34"/>
        <v>0</v>
      </c>
      <c r="AA357" s="60">
        <f t="shared" si="34"/>
        <v>0</v>
      </c>
      <c r="AB357" s="60">
        <f t="shared" si="34"/>
        <v>0</v>
      </c>
      <c r="AC357" s="60">
        <f t="shared" si="34"/>
        <v>86073.48</v>
      </c>
      <c r="AD357" s="60">
        <f t="shared" si="34"/>
        <v>114770.7</v>
      </c>
      <c r="AE357" s="60">
        <f t="shared" si="34"/>
        <v>0</v>
      </c>
      <c r="AF357" s="54" t="s">
        <v>701</v>
      </c>
      <c r="AG357" s="54" t="s">
        <v>701</v>
      </c>
      <c r="AH357" s="55" t="s">
        <v>701</v>
      </c>
    </row>
    <row r="358" spans="1:34" ht="61.5" x14ac:dyDescent="0.85">
      <c r="A358" s="7">
        <v>1</v>
      </c>
      <c r="B358" s="59">
        <f>SUBTOTAL(103,$A$22:A358)</f>
        <v>317</v>
      </c>
      <c r="C358" s="160" t="s">
        <v>649</v>
      </c>
      <c r="D358" s="60">
        <f>E358+F358+G358+H358+I358+J358+L358+N358+P358+R358+T358+U358+V358+W358+X358+Y358+Z358+AA358+AB358+AC358+AD358+AE358</f>
        <v>3211417.2</v>
      </c>
      <c r="E358" s="60">
        <v>0</v>
      </c>
      <c r="F358" s="60">
        <v>0</v>
      </c>
      <c r="G358" s="60">
        <v>0</v>
      </c>
      <c r="H358" s="60">
        <v>0</v>
      </c>
      <c r="I358" s="60">
        <v>0</v>
      </c>
      <c r="J358" s="60">
        <v>0</v>
      </c>
      <c r="K358" s="168">
        <v>0</v>
      </c>
      <c r="L358" s="60">
        <v>0</v>
      </c>
      <c r="M358" s="62">
        <v>1144.52</v>
      </c>
      <c r="N358" s="62">
        <v>3057208.51</v>
      </c>
      <c r="O358" s="60">
        <v>0</v>
      </c>
      <c r="P358" s="60">
        <v>0</v>
      </c>
      <c r="Q358" s="60">
        <v>0</v>
      </c>
      <c r="R358" s="60">
        <v>0</v>
      </c>
      <c r="S358" s="60">
        <v>0</v>
      </c>
      <c r="T358" s="60">
        <v>0</v>
      </c>
      <c r="U358" s="60">
        <v>0</v>
      </c>
      <c r="V358" s="60">
        <v>0</v>
      </c>
      <c r="W358" s="60">
        <v>0</v>
      </c>
      <c r="X358" s="60">
        <v>0</v>
      </c>
      <c r="Y358" s="60">
        <v>0</v>
      </c>
      <c r="Z358" s="60">
        <v>0</v>
      </c>
      <c r="AA358" s="60">
        <v>0</v>
      </c>
      <c r="AB358" s="60">
        <v>0</v>
      </c>
      <c r="AC358" s="62">
        <v>39437.99</v>
      </c>
      <c r="AD358" s="62">
        <v>114770.7</v>
      </c>
      <c r="AE358" s="60">
        <v>0</v>
      </c>
      <c r="AF358" s="170">
        <v>2020</v>
      </c>
      <c r="AG358" s="170">
        <v>2020</v>
      </c>
      <c r="AH358" s="63">
        <v>2020</v>
      </c>
    </row>
    <row r="359" spans="1:34" ht="61.5" x14ac:dyDescent="0.85">
      <c r="A359" s="7">
        <v>1</v>
      </c>
      <c r="B359" s="59">
        <f>SUBTOTAL(103,$A$22:A359)</f>
        <v>318</v>
      </c>
      <c r="C359" s="160" t="s">
        <v>1145</v>
      </c>
      <c r="D359" s="60">
        <f>E359+F359+G359+H359+I359+J359+L359+N359+P359+R359+T359+U359+V359+W359+X359+Y359+Z359+AA359+AB359+AC359+AD359+AE359</f>
        <v>4757291.67</v>
      </c>
      <c r="E359" s="60">
        <v>0</v>
      </c>
      <c r="F359" s="60">
        <v>0</v>
      </c>
      <c r="G359" s="62">
        <f>1731244.66+2505128.48</f>
        <v>4236373.1399999997</v>
      </c>
      <c r="H359" s="62">
        <v>474283.04</v>
      </c>
      <c r="I359" s="60">
        <v>0</v>
      </c>
      <c r="J359" s="60">
        <v>0</v>
      </c>
      <c r="K359" s="168">
        <v>0</v>
      </c>
      <c r="L359" s="60">
        <v>0</v>
      </c>
      <c r="M359" s="60">
        <v>0</v>
      </c>
      <c r="N359" s="60">
        <v>0</v>
      </c>
      <c r="O359" s="60">
        <v>0</v>
      </c>
      <c r="P359" s="60">
        <v>0</v>
      </c>
      <c r="Q359" s="60">
        <v>0</v>
      </c>
      <c r="R359" s="60">
        <v>0</v>
      </c>
      <c r="S359" s="60">
        <v>0</v>
      </c>
      <c r="T359" s="60">
        <v>0</v>
      </c>
      <c r="U359" s="60">
        <v>0</v>
      </c>
      <c r="V359" s="60">
        <v>0</v>
      </c>
      <c r="W359" s="60">
        <v>0</v>
      </c>
      <c r="X359" s="60">
        <v>0</v>
      </c>
      <c r="Y359" s="60">
        <v>0</v>
      </c>
      <c r="Z359" s="60">
        <v>0</v>
      </c>
      <c r="AA359" s="60">
        <v>0</v>
      </c>
      <c r="AB359" s="60">
        <v>0</v>
      </c>
      <c r="AC359" s="60">
        <v>46635.49</v>
      </c>
      <c r="AD359" s="60">
        <v>0</v>
      </c>
      <c r="AE359" s="60">
        <v>0</v>
      </c>
      <c r="AF359" s="170" t="s">
        <v>257</v>
      </c>
      <c r="AG359" s="170">
        <v>2020</v>
      </c>
      <c r="AH359" s="63">
        <v>2020</v>
      </c>
    </row>
    <row r="360" spans="1:34" ht="61.5" x14ac:dyDescent="0.85">
      <c r="B360" s="160" t="s">
        <v>775</v>
      </c>
      <c r="C360" s="160"/>
      <c r="D360" s="177">
        <f t="shared" ref="D360:AE360" si="35">D361</f>
        <v>1861701.91</v>
      </c>
      <c r="E360" s="60">
        <f t="shared" si="35"/>
        <v>0</v>
      </c>
      <c r="F360" s="60">
        <f t="shared" si="35"/>
        <v>0</v>
      </c>
      <c r="G360" s="60">
        <f t="shared" si="35"/>
        <v>0</v>
      </c>
      <c r="H360" s="60">
        <f t="shared" si="35"/>
        <v>0</v>
      </c>
      <c r="I360" s="60">
        <f t="shared" si="35"/>
        <v>0</v>
      </c>
      <c r="J360" s="60">
        <f t="shared" si="35"/>
        <v>0</v>
      </c>
      <c r="K360" s="168">
        <f t="shared" si="35"/>
        <v>0</v>
      </c>
      <c r="L360" s="60">
        <f t="shared" si="35"/>
        <v>0</v>
      </c>
      <c r="M360" s="60">
        <f t="shared" si="35"/>
        <v>570</v>
      </c>
      <c r="N360" s="60">
        <f t="shared" si="35"/>
        <v>1716738.9</v>
      </c>
      <c r="O360" s="60">
        <f t="shared" si="35"/>
        <v>0</v>
      </c>
      <c r="P360" s="60">
        <f t="shared" si="35"/>
        <v>0</v>
      </c>
      <c r="Q360" s="60">
        <f t="shared" si="35"/>
        <v>0</v>
      </c>
      <c r="R360" s="60">
        <f t="shared" si="35"/>
        <v>0</v>
      </c>
      <c r="S360" s="60">
        <f t="shared" si="35"/>
        <v>0</v>
      </c>
      <c r="T360" s="60">
        <f t="shared" si="35"/>
        <v>0</v>
      </c>
      <c r="U360" s="60">
        <f t="shared" si="35"/>
        <v>0</v>
      </c>
      <c r="V360" s="60">
        <f t="shared" si="35"/>
        <v>0</v>
      </c>
      <c r="W360" s="60">
        <f t="shared" si="35"/>
        <v>0</v>
      </c>
      <c r="X360" s="60">
        <f t="shared" si="35"/>
        <v>0</v>
      </c>
      <c r="Y360" s="60">
        <f t="shared" si="35"/>
        <v>0</v>
      </c>
      <c r="Z360" s="60">
        <f t="shared" si="35"/>
        <v>0</v>
      </c>
      <c r="AA360" s="60">
        <f t="shared" si="35"/>
        <v>0</v>
      </c>
      <c r="AB360" s="60">
        <f t="shared" si="35"/>
        <v>0</v>
      </c>
      <c r="AC360" s="60">
        <f t="shared" si="35"/>
        <v>22145.93</v>
      </c>
      <c r="AD360" s="60">
        <f t="shared" si="35"/>
        <v>122817.08</v>
      </c>
      <c r="AE360" s="60">
        <f t="shared" si="35"/>
        <v>0</v>
      </c>
      <c r="AF360" s="54" t="s">
        <v>701</v>
      </c>
      <c r="AG360" s="54" t="s">
        <v>701</v>
      </c>
      <c r="AH360" s="55" t="s">
        <v>701</v>
      </c>
    </row>
    <row r="361" spans="1:34" ht="61.5" x14ac:dyDescent="0.85">
      <c r="A361" s="7">
        <v>1</v>
      </c>
      <c r="B361" s="59">
        <f>SUBTOTAL(103,$A$22:A361)</f>
        <v>319</v>
      </c>
      <c r="C361" s="160" t="s">
        <v>741</v>
      </c>
      <c r="D361" s="60">
        <f>E361+F361+G361+H361+I361+J361+L361+N361+P361+R361+T361+U361+V361+W361+X361+Y361+Z361+AA361+AB361+AC361+AD361+AE361</f>
        <v>1861701.91</v>
      </c>
      <c r="E361" s="60">
        <v>0</v>
      </c>
      <c r="F361" s="60">
        <v>0</v>
      </c>
      <c r="G361" s="60">
        <v>0</v>
      </c>
      <c r="H361" s="60">
        <v>0</v>
      </c>
      <c r="I361" s="60">
        <v>0</v>
      </c>
      <c r="J361" s="60">
        <v>0</v>
      </c>
      <c r="K361" s="168">
        <v>0</v>
      </c>
      <c r="L361" s="60">
        <v>0</v>
      </c>
      <c r="M361" s="62">
        <v>570</v>
      </c>
      <c r="N361" s="62">
        <v>1716738.9</v>
      </c>
      <c r="O361" s="60">
        <v>0</v>
      </c>
      <c r="P361" s="60">
        <v>0</v>
      </c>
      <c r="Q361" s="60">
        <v>0</v>
      </c>
      <c r="R361" s="60">
        <v>0</v>
      </c>
      <c r="S361" s="60">
        <v>0</v>
      </c>
      <c r="T361" s="60">
        <v>0</v>
      </c>
      <c r="U361" s="60">
        <v>0</v>
      </c>
      <c r="V361" s="60">
        <v>0</v>
      </c>
      <c r="W361" s="60">
        <v>0</v>
      </c>
      <c r="X361" s="60">
        <v>0</v>
      </c>
      <c r="Y361" s="60">
        <v>0</v>
      </c>
      <c r="Z361" s="60">
        <v>0</v>
      </c>
      <c r="AA361" s="60">
        <v>0</v>
      </c>
      <c r="AB361" s="60">
        <v>0</v>
      </c>
      <c r="AC361" s="60">
        <v>22145.93</v>
      </c>
      <c r="AD361" s="60">
        <v>122817.08</v>
      </c>
      <c r="AE361" s="60">
        <v>0</v>
      </c>
      <c r="AF361" s="170">
        <v>2020</v>
      </c>
      <c r="AG361" s="170">
        <v>2020</v>
      </c>
      <c r="AH361" s="170">
        <v>2020</v>
      </c>
    </row>
    <row r="362" spans="1:34" ht="61.5" x14ac:dyDescent="0.85">
      <c r="B362" s="160" t="s">
        <v>776</v>
      </c>
      <c r="C362" s="176"/>
      <c r="D362" s="177">
        <f t="shared" ref="D362:AE362" si="36">SUM(D363:D379)</f>
        <v>44397073.310000002</v>
      </c>
      <c r="E362" s="60">
        <f t="shared" si="36"/>
        <v>117380.25</v>
      </c>
      <c r="F362" s="60">
        <f t="shared" si="36"/>
        <v>0</v>
      </c>
      <c r="G362" s="60">
        <f t="shared" si="36"/>
        <v>0</v>
      </c>
      <c r="H362" s="60">
        <f t="shared" si="36"/>
        <v>0</v>
      </c>
      <c r="I362" s="60">
        <f t="shared" si="36"/>
        <v>0</v>
      </c>
      <c r="J362" s="60">
        <f t="shared" si="36"/>
        <v>0</v>
      </c>
      <c r="K362" s="168">
        <f t="shared" si="36"/>
        <v>0</v>
      </c>
      <c r="L362" s="60">
        <f t="shared" si="36"/>
        <v>0</v>
      </c>
      <c r="M362" s="60">
        <f t="shared" si="36"/>
        <v>9873.7900000000009</v>
      </c>
      <c r="N362" s="60">
        <f t="shared" si="36"/>
        <v>37752509.329999998</v>
      </c>
      <c r="O362" s="60">
        <f t="shared" si="36"/>
        <v>0</v>
      </c>
      <c r="P362" s="60">
        <f t="shared" si="36"/>
        <v>0</v>
      </c>
      <c r="Q362" s="60">
        <f t="shared" si="36"/>
        <v>2836.8</v>
      </c>
      <c r="R362" s="60">
        <f t="shared" si="36"/>
        <v>5484510.0500000007</v>
      </c>
      <c r="S362" s="60">
        <f t="shared" si="36"/>
        <v>0</v>
      </c>
      <c r="T362" s="60">
        <f t="shared" si="36"/>
        <v>0</v>
      </c>
      <c r="U362" s="60">
        <f t="shared" si="36"/>
        <v>0</v>
      </c>
      <c r="V362" s="60">
        <f t="shared" si="36"/>
        <v>0</v>
      </c>
      <c r="W362" s="60">
        <f t="shared" si="36"/>
        <v>0</v>
      </c>
      <c r="X362" s="60">
        <f t="shared" si="36"/>
        <v>0</v>
      </c>
      <c r="Y362" s="60">
        <f t="shared" si="36"/>
        <v>0</v>
      </c>
      <c r="Z362" s="60">
        <f t="shared" si="36"/>
        <v>0</v>
      </c>
      <c r="AA362" s="60">
        <f t="shared" si="36"/>
        <v>0</v>
      </c>
      <c r="AB362" s="60">
        <f t="shared" si="36"/>
        <v>0</v>
      </c>
      <c r="AC362" s="60">
        <f t="shared" si="36"/>
        <v>439656.73</v>
      </c>
      <c r="AD362" s="60">
        <f t="shared" si="36"/>
        <v>603016.94999999995</v>
      </c>
      <c r="AE362" s="60">
        <f t="shared" si="36"/>
        <v>0</v>
      </c>
      <c r="AF362" s="54" t="s">
        <v>701</v>
      </c>
      <c r="AG362" s="54" t="s">
        <v>701</v>
      </c>
      <c r="AH362" s="55" t="s">
        <v>701</v>
      </c>
    </row>
    <row r="363" spans="1:34" ht="61.5" x14ac:dyDescent="0.85">
      <c r="A363" s="7">
        <v>1</v>
      </c>
      <c r="B363" s="59">
        <f>SUBTOTAL(103,$A$22:A363)</f>
        <v>320</v>
      </c>
      <c r="C363" s="160" t="s">
        <v>112</v>
      </c>
      <c r="D363" s="60">
        <f t="shared" ref="D363:D379" si="37">E363+F363+G363+H363+I363+J363+L363+N363+P363+R363+T363+U363+V363+W363+X363+Y363+Z363+AA363+AB363+AC363+AD363+AE363</f>
        <v>54256.44</v>
      </c>
      <c r="E363" s="60">
        <v>0</v>
      </c>
      <c r="F363" s="60">
        <v>0</v>
      </c>
      <c r="G363" s="60">
        <v>0</v>
      </c>
      <c r="H363" s="60">
        <v>0</v>
      </c>
      <c r="I363" s="60">
        <v>0</v>
      </c>
      <c r="J363" s="60">
        <v>0</v>
      </c>
      <c r="K363" s="168">
        <v>0</v>
      </c>
      <c r="L363" s="60">
        <v>0</v>
      </c>
      <c r="M363" s="60">
        <v>0</v>
      </c>
      <c r="N363" s="60">
        <v>0</v>
      </c>
      <c r="O363" s="60">
        <v>0</v>
      </c>
      <c r="P363" s="60">
        <v>0</v>
      </c>
      <c r="Q363" s="60">
        <v>0</v>
      </c>
      <c r="R363" s="60">
        <v>0</v>
      </c>
      <c r="S363" s="60">
        <v>0</v>
      </c>
      <c r="T363" s="60">
        <v>0</v>
      </c>
      <c r="U363" s="60">
        <v>0</v>
      </c>
      <c r="V363" s="60">
        <v>0</v>
      </c>
      <c r="W363" s="60">
        <v>0</v>
      </c>
      <c r="X363" s="60">
        <v>0</v>
      </c>
      <c r="Y363" s="60">
        <v>0</v>
      </c>
      <c r="Z363" s="60">
        <v>0</v>
      </c>
      <c r="AA363" s="60">
        <v>0</v>
      </c>
      <c r="AB363" s="60">
        <v>0</v>
      </c>
      <c r="AC363" s="60">
        <f>ROUND(N363*1.5%,2)</f>
        <v>0</v>
      </c>
      <c r="AD363" s="60">
        <v>54256.44</v>
      </c>
      <c r="AE363" s="60">
        <v>0</v>
      </c>
      <c r="AF363" s="170">
        <v>2020</v>
      </c>
      <c r="AG363" s="170" t="s">
        <v>257</v>
      </c>
      <c r="AH363" s="170" t="s">
        <v>257</v>
      </c>
    </row>
    <row r="364" spans="1:34" ht="61.5" x14ac:dyDescent="0.85">
      <c r="A364" s="7">
        <v>1</v>
      </c>
      <c r="B364" s="59">
        <f>SUBTOTAL(103,$A$22:A364)</f>
        <v>321</v>
      </c>
      <c r="C364" s="160" t="s">
        <v>115</v>
      </c>
      <c r="D364" s="60">
        <f t="shared" si="37"/>
        <v>2480548.0700000003</v>
      </c>
      <c r="E364" s="60">
        <v>0</v>
      </c>
      <c r="F364" s="60">
        <v>0</v>
      </c>
      <c r="G364" s="60">
        <v>0</v>
      </c>
      <c r="H364" s="60">
        <v>0</v>
      </c>
      <c r="I364" s="60">
        <v>0</v>
      </c>
      <c r="J364" s="60">
        <v>0</v>
      </c>
      <c r="K364" s="168">
        <v>0</v>
      </c>
      <c r="L364" s="60">
        <v>0</v>
      </c>
      <c r="M364" s="62">
        <v>616.94000000000005</v>
      </c>
      <c r="N364" s="62">
        <v>2411642.35</v>
      </c>
      <c r="O364" s="60">
        <v>0</v>
      </c>
      <c r="P364" s="60">
        <v>0</v>
      </c>
      <c r="Q364" s="60">
        <v>0</v>
      </c>
      <c r="R364" s="60">
        <v>0</v>
      </c>
      <c r="S364" s="60">
        <v>0</v>
      </c>
      <c r="T364" s="60">
        <v>0</v>
      </c>
      <c r="U364" s="60">
        <v>0</v>
      </c>
      <c r="V364" s="60">
        <v>0</v>
      </c>
      <c r="W364" s="60">
        <v>0</v>
      </c>
      <c r="X364" s="60">
        <v>0</v>
      </c>
      <c r="Y364" s="60">
        <v>0</v>
      </c>
      <c r="Z364" s="60">
        <v>0</v>
      </c>
      <c r="AA364" s="60">
        <v>0</v>
      </c>
      <c r="AB364" s="60">
        <v>0</v>
      </c>
      <c r="AC364" s="62">
        <v>14469.85</v>
      </c>
      <c r="AD364" s="60">
        <v>54435.87</v>
      </c>
      <c r="AE364" s="60">
        <v>0</v>
      </c>
      <c r="AF364" s="170">
        <v>2020</v>
      </c>
      <c r="AG364" s="170">
        <v>2020</v>
      </c>
      <c r="AH364" s="63">
        <v>2020</v>
      </c>
    </row>
    <row r="365" spans="1:34" ht="61.5" x14ac:dyDescent="0.85">
      <c r="A365" s="7">
        <v>1</v>
      </c>
      <c r="B365" s="59">
        <f>SUBTOTAL(103,$A$22:A365)</f>
        <v>322</v>
      </c>
      <c r="C365" s="160" t="s">
        <v>111</v>
      </c>
      <c r="D365" s="60">
        <f t="shared" si="37"/>
        <v>1443898.48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168">
        <v>0</v>
      </c>
      <c r="L365" s="60">
        <v>0</v>
      </c>
      <c r="M365" s="62">
        <v>340.4</v>
      </c>
      <c r="N365" s="62">
        <v>1395122.85</v>
      </c>
      <c r="O365" s="60">
        <v>0</v>
      </c>
      <c r="P365" s="60">
        <v>0</v>
      </c>
      <c r="Q365" s="60">
        <v>0</v>
      </c>
      <c r="R365" s="60">
        <v>0</v>
      </c>
      <c r="S365" s="60">
        <v>0</v>
      </c>
      <c r="T365" s="60">
        <v>0</v>
      </c>
      <c r="U365" s="60">
        <v>0</v>
      </c>
      <c r="V365" s="60">
        <v>0</v>
      </c>
      <c r="W365" s="60">
        <v>0</v>
      </c>
      <c r="X365" s="60">
        <v>0</v>
      </c>
      <c r="Y365" s="60">
        <v>0</v>
      </c>
      <c r="Z365" s="60">
        <v>0</v>
      </c>
      <c r="AA365" s="60">
        <v>0</v>
      </c>
      <c r="AB365" s="60">
        <v>0</v>
      </c>
      <c r="AC365" s="60">
        <v>8370.74</v>
      </c>
      <c r="AD365" s="60">
        <v>40404.89</v>
      </c>
      <c r="AE365" s="60">
        <v>0</v>
      </c>
      <c r="AF365" s="170">
        <v>2020</v>
      </c>
      <c r="AG365" s="170">
        <v>2020</v>
      </c>
      <c r="AH365" s="63">
        <v>2020</v>
      </c>
    </row>
    <row r="366" spans="1:34" ht="61.5" x14ac:dyDescent="0.85">
      <c r="A366" s="7">
        <v>1</v>
      </c>
      <c r="B366" s="59">
        <f>SUBTOTAL(103,$A$22:A366)</f>
        <v>323</v>
      </c>
      <c r="C366" s="160" t="s">
        <v>113</v>
      </c>
      <c r="D366" s="60">
        <f t="shared" si="37"/>
        <v>4557103.54</v>
      </c>
      <c r="E366" s="60">
        <v>0</v>
      </c>
      <c r="F366" s="60">
        <v>0</v>
      </c>
      <c r="G366" s="60">
        <v>0</v>
      </c>
      <c r="H366" s="60">
        <v>0</v>
      </c>
      <c r="I366" s="60">
        <v>0</v>
      </c>
      <c r="J366" s="60">
        <v>0</v>
      </c>
      <c r="K366" s="168">
        <v>0</v>
      </c>
      <c r="L366" s="60">
        <v>0</v>
      </c>
      <c r="M366" s="62">
        <v>1235.5</v>
      </c>
      <c r="N366" s="62">
        <v>4529924</v>
      </c>
      <c r="O366" s="60">
        <v>0</v>
      </c>
      <c r="P366" s="60">
        <v>0</v>
      </c>
      <c r="Q366" s="60">
        <v>0</v>
      </c>
      <c r="R366" s="60">
        <v>0</v>
      </c>
      <c r="S366" s="60">
        <v>0</v>
      </c>
      <c r="T366" s="60">
        <v>0</v>
      </c>
      <c r="U366" s="60">
        <v>0</v>
      </c>
      <c r="V366" s="60">
        <v>0</v>
      </c>
      <c r="W366" s="60">
        <v>0</v>
      </c>
      <c r="X366" s="60">
        <v>0</v>
      </c>
      <c r="Y366" s="60">
        <v>0</v>
      </c>
      <c r="Z366" s="60">
        <v>0</v>
      </c>
      <c r="AA366" s="60">
        <v>0</v>
      </c>
      <c r="AB366" s="60">
        <v>0</v>
      </c>
      <c r="AC366" s="62">
        <v>27179.54</v>
      </c>
      <c r="AD366" s="60">
        <v>0</v>
      </c>
      <c r="AE366" s="60">
        <v>0</v>
      </c>
      <c r="AF366" s="170" t="s">
        <v>257</v>
      </c>
      <c r="AG366" s="170">
        <v>2020</v>
      </c>
      <c r="AH366" s="63">
        <v>2020</v>
      </c>
    </row>
    <row r="367" spans="1:34" ht="61.5" x14ac:dyDescent="0.85">
      <c r="A367" s="7">
        <v>1</v>
      </c>
      <c r="B367" s="59">
        <f>SUBTOTAL(103,$A$22:A367)</f>
        <v>324</v>
      </c>
      <c r="C367" s="160" t="s">
        <v>114</v>
      </c>
      <c r="D367" s="60">
        <f t="shared" si="37"/>
        <v>4223582.3699999992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168">
        <v>0</v>
      </c>
      <c r="L367" s="60">
        <v>0</v>
      </c>
      <c r="M367" s="62">
        <v>1109.18</v>
      </c>
      <c r="N367" s="62">
        <v>4198392.0199999996</v>
      </c>
      <c r="O367" s="60">
        <v>0</v>
      </c>
      <c r="P367" s="60">
        <v>0</v>
      </c>
      <c r="Q367" s="60">
        <v>0</v>
      </c>
      <c r="R367" s="60">
        <v>0</v>
      </c>
      <c r="S367" s="60">
        <v>0</v>
      </c>
      <c r="T367" s="60">
        <v>0</v>
      </c>
      <c r="U367" s="60">
        <v>0</v>
      </c>
      <c r="V367" s="60">
        <v>0</v>
      </c>
      <c r="W367" s="60">
        <v>0</v>
      </c>
      <c r="X367" s="60">
        <v>0</v>
      </c>
      <c r="Y367" s="60">
        <v>0</v>
      </c>
      <c r="Z367" s="60">
        <v>0</v>
      </c>
      <c r="AA367" s="60">
        <v>0</v>
      </c>
      <c r="AB367" s="60">
        <v>0</v>
      </c>
      <c r="AC367" s="62">
        <v>25190.35</v>
      </c>
      <c r="AD367" s="60">
        <v>0</v>
      </c>
      <c r="AE367" s="60">
        <v>0</v>
      </c>
      <c r="AF367" s="170" t="s">
        <v>257</v>
      </c>
      <c r="AG367" s="170">
        <v>2020</v>
      </c>
      <c r="AH367" s="63">
        <v>2020</v>
      </c>
    </row>
    <row r="368" spans="1:34" ht="61.5" x14ac:dyDescent="0.85">
      <c r="A368" s="7">
        <v>1</v>
      </c>
      <c r="B368" s="59">
        <f>SUBTOTAL(103,$A$22:A368)</f>
        <v>325</v>
      </c>
      <c r="C368" s="160" t="s">
        <v>116</v>
      </c>
      <c r="D368" s="60">
        <f t="shared" si="37"/>
        <v>3024337.71</v>
      </c>
      <c r="E368" s="60">
        <v>0</v>
      </c>
      <c r="F368" s="60">
        <v>0</v>
      </c>
      <c r="G368" s="60">
        <v>0</v>
      </c>
      <c r="H368" s="60">
        <v>0</v>
      </c>
      <c r="I368" s="60">
        <v>0</v>
      </c>
      <c r="J368" s="60">
        <v>0</v>
      </c>
      <c r="K368" s="168">
        <v>0</v>
      </c>
      <c r="L368" s="60">
        <v>0</v>
      </c>
      <c r="M368" s="62">
        <v>638.69000000000005</v>
      </c>
      <c r="N368" s="62">
        <v>2952062.85</v>
      </c>
      <c r="O368" s="60">
        <v>0</v>
      </c>
      <c r="P368" s="60">
        <v>0</v>
      </c>
      <c r="Q368" s="60">
        <v>0</v>
      </c>
      <c r="R368" s="60">
        <v>0</v>
      </c>
      <c r="S368" s="60">
        <v>0</v>
      </c>
      <c r="T368" s="60">
        <v>0</v>
      </c>
      <c r="U368" s="60">
        <v>0</v>
      </c>
      <c r="V368" s="60">
        <v>0</v>
      </c>
      <c r="W368" s="60">
        <v>0</v>
      </c>
      <c r="X368" s="60">
        <v>0</v>
      </c>
      <c r="Y368" s="60">
        <v>0</v>
      </c>
      <c r="Z368" s="60">
        <v>0</v>
      </c>
      <c r="AA368" s="60">
        <v>0</v>
      </c>
      <c r="AB368" s="60">
        <v>0</v>
      </c>
      <c r="AC368" s="62">
        <v>17712.38</v>
      </c>
      <c r="AD368" s="60">
        <v>54562.48</v>
      </c>
      <c r="AE368" s="60">
        <v>0</v>
      </c>
      <c r="AF368" s="170">
        <v>2020</v>
      </c>
      <c r="AG368" s="170">
        <v>2020</v>
      </c>
      <c r="AH368" s="170">
        <v>2020</v>
      </c>
    </row>
    <row r="369" spans="1:34" ht="61.5" x14ac:dyDescent="0.85">
      <c r="A369" s="7">
        <v>1</v>
      </c>
      <c r="B369" s="59">
        <f>SUBTOTAL(103,$A$22:A369)</f>
        <v>326</v>
      </c>
      <c r="C369" s="160" t="s">
        <v>1146</v>
      </c>
      <c r="D369" s="60">
        <f t="shared" si="37"/>
        <v>5564482.3400000008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168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2">
        <v>2836.8</v>
      </c>
      <c r="R369" s="62">
        <f>5358277.61+126232.44</f>
        <v>5484510.0500000007</v>
      </c>
      <c r="S369" s="60">
        <v>0</v>
      </c>
      <c r="T369" s="60">
        <v>0</v>
      </c>
      <c r="U369" s="60">
        <v>0</v>
      </c>
      <c r="V369" s="60">
        <v>0</v>
      </c>
      <c r="W369" s="60">
        <v>0</v>
      </c>
      <c r="X369" s="60">
        <v>0</v>
      </c>
      <c r="Y369" s="60">
        <v>0</v>
      </c>
      <c r="Z369" s="60">
        <v>0</v>
      </c>
      <c r="AA369" s="60">
        <v>0</v>
      </c>
      <c r="AB369" s="60">
        <v>0</v>
      </c>
      <c r="AC369" s="60">
        <v>79972.289999999994</v>
      </c>
      <c r="AD369" s="60">
        <v>0</v>
      </c>
      <c r="AE369" s="60">
        <v>0</v>
      </c>
      <c r="AF369" s="170" t="s">
        <v>257</v>
      </c>
      <c r="AG369" s="170">
        <v>2020</v>
      </c>
      <c r="AH369" s="63">
        <v>2020</v>
      </c>
    </row>
    <row r="370" spans="1:34" ht="61.5" x14ac:dyDescent="0.85">
      <c r="A370" s="7">
        <v>1</v>
      </c>
      <c r="B370" s="59">
        <f>SUBTOTAL(103,$A$22:A370)</f>
        <v>327</v>
      </c>
      <c r="C370" s="160" t="s">
        <v>1147</v>
      </c>
      <c r="D370" s="60">
        <f t="shared" si="37"/>
        <v>4137160</v>
      </c>
      <c r="E370" s="60">
        <v>0</v>
      </c>
      <c r="F370" s="60">
        <v>0</v>
      </c>
      <c r="G370" s="60">
        <v>0</v>
      </c>
      <c r="H370" s="60">
        <v>0</v>
      </c>
      <c r="I370" s="60">
        <v>0</v>
      </c>
      <c r="J370" s="60">
        <v>0</v>
      </c>
      <c r="K370" s="168">
        <v>0</v>
      </c>
      <c r="L370" s="60">
        <v>0</v>
      </c>
      <c r="M370" s="62">
        <v>1159.3699999999999</v>
      </c>
      <c r="N370" s="62">
        <v>4076320.91</v>
      </c>
      <c r="O370" s="60">
        <v>0</v>
      </c>
      <c r="P370" s="60">
        <v>0</v>
      </c>
      <c r="Q370" s="60">
        <v>0</v>
      </c>
      <c r="R370" s="60">
        <v>0</v>
      </c>
      <c r="S370" s="60">
        <v>0</v>
      </c>
      <c r="T370" s="60">
        <v>0</v>
      </c>
      <c r="U370" s="60">
        <v>0</v>
      </c>
      <c r="V370" s="60">
        <v>0</v>
      </c>
      <c r="W370" s="60">
        <v>0</v>
      </c>
      <c r="X370" s="60">
        <v>0</v>
      </c>
      <c r="Y370" s="60">
        <v>0</v>
      </c>
      <c r="Z370" s="60">
        <v>0</v>
      </c>
      <c r="AA370" s="60">
        <v>0</v>
      </c>
      <c r="AB370" s="60">
        <v>0</v>
      </c>
      <c r="AC370" s="62">
        <v>60839.09</v>
      </c>
      <c r="AD370" s="60">
        <v>0</v>
      </c>
      <c r="AE370" s="60">
        <v>0</v>
      </c>
      <c r="AF370" s="170" t="s">
        <v>257</v>
      </c>
      <c r="AG370" s="170">
        <v>2020</v>
      </c>
      <c r="AH370" s="63">
        <v>2020</v>
      </c>
    </row>
    <row r="371" spans="1:34" ht="61.5" x14ac:dyDescent="0.85">
      <c r="A371" s="7">
        <v>1</v>
      </c>
      <c r="B371" s="59">
        <f>SUBTOTAL(103,$A$22:A371)</f>
        <v>328</v>
      </c>
      <c r="C371" s="160" t="s">
        <v>1148</v>
      </c>
      <c r="D371" s="60">
        <f t="shared" si="37"/>
        <v>2786718.1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168">
        <v>0</v>
      </c>
      <c r="L371" s="60">
        <v>0</v>
      </c>
      <c r="M371" s="62">
        <v>765</v>
      </c>
      <c r="N371" s="62">
        <v>2745737.96</v>
      </c>
      <c r="O371" s="60">
        <v>0</v>
      </c>
      <c r="P371" s="60">
        <v>0</v>
      </c>
      <c r="Q371" s="60">
        <v>0</v>
      </c>
      <c r="R371" s="60">
        <v>0</v>
      </c>
      <c r="S371" s="60">
        <v>0</v>
      </c>
      <c r="T371" s="60">
        <v>0</v>
      </c>
      <c r="U371" s="60">
        <v>0</v>
      </c>
      <c r="V371" s="60">
        <v>0</v>
      </c>
      <c r="W371" s="60">
        <v>0</v>
      </c>
      <c r="X371" s="60">
        <v>0</v>
      </c>
      <c r="Y371" s="60">
        <v>0</v>
      </c>
      <c r="Z371" s="60">
        <v>0</v>
      </c>
      <c r="AA371" s="60">
        <v>0</v>
      </c>
      <c r="AB371" s="60">
        <v>0</v>
      </c>
      <c r="AC371" s="62">
        <v>40980.14</v>
      </c>
      <c r="AD371" s="60">
        <v>0</v>
      </c>
      <c r="AE371" s="60">
        <v>0</v>
      </c>
      <c r="AF371" s="170" t="s">
        <v>257</v>
      </c>
      <c r="AG371" s="170">
        <v>2020</v>
      </c>
      <c r="AH371" s="63">
        <v>2020</v>
      </c>
    </row>
    <row r="372" spans="1:34" ht="61.5" x14ac:dyDescent="0.85">
      <c r="A372" s="7">
        <v>1</v>
      </c>
      <c r="B372" s="59">
        <f>SUBTOTAL(103,$A$22:A372)</f>
        <v>329</v>
      </c>
      <c r="C372" s="160" t="s">
        <v>1149</v>
      </c>
      <c r="D372" s="60">
        <f t="shared" si="37"/>
        <v>1749750.39</v>
      </c>
      <c r="E372" s="60">
        <v>0</v>
      </c>
      <c r="F372" s="60">
        <v>0</v>
      </c>
      <c r="G372" s="60">
        <v>0</v>
      </c>
      <c r="H372" s="60">
        <v>0</v>
      </c>
      <c r="I372" s="60">
        <v>0</v>
      </c>
      <c r="J372" s="60">
        <v>0</v>
      </c>
      <c r="K372" s="168">
        <v>0</v>
      </c>
      <c r="L372" s="60">
        <v>0</v>
      </c>
      <c r="M372" s="62">
        <v>456.6</v>
      </c>
      <c r="N372" s="62">
        <v>1724019.4</v>
      </c>
      <c r="O372" s="60">
        <v>0</v>
      </c>
      <c r="P372" s="60">
        <v>0</v>
      </c>
      <c r="Q372" s="60">
        <v>0</v>
      </c>
      <c r="R372" s="60">
        <v>0</v>
      </c>
      <c r="S372" s="60">
        <v>0</v>
      </c>
      <c r="T372" s="60">
        <v>0</v>
      </c>
      <c r="U372" s="60">
        <v>0</v>
      </c>
      <c r="V372" s="60">
        <v>0</v>
      </c>
      <c r="W372" s="60">
        <v>0</v>
      </c>
      <c r="X372" s="60">
        <v>0</v>
      </c>
      <c r="Y372" s="60">
        <v>0</v>
      </c>
      <c r="Z372" s="60">
        <v>0</v>
      </c>
      <c r="AA372" s="60">
        <v>0</v>
      </c>
      <c r="AB372" s="60">
        <v>0</v>
      </c>
      <c r="AC372" s="62">
        <v>25730.99</v>
      </c>
      <c r="AD372" s="60">
        <v>0</v>
      </c>
      <c r="AE372" s="60">
        <v>0</v>
      </c>
      <c r="AF372" s="170" t="s">
        <v>257</v>
      </c>
      <c r="AG372" s="170">
        <v>2020</v>
      </c>
      <c r="AH372" s="63">
        <v>2020</v>
      </c>
    </row>
    <row r="373" spans="1:34" ht="61.5" x14ac:dyDescent="0.85">
      <c r="A373" s="7">
        <v>1</v>
      </c>
      <c r="B373" s="59">
        <f>SUBTOTAL(103,$A$22:A373)</f>
        <v>330</v>
      </c>
      <c r="C373" s="160" t="s">
        <v>1150</v>
      </c>
      <c r="D373" s="60">
        <f t="shared" si="37"/>
        <v>119132.15</v>
      </c>
      <c r="E373" s="62">
        <v>117380.25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168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0">
        <v>0</v>
      </c>
      <c r="T373" s="60">
        <v>0</v>
      </c>
      <c r="U373" s="60">
        <v>0</v>
      </c>
      <c r="V373" s="60">
        <v>0</v>
      </c>
      <c r="W373" s="60">
        <v>0</v>
      </c>
      <c r="X373" s="60">
        <v>0</v>
      </c>
      <c r="Y373" s="60">
        <v>0</v>
      </c>
      <c r="Z373" s="60">
        <v>0</v>
      </c>
      <c r="AA373" s="60">
        <v>0</v>
      </c>
      <c r="AB373" s="60">
        <v>0</v>
      </c>
      <c r="AC373" s="60">
        <v>1751.9</v>
      </c>
      <c r="AD373" s="60">
        <v>0</v>
      </c>
      <c r="AE373" s="60">
        <v>0</v>
      </c>
      <c r="AF373" s="170" t="s">
        <v>257</v>
      </c>
      <c r="AG373" s="170">
        <v>2020</v>
      </c>
      <c r="AH373" s="63">
        <v>2020</v>
      </c>
    </row>
    <row r="374" spans="1:34" ht="61.5" x14ac:dyDescent="0.85">
      <c r="A374" s="7">
        <v>1</v>
      </c>
      <c r="B374" s="59">
        <f>SUBTOTAL(103,$A$22:A374)</f>
        <v>331</v>
      </c>
      <c r="C374" s="160" t="s">
        <v>1151</v>
      </c>
      <c r="D374" s="60">
        <f t="shared" si="37"/>
        <v>6270786.4399999995</v>
      </c>
      <c r="E374" s="60">
        <v>0</v>
      </c>
      <c r="F374" s="60">
        <v>0</v>
      </c>
      <c r="G374" s="60">
        <v>0</v>
      </c>
      <c r="H374" s="60">
        <v>0</v>
      </c>
      <c r="I374" s="60">
        <v>0</v>
      </c>
      <c r="J374" s="60">
        <v>0</v>
      </c>
      <c r="K374" s="168">
        <v>0</v>
      </c>
      <c r="L374" s="60">
        <v>0</v>
      </c>
      <c r="M374" s="62">
        <v>1532.62</v>
      </c>
      <c r="N374" s="62">
        <v>6178571.2599999998</v>
      </c>
      <c r="O374" s="60">
        <v>0</v>
      </c>
      <c r="P374" s="60">
        <v>0</v>
      </c>
      <c r="Q374" s="60">
        <v>0</v>
      </c>
      <c r="R374" s="60">
        <v>0</v>
      </c>
      <c r="S374" s="60">
        <v>0</v>
      </c>
      <c r="T374" s="60">
        <v>0</v>
      </c>
      <c r="U374" s="60">
        <v>0</v>
      </c>
      <c r="V374" s="60">
        <v>0</v>
      </c>
      <c r="W374" s="60">
        <v>0</v>
      </c>
      <c r="X374" s="60">
        <v>0</v>
      </c>
      <c r="Y374" s="60">
        <v>0</v>
      </c>
      <c r="Z374" s="60">
        <v>0</v>
      </c>
      <c r="AA374" s="60">
        <v>0</v>
      </c>
      <c r="AB374" s="60">
        <v>0</v>
      </c>
      <c r="AC374" s="60">
        <v>92215.18</v>
      </c>
      <c r="AD374" s="60">
        <v>0</v>
      </c>
      <c r="AE374" s="60">
        <v>0</v>
      </c>
      <c r="AF374" s="170" t="s">
        <v>257</v>
      </c>
      <c r="AG374" s="170">
        <v>2020</v>
      </c>
      <c r="AH374" s="63">
        <v>2020</v>
      </c>
    </row>
    <row r="375" spans="1:34" ht="61.5" x14ac:dyDescent="0.85">
      <c r="A375" s="7">
        <v>1</v>
      </c>
      <c r="B375" s="59">
        <f>SUBTOTAL(103,$A$22:A375)</f>
        <v>332</v>
      </c>
      <c r="C375" s="160" t="s">
        <v>1463</v>
      </c>
      <c r="D375" s="60">
        <f t="shared" si="37"/>
        <v>3749769.7199999997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168">
        <v>0</v>
      </c>
      <c r="L375" s="60">
        <v>0</v>
      </c>
      <c r="M375" s="62">
        <v>909.07</v>
      </c>
      <c r="N375" s="62">
        <v>3634519.59</v>
      </c>
      <c r="O375" s="60">
        <v>0</v>
      </c>
      <c r="P375" s="60">
        <v>0</v>
      </c>
      <c r="Q375" s="60">
        <v>0</v>
      </c>
      <c r="R375" s="60">
        <v>0</v>
      </c>
      <c r="S375" s="60">
        <v>0</v>
      </c>
      <c r="T375" s="60">
        <v>0</v>
      </c>
      <c r="U375" s="60">
        <v>0</v>
      </c>
      <c r="V375" s="60">
        <v>0</v>
      </c>
      <c r="W375" s="60">
        <v>0</v>
      </c>
      <c r="X375" s="60">
        <v>0</v>
      </c>
      <c r="Y375" s="60">
        <v>0</v>
      </c>
      <c r="Z375" s="60">
        <v>0</v>
      </c>
      <c r="AA375" s="60">
        <v>0</v>
      </c>
      <c r="AB375" s="60">
        <v>0</v>
      </c>
      <c r="AC375" s="62">
        <v>21807.11</v>
      </c>
      <c r="AD375" s="62">
        <v>93443.02</v>
      </c>
      <c r="AE375" s="60">
        <v>0</v>
      </c>
      <c r="AF375" s="170">
        <v>2020</v>
      </c>
      <c r="AG375" s="170">
        <v>2020</v>
      </c>
      <c r="AH375" s="63">
        <v>2020</v>
      </c>
    </row>
    <row r="376" spans="1:34" ht="61.5" x14ac:dyDescent="0.85">
      <c r="A376" s="7">
        <v>1</v>
      </c>
      <c r="B376" s="59">
        <f>SUBTOTAL(103,$A$22:A376)</f>
        <v>333</v>
      </c>
      <c r="C376" s="186" t="s">
        <v>131</v>
      </c>
      <c r="D376" s="60">
        <f t="shared" si="37"/>
        <v>3929633.31</v>
      </c>
      <c r="E376" s="60">
        <v>0</v>
      </c>
      <c r="F376" s="60">
        <v>0</v>
      </c>
      <c r="G376" s="60">
        <v>0</v>
      </c>
      <c r="H376" s="60">
        <v>0</v>
      </c>
      <c r="I376" s="60">
        <v>0</v>
      </c>
      <c r="J376" s="60">
        <v>0</v>
      </c>
      <c r="K376" s="168">
        <v>0</v>
      </c>
      <c r="L376" s="60">
        <v>0</v>
      </c>
      <c r="M376" s="62">
        <v>1110.42</v>
      </c>
      <c r="N376" s="169">
        <v>3906196.14</v>
      </c>
      <c r="O376" s="60">
        <v>0</v>
      </c>
      <c r="P376" s="60">
        <v>0</v>
      </c>
      <c r="Q376" s="60">
        <v>0</v>
      </c>
      <c r="R376" s="60">
        <v>0</v>
      </c>
      <c r="S376" s="60">
        <v>0</v>
      </c>
      <c r="T376" s="60">
        <v>0</v>
      </c>
      <c r="U376" s="60">
        <v>0</v>
      </c>
      <c r="V376" s="60">
        <v>0</v>
      </c>
      <c r="W376" s="60">
        <v>0</v>
      </c>
      <c r="X376" s="60">
        <v>0</v>
      </c>
      <c r="Y376" s="60">
        <v>0</v>
      </c>
      <c r="Z376" s="60">
        <v>0</v>
      </c>
      <c r="AA376" s="60">
        <v>0</v>
      </c>
      <c r="AB376" s="60">
        <v>0</v>
      </c>
      <c r="AC376" s="169">
        <v>23437.17</v>
      </c>
      <c r="AD376" s="60">
        <v>0</v>
      </c>
      <c r="AE376" s="60">
        <v>0</v>
      </c>
      <c r="AF376" s="170" t="s">
        <v>257</v>
      </c>
      <c r="AG376" s="170">
        <v>2020</v>
      </c>
      <c r="AH376" s="63">
        <v>2020</v>
      </c>
    </row>
    <row r="377" spans="1:34" ht="61.5" x14ac:dyDescent="0.85">
      <c r="A377" s="7">
        <v>1</v>
      </c>
      <c r="B377" s="59">
        <f>SUBTOTAL(103,$A$22:A377)</f>
        <v>334</v>
      </c>
      <c r="C377" s="160" t="s">
        <v>125</v>
      </c>
      <c r="D377" s="60">
        <f t="shared" si="37"/>
        <v>108615.8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168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0">
        <v>0</v>
      </c>
      <c r="T377" s="60">
        <v>0</v>
      </c>
      <c r="U377" s="60">
        <v>0</v>
      </c>
      <c r="V377" s="60">
        <v>0</v>
      </c>
      <c r="W377" s="60">
        <v>0</v>
      </c>
      <c r="X377" s="60">
        <v>0</v>
      </c>
      <c r="Y377" s="60">
        <v>0</v>
      </c>
      <c r="Z377" s="60">
        <v>0</v>
      </c>
      <c r="AA377" s="60">
        <v>0</v>
      </c>
      <c r="AB377" s="60">
        <v>0</v>
      </c>
      <c r="AC377" s="60">
        <f>ROUND(U377*1.5%,2)</f>
        <v>0</v>
      </c>
      <c r="AD377" s="60">
        <v>108615.8</v>
      </c>
      <c r="AE377" s="60">
        <v>0</v>
      </c>
      <c r="AF377" s="170">
        <v>2020</v>
      </c>
      <c r="AG377" s="170" t="s">
        <v>257</v>
      </c>
      <c r="AH377" s="170" t="s">
        <v>257</v>
      </c>
    </row>
    <row r="378" spans="1:34" ht="61.5" x14ac:dyDescent="0.85">
      <c r="A378" s="7">
        <v>1</v>
      </c>
      <c r="B378" s="59">
        <f>SUBTOTAL(103,$A$22:A378)</f>
        <v>335</v>
      </c>
      <c r="C378" s="160" t="s">
        <v>123</v>
      </c>
      <c r="D378" s="60">
        <f t="shared" si="37"/>
        <v>108130.57</v>
      </c>
      <c r="E378" s="60">
        <v>0</v>
      </c>
      <c r="F378" s="60">
        <v>0</v>
      </c>
      <c r="G378" s="60">
        <v>0</v>
      </c>
      <c r="H378" s="60">
        <v>0</v>
      </c>
      <c r="I378" s="60">
        <v>0</v>
      </c>
      <c r="J378" s="60">
        <v>0</v>
      </c>
      <c r="K378" s="168">
        <v>0</v>
      </c>
      <c r="L378" s="60">
        <v>0</v>
      </c>
      <c r="M378" s="60">
        <v>0</v>
      </c>
      <c r="N378" s="60">
        <v>0</v>
      </c>
      <c r="O378" s="60">
        <v>0</v>
      </c>
      <c r="P378" s="60">
        <v>0</v>
      </c>
      <c r="Q378" s="60">
        <v>0</v>
      </c>
      <c r="R378" s="60">
        <v>0</v>
      </c>
      <c r="S378" s="60">
        <v>0</v>
      </c>
      <c r="T378" s="60">
        <v>0</v>
      </c>
      <c r="U378" s="60">
        <v>0</v>
      </c>
      <c r="V378" s="60">
        <v>0</v>
      </c>
      <c r="W378" s="60">
        <v>0</v>
      </c>
      <c r="X378" s="60">
        <v>0</v>
      </c>
      <c r="Y378" s="60">
        <v>0</v>
      </c>
      <c r="Z378" s="60">
        <v>0</v>
      </c>
      <c r="AA378" s="60">
        <v>0</v>
      </c>
      <c r="AB378" s="60">
        <v>0</v>
      </c>
      <c r="AC378" s="60">
        <f>ROUND(N378*1.5%,2)</f>
        <v>0</v>
      </c>
      <c r="AD378" s="60">
        <v>108130.57</v>
      </c>
      <c r="AE378" s="60">
        <v>0</v>
      </c>
      <c r="AF378" s="170">
        <v>2020</v>
      </c>
      <c r="AG378" s="170" t="s">
        <v>257</v>
      </c>
      <c r="AH378" s="170" t="s">
        <v>257</v>
      </c>
    </row>
    <row r="379" spans="1:34" ht="61.5" x14ac:dyDescent="0.85">
      <c r="A379" s="7">
        <v>1</v>
      </c>
      <c r="B379" s="59">
        <f>SUBTOTAL(103,$A$22:A379)</f>
        <v>336</v>
      </c>
      <c r="C379" s="160" t="s">
        <v>126</v>
      </c>
      <c r="D379" s="60">
        <f t="shared" si="37"/>
        <v>89167.88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168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0">
        <v>0</v>
      </c>
      <c r="T379" s="60">
        <v>0</v>
      </c>
      <c r="U379" s="60">
        <v>0</v>
      </c>
      <c r="V379" s="60">
        <v>0</v>
      </c>
      <c r="W379" s="60">
        <v>0</v>
      </c>
      <c r="X379" s="60">
        <v>0</v>
      </c>
      <c r="Y379" s="60">
        <v>0</v>
      </c>
      <c r="Z379" s="60">
        <v>0</v>
      </c>
      <c r="AA379" s="60">
        <v>0</v>
      </c>
      <c r="AB379" s="60">
        <v>0</v>
      </c>
      <c r="AC379" s="60">
        <f>ROUND(N379*1.5%,2)</f>
        <v>0</v>
      </c>
      <c r="AD379" s="60">
        <v>89167.88</v>
      </c>
      <c r="AE379" s="60">
        <v>0</v>
      </c>
      <c r="AF379" s="170">
        <v>2020</v>
      </c>
      <c r="AG379" s="170" t="s">
        <v>257</v>
      </c>
      <c r="AH379" s="170" t="s">
        <v>257</v>
      </c>
    </row>
    <row r="380" spans="1:34" ht="61.5" x14ac:dyDescent="0.85">
      <c r="B380" s="160" t="s">
        <v>777</v>
      </c>
      <c r="C380" s="160"/>
      <c r="D380" s="177">
        <f t="shared" ref="D380:AE380" si="38">D381+D382</f>
        <v>2076549.34</v>
      </c>
      <c r="E380" s="60">
        <f t="shared" si="38"/>
        <v>39534.75</v>
      </c>
      <c r="F380" s="60">
        <f t="shared" si="38"/>
        <v>0</v>
      </c>
      <c r="G380" s="60">
        <f t="shared" si="38"/>
        <v>0</v>
      </c>
      <c r="H380" s="60">
        <f t="shared" si="38"/>
        <v>12043.62</v>
      </c>
      <c r="I380" s="60">
        <f t="shared" si="38"/>
        <v>295538.62</v>
      </c>
      <c r="J380" s="60">
        <f t="shared" si="38"/>
        <v>0</v>
      </c>
      <c r="K380" s="168">
        <f t="shared" si="38"/>
        <v>0</v>
      </c>
      <c r="L380" s="60">
        <f t="shared" si="38"/>
        <v>0</v>
      </c>
      <c r="M380" s="60">
        <f t="shared" si="38"/>
        <v>538.16</v>
      </c>
      <c r="N380" s="60">
        <f t="shared" si="38"/>
        <v>1713967.82</v>
      </c>
      <c r="O380" s="60">
        <f t="shared" si="38"/>
        <v>0</v>
      </c>
      <c r="P380" s="60">
        <f t="shared" si="38"/>
        <v>0</v>
      </c>
      <c r="Q380" s="60">
        <f t="shared" si="38"/>
        <v>0</v>
      </c>
      <c r="R380" s="60">
        <f t="shared" si="38"/>
        <v>0</v>
      </c>
      <c r="S380" s="60">
        <f t="shared" si="38"/>
        <v>0</v>
      </c>
      <c r="T380" s="60">
        <f t="shared" si="38"/>
        <v>0</v>
      </c>
      <c r="U380" s="60">
        <f t="shared" si="38"/>
        <v>0</v>
      </c>
      <c r="V380" s="60">
        <f t="shared" si="38"/>
        <v>0</v>
      </c>
      <c r="W380" s="60">
        <f t="shared" si="38"/>
        <v>0</v>
      </c>
      <c r="X380" s="60">
        <f t="shared" si="38"/>
        <v>0</v>
      </c>
      <c r="Y380" s="60">
        <f t="shared" si="38"/>
        <v>0</v>
      </c>
      <c r="Z380" s="60">
        <f t="shared" si="38"/>
        <v>0</v>
      </c>
      <c r="AA380" s="60">
        <f t="shared" si="38"/>
        <v>0</v>
      </c>
      <c r="AB380" s="60">
        <f t="shared" si="38"/>
        <v>0</v>
      </c>
      <c r="AC380" s="60">
        <f t="shared" si="38"/>
        <v>15464.529999999999</v>
      </c>
      <c r="AD380" s="60">
        <f t="shared" si="38"/>
        <v>0</v>
      </c>
      <c r="AE380" s="60">
        <f t="shared" si="38"/>
        <v>0</v>
      </c>
      <c r="AF380" s="54" t="s">
        <v>701</v>
      </c>
      <c r="AG380" s="54" t="s">
        <v>701</v>
      </c>
      <c r="AH380" s="55" t="s">
        <v>701</v>
      </c>
    </row>
    <row r="381" spans="1:34" ht="61.5" x14ac:dyDescent="0.85">
      <c r="A381" s="7">
        <v>1</v>
      </c>
      <c r="B381" s="59">
        <f>SUBTOTAL(103,$A$22:A381)</f>
        <v>337</v>
      </c>
      <c r="C381" s="160" t="s">
        <v>117</v>
      </c>
      <c r="D381" s="60">
        <f>E381+F381+G381+H381+I381+J381+L381+N381+P381+R381+T381+U381+V381+W381+X381+Y381+Z381+AA381+AB381+AC381+AD381+AE381</f>
        <v>1724251.6300000001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168">
        <v>0</v>
      </c>
      <c r="L381" s="60">
        <v>0</v>
      </c>
      <c r="M381" s="62">
        <v>538.16</v>
      </c>
      <c r="N381" s="62">
        <v>1713967.82</v>
      </c>
      <c r="O381" s="60">
        <v>0</v>
      </c>
      <c r="P381" s="60">
        <v>0</v>
      </c>
      <c r="Q381" s="60">
        <v>0</v>
      </c>
      <c r="R381" s="60">
        <v>0</v>
      </c>
      <c r="S381" s="60">
        <v>0</v>
      </c>
      <c r="T381" s="60">
        <v>0</v>
      </c>
      <c r="U381" s="60">
        <v>0</v>
      </c>
      <c r="V381" s="60">
        <v>0</v>
      </c>
      <c r="W381" s="60">
        <v>0</v>
      </c>
      <c r="X381" s="60">
        <v>0</v>
      </c>
      <c r="Y381" s="60">
        <v>0</v>
      </c>
      <c r="Z381" s="60">
        <v>0</v>
      </c>
      <c r="AA381" s="60">
        <v>0</v>
      </c>
      <c r="AB381" s="60">
        <v>0</v>
      </c>
      <c r="AC381" s="62">
        <v>10283.81</v>
      </c>
      <c r="AD381" s="60">
        <v>0</v>
      </c>
      <c r="AE381" s="60">
        <v>0</v>
      </c>
      <c r="AF381" s="170" t="s">
        <v>257</v>
      </c>
      <c r="AG381" s="170">
        <v>2020</v>
      </c>
      <c r="AH381" s="63">
        <v>2020</v>
      </c>
    </row>
    <row r="382" spans="1:34" ht="61.5" x14ac:dyDescent="0.85">
      <c r="A382" s="7">
        <v>1</v>
      </c>
      <c r="B382" s="59">
        <f>SUBTOTAL(103,$A$22:A382)</f>
        <v>338</v>
      </c>
      <c r="C382" s="160" t="s">
        <v>1152</v>
      </c>
      <c r="D382" s="60">
        <f>E382+F382+G382+H382+I382+J382+L382+N382+P382+R382+T382+U382+V382+W382+X382+Y382+Z382+AA382+AB382+AC382+AD382+AE382</f>
        <v>352297.70999999996</v>
      </c>
      <c r="E382" s="62">
        <v>39534.75</v>
      </c>
      <c r="F382" s="60">
        <v>0</v>
      </c>
      <c r="G382" s="60">
        <v>0</v>
      </c>
      <c r="H382" s="62">
        <v>12043.62</v>
      </c>
      <c r="I382" s="62">
        <v>295538.62</v>
      </c>
      <c r="J382" s="60">
        <v>0</v>
      </c>
      <c r="K382" s="168">
        <v>0</v>
      </c>
      <c r="L382" s="60">
        <v>0</v>
      </c>
      <c r="M382" s="60">
        <v>0</v>
      </c>
      <c r="N382" s="60">
        <v>0</v>
      </c>
      <c r="O382" s="60">
        <v>0</v>
      </c>
      <c r="P382" s="60">
        <v>0</v>
      </c>
      <c r="Q382" s="60">
        <v>0</v>
      </c>
      <c r="R382" s="60">
        <v>0</v>
      </c>
      <c r="S382" s="60">
        <v>0</v>
      </c>
      <c r="T382" s="60">
        <v>0</v>
      </c>
      <c r="U382" s="60">
        <v>0</v>
      </c>
      <c r="V382" s="60">
        <v>0</v>
      </c>
      <c r="W382" s="60">
        <v>0</v>
      </c>
      <c r="X382" s="60">
        <v>0</v>
      </c>
      <c r="Y382" s="60">
        <v>0</v>
      </c>
      <c r="Z382" s="60">
        <v>0</v>
      </c>
      <c r="AA382" s="60">
        <v>0</v>
      </c>
      <c r="AB382" s="60">
        <v>0</v>
      </c>
      <c r="AC382" s="60">
        <v>5180.72</v>
      </c>
      <c r="AD382" s="60">
        <v>0</v>
      </c>
      <c r="AE382" s="60">
        <v>0</v>
      </c>
      <c r="AF382" s="170" t="s">
        <v>257</v>
      </c>
      <c r="AG382" s="170">
        <v>2020</v>
      </c>
      <c r="AH382" s="63">
        <v>2020</v>
      </c>
    </row>
    <row r="383" spans="1:34" ht="61.5" x14ac:dyDescent="0.85">
      <c r="B383" s="160" t="s">
        <v>836</v>
      </c>
      <c r="C383" s="160"/>
      <c r="D383" s="177">
        <f t="shared" ref="D383:AE383" si="39">D384</f>
        <v>2005046.9200000002</v>
      </c>
      <c r="E383" s="60">
        <f t="shared" si="39"/>
        <v>0</v>
      </c>
      <c r="F383" s="60">
        <f t="shared" si="39"/>
        <v>0</v>
      </c>
      <c r="G383" s="60">
        <f t="shared" si="39"/>
        <v>0</v>
      </c>
      <c r="H383" s="60">
        <f t="shared" si="39"/>
        <v>0</v>
      </c>
      <c r="I383" s="60">
        <f t="shared" si="39"/>
        <v>0</v>
      </c>
      <c r="J383" s="60">
        <f t="shared" si="39"/>
        <v>0</v>
      </c>
      <c r="K383" s="168">
        <f t="shared" si="39"/>
        <v>0</v>
      </c>
      <c r="L383" s="60">
        <f t="shared" si="39"/>
        <v>0</v>
      </c>
      <c r="M383" s="60">
        <f t="shared" si="39"/>
        <v>317.68</v>
      </c>
      <c r="N383" s="60">
        <f t="shared" si="39"/>
        <v>1068295.6000000001</v>
      </c>
      <c r="O383" s="60">
        <f t="shared" si="39"/>
        <v>0</v>
      </c>
      <c r="P383" s="60">
        <f t="shared" si="39"/>
        <v>0</v>
      </c>
      <c r="Q383" s="60">
        <f t="shared" si="39"/>
        <v>364.69</v>
      </c>
      <c r="R383" s="60">
        <f t="shared" si="39"/>
        <v>915315.12</v>
      </c>
      <c r="S383" s="60">
        <f t="shared" si="39"/>
        <v>0</v>
      </c>
      <c r="T383" s="60">
        <f t="shared" si="39"/>
        <v>0</v>
      </c>
      <c r="U383" s="60">
        <f t="shared" si="39"/>
        <v>0</v>
      </c>
      <c r="V383" s="60">
        <f t="shared" si="39"/>
        <v>0</v>
      </c>
      <c r="W383" s="60">
        <f t="shared" si="39"/>
        <v>0</v>
      </c>
      <c r="X383" s="60">
        <f t="shared" si="39"/>
        <v>0</v>
      </c>
      <c r="Y383" s="60">
        <f t="shared" si="39"/>
        <v>0</v>
      </c>
      <c r="Z383" s="60">
        <f t="shared" si="39"/>
        <v>0</v>
      </c>
      <c r="AA383" s="60">
        <f t="shared" si="39"/>
        <v>0</v>
      </c>
      <c r="AB383" s="60">
        <f t="shared" si="39"/>
        <v>0</v>
      </c>
      <c r="AC383" s="60">
        <f t="shared" si="39"/>
        <v>21436.2</v>
      </c>
      <c r="AD383" s="60">
        <f t="shared" si="39"/>
        <v>0</v>
      </c>
      <c r="AE383" s="60">
        <f t="shared" si="39"/>
        <v>0</v>
      </c>
      <c r="AF383" s="54" t="s">
        <v>701</v>
      </c>
      <c r="AG383" s="54" t="s">
        <v>701</v>
      </c>
      <c r="AH383" s="55" t="s">
        <v>701</v>
      </c>
    </row>
    <row r="384" spans="1:34" ht="61.5" x14ac:dyDescent="0.85">
      <c r="A384" s="7">
        <v>1</v>
      </c>
      <c r="B384" s="59">
        <f>SUBTOTAL(103,$A$22:A384)</f>
        <v>339</v>
      </c>
      <c r="C384" s="160" t="s">
        <v>118</v>
      </c>
      <c r="D384" s="60">
        <f>E384+F384+G384+H384+I384+J384+L384+N384+P384+R384+T384+U384+V384+W384+X384+Y384+Z384+AA384+AB384+AC384+AD384+AE384</f>
        <v>2005046.9200000002</v>
      </c>
      <c r="E384" s="60">
        <v>0</v>
      </c>
      <c r="F384" s="60">
        <v>0</v>
      </c>
      <c r="G384" s="60">
        <v>0</v>
      </c>
      <c r="H384" s="60">
        <v>0</v>
      </c>
      <c r="I384" s="60">
        <v>0</v>
      </c>
      <c r="J384" s="60">
        <v>0</v>
      </c>
      <c r="K384" s="168">
        <v>0</v>
      </c>
      <c r="L384" s="60">
        <v>0</v>
      </c>
      <c r="M384" s="62">
        <v>317.68</v>
      </c>
      <c r="N384" s="169">
        <v>1068295.6000000001</v>
      </c>
      <c r="O384" s="60">
        <v>0</v>
      </c>
      <c r="P384" s="60">
        <v>0</v>
      </c>
      <c r="Q384" s="62">
        <v>364.69</v>
      </c>
      <c r="R384" s="62">
        <v>915315.12</v>
      </c>
      <c r="S384" s="60">
        <v>0</v>
      </c>
      <c r="T384" s="60">
        <v>0</v>
      </c>
      <c r="U384" s="60">
        <v>0</v>
      </c>
      <c r="V384" s="60">
        <v>0</v>
      </c>
      <c r="W384" s="60">
        <v>0</v>
      </c>
      <c r="X384" s="60">
        <v>0</v>
      </c>
      <c r="Y384" s="60">
        <v>0</v>
      </c>
      <c r="Z384" s="60">
        <v>0</v>
      </c>
      <c r="AA384" s="60">
        <v>0</v>
      </c>
      <c r="AB384" s="60">
        <v>0</v>
      </c>
      <c r="AC384" s="60">
        <v>21436.2</v>
      </c>
      <c r="AD384" s="60">
        <v>0</v>
      </c>
      <c r="AE384" s="60">
        <v>0</v>
      </c>
      <c r="AF384" s="170" t="s">
        <v>257</v>
      </c>
      <c r="AG384" s="170">
        <v>2020</v>
      </c>
      <c r="AH384" s="63">
        <v>2020</v>
      </c>
    </row>
    <row r="385" spans="1:34" ht="61.5" x14ac:dyDescent="0.85">
      <c r="B385" s="160" t="s">
        <v>778</v>
      </c>
      <c r="C385" s="160"/>
      <c r="D385" s="177">
        <f t="shared" ref="D385:AE385" si="40">D386</f>
        <v>3681483.63</v>
      </c>
      <c r="E385" s="60">
        <f t="shared" si="40"/>
        <v>0</v>
      </c>
      <c r="F385" s="60">
        <f t="shared" si="40"/>
        <v>0</v>
      </c>
      <c r="G385" s="60">
        <f t="shared" si="40"/>
        <v>0</v>
      </c>
      <c r="H385" s="60">
        <f t="shared" si="40"/>
        <v>0</v>
      </c>
      <c r="I385" s="60">
        <f t="shared" si="40"/>
        <v>0</v>
      </c>
      <c r="J385" s="60">
        <f t="shared" si="40"/>
        <v>0</v>
      </c>
      <c r="K385" s="168">
        <f t="shared" si="40"/>
        <v>0</v>
      </c>
      <c r="L385" s="60">
        <f t="shared" si="40"/>
        <v>0</v>
      </c>
      <c r="M385" s="60">
        <f t="shared" si="40"/>
        <v>836.6</v>
      </c>
      <c r="N385" s="60">
        <f t="shared" si="40"/>
        <v>3599348.79</v>
      </c>
      <c r="O385" s="60">
        <f t="shared" si="40"/>
        <v>0</v>
      </c>
      <c r="P385" s="60">
        <f t="shared" si="40"/>
        <v>0</v>
      </c>
      <c r="Q385" s="60">
        <f t="shared" si="40"/>
        <v>0</v>
      </c>
      <c r="R385" s="60">
        <f t="shared" si="40"/>
        <v>0</v>
      </c>
      <c r="S385" s="60">
        <f t="shared" si="40"/>
        <v>0</v>
      </c>
      <c r="T385" s="60">
        <f t="shared" si="40"/>
        <v>0</v>
      </c>
      <c r="U385" s="60">
        <f t="shared" si="40"/>
        <v>0</v>
      </c>
      <c r="V385" s="60">
        <f t="shared" si="40"/>
        <v>0</v>
      </c>
      <c r="W385" s="60">
        <f t="shared" si="40"/>
        <v>0</v>
      </c>
      <c r="X385" s="60">
        <f t="shared" si="40"/>
        <v>0</v>
      </c>
      <c r="Y385" s="60">
        <f t="shared" si="40"/>
        <v>0</v>
      </c>
      <c r="Z385" s="60">
        <f t="shared" si="40"/>
        <v>0</v>
      </c>
      <c r="AA385" s="60">
        <f t="shared" si="40"/>
        <v>0</v>
      </c>
      <c r="AB385" s="60">
        <f t="shared" si="40"/>
        <v>0</v>
      </c>
      <c r="AC385" s="60">
        <f t="shared" si="40"/>
        <v>20503.310000000001</v>
      </c>
      <c r="AD385" s="60">
        <f t="shared" si="40"/>
        <v>61631.53</v>
      </c>
      <c r="AE385" s="60">
        <f t="shared" si="40"/>
        <v>0</v>
      </c>
      <c r="AF385" s="54" t="s">
        <v>701</v>
      </c>
      <c r="AG385" s="54" t="s">
        <v>701</v>
      </c>
      <c r="AH385" s="55" t="s">
        <v>701</v>
      </c>
    </row>
    <row r="386" spans="1:34" ht="61.5" x14ac:dyDescent="0.85">
      <c r="A386" s="7">
        <v>1</v>
      </c>
      <c r="B386" s="59">
        <f>SUBTOTAL(103,$A$22:A386)</f>
        <v>340</v>
      </c>
      <c r="C386" s="160" t="s">
        <v>119</v>
      </c>
      <c r="D386" s="60">
        <f>E386+F386+G386+H386+I386+J386+L386+N386+P386+R386+T386+U386+V386+W386+X386+Y386+Z386+AA386+AB386+AC386+AD386+AE386</f>
        <v>3681483.63</v>
      </c>
      <c r="E386" s="60">
        <v>0</v>
      </c>
      <c r="F386" s="60">
        <v>0</v>
      </c>
      <c r="G386" s="60">
        <v>0</v>
      </c>
      <c r="H386" s="60">
        <v>0</v>
      </c>
      <c r="I386" s="60">
        <v>0</v>
      </c>
      <c r="J386" s="60">
        <v>0</v>
      </c>
      <c r="K386" s="168">
        <v>0</v>
      </c>
      <c r="L386" s="60">
        <v>0</v>
      </c>
      <c r="M386" s="62">
        <v>836.6</v>
      </c>
      <c r="N386" s="62">
        <f>3417217.79+182131</f>
        <v>3599348.79</v>
      </c>
      <c r="O386" s="60">
        <v>0</v>
      </c>
      <c r="P386" s="60">
        <v>0</v>
      </c>
      <c r="Q386" s="60">
        <v>0</v>
      </c>
      <c r="R386" s="60">
        <v>0</v>
      </c>
      <c r="S386" s="60">
        <v>0</v>
      </c>
      <c r="T386" s="60">
        <v>0</v>
      </c>
      <c r="U386" s="60">
        <v>0</v>
      </c>
      <c r="V386" s="60">
        <v>0</v>
      </c>
      <c r="W386" s="60">
        <v>0</v>
      </c>
      <c r="X386" s="60">
        <v>0</v>
      </c>
      <c r="Y386" s="60">
        <v>0</v>
      </c>
      <c r="Z386" s="60">
        <v>0</v>
      </c>
      <c r="AA386" s="60">
        <v>0</v>
      </c>
      <c r="AB386" s="60">
        <v>0</v>
      </c>
      <c r="AC386" s="62">
        <v>20503.310000000001</v>
      </c>
      <c r="AD386" s="60">
        <v>61631.53</v>
      </c>
      <c r="AE386" s="60">
        <v>0</v>
      </c>
      <c r="AF386" s="170">
        <v>2020</v>
      </c>
      <c r="AG386" s="170">
        <v>2020</v>
      </c>
      <c r="AH386" s="170">
        <v>2020</v>
      </c>
    </row>
    <row r="387" spans="1:34" ht="61.5" x14ac:dyDescent="0.85">
      <c r="B387" s="160" t="s">
        <v>779</v>
      </c>
      <c r="C387" s="176"/>
      <c r="D387" s="177">
        <f t="shared" ref="D387:AE387" si="41">SUM(D388:D391)</f>
        <v>4283070.8099999996</v>
      </c>
      <c r="E387" s="60">
        <f t="shared" si="41"/>
        <v>0</v>
      </c>
      <c r="F387" s="60">
        <f t="shared" si="41"/>
        <v>0</v>
      </c>
      <c r="G387" s="60">
        <f t="shared" si="41"/>
        <v>0</v>
      </c>
      <c r="H387" s="60">
        <f t="shared" si="41"/>
        <v>0</v>
      </c>
      <c r="I387" s="60">
        <f t="shared" si="41"/>
        <v>0</v>
      </c>
      <c r="J387" s="60">
        <f t="shared" si="41"/>
        <v>0</v>
      </c>
      <c r="K387" s="168">
        <f t="shared" si="41"/>
        <v>0</v>
      </c>
      <c r="L387" s="60">
        <f t="shared" si="41"/>
        <v>0</v>
      </c>
      <c r="M387" s="60">
        <f t="shared" si="41"/>
        <v>678.3</v>
      </c>
      <c r="N387" s="60">
        <f t="shared" si="41"/>
        <v>2321700.09</v>
      </c>
      <c r="O387" s="60">
        <f t="shared" si="41"/>
        <v>0</v>
      </c>
      <c r="P387" s="60">
        <f t="shared" si="41"/>
        <v>0</v>
      </c>
      <c r="Q387" s="60">
        <f t="shared" si="41"/>
        <v>542.73</v>
      </c>
      <c r="R387" s="60">
        <f t="shared" si="41"/>
        <v>1785668.47</v>
      </c>
      <c r="S387" s="60">
        <f t="shared" si="41"/>
        <v>0</v>
      </c>
      <c r="T387" s="60">
        <f t="shared" si="41"/>
        <v>0</v>
      </c>
      <c r="U387" s="60">
        <f t="shared" si="41"/>
        <v>0</v>
      </c>
      <c r="V387" s="60">
        <f t="shared" si="41"/>
        <v>0</v>
      </c>
      <c r="W387" s="60">
        <f t="shared" si="41"/>
        <v>0</v>
      </c>
      <c r="X387" s="60">
        <f t="shared" si="41"/>
        <v>0</v>
      </c>
      <c r="Y387" s="60">
        <f t="shared" si="41"/>
        <v>0</v>
      </c>
      <c r="Z387" s="60">
        <f t="shared" si="41"/>
        <v>0</v>
      </c>
      <c r="AA387" s="60">
        <f t="shared" si="41"/>
        <v>0</v>
      </c>
      <c r="AB387" s="60">
        <f t="shared" si="41"/>
        <v>0</v>
      </c>
      <c r="AC387" s="60">
        <f t="shared" si="41"/>
        <v>23035.119999999999</v>
      </c>
      <c r="AD387" s="60">
        <f t="shared" si="41"/>
        <v>152667.13</v>
      </c>
      <c r="AE387" s="60">
        <f t="shared" si="41"/>
        <v>0</v>
      </c>
      <c r="AF387" s="54" t="s">
        <v>701</v>
      </c>
      <c r="AG387" s="54" t="s">
        <v>701</v>
      </c>
      <c r="AH387" s="55" t="s">
        <v>701</v>
      </c>
    </row>
    <row r="388" spans="1:34" ht="61.5" x14ac:dyDescent="0.85">
      <c r="A388" s="7">
        <v>1</v>
      </c>
      <c r="B388" s="59">
        <f>SUBTOTAL(103,$A$22:A388)</f>
        <v>341</v>
      </c>
      <c r="C388" s="160" t="s">
        <v>164</v>
      </c>
      <c r="D388" s="60">
        <f>E388+F388+G388+H388+I388+J388+L388+N388+P388+R388+T388+U388+V388+W388+X388+Y388+Z388+AA388+AB388+AC388+AD388+AE388</f>
        <v>2321700.09</v>
      </c>
      <c r="E388" s="60">
        <v>0</v>
      </c>
      <c r="F388" s="60">
        <v>0</v>
      </c>
      <c r="G388" s="60">
        <v>0</v>
      </c>
      <c r="H388" s="60">
        <v>0</v>
      </c>
      <c r="I388" s="60">
        <v>0</v>
      </c>
      <c r="J388" s="60">
        <v>0</v>
      </c>
      <c r="K388" s="168">
        <v>0</v>
      </c>
      <c r="L388" s="60">
        <v>0</v>
      </c>
      <c r="M388" s="62">
        <v>678.3</v>
      </c>
      <c r="N388" s="62">
        <v>2321700.09</v>
      </c>
      <c r="O388" s="60">
        <v>0</v>
      </c>
      <c r="P388" s="60">
        <v>0</v>
      </c>
      <c r="Q388" s="60">
        <v>0</v>
      </c>
      <c r="R388" s="60">
        <v>0</v>
      </c>
      <c r="S388" s="60">
        <v>0</v>
      </c>
      <c r="T388" s="60">
        <v>0</v>
      </c>
      <c r="U388" s="60">
        <v>0</v>
      </c>
      <c r="V388" s="60">
        <v>0</v>
      </c>
      <c r="W388" s="60">
        <v>0</v>
      </c>
      <c r="X388" s="60">
        <v>0</v>
      </c>
      <c r="Y388" s="60">
        <v>0</v>
      </c>
      <c r="Z388" s="60">
        <v>0</v>
      </c>
      <c r="AA388" s="60">
        <v>0</v>
      </c>
      <c r="AB388" s="60">
        <v>0</v>
      </c>
      <c r="AC388" s="60">
        <v>0</v>
      </c>
      <c r="AD388" s="60">
        <v>0</v>
      </c>
      <c r="AE388" s="60">
        <v>0</v>
      </c>
      <c r="AF388" s="170" t="s">
        <v>257</v>
      </c>
      <c r="AG388" s="170">
        <v>2020</v>
      </c>
      <c r="AH388" s="63" t="s">
        <v>257</v>
      </c>
    </row>
    <row r="389" spans="1:34" ht="61.5" x14ac:dyDescent="0.85">
      <c r="A389" s="7">
        <v>1</v>
      </c>
      <c r="B389" s="59">
        <f>SUBTOTAL(103,$A$22:A389)</f>
        <v>342</v>
      </c>
      <c r="C389" s="160" t="s">
        <v>165</v>
      </c>
      <c r="D389" s="60">
        <f>E389+F389+G389+H389+I389+J389+L389+N389+P389+R389+T389+U389+V389+W389+X389+Y389+Z389+AA389+AB389+AC389+AD389+AE389</f>
        <v>1808703.59</v>
      </c>
      <c r="E389" s="60">
        <v>0</v>
      </c>
      <c r="F389" s="60">
        <v>0</v>
      </c>
      <c r="G389" s="60">
        <v>0</v>
      </c>
      <c r="H389" s="60">
        <v>0</v>
      </c>
      <c r="I389" s="60">
        <v>0</v>
      </c>
      <c r="J389" s="60">
        <v>0</v>
      </c>
      <c r="K389" s="168">
        <v>0</v>
      </c>
      <c r="L389" s="60">
        <v>0</v>
      </c>
      <c r="M389" s="60">
        <v>0</v>
      </c>
      <c r="N389" s="60">
        <v>0</v>
      </c>
      <c r="O389" s="60">
        <v>0</v>
      </c>
      <c r="P389" s="60">
        <v>0</v>
      </c>
      <c r="Q389" s="62">
        <v>542.73</v>
      </c>
      <c r="R389" s="62">
        <v>1785668.47</v>
      </c>
      <c r="S389" s="60">
        <v>0</v>
      </c>
      <c r="T389" s="60">
        <v>0</v>
      </c>
      <c r="U389" s="60">
        <v>0</v>
      </c>
      <c r="V389" s="60">
        <v>0</v>
      </c>
      <c r="W389" s="60">
        <v>0</v>
      </c>
      <c r="X389" s="60">
        <v>0</v>
      </c>
      <c r="Y389" s="60">
        <v>0</v>
      </c>
      <c r="Z389" s="60">
        <v>0</v>
      </c>
      <c r="AA389" s="60">
        <v>0</v>
      </c>
      <c r="AB389" s="60">
        <v>0</v>
      </c>
      <c r="AC389" s="62">
        <v>23035.119999999999</v>
      </c>
      <c r="AD389" s="60">
        <v>0</v>
      </c>
      <c r="AE389" s="60">
        <v>0</v>
      </c>
      <c r="AF389" s="170" t="s">
        <v>257</v>
      </c>
      <c r="AG389" s="170">
        <v>2020</v>
      </c>
      <c r="AH389" s="63">
        <v>2020</v>
      </c>
    </row>
    <row r="390" spans="1:34" ht="61.5" x14ac:dyDescent="0.85">
      <c r="A390" s="7">
        <v>1</v>
      </c>
      <c r="B390" s="59">
        <f>SUBTOTAL(103,$A$22:A390)</f>
        <v>343</v>
      </c>
      <c r="C390" s="160" t="s">
        <v>163</v>
      </c>
      <c r="D390" s="60">
        <f>E390+F390+G390+H390+I390+J390+L390+N390+P390+R390+T390+U390+V390+W390+X390+Y390+Z390+AA390+AB390+AC390+AD390+AE390</f>
        <v>104027.61</v>
      </c>
      <c r="E390" s="60">
        <v>0</v>
      </c>
      <c r="F390" s="60">
        <v>0</v>
      </c>
      <c r="G390" s="60">
        <v>0</v>
      </c>
      <c r="H390" s="60">
        <v>0</v>
      </c>
      <c r="I390" s="60">
        <v>0</v>
      </c>
      <c r="J390" s="60">
        <v>0</v>
      </c>
      <c r="K390" s="168">
        <v>0</v>
      </c>
      <c r="L390" s="60">
        <v>0</v>
      </c>
      <c r="M390" s="60">
        <v>0</v>
      </c>
      <c r="N390" s="60">
        <v>0</v>
      </c>
      <c r="O390" s="60">
        <v>0</v>
      </c>
      <c r="P390" s="60">
        <v>0</v>
      </c>
      <c r="Q390" s="60">
        <v>0</v>
      </c>
      <c r="R390" s="60">
        <v>0</v>
      </c>
      <c r="S390" s="60">
        <v>0</v>
      </c>
      <c r="T390" s="60">
        <v>0</v>
      </c>
      <c r="U390" s="60">
        <v>0</v>
      </c>
      <c r="V390" s="60">
        <v>0</v>
      </c>
      <c r="W390" s="60">
        <v>0</v>
      </c>
      <c r="X390" s="60">
        <v>0</v>
      </c>
      <c r="Y390" s="60">
        <v>0</v>
      </c>
      <c r="Z390" s="60">
        <v>0</v>
      </c>
      <c r="AA390" s="60">
        <v>0</v>
      </c>
      <c r="AB390" s="60">
        <v>0</v>
      </c>
      <c r="AC390" s="60">
        <f>ROUND(U390*1.5%,2)</f>
        <v>0</v>
      </c>
      <c r="AD390" s="169">
        <v>104027.61</v>
      </c>
      <c r="AE390" s="60">
        <v>0</v>
      </c>
      <c r="AF390" s="170">
        <v>2020</v>
      </c>
      <c r="AG390" s="170" t="s">
        <v>257</v>
      </c>
      <c r="AH390" s="170" t="s">
        <v>257</v>
      </c>
    </row>
    <row r="391" spans="1:34" ht="61.5" x14ac:dyDescent="0.85">
      <c r="A391" s="7">
        <v>1</v>
      </c>
      <c r="B391" s="59">
        <f>SUBTOTAL(103,$A$22:A391)</f>
        <v>344</v>
      </c>
      <c r="C391" s="160" t="s">
        <v>1477</v>
      </c>
      <c r="D391" s="60">
        <f>E391+F391+G391+H391+I391+J391+L391+N391+P391+R391+T391+U391+V391+W391+X391+Y391+Z391+AA391+AB391+AC391+AD391+AE391</f>
        <v>48639.519999999997</v>
      </c>
      <c r="E391" s="60">
        <v>0</v>
      </c>
      <c r="F391" s="60">
        <v>0</v>
      </c>
      <c r="G391" s="60">
        <v>0</v>
      </c>
      <c r="H391" s="60">
        <v>0</v>
      </c>
      <c r="I391" s="60">
        <v>0</v>
      </c>
      <c r="J391" s="60">
        <v>0</v>
      </c>
      <c r="K391" s="168">
        <v>0</v>
      </c>
      <c r="L391" s="60">
        <v>0</v>
      </c>
      <c r="M391" s="60">
        <v>0</v>
      </c>
      <c r="N391" s="60">
        <v>0</v>
      </c>
      <c r="O391" s="60">
        <v>0</v>
      </c>
      <c r="P391" s="60">
        <v>0</v>
      </c>
      <c r="Q391" s="60">
        <v>0</v>
      </c>
      <c r="R391" s="60">
        <v>0</v>
      </c>
      <c r="S391" s="60">
        <v>0</v>
      </c>
      <c r="T391" s="60">
        <v>0</v>
      </c>
      <c r="U391" s="60">
        <v>0</v>
      </c>
      <c r="V391" s="60">
        <v>0</v>
      </c>
      <c r="W391" s="60">
        <v>0</v>
      </c>
      <c r="X391" s="60">
        <v>0</v>
      </c>
      <c r="Y391" s="60">
        <v>0</v>
      </c>
      <c r="Z391" s="60">
        <v>0</v>
      </c>
      <c r="AA391" s="60">
        <v>0</v>
      </c>
      <c r="AB391" s="60">
        <v>0</v>
      </c>
      <c r="AC391" s="60">
        <f>ROUND(N391*1.5%,2)</f>
        <v>0</v>
      </c>
      <c r="AD391" s="62">
        <v>48639.519999999997</v>
      </c>
      <c r="AE391" s="60">
        <v>0</v>
      </c>
      <c r="AF391" s="170">
        <v>2020</v>
      </c>
      <c r="AG391" s="170" t="s">
        <v>257</v>
      </c>
      <c r="AH391" s="170" t="s">
        <v>257</v>
      </c>
    </row>
    <row r="392" spans="1:34" ht="61.5" x14ac:dyDescent="0.85">
      <c r="B392" s="160" t="s">
        <v>780</v>
      </c>
      <c r="C392" s="160"/>
      <c r="D392" s="177">
        <f t="shared" ref="D392:AE392" si="42">SUM(D393:D394)</f>
        <v>3114731.1799999997</v>
      </c>
      <c r="E392" s="60">
        <f t="shared" si="42"/>
        <v>104595</v>
      </c>
      <c r="F392" s="60">
        <f t="shared" si="42"/>
        <v>0</v>
      </c>
      <c r="G392" s="60">
        <f t="shared" si="42"/>
        <v>1449470</v>
      </c>
      <c r="H392" s="60">
        <f t="shared" si="42"/>
        <v>0</v>
      </c>
      <c r="I392" s="60">
        <f t="shared" si="42"/>
        <v>215247</v>
      </c>
      <c r="J392" s="60">
        <f t="shared" si="42"/>
        <v>0</v>
      </c>
      <c r="K392" s="168">
        <f t="shared" si="42"/>
        <v>0</v>
      </c>
      <c r="L392" s="60">
        <f t="shared" si="42"/>
        <v>0</v>
      </c>
      <c r="M392" s="60">
        <f t="shared" si="42"/>
        <v>401.44</v>
      </c>
      <c r="N392" s="60">
        <f t="shared" si="42"/>
        <v>1267442.73</v>
      </c>
      <c r="O392" s="60">
        <f t="shared" si="42"/>
        <v>0</v>
      </c>
      <c r="P392" s="60">
        <f t="shared" si="42"/>
        <v>0</v>
      </c>
      <c r="Q392" s="60">
        <f t="shared" si="42"/>
        <v>0</v>
      </c>
      <c r="R392" s="60">
        <f t="shared" si="42"/>
        <v>0</v>
      </c>
      <c r="S392" s="60">
        <f t="shared" si="42"/>
        <v>0</v>
      </c>
      <c r="T392" s="60">
        <f t="shared" si="42"/>
        <v>0</v>
      </c>
      <c r="U392" s="60">
        <f t="shared" si="42"/>
        <v>0</v>
      </c>
      <c r="V392" s="60">
        <f t="shared" si="42"/>
        <v>0</v>
      </c>
      <c r="W392" s="60">
        <f t="shared" si="42"/>
        <v>0</v>
      </c>
      <c r="X392" s="60">
        <f t="shared" si="42"/>
        <v>0</v>
      </c>
      <c r="Y392" s="60">
        <f t="shared" si="42"/>
        <v>0</v>
      </c>
      <c r="Z392" s="60">
        <f t="shared" si="42"/>
        <v>0</v>
      </c>
      <c r="AA392" s="60">
        <f t="shared" si="42"/>
        <v>0</v>
      </c>
      <c r="AB392" s="60">
        <f t="shared" si="42"/>
        <v>0</v>
      </c>
      <c r="AC392" s="60">
        <f t="shared" si="42"/>
        <v>33866.199999999997</v>
      </c>
      <c r="AD392" s="60">
        <f t="shared" si="42"/>
        <v>44110.25</v>
      </c>
      <c r="AE392" s="60">
        <f t="shared" si="42"/>
        <v>0</v>
      </c>
      <c r="AF392" s="54" t="s">
        <v>701</v>
      </c>
      <c r="AG392" s="54" t="s">
        <v>701</v>
      </c>
      <c r="AH392" s="55" t="s">
        <v>701</v>
      </c>
    </row>
    <row r="393" spans="1:34" ht="61.5" x14ac:dyDescent="0.85">
      <c r="A393" s="7">
        <v>1</v>
      </c>
      <c r="B393" s="59">
        <f>SUBTOTAL(103,$A$22:A393)</f>
        <v>345</v>
      </c>
      <c r="C393" s="160" t="s">
        <v>162</v>
      </c>
      <c r="D393" s="60">
        <f>E393+F393+G393+H393+I393+J393+L393+N393+P393+R393+T393+U393+V393+W393+X393+Y393+Z393+AA393+AB393+AC393+AD393+AE393</f>
        <v>1327902.99</v>
      </c>
      <c r="E393" s="60">
        <v>0</v>
      </c>
      <c r="F393" s="60">
        <v>0</v>
      </c>
      <c r="G393" s="60">
        <v>0</v>
      </c>
      <c r="H393" s="60">
        <v>0</v>
      </c>
      <c r="I393" s="60">
        <v>0</v>
      </c>
      <c r="J393" s="60">
        <v>0</v>
      </c>
      <c r="K393" s="168">
        <v>0</v>
      </c>
      <c r="L393" s="60">
        <v>0</v>
      </c>
      <c r="M393" s="62">
        <v>401.44</v>
      </c>
      <c r="N393" s="169">
        <v>1267442.73</v>
      </c>
      <c r="O393" s="60">
        <v>0</v>
      </c>
      <c r="P393" s="60">
        <v>0</v>
      </c>
      <c r="Q393" s="60">
        <v>0</v>
      </c>
      <c r="R393" s="60">
        <v>0</v>
      </c>
      <c r="S393" s="60">
        <v>0</v>
      </c>
      <c r="T393" s="60">
        <v>0</v>
      </c>
      <c r="U393" s="60">
        <v>0</v>
      </c>
      <c r="V393" s="60">
        <v>0</v>
      </c>
      <c r="W393" s="60">
        <v>0</v>
      </c>
      <c r="X393" s="60">
        <v>0</v>
      </c>
      <c r="Y393" s="60">
        <v>0</v>
      </c>
      <c r="Z393" s="60">
        <v>0</v>
      </c>
      <c r="AA393" s="60">
        <v>0</v>
      </c>
      <c r="AB393" s="60">
        <v>0</v>
      </c>
      <c r="AC393" s="169">
        <v>16350.01</v>
      </c>
      <c r="AD393" s="62">
        <v>44110.25</v>
      </c>
      <c r="AE393" s="60">
        <v>0</v>
      </c>
      <c r="AF393" s="170">
        <v>2020</v>
      </c>
      <c r="AG393" s="170">
        <v>2020</v>
      </c>
      <c r="AH393" s="63">
        <v>2020</v>
      </c>
    </row>
    <row r="394" spans="1:34" ht="61.5" x14ac:dyDescent="0.85">
      <c r="A394" s="7">
        <v>1</v>
      </c>
      <c r="B394" s="59">
        <f>SUBTOTAL(103,$A$22:A394)</f>
        <v>346</v>
      </c>
      <c r="C394" s="160" t="s">
        <v>1155</v>
      </c>
      <c r="D394" s="60">
        <f>E394+F394+G394+H394+I394+J394+L394+N394+P394+R394+T394+U394+V394+W394+X394+Y394+Z394+AA394+AB394+AC394+AD394+AE394</f>
        <v>1786828.19</v>
      </c>
      <c r="E394" s="172">
        <v>104595</v>
      </c>
      <c r="F394" s="60">
        <v>0</v>
      </c>
      <c r="G394" s="172">
        <v>1449470</v>
      </c>
      <c r="H394" s="60">
        <v>0</v>
      </c>
      <c r="I394" s="172">
        <v>215247</v>
      </c>
      <c r="J394" s="60">
        <v>0</v>
      </c>
      <c r="K394" s="168">
        <v>0</v>
      </c>
      <c r="L394" s="60">
        <v>0</v>
      </c>
      <c r="M394" s="60">
        <v>0</v>
      </c>
      <c r="N394" s="60">
        <v>0</v>
      </c>
      <c r="O394" s="60">
        <v>0</v>
      </c>
      <c r="P394" s="60">
        <v>0</v>
      </c>
      <c r="Q394" s="60">
        <v>0</v>
      </c>
      <c r="R394" s="60">
        <v>0</v>
      </c>
      <c r="S394" s="60">
        <v>0</v>
      </c>
      <c r="T394" s="60">
        <v>0</v>
      </c>
      <c r="U394" s="60">
        <v>0</v>
      </c>
      <c r="V394" s="60">
        <v>0</v>
      </c>
      <c r="W394" s="60">
        <v>0</v>
      </c>
      <c r="X394" s="60">
        <v>0</v>
      </c>
      <c r="Y394" s="60">
        <v>0</v>
      </c>
      <c r="Z394" s="60">
        <v>0</v>
      </c>
      <c r="AA394" s="60">
        <v>0</v>
      </c>
      <c r="AB394" s="60">
        <v>0</v>
      </c>
      <c r="AC394" s="60">
        <v>17516.189999999999</v>
      </c>
      <c r="AD394" s="60">
        <v>0</v>
      </c>
      <c r="AE394" s="60">
        <v>0</v>
      </c>
      <c r="AF394" s="170" t="s">
        <v>257</v>
      </c>
      <c r="AG394" s="170">
        <v>2020</v>
      </c>
      <c r="AH394" s="63">
        <v>2020</v>
      </c>
    </row>
    <row r="395" spans="1:34" ht="61.5" x14ac:dyDescent="0.85">
      <c r="B395" s="160" t="s">
        <v>782</v>
      </c>
      <c r="C395" s="160"/>
      <c r="D395" s="177">
        <f t="shared" ref="D395:AE395" si="43">D396</f>
        <v>43566.44</v>
      </c>
      <c r="E395" s="60">
        <f t="shared" si="43"/>
        <v>0</v>
      </c>
      <c r="F395" s="60">
        <f t="shared" si="43"/>
        <v>0</v>
      </c>
      <c r="G395" s="60">
        <f t="shared" si="43"/>
        <v>0</v>
      </c>
      <c r="H395" s="60">
        <f t="shared" si="43"/>
        <v>0</v>
      </c>
      <c r="I395" s="60">
        <f t="shared" si="43"/>
        <v>0</v>
      </c>
      <c r="J395" s="60">
        <f t="shared" si="43"/>
        <v>0</v>
      </c>
      <c r="K395" s="168">
        <f t="shared" si="43"/>
        <v>0</v>
      </c>
      <c r="L395" s="60">
        <f t="shared" si="43"/>
        <v>0</v>
      </c>
      <c r="M395" s="60">
        <f t="shared" si="43"/>
        <v>0</v>
      </c>
      <c r="N395" s="60">
        <f t="shared" si="43"/>
        <v>0</v>
      </c>
      <c r="O395" s="60">
        <f t="shared" si="43"/>
        <v>0</v>
      </c>
      <c r="P395" s="60">
        <f t="shared" si="43"/>
        <v>0</v>
      </c>
      <c r="Q395" s="60">
        <f t="shared" si="43"/>
        <v>0</v>
      </c>
      <c r="R395" s="60">
        <f t="shared" si="43"/>
        <v>0</v>
      </c>
      <c r="S395" s="60">
        <f t="shared" si="43"/>
        <v>0</v>
      </c>
      <c r="T395" s="60">
        <f t="shared" si="43"/>
        <v>0</v>
      </c>
      <c r="U395" s="60">
        <f t="shared" si="43"/>
        <v>0</v>
      </c>
      <c r="V395" s="60">
        <f t="shared" si="43"/>
        <v>0</v>
      </c>
      <c r="W395" s="60">
        <f t="shared" si="43"/>
        <v>0</v>
      </c>
      <c r="X395" s="60">
        <f t="shared" si="43"/>
        <v>0</v>
      </c>
      <c r="Y395" s="60">
        <f t="shared" si="43"/>
        <v>0</v>
      </c>
      <c r="Z395" s="60">
        <f t="shared" si="43"/>
        <v>0</v>
      </c>
      <c r="AA395" s="60">
        <f t="shared" si="43"/>
        <v>0</v>
      </c>
      <c r="AB395" s="60">
        <f t="shared" si="43"/>
        <v>0</v>
      </c>
      <c r="AC395" s="60">
        <f t="shared" si="43"/>
        <v>0</v>
      </c>
      <c r="AD395" s="60">
        <f t="shared" si="43"/>
        <v>43566.44</v>
      </c>
      <c r="AE395" s="60">
        <f t="shared" si="43"/>
        <v>0</v>
      </c>
      <c r="AF395" s="54" t="s">
        <v>701</v>
      </c>
      <c r="AG395" s="54" t="s">
        <v>701</v>
      </c>
      <c r="AH395" s="55" t="s">
        <v>701</v>
      </c>
    </row>
    <row r="396" spans="1:34" s="23" customFormat="1" ht="123" x14ac:dyDescent="0.85">
      <c r="A396" s="23">
        <v>1</v>
      </c>
      <c r="B396" s="59">
        <f>SUBTOTAL(103,$A$22:A396)</f>
        <v>347</v>
      </c>
      <c r="C396" s="187" t="s">
        <v>161</v>
      </c>
      <c r="D396" s="188">
        <f>E396+F396+G396+H396+I396+J396+L396+N396+P396+R396+T396+U396+V396+W396+X396+Y396+Z396+AA396+AB396+AC396+AD396+AE396</f>
        <v>43566.44</v>
      </c>
      <c r="E396" s="188">
        <v>0</v>
      </c>
      <c r="F396" s="188">
        <v>0</v>
      </c>
      <c r="G396" s="188">
        <v>0</v>
      </c>
      <c r="H396" s="188">
        <v>0</v>
      </c>
      <c r="I396" s="188">
        <v>0</v>
      </c>
      <c r="J396" s="188">
        <v>0</v>
      </c>
      <c r="K396" s="189">
        <v>0</v>
      </c>
      <c r="L396" s="188">
        <v>0</v>
      </c>
      <c r="M396" s="188">
        <v>0</v>
      </c>
      <c r="N396" s="188">
        <v>0</v>
      </c>
      <c r="O396" s="188">
        <v>0</v>
      </c>
      <c r="P396" s="188">
        <v>0</v>
      </c>
      <c r="Q396" s="188">
        <v>0</v>
      </c>
      <c r="R396" s="188">
        <v>0</v>
      </c>
      <c r="S396" s="188">
        <v>0</v>
      </c>
      <c r="T396" s="188">
        <v>0</v>
      </c>
      <c r="U396" s="188">
        <v>0</v>
      </c>
      <c r="V396" s="188">
        <v>0</v>
      </c>
      <c r="W396" s="188">
        <v>0</v>
      </c>
      <c r="X396" s="188">
        <v>0</v>
      </c>
      <c r="Y396" s="188">
        <v>0</v>
      </c>
      <c r="Z396" s="188">
        <v>0</v>
      </c>
      <c r="AA396" s="188">
        <v>0</v>
      </c>
      <c r="AB396" s="188">
        <v>0</v>
      </c>
      <c r="AC396" s="188">
        <f>ROUND(N396*1.5%,2)</f>
        <v>0</v>
      </c>
      <c r="AD396" s="188">
        <v>43566.44</v>
      </c>
      <c r="AE396" s="188">
        <v>0</v>
      </c>
      <c r="AF396" s="190">
        <v>2020</v>
      </c>
      <c r="AG396" s="190" t="s">
        <v>257</v>
      </c>
      <c r="AH396" s="190" t="s">
        <v>257</v>
      </c>
    </row>
    <row r="397" spans="1:34" ht="61.5" x14ac:dyDescent="0.85">
      <c r="B397" s="160" t="s">
        <v>781</v>
      </c>
      <c r="C397" s="160"/>
      <c r="D397" s="177">
        <f t="shared" ref="D397:AE397" si="44">SUM(D398:D401)</f>
        <v>4166442.5</v>
      </c>
      <c r="E397" s="60">
        <f t="shared" si="44"/>
        <v>0</v>
      </c>
      <c r="F397" s="60">
        <f t="shared" si="44"/>
        <v>0</v>
      </c>
      <c r="G397" s="60">
        <f t="shared" si="44"/>
        <v>0</v>
      </c>
      <c r="H397" s="60">
        <f t="shared" si="44"/>
        <v>0</v>
      </c>
      <c r="I397" s="60">
        <f t="shared" si="44"/>
        <v>0</v>
      </c>
      <c r="J397" s="60">
        <f t="shared" si="44"/>
        <v>0</v>
      </c>
      <c r="K397" s="168">
        <f t="shared" si="44"/>
        <v>0</v>
      </c>
      <c r="L397" s="60">
        <f t="shared" si="44"/>
        <v>0</v>
      </c>
      <c r="M397" s="60">
        <f t="shared" si="44"/>
        <v>542.66</v>
      </c>
      <c r="N397" s="60">
        <f t="shared" si="44"/>
        <v>2207932.36</v>
      </c>
      <c r="O397" s="60">
        <f t="shared" si="44"/>
        <v>0</v>
      </c>
      <c r="P397" s="60">
        <f t="shared" si="44"/>
        <v>0</v>
      </c>
      <c r="Q397" s="60">
        <f t="shared" si="44"/>
        <v>437.5</v>
      </c>
      <c r="R397" s="60">
        <f t="shared" si="44"/>
        <v>1813992.23</v>
      </c>
      <c r="S397" s="60">
        <f t="shared" si="44"/>
        <v>0</v>
      </c>
      <c r="T397" s="60">
        <f t="shared" si="44"/>
        <v>0</v>
      </c>
      <c r="U397" s="60">
        <f t="shared" si="44"/>
        <v>0</v>
      </c>
      <c r="V397" s="60">
        <f t="shared" si="44"/>
        <v>0</v>
      </c>
      <c r="W397" s="60">
        <f t="shared" si="44"/>
        <v>0</v>
      </c>
      <c r="X397" s="60">
        <f t="shared" si="44"/>
        <v>0</v>
      </c>
      <c r="Y397" s="60">
        <f t="shared" si="44"/>
        <v>0</v>
      </c>
      <c r="Z397" s="60">
        <f t="shared" si="44"/>
        <v>0</v>
      </c>
      <c r="AA397" s="60">
        <f t="shared" si="44"/>
        <v>0</v>
      </c>
      <c r="AB397" s="60">
        <f t="shared" si="44"/>
        <v>0</v>
      </c>
      <c r="AC397" s="60">
        <f t="shared" si="44"/>
        <v>17958.52</v>
      </c>
      <c r="AD397" s="60">
        <f t="shared" si="44"/>
        <v>126559.39</v>
      </c>
      <c r="AE397" s="60">
        <f t="shared" si="44"/>
        <v>0</v>
      </c>
      <c r="AF397" s="54" t="s">
        <v>701</v>
      </c>
      <c r="AG397" s="54" t="s">
        <v>701</v>
      </c>
      <c r="AH397" s="55" t="s">
        <v>701</v>
      </c>
    </row>
    <row r="398" spans="1:34" ht="61.5" x14ac:dyDescent="0.85">
      <c r="A398" s="7">
        <v>1</v>
      </c>
      <c r="B398" s="59">
        <f>SUBTOTAL(103,$A$22:A398)</f>
        <v>348</v>
      </c>
      <c r="C398" s="160" t="s">
        <v>174</v>
      </c>
      <c r="D398" s="60">
        <f>E398+F398+G398+H398+I398+J398+L398+N398+P398+R398+T398+U398+V398+W398+X398+Y398+Z398+AA398+AB398+AC398+AD398+AE398</f>
        <v>71741.72</v>
      </c>
      <c r="E398" s="60">
        <v>0</v>
      </c>
      <c r="F398" s="60">
        <v>0</v>
      </c>
      <c r="G398" s="60">
        <v>0</v>
      </c>
      <c r="H398" s="60">
        <v>0</v>
      </c>
      <c r="I398" s="60">
        <v>0</v>
      </c>
      <c r="J398" s="60">
        <v>0</v>
      </c>
      <c r="K398" s="168">
        <v>0</v>
      </c>
      <c r="L398" s="60">
        <v>0</v>
      </c>
      <c r="M398" s="60">
        <v>0</v>
      </c>
      <c r="N398" s="60">
        <v>0</v>
      </c>
      <c r="O398" s="60">
        <v>0</v>
      </c>
      <c r="P398" s="60">
        <v>0</v>
      </c>
      <c r="Q398" s="60">
        <v>0</v>
      </c>
      <c r="R398" s="60">
        <v>0</v>
      </c>
      <c r="S398" s="60">
        <v>0</v>
      </c>
      <c r="T398" s="60">
        <v>0</v>
      </c>
      <c r="U398" s="60">
        <v>0</v>
      </c>
      <c r="V398" s="60">
        <v>0</v>
      </c>
      <c r="W398" s="60">
        <v>0</v>
      </c>
      <c r="X398" s="60">
        <v>0</v>
      </c>
      <c r="Y398" s="60">
        <v>0</v>
      </c>
      <c r="Z398" s="60">
        <v>0</v>
      </c>
      <c r="AA398" s="60">
        <v>0</v>
      </c>
      <c r="AB398" s="60">
        <v>0</v>
      </c>
      <c r="AC398" s="60">
        <f>ROUND(R398*1.5%,2)</f>
        <v>0</v>
      </c>
      <c r="AD398" s="62">
        <v>71741.72</v>
      </c>
      <c r="AE398" s="60">
        <v>0</v>
      </c>
      <c r="AF398" s="170">
        <v>2020</v>
      </c>
      <c r="AG398" s="170" t="s">
        <v>257</v>
      </c>
      <c r="AH398" s="170" t="s">
        <v>257</v>
      </c>
    </row>
    <row r="399" spans="1:34" ht="61.5" x14ac:dyDescent="0.85">
      <c r="A399" s="7">
        <v>1</v>
      </c>
      <c r="B399" s="59">
        <f>SUBTOTAL(103,$A$22:A399)</f>
        <v>349</v>
      </c>
      <c r="C399" s="160" t="s">
        <v>1153</v>
      </c>
      <c r="D399" s="60">
        <f>E399+F399+G399+H399+I399+J399+L399+N399+P399+R399+T399+U399+V399+W399+X399+Y399+Z399+AA399+AB399+AC399+AD399+AE399</f>
        <v>1831950.75</v>
      </c>
      <c r="E399" s="60">
        <v>0</v>
      </c>
      <c r="F399" s="60">
        <v>0</v>
      </c>
      <c r="G399" s="60">
        <v>0</v>
      </c>
      <c r="H399" s="60">
        <v>0</v>
      </c>
      <c r="I399" s="60">
        <v>0</v>
      </c>
      <c r="J399" s="60">
        <v>0</v>
      </c>
      <c r="K399" s="168">
        <v>0</v>
      </c>
      <c r="L399" s="60">
        <v>0</v>
      </c>
      <c r="M399" s="60">
        <v>0</v>
      </c>
      <c r="N399" s="60">
        <v>0</v>
      </c>
      <c r="O399" s="60">
        <v>0</v>
      </c>
      <c r="P399" s="60">
        <v>0</v>
      </c>
      <c r="Q399" s="62">
        <v>437.5</v>
      </c>
      <c r="R399" s="62">
        <v>1813992.23</v>
      </c>
      <c r="S399" s="60">
        <v>0</v>
      </c>
      <c r="T399" s="60">
        <v>0</v>
      </c>
      <c r="U399" s="60">
        <v>0</v>
      </c>
      <c r="V399" s="60">
        <v>0</v>
      </c>
      <c r="W399" s="60">
        <v>0</v>
      </c>
      <c r="X399" s="60">
        <v>0</v>
      </c>
      <c r="Y399" s="60">
        <v>0</v>
      </c>
      <c r="Z399" s="60">
        <v>0</v>
      </c>
      <c r="AA399" s="60">
        <v>0</v>
      </c>
      <c r="AB399" s="60">
        <v>0</v>
      </c>
      <c r="AC399" s="62">
        <v>17958.52</v>
      </c>
      <c r="AD399" s="60">
        <v>0</v>
      </c>
      <c r="AE399" s="60">
        <v>0</v>
      </c>
      <c r="AF399" s="170" t="s">
        <v>257</v>
      </c>
      <c r="AG399" s="170">
        <v>2020</v>
      </c>
      <c r="AH399" s="63">
        <v>2020</v>
      </c>
    </row>
    <row r="400" spans="1:34" ht="61.5" x14ac:dyDescent="0.85">
      <c r="A400" s="7">
        <v>1</v>
      </c>
      <c r="B400" s="59">
        <f>SUBTOTAL(103,$A$22:A400)</f>
        <v>350</v>
      </c>
      <c r="C400" s="160" t="s">
        <v>1154</v>
      </c>
      <c r="D400" s="60">
        <f>E400+F400+G400+H400+I400+J400+L400+N400+P400+R400+T400+U400+V400+W400+X400+Y400+Z400+AA400+AB400+AC400+AD400+AE400</f>
        <v>2207932.36</v>
      </c>
      <c r="E400" s="60">
        <v>0</v>
      </c>
      <c r="F400" s="60">
        <v>0</v>
      </c>
      <c r="G400" s="60">
        <v>0</v>
      </c>
      <c r="H400" s="60">
        <v>0</v>
      </c>
      <c r="I400" s="60">
        <v>0</v>
      </c>
      <c r="J400" s="60">
        <v>0</v>
      </c>
      <c r="K400" s="168">
        <v>0</v>
      </c>
      <c r="L400" s="60">
        <v>0</v>
      </c>
      <c r="M400" s="62">
        <v>542.66</v>
      </c>
      <c r="N400" s="62">
        <v>2207932.36</v>
      </c>
      <c r="O400" s="60">
        <v>0</v>
      </c>
      <c r="P400" s="60">
        <v>0</v>
      </c>
      <c r="Q400" s="60">
        <v>0</v>
      </c>
      <c r="R400" s="60">
        <v>0</v>
      </c>
      <c r="S400" s="60">
        <v>0</v>
      </c>
      <c r="T400" s="60">
        <v>0</v>
      </c>
      <c r="U400" s="60">
        <v>0</v>
      </c>
      <c r="V400" s="60">
        <v>0</v>
      </c>
      <c r="W400" s="60">
        <v>0</v>
      </c>
      <c r="X400" s="60">
        <v>0</v>
      </c>
      <c r="Y400" s="60">
        <v>0</v>
      </c>
      <c r="Z400" s="60">
        <v>0</v>
      </c>
      <c r="AA400" s="60">
        <v>0</v>
      </c>
      <c r="AB400" s="60">
        <v>0</v>
      </c>
      <c r="AC400" s="60">
        <v>0</v>
      </c>
      <c r="AD400" s="60">
        <v>0</v>
      </c>
      <c r="AE400" s="60">
        <v>0</v>
      </c>
      <c r="AF400" s="170" t="s">
        <v>257</v>
      </c>
      <c r="AG400" s="170">
        <v>2020</v>
      </c>
      <c r="AH400" s="63" t="s">
        <v>257</v>
      </c>
    </row>
    <row r="401" spans="1:34" ht="61.5" x14ac:dyDescent="0.85">
      <c r="A401" s="7">
        <v>1</v>
      </c>
      <c r="B401" s="59">
        <f>SUBTOTAL(103,$A$22:A401)</f>
        <v>351</v>
      </c>
      <c r="C401" s="160" t="s">
        <v>1476</v>
      </c>
      <c r="D401" s="60">
        <f>E401+F401+G401+H401+I401+J401+L401+N401+P401+R401+T401+U401+V401+W401+X401+Y401+Z401+AA401+AB401+AC401+AD401+AE401</f>
        <v>54817.67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168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0">
        <v>0</v>
      </c>
      <c r="T401" s="60">
        <v>0</v>
      </c>
      <c r="U401" s="60">
        <v>0</v>
      </c>
      <c r="V401" s="60">
        <v>0</v>
      </c>
      <c r="W401" s="60">
        <v>0</v>
      </c>
      <c r="X401" s="60">
        <v>0</v>
      </c>
      <c r="Y401" s="60">
        <v>0</v>
      </c>
      <c r="Z401" s="60">
        <v>0</v>
      </c>
      <c r="AA401" s="60">
        <v>0</v>
      </c>
      <c r="AB401" s="60">
        <v>0</v>
      </c>
      <c r="AC401" s="60">
        <f>ROUND(U401*1.5%,2)</f>
        <v>0</v>
      </c>
      <c r="AD401" s="62">
        <v>54817.67</v>
      </c>
      <c r="AE401" s="60">
        <v>0</v>
      </c>
      <c r="AF401" s="170">
        <v>2020</v>
      </c>
      <c r="AG401" s="170" t="s">
        <v>257</v>
      </c>
      <c r="AH401" s="170" t="s">
        <v>257</v>
      </c>
    </row>
    <row r="402" spans="1:34" ht="61.5" x14ac:dyDescent="0.85">
      <c r="B402" s="160" t="s">
        <v>816</v>
      </c>
      <c r="C402" s="160"/>
      <c r="D402" s="177">
        <f t="shared" ref="D402:AE402" si="45">D403</f>
        <v>2786770.47</v>
      </c>
      <c r="E402" s="60">
        <f t="shared" si="45"/>
        <v>0</v>
      </c>
      <c r="F402" s="60">
        <f t="shared" si="45"/>
        <v>0</v>
      </c>
      <c r="G402" s="60">
        <f t="shared" si="45"/>
        <v>0</v>
      </c>
      <c r="H402" s="60">
        <f t="shared" si="45"/>
        <v>0</v>
      </c>
      <c r="I402" s="60">
        <f t="shared" si="45"/>
        <v>0</v>
      </c>
      <c r="J402" s="60">
        <f t="shared" si="45"/>
        <v>0</v>
      </c>
      <c r="K402" s="168">
        <f t="shared" si="45"/>
        <v>0</v>
      </c>
      <c r="L402" s="60">
        <f t="shared" si="45"/>
        <v>0</v>
      </c>
      <c r="M402" s="60">
        <f t="shared" si="45"/>
        <v>0</v>
      </c>
      <c r="N402" s="60">
        <f t="shared" si="45"/>
        <v>0</v>
      </c>
      <c r="O402" s="60">
        <f t="shared" si="45"/>
        <v>0</v>
      </c>
      <c r="P402" s="60">
        <f t="shared" si="45"/>
        <v>0</v>
      </c>
      <c r="Q402" s="60">
        <f t="shared" si="45"/>
        <v>818.41</v>
      </c>
      <c r="R402" s="60">
        <f t="shared" si="45"/>
        <v>2759451.89</v>
      </c>
      <c r="S402" s="60">
        <f t="shared" si="45"/>
        <v>0</v>
      </c>
      <c r="T402" s="60">
        <f t="shared" si="45"/>
        <v>0</v>
      </c>
      <c r="U402" s="60">
        <f t="shared" si="45"/>
        <v>0</v>
      </c>
      <c r="V402" s="60">
        <f t="shared" si="45"/>
        <v>0</v>
      </c>
      <c r="W402" s="60">
        <f t="shared" si="45"/>
        <v>0</v>
      </c>
      <c r="X402" s="60">
        <f t="shared" si="45"/>
        <v>0</v>
      </c>
      <c r="Y402" s="60">
        <f t="shared" si="45"/>
        <v>0</v>
      </c>
      <c r="Z402" s="60">
        <f t="shared" si="45"/>
        <v>0</v>
      </c>
      <c r="AA402" s="60">
        <f t="shared" si="45"/>
        <v>0</v>
      </c>
      <c r="AB402" s="60">
        <f t="shared" si="45"/>
        <v>0</v>
      </c>
      <c r="AC402" s="60">
        <f t="shared" si="45"/>
        <v>27318.58</v>
      </c>
      <c r="AD402" s="60">
        <f t="shared" si="45"/>
        <v>0</v>
      </c>
      <c r="AE402" s="60">
        <f t="shared" si="45"/>
        <v>0</v>
      </c>
      <c r="AF402" s="54" t="s">
        <v>701</v>
      </c>
      <c r="AG402" s="54" t="s">
        <v>701</v>
      </c>
      <c r="AH402" s="55" t="s">
        <v>701</v>
      </c>
    </row>
    <row r="403" spans="1:34" ht="61.5" x14ac:dyDescent="0.85">
      <c r="A403" s="7">
        <v>1</v>
      </c>
      <c r="B403" s="59">
        <f>SUBTOTAL(103,$A$22:A403)</f>
        <v>352</v>
      </c>
      <c r="C403" s="160" t="s">
        <v>1156</v>
      </c>
      <c r="D403" s="60">
        <f>E403+F403+G403+H403+I403+J403+L403+N403+P403+R403+T403+U403+V403+W403+X403+Y403+Z403+AA403+AB403+AC403+AD403+AE403</f>
        <v>2786770.47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168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2">
        <v>818.41</v>
      </c>
      <c r="R403" s="62">
        <v>2759451.89</v>
      </c>
      <c r="S403" s="60">
        <v>0</v>
      </c>
      <c r="T403" s="60">
        <v>0</v>
      </c>
      <c r="U403" s="60">
        <v>0</v>
      </c>
      <c r="V403" s="60">
        <v>0</v>
      </c>
      <c r="W403" s="60">
        <v>0</v>
      </c>
      <c r="X403" s="60">
        <v>0</v>
      </c>
      <c r="Y403" s="60">
        <v>0</v>
      </c>
      <c r="Z403" s="60">
        <v>0</v>
      </c>
      <c r="AA403" s="60">
        <v>0</v>
      </c>
      <c r="AB403" s="60">
        <v>0</v>
      </c>
      <c r="AC403" s="62">
        <v>27318.58</v>
      </c>
      <c r="AD403" s="60">
        <v>0</v>
      </c>
      <c r="AE403" s="60">
        <v>0</v>
      </c>
      <c r="AF403" s="170" t="s">
        <v>257</v>
      </c>
      <c r="AG403" s="170">
        <v>2020</v>
      </c>
      <c r="AH403" s="63">
        <v>2020</v>
      </c>
    </row>
    <row r="404" spans="1:34" ht="61.5" x14ac:dyDescent="0.85">
      <c r="B404" s="160" t="s">
        <v>783</v>
      </c>
      <c r="C404" s="176"/>
      <c r="D404" s="177">
        <f t="shared" ref="D404:AE404" si="46">SUM(D405:D411)</f>
        <v>8432214.3199999984</v>
      </c>
      <c r="E404" s="60">
        <f t="shared" si="46"/>
        <v>0</v>
      </c>
      <c r="F404" s="60">
        <f t="shared" si="46"/>
        <v>0</v>
      </c>
      <c r="G404" s="60">
        <f t="shared" si="46"/>
        <v>0</v>
      </c>
      <c r="H404" s="60">
        <f t="shared" si="46"/>
        <v>0</v>
      </c>
      <c r="I404" s="60">
        <f t="shared" si="46"/>
        <v>0</v>
      </c>
      <c r="J404" s="60">
        <f t="shared" si="46"/>
        <v>0</v>
      </c>
      <c r="K404" s="168">
        <f t="shared" si="46"/>
        <v>0</v>
      </c>
      <c r="L404" s="60">
        <f t="shared" si="46"/>
        <v>0</v>
      </c>
      <c r="M404" s="60">
        <f t="shared" si="46"/>
        <v>2092.46</v>
      </c>
      <c r="N404" s="60">
        <f t="shared" si="46"/>
        <v>7827572.0800000001</v>
      </c>
      <c r="O404" s="60">
        <f t="shared" si="46"/>
        <v>0</v>
      </c>
      <c r="P404" s="60">
        <f t="shared" si="46"/>
        <v>0</v>
      </c>
      <c r="Q404" s="60">
        <f t="shared" si="46"/>
        <v>0</v>
      </c>
      <c r="R404" s="60">
        <f t="shared" si="46"/>
        <v>0</v>
      </c>
      <c r="S404" s="60">
        <f t="shared" si="46"/>
        <v>0</v>
      </c>
      <c r="T404" s="60">
        <f t="shared" si="46"/>
        <v>0</v>
      </c>
      <c r="U404" s="60">
        <f t="shared" si="46"/>
        <v>0</v>
      </c>
      <c r="V404" s="60">
        <f t="shared" si="46"/>
        <v>0</v>
      </c>
      <c r="W404" s="60">
        <f t="shared" si="46"/>
        <v>0</v>
      </c>
      <c r="X404" s="60">
        <f t="shared" si="46"/>
        <v>0</v>
      </c>
      <c r="Y404" s="60">
        <f t="shared" si="46"/>
        <v>0</v>
      </c>
      <c r="Z404" s="60">
        <f t="shared" si="46"/>
        <v>0</v>
      </c>
      <c r="AA404" s="60">
        <f t="shared" si="46"/>
        <v>0</v>
      </c>
      <c r="AB404" s="60">
        <f t="shared" si="46"/>
        <v>0</v>
      </c>
      <c r="AC404" s="60">
        <f t="shared" si="46"/>
        <v>27458.78</v>
      </c>
      <c r="AD404" s="60">
        <f t="shared" si="46"/>
        <v>577183.46</v>
      </c>
      <c r="AE404" s="60">
        <f t="shared" si="46"/>
        <v>0</v>
      </c>
      <c r="AF404" s="54" t="s">
        <v>701</v>
      </c>
      <c r="AG404" s="54" t="s">
        <v>701</v>
      </c>
      <c r="AH404" s="55" t="s">
        <v>701</v>
      </c>
    </row>
    <row r="405" spans="1:34" ht="61.5" x14ac:dyDescent="0.85">
      <c r="A405" s="7">
        <v>1</v>
      </c>
      <c r="B405" s="59">
        <f>SUBTOTAL(103,$A$22:A405)</f>
        <v>353</v>
      </c>
      <c r="C405" s="160" t="s">
        <v>73</v>
      </c>
      <c r="D405" s="60">
        <f t="shared" ref="D405:D411" si="47">E405+F405+G405+H405+I405+J405+L405+N405+P405+R405+T405+U405+V405+W405+X405+Y405+Z405+AA405+AB405+AC405+AD405+AE405</f>
        <v>2519278.3999999994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168">
        <v>0</v>
      </c>
      <c r="L405" s="60">
        <v>0</v>
      </c>
      <c r="M405" s="62">
        <v>625</v>
      </c>
      <c r="N405" s="62">
        <v>2404974.7999999998</v>
      </c>
      <c r="O405" s="60">
        <v>0</v>
      </c>
      <c r="P405" s="60">
        <v>0</v>
      </c>
      <c r="Q405" s="60">
        <v>0</v>
      </c>
      <c r="R405" s="60">
        <v>0</v>
      </c>
      <c r="S405" s="60">
        <v>0</v>
      </c>
      <c r="T405" s="60">
        <v>0</v>
      </c>
      <c r="U405" s="60">
        <v>0</v>
      </c>
      <c r="V405" s="60">
        <v>0</v>
      </c>
      <c r="W405" s="60">
        <v>0</v>
      </c>
      <c r="X405" s="60">
        <v>0</v>
      </c>
      <c r="Y405" s="60">
        <v>0</v>
      </c>
      <c r="Z405" s="60">
        <v>0</v>
      </c>
      <c r="AA405" s="60">
        <v>0</v>
      </c>
      <c r="AB405" s="60">
        <v>0</v>
      </c>
      <c r="AC405" s="62">
        <v>14429.84</v>
      </c>
      <c r="AD405" s="62">
        <v>99873.76</v>
      </c>
      <c r="AE405" s="60">
        <v>0</v>
      </c>
      <c r="AF405" s="170">
        <v>2020</v>
      </c>
      <c r="AG405" s="170">
        <v>2020</v>
      </c>
      <c r="AH405" s="63">
        <v>2020</v>
      </c>
    </row>
    <row r="406" spans="1:34" ht="61.5" x14ac:dyDescent="0.85">
      <c r="A406" s="7">
        <v>1</v>
      </c>
      <c r="B406" s="59">
        <f>SUBTOTAL(103,$A$22:A406)</f>
        <v>354</v>
      </c>
      <c r="C406" s="160" t="s">
        <v>72</v>
      </c>
      <c r="D406" s="60">
        <f t="shared" si="47"/>
        <v>2316768.9099999997</v>
      </c>
      <c r="E406" s="60">
        <v>0</v>
      </c>
      <c r="F406" s="60">
        <v>0</v>
      </c>
      <c r="G406" s="60">
        <v>0</v>
      </c>
      <c r="H406" s="60">
        <v>0</v>
      </c>
      <c r="I406" s="60">
        <v>0</v>
      </c>
      <c r="J406" s="60">
        <v>0</v>
      </c>
      <c r="K406" s="168">
        <v>0</v>
      </c>
      <c r="L406" s="60">
        <v>0</v>
      </c>
      <c r="M406" s="62">
        <v>492.3</v>
      </c>
      <c r="N406" s="169">
        <v>2171491.13</v>
      </c>
      <c r="O406" s="60">
        <v>0</v>
      </c>
      <c r="P406" s="60">
        <v>0</v>
      </c>
      <c r="Q406" s="60">
        <v>0</v>
      </c>
      <c r="R406" s="60">
        <v>0</v>
      </c>
      <c r="S406" s="60">
        <v>0</v>
      </c>
      <c r="T406" s="60">
        <v>0</v>
      </c>
      <c r="U406" s="60">
        <v>0</v>
      </c>
      <c r="V406" s="60">
        <v>0</v>
      </c>
      <c r="W406" s="60">
        <v>0</v>
      </c>
      <c r="X406" s="60">
        <v>0</v>
      </c>
      <c r="Y406" s="60">
        <v>0</v>
      </c>
      <c r="Z406" s="60">
        <v>0</v>
      </c>
      <c r="AA406" s="60">
        <v>0</v>
      </c>
      <c r="AB406" s="60">
        <v>0</v>
      </c>
      <c r="AC406" s="62">
        <v>13028.94</v>
      </c>
      <c r="AD406" s="62">
        <v>132248.84</v>
      </c>
      <c r="AE406" s="60">
        <v>0</v>
      </c>
      <c r="AF406" s="170">
        <v>2020</v>
      </c>
      <c r="AG406" s="170">
        <v>2020</v>
      </c>
      <c r="AH406" s="63">
        <v>2020</v>
      </c>
    </row>
    <row r="407" spans="1:34" ht="61.5" x14ac:dyDescent="0.85">
      <c r="A407" s="7">
        <v>1</v>
      </c>
      <c r="B407" s="59">
        <f>SUBTOTAL(103,$A$22:A407)</f>
        <v>355</v>
      </c>
      <c r="C407" s="160" t="s">
        <v>74</v>
      </c>
      <c r="D407" s="60">
        <f t="shared" si="47"/>
        <v>132502.74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168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0">
        <v>0</v>
      </c>
      <c r="T407" s="60">
        <v>0</v>
      </c>
      <c r="U407" s="60">
        <v>0</v>
      </c>
      <c r="V407" s="60">
        <v>0</v>
      </c>
      <c r="W407" s="60">
        <v>0</v>
      </c>
      <c r="X407" s="60">
        <v>0</v>
      </c>
      <c r="Y407" s="60">
        <v>0</v>
      </c>
      <c r="Z407" s="60">
        <v>0</v>
      </c>
      <c r="AA407" s="60">
        <v>0</v>
      </c>
      <c r="AB407" s="60">
        <v>0</v>
      </c>
      <c r="AC407" s="60">
        <f>ROUND(N407*1.5%,2)</f>
        <v>0</v>
      </c>
      <c r="AD407" s="62">
        <v>132502.74</v>
      </c>
      <c r="AE407" s="60">
        <v>0</v>
      </c>
      <c r="AF407" s="170">
        <v>2020</v>
      </c>
      <c r="AG407" s="170" t="s">
        <v>257</v>
      </c>
      <c r="AH407" s="170" t="s">
        <v>257</v>
      </c>
    </row>
    <row r="408" spans="1:34" ht="61.5" x14ac:dyDescent="0.85">
      <c r="A408" s="7">
        <v>1</v>
      </c>
      <c r="B408" s="59">
        <f>SUBTOTAL(103,$A$22:A408)</f>
        <v>356</v>
      </c>
      <c r="C408" s="160" t="s">
        <v>1157</v>
      </c>
      <c r="D408" s="60">
        <f t="shared" si="47"/>
        <v>3251106.15</v>
      </c>
      <c r="E408" s="60">
        <v>0</v>
      </c>
      <c r="F408" s="60">
        <v>0</v>
      </c>
      <c r="G408" s="60">
        <v>0</v>
      </c>
      <c r="H408" s="60">
        <v>0</v>
      </c>
      <c r="I408" s="60">
        <v>0</v>
      </c>
      <c r="J408" s="60">
        <v>0</v>
      </c>
      <c r="K408" s="168">
        <v>0</v>
      </c>
      <c r="L408" s="60">
        <v>0</v>
      </c>
      <c r="M408" s="62">
        <v>975.16</v>
      </c>
      <c r="N408" s="62">
        <v>3251106.15</v>
      </c>
      <c r="O408" s="60">
        <v>0</v>
      </c>
      <c r="P408" s="60">
        <v>0</v>
      </c>
      <c r="Q408" s="60">
        <v>0</v>
      </c>
      <c r="R408" s="60">
        <v>0</v>
      </c>
      <c r="S408" s="60">
        <v>0</v>
      </c>
      <c r="T408" s="60">
        <v>0</v>
      </c>
      <c r="U408" s="60">
        <v>0</v>
      </c>
      <c r="V408" s="60">
        <v>0</v>
      </c>
      <c r="W408" s="60">
        <v>0</v>
      </c>
      <c r="X408" s="60">
        <v>0</v>
      </c>
      <c r="Y408" s="60">
        <v>0</v>
      </c>
      <c r="Z408" s="60">
        <v>0</v>
      </c>
      <c r="AA408" s="60">
        <v>0</v>
      </c>
      <c r="AB408" s="60">
        <v>0</v>
      </c>
      <c r="AC408" s="60">
        <v>0</v>
      </c>
      <c r="AD408" s="60">
        <v>0</v>
      </c>
      <c r="AE408" s="60">
        <v>0</v>
      </c>
      <c r="AF408" s="170" t="s">
        <v>257</v>
      </c>
      <c r="AG408" s="170">
        <v>2020</v>
      </c>
      <c r="AH408" s="63" t="s">
        <v>257</v>
      </c>
    </row>
    <row r="409" spans="1:34" ht="61.5" x14ac:dyDescent="0.85">
      <c r="A409" s="7">
        <v>1</v>
      </c>
      <c r="B409" s="59">
        <f>SUBTOTAL(103,$A$22:A409)</f>
        <v>357</v>
      </c>
      <c r="C409" s="160" t="s">
        <v>77</v>
      </c>
      <c r="D409" s="60">
        <f t="shared" si="47"/>
        <v>60672.79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168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0">
        <v>0</v>
      </c>
      <c r="T409" s="60">
        <v>0</v>
      </c>
      <c r="U409" s="60">
        <v>0</v>
      </c>
      <c r="V409" s="60">
        <v>0</v>
      </c>
      <c r="W409" s="60">
        <v>0</v>
      </c>
      <c r="X409" s="60">
        <v>0</v>
      </c>
      <c r="Y409" s="60">
        <v>0</v>
      </c>
      <c r="Z409" s="60">
        <v>0</v>
      </c>
      <c r="AA409" s="60">
        <v>0</v>
      </c>
      <c r="AB409" s="60">
        <v>0</v>
      </c>
      <c r="AC409" s="60">
        <f>ROUND(N409*1.5%,2)</f>
        <v>0</v>
      </c>
      <c r="AD409" s="60">
        <v>60672.79</v>
      </c>
      <c r="AE409" s="60">
        <v>0</v>
      </c>
      <c r="AF409" s="170">
        <v>2020</v>
      </c>
      <c r="AG409" s="170" t="s">
        <v>257</v>
      </c>
      <c r="AH409" s="170" t="s">
        <v>257</v>
      </c>
    </row>
    <row r="410" spans="1:34" ht="61.5" x14ac:dyDescent="0.85">
      <c r="A410" s="7">
        <v>1</v>
      </c>
      <c r="B410" s="59">
        <f>SUBTOTAL(103,$A$22:A410)</f>
        <v>358</v>
      </c>
      <c r="C410" s="160" t="s">
        <v>78</v>
      </c>
      <c r="D410" s="60">
        <f t="shared" si="47"/>
        <v>60672.79</v>
      </c>
      <c r="E410" s="60">
        <v>0</v>
      </c>
      <c r="F410" s="60">
        <v>0</v>
      </c>
      <c r="G410" s="60">
        <v>0</v>
      </c>
      <c r="H410" s="60">
        <v>0</v>
      </c>
      <c r="I410" s="60">
        <v>0</v>
      </c>
      <c r="J410" s="60">
        <v>0</v>
      </c>
      <c r="K410" s="168">
        <v>0</v>
      </c>
      <c r="L410" s="60">
        <v>0</v>
      </c>
      <c r="M410" s="60">
        <v>0</v>
      </c>
      <c r="N410" s="60">
        <v>0</v>
      </c>
      <c r="O410" s="60">
        <v>0</v>
      </c>
      <c r="P410" s="60">
        <v>0</v>
      </c>
      <c r="Q410" s="60">
        <v>0</v>
      </c>
      <c r="R410" s="60">
        <v>0</v>
      </c>
      <c r="S410" s="60">
        <v>0</v>
      </c>
      <c r="T410" s="60">
        <v>0</v>
      </c>
      <c r="U410" s="60">
        <v>0</v>
      </c>
      <c r="V410" s="60">
        <v>0</v>
      </c>
      <c r="W410" s="60">
        <v>0</v>
      </c>
      <c r="X410" s="60">
        <v>0</v>
      </c>
      <c r="Y410" s="60">
        <v>0</v>
      </c>
      <c r="Z410" s="60">
        <v>0</v>
      </c>
      <c r="AA410" s="60">
        <v>0</v>
      </c>
      <c r="AB410" s="60">
        <v>0</v>
      </c>
      <c r="AC410" s="60">
        <f>ROUND(N410*1.5%,2)</f>
        <v>0</v>
      </c>
      <c r="AD410" s="60">
        <v>60672.79</v>
      </c>
      <c r="AE410" s="60">
        <v>0</v>
      </c>
      <c r="AF410" s="170">
        <v>2020</v>
      </c>
      <c r="AG410" s="170" t="s">
        <v>257</v>
      </c>
      <c r="AH410" s="170" t="s">
        <v>257</v>
      </c>
    </row>
    <row r="411" spans="1:34" ht="61.5" x14ac:dyDescent="0.85">
      <c r="A411" s="7">
        <v>1</v>
      </c>
      <c r="B411" s="59">
        <f>SUBTOTAL(103,$A$22:A411)</f>
        <v>359</v>
      </c>
      <c r="C411" s="160" t="s">
        <v>1571</v>
      </c>
      <c r="D411" s="60">
        <f t="shared" si="47"/>
        <v>91212.54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168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0">
        <v>0</v>
      </c>
      <c r="T411" s="60">
        <v>0</v>
      </c>
      <c r="U411" s="60">
        <v>0</v>
      </c>
      <c r="V411" s="60">
        <v>0</v>
      </c>
      <c r="W411" s="60">
        <v>0</v>
      </c>
      <c r="X411" s="60">
        <v>0</v>
      </c>
      <c r="Y411" s="60">
        <v>0</v>
      </c>
      <c r="Z411" s="60">
        <v>0</v>
      </c>
      <c r="AA411" s="60">
        <v>0</v>
      </c>
      <c r="AB411" s="60">
        <v>0</v>
      </c>
      <c r="AC411" s="60">
        <f>ROUND(N411*1.5%,2)</f>
        <v>0</v>
      </c>
      <c r="AD411" s="60">
        <v>91212.54</v>
      </c>
      <c r="AE411" s="60">
        <v>0</v>
      </c>
      <c r="AF411" s="170">
        <v>2020</v>
      </c>
      <c r="AG411" s="170" t="s">
        <v>257</v>
      </c>
      <c r="AH411" s="170" t="s">
        <v>257</v>
      </c>
    </row>
    <row r="412" spans="1:34" ht="61.5" x14ac:dyDescent="0.85">
      <c r="B412" s="160" t="s">
        <v>784</v>
      </c>
      <c r="C412" s="160"/>
      <c r="D412" s="177">
        <f t="shared" ref="D412:AE412" si="48">D413</f>
        <v>2358530.46</v>
      </c>
      <c r="E412" s="60">
        <f t="shared" si="48"/>
        <v>0</v>
      </c>
      <c r="F412" s="60">
        <f t="shared" si="48"/>
        <v>0</v>
      </c>
      <c r="G412" s="60">
        <f t="shared" si="48"/>
        <v>0</v>
      </c>
      <c r="H412" s="60">
        <f t="shared" si="48"/>
        <v>0</v>
      </c>
      <c r="I412" s="60">
        <f t="shared" si="48"/>
        <v>0</v>
      </c>
      <c r="J412" s="60">
        <f t="shared" si="48"/>
        <v>0</v>
      </c>
      <c r="K412" s="168">
        <f t="shared" si="48"/>
        <v>0</v>
      </c>
      <c r="L412" s="60">
        <f t="shared" si="48"/>
        <v>0</v>
      </c>
      <c r="M412" s="60">
        <f t="shared" si="48"/>
        <v>540.25</v>
      </c>
      <c r="N412" s="60">
        <f t="shared" si="48"/>
        <v>2261640.71</v>
      </c>
      <c r="O412" s="60">
        <f t="shared" si="48"/>
        <v>0</v>
      </c>
      <c r="P412" s="60">
        <f t="shared" si="48"/>
        <v>0</v>
      </c>
      <c r="Q412" s="60">
        <f t="shared" si="48"/>
        <v>0</v>
      </c>
      <c r="R412" s="60">
        <f t="shared" si="48"/>
        <v>0</v>
      </c>
      <c r="S412" s="60">
        <f t="shared" si="48"/>
        <v>0</v>
      </c>
      <c r="T412" s="60">
        <f t="shared" si="48"/>
        <v>0</v>
      </c>
      <c r="U412" s="60">
        <f t="shared" si="48"/>
        <v>0</v>
      </c>
      <c r="V412" s="60">
        <f t="shared" si="48"/>
        <v>0</v>
      </c>
      <c r="W412" s="60">
        <f t="shared" si="48"/>
        <v>0</v>
      </c>
      <c r="X412" s="60">
        <f t="shared" si="48"/>
        <v>0</v>
      </c>
      <c r="Y412" s="60">
        <f t="shared" si="48"/>
        <v>0</v>
      </c>
      <c r="Z412" s="60">
        <f t="shared" si="48"/>
        <v>0</v>
      </c>
      <c r="AA412" s="60">
        <f t="shared" si="48"/>
        <v>0</v>
      </c>
      <c r="AB412" s="60">
        <f t="shared" si="48"/>
        <v>0</v>
      </c>
      <c r="AC412" s="60">
        <f t="shared" si="48"/>
        <v>13569.84</v>
      </c>
      <c r="AD412" s="60">
        <f t="shared" si="48"/>
        <v>83319.91</v>
      </c>
      <c r="AE412" s="60">
        <f t="shared" si="48"/>
        <v>0</v>
      </c>
      <c r="AF412" s="54" t="s">
        <v>701</v>
      </c>
      <c r="AG412" s="54" t="s">
        <v>701</v>
      </c>
      <c r="AH412" s="55" t="s">
        <v>701</v>
      </c>
    </row>
    <row r="413" spans="1:34" ht="61.5" x14ac:dyDescent="0.85">
      <c r="A413" s="7">
        <v>1</v>
      </c>
      <c r="B413" s="59">
        <f>SUBTOTAL(103,$A$22:A413)</f>
        <v>360</v>
      </c>
      <c r="C413" s="160" t="s">
        <v>75</v>
      </c>
      <c r="D413" s="60">
        <f>E413+F413+G413+H413+I413+J413+L413+N413+P413+R413+T413+U413+V413+W413+X413+Y413+Z413+AA413+AB413+AC413+AD413+AE413</f>
        <v>2358530.46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168">
        <v>0</v>
      </c>
      <c r="L413" s="60">
        <v>0</v>
      </c>
      <c r="M413" s="62">
        <v>540.25</v>
      </c>
      <c r="N413" s="62">
        <v>2261640.71</v>
      </c>
      <c r="O413" s="60">
        <v>0</v>
      </c>
      <c r="P413" s="60">
        <v>0</v>
      </c>
      <c r="Q413" s="60">
        <v>0</v>
      </c>
      <c r="R413" s="60">
        <v>0</v>
      </c>
      <c r="S413" s="60">
        <v>0</v>
      </c>
      <c r="T413" s="60">
        <v>0</v>
      </c>
      <c r="U413" s="60">
        <v>0</v>
      </c>
      <c r="V413" s="60">
        <v>0</v>
      </c>
      <c r="W413" s="60">
        <v>0</v>
      </c>
      <c r="X413" s="60">
        <v>0</v>
      </c>
      <c r="Y413" s="60">
        <v>0</v>
      </c>
      <c r="Z413" s="60">
        <v>0</v>
      </c>
      <c r="AA413" s="60">
        <v>0</v>
      </c>
      <c r="AB413" s="60">
        <v>0</v>
      </c>
      <c r="AC413" s="62">
        <v>13569.84</v>
      </c>
      <c r="AD413" s="62">
        <v>83319.91</v>
      </c>
      <c r="AE413" s="60">
        <v>0</v>
      </c>
      <c r="AF413" s="170">
        <v>2020</v>
      </c>
      <c r="AG413" s="170">
        <v>2020</v>
      </c>
      <c r="AH413" s="63">
        <v>2020</v>
      </c>
    </row>
    <row r="414" spans="1:34" ht="61.5" x14ac:dyDescent="0.85">
      <c r="B414" s="160" t="s">
        <v>817</v>
      </c>
      <c r="C414" s="160"/>
      <c r="D414" s="177">
        <f t="shared" ref="D414:AE414" si="49">SUM(D415:D417)</f>
        <v>177116.99</v>
      </c>
      <c r="E414" s="60">
        <f t="shared" si="49"/>
        <v>0</v>
      </c>
      <c r="F414" s="60">
        <f t="shared" si="49"/>
        <v>0</v>
      </c>
      <c r="G414" s="60">
        <f t="shared" si="49"/>
        <v>0</v>
      </c>
      <c r="H414" s="60">
        <f t="shared" si="49"/>
        <v>86514.08</v>
      </c>
      <c r="I414" s="60">
        <f t="shared" si="49"/>
        <v>0</v>
      </c>
      <c r="J414" s="60">
        <f t="shared" si="49"/>
        <v>0</v>
      </c>
      <c r="K414" s="168">
        <f t="shared" si="49"/>
        <v>0</v>
      </c>
      <c r="L414" s="60">
        <f t="shared" si="49"/>
        <v>0</v>
      </c>
      <c r="M414" s="60">
        <f t="shared" si="49"/>
        <v>0</v>
      </c>
      <c r="N414" s="60">
        <f t="shared" si="49"/>
        <v>0</v>
      </c>
      <c r="O414" s="60">
        <f t="shared" si="49"/>
        <v>0</v>
      </c>
      <c r="P414" s="60">
        <f t="shared" si="49"/>
        <v>0</v>
      </c>
      <c r="Q414" s="60">
        <f t="shared" si="49"/>
        <v>0</v>
      </c>
      <c r="R414" s="60">
        <f t="shared" si="49"/>
        <v>0</v>
      </c>
      <c r="S414" s="60">
        <f t="shared" si="49"/>
        <v>0</v>
      </c>
      <c r="T414" s="60">
        <f t="shared" si="49"/>
        <v>0</v>
      </c>
      <c r="U414" s="60">
        <f t="shared" si="49"/>
        <v>0</v>
      </c>
      <c r="V414" s="60">
        <f t="shared" si="49"/>
        <v>0</v>
      </c>
      <c r="W414" s="60">
        <f t="shared" si="49"/>
        <v>0</v>
      </c>
      <c r="X414" s="60">
        <f t="shared" si="49"/>
        <v>0</v>
      </c>
      <c r="Y414" s="60">
        <f t="shared" si="49"/>
        <v>0</v>
      </c>
      <c r="Z414" s="60">
        <f t="shared" si="49"/>
        <v>0</v>
      </c>
      <c r="AA414" s="60">
        <f t="shared" si="49"/>
        <v>0</v>
      </c>
      <c r="AB414" s="60">
        <f t="shared" si="49"/>
        <v>0</v>
      </c>
      <c r="AC414" s="60">
        <f t="shared" si="49"/>
        <v>0</v>
      </c>
      <c r="AD414" s="60">
        <f t="shared" si="49"/>
        <v>90602.91</v>
      </c>
      <c r="AE414" s="60">
        <f t="shared" si="49"/>
        <v>0</v>
      </c>
      <c r="AF414" s="54" t="s">
        <v>701</v>
      </c>
      <c r="AG414" s="54" t="s">
        <v>701</v>
      </c>
      <c r="AH414" s="55" t="s">
        <v>701</v>
      </c>
    </row>
    <row r="415" spans="1:34" ht="61.5" x14ac:dyDescent="0.85">
      <c r="A415" s="7">
        <v>1</v>
      </c>
      <c r="B415" s="59">
        <f>SUBTOTAL(103,$A$22:A415)</f>
        <v>361</v>
      </c>
      <c r="C415" s="160" t="s">
        <v>1159</v>
      </c>
      <c r="D415" s="60">
        <f>E415+F415+G415+H415+I415+J415+L415+N415+P415+R415+T415+U415+V415+W415+X415+Y415+Z415+AA415+AB415+AC415+AD415+AE415</f>
        <v>86514.08</v>
      </c>
      <c r="E415" s="60">
        <v>0</v>
      </c>
      <c r="F415" s="60">
        <v>0</v>
      </c>
      <c r="G415" s="60">
        <v>0</v>
      </c>
      <c r="H415" s="62">
        <v>86514.08</v>
      </c>
      <c r="I415" s="60">
        <v>0</v>
      </c>
      <c r="J415" s="60">
        <v>0</v>
      </c>
      <c r="K415" s="168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0">
        <v>0</v>
      </c>
      <c r="T415" s="60">
        <v>0</v>
      </c>
      <c r="U415" s="60">
        <v>0</v>
      </c>
      <c r="V415" s="60">
        <v>0</v>
      </c>
      <c r="W415" s="60">
        <v>0</v>
      </c>
      <c r="X415" s="60">
        <v>0</v>
      </c>
      <c r="Y415" s="60">
        <v>0</v>
      </c>
      <c r="Z415" s="60">
        <v>0</v>
      </c>
      <c r="AA415" s="60">
        <v>0</v>
      </c>
      <c r="AB415" s="60">
        <v>0</v>
      </c>
      <c r="AC415" s="60">
        <v>0</v>
      </c>
      <c r="AD415" s="60">
        <v>0</v>
      </c>
      <c r="AE415" s="60">
        <v>0</v>
      </c>
      <c r="AF415" s="170" t="s">
        <v>257</v>
      </c>
      <c r="AG415" s="170">
        <v>2020</v>
      </c>
      <c r="AH415" s="63" t="s">
        <v>257</v>
      </c>
    </row>
    <row r="416" spans="1:34" ht="61.5" x14ac:dyDescent="0.85">
      <c r="A416" s="7">
        <v>1</v>
      </c>
      <c r="B416" s="59">
        <f>SUBTOTAL(103,$A$22:A416)</f>
        <v>362</v>
      </c>
      <c r="C416" s="160" t="s">
        <v>79</v>
      </c>
      <c r="D416" s="60">
        <f>E416+F416+G416+H416+I416+J416+L416+N416+P416+R416+T416+U416+V416+W416+X416+Y416+Z416+AA416+AB416+AC416+AD416+AE416</f>
        <v>50003.71</v>
      </c>
      <c r="E416" s="60">
        <v>0</v>
      </c>
      <c r="F416" s="60">
        <v>0</v>
      </c>
      <c r="G416" s="60">
        <v>0</v>
      </c>
      <c r="H416" s="60">
        <v>0</v>
      </c>
      <c r="I416" s="60">
        <v>0</v>
      </c>
      <c r="J416" s="60">
        <v>0</v>
      </c>
      <c r="K416" s="168">
        <v>0</v>
      </c>
      <c r="L416" s="60">
        <v>0</v>
      </c>
      <c r="M416" s="60">
        <v>0</v>
      </c>
      <c r="N416" s="60">
        <v>0</v>
      </c>
      <c r="O416" s="60">
        <v>0</v>
      </c>
      <c r="P416" s="60">
        <v>0</v>
      </c>
      <c r="Q416" s="60">
        <v>0</v>
      </c>
      <c r="R416" s="60">
        <v>0</v>
      </c>
      <c r="S416" s="60">
        <v>0</v>
      </c>
      <c r="T416" s="60">
        <v>0</v>
      </c>
      <c r="U416" s="60">
        <v>0</v>
      </c>
      <c r="V416" s="60">
        <v>0</v>
      </c>
      <c r="W416" s="60">
        <v>0</v>
      </c>
      <c r="X416" s="60">
        <v>0</v>
      </c>
      <c r="Y416" s="60">
        <v>0</v>
      </c>
      <c r="Z416" s="60">
        <v>0</v>
      </c>
      <c r="AA416" s="60">
        <v>0</v>
      </c>
      <c r="AB416" s="60">
        <v>0</v>
      </c>
      <c r="AC416" s="60">
        <f>ROUND(N416*1.5%,2)</f>
        <v>0</v>
      </c>
      <c r="AD416" s="60">
        <v>50003.71</v>
      </c>
      <c r="AE416" s="60">
        <v>0</v>
      </c>
      <c r="AF416" s="170">
        <v>2020</v>
      </c>
      <c r="AG416" s="170" t="s">
        <v>257</v>
      </c>
      <c r="AH416" s="170" t="s">
        <v>257</v>
      </c>
    </row>
    <row r="417" spans="1:34" ht="61.5" x14ac:dyDescent="0.85">
      <c r="A417" s="7">
        <v>1</v>
      </c>
      <c r="B417" s="59">
        <f>SUBTOTAL(103,$A$22:A417)</f>
        <v>363</v>
      </c>
      <c r="C417" s="160" t="s">
        <v>80</v>
      </c>
      <c r="D417" s="60">
        <f>E417+F417+G417+H417+I417+J417+L417+N417+P417+R417+T417+U417+V417+W417+X417+Y417+Z417+AA417+AB417+AC417+AD417+AE417</f>
        <v>40599.199999999997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168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0">
        <v>0</v>
      </c>
      <c r="T417" s="60">
        <v>0</v>
      </c>
      <c r="U417" s="60">
        <v>0</v>
      </c>
      <c r="V417" s="60">
        <v>0</v>
      </c>
      <c r="W417" s="60">
        <v>0</v>
      </c>
      <c r="X417" s="60">
        <v>0</v>
      </c>
      <c r="Y417" s="60">
        <v>0</v>
      </c>
      <c r="Z417" s="60">
        <v>0</v>
      </c>
      <c r="AA417" s="60">
        <v>0</v>
      </c>
      <c r="AB417" s="60">
        <v>0</v>
      </c>
      <c r="AC417" s="60">
        <f>ROUND(N417*1.5%,2)</f>
        <v>0</v>
      </c>
      <c r="AD417" s="60">
        <v>40599.199999999997</v>
      </c>
      <c r="AE417" s="60">
        <v>0</v>
      </c>
      <c r="AF417" s="170">
        <v>2020</v>
      </c>
      <c r="AG417" s="170" t="s">
        <v>257</v>
      </c>
      <c r="AH417" s="170" t="s">
        <v>257</v>
      </c>
    </row>
    <row r="418" spans="1:34" ht="61.5" x14ac:dyDescent="0.85">
      <c r="B418" s="160" t="s">
        <v>785</v>
      </c>
      <c r="C418" s="176"/>
      <c r="D418" s="177">
        <f t="shared" ref="D418:AE418" si="50">SUM(D419:D421)</f>
        <v>8700170.3300000001</v>
      </c>
      <c r="E418" s="60">
        <f t="shared" si="50"/>
        <v>0</v>
      </c>
      <c r="F418" s="60">
        <f t="shared" si="50"/>
        <v>0</v>
      </c>
      <c r="G418" s="60">
        <f t="shared" si="50"/>
        <v>0</v>
      </c>
      <c r="H418" s="60">
        <f t="shared" si="50"/>
        <v>0</v>
      </c>
      <c r="I418" s="60">
        <f t="shared" si="50"/>
        <v>0</v>
      </c>
      <c r="J418" s="60">
        <f t="shared" si="50"/>
        <v>0</v>
      </c>
      <c r="K418" s="168">
        <f t="shared" si="50"/>
        <v>0</v>
      </c>
      <c r="L418" s="60">
        <f t="shared" si="50"/>
        <v>0</v>
      </c>
      <c r="M418" s="60">
        <f t="shared" si="50"/>
        <v>2296.96</v>
      </c>
      <c r="N418" s="60">
        <f t="shared" si="50"/>
        <v>8569425.0999999996</v>
      </c>
      <c r="O418" s="60">
        <f t="shared" si="50"/>
        <v>0</v>
      </c>
      <c r="P418" s="60">
        <f t="shared" si="50"/>
        <v>0</v>
      </c>
      <c r="Q418" s="60">
        <f t="shared" si="50"/>
        <v>0</v>
      </c>
      <c r="R418" s="60">
        <f t="shared" si="50"/>
        <v>0</v>
      </c>
      <c r="S418" s="60">
        <f t="shared" si="50"/>
        <v>0</v>
      </c>
      <c r="T418" s="60">
        <f t="shared" si="50"/>
        <v>0</v>
      </c>
      <c r="U418" s="60">
        <f t="shared" si="50"/>
        <v>0</v>
      </c>
      <c r="V418" s="60">
        <f t="shared" si="50"/>
        <v>0</v>
      </c>
      <c r="W418" s="60">
        <f t="shared" si="50"/>
        <v>0</v>
      </c>
      <c r="X418" s="60">
        <f t="shared" si="50"/>
        <v>0</v>
      </c>
      <c r="Y418" s="60">
        <f t="shared" si="50"/>
        <v>0</v>
      </c>
      <c r="Z418" s="60">
        <f t="shared" si="50"/>
        <v>0</v>
      </c>
      <c r="AA418" s="60">
        <f t="shared" si="50"/>
        <v>0</v>
      </c>
      <c r="AB418" s="60">
        <f t="shared" si="50"/>
        <v>0</v>
      </c>
      <c r="AC418" s="60">
        <f t="shared" si="50"/>
        <v>46312.56</v>
      </c>
      <c r="AD418" s="60">
        <f t="shared" si="50"/>
        <v>84432.67</v>
      </c>
      <c r="AE418" s="60">
        <f t="shared" si="50"/>
        <v>0</v>
      </c>
      <c r="AF418" s="54" t="s">
        <v>701</v>
      </c>
      <c r="AG418" s="54" t="s">
        <v>701</v>
      </c>
      <c r="AH418" s="55" t="s">
        <v>701</v>
      </c>
    </row>
    <row r="419" spans="1:34" ht="61.5" x14ac:dyDescent="0.85">
      <c r="A419" s="7">
        <v>1</v>
      </c>
      <c r="B419" s="59">
        <f>SUBTOTAL(103,$A$22:A419)</f>
        <v>364</v>
      </c>
      <c r="C419" s="160" t="s">
        <v>105</v>
      </c>
      <c r="D419" s="60">
        <f>E419+F419+G419+H419+I419+J419+L419+N419+P419+R419+T419+U419+V419+W419+X419+Y419+Z419+AA419+AB419+AC419+AD419+AE419</f>
        <v>1877560.0999999999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168">
        <v>0</v>
      </c>
      <c r="L419" s="60">
        <v>0</v>
      </c>
      <c r="M419" s="62">
        <v>549.33000000000004</v>
      </c>
      <c r="N419" s="169">
        <v>1871524.43</v>
      </c>
      <c r="O419" s="60">
        <v>0</v>
      </c>
      <c r="P419" s="60">
        <v>0</v>
      </c>
      <c r="Q419" s="60">
        <v>0</v>
      </c>
      <c r="R419" s="60">
        <v>0</v>
      </c>
      <c r="S419" s="60">
        <v>0</v>
      </c>
      <c r="T419" s="60">
        <v>0</v>
      </c>
      <c r="U419" s="60">
        <v>0</v>
      </c>
      <c r="V419" s="60">
        <v>0</v>
      </c>
      <c r="W419" s="60">
        <v>0</v>
      </c>
      <c r="X419" s="60">
        <v>0</v>
      </c>
      <c r="Y419" s="60">
        <v>0</v>
      </c>
      <c r="Z419" s="60">
        <v>0</v>
      </c>
      <c r="AA419" s="60">
        <v>0</v>
      </c>
      <c r="AB419" s="60">
        <v>0</v>
      </c>
      <c r="AC419" s="62">
        <v>6035.67</v>
      </c>
      <c r="AD419" s="60">
        <v>0</v>
      </c>
      <c r="AE419" s="60">
        <v>0</v>
      </c>
      <c r="AF419" s="170" t="s">
        <v>257</v>
      </c>
      <c r="AG419" s="170">
        <v>2020</v>
      </c>
      <c r="AH419" s="63">
        <v>2020</v>
      </c>
    </row>
    <row r="420" spans="1:34" ht="61.5" x14ac:dyDescent="0.85">
      <c r="A420" s="7">
        <v>1</v>
      </c>
      <c r="B420" s="59">
        <f>SUBTOTAL(103,$A$22:A420)</f>
        <v>365</v>
      </c>
      <c r="C420" s="160" t="s">
        <v>107</v>
      </c>
      <c r="D420" s="60">
        <f>E420+F420+G420+H420+I420+J420+L420+N420+P420+R420+T420+U420+V420+W420+X420+Y420+Z420+AA420+AB420+AC420+AD420+AE420</f>
        <v>3555061.2899999996</v>
      </c>
      <c r="E420" s="60">
        <v>0</v>
      </c>
      <c r="F420" s="60">
        <v>0</v>
      </c>
      <c r="G420" s="60">
        <v>0</v>
      </c>
      <c r="H420" s="60">
        <v>0</v>
      </c>
      <c r="I420" s="60">
        <v>0</v>
      </c>
      <c r="J420" s="60">
        <v>0</v>
      </c>
      <c r="K420" s="168">
        <v>0</v>
      </c>
      <c r="L420" s="60">
        <v>0</v>
      </c>
      <c r="M420" s="62">
        <v>940.23</v>
      </c>
      <c r="N420" s="62">
        <v>3448386.53</v>
      </c>
      <c r="O420" s="60">
        <v>0</v>
      </c>
      <c r="P420" s="60">
        <v>0</v>
      </c>
      <c r="Q420" s="60">
        <v>0</v>
      </c>
      <c r="R420" s="60">
        <v>0</v>
      </c>
      <c r="S420" s="60">
        <v>0</v>
      </c>
      <c r="T420" s="60">
        <v>0</v>
      </c>
      <c r="U420" s="60">
        <v>0</v>
      </c>
      <c r="V420" s="60">
        <v>0</v>
      </c>
      <c r="W420" s="60">
        <v>0</v>
      </c>
      <c r="X420" s="60">
        <v>0</v>
      </c>
      <c r="Y420" s="60">
        <v>0</v>
      </c>
      <c r="Z420" s="60">
        <v>0</v>
      </c>
      <c r="AA420" s="60">
        <v>0</v>
      </c>
      <c r="AB420" s="60">
        <v>0</v>
      </c>
      <c r="AC420" s="62">
        <v>22242.09</v>
      </c>
      <c r="AD420" s="62">
        <v>84432.67</v>
      </c>
      <c r="AE420" s="60">
        <v>0</v>
      </c>
      <c r="AF420" s="170">
        <v>2020</v>
      </c>
      <c r="AG420" s="170">
        <v>2020</v>
      </c>
      <c r="AH420" s="63">
        <v>2020</v>
      </c>
    </row>
    <row r="421" spans="1:34" ht="61.5" x14ac:dyDescent="0.85">
      <c r="A421" s="7">
        <v>1</v>
      </c>
      <c r="B421" s="59">
        <f>SUBTOTAL(103,$A$22:A421)</f>
        <v>366</v>
      </c>
      <c r="C421" s="160" t="s">
        <v>1160</v>
      </c>
      <c r="D421" s="60">
        <f>E421+F421+G421+H421+I421+J421+L421+N421+P421+R421+T421+U421+V421+W421+X421+Y421+Z421+AA421+AB421+AC421+AD421+AE421</f>
        <v>3267548.94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168">
        <v>0</v>
      </c>
      <c r="L421" s="60">
        <v>0</v>
      </c>
      <c r="M421" s="62">
        <v>807.4</v>
      </c>
      <c r="N421" s="62">
        <v>3249514.14</v>
      </c>
      <c r="O421" s="60">
        <v>0</v>
      </c>
      <c r="P421" s="60">
        <v>0</v>
      </c>
      <c r="Q421" s="60">
        <v>0</v>
      </c>
      <c r="R421" s="60">
        <v>0</v>
      </c>
      <c r="S421" s="60">
        <v>0</v>
      </c>
      <c r="T421" s="60">
        <v>0</v>
      </c>
      <c r="U421" s="60">
        <v>0</v>
      </c>
      <c r="V421" s="60">
        <v>0</v>
      </c>
      <c r="W421" s="60">
        <v>0</v>
      </c>
      <c r="X421" s="60">
        <v>0</v>
      </c>
      <c r="Y421" s="60">
        <v>0</v>
      </c>
      <c r="Z421" s="60">
        <v>0</v>
      </c>
      <c r="AA421" s="60">
        <v>0</v>
      </c>
      <c r="AB421" s="60">
        <v>0</v>
      </c>
      <c r="AC421" s="62">
        <v>18034.8</v>
      </c>
      <c r="AD421" s="60">
        <v>0</v>
      </c>
      <c r="AE421" s="60">
        <v>0</v>
      </c>
      <c r="AF421" s="170" t="s">
        <v>257</v>
      </c>
      <c r="AG421" s="170">
        <v>2020</v>
      </c>
      <c r="AH421" s="63">
        <v>2020</v>
      </c>
    </row>
    <row r="422" spans="1:34" ht="61.5" x14ac:dyDescent="0.85">
      <c r="B422" s="160" t="s">
        <v>786</v>
      </c>
      <c r="C422" s="176"/>
      <c r="D422" s="177">
        <f t="shared" ref="D422:AE422" si="51">D423</f>
        <v>4281723.32</v>
      </c>
      <c r="E422" s="60">
        <f t="shared" si="51"/>
        <v>0</v>
      </c>
      <c r="F422" s="60">
        <f t="shared" si="51"/>
        <v>0</v>
      </c>
      <c r="G422" s="60">
        <f t="shared" si="51"/>
        <v>0</v>
      </c>
      <c r="H422" s="60">
        <f t="shared" si="51"/>
        <v>0</v>
      </c>
      <c r="I422" s="60">
        <f t="shared" si="51"/>
        <v>0</v>
      </c>
      <c r="J422" s="60">
        <f t="shared" si="51"/>
        <v>0</v>
      </c>
      <c r="K422" s="168">
        <f t="shared" si="51"/>
        <v>0</v>
      </c>
      <c r="L422" s="60">
        <f t="shared" si="51"/>
        <v>0</v>
      </c>
      <c r="M422" s="60">
        <f t="shared" si="51"/>
        <v>965.75</v>
      </c>
      <c r="N422" s="60">
        <f t="shared" si="51"/>
        <v>4066944.18</v>
      </c>
      <c r="O422" s="60">
        <f t="shared" si="51"/>
        <v>0</v>
      </c>
      <c r="P422" s="60">
        <f t="shared" si="51"/>
        <v>0</v>
      </c>
      <c r="Q422" s="60">
        <f t="shared" si="51"/>
        <v>0</v>
      </c>
      <c r="R422" s="60">
        <f t="shared" si="51"/>
        <v>0</v>
      </c>
      <c r="S422" s="60">
        <f t="shared" si="51"/>
        <v>0</v>
      </c>
      <c r="T422" s="60">
        <f t="shared" si="51"/>
        <v>0</v>
      </c>
      <c r="U422" s="60">
        <f t="shared" si="51"/>
        <v>0</v>
      </c>
      <c r="V422" s="60">
        <f t="shared" si="51"/>
        <v>0</v>
      </c>
      <c r="W422" s="60">
        <f t="shared" si="51"/>
        <v>0</v>
      </c>
      <c r="X422" s="60">
        <f t="shared" si="51"/>
        <v>0</v>
      </c>
      <c r="Y422" s="60">
        <f t="shared" si="51"/>
        <v>0</v>
      </c>
      <c r="Z422" s="60">
        <f t="shared" si="51"/>
        <v>0</v>
      </c>
      <c r="AA422" s="60">
        <f t="shared" si="51"/>
        <v>0</v>
      </c>
      <c r="AB422" s="60">
        <f t="shared" si="51"/>
        <v>0</v>
      </c>
      <c r="AC422" s="60">
        <f t="shared" si="51"/>
        <v>57038.89</v>
      </c>
      <c r="AD422" s="60">
        <f t="shared" si="51"/>
        <v>157740.25</v>
      </c>
      <c r="AE422" s="60">
        <f t="shared" si="51"/>
        <v>0</v>
      </c>
      <c r="AF422" s="54" t="s">
        <v>701</v>
      </c>
      <c r="AG422" s="54" t="s">
        <v>701</v>
      </c>
      <c r="AH422" s="55" t="s">
        <v>701</v>
      </c>
    </row>
    <row r="423" spans="1:34" ht="61.5" x14ac:dyDescent="0.85">
      <c r="A423" s="7">
        <v>1</v>
      </c>
      <c r="B423" s="59">
        <f>SUBTOTAL(103,$A$22:A423)</f>
        <v>367</v>
      </c>
      <c r="C423" s="160" t="s">
        <v>40</v>
      </c>
      <c r="D423" s="60">
        <f>E423+F423+G423+H423+I423+J423+L423+N423+P423+R423+T423+U423+V423+W423+X423+Y423+Z423+AA423+AB423+AC423+AD423+AE423</f>
        <v>4281723.32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168">
        <v>0</v>
      </c>
      <c r="L423" s="60">
        <v>0</v>
      </c>
      <c r="M423" s="62">
        <v>965.75</v>
      </c>
      <c r="N423" s="62">
        <v>4066944.18</v>
      </c>
      <c r="O423" s="60">
        <v>0</v>
      </c>
      <c r="P423" s="60">
        <v>0</v>
      </c>
      <c r="Q423" s="60">
        <v>0</v>
      </c>
      <c r="R423" s="60">
        <v>0</v>
      </c>
      <c r="S423" s="60">
        <v>0</v>
      </c>
      <c r="T423" s="60">
        <v>0</v>
      </c>
      <c r="U423" s="60">
        <v>0</v>
      </c>
      <c r="V423" s="60">
        <v>0</v>
      </c>
      <c r="W423" s="60">
        <v>0</v>
      </c>
      <c r="X423" s="60">
        <v>0</v>
      </c>
      <c r="Y423" s="60">
        <v>0</v>
      </c>
      <c r="Z423" s="60">
        <v>0</v>
      </c>
      <c r="AA423" s="60">
        <v>0</v>
      </c>
      <c r="AB423" s="60">
        <v>0</v>
      </c>
      <c r="AC423" s="62">
        <v>57038.89</v>
      </c>
      <c r="AD423" s="62">
        <v>157740.25</v>
      </c>
      <c r="AE423" s="60">
        <v>0</v>
      </c>
      <c r="AF423" s="170">
        <v>2020</v>
      </c>
      <c r="AG423" s="170">
        <v>2020</v>
      </c>
      <c r="AH423" s="63">
        <v>2020</v>
      </c>
    </row>
    <row r="424" spans="1:34" ht="61.5" x14ac:dyDescent="0.85">
      <c r="B424" s="160" t="s">
        <v>787</v>
      </c>
      <c r="C424" s="160"/>
      <c r="D424" s="177">
        <f t="shared" ref="D424:AE424" si="52">SUM(D425:D427)</f>
        <v>2434186.5899999994</v>
      </c>
      <c r="E424" s="60">
        <f t="shared" si="52"/>
        <v>226701.24</v>
      </c>
      <c r="F424" s="60">
        <f t="shared" si="52"/>
        <v>164883.43</v>
      </c>
      <c r="G424" s="60">
        <f t="shared" si="52"/>
        <v>1350679.88</v>
      </c>
      <c r="H424" s="60">
        <f t="shared" si="52"/>
        <v>377296.73</v>
      </c>
      <c r="I424" s="60">
        <f t="shared" si="52"/>
        <v>0</v>
      </c>
      <c r="J424" s="60">
        <f t="shared" si="52"/>
        <v>0</v>
      </c>
      <c r="K424" s="168">
        <f t="shared" si="52"/>
        <v>0</v>
      </c>
      <c r="L424" s="60">
        <f t="shared" si="52"/>
        <v>0</v>
      </c>
      <c r="M424" s="60">
        <f t="shared" si="52"/>
        <v>0</v>
      </c>
      <c r="N424" s="60">
        <f t="shared" si="52"/>
        <v>0</v>
      </c>
      <c r="O424" s="60">
        <f t="shared" si="52"/>
        <v>0</v>
      </c>
      <c r="P424" s="60">
        <f t="shared" si="52"/>
        <v>0</v>
      </c>
      <c r="Q424" s="60">
        <f t="shared" si="52"/>
        <v>0</v>
      </c>
      <c r="R424" s="60">
        <f t="shared" si="52"/>
        <v>0</v>
      </c>
      <c r="S424" s="60">
        <f t="shared" si="52"/>
        <v>0</v>
      </c>
      <c r="T424" s="60">
        <f t="shared" si="52"/>
        <v>0</v>
      </c>
      <c r="U424" s="60">
        <f t="shared" si="52"/>
        <v>0</v>
      </c>
      <c r="V424" s="60">
        <f t="shared" si="52"/>
        <v>0</v>
      </c>
      <c r="W424" s="60">
        <f t="shared" si="52"/>
        <v>0</v>
      </c>
      <c r="X424" s="60">
        <f t="shared" si="52"/>
        <v>0</v>
      </c>
      <c r="Y424" s="60">
        <f t="shared" si="52"/>
        <v>0</v>
      </c>
      <c r="Z424" s="60">
        <f t="shared" si="52"/>
        <v>0</v>
      </c>
      <c r="AA424" s="60">
        <f t="shared" si="52"/>
        <v>0</v>
      </c>
      <c r="AB424" s="60">
        <f t="shared" si="52"/>
        <v>0</v>
      </c>
      <c r="AC424" s="60">
        <f t="shared" si="52"/>
        <v>31634.46</v>
      </c>
      <c r="AD424" s="60">
        <f t="shared" si="52"/>
        <v>282990.84999999998</v>
      </c>
      <c r="AE424" s="60">
        <f t="shared" si="52"/>
        <v>0</v>
      </c>
      <c r="AF424" s="54" t="s">
        <v>701</v>
      </c>
      <c r="AG424" s="54" t="s">
        <v>701</v>
      </c>
      <c r="AH424" s="55" t="s">
        <v>701</v>
      </c>
    </row>
    <row r="425" spans="1:34" ht="61.5" x14ac:dyDescent="0.85">
      <c r="A425" s="7">
        <v>1</v>
      </c>
      <c r="B425" s="59">
        <f>SUBTOTAL(103,$A$22:A425)</f>
        <v>368</v>
      </c>
      <c r="C425" s="160" t="s">
        <v>63</v>
      </c>
      <c r="D425" s="60">
        <f>E425+F425+G425+H425+I425+J425+L425+N425+P425+R425+T425+U425+V425+W425+X425+Y425+Z425+AA425+AB425+AC425+AD425+AE425</f>
        <v>158769.03</v>
      </c>
      <c r="E425" s="60">
        <v>0</v>
      </c>
      <c r="F425" s="60">
        <v>0</v>
      </c>
      <c r="G425" s="60">
        <v>0</v>
      </c>
      <c r="H425" s="60">
        <v>0</v>
      </c>
      <c r="I425" s="60">
        <v>0</v>
      </c>
      <c r="J425" s="60">
        <v>0</v>
      </c>
      <c r="K425" s="168">
        <v>0</v>
      </c>
      <c r="L425" s="60">
        <v>0</v>
      </c>
      <c r="M425" s="60">
        <v>0</v>
      </c>
      <c r="N425" s="60">
        <v>0</v>
      </c>
      <c r="O425" s="60">
        <v>0</v>
      </c>
      <c r="P425" s="60">
        <v>0</v>
      </c>
      <c r="Q425" s="60">
        <v>0</v>
      </c>
      <c r="R425" s="60">
        <v>0</v>
      </c>
      <c r="S425" s="60">
        <v>0</v>
      </c>
      <c r="T425" s="60">
        <v>0</v>
      </c>
      <c r="U425" s="60">
        <v>0</v>
      </c>
      <c r="V425" s="60">
        <v>0</v>
      </c>
      <c r="W425" s="60">
        <v>0</v>
      </c>
      <c r="X425" s="60">
        <v>0</v>
      </c>
      <c r="Y425" s="60">
        <v>0</v>
      </c>
      <c r="Z425" s="60">
        <v>0</v>
      </c>
      <c r="AA425" s="60">
        <v>0</v>
      </c>
      <c r="AB425" s="60">
        <v>0</v>
      </c>
      <c r="AC425" s="60">
        <f>ROUND(N425*1.5%,2)</f>
        <v>0</v>
      </c>
      <c r="AD425" s="62">
        <v>158769.03</v>
      </c>
      <c r="AE425" s="60">
        <v>0</v>
      </c>
      <c r="AF425" s="170">
        <v>2020</v>
      </c>
      <c r="AG425" s="170" t="s">
        <v>257</v>
      </c>
      <c r="AH425" s="170" t="s">
        <v>257</v>
      </c>
    </row>
    <row r="426" spans="1:34" ht="61.5" x14ac:dyDescent="0.85">
      <c r="A426" s="7">
        <v>1</v>
      </c>
      <c r="B426" s="59">
        <f>SUBTOTAL(103,$A$22:A426)</f>
        <v>369</v>
      </c>
      <c r="C426" s="160" t="s">
        <v>1173</v>
      </c>
      <c r="D426" s="60">
        <f>E426+F426+G426+H426+I426+J426+L426+N426+P426+R426+T426+U426+V426+W426+X426+Y426+Z426+AA426+AB426+AC426+AD426+AE426</f>
        <v>2151195.7399999998</v>
      </c>
      <c r="E426" s="62">
        <v>226701.24</v>
      </c>
      <c r="F426" s="62">
        <v>164883.43</v>
      </c>
      <c r="G426" s="62">
        <v>1350679.88</v>
      </c>
      <c r="H426" s="62">
        <v>377296.73</v>
      </c>
      <c r="I426" s="60">
        <v>0</v>
      </c>
      <c r="J426" s="60">
        <v>0</v>
      </c>
      <c r="K426" s="168">
        <v>0</v>
      </c>
      <c r="L426" s="60">
        <v>0</v>
      </c>
      <c r="M426" s="60">
        <v>0</v>
      </c>
      <c r="N426" s="60">
        <v>0</v>
      </c>
      <c r="O426" s="60">
        <v>0</v>
      </c>
      <c r="P426" s="60">
        <v>0</v>
      </c>
      <c r="Q426" s="60">
        <v>0</v>
      </c>
      <c r="R426" s="60">
        <v>0</v>
      </c>
      <c r="S426" s="60">
        <v>0</v>
      </c>
      <c r="T426" s="60">
        <v>0</v>
      </c>
      <c r="U426" s="60">
        <v>0</v>
      </c>
      <c r="V426" s="60">
        <v>0</v>
      </c>
      <c r="W426" s="60">
        <v>0</v>
      </c>
      <c r="X426" s="60">
        <v>0</v>
      </c>
      <c r="Y426" s="60">
        <v>0</v>
      </c>
      <c r="Z426" s="60">
        <v>0</v>
      </c>
      <c r="AA426" s="60">
        <v>0</v>
      </c>
      <c r="AB426" s="60">
        <v>0</v>
      </c>
      <c r="AC426" s="60">
        <f>ROUND(E426*1.4925%,2)+ROUND(F426*1.4925%,2)+ROUND(G426*1.4925%,2)+ROUND(H426*1.4925%,2)+ROUND(I426*1.4925%,2)+ROUND(J426*1.4925%,2)</f>
        <v>31634.46</v>
      </c>
      <c r="AD426" s="60">
        <v>0</v>
      </c>
      <c r="AE426" s="60">
        <v>0</v>
      </c>
      <c r="AF426" s="170" t="s">
        <v>257</v>
      </c>
      <c r="AG426" s="170">
        <v>2020</v>
      </c>
      <c r="AH426" s="63">
        <v>2020</v>
      </c>
    </row>
    <row r="427" spans="1:34" ht="61.5" x14ac:dyDescent="0.85">
      <c r="A427" s="7">
        <v>1</v>
      </c>
      <c r="B427" s="59">
        <f>SUBTOTAL(103,$A$22:A427)</f>
        <v>370</v>
      </c>
      <c r="C427" s="160" t="s">
        <v>52</v>
      </c>
      <c r="D427" s="60">
        <f>E427+F427+G427+H427+I427+J427+L427+N427+P427+R427+T427+U427+V427+W427+X427+Y427+Z427+AA427+AB427+AC427+AD427+AE427</f>
        <v>124221.82</v>
      </c>
      <c r="E427" s="60">
        <v>0</v>
      </c>
      <c r="F427" s="60">
        <v>0</v>
      </c>
      <c r="G427" s="60">
        <v>0</v>
      </c>
      <c r="H427" s="60">
        <v>0</v>
      </c>
      <c r="I427" s="60">
        <v>0</v>
      </c>
      <c r="J427" s="60">
        <v>0</v>
      </c>
      <c r="K427" s="168">
        <v>0</v>
      </c>
      <c r="L427" s="60">
        <v>0</v>
      </c>
      <c r="M427" s="60">
        <v>0</v>
      </c>
      <c r="N427" s="60">
        <v>0</v>
      </c>
      <c r="O427" s="60">
        <v>0</v>
      </c>
      <c r="P427" s="60">
        <v>0</v>
      </c>
      <c r="Q427" s="60">
        <v>0</v>
      </c>
      <c r="R427" s="60">
        <v>0</v>
      </c>
      <c r="S427" s="60">
        <v>0</v>
      </c>
      <c r="T427" s="60">
        <v>0</v>
      </c>
      <c r="U427" s="60">
        <v>0</v>
      </c>
      <c r="V427" s="60">
        <v>0</v>
      </c>
      <c r="W427" s="60">
        <v>0</v>
      </c>
      <c r="X427" s="60">
        <v>0</v>
      </c>
      <c r="Y427" s="60">
        <v>0</v>
      </c>
      <c r="Z427" s="60">
        <v>0</v>
      </c>
      <c r="AA427" s="60">
        <v>0</v>
      </c>
      <c r="AB427" s="60">
        <v>0</v>
      </c>
      <c r="AC427" s="60">
        <f>ROUND(N427*1.5%,2)</f>
        <v>0</v>
      </c>
      <c r="AD427" s="62">
        <v>124221.82</v>
      </c>
      <c r="AE427" s="60">
        <v>0</v>
      </c>
      <c r="AF427" s="170">
        <v>2020</v>
      </c>
      <c r="AG427" s="170" t="s">
        <v>257</v>
      </c>
      <c r="AH427" s="170" t="s">
        <v>257</v>
      </c>
    </row>
    <row r="428" spans="1:34" ht="61.5" x14ac:dyDescent="0.85">
      <c r="B428" s="160" t="s">
        <v>788</v>
      </c>
      <c r="C428" s="160"/>
      <c r="D428" s="177">
        <f t="shared" ref="D428:AE428" si="53">SUM(D429:D434)</f>
        <v>19736488.859999999</v>
      </c>
      <c r="E428" s="60">
        <f t="shared" si="53"/>
        <v>1000351.54</v>
      </c>
      <c r="F428" s="60">
        <f t="shared" si="53"/>
        <v>1810542.37</v>
      </c>
      <c r="G428" s="60">
        <f t="shared" si="53"/>
        <v>9395223.0500000007</v>
      </c>
      <c r="H428" s="60">
        <f t="shared" si="53"/>
        <v>986303.66</v>
      </c>
      <c r="I428" s="60">
        <f t="shared" si="53"/>
        <v>0</v>
      </c>
      <c r="J428" s="60">
        <f t="shared" si="53"/>
        <v>0</v>
      </c>
      <c r="K428" s="168">
        <f t="shared" si="53"/>
        <v>0</v>
      </c>
      <c r="L428" s="60">
        <f t="shared" si="53"/>
        <v>0</v>
      </c>
      <c r="M428" s="60">
        <f t="shared" si="53"/>
        <v>619</v>
      </c>
      <c r="N428" s="60">
        <f t="shared" si="53"/>
        <v>2465528.8199999998</v>
      </c>
      <c r="O428" s="60">
        <f t="shared" si="53"/>
        <v>0</v>
      </c>
      <c r="P428" s="60">
        <f t="shared" si="53"/>
        <v>0</v>
      </c>
      <c r="Q428" s="60">
        <f t="shared" si="53"/>
        <v>858.98</v>
      </c>
      <c r="R428" s="60">
        <f t="shared" si="53"/>
        <v>3617645.64</v>
      </c>
      <c r="S428" s="60">
        <f t="shared" si="53"/>
        <v>0</v>
      </c>
      <c r="T428" s="60">
        <f t="shared" si="53"/>
        <v>0</v>
      </c>
      <c r="U428" s="60">
        <f t="shared" si="53"/>
        <v>0</v>
      </c>
      <c r="V428" s="60">
        <f t="shared" si="53"/>
        <v>0</v>
      </c>
      <c r="W428" s="60">
        <f t="shared" si="53"/>
        <v>0</v>
      </c>
      <c r="X428" s="60">
        <f t="shared" si="53"/>
        <v>0</v>
      </c>
      <c r="Y428" s="60">
        <f t="shared" si="53"/>
        <v>0</v>
      </c>
      <c r="Z428" s="60">
        <f t="shared" si="53"/>
        <v>0</v>
      </c>
      <c r="AA428" s="60">
        <f t="shared" si="53"/>
        <v>0</v>
      </c>
      <c r="AB428" s="60">
        <f t="shared" si="53"/>
        <v>0</v>
      </c>
      <c r="AC428" s="60">
        <f t="shared" si="53"/>
        <v>247715.52000000002</v>
      </c>
      <c r="AD428" s="60">
        <f t="shared" si="53"/>
        <v>213178.26</v>
      </c>
      <c r="AE428" s="60">
        <f t="shared" si="53"/>
        <v>0</v>
      </c>
      <c r="AF428" s="54" t="s">
        <v>701</v>
      </c>
      <c r="AG428" s="54" t="s">
        <v>701</v>
      </c>
      <c r="AH428" s="55" t="s">
        <v>701</v>
      </c>
    </row>
    <row r="429" spans="1:34" ht="61.5" x14ac:dyDescent="0.85">
      <c r="A429" s="7">
        <v>1</v>
      </c>
      <c r="B429" s="59">
        <f>SUBTOTAL(103,$A$22:A429)</f>
        <v>371</v>
      </c>
      <c r="C429" s="160" t="s">
        <v>47</v>
      </c>
      <c r="D429" s="60">
        <f t="shared" ref="D429:D434" si="54">E429+F429+G429+H429+I429+J429+L429+N429+P429+R429+T429+U429+V429+W429+X429+Y429+Z429+AA429+AB429+AC429+AD429+AE429</f>
        <v>106790.64</v>
      </c>
      <c r="E429" s="60">
        <v>0</v>
      </c>
      <c r="F429" s="60">
        <v>0</v>
      </c>
      <c r="G429" s="60">
        <v>0</v>
      </c>
      <c r="H429" s="60">
        <v>0</v>
      </c>
      <c r="I429" s="60">
        <v>0</v>
      </c>
      <c r="J429" s="60">
        <v>0</v>
      </c>
      <c r="K429" s="168">
        <v>0</v>
      </c>
      <c r="L429" s="60">
        <v>0</v>
      </c>
      <c r="M429" s="60">
        <v>0</v>
      </c>
      <c r="N429" s="60">
        <v>0</v>
      </c>
      <c r="O429" s="60">
        <v>0</v>
      </c>
      <c r="P429" s="60">
        <v>0</v>
      </c>
      <c r="Q429" s="60">
        <v>0</v>
      </c>
      <c r="R429" s="60">
        <v>0</v>
      </c>
      <c r="S429" s="60">
        <v>0</v>
      </c>
      <c r="T429" s="60">
        <v>0</v>
      </c>
      <c r="U429" s="60">
        <v>0</v>
      </c>
      <c r="V429" s="60">
        <v>0</v>
      </c>
      <c r="W429" s="60">
        <v>0</v>
      </c>
      <c r="X429" s="60">
        <v>0</v>
      </c>
      <c r="Y429" s="60">
        <v>0</v>
      </c>
      <c r="Z429" s="60">
        <v>0</v>
      </c>
      <c r="AA429" s="60">
        <v>0</v>
      </c>
      <c r="AB429" s="60">
        <v>0</v>
      </c>
      <c r="AC429" s="60">
        <f>ROUND(N429*1.5%,2)</f>
        <v>0</v>
      </c>
      <c r="AD429" s="62">
        <v>106790.64</v>
      </c>
      <c r="AE429" s="60">
        <v>0</v>
      </c>
      <c r="AF429" s="170">
        <v>2020</v>
      </c>
      <c r="AG429" s="170" t="s">
        <v>257</v>
      </c>
      <c r="AH429" s="170" t="s">
        <v>257</v>
      </c>
    </row>
    <row r="430" spans="1:34" ht="61.5" x14ac:dyDescent="0.85">
      <c r="A430" s="7">
        <v>1</v>
      </c>
      <c r="B430" s="59">
        <f>SUBTOTAL(103,$A$22:A430)</f>
        <v>372</v>
      </c>
      <c r="C430" s="160" t="s">
        <v>742</v>
      </c>
      <c r="D430" s="60">
        <f t="shared" si="54"/>
        <v>2606495.48</v>
      </c>
      <c r="E430" s="60">
        <v>0</v>
      </c>
      <c r="F430" s="60">
        <v>0</v>
      </c>
      <c r="G430" s="60">
        <v>0</v>
      </c>
      <c r="H430" s="60">
        <v>0</v>
      </c>
      <c r="I430" s="60">
        <v>0</v>
      </c>
      <c r="J430" s="60">
        <v>0</v>
      </c>
      <c r="K430" s="168">
        <v>0</v>
      </c>
      <c r="L430" s="60">
        <v>0</v>
      </c>
      <c r="M430" s="62">
        <v>619</v>
      </c>
      <c r="N430" s="62">
        <v>2465528.8199999998</v>
      </c>
      <c r="O430" s="60">
        <v>0</v>
      </c>
      <c r="P430" s="60">
        <v>0</v>
      </c>
      <c r="Q430" s="60">
        <v>0</v>
      </c>
      <c r="R430" s="60">
        <v>0</v>
      </c>
      <c r="S430" s="60">
        <v>0</v>
      </c>
      <c r="T430" s="60">
        <v>0</v>
      </c>
      <c r="U430" s="60">
        <v>0</v>
      </c>
      <c r="V430" s="60">
        <v>0</v>
      </c>
      <c r="W430" s="60">
        <v>0</v>
      </c>
      <c r="X430" s="60">
        <v>0</v>
      </c>
      <c r="Y430" s="60">
        <v>0</v>
      </c>
      <c r="Z430" s="60">
        <v>0</v>
      </c>
      <c r="AA430" s="60">
        <v>0</v>
      </c>
      <c r="AB430" s="60">
        <v>0</v>
      </c>
      <c r="AC430" s="60">
        <v>34579.040000000001</v>
      </c>
      <c r="AD430" s="62">
        <v>106387.62</v>
      </c>
      <c r="AE430" s="60">
        <v>0</v>
      </c>
      <c r="AF430" s="170">
        <v>2020</v>
      </c>
      <c r="AG430" s="170">
        <v>2020</v>
      </c>
      <c r="AH430" s="63">
        <v>2020</v>
      </c>
    </row>
    <row r="431" spans="1:34" ht="61.5" x14ac:dyDescent="0.85">
      <c r="A431" s="7">
        <v>1</v>
      </c>
      <c r="B431" s="59">
        <f>SUBTOTAL(103,$A$22:A431)</f>
        <v>373</v>
      </c>
      <c r="C431" s="160" t="s">
        <v>1162</v>
      </c>
      <c r="D431" s="60">
        <f t="shared" si="54"/>
        <v>5055398.58</v>
      </c>
      <c r="E431" s="62">
        <v>420192.57</v>
      </c>
      <c r="F431" s="62">
        <v>698894.43</v>
      </c>
      <c r="G431" s="62">
        <v>3335941.54</v>
      </c>
      <c r="H431" s="62">
        <v>526027.78</v>
      </c>
      <c r="I431" s="60">
        <v>0</v>
      </c>
      <c r="J431" s="60">
        <v>0</v>
      </c>
      <c r="K431" s="168">
        <v>0</v>
      </c>
      <c r="L431" s="60">
        <v>0</v>
      </c>
      <c r="M431" s="60">
        <v>0</v>
      </c>
      <c r="N431" s="60">
        <v>0</v>
      </c>
      <c r="O431" s="60">
        <v>0</v>
      </c>
      <c r="P431" s="60">
        <v>0</v>
      </c>
      <c r="Q431" s="60">
        <v>0</v>
      </c>
      <c r="R431" s="60">
        <v>0</v>
      </c>
      <c r="S431" s="60">
        <v>0</v>
      </c>
      <c r="T431" s="60">
        <v>0</v>
      </c>
      <c r="U431" s="60">
        <v>0</v>
      </c>
      <c r="V431" s="60">
        <v>0</v>
      </c>
      <c r="W431" s="60">
        <v>0</v>
      </c>
      <c r="X431" s="60">
        <v>0</v>
      </c>
      <c r="Y431" s="60">
        <v>0</v>
      </c>
      <c r="Z431" s="60">
        <v>0</v>
      </c>
      <c r="AA431" s="60">
        <v>0</v>
      </c>
      <c r="AB431" s="60">
        <v>0</v>
      </c>
      <c r="AC431" s="60">
        <f>ROUND(E431*1.4925%,2)+ROUND(F431*1.4925%,2)+ROUND(G431*1.4925%,2)+ROUND(H431*1.4925%,2)+ROUND(I431*1.4925%,2)+ROUND(J431*1.4925%,2)</f>
        <v>74342.260000000009</v>
      </c>
      <c r="AD431" s="60">
        <v>0</v>
      </c>
      <c r="AE431" s="60">
        <v>0</v>
      </c>
      <c r="AF431" s="170" t="s">
        <v>257</v>
      </c>
      <c r="AG431" s="170">
        <v>2020</v>
      </c>
      <c r="AH431" s="63">
        <v>2020</v>
      </c>
    </row>
    <row r="432" spans="1:34" ht="61.5" x14ac:dyDescent="0.85">
      <c r="A432" s="7">
        <v>1</v>
      </c>
      <c r="B432" s="59">
        <f>SUBTOTAL(103,$A$22:A432)</f>
        <v>374</v>
      </c>
      <c r="C432" s="160" t="s">
        <v>1163</v>
      </c>
      <c r="D432" s="60">
        <f t="shared" si="54"/>
        <v>5685725.29</v>
      </c>
      <c r="E432" s="62">
        <v>580158.97</v>
      </c>
      <c r="F432" s="62">
        <v>1111647.94</v>
      </c>
      <c r="G432" s="62">
        <v>3450030.95</v>
      </c>
      <c r="H432" s="62">
        <v>460275.88</v>
      </c>
      <c r="I432" s="60">
        <v>0</v>
      </c>
      <c r="J432" s="60">
        <v>0</v>
      </c>
      <c r="K432" s="168">
        <v>0</v>
      </c>
      <c r="L432" s="60">
        <v>0</v>
      </c>
      <c r="M432" s="60">
        <v>0</v>
      </c>
      <c r="N432" s="60">
        <v>0</v>
      </c>
      <c r="O432" s="60">
        <v>0</v>
      </c>
      <c r="P432" s="60">
        <v>0</v>
      </c>
      <c r="Q432" s="60">
        <v>0</v>
      </c>
      <c r="R432" s="60">
        <v>0</v>
      </c>
      <c r="S432" s="60">
        <v>0</v>
      </c>
      <c r="T432" s="60">
        <v>0</v>
      </c>
      <c r="U432" s="60">
        <v>0</v>
      </c>
      <c r="V432" s="60">
        <v>0</v>
      </c>
      <c r="W432" s="60">
        <v>0</v>
      </c>
      <c r="X432" s="60">
        <v>0</v>
      </c>
      <c r="Y432" s="60">
        <v>0</v>
      </c>
      <c r="Z432" s="60">
        <v>0</v>
      </c>
      <c r="AA432" s="60">
        <v>0</v>
      </c>
      <c r="AB432" s="60">
        <v>0</v>
      </c>
      <c r="AC432" s="60">
        <f>ROUND(E432*1.4925%,2)+ROUND(F432*1.4925%,2)+ROUND(G432*1.4925%,2)+ROUND(H432*1.4925%,2)+ROUND(I432*1.4925%,2)+ROUND(J432*1.4925%,2)</f>
        <v>83611.549999999988</v>
      </c>
      <c r="AD432" s="60">
        <v>0</v>
      </c>
      <c r="AE432" s="60">
        <v>0</v>
      </c>
      <c r="AF432" s="170" t="s">
        <v>257</v>
      </c>
      <c r="AG432" s="170">
        <v>2020</v>
      </c>
      <c r="AH432" s="63">
        <v>2020</v>
      </c>
    </row>
    <row r="433" spans="1:34" ht="61.5" x14ac:dyDescent="0.85">
      <c r="A433" s="7">
        <v>1</v>
      </c>
      <c r="B433" s="59">
        <f>SUBTOTAL(103,$A$22:A433)</f>
        <v>375</v>
      </c>
      <c r="C433" s="160" t="s">
        <v>1164</v>
      </c>
      <c r="D433" s="60">
        <f t="shared" si="54"/>
        <v>2648193.62</v>
      </c>
      <c r="E433" s="60">
        <v>0</v>
      </c>
      <c r="F433" s="60">
        <v>0</v>
      </c>
      <c r="G433" s="169">
        <v>2609250.56</v>
      </c>
      <c r="H433" s="60">
        <v>0</v>
      </c>
      <c r="I433" s="60">
        <v>0</v>
      </c>
      <c r="J433" s="60">
        <v>0</v>
      </c>
      <c r="K433" s="168">
        <v>0</v>
      </c>
      <c r="L433" s="60">
        <v>0</v>
      </c>
      <c r="M433" s="60">
        <v>0</v>
      </c>
      <c r="N433" s="60">
        <v>0</v>
      </c>
      <c r="O433" s="60">
        <v>0</v>
      </c>
      <c r="P433" s="60">
        <v>0</v>
      </c>
      <c r="Q433" s="60">
        <v>0</v>
      </c>
      <c r="R433" s="60">
        <v>0</v>
      </c>
      <c r="S433" s="60">
        <v>0</v>
      </c>
      <c r="T433" s="60">
        <v>0</v>
      </c>
      <c r="U433" s="60">
        <v>0</v>
      </c>
      <c r="V433" s="60">
        <v>0</v>
      </c>
      <c r="W433" s="60">
        <v>0</v>
      </c>
      <c r="X433" s="60">
        <v>0</v>
      </c>
      <c r="Y433" s="60">
        <v>0</v>
      </c>
      <c r="Z433" s="60">
        <v>0</v>
      </c>
      <c r="AA433" s="60">
        <v>0</v>
      </c>
      <c r="AB433" s="60">
        <v>0</v>
      </c>
      <c r="AC433" s="60">
        <f>ROUND(E433*1.4925%,2)+ROUND(F433*1.4925%,2)+ROUND(G433*1.4925%,2)+ROUND(H433*1.4925%,2)+ROUND(I433*1.4925%,2)+ROUND(J433*1.4925%,2)</f>
        <v>38943.06</v>
      </c>
      <c r="AD433" s="60">
        <v>0</v>
      </c>
      <c r="AE433" s="60">
        <v>0</v>
      </c>
      <c r="AF433" s="170" t="s">
        <v>257</v>
      </c>
      <c r="AG433" s="170">
        <v>2020</v>
      </c>
      <c r="AH433" s="63">
        <v>2020</v>
      </c>
    </row>
    <row r="434" spans="1:34" ht="61.5" x14ac:dyDescent="0.85">
      <c r="A434" s="7">
        <v>1</v>
      </c>
      <c r="B434" s="59">
        <f>SUBTOTAL(103,$A$22:A434)</f>
        <v>376</v>
      </c>
      <c r="C434" s="160" t="s">
        <v>1166</v>
      </c>
      <c r="D434" s="60">
        <f t="shared" si="54"/>
        <v>3633885.25</v>
      </c>
      <c r="E434" s="60">
        <v>0</v>
      </c>
      <c r="F434" s="60">
        <v>0</v>
      </c>
      <c r="G434" s="60">
        <v>0</v>
      </c>
      <c r="H434" s="60">
        <v>0</v>
      </c>
      <c r="I434" s="60">
        <v>0</v>
      </c>
      <c r="J434" s="60">
        <v>0</v>
      </c>
      <c r="K434" s="168">
        <v>0</v>
      </c>
      <c r="L434" s="60">
        <v>0</v>
      </c>
      <c r="M434" s="60">
        <v>0</v>
      </c>
      <c r="N434" s="60">
        <v>0</v>
      </c>
      <c r="O434" s="60">
        <v>0</v>
      </c>
      <c r="P434" s="60">
        <v>0</v>
      </c>
      <c r="Q434" s="62">
        <v>858.98</v>
      </c>
      <c r="R434" s="62">
        <v>3617645.64</v>
      </c>
      <c r="S434" s="60">
        <v>0</v>
      </c>
      <c r="T434" s="60">
        <v>0</v>
      </c>
      <c r="U434" s="60">
        <v>0</v>
      </c>
      <c r="V434" s="60">
        <v>0</v>
      </c>
      <c r="W434" s="60">
        <v>0</v>
      </c>
      <c r="X434" s="60">
        <v>0</v>
      </c>
      <c r="Y434" s="60">
        <v>0</v>
      </c>
      <c r="Z434" s="60">
        <v>0</v>
      </c>
      <c r="AA434" s="60">
        <v>0</v>
      </c>
      <c r="AB434" s="60">
        <v>0</v>
      </c>
      <c r="AC434" s="60">
        <v>16239.61</v>
      </c>
      <c r="AD434" s="60">
        <v>0</v>
      </c>
      <c r="AE434" s="60">
        <v>0</v>
      </c>
      <c r="AF434" s="170" t="s">
        <v>257</v>
      </c>
      <c r="AG434" s="170">
        <v>2020</v>
      </c>
      <c r="AH434" s="63">
        <v>2020</v>
      </c>
    </row>
    <row r="435" spans="1:34" ht="61.5" x14ac:dyDescent="0.85">
      <c r="B435" s="160" t="s">
        <v>789</v>
      </c>
      <c r="C435" s="160"/>
      <c r="D435" s="177">
        <f t="shared" ref="D435:AE435" si="55">SUM(D436:D440)</f>
        <v>9389545.5499999989</v>
      </c>
      <c r="E435" s="60">
        <f t="shared" si="55"/>
        <v>167835.45</v>
      </c>
      <c r="F435" s="60">
        <f t="shared" si="55"/>
        <v>0</v>
      </c>
      <c r="G435" s="60">
        <f t="shared" si="55"/>
        <v>658789.53</v>
      </c>
      <c r="H435" s="60">
        <f t="shared" si="55"/>
        <v>0</v>
      </c>
      <c r="I435" s="60">
        <f t="shared" si="55"/>
        <v>618954.18000000005</v>
      </c>
      <c r="J435" s="60">
        <f t="shared" si="55"/>
        <v>0</v>
      </c>
      <c r="K435" s="168">
        <f t="shared" si="55"/>
        <v>0</v>
      </c>
      <c r="L435" s="60">
        <f t="shared" si="55"/>
        <v>0</v>
      </c>
      <c r="M435" s="60">
        <f t="shared" si="55"/>
        <v>2187.2200000000003</v>
      </c>
      <c r="N435" s="60">
        <f t="shared" si="55"/>
        <v>7825011.9399999995</v>
      </c>
      <c r="O435" s="60">
        <f t="shared" si="55"/>
        <v>0</v>
      </c>
      <c r="P435" s="60">
        <f t="shared" si="55"/>
        <v>0</v>
      </c>
      <c r="Q435" s="60">
        <f t="shared" si="55"/>
        <v>0</v>
      </c>
      <c r="R435" s="60">
        <f t="shared" si="55"/>
        <v>0</v>
      </c>
      <c r="S435" s="60">
        <f t="shared" si="55"/>
        <v>0</v>
      </c>
      <c r="T435" s="60">
        <f t="shared" si="55"/>
        <v>0</v>
      </c>
      <c r="U435" s="60">
        <f t="shared" si="55"/>
        <v>0</v>
      </c>
      <c r="V435" s="60">
        <f t="shared" si="55"/>
        <v>0</v>
      </c>
      <c r="W435" s="60">
        <f t="shared" si="55"/>
        <v>0</v>
      </c>
      <c r="X435" s="60">
        <f t="shared" si="55"/>
        <v>0</v>
      </c>
      <c r="Y435" s="60">
        <f t="shared" si="55"/>
        <v>0</v>
      </c>
      <c r="Z435" s="60">
        <f t="shared" si="55"/>
        <v>0</v>
      </c>
      <c r="AA435" s="60">
        <f t="shared" si="55"/>
        <v>0</v>
      </c>
      <c r="AB435" s="60">
        <f t="shared" si="55"/>
        <v>0</v>
      </c>
      <c r="AC435" s="60">
        <f t="shared" si="55"/>
        <v>118954.45</v>
      </c>
      <c r="AD435" s="60">
        <f t="shared" si="55"/>
        <v>0</v>
      </c>
      <c r="AE435" s="60">
        <f t="shared" si="55"/>
        <v>0</v>
      </c>
      <c r="AF435" s="54" t="s">
        <v>701</v>
      </c>
      <c r="AG435" s="54" t="s">
        <v>701</v>
      </c>
      <c r="AH435" s="55" t="s">
        <v>701</v>
      </c>
    </row>
    <row r="436" spans="1:34" ht="61.5" x14ac:dyDescent="0.85">
      <c r="A436" s="7">
        <v>1</v>
      </c>
      <c r="B436" s="59">
        <f>SUBTOTAL(103,$A$22:A436)</f>
        <v>377</v>
      </c>
      <c r="C436" s="160" t="s">
        <v>44</v>
      </c>
      <c r="D436" s="60">
        <f>E436+F436+G436+H436+I436+J436+L436+N436+P436+R436+T436+U436+V436+W436+X436+Y436+Z436+AA436+AB436+AC436+AD436+AE436</f>
        <v>2250143.48</v>
      </c>
      <c r="E436" s="60">
        <v>0</v>
      </c>
      <c r="F436" s="60">
        <v>0</v>
      </c>
      <c r="G436" s="60">
        <v>0</v>
      </c>
      <c r="H436" s="60">
        <v>0</v>
      </c>
      <c r="I436" s="60">
        <v>0</v>
      </c>
      <c r="J436" s="60">
        <v>0</v>
      </c>
      <c r="K436" s="168">
        <v>0</v>
      </c>
      <c r="L436" s="60">
        <v>0</v>
      </c>
      <c r="M436" s="62">
        <v>631</v>
      </c>
      <c r="N436" s="62">
        <v>2219021.7000000002</v>
      </c>
      <c r="O436" s="60">
        <v>0</v>
      </c>
      <c r="P436" s="60">
        <v>0</v>
      </c>
      <c r="Q436" s="60">
        <v>0</v>
      </c>
      <c r="R436" s="60">
        <v>0</v>
      </c>
      <c r="S436" s="60">
        <v>0</v>
      </c>
      <c r="T436" s="60">
        <v>0</v>
      </c>
      <c r="U436" s="60">
        <v>0</v>
      </c>
      <c r="V436" s="60">
        <v>0</v>
      </c>
      <c r="W436" s="60">
        <v>0</v>
      </c>
      <c r="X436" s="60">
        <v>0</v>
      </c>
      <c r="Y436" s="60">
        <v>0</v>
      </c>
      <c r="Z436" s="60">
        <v>0</v>
      </c>
      <c r="AA436" s="60">
        <v>0</v>
      </c>
      <c r="AB436" s="60">
        <v>0</v>
      </c>
      <c r="AC436" s="62">
        <v>31121.78</v>
      </c>
      <c r="AD436" s="60">
        <v>0</v>
      </c>
      <c r="AE436" s="60">
        <v>0</v>
      </c>
      <c r="AF436" s="170" t="s">
        <v>257</v>
      </c>
      <c r="AG436" s="170">
        <v>2020</v>
      </c>
      <c r="AH436" s="63">
        <v>2020</v>
      </c>
    </row>
    <row r="437" spans="1:34" ht="61.5" x14ac:dyDescent="0.85">
      <c r="A437" s="7">
        <v>1</v>
      </c>
      <c r="B437" s="59">
        <f>SUBTOTAL(103,$A$22:A437)</f>
        <v>378</v>
      </c>
      <c r="C437" s="160" t="s">
        <v>43</v>
      </c>
      <c r="D437" s="60">
        <f>E437+F437+G437+H437+I437+J437+L437+N437+P437+R437+T437+U437+V437+W437+X437+Y437+Z437+AA437+AB437+AC437+AD437+AE437</f>
        <v>2167263.7000000002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168">
        <v>0</v>
      </c>
      <c r="L437" s="60">
        <v>0</v>
      </c>
      <c r="M437" s="62">
        <v>554.9</v>
      </c>
      <c r="N437" s="62">
        <v>2137288.23</v>
      </c>
      <c r="O437" s="60">
        <v>0</v>
      </c>
      <c r="P437" s="60">
        <v>0</v>
      </c>
      <c r="Q437" s="60">
        <v>0</v>
      </c>
      <c r="R437" s="60">
        <v>0</v>
      </c>
      <c r="S437" s="60">
        <v>0</v>
      </c>
      <c r="T437" s="60">
        <v>0</v>
      </c>
      <c r="U437" s="60">
        <v>0</v>
      </c>
      <c r="V437" s="60">
        <v>0</v>
      </c>
      <c r="W437" s="60">
        <v>0</v>
      </c>
      <c r="X437" s="60">
        <v>0</v>
      </c>
      <c r="Y437" s="60">
        <v>0</v>
      </c>
      <c r="Z437" s="60">
        <v>0</v>
      </c>
      <c r="AA437" s="60">
        <v>0</v>
      </c>
      <c r="AB437" s="60">
        <v>0</v>
      </c>
      <c r="AC437" s="62">
        <v>29975.47</v>
      </c>
      <c r="AD437" s="60">
        <v>0</v>
      </c>
      <c r="AE437" s="60">
        <v>0</v>
      </c>
      <c r="AF437" s="170" t="s">
        <v>257</v>
      </c>
      <c r="AG437" s="170">
        <v>2020</v>
      </c>
      <c r="AH437" s="63">
        <v>2020</v>
      </c>
    </row>
    <row r="438" spans="1:34" ht="61.5" x14ac:dyDescent="0.85">
      <c r="A438" s="7">
        <v>1</v>
      </c>
      <c r="B438" s="59">
        <f>SUBTOTAL(103,$A$22:A438)</f>
        <v>379</v>
      </c>
      <c r="C438" s="160" t="s">
        <v>45</v>
      </c>
      <c r="D438" s="60">
        <f>E438+F438+G438+H438+I438+J438+L438+N438+P438+R438+T438+U438+V438+W438+X438+Y438+Z438+AA438+AB438+AC438+AD438+AE438</f>
        <v>2202329.54</v>
      </c>
      <c r="E438" s="60">
        <v>0</v>
      </c>
      <c r="F438" s="60">
        <v>0</v>
      </c>
      <c r="G438" s="60">
        <v>0</v>
      </c>
      <c r="H438" s="60">
        <v>0</v>
      </c>
      <c r="I438" s="60">
        <v>0</v>
      </c>
      <c r="J438" s="60">
        <v>0</v>
      </c>
      <c r="K438" s="168">
        <v>0</v>
      </c>
      <c r="L438" s="60">
        <v>0</v>
      </c>
      <c r="M438" s="62">
        <v>562</v>
      </c>
      <c r="N438" s="62">
        <v>2171869.08</v>
      </c>
      <c r="O438" s="60">
        <v>0</v>
      </c>
      <c r="P438" s="60">
        <v>0</v>
      </c>
      <c r="Q438" s="60">
        <v>0</v>
      </c>
      <c r="R438" s="60">
        <v>0</v>
      </c>
      <c r="S438" s="60">
        <v>0</v>
      </c>
      <c r="T438" s="60">
        <v>0</v>
      </c>
      <c r="U438" s="60">
        <v>0</v>
      </c>
      <c r="V438" s="60">
        <v>0</v>
      </c>
      <c r="W438" s="60">
        <v>0</v>
      </c>
      <c r="X438" s="60">
        <v>0</v>
      </c>
      <c r="Y438" s="60">
        <v>0</v>
      </c>
      <c r="Z438" s="60">
        <v>0</v>
      </c>
      <c r="AA438" s="60">
        <v>0</v>
      </c>
      <c r="AB438" s="60">
        <v>0</v>
      </c>
      <c r="AC438" s="62">
        <v>30460.46</v>
      </c>
      <c r="AD438" s="60">
        <v>0</v>
      </c>
      <c r="AE438" s="60">
        <v>0</v>
      </c>
      <c r="AF438" s="170" t="s">
        <v>257</v>
      </c>
      <c r="AG438" s="170">
        <v>2020</v>
      </c>
      <c r="AH438" s="63">
        <v>2020</v>
      </c>
    </row>
    <row r="439" spans="1:34" ht="61.5" x14ac:dyDescent="0.85">
      <c r="A439" s="7">
        <v>1</v>
      </c>
      <c r="B439" s="59">
        <f>SUBTOTAL(103,$A$22:A439)</f>
        <v>380</v>
      </c>
      <c r="C439" s="160" t="s">
        <v>1171</v>
      </c>
      <c r="D439" s="60">
        <f>E439+F439+G439+H439+I439+J439+L439+N439+P439+R439+T439+U439+V439+W439+X439+Y439+Z439+AA439+AB439+AC439+AD439+AE439</f>
        <v>1467154.4200000002</v>
      </c>
      <c r="E439" s="62">
        <v>167835.45</v>
      </c>
      <c r="F439" s="60">
        <v>0</v>
      </c>
      <c r="G439" s="62">
        <v>658789.53</v>
      </c>
      <c r="H439" s="60">
        <v>0</v>
      </c>
      <c r="I439" s="62">
        <v>618954.18000000005</v>
      </c>
      <c r="J439" s="60">
        <v>0</v>
      </c>
      <c r="K439" s="168">
        <v>0</v>
      </c>
      <c r="L439" s="60">
        <v>0</v>
      </c>
      <c r="M439" s="62">
        <v>0</v>
      </c>
      <c r="N439" s="62">
        <v>0</v>
      </c>
      <c r="O439" s="60">
        <v>0</v>
      </c>
      <c r="P439" s="60">
        <v>0</v>
      </c>
      <c r="Q439" s="60">
        <v>0</v>
      </c>
      <c r="R439" s="60">
        <v>0</v>
      </c>
      <c r="S439" s="60">
        <v>0</v>
      </c>
      <c r="T439" s="60">
        <v>0</v>
      </c>
      <c r="U439" s="60">
        <v>0</v>
      </c>
      <c r="V439" s="60">
        <v>0</v>
      </c>
      <c r="W439" s="60">
        <v>0</v>
      </c>
      <c r="X439" s="60">
        <v>0</v>
      </c>
      <c r="Y439" s="60">
        <v>0</v>
      </c>
      <c r="Z439" s="60">
        <v>0</v>
      </c>
      <c r="AA439" s="60">
        <v>0</v>
      </c>
      <c r="AB439" s="60">
        <v>0</v>
      </c>
      <c r="AC439" s="60">
        <f>ROUND(E439*1.4925%,2)+ROUND(F439*1.4925%,2)+ROUND(G439*1.4925%,2)+ROUND(H439*1.4925%,2)+ROUND(I439*1.4925%,2)+ROUND(J439*1.4925%,2)</f>
        <v>21575.260000000002</v>
      </c>
      <c r="AD439" s="60">
        <v>0</v>
      </c>
      <c r="AE439" s="60">
        <v>0</v>
      </c>
      <c r="AF439" s="170" t="s">
        <v>257</v>
      </c>
      <c r="AG439" s="170">
        <v>2020</v>
      </c>
      <c r="AH439" s="63">
        <v>2020</v>
      </c>
    </row>
    <row r="440" spans="1:34" ht="61.5" x14ac:dyDescent="0.85">
      <c r="A440" s="7">
        <v>1</v>
      </c>
      <c r="B440" s="59">
        <f>SUBTOTAL(103,$A$22:A440)</f>
        <v>381</v>
      </c>
      <c r="C440" s="160" t="s">
        <v>1172</v>
      </c>
      <c r="D440" s="60">
        <f>E440+F440+G440+H440+I440+J440+L440+N440+P440+R440+T440+U440+V440+W440+X440+Y440+Z440+AA440+AB440+AC440+AD440+AE440</f>
        <v>1302654.4099999999</v>
      </c>
      <c r="E440" s="60">
        <v>0</v>
      </c>
      <c r="F440" s="60">
        <v>0</v>
      </c>
      <c r="G440" s="60">
        <v>0</v>
      </c>
      <c r="H440" s="60">
        <v>0</v>
      </c>
      <c r="I440" s="60">
        <v>0</v>
      </c>
      <c r="J440" s="60">
        <v>0</v>
      </c>
      <c r="K440" s="168">
        <v>0</v>
      </c>
      <c r="L440" s="60">
        <v>0</v>
      </c>
      <c r="M440" s="62">
        <v>439.32</v>
      </c>
      <c r="N440" s="62">
        <v>1296832.93</v>
      </c>
      <c r="O440" s="60">
        <v>0</v>
      </c>
      <c r="P440" s="60">
        <v>0</v>
      </c>
      <c r="Q440" s="60">
        <v>0</v>
      </c>
      <c r="R440" s="60">
        <v>0</v>
      </c>
      <c r="S440" s="60">
        <v>0</v>
      </c>
      <c r="T440" s="60">
        <v>0</v>
      </c>
      <c r="U440" s="60">
        <v>0</v>
      </c>
      <c r="V440" s="60">
        <v>0</v>
      </c>
      <c r="W440" s="60">
        <v>0</v>
      </c>
      <c r="X440" s="60">
        <v>0</v>
      </c>
      <c r="Y440" s="60">
        <v>0</v>
      </c>
      <c r="Z440" s="60">
        <v>0</v>
      </c>
      <c r="AA440" s="60">
        <v>0</v>
      </c>
      <c r="AB440" s="60">
        <v>0</v>
      </c>
      <c r="AC440" s="62">
        <v>5821.48</v>
      </c>
      <c r="AD440" s="60">
        <v>0</v>
      </c>
      <c r="AE440" s="60">
        <v>0</v>
      </c>
      <c r="AF440" s="170" t="s">
        <v>257</v>
      </c>
      <c r="AG440" s="170">
        <v>2020</v>
      </c>
      <c r="AH440" s="63">
        <v>2020</v>
      </c>
    </row>
    <row r="441" spans="1:34" ht="61.5" x14ac:dyDescent="0.85">
      <c r="B441" s="160" t="s">
        <v>790</v>
      </c>
      <c r="C441" s="160"/>
      <c r="D441" s="177">
        <f t="shared" ref="D441:AE441" si="56">D442+D443</f>
        <v>5138784.57</v>
      </c>
      <c r="E441" s="60">
        <f t="shared" si="56"/>
        <v>0</v>
      </c>
      <c r="F441" s="60">
        <f t="shared" si="56"/>
        <v>0</v>
      </c>
      <c r="G441" s="60">
        <f t="shared" si="56"/>
        <v>0</v>
      </c>
      <c r="H441" s="60">
        <f t="shared" si="56"/>
        <v>0</v>
      </c>
      <c r="I441" s="60">
        <f t="shared" si="56"/>
        <v>0</v>
      </c>
      <c r="J441" s="60">
        <f t="shared" si="56"/>
        <v>0</v>
      </c>
      <c r="K441" s="168">
        <f t="shared" si="56"/>
        <v>0</v>
      </c>
      <c r="L441" s="60">
        <f t="shared" si="56"/>
        <v>0</v>
      </c>
      <c r="M441" s="60">
        <f t="shared" si="56"/>
        <v>1371.3600000000001</v>
      </c>
      <c r="N441" s="60">
        <f t="shared" si="56"/>
        <v>5095125.3600000003</v>
      </c>
      <c r="O441" s="60">
        <f t="shared" si="56"/>
        <v>0</v>
      </c>
      <c r="P441" s="60">
        <f t="shared" si="56"/>
        <v>0</v>
      </c>
      <c r="Q441" s="60">
        <f t="shared" si="56"/>
        <v>0</v>
      </c>
      <c r="R441" s="60">
        <f t="shared" si="56"/>
        <v>0</v>
      </c>
      <c r="S441" s="60">
        <f t="shared" si="56"/>
        <v>0</v>
      </c>
      <c r="T441" s="60">
        <f t="shared" si="56"/>
        <v>0</v>
      </c>
      <c r="U441" s="60">
        <f t="shared" si="56"/>
        <v>0</v>
      </c>
      <c r="V441" s="60">
        <f t="shared" si="56"/>
        <v>0</v>
      </c>
      <c r="W441" s="60">
        <f t="shared" si="56"/>
        <v>0</v>
      </c>
      <c r="X441" s="60">
        <f t="shared" si="56"/>
        <v>0</v>
      </c>
      <c r="Y441" s="60">
        <f t="shared" si="56"/>
        <v>0</v>
      </c>
      <c r="Z441" s="60">
        <f t="shared" si="56"/>
        <v>0</v>
      </c>
      <c r="AA441" s="60">
        <f t="shared" si="56"/>
        <v>0</v>
      </c>
      <c r="AB441" s="60">
        <f t="shared" si="56"/>
        <v>0</v>
      </c>
      <c r="AC441" s="60">
        <f t="shared" si="56"/>
        <v>43659.21</v>
      </c>
      <c r="AD441" s="60">
        <f t="shared" si="56"/>
        <v>0</v>
      </c>
      <c r="AE441" s="60">
        <f t="shared" si="56"/>
        <v>0</v>
      </c>
      <c r="AF441" s="54" t="s">
        <v>701</v>
      </c>
      <c r="AG441" s="54" t="s">
        <v>701</v>
      </c>
      <c r="AH441" s="55" t="s">
        <v>701</v>
      </c>
    </row>
    <row r="442" spans="1:34" ht="61.5" x14ac:dyDescent="0.85">
      <c r="A442" s="7">
        <v>1</v>
      </c>
      <c r="B442" s="59">
        <f>SUBTOTAL(103,$A$22:A442)</f>
        <v>382</v>
      </c>
      <c r="C442" s="160" t="s">
        <v>42</v>
      </c>
      <c r="D442" s="60">
        <f>E442+F442+G442+H442+I442+J442+L442+N442+P442+R442+T442+U442+V442+W442+X442+Y442+Z442+AA442+AB442+AC442+AD442+AE442</f>
        <v>2210436.8400000003</v>
      </c>
      <c r="E442" s="60">
        <v>0</v>
      </c>
      <c r="F442" s="60">
        <v>0</v>
      </c>
      <c r="G442" s="60">
        <v>0</v>
      </c>
      <c r="H442" s="60">
        <v>0</v>
      </c>
      <c r="I442" s="60">
        <v>0</v>
      </c>
      <c r="J442" s="60">
        <v>0</v>
      </c>
      <c r="K442" s="168">
        <v>0</v>
      </c>
      <c r="L442" s="60">
        <v>0</v>
      </c>
      <c r="M442" s="62">
        <v>595.09</v>
      </c>
      <c r="N442" s="62">
        <v>2179864.2400000002</v>
      </c>
      <c r="O442" s="60">
        <v>0</v>
      </c>
      <c r="P442" s="60">
        <v>0</v>
      </c>
      <c r="Q442" s="60">
        <v>0</v>
      </c>
      <c r="R442" s="60">
        <v>0</v>
      </c>
      <c r="S442" s="60">
        <v>0</v>
      </c>
      <c r="T442" s="60">
        <v>0</v>
      </c>
      <c r="U442" s="60">
        <v>0</v>
      </c>
      <c r="V442" s="60">
        <v>0</v>
      </c>
      <c r="W442" s="60">
        <v>0</v>
      </c>
      <c r="X442" s="60">
        <v>0</v>
      </c>
      <c r="Y442" s="60">
        <v>0</v>
      </c>
      <c r="Z442" s="60">
        <v>0</v>
      </c>
      <c r="AA442" s="60">
        <v>0</v>
      </c>
      <c r="AB442" s="60">
        <v>0</v>
      </c>
      <c r="AC442" s="62">
        <v>30572.6</v>
      </c>
      <c r="AD442" s="60">
        <v>0</v>
      </c>
      <c r="AE442" s="60">
        <v>0</v>
      </c>
      <c r="AF442" s="170" t="s">
        <v>257</v>
      </c>
      <c r="AG442" s="170">
        <v>2020</v>
      </c>
      <c r="AH442" s="63">
        <v>2020</v>
      </c>
    </row>
    <row r="443" spans="1:34" ht="61.5" x14ac:dyDescent="0.85">
      <c r="A443" s="7">
        <v>1</v>
      </c>
      <c r="B443" s="59">
        <f>SUBTOTAL(103,$A$22:A443)</f>
        <v>383</v>
      </c>
      <c r="C443" s="160" t="s">
        <v>1458</v>
      </c>
      <c r="D443" s="60">
        <f>E443+F443+G443+H443+I443+J443+L443+N443+P443+R443+T443+U443+V443+W443+X443+Y443+Z443+AA443+AB443+AC443+AD443+AE443</f>
        <v>2928347.73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168">
        <v>0</v>
      </c>
      <c r="L443" s="60">
        <v>0</v>
      </c>
      <c r="M443" s="62">
        <v>776.27</v>
      </c>
      <c r="N443" s="62">
        <v>2915261.12</v>
      </c>
      <c r="O443" s="60">
        <v>0</v>
      </c>
      <c r="P443" s="60">
        <v>0</v>
      </c>
      <c r="Q443" s="60">
        <v>0</v>
      </c>
      <c r="R443" s="60">
        <v>0</v>
      </c>
      <c r="S443" s="60">
        <v>0</v>
      </c>
      <c r="T443" s="60">
        <v>0</v>
      </c>
      <c r="U443" s="60">
        <v>0</v>
      </c>
      <c r="V443" s="60">
        <v>0</v>
      </c>
      <c r="W443" s="60">
        <v>0</v>
      </c>
      <c r="X443" s="60">
        <v>0</v>
      </c>
      <c r="Y443" s="60">
        <v>0</v>
      </c>
      <c r="Z443" s="60">
        <v>0</v>
      </c>
      <c r="AA443" s="60">
        <v>0</v>
      </c>
      <c r="AB443" s="60">
        <v>0</v>
      </c>
      <c r="AC443" s="169">
        <v>13086.61</v>
      </c>
      <c r="AD443" s="60">
        <v>0</v>
      </c>
      <c r="AE443" s="60">
        <v>0</v>
      </c>
      <c r="AF443" s="170" t="s">
        <v>257</v>
      </c>
      <c r="AG443" s="170">
        <v>2020</v>
      </c>
      <c r="AH443" s="63">
        <v>2020</v>
      </c>
    </row>
    <row r="444" spans="1:34" ht="61.5" x14ac:dyDescent="0.85">
      <c r="B444" s="160" t="s">
        <v>791</v>
      </c>
      <c r="C444" s="160"/>
      <c r="D444" s="177">
        <f t="shared" ref="D444:AE444" si="57">SUM(D445:D454)</f>
        <v>17752085.210000001</v>
      </c>
      <c r="E444" s="60">
        <f t="shared" si="57"/>
        <v>0</v>
      </c>
      <c r="F444" s="60">
        <f t="shared" si="57"/>
        <v>0</v>
      </c>
      <c r="G444" s="60">
        <f t="shared" si="57"/>
        <v>0</v>
      </c>
      <c r="H444" s="60">
        <f t="shared" si="57"/>
        <v>0</v>
      </c>
      <c r="I444" s="60">
        <f t="shared" si="57"/>
        <v>0</v>
      </c>
      <c r="J444" s="60">
        <f t="shared" si="57"/>
        <v>0</v>
      </c>
      <c r="K444" s="168">
        <f t="shared" si="57"/>
        <v>0</v>
      </c>
      <c r="L444" s="60">
        <f t="shared" si="57"/>
        <v>0</v>
      </c>
      <c r="M444" s="60">
        <f t="shared" si="57"/>
        <v>4633.74</v>
      </c>
      <c r="N444" s="60">
        <f t="shared" si="57"/>
        <v>16944207.860000003</v>
      </c>
      <c r="O444" s="60">
        <f t="shared" si="57"/>
        <v>0</v>
      </c>
      <c r="P444" s="60">
        <f t="shared" si="57"/>
        <v>0</v>
      </c>
      <c r="Q444" s="60">
        <f t="shared" si="57"/>
        <v>0</v>
      </c>
      <c r="R444" s="60">
        <f t="shared" si="57"/>
        <v>0</v>
      </c>
      <c r="S444" s="60">
        <f t="shared" si="57"/>
        <v>0</v>
      </c>
      <c r="T444" s="60">
        <f t="shared" si="57"/>
        <v>0</v>
      </c>
      <c r="U444" s="60">
        <f t="shared" si="57"/>
        <v>0</v>
      </c>
      <c r="V444" s="60">
        <f t="shared" si="57"/>
        <v>0</v>
      </c>
      <c r="W444" s="60">
        <f t="shared" si="57"/>
        <v>0</v>
      </c>
      <c r="X444" s="60">
        <f t="shared" si="57"/>
        <v>0</v>
      </c>
      <c r="Y444" s="60">
        <f t="shared" si="57"/>
        <v>0</v>
      </c>
      <c r="Z444" s="60">
        <f t="shared" si="57"/>
        <v>0</v>
      </c>
      <c r="AA444" s="60">
        <f t="shared" si="57"/>
        <v>0</v>
      </c>
      <c r="AB444" s="60">
        <f t="shared" si="57"/>
        <v>0</v>
      </c>
      <c r="AC444" s="60">
        <f t="shared" si="57"/>
        <v>223043.93000000002</v>
      </c>
      <c r="AD444" s="60">
        <f t="shared" si="57"/>
        <v>584833.42000000004</v>
      </c>
      <c r="AE444" s="60">
        <f t="shared" si="57"/>
        <v>0</v>
      </c>
      <c r="AF444" s="54" t="s">
        <v>701</v>
      </c>
      <c r="AG444" s="54" t="s">
        <v>701</v>
      </c>
      <c r="AH444" s="55" t="s">
        <v>701</v>
      </c>
    </row>
    <row r="445" spans="1:34" ht="61.5" x14ac:dyDescent="0.85">
      <c r="A445" s="7">
        <v>1</v>
      </c>
      <c r="B445" s="59">
        <f>SUBTOTAL(103,$A$22:A445)</f>
        <v>384</v>
      </c>
      <c r="C445" s="160" t="s">
        <v>50</v>
      </c>
      <c r="D445" s="60">
        <f t="shared" ref="D445:D454" si="58">E445+F445+G445+H445+I445+J445+L445+N445+P445+R445+T445+U445+V445+W445+X445+Y445+Z445+AA445+AB445+AC445+AD445+AE445</f>
        <v>4771616.71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168">
        <v>0</v>
      </c>
      <c r="L445" s="60">
        <v>0</v>
      </c>
      <c r="M445" s="62">
        <v>766.79</v>
      </c>
      <c r="N445" s="62">
        <v>4576340</v>
      </c>
      <c r="O445" s="60">
        <v>0</v>
      </c>
      <c r="P445" s="60">
        <v>0</v>
      </c>
      <c r="Q445" s="60">
        <v>0</v>
      </c>
      <c r="R445" s="60">
        <v>0</v>
      </c>
      <c r="S445" s="60">
        <v>0</v>
      </c>
      <c r="T445" s="60">
        <v>0</v>
      </c>
      <c r="U445" s="60">
        <v>0</v>
      </c>
      <c r="V445" s="60">
        <v>0</v>
      </c>
      <c r="W445" s="60">
        <v>0</v>
      </c>
      <c r="X445" s="60">
        <v>0</v>
      </c>
      <c r="Y445" s="60">
        <v>0</v>
      </c>
      <c r="Z445" s="60">
        <v>0</v>
      </c>
      <c r="AA445" s="60">
        <v>0</v>
      </c>
      <c r="AB445" s="60">
        <v>0</v>
      </c>
      <c r="AC445" s="60">
        <v>64183.17</v>
      </c>
      <c r="AD445" s="62">
        <v>131093.54</v>
      </c>
      <c r="AE445" s="60">
        <v>0</v>
      </c>
      <c r="AF445" s="170">
        <v>2020</v>
      </c>
      <c r="AG445" s="170">
        <v>2020</v>
      </c>
      <c r="AH445" s="63">
        <v>2020</v>
      </c>
    </row>
    <row r="446" spans="1:34" ht="61.5" x14ac:dyDescent="0.85">
      <c r="A446" s="7">
        <v>1</v>
      </c>
      <c r="B446" s="59">
        <f>SUBTOTAL(103,$A$22:A446)</f>
        <v>385</v>
      </c>
      <c r="C446" s="160" t="s">
        <v>48</v>
      </c>
      <c r="D446" s="60">
        <f t="shared" si="58"/>
        <v>2810575.6300000004</v>
      </c>
      <c r="E446" s="60">
        <v>0</v>
      </c>
      <c r="F446" s="60">
        <v>0</v>
      </c>
      <c r="G446" s="60">
        <v>0</v>
      </c>
      <c r="H446" s="60">
        <v>0</v>
      </c>
      <c r="I446" s="60">
        <v>0</v>
      </c>
      <c r="J446" s="60">
        <v>0</v>
      </c>
      <c r="K446" s="168">
        <v>0</v>
      </c>
      <c r="L446" s="60">
        <v>0</v>
      </c>
      <c r="M446" s="62">
        <v>653</v>
      </c>
      <c r="N446" s="62">
        <v>2689261</v>
      </c>
      <c r="O446" s="60">
        <v>0</v>
      </c>
      <c r="P446" s="60">
        <v>0</v>
      </c>
      <c r="Q446" s="60">
        <v>0</v>
      </c>
      <c r="R446" s="60">
        <v>0</v>
      </c>
      <c r="S446" s="60">
        <v>0</v>
      </c>
      <c r="T446" s="60">
        <v>0</v>
      </c>
      <c r="U446" s="60">
        <v>0</v>
      </c>
      <c r="V446" s="60">
        <v>0</v>
      </c>
      <c r="W446" s="60">
        <v>0</v>
      </c>
      <c r="X446" s="60">
        <v>0</v>
      </c>
      <c r="Y446" s="60">
        <v>0</v>
      </c>
      <c r="Z446" s="60">
        <v>0</v>
      </c>
      <c r="AA446" s="60">
        <v>0</v>
      </c>
      <c r="AB446" s="60">
        <v>0</v>
      </c>
      <c r="AC446" s="62">
        <v>37716.89</v>
      </c>
      <c r="AD446" s="62">
        <v>83597.740000000005</v>
      </c>
      <c r="AE446" s="60">
        <v>0</v>
      </c>
      <c r="AF446" s="170">
        <v>2020</v>
      </c>
      <c r="AG446" s="170">
        <v>2020</v>
      </c>
      <c r="AH446" s="63">
        <v>2020</v>
      </c>
    </row>
    <row r="447" spans="1:34" ht="61.5" x14ac:dyDescent="0.85">
      <c r="A447" s="7">
        <v>1</v>
      </c>
      <c r="B447" s="59">
        <f>SUBTOTAL(103,$A$22:A447)</f>
        <v>386</v>
      </c>
      <c r="C447" s="160" t="s">
        <v>49</v>
      </c>
      <c r="D447" s="60">
        <f t="shared" si="58"/>
        <v>131037.61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168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0">
        <v>0</v>
      </c>
      <c r="T447" s="60">
        <v>0</v>
      </c>
      <c r="U447" s="60">
        <v>0</v>
      </c>
      <c r="V447" s="60">
        <v>0</v>
      </c>
      <c r="W447" s="60">
        <v>0</v>
      </c>
      <c r="X447" s="60">
        <v>0</v>
      </c>
      <c r="Y447" s="60">
        <v>0</v>
      </c>
      <c r="Z447" s="60">
        <v>0</v>
      </c>
      <c r="AA447" s="60">
        <v>0</v>
      </c>
      <c r="AB447" s="60">
        <v>0</v>
      </c>
      <c r="AC447" s="60">
        <f>ROUND(N447*1.5%,2)</f>
        <v>0</v>
      </c>
      <c r="AD447" s="62">
        <v>131037.61</v>
      </c>
      <c r="AE447" s="60">
        <v>0</v>
      </c>
      <c r="AF447" s="170">
        <v>2020</v>
      </c>
      <c r="AG447" s="170" t="s">
        <v>257</v>
      </c>
      <c r="AH447" s="170" t="s">
        <v>257</v>
      </c>
    </row>
    <row r="448" spans="1:34" ht="61.5" x14ac:dyDescent="0.85">
      <c r="A448" s="7">
        <v>1</v>
      </c>
      <c r="B448" s="59">
        <f>SUBTOTAL(103,$A$22:A448)</f>
        <v>387</v>
      </c>
      <c r="C448" s="160" t="s">
        <v>51</v>
      </c>
      <c r="D448" s="60">
        <f t="shared" si="58"/>
        <v>2938871.62</v>
      </c>
      <c r="E448" s="60">
        <v>0</v>
      </c>
      <c r="F448" s="60">
        <v>0</v>
      </c>
      <c r="G448" s="60">
        <v>0</v>
      </c>
      <c r="H448" s="60">
        <v>0</v>
      </c>
      <c r="I448" s="60">
        <v>0</v>
      </c>
      <c r="J448" s="60">
        <v>0</v>
      </c>
      <c r="K448" s="168">
        <v>0</v>
      </c>
      <c r="L448" s="60">
        <v>0</v>
      </c>
      <c r="M448" s="62">
        <v>680</v>
      </c>
      <c r="N448" s="62">
        <v>2814506</v>
      </c>
      <c r="O448" s="60">
        <v>0</v>
      </c>
      <c r="P448" s="60">
        <v>0</v>
      </c>
      <c r="Q448" s="60">
        <v>0</v>
      </c>
      <c r="R448" s="60">
        <v>0</v>
      </c>
      <c r="S448" s="60">
        <v>0</v>
      </c>
      <c r="T448" s="60">
        <v>0</v>
      </c>
      <c r="U448" s="60">
        <v>0</v>
      </c>
      <c r="V448" s="60">
        <v>0</v>
      </c>
      <c r="W448" s="60">
        <v>0</v>
      </c>
      <c r="X448" s="60">
        <v>0</v>
      </c>
      <c r="Y448" s="60">
        <v>0</v>
      </c>
      <c r="Z448" s="60">
        <v>0</v>
      </c>
      <c r="AA448" s="60">
        <v>0</v>
      </c>
      <c r="AB448" s="60">
        <v>0</v>
      </c>
      <c r="AC448" s="62">
        <v>39473.449999999997</v>
      </c>
      <c r="AD448" s="62">
        <v>84892.17</v>
      </c>
      <c r="AE448" s="60">
        <v>0</v>
      </c>
      <c r="AF448" s="170">
        <v>2020</v>
      </c>
      <c r="AG448" s="170">
        <v>2020</v>
      </c>
      <c r="AH448" s="63">
        <v>2020</v>
      </c>
    </row>
    <row r="449" spans="1:34" ht="61.5" x14ac:dyDescent="0.85">
      <c r="A449" s="7">
        <v>1</v>
      </c>
      <c r="B449" s="59">
        <f>SUBTOTAL(103,$A$22:A449)</f>
        <v>388</v>
      </c>
      <c r="C449" s="160" t="s">
        <v>1167</v>
      </c>
      <c r="D449" s="60">
        <f t="shared" si="58"/>
        <v>2250237.6300000004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168">
        <v>0</v>
      </c>
      <c r="L449" s="60">
        <v>0</v>
      </c>
      <c r="M449" s="62">
        <v>678.5</v>
      </c>
      <c r="N449" s="62">
        <v>2217146.7200000002</v>
      </c>
      <c r="O449" s="60">
        <v>0</v>
      </c>
      <c r="P449" s="60">
        <v>0</v>
      </c>
      <c r="Q449" s="60">
        <v>0</v>
      </c>
      <c r="R449" s="60">
        <v>0</v>
      </c>
      <c r="S449" s="60">
        <v>0</v>
      </c>
      <c r="T449" s="60">
        <v>0</v>
      </c>
      <c r="U449" s="60">
        <v>0</v>
      </c>
      <c r="V449" s="60">
        <v>0</v>
      </c>
      <c r="W449" s="60">
        <v>0</v>
      </c>
      <c r="X449" s="60">
        <v>0</v>
      </c>
      <c r="Y449" s="60">
        <v>0</v>
      </c>
      <c r="Z449" s="60">
        <v>0</v>
      </c>
      <c r="AA449" s="60">
        <v>0</v>
      </c>
      <c r="AB449" s="60">
        <v>0</v>
      </c>
      <c r="AC449" s="60">
        <v>33090.910000000003</v>
      </c>
      <c r="AD449" s="60">
        <v>0</v>
      </c>
      <c r="AE449" s="60">
        <v>0</v>
      </c>
      <c r="AF449" s="170" t="s">
        <v>257</v>
      </c>
      <c r="AG449" s="170">
        <v>2020</v>
      </c>
      <c r="AH449" s="63">
        <v>2020</v>
      </c>
    </row>
    <row r="450" spans="1:34" ht="61.5" x14ac:dyDescent="0.85">
      <c r="A450" s="7">
        <v>1</v>
      </c>
      <c r="B450" s="59">
        <f>SUBTOTAL(103,$A$22:A450)</f>
        <v>389</v>
      </c>
      <c r="C450" s="160" t="s">
        <v>1168</v>
      </c>
      <c r="D450" s="60">
        <f t="shared" si="58"/>
        <v>2695769.57</v>
      </c>
      <c r="E450" s="60">
        <v>0</v>
      </c>
      <c r="F450" s="60">
        <v>0</v>
      </c>
      <c r="G450" s="60">
        <v>0</v>
      </c>
      <c r="H450" s="60">
        <v>0</v>
      </c>
      <c r="I450" s="60">
        <v>0</v>
      </c>
      <c r="J450" s="60">
        <v>0</v>
      </c>
      <c r="K450" s="168">
        <v>0</v>
      </c>
      <c r="L450" s="60">
        <v>0</v>
      </c>
      <c r="M450" s="62">
        <v>1273.99</v>
      </c>
      <c r="N450" s="62">
        <v>2656126.88</v>
      </c>
      <c r="O450" s="60">
        <v>0</v>
      </c>
      <c r="P450" s="60">
        <v>0</v>
      </c>
      <c r="Q450" s="60">
        <v>0</v>
      </c>
      <c r="R450" s="60">
        <v>0</v>
      </c>
      <c r="S450" s="60">
        <v>0</v>
      </c>
      <c r="T450" s="60">
        <v>0</v>
      </c>
      <c r="U450" s="60">
        <v>0</v>
      </c>
      <c r="V450" s="60">
        <v>0</v>
      </c>
      <c r="W450" s="60">
        <v>0</v>
      </c>
      <c r="X450" s="60">
        <v>0</v>
      </c>
      <c r="Y450" s="60">
        <v>0</v>
      </c>
      <c r="Z450" s="60">
        <v>0</v>
      </c>
      <c r="AA450" s="60">
        <v>0</v>
      </c>
      <c r="AB450" s="60">
        <v>0</v>
      </c>
      <c r="AC450" s="60">
        <v>39642.69</v>
      </c>
      <c r="AD450" s="60">
        <v>0</v>
      </c>
      <c r="AE450" s="60">
        <v>0</v>
      </c>
      <c r="AF450" s="170" t="s">
        <v>257</v>
      </c>
      <c r="AG450" s="170">
        <v>2020</v>
      </c>
      <c r="AH450" s="63">
        <v>2020</v>
      </c>
    </row>
    <row r="451" spans="1:34" ht="61.5" x14ac:dyDescent="0.85">
      <c r="A451" s="7">
        <v>1</v>
      </c>
      <c r="B451" s="59">
        <f>SUBTOTAL(103,$A$22:A451)</f>
        <v>390</v>
      </c>
      <c r="C451" s="160" t="s">
        <v>1169</v>
      </c>
      <c r="D451" s="60">
        <f t="shared" si="58"/>
        <v>791834.9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168">
        <v>0</v>
      </c>
      <c r="L451" s="60">
        <v>0</v>
      </c>
      <c r="M451" s="62">
        <v>234</v>
      </c>
      <c r="N451" s="62">
        <v>788296.24</v>
      </c>
      <c r="O451" s="60">
        <v>0</v>
      </c>
      <c r="P451" s="60">
        <v>0</v>
      </c>
      <c r="Q451" s="60">
        <v>0</v>
      </c>
      <c r="R451" s="60">
        <v>0</v>
      </c>
      <c r="S451" s="60">
        <v>0</v>
      </c>
      <c r="T451" s="60">
        <v>0</v>
      </c>
      <c r="U451" s="60">
        <v>0</v>
      </c>
      <c r="V451" s="60">
        <v>0</v>
      </c>
      <c r="W451" s="60">
        <v>0</v>
      </c>
      <c r="X451" s="60">
        <v>0</v>
      </c>
      <c r="Y451" s="60">
        <v>0</v>
      </c>
      <c r="Z451" s="60">
        <v>0</v>
      </c>
      <c r="AA451" s="60">
        <v>0</v>
      </c>
      <c r="AB451" s="60">
        <v>0</v>
      </c>
      <c r="AC451" s="169">
        <v>3538.66</v>
      </c>
      <c r="AD451" s="60">
        <v>0</v>
      </c>
      <c r="AE451" s="60">
        <v>0</v>
      </c>
      <c r="AF451" s="170" t="s">
        <v>257</v>
      </c>
      <c r="AG451" s="170">
        <v>2020</v>
      </c>
      <c r="AH451" s="63">
        <v>2020</v>
      </c>
    </row>
    <row r="452" spans="1:34" ht="61.5" x14ac:dyDescent="0.85">
      <c r="A452" s="7">
        <v>1</v>
      </c>
      <c r="B452" s="59">
        <f>SUBTOTAL(103,$A$22:A452)</f>
        <v>391</v>
      </c>
      <c r="C452" s="160" t="s">
        <v>1170</v>
      </c>
      <c r="D452" s="60">
        <f t="shared" si="58"/>
        <v>1207929.18</v>
      </c>
      <c r="E452" s="60">
        <v>0</v>
      </c>
      <c r="F452" s="60">
        <v>0</v>
      </c>
      <c r="G452" s="60">
        <v>0</v>
      </c>
      <c r="H452" s="60">
        <v>0</v>
      </c>
      <c r="I452" s="60">
        <v>0</v>
      </c>
      <c r="J452" s="60">
        <v>0</v>
      </c>
      <c r="K452" s="168">
        <v>0</v>
      </c>
      <c r="L452" s="60">
        <v>0</v>
      </c>
      <c r="M452" s="62">
        <v>347.46</v>
      </c>
      <c r="N452" s="62">
        <v>1202531.02</v>
      </c>
      <c r="O452" s="60">
        <v>0</v>
      </c>
      <c r="P452" s="60">
        <v>0</v>
      </c>
      <c r="Q452" s="60">
        <v>0</v>
      </c>
      <c r="R452" s="60">
        <v>0</v>
      </c>
      <c r="S452" s="60">
        <v>0</v>
      </c>
      <c r="T452" s="60">
        <v>0</v>
      </c>
      <c r="U452" s="60">
        <v>0</v>
      </c>
      <c r="V452" s="60">
        <v>0</v>
      </c>
      <c r="W452" s="60">
        <v>0</v>
      </c>
      <c r="X452" s="60">
        <v>0</v>
      </c>
      <c r="Y452" s="60">
        <v>0</v>
      </c>
      <c r="Z452" s="60">
        <v>0</v>
      </c>
      <c r="AA452" s="60">
        <v>0</v>
      </c>
      <c r="AB452" s="60">
        <v>0</v>
      </c>
      <c r="AC452" s="62">
        <v>5398.16</v>
      </c>
      <c r="AD452" s="60">
        <v>0</v>
      </c>
      <c r="AE452" s="60">
        <v>0</v>
      </c>
      <c r="AF452" s="170" t="s">
        <v>257</v>
      </c>
      <c r="AG452" s="170">
        <v>2020</v>
      </c>
      <c r="AH452" s="63">
        <v>2020</v>
      </c>
    </row>
    <row r="453" spans="1:34" ht="61.5" x14ac:dyDescent="0.85">
      <c r="A453" s="7">
        <v>1</v>
      </c>
      <c r="B453" s="59">
        <f>SUBTOTAL(103,$A$22:A453)</f>
        <v>392</v>
      </c>
      <c r="C453" s="160" t="s">
        <v>58</v>
      </c>
      <c r="D453" s="60">
        <f t="shared" si="58"/>
        <v>77311.89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168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0">
        <v>0</v>
      </c>
      <c r="T453" s="60">
        <v>0</v>
      </c>
      <c r="U453" s="60">
        <v>0</v>
      </c>
      <c r="V453" s="60">
        <v>0</v>
      </c>
      <c r="W453" s="60">
        <v>0</v>
      </c>
      <c r="X453" s="60">
        <v>0</v>
      </c>
      <c r="Y453" s="60">
        <v>0</v>
      </c>
      <c r="Z453" s="60">
        <v>0</v>
      </c>
      <c r="AA453" s="60">
        <v>0</v>
      </c>
      <c r="AB453" s="60">
        <v>0</v>
      </c>
      <c r="AC453" s="60">
        <f>ROUND(N453*1.5%,2)</f>
        <v>0</v>
      </c>
      <c r="AD453" s="60">
        <v>77311.89</v>
      </c>
      <c r="AE453" s="60">
        <v>0</v>
      </c>
      <c r="AF453" s="170">
        <v>2020</v>
      </c>
      <c r="AG453" s="170" t="s">
        <v>257</v>
      </c>
      <c r="AH453" s="170" t="s">
        <v>257</v>
      </c>
    </row>
    <row r="454" spans="1:34" ht="61.5" x14ac:dyDescent="0.85">
      <c r="A454" s="7">
        <v>1</v>
      </c>
      <c r="B454" s="59">
        <f>SUBTOTAL(103,$A$22:A454)</f>
        <v>393</v>
      </c>
      <c r="C454" s="160" t="s">
        <v>59</v>
      </c>
      <c r="D454" s="60">
        <f t="shared" si="58"/>
        <v>76900.47</v>
      </c>
      <c r="E454" s="60">
        <v>0</v>
      </c>
      <c r="F454" s="60">
        <v>0</v>
      </c>
      <c r="G454" s="60">
        <v>0</v>
      </c>
      <c r="H454" s="60">
        <v>0</v>
      </c>
      <c r="I454" s="60">
        <v>0</v>
      </c>
      <c r="J454" s="60">
        <v>0</v>
      </c>
      <c r="K454" s="168">
        <v>0</v>
      </c>
      <c r="L454" s="60">
        <v>0</v>
      </c>
      <c r="M454" s="60">
        <v>0</v>
      </c>
      <c r="N454" s="60">
        <v>0</v>
      </c>
      <c r="O454" s="60">
        <v>0</v>
      </c>
      <c r="P454" s="60">
        <v>0</v>
      </c>
      <c r="Q454" s="60">
        <v>0</v>
      </c>
      <c r="R454" s="60">
        <v>0</v>
      </c>
      <c r="S454" s="60">
        <v>0</v>
      </c>
      <c r="T454" s="60">
        <v>0</v>
      </c>
      <c r="U454" s="60">
        <v>0</v>
      </c>
      <c r="V454" s="60">
        <v>0</v>
      </c>
      <c r="W454" s="60">
        <v>0</v>
      </c>
      <c r="X454" s="60">
        <v>0</v>
      </c>
      <c r="Y454" s="60">
        <v>0</v>
      </c>
      <c r="Z454" s="60">
        <v>0</v>
      </c>
      <c r="AA454" s="60">
        <v>0</v>
      </c>
      <c r="AB454" s="60">
        <v>0</v>
      </c>
      <c r="AC454" s="60">
        <f>ROUND(N454*1.5%,2)</f>
        <v>0</v>
      </c>
      <c r="AD454" s="60">
        <v>76900.47</v>
      </c>
      <c r="AE454" s="60">
        <v>0</v>
      </c>
      <c r="AF454" s="170">
        <v>2020</v>
      </c>
      <c r="AG454" s="170" t="s">
        <v>257</v>
      </c>
      <c r="AH454" s="170" t="s">
        <v>257</v>
      </c>
    </row>
    <row r="455" spans="1:34" ht="61.5" x14ac:dyDescent="0.85">
      <c r="B455" s="160" t="s">
        <v>828</v>
      </c>
      <c r="C455" s="160"/>
      <c r="D455" s="177">
        <f t="shared" ref="D455:AE455" si="59">D456</f>
        <v>3622790.6399999997</v>
      </c>
      <c r="E455" s="60">
        <f t="shared" si="59"/>
        <v>0</v>
      </c>
      <c r="F455" s="60">
        <f t="shared" si="59"/>
        <v>0</v>
      </c>
      <c r="G455" s="60">
        <f t="shared" si="59"/>
        <v>0</v>
      </c>
      <c r="H455" s="60">
        <f t="shared" si="59"/>
        <v>0</v>
      </c>
      <c r="I455" s="60">
        <f t="shared" si="59"/>
        <v>0</v>
      </c>
      <c r="J455" s="60">
        <f t="shared" si="59"/>
        <v>0</v>
      </c>
      <c r="K455" s="168">
        <f t="shared" si="59"/>
        <v>0</v>
      </c>
      <c r="L455" s="60">
        <f t="shared" si="59"/>
        <v>0</v>
      </c>
      <c r="M455" s="60">
        <f t="shared" si="59"/>
        <v>837.3</v>
      </c>
      <c r="N455" s="60">
        <f t="shared" si="59"/>
        <v>3606600.61</v>
      </c>
      <c r="O455" s="60">
        <f t="shared" si="59"/>
        <v>0</v>
      </c>
      <c r="P455" s="60">
        <f t="shared" si="59"/>
        <v>0</v>
      </c>
      <c r="Q455" s="60">
        <f t="shared" si="59"/>
        <v>0</v>
      </c>
      <c r="R455" s="60">
        <f t="shared" si="59"/>
        <v>0</v>
      </c>
      <c r="S455" s="60">
        <f t="shared" si="59"/>
        <v>0</v>
      </c>
      <c r="T455" s="60">
        <f t="shared" si="59"/>
        <v>0</v>
      </c>
      <c r="U455" s="60">
        <f t="shared" si="59"/>
        <v>0</v>
      </c>
      <c r="V455" s="60">
        <f t="shared" si="59"/>
        <v>0</v>
      </c>
      <c r="W455" s="60">
        <f t="shared" si="59"/>
        <v>0</v>
      </c>
      <c r="X455" s="60">
        <f t="shared" si="59"/>
        <v>0</v>
      </c>
      <c r="Y455" s="60">
        <f t="shared" si="59"/>
        <v>0</v>
      </c>
      <c r="Z455" s="60">
        <f t="shared" si="59"/>
        <v>0</v>
      </c>
      <c r="AA455" s="60">
        <f t="shared" si="59"/>
        <v>0</v>
      </c>
      <c r="AB455" s="60">
        <f t="shared" si="59"/>
        <v>0</v>
      </c>
      <c r="AC455" s="60">
        <f t="shared" si="59"/>
        <v>16190.03</v>
      </c>
      <c r="AD455" s="60">
        <f t="shared" si="59"/>
        <v>0</v>
      </c>
      <c r="AE455" s="60">
        <f t="shared" si="59"/>
        <v>0</v>
      </c>
      <c r="AF455" s="54" t="s">
        <v>701</v>
      </c>
      <c r="AG455" s="54" t="s">
        <v>701</v>
      </c>
      <c r="AH455" s="55" t="s">
        <v>701</v>
      </c>
    </row>
    <row r="456" spans="1:34" ht="61.5" x14ac:dyDescent="0.85">
      <c r="A456" s="7">
        <v>1</v>
      </c>
      <c r="B456" s="59">
        <f>SUBTOTAL(103,$A$22:A456)</f>
        <v>394</v>
      </c>
      <c r="C456" s="160" t="s">
        <v>1457</v>
      </c>
      <c r="D456" s="60">
        <f>E456+F456+G456+H456+I456+J456+L456+N456+P456+R456+T456+U456+V456+W456+X456+Y456+Z456+AA456+AB456+AC456+AD456+AE456</f>
        <v>3622790.6399999997</v>
      </c>
      <c r="E456" s="60">
        <v>0</v>
      </c>
      <c r="F456" s="60">
        <v>0</v>
      </c>
      <c r="G456" s="60">
        <v>0</v>
      </c>
      <c r="H456" s="60">
        <v>0</v>
      </c>
      <c r="I456" s="60">
        <v>0</v>
      </c>
      <c r="J456" s="60">
        <v>0</v>
      </c>
      <c r="K456" s="168">
        <v>0</v>
      </c>
      <c r="L456" s="60">
        <v>0</v>
      </c>
      <c r="M456" s="62">
        <v>837.3</v>
      </c>
      <c r="N456" s="62">
        <v>3606600.61</v>
      </c>
      <c r="O456" s="60">
        <v>0</v>
      </c>
      <c r="P456" s="60">
        <v>0</v>
      </c>
      <c r="Q456" s="60">
        <v>0</v>
      </c>
      <c r="R456" s="60">
        <v>0</v>
      </c>
      <c r="S456" s="60">
        <v>0</v>
      </c>
      <c r="T456" s="60">
        <v>0</v>
      </c>
      <c r="U456" s="60">
        <v>0</v>
      </c>
      <c r="V456" s="60">
        <v>0</v>
      </c>
      <c r="W456" s="60">
        <v>0</v>
      </c>
      <c r="X456" s="60">
        <v>0</v>
      </c>
      <c r="Y456" s="60">
        <v>0</v>
      </c>
      <c r="Z456" s="60">
        <v>0</v>
      </c>
      <c r="AA456" s="60">
        <v>0</v>
      </c>
      <c r="AB456" s="60">
        <v>0</v>
      </c>
      <c r="AC456" s="60">
        <v>16190.03</v>
      </c>
      <c r="AD456" s="60">
        <v>0</v>
      </c>
      <c r="AE456" s="60">
        <v>0</v>
      </c>
      <c r="AF456" s="170" t="s">
        <v>257</v>
      </c>
      <c r="AG456" s="170">
        <v>2020</v>
      </c>
      <c r="AH456" s="63">
        <v>2020</v>
      </c>
    </row>
    <row r="457" spans="1:34" ht="61.5" x14ac:dyDescent="0.85">
      <c r="B457" s="160" t="s">
        <v>792</v>
      </c>
      <c r="C457" s="176"/>
      <c r="D457" s="177">
        <f t="shared" ref="D457:AE457" si="60">D458</f>
        <v>3515825.94</v>
      </c>
      <c r="E457" s="60">
        <f t="shared" si="60"/>
        <v>0</v>
      </c>
      <c r="F457" s="60">
        <f t="shared" si="60"/>
        <v>0</v>
      </c>
      <c r="G457" s="60">
        <f t="shared" si="60"/>
        <v>0</v>
      </c>
      <c r="H457" s="60">
        <f t="shared" si="60"/>
        <v>0</v>
      </c>
      <c r="I457" s="60">
        <f t="shared" si="60"/>
        <v>0</v>
      </c>
      <c r="J457" s="60">
        <f t="shared" si="60"/>
        <v>0</v>
      </c>
      <c r="K457" s="168">
        <f t="shared" si="60"/>
        <v>0</v>
      </c>
      <c r="L457" s="60">
        <f t="shared" si="60"/>
        <v>0</v>
      </c>
      <c r="M457" s="60">
        <f t="shared" si="60"/>
        <v>806.42</v>
      </c>
      <c r="N457" s="60">
        <f t="shared" si="60"/>
        <v>3418104.51</v>
      </c>
      <c r="O457" s="60">
        <f t="shared" si="60"/>
        <v>0</v>
      </c>
      <c r="P457" s="60">
        <f t="shared" si="60"/>
        <v>0</v>
      </c>
      <c r="Q457" s="60">
        <f t="shared" si="60"/>
        <v>0</v>
      </c>
      <c r="R457" s="60">
        <f t="shared" si="60"/>
        <v>0</v>
      </c>
      <c r="S457" s="60">
        <f t="shared" si="60"/>
        <v>0</v>
      </c>
      <c r="T457" s="60">
        <f t="shared" si="60"/>
        <v>0</v>
      </c>
      <c r="U457" s="60">
        <f t="shared" si="60"/>
        <v>0</v>
      </c>
      <c r="V457" s="60">
        <f t="shared" si="60"/>
        <v>0</v>
      </c>
      <c r="W457" s="60">
        <f t="shared" si="60"/>
        <v>0</v>
      </c>
      <c r="X457" s="60">
        <f t="shared" si="60"/>
        <v>0</v>
      </c>
      <c r="Y457" s="60">
        <f t="shared" si="60"/>
        <v>0</v>
      </c>
      <c r="Z457" s="60">
        <f t="shared" si="60"/>
        <v>0</v>
      </c>
      <c r="AA457" s="60">
        <f t="shared" si="60"/>
        <v>0</v>
      </c>
      <c r="AB457" s="60">
        <f t="shared" si="60"/>
        <v>0</v>
      </c>
      <c r="AC457" s="60">
        <f t="shared" si="60"/>
        <v>34608.31</v>
      </c>
      <c r="AD457" s="60">
        <f t="shared" si="60"/>
        <v>63113.120000000003</v>
      </c>
      <c r="AE457" s="60">
        <f t="shared" si="60"/>
        <v>0</v>
      </c>
      <c r="AF457" s="54" t="s">
        <v>701</v>
      </c>
      <c r="AG457" s="54" t="s">
        <v>701</v>
      </c>
      <c r="AH457" s="55" t="s">
        <v>701</v>
      </c>
    </row>
    <row r="458" spans="1:34" ht="61.5" x14ac:dyDescent="0.85">
      <c r="A458" s="7">
        <v>1</v>
      </c>
      <c r="B458" s="59">
        <f>SUBTOTAL(103,$A$22:A458)</f>
        <v>395</v>
      </c>
      <c r="C458" s="160" t="s">
        <v>216</v>
      </c>
      <c r="D458" s="60">
        <f>E458+F458+G458+H458+I458+J458+L458+N458+P458+R458+T458+U458+V458+W458+X458+Y458+Z458+AA458+AB458+AC458+AD458+AE458</f>
        <v>3515825.94</v>
      </c>
      <c r="E458" s="60">
        <v>0</v>
      </c>
      <c r="F458" s="60">
        <v>0</v>
      </c>
      <c r="G458" s="60">
        <v>0</v>
      </c>
      <c r="H458" s="60">
        <v>0</v>
      </c>
      <c r="I458" s="60">
        <v>0</v>
      </c>
      <c r="J458" s="60">
        <v>0</v>
      </c>
      <c r="K458" s="168">
        <v>0</v>
      </c>
      <c r="L458" s="60">
        <v>0</v>
      </c>
      <c r="M458" s="62">
        <v>806.42</v>
      </c>
      <c r="N458" s="169">
        <v>3418104.51</v>
      </c>
      <c r="O458" s="60">
        <v>0</v>
      </c>
      <c r="P458" s="60">
        <v>0</v>
      </c>
      <c r="Q458" s="60">
        <v>0</v>
      </c>
      <c r="R458" s="60">
        <v>0</v>
      </c>
      <c r="S458" s="60">
        <v>0</v>
      </c>
      <c r="T458" s="60">
        <v>0</v>
      </c>
      <c r="U458" s="60">
        <v>0</v>
      </c>
      <c r="V458" s="60">
        <v>0</v>
      </c>
      <c r="W458" s="60">
        <v>0</v>
      </c>
      <c r="X458" s="60">
        <v>0</v>
      </c>
      <c r="Y458" s="60">
        <v>0</v>
      </c>
      <c r="Z458" s="60">
        <v>0</v>
      </c>
      <c r="AA458" s="60">
        <v>0</v>
      </c>
      <c r="AB458" s="60">
        <v>0</v>
      </c>
      <c r="AC458" s="62">
        <v>34608.31</v>
      </c>
      <c r="AD458" s="62">
        <v>63113.120000000003</v>
      </c>
      <c r="AE458" s="60">
        <v>0</v>
      </c>
      <c r="AF458" s="170">
        <v>2020</v>
      </c>
      <c r="AG458" s="170">
        <v>2020</v>
      </c>
      <c r="AH458" s="63">
        <v>2020</v>
      </c>
    </row>
    <row r="459" spans="1:34" ht="61.5" x14ac:dyDescent="0.85">
      <c r="B459" s="160" t="s">
        <v>793</v>
      </c>
      <c r="C459" s="160"/>
      <c r="D459" s="177">
        <f t="shared" ref="D459:AE459" si="61">D460</f>
        <v>1371104.41</v>
      </c>
      <c r="E459" s="60">
        <f t="shared" si="61"/>
        <v>0</v>
      </c>
      <c r="F459" s="60">
        <f t="shared" si="61"/>
        <v>0</v>
      </c>
      <c r="G459" s="60">
        <f t="shared" si="61"/>
        <v>0</v>
      </c>
      <c r="H459" s="60">
        <f t="shared" si="61"/>
        <v>0</v>
      </c>
      <c r="I459" s="60">
        <f t="shared" si="61"/>
        <v>0</v>
      </c>
      <c r="J459" s="60">
        <f t="shared" si="61"/>
        <v>0</v>
      </c>
      <c r="K459" s="168">
        <f t="shared" si="61"/>
        <v>0</v>
      </c>
      <c r="L459" s="60">
        <f t="shared" si="61"/>
        <v>0</v>
      </c>
      <c r="M459" s="60">
        <f t="shared" si="61"/>
        <v>302</v>
      </c>
      <c r="N459" s="60">
        <f t="shared" si="61"/>
        <v>1318463.79</v>
      </c>
      <c r="O459" s="60">
        <f t="shared" si="61"/>
        <v>0</v>
      </c>
      <c r="P459" s="60">
        <f t="shared" si="61"/>
        <v>0</v>
      </c>
      <c r="Q459" s="60">
        <f t="shared" si="61"/>
        <v>0</v>
      </c>
      <c r="R459" s="60">
        <f t="shared" si="61"/>
        <v>0</v>
      </c>
      <c r="S459" s="60">
        <f t="shared" si="61"/>
        <v>0</v>
      </c>
      <c r="T459" s="60">
        <f t="shared" si="61"/>
        <v>0</v>
      </c>
      <c r="U459" s="60">
        <f t="shared" si="61"/>
        <v>0</v>
      </c>
      <c r="V459" s="60">
        <f t="shared" si="61"/>
        <v>0</v>
      </c>
      <c r="W459" s="60">
        <f t="shared" si="61"/>
        <v>0</v>
      </c>
      <c r="X459" s="60">
        <f t="shared" si="61"/>
        <v>0</v>
      </c>
      <c r="Y459" s="60">
        <f t="shared" si="61"/>
        <v>0</v>
      </c>
      <c r="Z459" s="60">
        <f t="shared" si="61"/>
        <v>0</v>
      </c>
      <c r="AA459" s="60">
        <f t="shared" si="61"/>
        <v>0</v>
      </c>
      <c r="AB459" s="60">
        <f t="shared" si="61"/>
        <v>0</v>
      </c>
      <c r="AC459" s="60">
        <f t="shared" si="61"/>
        <v>13349.45</v>
      </c>
      <c r="AD459" s="60">
        <f t="shared" si="61"/>
        <v>39291.17</v>
      </c>
      <c r="AE459" s="60">
        <f t="shared" si="61"/>
        <v>0</v>
      </c>
      <c r="AF459" s="54" t="s">
        <v>701</v>
      </c>
      <c r="AG459" s="54" t="s">
        <v>701</v>
      </c>
      <c r="AH459" s="55" t="s">
        <v>701</v>
      </c>
    </row>
    <row r="460" spans="1:34" ht="61.5" x14ac:dyDescent="0.85">
      <c r="A460" s="7">
        <v>1</v>
      </c>
      <c r="B460" s="59">
        <f>SUBTOTAL(103,$A$22:A460)</f>
        <v>396</v>
      </c>
      <c r="C460" s="160" t="s">
        <v>219</v>
      </c>
      <c r="D460" s="60">
        <f>E460+F460+G460+H460+I460+J460+L460+N460+P460+R460+T460+U460+V460+W460+X460+Y460+Z460+AA460+AB460+AC460+AD460+AE460</f>
        <v>1371104.41</v>
      </c>
      <c r="E460" s="60">
        <v>0</v>
      </c>
      <c r="F460" s="60">
        <v>0</v>
      </c>
      <c r="G460" s="60">
        <v>0</v>
      </c>
      <c r="H460" s="60">
        <v>0</v>
      </c>
      <c r="I460" s="60">
        <v>0</v>
      </c>
      <c r="J460" s="60">
        <v>0</v>
      </c>
      <c r="K460" s="168">
        <v>0</v>
      </c>
      <c r="L460" s="60">
        <v>0</v>
      </c>
      <c r="M460" s="62">
        <v>302</v>
      </c>
      <c r="N460" s="62">
        <v>1318463.79</v>
      </c>
      <c r="O460" s="60">
        <v>0</v>
      </c>
      <c r="P460" s="60">
        <v>0</v>
      </c>
      <c r="Q460" s="60">
        <v>0</v>
      </c>
      <c r="R460" s="60">
        <v>0</v>
      </c>
      <c r="S460" s="60">
        <v>0</v>
      </c>
      <c r="T460" s="60">
        <v>0</v>
      </c>
      <c r="U460" s="60">
        <v>0</v>
      </c>
      <c r="V460" s="60">
        <v>0</v>
      </c>
      <c r="W460" s="60">
        <v>0</v>
      </c>
      <c r="X460" s="60">
        <v>0</v>
      </c>
      <c r="Y460" s="60">
        <v>0</v>
      </c>
      <c r="Z460" s="60">
        <v>0</v>
      </c>
      <c r="AA460" s="60">
        <v>0</v>
      </c>
      <c r="AB460" s="60">
        <v>0</v>
      </c>
      <c r="AC460" s="169">
        <v>13349.45</v>
      </c>
      <c r="AD460" s="62">
        <v>39291.17</v>
      </c>
      <c r="AE460" s="60">
        <v>0</v>
      </c>
      <c r="AF460" s="170">
        <v>2020</v>
      </c>
      <c r="AG460" s="170">
        <v>2020</v>
      </c>
      <c r="AH460" s="63">
        <v>2020</v>
      </c>
    </row>
    <row r="461" spans="1:34" ht="61.5" x14ac:dyDescent="0.85">
      <c r="B461" s="160" t="s">
        <v>1211</v>
      </c>
      <c r="C461" s="160"/>
      <c r="D461" s="177">
        <f t="shared" ref="D461:AE461" si="62">D462</f>
        <v>40161.910000000003</v>
      </c>
      <c r="E461" s="60">
        <f t="shared" si="62"/>
        <v>0</v>
      </c>
      <c r="F461" s="60">
        <f t="shared" si="62"/>
        <v>0</v>
      </c>
      <c r="G461" s="60">
        <f t="shared" si="62"/>
        <v>0</v>
      </c>
      <c r="H461" s="60">
        <f t="shared" si="62"/>
        <v>0</v>
      </c>
      <c r="I461" s="60">
        <f t="shared" si="62"/>
        <v>0</v>
      </c>
      <c r="J461" s="60">
        <f t="shared" si="62"/>
        <v>0</v>
      </c>
      <c r="K461" s="168">
        <f t="shared" si="62"/>
        <v>0</v>
      </c>
      <c r="L461" s="60">
        <f t="shared" si="62"/>
        <v>0</v>
      </c>
      <c r="M461" s="60">
        <f t="shared" si="62"/>
        <v>0</v>
      </c>
      <c r="N461" s="60">
        <f t="shared" si="62"/>
        <v>0</v>
      </c>
      <c r="O461" s="60">
        <f t="shared" si="62"/>
        <v>0</v>
      </c>
      <c r="P461" s="60">
        <f t="shared" si="62"/>
        <v>0</v>
      </c>
      <c r="Q461" s="60">
        <f t="shared" si="62"/>
        <v>0</v>
      </c>
      <c r="R461" s="60">
        <f t="shared" si="62"/>
        <v>0</v>
      </c>
      <c r="S461" s="60">
        <f t="shared" si="62"/>
        <v>0</v>
      </c>
      <c r="T461" s="60">
        <f t="shared" si="62"/>
        <v>0</v>
      </c>
      <c r="U461" s="60">
        <f t="shared" si="62"/>
        <v>0</v>
      </c>
      <c r="V461" s="60">
        <f t="shared" si="62"/>
        <v>0</v>
      </c>
      <c r="W461" s="60">
        <f t="shared" si="62"/>
        <v>0</v>
      </c>
      <c r="X461" s="60">
        <f t="shared" si="62"/>
        <v>0</v>
      </c>
      <c r="Y461" s="60">
        <f t="shared" si="62"/>
        <v>0</v>
      </c>
      <c r="Z461" s="60">
        <f t="shared" si="62"/>
        <v>0</v>
      </c>
      <c r="AA461" s="60">
        <f t="shared" si="62"/>
        <v>0</v>
      </c>
      <c r="AB461" s="60">
        <f t="shared" si="62"/>
        <v>0</v>
      </c>
      <c r="AC461" s="60">
        <f t="shared" si="62"/>
        <v>0</v>
      </c>
      <c r="AD461" s="60">
        <f t="shared" si="62"/>
        <v>40161.910000000003</v>
      </c>
      <c r="AE461" s="60">
        <f t="shared" si="62"/>
        <v>0</v>
      </c>
      <c r="AF461" s="54" t="s">
        <v>701</v>
      </c>
      <c r="AG461" s="54" t="s">
        <v>701</v>
      </c>
      <c r="AH461" s="55" t="s">
        <v>701</v>
      </c>
    </row>
    <row r="462" spans="1:34" ht="61.5" x14ac:dyDescent="0.85">
      <c r="A462" s="7">
        <v>1</v>
      </c>
      <c r="B462" s="59">
        <f>SUBTOTAL(103,$A$22:A462)</f>
        <v>397</v>
      </c>
      <c r="C462" s="160" t="s">
        <v>1212</v>
      </c>
      <c r="D462" s="60">
        <f>E462+F462+G462+H462+I462+J462+L462+N462+P462+R462+T462+U462+V462+W462+X462+Y462+Z462+AA462+AB462+AC462+AD462+AE462</f>
        <v>40161.910000000003</v>
      </c>
      <c r="E462" s="60">
        <v>0</v>
      </c>
      <c r="F462" s="60">
        <v>0</v>
      </c>
      <c r="G462" s="60">
        <v>0</v>
      </c>
      <c r="H462" s="60">
        <v>0</v>
      </c>
      <c r="I462" s="60">
        <v>0</v>
      </c>
      <c r="J462" s="60">
        <v>0</v>
      </c>
      <c r="K462" s="168">
        <v>0</v>
      </c>
      <c r="L462" s="60">
        <v>0</v>
      </c>
      <c r="M462" s="60">
        <v>0</v>
      </c>
      <c r="N462" s="60">
        <v>0</v>
      </c>
      <c r="O462" s="60">
        <v>0</v>
      </c>
      <c r="P462" s="60">
        <v>0</v>
      </c>
      <c r="Q462" s="60">
        <v>0</v>
      </c>
      <c r="R462" s="60">
        <v>0</v>
      </c>
      <c r="S462" s="60">
        <v>0</v>
      </c>
      <c r="T462" s="60">
        <v>0</v>
      </c>
      <c r="U462" s="60">
        <v>0</v>
      </c>
      <c r="V462" s="60">
        <v>0</v>
      </c>
      <c r="W462" s="60">
        <v>0</v>
      </c>
      <c r="X462" s="60">
        <v>0</v>
      </c>
      <c r="Y462" s="60">
        <v>0</v>
      </c>
      <c r="Z462" s="60">
        <v>0</v>
      </c>
      <c r="AA462" s="60">
        <v>0</v>
      </c>
      <c r="AB462" s="60">
        <v>0</v>
      </c>
      <c r="AC462" s="60">
        <f>ROUND(N462*1.5%,2)</f>
        <v>0</v>
      </c>
      <c r="AD462" s="62">
        <v>40161.910000000003</v>
      </c>
      <c r="AE462" s="60">
        <v>0</v>
      </c>
      <c r="AF462" s="170">
        <v>2020</v>
      </c>
      <c r="AG462" s="170" t="s">
        <v>257</v>
      </c>
      <c r="AH462" s="170" t="s">
        <v>257</v>
      </c>
    </row>
    <row r="463" spans="1:34" ht="61.5" x14ac:dyDescent="0.85">
      <c r="B463" s="160" t="s">
        <v>794</v>
      </c>
      <c r="C463" s="176"/>
      <c r="D463" s="177">
        <f t="shared" ref="D463:AE463" si="63">D464</f>
        <v>127877.6</v>
      </c>
      <c r="E463" s="60">
        <f t="shared" si="63"/>
        <v>0</v>
      </c>
      <c r="F463" s="60">
        <f t="shared" si="63"/>
        <v>0</v>
      </c>
      <c r="G463" s="60">
        <f t="shared" si="63"/>
        <v>0</v>
      </c>
      <c r="H463" s="60">
        <f t="shared" si="63"/>
        <v>0</v>
      </c>
      <c r="I463" s="60">
        <f t="shared" si="63"/>
        <v>0</v>
      </c>
      <c r="J463" s="60">
        <f t="shared" si="63"/>
        <v>0</v>
      </c>
      <c r="K463" s="168">
        <f t="shared" si="63"/>
        <v>0</v>
      </c>
      <c r="L463" s="60">
        <f t="shared" si="63"/>
        <v>0</v>
      </c>
      <c r="M463" s="60">
        <f t="shared" si="63"/>
        <v>0</v>
      </c>
      <c r="N463" s="60">
        <f t="shared" si="63"/>
        <v>0</v>
      </c>
      <c r="O463" s="60">
        <f t="shared" si="63"/>
        <v>0</v>
      </c>
      <c r="P463" s="60">
        <f t="shared" si="63"/>
        <v>0</v>
      </c>
      <c r="Q463" s="60">
        <f t="shared" si="63"/>
        <v>0</v>
      </c>
      <c r="R463" s="60">
        <f t="shared" si="63"/>
        <v>0</v>
      </c>
      <c r="S463" s="60">
        <f t="shared" si="63"/>
        <v>0</v>
      </c>
      <c r="T463" s="60">
        <f t="shared" si="63"/>
        <v>0</v>
      </c>
      <c r="U463" s="60">
        <f t="shared" si="63"/>
        <v>0</v>
      </c>
      <c r="V463" s="60">
        <f t="shared" si="63"/>
        <v>0</v>
      </c>
      <c r="W463" s="60">
        <f t="shared" si="63"/>
        <v>0</v>
      </c>
      <c r="X463" s="60">
        <f t="shared" si="63"/>
        <v>0</v>
      </c>
      <c r="Y463" s="60">
        <f t="shared" si="63"/>
        <v>0</v>
      </c>
      <c r="Z463" s="60">
        <f t="shared" si="63"/>
        <v>0</v>
      </c>
      <c r="AA463" s="60">
        <f t="shared" si="63"/>
        <v>0</v>
      </c>
      <c r="AB463" s="60">
        <f t="shared" si="63"/>
        <v>0</v>
      </c>
      <c r="AC463" s="60">
        <f t="shared" si="63"/>
        <v>0</v>
      </c>
      <c r="AD463" s="60">
        <f t="shared" si="63"/>
        <v>127877.6</v>
      </c>
      <c r="AE463" s="60">
        <f t="shared" si="63"/>
        <v>0</v>
      </c>
      <c r="AF463" s="54" t="s">
        <v>701</v>
      </c>
      <c r="AG463" s="54" t="s">
        <v>701</v>
      </c>
      <c r="AH463" s="55" t="s">
        <v>701</v>
      </c>
    </row>
    <row r="464" spans="1:34" ht="61.5" x14ac:dyDescent="0.85">
      <c r="A464" s="7">
        <v>1</v>
      </c>
      <c r="B464" s="59">
        <f>SUBTOTAL(103,$A$22:A464)</f>
        <v>398</v>
      </c>
      <c r="C464" s="160" t="s">
        <v>135</v>
      </c>
      <c r="D464" s="60">
        <f>E464+F464+G464+H464+I464+J464+L464+N464+P464+R464+T464+U464+V464+W464+X464+Y464+Z464+AA464+AB464+AC464+AD464+AE464</f>
        <v>127877.6</v>
      </c>
      <c r="E464" s="60">
        <v>0</v>
      </c>
      <c r="F464" s="60">
        <v>0</v>
      </c>
      <c r="G464" s="60">
        <v>0</v>
      </c>
      <c r="H464" s="60">
        <v>0</v>
      </c>
      <c r="I464" s="60">
        <v>0</v>
      </c>
      <c r="J464" s="60">
        <v>0</v>
      </c>
      <c r="K464" s="168">
        <v>0</v>
      </c>
      <c r="L464" s="60">
        <v>0</v>
      </c>
      <c r="M464" s="60">
        <v>0</v>
      </c>
      <c r="N464" s="60">
        <v>0</v>
      </c>
      <c r="O464" s="60">
        <v>0</v>
      </c>
      <c r="P464" s="60">
        <v>0</v>
      </c>
      <c r="Q464" s="60">
        <v>0</v>
      </c>
      <c r="R464" s="60">
        <v>0</v>
      </c>
      <c r="S464" s="60">
        <v>0</v>
      </c>
      <c r="T464" s="60">
        <v>0</v>
      </c>
      <c r="U464" s="60">
        <v>0</v>
      </c>
      <c r="V464" s="60">
        <v>0</v>
      </c>
      <c r="W464" s="60">
        <v>0</v>
      </c>
      <c r="X464" s="60">
        <v>0</v>
      </c>
      <c r="Y464" s="60">
        <v>0</v>
      </c>
      <c r="Z464" s="60">
        <v>0</v>
      </c>
      <c r="AA464" s="60">
        <v>0</v>
      </c>
      <c r="AB464" s="60">
        <v>0</v>
      </c>
      <c r="AC464" s="60">
        <f>ROUND(N464*1.5%,2)</f>
        <v>0</v>
      </c>
      <c r="AD464" s="169">
        <v>127877.6</v>
      </c>
      <c r="AE464" s="60">
        <v>0</v>
      </c>
      <c r="AF464" s="170">
        <v>2020</v>
      </c>
      <c r="AG464" s="170" t="s">
        <v>257</v>
      </c>
      <c r="AH464" s="170" t="s">
        <v>257</v>
      </c>
    </row>
    <row r="465" spans="1:34" ht="61.5" x14ac:dyDescent="0.85">
      <c r="B465" s="160" t="s">
        <v>795</v>
      </c>
      <c r="C465" s="160"/>
      <c r="D465" s="177">
        <f t="shared" ref="D465:AE465" si="64">D466</f>
        <v>87573.72</v>
      </c>
      <c r="E465" s="60">
        <f t="shared" si="64"/>
        <v>0</v>
      </c>
      <c r="F465" s="60">
        <f t="shared" si="64"/>
        <v>0</v>
      </c>
      <c r="G465" s="60">
        <f t="shared" si="64"/>
        <v>0</v>
      </c>
      <c r="H465" s="60">
        <f t="shared" si="64"/>
        <v>0</v>
      </c>
      <c r="I465" s="60">
        <f t="shared" si="64"/>
        <v>0</v>
      </c>
      <c r="J465" s="60">
        <f t="shared" si="64"/>
        <v>0</v>
      </c>
      <c r="K465" s="168">
        <f t="shared" si="64"/>
        <v>0</v>
      </c>
      <c r="L465" s="60">
        <f t="shared" si="64"/>
        <v>0</v>
      </c>
      <c r="M465" s="60">
        <f t="shared" si="64"/>
        <v>0</v>
      </c>
      <c r="N465" s="60">
        <f t="shared" si="64"/>
        <v>0</v>
      </c>
      <c r="O465" s="60">
        <f t="shared" si="64"/>
        <v>0</v>
      </c>
      <c r="P465" s="60">
        <f t="shared" si="64"/>
        <v>0</v>
      </c>
      <c r="Q465" s="60">
        <f t="shared" si="64"/>
        <v>0</v>
      </c>
      <c r="R465" s="60">
        <f t="shared" si="64"/>
        <v>0</v>
      </c>
      <c r="S465" s="60">
        <f t="shared" si="64"/>
        <v>0</v>
      </c>
      <c r="T465" s="60">
        <f t="shared" si="64"/>
        <v>0</v>
      </c>
      <c r="U465" s="60">
        <f t="shared" si="64"/>
        <v>0</v>
      </c>
      <c r="V465" s="60">
        <f t="shared" si="64"/>
        <v>0</v>
      </c>
      <c r="W465" s="60">
        <f t="shared" si="64"/>
        <v>0</v>
      </c>
      <c r="X465" s="60">
        <f t="shared" si="64"/>
        <v>0</v>
      </c>
      <c r="Y465" s="60">
        <f t="shared" si="64"/>
        <v>0</v>
      </c>
      <c r="Z465" s="60">
        <f t="shared" si="64"/>
        <v>0</v>
      </c>
      <c r="AA465" s="60">
        <f t="shared" si="64"/>
        <v>0</v>
      </c>
      <c r="AB465" s="60">
        <f t="shared" si="64"/>
        <v>0</v>
      </c>
      <c r="AC465" s="60">
        <f t="shared" si="64"/>
        <v>0</v>
      </c>
      <c r="AD465" s="60">
        <f t="shared" si="64"/>
        <v>87573.72</v>
      </c>
      <c r="AE465" s="60">
        <f t="shared" si="64"/>
        <v>0</v>
      </c>
      <c r="AF465" s="54" t="s">
        <v>701</v>
      </c>
      <c r="AG465" s="54" t="s">
        <v>701</v>
      </c>
      <c r="AH465" s="55" t="s">
        <v>701</v>
      </c>
    </row>
    <row r="466" spans="1:34" ht="61.5" x14ac:dyDescent="0.85">
      <c r="A466" s="7">
        <v>1</v>
      </c>
      <c r="B466" s="59">
        <f>SUBTOTAL(103,$A$22:A466)</f>
        <v>399</v>
      </c>
      <c r="C466" s="160" t="s">
        <v>140</v>
      </c>
      <c r="D466" s="60">
        <f>E466+F466+G466+H466+I466+J466+L466+N466+P466+R466+T466+U466+V466+W466+X466+Y466+Z466+AA466+AB466+AC466+AD466+AE466</f>
        <v>87573.72</v>
      </c>
      <c r="E466" s="60">
        <v>0</v>
      </c>
      <c r="F466" s="60">
        <v>0</v>
      </c>
      <c r="G466" s="60">
        <v>0</v>
      </c>
      <c r="H466" s="60">
        <v>0</v>
      </c>
      <c r="I466" s="60">
        <v>0</v>
      </c>
      <c r="J466" s="60">
        <v>0</v>
      </c>
      <c r="K466" s="168">
        <v>0</v>
      </c>
      <c r="L466" s="60">
        <v>0</v>
      </c>
      <c r="M466" s="60">
        <v>0</v>
      </c>
      <c r="N466" s="60">
        <v>0</v>
      </c>
      <c r="O466" s="60">
        <v>0</v>
      </c>
      <c r="P466" s="60">
        <v>0</v>
      </c>
      <c r="Q466" s="60">
        <v>0</v>
      </c>
      <c r="R466" s="60">
        <v>0</v>
      </c>
      <c r="S466" s="60">
        <v>0</v>
      </c>
      <c r="T466" s="60">
        <v>0</v>
      </c>
      <c r="U466" s="60">
        <v>0</v>
      </c>
      <c r="V466" s="60">
        <v>0</v>
      </c>
      <c r="W466" s="60">
        <v>0</v>
      </c>
      <c r="X466" s="60">
        <v>0</v>
      </c>
      <c r="Y466" s="60">
        <v>0</v>
      </c>
      <c r="Z466" s="60">
        <v>0</v>
      </c>
      <c r="AA466" s="60">
        <v>0</v>
      </c>
      <c r="AB466" s="60">
        <v>0</v>
      </c>
      <c r="AC466" s="60">
        <f>ROUND(N466*1.5%,2)</f>
        <v>0</v>
      </c>
      <c r="AD466" s="169">
        <v>87573.72</v>
      </c>
      <c r="AE466" s="60">
        <v>0</v>
      </c>
      <c r="AF466" s="170">
        <v>2020</v>
      </c>
      <c r="AG466" s="170" t="s">
        <v>257</v>
      </c>
      <c r="AH466" s="170" t="s">
        <v>257</v>
      </c>
    </row>
    <row r="467" spans="1:34" ht="61.5" x14ac:dyDescent="0.85">
      <c r="B467" s="160" t="s">
        <v>796</v>
      </c>
      <c r="C467" s="160"/>
      <c r="D467" s="177">
        <f t="shared" ref="D467:AE467" si="65">SUM(D468:D472)</f>
        <v>3911488.5799999996</v>
      </c>
      <c r="E467" s="60">
        <f t="shared" si="65"/>
        <v>0</v>
      </c>
      <c r="F467" s="60">
        <f t="shared" si="65"/>
        <v>0</v>
      </c>
      <c r="G467" s="60">
        <f t="shared" si="65"/>
        <v>0</v>
      </c>
      <c r="H467" s="60">
        <f t="shared" si="65"/>
        <v>0</v>
      </c>
      <c r="I467" s="60">
        <f t="shared" si="65"/>
        <v>0</v>
      </c>
      <c r="J467" s="60">
        <f t="shared" si="65"/>
        <v>0</v>
      </c>
      <c r="K467" s="168">
        <f t="shared" si="65"/>
        <v>0</v>
      </c>
      <c r="L467" s="60">
        <f t="shared" si="65"/>
        <v>0</v>
      </c>
      <c r="M467" s="60">
        <f t="shared" si="65"/>
        <v>507</v>
      </c>
      <c r="N467" s="60">
        <f t="shared" si="65"/>
        <v>1983449.08</v>
      </c>
      <c r="O467" s="60">
        <f t="shared" si="65"/>
        <v>0</v>
      </c>
      <c r="P467" s="60">
        <f t="shared" si="65"/>
        <v>0</v>
      </c>
      <c r="Q467" s="60">
        <f t="shared" si="65"/>
        <v>478</v>
      </c>
      <c r="R467" s="60">
        <f t="shared" si="65"/>
        <v>1520049.06</v>
      </c>
      <c r="S467" s="60">
        <f t="shared" si="65"/>
        <v>0</v>
      </c>
      <c r="T467" s="60">
        <f t="shared" si="65"/>
        <v>0</v>
      </c>
      <c r="U467" s="60">
        <f t="shared" si="65"/>
        <v>0</v>
      </c>
      <c r="V467" s="60">
        <f t="shared" si="65"/>
        <v>0</v>
      </c>
      <c r="W467" s="60">
        <f t="shared" si="65"/>
        <v>0</v>
      </c>
      <c r="X467" s="60">
        <f t="shared" si="65"/>
        <v>0</v>
      </c>
      <c r="Y467" s="60">
        <f t="shared" si="65"/>
        <v>0</v>
      </c>
      <c r="Z467" s="60">
        <f t="shared" si="65"/>
        <v>0</v>
      </c>
      <c r="AA467" s="60">
        <f t="shared" si="65"/>
        <v>0</v>
      </c>
      <c r="AB467" s="60">
        <f t="shared" si="65"/>
        <v>0</v>
      </c>
      <c r="AC467" s="60">
        <f t="shared" si="65"/>
        <v>10266.08</v>
      </c>
      <c r="AD467" s="60">
        <f t="shared" si="65"/>
        <v>277724.36</v>
      </c>
      <c r="AE467" s="60">
        <f t="shared" si="65"/>
        <v>120000</v>
      </c>
      <c r="AF467" s="54" t="s">
        <v>701</v>
      </c>
      <c r="AG467" s="54" t="s">
        <v>701</v>
      </c>
      <c r="AH467" s="55" t="s">
        <v>701</v>
      </c>
    </row>
    <row r="468" spans="1:34" ht="61.5" x14ac:dyDescent="0.85">
      <c r="A468" s="7">
        <v>1</v>
      </c>
      <c r="B468" s="59">
        <f>SUBTOTAL(103,$A$22:A468)</f>
        <v>400</v>
      </c>
      <c r="C468" s="160" t="s">
        <v>138</v>
      </c>
      <c r="D468" s="60">
        <f>E468+F468+G468+H468+I468+J468+L468+N468+P468+R468+T468+U468+V468+W468+X468+Y468+Z468+AA468+AB468+AC468+AD468+AE468</f>
        <v>141265.9</v>
      </c>
      <c r="E468" s="60">
        <v>0</v>
      </c>
      <c r="F468" s="60">
        <v>0</v>
      </c>
      <c r="G468" s="60">
        <v>0</v>
      </c>
      <c r="H468" s="60">
        <v>0</v>
      </c>
      <c r="I468" s="60">
        <v>0</v>
      </c>
      <c r="J468" s="60">
        <v>0</v>
      </c>
      <c r="K468" s="168">
        <v>0</v>
      </c>
      <c r="L468" s="60">
        <v>0</v>
      </c>
      <c r="M468" s="60">
        <v>0</v>
      </c>
      <c r="N468" s="60">
        <v>0</v>
      </c>
      <c r="O468" s="60">
        <v>0</v>
      </c>
      <c r="P468" s="60">
        <v>0</v>
      </c>
      <c r="Q468" s="60">
        <v>0</v>
      </c>
      <c r="R468" s="60">
        <v>0</v>
      </c>
      <c r="S468" s="60">
        <v>0</v>
      </c>
      <c r="T468" s="60">
        <v>0</v>
      </c>
      <c r="U468" s="60">
        <v>0</v>
      </c>
      <c r="V468" s="60">
        <v>0</v>
      </c>
      <c r="W468" s="60">
        <v>0</v>
      </c>
      <c r="X468" s="60">
        <v>0</v>
      </c>
      <c r="Y468" s="60">
        <v>0</v>
      </c>
      <c r="Z468" s="60">
        <v>0</v>
      </c>
      <c r="AA468" s="60">
        <v>0</v>
      </c>
      <c r="AB468" s="60">
        <v>0</v>
      </c>
      <c r="AC468" s="60">
        <f>ROUND(U468*1.5%,2)</f>
        <v>0</v>
      </c>
      <c r="AD468" s="169">
        <v>141265.9</v>
      </c>
      <c r="AE468" s="60">
        <v>0</v>
      </c>
      <c r="AF468" s="170">
        <v>2020</v>
      </c>
      <c r="AG468" s="170" t="s">
        <v>257</v>
      </c>
      <c r="AH468" s="170" t="s">
        <v>257</v>
      </c>
    </row>
    <row r="469" spans="1:34" ht="61.5" x14ac:dyDescent="0.85">
      <c r="A469" s="7">
        <v>1</v>
      </c>
      <c r="B469" s="59">
        <f>SUBTOTAL(103,$A$22:A469)</f>
        <v>401</v>
      </c>
      <c r="C469" s="160" t="s">
        <v>139</v>
      </c>
      <c r="D469" s="60">
        <f>E469+F469+G469+H469+I469+J469+L469+N469+P469+R469+T469+U469+V469+W469+X469+Y469+Z469+AA469+AB469+AC469+AD469+AE469</f>
        <v>1216558.3500000001</v>
      </c>
      <c r="E469" s="60">
        <v>0</v>
      </c>
      <c r="F469" s="60">
        <v>0</v>
      </c>
      <c r="G469" s="60">
        <v>0</v>
      </c>
      <c r="H469" s="60">
        <v>0</v>
      </c>
      <c r="I469" s="60">
        <v>0</v>
      </c>
      <c r="J469" s="60">
        <v>0</v>
      </c>
      <c r="K469" s="168">
        <v>0</v>
      </c>
      <c r="L469" s="60">
        <v>0</v>
      </c>
      <c r="M469" s="62">
        <v>317.8</v>
      </c>
      <c r="N469" s="62">
        <v>1216558.3500000001</v>
      </c>
      <c r="O469" s="60">
        <v>0</v>
      </c>
      <c r="P469" s="60">
        <v>0</v>
      </c>
      <c r="Q469" s="60">
        <v>0</v>
      </c>
      <c r="R469" s="60">
        <v>0</v>
      </c>
      <c r="S469" s="60">
        <v>0</v>
      </c>
      <c r="T469" s="60">
        <v>0</v>
      </c>
      <c r="U469" s="60">
        <v>0</v>
      </c>
      <c r="V469" s="60">
        <v>0</v>
      </c>
      <c r="W469" s="60">
        <v>0</v>
      </c>
      <c r="X469" s="60">
        <v>0</v>
      </c>
      <c r="Y469" s="60">
        <v>0</v>
      </c>
      <c r="Z469" s="60">
        <v>0</v>
      </c>
      <c r="AA469" s="60">
        <v>0</v>
      </c>
      <c r="AB469" s="60">
        <v>0</v>
      </c>
      <c r="AC469" s="60">
        <v>0</v>
      </c>
      <c r="AD469" s="60">
        <v>0</v>
      </c>
      <c r="AE469" s="60">
        <v>0</v>
      </c>
      <c r="AF469" s="170" t="s">
        <v>257</v>
      </c>
      <c r="AG469" s="170">
        <v>2020</v>
      </c>
      <c r="AH469" s="63" t="s">
        <v>257</v>
      </c>
    </row>
    <row r="470" spans="1:34" ht="61.5" x14ac:dyDescent="0.85">
      <c r="A470" s="7">
        <v>1</v>
      </c>
      <c r="B470" s="59">
        <f>SUBTOTAL(103,$A$22:A470)</f>
        <v>402</v>
      </c>
      <c r="C470" s="160" t="s">
        <v>1182</v>
      </c>
      <c r="D470" s="60">
        <f>E470+F470+G470+H470+I470+J470+L470+N470+P470+R470+T470+U470+V470+W470+X470+Y470+Z470+AA470+AB470+AC470+AD470+AE470</f>
        <v>1576619.73</v>
      </c>
      <c r="E470" s="60">
        <v>0</v>
      </c>
      <c r="F470" s="60">
        <v>0</v>
      </c>
      <c r="G470" s="60">
        <v>0</v>
      </c>
      <c r="H470" s="60">
        <v>0</v>
      </c>
      <c r="I470" s="60">
        <v>0</v>
      </c>
      <c r="J470" s="60">
        <v>0</v>
      </c>
      <c r="K470" s="168">
        <v>0</v>
      </c>
      <c r="L470" s="60">
        <v>0</v>
      </c>
      <c r="M470" s="60">
        <v>0</v>
      </c>
      <c r="N470" s="60">
        <v>0</v>
      </c>
      <c r="O470" s="60">
        <v>0</v>
      </c>
      <c r="P470" s="60">
        <v>0</v>
      </c>
      <c r="Q470" s="62">
        <v>478</v>
      </c>
      <c r="R470" s="62">
        <v>1520049.06</v>
      </c>
      <c r="S470" s="60">
        <v>0</v>
      </c>
      <c r="T470" s="60">
        <v>0</v>
      </c>
      <c r="U470" s="60">
        <v>0</v>
      </c>
      <c r="V470" s="60">
        <v>0</v>
      </c>
      <c r="W470" s="60">
        <v>0</v>
      </c>
      <c r="X470" s="60">
        <v>0</v>
      </c>
      <c r="Y470" s="60">
        <v>0</v>
      </c>
      <c r="Z470" s="60">
        <v>0</v>
      </c>
      <c r="AA470" s="60">
        <v>0</v>
      </c>
      <c r="AB470" s="60">
        <v>0</v>
      </c>
      <c r="AC470" s="60">
        <v>6823.51</v>
      </c>
      <c r="AD470" s="62">
        <v>49747.16</v>
      </c>
      <c r="AE470" s="60">
        <v>0</v>
      </c>
      <c r="AF470" s="170">
        <v>2020</v>
      </c>
      <c r="AG470" s="170">
        <v>2020</v>
      </c>
      <c r="AH470" s="63">
        <v>2020</v>
      </c>
    </row>
    <row r="471" spans="1:34" ht="61.5" x14ac:dyDescent="0.85">
      <c r="A471" s="7">
        <v>1</v>
      </c>
      <c r="B471" s="59">
        <f>SUBTOTAL(103,$A$22:A471)</f>
        <v>403</v>
      </c>
      <c r="C471" s="160" t="s">
        <v>1183</v>
      </c>
      <c r="D471" s="60">
        <f>E471+F471+G471+H471+I471+J471+L471+N471+P471+R471+T471+U471+V471+W471+X471+Y471+Z471+AA471+AB471+AC471+AD471+AE471</f>
        <v>890333.29999999993</v>
      </c>
      <c r="E471" s="60">
        <v>0</v>
      </c>
      <c r="F471" s="60">
        <v>0</v>
      </c>
      <c r="G471" s="60">
        <v>0</v>
      </c>
      <c r="H471" s="60">
        <v>0</v>
      </c>
      <c r="I471" s="60">
        <v>0</v>
      </c>
      <c r="J471" s="60">
        <v>0</v>
      </c>
      <c r="K471" s="168">
        <v>0</v>
      </c>
      <c r="L471" s="60">
        <v>0</v>
      </c>
      <c r="M471" s="62">
        <v>189.2</v>
      </c>
      <c r="N471" s="62">
        <v>766890.73</v>
      </c>
      <c r="O471" s="60">
        <v>0</v>
      </c>
      <c r="P471" s="60">
        <v>0</v>
      </c>
      <c r="Q471" s="60">
        <v>0</v>
      </c>
      <c r="R471" s="60">
        <v>0</v>
      </c>
      <c r="S471" s="60">
        <v>0</v>
      </c>
      <c r="T471" s="60">
        <v>0</v>
      </c>
      <c r="U471" s="60">
        <v>0</v>
      </c>
      <c r="V471" s="60">
        <v>0</v>
      </c>
      <c r="W471" s="60">
        <v>0</v>
      </c>
      <c r="X471" s="60">
        <v>0</v>
      </c>
      <c r="Y471" s="60">
        <v>0</v>
      </c>
      <c r="Z471" s="60">
        <v>0</v>
      </c>
      <c r="AA471" s="60">
        <v>0</v>
      </c>
      <c r="AB471" s="60">
        <v>0</v>
      </c>
      <c r="AC471" s="62">
        <v>3442.57</v>
      </c>
      <c r="AD471" s="60">
        <v>0</v>
      </c>
      <c r="AE471" s="60">
        <v>120000</v>
      </c>
      <c r="AF471" s="170" t="s">
        <v>257</v>
      </c>
      <c r="AG471" s="170">
        <v>2020</v>
      </c>
      <c r="AH471" s="63">
        <v>2020</v>
      </c>
    </row>
    <row r="472" spans="1:34" ht="61.5" x14ac:dyDescent="0.85">
      <c r="A472" s="7">
        <v>1</v>
      </c>
      <c r="B472" s="59">
        <f>SUBTOTAL(103,$A$22:A472)</f>
        <v>404</v>
      </c>
      <c r="C472" s="160" t="s">
        <v>1218</v>
      </c>
      <c r="D472" s="60">
        <f>E472+F472+G472+H472+I472+J472+L472+N472+P472+R472+T472+U472+V472+W472+X472+Y472+Z472+AA472+AB472+AC472+AD472+AE472</f>
        <v>86711.3</v>
      </c>
      <c r="E472" s="60">
        <v>0</v>
      </c>
      <c r="F472" s="60">
        <v>0</v>
      </c>
      <c r="G472" s="60">
        <v>0</v>
      </c>
      <c r="H472" s="60">
        <v>0</v>
      </c>
      <c r="I472" s="60">
        <v>0</v>
      </c>
      <c r="J472" s="60">
        <v>0</v>
      </c>
      <c r="K472" s="168">
        <v>0</v>
      </c>
      <c r="L472" s="60">
        <v>0</v>
      </c>
      <c r="M472" s="60">
        <v>0</v>
      </c>
      <c r="N472" s="60">
        <v>0</v>
      </c>
      <c r="O472" s="60">
        <v>0</v>
      </c>
      <c r="P472" s="60">
        <v>0</v>
      </c>
      <c r="Q472" s="60">
        <v>0</v>
      </c>
      <c r="R472" s="60">
        <v>0</v>
      </c>
      <c r="S472" s="60">
        <v>0</v>
      </c>
      <c r="T472" s="60">
        <v>0</v>
      </c>
      <c r="U472" s="60">
        <v>0</v>
      </c>
      <c r="V472" s="60">
        <v>0</v>
      </c>
      <c r="W472" s="60">
        <v>0</v>
      </c>
      <c r="X472" s="60">
        <v>0</v>
      </c>
      <c r="Y472" s="60">
        <v>0</v>
      </c>
      <c r="Z472" s="60">
        <v>0</v>
      </c>
      <c r="AA472" s="60">
        <v>0</v>
      </c>
      <c r="AB472" s="60">
        <v>0</v>
      </c>
      <c r="AC472" s="60">
        <f>ROUND(N472*1.5%,2)</f>
        <v>0</v>
      </c>
      <c r="AD472" s="169">
        <v>86711.3</v>
      </c>
      <c r="AE472" s="60">
        <v>0</v>
      </c>
      <c r="AF472" s="170">
        <v>2020</v>
      </c>
      <c r="AG472" s="170" t="s">
        <v>257</v>
      </c>
      <c r="AH472" s="170" t="s">
        <v>257</v>
      </c>
    </row>
    <row r="473" spans="1:34" ht="61.5" x14ac:dyDescent="0.85">
      <c r="B473" s="160" t="s">
        <v>797</v>
      </c>
      <c r="C473" s="160"/>
      <c r="D473" s="177">
        <f t="shared" ref="D473:AE473" si="66">D474+D475+D476+D477+D478+D479+D480+D481+D482+D483+D484</f>
        <v>23895515.779999997</v>
      </c>
      <c r="E473" s="60">
        <f t="shared" si="66"/>
        <v>217243.21000000002</v>
      </c>
      <c r="F473" s="60">
        <f t="shared" si="66"/>
        <v>0</v>
      </c>
      <c r="G473" s="60">
        <f t="shared" si="66"/>
        <v>2010723.97</v>
      </c>
      <c r="H473" s="60">
        <f t="shared" si="66"/>
        <v>280774.89</v>
      </c>
      <c r="I473" s="60">
        <f t="shared" si="66"/>
        <v>730380.2</v>
      </c>
      <c r="J473" s="60">
        <f t="shared" si="66"/>
        <v>0</v>
      </c>
      <c r="K473" s="168">
        <f t="shared" si="66"/>
        <v>0</v>
      </c>
      <c r="L473" s="60">
        <f t="shared" si="66"/>
        <v>0</v>
      </c>
      <c r="M473" s="60">
        <f t="shared" si="66"/>
        <v>6175.74</v>
      </c>
      <c r="N473" s="60">
        <f t="shared" si="66"/>
        <v>20114074.100000001</v>
      </c>
      <c r="O473" s="60">
        <f t="shared" si="66"/>
        <v>0</v>
      </c>
      <c r="P473" s="60">
        <f t="shared" si="66"/>
        <v>0</v>
      </c>
      <c r="Q473" s="60">
        <f t="shared" si="66"/>
        <v>0</v>
      </c>
      <c r="R473" s="60">
        <f t="shared" si="66"/>
        <v>0</v>
      </c>
      <c r="S473" s="60">
        <f t="shared" si="66"/>
        <v>0</v>
      </c>
      <c r="T473" s="60">
        <f t="shared" si="66"/>
        <v>0</v>
      </c>
      <c r="U473" s="60">
        <f t="shared" si="66"/>
        <v>0</v>
      </c>
      <c r="V473" s="60">
        <f t="shared" si="66"/>
        <v>0</v>
      </c>
      <c r="W473" s="60">
        <f t="shared" si="66"/>
        <v>0</v>
      </c>
      <c r="X473" s="60">
        <f t="shared" si="66"/>
        <v>0</v>
      </c>
      <c r="Y473" s="60">
        <f t="shared" si="66"/>
        <v>0</v>
      </c>
      <c r="Z473" s="60">
        <f t="shared" si="66"/>
        <v>0</v>
      </c>
      <c r="AA473" s="60">
        <f t="shared" si="66"/>
        <v>0</v>
      </c>
      <c r="AB473" s="60">
        <f t="shared" si="66"/>
        <v>0</v>
      </c>
      <c r="AC473" s="60">
        <f t="shared" si="66"/>
        <v>328848.42</v>
      </c>
      <c r="AD473" s="60">
        <f t="shared" si="66"/>
        <v>213470.99</v>
      </c>
      <c r="AE473" s="60">
        <f t="shared" si="66"/>
        <v>0</v>
      </c>
      <c r="AF473" s="54" t="s">
        <v>701</v>
      </c>
      <c r="AG473" s="54" t="s">
        <v>701</v>
      </c>
      <c r="AH473" s="55" t="s">
        <v>701</v>
      </c>
    </row>
    <row r="474" spans="1:34" ht="61.5" x14ac:dyDescent="0.85">
      <c r="A474" s="7">
        <v>1</v>
      </c>
      <c r="B474" s="59">
        <f>SUBTOTAL(103,$A$22:A474)</f>
        <v>405</v>
      </c>
      <c r="C474" s="160" t="s">
        <v>141</v>
      </c>
      <c r="D474" s="60">
        <f t="shared" ref="D474:D484" si="67">E474+F474+G474+H474+I474+J474+L474+N474+P474+R474+T474+U474+V474+W474+X474+Y474+Z474+AA474+AB474+AC474+AD474+AE474</f>
        <v>4629120.46</v>
      </c>
      <c r="E474" s="60">
        <v>0</v>
      </c>
      <c r="F474" s="60">
        <v>0</v>
      </c>
      <c r="G474" s="60">
        <v>0</v>
      </c>
      <c r="H474" s="60">
        <v>0</v>
      </c>
      <c r="I474" s="60">
        <v>0</v>
      </c>
      <c r="J474" s="60">
        <v>0</v>
      </c>
      <c r="K474" s="168">
        <v>0</v>
      </c>
      <c r="L474" s="60">
        <v>0</v>
      </c>
      <c r="M474" s="62">
        <v>1538.84</v>
      </c>
      <c r="N474" s="62">
        <v>4565095</v>
      </c>
      <c r="O474" s="60">
        <v>0</v>
      </c>
      <c r="P474" s="60">
        <v>0</v>
      </c>
      <c r="Q474" s="60">
        <v>0</v>
      </c>
      <c r="R474" s="60">
        <v>0</v>
      </c>
      <c r="S474" s="60">
        <v>0</v>
      </c>
      <c r="T474" s="60">
        <v>0</v>
      </c>
      <c r="U474" s="60">
        <v>0</v>
      </c>
      <c r="V474" s="60">
        <v>0</v>
      </c>
      <c r="W474" s="60">
        <v>0</v>
      </c>
      <c r="X474" s="60">
        <v>0</v>
      </c>
      <c r="Y474" s="60">
        <v>0</v>
      </c>
      <c r="Z474" s="60">
        <v>0</v>
      </c>
      <c r="AA474" s="60">
        <v>0</v>
      </c>
      <c r="AB474" s="60">
        <v>0</v>
      </c>
      <c r="AC474" s="62">
        <v>64025.46</v>
      </c>
      <c r="AD474" s="60">
        <v>0</v>
      </c>
      <c r="AE474" s="60">
        <v>0</v>
      </c>
      <c r="AF474" s="170" t="s">
        <v>257</v>
      </c>
      <c r="AG474" s="170">
        <v>2020</v>
      </c>
      <c r="AH474" s="63">
        <v>2020</v>
      </c>
    </row>
    <row r="475" spans="1:34" ht="61.5" x14ac:dyDescent="0.85">
      <c r="A475" s="7">
        <v>1</v>
      </c>
      <c r="B475" s="59">
        <f>SUBTOTAL(103,$A$22:A475)</f>
        <v>406</v>
      </c>
      <c r="C475" s="160" t="s">
        <v>136</v>
      </c>
      <c r="D475" s="60">
        <f t="shared" si="67"/>
        <v>3488886.51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168">
        <v>0</v>
      </c>
      <c r="L475" s="60">
        <v>0</v>
      </c>
      <c r="M475" s="62">
        <v>1004.6</v>
      </c>
      <c r="N475" s="62">
        <v>3440631.65</v>
      </c>
      <c r="O475" s="60">
        <v>0</v>
      </c>
      <c r="P475" s="60">
        <v>0</v>
      </c>
      <c r="Q475" s="60">
        <v>0</v>
      </c>
      <c r="R475" s="60">
        <v>0</v>
      </c>
      <c r="S475" s="60">
        <v>0</v>
      </c>
      <c r="T475" s="60">
        <v>0</v>
      </c>
      <c r="U475" s="60">
        <v>0</v>
      </c>
      <c r="V475" s="60">
        <v>0</v>
      </c>
      <c r="W475" s="60">
        <v>0</v>
      </c>
      <c r="X475" s="60">
        <v>0</v>
      </c>
      <c r="Y475" s="60">
        <v>0</v>
      </c>
      <c r="Z475" s="60">
        <v>0</v>
      </c>
      <c r="AA475" s="60">
        <v>0</v>
      </c>
      <c r="AB475" s="60">
        <v>0</v>
      </c>
      <c r="AC475" s="60">
        <v>48254.86</v>
      </c>
      <c r="AD475" s="60">
        <v>0</v>
      </c>
      <c r="AE475" s="60">
        <v>0</v>
      </c>
      <c r="AF475" s="170" t="s">
        <v>257</v>
      </c>
      <c r="AG475" s="170">
        <v>2020</v>
      </c>
      <c r="AH475" s="63">
        <v>2020</v>
      </c>
    </row>
    <row r="476" spans="1:34" ht="61.5" x14ac:dyDescent="0.85">
      <c r="A476" s="7">
        <v>1</v>
      </c>
      <c r="B476" s="59">
        <f>SUBTOTAL(103,$A$22:A476)</f>
        <v>407</v>
      </c>
      <c r="C476" s="160" t="s">
        <v>137</v>
      </c>
      <c r="D476" s="60">
        <f t="shared" si="67"/>
        <v>4309479.43</v>
      </c>
      <c r="E476" s="60">
        <v>0</v>
      </c>
      <c r="F476" s="60">
        <v>0</v>
      </c>
      <c r="G476" s="60">
        <v>0</v>
      </c>
      <c r="H476" s="60">
        <v>0</v>
      </c>
      <c r="I476" s="60">
        <v>0</v>
      </c>
      <c r="J476" s="60">
        <v>0</v>
      </c>
      <c r="K476" s="168">
        <v>0</v>
      </c>
      <c r="L476" s="60">
        <v>0</v>
      </c>
      <c r="M476" s="62">
        <v>1336.3</v>
      </c>
      <c r="N476" s="62">
        <v>4249874.93</v>
      </c>
      <c r="O476" s="60">
        <v>0</v>
      </c>
      <c r="P476" s="60">
        <v>0</v>
      </c>
      <c r="Q476" s="60">
        <v>0</v>
      </c>
      <c r="R476" s="60">
        <v>0</v>
      </c>
      <c r="S476" s="60">
        <v>0</v>
      </c>
      <c r="T476" s="60">
        <v>0</v>
      </c>
      <c r="U476" s="60">
        <v>0</v>
      </c>
      <c r="V476" s="60">
        <v>0</v>
      </c>
      <c r="W476" s="60">
        <v>0</v>
      </c>
      <c r="X476" s="60">
        <v>0</v>
      </c>
      <c r="Y476" s="60">
        <v>0</v>
      </c>
      <c r="Z476" s="60">
        <v>0</v>
      </c>
      <c r="AA476" s="60">
        <v>0</v>
      </c>
      <c r="AB476" s="60">
        <v>0</v>
      </c>
      <c r="AC476" s="62">
        <v>59604.5</v>
      </c>
      <c r="AD476" s="60">
        <v>0</v>
      </c>
      <c r="AE476" s="60">
        <v>0</v>
      </c>
      <c r="AF476" s="170" t="s">
        <v>257</v>
      </c>
      <c r="AG476" s="170">
        <v>2020</v>
      </c>
      <c r="AH476" s="63">
        <v>2020</v>
      </c>
    </row>
    <row r="477" spans="1:34" ht="61.5" x14ac:dyDescent="0.85">
      <c r="A477" s="7">
        <v>1</v>
      </c>
      <c r="B477" s="59">
        <f>SUBTOTAL(103,$A$22:A477)</f>
        <v>408</v>
      </c>
      <c r="C477" s="160" t="s">
        <v>1174</v>
      </c>
      <c r="D477" s="60">
        <f t="shared" si="67"/>
        <v>1166380.9099999999</v>
      </c>
      <c r="E477" s="62">
        <v>106894.33</v>
      </c>
      <c r="F477" s="60">
        <v>0</v>
      </c>
      <c r="G477" s="62">
        <v>578602.22</v>
      </c>
      <c r="H477" s="62">
        <v>130137.83</v>
      </c>
      <c r="I477" s="62">
        <v>335166.21999999997</v>
      </c>
      <c r="J477" s="60">
        <v>0</v>
      </c>
      <c r="K477" s="168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0">
        <v>0</v>
      </c>
      <c r="T477" s="60">
        <v>0</v>
      </c>
      <c r="U477" s="60">
        <v>0</v>
      </c>
      <c r="V477" s="60">
        <v>0</v>
      </c>
      <c r="W477" s="60">
        <v>0</v>
      </c>
      <c r="X477" s="60">
        <v>0</v>
      </c>
      <c r="Y477" s="60">
        <v>0</v>
      </c>
      <c r="Z477" s="60">
        <v>0</v>
      </c>
      <c r="AA477" s="60">
        <v>0</v>
      </c>
      <c r="AB477" s="60">
        <v>0</v>
      </c>
      <c r="AC477" s="60">
        <v>15580.31</v>
      </c>
      <c r="AD477" s="60">
        <v>0</v>
      </c>
      <c r="AE477" s="60">
        <v>0</v>
      </c>
      <c r="AF477" s="170" t="s">
        <v>257</v>
      </c>
      <c r="AG477" s="170">
        <v>2020</v>
      </c>
      <c r="AH477" s="63">
        <v>2020</v>
      </c>
    </row>
    <row r="478" spans="1:34" ht="61.5" x14ac:dyDescent="0.85">
      <c r="A478" s="7">
        <v>1</v>
      </c>
      <c r="B478" s="59">
        <f>SUBTOTAL(103,$A$22:A478)</f>
        <v>409</v>
      </c>
      <c r="C478" s="160" t="s">
        <v>1175</v>
      </c>
      <c r="D478" s="60">
        <f t="shared" si="67"/>
        <v>1211378.6299999999</v>
      </c>
      <c r="E478" s="62">
        <v>110348.88</v>
      </c>
      <c r="F478" s="60">
        <v>0</v>
      </c>
      <c r="G478" s="62">
        <v>537364.75</v>
      </c>
      <c r="H478" s="62">
        <v>150637.06</v>
      </c>
      <c r="I478" s="62">
        <v>395213.98</v>
      </c>
      <c r="J478" s="60">
        <v>0</v>
      </c>
      <c r="K478" s="168">
        <v>0</v>
      </c>
      <c r="L478" s="60">
        <v>0</v>
      </c>
      <c r="M478" s="60">
        <v>0</v>
      </c>
      <c r="N478" s="60">
        <v>0</v>
      </c>
      <c r="O478" s="60">
        <v>0</v>
      </c>
      <c r="P478" s="60">
        <v>0</v>
      </c>
      <c r="Q478" s="60">
        <v>0</v>
      </c>
      <c r="R478" s="60">
        <v>0</v>
      </c>
      <c r="S478" s="60">
        <v>0</v>
      </c>
      <c r="T478" s="60">
        <v>0</v>
      </c>
      <c r="U478" s="60">
        <v>0</v>
      </c>
      <c r="V478" s="60">
        <v>0</v>
      </c>
      <c r="W478" s="60">
        <v>0</v>
      </c>
      <c r="X478" s="60">
        <v>0</v>
      </c>
      <c r="Y478" s="60">
        <v>0</v>
      </c>
      <c r="Z478" s="60">
        <v>0</v>
      </c>
      <c r="AA478" s="60">
        <v>0</v>
      </c>
      <c r="AB478" s="60">
        <v>0</v>
      </c>
      <c r="AC478" s="60">
        <v>17813.96</v>
      </c>
      <c r="AD478" s="60">
        <v>0</v>
      </c>
      <c r="AE478" s="60">
        <v>0</v>
      </c>
      <c r="AF478" s="170" t="s">
        <v>257</v>
      </c>
      <c r="AG478" s="170">
        <v>2020</v>
      </c>
      <c r="AH478" s="63">
        <v>2020</v>
      </c>
    </row>
    <row r="479" spans="1:34" ht="61.5" x14ac:dyDescent="0.85">
      <c r="A479" s="7">
        <v>1</v>
      </c>
      <c r="B479" s="59">
        <f>SUBTOTAL(103,$A$22:A479)</f>
        <v>410</v>
      </c>
      <c r="C479" s="160" t="s">
        <v>1176</v>
      </c>
      <c r="D479" s="60">
        <f t="shared" si="67"/>
        <v>908111.25</v>
      </c>
      <c r="E479" s="60">
        <v>0</v>
      </c>
      <c r="F479" s="60">
        <v>0</v>
      </c>
      <c r="G479" s="62">
        <v>894757</v>
      </c>
      <c r="H479" s="60">
        <v>0</v>
      </c>
      <c r="I479" s="60">
        <v>0</v>
      </c>
      <c r="J479" s="60">
        <v>0</v>
      </c>
      <c r="K479" s="168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0">
        <v>0</v>
      </c>
      <c r="T479" s="60">
        <v>0</v>
      </c>
      <c r="U479" s="60">
        <v>0</v>
      </c>
      <c r="V479" s="60">
        <v>0</v>
      </c>
      <c r="W479" s="60">
        <v>0</v>
      </c>
      <c r="X479" s="60">
        <v>0</v>
      </c>
      <c r="Y479" s="60">
        <v>0</v>
      </c>
      <c r="Z479" s="60">
        <v>0</v>
      </c>
      <c r="AA479" s="60">
        <v>0</v>
      </c>
      <c r="AB479" s="60">
        <v>0</v>
      </c>
      <c r="AC479" s="60">
        <v>13354.25</v>
      </c>
      <c r="AD479" s="60">
        <v>0</v>
      </c>
      <c r="AE479" s="60">
        <v>0</v>
      </c>
      <c r="AF479" s="170" t="s">
        <v>257</v>
      </c>
      <c r="AG479" s="170">
        <v>2020</v>
      </c>
      <c r="AH479" s="63">
        <v>2020</v>
      </c>
    </row>
    <row r="480" spans="1:34" ht="61.5" x14ac:dyDescent="0.85">
      <c r="A480" s="7">
        <v>1</v>
      </c>
      <c r="B480" s="59">
        <f>SUBTOTAL(103,$A$22:A480)</f>
        <v>411</v>
      </c>
      <c r="C480" s="160" t="s">
        <v>1204</v>
      </c>
      <c r="D480" s="60">
        <f t="shared" si="67"/>
        <v>55068.52</v>
      </c>
      <c r="E480" s="60">
        <v>0</v>
      </c>
      <c r="F480" s="60">
        <v>0</v>
      </c>
      <c r="G480" s="60">
        <v>0</v>
      </c>
      <c r="H480" s="60">
        <v>0</v>
      </c>
      <c r="I480" s="60">
        <v>0</v>
      </c>
      <c r="J480" s="60">
        <v>0</v>
      </c>
      <c r="K480" s="168">
        <v>0</v>
      </c>
      <c r="L480" s="60">
        <v>0</v>
      </c>
      <c r="M480" s="60">
        <v>0</v>
      </c>
      <c r="N480" s="60">
        <v>0</v>
      </c>
      <c r="O480" s="60">
        <v>0</v>
      </c>
      <c r="P480" s="60">
        <v>0</v>
      </c>
      <c r="Q480" s="60">
        <v>0</v>
      </c>
      <c r="R480" s="60">
        <v>0</v>
      </c>
      <c r="S480" s="60">
        <v>0</v>
      </c>
      <c r="T480" s="60">
        <v>0</v>
      </c>
      <c r="U480" s="60">
        <v>0</v>
      </c>
      <c r="V480" s="60">
        <v>0</v>
      </c>
      <c r="W480" s="60">
        <v>0</v>
      </c>
      <c r="X480" s="60">
        <v>0</v>
      </c>
      <c r="Y480" s="60">
        <v>0</v>
      </c>
      <c r="Z480" s="60">
        <v>0</v>
      </c>
      <c r="AA480" s="60">
        <v>0</v>
      </c>
      <c r="AB480" s="60">
        <v>0</v>
      </c>
      <c r="AC480" s="60">
        <f>ROUND(N480*1.5%,2)</f>
        <v>0</v>
      </c>
      <c r="AD480" s="62">
        <v>55068.52</v>
      </c>
      <c r="AE480" s="60">
        <v>0</v>
      </c>
      <c r="AF480" s="170">
        <v>2020</v>
      </c>
      <c r="AG480" s="170" t="s">
        <v>257</v>
      </c>
      <c r="AH480" s="170" t="s">
        <v>257</v>
      </c>
    </row>
    <row r="481" spans="1:34" ht="61.5" x14ac:dyDescent="0.85">
      <c r="A481" s="7">
        <v>1</v>
      </c>
      <c r="B481" s="59">
        <f>SUBTOTAL(103,$A$22:A481)</f>
        <v>412</v>
      </c>
      <c r="C481" s="160" t="s">
        <v>1205</v>
      </c>
      <c r="D481" s="60">
        <f t="shared" si="67"/>
        <v>98964.25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168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0">
        <v>0</v>
      </c>
      <c r="T481" s="60">
        <v>0</v>
      </c>
      <c r="U481" s="60">
        <v>0</v>
      </c>
      <c r="V481" s="60">
        <v>0</v>
      </c>
      <c r="W481" s="60">
        <v>0</v>
      </c>
      <c r="X481" s="60">
        <v>0</v>
      </c>
      <c r="Y481" s="60">
        <v>0</v>
      </c>
      <c r="Z481" s="60">
        <v>0</v>
      </c>
      <c r="AA481" s="60">
        <v>0</v>
      </c>
      <c r="AB481" s="60">
        <v>0</v>
      </c>
      <c r="AC481" s="60">
        <f>ROUND(N481*1.5%,2)</f>
        <v>0</v>
      </c>
      <c r="AD481" s="62">
        <v>98964.25</v>
      </c>
      <c r="AE481" s="60">
        <v>0</v>
      </c>
      <c r="AF481" s="170">
        <v>2020</v>
      </c>
      <c r="AG481" s="170" t="s">
        <v>257</v>
      </c>
      <c r="AH481" s="170" t="s">
        <v>257</v>
      </c>
    </row>
    <row r="482" spans="1:34" ht="61.5" x14ac:dyDescent="0.85">
      <c r="A482" s="7">
        <v>1</v>
      </c>
      <c r="B482" s="59">
        <f>SUBTOTAL(103,$A$22:A482)</f>
        <v>413</v>
      </c>
      <c r="C482" s="160" t="s">
        <v>1464</v>
      </c>
      <c r="D482" s="60">
        <f t="shared" si="67"/>
        <v>2347663.2300000004</v>
      </c>
      <c r="E482" s="60">
        <v>0</v>
      </c>
      <c r="F482" s="60">
        <v>0</v>
      </c>
      <c r="G482" s="60">
        <v>0</v>
      </c>
      <c r="H482" s="60">
        <v>0</v>
      </c>
      <c r="I482" s="60">
        <v>0</v>
      </c>
      <c r="J482" s="60">
        <v>0</v>
      </c>
      <c r="K482" s="168">
        <v>0</v>
      </c>
      <c r="L482" s="60">
        <v>0</v>
      </c>
      <c r="M482" s="62">
        <v>513.5</v>
      </c>
      <c r="N482" s="62">
        <v>2256576.52</v>
      </c>
      <c r="O482" s="60">
        <v>0</v>
      </c>
      <c r="P482" s="60">
        <v>0</v>
      </c>
      <c r="Q482" s="60">
        <v>0</v>
      </c>
      <c r="R482" s="60">
        <v>0</v>
      </c>
      <c r="S482" s="60">
        <v>0</v>
      </c>
      <c r="T482" s="60">
        <v>0</v>
      </c>
      <c r="U482" s="60">
        <v>0</v>
      </c>
      <c r="V482" s="60">
        <v>0</v>
      </c>
      <c r="W482" s="60">
        <v>0</v>
      </c>
      <c r="X482" s="60">
        <v>0</v>
      </c>
      <c r="Y482" s="60">
        <v>0</v>
      </c>
      <c r="Z482" s="60">
        <v>0</v>
      </c>
      <c r="AA482" s="60">
        <v>0</v>
      </c>
      <c r="AB482" s="60">
        <v>0</v>
      </c>
      <c r="AC482" s="60">
        <v>31648.49</v>
      </c>
      <c r="AD482" s="62">
        <v>59438.22</v>
      </c>
      <c r="AE482" s="60">
        <v>0</v>
      </c>
      <c r="AF482" s="170">
        <v>2020</v>
      </c>
      <c r="AG482" s="170">
        <v>2020</v>
      </c>
      <c r="AH482" s="63">
        <v>2020</v>
      </c>
    </row>
    <row r="483" spans="1:34" ht="61.5" x14ac:dyDescent="0.85">
      <c r="A483" s="7">
        <v>1</v>
      </c>
      <c r="B483" s="59">
        <f>SUBTOTAL(103,$A$22:A483)</f>
        <v>414</v>
      </c>
      <c r="C483" s="160" t="s">
        <v>147</v>
      </c>
      <c r="D483" s="60">
        <f t="shared" si="67"/>
        <v>2512797.5499999998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168">
        <v>0</v>
      </c>
      <c r="L483" s="60">
        <v>0</v>
      </c>
      <c r="M483" s="62">
        <v>791.12</v>
      </c>
      <c r="N483" s="169">
        <v>2478043</v>
      </c>
      <c r="O483" s="60">
        <v>0</v>
      </c>
      <c r="P483" s="60">
        <v>0</v>
      </c>
      <c r="Q483" s="60">
        <v>0</v>
      </c>
      <c r="R483" s="60">
        <v>0</v>
      </c>
      <c r="S483" s="60">
        <v>0</v>
      </c>
      <c r="T483" s="60">
        <v>0</v>
      </c>
      <c r="U483" s="60">
        <v>0</v>
      </c>
      <c r="V483" s="60">
        <v>0</v>
      </c>
      <c r="W483" s="60">
        <v>0</v>
      </c>
      <c r="X483" s="60">
        <v>0</v>
      </c>
      <c r="Y483" s="60">
        <v>0</v>
      </c>
      <c r="Z483" s="60">
        <v>0</v>
      </c>
      <c r="AA483" s="60">
        <v>0</v>
      </c>
      <c r="AB483" s="60">
        <v>0</v>
      </c>
      <c r="AC483" s="169">
        <v>34754.550000000003</v>
      </c>
      <c r="AD483" s="60">
        <v>0</v>
      </c>
      <c r="AE483" s="60">
        <v>0</v>
      </c>
      <c r="AF483" s="170" t="s">
        <v>257</v>
      </c>
      <c r="AG483" s="170">
        <v>2020</v>
      </c>
      <c r="AH483" s="63">
        <v>2020</v>
      </c>
    </row>
    <row r="484" spans="1:34" ht="61.5" x14ac:dyDescent="0.85">
      <c r="A484" s="7">
        <v>1</v>
      </c>
      <c r="B484" s="59">
        <f>SUBTOTAL(103,$A$22:A484)</f>
        <v>415</v>
      </c>
      <c r="C484" s="160" t="s">
        <v>148</v>
      </c>
      <c r="D484" s="60">
        <f t="shared" si="67"/>
        <v>3167665.04</v>
      </c>
      <c r="E484" s="60">
        <v>0</v>
      </c>
      <c r="F484" s="60">
        <v>0</v>
      </c>
      <c r="G484" s="60">
        <v>0</v>
      </c>
      <c r="H484" s="60">
        <v>0</v>
      </c>
      <c r="I484" s="60">
        <v>0</v>
      </c>
      <c r="J484" s="60">
        <v>0</v>
      </c>
      <c r="K484" s="168">
        <v>0</v>
      </c>
      <c r="L484" s="60">
        <v>0</v>
      </c>
      <c r="M484" s="62">
        <v>991.38</v>
      </c>
      <c r="N484" s="169">
        <v>3123853</v>
      </c>
      <c r="O484" s="60">
        <v>0</v>
      </c>
      <c r="P484" s="60">
        <v>0</v>
      </c>
      <c r="Q484" s="60">
        <v>0</v>
      </c>
      <c r="R484" s="60">
        <v>0</v>
      </c>
      <c r="S484" s="60">
        <v>0</v>
      </c>
      <c r="T484" s="60">
        <v>0</v>
      </c>
      <c r="U484" s="60">
        <v>0</v>
      </c>
      <c r="V484" s="60">
        <v>0</v>
      </c>
      <c r="W484" s="60">
        <v>0</v>
      </c>
      <c r="X484" s="60">
        <v>0</v>
      </c>
      <c r="Y484" s="60">
        <v>0</v>
      </c>
      <c r="Z484" s="60">
        <v>0</v>
      </c>
      <c r="AA484" s="60">
        <v>0</v>
      </c>
      <c r="AB484" s="60">
        <v>0</v>
      </c>
      <c r="AC484" s="169">
        <v>43812.04</v>
      </c>
      <c r="AD484" s="60">
        <v>0</v>
      </c>
      <c r="AE484" s="60">
        <v>0</v>
      </c>
      <c r="AF484" s="170" t="s">
        <v>257</v>
      </c>
      <c r="AG484" s="170">
        <v>2020</v>
      </c>
      <c r="AH484" s="63">
        <v>2020</v>
      </c>
    </row>
    <row r="485" spans="1:34" ht="61.5" x14ac:dyDescent="0.85">
      <c r="B485" s="160" t="s">
        <v>798</v>
      </c>
      <c r="C485" s="160"/>
      <c r="D485" s="177">
        <f t="shared" ref="D485:AE485" si="68">SUM(D486:D493)</f>
        <v>24440368.16</v>
      </c>
      <c r="E485" s="60">
        <f t="shared" si="68"/>
        <v>0</v>
      </c>
      <c r="F485" s="60">
        <f t="shared" si="68"/>
        <v>0</v>
      </c>
      <c r="G485" s="60">
        <f t="shared" si="68"/>
        <v>899499.24</v>
      </c>
      <c r="H485" s="60">
        <f t="shared" si="68"/>
        <v>0</v>
      </c>
      <c r="I485" s="60">
        <f t="shared" si="68"/>
        <v>0</v>
      </c>
      <c r="J485" s="60">
        <f t="shared" si="68"/>
        <v>0</v>
      </c>
      <c r="K485" s="168">
        <f t="shared" si="68"/>
        <v>0</v>
      </c>
      <c r="L485" s="60">
        <f t="shared" si="68"/>
        <v>0</v>
      </c>
      <c r="M485" s="60">
        <f t="shared" si="68"/>
        <v>5747.05</v>
      </c>
      <c r="N485" s="60">
        <f t="shared" si="68"/>
        <v>22613016.149999999</v>
      </c>
      <c r="O485" s="60">
        <f t="shared" si="68"/>
        <v>459.05</v>
      </c>
      <c r="P485" s="60">
        <f t="shared" si="68"/>
        <v>235413.82</v>
      </c>
      <c r="Q485" s="60">
        <f t="shared" si="68"/>
        <v>0</v>
      </c>
      <c r="R485" s="60">
        <f t="shared" si="68"/>
        <v>0</v>
      </c>
      <c r="S485" s="60">
        <f t="shared" si="68"/>
        <v>0</v>
      </c>
      <c r="T485" s="60">
        <f t="shared" si="68"/>
        <v>0</v>
      </c>
      <c r="U485" s="60">
        <f t="shared" si="68"/>
        <v>0</v>
      </c>
      <c r="V485" s="60">
        <f t="shared" si="68"/>
        <v>0</v>
      </c>
      <c r="W485" s="60">
        <f t="shared" si="68"/>
        <v>0</v>
      </c>
      <c r="X485" s="60">
        <f t="shared" si="68"/>
        <v>0</v>
      </c>
      <c r="Y485" s="60">
        <f t="shared" si="68"/>
        <v>0</v>
      </c>
      <c r="Z485" s="60">
        <f t="shared" si="68"/>
        <v>0</v>
      </c>
      <c r="AA485" s="60">
        <f t="shared" si="68"/>
        <v>0</v>
      </c>
      <c r="AB485" s="60">
        <f t="shared" si="68"/>
        <v>0</v>
      </c>
      <c r="AC485" s="60">
        <f t="shared" si="68"/>
        <v>245927.35</v>
      </c>
      <c r="AD485" s="60">
        <f t="shared" si="68"/>
        <v>446511.6</v>
      </c>
      <c r="AE485" s="60">
        <f t="shared" si="68"/>
        <v>0</v>
      </c>
      <c r="AF485" s="54" t="s">
        <v>701</v>
      </c>
      <c r="AG485" s="54" t="s">
        <v>701</v>
      </c>
      <c r="AH485" s="55" t="s">
        <v>701</v>
      </c>
    </row>
    <row r="486" spans="1:34" ht="61.5" x14ac:dyDescent="0.85">
      <c r="A486" s="7">
        <v>1</v>
      </c>
      <c r="B486" s="59">
        <f>SUBTOTAL(103,$A$22:A486)</f>
        <v>416</v>
      </c>
      <c r="C486" s="160" t="s">
        <v>133</v>
      </c>
      <c r="D486" s="60">
        <f t="shared" ref="D486:D493" si="69">E486+F486+G486+H486+I486+J486+L486+N486+P486+R486+T486+U486+V486+W486+X486+Y486+Z486+AA486+AB486+AC486+AD486+AE486</f>
        <v>2050029.61</v>
      </c>
      <c r="E486" s="60">
        <v>0</v>
      </c>
      <c r="F486" s="60">
        <v>0</v>
      </c>
      <c r="G486" s="60">
        <v>0</v>
      </c>
      <c r="H486" s="60">
        <v>0</v>
      </c>
      <c r="I486" s="60">
        <v>0</v>
      </c>
      <c r="J486" s="60">
        <v>0</v>
      </c>
      <c r="K486" s="168">
        <v>0</v>
      </c>
      <c r="L486" s="60">
        <v>0</v>
      </c>
      <c r="M486" s="62">
        <v>1029.8800000000001</v>
      </c>
      <c r="N486" s="62">
        <v>2021675.61</v>
      </c>
      <c r="O486" s="60">
        <v>0</v>
      </c>
      <c r="P486" s="60">
        <v>0</v>
      </c>
      <c r="Q486" s="60">
        <v>0</v>
      </c>
      <c r="R486" s="60">
        <v>0</v>
      </c>
      <c r="S486" s="60">
        <v>0</v>
      </c>
      <c r="T486" s="60">
        <v>0</v>
      </c>
      <c r="U486" s="60">
        <v>0</v>
      </c>
      <c r="V486" s="60">
        <v>0</v>
      </c>
      <c r="W486" s="60">
        <v>0</v>
      </c>
      <c r="X486" s="60">
        <v>0</v>
      </c>
      <c r="Y486" s="60">
        <v>0</v>
      </c>
      <c r="Z486" s="60">
        <v>0</v>
      </c>
      <c r="AA486" s="60">
        <v>0</v>
      </c>
      <c r="AB486" s="60">
        <v>0</v>
      </c>
      <c r="AC486" s="62">
        <v>28354</v>
      </c>
      <c r="AD486" s="60">
        <v>0</v>
      </c>
      <c r="AE486" s="60">
        <v>0</v>
      </c>
      <c r="AF486" s="170" t="s">
        <v>257</v>
      </c>
      <c r="AG486" s="170">
        <v>2020</v>
      </c>
      <c r="AH486" s="63">
        <v>2020</v>
      </c>
    </row>
    <row r="487" spans="1:34" ht="61.5" x14ac:dyDescent="0.85">
      <c r="A487" s="7">
        <v>1</v>
      </c>
      <c r="B487" s="59">
        <f>SUBTOTAL(103,$A$22:A487)</f>
        <v>417</v>
      </c>
      <c r="C487" s="160" t="s">
        <v>134</v>
      </c>
      <c r="D487" s="60">
        <f t="shared" si="69"/>
        <v>1928448.7800000003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168">
        <v>0</v>
      </c>
      <c r="L487" s="60">
        <v>0</v>
      </c>
      <c r="M487" s="62">
        <v>514.20000000000005</v>
      </c>
      <c r="N487" s="62">
        <v>1814427.36</v>
      </c>
      <c r="O487" s="60">
        <v>0</v>
      </c>
      <c r="P487" s="60">
        <v>0</v>
      </c>
      <c r="Q487" s="60">
        <v>0</v>
      </c>
      <c r="R487" s="60">
        <v>0</v>
      </c>
      <c r="S487" s="60">
        <v>0</v>
      </c>
      <c r="T487" s="60">
        <v>0</v>
      </c>
      <c r="U487" s="60">
        <v>0</v>
      </c>
      <c r="V487" s="60">
        <v>0</v>
      </c>
      <c r="W487" s="60">
        <v>0</v>
      </c>
      <c r="X487" s="60">
        <v>0</v>
      </c>
      <c r="Y487" s="60">
        <v>0</v>
      </c>
      <c r="Z487" s="60">
        <v>0</v>
      </c>
      <c r="AA487" s="60">
        <v>0</v>
      </c>
      <c r="AB487" s="60">
        <v>0</v>
      </c>
      <c r="AC487" s="62">
        <v>25447.34</v>
      </c>
      <c r="AD487" s="62">
        <v>88574.080000000002</v>
      </c>
      <c r="AE487" s="60">
        <v>0</v>
      </c>
      <c r="AF487" s="170">
        <v>2020</v>
      </c>
      <c r="AG487" s="170">
        <v>2020</v>
      </c>
      <c r="AH487" s="63">
        <v>2020</v>
      </c>
    </row>
    <row r="488" spans="1:34" ht="61.5" x14ac:dyDescent="0.85">
      <c r="A488" s="7">
        <v>1</v>
      </c>
      <c r="B488" s="59">
        <f>SUBTOTAL(103,$A$22:A488)</f>
        <v>418</v>
      </c>
      <c r="C488" s="160" t="s">
        <v>143</v>
      </c>
      <c r="D488" s="60">
        <f t="shared" si="69"/>
        <v>9931926.4399999995</v>
      </c>
      <c r="E488" s="60">
        <v>0</v>
      </c>
      <c r="F488" s="60">
        <v>0</v>
      </c>
      <c r="G488" s="60">
        <v>0</v>
      </c>
      <c r="H488" s="60">
        <v>0</v>
      </c>
      <c r="I488" s="60">
        <v>0</v>
      </c>
      <c r="J488" s="60">
        <v>0</v>
      </c>
      <c r="K488" s="168">
        <v>0</v>
      </c>
      <c r="L488" s="60">
        <v>0</v>
      </c>
      <c r="M488" s="62">
        <v>1954.34</v>
      </c>
      <c r="N488" s="62">
        <v>9639187.8300000001</v>
      </c>
      <c r="O488" s="60">
        <v>0</v>
      </c>
      <c r="P488" s="60">
        <v>0</v>
      </c>
      <c r="Q488" s="60">
        <v>0</v>
      </c>
      <c r="R488" s="60">
        <v>0</v>
      </c>
      <c r="S488" s="60">
        <v>0</v>
      </c>
      <c r="T488" s="60">
        <v>0</v>
      </c>
      <c r="U488" s="60">
        <v>0</v>
      </c>
      <c r="V488" s="60">
        <v>0</v>
      </c>
      <c r="W488" s="60">
        <v>0</v>
      </c>
      <c r="X488" s="60">
        <v>0</v>
      </c>
      <c r="Y488" s="60">
        <v>0</v>
      </c>
      <c r="Z488" s="60">
        <v>0</v>
      </c>
      <c r="AA488" s="60">
        <v>0</v>
      </c>
      <c r="AB488" s="60">
        <v>0</v>
      </c>
      <c r="AC488" s="62">
        <v>135189.60999999999</v>
      </c>
      <c r="AD488" s="62">
        <v>157549</v>
      </c>
      <c r="AE488" s="60">
        <v>0</v>
      </c>
      <c r="AF488" s="170">
        <v>2020</v>
      </c>
      <c r="AG488" s="170">
        <v>2020</v>
      </c>
      <c r="AH488" s="63">
        <v>2020</v>
      </c>
    </row>
    <row r="489" spans="1:34" ht="61.5" x14ac:dyDescent="0.85">
      <c r="A489" s="7">
        <v>1</v>
      </c>
      <c r="B489" s="59">
        <f>SUBTOTAL(103,$A$22:A489)</f>
        <v>419</v>
      </c>
      <c r="C489" s="160" t="s">
        <v>1179</v>
      </c>
      <c r="D489" s="60">
        <f t="shared" si="69"/>
        <v>29614.32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168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0">
        <v>0</v>
      </c>
      <c r="T489" s="60">
        <v>0</v>
      </c>
      <c r="U489" s="60">
        <v>0</v>
      </c>
      <c r="V489" s="60">
        <v>0</v>
      </c>
      <c r="W489" s="60">
        <v>0</v>
      </c>
      <c r="X489" s="60">
        <v>0</v>
      </c>
      <c r="Y489" s="60">
        <v>0</v>
      </c>
      <c r="Z489" s="60">
        <v>0</v>
      </c>
      <c r="AA489" s="60">
        <v>0</v>
      </c>
      <c r="AB489" s="60">
        <v>0</v>
      </c>
      <c r="AC489" s="60">
        <f>ROUND(N489*1.5%,2)</f>
        <v>0</v>
      </c>
      <c r="AD489" s="62">
        <v>29614.32</v>
      </c>
      <c r="AE489" s="60">
        <v>0</v>
      </c>
      <c r="AF489" s="170">
        <v>2020</v>
      </c>
      <c r="AG489" s="170" t="s">
        <v>257</v>
      </c>
      <c r="AH489" s="170" t="s">
        <v>257</v>
      </c>
    </row>
    <row r="490" spans="1:34" ht="61.5" x14ac:dyDescent="0.85">
      <c r="A490" s="7">
        <v>1</v>
      </c>
      <c r="B490" s="59">
        <f>SUBTOTAL(103,$A$22:A490)</f>
        <v>420</v>
      </c>
      <c r="C490" s="160" t="s">
        <v>1180</v>
      </c>
      <c r="D490" s="60">
        <f t="shared" si="69"/>
        <v>3373126.15</v>
      </c>
      <c r="E490" s="60">
        <v>0</v>
      </c>
      <c r="F490" s="60">
        <v>0</v>
      </c>
      <c r="G490" s="60">
        <v>0</v>
      </c>
      <c r="H490" s="60">
        <v>0</v>
      </c>
      <c r="I490" s="60">
        <v>0</v>
      </c>
      <c r="J490" s="60">
        <v>0</v>
      </c>
      <c r="K490" s="168">
        <v>0</v>
      </c>
      <c r="L490" s="60">
        <v>0</v>
      </c>
      <c r="M490" s="62">
        <v>835.43</v>
      </c>
      <c r="N490" s="62">
        <v>3358051.86</v>
      </c>
      <c r="O490" s="60">
        <v>0</v>
      </c>
      <c r="P490" s="60">
        <v>0</v>
      </c>
      <c r="Q490" s="60">
        <v>0</v>
      </c>
      <c r="R490" s="60">
        <v>0</v>
      </c>
      <c r="S490" s="60">
        <v>0</v>
      </c>
      <c r="T490" s="60">
        <v>0</v>
      </c>
      <c r="U490" s="60">
        <v>0</v>
      </c>
      <c r="V490" s="60">
        <v>0</v>
      </c>
      <c r="W490" s="60">
        <v>0</v>
      </c>
      <c r="X490" s="60">
        <v>0</v>
      </c>
      <c r="Y490" s="60">
        <v>0</v>
      </c>
      <c r="Z490" s="60">
        <v>0</v>
      </c>
      <c r="AA490" s="60">
        <v>0</v>
      </c>
      <c r="AB490" s="60">
        <v>0</v>
      </c>
      <c r="AC490" s="169">
        <v>15074.29</v>
      </c>
      <c r="AD490" s="60">
        <v>0</v>
      </c>
      <c r="AE490" s="60">
        <v>0</v>
      </c>
      <c r="AF490" s="170" t="s">
        <v>257</v>
      </c>
      <c r="AG490" s="170">
        <v>2020</v>
      </c>
      <c r="AH490" s="63">
        <v>2020</v>
      </c>
    </row>
    <row r="491" spans="1:34" ht="61.5" x14ac:dyDescent="0.85">
      <c r="A491" s="7">
        <v>1</v>
      </c>
      <c r="B491" s="59">
        <f>SUBTOTAL(103,$A$22:A491)</f>
        <v>421</v>
      </c>
      <c r="C491" s="160" t="s">
        <v>1181</v>
      </c>
      <c r="D491" s="60">
        <f t="shared" si="69"/>
        <v>5805618.4400000004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168">
        <v>0</v>
      </c>
      <c r="L491" s="60">
        <v>0</v>
      </c>
      <c r="M491" s="62">
        <v>1413.2</v>
      </c>
      <c r="N491" s="172">
        <v>5779673.4900000002</v>
      </c>
      <c r="O491" s="60">
        <v>0</v>
      </c>
      <c r="P491" s="60">
        <v>0</v>
      </c>
      <c r="Q491" s="60">
        <v>0</v>
      </c>
      <c r="R491" s="60">
        <v>0</v>
      </c>
      <c r="S491" s="60">
        <v>0</v>
      </c>
      <c r="T491" s="60">
        <v>0</v>
      </c>
      <c r="U491" s="60">
        <v>0</v>
      </c>
      <c r="V491" s="60">
        <v>0</v>
      </c>
      <c r="W491" s="60">
        <v>0</v>
      </c>
      <c r="X491" s="60">
        <v>0</v>
      </c>
      <c r="Y491" s="60">
        <v>0</v>
      </c>
      <c r="Z491" s="60">
        <v>0</v>
      </c>
      <c r="AA491" s="60">
        <v>0</v>
      </c>
      <c r="AB491" s="60">
        <v>0</v>
      </c>
      <c r="AC491" s="169">
        <v>25944.95</v>
      </c>
      <c r="AD491" s="60">
        <v>0</v>
      </c>
      <c r="AE491" s="60">
        <v>0</v>
      </c>
      <c r="AF491" s="170" t="s">
        <v>257</v>
      </c>
      <c r="AG491" s="170">
        <v>2020</v>
      </c>
      <c r="AH491" s="63">
        <v>2020</v>
      </c>
    </row>
    <row r="492" spans="1:34" ht="61.5" x14ac:dyDescent="0.85">
      <c r="A492" s="7">
        <v>1</v>
      </c>
      <c r="B492" s="59">
        <f>SUBTOTAL(103,$A$22:A492)</f>
        <v>422</v>
      </c>
      <c r="C492" s="160" t="s">
        <v>160</v>
      </c>
      <c r="D492" s="60">
        <f t="shared" si="69"/>
        <v>303399.58999999997</v>
      </c>
      <c r="E492" s="60">
        <v>0</v>
      </c>
      <c r="F492" s="60">
        <v>0</v>
      </c>
      <c r="G492" s="60">
        <v>0</v>
      </c>
      <c r="H492" s="60">
        <v>0</v>
      </c>
      <c r="I492" s="60">
        <v>0</v>
      </c>
      <c r="J492" s="60">
        <v>0</v>
      </c>
      <c r="K492" s="168">
        <v>0</v>
      </c>
      <c r="L492" s="60">
        <v>0</v>
      </c>
      <c r="M492" s="60">
        <v>0</v>
      </c>
      <c r="N492" s="60">
        <v>0</v>
      </c>
      <c r="O492" s="62">
        <v>459.05</v>
      </c>
      <c r="P492" s="62">
        <v>235413.82</v>
      </c>
      <c r="Q492" s="60">
        <v>0</v>
      </c>
      <c r="R492" s="60">
        <v>0</v>
      </c>
      <c r="S492" s="60">
        <v>0</v>
      </c>
      <c r="T492" s="60">
        <v>0</v>
      </c>
      <c r="U492" s="60">
        <v>0</v>
      </c>
      <c r="V492" s="60">
        <v>0</v>
      </c>
      <c r="W492" s="60">
        <v>0</v>
      </c>
      <c r="X492" s="60">
        <v>0</v>
      </c>
      <c r="Y492" s="60">
        <v>0</v>
      </c>
      <c r="Z492" s="60">
        <v>0</v>
      </c>
      <c r="AA492" s="60">
        <v>0</v>
      </c>
      <c r="AB492" s="60">
        <v>0</v>
      </c>
      <c r="AC492" s="169">
        <v>3301.68</v>
      </c>
      <c r="AD492" s="169">
        <v>64684.09</v>
      </c>
      <c r="AE492" s="60">
        <v>0</v>
      </c>
      <c r="AF492" s="170">
        <v>2020</v>
      </c>
      <c r="AG492" s="170">
        <v>2020</v>
      </c>
      <c r="AH492" s="63">
        <v>2020</v>
      </c>
    </row>
    <row r="493" spans="1:34" ht="61.5" x14ac:dyDescent="0.85">
      <c r="A493" s="7">
        <v>1</v>
      </c>
      <c r="B493" s="59">
        <f>SUBTOTAL(103,$A$22:A493)</f>
        <v>423</v>
      </c>
      <c r="C493" s="160" t="s">
        <v>1203</v>
      </c>
      <c r="D493" s="60">
        <f t="shared" si="69"/>
        <v>1018204.83</v>
      </c>
      <c r="E493" s="60">
        <v>0</v>
      </c>
      <c r="F493" s="60">
        <v>0</v>
      </c>
      <c r="G493" s="169">
        <v>899499.24</v>
      </c>
      <c r="H493" s="60">
        <v>0</v>
      </c>
      <c r="I493" s="60">
        <v>0</v>
      </c>
      <c r="J493" s="60">
        <v>0</v>
      </c>
      <c r="K493" s="168">
        <v>0</v>
      </c>
      <c r="L493" s="60">
        <v>0</v>
      </c>
      <c r="M493" s="191">
        <v>0</v>
      </c>
      <c r="N493" s="191">
        <v>0</v>
      </c>
      <c r="O493" s="60">
        <v>0</v>
      </c>
      <c r="P493" s="60">
        <v>0</v>
      </c>
      <c r="Q493" s="60">
        <v>0</v>
      </c>
      <c r="R493" s="60">
        <v>0</v>
      </c>
      <c r="S493" s="60">
        <v>0</v>
      </c>
      <c r="T493" s="60">
        <v>0</v>
      </c>
      <c r="U493" s="60">
        <v>0</v>
      </c>
      <c r="V493" s="60">
        <v>0</v>
      </c>
      <c r="W493" s="60">
        <v>0</v>
      </c>
      <c r="X493" s="60">
        <v>0</v>
      </c>
      <c r="Y493" s="60">
        <v>0</v>
      </c>
      <c r="Z493" s="60">
        <v>0</v>
      </c>
      <c r="AA493" s="60">
        <v>0</v>
      </c>
      <c r="AB493" s="60">
        <v>0</v>
      </c>
      <c r="AC493" s="169">
        <v>12615.48</v>
      </c>
      <c r="AD493" s="62">
        <v>106090.11</v>
      </c>
      <c r="AE493" s="60">
        <v>0</v>
      </c>
      <c r="AF493" s="170">
        <v>2020</v>
      </c>
      <c r="AG493" s="170">
        <v>2020</v>
      </c>
      <c r="AH493" s="63">
        <v>2020</v>
      </c>
    </row>
    <row r="494" spans="1:34" ht="61.5" x14ac:dyDescent="0.85">
      <c r="B494" s="160" t="s">
        <v>1177</v>
      </c>
      <c r="C494" s="160"/>
      <c r="D494" s="177">
        <f t="shared" ref="D494:AE494" si="70">D495</f>
        <v>1483737.75</v>
      </c>
      <c r="E494" s="60">
        <f t="shared" si="70"/>
        <v>0</v>
      </c>
      <c r="F494" s="60">
        <f t="shared" si="70"/>
        <v>0</v>
      </c>
      <c r="G494" s="60">
        <f t="shared" si="70"/>
        <v>0</v>
      </c>
      <c r="H494" s="60">
        <f t="shared" si="70"/>
        <v>0</v>
      </c>
      <c r="I494" s="60">
        <f t="shared" si="70"/>
        <v>0</v>
      </c>
      <c r="J494" s="60">
        <f t="shared" si="70"/>
        <v>0</v>
      </c>
      <c r="K494" s="168">
        <f t="shared" si="70"/>
        <v>0</v>
      </c>
      <c r="L494" s="60">
        <f t="shared" si="70"/>
        <v>0</v>
      </c>
      <c r="M494" s="60">
        <f t="shared" si="70"/>
        <v>484.49</v>
      </c>
      <c r="N494" s="60">
        <f t="shared" si="70"/>
        <v>1477107.01</v>
      </c>
      <c r="O494" s="60">
        <f t="shared" si="70"/>
        <v>0</v>
      </c>
      <c r="P494" s="60">
        <f t="shared" si="70"/>
        <v>0</v>
      </c>
      <c r="Q494" s="60">
        <f t="shared" si="70"/>
        <v>0</v>
      </c>
      <c r="R494" s="60">
        <f t="shared" si="70"/>
        <v>0</v>
      </c>
      <c r="S494" s="60">
        <f t="shared" si="70"/>
        <v>0</v>
      </c>
      <c r="T494" s="60">
        <f t="shared" si="70"/>
        <v>0</v>
      </c>
      <c r="U494" s="60">
        <f t="shared" si="70"/>
        <v>0</v>
      </c>
      <c r="V494" s="60">
        <f t="shared" si="70"/>
        <v>0</v>
      </c>
      <c r="W494" s="60">
        <f t="shared" si="70"/>
        <v>0</v>
      </c>
      <c r="X494" s="60">
        <f t="shared" si="70"/>
        <v>0</v>
      </c>
      <c r="Y494" s="60">
        <f t="shared" si="70"/>
        <v>0</v>
      </c>
      <c r="Z494" s="60">
        <f t="shared" si="70"/>
        <v>0</v>
      </c>
      <c r="AA494" s="60">
        <f t="shared" si="70"/>
        <v>0</v>
      </c>
      <c r="AB494" s="60">
        <f t="shared" si="70"/>
        <v>0</v>
      </c>
      <c r="AC494" s="60">
        <f t="shared" si="70"/>
        <v>6630.74</v>
      </c>
      <c r="AD494" s="60">
        <f t="shared" si="70"/>
        <v>0</v>
      </c>
      <c r="AE494" s="60">
        <f t="shared" si="70"/>
        <v>0</v>
      </c>
      <c r="AF494" s="54" t="s">
        <v>701</v>
      </c>
      <c r="AG494" s="54" t="s">
        <v>701</v>
      </c>
      <c r="AH494" s="55" t="s">
        <v>701</v>
      </c>
    </row>
    <row r="495" spans="1:34" ht="61.5" x14ac:dyDescent="0.85">
      <c r="A495" s="7">
        <v>1</v>
      </c>
      <c r="B495" s="59">
        <f>SUBTOTAL(103,$A$22:A495)</f>
        <v>424</v>
      </c>
      <c r="C495" s="160" t="s">
        <v>1178</v>
      </c>
      <c r="D495" s="60">
        <f>E495+F495+G495+H495+I495+J495+L495+N495+P495+R495+T495+U495+V495+W495+X495+Y495+Z495+AA495+AB495+AC495+AD495+AE495</f>
        <v>1483737.75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168">
        <v>0</v>
      </c>
      <c r="L495" s="60">
        <v>0</v>
      </c>
      <c r="M495" s="62">
        <v>484.49</v>
      </c>
      <c r="N495" s="62">
        <v>1477107.01</v>
      </c>
      <c r="O495" s="60">
        <v>0</v>
      </c>
      <c r="P495" s="60">
        <v>0</v>
      </c>
      <c r="Q495" s="60">
        <v>0</v>
      </c>
      <c r="R495" s="60">
        <v>0</v>
      </c>
      <c r="S495" s="60">
        <v>0</v>
      </c>
      <c r="T495" s="60">
        <v>0</v>
      </c>
      <c r="U495" s="60">
        <v>0</v>
      </c>
      <c r="V495" s="60">
        <v>0</v>
      </c>
      <c r="W495" s="60">
        <v>0</v>
      </c>
      <c r="X495" s="60">
        <v>0</v>
      </c>
      <c r="Y495" s="60">
        <v>0</v>
      </c>
      <c r="Z495" s="60">
        <v>0</v>
      </c>
      <c r="AA495" s="60">
        <v>0</v>
      </c>
      <c r="AB495" s="60">
        <v>0</v>
      </c>
      <c r="AC495" s="62">
        <v>6630.74</v>
      </c>
      <c r="AD495" s="60">
        <v>0</v>
      </c>
      <c r="AE495" s="60">
        <v>0</v>
      </c>
      <c r="AF495" s="170" t="s">
        <v>257</v>
      </c>
      <c r="AG495" s="170">
        <v>2020</v>
      </c>
      <c r="AH495" s="63">
        <v>2020</v>
      </c>
    </row>
    <row r="496" spans="1:34" ht="61.5" x14ac:dyDescent="0.85">
      <c r="B496" s="160" t="s">
        <v>988</v>
      </c>
      <c r="C496" s="160"/>
      <c r="D496" s="177">
        <f t="shared" ref="D496:AE496" si="71">D497</f>
        <v>446142.85</v>
      </c>
      <c r="E496" s="60">
        <f t="shared" si="71"/>
        <v>0</v>
      </c>
      <c r="F496" s="60">
        <f t="shared" si="71"/>
        <v>0</v>
      </c>
      <c r="G496" s="60">
        <f t="shared" si="71"/>
        <v>0</v>
      </c>
      <c r="H496" s="60">
        <f t="shared" si="71"/>
        <v>0</v>
      </c>
      <c r="I496" s="60">
        <f t="shared" si="71"/>
        <v>0</v>
      </c>
      <c r="J496" s="60">
        <f t="shared" si="71"/>
        <v>0</v>
      </c>
      <c r="K496" s="168">
        <f t="shared" si="71"/>
        <v>0</v>
      </c>
      <c r="L496" s="60">
        <f t="shared" si="71"/>
        <v>0</v>
      </c>
      <c r="M496" s="60">
        <f t="shared" si="71"/>
        <v>0</v>
      </c>
      <c r="N496" s="60">
        <f t="shared" si="71"/>
        <v>0</v>
      </c>
      <c r="O496" s="60">
        <f t="shared" si="71"/>
        <v>0</v>
      </c>
      <c r="P496" s="60">
        <f t="shared" si="71"/>
        <v>0</v>
      </c>
      <c r="Q496" s="60">
        <f t="shared" si="71"/>
        <v>53.53</v>
      </c>
      <c r="R496" s="60">
        <f t="shared" si="71"/>
        <v>334396.76</v>
      </c>
      <c r="S496" s="60">
        <f t="shared" si="71"/>
        <v>0</v>
      </c>
      <c r="T496" s="60">
        <f t="shared" si="71"/>
        <v>0</v>
      </c>
      <c r="U496" s="60">
        <f t="shared" si="71"/>
        <v>0</v>
      </c>
      <c r="V496" s="60">
        <f t="shared" si="71"/>
        <v>0</v>
      </c>
      <c r="W496" s="60">
        <f t="shared" si="71"/>
        <v>0</v>
      </c>
      <c r="X496" s="60">
        <f t="shared" si="71"/>
        <v>0</v>
      </c>
      <c r="Y496" s="60">
        <f t="shared" si="71"/>
        <v>0</v>
      </c>
      <c r="Z496" s="60">
        <f t="shared" si="71"/>
        <v>0</v>
      </c>
      <c r="AA496" s="60">
        <f t="shared" si="71"/>
        <v>0</v>
      </c>
      <c r="AB496" s="60">
        <f t="shared" si="71"/>
        <v>0</v>
      </c>
      <c r="AC496" s="60">
        <f t="shared" si="71"/>
        <v>4689.91</v>
      </c>
      <c r="AD496" s="60">
        <f t="shared" si="71"/>
        <v>107056.18</v>
      </c>
      <c r="AE496" s="60">
        <f t="shared" si="71"/>
        <v>0</v>
      </c>
      <c r="AF496" s="54" t="s">
        <v>701</v>
      </c>
      <c r="AG496" s="54" t="s">
        <v>701</v>
      </c>
      <c r="AH496" s="55" t="s">
        <v>701</v>
      </c>
    </row>
    <row r="497" spans="1:34" ht="61.5" x14ac:dyDescent="0.85">
      <c r="A497" s="7">
        <v>1</v>
      </c>
      <c r="B497" s="59">
        <f>SUBTOTAL(103,$A$22:A497)</f>
        <v>425</v>
      </c>
      <c r="C497" s="160" t="s">
        <v>976</v>
      </c>
      <c r="D497" s="60">
        <f>E497+F497+G497+H497+I497+J497+L497+N497+P497+R497+T497+U497+V497+W497+X497+Y497+Z497+AA497+AB497+AC497+AD497+AE497</f>
        <v>446142.85</v>
      </c>
      <c r="E497" s="60">
        <v>0</v>
      </c>
      <c r="F497" s="60">
        <v>0</v>
      </c>
      <c r="G497" s="60">
        <v>0</v>
      </c>
      <c r="H497" s="60">
        <v>0</v>
      </c>
      <c r="I497" s="60">
        <v>0</v>
      </c>
      <c r="J497" s="60">
        <v>0</v>
      </c>
      <c r="K497" s="168">
        <v>0</v>
      </c>
      <c r="L497" s="60">
        <v>0</v>
      </c>
      <c r="M497" s="60">
        <v>0</v>
      </c>
      <c r="N497" s="60">
        <v>0</v>
      </c>
      <c r="O497" s="60">
        <v>0</v>
      </c>
      <c r="P497" s="60">
        <v>0</v>
      </c>
      <c r="Q497" s="62">
        <v>53.53</v>
      </c>
      <c r="R497" s="62">
        <v>334396.76</v>
      </c>
      <c r="S497" s="60">
        <v>0</v>
      </c>
      <c r="T497" s="60">
        <v>0</v>
      </c>
      <c r="U497" s="60">
        <v>0</v>
      </c>
      <c r="V497" s="60">
        <v>0</v>
      </c>
      <c r="W497" s="60">
        <v>0</v>
      </c>
      <c r="X497" s="60">
        <v>0</v>
      </c>
      <c r="Y497" s="60">
        <v>0</v>
      </c>
      <c r="Z497" s="60">
        <v>0</v>
      </c>
      <c r="AA497" s="60">
        <v>0</v>
      </c>
      <c r="AB497" s="60">
        <v>0</v>
      </c>
      <c r="AC497" s="62">
        <v>4689.91</v>
      </c>
      <c r="AD497" s="62">
        <v>107056.18</v>
      </c>
      <c r="AE497" s="60">
        <v>0</v>
      </c>
      <c r="AF497" s="170">
        <v>2020</v>
      </c>
      <c r="AG497" s="170">
        <v>2020</v>
      </c>
      <c r="AH497" s="63">
        <v>2020</v>
      </c>
    </row>
    <row r="498" spans="1:34" ht="61.5" x14ac:dyDescent="0.85">
      <c r="B498" s="160" t="s">
        <v>827</v>
      </c>
      <c r="C498" s="176"/>
      <c r="D498" s="177">
        <f t="shared" ref="D498:AE498" si="72">SUM(D499:D502)</f>
        <v>3380450.98</v>
      </c>
      <c r="E498" s="60">
        <f t="shared" si="72"/>
        <v>0</v>
      </c>
      <c r="F498" s="60">
        <f t="shared" si="72"/>
        <v>0</v>
      </c>
      <c r="G498" s="60">
        <f t="shared" si="72"/>
        <v>0</v>
      </c>
      <c r="H498" s="60">
        <f t="shared" si="72"/>
        <v>0</v>
      </c>
      <c r="I498" s="60">
        <f t="shared" si="72"/>
        <v>0</v>
      </c>
      <c r="J498" s="60">
        <f t="shared" si="72"/>
        <v>0</v>
      </c>
      <c r="K498" s="168">
        <f t="shared" si="72"/>
        <v>0</v>
      </c>
      <c r="L498" s="60">
        <f t="shared" si="72"/>
        <v>0</v>
      </c>
      <c r="M498" s="60">
        <f t="shared" si="72"/>
        <v>785</v>
      </c>
      <c r="N498" s="60">
        <f t="shared" si="72"/>
        <v>3380450.98</v>
      </c>
      <c r="O498" s="60">
        <f t="shared" si="72"/>
        <v>0</v>
      </c>
      <c r="P498" s="60">
        <f t="shared" si="72"/>
        <v>0</v>
      </c>
      <c r="Q498" s="60">
        <f t="shared" si="72"/>
        <v>0</v>
      </c>
      <c r="R498" s="60">
        <f t="shared" si="72"/>
        <v>0</v>
      </c>
      <c r="S498" s="60">
        <f t="shared" si="72"/>
        <v>0</v>
      </c>
      <c r="T498" s="60">
        <f t="shared" si="72"/>
        <v>0</v>
      </c>
      <c r="U498" s="60">
        <f t="shared" si="72"/>
        <v>0</v>
      </c>
      <c r="V498" s="60">
        <f t="shared" si="72"/>
        <v>0</v>
      </c>
      <c r="W498" s="60">
        <f t="shared" si="72"/>
        <v>0</v>
      </c>
      <c r="X498" s="60">
        <f t="shared" si="72"/>
        <v>0</v>
      </c>
      <c r="Y498" s="60">
        <f t="shared" si="72"/>
        <v>0</v>
      </c>
      <c r="Z498" s="60">
        <f t="shared" si="72"/>
        <v>0</v>
      </c>
      <c r="AA498" s="60">
        <f t="shared" si="72"/>
        <v>0</v>
      </c>
      <c r="AB498" s="60">
        <f t="shared" si="72"/>
        <v>0</v>
      </c>
      <c r="AC498" s="60">
        <f t="shared" si="72"/>
        <v>0</v>
      </c>
      <c r="AD498" s="60">
        <f t="shared" si="72"/>
        <v>0</v>
      </c>
      <c r="AE498" s="60">
        <f t="shared" si="72"/>
        <v>0</v>
      </c>
      <c r="AF498" s="54" t="s">
        <v>701</v>
      </c>
      <c r="AG498" s="54" t="s">
        <v>701</v>
      </c>
      <c r="AH498" s="55" t="s">
        <v>701</v>
      </c>
    </row>
    <row r="499" spans="1:34" ht="61.5" x14ac:dyDescent="0.85">
      <c r="A499" s="7">
        <v>1</v>
      </c>
      <c r="B499" s="59">
        <f>SUBTOTAL(103,$A$22:A499)</f>
        <v>426</v>
      </c>
      <c r="C499" s="160" t="s">
        <v>1574</v>
      </c>
      <c r="D499" s="60">
        <f>E499+F499+G499+H499+I499+J499+L499+N499+P499+R499+T499+U499+V499+W499+X499+Y499+Z499+AA499+AB499+AC499+AD499+AE499</f>
        <v>824971.76</v>
      </c>
      <c r="E499" s="60">
        <v>0</v>
      </c>
      <c r="F499" s="60">
        <v>0</v>
      </c>
      <c r="G499" s="60">
        <v>0</v>
      </c>
      <c r="H499" s="60">
        <v>0</v>
      </c>
      <c r="I499" s="60">
        <v>0</v>
      </c>
      <c r="J499" s="60">
        <v>0</v>
      </c>
      <c r="K499" s="168">
        <v>0</v>
      </c>
      <c r="L499" s="60">
        <v>0</v>
      </c>
      <c r="M499" s="60">
        <v>205</v>
      </c>
      <c r="N499" s="60">
        <v>824971.76</v>
      </c>
      <c r="O499" s="60">
        <v>0</v>
      </c>
      <c r="P499" s="60">
        <v>0</v>
      </c>
      <c r="Q499" s="60">
        <v>0</v>
      </c>
      <c r="R499" s="60">
        <v>0</v>
      </c>
      <c r="S499" s="60">
        <v>0</v>
      </c>
      <c r="T499" s="60">
        <v>0</v>
      </c>
      <c r="U499" s="60">
        <v>0</v>
      </c>
      <c r="V499" s="60">
        <v>0</v>
      </c>
      <c r="W499" s="60">
        <v>0</v>
      </c>
      <c r="X499" s="60">
        <v>0</v>
      </c>
      <c r="Y499" s="60">
        <v>0</v>
      </c>
      <c r="Z499" s="60">
        <v>0</v>
      </c>
      <c r="AA499" s="60">
        <v>0</v>
      </c>
      <c r="AB499" s="60">
        <v>0</v>
      </c>
      <c r="AC499" s="60">
        <v>0</v>
      </c>
      <c r="AD499" s="60">
        <v>0</v>
      </c>
      <c r="AE499" s="60">
        <v>0</v>
      </c>
      <c r="AF499" s="170" t="s">
        <v>257</v>
      </c>
      <c r="AG499" s="170">
        <v>2020</v>
      </c>
      <c r="AH499" s="170" t="s">
        <v>257</v>
      </c>
    </row>
    <row r="500" spans="1:34" ht="61.5" x14ac:dyDescent="0.85">
      <c r="A500" s="7">
        <v>1</v>
      </c>
      <c r="B500" s="59">
        <f>SUBTOTAL(103,$A$22:A500)</f>
        <v>427</v>
      </c>
      <c r="C500" s="160" t="s">
        <v>1575</v>
      </c>
      <c r="D500" s="60">
        <f>E500+F500+G500+H500+I500+J500+L500+N500+P500+R500+T500+U500+V500+W500+X500+Y500+Z500+AA500+AB500+AC500+AD500+AE500</f>
        <v>848636.41</v>
      </c>
      <c r="E500" s="60">
        <v>0</v>
      </c>
      <c r="F500" s="60">
        <v>0</v>
      </c>
      <c r="G500" s="60">
        <v>0</v>
      </c>
      <c r="H500" s="60">
        <v>0</v>
      </c>
      <c r="I500" s="60">
        <v>0</v>
      </c>
      <c r="J500" s="60">
        <v>0</v>
      </c>
      <c r="K500" s="168">
        <v>0</v>
      </c>
      <c r="L500" s="60">
        <v>0</v>
      </c>
      <c r="M500" s="60">
        <v>194.1</v>
      </c>
      <c r="N500" s="60">
        <v>848636.41</v>
      </c>
      <c r="O500" s="60">
        <v>0</v>
      </c>
      <c r="P500" s="60">
        <v>0</v>
      </c>
      <c r="Q500" s="60">
        <v>0</v>
      </c>
      <c r="R500" s="60">
        <v>0</v>
      </c>
      <c r="S500" s="60">
        <v>0</v>
      </c>
      <c r="T500" s="60">
        <v>0</v>
      </c>
      <c r="U500" s="60">
        <v>0</v>
      </c>
      <c r="V500" s="60">
        <v>0</v>
      </c>
      <c r="W500" s="60">
        <v>0</v>
      </c>
      <c r="X500" s="60">
        <v>0</v>
      </c>
      <c r="Y500" s="60">
        <v>0</v>
      </c>
      <c r="Z500" s="60">
        <v>0</v>
      </c>
      <c r="AA500" s="60">
        <v>0</v>
      </c>
      <c r="AB500" s="60">
        <v>0</v>
      </c>
      <c r="AC500" s="60">
        <v>0</v>
      </c>
      <c r="AD500" s="60">
        <v>0</v>
      </c>
      <c r="AE500" s="60">
        <v>0</v>
      </c>
      <c r="AF500" s="170" t="s">
        <v>257</v>
      </c>
      <c r="AG500" s="170">
        <v>2020</v>
      </c>
      <c r="AH500" s="170" t="s">
        <v>257</v>
      </c>
    </row>
    <row r="501" spans="1:34" ht="61.5" x14ac:dyDescent="0.85">
      <c r="A501" s="7">
        <v>1</v>
      </c>
      <c r="B501" s="59">
        <f>SUBTOTAL(103,$A$22:A501)</f>
        <v>428</v>
      </c>
      <c r="C501" s="160" t="s">
        <v>1576</v>
      </c>
      <c r="D501" s="60">
        <f>E501+F501+G501+H501+I501+J501+L501+N501+P501+R501+T501+U501+V501+W501+X501+Y501+Z501+AA501+AB501+AC501+AD501+AE501</f>
        <v>854226.54</v>
      </c>
      <c r="E501" s="60">
        <v>0</v>
      </c>
      <c r="F501" s="60">
        <v>0</v>
      </c>
      <c r="G501" s="60">
        <v>0</v>
      </c>
      <c r="H501" s="60">
        <v>0</v>
      </c>
      <c r="I501" s="60">
        <v>0</v>
      </c>
      <c r="J501" s="60">
        <v>0</v>
      </c>
      <c r="K501" s="168">
        <v>0</v>
      </c>
      <c r="L501" s="60">
        <v>0</v>
      </c>
      <c r="M501" s="60">
        <v>193.2</v>
      </c>
      <c r="N501" s="60">
        <v>854226.54</v>
      </c>
      <c r="O501" s="60">
        <v>0</v>
      </c>
      <c r="P501" s="60">
        <v>0</v>
      </c>
      <c r="Q501" s="60">
        <v>0</v>
      </c>
      <c r="R501" s="60">
        <v>0</v>
      </c>
      <c r="S501" s="60">
        <v>0</v>
      </c>
      <c r="T501" s="60">
        <v>0</v>
      </c>
      <c r="U501" s="60">
        <v>0</v>
      </c>
      <c r="V501" s="60">
        <v>0</v>
      </c>
      <c r="W501" s="60">
        <v>0</v>
      </c>
      <c r="X501" s="60">
        <v>0</v>
      </c>
      <c r="Y501" s="60">
        <v>0</v>
      </c>
      <c r="Z501" s="60">
        <v>0</v>
      </c>
      <c r="AA501" s="60">
        <v>0</v>
      </c>
      <c r="AB501" s="60">
        <v>0</v>
      </c>
      <c r="AC501" s="60">
        <v>0</v>
      </c>
      <c r="AD501" s="60">
        <v>0</v>
      </c>
      <c r="AE501" s="60">
        <v>0</v>
      </c>
      <c r="AF501" s="170" t="s">
        <v>257</v>
      </c>
      <c r="AG501" s="170">
        <v>2020</v>
      </c>
      <c r="AH501" s="170" t="s">
        <v>257</v>
      </c>
    </row>
    <row r="502" spans="1:34" ht="61.5" x14ac:dyDescent="0.85">
      <c r="A502" s="7">
        <v>1</v>
      </c>
      <c r="B502" s="59">
        <f>SUBTOTAL(103,$A$22:A502)</f>
        <v>429</v>
      </c>
      <c r="C502" s="160" t="s">
        <v>1573</v>
      </c>
      <c r="D502" s="60">
        <f>E502+F502+G502+H502+I502+J502+L502+N502+P502+R502+T502+U502+V502+W502+X502+Y502+Z502+AA502+AB502+AC502+AD502+AE502</f>
        <v>852616.27</v>
      </c>
      <c r="E502" s="60">
        <v>0</v>
      </c>
      <c r="F502" s="60">
        <v>0</v>
      </c>
      <c r="G502" s="60">
        <v>0</v>
      </c>
      <c r="H502" s="60">
        <v>0</v>
      </c>
      <c r="I502" s="60">
        <v>0</v>
      </c>
      <c r="J502" s="60">
        <v>0</v>
      </c>
      <c r="K502" s="168">
        <v>0</v>
      </c>
      <c r="L502" s="60">
        <v>0</v>
      </c>
      <c r="M502" s="60">
        <v>192.7</v>
      </c>
      <c r="N502" s="60">
        <v>852616.27</v>
      </c>
      <c r="O502" s="60">
        <v>0</v>
      </c>
      <c r="P502" s="60">
        <v>0</v>
      </c>
      <c r="Q502" s="60">
        <v>0</v>
      </c>
      <c r="R502" s="60">
        <v>0</v>
      </c>
      <c r="S502" s="60">
        <v>0</v>
      </c>
      <c r="T502" s="60">
        <v>0</v>
      </c>
      <c r="U502" s="60">
        <v>0</v>
      </c>
      <c r="V502" s="60">
        <v>0</v>
      </c>
      <c r="W502" s="60">
        <v>0</v>
      </c>
      <c r="X502" s="60">
        <v>0</v>
      </c>
      <c r="Y502" s="60">
        <v>0</v>
      </c>
      <c r="Z502" s="60">
        <v>0</v>
      </c>
      <c r="AA502" s="60">
        <v>0</v>
      </c>
      <c r="AB502" s="60">
        <v>0</v>
      </c>
      <c r="AC502" s="60">
        <v>0</v>
      </c>
      <c r="AD502" s="60">
        <v>0</v>
      </c>
      <c r="AE502" s="60">
        <v>0</v>
      </c>
      <c r="AF502" s="170" t="s">
        <v>257</v>
      </c>
      <c r="AG502" s="170">
        <v>2020</v>
      </c>
      <c r="AH502" s="63" t="s">
        <v>257</v>
      </c>
    </row>
    <row r="503" spans="1:34" ht="61.5" x14ac:dyDescent="0.85">
      <c r="B503" s="160" t="s">
        <v>799</v>
      </c>
      <c r="C503" s="176"/>
      <c r="D503" s="177">
        <f t="shared" ref="D503:AE503" si="73">SUM(D504:D508)</f>
        <v>7738017.7799999993</v>
      </c>
      <c r="E503" s="60">
        <f t="shared" si="73"/>
        <v>0</v>
      </c>
      <c r="F503" s="60">
        <f t="shared" si="73"/>
        <v>0</v>
      </c>
      <c r="G503" s="60">
        <f t="shared" si="73"/>
        <v>0</v>
      </c>
      <c r="H503" s="60">
        <f t="shared" si="73"/>
        <v>0</v>
      </c>
      <c r="I503" s="60">
        <f t="shared" si="73"/>
        <v>0</v>
      </c>
      <c r="J503" s="60">
        <f t="shared" si="73"/>
        <v>0</v>
      </c>
      <c r="K503" s="168">
        <f t="shared" si="73"/>
        <v>0</v>
      </c>
      <c r="L503" s="60">
        <f t="shared" si="73"/>
        <v>0</v>
      </c>
      <c r="M503" s="60">
        <f t="shared" si="73"/>
        <v>1553.2</v>
      </c>
      <c r="N503" s="60">
        <f t="shared" si="73"/>
        <v>5380395.1500000004</v>
      </c>
      <c r="O503" s="60">
        <f t="shared" si="73"/>
        <v>0</v>
      </c>
      <c r="P503" s="60">
        <f t="shared" si="73"/>
        <v>0</v>
      </c>
      <c r="Q503" s="60">
        <f t="shared" si="73"/>
        <v>925.06</v>
      </c>
      <c r="R503" s="60">
        <f t="shared" si="73"/>
        <v>2149929.41</v>
      </c>
      <c r="S503" s="60">
        <f t="shared" si="73"/>
        <v>0</v>
      </c>
      <c r="T503" s="60">
        <f t="shared" si="73"/>
        <v>0</v>
      </c>
      <c r="U503" s="60">
        <f t="shared" si="73"/>
        <v>0</v>
      </c>
      <c r="V503" s="60">
        <f t="shared" si="73"/>
        <v>0</v>
      </c>
      <c r="W503" s="60">
        <f t="shared" si="73"/>
        <v>0</v>
      </c>
      <c r="X503" s="60">
        <f t="shared" si="73"/>
        <v>0</v>
      </c>
      <c r="Y503" s="60">
        <f t="shared" si="73"/>
        <v>0</v>
      </c>
      <c r="Z503" s="60">
        <f t="shared" si="73"/>
        <v>0</v>
      </c>
      <c r="AA503" s="60">
        <f t="shared" si="73"/>
        <v>0</v>
      </c>
      <c r="AB503" s="60">
        <f t="shared" si="73"/>
        <v>0</v>
      </c>
      <c r="AC503" s="60">
        <f t="shared" si="73"/>
        <v>45614.31</v>
      </c>
      <c r="AD503" s="60">
        <f t="shared" si="73"/>
        <v>162078.90999999997</v>
      </c>
      <c r="AE503" s="60">
        <f t="shared" si="73"/>
        <v>0</v>
      </c>
      <c r="AF503" s="54" t="s">
        <v>701</v>
      </c>
      <c r="AG503" s="54" t="s">
        <v>701</v>
      </c>
      <c r="AH503" s="55" t="s">
        <v>701</v>
      </c>
    </row>
    <row r="504" spans="1:34" ht="61.5" x14ac:dyDescent="0.85">
      <c r="A504" s="7">
        <v>1</v>
      </c>
      <c r="B504" s="59">
        <f>SUBTOTAL(103,$A$22:A504)</f>
        <v>430</v>
      </c>
      <c r="C504" s="160" t="s">
        <v>87</v>
      </c>
      <c r="D504" s="60">
        <f>E504+F504+G504+H504+I504+J504+L504+N504+P504+R504+T504+U504+V504+W504+X504+Y504+Z504+AA504+AB504+AC504+AD504+AE504</f>
        <v>2421334.88</v>
      </c>
      <c r="E504" s="60">
        <v>0</v>
      </c>
      <c r="F504" s="60">
        <v>0</v>
      </c>
      <c r="G504" s="60">
        <v>0</v>
      </c>
      <c r="H504" s="60">
        <v>0</v>
      </c>
      <c r="I504" s="60">
        <v>0</v>
      </c>
      <c r="J504" s="60">
        <v>0</v>
      </c>
      <c r="K504" s="168">
        <v>0</v>
      </c>
      <c r="L504" s="60">
        <v>0</v>
      </c>
      <c r="M504" s="62">
        <v>629</v>
      </c>
      <c r="N504" s="62">
        <v>2325578</v>
      </c>
      <c r="O504" s="60">
        <v>0</v>
      </c>
      <c r="P504" s="60">
        <v>0</v>
      </c>
      <c r="Q504" s="60">
        <v>0</v>
      </c>
      <c r="R504" s="60">
        <v>0</v>
      </c>
      <c r="S504" s="60">
        <v>0</v>
      </c>
      <c r="T504" s="60">
        <v>0</v>
      </c>
      <c r="U504" s="60">
        <v>0</v>
      </c>
      <c r="V504" s="60">
        <v>0</v>
      </c>
      <c r="W504" s="60">
        <v>0</v>
      </c>
      <c r="X504" s="60">
        <v>0</v>
      </c>
      <c r="Y504" s="60">
        <v>0</v>
      </c>
      <c r="Z504" s="60">
        <v>0</v>
      </c>
      <c r="AA504" s="60">
        <v>0</v>
      </c>
      <c r="AB504" s="60">
        <v>0</v>
      </c>
      <c r="AC504" s="62">
        <v>14999.98</v>
      </c>
      <c r="AD504" s="62">
        <v>80756.899999999994</v>
      </c>
      <c r="AE504" s="60">
        <v>0</v>
      </c>
      <c r="AF504" s="170">
        <v>2020</v>
      </c>
      <c r="AG504" s="170">
        <v>2020</v>
      </c>
      <c r="AH504" s="63">
        <v>2020</v>
      </c>
    </row>
    <row r="505" spans="1:34" ht="61.5" x14ac:dyDescent="0.85">
      <c r="A505" s="7">
        <v>1</v>
      </c>
      <c r="B505" s="59">
        <f>SUBTOTAL(103,$A$22:A505)</f>
        <v>431</v>
      </c>
      <c r="C505" s="160" t="s">
        <v>88</v>
      </c>
      <c r="D505" s="60">
        <f>E505+F505+G505+H505+I505+J505+L505+N505+P505+R505+T505+U505+V505+W505+X505+Y505+Z505+AA505+AB505+AC505+AD505+AE505</f>
        <v>1656413.77</v>
      </c>
      <c r="E505" s="60">
        <v>0</v>
      </c>
      <c r="F505" s="60">
        <v>0</v>
      </c>
      <c r="G505" s="60">
        <v>0</v>
      </c>
      <c r="H505" s="60">
        <v>0</v>
      </c>
      <c r="I505" s="60">
        <v>0</v>
      </c>
      <c r="J505" s="60">
        <v>0</v>
      </c>
      <c r="K505" s="168">
        <v>0</v>
      </c>
      <c r="L505" s="60">
        <v>0</v>
      </c>
      <c r="M505" s="60">
        <v>0</v>
      </c>
      <c r="N505" s="60">
        <v>0</v>
      </c>
      <c r="O505" s="60">
        <v>0</v>
      </c>
      <c r="P505" s="60">
        <v>0</v>
      </c>
      <c r="Q505" s="62">
        <v>486.31</v>
      </c>
      <c r="R505" s="169">
        <v>1647382</v>
      </c>
      <c r="S505" s="60">
        <v>0</v>
      </c>
      <c r="T505" s="60">
        <v>0</v>
      </c>
      <c r="U505" s="60">
        <v>0</v>
      </c>
      <c r="V505" s="60">
        <v>0</v>
      </c>
      <c r="W505" s="60">
        <v>0</v>
      </c>
      <c r="X505" s="60">
        <v>0</v>
      </c>
      <c r="Y505" s="60">
        <v>0</v>
      </c>
      <c r="Z505" s="60">
        <v>0</v>
      </c>
      <c r="AA505" s="60">
        <v>0</v>
      </c>
      <c r="AB505" s="60">
        <v>0</v>
      </c>
      <c r="AC505" s="62">
        <v>9031.77</v>
      </c>
      <c r="AD505" s="60">
        <v>0</v>
      </c>
      <c r="AE505" s="60">
        <v>0</v>
      </c>
      <c r="AF505" s="170" t="s">
        <v>257</v>
      </c>
      <c r="AG505" s="170">
        <v>2020</v>
      </c>
      <c r="AH505" s="63">
        <v>2020</v>
      </c>
    </row>
    <row r="506" spans="1:34" ht="61.5" x14ac:dyDescent="0.85">
      <c r="A506" s="7">
        <v>1</v>
      </c>
      <c r="B506" s="59">
        <f>SUBTOTAL(103,$A$22:A506)</f>
        <v>432</v>
      </c>
      <c r="C506" s="160" t="s">
        <v>1184</v>
      </c>
      <c r="D506" s="60">
        <f>E506+F506+G506+H506+I506+J506+L506+N506+P506+R506+T506+U506+V506+W506+X506+Y506+Z506+AA506+AB506+AC506+AD506+AE506</f>
        <v>507522.62999999995</v>
      </c>
      <c r="E506" s="60">
        <v>0</v>
      </c>
      <c r="F506" s="60">
        <v>0</v>
      </c>
      <c r="G506" s="60">
        <v>0</v>
      </c>
      <c r="H506" s="60">
        <v>0</v>
      </c>
      <c r="I506" s="60">
        <v>0</v>
      </c>
      <c r="J506" s="60">
        <v>0</v>
      </c>
      <c r="K506" s="168">
        <v>0</v>
      </c>
      <c r="L506" s="60">
        <v>0</v>
      </c>
      <c r="M506" s="60">
        <v>0</v>
      </c>
      <c r="N506" s="60">
        <v>0</v>
      </c>
      <c r="O506" s="60">
        <v>0</v>
      </c>
      <c r="P506" s="60">
        <v>0</v>
      </c>
      <c r="Q506" s="62">
        <v>438.75</v>
      </c>
      <c r="R506" s="62">
        <v>502547.41</v>
      </c>
      <c r="S506" s="60">
        <v>0</v>
      </c>
      <c r="T506" s="60">
        <v>0</v>
      </c>
      <c r="U506" s="60">
        <v>0</v>
      </c>
      <c r="V506" s="60">
        <v>0</v>
      </c>
      <c r="W506" s="60">
        <v>0</v>
      </c>
      <c r="X506" s="60">
        <v>0</v>
      </c>
      <c r="Y506" s="60">
        <v>0</v>
      </c>
      <c r="Z506" s="60">
        <v>0</v>
      </c>
      <c r="AA506" s="60">
        <v>0</v>
      </c>
      <c r="AB506" s="60">
        <v>0</v>
      </c>
      <c r="AC506" s="62">
        <v>4975.22</v>
      </c>
      <c r="AD506" s="60">
        <v>0</v>
      </c>
      <c r="AE506" s="60">
        <v>0</v>
      </c>
      <c r="AF506" s="170" t="s">
        <v>257</v>
      </c>
      <c r="AG506" s="170">
        <v>2020</v>
      </c>
      <c r="AH506" s="63">
        <v>2020</v>
      </c>
    </row>
    <row r="507" spans="1:34" ht="61.5" x14ac:dyDescent="0.85">
      <c r="A507" s="7">
        <v>1</v>
      </c>
      <c r="B507" s="59">
        <f>SUBTOTAL(103,$A$22:A507)</f>
        <v>433</v>
      </c>
      <c r="C507" s="160" t="s">
        <v>1185</v>
      </c>
      <c r="D507" s="60">
        <f>E507+F507+G507+H507+I507+J507+L507+N507+P507+R507+T507+U507+V507+W507+X507+Y507+Z507+AA507+AB507+AC507+AD507+AE507</f>
        <v>81322.009999999995</v>
      </c>
      <c r="E507" s="60">
        <v>0</v>
      </c>
      <c r="F507" s="60">
        <v>0</v>
      </c>
      <c r="G507" s="60">
        <v>0</v>
      </c>
      <c r="H507" s="60">
        <v>0</v>
      </c>
      <c r="I507" s="60">
        <v>0</v>
      </c>
      <c r="J507" s="60">
        <v>0</v>
      </c>
      <c r="K507" s="168">
        <v>0</v>
      </c>
      <c r="L507" s="60">
        <v>0</v>
      </c>
      <c r="M507" s="60">
        <v>0</v>
      </c>
      <c r="N507" s="60">
        <v>0</v>
      </c>
      <c r="O507" s="60">
        <v>0</v>
      </c>
      <c r="P507" s="60">
        <v>0</v>
      </c>
      <c r="Q507" s="60">
        <v>0</v>
      </c>
      <c r="R507" s="60">
        <v>0</v>
      </c>
      <c r="S507" s="60">
        <v>0</v>
      </c>
      <c r="T507" s="60">
        <v>0</v>
      </c>
      <c r="U507" s="60">
        <v>0</v>
      </c>
      <c r="V507" s="60">
        <v>0</v>
      </c>
      <c r="W507" s="60">
        <v>0</v>
      </c>
      <c r="X507" s="60">
        <v>0</v>
      </c>
      <c r="Y507" s="60">
        <v>0</v>
      </c>
      <c r="Z507" s="60">
        <v>0</v>
      </c>
      <c r="AA507" s="60">
        <v>0</v>
      </c>
      <c r="AB507" s="60">
        <v>0</v>
      </c>
      <c r="AC507" s="60">
        <f>ROUND(R507*1.5%,2)</f>
        <v>0</v>
      </c>
      <c r="AD507" s="60">
        <v>81322.009999999995</v>
      </c>
      <c r="AE507" s="60">
        <v>0</v>
      </c>
      <c r="AF507" s="170">
        <v>2020</v>
      </c>
      <c r="AG507" s="170" t="s">
        <v>257</v>
      </c>
      <c r="AH507" s="170" t="s">
        <v>257</v>
      </c>
    </row>
    <row r="508" spans="1:34" ht="61.5" x14ac:dyDescent="0.85">
      <c r="A508" s="7">
        <v>1</v>
      </c>
      <c r="B508" s="59">
        <f>SUBTOTAL(103,$A$22:A508)</f>
        <v>434</v>
      </c>
      <c r="C508" s="160" t="s">
        <v>1186</v>
      </c>
      <c r="D508" s="60">
        <f>E508+F508+G508+H508+I508+J508+L508+N508+P508+R508+T508+U508+V508+W508+X508+Y508+Z508+AA508+AB508+AC508+AD508+AE508</f>
        <v>3071424.4899999998</v>
      </c>
      <c r="E508" s="60">
        <v>0</v>
      </c>
      <c r="F508" s="60">
        <v>0</v>
      </c>
      <c r="G508" s="60">
        <v>0</v>
      </c>
      <c r="H508" s="60">
        <v>0</v>
      </c>
      <c r="I508" s="60">
        <v>0</v>
      </c>
      <c r="J508" s="60">
        <v>0</v>
      </c>
      <c r="K508" s="168">
        <v>0</v>
      </c>
      <c r="L508" s="60">
        <v>0</v>
      </c>
      <c r="M508" s="62">
        <v>924.2</v>
      </c>
      <c r="N508" s="62">
        <v>3054817.15</v>
      </c>
      <c r="O508" s="60">
        <v>0</v>
      </c>
      <c r="P508" s="60">
        <v>0</v>
      </c>
      <c r="Q508" s="60">
        <v>0</v>
      </c>
      <c r="R508" s="60">
        <v>0</v>
      </c>
      <c r="S508" s="60">
        <v>0</v>
      </c>
      <c r="T508" s="60">
        <v>0</v>
      </c>
      <c r="U508" s="60">
        <v>0</v>
      </c>
      <c r="V508" s="60">
        <v>0</v>
      </c>
      <c r="W508" s="60">
        <v>0</v>
      </c>
      <c r="X508" s="60">
        <v>0</v>
      </c>
      <c r="Y508" s="60">
        <v>0</v>
      </c>
      <c r="Z508" s="60">
        <v>0</v>
      </c>
      <c r="AA508" s="60">
        <v>0</v>
      </c>
      <c r="AB508" s="60">
        <v>0</v>
      </c>
      <c r="AC508" s="169">
        <v>16607.34</v>
      </c>
      <c r="AD508" s="60">
        <v>0</v>
      </c>
      <c r="AE508" s="60">
        <v>0</v>
      </c>
      <c r="AF508" s="170" t="s">
        <v>257</v>
      </c>
      <c r="AG508" s="170">
        <v>2020</v>
      </c>
      <c r="AH508" s="63">
        <v>2020</v>
      </c>
    </row>
    <row r="509" spans="1:34" ht="61.5" x14ac:dyDescent="0.85">
      <c r="B509" s="160" t="s">
        <v>826</v>
      </c>
      <c r="C509" s="160"/>
      <c r="D509" s="177">
        <f t="shared" ref="D509:AE509" si="74">D510</f>
        <v>2846268.34</v>
      </c>
      <c r="E509" s="60">
        <f t="shared" si="74"/>
        <v>0</v>
      </c>
      <c r="F509" s="60">
        <f t="shared" si="74"/>
        <v>0</v>
      </c>
      <c r="G509" s="60">
        <f t="shared" si="74"/>
        <v>0</v>
      </c>
      <c r="H509" s="60">
        <f t="shared" si="74"/>
        <v>0</v>
      </c>
      <c r="I509" s="60">
        <f t="shared" si="74"/>
        <v>0</v>
      </c>
      <c r="J509" s="60">
        <f t="shared" si="74"/>
        <v>0</v>
      </c>
      <c r="K509" s="168">
        <f t="shared" si="74"/>
        <v>0</v>
      </c>
      <c r="L509" s="60">
        <f t="shared" si="74"/>
        <v>0</v>
      </c>
      <c r="M509" s="60">
        <f t="shared" si="74"/>
        <v>613.20000000000005</v>
      </c>
      <c r="N509" s="60">
        <f t="shared" si="74"/>
        <v>2768847</v>
      </c>
      <c r="O509" s="60">
        <f t="shared" si="74"/>
        <v>0</v>
      </c>
      <c r="P509" s="60">
        <f t="shared" si="74"/>
        <v>0</v>
      </c>
      <c r="Q509" s="60">
        <f t="shared" si="74"/>
        <v>0</v>
      </c>
      <c r="R509" s="60">
        <f t="shared" si="74"/>
        <v>0</v>
      </c>
      <c r="S509" s="60">
        <f t="shared" si="74"/>
        <v>0</v>
      </c>
      <c r="T509" s="60">
        <f t="shared" si="74"/>
        <v>0</v>
      </c>
      <c r="U509" s="60">
        <f t="shared" si="74"/>
        <v>0</v>
      </c>
      <c r="V509" s="60">
        <f t="shared" si="74"/>
        <v>0</v>
      </c>
      <c r="W509" s="60">
        <f t="shared" si="74"/>
        <v>0</v>
      </c>
      <c r="X509" s="60">
        <f t="shared" si="74"/>
        <v>0</v>
      </c>
      <c r="Y509" s="60">
        <f t="shared" si="74"/>
        <v>0</v>
      </c>
      <c r="Z509" s="60">
        <f t="shared" si="74"/>
        <v>0</v>
      </c>
      <c r="AA509" s="60">
        <f t="shared" si="74"/>
        <v>0</v>
      </c>
      <c r="AB509" s="60">
        <f t="shared" si="74"/>
        <v>0</v>
      </c>
      <c r="AC509" s="60">
        <f t="shared" si="74"/>
        <v>0</v>
      </c>
      <c r="AD509" s="60">
        <f t="shared" si="74"/>
        <v>77421.34</v>
      </c>
      <c r="AE509" s="60">
        <f t="shared" si="74"/>
        <v>0</v>
      </c>
      <c r="AF509" s="54" t="s">
        <v>701</v>
      </c>
      <c r="AG509" s="54" t="s">
        <v>701</v>
      </c>
      <c r="AH509" s="55" t="s">
        <v>701</v>
      </c>
    </row>
    <row r="510" spans="1:34" ht="61.5" x14ac:dyDescent="0.85">
      <c r="A510" s="7">
        <v>1</v>
      </c>
      <c r="B510" s="59">
        <f>SUBTOTAL(103,$A$22:A510)</f>
        <v>435</v>
      </c>
      <c r="C510" s="160" t="s">
        <v>89</v>
      </c>
      <c r="D510" s="60">
        <f>E510+F510+G510+H510+I510+J510+L510+N510+P510+R510+T510+U510+V510+W510+X510+Y510+Z510+AA510+AB510+AC510+AD510+AE510</f>
        <v>2846268.34</v>
      </c>
      <c r="E510" s="60">
        <v>0</v>
      </c>
      <c r="F510" s="60">
        <v>0</v>
      </c>
      <c r="G510" s="60">
        <v>0</v>
      </c>
      <c r="H510" s="60">
        <v>0</v>
      </c>
      <c r="I510" s="60">
        <v>0</v>
      </c>
      <c r="J510" s="60">
        <v>0</v>
      </c>
      <c r="K510" s="168">
        <v>0</v>
      </c>
      <c r="L510" s="60">
        <v>0</v>
      </c>
      <c r="M510" s="62">
        <v>613.20000000000005</v>
      </c>
      <c r="N510" s="62">
        <v>2768847</v>
      </c>
      <c r="O510" s="60">
        <v>0</v>
      </c>
      <c r="P510" s="60">
        <v>0</v>
      </c>
      <c r="Q510" s="60">
        <v>0</v>
      </c>
      <c r="R510" s="60">
        <v>0</v>
      </c>
      <c r="S510" s="60">
        <v>0</v>
      </c>
      <c r="T510" s="60">
        <v>0</v>
      </c>
      <c r="U510" s="60">
        <v>0</v>
      </c>
      <c r="V510" s="60">
        <v>0</v>
      </c>
      <c r="W510" s="60">
        <v>0</v>
      </c>
      <c r="X510" s="60">
        <v>0</v>
      </c>
      <c r="Y510" s="60">
        <v>0</v>
      </c>
      <c r="Z510" s="60">
        <v>0</v>
      </c>
      <c r="AA510" s="60">
        <v>0</v>
      </c>
      <c r="AB510" s="60">
        <v>0</v>
      </c>
      <c r="AC510" s="60">
        <v>0</v>
      </c>
      <c r="AD510" s="62">
        <v>77421.34</v>
      </c>
      <c r="AE510" s="60">
        <v>0</v>
      </c>
      <c r="AF510" s="170">
        <v>2020</v>
      </c>
      <c r="AG510" s="170">
        <v>2020</v>
      </c>
      <c r="AH510" s="63" t="s">
        <v>257</v>
      </c>
    </row>
    <row r="511" spans="1:34" ht="61.5" x14ac:dyDescent="0.85">
      <c r="B511" s="160" t="s">
        <v>800</v>
      </c>
      <c r="C511" s="160"/>
      <c r="D511" s="177">
        <f t="shared" ref="D511:AE511" si="75">SUM(D512:D513)</f>
        <v>2794020.73</v>
      </c>
      <c r="E511" s="60">
        <f t="shared" si="75"/>
        <v>0</v>
      </c>
      <c r="F511" s="60">
        <f t="shared" si="75"/>
        <v>0</v>
      </c>
      <c r="G511" s="60">
        <f t="shared" si="75"/>
        <v>0</v>
      </c>
      <c r="H511" s="60">
        <f t="shared" si="75"/>
        <v>0</v>
      </c>
      <c r="I511" s="60">
        <f t="shared" si="75"/>
        <v>0</v>
      </c>
      <c r="J511" s="60">
        <f t="shared" si="75"/>
        <v>0</v>
      </c>
      <c r="K511" s="168">
        <f t="shared" si="75"/>
        <v>0</v>
      </c>
      <c r="L511" s="60">
        <f t="shared" si="75"/>
        <v>0</v>
      </c>
      <c r="M511" s="60">
        <f t="shared" si="75"/>
        <v>609.28</v>
      </c>
      <c r="N511" s="60">
        <f t="shared" si="75"/>
        <v>2626425</v>
      </c>
      <c r="O511" s="60">
        <f t="shared" si="75"/>
        <v>0</v>
      </c>
      <c r="P511" s="60">
        <f t="shared" si="75"/>
        <v>0</v>
      </c>
      <c r="Q511" s="60">
        <f t="shared" si="75"/>
        <v>0</v>
      </c>
      <c r="R511" s="60">
        <f t="shared" si="75"/>
        <v>0</v>
      </c>
      <c r="S511" s="60">
        <f t="shared" si="75"/>
        <v>0</v>
      </c>
      <c r="T511" s="60">
        <f t="shared" si="75"/>
        <v>0</v>
      </c>
      <c r="U511" s="60">
        <f t="shared" si="75"/>
        <v>0</v>
      </c>
      <c r="V511" s="60">
        <f t="shared" si="75"/>
        <v>0</v>
      </c>
      <c r="W511" s="60">
        <f t="shared" si="75"/>
        <v>0</v>
      </c>
      <c r="X511" s="60">
        <f t="shared" si="75"/>
        <v>0</v>
      </c>
      <c r="Y511" s="60">
        <f t="shared" si="75"/>
        <v>0</v>
      </c>
      <c r="Z511" s="60">
        <f t="shared" si="75"/>
        <v>0</v>
      </c>
      <c r="AA511" s="60">
        <f t="shared" si="75"/>
        <v>0</v>
      </c>
      <c r="AB511" s="60">
        <f t="shared" si="75"/>
        <v>0</v>
      </c>
      <c r="AC511" s="60">
        <f t="shared" si="75"/>
        <v>15246.4</v>
      </c>
      <c r="AD511" s="60">
        <f t="shared" si="75"/>
        <v>152349.33000000002</v>
      </c>
      <c r="AE511" s="60">
        <f t="shared" si="75"/>
        <v>0</v>
      </c>
      <c r="AF511" s="54" t="s">
        <v>701</v>
      </c>
      <c r="AG511" s="54" t="s">
        <v>701</v>
      </c>
      <c r="AH511" s="55" t="s">
        <v>701</v>
      </c>
    </row>
    <row r="512" spans="1:34" ht="61.5" x14ac:dyDescent="0.85">
      <c r="A512" s="7">
        <v>1</v>
      </c>
      <c r="B512" s="59">
        <f>SUBTOTAL(103,$A$22:A512)</f>
        <v>436</v>
      </c>
      <c r="C512" s="160" t="s">
        <v>90</v>
      </c>
      <c r="D512" s="60">
        <f>E512+F512+G512+H512+I512+J512+L512+N512+P512+R512+T512+U512+V512+W512+X512+Y512+Z512+AA512+AB512+AC512+AD512+AE512</f>
        <v>2718963.56</v>
      </c>
      <c r="E512" s="60">
        <v>0</v>
      </c>
      <c r="F512" s="60">
        <v>0</v>
      </c>
      <c r="G512" s="60">
        <v>0</v>
      </c>
      <c r="H512" s="60">
        <v>0</v>
      </c>
      <c r="I512" s="60">
        <v>0</v>
      </c>
      <c r="J512" s="60">
        <v>0</v>
      </c>
      <c r="K512" s="168">
        <v>0</v>
      </c>
      <c r="L512" s="60">
        <v>0</v>
      </c>
      <c r="M512" s="62">
        <v>609.28</v>
      </c>
      <c r="N512" s="62">
        <v>2626425</v>
      </c>
      <c r="O512" s="60">
        <v>0</v>
      </c>
      <c r="P512" s="60">
        <v>0</v>
      </c>
      <c r="Q512" s="60">
        <v>0</v>
      </c>
      <c r="R512" s="60">
        <v>0</v>
      </c>
      <c r="S512" s="60">
        <v>0</v>
      </c>
      <c r="T512" s="60">
        <v>0</v>
      </c>
      <c r="U512" s="60">
        <v>0</v>
      </c>
      <c r="V512" s="60">
        <v>0</v>
      </c>
      <c r="W512" s="60">
        <v>0</v>
      </c>
      <c r="X512" s="60">
        <v>0</v>
      </c>
      <c r="Y512" s="60">
        <v>0</v>
      </c>
      <c r="Z512" s="60">
        <v>0</v>
      </c>
      <c r="AA512" s="60">
        <v>0</v>
      </c>
      <c r="AB512" s="60">
        <v>0</v>
      </c>
      <c r="AC512" s="62">
        <v>15246.4</v>
      </c>
      <c r="AD512" s="62">
        <v>77292.160000000003</v>
      </c>
      <c r="AE512" s="60">
        <v>0</v>
      </c>
      <c r="AF512" s="170">
        <v>2020</v>
      </c>
      <c r="AG512" s="170">
        <v>2020</v>
      </c>
      <c r="AH512" s="63">
        <v>2020</v>
      </c>
    </row>
    <row r="513" spans="1:34" ht="61.5" x14ac:dyDescent="0.85">
      <c r="A513" s="7">
        <v>1</v>
      </c>
      <c r="B513" s="59">
        <f>SUBTOTAL(103,$A$22:A513)</f>
        <v>437</v>
      </c>
      <c r="C513" s="160" t="s">
        <v>95</v>
      </c>
      <c r="D513" s="60">
        <f>E513+F513+G513+H513+I513+J513+L513+N513+P513+R513+T513+U513+V513+W513+X513+Y513+Z513+AA513+AB513+AC513+AD513+AE513</f>
        <v>75057.17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168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0">
        <v>0</v>
      </c>
      <c r="T513" s="60">
        <v>0</v>
      </c>
      <c r="U513" s="60">
        <v>0</v>
      </c>
      <c r="V513" s="60">
        <v>0</v>
      </c>
      <c r="W513" s="60">
        <v>0</v>
      </c>
      <c r="X513" s="60">
        <v>0</v>
      </c>
      <c r="Y513" s="60">
        <v>0</v>
      </c>
      <c r="Z513" s="60">
        <v>0</v>
      </c>
      <c r="AA513" s="60">
        <v>0</v>
      </c>
      <c r="AB513" s="60">
        <v>0</v>
      </c>
      <c r="AC513" s="60">
        <f>ROUND(N513*1.5%,2)</f>
        <v>0</v>
      </c>
      <c r="AD513" s="60">
        <v>75057.17</v>
      </c>
      <c r="AE513" s="60">
        <v>0</v>
      </c>
      <c r="AF513" s="170">
        <v>2020</v>
      </c>
      <c r="AG513" s="63" t="s">
        <v>257</v>
      </c>
      <c r="AH513" s="63" t="s">
        <v>257</v>
      </c>
    </row>
    <row r="514" spans="1:34" ht="61.5" x14ac:dyDescent="0.85">
      <c r="B514" s="160" t="s">
        <v>801</v>
      </c>
      <c r="C514" s="160"/>
      <c r="D514" s="177">
        <f t="shared" ref="D514:AE514" si="76">D515+D516</f>
        <v>4868704.13</v>
      </c>
      <c r="E514" s="60">
        <f t="shared" si="76"/>
        <v>0</v>
      </c>
      <c r="F514" s="60">
        <f t="shared" si="76"/>
        <v>0</v>
      </c>
      <c r="G514" s="60">
        <f t="shared" si="76"/>
        <v>0</v>
      </c>
      <c r="H514" s="60">
        <f t="shared" si="76"/>
        <v>0</v>
      </c>
      <c r="I514" s="60">
        <f t="shared" si="76"/>
        <v>0</v>
      </c>
      <c r="J514" s="60">
        <f t="shared" si="76"/>
        <v>0</v>
      </c>
      <c r="K514" s="168">
        <f t="shared" si="76"/>
        <v>0</v>
      </c>
      <c r="L514" s="60">
        <f t="shared" si="76"/>
        <v>0</v>
      </c>
      <c r="M514" s="60">
        <f t="shared" si="76"/>
        <v>1085.8</v>
      </c>
      <c r="N514" s="60">
        <f t="shared" si="76"/>
        <v>4643006</v>
      </c>
      <c r="O514" s="60">
        <f t="shared" si="76"/>
        <v>0</v>
      </c>
      <c r="P514" s="60">
        <f t="shared" si="76"/>
        <v>0</v>
      </c>
      <c r="Q514" s="60">
        <f t="shared" si="76"/>
        <v>0</v>
      </c>
      <c r="R514" s="60">
        <f t="shared" si="76"/>
        <v>0</v>
      </c>
      <c r="S514" s="60">
        <f t="shared" si="76"/>
        <v>0</v>
      </c>
      <c r="T514" s="60">
        <f t="shared" si="76"/>
        <v>0</v>
      </c>
      <c r="U514" s="60">
        <f t="shared" si="76"/>
        <v>0</v>
      </c>
      <c r="V514" s="60">
        <f t="shared" si="76"/>
        <v>0</v>
      </c>
      <c r="W514" s="60">
        <f t="shared" si="76"/>
        <v>0</v>
      </c>
      <c r="X514" s="60">
        <f t="shared" si="76"/>
        <v>0</v>
      </c>
      <c r="Y514" s="60">
        <f t="shared" si="76"/>
        <v>0</v>
      </c>
      <c r="Z514" s="60">
        <f t="shared" si="76"/>
        <v>0</v>
      </c>
      <c r="AA514" s="60">
        <f t="shared" si="76"/>
        <v>0</v>
      </c>
      <c r="AB514" s="60">
        <f t="shared" si="76"/>
        <v>0</v>
      </c>
      <c r="AC514" s="60">
        <f t="shared" si="76"/>
        <v>29947.39</v>
      </c>
      <c r="AD514" s="60">
        <f t="shared" si="76"/>
        <v>195750.74</v>
      </c>
      <c r="AE514" s="60">
        <f t="shared" si="76"/>
        <v>0</v>
      </c>
      <c r="AF514" s="54" t="s">
        <v>701</v>
      </c>
      <c r="AG514" s="54" t="s">
        <v>701</v>
      </c>
      <c r="AH514" s="55" t="s">
        <v>701</v>
      </c>
    </row>
    <row r="515" spans="1:34" ht="61.5" x14ac:dyDescent="0.85">
      <c r="A515" s="7">
        <v>1</v>
      </c>
      <c r="B515" s="59">
        <f>SUBTOTAL(103,$A$22:A515)</f>
        <v>438</v>
      </c>
      <c r="C515" s="160" t="s">
        <v>91</v>
      </c>
      <c r="D515" s="60">
        <f>E515+F515+G515+H515+I515+J515+L515+N515+P515+R515+T515+U515+V515+W515+X515+Y515+Z515+AA515+AB515+AC515+AD515+AE515</f>
        <v>4831403.93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168">
        <v>0</v>
      </c>
      <c r="L515" s="60">
        <v>0</v>
      </c>
      <c r="M515" s="62">
        <v>1085.8</v>
      </c>
      <c r="N515" s="62">
        <v>4643006</v>
      </c>
      <c r="O515" s="60">
        <v>0</v>
      </c>
      <c r="P515" s="60">
        <v>0</v>
      </c>
      <c r="Q515" s="60">
        <v>0</v>
      </c>
      <c r="R515" s="60">
        <v>0</v>
      </c>
      <c r="S515" s="60">
        <v>0</v>
      </c>
      <c r="T515" s="60">
        <v>0</v>
      </c>
      <c r="U515" s="60">
        <v>0</v>
      </c>
      <c r="V515" s="60">
        <v>0</v>
      </c>
      <c r="W515" s="60">
        <v>0</v>
      </c>
      <c r="X515" s="60">
        <v>0</v>
      </c>
      <c r="Y515" s="60">
        <v>0</v>
      </c>
      <c r="Z515" s="60">
        <v>0</v>
      </c>
      <c r="AA515" s="60">
        <v>0</v>
      </c>
      <c r="AB515" s="60">
        <v>0</v>
      </c>
      <c r="AC515" s="62">
        <v>29947.39</v>
      </c>
      <c r="AD515" s="62">
        <v>158450.54</v>
      </c>
      <c r="AE515" s="60">
        <v>0</v>
      </c>
      <c r="AF515" s="170">
        <v>2020</v>
      </c>
      <c r="AG515" s="170">
        <v>2020</v>
      </c>
      <c r="AH515" s="63">
        <v>2020</v>
      </c>
    </row>
    <row r="516" spans="1:34" ht="61.5" x14ac:dyDescent="0.85">
      <c r="A516" s="7">
        <v>1</v>
      </c>
      <c r="B516" s="59">
        <f>SUBTOTAL(103,$A$22:A516)</f>
        <v>439</v>
      </c>
      <c r="C516" s="160" t="s">
        <v>1511</v>
      </c>
      <c r="D516" s="60">
        <f>E516+F516+G516+H516+I516+J516+L516+N516+P516+R516+T516+U516+V516+W516+X516+Y516+Z516+AA516+AB516+AC516+AD516+AE516</f>
        <v>37300.199999999997</v>
      </c>
      <c r="E516" s="60">
        <v>0</v>
      </c>
      <c r="F516" s="60">
        <v>0</v>
      </c>
      <c r="G516" s="60">
        <v>0</v>
      </c>
      <c r="H516" s="60">
        <v>0</v>
      </c>
      <c r="I516" s="60">
        <v>0</v>
      </c>
      <c r="J516" s="60">
        <v>0</v>
      </c>
      <c r="K516" s="168">
        <v>0</v>
      </c>
      <c r="L516" s="60">
        <v>0</v>
      </c>
      <c r="M516" s="60">
        <v>0</v>
      </c>
      <c r="N516" s="60">
        <v>0</v>
      </c>
      <c r="O516" s="60">
        <v>0</v>
      </c>
      <c r="P516" s="60">
        <v>0</v>
      </c>
      <c r="Q516" s="60">
        <v>0</v>
      </c>
      <c r="R516" s="60">
        <v>0</v>
      </c>
      <c r="S516" s="60">
        <v>0</v>
      </c>
      <c r="T516" s="60">
        <v>0</v>
      </c>
      <c r="U516" s="60">
        <v>0</v>
      </c>
      <c r="V516" s="60">
        <v>0</v>
      </c>
      <c r="W516" s="60">
        <v>0</v>
      </c>
      <c r="X516" s="60">
        <v>0</v>
      </c>
      <c r="Y516" s="60">
        <v>0</v>
      </c>
      <c r="Z516" s="60">
        <v>0</v>
      </c>
      <c r="AA516" s="60">
        <v>0</v>
      </c>
      <c r="AB516" s="60">
        <v>0</v>
      </c>
      <c r="AC516" s="60">
        <f>ROUND(H516*1.5%,2)</f>
        <v>0</v>
      </c>
      <c r="AD516" s="62">
        <v>37300.199999999997</v>
      </c>
      <c r="AE516" s="60">
        <v>0</v>
      </c>
      <c r="AF516" s="170">
        <v>2020</v>
      </c>
      <c r="AG516" s="63" t="s">
        <v>257</v>
      </c>
      <c r="AH516" s="63" t="s">
        <v>257</v>
      </c>
    </row>
    <row r="517" spans="1:34" ht="61.5" x14ac:dyDescent="0.85">
      <c r="B517" s="160" t="s">
        <v>802</v>
      </c>
      <c r="C517" s="160"/>
      <c r="D517" s="177">
        <f t="shared" ref="D517:AE517" si="77">D518</f>
        <v>2570556.2200000002</v>
      </c>
      <c r="E517" s="60">
        <f t="shared" si="77"/>
        <v>0</v>
      </c>
      <c r="F517" s="60">
        <f t="shared" si="77"/>
        <v>0</v>
      </c>
      <c r="G517" s="60">
        <f t="shared" si="77"/>
        <v>0</v>
      </c>
      <c r="H517" s="60">
        <f t="shared" si="77"/>
        <v>0</v>
      </c>
      <c r="I517" s="60">
        <f t="shared" si="77"/>
        <v>0</v>
      </c>
      <c r="J517" s="60">
        <f t="shared" si="77"/>
        <v>0</v>
      </c>
      <c r="K517" s="168">
        <f t="shared" si="77"/>
        <v>0</v>
      </c>
      <c r="L517" s="60">
        <f t="shared" si="77"/>
        <v>0</v>
      </c>
      <c r="M517" s="60">
        <f t="shared" si="77"/>
        <v>694.7</v>
      </c>
      <c r="N517" s="60">
        <f t="shared" si="77"/>
        <v>2481018</v>
      </c>
      <c r="O517" s="60">
        <f t="shared" si="77"/>
        <v>0</v>
      </c>
      <c r="P517" s="60">
        <f t="shared" si="77"/>
        <v>0</v>
      </c>
      <c r="Q517" s="60">
        <f t="shared" si="77"/>
        <v>0</v>
      </c>
      <c r="R517" s="60">
        <f t="shared" si="77"/>
        <v>0</v>
      </c>
      <c r="S517" s="60">
        <f t="shared" si="77"/>
        <v>0</v>
      </c>
      <c r="T517" s="60">
        <f t="shared" si="77"/>
        <v>0</v>
      </c>
      <c r="U517" s="60">
        <f t="shared" si="77"/>
        <v>0</v>
      </c>
      <c r="V517" s="60">
        <f t="shared" si="77"/>
        <v>0</v>
      </c>
      <c r="W517" s="60">
        <f t="shared" si="77"/>
        <v>0</v>
      </c>
      <c r="X517" s="60">
        <f t="shared" si="77"/>
        <v>0</v>
      </c>
      <c r="Y517" s="60">
        <f t="shared" si="77"/>
        <v>0</v>
      </c>
      <c r="Z517" s="60">
        <f t="shared" si="77"/>
        <v>0</v>
      </c>
      <c r="AA517" s="60">
        <f t="shared" si="77"/>
        <v>0</v>
      </c>
      <c r="AB517" s="60">
        <f t="shared" si="77"/>
        <v>0</v>
      </c>
      <c r="AC517" s="60">
        <f t="shared" si="77"/>
        <v>9601.5400000000009</v>
      </c>
      <c r="AD517" s="60">
        <f t="shared" si="77"/>
        <v>79936.679999999993</v>
      </c>
      <c r="AE517" s="60">
        <f t="shared" si="77"/>
        <v>0</v>
      </c>
      <c r="AF517" s="54" t="s">
        <v>701</v>
      </c>
      <c r="AG517" s="54" t="s">
        <v>701</v>
      </c>
      <c r="AH517" s="55" t="s">
        <v>701</v>
      </c>
    </row>
    <row r="518" spans="1:34" ht="61.5" x14ac:dyDescent="0.85">
      <c r="A518" s="7">
        <v>1</v>
      </c>
      <c r="B518" s="59">
        <f>SUBTOTAL(103,$A$22:A518)</f>
        <v>440</v>
      </c>
      <c r="C518" s="160" t="s">
        <v>92</v>
      </c>
      <c r="D518" s="60">
        <f>E518+F518+G518+H518+I518+J518+L518+N518+P518+R518+T518+U518+V518+W518+X518+Y518+Z518+AA518+AB518+AC518+AD518+AE518</f>
        <v>2570556.2200000002</v>
      </c>
      <c r="E518" s="60">
        <v>0</v>
      </c>
      <c r="F518" s="60">
        <v>0</v>
      </c>
      <c r="G518" s="60">
        <v>0</v>
      </c>
      <c r="H518" s="60">
        <v>0</v>
      </c>
      <c r="I518" s="60">
        <v>0</v>
      </c>
      <c r="J518" s="60">
        <v>0</v>
      </c>
      <c r="K518" s="168">
        <v>0</v>
      </c>
      <c r="L518" s="60">
        <v>0</v>
      </c>
      <c r="M518" s="62">
        <v>694.7</v>
      </c>
      <c r="N518" s="62">
        <v>2481018</v>
      </c>
      <c r="O518" s="60">
        <v>0</v>
      </c>
      <c r="P518" s="60">
        <v>0</v>
      </c>
      <c r="Q518" s="60">
        <v>0</v>
      </c>
      <c r="R518" s="60">
        <v>0</v>
      </c>
      <c r="S518" s="60">
        <v>0</v>
      </c>
      <c r="T518" s="60">
        <v>0</v>
      </c>
      <c r="U518" s="60">
        <v>0</v>
      </c>
      <c r="V518" s="60">
        <v>0</v>
      </c>
      <c r="W518" s="60">
        <v>0</v>
      </c>
      <c r="X518" s="60">
        <v>0</v>
      </c>
      <c r="Y518" s="60">
        <v>0</v>
      </c>
      <c r="Z518" s="60">
        <v>0</v>
      </c>
      <c r="AA518" s="60">
        <v>0</v>
      </c>
      <c r="AB518" s="60">
        <v>0</v>
      </c>
      <c r="AC518" s="62">
        <v>9601.5400000000009</v>
      </c>
      <c r="AD518" s="62">
        <v>79936.679999999993</v>
      </c>
      <c r="AE518" s="60">
        <v>0</v>
      </c>
      <c r="AF518" s="170">
        <v>2020</v>
      </c>
      <c r="AG518" s="170">
        <v>2020</v>
      </c>
      <c r="AH518" s="63">
        <v>2020</v>
      </c>
    </row>
    <row r="519" spans="1:34" ht="61.5" x14ac:dyDescent="0.85">
      <c r="B519" s="160" t="s">
        <v>1187</v>
      </c>
      <c r="C519" s="160"/>
      <c r="D519" s="177">
        <f t="shared" ref="D519:AE519" si="78">SUM(D520:D521)</f>
        <v>1181101.6800000002</v>
      </c>
      <c r="E519" s="60">
        <f t="shared" si="78"/>
        <v>0</v>
      </c>
      <c r="F519" s="60">
        <f t="shared" si="78"/>
        <v>0</v>
      </c>
      <c r="G519" s="60">
        <f t="shared" si="78"/>
        <v>679682.53</v>
      </c>
      <c r="H519" s="60">
        <f t="shared" si="78"/>
        <v>74978.2</v>
      </c>
      <c r="I519" s="60">
        <f t="shared" si="78"/>
        <v>338634.62</v>
      </c>
      <c r="J519" s="60">
        <f t="shared" si="78"/>
        <v>0</v>
      </c>
      <c r="K519" s="168">
        <f t="shared" si="78"/>
        <v>0</v>
      </c>
      <c r="L519" s="60">
        <f t="shared" si="78"/>
        <v>0</v>
      </c>
      <c r="M519" s="60">
        <f t="shared" si="78"/>
        <v>0</v>
      </c>
      <c r="N519" s="60">
        <f t="shared" si="78"/>
        <v>0</v>
      </c>
      <c r="O519" s="60">
        <f t="shared" si="78"/>
        <v>0</v>
      </c>
      <c r="P519" s="60">
        <f t="shared" si="78"/>
        <v>0</v>
      </c>
      <c r="Q519" s="60">
        <f t="shared" si="78"/>
        <v>0</v>
      </c>
      <c r="R519" s="60">
        <f t="shared" si="78"/>
        <v>0</v>
      </c>
      <c r="S519" s="60">
        <f t="shared" si="78"/>
        <v>0</v>
      </c>
      <c r="T519" s="60">
        <f t="shared" si="78"/>
        <v>0</v>
      </c>
      <c r="U519" s="60">
        <f t="shared" si="78"/>
        <v>0</v>
      </c>
      <c r="V519" s="60">
        <f t="shared" si="78"/>
        <v>0</v>
      </c>
      <c r="W519" s="60">
        <f t="shared" si="78"/>
        <v>0</v>
      </c>
      <c r="X519" s="60">
        <f t="shared" si="78"/>
        <v>0</v>
      </c>
      <c r="Y519" s="60">
        <f t="shared" si="78"/>
        <v>0</v>
      </c>
      <c r="Z519" s="60">
        <f t="shared" si="78"/>
        <v>0</v>
      </c>
      <c r="AA519" s="60">
        <f t="shared" si="78"/>
        <v>0</v>
      </c>
      <c r="AB519" s="60">
        <f t="shared" si="78"/>
        <v>0</v>
      </c>
      <c r="AC519" s="60">
        <f t="shared" si="78"/>
        <v>10823.62</v>
      </c>
      <c r="AD519" s="60">
        <f t="shared" si="78"/>
        <v>76982.710000000006</v>
      </c>
      <c r="AE519" s="60">
        <f t="shared" si="78"/>
        <v>0</v>
      </c>
      <c r="AF519" s="54" t="s">
        <v>701</v>
      </c>
      <c r="AG519" s="54" t="s">
        <v>701</v>
      </c>
      <c r="AH519" s="55" t="s">
        <v>701</v>
      </c>
    </row>
    <row r="520" spans="1:34" ht="61.5" x14ac:dyDescent="0.85">
      <c r="A520" s="7">
        <v>1</v>
      </c>
      <c r="B520" s="59">
        <f>SUBTOTAL(103,$A$22:A520)</f>
        <v>441</v>
      </c>
      <c r="C520" s="160" t="s">
        <v>1188</v>
      </c>
      <c r="D520" s="60">
        <f>E520+F520+G520+H520+I520+J520+L520+N520+P520+R520+T520+U520+V520+W520+X520+Y520+Z520+AA520+AB520+AC520+AD520+AE520</f>
        <v>1104118.9700000002</v>
      </c>
      <c r="E520" s="60">
        <v>0</v>
      </c>
      <c r="F520" s="60">
        <v>0</v>
      </c>
      <c r="G520" s="62">
        <v>679682.53</v>
      </c>
      <c r="H520" s="169">
        <v>74978.2</v>
      </c>
      <c r="I520" s="62">
        <v>338634.62</v>
      </c>
      <c r="J520" s="60">
        <v>0</v>
      </c>
      <c r="K520" s="168">
        <v>0</v>
      </c>
      <c r="L520" s="60">
        <v>0</v>
      </c>
      <c r="M520" s="60">
        <v>0</v>
      </c>
      <c r="N520" s="60">
        <v>0</v>
      </c>
      <c r="O520" s="60">
        <v>0</v>
      </c>
      <c r="P520" s="60">
        <v>0</v>
      </c>
      <c r="Q520" s="60">
        <v>0</v>
      </c>
      <c r="R520" s="60">
        <v>0</v>
      </c>
      <c r="S520" s="60">
        <v>0</v>
      </c>
      <c r="T520" s="60">
        <v>0</v>
      </c>
      <c r="U520" s="60">
        <v>0</v>
      </c>
      <c r="V520" s="60">
        <v>0</v>
      </c>
      <c r="W520" s="60">
        <v>0</v>
      </c>
      <c r="X520" s="60">
        <v>0</v>
      </c>
      <c r="Y520" s="60">
        <v>0</v>
      </c>
      <c r="Z520" s="60">
        <v>0</v>
      </c>
      <c r="AA520" s="60">
        <v>0</v>
      </c>
      <c r="AB520" s="60">
        <v>0</v>
      </c>
      <c r="AC520" s="60">
        <f>ROUND((E520+F520+G520+H520+I520+J520)*0.99%,2)</f>
        <v>10823.62</v>
      </c>
      <c r="AD520" s="60">
        <v>0</v>
      </c>
      <c r="AE520" s="60">
        <v>0</v>
      </c>
      <c r="AF520" s="170" t="s">
        <v>257</v>
      </c>
      <c r="AG520" s="170">
        <v>2020</v>
      </c>
      <c r="AH520" s="63">
        <v>2020</v>
      </c>
    </row>
    <row r="521" spans="1:34" ht="61.5" x14ac:dyDescent="0.85">
      <c r="A521" s="7">
        <v>1</v>
      </c>
      <c r="B521" s="59">
        <f>SUBTOTAL(103,$A$22:A521)</f>
        <v>442</v>
      </c>
      <c r="C521" s="160" t="s">
        <v>96</v>
      </c>
      <c r="D521" s="60">
        <f>E521+F521+G521+H521+I521+J521+L521+N521+P521+R521+T521+U521+V521+W521+X521+Y521+Z521+AA521+AB521+AC521+AD521+AE521</f>
        <v>76982.710000000006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168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0">
        <v>0</v>
      </c>
      <c r="T521" s="60">
        <v>0</v>
      </c>
      <c r="U521" s="60">
        <v>0</v>
      </c>
      <c r="V521" s="60">
        <v>0</v>
      </c>
      <c r="W521" s="60">
        <v>0</v>
      </c>
      <c r="X521" s="60">
        <v>0</v>
      </c>
      <c r="Y521" s="60">
        <v>0</v>
      </c>
      <c r="Z521" s="60">
        <v>0</v>
      </c>
      <c r="AA521" s="60">
        <v>0</v>
      </c>
      <c r="AB521" s="60">
        <v>0</v>
      </c>
      <c r="AC521" s="60">
        <f>ROUND(N521*1.5%,2)</f>
        <v>0</v>
      </c>
      <c r="AD521" s="60">
        <v>76982.710000000006</v>
      </c>
      <c r="AE521" s="60">
        <v>0</v>
      </c>
      <c r="AF521" s="170">
        <v>2020</v>
      </c>
      <c r="AG521" s="170" t="s">
        <v>257</v>
      </c>
      <c r="AH521" s="170" t="s">
        <v>257</v>
      </c>
    </row>
    <row r="522" spans="1:34" ht="61.5" x14ac:dyDescent="0.85">
      <c r="B522" s="160" t="s">
        <v>803</v>
      </c>
      <c r="C522" s="176"/>
      <c r="D522" s="177">
        <f t="shared" ref="D522:AE522" si="79">SUM(D523:D527)</f>
        <v>5058199.54</v>
      </c>
      <c r="E522" s="60">
        <f t="shared" si="79"/>
        <v>0</v>
      </c>
      <c r="F522" s="60">
        <f t="shared" si="79"/>
        <v>0</v>
      </c>
      <c r="G522" s="60">
        <f t="shared" si="79"/>
        <v>0</v>
      </c>
      <c r="H522" s="60">
        <f t="shared" si="79"/>
        <v>0</v>
      </c>
      <c r="I522" s="60">
        <f t="shared" si="79"/>
        <v>633864</v>
      </c>
      <c r="J522" s="60">
        <f t="shared" si="79"/>
        <v>0</v>
      </c>
      <c r="K522" s="168">
        <f t="shared" si="79"/>
        <v>0</v>
      </c>
      <c r="L522" s="60">
        <f t="shared" si="79"/>
        <v>0</v>
      </c>
      <c r="M522" s="60">
        <f t="shared" si="79"/>
        <v>1020.85</v>
      </c>
      <c r="N522" s="60">
        <f t="shared" si="79"/>
        <v>4030135.1500000004</v>
      </c>
      <c r="O522" s="60">
        <f t="shared" si="79"/>
        <v>0</v>
      </c>
      <c r="P522" s="60">
        <f t="shared" si="79"/>
        <v>0</v>
      </c>
      <c r="Q522" s="60">
        <f t="shared" si="79"/>
        <v>0</v>
      </c>
      <c r="R522" s="60">
        <f t="shared" si="79"/>
        <v>0</v>
      </c>
      <c r="S522" s="60">
        <f t="shared" si="79"/>
        <v>0</v>
      </c>
      <c r="T522" s="60">
        <f t="shared" si="79"/>
        <v>0</v>
      </c>
      <c r="U522" s="60">
        <f t="shared" si="79"/>
        <v>0</v>
      </c>
      <c r="V522" s="60">
        <f t="shared" si="79"/>
        <v>0</v>
      </c>
      <c r="W522" s="60">
        <f t="shared" si="79"/>
        <v>0</v>
      </c>
      <c r="X522" s="60">
        <f t="shared" si="79"/>
        <v>0</v>
      </c>
      <c r="Y522" s="60">
        <f t="shared" si="79"/>
        <v>0</v>
      </c>
      <c r="Z522" s="60">
        <f t="shared" si="79"/>
        <v>0</v>
      </c>
      <c r="AA522" s="60">
        <f t="shared" si="79"/>
        <v>0</v>
      </c>
      <c r="AB522" s="60">
        <f t="shared" si="79"/>
        <v>0</v>
      </c>
      <c r="AC522" s="60">
        <f t="shared" si="79"/>
        <v>49784.46</v>
      </c>
      <c r="AD522" s="60">
        <f t="shared" si="79"/>
        <v>104415.93</v>
      </c>
      <c r="AE522" s="60">
        <f t="shared" si="79"/>
        <v>240000</v>
      </c>
      <c r="AF522" s="54" t="s">
        <v>701</v>
      </c>
      <c r="AG522" s="54" t="s">
        <v>701</v>
      </c>
      <c r="AH522" s="55" t="s">
        <v>701</v>
      </c>
    </row>
    <row r="523" spans="1:34" ht="61.5" x14ac:dyDescent="0.85">
      <c r="A523" s="7">
        <v>1</v>
      </c>
      <c r="B523" s="59">
        <f>SUBTOTAL(103,$A$22:A523)</f>
        <v>443</v>
      </c>
      <c r="C523" s="160" t="s">
        <v>176</v>
      </c>
      <c r="D523" s="60">
        <f>E523+F523+G523+H523+I523+J523+L523+N523+P523+R523+T523+U523+V523+W523+X523+Y523+Z523+AA523+AB523+AC523+AD523+AE523</f>
        <v>1255071.44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168">
        <v>0</v>
      </c>
      <c r="L523" s="60">
        <v>0</v>
      </c>
      <c r="M523" s="62">
        <v>172.5</v>
      </c>
      <c r="N523" s="62">
        <v>1203625.96</v>
      </c>
      <c r="O523" s="60">
        <v>0</v>
      </c>
      <c r="P523" s="60">
        <v>0</v>
      </c>
      <c r="Q523" s="60">
        <v>0</v>
      </c>
      <c r="R523" s="60">
        <v>0</v>
      </c>
      <c r="S523" s="60">
        <v>0</v>
      </c>
      <c r="T523" s="60">
        <v>0</v>
      </c>
      <c r="U523" s="60">
        <v>0</v>
      </c>
      <c r="V523" s="60">
        <v>0</v>
      </c>
      <c r="W523" s="60">
        <v>0</v>
      </c>
      <c r="X523" s="60">
        <v>0</v>
      </c>
      <c r="Y523" s="60">
        <v>0</v>
      </c>
      <c r="Z523" s="60">
        <v>0</v>
      </c>
      <c r="AA523" s="60">
        <v>0</v>
      </c>
      <c r="AB523" s="60">
        <v>0</v>
      </c>
      <c r="AC523" s="60">
        <v>15526.77</v>
      </c>
      <c r="AD523" s="62">
        <v>35918.71</v>
      </c>
      <c r="AE523" s="60">
        <v>0</v>
      </c>
      <c r="AF523" s="170">
        <v>2020</v>
      </c>
      <c r="AG523" s="170">
        <v>2020</v>
      </c>
      <c r="AH523" s="63">
        <v>2020</v>
      </c>
    </row>
    <row r="524" spans="1:34" ht="61.5" x14ac:dyDescent="0.85">
      <c r="A524" s="7">
        <v>1</v>
      </c>
      <c r="B524" s="59">
        <f>SUBTOTAL(103,$A$22:A524)</f>
        <v>444</v>
      </c>
      <c r="C524" s="160" t="s">
        <v>175</v>
      </c>
      <c r="D524" s="60">
        <f>E524+F524+G524+H524+I524+J524+L524+N524+P524+R524+T524+U524+V524+W524+X524+Y524+Z524+AA524+AB524+AC524+AD524+AE524</f>
        <v>68497.22</v>
      </c>
      <c r="E524" s="60">
        <v>0</v>
      </c>
      <c r="F524" s="60">
        <v>0</v>
      </c>
      <c r="G524" s="60">
        <v>0</v>
      </c>
      <c r="H524" s="60">
        <v>0</v>
      </c>
      <c r="I524" s="60">
        <v>0</v>
      </c>
      <c r="J524" s="60">
        <v>0</v>
      </c>
      <c r="K524" s="168">
        <v>0</v>
      </c>
      <c r="L524" s="60">
        <v>0</v>
      </c>
      <c r="M524" s="60">
        <v>0</v>
      </c>
      <c r="N524" s="60">
        <v>0</v>
      </c>
      <c r="O524" s="60">
        <v>0</v>
      </c>
      <c r="P524" s="60">
        <v>0</v>
      </c>
      <c r="Q524" s="60">
        <v>0</v>
      </c>
      <c r="R524" s="60">
        <v>0</v>
      </c>
      <c r="S524" s="60">
        <v>0</v>
      </c>
      <c r="T524" s="60">
        <v>0</v>
      </c>
      <c r="U524" s="60">
        <v>0</v>
      </c>
      <c r="V524" s="60">
        <v>0</v>
      </c>
      <c r="W524" s="60">
        <v>0</v>
      </c>
      <c r="X524" s="60">
        <v>0</v>
      </c>
      <c r="Y524" s="60">
        <v>0</v>
      </c>
      <c r="Z524" s="60">
        <v>0</v>
      </c>
      <c r="AA524" s="60">
        <v>0</v>
      </c>
      <c r="AB524" s="60">
        <v>0</v>
      </c>
      <c r="AC524" s="60">
        <f>ROUND(N524*1.5%,2)</f>
        <v>0</v>
      </c>
      <c r="AD524" s="62">
        <v>68497.22</v>
      </c>
      <c r="AE524" s="60">
        <v>0</v>
      </c>
      <c r="AF524" s="170">
        <v>2020</v>
      </c>
      <c r="AG524" s="170" t="s">
        <v>257</v>
      </c>
      <c r="AH524" s="170" t="s">
        <v>257</v>
      </c>
    </row>
    <row r="525" spans="1:34" ht="61.5" x14ac:dyDescent="0.85">
      <c r="A525" s="7">
        <v>1</v>
      </c>
      <c r="B525" s="59">
        <f>SUBTOTAL(103,$A$22:A525)</f>
        <v>445</v>
      </c>
      <c r="C525" s="160" t="s">
        <v>1189</v>
      </c>
      <c r="D525" s="60">
        <f>E525+F525+G525+H525+I525+J525+L525+N525+P525+R525+T525+U525+V525+W525+X525+Y525+Z525+AA525+AB525+AC525+AD525+AE525</f>
        <v>1767372.2100000002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168">
        <v>0</v>
      </c>
      <c r="L525" s="60">
        <v>0</v>
      </c>
      <c r="M525" s="62">
        <v>440.35</v>
      </c>
      <c r="N525" s="62">
        <v>1631223.1</v>
      </c>
      <c r="O525" s="60">
        <v>0</v>
      </c>
      <c r="P525" s="60">
        <v>0</v>
      </c>
      <c r="Q525" s="60">
        <v>0</v>
      </c>
      <c r="R525" s="60">
        <v>0</v>
      </c>
      <c r="S525" s="60">
        <v>0</v>
      </c>
      <c r="T525" s="60">
        <v>0</v>
      </c>
      <c r="U525" s="60">
        <v>0</v>
      </c>
      <c r="V525" s="60">
        <v>0</v>
      </c>
      <c r="W525" s="60">
        <v>0</v>
      </c>
      <c r="X525" s="60">
        <v>0</v>
      </c>
      <c r="Y525" s="60">
        <v>0</v>
      </c>
      <c r="Z525" s="60">
        <v>0</v>
      </c>
      <c r="AA525" s="60">
        <v>0</v>
      </c>
      <c r="AB525" s="60">
        <v>0</v>
      </c>
      <c r="AC525" s="62">
        <v>16149.11</v>
      </c>
      <c r="AD525" s="60">
        <v>0</v>
      </c>
      <c r="AE525" s="60">
        <v>120000</v>
      </c>
      <c r="AF525" s="170" t="s">
        <v>257</v>
      </c>
      <c r="AG525" s="170">
        <v>2020</v>
      </c>
      <c r="AH525" s="63">
        <v>2020</v>
      </c>
    </row>
    <row r="526" spans="1:34" ht="61.5" x14ac:dyDescent="0.85">
      <c r="A526" s="7">
        <v>1</v>
      </c>
      <c r="B526" s="59">
        <f>SUBTOTAL(103,$A$22:A526)</f>
        <v>446</v>
      </c>
      <c r="C526" s="160" t="s">
        <v>1190</v>
      </c>
      <c r="D526" s="60">
        <f>E526+F526+G526+H526+I526+J526+L526+N526+P526+R526+T526+U526+V526+W526+X526+Y526+Z526+AA526+AB526+AC526+AD526+AE526</f>
        <v>1327119.4200000002</v>
      </c>
      <c r="E526" s="60">
        <v>0</v>
      </c>
      <c r="F526" s="60">
        <v>0</v>
      </c>
      <c r="G526" s="60">
        <v>0</v>
      </c>
      <c r="H526" s="60">
        <v>0</v>
      </c>
      <c r="I526" s="60">
        <v>0</v>
      </c>
      <c r="J526" s="60">
        <v>0</v>
      </c>
      <c r="K526" s="168">
        <v>0</v>
      </c>
      <c r="L526" s="60">
        <v>0</v>
      </c>
      <c r="M526" s="62">
        <v>408</v>
      </c>
      <c r="N526" s="62">
        <v>1195286.0900000001</v>
      </c>
      <c r="O526" s="60">
        <v>0</v>
      </c>
      <c r="P526" s="60">
        <v>0</v>
      </c>
      <c r="Q526" s="60">
        <v>0</v>
      </c>
      <c r="R526" s="60">
        <v>0</v>
      </c>
      <c r="S526" s="60">
        <v>0</v>
      </c>
      <c r="T526" s="60">
        <v>0</v>
      </c>
      <c r="U526" s="60">
        <v>0</v>
      </c>
      <c r="V526" s="60">
        <v>0</v>
      </c>
      <c r="W526" s="60">
        <v>0</v>
      </c>
      <c r="X526" s="60">
        <v>0</v>
      </c>
      <c r="Y526" s="60">
        <v>0</v>
      </c>
      <c r="Z526" s="60">
        <v>0</v>
      </c>
      <c r="AA526" s="60">
        <v>0</v>
      </c>
      <c r="AB526" s="60">
        <v>0</v>
      </c>
      <c r="AC526" s="169">
        <v>11833.33</v>
      </c>
      <c r="AD526" s="60">
        <v>0</v>
      </c>
      <c r="AE526" s="60">
        <v>120000</v>
      </c>
      <c r="AF526" s="170" t="s">
        <v>257</v>
      </c>
      <c r="AG526" s="170">
        <v>2020</v>
      </c>
      <c r="AH526" s="63">
        <v>2020</v>
      </c>
    </row>
    <row r="527" spans="1:34" ht="61.5" x14ac:dyDescent="0.85">
      <c r="A527" s="7">
        <v>1</v>
      </c>
      <c r="B527" s="59">
        <f>SUBTOTAL(103,$A$22:A527)</f>
        <v>447</v>
      </c>
      <c r="C527" s="160" t="s">
        <v>1191</v>
      </c>
      <c r="D527" s="60">
        <f>E527+F527+G527+H527+I527+J527+L527+N527+P527+R527+T527+U527+V527+W527+X527+Y527+Z527+AA527+AB527+AC527+AD527+AE527</f>
        <v>640139.25</v>
      </c>
      <c r="E527" s="60">
        <v>0</v>
      </c>
      <c r="F527" s="60">
        <v>0</v>
      </c>
      <c r="G527" s="60">
        <v>0</v>
      </c>
      <c r="H527" s="60">
        <v>0</v>
      </c>
      <c r="I527" s="172">
        <v>633864</v>
      </c>
      <c r="J527" s="60">
        <v>0</v>
      </c>
      <c r="K527" s="168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0">
        <v>0</v>
      </c>
      <c r="T527" s="60">
        <v>0</v>
      </c>
      <c r="U527" s="60">
        <v>0</v>
      </c>
      <c r="V527" s="60">
        <v>0</v>
      </c>
      <c r="W527" s="60">
        <v>0</v>
      </c>
      <c r="X527" s="60">
        <v>0</v>
      </c>
      <c r="Y527" s="60">
        <v>0</v>
      </c>
      <c r="Z527" s="60">
        <v>0</v>
      </c>
      <c r="AA527" s="60">
        <v>0</v>
      </c>
      <c r="AB527" s="60">
        <v>0</v>
      </c>
      <c r="AC527" s="172">
        <v>6275.25</v>
      </c>
      <c r="AD527" s="60">
        <v>0</v>
      </c>
      <c r="AE527" s="60">
        <v>0</v>
      </c>
      <c r="AF527" s="170" t="s">
        <v>257</v>
      </c>
      <c r="AG527" s="170">
        <v>2020</v>
      </c>
      <c r="AH527" s="63">
        <v>2020</v>
      </c>
    </row>
    <row r="528" spans="1:34" ht="61.5" x14ac:dyDescent="0.85">
      <c r="B528" s="160" t="s">
        <v>804</v>
      </c>
      <c r="C528" s="160"/>
      <c r="D528" s="177">
        <f t="shared" ref="D528:AE528" si="80">D529</f>
        <v>3982171.62</v>
      </c>
      <c r="E528" s="60">
        <f t="shared" si="80"/>
        <v>0</v>
      </c>
      <c r="F528" s="60">
        <f t="shared" si="80"/>
        <v>0</v>
      </c>
      <c r="G528" s="60">
        <f t="shared" si="80"/>
        <v>0</v>
      </c>
      <c r="H528" s="60">
        <f t="shared" si="80"/>
        <v>0</v>
      </c>
      <c r="I528" s="60">
        <f t="shared" si="80"/>
        <v>0</v>
      </c>
      <c r="J528" s="60">
        <f t="shared" si="80"/>
        <v>0</v>
      </c>
      <c r="K528" s="168">
        <f t="shared" si="80"/>
        <v>0</v>
      </c>
      <c r="L528" s="60">
        <f t="shared" si="80"/>
        <v>0</v>
      </c>
      <c r="M528" s="60">
        <f t="shared" si="80"/>
        <v>1024.72</v>
      </c>
      <c r="N528" s="60">
        <f t="shared" si="80"/>
        <v>3826730.34</v>
      </c>
      <c r="O528" s="60">
        <f t="shared" si="80"/>
        <v>0</v>
      </c>
      <c r="P528" s="60">
        <f t="shared" si="80"/>
        <v>0</v>
      </c>
      <c r="Q528" s="60">
        <f t="shared" si="80"/>
        <v>0</v>
      </c>
      <c r="R528" s="60">
        <f t="shared" si="80"/>
        <v>0</v>
      </c>
      <c r="S528" s="60">
        <f t="shared" si="80"/>
        <v>0</v>
      </c>
      <c r="T528" s="60">
        <f t="shared" si="80"/>
        <v>0</v>
      </c>
      <c r="U528" s="60">
        <f t="shared" si="80"/>
        <v>0</v>
      </c>
      <c r="V528" s="60">
        <f t="shared" si="80"/>
        <v>0</v>
      </c>
      <c r="W528" s="60">
        <f t="shared" si="80"/>
        <v>0</v>
      </c>
      <c r="X528" s="60">
        <f t="shared" si="80"/>
        <v>0</v>
      </c>
      <c r="Y528" s="60">
        <f t="shared" si="80"/>
        <v>0</v>
      </c>
      <c r="Z528" s="60">
        <f t="shared" si="80"/>
        <v>0</v>
      </c>
      <c r="AA528" s="60">
        <f t="shared" si="80"/>
        <v>0</v>
      </c>
      <c r="AB528" s="60">
        <f t="shared" si="80"/>
        <v>0</v>
      </c>
      <c r="AC528" s="60">
        <f t="shared" si="80"/>
        <v>49364.83</v>
      </c>
      <c r="AD528" s="60">
        <f t="shared" si="80"/>
        <v>106076.45</v>
      </c>
      <c r="AE528" s="60">
        <f t="shared" si="80"/>
        <v>0</v>
      </c>
      <c r="AF528" s="54" t="s">
        <v>701</v>
      </c>
      <c r="AG528" s="54" t="s">
        <v>701</v>
      </c>
      <c r="AH528" s="55" t="s">
        <v>701</v>
      </c>
    </row>
    <row r="529" spans="1:34" ht="61.5" x14ac:dyDescent="0.85">
      <c r="A529" s="7">
        <v>1</v>
      </c>
      <c r="B529" s="59">
        <f>SUBTOTAL(103,$A$22:A529)</f>
        <v>448</v>
      </c>
      <c r="C529" s="160" t="s">
        <v>179</v>
      </c>
      <c r="D529" s="60">
        <f>E529+F529+G529+H529+I529+J529+L529+N529+P529+R529+T529+U529+V529+W529+X529+Y529+Z529+AA529+AB529+AC529+AD529+AE529</f>
        <v>3982171.62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168">
        <v>0</v>
      </c>
      <c r="L529" s="60">
        <v>0</v>
      </c>
      <c r="M529" s="62">
        <v>1024.72</v>
      </c>
      <c r="N529" s="62">
        <v>3826730.34</v>
      </c>
      <c r="O529" s="60">
        <v>0</v>
      </c>
      <c r="P529" s="60">
        <v>0</v>
      </c>
      <c r="Q529" s="60">
        <v>0</v>
      </c>
      <c r="R529" s="60">
        <v>0</v>
      </c>
      <c r="S529" s="60">
        <v>0</v>
      </c>
      <c r="T529" s="60">
        <v>0</v>
      </c>
      <c r="U529" s="60">
        <v>0</v>
      </c>
      <c r="V529" s="60">
        <v>0</v>
      </c>
      <c r="W529" s="60">
        <v>0</v>
      </c>
      <c r="X529" s="60">
        <v>0</v>
      </c>
      <c r="Y529" s="60">
        <v>0</v>
      </c>
      <c r="Z529" s="60">
        <v>0</v>
      </c>
      <c r="AA529" s="60">
        <v>0</v>
      </c>
      <c r="AB529" s="60">
        <v>0</v>
      </c>
      <c r="AC529" s="62">
        <v>49364.83</v>
      </c>
      <c r="AD529" s="62">
        <v>106076.45</v>
      </c>
      <c r="AE529" s="60">
        <v>0</v>
      </c>
      <c r="AF529" s="170">
        <v>2020</v>
      </c>
      <c r="AG529" s="170">
        <v>2020</v>
      </c>
      <c r="AH529" s="63">
        <v>2020</v>
      </c>
    </row>
    <row r="530" spans="1:34" ht="61.5" x14ac:dyDescent="0.85">
      <c r="B530" s="160" t="s">
        <v>805</v>
      </c>
      <c r="C530" s="160"/>
      <c r="D530" s="177">
        <f t="shared" ref="D530:AE530" si="81">D531+D532</f>
        <v>8046011.1599999992</v>
      </c>
      <c r="E530" s="60">
        <f t="shared" si="81"/>
        <v>0</v>
      </c>
      <c r="F530" s="60">
        <f t="shared" si="81"/>
        <v>0</v>
      </c>
      <c r="G530" s="60">
        <f t="shared" si="81"/>
        <v>0</v>
      </c>
      <c r="H530" s="60">
        <f t="shared" si="81"/>
        <v>0</v>
      </c>
      <c r="I530" s="60">
        <f t="shared" si="81"/>
        <v>0</v>
      </c>
      <c r="J530" s="60">
        <f t="shared" si="81"/>
        <v>0</v>
      </c>
      <c r="K530" s="168">
        <f t="shared" si="81"/>
        <v>0</v>
      </c>
      <c r="L530" s="60">
        <f t="shared" si="81"/>
        <v>0</v>
      </c>
      <c r="M530" s="60">
        <f t="shared" si="81"/>
        <v>616.86</v>
      </c>
      <c r="N530" s="60">
        <f t="shared" si="81"/>
        <v>2614299.75</v>
      </c>
      <c r="O530" s="60">
        <f t="shared" si="81"/>
        <v>0</v>
      </c>
      <c r="P530" s="60">
        <f t="shared" si="81"/>
        <v>0</v>
      </c>
      <c r="Q530" s="60">
        <f t="shared" si="81"/>
        <v>2869</v>
      </c>
      <c r="R530" s="60">
        <f t="shared" si="81"/>
        <v>5415331.7699999996</v>
      </c>
      <c r="S530" s="60">
        <f t="shared" si="81"/>
        <v>0</v>
      </c>
      <c r="T530" s="60">
        <f t="shared" si="81"/>
        <v>0</v>
      </c>
      <c r="U530" s="60">
        <f t="shared" si="81"/>
        <v>0</v>
      </c>
      <c r="V530" s="60">
        <f t="shared" si="81"/>
        <v>0</v>
      </c>
      <c r="W530" s="60">
        <f t="shared" si="81"/>
        <v>0</v>
      </c>
      <c r="X530" s="60">
        <f t="shared" si="81"/>
        <v>0</v>
      </c>
      <c r="Y530" s="60">
        <f t="shared" si="81"/>
        <v>0</v>
      </c>
      <c r="Z530" s="60">
        <f t="shared" si="81"/>
        <v>0</v>
      </c>
      <c r="AA530" s="60">
        <f t="shared" si="81"/>
        <v>0</v>
      </c>
      <c r="AB530" s="60">
        <f t="shared" si="81"/>
        <v>0</v>
      </c>
      <c r="AC530" s="60">
        <f t="shared" si="81"/>
        <v>16379.64</v>
      </c>
      <c r="AD530" s="60">
        <f t="shared" si="81"/>
        <v>0</v>
      </c>
      <c r="AE530" s="60">
        <f t="shared" si="81"/>
        <v>0</v>
      </c>
      <c r="AF530" s="54" t="s">
        <v>701</v>
      </c>
      <c r="AG530" s="54" t="s">
        <v>701</v>
      </c>
      <c r="AH530" s="55" t="s">
        <v>701</v>
      </c>
    </row>
    <row r="531" spans="1:34" ht="61.5" x14ac:dyDescent="0.85">
      <c r="A531" s="7">
        <v>1</v>
      </c>
      <c r="B531" s="59">
        <f>SUBTOTAL(103,$A$22:A531)</f>
        <v>449</v>
      </c>
      <c r="C531" s="160" t="s">
        <v>178</v>
      </c>
      <c r="D531" s="60">
        <f>E531+F531+G531+H531+I531+J531+L531+N531+P531+R531+T531+U531+V531+W531+X531+Y531+Z531+AA531+AB531+AC531+AD531+AE531</f>
        <v>2614299.75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168">
        <v>0</v>
      </c>
      <c r="L531" s="60">
        <v>0</v>
      </c>
      <c r="M531" s="62">
        <v>616.86</v>
      </c>
      <c r="N531" s="62">
        <v>2614299.75</v>
      </c>
      <c r="O531" s="60">
        <v>0</v>
      </c>
      <c r="P531" s="60">
        <v>0</v>
      </c>
      <c r="Q531" s="60">
        <v>0</v>
      </c>
      <c r="R531" s="60">
        <v>0</v>
      </c>
      <c r="S531" s="60">
        <v>0</v>
      </c>
      <c r="T531" s="60">
        <v>0</v>
      </c>
      <c r="U531" s="60">
        <v>0</v>
      </c>
      <c r="V531" s="60">
        <v>0</v>
      </c>
      <c r="W531" s="60">
        <v>0</v>
      </c>
      <c r="X531" s="60">
        <v>0</v>
      </c>
      <c r="Y531" s="60">
        <v>0</v>
      </c>
      <c r="Z531" s="60">
        <v>0</v>
      </c>
      <c r="AA531" s="60">
        <v>0</v>
      </c>
      <c r="AB531" s="60">
        <v>0</v>
      </c>
      <c r="AC531" s="60">
        <v>0</v>
      </c>
      <c r="AD531" s="60">
        <v>0</v>
      </c>
      <c r="AE531" s="60">
        <v>0</v>
      </c>
      <c r="AF531" s="170" t="s">
        <v>257</v>
      </c>
      <c r="AG531" s="170">
        <v>2020</v>
      </c>
      <c r="AH531" s="63" t="s">
        <v>257</v>
      </c>
    </row>
    <row r="532" spans="1:34" ht="61.5" x14ac:dyDescent="0.85">
      <c r="A532" s="7">
        <v>1</v>
      </c>
      <c r="B532" s="59">
        <f>SUBTOTAL(103,$A$22:A532)</f>
        <v>450</v>
      </c>
      <c r="C532" s="160" t="s">
        <v>1452</v>
      </c>
      <c r="D532" s="60">
        <f>E532+F532+G532+H532+I532+J532+L532+N532+P532+R532+T532+U532+V532+W532+X532+Y532+Z532+AA532+AB532+AC532+AD532+AE532</f>
        <v>5431711.4099999992</v>
      </c>
      <c r="E532" s="60">
        <v>0</v>
      </c>
      <c r="F532" s="60">
        <v>0</v>
      </c>
      <c r="G532" s="60">
        <v>0</v>
      </c>
      <c r="H532" s="60">
        <v>0</v>
      </c>
      <c r="I532" s="60">
        <v>0</v>
      </c>
      <c r="J532" s="60">
        <v>0</v>
      </c>
      <c r="K532" s="168">
        <v>0</v>
      </c>
      <c r="L532" s="60">
        <v>0</v>
      </c>
      <c r="M532" s="60">
        <v>0</v>
      </c>
      <c r="N532" s="60">
        <v>0</v>
      </c>
      <c r="O532" s="60">
        <v>0</v>
      </c>
      <c r="P532" s="60">
        <v>0</v>
      </c>
      <c r="Q532" s="62">
        <v>2869</v>
      </c>
      <c r="R532" s="62">
        <f>3760822.73+1654509.04</f>
        <v>5415331.7699999996</v>
      </c>
      <c r="S532" s="60">
        <v>0</v>
      </c>
      <c r="T532" s="60">
        <v>0</v>
      </c>
      <c r="U532" s="60">
        <v>0</v>
      </c>
      <c r="V532" s="60">
        <v>0</v>
      </c>
      <c r="W532" s="60">
        <v>0</v>
      </c>
      <c r="X532" s="60">
        <v>0</v>
      </c>
      <c r="Y532" s="60">
        <v>0</v>
      </c>
      <c r="Z532" s="60">
        <v>0</v>
      </c>
      <c r="AA532" s="60">
        <v>0</v>
      </c>
      <c r="AB532" s="60">
        <v>0</v>
      </c>
      <c r="AC532" s="169">
        <v>16379.64</v>
      </c>
      <c r="AD532" s="60">
        <v>0</v>
      </c>
      <c r="AE532" s="60">
        <v>0</v>
      </c>
      <c r="AF532" s="170" t="s">
        <v>257</v>
      </c>
      <c r="AG532" s="170">
        <v>2020</v>
      </c>
      <c r="AH532" s="63">
        <v>2020</v>
      </c>
    </row>
    <row r="533" spans="1:34" ht="61.5" x14ac:dyDescent="0.85">
      <c r="B533" s="160" t="s">
        <v>806</v>
      </c>
      <c r="C533" s="160"/>
      <c r="D533" s="177">
        <f t="shared" ref="D533:AE533" si="82">D534</f>
        <v>1241065.97</v>
      </c>
      <c r="E533" s="60">
        <f t="shared" si="82"/>
        <v>0</v>
      </c>
      <c r="F533" s="60">
        <f t="shared" si="82"/>
        <v>0</v>
      </c>
      <c r="G533" s="60">
        <f t="shared" si="82"/>
        <v>0</v>
      </c>
      <c r="H533" s="60">
        <f t="shared" si="82"/>
        <v>0</v>
      </c>
      <c r="I533" s="60">
        <f t="shared" si="82"/>
        <v>0</v>
      </c>
      <c r="J533" s="60">
        <f t="shared" si="82"/>
        <v>0</v>
      </c>
      <c r="K533" s="168">
        <f t="shared" si="82"/>
        <v>0</v>
      </c>
      <c r="L533" s="60">
        <f t="shared" si="82"/>
        <v>0</v>
      </c>
      <c r="M533" s="60">
        <f t="shared" si="82"/>
        <v>362</v>
      </c>
      <c r="N533" s="60">
        <f t="shared" si="82"/>
        <v>1182710.79</v>
      </c>
      <c r="O533" s="60">
        <f t="shared" si="82"/>
        <v>0</v>
      </c>
      <c r="P533" s="60">
        <f t="shared" si="82"/>
        <v>0</v>
      </c>
      <c r="Q533" s="60">
        <f t="shared" si="82"/>
        <v>0</v>
      </c>
      <c r="R533" s="60">
        <f t="shared" si="82"/>
        <v>0</v>
      </c>
      <c r="S533" s="60">
        <f t="shared" si="82"/>
        <v>0</v>
      </c>
      <c r="T533" s="60">
        <f t="shared" si="82"/>
        <v>0</v>
      </c>
      <c r="U533" s="60">
        <f t="shared" si="82"/>
        <v>0</v>
      </c>
      <c r="V533" s="60">
        <f t="shared" si="82"/>
        <v>0</v>
      </c>
      <c r="W533" s="60">
        <f t="shared" si="82"/>
        <v>0</v>
      </c>
      <c r="X533" s="60">
        <f t="shared" si="82"/>
        <v>0</v>
      </c>
      <c r="Y533" s="60">
        <f t="shared" si="82"/>
        <v>0</v>
      </c>
      <c r="Z533" s="60">
        <f t="shared" si="82"/>
        <v>0</v>
      </c>
      <c r="AA533" s="60">
        <f t="shared" si="82"/>
        <v>0</v>
      </c>
      <c r="AB533" s="60">
        <f t="shared" si="82"/>
        <v>0</v>
      </c>
      <c r="AC533" s="60">
        <f t="shared" si="82"/>
        <v>15256.97</v>
      </c>
      <c r="AD533" s="60">
        <f t="shared" si="82"/>
        <v>43098.21</v>
      </c>
      <c r="AE533" s="60">
        <f t="shared" si="82"/>
        <v>0</v>
      </c>
      <c r="AF533" s="54" t="s">
        <v>701</v>
      </c>
      <c r="AG533" s="54" t="s">
        <v>701</v>
      </c>
      <c r="AH533" s="55" t="s">
        <v>701</v>
      </c>
    </row>
    <row r="534" spans="1:34" ht="61.5" x14ac:dyDescent="0.85">
      <c r="A534" s="7">
        <v>1</v>
      </c>
      <c r="B534" s="59">
        <f>SUBTOTAL(103,$A$22:A534)</f>
        <v>451</v>
      </c>
      <c r="C534" s="160" t="s">
        <v>177</v>
      </c>
      <c r="D534" s="60">
        <f>E534+F534+G534+H534+I534+J534+L534+N534+P534+R534+T534+U534+V534+W534+X534+Y534+Z534+AA534+AB534+AC534+AD534+AE534</f>
        <v>1241065.97</v>
      </c>
      <c r="E534" s="60">
        <v>0</v>
      </c>
      <c r="F534" s="60">
        <v>0</v>
      </c>
      <c r="G534" s="60">
        <v>0</v>
      </c>
      <c r="H534" s="60">
        <v>0</v>
      </c>
      <c r="I534" s="60">
        <v>0</v>
      </c>
      <c r="J534" s="60">
        <v>0</v>
      </c>
      <c r="K534" s="168">
        <v>0</v>
      </c>
      <c r="L534" s="60">
        <v>0</v>
      </c>
      <c r="M534" s="62">
        <v>362</v>
      </c>
      <c r="N534" s="62">
        <v>1182710.79</v>
      </c>
      <c r="O534" s="60">
        <v>0</v>
      </c>
      <c r="P534" s="60">
        <v>0</v>
      </c>
      <c r="Q534" s="60">
        <v>0</v>
      </c>
      <c r="R534" s="60">
        <v>0</v>
      </c>
      <c r="S534" s="60">
        <v>0</v>
      </c>
      <c r="T534" s="60">
        <v>0</v>
      </c>
      <c r="U534" s="60">
        <v>0</v>
      </c>
      <c r="V534" s="60">
        <v>0</v>
      </c>
      <c r="W534" s="60">
        <v>0</v>
      </c>
      <c r="X534" s="60">
        <v>0</v>
      </c>
      <c r="Y534" s="60">
        <v>0</v>
      </c>
      <c r="Z534" s="60">
        <v>0</v>
      </c>
      <c r="AA534" s="60">
        <v>0</v>
      </c>
      <c r="AB534" s="60">
        <v>0</v>
      </c>
      <c r="AC534" s="62">
        <v>15256.97</v>
      </c>
      <c r="AD534" s="62">
        <v>43098.21</v>
      </c>
      <c r="AE534" s="60">
        <v>0</v>
      </c>
      <c r="AF534" s="170">
        <v>2020</v>
      </c>
      <c r="AG534" s="170">
        <v>2020</v>
      </c>
      <c r="AH534" s="63">
        <v>2020</v>
      </c>
    </row>
    <row r="535" spans="1:34" ht="61.5" x14ac:dyDescent="0.85">
      <c r="B535" s="160" t="s">
        <v>807</v>
      </c>
      <c r="C535" s="176"/>
      <c r="D535" s="177">
        <f t="shared" ref="D535:AE535" si="83">SUM(D536:D544)</f>
        <v>9190793.5899999999</v>
      </c>
      <c r="E535" s="60">
        <f t="shared" si="83"/>
        <v>0</v>
      </c>
      <c r="F535" s="60">
        <f t="shared" si="83"/>
        <v>0</v>
      </c>
      <c r="G535" s="60">
        <f t="shared" si="83"/>
        <v>4555695.3099999996</v>
      </c>
      <c r="H535" s="60">
        <f t="shared" si="83"/>
        <v>0</v>
      </c>
      <c r="I535" s="60">
        <f t="shared" si="83"/>
        <v>0</v>
      </c>
      <c r="J535" s="60">
        <f t="shared" si="83"/>
        <v>0</v>
      </c>
      <c r="K535" s="168">
        <f t="shared" si="83"/>
        <v>0</v>
      </c>
      <c r="L535" s="60">
        <f t="shared" si="83"/>
        <v>0</v>
      </c>
      <c r="M535" s="60">
        <f t="shared" si="83"/>
        <v>1055.47</v>
      </c>
      <c r="N535" s="60">
        <f t="shared" si="83"/>
        <v>4084839.45</v>
      </c>
      <c r="O535" s="60">
        <f t="shared" si="83"/>
        <v>0</v>
      </c>
      <c r="P535" s="60">
        <f t="shared" si="83"/>
        <v>0</v>
      </c>
      <c r="Q535" s="60">
        <f t="shared" si="83"/>
        <v>0</v>
      </c>
      <c r="R535" s="60">
        <f t="shared" si="83"/>
        <v>0</v>
      </c>
      <c r="S535" s="60">
        <f t="shared" si="83"/>
        <v>0</v>
      </c>
      <c r="T535" s="60">
        <f t="shared" si="83"/>
        <v>0</v>
      </c>
      <c r="U535" s="60">
        <f t="shared" si="83"/>
        <v>0</v>
      </c>
      <c r="V535" s="60">
        <f t="shared" si="83"/>
        <v>0</v>
      </c>
      <c r="W535" s="60">
        <f t="shared" si="83"/>
        <v>0</v>
      </c>
      <c r="X535" s="60">
        <f t="shared" si="83"/>
        <v>0</v>
      </c>
      <c r="Y535" s="60">
        <f t="shared" si="83"/>
        <v>0</v>
      </c>
      <c r="Z535" s="60">
        <f t="shared" si="83"/>
        <v>0</v>
      </c>
      <c r="AA535" s="60">
        <f t="shared" si="83"/>
        <v>0</v>
      </c>
      <c r="AB535" s="60">
        <f t="shared" si="83"/>
        <v>0</v>
      </c>
      <c r="AC535" s="60">
        <f t="shared" si="83"/>
        <v>125283.63</v>
      </c>
      <c r="AD535" s="60">
        <f t="shared" si="83"/>
        <v>424975.2</v>
      </c>
      <c r="AE535" s="60">
        <f t="shared" si="83"/>
        <v>0</v>
      </c>
      <c r="AF535" s="54" t="s">
        <v>701</v>
      </c>
      <c r="AG535" s="54" t="s">
        <v>701</v>
      </c>
      <c r="AH535" s="55" t="s">
        <v>701</v>
      </c>
    </row>
    <row r="536" spans="1:34" ht="61.5" x14ac:dyDescent="0.85">
      <c r="A536" s="7">
        <v>1</v>
      </c>
      <c r="B536" s="59">
        <f>SUBTOTAL(103,$A$22:A536)</f>
        <v>452</v>
      </c>
      <c r="C536" s="160" t="s">
        <v>205</v>
      </c>
      <c r="D536" s="60">
        <f t="shared" ref="D536:D544" si="84">E536+F536+G536+H536+I536+J536+L536+N536+P536+R536+T536+U536+V536+W536+X536+Y536+Z536+AA536+AB536+AC536+AD536+AE536</f>
        <v>4272931.8100000005</v>
      </c>
      <c r="E536" s="60">
        <v>0</v>
      </c>
      <c r="F536" s="60">
        <v>0</v>
      </c>
      <c r="G536" s="60">
        <v>0</v>
      </c>
      <c r="H536" s="60">
        <v>0</v>
      </c>
      <c r="I536" s="60">
        <v>0</v>
      </c>
      <c r="J536" s="60">
        <v>0</v>
      </c>
      <c r="K536" s="168">
        <v>0</v>
      </c>
      <c r="L536" s="60">
        <v>0</v>
      </c>
      <c r="M536" s="62">
        <v>1055.47</v>
      </c>
      <c r="N536" s="62">
        <v>4084839.45</v>
      </c>
      <c r="O536" s="60">
        <v>0</v>
      </c>
      <c r="P536" s="60">
        <v>0</v>
      </c>
      <c r="Q536" s="60">
        <v>0</v>
      </c>
      <c r="R536" s="60">
        <v>0</v>
      </c>
      <c r="S536" s="60">
        <v>0</v>
      </c>
      <c r="T536" s="60">
        <v>0</v>
      </c>
      <c r="U536" s="60">
        <v>0</v>
      </c>
      <c r="V536" s="60">
        <v>0</v>
      </c>
      <c r="W536" s="60">
        <v>0</v>
      </c>
      <c r="X536" s="60">
        <v>0</v>
      </c>
      <c r="Y536" s="60">
        <v>0</v>
      </c>
      <c r="Z536" s="60">
        <v>0</v>
      </c>
      <c r="AA536" s="60">
        <v>0</v>
      </c>
      <c r="AB536" s="60">
        <v>0</v>
      </c>
      <c r="AC536" s="60">
        <f>ROUND(N536*1.4025%,2)</f>
        <v>57289.87</v>
      </c>
      <c r="AD536" s="62">
        <v>130802.49</v>
      </c>
      <c r="AE536" s="60">
        <v>0</v>
      </c>
      <c r="AF536" s="170">
        <v>2020</v>
      </c>
      <c r="AG536" s="170">
        <v>2020</v>
      </c>
      <c r="AH536" s="63">
        <v>2020</v>
      </c>
    </row>
    <row r="537" spans="1:34" ht="61.5" x14ac:dyDescent="0.85">
      <c r="A537" s="7">
        <v>1</v>
      </c>
      <c r="B537" s="59">
        <f>SUBTOTAL(103,$A$22:A537)</f>
        <v>453</v>
      </c>
      <c r="C537" s="160" t="s">
        <v>1193</v>
      </c>
      <c r="D537" s="60">
        <f t="shared" si="84"/>
        <v>2514865.17</v>
      </c>
      <c r="E537" s="60">
        <v>0</v>
      </c>
      <c r="F537" s="60">
        <v>0</v>
      </c>
      <c r="G537" s="62">
        <v>2477882.77</v>
      </c>
      <c r="H537" s="60">
        <v>0</v>
      </c>
      <c r="I537" s="60">
        <v>0</v>
      </c>
      <c r="J537" s="60">
        <v>0</v>
      </c>
      <c r="K537" s="168">
        <v>0</v>
      </c>
      <c r="L537" s="60">
        <v>0</v>
      </c>
      <c r="M537" s="60">
        <v>0</v>
      </c>
      <c r="N537" s="60">
        <v>0</v>
      </c>
      <c r="O537" s="60">
        <v>0</v>
      </c>
      <c r="P537" s="60">
        <v>0</v>
      </c>
      <c r="Q537" s="60">
        <v>0</v>
      </c>
      <c r="R537" s="60">
        <v>0</v>
      </c>
      <c r="S537" s="60">
        <v>0</v>
      </c>
      <c r="T537" s="60">
        <v>0</v>
      </c>
      <c r="U537" s="60">
        <v>0</v>
      </c>
      <c r="V537" s="60">
        <v>0</v>
      </c>
      <c r="W537" s="60">
        <v>0</v>
      </c>
      <c r="X537" s="60">
        <v>0</v>
      </c>
      <c r="Y537" s="60">
        <v>0</v>
      </c>
      <c r="Z537" s="60">
        <v>0</v>
      </c>
      <c r="AA537" s="60">
        <v>0</v>
      </c>
      <c r="AB537" s="60">
        <v>0</v>
      </c>
      <c r="AC537" s="60">
        <f>ROUND((E537+F537+G537+H537+I537+J537)*1.4925%,2)</f>
        <v>36982.400000000001</v>
      </c>
      <c r="AD537" s="60">
        <v>0</v>
      </c>
      <c r="AE537" s="60">
        <v>0</v>
      </c>
      <c r="AF537" s="170" t="s">
        <v>257</v>
      </c>
      <c r="AG537" s="170">
        <v>2020</v>
      </c>
      <c r="AH537" s="63">
        <v>2020</v>
      </c>
    </row>
    <row r="538" spans="1:34" ht="61.5" x14ac:dyDescent="0.85">
      <c r="A538" s="7">
        <v>1</v>
      </c>
      <c r="B538" s="59">
        <f>SUBTOTAL(103,$A$22:A538)</f>
        <v>454</v>
      </c>
      <c r="C538" s="160" t="s">
        <v>1194</v>
      </c>
      <c r="D538" s="60">
        <f t="shared" si="84"/>
        <v>229212.26</v>
      </c>
      <c r="E538" s="60">
        <v>0</v>
      </c>
      <c r="F538" s="60">
        <v>0</v>
      </c>
      <c r="G538" s="62">
        <v>225841.57</v>
      </c>
      <c r="H538" s="60">
        <v>0</v>
      </c>
      <c r="I538" s="60">
        <v>0</v>
      </c>
      <c r="J538" s="60">
        <v>0</v>
      </c>
      <c r="K538" s="168">
        <v>0</v>
      </c>
      <c r="L538" s="60">
        <v>0</v>
      </c>
      <c r="M538" s="60">
        <v>0</v>
      </c>
      <c r="N538" s="60">
        <v>0</v>
      </c>
      <c r="O538" s="60">
        <v>0</v>
      </c>
      <c r="P538" s="60">
        <v>0</v>
      </c>
      <c r="Q538" s="60">
        <v>0</v>
      </c>
      <c r="R538" s="60">
        <v>0</v>
      </c>
      <c r="S538" s="60">
        <v>0</v>
      </c>
      <c r="T538" s="60">
        <v>0</v>
      </c>
      <c r="U538" s="60">
        <v>0</v>
      </c>
      <c r="V538" s="60">
        <v>0</v>
      </c>
      <c r="W538" s="60">
        <v>0</v>
      </c>
      <c r="X538" s="60">
        <v>0</v>
      </c>
      <c r="Y538" s="60">
        <v>0</v>
      </c>
      <c r="Z538" s="60">
        <v>0</v>
      </c>
      <c r="AA538" s="60">
        <v>0</v>
      </c>
      <c r="AB538" s="60">
        <v>0</v>
      </c>
      <c r="AC538" s="62">
        <v>3370.69</v>
      </c>
      <c r="AD538" s="60">
        <v>0</v>
      </c>
      <c r="AE538" s="60">
        <v>0</v>
      </c>
      <c r="AF538" s="170" t="s">
        <v>257</v>
      </c>
      <c r="AG538" s="170">
        <v>2020</v>
      </c>
      <c r="AH538" s="63">
        <v>2020</v>
      </c>
    </row>
    <row r="539" spans="1:34" ht="61.5" x14ac:dyDescent="0.85">
      <c r="A539" s="7">
        <v>1</v>
      </c>
      <c r="B539" s="59">
        <f>SUBTOTAL(103,$A$22:A539)</f>
        <v>455</v>
      </c>
      <c r="C539" s="160" t="s">
        <v>1195</v>
      </c>
      <c r="D539" s="60">
        <f t="shared" si="84"/>
        <v>1879611.64</v>
      </c>
      <c r="E539" s="60">
        <v>0</v>
      </c>
      <c r="F539" s="60">
        <v>0</v>
      </c>
      <c r="G539" s="62">
        <v>1851970.97</v>
      </c>
      <c r="H539" s="60">
        <v>0</v>
      </c>
      <c r="I539" s="60">
        <v>0</v>
      </c>
      <c r="J539" s="60">
        <v>0</v>
      </c>
      <c r="K539" s="168">
        <v>0</v>
      </c>
      <c r="L539" s="60">
        <v>0</v>
      </c>
      <c r="M539" s="60">
        <v>0</v>
      </c>
      <c r="N539" s="60">
        <v>0</v>
      </c>
      <c r="O539" s="60">
        <v>0</v>
      </c>
      <c r="P539" s="60">
        <v>0</v>
      </c>
      <c r="Q539" s="60">
        <v>0</v>
      </c>
      <c r="R539" s="60">
        <v>0</v>
      </c>
      <c r="S539" s="60">
        <v>0</v>
      </c>
      <c r="T539" s="60">
        <v>0</v>
      </c>
      <c r="U539" s="60">
        <v>0</v>
      </c>
      <c r="V539" s="60">
        <v>0</v>
      </c>
      <c r="W539" s="60">
        <v>0</v>
      </c>
      <c r="X539" s="60">
        <v>0</v>
      </c>
      <c r="Y539" s="60">
        <v>0</v>
      </c>
      <c r="Z539" s="60">
        <v>0</v>
      </c>
      <c r="AA539" s="60">
        <v>0</v>
      </c>
      <c r="AB539" s="60">
        <v>0</v>
      </c>
      <c r="AC539" s="62">
        <v>27640.67</v>
      </c>
      <c r="AD539" s="60">
        <v>0</v>
      </c>
      <c r="AE539" s="60">
        <v>0</v>
      </c>
      <c r="AF539" s="170" t="s">
        <v>257</v>
      </c>
      <c r="AG539" s="170">
        <v>2020</v>
      </c>
      <c r="AH539" s="63">
        <v>2020</v>
      </c>
    </row>
    <row r="540" spans="1:34" ht="61.5" x14ac:dyDescent="0.85">
      <c r="A540" s="7">
        <v>1</v>
      </c>
      <c r="B540" s="59">
        <f>SUBTOTAL(103,$A$22:A540)</f>
        <v>456</v>
      </c>
      <c r="C540" s="160" t="s">
        <v>206</v>
      </c>
      <c r="D540" s="60">
        <f t="shared" si="84"/>
        <v>57236.97</v>
      </c>
      <c r="E540" s="60">
        <v>0</v>
      </c>
      <c r="F540" s="60">
        <v>0</v>
      </c>
      <c r="G540" s="60">
        <v>0</v>
      </c>
      <c r="H540" s="60">
        <v>0</v>
      </c>
      <c r="I540" s="60">
        <v>0</v>
      </c>
      <c r="J540" s="60">
        <v>0</v>
      </c>
      <c r="K540" s="168">
        <v>0</v>
      </c>
      <c r="L540" s="60">
        <v>0</v>
      </c>
      <c r="M540" s="60">
        <v>0</v>
      </c>
      <c r="N540" s="60">
        <v>0</v>
      </c>
      <c r="O540" s="60">
        <v>0</v>
      </c>
      <c r="P540" s="60">
        <v>0</v>
      </c>
      <c r="Q540" s="60">
        <v>0</v>
      </c>
      <c r="R540" s="60">
        <v>0</v>
      </c>
      <c r="S540" s="60">
        <v>0</v>
      </c>
      <c r="T540" s="60">
        <v>0</v>
      </c>
      <c r="U540" s="60">
        <v>0</v>
      </c>
      <c r="V540" s="60">
        <v>0</v>
      </c>
      <c r="W540" s="60">
        <v>0</v>
      </c>
      <c r="X540" s="60">
        <v>0</v>
      </c>
      <c r="Y540" s="60">
        <v>0</v>
      </c>
      <c r="Z540" s="60">
        <v>0</v>
      </c>
      <c r="AA540" s="60">
        <v>0</v>
      </c>
      <c r="AB540" s="60">
        <v>0</v>
      </c>
      <c r="AC540" s="60">
        <f>ROUND((E540+F540+G540+H540+I540+J540)*1.5%,2)</f>
        <v>0</v>
      </c>
      <c r="AD540" s="62">
        <v>57236.97</v>
      </c>
      <c r="AE540" s="60">
        <v>0</v>
      </c>
      <c r="AF540" s="170">
        <v>2020</v>
      </c>
      <c r="AG540" s="170" t="s">
        <v>257</v>
      </c>
      <c r="AH540" s="170" t="s">
        <v>257</v>
      </c>
    </row>
    <row r="541" spans="1:34" ht="61.5" x14ac:dyDescent="0.85">
      <c r="A541" s="7">
        <v>1</v>
      </c>
      <c r="B541" s="59">
        <f>SUBTOTAL(103,$A$22:A541)</f>
        <v>457</v>
      </c>
      <c r="C541" s="160" t="s">
        <v>1465</v>
      </c>
      <c r="D541" s="60">
        <f t="shared" si="84"/>
        <v>60862.57</v>
      </c>
      <c r="E541" s="60">
        <v>0</v>
      </c>
      <c r="F541" s="60">
        <v>0</v>
      </c>
      <c r="G541" s="60">
        <v>0</v>
      </c>
      <c r="H541" s="60">
        <v>0</v>
      </c>
      <c r="I541" s="60">
        <v>0</v>
      </c>
      <c r="J541" s="60">
        <v>0</v>
      </c>
      <c r="K541" s="168">
        <v>0</v>
      </c>
      <c r="L541" s="60">
        <v>0</v>
      </c>
      <c r="M541" s="60">
        <v>0</v>
      </c>
      <c r="N541" s="60">
        <v>0</v>
      </c>
      <c r="O541" s="60">
        <v>0</v>
      </c>
      <c r="P541" s="60">
        <v>0</v>
      </c>
      <c r="Q541" s="60">
        <v>0</v>
      </c>
      <c r="R541" s="60">
        <v>0</v>
      </c>
      <c r="S541" s="60">
        <v>0</v>
      </c>
      <c r="T541" s="60">
        <v>0</v>
      </c>
      <c r="U541" s="60">
        <v>0</v>
      </c>
      <c r="V541" s="60">
        <v>0</v>
      </c>
      <c r="W541" s="60">
        <v>0</v>
      </c>
      <c r="X541" s="60">
        <v>0</v>
      </c>
      <c r="Y541" s="60">
        <v>0</v>
      </c>
      <c r="Z541" s="60">
        <v>0</v>
      </c>
      <c r="AA541" s="60">
        <v>0</v>
      </c>
      <c r="AB541" s="60">
        <v>0</v>
      </c>
      <c r="AC541" s="60">
        <f>ROUND((E541+F541+G541+H541+I541+J541)*1.5%,2)</f>
        <v>0</v>
      </c>
      <c r="AD541" s="62">
        <v>60862.57</v>
      </c>
      <c r="AE541" s="60">
        <v>0</v>
      </c>
      <c r="AF541" s="170">
        <v>2020</v>
      </c>
      <c r="AG541" s="170" t="s">
        <v>257</v>
      </c>
      <c r="AH541" s="170" t="s">
        <v>257</v>
      </c>
    </row>
    <row r="542" spans="1:34" ht="61.5" x14ac:dyDescent="0.85">
      <c r="A542" s="7">
        <v>1</v>
      </c>
      <c r="B542" s="59">
        <f>SUBTOTAL(103,$A$22:A542)</f>
        <v>458</v>
      </c>
      <c r="C542" s="160" t="s">
        <v>1466</v>
      </c>
      <c r="D542" s="60">
        <f t="shared" si="84"/>
        <v>64885.78</v>
      </c>
      <c r="E542" s="60">
        <v>0</v>
      </c>
      <c r="F542" s="60">
        <v>0</v>
      </c>
      <c r="G542" s="60">
        <v>0</v>
      </c>
      <c r="H542" s="60">
        <v>0</v>
      </c>
      <c r="I542" s="60">
        <v>0</v>
      </c>
      <c r="J542" s="60">
        <v>0</v>
      </c>
      <c r="K542" s="168">
        <v>0</v>
      </c>
      <c r="L542" s="60">
        <v>0</v>
      </c>
      <c r="M542" s="60">
        <v>0</v>
      </c>
      <c r="N542" s="60">
        <v>0</v>
      </c>
      <c r="O542" s="60">
        <v>0</v>
      </c>
      <c r="P542" s="60">
        <v>0</v>
      </c>
      <c r="Q542" s="60">
        <v>0</v>
      </c>
      <c r="R542" s="60">
        <v>0</v>
      </c>
      <c r="S542" s="60">
        <v>0</v>
      </c>
      <c r="T542" s="60">
        <v>0</v>
      </c>
      <c r="U542" s="60">
        <v>0</v>
      </c>
      <c r="V542" s="60">
        <v>0</v>
      </c>
      <c r="W542" s="60">
        <v>0</v>
      </c>
      <c r="X542" s="60">
        <v>0</v>
      </c>
      <c r="Y542" s="60">
        <v>0</v>
      </c>
      <c r="Z542" s="60">
        <v>0</v>
      </c>
      <c r="AA542" s="60">
        <v>0</v>
      </c>
      <c r="AB542" s="60">
        <v>0</v>
      </c>
      <c r="AC542" s="60">
        <f>ROUND((E542+F542+G542+H542+I542+J542)*1.5%,2)</f>
        <v>0</v>
      </c>
      <c r="AD542" s="62">
        <v>64885.78</v>
      </c>
      <c r="AE542" s="60">
        <v>0</v>
      </c>
      <c r="AF542" s="170">
        <v>2020</v>
      </c>
      <c r="AG542" s="170" t="s">
        <v>257</v>
      </c>
      <c r="AH542" s="170" t="s">
        <v>257</v>
      </c>
    </row>
    <row r="543" spans="1:34" ht="61.5" x14ac:dyDescent="0.85">
      <c r="A543" s="7">
        <v>1</v>
      </c>
      <c r="B543" s="59">
        <f>SUBTOTAL(103,$A$22:A543)</f>
        <v>459</v>
      </c>
      <c r="C543" s="160" t="s">
        <v>200</v>
      </c>
      <c r="D543" s="60">
        <f t="shared" si="84"/>
        <v>77010.039999999994</v>
      </c>
      <c r="E543" s="60">
        <v>0</v>
      </c>
      <c r="F543" s="60">
        <v>0</v>
      </c>
      <c r="G543" s="60">
        <v>0</v>
      </c>
      <c r="H543" s="60">
        <v>0</v>
      </c>
      <c r="I543" s="60">
        <v>0</v>
      </c>
      <c r="J543" s="60">
        <v>0</v>
      </c>
      <c r="K543" s="168">
        <v>0</v>
      </c>
      <c r="L543" s="60">
        <v>0</v>
      </c>
      <c r="M543" s="60">
        <v>0</v>
      </c>
      <c r="N543" s="60">
        <v>0</v>
      </c>
      <c r="O543" s="60">
        <v>0</v>
      </c>
      <c r="P543" s="60">
        <v>0</v>
      </c>
      <c r="Q543" s="60">
        <v>0</v>
      </c>
      <c r="R543" s="60">
        <v>0</v>
      </c>
      <c r="S543" s="60">
        <v>0</v>
      </c>
      <c r="T543" s="60">
        <v>0</v>
      </c>
      <c r="U543" s="60">
        <v>0</v>
      </c>
      <c r="V543" s="60">
        <v>0</v>
      </c>
      <c r="W543" s="60">
        <v>0</v>
      </c>
      <c r="X543" s="60">
        <v>0</v>
      </c>
      <c r="Y543" s="60">
        <v>0</v>
      </c>
      <c r="Z543" s="60">
        <v>0</v>
      </c>
      <c r="AA543" s="60">
        <v>0</v>
      </c>
      <c r="AB543" s="60">
        <v>0</v>
      </c>
      <c r="AC543" s="60">
        <f>ROUND(N543*1.5%,2)</f>
        <v>0</v>
      </c>
      <c r="AD543" s="60">
        <v>77010.039999999994</v>
      </c>
      <c r="AE543" s="60">
        <v>0</v>
      </c>
      <c r="AF543" s="170">
        <v>2020</v>
      </c>
      <c r="AG543" s="170" t="s">
        <v>257</v>
      </c>
      <c r="AH543" s="170" t="s">
        <v>257</v>
      </c>
    </row>
    <row r="544" spans="1:34" ht="61.5" x14ac:dyDescent="0.85">
      <c r="A544" s="7">
        <v>1</v>
      </c>
      <c r="B544" s="59">
        <f>SUBTOTAL(103,$A$22:A544)</f>
        <v>460</v>
      </c>
      <c r="C544" s="160" t="s">
        <v>201</v>
      </c>
      <c r="D544" s="60">
        <f t="shared" si="84"/>
        <v>34177.35</v>
      </c>
      <c r="E544" s="60">
        <v>0</v>
      </c>
      <c r="F544" s="60">
        <v>0</v>
      </c>
      <c r="G544" s="60">
        <v>0</v>
      </c>
      <c r="H544" s="60">
        <v>0</v>
      </c>
      <c r="I544" s="60">
        <v>0</v>
      </c>
      <c r="J544" s="60">
        <v>0</v>
      </c>
      <c r="K544" s="168">
        <v>0</v>
      </c>
      <c r="L544" s="60">
        <v>0</v>
      </c>
      <c r="M544" s="60">
        <v>0</v>
      </c>
      <c r="N544" s="60">
        <v>0</v>
      </c>
      <c r="O544" s="60">
        <v>0</v>
      </c>
      <c r="P544" s="60">
        <v>0</v>
      </c>
      <c r="Q544" s="60">
        <v>0</v>
      </c>
      <c r="R544" s="60">
        <v>0</v>
      </c>
      <c r="S544" s="60">
        <v>0</v>
      </c>
      <c r="T544" s="60">
        <v>0</v>
      </c>
      <c r="U544" s="60">
        <v>0</v>
      </c>
      <c r="V544" s="60">
        <v>0</v>
      </c>
      <c r="W544" s="60">
        <v>0</v>
      </c>
      <c r="X544" s="60">
        <v>0</v>
      </c>
      <c r="Y544" s="60">
        <v>0</v>
      </c>
      <c r="Z544" s="60">
        <v>0</v>
      </c>
      <c r="AA544" s="60">
        <v>0</v>
      </c>
      <c r="AB544" s="60">
        <v>0</v>
      </c>
      <c r="AC544" s="60">
        <f>ROUND(N544*1.5%,2)</f>
        <v>0</v>
      </c>
      <c r="AD544" s="60">
        <v>34177.35</v>
      </c>
      <c r="AE544" s="60">
        <v>0</v>
      </c>
      <c r="AF544" s="170">
        <v>2020</v>
      </c>
      <c r="AG544" s="170" t="s">
        <v>257</v>
      </c>
      <c r="AH544" s="170" t="s">
        <v>257</v>
      </c>
    </row>
    <row r="545" spans="1:86" ht="61.5" x14ac:dyDescent="0.85">
      <c r="B545" s="160" t="s">
        <v>808</v>
      </c>
      <c r="C545" s="160"/>
      <c r="D545" s="177">
        <f t="shared" ref="D545:AE545" si="85">SUM(D546:D549)</f>
        <v>3506290.42</v>
      </c>
      <c r="E545" s="60">
        <f t="shared" si="85"/>
        <v>0</v>
      </c>
      <c r="F545" s="60">
        <f t="shared" si="85"/>
        <v>0</v>
      </c>
      <c r="G545" s="60">
        <f t="shared" si="85"/>
        <v>0</v>
      </c>
      <c r="H545" s="60">
        <f t="shared" si="85"/>
        <v>0</v>
      </c>
      <c r="I545" s="60">
        <f t="shared" si="85"/>
        <v>0</v>
      </c>
      <c r="J545" s="60">
        <f t="shared" si="85"/>
        <v>0</v>
      </c>
      <c r="K545" s="168">
        <f t="shared" si="85"/>
        <v>0</v>
      </c>
      <c r="L545" s="60">
        <f t="shared" si="85"/>
        <v>0</v>
      </c>
      <c r="M545" s="60">
        <f t="shared" si="85"/>
        <v>810.07999999999993</v>
      </c>
      <c r="N545" s="60">
        <f t="shared" si="85"/>
        <v>3214660.2</v>
      </c>
      <c r="O545" s="60">
        <f t="shared" si="85"/>
        <v>0</v>
      </c>
      <c r="P545" s="60">
        <f t="shared" si="85"/>
        <v>0</v>
      </c>
      <c r="Q545" s="60">
        <f t="shared" si="85"/>
        <v>0</v>
      </c>
      <c r="R545" s="60">
        <f t="shared" si="85"/>
        <v>0</v>
      </c>
      <c r="S545" s="60">
        <f t="shared" si="85"/>
        <v>0</v>
      </c>
      <c r="T545" s="60">
        <f t="shared" si="85"/>
        <v>0</v>
      </c>
      <c r="U545" s="60">
        <f t="shared" si="85"/>
        <v>0</v>
      </c>
      <c r="V545" s="60">
        <f t="shared" si="85"/>
        <v>0</v>
      </c>
      <c r="W545" s="60">
        <f t="shared" si="85"/>
        <v>0</v>
      </c>
      <c r="X545" s="60">
        <f t="shared" si="85"/>
        <v>0</v>
      </c>
      <c r="Y545" s="60">
        <f t="shared" si="85"/>
        <v>0</v>
      </c>
      <c r="Z545" s="60">
        <f t="shared" si="85"/>
        <v>0</v>
      </c>
      <c r="AA545" s="60">
        <f t="shared" si="85"/>
        <v>0</v>
      </c>
      <c r="AB545" s="60">
        <f t="shared" si="85"/>
        <v>0</v>
      </c>
      <c r="AC545" s="60">
        <f t="shared" si="85"/>
        <v>45043.53</v>
      </c>
      <c r="AD545" s="60">
        <f t="shared" si="85"/>
        <v>246586.68999999997</v>
      </c>
      <c r="AE545" s="60">
        <f t="shared" si="85"/>
        <v>0</v>
      </c>
      <c r="AF545" s="54" t="s">
        <v>701</v>
      </c>
      <c r="AG545" s="54" t="s">
        <v>701</v>
      </c>
      <c r="AH545" s="55" t="s">
        <v>701</v>
      </c>
    </row>
    <row r="546" spans="1:86" ht="61.5" x14ac:dyDescent="0.85">
      <c r="A546" s="7">
        <v>1</v>
      </c>
      <c r="B546" s="59">
        <f>SUBTOTAL(103,$A$22:A546)</f>
        <v>461</v>
      </c>
      <c r="C546" s="160" t="s">
        <v>209</v>
      </c>
      <c r="D546" s="60">
        <f>E546+F546+G546+H546+I546+J546+L546+N546+P546+R546+T546+U546+V546+W546+X546+Y546+Z546+AA546+AB546+AC546+AD546+AE546</f>
        <v>2426341.25</v>
      </c>
      <c r="E546" s="60">
        <v>0</v>
      </c>
      <c r="F546" s="60">
        <v>0</v>
      </c>
      <c r="G546" s="60">
        <v>0</v>
      </c>
      <c r="H546" s="60">
        <v>0</v>
      </c>
      <c r="I546" s="60">
        <v>0</v>
      </c>
      <c r="J546" s="60">
        <v>0</v>
      </c>
      <c r="K546" s="168">
        <v>0</v>
      </c>
      <c r="L546" s="60">
        <v>0</v>
      </c>
      <c r="M546" s="62">
        <v>618.67999999999995</v>
      </c>
      <c r="N546" s="62">
        <v>2339117.9900000002</v>
      </c>
      <c r="O546" s="60">
        <v>0</v>
      </c>
      <c r="P546" s="60">
        <v>0</v>
      </c>
      <c r="Q546" s="60">
        <v>0</v>
      </c>
      <c r="R546" s="60">
        <v>0</v>
      </c>
      <c r="S546" s="60">
        <v>0</v>
      </c>
      <c r="T546" s="60">
        <v>0</v>
      </c>
      <c r="U546" s="60">
        <v>0</v>
      </c>
      <c r="V546" s="60">
        <v>0</v>
      </c>
      <c r="W546" s="60">
        <v>0</v>
      </c>
      <c r="X546" s="60">
        <v>0</v>
      </c>
      <c r="Y546" s="60">
        <v>0</v>
      </c>
      <c r="Z546" s="60">
        <v>0</v>
      </c>
      <c r="AA546" s="60">
        <v>0</v>
      </c>
      <c r="AB546" s="60">
        <v>0</v>
      </c>
      <c r="AC546" s="62">
        <v>32806.129999999997</v>
      </c>
      <c r="AD546" s="62">
        <v>54417.13</v>
      </c>
      <c r="AE546" s="60">
        <v>0</v>
      </c>
      <c r="AF546" s="170">
        <v>2020</v>
      </c>
      <c r="AG546" s="170">
        <v>2020</v>
      </c>
      <c r="AH546" s="63">
        <v>2020</v>
      </c>
    </row>
    <row r="547" spans="1:86" ht="61.5" x14ac:dyDescent="0.85">
      <c r="A547" s="7">
        <v>1</v>
      </c>
      <c r="B547" s="59">
        <f>SUBTOTAL(103,$A$22:A547)</f>
        <v>462</v>
      </c>
      <c r="C547" s="160" t="s">
        <v>214</v>
      </c>
      <c r="D547" s="60">
        <f>E547+F547+G547+H547+I547+J547+L547+N547+P547+R547+T547+U547+V547+W547+X547+Y547+Z547+AA547+AB547+AC547+AD547+AE547</f>
        <v>112884.08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168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0">
        <v>0</v>
      </c>
      <c r="T547" s="60">
        <v>0</v>
      </c>
      <c r="U547" s="60">
        <v>0</v>
      </c>
      <c r="V547" s="60">
        <v>0</v>
      </c>
      <c r="W547" s="60">
        <v>0</v>
      </c>
      <c r="X547" s="60">
        <v>0</v>
      </c>
      <c r="Y547" s="60">
        <v>0</v>
      </c>
      <c r="Z547" s="60">
        <v>0</v>
      </c>
      <c r="AA547" s="60">
        <v>0</v>
      </c>
      <c r="AB547" s="60">
        <v>0</v>
      </c>
      <c r="AC547" s="60">
        <f>ROUND(U547*1.5%,2)</f>
        <v>0</v>
      </c>
      <c r="AD547" s="62">
        <v>112884.08</v>
      </c>
      <c r="AE547" s="60">
        <v>0</v>
      </c>
      <c r="AF547" s="170">
        <v>2020</v>
      </c>
      <c r="AG547" s="170" t="s">
        <v>257</v>
      </c>
      <c r="AH547" s="170" t="s">
        <v>257</v>
      </c>
    </row>
    <row r="548" spans="1:86" ht="61.5" x14ac:dyDescent="0.85">
      <c r="A548" s="7">
        <v>1</v>
      </c>
      <c r="B548" s="59">
        <f>SUBTOTAL(103,$A$22:A548)</f>
        <v>463</v>
      </c>
      <c r="C548" s="160" t="s">
        <v>1028</v>
      </c>
      <c r="D548" s="60">
        <f>E548+F548+G548+H548+I548+J548+L548+N548+P548+R548+T548+U548+V548+W548+X548+Y548+Z548+AA548+AB548+AC548+AD548+AE548</f>
        <v>930608.30999999994</v>
      </c>
      <c r="E548" s="60">
        <v>0</v>
      </c>
      <c r="F548" s="60">
        <v>0</v>
      </c>
      <c r="G548" s="60">
        <v>0</v>
      </c>
      <c r="H548" s="60">
        <v>0</v>
      </c>
      <c r="I548" s="60">
        <v>0</v>
      </c>
      <c r="J548" s="60">
        <v>0</v>
      </c>
      <c r="K548" s="168">
        <v>0</v>
      </c>
      <c r="L548" s="60">
        <v>0</v>
      </c>
      <c r="M548" s="62">
        <v>191.4</v>
      </c>
      <c r="N548" s="169">
        <v>875542.21</v>
      </c>
      <c r="O548" s="60">
        <v>0</v>
      </c>
      <c r="P548" s="60">
        <v>0</v>
      </c>
      <c r="Q548" s="60">
        <v>0</v>
      </c>
      <c r="R548" s="60">
        <v>0</v>
      </c>
      <c r="S548" s="60">
        <v>0</v>
      </c>
      <c r="T548" s="60">
        <v>0</v>
      </c>
      <c r="U548" s="60">
        <v>0</v>
      </c>
      <c r="V548" s="60">
        <v>0</v>
      </c>
      <c r="W548" s="60">
        <v>0</v>
      </c>
      <c r="X548" s="60">
        <v>0</v>
      </c>
      <c r="Y548" s="60">
        <v>0</v>
      </c>
      <c r="Z548" s="60">
        <v>0</v>
      </c>
      <c r="AA548" s="60">
        <v>0</v>
      </c>
      <c r="AB548" s="60">
        <v>0</v>
      </c>
      <c r="AC548" s="62">
        <v>12237.4</v>
      </c>
      <c r="AD548" s="62">
        <v>42828.7</v>
      </c>
      <c r="AE548" s="60">
        <v>0</v>
      </c>
      <c r="AF548" s="170">
        <v>2020</v>
      </c>
      <c r="AG548" s="170">
        <v>2020</v>
      </c>
      <c r="AH548" s="63">
        <v>2020</v>
      </c>
    </row>
    <row r="549" spans="1:86" ht="61.5" x14ac:dyDescent="0.85">
      <c r="A549" s="7">
        <v>1</v>
      </c>
      <c r="B549" s="59">
        <f>SUBTOTAL(103,$A$22:A549)</f>
        <v>464</v>
      </c>
      <c r="C549" s="160" t="s">
        <v>213</v>
      </c>
      <c r="D549" s="60">
        <f>E549+F549+G549+H549+I549+J549+L549+N549+P549+R549+T549+U549+V549+W549+X549+Y549+Z549+AA549+AB549+AC549+AD549+AE549</f>
        <v>36456.78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168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0">
        <v>0</v>
      </c>
      <c r="T549" s="60">
        <v>0</v>
      </c>
      <c r="U549" s="60">
        <v>0</v>
      </c>
      <c r="V549" s="60">
        <v>0</v>
      </c>
      <c r="W549" s="60">
        <v>0</v>
      </c>
      <c r="X549" s="60">
        <v>0</v>
      </c>
      <c r="Y549" s="60">
        <v>0</v>
      </c>
      <c r="Z549" s="60">
        <v>0</v>
      </c>
      <c r="AA549" s="60">
        <v>0</v>
      </c>
      <c r="AB549" s="60">
        <v>0</v>
      </c>
      <c r="AC549" s="60">
        <v>0</v>
      </c>
      <c r="AD549" s="60">
        <v>36456.78</v>
      </c>
      <c r="AE549" s="60">
        <v>0</v>
      </c>
      <c r="AF549" s="170">
        <v>2020</v>
      </c>
      <c r="AG549" s="170" t="s">
        <v>257</v>
      </c>
      <c r="AH549" s="170" t="s">
        <v>257</v>
      </c>
    </row>
    <row r="550" spans="1:86" ht="61.5" x14ac:dyDescent="0.85">
      <c r="B550" s="160" t="s">
        <v>809</v>
      </c>
      <c r="C550" s="160"/>
      <c r="D550" s="177">
        <f t="shared" ref="D550:AE550" si="86">SUM(D551:D552)</f>
        <v>735510.79</v>
      </c>
      <c r="E550" s="60">
        <f t="shared" si="86"/>
        <v>0</v>
      </c>
      <c r="F550" s="60">
        <f t="shared" si="86"/>
        <v>0</v>
      </c>
      <c r="G550" s="60">
        <f t="shared" si="86"/>
        <v>0</v>
      </c>
      <c r="H550" s="60">
        <f t="shared" si="86"/>
        <v>0</v>
      </c>
      <c r="I550" s="60">
        <f t="shared" si="86"/>
        <v>0</v>
      </c>
      <c r="J550" s="60">
        <f t="shared" si="86"/>
        <v>0</v>
      </c>
      <c r="K550" s="168">
        <f t="shared" si="86"/>
        <v>0</v>
      </c>
      <c r="L550" s="60">
        <f t="shared" si="86"/>
        <v>0</v>
      </c>
      <c r="M550" s="60">
        <f t="shared" si="86"/>
        <v>0</v>
      </c>
      <c r="N550" s="60">
        <f t="shared" si="86"/>
        <v>0</v>
      </c>
      <c r="O550" s="60">
        <f t="shared" si="86"/>
        <v>263.2</v>
      </c>
      <c r="P550" s="60">
        <f t="shared" si="86"/>
        <v>423511.37</v>
      </c>
      <c r="Q550" s="60">
        <f t="shared" si="86"/>
        <v>582.4</v>
      </c>
      <c r="R550" s="60">
        <f t="shared" si="86"/>
        <v>301826.55</v>
      </c>
      <c r="S550" s="60">
        <f t="shared" si="86"/>
        <v>0</v>
      </c>
      <c r="T550" s="60">
        <f t="shared" si="86"/>
        <v>0</v>
      </c>
      <c r="U550" s="60">
        <f t="shared" si="86"/>
        <v>0</v>
      </c>
      <c r="V550" s="60">
        <f t="shared" si="86"/>
        <v>0</v>
      </c>
      <c r="W550" s="60">
        <f t="shared" si="86"/>
        <v>0</v>
      </c>
      <c r="X550" s="60">
        <f t="shared" si="86"/>
        <v>0</v>
      </c>
      <c r="Y550" s="60">
        <f t="shared" si="86"/>
        <v>0</v>
      </c>
      <c r="Z550" s="60">
        <f t="shared" si="86"/>
        <v>0</v>
      </c>
      <c r="AA550" s="60">
        <f t="shared" si="86"/>
        <v>0</v>
      </c>
      <c r="AB550" s="60">
        <f t="shared" si="86"/>
        <v>0</v>
      </c>
      <c r="AC550" s="60">
        <f t="shared" si="86"/>
        <v>10172.869999999999</v>
      </c>
      <c r="AD550" s="60">
        <f t="shared" si="86"/>
        <v>0</v>
      </c>
      <c r="AE550" s="60">
        <f t="shared" si="86"/>
        <v>0</v>
      </c>
      <c r="AF550" s="54" t="s">
        <v>701</v>
      </c>
      <c r="AG550" s="54" t="s">
        <v>701</v>
      </c>
      <c r="AH550" s="55" t="s">
        <v>701</v>
      </c>
    </row>
    <row r="551" spans="1:86" ht="61.5" x14ac:dyDescent="0.85">
      <c r="A551" s="7">
        <v>1</v>
      </c>
      <c r="B551" s="59">
        <f>SUBTOTAL(103,$A$22:A551)</f>
        <v>465</v>
      </c>
      <c r="C551" s="160" t="s">
        <v>1209</v>
      </c>
      <c r="D551" s="60">
        <f>E551+F551+G551+H551+I551+J551+L551+N551+P551+R551+T551+U551+V551+W551+X551+Y551+Z551+AA551+AB551+AC551+AD551+AE551</f>
        <v>306059.67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168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2">
        <v>582.4</v>
      </c>
      <c r="R551" s="62">
        <v>301826.55</v>
      </c>
      <c r="S551" s="60">
        <v>0</v>
      </c>
      <c r="T551" s="60">
        <v>0</v>
      </c>
      <c r="U551" s="60">
        <v>0</v>
      </c>
      <c r="V551" s="60">
        <v>0</v>
      </c>
      <c r="W551" s="60">
        <v>0</v>
      </c>
      <c r="X551" s="60">
        <v>0</v>
      </c>
      <c r="Y551" s="60">
        <v>0</v>
      </c>
      <c r="Z551" s="60">
        <v>0</v>
      </c>
      <c r="AA551" s="60">
        <v>0</v>
      </c>
      <c r="AB551" s="60">
        <v>0</v>
      </c>
      <c r="AC551" s="62">
        <v>4233.12</v>
      </c>
      <c r="AD551" s="60">
        <v>0</v>
      </c>
      <c r="AE551" s="60">
        <v>0</v>
      </c>
      <c r="AF551" s="170" t="s">
        <v>257</v>
      </c>
      <c r="AG551" s="170">
        <v>2020</v>
      </c>
      <c r="AH551" s="63">
        <v>2020</v>
      </c>
    </row>
    <row r="552" spans="1:86" ht="61.5" x14ac:dyDescent="0.85">
      <c r="A552" s="7">
        <v>1</v>
      </c>
      <c r="B552" s="59">
        <f>SUBTOTAL(103,$A$22:A552)</f>
        <v>466</v>
      </c>
      <c r="C552" s="160" t="s">
        <v>1210</v>
      </c>
      <c r="D552" s="60">
        <f>E552+F552+G552+H552+I552+J552+L552+N552+P552+R552+T552+U552+V552+W552+X552+Y552+Z552+AA552+AB552+AC552+AD552+AE552</f>
        <v>429451.12</v>
      </c>
      <c r="E552" s="60">
        <v>0</v>
      </c>
      <c r="F552" s="60">
        <v>0</v>
      </c>
      <c r="G552" s="60">
        <v>0</v>
      </c>
      <c r="H552" s="60">
        <v>0</v>
      </c>
      <c r="I552" s="60">
        <v>0</v>
      </c>
      <c r="J552" s="60">
        <v>0</v>
      </c>
      <c r="K552" s="168">
        <v>0</v>
      </c>
      <c r="L552" s="60">
        <v>0</v>
      </c>
      <c r="M552" s="60">
        <v>0</v>
      </c>
      <c r="N552" s="60">
        <v>0</v>
      </c>
      <c r="O552" s="62">
        <v>263.2</v>
      </c>
      <c r="P552" s="62">
        <v>423511.37</v>
      </c>
      <c r="Q552" s="60">
        <v>0</v>
      </c>
      <c r="R552" s="60">
        <v>0</v>
      </c>
      <c r="S552" s="60">
        <v>0</v>
      </c>
      <c r="T552" s="60">
        <v>0</v>
      </c>
      <c r="U552" s="60">
        <v>0</v>
      </c>
      <c r="V552" s="60">
        <v>0</v>
      </c>
      <c r="W552" s="60">
        <v>0</v>
      </c>
      <c r="X552" s="60">
        <v>0</v>
      </c>
      <c r="Y552" s="60">
        <v>0</v>
      </c>
      <c r="Z552" s="60">
        <v>0</v>
      </c>
      <c r="AA552" s="60">
        <v>0</v>
      </c>
      <c r="AB552" s="60">
        <v>0</v>
      </c>
      <c r="AC552" s="62">
        <v>5939.75</v>
      </c>
      <c r="AD552" s="60">
        <v>0</v>
      </c>
      <c r="AE552" s="60">
        <v>0</v>
      </c>
      <c r="AF552" s="170" t="s">
        <v>257</v>
      </c>
      <c r="AG552" s="170">
        <v>2020</v>
      </c>
      <c r="AH552" s="63">
        <v>2020</v>
      </c>
    </row>
    <row r="553" spans="1:86" ht="61.5" x14ac:dyDescent="0.85">
      <c r="B553" s="160" t="s">
        <v>810</v>
      </c>
      <c r="C553" s="160"/>
      <c r="D553" s="177">
        <f t="shared" ref="D553:AE553" si="87">SUM(D554:D555)</f>
        <v>1268994.68</v>
      </c>
      <c r="E553" s="60">
        <f t="shared" si="87"/>
        <v>0</v>
      </c>
      <c r="F553" s="60">
        <f t="shared" si="87"/>
        <v>0</v>
      </c>
      <c r="G553" s="60">
        <f t="shared" si="87"/>
        <v>0</v>
      </c>
      <c r="H553" s="60">
        <f t="shared" si="87"/>
        <v>0</v>
      </c>
      <c r="I553" s="60">
        <f t="shared" si="87"/>
        <v>0</v>
      </c>
      <c r="J553" s="60">
        <f t="shared" si="87"/>
        <v>0</v>
      </c>
      <c r="K553" s="168">
        <f t="shared" si="87"/>
        <v>0</v>
      </c>
      <c r="L553" s="60">
        <f t="shared" si="87"/>
        <v>0</v>
      </c>
      <c r="M553" s="60">
        <f t="shared" si="87"/>
        <v>297</v>
      </c>
      <c r="N553" s="60">
        <f t="shared" si="87"/>
        <v>1177854.29</v>
      </c>
      <c r="O553" s="60">
        <f t="shared" si="87"/>
        <v>0</v>
      </c>
      <c r="P553" s="60">
        <f t="shared" si="87"/>
        <v>0</v>
      </c>
      <c r="Q553" s="60">
        <f t="shared" si="87"/>
        <v>0</v>
      </c>
      <c r="R553" s="60">
        <f t="shared" si="87"/>
        <v>0</v>
      </c>
      <c r="S553" s="60">
        <f t="shared" si="87"/>
        <v>0</v>
      </c>
      <c r="T553" s="60">
        <f t="shared" si="87"/>
        <v>0</v>
      </c>
      <c r="U553" s="60">
        <f t="shared" si="87"/>
        <v>0</v>
      </c>
      <c r="V553" s="60">
        <f t="shared" si="87"/>
        <v>0</v>
      </c>
      <c r="W553" s="60">
        <f t="shared" si="87"/>
        <v>0</v>
      </c>
      <c r="X553" s="60">
        <f t="shared" si="87"/>
        <v>0</v>
      </c>
      <c r="Y553" s="60">
        <f t="shared" si="87"/>
        <v>0</v>
      </c>
      <c r="Z553" s="60">
        <f t="shared" si="87"/>
        <v>0</v>
      </c>
      <c r="AA553" s="60">
        <f t="shared" si="87"/>
        <v>0</v>
      </c>
      <c r="AB553" s="60">
        <f t="shared" si="87"/>
        <v>0</v>
      </c>
      <c r="AC553" s="60">
        <f t="shared" si="87"/>
        <v>16519.41</v>
      </c>
      <c r="AD553" s="60">
        <f t="shared" si="87"/>
        <v>74620.98</v>
      </c>
      <c r="AE553" s="60">
        <f t="shared" si="87"/>
        <v>0</v>
      </c>
      <c r="AF553" s="54" t="s">
        <v>701</v>
      </c>
      <c r="AG553" s="54" t="s">
        <v>701</v>
      </c>
      <c r="AH553" s="55" t="s">
        <v>701</v>
      </c>
    </row>
    <row r="554" spans="1:86" ht="61.5" x14ac:dyDescent="0.85">
      <c r="A554" s="7">
        <v>1</v>
      </c>
      <c r="B554" s="59">
        <f>SUBTOTAL(103,$A$22:A554)</f>
        <v>467</v>
      </c>
      <c r="C554" s="160" t="s">
        <v>211</v>
      </c>
      <c r="D554" s="60">
        <f>E554+F554+G554+H554+I554+J554+L554+N554+P554+R554+T554+U554+V554+W554+X554+Y554+Z554+AA554+AB554+AC554+AD554+AE554</f>
        <v>1233277.05</v>
      </c>
      <c r="E554" s="60">
        <v>0</v>
      </c>
      <c r="F554" s="60">
        <v>0</v>
      </c>
      <c r="G554" s="60">
        <v>0</v>
      </c>
      <c r="H554" s="60">
        <v>0</v>
      </c>
      <c r="I554" s="60">
        <v>0</v>
      </c>
      <c r="J554" s="60">
        <v>0</v>
      </c>
      <c r="K554" s="168">
        <v>0</v>
      </c>
      <c r="L554" s="60">
        <v>0</v>
      </c>
      <c r="M554" s="62">
        <v>297</v>
      </c>
      <c r="N554" s="62">
        <v>1177854.29</v>
      </c>
      <c r="O554" s="60">
        <v>0</v>
      </c>
      <c r="P554" s="60">
        <v>0</v>
      </c>
      <c r="Q554" s="60">
        <v>0</v>
      </c>
      <c r="R554" s="60">
        <v>0</v>
      </c>
      <c r="S554" s="60">
        <v>0</v>
      </c>
      <c r="T554" s="60">
        <v>0</v>
      </c>
      <c r="U554" s="60">
        <v>0</v>
      </c>
      <c r="V554" s="60">
        <v>0</v>
      </c>
      <c r="W554" s="60">
        <v>0</v>
      </c>
      <c r="X554" s="60">
        <v>0</v>
      </c>
      <c r="Y554" s="60">
        <v>0</v>
      </c>
      <c r="Z554" s="60">
        <v>0</v>
      </c>
      <c r="AA554" s="60">
        <v>0</v>
      </c>
      <c r="AB554" s="60">
        <v>0</v>
      </c>
      <c r="AC554" s="62">
        <v>16519.41</v>
      </c>
      <c r="AD554" s="62">
        <v>38903.35</v>
      </c>
      <c r="AE554" s="60">
        <v>0</v>
      </c>
      <c r="AF554" s="170">
        <v>2020</v>
      </c>
      <c r="AG554" s="170">
        <v>2020</v>
      </c>
      <c r="AH554" s="63">
        <v>2020</v>
      </c>
    </row>
    <row r="555" spans="1:86" ht="61.5" x14ac:dyDescent="0.85">
      <c r="A555" s="7">
        <v>1</v>
      </c>
      <c r="B555" s="59">
        <f>SUBTOTAL(103,$A$22:A555)</f>
        <v>468</v>
      </c>
      <c r="C555" s="160" t="s">
        <v>207</v>
      </c>
      <c r="D555" s="60">
        <f>E555+F555+G555+H555+I555+J555+L555+N555+P555+R555+T555+U555+V555+W555+X555+Y555+Z555+AA555+AB555+AC555+AD555+AE555</f>
        <v>35717.629999999997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168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0">
        <v>0</v>
      </c>
      <c r="T555" s="60">
        <v>0</v>
      </c>
      <c r="U555" s="60">
        <v>0</v>
      </c>
      <c r="V555" s="60">
        <v>0</v>
      </c>
      <c r="W555" s="60">
        <v>0</v>
      </c>
      <c r="X555" s="60">
        <v>0</v>
      </c>
      <c r="Y555" s="60">
        <v>0</v>
      </c>
      <c r="Z555" s="60">
        <v>0</v>
      </c>
      <c r="AA555" s="60">
        <v>0</v>
      </c>
      <c r="AB555" s="60">
        <v>0</v>
      </c>
      <c r="AC555" s="60">
        <f>ROUND(N555*1.5%,2)</f>
        <v>0</v>
      </c>
      <c r="AD555" s="60">
        <v>35717.629999999997</v>
      </c>
      <c r="AE555" s="60">
        <v>0</v>
      </c>
      <c r="AF555" s="170">
        <v>2020</v>
      </c>
      <c r="AG555" s="170" t="s">
        <v>257</v>
      </c>
      <c r="AH555" s="170" t="s">
        <v>257</v>
      </c>
    </row>
    <row r="556" spans="1:86" ht="61.5" x14ac:dyDescent="0.85">
      <c r="B556" s="160" t="s">
        <v>704</v>
      </c>
      <c r="C556" s="160"/>
      <c r="D556" s="177">
        <f t="shared" ref="D556:AE556" si="88">D557+D646+D673+D717+D772+D788+D810+D818+D824+D829+D831+D834+D836+D838+D852+D859+D864+D866+D868+D870+D872+D874+D877+D892+D896+D898+D901+D904+D913+D917+D919+D925+D927+D929+D933+D939+D943+D945+D957+D963+D967+D969+D974+D978+D983+D991+D995+D997+D1001+D1003+D1011+D1015+D1022+D1013+D862+D889+D961+D972+D999+D1028+D923+D965+D952+D1026+D1009+D955</f>
        <v>1130960779.9400003</v>
      </c>
      <c r="E556" s="60">
        <f t="shared" si="88"/>
        <v>2294755.6799999997</v>
      </c>
      <c r="F556" s="60">
        <f t="shared" si="88"/>
        <v>4561715.47</v>
      </c>
      <c r="G556" s="60">
        <f t="shared" si="88"/>
        <v>21345767.490000002</v>
      </c>
      <c r="H556" s="60">
        <f t="shared" si="88"/>
        <v>4082595.45</v>
      </c>
      <c r="I556" s="60">
        <f t="shared" si="88"/>
        <v>11737722.32</v>
      </c>
      <c r="J556" s="60">
        <f t="shared" si="88"/>
        <v>0</v>
      </c>
      <c r="K556" s="168">
        <f t="shared" si="88"/>
        <v>211</v>
      </c>
      <c r="L556" s="60">
        <f t="shared" si="88"/>
        <v>393634964.59999996</v>
      </c>
      <c r="M556" s="60">
        <f t="shared" si="88"/>
        <v>125016.58999999994</v>
      </c>
      <c r="N556" s="60">
        <f t="shared" si="88"/>
        <v>571034502.66999996</v>
      </c>
      <c r="O556" s="60">
        <f t="shared" si="88"/>
        <v>0</v>
      </c>
      <c r="P556" s="60">
        <f t="shared" si="88"/>
        <v>0</v>
      </c>
      <c r="Q556" s="60">
        <f t="shared" si="88"/>
        <v>15224.220000000001</v>
      </c>
      <c r="R556" s="60">
        <f t="shared" si="88"/>
        <v>51865114.109999999</v>
      </c>
      <c r="S556" s="60">
        <f t="shared" si="88"/>
        <v>246.99999999999997</v>
      </c>
      <c r="T556" s="60">
        <f t="shared" si="88"/>
        <v>5246879.72</v>
      </c>
      <c r="U556" s="60">
        <f t="shared" si="88"/>
        <v>26705019.160000004</v>
      </c>
      <c r="V556" s="60">
        <f t="shared" si="88"/>
        <v>0</v>
      </c>
      <c r="W556" s="60">
        <f t="shared" si="88"/>
        <v>0</v>
      </c>
      <c r="X556" s="60">
        <f t="shared" si="88"/>
        <v>0</v>
      </c>
      <c r="Y556" s="60">
        <f t="shared" si="88"/>
        <v>0</v>
      </c>
      <c r="Z556" s="60">
        <f t="shared" si="88"/>
        <v>0</v>
      </c>
      <c r="AA556" s="60">
        <f t="shared" si="88"/>
        <v>0</v>
      </c>
      <c r="AB556" s="60">
        <f t="shared" si="88"/>
        <v>0</v>
      </c>
      <c r="AC556" s="60">
        <f t="shared" si="88"/>
        <v>10646725.790000008</v>
      </c>
      <c r="AD556" s="60">
        <f t="shared" si="88"/>
        <v>27565017.479999993</v>
      </c>
      <c r="AE556" s="60">
        <f t="shared" si="88"/>
        <v>240000</v>
      </c>
      <c r="AF556" s="54" t="s">
        <v>701</v>
      </c>
      <c r="AG556" s="54" t="s">
        <v>701</v>
      </c>
      <c r="AH556" s="55" t="s">
        <v>701</v>
      </c>
    </row>
    <row r="557" spans="1:86" s="137" customFormat="1" ht="54" customHeight="1" x14ac:dyDescent="0.85">
      <c r="A557" s="7"/>
      <c r="B557" s="160" t="s">
        <v>1027</v>
      </c>
      <c r="C557" s="176"/>
      <c r="D557" s="177">
        <f t="shared" ref="D557:AE557" si="89">SUM(D558:D645)</f>
        <v>164966276.65999994</v>
      </c>
      <c r="E557" s="60">
        <f t="shared" si="89"/>
        <v>0</v>
      </c>
      <c r="F557" s="60">
        <f t="shared" si="89"/>
        <v>0</v>
      </c>
      <c r="G557" s="60">
        <f t="shared" si="89"/>
        <v>677721.31</v>
      </c>
      <c r="H557" s="60">
        <f t="shared" si="89"/>
        <v>0</v>
      </c>
      <c r="I557" s="60">
        <f t="shared" si="89"/>
        <v>0</v>
      </c>
      <c r="J557" s="60">
        <f t="shared" si="89"/>
        <v>0</v>
      </c>
      <c r="K557" s="168">
        <f t="shared" si="89"/>
        <v>10</v>
      </c>
      <c r="L557" s="60">
        <f t="shared" si="89"/>
        <v>17360874.5</v>
      </c>
      <c r="M557" s="60">
        <f t="shared" si="89"/>
        <v>33281.980000000003</v>
      </c>
      <c r="N557" s="60">
        <f t="shared" si="89"/>
        <v>126578863.78</v>
      </c>
      <c r="O557" s="60">
        <f t="shared" si="89"/>
        <v>0</v>
      </c>
      <c r="P557" s="60">
        <f t="shared" si="89"/>
        <v>0</v>
      </c>
      <c r="Q557" s="60">
        <f t="shared" si="89"/>
        <v>5605.1399999999994</v>
      </c>
      <c r="R557" s="60">
        <f t="shared" si="89"/>
        <v>13442989.439999999</v>
      </c>
      <c r="S557" s="60">
        <f t="shared" si="89"/>
        <v>0</v>
      </c>
      <c r="T557" s="60">
        <f t="shared" si="89"/>
        <v>0</v>
      </c>
      <c r="U557" s="60">
        <f t="shared" si="89"/>
        <v>0</v>
      </c>
      <c r="V557" s="60">
        <f t="shared" si="89"/>
        <v>0</v>
      </c>
      <c r="W557" s="60">
        <f t="shared" si="89"/>
        <v>0</v>
      </c>
      <c r="X557" s="60">
        <f t="shared" si="89"/>
        <v>0</v>
      </c>
      <c r="Y557" s="60">
        <f t="shared" si="89"/>
        <v>0</v>
      </c>
      <c r="Z557" s="60">
        <f t="shared" si="89"/>
        <v>0</v>
      </c>
      <c r="AA557" s="60">
        <f t="shared" si="89"/>
        <v>0</v>
      </c>
      <c r="AB557" s="60">
        <f t="shared" si="89"/>
        <v>0</v>
      </c>
      <c r="AC557" s="60">
        <f t="shared" si="89"/>
        <v>2065981.8500000003</v>
      </c>
      <c r="AD557" s="60">
        <f t="shared" si="89"/>
        <v>4839845.7799999984</v>
      </c>
      <c r="AE557" s="60">
        <f t="shared" si="89"/>
        <v>0</v>
      </c>
      <c r="AF557" s="54" t="s">
        <v>701</v>
      </c>
      <c r="AG557" s="54" t="s">
        <v>701</v>
      </c>
      <c r="AH557" s="55" t="s">
        <v>701</v>
      </c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</row>
    <row r="558" spans="1:86" ht="61.5" x14ac:dyDescent="0.85">
      <c r="A558" s="7">
        <v>1</v>
      </c>
      <c r="B558" s="59">
        <f>SUBTOTAL(103,$A$558:A558)</f>
        <v>1</v>
      </c>
      <c r="C558" s="160" t="s">
        <v>504</v>
      </c>
      <c r="D558" s="60">
        <f t="shared" ref="D558:D589" si="90">E558+F558+G558+H558+I558+J558+L558+N558+P558+R558+T558+U558+V558+W558+X558+Y558+Z558+AA558+AB558+AC558+AD558+AE558</f>
        <v>4286748.6900000004</v>
      </c>
      <c r="E558" s="60">
        <v>0</v>
      </c>
      <c r="F558" s="60">
        <v>0</v>
      </c>
      <c r="G558" s="60">
        <v>0</v>
      </c>
      <c r="H558" s="60">
        <v>0</v>
      </c>
      <c r="I558" s="60">
        <v>0</v>
      </c>
      <c r="J558" s="60">
        <v>0</v>
      </c>
      <c r="K558" s="168">
        <v>0</v>
      </c>
      <c r="L558" s="60">
        <v>0</v>
      </c>
      <c r="M558" s="60">
        <v>965.7</v>
      </c>
      <c r="N558" s="60">
        <v>4138096.19</v>
      </c>
      <c r="O558" s="60">
        <v>0</v>
      </c>
      <c r="P558" s="60">
        <v>0</v>
      </c>
      <c r="Q558" s="60">
        <v>0</v>
      </c>
      <c r="R558" s="60">
        <v>0</v>
      </c>
      <c r="S558" s="60">
        <v>0</v>
      </c>
      <c r="T558" s="60">
        <v>0</v>
      </c>
      <c r="U558" s="60">
        <v>0</v>
      </c>
      <c r="V558" s="60">
        <v>0</v>
      </c>
      <c r="W558" s="60">
        <v>0</v>
      </c>
      <c r="X558" s="60">
        <v>0</v>
      </c>
      <c r="Y558" s="60">
        <v>0</v>
      </c>
      <c r="Z558" s="60">
        <v>0</v>
      </c>
      <c r="AA558" s="60">
        <v>0</v>
      </c>
      <c r="AB558" s="60">
        <v>0</v>
      </c>
      <c r="AC558" s="62">
        <v>60830.01</v>
      </c>
      <c r="AD558" s="62">
        <v>87822.49</v>
      </c>
      <c r="AE558" s="60">
        <v>0</v>
      </c>
      <c r="AF558" s="170">
        <v>2021</v>
      </c>
      <c r="AG558" s="170">
        <v>2021</v>
      </c>
      <c r="AH558" s="63">
        <v>2021</v>
      </c>
    </row>
    <row r="559" spans="1:86" ht="61.5" x14ac:dyDescent="0.85">
      <c r="A559" s="7">
        <v>1</v>
      </c>
      <c r="B559" s="59">
        <f>SUBTOTAL(103,$A$558:A559)</f>
        <v>2</v>
      </c>
      <c r="C559" s="160" t="s">
        <v>505</v>
      </c>
      <c r="D559" s="60">
        <f t="shared" si="90"/>
        <v>4307382.3800000008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168">
        <v>0</v>
      </c>
      <c r="L559" s="60">
        <v>0</v>
      </c>
      <c r="M559" s="60">
        <v>964.74</v>
      </c>
      <c r="N559" s="60">
        <v>4158424.6</v>
      </c>
      <c r="O559" s="60">
        <v>0</v>
      </c>
      <c r="P559" s="60">
        <v>0</v>
      </c>
      <c r="Q559" s="60">
        <v>0</v>
      </c>
      <c r="R559" s="60">
        <v>0</v>
      </c>
      <c r="S559" s="60">
        <v>0</v>
      </c>
      <c r="T559" s="60">
        <v>0</v>
      </c>
      <c r="U559" s="60">
        <v>0</v>
      </c>
      <c r="V559" s="60">
        <v>0</v>
      </c>
      <c r="W559" s="60">
        <v>0</v>
      </c>
      <c r="X559" s="60">
        <v>0</v>
      </c>
      <c r="Y559" s="60">
        <v>0</v>
      </c>
      <c r="Z559" s="60">
        <v>0</v>
      </c>
      <c r="AA559" s="60">
        <v>0</v>
      </c>
      <c r="AB559" s="60">
        <v>0</v>
      </c>
      <c r="AC559" s="62">
        <v>61128.84</v>
      </c>
      <c r="AD559" s="62">
        <v>87828.94</v>
      </c>
      <c r="AE559" s="60">
        <v>0</v>
      </c>
      <c r="AF559" s="170">
        <v>2021</v>
      </c>
      <c r="AG559" s="170">
        <v>2021</v>
      </c>
      <c r="AH559" s="63">
        <v>2021</v>
      </c>
    </row>
    <row r="560" spans="1:86" ht="61.5" x14ac:dyDescent="0.85">
      <c r="A560" s="7">
        <v>1</v>
      </c>
      <c r="B560" s="59">
        <f>SUBTOTAL(103,$A$558:A560)</f>
        <v>3</v>
      </c>
      <c r="C560" s="160" t="s">
        <v>506</v>
      </c>
      <c r="D560" s="60">
        <f t="shared" si="90"/>
        <v>1630479.8800000001</v>
      </c>
      <c r="E560" s="60">
        <v>0</v>
      </c>
      <c r="F560" s="60">
        <v>0</v>
      </c>
      <c r="G560" s="60">
        <v>0</v>
      </c>
      <c r="H560" s="60">
        <v>0</v>
      </c>
      <c r="I560" s="60">
        <v>0</v>
      </c>
      <c r="J560" s="60">
        <v>0</v>
      </c>
      <c r="K560" s="168">
        <v>0</v>
      </c>
      <c r="L560" s="60">
        <v>0</v>
      </c>
      <c r="M560" s="60">
        <v>553</v>
      </c>
      <c r="N560" s="60">
        <v>1606859.05</v>
      </c>
      <c r="O560" s="60">
        <v>0</v>
      </c>
      <c r="P560" s="60">
        <v>0</v>
      </c>
      <c r="Q560" s="60">
        <v>0</v>
      </c>
      <c r="R560" s="60">
        <v>0</v>
      </c>
      <c r="S560" s="60">
        <v>0</v>
      </c>
      <c r="T560" s="60">
        <v>0</v>
      </c>
      <c r="U560" s="60">
        <v>0</v>
      </c>
      <c r="V560" s="60">
        <v>0</v>
      </c>
      <c r="W560" s="60">
        <v>0</v>
      </c>
      <c r="X560" s="60">
        <v>0</v>
      </c>
      <c r="Y560" s="60">
        <v>0</v>
      </c>
      <c r="Z560" s="60">
        <v>0</v>
      </c>
      <c r="AA560" s="60">
        <v>0</v>
      </c>
      <c r="AB560" s="60">
        <v>0</v>
      </c>
      <c r="AC560" s="62">
        <v>23620.83</v>
      </c>
      <c r="AD560" s="60">
        <v>0</v>
      </c>
      <c r="AE560" s="60">
        <v>0</v>
      </c>
      <c r="AF560" s="170" t="s">
        <v>257</v>
      </c>
      <c r="AG560" s="170">
        <v>2021</v>
      </c>
      <c r="AH560" s="63">
        <v>2021</v>
      </c>
    </row>
    <row r="561" spans="1:34" ht="61.5" x14ac:dyDescent="0.85">
      <c r="A561" s="7">
        <v>1</v>
      </c>
      <c r="B561" s="59">
        <f>SUBTOTAL(103,$A$558:A561)</f>
        <v>4</v>
      </c>
      <c r="C561" s="160" t="s">
        <v>509</v>
      </c>
      <c r="D561" s="60">
        <f t="shared" si="90"/>
        <v>2688147.79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168">
        <v>0</v>
      </c>
      <c r="L561" s="60">
        <v>0</v>
      </c>
      <c r="M561" s="60">
        <v>599</v>
      </c>
      <c r="N561" s="60">
        <v>2649204.48</v>
      </c>
      <c r="O561" s="60">
        <v>0</v>
      </c>
      <c r="P561" s="60">
        <v>0</v>
      </c>
      <c r="Q561" s="60">
        <v>0</v>
      </c>
      <c r="R561" s="60">
        <v>0</v>
      </c>
      <c r="S561" s="60">
        <v>0</v>
      </c>
      <c r="T561" s="60">
        <v>0</v>
      </c>
      <c r="U561" s="60">
        <v>0</v>
      </c>
      <c r="V561" s="60">
        <v>0</v>
      </c>
      <c r="W561" s="60">
        <v>0</v>
      </c>
      <c r="X561" s="60">
        <v>0</v>
      </c>
      <c r="Y561" s="60">
        <v>0</v>
      </c>
      <c r="Z561" s="60">
        <v>0</v>
      </c>
      <c r="AA561" s="60">
        <v>0</v>
      </c>
      <c r="AB561" s="60">
        <v>0</v>
      </c>
      <c r="AC561" s="62">
        <v>38943.31</v>
      </c>
      <c r="AD561" s="60">
        <v>0</v>
      </c>
      <c r="AE561" s="60">
        <v>0</v>
      </c>
      <c r="AF561" s="170" t="s">
        <v>257</v>
      </c>
      <c r="AG561" s="170">
        <v>2021</v>
      </c>
      <c r="AH561" s="170">
        <v>2021</v>
      </c>
    </row>
    <row r="562" spans="1:34" ht="61.5" x14ac:dyDescent="0.85">
      <c r="A562" s="7">
        <v>1</v>
      </c>
      <c r="B562" s="59">
        <f>SUBTOTAL(103,$A$558:A562)</f>
        <v>5</v>
      </c>
      <c r="C562" s="160" t="s">
        <v>510</v>
      </c>
      <c r="D562" s="60">
        <f t="shared" si="90"/>
        <v>88158.53</v>
      </c>
      <c r="E562" s="60">
        <v>0</v>
      </c>
      <c r="F562" s="60">
        <v>0</v>
      </c>
      <c r="G562" s="60">
        <v>0</v>
      </c>
      <c r="H562" s="60">
        <v>0</v>
      </c>
      <c r="I562" s="60">
        <v>0</v>
      </c>
      <c r="J562" s="60">
        <v>0</v>
      </c>
      <c r="K562" s="168">
        <v>0</v>
      </c>
      <c r="L562" s="60">
        <v>0</v>
      </c>
      <c r="M562" s="60">
        <v>0</v>
      </c>
      <c r="N562" s="60">
        <v>0</v>
      </c>
      <c r="O562" s="60">
        <v>0</v>
      </c>
      <c r="P562" s="60">
        <v>0</v>
      </c>
      <c r="Q562" s="60">
        <v>0</v>
      </c>
      <c r="R562" s="60">
        <v>0</v>
      </c>
      <c r="S562" s="60">
        <v>0</v>
      </c>
      <c r="T562" s="60">
        <v>0</v>
      </c>
      <c r="U562" s="60">
        <v>0</v>
      </c>
      <c r="V562" s="60">
        <v>0</v>
      </c>
      <c r="W562" s="60">
        <v>0</v>
      </c>
      <c r="X562" s="60">
        <v>0</v>
      </c>
      <c r="Y562" s="60">
        <v>0</v>
      </c>
      <c r="Z562" s="60">
        <v>0</v>
      </c>
      <c r="AA562" s="60">
        <v>0</v>
      </c>
      <c r="AB562" s="60">
        <v>0</v>
      </c>
      <c r="AC562" s="60">
        <v>0</v>
      </c>
      <c r="AD562" s="62">
        <v>88158.53</v>
      </c>
      <c r="AE562" s="60">
        <v>0</v>
      </c>
      <c r="AF562" s="170">
        <v>2021</v>
      </c>
      <c r="AG562" s="170" t="s">
        <v>257</v>
      </c>
      <c r="AH562" s="170" t="s">
        <v>257</v>
      </c>
    </row>
    <row r="563" spans="1:34" ht="61.5" x14ac:dyDescent="0.85">
      <c r="A563" s="7">
        <v>1</v>
      </c>
      <c r="B563" s="59">
        <f>SUBTOTAL(103,$A$558:A563)</f>
        <v>6</v>
      </c>
      <c r="C563" s="160" t="s">
        <v>511</v>
      </c>
      <c r="D563" s="60">
        <f t="shared" si="90"/>
        <v>2441027.59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168">
        <v>0</v>
      </c>
      <c r="L563" s="60">
        <v>0</v>
      </c>
      <c r="M563" s="60">
        <v>967</v>
      </c>
      <c r="N563" s="62">
        <v>2318685.9500000002</v>
      </c>
      <c r="O563" s="60">
        <v>0</v>
      </c>
      <c r="P563" s="60">
        <v>0</v>
      </c>
      <c r="Q563" s="60">
        <v>0</v>
      </c>
      <c r="R563" s="60">
        <v>0</v>
      </c>
      <c r="S563" s="60">
        <v>0</v>
      </c>
      <c r="T563" s="60">
        <v>0</v>
      </c>
      <c r="U563" s="60">
        <v>0</v>
      </c>
      <c r="V563" s="60">
        <v>0</v>
      </c>
      <c r="W563" s="60">
        <v>0</v>
      </c>
      <c r="X563" s="60">
        <v>0</v>
      </c>
      <c r="Y563" s="60">
        <v>0</v>
      </c>
      <c r="Z563" s="60">
        <v>0</v>
      </c>
      <c r="AA563" s="60">
        <v>0</v>
      </c>
      <c r="AB563" s="60">
        <v>0</v>
      </c>
      <c r="AC563" s="62">
        <v>34084.339999999997</v>
      </c>
      <c r="AD563" s="62">
        <v>88257.3</v>
      </c>
      <c r="AE563" s="60">
        <v>0</v>
      </c>
      <c r="AF563" s="170">
        <v>2021</v>
      </c>
      <c r="AG563" s="170">
        <v>2021</v>
      </c>
      <c r="AH563" s="63">
        <v>2021</v>
      </c>
    </row>
    <row r="564" spans="1:34" ht="61.5" x14ac:dyDescent="0.85">
      <c r="A564" s="7">
        <v>1</v>
      </c>
      <c r="B564" s="59">
        <f>SUBTOTAL(103,$A$558:A564)</f>
        <v>7</v>
      </c>
      <c r="C564" s="160" t="s">
        <v>512</v>
      </c>
      <c r="D564" s="60">
        <f t="shared" si="90"/>
        <v>3218631.9200000004</v>
      </c>
      <c r="E564" s="60">
        <v>0</v>
      </c>
      <c r="F564" s="60">
        <v>0</v>
      </c>
      <c r="G564" s="60">
        <v>0</v>
      </c>
      <c r="H564" s="60">
        <v>0</v>
      </c>
      <c r="I564" s="60">
        <v>0</v>
      </c>
      <c r="J564" s="60">
        <v>0</v>
      </c>
      <c r="K564" s="168">
        <v>0</v>
      </c>
      <c r="L564" s="60">
        <v>0</v>
      </c>
      <c r="M564" s="60">
        <v>1244</v>
      </c>
      <c r="N564" s="60">
        <v>3172003.47</v>
      </c>
      <c r="O564" s="60">
        <v>0</v>
      </c>
      <c r="P564" s="60">
        <v>0</v>
      </c>
      <c r="Q564" s="60">
        <v>0</v>
      </c>
      <c r="R564" s="60">
        <v>0</v>
      </c>
      <c r="S564" s="60">
        <v>0</v>
      </c>
      <c r="T564" s="60">
        <v>0</v>
      </c>
      <c r="U564" s="60">
        <v>0</v>
      </c>
      <c r="V564" s="60">
        <v>0</v>
      </c>
      <c r="W564" s="60">
        <v>0</v>
      </c>
      <c r="X564" s="60">
        <v>0</v>
      </c>
      <c r="Y564" s="60">
        <v>0</v>
      </c>
      <c r="Z564" s="60">
        <v>0</v>
      </c>
      <c r="AA564" s="60">
        <v>0</v>
      </c>
      <c r="AB564" s="60">
        <v>0</v>
      </c>
      <c r="AC564" s="62">
        <v>46628.45</v>
      </c>
      <c r="AD564" s="60">
        <v>0</v>
      </c>
      <c r="AE564" s="60">
        <v>0</v>
      </c>
      <c r="AF564" s="170" t="s">
        <v>257</v>
      </c>
      <c r="AG564" s="170">
        <v>2021</v>
      </c>
      <c r="AH564" s="63">
        <v>2021</v>
      </c>
    </row>
    <row r="565" spans="1:34" ht="61.5" x14ac:dyDescent="0.85">
      <c r="A565" s="7">
        <v>1</v>
      </c>
      <c r="B565" s="59">
        <f>SUBTOTAL(103,$A$558:A565)</f>
        <v>8</v>
      </c>
      <c r="C565" s="160" t="s">
        <v>513</v>
      </c>
      <c r="D565" s="60">
        <f t="shared" si="90"/>
        <v>2687784.7600000002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168">
        <v>0</v>
      </c>
      <c r="L565" s="60">
        <v>0</v>
      </c>
      <c r="M565" s="60">
        <v>457.91</v>
      </c>
      <c r="N565" s="60">
        <v>2562290</v>
      </c>
      <c r="O565" s="60">
        <v>0</v>
      </c>
      <c r="P565" s="60">
        <v>0</v>
      </c>
      <c r="Q565" s="60">
        <v>0</v>
      </c>
      <c r="R565" s="60">
        <v>0</v>
      </c>
      <c r="S565" s="60">
        <v>0</v>
      </c>
      <c r="T565" s="60">
        <v>0</v>
      </c>
      <c r="U565" s="60">
        <v>0</v>
      </c>
      <c r="V565" s="60">
        <v>0</v>
      </c>
      <c r="W565" s="60">
        <v>0</v>
      </c>
      <c r="X565" s="60">
        <v>0</v>
      </c>
      <c r="Y565" s="60">
        <v>0</v>
      </c>
      <c r="Z565" s="60">
        <v>0</v>
      </c>
      <c r="AA565" s="60">
        <v>0</v>
      </c>
      <c r="AB565" s="60">
        <v>0</v>
      </c>
      <c r="AC565" s="60">
        <v>37665.660000000003</v>
      </c>
      <c r="AD565" s="62">
        <v>87829.1</v>
      </c>
      <c r="AE565" s="60">
        <v>0</v>
      </c>
      <c r="AF565" s="170">
        <v>2021</v>
      </c>
      <c r="AG565" s="170">
        <v>2021</v>
      </c>
      <c r="AH565" s="63">
        <v>2021</v>
      </c>
    </row>
    <row r="566" spans="1:34" ht="61.5" x14ac:dyDescent="0.85">
      <c r="A566" s="7">
        <v>1</v>
      </c>
      <c r="B566" s="59">
        <f>SUBTOTAL(103,$A$558:A566)</f>
        <v>9</v>
      </c>
      <c r="C566" s="160" t="s">
        <v>514</v>
      </c>
      <c r="D566" s="60">
        <f t="shared" si="90"/>
        <v>2496866.9499999997</v>
      </c>
      <c r="E566" s="60">
        <v>0</v>
      </c>
      <c r="F566" s="60">
        <v>0</v>
      </c>
      <c r="G566" s="60">
        <v>0</v>
      </c>
      <c r="H566" s="60">
        <v>0</v>
      </c>
      <c r="I566" s="60">
        <v>0</v>
      </c>
      <c r="J566" s="60">
        <v>0</v>
      </c>
      <c r="K566" s="168">
        <v>0</v>
      </c>
      <c r="L566" s="60">
        <v>0</v>
      </c>
      <c r="M566" s="60">
        <v>911.04</v>
      </c>
      <c r="N566" s="169">
        <v>2373709.75</v>
      </c>
      <c r="O566" s="60">
        <v>0</v>
      </c>
      <c r="P566" s="60">
        <v>0</v>
      </c>
      <c r="Q566" s="60">
        <v>0</v>
      </c>
      <c r="R566" s="60">
        <v>0</v>
      </c>
      <c r="S566" s="60">
        <v>0</v>
      </c>
      <c r="T566" s="60">
        <v>0</v>
      </c>
      <c r="U566" s="60">
        <v>0</v>
      </c>
      <c r="V566" s="60">
        <v>0</v>
      </c>
      <c r="W566" s="60">
        <v>0</v>
      </c>
      <c r="X566" s="60">
        <v>0</v>
      </c>
      <c r="Y566" s="60">
        <v>0</v>
      </c>
      <c r="Z566" s="60">
        <v>0</v>
      </c>
      <c r="AA566" s="60">
        <v>0</v>
      </c>
      <c r="AB566" s="60">
        <v>0</v>
      </c>
      <c r="AC566" s="62">
        <v>34893.53</v>
      </c>
      <c r="AD566" s="169">
        <v>88263.67</v>
      </c>
      <c r="AE566" s="60">
        <v>0</v>
      </c>
      <c r="AF566" s="170">
        <v>2021</v>
      </c>
      <c r="AG566" s="170">
        <v>2021</v>
      </c>
      <c r="AH566" s="63">
        <v>2021</v>
      </c>
    </row>
    <row r="567" spans="1:34" ht="61.5" x14ac:dyDescent="0.85">
      <c r="A567" s="7">
        <v>1</v>
      </c>
      <c r="B567" s="59">
        <f>SUBTOTAL(103,$A$558:A567)</f>
        <v>10</v>
      </c>
      <c r="C567" s="160" t="s">
        <v>517</v>
      </c>
      <c r="D567" s="60">
        <f t="shared" si="90"/>
        <v>4279060.84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168">
        <v>0</v>
      </c>
      <c r="L567" s="60">
        <v>0</v>
      </c>
      <c r="M567" s="60">
        <v>1087.3699999999999</v>
      </c>
      <c r="N567" s="60">
        <v>4130234</v>
      </c>
      <c r="O567" s="60">
        <v>0</v>
      </c>
      <c r="P567" s="60">
        <v>0</v>
      </c>
      <c r="Q567" s="60">
        <v>0</v>
      </c>
      <c r="R567" s="60">
        <v>0</v>
      </c>
      <c r="S567" s="60">
        <v>0</v>
      </c>
      <c r="T567" s="60">
        <v>0</v>
      </c>
      <c r="U567" s="60">
        <v>0</v>
      </c>
      <c r="V567" s="60">
        <v>0</v>
      </c>
      <c r="W567" s="60">
        <v>0</v>
      </c>
      <c r="X567" s="60">
        <v>0</v>
      </c>
      <c r="Y567" s="60">
        <v>0</v>
      </c>
      <c r="Z567" s="60">
        <v>0</v>
      </c>
      <c r="AA567" s="60">
        <v>0</v>
      </c>
      <c r="AB567" s="60">
        <v>0</v>
      </c>
      <c r="AC567" s="62">
        <v>60714.44</v>
      </c>
      <c r="AD567" s="60">
        <v>88112.4</v>
      </c>
      <c r="AE567" s="60">
        <v>0</v>
      </c>
      <c r="AF567" s="170">
        <v>2021</v>
      </c>
      <c r="AG567" s="170">
        <v>2021</v>
      </c>
      <c r="AH567" s="63">
        <v>2021</v>
      </c>
    </row>
    <row r="568" spans="1:34" ht="61.5" x14ac:dyDescent="0.85">
      <c r="A568" s="7">
        <v>1</v>
      </c>
      <c r="B568" s="59">
        <f>SUBTOTAL(103,$A$558:A568)</f>
        <v>11</v>
      </c>
      <c r="C568" s="160" t="s">
        <v>516</v>
      </c>
      <c r="D568" s="60">
        <f t="shared" si="90"/>
        <v>4271373.3099999996</v>
      </c>
      <c r="E568" s="60">
        <v>0</v>
      </c>
      <c r="F568" s="60">
        <v>0</v>
      </c>
      <c r="G568" s="60">
        <v>0</v>
      </c>
      <c r="H568" s="60">
        <v>0</v>
      </c>
      <c r="I568" s="60">
        <v>0</v>
      </c>
      <c r="J568" s="60">
        <v>0</v>
      </c>
      <c r="K568" s="168">
        <v>0</v>
      </c>
      <c r="L568" s="60">
        <v>0</v>
      </c>
      <c r="M568" s="60">
        <v>1031</v>
      </c>
      <c r="N568" s="60">
        <v>4209493.75</v>
      </c>
      <c r="O568" s="60">
        <v>0</v>
      </c>
      <c r="P568" s="60">
        <v>0</v>
      </c>
      <c r="Q568" s="60">
        <v>0</v>
      </c>
      <c r="R568" s="60">
        <v>0</v>
      </c>
      <c r="S568" s="60">
        <v>0</v>
      </c>
      <c r="T568" s="60">
        <v>0</v>
      </c>
      <c r="U568" s="60">
        <v>0</v>
      </c>
      <c r="V568" s="60">
        <v>0</v>
      </c>
      <c r="W568" s="60">
        <v>0</v>
      </c>
      <c r="X568" s="60">
        <v>0</v>
      </c>
      <c r="Y568" s="60">
        <v>0</v>
      </c>
      <c r="Z568" s="60">
        <v>0</v>
      </c>
      <c r="AA568" s="60">
        <v>0</v>
      </c>
      <c r="AB568" s="60">
        <v>0</v>
      </c>
      <c r="AC568" s="62">
        <v>61879.56</v>
      </c>
      <c r="AD568" s="60">
        <v>0</v>
      </c>
      <c r="AE568" s="60">
        <v>0</v>
      </c>
      <c r="AF568" s="170" t="s">
        <v>257</v>
      </c>
      <c r="AG568" s="170">
        <v>2021</v>
      </c>
      <c r="AH568" s="63">
        <v>2021</v>
      </c>
    </row>
    <row r="569" spans="1:34" ht="61.5" x14ac:dyDescent="0.85">
      <c r="A569" s="7">
        <v>1</v>
      </c>
      <c r="B569" s="59">
        <f>SUBTOTAL(103,$A$558:A569)</f>
        <v>12</v>
      </c>
      <c r="C569" s="160" t="s">
        <v>743</v>
      </c>
      <c r="D569" s="60">
        <f t="shared" si="90"/>
        <v>88074.58</v>
      </c>
      <c r="E569" s="60">
        <v>0</v>
      </c>
      <c r="F569" s="60">
        <v>0</v>
      </c>
      <c r="G569" s="60">
        <v>0</v>
      </c>
      <c r="H569" s="60">
        <v>0</v>
      </c>
      <c r="I569" s="60">
        <v>0</v>
      </c>
      <c r="J569" s="60">
        <v>0</v>
      </c>
      <c r="K569" s="168">
        <v>0</v>
      </c>
      <c r="L569" s="60">
        <v>0</v>
      </c>
      <c r="M569" s="60">
        <v>0</v>
      </c>
      <c r="N569" s="60">
        <v>0</v>
      </c>
      <c r="O569" s="60">
        <v>0</v>
      </c>
      <c r="P569" s="60">
        <v>0</v>
      </c>
      <c r="Q569" s="60">
        <v>0</v>
      </c>
      <c r="R569" s="60">
        <v>0</v>
      </c>
      <c r="S569" s="60">
        <v>0</v>
      </c>
      <c r="T569" s="60">
        <v>0</v>
      </c>
      <c r="U569" s="60">
        <v>0</v>
      </c>
      <c r="V569" s="60">
        <v>0</v>
      </c>
      <c r="W569" s="60">
        <v>0</v>
      </c>
      <c r="X569" s="60">
        <v>0</v>
      </c>
      <c r="Y569" s="60">
        <v>0</v>
      </c>
      <c r="Z569" s="60">
        <v>0</v>
      </c>
      <c r="AA569" s="60">
        <v>0</v>
      </c>
      <c r="AB569" s="60">
        <v>0</v>
      </c>
      <c r="AC569" s="60">
        <v>0</v>
      </c>
      <c r="AD569" s="62">
        <v>88074.58</v>
      </c>
      <c r="AE569" s="60">
        <v>0</v>
      </c>
      <c r="AF569" s="170">
        <v>2021</v>
      </c>
      <c r="AG569" s="170" t="s">
        <v>257</v>
      </c>
      <c r="AH569" s="170" t="s">
        <v>257</v>
      </c>
    </row>
    <row r="570" spans="1:34" ht="61.5" x14ac:dyDescent="0.85">
      <c r="A570" s="7">
        <v>1</v>
      </c>
      <c r="B570" s="59">
        <f>SUBTOTAL(103,$A$558:A570)</f>
        <v>13</v>
      </c>
      <c r="C570" s="160" t="s">
        <v>518</v>
      </c>
      <c r="D570" s="60">
        <f t="shared" si="90"/>
        <v>4594145.79</v>
      </c>
      <c r="E570" s="60">
        <v>0</v>
      </c>
      <c r="F570" s="60">
        <v>0</v>
      </c>
      <c r="G570" s="60">
        <v>0</v>
      </c>
      <c r="H570" s="60">
        <v>0</v>
      </c>
      <c r="I570" s="60">
        <v>0</v>
      </c>
      <c r="J570" s="60">
        <v>0</v>
      </c>
      <c r="K570" s="168">
        <v>0</v>
      </c>
      <c r="L570" s="60">
        <v>0</v>
      </c>
      <c r="M570" s="60">
        <v>962.7</v>
      </c>
      <c r="N570" s="60">
        <v>4527590.21</v>
      </c>
      <c r="O570" s="60">
        <v>0</v>
      </c>
      <c r="P570" s="60">
        <v>0</v>
      </c>
      <c r="Q570" s="60">
        <v>0</v>
      </c>
      <c r="R570" s="60">
        <v>0</v>
      </c>
      <c r="S570" s="60">
        <v>0</v>
      </c>
      <c r="T570" s="60">
        <v>0</v>
      </c>
      <c r="U570" s="60">
        <v>0</v>
      </c>
      <c r="V570" s="60">
        <v>0</v>
      </c>
      <c r="W570" s="60">
        <v>0</v>
      </c>
      <c r="X570" s="60">
        <v>0</v>
      </c>
      <c r="Y570" s="60">
        <v>0</v>
      </c>
      <c r="Z570" s="60">
        <v>0</v>
      </c>
      <c r="AA570" s="60">
        <v>0</v>
      </c>
      <c r="AB570" s="60">
        <v>0</v>
      </c>
      <c r="AC570" s="62">
        <v>66555.58</v>
      </c>
      <c r="AD570" s="60">
        <v>0</v>
      </c>
      <c r="AE570" s="60">
        <v>0</v>
      </c>
      <c r="AF570" s="170" t="s">
        <v>257</v>
      </c>
      <c r="AG570" s="170">
        <v>2021</v>
      </c>
      <c r="AH570" s="63">
        <v>2021</v>
      </c>
    </row>
    <row r="571" spans="1:34" ht="61.5" x14ac:dyDescent="0.85">
      <c r="A571" s="7">
        <v>1</v>
      </c>
      <c r="B571" s="59">
        <f>SUBTOTAL(103,$A$558:A571)</f>
        <v>14</v>
      </c>
      <c r="C571" s="160" t="s">
        <v>519</v>
      </c>
      <c r="D571" s="60">
        <f t="shared" si="90"/>
        <v>3671490.27</v>
      </c>
      <c r="E571" s="60">
        <v>0</v>
      </c>
      <c r="F571" s="60">
        <v>0</v>
      </c>
      <c r="G571" s="60">
        <v>0</v>
      </c>
      <c r="H571" s="60">
        <v>0</v>
      </c>
      <c r="I571" s="60">
        <v>0</v>
      </c>
      <c r="J571" s="60">
        <v>0</v>
      </c>
      <c r="K571" s="168">
        <v>0</v>
      </c>
      <c r="L571" s="60">
        <v>0</v>
      </c>
      <c r="M571" s="60">
        <v>723.9</v>
      </c>
      <c r="N571" s="60">
        <v>3618301.24</v>
      </c>
      <c r="O571" s="60">
        <v>0</v>
      </c>
      <c r="P571" s="60">
        <v>0</v>
      </c>
      <c r="Q571" s="60">
        <v>0</v>
      </c>
      <c r="R571" s="60">
        <v>0</v>
      </c>
      <c r="S571" s="60">
        <v>0</v>
      </c>
      <c r="T571" s="60">
        <v>0</v>
      </c>
      <c r="U571" s="60">
        <v>0</v>
      </c>
      <c r="V571" s="60">
        <v>0</v>
      </c>
      <c r="W571" s="60">
        <v>0</v>
      </c>
      <c r="X571" s="60">
        <v>0</v>
      </c>
      <c r="Y571" s="60">
        <v>0</v>
      </c>
      <c r="Z571" s="60">
        <v>0</v>
      </c>
      <c r="AA571" s="60">
        <v>0</v>
      </c>
      <c r="AB571" s="60">
        <v>0</v>
      </c>
      <c r="AC571" s="62">
        <v>53189.03</v>
      </c>
      <c r="AD571" s="60">
        <v>0</v>
      </c>
      <c r="AE571" s="60">
        <v>0</v>
      </c>
      <c r="AF571" s="170" t="s">
        <v>257</v>
      </c>
      <c r="AG571" s="170">
        <v>2021</v>
      </c>
      <c r="AH571" s="63">
        <v>2021</v>
      </c>
    </row>
    <row r="572" spans="1:34" ht="61.5" x14ac:dyDescent="0.85">
      <c r="A572" s="7">
        <v>1</v>
      </c>
      <c r="B572" s="59">
        <f>SUBTOTAL(103,$A$558:A572)</f>
        <v>15</v>
      </c>
      <c r="C572" s="160" t="s">
        <v>1319</v>
      </c>
      <c r="D572" s="60">
        <f t="shared" si="90"/>
        <v>4922134.1900000004</v>
      </c>
      <c r="E572" s="60">
        <v>0</v>
      </c>
      <c r="F572" s="60">
        <v>0</v>
      </c>
      <c r="G572" s="60">
        <v>0</v>
      </c>
      <c r="H572" s="60">
        <v>0</v>
      </c>
      <c r="I572" s="60">
        <v>0</v>
      </c>
      <c r="J572" s="60">
        <v>0</v>
      </c>
      <c r="K572" s="168">
        <v>0</v>
      </c>
      <c r="L572" s="60">
        <v>0</v>
      </c>
      <c r="M572" s="62">
        <v>1082</v>
      </c>
      <c r="N572" s="62">
        <v>4850827.75</v>
      </c>
      <c r="O572" s="60">
        <v>0</v>
      </c>
      <c r="P572" s="60">
        <v>0</v>
      </c>
      <c r="Q572" s="60">
        <v>0</v>
      </c>
      <c r="R572" s="60">
        <v>0</v>
      </c>
      <c r="S572" s="60">
        <v>0</v>
      </c>
      <c r="T572" s="60">
        <v>0</v>
      </c>
      <c r="U572" s="60">
        <v>0</v>
      </c>
      <c r="V572" s="60">
        <v>0</v>
      </c>
      <c r="W572" s="60">
        <v>0</v>
      </c>
      <c r="X572" s="60">
        <v>0</v>
      </c>
      <c r="Y572" s="60">
        <v>0</v>
      </c>
      <c r="Z572" s="60">
        <v>0</v>
      </c>
      <c r="AA572" s="60">
        <v>0</v>
      </c>
      <c r="AB572" s="60">
        <v>0</v>
      </c>
      <c r="AC572" s="62">
        <v>71306.44</v>
      </c>
      <c r="AD572" s="60">
        <v>0</v>
      </c>
      <c r="AE572" s="60">
        <v>0</v>
      </c>
      <c r="AF572" s="170" t="s">
        <v>257</v>
      </c>
      <c r="AG572" s="170">
        <v>2021</v>
      </c>
      <c r="AH572" s="63">
        <v>2021</v>
      </c>
    </row>
    <row r="573" spans="1:34" ht="61.5" x14ac:dyDescent="0.85">
      <c r="A573" s="7">
        <v>1</v>
      </c>
      <c r="B573" s="59">
        <f>SUBTOTAL(103,$A$558:A573)</f>
        <v>16</v>
      </c>
      <c r="C573" s="160" t="s">
        <v>521</v>
      </c>
      <c r="D573" s="60">
        <f t="shared" si="90"/>
        <v>954855.56</v>
      </c>
      <c r="E573" s="60">
        <v>0</v>
      </c>
      <c r="F573" s="60">
        <v>0</v>
      </c>
      <c r="G573" s="60">
        <v>0</v>
      </c>
      <c r="H573" s="60">
        <v>0</v>
      </c>
      <c r="I573" s="60">
        <v>0</v>
      </c>
      <c r="J573" s="60">
        <v>0</v>
      </c>
      <c r="K573" s="168">
        <v>0</v>
      </c>
      <c r="L573" s="60">
        <v>0</v>
      </c>
      <c r="M573" s="62">
        <v>269</v>
      </c>
      <c r="N573" s="62">
        <v>941022.53</v>
      </c>
      <c r="O573" s="60">
        <v>0</v>
      </c>
      <c r="P573" s="60">
        <v>0</v>
      </c>
      <c r="Q573" s="60">
        <v>0</v>
      </c>
      <c r="R573" s="60">
        <v>0</v>
      </c>
      <c r="S573" s="60">
        <v>0</v>
      </c>
      <c r="T573" s="60">
        <v>0</v>
      </c>
      <c r="U573" s="60">
        <v>0</v>
      </c>
      <c r="V573" s="60">
        <v>0</v>
      </c>
      <c r="W573" s="60">
        <v>0</v>
      </c>
      <c r="X573" s="60">
        <v>0</v>
      </c>
      <c r="Y573" s="60">
        <v>0</v>
      </c>
      <c r="Z573" s="60">
        <v>0</v>
      </c>
      <c r="AA573" s="60">
        <v>0</v>
      </c>
      <c r="AB573" s="60">
        <v>0</v>
      </c>
      <c r="AC573" s="62">
        <v>13833.03</v>
      </c>
      <c r="AD573" s="60">
        <v>0</v>
      </c>
      <c r="AE573" s="60">
        <v>0</v>
      </c>
      <c r="AF573" s="170" t="s">
        <v>257</v>
      </c>
      <c r="AG573" s="170">
        <v>2021</v>
      </c>
      <c r="AH573" s="63">
        <v>2021</v>
      </c>
    </row>
    <row r="574" spans="1:34" ht="61.5" x14ac:dyDescent="0.85">
      <c r="A574" s="7">
        <v>1</v>
      </c>
      <c r="B574" s="59">
        <f>SUBTOTAL(103,$A$558:A574)</f>
        <v>17</v>
      </c>
      <c r="C574" s="160" t="s">
        <v>523</v>
      </c>
      <c r="D574" s="60">
        <f t="shared" si="90"/>
        <v>99992.84</v>
      </c>
      <c r="E574" s="60">
        <v>0</v>
      </c>
      <c r="F574" s="60">
        <v>0</v>
      </c>
      <c r="G574" s="60">
        <v>0</v>
      </c>
      <c r="H574" s="60">
        <v>0</v>
      </c>
      <c r="I574" s="60">
        <v>0</v>
      </c>
      <c r="J574" s="60">
        <v>0</v>
      </c>
      <c r="K574" s="168">
        <v>0</v>
      </c>
      <c r="L574" s="60">
        <v>0</v>
      </c>
      <c r="M574" s="60">
        <v>0</v>
      </c>
      <c r="N574" s="60">
        <v>0</v>
      </c>
      <c r="O574" s="60">
        <v>0</v>
      </c>
      <c r="P574" s="60">
        <v>0</v>
      </c>
      <c r="Q574" s="60">
        <v>0</v>
      </c>
      <c r="R574" s="60">
        <v>0</v>
      </c>
      <c r="S574" s="60">
        <v>0</v>
      </c>
      <c r="T574" s="60">
        <v>0</v>
      </c>
      <c r="U574" s="60">
        <v>0</v>
      </c>
      <c r="V574" s="60">
        <v>0</v>
      </c>
      <c r="W574" s="60">
        <v>0</v>
      </c>
      <c r="X574" s="60">
        <v>0</v>
      </c>
      <c r="Y574" s="60">
        <v>0</v>
      </c>
      <c r="Z574" s="60">
        <v>0</v>
      </c>
      <c r="AA574" s="60">
        <v>0</v>
      </c>
      <c r="AB574" s="60">
        <v>0</v>
      </c>
      <c r="AC574" s="60">
        <v>0</v>
      </c>
      <c r="AD574" s="169">
        <v>99992.84</v>
      </c>
      <c r="AE574" s="60">
        <v>0</v>
      </c>
      <c r="AF574" s="170">
        <v>2021</v>
      </c>
      <c r="AG574" s="170" t="s">
        <v>257</v>
      </c>
      <c r="AH574" s="170" t="s">
        <v>257</v>
      </c>
    </row>
    <row r="575" spans="1:34" ht="61.5" x14ac:dyDescent="0.85">
      <c r="A575" s="7">
        <v>1</v>
      </c>
      <c r="B575" s="59">
        <f>SUBTOTAL(103,$A$558:A575)</f>
        <v>18</v>
      </c>
      <c r="C575" s="160" t="s">
        <v>1529</v>
      </c>
      <c r="D575" s="60">
        <f t="shared" si="90"/>
        <v>82274.37</v>
      </c>
      <c r="E575" s="60">
        <v>0</v>
      </c>
      <c r="F575" s="60">
        <v>0</v>
      </c>
      <c r="G575" s="60">
        <v>0</v>
      </c>
      <c r="H575" s="60">
        <v>0</v>
      </c>
      <c r="I575" s="60">
        <v>0</v>
      </c>
      <c r="J575" s="60">
        <v>0</v>
      </c>
      <c r="K575" s="168">
        <v>0</v>
      </c>
      <c r="L575" s="60">
        <v>0</v>
      </c>
      <c r="M575" s="60">
        <v>0</v>
      </c>
      <c r="N575" s="60">
        <v>0</v>
      </c>
      <c r="O575" s="60">
        <v>0</v>
      </c>
      <c r="P575" s="60">
        <v>0</v>
      </c>
      <c r="Q575" s="60">
        <v>0</v>
      </c>
      <c r="R575" s="60">
        <v>0</v>
      </c>
      <c r="S575" s="60">
        <v>0</v>
      </c>
      <c r="T575" s="60">
        <v>0</v>
      </c>
      <c r="U575" s="60">
        <v>0</v>
      </c>
      <c r="V575" s="60">
        <v>0</v>
      </c>
      <c r="W575" s="60">
        <v>0</v>
      </c>
      <c r="X575" s="60">
        <v>0</v>
      </c>
      <c r="Y575" s="60">
        <v>0</v>
      </c>
      <c r="Z575" s="60">
        <v>0</v>
      </c>
      <c r="AA575" s="60">
        <v>0</v>
      </c>
      <c r="AB575" s="60">
        <v>0</v>
      </c>
      <c r="AC575" s="60">
        <v>0</v>
      </c>
      <c r="AD575" s="60">
        <v>82274.37</v>
      </c>
      <c r="AE575" s="60">
        <v>0</v>
      </c>
      <c r="AF575" s="170">
        <v>2021</v>
      </c>
      <c r="AG575" s="170" t="s">
        <v>257</v>
      </c>
      <c r="AH575" s="170" t="s">
        <v>257</v>
      </c>
    </row>
    <row r="576" spans="1:34" ht="61.5" x14ac:dyDescent="0.85">
      <c r="A576" s="7">
        <v>1</v>
      </c>
      <c r="B576" s="59">
        <f>SUBTOTAL(103,$A$558:A576)</f>
        <v>19</v>
      </c>
      <c r="C576" s="160" t="s">
        <v>528</v>
      </c>
      <c r="D576" s="60">
        <f t="shared" si="90"/>
        <v>76248.11</v>
      </c>
      <c r="E576" s="60">
        <v>0</v>
      </c>
      <c r="F576" s="60">
        <v>0</v>
      </c>
      <c r="G576" s="60">
        <v>0</v>
      </c>
      <c r="H576" s="60">
        <v>0</v>
      </c>
      <c r="I576" s="60">
        <v>0</v>
      </c>
      <c r="J576" s="60">
        <v>0</v>
      </c>
      <c r="K576" s="168">
        <v>0</v>
      </c>
      <c r="L576" s="60">
        <v>0</v>
      </c>
      <c r="M576" s="60">
        <v>0</v>
      </c>
      <c r="N576" s="60">
        <v>0</v>
      </c>
      <c r="O576" s="60">
        <v>0</v>
      </c>
      <c r="P576" s="60">
        <v>0</v>
      </c>
      <c r="Q576" s="60">
        <v>0</v>
      </c>
      <c r="R576" s="60">
        <v>0</v>
      </c>
      <c r="S576" s="60">
        <v>0</v>
      </c>
      <c r="T576" s="60">
        <v>0</v>
      </c>
      <c r="U576" s="60">
        <v>0</v>
      </c>
      <c r="V576" s="60">
        <v>0</v>
      </c>
      <c r="W576" s="60">
        <v>0</v>
      </c>
      <c r="X576" s="60">
        <v>0</v>
      </c>
      <c r="Y576" s="60">
        <v>0</v>
      </c>
      <c r="Z576" s="60">
        <v>0</v>
      </c>
      <c r="AA576" s="60">
        <v>0</v>
      </c>
      <c r="AB576" s="60">
        <v>0</v>
      </c>
      <c r="AC576" s="60">
        <v>0</v>
      </c>
      <c r="AD576" s="60">
        <v>76248.11</v>
      </c>
      <c r="AE576" s="60">
        <v>0</v>
      </c>
      <c r="AF576" s="170">
        <v>2021</v>
      </c>
      <c r="AG576" s="170" t="s">
        <v>257</v>
      </c>
      <c r="AH576" s="170" t="s">
        <v>257</v>
      </c>
    </row>
    <row r="577" spans="1:34" ht="61.5" x14ac:dyDescent="0.85">
      <c r="A577" s="7">
        <v>1</v>
      </c>
      <c r="B577" s="59">
        <f>SUBTOTAL(103,$A$558:A577)</f>
        <v>20</v>
      </c>
      <c r="C577" s="160" t="s">
        <v>529</v>
      </c>
      <c r="D577" s="60">
        <f t="shared" si="90"/>
        <v>2182292.5300000003</v>
      </c>
      <c r="E577" s="60">
        <v>0</v>
      </c>
      <c r="F577" s="60">
        <v>0</v>
      </c>
      <c r="G577" s="60">
        <v>0</v>
      </c>
      <c r="H577" s="60">
        <v>0</v>
      </c>
      <c r="I577" s="60">
        <v>0</v>
      </c>
      <c r="J577" s="60">
        <v>0</v>
      </c>
      <c r="K577" s="168">
        <v>0</v>
      </c>
      <c r="L577" s="60">
        <v>0</v>
      </c>
      <c r="M577" s="60">
        <v>999</v>
      </c>
      <c r="N577" s="60">
        <v>2150677.89</v>
      </c>
      <c r="O577" s="60">
        <v>0</v>
      </c>
      <c r="P577" s="60">
        <v>0</v>
      </c>
      <c r="Q577" s="60">
        <v>0</v>
      </c>
      <c r="R577" s="60">
        <v>0</v>
      </c>
      <c r="S577" s="60">
        <v>0</v>
      </c>
      <c r="T577" s="60">
        <v>0</v>
      </c>
      <c r="U577" s="60">
        <v>0</v>
      </c>
      <c r="V577" s="60">
        <v>0</v>
      </c>
      <c r="W577" s="60">
        <v>0</v>
      </c>
      <c r="X577" s="60">
        <v>0</v>
      </c>
      <c r="Y577" s="60">
        <v>0</v>
      </c>
      <c r="Z577" s="60">
        <v>0</v>
      </c>
      <c r="AA577" s="60">
        <v>0</v>
      </c>
      <c r="AB577" s="60">
        <v>0</v>
      </c>
      <c r="AC577" s="62">
        <v>31614.639999999999</v>
      </c>
      <c r="AD577" s="60">
        <v>0</v>
      </c>
      <c r="AE577" s="60">
        <v>0</v>
      </c>
      <c r="AF577" s="170" t="s">
        <v>257</v>
      </c>
      <c r="AG577" s="170">
        <v>2021</v>
      </c>
      <c r="AH577" s="63">
        <v>2021</v>
      </c>
    </row>
    <row r="578" spans="1:34" ht="61.5" x14ac:dyDescent="0.85">
      <c r="A578" s="7">
        <v>1</v>
      </c>
      <c r="B578" s="59">
        <f>SUBTOTAL(103,$A$558:A578)</f>
        <v>21</v>
      </c>
      <c r="C578" s="160" t="s">
        <v>531</v>
      </c>
      <c r="D578" s="60">
        <f t="shared" si="90"/>
        <v>1423006.46</v>
      </c>
      <c r="E578" s="60">
        <v>0</v>
      </c>
      <c r="F578" s="60">
        <v>0</v>
      </c>
      <c r="G578" s="60">
        <v>0</v>
      </c>
      <c r="H578" s="60">
        <v>0</v>
      </c>
      <c r="I578" s="60">
        <v>0</v>
      </c>
      <c r="J578" s="60">
        <v>0</v>
      </c>
      <c r="K578" s="168">
        <v>0</v>
      </c>
      <c r="L578" s="60">
        <v>0</v>
      </c>
      <c r="M578" s="60">
        <v>430</v>
      </c>
      <c r="N578" s="60">
        <v>1402391.31</v>
      </c>
      <c r="O578" s="60">
        <v>0</v>
      </c>
      <c r="P578" s="60">
        <v>0</v>
      </c>
      <c r="Q578" s="60">
        <v>0</v>
      </c>
      <c r="R578" s="60">
        <v>0</v>
      </c>
      <c r="S578" s="60">
        <v>0</v>
      </c>
      <c r="T578" s="60">
        <v>0</v>
      </c>
      <c r="U578" s="60">
        <v>0</v>
      </c>
      <c r="V578" s="60">
        <v>0</v>
      </c>
      <c r="W578" s="60">
        <v>0</v>
      </c>
      <c r="X578" s="60">
        <v>0</v>
      </c>
      <c r="Y578" s="60">
        <v>0</v>
      </c>
      <c r="Z578" s="60">
        <v>0</v>
      </c>
      <c r="AA578" s="60">
        <v>0</v>
      </c>
      <c r="AB578" s="60">
        <v>0</v>
      </c>
      <c r="AC578" s="62">
        <v>20615.150000000001</v>
      </c>
      <c r="AD578" s="60">
        <v>0</v>
      </c>
      <c r="AE578" s="60">
        <v>0</v>
      </c>
      <c r="AF578" s="170" t="s">
        <v>257</v>
      </c>
      <c r="AG578" s="170">
        <v>2021</v>
      </c>
      <c r="AH578" s="63">
        <v>2021</v>
      </c>
    </row>
    <row r="579" spans="1:34" ht="61.5" x14ac:dyDescent="0.85">
      <c r="A579" s="7">
        <v>1</v>
      </c>
      <c r="B579" s="59">
        <f>SUBTOTAL(103,$A$558:A579)</f>
        <v>22</v>
      </c>
      <c r="C579" s="160" t="s">
        <v>532</v>
      </c>
      <c r="D579" s="60">
        <f t="shared" si="90"/>
        <v>3020366.74</v>
      </c>
      <c r="E579" s="60">
        <v>0</v>
      </c>
      <c r="F579" s="60">
        <v>0</v>
      </c>
      <c r="G579" s="60">
        <v>0</v>
      </c>
      <c r="H579" s="60">
        <v>0</v>
      </c>
      <c r="I579" s="60">
        <v>0</v>
      </c>
      <c r="J579" s="60">
        <v>0</v>
      </c>
      <c r="K579" s="168">
        <v>0</v>
      </c>
      <c r="L579" s="60">
        <v>0</v>
      </c>
      <c r="M579" s="60">
        <v>925</v>
      </c>
      <c r="N579" s="60">
        <v>2976610.56</v>
      </c>
      <c r="O579" s="60">
        <v>0</v>
      </c>
      <c r="P579" s="60">
        <v>0</v>
      </c>
      <c r="Q579" s="60">
        <v>0</v>
      </c>
      <c r="R579" s="60">
        <v>0</v>
      </c>
      <c r="S579" s="60">
        <v>0</v>
      </c>
      <c r="T579" s="60">
        <v>0</v>
      </c>
      <c r="U579" s="60">
        <v>0</v>
      </c>
      <c r="V579" s="60">
        <v>0</v>
      </c>
      <c r="W579" s="60">
        <v>0</v>
      </c>
      <c r="X579" s="60">
        <v>0</v>
      </c>
      <c r="Y579" s="60">
        <v>0</v>
      </c>
      <c r="Z579" s="60">
        <v>0</v>
      </c>
      <c r="AA579" s="60">
        <v>0</v>
      </c>
      <c r="AB579" s="60">
        <v>0</v>
      </c>
      <c r="AC579" s="62">
        <v>43756.18</v>
      </c>
      <c r="AD579" s="60">
        <v>0</v>
      </c>
      <c r="AE579" s="60">
        <v>0</v>
      </c>
      <c r="AF579" s="170" t="s">
        <v>257</v>
      </c>
      <c r="AG579" s="170">
        <v>2021</v>
      </c>
      <c r="AH579" s="63">
        <v>2021</v>
      </c>
    </row>
    <row r="580" spans="1:34" ht="61.5" x14ac:dyDescent="0.85">
      <c r="A580" s="7">
        <v>1</v>
      </c>
      <c r="B580" s="59">
        <f>SUBTOTAL(103,$A$558:A580)</f>
        <v>23</v>
      </c>
      <c r="C580" s="160" t="s">
        <v>533</v>
      </c>
      <c r="D580" s="60">
        <f t="shared" si="90"/>
        <v>99987.66</v>
      </c>
      <c r="E580" s="60">
        <v>0</v>
      </c>
      <c r="F580" s="60">
        <v>0</v>
      </c>
      <c r="G580" s="60">
        <v>0</v>
      </c>
      <c r="H580" s="60">
        <v>0</v>
      </c>
      <c r="I580" s="60">
        <v>0</v>
      </c>
      <c r="J580" s="60">
        <v>0</v>
      </c>
      <c r="K580" s="168">
        <v>0</v>
      </c>
      <c r="L580" s="60">
        <v>0</v>
      </c>
      <c r="M580" s="60">
        <v>0</v>
      </c>
      <c r="N580" s="60">
        <v>0</v>
      </c>
      <c r="O580" s="60">
        <v>0</v>
      </c>
      <c r="P580" s="60">
        <v>0</v>
      </c>
      <c r="Q580" s="60">
        <v>0</v>
      </c>
      <c r="R580" s="60">
        <v>0</v>
      </c>
      <c r="S580" s="60">
        <v>0</v>
      </c>
      <c r="T580" s="60">
        <v>0</v>
      </c>
      <c r="U580" s="60">
        <v>0</v>
      </c>
      <c r="V580" s="60">
        <v>0</v>
      </c>
      <c r="W580" s="60">
        <v>0</v>
      </c>
      <c r="X580" s="60">
        <v>0</v>
      </c>
      <c r="Y580" s="60">
        <v>0</v>
      </c>
      <c r="Z580" s="60">
        <v>0</v>
      </c>
      <c r="AA580" s="60">
        <v>0</v>
      </c>
      <c r="AB580" s="60">
        <v>0</v>
      </c>
      <c r="AC580" s="60">
        <v>0</v>
      </c>
      <c r="AD580" s="169">
        <v>99987.66</v>
      </c>
      <c r="AE580" s="60">
        <v>0</v>
      </c>
      <c r="AF580" s="170">
        <v>2021</v>
      </c>
      <c r="AG580" s="170" t="s">
        <v>257</v>
      </c>
      <c r="AH580" s="170" t="s">
        <v>257</v>
      </c>
    </row>
    <row r="581" spans="1:34" ht="61.5" x14ac:dyDescent="0.85">
      <c r="A581" s="7">
        <v>1</v>
      </c>
      <c r="B581" s="59">
        <f>SUBTOTAL(103,$A$558:A581)</f>
        <v>24</v>
      </c>
      <c r="C581" s="160" t="s">
        <v>534</v>
      </c>
      <c r="D581" s="60">
        <f t="shared" si="90"/>
        <v>1009005.66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168">
        <v>0</v>
      </c>
      <c r="L581" s="60">
        <v>0</v>
      </c>
      <c r="M581" s="60">
        <v>275</v>
      </c>
      <c r="N581" s="60">
        <v>994388.15</v>
      </c>
      <c r="O581" s="60">
        <v>0</v>
      </c>
      <c r="P581" s="60">
        <v>0</v>
      </c>
      <c r="Q581" s="60">
        <v>0</v>
      </c>
      <c r="R581" s="60">
        <v>0</v>
      </c>
      <c r="S581" s="60">
        <v>0</v>
      </c>
      <c r="T581" s="60">
        <v>0</v>
      </c>
      <c r="U581" s="60">
        <v>0</v>
      </c>
      <c r="V581" s="60">
        <v>0</v>
      </c>
      <c r="W581" s="60">
        <v>0</v>
      </c>
      <c r="X581" s="60">
        <v>0</v>
      </c>
      <c r="Y581" s="60">
        <v>0</v>
      </c>
      <c r="Z581" s="60">
        <v>0</v>
      </c>
      <c r="AA581" s="60">
        <v>0</v>
      </c>
      <c r="AB581" s="60">
        <v>0</v>
      </c>
      <c r="AC581" s="62">
        <v>14617.51</v>
      </c>
      <c r="AD581" s="60">
        <v>0</v>
      </c>
      <c r="AE581" s="60">
        <v>0</v>
      </c>
      <c r="AF581" s="170" t="s">
        <v>257</v>
      </c>
      <c r="AG581" s="170">
        <v>2021</v>
      </c>
      <c r="AH581" s="63">
        <v>2021</v>
      </c>
    </row>
    <row r="582" spans="1:34" ht="61.5" x14ac:dyDescent="0.85">
      <c r="A582" s="7">
        <v>1</v>
      </c>
      <c r="B582" s="59">
        <f>SUBTOTAL(103,$A$558:A582)</f>
        <v>25</v>
      </c>
      <c r="C582" s="160" t="s">
        <v>535</v>
      </c>
      <c r="D582" s="60">
        <f t="shared" si="90"/>
        <v>2145058.59</v>
      </c>
      <c r="E582" s="60">
        <v>0</v>
      </c>
      <c r="F582" s="60">
        <v>0</v>
      </c>
      <c r="G582" s="60">
        <v>0</v>
      </c>
      <c r="H582" s="60">
        <v>0</v>
      </c>
      <c r="I582" s="60">
        <v>0</v>
      </c>
      <c r="J582" s="60">
        <v>0</v>
      </c>
      <c r="K582" s="168">
        <v>0</v>
      </c>
      <c r="L582" s="60">
        <v>0</v>
      </c>
      <c r="M582" s="60">
        <v>711.2</v>
      </c>
      <c r="N582" s="60">
        <v>2113983.04</v>
      </c>
      <c r="O582" s="60">
        <v>0</v>
      </c>
      <c r="P582" s="60">
        <v>0</v>
      </c>
      <c r="Q582" s="60">
        <v>0</v>
      </c>
      <c r="R582" s="60">
        <v>0</v>
      </c>
      <c r="S582" s="60">
        <v>0</v>
      </c>
      <c r="T582" s="60">
        <v>0</v>
      </c>
      <c r="U582" s="60">
        <v>0</v>
      </c>
      <c r="V582" s="60">
        <v>0</v>
      </c>
      <c r="W582" s="60">
        <v>0</v>
      </c>
      <c r="X582" s="60">
        <v>0</v>
      </c>
      <c r="Y582" s="60">
        <v>0</v>
      </c>
      <c r="Z582" s="60">
        <v>0</v>
      </c>
      <c r="AA582" s="60">
        <v>0</v>
      </c>
      <c r="AB582" s="60">
        <v>0</v>
      </c>
      <c r="AC582" s="62">
        <v>31075.55</v>
      </c>
      <c r="AD582" s="60">
        <v>0</v>
      </c>
      <c r="AE582" s="60">
        <v>0</v>
      </c>
      <c r="AF582" s="170" t="s">
        <v>257</v>
      </c>
      <c r="AG582" s="170">
        <v>2021</v>
      </c>
      <c r="AH582" s="63">
        <v>2021</v>
      </c>
    </row>
    <row r="583" spans="1:34" ht="61.5" x14ac:dyDescent="0.85">
      <c r="A583" s="7">
        <v>1</v>
      </c>
      <c r="B583" s="59">
        <f>SUBTOTAL(103,$A$558:A583)</f>
        <v>26</v>
      </c>
      <c r="C583" s="160" t="s">
        <v>536</v>
      </c>
      <c r="D583" s="60">
        <f t="shared" si="90"/>
        <v>77179.509999999995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168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0">
        <v>0</v>
      </c>
      <c r="T583" s="60">
        <v>0</v>
      </c>
      <c r="U583" s="60">
        <v>0</v>
      </c>
      <c r="V583" s="60">
        <v>0</v>
      </c>
      <c r="W583" s="60">
        <v>0</v>
      </c>
      <c r="X583" s="60">
        <v>0</v>
      </c>
      <c r="Y583" s="60">
        <v>0</v>
      </c>
      <c r="Z583" s="60">
        <v>0</v>
      </c>
      <c r="AA583" s="60">
        <v>0</v>
      </c>
      <c r="AB583" s="60">
        <v>0</v>
      </c>
      <c r="AC583" s="60">
        <v>0</v>
      </c>
      <c r="AD583" s="62">
        <v>77179.509999999995</v>
      </c>
      <c r="AE583" s="60">
        <v>0</v>
      </c>
      <c r="AF583" s="170">
        <v>2021</v>
      </c>
      <c r="AG583" s="170" t="s">
        <v>257</v>
      </c>
      <c r="AH583" s="170" t="s">
        <v>257</v>
      </c>
    </row>
    <row r="584" spans="1:34" ht="61.5" x14ac:dyDescent="0.85">
      <c r="A584" s="7">
        <v>1</v>
      </c>
      <c r="B584" s="59">
        <f>SUBTOTAL(103,$A$558:A584)</f>
        <v>27</v>
      </c>
      <c r="C584" s="160" t="s">
        <v>537</v>
      </c>
      <c r="D584" s="60">
        <f t="shared" si="90"/>
        <v>4123717.73</v>
      </c>
      <c r="E584" s="60">
        <v>0</v>
      </c>
      <c r="F584" s="60">
        <v>0</v>
      </c>
      <c r="G584" s="60">
        <v>0</v>
      </c>
      <c r="H584" s="60">
        <v>0</v>
      </c>
      <c r="I584" s="60">
        <v>0</v>
      </c>
      <c r="J584" s="60">
        <v>0</v>
      </c>
      <c r="K584" s="168">
        <v>0</v>
      </c>
      <c r="L584" s="60">
        <v>0</v>
      </c>
      <c r="M584" s="60">
        <v>924.73</v>
      </c>
      <c r="N584" s="60">
        <v>4063977.26</v>
      </c>
      <c r="O584" s="60">
        <v>0</v>
      </c>
      <c r="P584" s="60">
        <v>0</v>
      </c>
      <c r="Q584" s="60">
        <v>0</v>
      </c>
      <c r="R584" s="60">
        <v>0</v>
      </c>
      <c r="S584" s="60">
        <v>0</v>
      </c>
      <c r="T584" s="60">
        <v>0</v>
      </c>
      <c r="U584" s="60">
        <v>0</v>
      </c>
      <c r="V584" s="60">
        <v>0</v>
      </c>
      <c r="W584" s="60">
        <v>0</v>
      </c>
      <c r="X584" s="60">
        <v>0</v>
      </c>
      <c r="Y584" s="60">
        <v>0</v>
      </c>
      <c r="Z584" s="60">
        <v>0</v>
      </c>
      <c r="AA584" s="60">
        <v>0</v>
      </c>
      <c r="AB584" s="60">
        <v>0</v>
      </c>
      <c r="AC584" s="62">
        <v>59740.47</v>
      </c>
      <c r="AD584" s="60">
        <v>0</v>
      </c>
      <c r="AE584" s="60">
        <v>0</v>
      </c>
      <c r="AF584" s="170" t="s">
        <v>257</v>
      </c>
      <c r="AG584" s="170">
        <v>2021</v>
      </c>
      <c r="AH584" s="170">
        <v>2021</v>
      </c>
    </row>
    <row r="585" spans="1:34" ht="61.5" x14ac:dyDescent="0.85">
      <c r="A585" s="7">
        <v>1</v>
      </c>
      <c r="B585" s="59">
        <f>SUBTOTAL(103,$A$558:A585)</f>
        <v>28</v>
      </c>
      <c r="C585" s="160" t="s">
        <v>1296</v>
      </c>
      <c r="D585" s="60">
        <f t="shared" si="90"/>
        <v>99997.66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168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0">
        <v>0</v>
      </c>
      <c r="T585" s="60">
        <v>0</v>
      </c>
      <c r="U585" s="60">
        <v>0</v>
      </c>
      <c r="V585" s="60">
        <v>0</v>
      </c>
      <c r="W585" s="60">
        <v>0</v>
      </c>
      <c r="X585" s="60">
        <v>0</v>
      </c>
      <c r="Y585" s="60">
        <v>0</v>
      </c>
      <c r="Z585" s="60">
        <v>0</v>
      </c>
      <c r="AA585" s="60">
        <v>0</v>
      </c>
      <c r="AB585" s="60">
        <v>0</v>
      </c>
      <c r="AC585" s="60">
        <v>0</v>
      </c>
      <c r="AD585" s="169">
        <v>99997.66</v>
      </c>
      <c r="AE585" s="60">
        <v>0</v>
      </c>
      <c r="AF585" s="170">
        <v>2021</v>
      </c>
      <c r="AG585" s="170" t="s">
        <v>257</v>
      </c>
      <c r="AH585" s="170" t="s">
        <v>257</v>
      </c>
    </row>
    <row r="586" spans="1:34" ht="61.5" x14ac:dyDescent="0.85">
      <c r="A586" s="7">
        <v>1</v>
      </c>
      <c r="B586" s="59">
        <f>SUBTOTAL(103,$A$558:A586)</f>
        <v>29</v>
      </c>
      <c r="C586" s="160" t="s">
        <v>1297</v>
      </c>
      <c r="D586" s="60">
        <f t="shared" si="90"/>
        <v>99991.79</v>
      </c>
      <c r="E586" s="60">
        <v>0</v>
      </c>
      <c r="F586" s="60">
        <v>0</v>
      </c>
      <c r="G586" s="60">
        <v>0</v>
      </c>
      <c r="H586" s="60">
        <v>0</v>
      </c>
      <c r="I586" s="60">
        <v>0</v>
      </c>
      <c r="J586" s="60">
        <v>0</v>
      </c>
      <c r="K586" s="168">
        <v>0</v>
      </c>
      <c r="L586" s="60">
        <v>0</v>
      </c>
      <c r="M586" s="60">
        <v>0</v>
      </c>
      <c r="N586" s="60">
        <v>0</v>
      </c>
      <c r="O586" s="60">
        <v>0</v>
      </c>
      <c r="P586" s="60">
        <v>0</v>
      </c>
      <c r="Q586" s="60">
        <v>0</v>
      </c>
      <c r="R586" s="60">
        <v>0</v>
      </c>
      <c r="S586" s="60">
        <v>0</v>
      </c>
      <c r="T586" s="60">
        <v>0</v>
      </c>
      <c r="U586" s="60">
        <v>0</v>
      </c>
      <c r="V586" s="60">
        <v>0</v>
      </c>
      <c r="W586" s="60">
        <v>0</v>
      </c>
      <c r="X586" s="60">
        <v>0</v>
      </c>
      <c r="Y586" s="60">
        <v>0</v>
      </c>
      <c r="Z586" s="60">
        <v>0</v>
      </c>
      <c r="AA586" s="60">
        <v>0</v>
      </c>
      <c r="AB586" s="60">
        <v>0</v>
      </c>
      <c r="AC586" s="60">
        <v>0</v>
      </c>
      <c r="AD586" s="169">
        <v>99991.79</v>
      </c>
      <c r="AE586" s="60">
        <v>0</v>
      </c>
      <c r="AF586" s="170">
        <v>2021</v>
      </c>
      <c r="AG586" s="170" t="s">
        <v>257</v>
      </c>
      <c r="AH586" s="170" t="s">
        <v>257</v>
      </c>
    </row>
    <row r="587" spans="1:34" ht="61.5" x14ac:dyDescent="0.85">
      <c r="A587" s="7">
        <v>1</v>
      </c>
      <c r="B587" s="59">
        <f>SUBTOTAL(103,$A$558:A587)</f>
        <v>30</v>
      </c>
      <c r="C587" s="160" t="s">
        <v>1298</v>
      </c>
      <c r="D587" s="60">
        <f t="shared" si="90"/>
        <v>3221697.6799999997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168">
        <v>0</v>
      </c>
      <c r="L587" s="60">
        <v>0</v>
      </c>
      <c r="M587" s="60">
        <v>724</v>
      </c>
      <c r="N587" s="60">
        <v>3175024.82</v>
      </c>
      <c r="O587" s="60">
        <v>0</v>
      </c>
      <c r="P587" s="60">
        <v>0</v>
      </c>
      <c r="Q587" s="60">
        <v>0</v>
      </c>
      <c r="R587" s="60">
        <v>0</v>
      </c>
      <c r="S587" s="60">
        <v>0</v>
      </c>
      <c r="T587" s="60">
        <v>0</v>
      </c>
      <c r="U587" s="60">
        <v>0</v>
      </c>
      <c r="V587" s="60">
        <v>0</v>
      </c>
      <c r="W587" s="60">
        <v>0</v>
      </c>
      <c r="X587" s="60">
        <v>0</v>
      </c>
      <c r="Y587" s="60">
        <v>0</v>
      </c>
      <c r="Z587" s="60">
        <v>0</v>
      </c>
      <c r="AA587" s="60">
        <v>0</v>
      </c>
      <c r="AB587" s="60">
        <v>0</v>
      </c>
      <c r="AC587" s="62">
        <v>46672.86</v>
      </c>
      <c r="AD587" s="60">
        <v>0</v>
      </c>
      <c r="AE587" s="60">
        <v>0</v>
      </c>
      <c r="AF587" s="170" t="s">
        <v>257</v>
      </c>
      <c r="AG587" s="170">
        <v>2021</v>
      </c>
      <c r="AH587" s="170">
        <v>2021</v>
      </c>
    </row>
    <row r="588" spans="1:34" ht="61.5" x14ac:dyDescent="0.85">
      <c r="A588" s="7">
        <v>1</v>
      </c>
      <c r="B588" s="59">
        <f>SUBTOTAL(103,$A$558:A588)</f>
        <v>31</v>
      </c>
      <c r="C588" s="160" t="s">
        <v>1299</v>
      </c>
      <c r="D588" s="60">
        <f t="shared" si="90"/>
        <v>99990.04</v>
      </c>
      <c r="E588" s="60">
        <v>0</v>
      </c>
      <c r="F588" s="60">
        <v>0</v>
      </c>
      <c r="G588" s="60">
        <v>0</v>
      </c>
      <c r="H588" s="60">
        <v>0</v>
      </c>
      <c r="I588" s="60">
        <v>0</v>
      </c>
      <c r="J588" s="60">
        <v>0</v>
      </c>
      <c r="K588" s="168">
        <v>0</v>
      </c>
      <c r="L588" s="60">
        <v>0</v>
      </c>
      <c r="M588" s="60">
        <v>0</v>
      </c>
      <c r="N588" s="60">
        <v>0</v>
      </c>
      <c r="O588" s="60">
        <v>0</v>
      </c>
      <c r="P588" s="60">
        <v>0</v>
      </c>
      <c r="Q588" s="60">
        <v>0</v>
      </c>
      <c r="R588" s="60">
        <v>0</v>
      </c>
      <c r="S588" s="60">
        <v>0</v>
      </c>
      <c r="T588" s="60">
        <v>0</v>
      </c>
      <c r="U588" s="60">
        <v>0</v>
      </c>
      <c r="V588" s="60">
        <v>0</v>
      </c>
      <c r="W588" s="60">
        <v>0</v>
      </c>
      <c r="X588" s="60">
        <v>0</v>
      </c>
      <c r="Y588" s="60">
        <v>0</v>
      </c>
      <c r="Z588" s="60">
        <v>0</v>
      </c>
      <c r="AA588" s="60">
        <v>0</v>
      </c>
      <c r="AB588" s="60">
        <v>0</v>
      </c>
      <c r="AC588" s="60">
        <v>0</v>
      </c>
      <c r="AD588" s="169">
        <v>99990.04</v>
      </c>
      <c r="AE588" s="60">
        <v>0</v>
      </c>
      <c r="AF588" s="170">
        <v>2021</v>
      </c>
      <c r="AG588" s="170" t="s">
        <v>257</v>
      </c>
      <c r="AH588" s="170" t="s">
        <v>257</v>
      </c>
    </row>
    <row r="589" spans="1:34" ht="61.5" x14ac:dyDescent="0.85">
      <c r="A589" s="7">
        <v>1</v>
      </c>
      <c r="B589" s="59">
        <f>SUBTOTAL(103,$A$558:A589)</f>
        <v>32</v>
      </c>
      <c r="C589" s="160" t="s">
        <v>1004</v>
      </c>
      <c r="D589" s="60">
        <f t="shared" si="90"/>
        <v>2198934.85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168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1173.74</v>
      </c>
      <c r="R589" s="169">
        <v>2167078.79</v>
      </c>
      <c r="S589" s="60">
        <v>0</v>
      </c>
      <c r="T589" s="60">
        <v>0</v>
      </c>
      <c r="U589" s="60">
        <v>0</v>
      </c>
      <c r="V589" s="60">
        <v>0</v>
      </c>
      <c r="W589" s="60">
        <v>0</v>
      </c>
      <c r="X589" s="60">
        <v>0</v>
      </c>
      <c r="Y589" s="60">
        <v>0</v>
      </c>
      <c r="Z589" s="60">
        <v>0</v>
      </c>
      <c r="AA589" s="60">
        <v>0</v>
      </c>
      <c r="AB589" s="60">
        <v>0</v>
      </c>
      <c r="AC589" s="62">
        <v>31856.06</v>
      </c>
      <c r="AD589" s="60">
        <v>0</v>
      </c>
      <c r="AE589" s="60">
        <v>0</v>
      </c>
      <c r="AF589" s="170" t="s">
        <v>257</v>
      </c>
      <c r="AG589" s="170">
        <v>2021</v>
      </c>
      <c r="AH589" s="63">
        <v>2021</v>
      </c>
    </row>
    <row r="590" spans="1:34" ht="61.5" x14ac:dyDescent="0.85">
      <c r="A590" s="7">
        <v>1</v>
      </c>
      <c r="B590" s="59">
        <f>SUBTOTAL(103,$A$558:A590)</f>
        <v>33</v>
      </c>
      <c r="C590" s="160" t="s">
        <v>1318</v>
      </c>
      <c r="D590" s="60">
        <f t="shared" ref="D590:D621" si="91">E590+F590+G590+H590+I590+J590+L590+N590+P590+R590+T590+U590+V590+W590+X590+Y590+Z590+AA590+AB590+AC590+AD590+AE590</f>
        <v>3448054.6999999997</v>
      </c>
      <c r="E590" s="60">
        <v>0</v>
      </c>
      <c r="F590" s="60">
        <v>0</v>
      </c>
      <c r="G590" s="60">
        <v>0</v>
      </c>
      <c r="H590" s="60">
        <v>0</v>
      </c>
      <c r="I590" s="60">
        <v>0</v>
      </c>
      <c r="J590" s="60">
        <v>0</v>
      </c>
      <c r="K590" s="168">
        <v>0</v>
      </c>
      <c r="L590" s="60">
        <v>0</v>
      </c>
      <c r="M590" s="60">
        <v>904.6</v>
      </c>
      <c r="N590" s="169">
        <v>3398102.59</v>
      </c>
      <c r="O590" s="60">
        <v>0</v>
      </c>
      <c r="P590" s="60">
        <v>0</v>
      </c>
      <c r="Q590" s="60">
        <v>0</v>
      </c>
      <c r="R590" s="60">
        <v>0</v>
      </c>
      <c r="S590" s="60">
        <v>0</v>
      </c>
      <c r="T590" s="60">
        <v>0</v>
      </c>
      <c r="U590" s="60">
        <v>0</v>
      </c>
      <c r="V590" s="60">
        <v>0</v>
      </c>
      <c r="W590" s="60">
        <v>0</v>
      </c>
      <c r="X590" s="60">
        <v>0</v>
      </c>
      <c r="Y590" s="60">
        <v>0</v>
      </c>
      <c r="Z590" s="60">
        <v>0</v>
      </c>
      <c r="AA590" s="60">
        <v>0</v>
      </c>
      <c r="AB590" s="60">
        <v>0</v>
      </c>
      <c r="AC590" s="62">
        <v>49952.11</v>
      </c>
      <c r="AD590" s="60">
        <v>0</v>
      </c>
      <c r="AE590" s="60">
        <v>0</v>
      </c>
      <c r="AF590" s="170" t="s">
        <v>257</v>
      </c>
      <c r="AG590" s="170">
        <v>2021</v>
      </c>
      <c r="AH590" s="63">
        <v>2021</v>
      </c>
    </row>
    <row r="591" spans="1:34" ht="61.5" x14ac:dyDescent="0.85">
      <c r="A591" s="7">
        <v>1</v>
      </c>
      <c r="B591" s="59">
        <f>SUBTOTAL(103,$A$558:A591)</f>
        <v>34</v>
      </c>
      <c r="C591" s="160" t="s">
        <v>1052</v>
      </c>
      <c r="D591" s="60">
        <f t="shared" si="91"/>
        <v>2598185.58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168">
        <v>0</v>
      </c>
      <c r="L591" s="60">
        <v>0</v>
      </c>
      <c r="M591" s="60">
        <v>460.5</v>
      </c>
      <c r="N591" s="60">
        <v>2560545.56</v>
      </c>
      <c r="O591" s="60">
        <v>0</v>
      </c>
      <c r="P591" s="60">
        <v>0</v>
      </c>
      <c r="Q591" s="60">
        <v>0</v>
      </c>
      <c r="R591" s="60">
        <v>0</v>
      </c>
      <c r="S591" s="60">
        <v>0</v>
      </c>
      <c r="T591" s="60">
        <v>0</v>
      </c>
      <c r="U591" s="60">
        <v>0</v>
      </c>
      <c r="V591" s="60">
        <v>0</v>
      </c>
      <c r="W591" s="60">
        <v>0</v>
      </c>
      <c r="X591" s="60">
        <v>0</v>
      </c>
      <c r="Y591" s="60">
        <v>0</v>
      </c>
      <c r="Z591" s="60">
        <v>0</v>
      </c>
      <c r="AA591" s="60">
        <v>0</v>
      </c>
      <c r="AB591" s="60">
        <v>0</v>
      </c>
      <c r="AC591" s="62">
        <v>37640.019999999997</v>
      </c>
      <c r="AD591" s="60">
        <v>0</v>
      </c>
      <c r="AE591" s="60">
        <v>0</v>
      </c>
      <c r="AF591" s="170" t="s">
        <v>257</v>
      </c>
      <c r="AG591" s="170">
        <v>2021</v>
      </c>
      <c r="AH591" s="63">
        <v>2021</v>
      </c>
    </row>
    <row r="592" spans="1:34" ht="61.5" x14ac:dyDescent="0.85">
      <c r="A592" s="7">
        <v>1</v>
      </c>
      <c r="B592" s="59">
        <f>SUBTOTAL(103,$A$558:A592)</f>
        <v>35</v>
      </c>
      <c r="C592" s="160" t="s">
        <v>1516</v>
      </c>
      <c r="D592" s="60">
        <f t="shared" si="91"/>
        <v>3147226.0100000002</v>
      </c>
      <c r="E592" s="60">
        <v>0</v>
      </c>
      <c r="F592" s="60">
        <v>0</v>
      </c>
      <c r="G592" s="60">
        <v>0</v>
      </c>
      <c r="H592" s="60">
        <v>0</v>
      </c>
      <c r="I592" s="60">
        <v>0</v>
      </c>
      <c r="J592" s="60">
        <v>0</v>
      </c>
      <c r="K592" s="168">
        <v>0</v>
      </c>
      <c r="L592" s="60">
        <v>0</v>
      </c>
      <c r="M592" s="60">
        <v>994.46</v>
      </c>
      <c r="N592" s="62">
        <v>3101632.02</v>
      </c>
      <c r="O592" s="60">
        <v>0</v>
      </c>
      <c r="P592" s="60">
        <v>0</v>
      </c>
      <c r="Q592" s="60">
        <v>0</v>
      </c>
      <c r="R592" s="60">
        <v>0</v>
      </c>
      <c r="S592" s="60">
        <v>0</v>
      </c>
      <c r="T592" s="60">
        <v>0</v>
      </c>
      <c r="U592" s="60">
        <v>0</v>
      </c>
      <c r="V592" s="60">
        <v>0</v>
      </c>
      <c r="W592" s="60">
        <v>0</v>
      </c>
      <c r="X592" s="60">
        <v>0</v>
      </c>
      <c r="Y592" s="60">
        <v>0</v>
      </c>
      <c r="Z592" s="60">
        <v>0</v>
      </c>
      <c r="AA592" s="60">
        <v>0</v>
      </c>
      <c r="AB592" s="60">
        <v>0</v>
      </c>
      <c r="AC592" s="62">
        <v>45593.99</v>
      </c>
      <c r="AD592" s="60">
        <v>0</v>
      </c>
      <c r="AE592" s="60">
        <v>0</v>
      </c>
      <c r="AF592" s="170" t="s">
        <v>257</v>
      </c>
      <c r="AG592" s="170">
        <v>2021</v>
      </c>
      <c r="AH592" s="63">
        <v>2021</v>
      </c>
    </row>
    <row r="593" spans="1:34" ht="61.5" x14ac:dyDescent="0.85">
      <c r="A593" s="7">
        <v>1</v>
      </c>
      <c r="B593" s="59">
        <f>SUBTOTAL(103,$A$558:A593)</f>
        <v>36</v>
      </c>
      <c r="C593" s="160" t="s">
        <v>1579</v>
      </c>
      <c r="D593" s="60">
        <f t="shared" si="91"/>
        <v>2873967.7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168">
        <v>2</v>
      </c>
      <c r="L593" s="60">
        <v>2873967.7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0">
        <v>0</v>
      </c>
      <c r="T593" s="60">
        <v>0</v>
      </c>
      <c r="U593" s="60">
        <v>0</v>
      </c>
      <c r="V593" s="60">
        <v>0</v>
      </c>
      <c r="W593" s="60">
        <v>0</v>
      </c>
      <c r="X593" s="60">
        <v>0</v>
      </c>
      <c r="Y593" s="60">
        <v>0</v>
      </c>
      <c r="Z593" s="60">
        <v>0</v>
      </c>
      <c r="AA593" s="60">
        <v>0</v>
      </c>
      <c r="AB593" s="60">
        <v>0</v>
      </c>
      <c r="AC593" s="60">
        <v>0</v>
      </c>
      <c r="AD593" s="60">
        <v>0</v>
      </c>
      <c r="AE593" s="60">
        <v>0</v>
      </c>
      <c r="AF593" s="170" t="s">
        <v>257</v>
      </c>
      <c r="AG593" s="170">
        <v>2021</v>
      </c>
      <c r="AH593" s="63" t="s">
        <v>257</v>
      </c>
    </row>
    <row r="594" spans="1:34" ht="61.5" x14ac:dyDescent="0.85">
      <c r="A594" s="7">
        <v>1</v>
      </c>
      <c r="B594" s="59">
        <f>SUBTOTAL(103,$A$558:A594)</f>
        <v>37</v>
      </c>
      <c r="C594" s="160" t="s">
        <v>466</v>
      </c>
      <c r="D594" s="60">
        <f t="shared" si="91"/>
        <v>1511938.35</v>
      </c>
      <c r="E594" s="60">
        <v>0</v>
      </c>
      <c r="F594" s="60">
        <v>0</v>
      </c>
      <c r="G594" s="60">
        <v>0</v>
      </c>
      <c r="H594" s="60">
        <v>0</v>
      </c>
      <c r="I594" s="60">
        <v>0</v>
      </c>
      <c r="J594" s="60">
        <v>0</v>
      </c>
      <c r="K594" s="168">
        <v>0</v>
      </c>
      <c r="L594" s="60">
        <v>0</v>
      </c>
      <c r="M594" s="60">
        <v>0</v>
      </c>
      <c r="N594" s="60">
        <v>0</v>
      </c>
      <c r="O594" s="60">
        <v>0</v>
      </c>
      <c r="P594" s="60">
        <v>0</v>
      </c>
      <c r="Q594" s="169">
        <v>539</v>
      </c>
      <c r="R594" s="169">
        <v>1491357.61</v>
      </c>
      <c r="S594" s="60">
        <v>0</v>
      </c>
      <c r="T594" s="60">
        <v>0</v>
      </c>
      <c r="U594" s="60">
        <v>0</v>
      </c>
      <c r="V594" s="60">
        <v>0</v>
      </c>
      <c r="W594" s="60">
        <v>0</v>
      </c>
      <c r="X594" s="60">
        <v>0</v>
      </c>
      <c r="Y594" s="60">
        <v>0</v>
      </c>
      <c r="Z594" s="60">
        <v>0</v>
      </c>
      <c r="AA594" s="60">
        <v>0</v>
      </c>
      <c r="AB594" s="60">
        <v>0</v>
      </c>
      <c r="AC594" s="62">
        <v>20580.740000000002</v>
      </c>
      <c r="AD594" s="60">
        <v>0</v>
      </c>
      <c r="AE594" s="60">
        <v>0</v>
      </c>
      <c r="AF594" s="170" t="s">
        <v>257</v>
      </c>
      <c r="AG594" s="170">
        <v>2021</v>
      </c>
      <c r="AH594" s="170">
        <v>2021</v>
      </c>
    </row>
    <row r="595" spans="1:34" ht="61.5" x14ac:dyDescent="0.85">
      <c r="A595" s="7">
        <v>1</v>
      </c>
      <c r="B595" s="59">
        <f>SUBTOTAL(103,$A$558:A595)</f>
        <v>38</v>
      </c>
      <c r="C595" s="160" t="s">
        <v>471</v>
      </c>
      <c r="D595" s="60">
        <f t="shared" si="91"/>
        <v>2025779.83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192">
        <v>1</v>
      </c>
      <c r="L595" s="169">
        <v>1893277.2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0">
        <v>0</v>
      </c>
      <c r="T595" s="60">
        <v>0</v>
      </c>
      <c r="U595" s="60">
        <v>0</v>
      </c>
      <c r="V595" s="60">
        <v>0</v>
      </c>
      <c r="W595" s="60">
        <v>0</v>
      </c>
      <c r="X595" s="60">
        <v>0</v>
      </c>
      <c r="Y595" s="60">
        <v>0</v>
      </c>
      <c r="Z595" s="60">
        <v>0</v>
      </c>
      <c r="AA595" s="60">
        <v>0</v>
      </c>
      <c r="AB595" s="60">
        <v>0</v>
      </c>
      <c r="AC595" s="169">
        <v>13773.59</v>
      </c>
      <c r="AD595" s="62">
        <v>118729.04</v>
      </c>
      <c r="AE595" s="60">
        <v>0</v>
      </c>
      <c r="AF595" s="170">
        <v>2021</v>
      </c>
      <c r="AG595" s="170">
        <v>2021</v>
      </c>
      <c r="AH595" s="170">
        <v>2021</v>
      </c>
    </row>
    <row r="596" spans="1:34" ht="61.5" x14ac:dyDescent="0.85">
      <c r="A596" s="7">
        <v>1</v>
      </c>
      <c r="B596" s="59">
        <f>SUBTOTAL(103,$A$558:A596)</f>
        <v>39</v>
      </c>
      <c r="C596" s="160" t="s">
        <v>478</v>
      </c>
      <c r="D596" s="60">
        <f t="shared" si="91"/>
        <v>1994020.5499999998</v>
      </c>
      <c r="E596" s="60">
        <v>0</v>
      </c>
      <c r="F596" s="60">
        <v>0</v>
      </c>
      <c r="G596" s="60">
        <v>0</v>
      </c>
      <c r="H596" s="60">
        <v>0</v>
      </c>
      <c r="I596" s="60">
        <v>0</v>
      </c>
      <c r="J596" s="60">
        <v>0</v>
      </c>
      <c r="K596" s="168">
        <v>0</v>
      </c>
      <c r="L596" s="60">
        <v>0</v>
      </c>
      <c r="M596" s="169">
        <v>479</v>
      </c>
      <c r="N596" s="169">
        <v>1966877.64</v>
      </c>
      <c r="O596" s="60">
        <v>0</v>
      </c>
      <c r="P596" s="60">
        <v>0</v>
      </c>
      <c r="Q596" s="60">
        <v>0</v>
      </c>
      <c r="R596" s="60">
        <v>0</v>
      </c>
      <c r="S596" s="60">
        <v>0</v>
      </c>
      <c r="T596" s="60">
        <v>0</v>
      </c>
      <c r="U596" s="60">
        <v>0</v>
      </c>
      <c r="V596" s="60">
        <v>0</v>
      </c>
      <c r="W596" s="60">
        <v>0</v>
      </c>
      <c r="X596" s="60">
        <v>0</v>
      </c>
      <c r="Y596" s="60">
        <v>0</v>
      </c>
      <c r="Z596" s="60">
        <v>0</v>
      </c>
      <c r="AA596" s="60">
        <v>0</v>
      </c>
      <c r="AB596" s="60">
        <v>0</v>
      </c>
      <c r="AC596" s="62">
        <v>27142.91</v>
      </c>
      <c r="AD596" s="60">
        <v>0</v>
      </c>
      <c r="AE596" s="60">
        <v>0</v>
      </c>
      <c r="AF596" s="170" t="s">
        <v>257</v>
      </c>
      <c r="AG596" s="170">
        <v>2021</v>
      </c>
      <c r="AH596" s="170">
        <v>2021</v>
      </c>
    </row>
    <row r="597" spans="1:34" ht="61.5" x14ac:dyDescent="0.85">
      <c r="A597" s="7">
        <v>1</v>
      </c>
      <c r="B597" s="59">
        <f>SUBTOTAL(103,$A$558:A597)</f>
        <v>40</v>
      </c>
      <c r="C597" s="160" t="s">
        <v>1514</v>
      </c>
      <c r="D597" s="60">
        <f t="shared" si="91"/>
        <v>2018639.07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168">
        <v>0</v>
      </c>
      <c r="L597" s="60">
        <v>0</v>
      </c>
      <c r="M597" s="169">
        <v>573</v>
      </c>
      <c r="N597" s="169">
        <v>1991161.05</v>
      </c>
      <c r="O597" s="60">
        <v>0</v>
      </c>
      <c r="P597" s="60">
        <v>0</v>
      </c>
      <c r="Q597" s="60">
        <v>0</v>
      </c>
      <c r="R597" s="60">
        <v>0</v>
      </c>
      <c r="S597" s="60">
        <v>0</v>
      </c>
      <c r="T597" s="60">
        <v>0</v>
      </c>
      <c r="U597" s="60">
        <v>0</v>
      </c>
      <c r="V597" s="60">
        <v>0</v>
      </c>
      <c r="W597" s="60">
        <v>0</v>
      </c>
      <c r="X597" s="60">
        <v>0</v>
      </c>
      <c r="Y597" s="60">
        <v>0</v>
      </c>
      <c r="Z597" s="60">
        <v>0</v>
      </c>
      <c r="AA597" s="60">
        <v>0</v>
      </c>
      <c r="AB597" s="60">
        <v>0</v>
      </c>
      <c r="AC597" s="62">
        <v>27478.02</v>
      </c>
      <c r="AD597" s="60">
        <v>0</v>
      </c>
      <c r="AE597" s="60">
        <v>0</v>
      </c>
      <c r="AF597" s="170" t="s">
        <v>257</v>
      </c>
      <c r="AG597" s="170">
        <v>2021</v>
      </c>
      <c r="AH597" s="170">
        <v>2021</v>
      </c>
    </row>
    <row r="598" spans="1:34" ht="61.5" x14ac:dyDescent="0.85">
      <c r="A598" s="7">
        <v>1</v>
      </c>
      <c r="B598" s="59">
        <f>SUBTOTAL(103,$A$558:A598)</f>
        <v>41</v>
      </c>
      <c r="C598" s="160" t="s">
        <v>1591</v>
      </c>
      <c r="D598" s="60">
        <f t="shared" si="91"/>
        <v>6556437.4000000004</v>
      </c>
      <c r="E598" s="60">
        <v>0</v>
      </c>
      <c r="F598" s="60">
        <v>0</v>
      </c>
      <c r="G598" s="60">
        <v>0</v>
      </c>
      <c r="H598" s="60">
        <v>0</v>
      </c>
      <c r="I598" s="60">
        <v>0</v>
      </c>
      <c r="J598" s="60">
        <v>0</v>
      </c>
      <c r="K598" s="168">
        <v>4</v>
      </c>
      <c r="L598" s="60">
        <v>6423566.4000000004</v>
      </c>
      <c r="M598" s="60">
        <v>0</v>
      </c>
      <c r="N598" s="60">
        <v>0</v>
      </c>
      <c r="O598" s="60">
        <v>0</v>
      </c>
      <c r="P598" s="60">
        <v>0</v>
      </c>
      <c r="Q598" s="60">
        <v>0</v>
      </c>
      <c r="R598" s="60">
        <v>0</v>
      </c>
      <c r="S598" s="60">
        <v>0</v>
      </c>
      <c r="T598" s="60">
        <v>0</v>
      </c>
      <c r="U598" s="60">
        <v>0</v>
      </c>
      <c r="V598" s="60">
        <v>0</v>
      </c>
      <c r="W598" s="60">
        <v>0</v>
      </c>
      <c r="X598" s="60">
        <v>0</v>
      </c>
      <c r="Y598" s="60">
        <v>0</v>
      </c>
      <c r="Z598" s="60">
        <v>0</v>
      </c>
      <c r="AA598" s="60">
        <v>0</v>
      </c>
      <c r="AB598" s="60">
        <v>0</v>
      </c>
      <c r="AC598" s="60">
        <v>0</v>
      </c>
      <c r="AD598" s="60">
        <v>132871</v>
      </c>
      <c r="AE598" s="60">
        <v>0</v>
      </c>
      <c r="AF598" s="170">
        <v>2021</v>
      </c>
      <c r="AG598" s="170">
        <v>2021</v>
      </c>
      <c r="AH598" s="63" t="s">
        <v>257</v>
      </c>
    </row>
    <row r="599" spans="1:34" ht="61.5" x14ac:dyDescent="0.85">
      <c r="A599" s="7">
        <v>1</v>
      </c>
      <c r="B599" s="59">
        <f>SUBTOTAL(103,$A$558:A599)</f>
        <v>42</v>
      </c>
      <c r="C599" s="160" t="s">
        <v>1592</v>
      </c>
      <c r="D599" s="60">
        <f t="shared" si="91"/>
        <v>2860657.33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168">
        <v>0</v>
      </c>
      <c r="L599" s="60">
        <v>0</v>
      </c>
      <c r="M599" s="60">
        <v>813.36</v>
      </c>
      <c r="N599" s="60">
        <v>2732670</v>
      </c>
      <c r="O599" s="60">
        <v>0</v>
      </c>
      <c r="P599" s="60">
        <v>0</v>
      </c>
      <c r="Q599" s="60">
        <v>0</v>
      </c>
      <c r="R599" s="60">
        <v>0</v>
      </c>
      <c r="S599" s="60">
        <v>0</v>
      </c>
      <c r="T599" s="60">
        <v>0</v>
      </c>
      <c r="U599" s="60">
        <v>0</v>
      </c>
      <c r="V599" s="60">
        <v>0</v>
      </c>
      <c r="W599" s="60">
        <v>0</v>
      </c>
      <c r="X599" s="60">
        <v>0</v>
      </c>
      <c r="Y599" s="60">
        <v>0</v>
      </c>
      <c r="Z599" s="60">
        <v>0</v>
      </c>
      <c r="AA599" s="60">
        <v>0</v>
      </c>
      <c r="AB599" s="60">
        <v>0</v>
      </c>
      <c r="AC599" s="62">
        <v>40170.25</v>
      </c>
      <c r="AD599" s="62">
        <v>87817.08</v>
      </c>
      <c r="AE599" s="60">
        <v>0</v>
      </c>
      <c r="AF599" s="170">
        <v>2021</v>
      </c>
      <c r="AG599" s="170">
        <v>2021</v>
      </c>
      <c r="AH599" s="170">
        <v>2021</v>
      </c>
    </row>
    <row r="600" spans="1:34" ht="61.5" x14ac:dyDescent="0.85">
      <c r="A600" s="7">
        <v>1</v>
      </c>
      <c r="B600" s="59">
        <f>SUBTOTAL(103,$A$558:A600)</f>
        <v>43</v>
      </c>
      <c r="C600" s="160" t="s">
        <v>1758</v>
      </c>
      <c r="D600" s="60">
        <f t="shared" si="91"/>
        <v>99980.24</v>
      </c>
      <c r="E600" s="60">
        <v>0</v>
      </c>
      <c r="F600" s="60">
        <v>0</v>
      </c>
      <c r="G600" s="60">
        <v>0</v>
      </c>
      <c r="H600" s="60">
        <v>0</v>
      </c>
      <c r="I600" s="60">
        <v>0</v>
      </c>
      <c r="J600" s="60">
        <v>0</v>
      </c>
      <c r="K600" s="168">
        <v>0</v>
      </c>
      <c r="L600" s="60">
        <v>0</v>
      </c>
      <c r="M600" s="60">
        <v>0</v>
      </c>
      <c r="N600" s="60">
        <v>0</v>
      </c>
      <c r="O600" s="60">
        <v>0</v>
      </c>
      <c r="P600" s="60">
        <v>0</v>
      </c>
      <c r="Q600" s="60">
        <v>0</v>
      </c>
      <c r="R600" s="60">
        <v>0</v>
      </c>
      <c r="S600" s="60">
        <v>0</v>
      </c>
      <c r="T600" s="60">
        <v>0</v>
      </c>
      <c r="U600" s="60">
        <v>0</v>
      </c>
      <c r="V600" s="60">
        <v>0</v>
      </c>
      <c r="W600" s="60">
        <v>0</v>
      </c>
      <c r="X600" s="60">
        <v>0</v>
      </c>
      <c r="Y600" s="60">
        <v>0</v>
      </c>
      <c r="Z600" s="60">
        <v>0</v>
      </c>
      <c r="AA600" s="60">
        <v>0</v>
      </c>
      <c r="AB600" s="60">
        <v>0</v>
      </c>
      <c r="AC600" s="60">
        <v>0</v>
      </c>
      <c r="AD600" s="169">
        <v>99980.24</v>
      </c>
      <c r="AE600" s="60">
        <v>0</v>
      </c>
      <c r="AF600" s="170">
        <v>2021</v>
      </c>
      <c r="AG600" s="170" t="s">
        <v>257</v>
      </c>
      <c r="AH600" s="170" t="s">
        <v>257</v>
      </c>
    </row>
    <row r="601" spans="1:34" ht="61.5" x14ac:dyDescent="0.85">
      <c r="A601" s="7">
        <v>1</v>
      </c>
      <c r="B601" s="59">
        <f>SUBTOTAL(103,$A$558:A601)</f>
        <v>44</v>
      </c>
      <c r="C601" s="160" t="s">
        <v>1796</v>
      </c>
      <c r="D601" s="60">
        <f t="shared" si="91"/>
        <v>4102435.64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168">
        <v>0</v>
      </c>
      <c r="L601" s="60">
        <v>0</v>
      </c>
      <c r="M601" s="60">
        <v>808</v>
      </c>
      <c r="N601" s="60">
        <v>3968492</v>
      </c>
      <c r="O601" s="60">
        <v>0</v>
      </c>
      <c r="P601" s="60">
        <v>0</v>
      </c>
      <c r="Q601" s="60">
        <v>0</v>
      </c>
      <c r="R601" s="60">
        <v>0</v>
      </c>
      <c r="S601" s="60">
        <v>0</v>
      </c>
      <c r="T601" s="60">
        <v>0</v>
      </c>
      <c r="U601" s="60">
        <v>0</v>
      </c>
      <c r="V601" s="60">
        <v>0</v>
      </c>
      <c r="W601" s="60">
        <v>0</v>
      </c>
      <c r="X601" s="60">
        <v>0</v>
      </c>
      <c r="Y601" s="60">
        <v>0</v>
      </c>
      <c r="Z601" s="60">
        <v>0</v>
      </c>
      <c r="AA601" s="60">
        <v>0</v>
      </c>
      <c r="AB601" s="60">
        <v>0</v>
      </c>
      <c r="AC601" s="60">
        <v>58336.83</v>
      </c>
      <c r="AD601" s="62">
        <v>75606.81</v>
      </c>
      <c r="AE601" s="60">
        <v>0</v>
      </c>
      <c r="AF601" s="170">
        <v>2021</v>
      </c>
      <c r="AG601" s="170">
        <v>2021</v>
      </c>
      <c r="AH601" s="170">
        <v>2021</v>
      </c>
    </row>
    <row r="602" spans="1:34" ht="61.5" x14ac:dyDescent="0.85">
      <c r="A602" s="7">
        <v>1</v>
      </c>
      <c r="B602" s="59">
        <f>SUBTOTAL(103,$A$558:A602)</f>
        <v>45</v>
      </c>
      <c r="C602" s="160" t="s">
        <v>1797</v>
      </c>
      <c r="D602" s="60">
        <f t="shared" si="91"/>
        <v>4162113.5</v>
      </c>
      <c r="E602" s="60">
        <v>0</v>
      </c>
      <c r="F602" s="60">
        <v>0</v>
      </c>
      <c r="G602" s="60">
        <v>0</v>
      </c>
      <c r="H602" s="60">
        <v>0</v>
      </c>
      <c r="I602" s="60">
        <v>0</v>
      </c>
      <c r="J602" s="60">
        <v>0</v>
      </c>
      <c r="K602" s="168">
        <v>0</v>
      </c>
      <c r="L602" s="60">
        <v>0</v>
      </c>
      <c r="M602" s="62">
        <v>862.81</v>
      </c>
      <c r="N602" s="62">
        <v>4015264.55</v>
      </c>
      <c r="O602" s="60">
        <v>0</v>
      </c>
      <c r="P602" s="60">
        <v>0</v>
      </c>
      <c r="Q602" s="60">
        <v>0</v>
      </c>
      <c r="R602" s="60">
        <v>0</v>
      </c>
      <c r="S602" s="60">
        <v>0</v>
      </c>
      <c r="T602" s="60">
        <v>0</v>
      </c>
      <c r="U602" s="60">
        <v>0</v>
      </c>
      <c r="V602" s="60">
        <v>0</v>
      </c>
      <c r="W602" s="60">
        <v>0</v>
      </c>
      <c r="X602" s="60">
        <v>0</v>
      </c>
      <c r="Y602" s="60">
        <v>0</v>
      </c>
      <c r="Z602" s="60">
        <v>0</v>
      </c>
      <c r="AA602" s="60">
        <v>0</v>
      </c>
      <c r="AB602" s="60">
        <v>0</v>
      </c>
      <c r="AC602" s="62">
        <v>59024.39</v>
      </c>
      <c r="AD602" s="62">
        <v>87824.56</v>
      </c>
      <c r="AE602" s="60">
        <v>0</v>
      </c>
      <c r="AF602" s="170">
        <v>2021</v>
      </c>
      <c r="AG602" s="170">
        <v>2021</v>
      </c>
      <c r="AH602" s="170">
        <v>2021</v>
      </c>
    </row>
    <row r="603" spans="1:34" ht="61.5" x14ac:dyDescent="0.85">
      <c r="A603" s="7">
        <v>1</v>
      </c>
      <c r="B603" s="59">
        <f>SUBTOTAL(103,$A$558:A603)</f>
        <v>46</v>
      </c>
      <c r="C603" s="160" t="s">
        <v>1798</v>
      </c>
      <c r="D603" s="60">
        <f t="shared" si="91"/>
        <v>2943006.15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168">
        <v>0</v>
      </c>
      <c r="L603" s="60">
        <v>0</v>
      </c>
      <c r="M603" s="60">
        <v>1054</v>
      </c>
      <c r="N603" s="62">
        <v>2813816.44</v>
      </c>
      <c r="O603" s="60">
        <v>0</v>
      </c>
      <c r="P603" s="60">
        <v>0</v>
      </c>
      <c r="Q603" s="60">
        <v>0</v>
      </c>
      <c r="R603" s="60">
        <v>0</v>
      </c>
      <c r="S603" s="60">
        <v>0</v>
      </c>
      <c r="T603" s="60">
        <v>0</v>
      </c>
      <c r="U603" s="60">
        <v>0</v>
      </c>
      <c r="V603" s="60">
        <v>0</v>
      </c>
      <c r="W603" s="60">
        <v>0</v>
      </c>
      <c r="X603" s="60">
        <v>0</v>
      </c>
      <c r="Y603" s="60">
        <v>0</v>
      </c>
      <c r="Z603" s="60">
        <v>0</v>
      </c>
      <c r="AA603" s="60">
        <v>0</v>
      </c>
      <c r="AB603" s="60">
        <v>0</v>
      </c>
      <c r="AC603" s="62">
        <v>41363.1</v>
      </c>
      <c r="AD603" s="60">
        <v>87826.61</v>
      </c>
      <c r="AE603" s="60">
        <v>0</v>
      </c>
      <c r="AF603" s="170">
        <v>2021</v>
      </c>
      <c r="AG603" s="170">
        <v>2021</v>
      </c>
      <c r="AH603" s="170">
        <v>2021</v>
      </c>
    </row>
    <row r="604" spans="1:34" ht="61.5" x14ac:dyDescent="0.85">
      <c r="A604" s="7">
        <v>1</v>
      </c>
      <c r="B604" s="59">
        <f>SUBTOTAL(103,$A$558:A604)</f>
        <v>47</v>
      </c>
      <c r="C604" s="160" t="s">
        <v>1003</v>
      </c>
      <c r="D604" s="60">
        <f t="shared" si="91"/>
        <v>1761369.46</v>
      </c>
      <c r="E604" s="60">
        <v>0</v>
      </c>
      <c r="F604" s="60">
        <v>0</v>
      </c>
      <c r="G604" s="60">
        <v>0</v>
      </c>
      <c r="H604" s="60">
        <v>0</v>
      </c>
      <c r="I604" s="60">
        <v>0</v>
      </c>
      <c r="J604" s="60">
        <v>0</v>
      </c>
      <c r="K604" s="168">
        <v>0</v>
      </c>
      <c r="L604" s="60">
        <v>0</v>
      </c>
      <c r="M604" s="62">
        <v>504</v>
      </c>
      <c r="N604" s="62">
        <v>1737393.43</v>
      </c>
      <c r="O604" s="60">
        <v>0</v>
      </c>
      <c r="P604" s="60">
        <v>0</v>
      </c>
      <c r="Q604" s="60">
        <v>0</v>
      </c>
      <c r="R604" s="60">
        <v>0</v>
      </c>
      <c r="S604" s="60">
        <v>0</v>
      </c>
      <c r="T604" s="60">
        <v>0</v>
      </c>
      <c r="U604" s="60">
        <v>0</v>
      </c>
      <c r="V604" s="60">
        <v>0</v>
      </c>
      <c r="W604" s="60">
        <v>0</v>
      </c>
      <c r="X604" s="60">
        <v>0</v>
      </c>
      <c r="Y604" s="60">
        <v>0</v>
      </c>
      <c r="Z604" s="60">
        <v>0</v>
      </c>
      <c r="AA604" s="60">
        <v>0</v>
      </c>
      <c r="AB604" s="60">
        <v>0</v>
      </c>
      <c r="AC604" s="62">
        <v>23976.03</v>
      </c>
      <c r="AD604" s="60">
        <v>0</v>
      </c>
      <c r="AE604" s="60">
        <v>0</v>
      </c>
      <c r="AF604" s="170" t="s">
        <v>257</v>
      </c>
      <c r="AG604" s="170">
        <v>2021</v>
      </c>
      <c r="AH604" s="170">
        <v>2021</v>
      </c>
    </row>
    <row r="605" spans="1:34" ht="61.5" x14ac:dyDescent="0.85">
      <c r="A605" s="7">
        <v>1</v>
      </c>
      <c r="B605" s="59">
        <f>SUBTOTAL(103,$A$558:A605)</f>
        <v>48</v>
      </c>
      <c r="C605" s="160" t="s">
        <v>463</v>
      </c>
      <c r="D605" s="60">
        <f t="shared" si="91"/>
        <v>2481174.12</v>
      </c>
      <c r="E605" s="60">
        <v>0</v>
      </c>
      <c r="F605" s="60">
        <v>0</v>
      </c>
      <c r="G605" s="60">
        <v>0</v>
      </c>
      <c r="H605" s="60">
        <v>0</v>
      </c>
      <c r="I605" s="60">
        <v>0</v>
      </c>
      <c r="J605" s="60">
        <v>0</v>
      </c>
      <c r="K605" s="168">
        <v>0</v>
      </c>
      <c r="L605" s="60">
        <v>0</v>
      </c>
      <c r="M605" s="62">
        <v>669.93</v>
      </c>
      <c r="N605" s="62">
        <v>2447400</v>
      </c>
      <c r="O605" s="60">
        <v>0</v>
      </c>
      <c r="P605" s="60">
        <v>0</v>
      </c>
      <c r="Q605" s="60">
        <v>0</v>
      </c>
      <c r="R605" s="60">
        <v>0</v>
      </c>
      <c r="S605" s="60">
        <v>0</v>
      </c>
      <c r="T605" s="60">
        <v>0</v>
      </c>
      <c r="U605" s="60">
        <v>0</v>
      </c>
      <c r="V605" s="60">
        <v>0</v>
      </c>
      <c r="W605" s="60">
        <v>0</v>
      </c>
      <c r="X605" s="60">
        <v>0</v>
      </c>
      <c r="Y605" s="60">
        <v>0</v>
      </c>
      <c r="Z605" s="60">
        <v>0</v>
      </c>
      <c r="AA605" s="60">
        <v>0</v>
      </c>
      <c r="AB605" s="60">
        <v>0</v>
      </c>
      <c r="AC605" s="62">
        <v>33774.120000000003</v>
      </c>
      <c r="AD605" s="60">
        <v>0</v>
      </c>
      <c r="AE605" s="60">
        <v>0</v>
      </c>
      <c r="AF605" s="170" t="s">
        <v>257</v>
      </c>
      <c r="AG605" s="170">
        <v>2021</v>
      </c>
      <c r="AH605" s="170">
        <v>2021</v>
      </c>
    </row>
    <row r="606" spans="1:34" ht="61.5" x14ac:dyDescent="0.85">
      <c r="A606" s="7">
        <v>1</v>
      </c>
      <c r="B606" s="59">
        <f>SUBTOTAL(103,$A$558:A606)</f>
        <v>49</v>
      </c>
      <c r="C606" s="160" t="s">
        <v>1033</v>
      </c>
      <c r="D606" s="60">
        <f t="shared" si="91"/>
        <v>2086713.73</v>
      </c>
      <c r="E606" s="60">
        <v>0</v>
      </c>
      <c r="F606" s="60">
        <v>0</v>
      </c>
      <c r="G606" s="60">
        <v>0</v>
      </c>
      <c r="H606" s="60">
        <v>0</v>
      </c>
      <c r="I606" s="60">
        <v>0</v>
      </c>
      <c r="J606" s="60">
        <v>0</v>
      </c>
      <c r="K606" s="168">
        <v>0</v>
      </c>
      <c r="L606" s="60">
        <v>0</v>
      </c>
      <c r="M606" s="62">
        <v>1185.2</v>
      </c>
      <c r="N606" s="62">
        <v>2056027.52</v>
      </c>
      <c r="O606" s="60">
        <v>0</v>
      </c>
      <c r="P606" s="60">
        <v>0</v>
      </c>
      <c r="Q606" s="60">
        <v>0</v>
      </c>
      <c r="R606" s="60">
        <v>0</v>
      </c>
      <c r="S606" s="60">
        <v>0</v>
      </c>
      <c r="T606" s="60">
        <v>0</v>
      </c>
      <c r="U606" s="60">
        <v>0</v>
      </c>
      <c r="V606" s="60">
        <v>0</v>
      </c>
      <c r="W606" s="60">
        <v>0</v>
      </c>
      <c r="X606" s="60">
        <v>0</v>
      </c>
      <c r="Y606" s="60">
        <v>0</v>
      </c>
      <c r="Z606" s="60">
        <v>0</v>
      </c>
      <c r="AA606" s="60">
        <v>0</v>
      </c>
      <c r="AB606" s="60">
        <v>0</v>
      </c>
      <c r="AC606" s="62">
        <v>30686.21</v>
      </c>
      <c r="AD606" s="60">
        <v>0</v>
      </c>
      <c r="AE606" s="60">
        <v>0</v>
      </c>
      <c r="AF606" s="170" t="s">
        <v>257</v>
      </c>
      <c r="AG606" s="170">
        <v>2021</v>
      </c>
      <c r="AH606" s="170">
        <v>2021</v>
      </c>
    </row>
    <row r="607" spans="1:34" ht="61.5" x14ac:dyDescent="0.85">
      <c r="A607" s="7">
        <v>1</v>
      </c>
      <c r="B607" s="59">
        <f>SUBTOTAL(103,$A$558:A607)</f>
        <v>50</v>
      </c>
      <c r="C607" s="160" t="s">
        <v>1489</v>
      </c>
      <c r="D607" s="60">
        <f t="shared" si="91"/>
        <v>7374001.2199999997</v>
      </c>
      <c r="E607" s="60">
        <v>0</v>
      </c>
      <c r="F607" s="60">
        <v>0</v>
      </c>
      <c r="G607" s="60">
        <v>0</v>
      </c>
      <c r="H607" s="60">
        <v>0</v>
      </c>
      <c r="I607" s="60">
        <v>0</v>
      </c>
      <c r="J607" s="60">
        <v>0</v>
      </c>
      <c r="K607" s="168">
        <v>0</v>
      </c>
      <c r="L607" s="60">
        <v>0</v>
      </c>
      <c r="M607" s="173">
        <v>1133.9000000000001</v>
      </c>
      <c r="N607" s="62">
        <v>7273625.1899999995</v>
      </c>
      <c r="O607" s="60">
        <v>0</v>
      </c>
      <c r="P607" s="60">
        <v>0</v>
      </c>
      <c r="Q607" s="60">
        <v>0</v>
      </c>
      <c r="R607" s="60">
        <v>0</v>
      </c>
      <c r="S607" s="60">
        <v>0</v>
      </c>
      <c r="T607" s="60">
        <v>0</v>
      </c>
      <c r="U607" s="60">
        <v>0</v>
      </c>
      <c r="V607" s="60">
        <v>0</v>
      </c>
      <c r="W607" s="60">
        <v>0</v>
      </c>
      <c r="X607" s="60">
        <v>0</v>
      </c>
      <c r="Y607" s="60">
        <v>0</v>
      </c>
      <c r="Z607" s="60">
        <v>0</v>
      </c>
      <c r="AA607" s="60">
        <v>0</v>
      </c>
      <c r="AB607" s="60">
        <v>0</v>
      </c>
      <c r="AC607" s="62">
        <v>100376.03</v>
      </c>
      <c r="AD607" s="60">
        <v>0</v>
      </c>
      <c r="AE607" s="60">
        <v>0</v>
      </c>
      <c r="AF607" s="170" t="s">
        <v>257</v>
      </c>
      <c r="AG607" s="170">
        <v>2021</v>
      </c>
      <c r="AH607" s="170">
        <v>2021</v>
      </c>
    </row>
    <row r="608" spans="1:34" ht="61.5" x14ac:dyDescent="0.85">
      <c r="A608" s="7">
        <v>1</v>
      </c>
      <c r="B608" s="59">
        <f>SUBTOTAL(103,$A$558:A608)</f>
        <v>51</v>
      </c>
      <c r="C608" s="160" t="s">
        <v>546</v>
      </c>
      <c r="D608" s="60">
        <f t="shared" si="91"/>
        <v>1962527.15</v>
      </c>
      <c r="E608" s="60">
        <v>0</v>
      </c>
      <c r="F608" s="60">
        <v>0</v>
      </c>
      <c r="G608" s="60">
        <v>0</v>
      </c>
      <c r="H608" s="60">
        <v>0</v>
      </c>
      <c r="I608" s="60">
        <v>0</v>
      </c>
      <c r="J608" s="60">
        <v>0</v>
      </c>
      <c r="K608" s="168">
        <v>0</v>
      </c>
      <c r="L608" s="60">
        <v>0</v>
      </c>
      <c r="M608" s="60">
        <v>767.4</v>
      </c>
      <c r="N608" s="60">
        <v>1935812.93</v>
      </c>
      <c r="O608" s="60">
        <v>0</v>
      </c>
      <c r="P608" s="60">
        <v>0</v>
      </c>
      <c r="Q608" s="60">
        <v>0</v>
      </c>
      <c r="R608" s="60">
        <v>0</v>
      </c>
      <c r="S608" s="60">
        <v>0</v>
      </c>
      <c r="T608" s="60">
        <v>0</v>
      </c>
      <c r="U608" s="60">
        <v>0</v>
      </c>
      <c r="V608" s="60">
        <v>0</v>
      </c>
      <c r="W608" s="60">
        <v>0</v>
      </c>
      <c r="X608" s="60">
        <v>0</v>
      </c>
      <c r="Y608" s="60">
        <v>0</v>
      </c>
      <c r="Z608" s="60">
        <v>0</v>
      </c>
      <c r="AA608" s="60">
        <v>0</v>
      </c>
      <c r="AB608" s="60">
        <v>0</v>
      </c>
      <c r="AC608" s="60">
        <v>26714.22</v>
      </c>
      <c r="AD608" s="60">
        <v>0</v>
      </c>
      <c r="AE608" s="60">
        <v>0</v>
      </c>
      <c r="AF608" s="170" t="s">
        <v>257</v>
      </c>
      <c r="AG608" s="170">
        <v>2021</v>
      </c>
      <c r="AH608" s="170">
        <v>2021</v>
      </c>
    </row>
    <row r="609" spans="1:34" ht="61.5" x14ac:dyDescent="0.85">
      <c r="A609" s="7">
        <v>1</v>
      </c>
      <c r="B609" s="59">
        <f>SUBTOTAL(103,$A$558:A609)</f>
        <v>52</v>
      </c>
      <c r="C609" s="160" t="s">
        <v>1490</v>
      </c>
      <c r="D609" s="60">
        <f t="shared" si="91"/>
        <v>2362146.4899999998</v>
      </c>
      <c r="E609" s="60">
        <v>0</v>
      </c>
      <c r="F609" s="60">
        <v>0</v>
      </c>
      <c r="G609" s="60">
        <v>0</v>
      </c>
      <c r="H609" s="60">
        <v>0</v>
      </c>
      <c r="I609" s="60">
        <v>0</v>
      </c>
      <c r="J609" s="60">
        <v>0</v>
      </c>
      <c r="K609" s="168">
        <v>0</v>
      </c>
      <c r="L609" s="60">
        <v>0</v>
      </c>
      <c r="M609" s="60">
        <v>0</v>
      </c>
      <c r="N609" s="60">
        <v>0</v>
      </c>
      <c r="O609" s="60">
        <v>0</v>
      </c>
      <c r="P609" s="60">
        <v>0</v>
      </c>
      <c r="Q609" s="62">
        <v>1173</v>
      </c>
      <c r="R609" s="62">
        <v>2329992.59</v>
      </c>
      <c r="S609" s="60">
        <v>0</v>
      </c>
      <c r="T609" s="60">
        <v>0</v>
      </c>
      <c r="U609" s="60">
        <v>0</v>
      </c>
      <c r="V609" s="60">
        <v>0</v>
      </c>
      <c r="W609" s="60">
        <v>0</v>
      </c>
      <c r="X609" s="60">
        <v>0</v>
      </c>
      <c r="Y609" s="60">
        <v>0</v>
      </c>
      <c r="Z609" s="60">
        <v>0</v>
      </c>
      <c r="AA609" s="60">
        <v>0</v>
      </c>
      <c r="AB609" s="60">
        <v>0</v>
      </c>
      <c r="AC609" s="62">
        <v>32153.9</v>
      </c>
      <c r="AD609" s="60">
        <v>0</v>
      </c>
      <c r="AE609" s="60">
        <v>0</v>
      </c>
      <c r="AF609" s="170" t="s">
        <v>257</v>
      </c>
      <c r="AG609" s="170">
        <v>2021</v>
      </c>
      <c r="AH609" s="170">
        <v>2021</v>
      </c>
    </row>
    <row r="610" spans="1:34" ht="61.5" x14ac:dyDescent="0.85">
      <c r="A610" s="7">
        <v>1</v>
      </c>
      <c r="B610" s="59">
        <f>SUBTOTAL(103,$A$558:A610)</f>
        <v>53</v>
      </c>
      <c r="C610" s="160" t="s">
        <v>473</v>
      </c>
      <c r="D610" s="60">
        <f t="shared" si="91"/>
        <v>3603174.9400000004</v>
      </c>
      <c r="E610" s="60">
        <v>0</v>
      </c>
      <c r="F610" s="60">
        <v>0</v>
      </c>
      <c r="G610" s="60">
        <v>0</v>
      </c>
      <c r="H610" s="60">
        <v>0</v>
      </c>
      <c r="I610" s="60">
        <v>0</v>
      </c>
      <c r="J610" s="60">
        <v>0</v>
      </c>
      <c r="K610" s="168">
        <v>0</v>
      </c>
      <c r="L610" s="60">
        <v>0</v>
      </c>
      <c r="M610" s="62">
        <v>774</v>
      </c>
      <c r="N610" s="62">
        <v>3554127.97</v>
      </c>
      <c r="O610" s="60">
        <v>0</v>
      </c>
      <c r="P610" s="60">
        <v>0</v>
      </c>
      <c r="Q610" s="60">
        <v>0</v>
      </c>
      <c r="R610" s="60">
        <v>0</v>
      </c>
      <c r="S610" s="60">
        <v>0</v>
      </c>
      <c r="T610" s="60">
        <v>0</v>
      </c>
      <c r="U610" s="60">
        <v>0</v>
      </c>
      <c r="V610" s="60">
        <v>0</v>
      </c>
      <c r="W610" s="60">
        <v>0</v>
      </c>
      <c r="X610" s="60">
        <v>0</v>
      </c>
      <c r="Y610" s="60">
        <v>0</v>
      </c>
      <c r="Z610" s="60">
        <v>0</v>
      </c>
      <c r="AA610" s="60">
        <v>0</v>
      </c>
      <c r="AB610" s="60">
        <v>0</v>
      </c>
      <c r="AC610" s="62">
        <v>49046.97</v>
      </c>
      <c r="AD610" s="60">
        <v>0</v>
      </c>
      <c r="AE610" s="60">
        <v>0</v>
      </c>
      <c r="AF610" s="170" t="s">
        <v>257</v>
      </c>
      <c r="AG610" s="170">
        <v>2021</v>
      </c>
      <c r="AH610" s="170">
        <v>2021</v>
      </c>
    </row>
    <row r="611" spans="1:34" ht="61.5" x14ac:dyDescent="0.85">
      <c r="A611" s="7">
        <v>1</v>
      </c>
      <c r="B611" s="59">
        <f>SUBTOTAL(103,$A$558:A611)</f>
        <v>54</v>
      </c>
      <c r="C611" s="160" t="s">
        <v>1491</v>
      </c>
      <c r="D611" s="60">
        <f t="shared" si="91"/>
        <v>2347629.29</v>
      </c>
      <c r="E611" s="60">
        <v>0</v>
      </c>
      <c r="F611" s="60">
        <v>0</v>
      </c>
      <c r="G611" s="60">
        <v>0</v>
      </c>
      <c r="H611" s="60">
        <v>0</v>
      </c>
      <c r="I611" s="60">
        <v>0</v>
      </c>
      <c r="J611" s="60">
        <v>0</v>
      </c>
      <c r="K611" s="168">
        <v>0</v>
      </c>
      <c r="L611" s="60">
        <v>0</v>
      </c>
      <c r="M611" s="173">
        <v>536.86</v>
      </c>
      <c r="N611" s="173">
        <v>2315673</v>
      </c>
      <c r="O611" s="60">
        <v>0</v>
      </c>
      <c r="P611" s="60">
        <v>0</v>
      </c>
      <c r="Q611" s="60">
        <v>0</v>
      </c>
      <c r="R611" s="60">
        <v>0</v>
      </c>
      <c r="S611" s="60">
        <v>0</v>
      </c>
      <c r="T611" s="60">
        <v>0</v>
      </c>
      <c r="U611" s="60">
        <v>0</v>
      </c>
      <c r="V611" s="60">
        <v>0</v>
      </c>
      <c r="W611" s="60">
        <v>0</v>
      </c>
      <c r="X611" s="60">
        <v>0</v>
      </c>
      <c r="Y611" s="60">
        <v>0</v>
      </c>
      <c r="Z611" s="60">
        <v>0</v>
      </c>
      <c r="AA611" s="60">
        <v>0</v>
      </c>
      <c r="AB611" s="60">
        <v>0</v>
      </c>
      <c r="AC611" s="62">
        <v>31956.29</v>
      </c>
      <c r="AD611" s="60">
        <v>0</v>
      </c>
      <c r="AE611" s="60">
        <v>0</v>
      </c>
      <c r="AF611" s="170" t="s">
        <v>257</v>
      </c>
      <c r="AG611" s="170">
        <v>2021</v>
      </c>
      <c r="AH611" s="170">
        <v>2021</v>
      </c>
    </row>
    <row r="612" spans="1:34" ht="61.5" x14ac:dyDescent="0.85">
      <c r="A612" s="7">
        <v>1</v>
      </c>
      <c r="B612" s="59">
        <f>SUBTOTAL(103,$A$558:A612)</f>
        <v>55</v>
      </c>
      <c r="C612" s="160" t="s">
        <v>477</v>
      </c>
      <c r="D612" s="60">
        <f t="shared" si="91"/>
        <v>753956.90000000014</v>
      </c>
      <c r="E612" s="60">
        <v>0</v>
      </c>
      <c r="F612" s="60">
        <v>0</v>
      </c>
      <c r="G612" s="62">
        <v>677721.31</v>
      </c>
      <c r="H612" s="60">
        <v>0</v>
      </c>
      <c r="I612" s="60">
        <v>0</v>
      </c>
      <c r="J612" s="60">
        <v>0</v>
      </c>
      <c r="K612" s="168">
        <v>0</v>
      </c>
      <c r="L612" s="60">
        <v>0</v>
      </c>
      <c r="M612" s="60">
        <v>0</v>
      </c>
      <c r="N612" s="60">
        <v>0</v>
      </c>
      <c r="O612" s="60">
        <v>0</v>
      </c>
      <c r="P612" s="60">
        <v>0</v>
      </c>
      <c r="Q612" s="60">
        <v>0</v>
      </c>
      <c r="R612" s="60">
        <v>0</v>
      </c>
      <c r="S612" s="60">
        <v>0</v>
      </c>
      <c r="T612" s="60">
        <v>0</v>
      </c>
      <c r="U612" s="60">
        <v>0</v>
      </c>
      <c r="V612" s="60">
        <v>0</v>
      </c>
      <c r="W612" s="60">
        <v>0</v>
      </c>
      <c r="X612" s="60">
        <v>0</v>
      </c>
      <c r="Y612" s="60">
        <v>0</v>
      </c>
      <c r="Z612" s="60">
        <v>0</v>
      </c>
      <c r="AA612" s="60">
        <v>0</v>
      </c>
      <c r="AB612" s="60">
        <v>0</v>
      </c>
      <c r="AC612" s="60">
        <v>9352.5499999999993</v>
      </c>
      <c r="AD612" s="60">
        <v>66883.039999999994</v>
      </c>
      <c r="AE612" s="60">
        <v>0</v>
      </c>
      <c r="AF612" s="170">
        <v>2021</v>
      </c>
      <c r="AG612" s="170">
        <v>2021</v>
      </c>
      <c r="AH612" s="170">
        <v>2021</v>
      </c>
    </row>
    <row r="613" spans="1:34" ht="61.5" x14ac:dyDescent="0.85">
      <c r="A613" s="7">
        <v>1</v>
      </c>
      <c r="B613" s="59">
        <f>SUBTOTAL(103,$A$558:A613)</f>
        <v>56</v>
      </c>
      <c r="C613" s="160" t="s">
        <v>479</v>
      </c>
      <c r="D613" s="60">
        <f t="shared" si="91"/>
        <v>2519504.6599999997</v>
      </c>
      <c r="E613" s="60">
        <v>0</v>
      </c>
      <c r="F613" s="60">
        <v>0</v>
      </c>
      <c r="G613" s="60">
        <v>0</v>
      </c>
      <c r="H613" s="60">
        <v>0</v>
      </c>
      <c r="I613" s="60">
        <v>0</v>
      </c>
      <c r="J613" s="60">
        <v>0</v>
      </c>
      <c r="K613" s="168">
        <v>0</v>
      </c>
      <c r="L613" s="60">
        <v>0</v>
      </c>
      <c r="M613" s="62">
        <v>595.05999999999995</v>
      </c>
      <c r="N613" s="62">
        <v>2485208.7799999998</v>
      </c>
      <c r="O613" s="60">
        <v>0</v>
      </c>
      <c r="P613" s="60">
        <v>0</v>
      </c>
      <c r="Q613" s="60">
        <v>0</v>
      </c>
      <c r="R613" s="60">
        <v>0</v>
      </c>
      <c r="S613" s="60">
        <v>0</v>
      </c>
      <c r="T613" s="60">
        <v>0</v>
      </c>
      <c r="U613" s="60">
        <v>0</v>
      </c>
      <c r="V613" s="60">
        <v>0</v>
      </c>
      <c r="W613" s="60">
        <v>0</v>
      </c>
      <c r="X613" s="60">
        <v>0</v>
      </c>
      <c r="Y613" s="60">
        <v>0</v>
      </c>
      <c r="Z613" s="60">
        <v>0</v>
      </c>
      <c r="AA613" s="60">
        <v>0</v>
      </c>
      <c r="AB613" s="60">
        <v>0</v>
      </c>
      <c r="AC613" s="62">
        <v>34295.879999999997</v>
      </c>
      <c r="AD613" s="60">
        <v>0</v>
      </c>
      <c r="AE613" s="60">
        <v>0</v>
      </c>
      <c r="AF613" s="170" t="s">
        <v>257</v>
      </c>
      <c r="AG613" s="170">
        <v>2021</v>
      </c>
      <c r="AH613" s="170">
        <v>2021</v>
      </c>
    </row>
    <row r="614" spans="1:34" ht="61.5" x14ac:dyDescent="0.85">
      <c r="A614" s="7">
        <v>1</v>
      </c>
      <c r="B614" s="59">
        <f>SUBTOTAL(103,$A$558:A614)</f>
        <v>57</v>
      </c>
      <c r="C614" s="160" t="s">
        <v>502</v>
      </c>
      <c r="D614" s="60">
        <f t="shared" si="91"/>
        <v>1957983.6400000001</v>
      </c>
      <c r="E614" s="60">
        <v>0</v>
      </c>
      <c r="F614" s="60">
        <v>0</v>
      </c>
      <c r="G614" s="60">
        <v>0</v>
      </c>
      <c r="H614" s="60">
        <v>0</v>
      </c>
      <c r="I614" s="60">
        <v>0</v>
      </c>
      <c r="J614" s="60">
        <v>0</v>
      </c>
      <c r="K614" s="168">
        <v>0</v>
      </c>
      <c r="L614" s="60">
        <v>0</v>
      </c>
      <c r="M614" s="62">
        <v>549</v>
      </c>
      <c r="N614" s="62">
        <v>1931331.27</v>
      </c>
      <c r="O614" s="60">
        <v>0</v>
      </c>
      <c r="P614" s="60">
        <v>0</v>
      </c>
      <c r="Q614" s="60">
        <v>0</v>
      </c>
      <c r="R614" s="60">
        <v>0</v>
      </c>
      <c r="S614" s="60">
        <v>0</v>
      </c>
      <c r="T614" s="60">
        <v>0</v>
      </c>
      <c r="U614" s="60">
        <v>0</v>
      </c>
      <c r="V614" s="60">
        <v>0</v>
      </c>
      <c r="W614" s="60">
        <v>0</v>
      </c>
      <c r="X614" s="60">
        <v>0</v>
      </c>
      <c r="Y614" s="60">
        <v>0</v>
      </c>
      <c r="Z614" s="60">
        <v>0</v>
      </c>
      <c r="AA614" s="60">
        <v>0</v>
      </c>
      <c r="AB614" s="60">
        <v>0</v>
      </c>
      <c r="AC614" s="62">
        <v>26652.37</v>
      </c>
      <c r="AD614" s="60">
        <v>0</v>
      </c>
      <c r="AE614" s="60">
        <v>0</v>
      </c>
      <c r="AF614" s="170" t="s">
        <v>257</v>
      </c>
      <c r="AG614" s="170">
        <v>2021</v>
      </c>
      <c r="AH614" s="170">
        <v>2021</v>
      </c>
    </row>
    <row r="615" spans="1:34" ht="61.5" x14ac:dyDescent="0.85">
      <c r="A615" s="7">
        <v>1</v>
      </c>
      <c r="B615" s="59">
        <f>SUBTOTAL(103,$A$558:A615)</f>
        <v>58</v>
      </c>
      <c r="C615" s="160" t="s">
        <v>1294</v>
      </c>
      <c r="D615" s="60">
        <f t="shared" si="91"/>
        <v>1597151.74</v>
      </c>
      <c r="E615" s="60">
        <v>0</v>
      </c>
      <c r="F615" s="60">
        <v>0</v>
      </c>
      <c r="G615" s="60">
        <v>0</v>
      </c>
      <c r="H615" s="60">
        <v>0</v>
      </c>
      <c r="I615" s="60">
        <v>0</v>
      </c>
      <c r="J615" s="60">
        <v>0</v>
      </c>
      <c r="K615" s="168">
        <v>0</v>
      </c>
      <c r="L615" s="60">
        <v>0</v>
      </c>
      <c r="M615" s="60">
        <v>0</v>
      </c>
      <c r="N615" s="60">
        <v>0</v>
      </c>
      <c r="O615" s="60">
        <v>0</v>
      </c>
      <c r="P615" s="60">
        <v>0</v>
      </c>
      <c r="Q615" s="62">
        <v>736</v>
      </c>
      <c r="R615" s="62">
        <v>1575411.07</v>
      </c>
      <c r="S615" s="60">
        <v>0</v>
      </c>
      <c r="T615" s="60">
        <v>0</v>
      </c>
      <c r="U615" s="60">
        <v>0</v>
      </c>
      <c r="V615" s="60">
        <v>0</v>
      </c>
      <c r="W615" s="60">
        <v>0</v>
      </c>
      <c r="X615" s="60">
        <v>0</v>
      </c>
      <c r="Y615" s="60">
        <v>0</v>
      </c>
      <c r="Z615" s="60">
        <v>0</v>
      </c>
      <c r="AA615" s="60">
        <v>0</v>
      </c>
      <c r="AB615" s="60">
        <v>0</v>
      </c>
      <c r="AC615" s="62">
        <v>21740.67</v>
      </c>
      <c r="AD615" s="60">
        <v>0</v>
      </c>
      <c r="AE615" s="60">
        <v>0</v>
      </c>
      <c r="AF615" s="170" t="s">
        <v>257</v>
      </c>
      <c r="AG615" s="170">
        <v>2021</v>
      </c>
      <c r="AH615" s="170">
        <v>2021</v>
      </c>
    </row>
    <row r="616" spans="1:34" ht="61.5" x14ac:dyDescent="0.85">
      <c r="A616" s="7">
        <v>1</v>
      </c>
      <c r="B616" s="59">
        <f>SUBTOTAL(103,$A$558:A616)</f>
        <v>59</v>
      </c>
      <c r="C616" s="160" t="s">
        <v>1517</v>
      </c>
      <c r="D616" s="60">
        <f t="shared" si="91"/>
        <v>3504472.23</v>
      </c>
      <c r="E616" s="60">
        <v>0</v>
      </c>
      <c r="F616" s="60">
        <v>0</v>
      </c>
      <c r="G616" s="60">
        <v>0</v>
      </c>
      <c r="H616" s="60">
        <v>0</v>
      </c>
      <c r="I616" s="60">
        <v>0</v>
      </c>
      <c r="J616" s="60">
        <v>0</v>
      </c>
      <c r="K616" s="168">
        <v>0</v>
      </c>
      <c r="L616" s="60">
        <v>0</v>
      </c>
      <c r="M616" s="62">
        <v>819.16</v>
      </c>
      <c r="N616" s="62">
        <v>3456768.82</v>
      </c>
      <c r="O616" s="60">
        <v>0</v>
      </c>
      <c r="P616" s="60">
        <v>0</v>
      </c>
      <c r="Q616" s="60">
        <v>0</v>
      </c>
      <c r="R616" s="60">
        <v>0</v>
      </c>
      <c r="S616" s="60">
        <v>0</v>
      </c>
      <c r="T616" s="60">
        <v>0</v>
      </c>
      <c r="U616" s="60">
        <v>0</v>
      </c>
      <c r="V616" s="60">
        <v>0</v>
      </c>
      <c r="W616" s="60">
        <v>0</v>
      </c>
      <c r="X616" s="60">
        <v>0</v>
      </c>
      <c r="Y616" s="60">
        <v>0</v>
      </c>
      <c r="Z616" s="60">
        <v>0</v>
      </c>
      <c r="AA616" s="60">
        <v>0</v>
      </c>
      <c r="AB616" s="60">
        <v>0</v>
      </c>
      <c r="AC616" s="62">
        <v>47703.41</v>
      </c>
      <c r="AD616" s="60">
        <v>0</v>
      </c>
      <c r="AE616" s="60">
        <v>0</v>
      </c>
      <c r="AF616" s="170" t="s">
        <v>257</v>
      </c>
      <c r="AG616" s="170">
        <v>2021</v>
      </c>
      <c r="AH616" s="170">
        <v>2021</v>
      </c>
    </row>
    <row r="617" spans="1:34" ht="61.5" x14ac:dyDescent="0.85">
      <c r="A617" s="7">
        <v>1</v>
      </c>
      <c r="B617" s="59">
        <f>SUBTOTAL(103,$A$558:A617)</f>
        <v>60</v>
      </c>
      <c r="C617" s="160" t="s">
        <v>538</v>
      </c>
      <c r="D617" s="60">
        <f t="shared" si="91"/>
        <v>867626.01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168">
        <v>0</v>
      </c>
      <c r="L617" s="60">
        <v>0</v>
      </c>
      <c r="M617" s="60">
        <v>201.25</v>
      </c>
      <c r="N617" s="60">
        <v>855056.68</v>
      </c>
      <c r="O617" s="60">
        <v>0</v>
      </c>
      <c r="P617" s="60">
        <v>0</v>
      </c>
      <c r="Q617" s="60">
        <v>0</v>
      </c>
      <c r="R617" s="60">
        <v>0</v>
      </c>
      <c r="S617" s="60">
        <v>0</v>
      </c>
      <c r="T617" s="60">
        <v>0</v>
      </c>
      <c r="U617" s="60">
        <v>0</v>
      </c>
      <c r="V617" s="60">
        <v>0</v>
      </c>
      <c r="W617" s="60">
        <v>0</v>
      </c>
      <c r="X617" s="60">
        <v>0</v>
      </c>
      <c r="Y617" s="60">
        <v>0</v>
      </c>
      <c r="Z617" s="60">
        <v>0</v>
      </c>
      <c r="AA617" s="60">
        <v>0</v>
      </c>
      <c r="AB617" s="60">
        <v>0</v>
      </c>
      <c r="AC617" s="62">
        <v>12569.33</v>
      </c>
      <c r="AD617" s="60">
        <v>0</v>
      </c>
      <c r="AE617" s="60">
        <v>0</v>
      </c>
      <c r="AF617" s="170" t="s">
        <v>257</v>
      </c>
      <c r="AG617" s="170">
        <v>2021</v>
      </c>
      <c r="AH617" s="170">
        <v>2021</v>
      </c>
    </row>
    <row r="618" spans="1:34" ht="61.5" x14ac:dyDescent="0.85">
      <c r="A618" s="7">
        <v>1</v>
      </c>
      <c r="B618" s="59">
        <f>SUBTOTAL(103,$A$558:A618)</f>
        <v>61</v>
      </c>
      <c r="C618" s="160" t="s">
        <v>465</v>
      </c>
      <c r="D618" s="60">
        <f t="shared" si="91"/>
        <v>3422878.75</v>
      </c>
      <c r="E618" s="60">
        <v>0</v>
      </c>
      <c r="F618" s="60">
        <v>0</v>
      </c>
      <c r="G618" s="60">
        <v>0</v>
      </c>
      <c r="H618" s="60">
        <v>0</v>
      </c>
      <c r="I618" s="60">
        <v>0</v>
      </c>
      <c r="J618" s="60">
        <v>0</v>
      </c>
      <c r="K618" s="168">
        <v>0</v>
      </c>
      <c r="L618" s="60">
        <v>0</v>
      </c>
      <c r="M618" s="62">
        <v>710</v>
      </c>
      <c r="N618" s="62">
        <v>3376286</v>
      </c>
      <c r="O618" s="60">
        <v>0</v>
      </c>
      <c r="P618" s="60">
        <v>0</v>
      </c>
      <c r="Q618" s="60">
        <v>0</v>
      </c>
      <c r="R618" s="60">
        <v>0</v>
      </c>
      <c r="S618" s="60">
        <v>0</v>
      </c>
      <c r="T618" s="60">
        <v>0</v>
      </c>
      <c r="U618" s="60">
        <v>0</v>
      </c>
      <c r="V618" s="60">
        <v>0</v>
      </c>
      <c r="W618" s="60">
        <v>0</v>
      </c>
      <c r="X618" s="60">
        <v>0</v>
      </c>
      <c r="Y618" s="60">
        <v>0</v>
      </c>
      <c r="Z618" s="60">
        <v>0</v>
      </c>
      <c r="AA618" s="60">
        <v>0</v>
      </c>
      <c r="AB618" s="60">
        <v>0</v>
      </c>
      <c r="AC618" s="62">
        <v>46592.75</v>
      </c>
      <c r="AD618" s="60">
        <v>0</v>
      </c>
      <c r="AE618" s="60">
        <v>0</v>
      </c>
      <c r="AF618" s="170" t="s">
        <v>257</v>
      </c>
      <c r="AG618" s="170">
        <v>2021</v>
      </c>
      <c r="AH618" s="170">
        <v>2021</v>
      </c>
    </row>
    <row r="619" spans="1:34" ht="61.5" x14ac:dyDescent="0.85">
      <c r="A619" s="7">
        <v>1</v>
      </c>
      <c r="B619" s="59">
        <f>SUBTOTAL(103,$A$558:A619)</f>
        <v>62</v>
      </c>
      <c r="C619" s="160" t="s">
        <v>1036</v>
      </c>
      <c r="D619" s="60">
        <f t="shared" si="91"/>
        <v>4249442.9799999995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168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2">
        <v>1131.4000000000001</v>
      </c>
      <c r="R619" s="62">
        <v>4186952.71</v>
      </c>
      <c r="S619" s="60">
        <v>0</v>
      </c>
      <c r="T619" s="60">
        <v>0</v>
      </c>
      <c r="U619" s="60">
        <v>0</v>
      </c>
      <c r="V619" s="60">
        <v>0</v>
      </c>
      <c r="W619" s="60">
        <v>0</v>
      </c>
      <c r="X619" s="60">
        <v>0</v>
      </c>
      <c r="Y619" s="60">
        <v>0</v>
      </c>
      <c r="Z619" s="60">
        <v>0</v>
      </c>
      <c r="AA619" s="60">
        <v>0</v>
      </c>
      <c r="AB619" s="60">
        <v>0</v>
      </c>
      <c r="AC619" s="62">
        <v>62490.27</v>
      </c>
      <c r="AD619" s="60">
        <v>0</v>
      </c>
      <c r="AE619" s="60">
        <v>0</v>
      </c>
      <c r="AF619" s="170" t="s">
        <v>257</v>
      </c>
      <c r="AG619" s="170">
        <v>2021</v>
      </c>
      <c r="AH619" s="170">
        <v>2021</v>
      </c>
    </row>
    <row r="620" spans="1:34" ht="61.5" x14ac:dyDescent="0.85">
      <c r="A620" s="7">
        <v>1</v>
      </c>
      <c r="B620" s="59">
        <f>SUBTOTAL(103,$A$558:A620)</f>
        <v>63</v>
      </c>
      <c r="C620" s="160" t="s">
        <v>547</v>
      </c>
      <c r="D620" s="60">
        <f t="shared" si="91"/>
        <v>99979.94</v>
      </c>
      <c r="E620" s="60">
        <v>0</v>
      </c>
      <c r="F620" s="60">
        <v>0</v>
      </c>
      <c r="G620" s="60">
        <v>0</v>
      </c>
      <c r="H620" s="60">
        <v>0</v>
      </c>
      <c r="I620" s="60">
        <v>0</v>
      </c>
      <c r="J620" s="60">
        <v>0</v>
      </c>
      <c r="K620" s="168">
        <v>0</v>
      </c>
      <c r="L620" s="60">
        <v>0</v>
      </c>
      <c r="M620" s="60">
        <v>0</v>
      </c>
      <c r="N620" s="60">
        <v>0</v>
      </c>
      <c r="O620" s="60">
        <v>0</v>
      </c>
      <c r="P620" s="60">
        <v>0</v>
      </c>
      <c r="Q620" s="60">
        <v>0</v>
      </c>
      <c r="R620" s="60">
        <v>0</v>
      </c>
      <c r="S620" s="60">
        <v>0</v>
      </c>
      <c r="T620" s="60">
        <v>0</v>
      </c>
      <c r="U620" s="60">
        <v>0</v>
      </c>
      <c r="V620" s="60">
        <v>0</v>
      </c>
      <c r="W620" s="60">
        <v>0</v>
      </c>
      <c r="X620" s="60">
        <v>0</v>
      </c>
      <c r="Y620" s="60">
        <v>0</v>
      </c>
      <c r="Z620" s="60">
        <v>0</v>
      </c>
      <c r="AA620" s="60">
        <v>0</v>
      </c>
      <c r="AB620" s="60">
        <v>0</v>
      </c>
      <c r="AC620" s="60">
        <v>0</v>
      </c>
      <c r="AD620" s="60">
        <v>99979.94</v>
      </c>
      <c r="AE620" s="60">
        <v>0</v>
      </c>
      <c r="AF620" s="170">
        <v>2021</v>
      </c>
      <c r="AG620" s="170" t="s">
        <v>257</v>
      </c>
      <c r="AH620" s="170" t="s">
        <v>257</v>
      </c>
    </row>
    <row r="621" spans="1:34" ht="61.5" x14ac:dyDescent="0.85">
      <c r="A621" s="7">
        <v>1</v>
      </c>
      <c r="B621" s="59">
        <f>SUBTOTAL(103,$A$558:A621)</f>
        <v>64</v>
      </c>
      <c r="C621" s="160" t="s">
        <v>555</v>
      </c>
      <c r="D621" s="60">
        <f t="shared" si="91"/>
        <v>99986.69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168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0">
        <v>0</v>
      </c>
      <c r="T621" s="60">
        <v>0</v>
      </c>
      <c r="U621" s="60">
        <v>0</v>
      </c>
      <c r="V621" s="60">
        <v>0</v>
      </c>
      <c r="W621" s="60">
        <v>0</v>
      </c>
      <c r="X621" s="60">
        <v>0</v>
      </c>
      <c r="Y621" s="60">
        <v>0</v>
      </c>
      <c r="Z621" s="60">
        <v>0</v>
      </c>
      <c r="AA621" s="60">
        <v>0</v>
      </c>
      <c r="AB621" s="60">
        <v>0</v>
      </c>
      <c r="AC621" s="60">
        <v>0</v>
      </c>
      <c r="AD621" s="60">
        <v>99986.69</v>
      </c>
      <c r="AE621" s="60">
        <v>0</v>
      </c>
      <c r="AF621" s="170">
        <v>2021</v>
      </c>
      <c r="AG621" s="170" t="s">
        <v>257</v>
      </c>
      <c r="AH621" s="170" t="s">
        <v>257</v>
      </c>
    </row>
    <row r="622" spans="1:34" ht="61.5" x14ac:dyDescent="0.85">
      <c r="A622" s="7">
        <v>1</v>
      </c>
      <c r="B622" s="59">
        <f>SUBTOTAL(103,$A$558:A622)</f>
        <v>65</v>
      </c>
      <c r="C622" s="160" t="s">
        <v>558</v>
      </c>
      <c r="D622" s="60">
        <f t="shared" ref="D622:D645" si="92">E622+F622+G622+H622+I622+J622+L622+N622+P622+R622+T622+U622+V622+W622+X622+Y622+Z622+AA622+AB622+AC622+AD622+AE622</f>
        <v>99984.29</v>
      </c>
      <c r="E622" s="60">
        <v>0</v>
      </c>
      <c r="F622" s="60">
        <v>0</v>
      </c>
      <c r="G622" s="60">
        <v>0</v>
      </c>
      <c r="H622" s="60">
        <v>0</v>
      </c>
      <c r="I622" s="60">
        <v>0</v>
      </c>
      <c r="J622" s="60">
        <v>0</v>
      </c>
      <c r="K622" s="168">
        <v>0</v>
      </c>
      <c r="L622" s="60">
        <v>0</v>
      </c>
      <c r="M622" s="60">
        <v>0</v>
      </c>
      <c r="N622" s="60">
        <v>0</v>
      </c>
      <c r="O622" s="60">
        <v>0</v>
      </c>
      <c r="P622" s="60">
        <v>0</v>
      </c>
      <c r="Q622" s="60">
        <v>0</v>
      </c>
      <c r="R622" s="60">
        <v>0</v>
      </c>
      <c r="S622" s="60">
        <v>0</v>
      </c>
      <c r="T622" s="60">
        <v>0</v>
      </c>
      <c r="U622" s="60">
        <v>0</v>
      </c>
      <c r="V622" s="60">
        <v>0</v>
      </c>
      <c r="W622" s="60">
        <v>0</v>
      </c>
      <c r="X622" s="60">
        <v>0</v>
      </c>
      <c r="Y622" s="60">
        <v>0</v>
      </c>
      <c r="Z622" s="60">
        <v>0</v>
      </c>
      <c r="AA622" s="60">
        <v>0</v>
      </c>
      <c r="AB622" s="60">
        <v>0</v>
      </c>
      <c r="AC622" s="60">
        <v>0</v>
      </c>
      <c r="AD622" s="60">
        <v>99984.29</v>
      </c>
      <c r="AE622" s="60">
        <v>0</v>
      </c>
      <c r="AF622" s="170">
        <v>2021</v>
      </c>
      <c r="AG622" s="170" t="s">
        <v>257</v>
      </c>
      <c r="AH622" s="170" t="s">
        <v>257</v>
      </c>
    </row>
    <row r="623" spans="1:34" ht="61.5" x14ac:dyDescent="0.85">
      <c r="A623" s="7">
        <v>1</v>
      </c>
      <c r="B623" s="59">
        <f>SUBTOTAL(103,$A$558:A623)</f>
        <v>66</v>
      </c>
      <c r="C623" s="160" t="s">
        <v>564</v>
      </c>
      <c r="D623" s="60">
        <f t="shared" si="92"/>
        <v>3411032.71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168">
        <v>0</v>
      </c>
      <c r="L623" s="60">
        <v>0</v>
      </c>
      <c r="M623" s="60">
        <v>769</v>
      </c>
      <c r="N623" s="60">
        <v>3361616.94</v>
      </c>
      <c r="O623" s="60">
        <v>0</v>
      </c>
      <c r="P623" s="60">
        <v>0</v>
      </c>
      <c r="Q623" s="60">
        <v>0</v>
      </c>
      <c r="R623" s="60">
        <v>0</v>
      </c>
      <c r="S623" s="60">
        <v>0</v>
      </c>
      <c r="T623" s="60">
        <v>0</v>
      </c>
      <c r="U623" s="60">
        <v>0</v>
      </c>
      <c r="V623" s="60">
        <v>0</v>
      </c>
      <c r="W623" s="60">
        <v>0</v>
      </c>
      <c r="X623" s="60">
        <v>0</v>
      </c>
      <c r="Y623" s="60">
        <v>0</v>
      </c>
      <c r="Z623" s="60">
        <v>0</v>
      </c>
      <c r="AA623" s="60">
        <v>0</v>
      </c>
      <c r="AB623" s="60">
        <v>0</v>
      </c>
      <c r="AC623" s="62">
        <v>49415.77</v>
      </c>
      <c r="AD623" s="60">
        <v>0</v>
      </c>
      <c r="AE623" s="60">
        <v>0</v>
      </c>
      <c r="AF623" s="170" t="s">
        <v>257</v>
      </c>
      <c r="AG623" s="170">
        <v>2021</v>
      </c>
      <c r="AH623" s="170">
        <v>2021</v>
      </c>
    </row>
    <row r="624" spans="1:34" ht="61.5" x14ac:dyDescent="0.85">
      <c r="A624" s="7">
        <v>1</v>
      </c>
      <c r="B624" s="59">
        <f>SUBTOTAL(103,$A$558:A624)</f>
        <v>67</v>
      </c>
      <c r="C624" s="160" t="s">
        <v>552</v>
      </c>
      <c r="D624" s="60">
        <f t="shared" si="92"/>
        <v>1904112.27</v>
      </c>
      <c r="E624" s="60">
        <v>0</v>
      </c>
      <c r="F624" s="60">
        <v>0</v>
      </c>
      <c r="G624" s="60">
        <v>0</v>
      </c>
      <c r="H624" s="60">
        <v>0</v>
      </c>
      <c r="I624" s="60">
        <v>0</v>
      </c>
      <c r="J624" s="60">
        <v>0</v>
      </c>
      <c r="K624" s="192">
        <v>1</v>
      </c>
      <c r="L624" s="169">
        <v>1789107.6</v>
      </c>
      <c r="M624" s="60">
        <v>0</v>
      </c>
      <c r="N624" s="60">
        <v>0</v>
      </c>
      <c r="O624" s="60">
        <v>0</v>
      </c>
      <c r="P624" s="60">
        <v>0</v>
      </c>
      <c r="Q624" s="60">
        <v>0</v>
      </c>
      <c r="R624" s="60">
        <v>0</v>
      </c>
      <c r="S624" s="60">
        <v>0</v>
      </c>
      <c r="T624" s="60">
        <v>0</v>
      </c>
      <c r="U624" s="60">
        <v>0</v>
      </c>
      <c r="V624" s="60">
        <v>0</v>
      </c>
      <c r="W624" s="60">
        <v>0</v>
      </c>
      <c r="X624" s="60">
        <v>0</v>
      </c>
      <c r="Y624" s="60">
        <v>0</v>
      </c>
      <c r="Z624" s="60">
        <v>0</v>
      </c>
      <c r="AA624" s="60">
        <v>0</v>
      </c>
      <c r="AB624" s="60">
        <v>0</v>
      </c>
      <c r="AC624" s="169">
        <v>13015.76</v>
      </c>
      <c r="AD624" s="62">
        <v>101988.91</v>
      </c>
      <c r="AE624" s="60">
        <v>0</v>
      </c>
      <c r="AF624" s="170">
        <v>2021</v>
      </c>
      <c r="AG624" s="170">
        <v>2021</v>
      </c>
      <c r="AH624" s="170">
        <v>2021</v>
      </c>
    </row>
    <row r="625" spans="1:34" ht="61.5" x14ac:dyDescent="0.85">
      <c r="A625" s="7">
        <v>1</v>
      </c>
      <c r="B625" s="59">
        <f>SUBTOTAL(103,$A$558:A625)</f>
        <v>68</v>
      </c>
      <c r="C625" s="160" t="s">
        <v>745</v>
      </c>
      <c r="D625" s="60">
        <f t="shared" si="92"/>
        <v>1125497.8499999999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168">
        <v>0</v>
      </c>
      <c r="L625" s="60">
        <v>0</v>
      </c>
      <c r="M625" s="60">
        <v>310.2</v>
      </c>
      <c r="N625" s="62">
        <v>1110177.3999999999</v>
      </c>
      <c r="O625" s="60">
        <v>0</v>
      </c>
      <c r="P625" s="60">
        <v>0</v>
      </c>
      <c r="Q625" s="60">
        <v>0</v>
      </c>
      <c r="R625" s="60">
        <v>0</v>
      </c>
      <c r="S625" s="60">
        <v>0</v>
      </c>
      <c r="T625" s="60">
        <v>0</v>
      </c>
      <c r="U625" s="60">
        <v>0</v>
      </c>
      <c r="V625" s="60">
        <v>0</v>
      </c>
      <c r="W625" s="60">
        <v>0</v>
      </c>
      <c r="X625" s="60">
        <v>0</v>
      </c>
      <c r="Y625" s="60">
        <v>0</v>
      </c>
      <c r="Z625" s="60">
        <v>0</v>
      </c>
      <c r="AA625" s="60">
        <v>0</v>
      </c>
      <c r="AB625" s="60">
        <v>0</v>
      </c>
      <c r="AC625" s="62">
        <v>15320.45</v>
      </c>
      <c r="AD625" s="60">
        <v>0</v>
      </c>
      <c r="AE625" s="60">
        <v>0</v>
      </c>
      <c r="AF625" s="170" t="s">
        <v>257</v>
      </c>
      <c r="AG625" s="170">
        <v>2021</v>
      </c>
      <c r="AH625" s="170">
        <v>2021</v>
      </c>
    </row>
    <row r="626" spans="1:34" ht="61.5" x14ac:dyDescent="0.85">
      <c r="A626" s="7">
        <v>1</v>
      </c>
      <c r="B626" s="59">
        <f>SUBTOTAL(103,$A$558:A626)</f>
        <v>69</v>
      </c>
      <c r="C626" s="160" t="s">
        <v>542</v>
      </c>
      <c r="D626" s="60">
        <f t="shared" si="92"/>
        <v>125774.71</v>
      </c>
      <c r="E626" s="60">
        <v>0</v>
      </c>
      <c r="F626" s="60">
        <v>0</v>
      </c>
      <c r="G626" s="60">
        <v>0</v>
      </c>
      <c r="H626" s="60">
        <v>0</v>
      </c>
      <c r="I626" s="60">
        <v>0</v>
      </c>
      <c r="J626" s="60">
        <v>0</v>
      </c>
      <c r="K626" s="168">
        <v>0</v>
      </c>
      <c r="L626" s="60">
        <v>0</v>
      </c>
      <c r="M626" s="60">
        <v>0</v>
      </c>
      <c r="N626" s="60">
        <v>0</v>
      </c>
      <c r="O626" s="60">
        <v>0</v>
      </c>
      <c r="P626" s="60">
        <v>0</v>
      </c>
      <c r="Q626" s="60">
        <v>0</v>
      </c>
      <c r="R626" s="60">
        <v>0</v>
      </c>
      <c r="S626" s="60">
        <v>0</v>
      </c>
      <c r="T626" s="60">
        <v>0</v>
      </c>
      <c r="U626" s="60">
        <v>0</v>
      </c>
      <c r="V626" s="60">
        <v>0</v>
      </c>
      <c r="W626" s="60">
        <v>0</v>
      </c>
      <c r="X626" s="60">
        <v>0</v>
      </c>
      <c r="Y626" s="60">
        <v>0</v>
      </c>
      <c r="Z626" s="60">
        <v>0</v>
      </c>
      <c r="AA626" s="60">
        <v>0</v>
      </c>
      <c r="AB626" s="60">
        <v>0</v>
      </c>
      <c r="AC626" s="60">
        <v>0</v>
      </c>
      <c r="AD626" s="60">
        <v>125774.71</v>
      </c>
      <c r="AE626" s="60">
        <v>0</v>
      </c>
      <c r="AF626" s="170">
        <v>2021</v>
      </c>
      <c r="AG626" s="170" t="s">
        <v>257</v>
      </c>
      <c r="AH626" s="63" t="s">
        <v>257</v>
      </c>
    </row>
    <row r="627" spans="1:34" ht="61.5" x14ac:dyDescent="0.85">
      <c r="A627" s="7">
        <v>1</v>
      </c>
      <c r="B627" s="59">
        <f>SUBTOTAL(103,$A$558:A627)</f>
        <v>70</v>
      </c>
      <c r="C627" s="160" t="s">
        <v>2320</v>
      </c>
      <c r="D627" s="60">
        <f t="shared" si="92"/>
        <v>125989.02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168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0">
        <v>0</v>
      </c>
      <c r="T627" s="60">
        <v>0</v>
      </c>
      <c r="U627" s="60">
        <v>0</v>
      </c>
      <c r="V627" s="60">
        <v>0</v>
      </c>
      <c r="W627" s="60">
        <v>0</v>
      </c>
      <c r="X627" s="60">
        <v>0</v>
      </c>
      <c r="Y627" s="60">
        <v>0</v>
      </c>
      <c r="Z627" s="60">
        <v>0</v>
      </c>
      <c r="AA627" s="60">
        <v>0</v>
      </c>
      <c r="AB627" s="60">
        <v>0</v>
      </c>
      <c r="AC627" s="60">
        <v>0</v>
      </c>
      <c r="AD627" s="62">
        <v>125989.02</v>
      </c>
      <c r="AE627" s="60">
        <v>0</v>
      </c>
      <c r="AF627" s="170">
        <v>2021</v>
      </c>
      <c r="AG627" s="170" t="s">
        <v>257</v>
      </c>
      <c r="AH627" s="63" t="s">
        <v>257</v>
      </c>
    </row>
    <row r="628" spans="1:34" ht="61.5" x14ac:dyDescent="0.85">
      <c r="A628" s="7">
        <v>1</v>
      </c>
      <c r="B628" s="59">
        <f>SUBTOTAL(103,$A$558:A628)</f>
        <v>71</v>
      </c>
      <c r="C628" s="160" t="s">
        <v>2312</v>
      </c>
      <c r="D628" s="60">
        <f t="shared" si="92"/>
        <v>1692196.67</v>
      </c>
      <c r="E628" s="60">
        <v>0</v>
      </c>
      <c r="F628" s="60">
        <v>0</v>
      </c>
      <c r="G628" s="60">
        <v>0</v>
      </c>
      <c r="H628" s="60">
        <v>0</v>
      </c>
      <c r="I628" s="60">
        <v>0</v>
      </c>
      <c r="J628" s="60">
        <v>0</v>
      </c>
      <c r="K628" s="168">
        <v>0</v>
      </c>
      <c r="L628" s="60">
        <v>0</v>
      </c>
      <c r="M628" s="60">
        <v>0</v>
      </c>
      <c r="N628" s="60">
        <v>0</v>
      </c>
      <c r="O628" s="60">
        <v>0</v>
      </c>
      <c r="P628" s="60">
        <v>0</v>
      </c>
      <c r="Q628" s="60">
        <v>852</v>
      </c>
      <c r="R628" s="62">
        <v>1692196.67</v>
      </c>
      <c r="S628" s="60">
        <v>0</v>
      </c>
      <c r="T628" s="60">
        <v>0</v>
      </c>
      <c r="U628" s="60">
        <v>0</v>
      </c>
      <c r="V628" s="60">
        <v>0</v>
      </c>
      <c r="W628" s="60">
        <v>0</v>
      </c>
      <c r="X628" s="60">
        <v>0</v>
      </c>
      <c r="Y628" s="60">
        <v>0</v>
      </c>
      <c r="Z628" s="60">
        <v>0</v>
      </c>
      <c r="AA628" s="60">
        <v>0</v>
      </c>
      <c r="AB628" s="60">
        <v>0</v>
      </c>
      <c r="AC628" s="60">
        <v>0</v>
      </c>
      <c r="AD628" s="60">
        <v>0</v>
      </c>
      <c r="AE628" s="60">
        <v>0</v>
      </c>
      <c r="AF628" s="170" t="s">
        <v>257</v>
      </c>
      <c r="AG628" s="170">
        <v>2021</v>
      </c>
      <c r="AH628" s="63" t="s">
        <v>257</v>
      </c>
    </row>
    <row r="629" spans="1:34" ht="61.5" x14ac:dyDescent="0.85">
      <c r="A629" s="7">
        <v>1</v>
      </c>
      <c r="B629" s="59">
        <f>SUBTOTAL(103,$A$558:A629)</f>
        <v>72</v>
      </c>
      <c r="C629" s="160" t="s">
        <v>551</v>
      </c>
      <c r="D629" s="60">
        <f t="shared" si="92"/>
        <v>88243.199999999997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168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0">
        <v>0</v>
      </c>
      <c r="T629" s="60">
        <v>0</v>
      </c>
      <c r="U629" s="60">
        <v>0</v>
      </c>
      <c r="V629" s="60">
        <v>0</v>
      </c>
      <c r="W629" s="60">
        <v>0</v>
      </c>
      <c r="X629" s="60">
        <v>0</v>
      </c>
      <c r="Y629" s="60">
        <v>0</v>
      </c>
      <c r="Z629" s="60">
        <v>0</v>
      </c>
      <c r="AA629" s="60">
        <v>0</v>
      </c>
      <c r="AB629" s="60">
        <v>0</v>
      </c>
      <c r="AC629" s="60">
        <v>0</v>
      </c>
      <c r="AD629" s="60">
        <v>88243.199999999997</v>
      </c>
      <c r="AE629" s="60">
        <v>0</v>
      </c>
      <c r="AF629" s="170">
        <v>2021</v>
      </c>
      <c r="AG629" s="170" t="s">
        <v>257</v>
      </c>
      <c r="AH629" s="63" t="s">
        <v>257</v>
      </c>
    </row>
    <row r="630" spans="1:34" ht="61.5" x14ac:dyDescent="0.85">
      <c r="A630" s="7">
        <v>1</v>
      </c>
      <c r="B630" s="59">
        <f>SUBTOTAL(103,$A$558:A630)</f>
        <v>73</v>
      </c>
      <c r="C630" s="160" t="s">
        <v>566</v>
      </c>
      <c r="D630" s="60">
        <f t="shared" si="92"/>
        <v>88240.52</v>
      </c>
      <c r="E630" s="60">
        <v>0</v>
      </c>
      <c r="F630" s="60">
        <v>0</v>
      </c>
      <c r="G630" s="60">
        <v>0</v>
      </c>
      <c r="H630" s="60">
        <v>0</v>
      </c>
      <c r="I630" s="60">
        <v>0</v>
      </c>
      <c r="J630" s="60">
        <v>0</v>
      </c>
      <c r="K630" s="168">
        <v>0</v>
      </c>
      <c r="L630" s="60">
        <v>0</v>
      </c>
      <c r="M630" s="60">
        <v>0</v>
      </c>
      <c r="N630" s="60">
        <v>0</v>
      </c>
      <c r="O630" s="60">
        <v>0</v>
      </c>
      <c r="P630" s="60">
        <v>0</v>
      </c>
      <c r="Q630" s="60">
        <v>0</v>
      </c>
      <c r="R630" s="60">
        <v>0</v>
      </c>
      <c r="S630" s="60">
        <v>0</v>
      </c>
      <c r="T630" s="60">
        <v>0</v>
      </c>
      <c r="U630" s="60">
        <v>0</v>
      </c>
      <c r="V630" s="60">
        <v>0</v>
      </c>
      <c r="W630" s="60">
        <v>0</v>
      </c>
      <c r="X630" s="60">
        <v>0</v>
      </c>
      <c r="Y630" s="60">
        <v>0</v>
      </c>
      <c r="Z630" s="60">
        <v>0</v>
      </c>
      <c r="AA630" s="60">
        <v>0</v>
      </c>
      <c r="AB630" s="60">
        <v>0</v>
      </c>
      <c r="AC630" s="60">
        <v>0</v>
      </c>
      <c r="AD630" s="60">
        <v>88240.52</v>
      </c>
      <c r="AE630" s="60">
        <v>0</v>
      </c>
      <c r="AF630" s="170">
        <v>2021</v>
      </c>
      <c r="AG630" s="170" t="s">
        <v>257</v>
      </c>
      <c r="AH630" s="63" t="s">
        <v>257</v>
      </c>
    </row>
    <row r="631" spans="1:34" ht="61.5" x14ac:dyDescent="0.85">
      <c r="A631" s="7">
        <v>1</v>
      </c>
      <c r="B631" s="59">
        <f>SUBTOTAL(103,$A$558:A631)</f>
        <v>74</v>
      </c>
      <c r="C631" s="160" t="s">
        <v>1006</v>
      </c>
      <c r="D631" s="60">
        <f t="shared" si="92"/>
        <v>75248.2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168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0">
        <v>0</v>
      </c>
      <c r="T631" s="60">
        <v>0</v>
      </c>
      <c r="U631" s="60">
        <v>0</v>
      </c>
      <c r="V631" s="60">
        <v>0</v>
      </c>
      <c r="W631" s="60">
        <v>0</v>
      </c>
      <c r="X631" s="60">
        <v>0</v>
      </c>
      <c r="Y631" s="60">
        <v>0</v>
      </c>
      <c r="Z631" s="60">
        <v>0</v>
      </c>
      <c r="AA631" s="60">
        <v>0</v>
      </c>
      <c r="AB631" s="60">
        <v>0</v>
      </c>
      <c r="AC631" s="60">
        <v>0</v>
      </c>
      <c r="AD631" s="62">
        <v>75248.2</v>
      </c>
      <c r="AE631" s="60">
        <v>0</v>
      </c>
      <c r="AF631" s="170">
        <v>2021</v>
      </c>
      <c r="AG631" s="170" t="s">
        <v>257</v>
      </c>
      <c r="AH631" s="63" t="s">
        <v>257</v>
      </c>
    </row>
    <row r="632" spans="1:34" ht="61.5" x14ac:dyDescent="0.85">
      <c r="A632" s="7">
        <v>1</v>
      </c>
      <c r="B632" s="59">
        <f>SUBTOTAL(103,$A$558:A632)</f>
        <v>75</v>
      </c>
      <c r="C632" s="160" t="s">
        <v>556</v>
      </c>
      <c r="D632" s="60">
        <f t="shared" si="92"/>
        <v>186705.81</v>
      </c>
      <c r="E632" s="60">
        <v>0</v>
      </c>
      <c r="F632" s="60">
        <v>0</v>
      </c>
      <c r="G632" s="60">
        <v>0</v>
      </c>
      <c r="H632" s="60">
        <v>0</v>
      </c>
      <c r="I632" s="60">
        <v>0</v>
      </c>
      <c r="J632" s="60">
        <v>0</v>
      </c>
      <c r="K632" s="168">
        <v>0</v>
      </c>
      <c r="L632" s="60">
        <v>0</v>
      </c>
      <c r="M632" s="60">
        <v>0</v>
      </c>
      <c r="N632" s="60">
        <v>0</v>
      </c>
      <c r="O632" s="60">
        <v>0</v>
      </c>
      <c r="P632" s="60">
        <v>0</v>
      </c>
      <c r="Q632" s="60">
        <v>0</v>
      </c>
      <c r="R632" s="60">
        <v>0</v>
      </c>
      <c r="S632" s="60">
        <v>0</v>
      </c>
      <c r="T632" s="60">
        <v>0</v>
      </c>
      <c r="U632" s="60">
        <v>0</v>
      </c>
      <c r="V632" s="60">
        <v>0</v>
      </c>
      <c r="W632" s="60">
        <v>0</v>
      </c>
      <c r="X632" s="60">
        <v>0</v>
      </c>
      <c r="Y632" s="60">
        <v>0</v>
      </c>
      <c r="Z632" s="60">
        <v>0</v>
      </c>
      <c r="AA632" s="60">
        <v>0</v>
      </c>
      <c r="AB632" s="60">
        <v>0</v>
      </c>
      <c r="AC632" s="60">
        <v>0</v>
      </c>
      <c r="AD632" s="60">
        <v>186705.81</v>
      </c>
      <c r="AE632" s="60">
        <v>0</v>
      </c>
      <c r="AF632" s="170">
        <v>2021</v>
      </c>
      <c r="AG632" s="170" t="s">
        <v>257</v>
      </c>
      <c r="AH632" s="63" t="s">
        <v>257</v>
      </c>
    </row>
    <row r="633" spans="1:34" ht="61.5" x14ac:dyDescent="0.85">
      <c r="A633" s="7">
        <v>1</v>
      </c>
      <c r="B633" s="59">
        <f>SUBTOTAL(103,$A$558:A633)</f>
        <v>76</v>
      </c>
      <c r="C633" s="160" t="s">
        <v>557</v>
      </c>
      <c r="D633" s="60">
        <f t="shared" si="92"/>
        <v>129570.78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168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0">
        <v>0</v>
      </c>
      <c r="T633" s="60">
        <v>0</v>
      </c>
      <c r="U633" s="60">
        <v>0</v>
      </c>
      <c r="V633" s="60">
        <v>0</v>
      </c>
      <c r="W633" s="60">
        <v>0</v>
      </c>
      <c r="X633" s="60">
        <v>0</v>
      </c>
      <c r="Y633" s="60">
        <v>0</v>
      </c>
      <c r="Z633" s="60">
        <v>0</v>
      </c>
      <c r="AA633" s="60">
        <v>0</v>
      </c>
      <c r="AB633" s="60">
        <v>0</v>
      </c>
      <c r="AC633" s="60">
        <v>0</v>
      </c>
      <c r="AD633" s="60">
        <v>129570.78</v>
      </c>
      <c r="AE633" s="60">
        <v>0</v>
      </c>
      <c r="AF633" s="170">
        <v>2021</v>
      </c>
      <c r="AG633" s="170" t="s">
        <v>257</v>
      </c>
      <c r="AH633" s="63" t="s">
        <v>257</v>
      </c>
    </row>
    <row r="634" spans="1:34" ht="61.5" x14ac:dyDescent="0.85">
      <c r="A634" s="7">
        <v>1</v>
      </c>
      <c r="B634" s="59">
        <f>SUBTOTAL(103,$A$558:A634)</f>
        <v>77</v>
      </c>
      <c r="C634" s="160" t="s">
        <v>559</v>
      </c>
      <c r="D634" s="60">
        <f t="shared" si="92"/>
        <v>162849.19</v>
      </c>
      <c r="E634" s="60">
        <v>0</v>
      </c>
      <c r="F634" s="60">
        <v>0</v>
      </c>
      <c r="G634" s="60">
        <v>0</v>
      </c>
      <c r="H634" s="60">
        <v>0</v>
      </c>
      <c r="I634" s="60">
        <v>0</v>
      </c>
      <c r="J634" s="60">
        <v>0</v>
      </c>
      <c r="K634" s="168">
        <v>0</v>
      </c>
      <c r="L634" s="60">
        <v>0</v>
      </c>
      <c r="M634" s="60">
        <v>0</v>
      </c>
      <c r="N634" s="60">
        <v>0</v>
      </c>
      <c r="O634" s="60">
        <v>0</v>
      </c>
      <c r="P634" s="60">
        <v>0</v>
      </c>
      <c r="Q634" s="60">
        <v>0</v>
      </c>
      <c r="R634" s="60">
        <v>0</v>
      </c>
      <c r="S634" s="60">
        <v>0</v>
      </c>
      <c r="T634" s="60">
        <v>0</v>
      </c>
      <c r="U634" s="60">
        <v>0</v>
      </c>
      <c r="V634" s="60">
        <v>0</v>
      </c>
      <c r="W634" s="60">
        <v>0</v>
      </c>
      <c r="X634" s="60">
        <v>0</v>
      </c>
      <c r="Y634" s="60">
        <v>0</v>
      </c>
      <c r="Z634" s="60">
        <v>0</v>
      </c>
      <c r="AA634" s="60">
        <v>0</v>
      </c>
      <c r="AB634" s="60">
        <v>0</v>
      </c>
      <c r="AC634" s="60">
        <v>0</v>
      </c>
      <c r="AD634" s="60">
        <v>162849.19</v>
      </c>
      <c r="AE634" s="60">
        <v>0</v>
      </c>
      <c r="AF634" s="170">
        <v>2021</v>
      </c>
      <c r="AG634" s="170" t="s">
        <v>257</v>
      </c>
      <c r="AH634" s="63" t="s">
        <v>257</v>
      </c>
    </row>
    <row r="635" spans="1:34" ht="61.5" x14ac:dyDescent="0.85">
      <c r="A635" s="7">
        <v>1</v>
      </c>
      <c r="B635" s="59">
        <f>SUBTOTAL(103,$A$558:A635)</f>
        <v>78</v>
      </c>
      <c r="C635" s="160" t="s">
        <v>561</v>
      </c>
      <c r="D635" s="60">
        <f t="shared" si="92"/>
        <v>184901.25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168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0">
        <v>0</v>
      </c>
      <c r="T635" s="60">
        <v>0</v>
      </c>
      <c r="U635" s="60">
        <v>0</v>
      </c>
      <c r="V635" s="60">
        <v>0</v>
      </c>
      <c r="W635" s="60">
        <v>0</v>
      </c>
      <c r="X635" s="60">
        <v>0</v>
      </c>
      <c r="Y635" s="60">
        <v>0</v>
      </c>
      <c r="Z635" s="60">
        <v>0</v>
      </c>
      <c r="AA635" s="60">
        <v>0</v>
      </c>
      <c r="AB635" s="60">
        <v>0</v>
      </c>
      <c r="AC635" s="60">
        <v>0</v>
      </c>
      <c r="AD635" s="60">
        <v>184901.25</v>
      </c>
      <c r="AE635" s="60">
        <v>0</v>
      </c>
      <c r="AF635" s="170">
        <v>2021</v>
      </c>
      <c r="AG635" s="170" t="s">
        <v>257</v>
      </c>
      <c r="AH635" s="63" t="s">
        <v>257</v>
      </c>
    </row>
    <row r="636" spans="1:34" ht="61.5" x14ac:dyDescent="0.85">
      <c r="A636" s="7">
        <v>1</v>
      </c>
      <c r="B636" s="59">
        <f>SUBTOTAL(103,$A$558:A636)</f>
        <v>79</v>
      </c>
      <c r="C636" s="160" t="s">
        <v>522</v>
      </c>
      <c r="D636" s="60">
        <f t="shared" si="92"/>
        <v>97383.43</v>
      </c>
      <c r="E636" s="60">
        <v>0</v>
      </c>
      <c r="F636" s="60">
        <v>0</v>
      </c>
      <c r="G636" s="60">
        <v>0</v>
      </c>
      <c r="H636" s="60">
        <v>0</v>
      </c>
      <c r="I636" s="60">
        <v>0</v>
      </c>
      <c r="J636" s="60">
        <v>0</v>
      </c>
      <c r="K636" s="168">
        <v>0</v>
      </c>
      <c r="L636" s="60">
        <v>0</v>
      </c>
      <c r="M636" s="60">
        <v>0</v>
      </c>
      <c r="N636" s="60">
        <v>0</v>
      </c>
      <c r="O636" s="60">
        <v>0</v>
      </c>
      <c r="P636" s="60">
        <v>0</v>
      </c>
      <c r="Q636" s="60">
        <v>0</v>
      </c>
      <c r="R636" s="60">
        <v>0</v>
      </c>
      <c r="S636" s="60">
        <v>0</v>
      </c>
      <c r="T636" s="60">
        <v>0</v>
      </c>
      <c r="U636" s="60">
        <v>0</v>
      </c>
      <c r="V636" s="60">
        <v>0</v>
      </c>
      <c r="W636" s="60">
        <v>0</v>
      </c>
      <c r="X636" s="60">
        <v>0</v>
      </c>
      <c r="Y636" s="60">
        <v>0</v>
      </c>
      <c r="Z636" s="60">
        <v>0</v>
      </c>
      <c r="AA636" s="60">
        <v>0</v>
      </c>
      <c r="AB636" s="60">
        <v>0</v>
      </c>
      <c r="AC636" s="60">
        <v>0</v>
      </c>
      <c r="AD636" s="60">
        <v>97383.43</v>
      </c>
      <c r="AE636" s="60">
        <v>0</v>
      </c>
      <c r="AF636" s="170">
        <v>2021</v>
      </c>
      <c r="AG636" s="170" t="s">
        <v>257</v>
      </c>
      <c r="AH636" s="63" t="s">
        <v>257</v>
      </c>
    </row>
    <row r="637" spans="1:34" ht="61.5" x14ac:dyDescent="0.85">
      <c r="A637" s="7">
        <v>1</v>
      </c>
      <c r="B637" s="59">
        <f>SUBTOTAL(103,$A$558:A637)</f>
        <v>80</v>
      </c>
      <c r="C637" s="160" t="s">
        <v>524</v>
      </c>
      <c r="D637" s="60">
        <f t="shared" si="92"/>
        <v>140629.07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168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0">
        <v>0</v>
      </c>
      <c r="T637" s="60">
        <v>0</v>
      </c>
      <c r="U637" s="60">
        <v>0</v>
      </c>
      <c r="V637" s="60">
        <v>0</v>
      </c>
      <c r="W637" s="60">
        <v>0</v>
      </c>
      <c r="X637" s="60">
        <v>0</v>
      </c>
      <c r="Y637" s="60">
        <v>0</v>
      </c>
      <c r="Z637" s="60">
        <v>0</v>
      </c>
      <c r="AA637" s="60">
        <v>0</v>
      </c>
      <c r="AB637" s="60">
        <v>0</v>
      </c>
      <c r="AC637" s="60">
        <v>0</v>
      </c>
      <c r="AD637" s="60">
        <v>140629.07</v>
      </c>
      <c r="AE637" s="60">
        <v>0</v>
      </c>
      <c r="AF637" s="170">
        <v>2021</v>
      </c>
      <c r="AG637" s="170" t="s">
        <v>257</v>
      </c>
      <c r="AH637" s="63" t="s">
        <v>257</v>
      </c>
    </row>
    <row r="638" spans="1:34" ht="61.5" x14ac:dyDescent="0.85">
      <c r="A638" s="7">
        <v>1</v>
      </c>
      <c r="B638" s="59">
        <f>SUBTOTAL(103,$A$558:A638)</f>
        <v>81</v>
      </c>
      <c r="C638" s="160" t="s">
        <v>2144</v>
      </c>
      <c r="D638" s="60">
        <f t="shared" si="92"/>
        <v>86631.03</v>
      </c>
      <c r="E638" s="60">
        <v>0</v>
      </c>
      <c r="F638" s="60">
        <v>0</v>
      </c>
      <c r="G638" s="60">
        <v>0</v>
      </c>
      <c r="H638" s="60">
        <v>0</v>
      </c>
      <c r="I638" s="60">
        <v>0</v>
      </c>
      <c r="J638" s="60">
        <v>0</v>
      </c>
      <c r="K638" s="168">
        <v>0</v>
      </c>
      <c r="L638" s="60">
        <v>0</v>
      </c>
      <c r="M638" s="60">
        <v>0</v>
      </c>
      <c r="N638" s="60">
        <v>0</v>
      </c>
      <c r="O638" s="60">
        <v>0</v>
      </c>
      <c r="P638" s="60">
        <v>0</v>
      </c>
      <c r="Q638" s="60">
        <v>0</v>
      </c>
      <c r="R638" s="60">
        <v>0</v>
      </c>
      <c r="S638" s="60">
        <v>0</v>
      </c>
      <c r="T638" s="60">
        <v>0</v>
      </c>
      <c r="U638" s="60">
        <v>0</v>
      </c>
      <c r="V638" s="60">
        <v>0</v>
      </c>
      <c r="W638" s="60">
        <v>0</v>
      </c>
      <c r="X638" s="60">
        <v>0</v>
      </c>
      <c r="Y638" s="60">
        <v>0</v>
      </c>
      <c r="Z638" s="60">
        <v>0</v>
      </c>
      <c r="AA638" s="60">
        <v>0</v>
      </c>
      <c r="AB638" s="60">
        <v>0</v>
      </c>
      <c r="AC638" s="60">
        <v>0</v>
      </c>
      <c r="AD638" s="60">
        <v>86631.03</v>
      </c>
      <c r="AE638" s="60">
        <v>0</v>
      </c>
      <c r="AF638" s="170">
        <v>2021</v>
      </c>
      <c r="AG638" s="170" t="s">
        <v>257</v>
      </c>
      <c r="AH638" s="63" t="s">
        <v>257</v>
      </c>
    </row>
    <row r="639" spans="1:34" ht="61.5" x14ac:dyDescent="0.85">
      <c r="A639" s="7">
        <v>1</v>
      </c>
      <c r="B639" s="59">
        <f>SUBTOTAL(103,$A$558:A639)</f>
        <v>82</v>
      </c>
      <c r="C639" s="160" t="s">
        <v>2146</v>
      </c>
      <c r="D639" s="60">
        <f t="shared" si="92"/>
        <v>123432.27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168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0">
        <v>0</v>
      </c>
      <c r="T639" s="60">
        <v>0</v>
      </c>
      <c r="U639" s="60">
        <v>0</v>
      </c>
      <c r="V639" s="60">
        <v>0</v>
      </c>
      <c r="W639" s="60">
        <v>0</v>
      </c>
      <c r="X639" s="60">
        <v>0</v>
      </c>
      <c r="Y639" s="60">
        <v>0</v>
      </c>
      <c r="Z639" s="60">
        <v>0</v>
      </c>
      <c r="AA639" s="60">
        <v>0</v>
      </c>
      <c r="AB639" s="60">
        <v>0</v>
      </c>
      <c r="AC639" s="60">
        <v>0</v>
      </c>
      <c r="AD639" s="60">
        <v>123432.27</v>
      </c>
      <c r="AE639" s="60">
        <v>0</v>
      </c>
      <c r="AF639" s="170">
        <v>2021</v>
      </c>
      <c r="AG639" s="170" t="s">
        <v>257</v>
      </c>
      <c r="AH639" s="63" t="s">
        <v>257</v>
      </c>
    </row>
    <row r="640" spans="1:34" ht="61.5" x14ac:dyDescent="0.85">
      <c r="A640" s="7">
        <v>1</v>
      </c>
      <c r="B640" s="59">
        <f>SUBTOTAL(103,$A$558:A640)</f>
        <v>83</v>
      </c>
      <c r="C640" s="160" t="s">
        <v>2147</v>
      </c>
      <c r="D640" s="60">
        <f t="shared" si="92"/>
        <v>148136.14000000001</v>
      </c>
      <c r="E640" s="60">
        <v>0</v>
      </c>
      <c r="F640" s="60">
        <v>0</v>
      </c>
      <c r="G640" s="60">
        <v>0</v>
      </c>
      <c r="H640" s="60">
        <v>0</v>
      </c>
      <c r="I640" s="60">
        <v>0</v>
      </c>
      <c r="J640" s="60">
        <v>0</v>
      </c>
      <c r="K640" s="168">
        <v>0</v>
      </c>
      <c r="L640" s="60">
        <v>0</v>
      </c>
      <c r="M640" s="60">
        <v>0</v>
      </c>
      <c r="N640" s="60">
        <v>0</v>
      </c>
      <c r="O640" s="60">
        <v>0</v>
      </c>
      <c r="P640" s="60">
        <v>0</v>
      </c>
      <c r="Q640" s="60">
        <v>0</v>
      </c>
      <c r="R640" s="60">
        <v>0</v>
      </c>
      <c r="S640" s="60">
        <v>0</v>
      </c>
      <c r="T640" s="60">
        <v>0</v>
      </c>
      <c r="U640" s="60">
        <v>0</v>
      </c>
      <c r="V640" s="60">
        <v>0</v>
      </c>
      <c r="W640" s="60">
        <v>0</v>
      </c>
      <c r="X640" s="60">
        <v>0</v>
      </c>
      <c r="Y640" s="60">
        <v>0</v>
      </c>
      <c r="Z640" s="60">
        <v>0</v>
      </c>
      <c r="AA640" s="60">
        <v>0</v>
      </c>
      <c r="AB640" s="60">
        <v>0</v>
      </c>
      <c r="AC640" s="60">
        <v>0</v>
      </c>
      <c r="AD640" s="60">
        <v>148136.14000000001</v>
      </c>
      <c r="AE640" s="60">
        <v>0</v>
      </c>
      <c r="AF640" s="170">
        <v>2021</v>
      </c>
      <c r="AG640" s="170" t="s">
        <v>257</v>
      </c>
      <c r="AH640" s="63" t="s">
        <v>257</v>
      </c>
    </row>
    <row r="641" spans="1:34" ht="61.5" x14ac:dyDescent="0.85">
      <c r="A641" s="7">
        <v>1</v>
      </c>
      <c r="B641" s="59">
        <f>SUBTOTAL(103,$A$558:A641)</f>
        <v>84</v>
      </c>
      <c r="C641" s="160" t="s">
        <v>2148</v>
      </c>
      <c r="D641" s="60">
        <f t="shared" si="92"/>
        <v>116342.96</v>
      </c>
      <c r="E641" s="60">
        <v>0</v>
      </c>
      <c r="F641" s="60">
        <v>0</v>
      </c>
      <c r="G641" s="60">
        <v>0</v>
      </c>
      <c r="H641" s="60">
        <v>0</v>
      </c>
      <c r="I641" s="60">
        <v>0</v>
      </c>
      <c r="J641" s="60">
        <v>0</v>
      </c>
      <c r="K641" s="168">
        <v>0</v>
      </c>
      <c r="L641" s="60">
        <v>0</v>
      </c>
      <c r="M641" s="60">
        <v>0</v>
      </c>
      <c r="N641" s="60">
        <v>0</v>
      </c>
      <c r="O641" s="60">
        <v>0</v>
      </c>
      <c r="P641" s="60">
        <v>0</v>
      </c>
      <c r="Q641" s="60">
        <v>0</v>
      </c>
      <c r="R641" s="60">
        <v>0</v>
      </c>
      <c r="S641" s="60">
        <v>0</v>
      </c>
      <c r="T641" s="60">
        <v>0</v>
      </c>
      <c r="U641" s="60">
        <v>0</v>
      </c>
      <c r="V641" s="60">
        <v>0</v>
      </c>
      <c r="W641" s="60">
        <v>0</v>
      </c>
      <c r="X641" s="60">
        <v>0</v>
      </c>
      <c r="Y641" s="60">
        <v>0</v>
      </c>
      <c r="Z641" s="60">
        <v>0</v>
      </c>
      <c r="AA641" s="60">
        <v>0</v>
      </c>
      <c r="AB641" s="60">
        <v>0</v>
      </c>
      <c r="AC641" s="60">
        <v>0</v>
      </c>
      <c r="AD641" s="60">
        <v>116342.96</v>
      </c>
      <c r="AE641" s="60">
        <v>0</v>
      </c>
      <c r="AF641" s="170">
        <v>2021</v>
      </c>
      <c r="AG641" s="170" t="s">
        <v>257</v>
      </c>
      <c r="AH641" s="63" t="s">
        <v>257</v>
      </c>
    </row>
    <row r="642" spans="1:34" ht="61.5" x14ac:dyDescent="0.85">
      <c r="A642" s="7">
        <v>1</v>
      </c>
      <c r="B642" s="59">
        <f>SUBTOTAL(103,$A$558:A642)</f>
        <v>85</v>
      </c>
      <c r="C642" s="160" t="s">
        <v>553</v>
      </c>
      <c r="D642" s="60">
        <f t="shared" si="92"/>
        <v>79681.850000000006</v>
      </c>
      <c r="E642" s="60">
        <v>0</v>
      </c>
      <c r="F642" s="60">
        <v>0</v>
      </c>
      <c r="G642" s="60">
        <v>0</v>
      </c>
      <c r="H642" s="60">
        <v>0</v>
      </c>
      <c r="I642" s="60">
        <v>0</v>
      </c>
      <c r="J642" s="60">
        <v>0</v>
      </c>
      <c r="K642" s="168">
        <v>0</v>
      </c>
      <c r="L642" s="60">
        <v>0</v>
      </c>
      <c r="M642" s="60">
        <v>0</v>
      </c>
      <c r="N642" s="60">
        <v>0</v>
      </c>
      <c r="O642" s="60">
        <v>0</v>
      </c>
      <c r="P642" s="60">
        <v>0</v>
      </c>
      <c r="Q642" s="60">
        <v>0</v>
      </c>
      <c r="R642" s="60">
        <v>0</v>
      </c>
      <c r="S642" s="60">
        <v>0</v>
      </c>
      <c r="T642" s="60">
        <v>0</v>
      </c>
      <c r="U642" s="60">
        <v>0</v>
      </c>
      <c r="V642" s="60">
        <v>0</v>
      </c>
      <c r="W642" s="60">
        <v>0</v>
      </c>
      <c r="X642" s="60">
        <v>0</v>
      </c>
      <c r="Y642" s="60">
        <v>0</v>
      </c>
      <c r="Z642" s="60">
        <v>0</v>
      </c>
      <c r="AA642" s="60">
        <v>0</v>
      </c>
      <c r="AB642" s="60">
        <v>0</v>
      </c>
      <c r="AC642" s="60">
        <v>0</v>
      </c>
      <c r="AD642" s="62">
        <v>79681.850000000006</v>
      </c>
      <c r="AE642" s="60">
        <v>0</v>
      </c>
      <c r="AF642" s="170">
        <v>2021</v>
      </c>
      <c r="AG642" s="170" t="s">
        <v>257</v>
      </c>
      <c r="AH642" s="63" t="s">
        <v>257</v>
      </c>
    </row>
    <row r="643" spans="1:34" ht="61.5" x14ac:dyDescent="0.85">
      <c r="A643" s="7">
        <v>1</v>
      </c>
      <c r="B643" s="59">
        <f>SUBTOTAL(103,$A$558:A643)</f>
        <v>86</v>
      </c>
      <c r="C643" s="160" t="s">
        <v>1532</v>
      </c>
      <c r="D643" s="60">
        <f t="shared" si="92"/>
        <v>59634.07</v>
      </c>
      <c r="E643" s="60">
        <v>0</v>
      </c>
      <c r="F643" s="60">
        <v>0</v>
      </c>
      <c r="G643" s="60">
        <v>0</v>
      </c>
      <c r="H643" s="60">
        <v>0</v>
      </c>
      <c r="I643" s="60">
        <v>0</v>
      </c>
      <c r="J643" s="60">
        <v>0</v>
      </c>
      <c r="K643" s="168">
        <v>0</v>
      </c>
      <c r="L643" s="60">
        <v>0</v>
      </c>
      <c r="M643" s="60">
        <v>0</v>
      </c>
      <c r="N643" s="60">
        <v>0</v>
      </c>
      <c r="O643" s="60">
        <v>0</v>
      </c>
      <c r="P643" s="60">
        <v>0</v>
      </c>
      <c r="Q643" s="60">
        <v>0</v>
      </c>
      <c r="R643" s="60">
        <v>0</v>
      </c>
      <c r="S643" s="60">
        <v>0</v>
      </c>
      <c r="T643" s="60">
        <v>0</v>
      </c>
      <c r="U643" s="60">
        <v>0</v>
      </c>
      <c r="V643" s="60">
        <v>0</v>
      </c>
      <c r="W643" s="60">
        <v>0</v>
      </c>
      <c r="X643" s="60">
        <v>0</v>
      </c>
      <c r="Y643" s="60">
        <v>0</v>
      </c>
      <c r="Z643" s="60">
        <v>0</v>
      </c>
      <c r="AA643" s="60">
        <v>0</v>
      </c>
      <c r="AB643" s="60">
        <v>0</v>
      </c>
      <c r="AC643" s="60">
        <v>0</v>
      </c>
      <c r="AD643" s="62">
        <v>59634.07</v>
      </c>
      <c r="AE643" s="60">
        <v>0</v>
      </c>
      <c r="AF643" s="170">
        <v>2021</v>
      </c>
      <c r="AG643" s="170" t="s">
        <v>257</v>
      </c>
      <c r="AH643" s="63" t="s">
        <v>257</v>
      </c>
    </row>
    <row r="644" spans="1:34" ht="61.5" x14ac:dyDescent="0.85">
      <c r="A644" s="7">
        <v>1</v>
      </c>
      <c r="B644" s="59">
        <f>SUBTOTAL(103,$A$558:A644)</f>
        <v>87</v>
      </c>
      <c r="C644" s="160" t="s">
        <v>501</v>
      </c>
      <c r="D644" s="60">
        <f t="shared" si="92"/>
        <v>4530572.8199999994</v>
      </c>
      <c r="E644" s="60">
        <v>0</v>
      </c>
      <c r="F644" s="60">
        <v>0</v>
      </c>
      <c r="G644" s="60">
        <v>0</v>
      </c>
      <c r="H644" s="60">
        <v>0</v>
      </c>
      <c r="I644" s="60">
        <v>0</v>
      </c>
      <c r="J644" s="60">
        <v>0</v>
      </c>
      <c r="K644" s="168">
        <v>2</v>
      </c>
      <c r="L644" s="60">
        <v>4380955.5999999996</v>
      </c>
      <c r="M644" s="60">
        <v>0</v>
      </c>
      <c r="N644" s="60">
        <v>0</v>
      </c>
      <c r="O644" s="60">
        <v>0</v>
      </c>
      <c r="P644" s="60">
        <v>0</v>
      </c>
      <c r="Q644" s="60">
        <v>0</v>
      </c>
      <c r="R644" s="60">
        <v>0</v>
      </c>
      <c r="S644" s="60">
        <v>0</v>
      </c>
      <c r="T644" s="60">
        <v>0</v>
      </c>
      <c r="U644" s="60">
        <v>0</v>
      </c>
      <c r="V644" s="60">
        <v>0</v>
      </c>
      <c r="W644" s="60">
        <v>0</v>
      </c>
      <c r="X644" s="60">
        <v>0</v>
      </c>
      <c r="Y644" s="60">
        <v>0</v>
      </c>
      <c r="Z644" s="60">
        <v>0</v>
      </c>
      <c r="AA644" s="60">
        <v>0</v>
      </c>
      <c r="AB644" s="60">
        <v>0</v>
      </c>
      <c r="AC644" s="60">
        <v>31871.45</v>
      </c>
      <c r="AD644" s="60">
        <v>117745.77</v>
      </c>
      <c r="AE644" s="60">
        <v>0</v>
      </c>
      <c r="AF644" s="170">
        <v>2021</v>
      </c>
      <c r="AG644" s="170">
        <v>2021</v>
      </c>
      <c r="AH644" s="170">
        <v>2021</v>
      </c>
    </row>
    <row r="645" spans="1:34" ht="61.5" x14ac:dyDescent="0.85">
      <c r="A645" s="7">
        <v>1</v>
      </c>
      <c r="B645" s="59">
        <f>SUBTOTAL(103,$A$558:A645)</f>
        <v>88</v>
      </c>
      <c r="C645" s="160" t="s">
        <v>1533</v>
      </c>
      <c r="D645" s="60">
        <f t="shared" si="92"/>
        <v>103219.31</v>
      </c>
      <c r="E645" s="60">
        <v>0</v>
      </c>
      <c r="F645" s="60">
        <v>0</v>
      </c>
      <c r="G645" s="60">
        <v>0</v>
      </c>
      <c r="H645" s="60">
        <v>0</v>
      </c>
      <c r="I645" s="60">
        <v>0</v>
      </c>
      <c r="J645" s="60">
        <v>0</v>
      </c>
      <c r="K645" s="168">
        <v>0</v>
      </c>
      <c r="L645" s="60">
        <v>0</v>
      </c>
      <c r="M645" s="60">
        <v>0</v>
      </c>
      <c r="N645" s="60">
        <v>0</v>
      </c>
      <c r="O645" s="60">
        <v>0</v>
      </c>
      <c r="P645" s="60">
        <v>0</v>
      </c>
      <c r="Q645" s="60">
        <v>0</v>
      </c>
      <c r="R645" s="60">
        <v>0</v>
      </c>
      <c r="S645" s="60">
        <v>0</v>
      </c>
      <c r="T645" s="60">
        <v>0</v>
      </c>
      <c r="U645" s="60">
        <v>0</v>
      </c>
      <c r="V645" s="60">
        <v>0</v>
      </c>
      <c r="W645" s="60">
        <v>0</v>
      </c>
      <c r="X645" s="60">
        <v>0</v>
      </c>
      <c r="Y645" s="60">
        <v>0</v>
      </c>
      <c r="Z645" s="60">
        <v>0</v>
      </c>
      <c r="AA645" s="60">
        <v>0</v>
      </c>
      <c r="AB645" s="60">
        <v>0</v>
      </c>
      <c r="AC645" s="60">
        <f>ROUND(N645*2.14%,2)+ROUND(E645*2.14%,2)+ROUND(F645*2.14%,2)+ROUND(G645*2.14%,2)+ROUND(H645*2.14%,2)+ROUND(I645*2.14%,2)+ROUND(J645*2.14%,2)+ROUND(L645*2.14%,2)+ROUND(P645*2.14%,2)+ROUND(R645*2.14%,2)+ROUND(T645*2.14%,2)+ROUND(U645*2.14%,2)+ROUND(V645*2.14%,2)+ROUND(W645*2.14%,2)+ROUND(X645*2.14%,2)+ROUND(Y645*2.14%,2)+ROUND(Z645*2.14%,2)+ROUND(AA645*2.14%,2)+ROUND(AB645*2.14%,2)</f>
        <v>0</v>
      </c>
      <c r="AD645" s="62">
        <v>103219.31</v>
      </c>
      <c r="AE645" s="60">
        <v>0</v>
      </c>
      <c r="AF645" s="170">
        <v>2021</v>
      </c>
      <c r="AG645" s="170" t="s">
        <v>257</v>
      </c>
      <c r="AH645" s="63" t="s">
        <v>257</v>
      </c>
    </row>
    <row r="646" spans="1:34" ht="61.5" x14ac:dyDescent="0.85">
      <c r="B646" s="160" t="s">
        <v>706</v>
      </c>
      <c r="C646" s="176"/>
      <c r="D646" s="177">
        <f t="shared" ref="D646:AE646" si="93">SUM(D647:D672)</f>
        <v>58706347.549999997</v>
      </c>
      <c r="E646" s="60">
        <f t="shared" si="93"/>
        <v>160322</v>
      </c>
      <c r="F646" s="60">
        <f t="shared" si="93"/>
        <v>0</v>
      </c>
      <c r="G646" s="60">
        <f t="shared" si="93"/>
        <v>4427624</v>
      </c>
      <c r="H646" s="60">
        <f t="shared" si="93"/>
        <v>242845</v>
      </c>
      <c r="I646" s="60">
        <f t="shared" si="93"/>
        <v>1909948</v>
      </c>
      <c r="J646" s="60">
        <f t="shared" si="93"/>
        <v>0</v>
      </c>
      <c r="K646" s="168">
        <f t="shared" si="93"/>
        <v>0</v>
      </c>
      <c r="L646" s="60">
        <f t="shared" si="93"/>
        <v>0</v>
      </c>
      <c r="M646" s="60">
        <f t="shared" si="93"/>
        <v>9012.7999999999993</v>
      </c>
      <c r="N646" s="60">
        <f t="shared" si="93"/>
        <v>39360045.700000003</v>
      </c>
      <c r="O646" s="60">
        <f t="shared" si="93"/>
        <v>0</v>
      </c>
      <c r="P646" s="60">
        <f t="shared" si="93"/>
        <v>0</v>
      </c>
      <c r="Q646" s="60">
        <f t="shared" si="93"/>
        <v>3482.99</v>
      </c>
      <c r="R646" s="60">
        <f t="shared" si="93"/>
        <v>10663065.52</v>
      </c>
      <c r="S646" s="60">
        <f t="shared" si="93"/>
        <v>0</v>
      </c>
      <c r="T646" s="60">
        <f t="shared" si="93"/>
        <v>0</v>
      </c>
      <c r="U646" s="60">
        <f t="shared" si="93"/>
        <v>0</v>
      </c>
      <c r="V646" s="60">
        <f t="shared" si="93"/>
        <v>0</v>
      </c>
      <c r="W646" s="60">
        <f t="shared" si="93"/>
        <v>0</v>
      </c>
      <c r="X646" s="60">
        <f t="shared" si="93"/>
        <v>0</v>
      </c>
      <c r="Y646" s="60">
        <f t="shared" si="93"/>
        <v>0</v>
      </c>
      <c r="Z646" s="60">
        <f t="shared" si="93"/>
        <v>0</v>
      </c>
      <c r="AA646" s="60">
        <f t="shared" si="93"/>
        <v>0</v>
      </c>
      <c r="AB646" s="60">
        <f t="shared" si="93"/>
        <v>0</v>
      </c>
      <c r="AC646" s="60">
        <f t="shared" si="93"/>
        <v>514451.17000000016</v>
      </c>
      <c r="AD646" s="60">
        <f t="shared" si="93"/>
        <v>1428046.16</v>
      </c>
      <c r="AE646" s="60">
        <f t="shared" si="93"/>
        <v>0</v>
      </c>
      <c r="AF646" s="54" t="s">
        <v>701</v>
      </c>
      <c r="AG646" s="54" t="s">
        <v>701</v>
      </c>
      <c r="AH646" s="55" t="s">
        <v>701</v>
      </c>
    </row>
    <row r="647" spans="1:34" ht="61.5" x14ac:dyDescent="0.85">
      <c r="A647" s="7">
        <v>1</v>
      </c>
      <c r="B647" s="59">
        <f>SUBTOTAL(103,$A$558:A647)</f>
        <v>89</v>
      </c>
      <c r="C647" s="160" t="s">
        <v>430</v>
      </c>
      <c r="D647" s="60">
        <f t="shared" ref="D647:D672" si="94">E647+F647+G647+H647+I647+J647+L647+N647+P647+R647+T647+U647+V647+W647+X647+Y647+Z647+AA647+AB647+AC647+AD647+AE647</f>
        <v>3153465.39</v>
      </c>
      <c r="E647" s="60">
        <v>0</v>
      </c>
      <c r="F647" s="60">
        <v>0</v>
      </c>
      <c r="G647" s="60">
        <v>0</v>
      </c>
      <c r="H647" s="60">
        <v>0</v>
      </c>
      <c r="I647" s="60">
        <v>0</v>
      </c>
      <c r="J647" s="60">
        <v>0</v>
      </c>
      <c r="K647" s="168">
        <v>0</v>
      </c>
      <c r="L647" s="60">
        <v>0</v>
      </c>
      <c r="M647" s="60">
        <v>631.76</v>
      </c>
      <c r="N647" s="60">
        <v>3051556</v>
      </c>
      <c r="O647" s="60">
        <v>0</v>
      </c>
      <c r="P647" s="60">
        <v>0</v>
      </c>
      <c r="Q647" s="60">
        <v>0</v>
      </c>
      <c r="R647" s="60">
        <v>0</v>
      </c>
      <c r="S647" s="60">
        <v>0</v>
      </c>
      <c r="T647" s="60">
        <v>0</v>
      </c>
      <c r="U647" s="60">
        <v>0</v>
      </c>
      <c r="V647" s="60">
        <v>0</v>
      </c>
      <c r="W647" s="60">
        <v>0</v>
      </c>
      <c r="X647" s="60">
        <v>0</v>
      </c>
      <c r="Y647" s="60">
        <v>0</v>
      </c>
      <c r="Z647" s="60">
        <v>0</v>
      </c>
      <c r="AA647" s="60">
        <v>0</v>
      </c>
      <c r="AB647" s="60">
        <v>0</v>
      </c>
      <c r="AC647" s="62">
        <v>31583.599999999999</v>
      </c>
      <c r="AD647" s="60">
        <v>70325.789999999994</v>
      </c>
      <c r="AE647" s="60">
        <v>0</v>
      </c>
      <c r="AF647" s="170">
        <v>2021</v>
      </c>
      <c r="AG647" s="170">
        <v>2021</v>
      </c>
      <c r="AH647" s="63">
        <v>2021</v>
      </c>
    </row>
    <row r="648" spans="1:34" ht="61.5" x14ac:dyDescent="0.85">
      <c r="A648" s="7">
        <v>1</v>
      </c>
      <c r="B648" s="59">
        <f>SUBTOTAL(103,$A$558:A648)</f>
        <v>90</v>
      </c>
      <c r="C648" s="160" t="s">
        <v>431</v>
      </c>
      <c r="D648" s="60">
        <f t="shared" si="94"/>
        <v>2143017.0299999998</v>
      </c>
      <c r="E648" s="60">
        <v>0</v>
      </c>
      <c r="F648" s="60">
        <v>0</v>
      </c>
      <c r="G648" s="60">
        <v>0</v>
      </c>
      <c r="H648" s="60">
        <v>0</v>
      </c>
      <c r="I648" s="60">
        <v>0</v>
      </c>
      <c r="J648" s="60">
        <v>0</v>
      </c>
      <c r="K648" s="168">
        <v>0</v>
      </c>
      <c r="L648" s="60">
        <v>0</v>
      </c>
      <c r="M648" s="60">
        <v>0</v>
      </c>
      <c r="N648" s="60">
        <v>0</v>
      </c>
      <c r="O648" s="60">
        <v>0</v>
      </c>
      <c r="P648" s="60">
        <v>0</v>
      </c>
      <c r="Q648" s="60">
        <v>422</v>
      </c>
      <c r="R648" s="62">
        <v>2059493</v>
      </c>
      <c r="S648" s="60">
        <v>0</v>
      </c>
      <c r="T648" s="60">
        <v>0</v>
      </c>
      <c r="U648" s="60">
        <v>0</v>
      </c>
      <c r="V648" s="60">
        <v>0</v>
      </c>
      <c r="W648" s="60">
        <v>0</v>
      </c>
      <c r="X648" s="60">
        <v>0</v>
      </c>
      <c r="Y648" s="60">
        <v>0</v>
      </c>
      <c r="Z648" s="60">
        <v>0</v>
      </c>
      <c r="AA648" s="60">
        <v>0</v>
      </c>
      <c r="AB648" s="60">
        <v>0</v>
      </c>
      <c r="AC648" s="62">
        <v>21315.75</v>
      </c>
      <c r="AD648" s="62">
        <v>62208.28</v>
      </c>
      <c r="AE648" s="60">
        <v>0</v>
      </c>
      <c r="AF648" s="170">
        <v>2021</v>
      </c>
      <c r="AG648" s="170">
        <v>2021</v>
      </c>
      <c r="AH648" s="63">
        <v>2021</v>
      </c>
    </row>
    <row r="649" spans="1:34" ht="61.5" x14ac:dyDescent="0.85">
      <c r="A649" s="7">
        <v>1</v>
      </c>
      <c r="B649" s="59">
        <f>SUBTOTAL(103,$A$558:A649)</f>
        <v>91</v>
      </c>
      <c r="C649" s="160" t="s">
        <v>432</v>
      </c>
      <c r="D649" s="60">
        <f t="shared" si="94"/>
        <v>105815.67999999999</v>
      </c>
      <c r="E649" s="60">
        <v>0</v>
      </c>
      <c r="F649" s="60">
        <v>0</v>
      </c>
      <c r="G649" s="60">
        <v>0</v>
      </c>
      <c r="H649" s="60">
        <v>0</v>
      </c>
      <c r="I649" s="60">
        <v>0</v>
      </c>
      <c r="J649" s="60">
        <v>0</v>
      </c>
      <c r="K649" s="168">
        <v>0</v>
      </c>
      <c r="L649" s="60">
        <v>0</v>
      </c>
      <c r="M649" s="60">
        <v>0</v>
      </c>
      <c r="N649" s="60">
        <v>0</v>
      </c>
      <c r="O649" s="60">
        <v>0</v>
      </c>
      <c r="P649" s="60">
        <v>0</v>
      </c>
      <c r="Q649" s="60">
        <v>0</v>
      </c>
      <c r="R649" s="60">
        <v>0</v>
      </c>
      <c r="S649" s="60">
        <v>0</v>
      </c>
      <c r="T649" s="60">
        <v>0</v>
      </c>
      <c r="U649" s="60">
        <v>0</v>
      </c>
      <c r="V649" s="60">
        <v>0</v>
      </c>
      <c r="W649" s="60">
        <v>0</v>
      </c>
      <c r="X649" s="60">
        <v>0</v>
      </c>
      <c r="Y649" s="60">
        <v>0</v>
      </c>
      <c r="Z649" s="60">
        <v>0</v>
      </c>
      <c r="AA649" s="60">
        <v>0</v>
      </c>
      <c r="AB649" s="60">
        <v>0</v>
      </c>
      <c r="AC649" s="60">
        <v>0</v>
      </c>
      <c r="AD649" s="60">
        <v>105815.67999999999</v>
      </c>
      <c r="AE649" s="60">
        <v>0</v>
      </c>
      <c r="AF649" s="170">
        <v>2021</v>
      </c>
      <c r="AG649" s="170" t="s">
        <v>257</v>
      </c>
      <c r="AH649" s="170" t="s">
        <v>257</v>
      </c>
    </row>
    <row r="650" spans="1:34" ht="61.5" x14ac:dyDescent="0.85">
      <c r="A650" s="7">
        <v>1</v>
      </c>
      <c r="B650" s="59">
        <f>SUBTOTAL(103,$A$558:A650)</f>
        <v>92</v>
      </c>
      <c r="C650" s="160" t="s">
        <v>433</v>
      </c>
      <c r="D650" s="60">
        <f t="shared" si="94"/>
        <v>66740.47</v>
      </c>
      <c r="E650" s="60">
        <v>0</v>
      </c>
      <c r="F650" s="60">
        <v>0</v>
      </c>
      <c r="G650" s="60">
        <v>0</v>
      </c>
      <c r="H650" s="60">
        <v>0</v>
      </c>
      <c r="I650" s="60">
        <v>0</v>
      </c>
      <c r="J650" s="60">
        <v>0</v>
      </c>
      <c r="K650" s="168">
        <v>0</v>
      </c>
      <c r="L650" s="60">
        <v>0</v>
      </c>
      <c r="M650" s="60">
        <v>0</v>
      </c>
      <c r="N650" s="60">
        <v>0</v>
      </c>
      <c r="O650" s="60">
        <v>0</v>
      </c>
      <c r="P650" s="60">
        <v>0</v>
      </c>
      <c r="Q650" s="60">
        <v>0</v>
      </c>
      <c r="R650" s="60">
        <v>0</v>
      </c>
      <c r="S650" s="60">
        <v>0</v>
      </c>
      <c r="T650" s="60">
        <v>0</v>
      </c>
      <c r="U650" s="60">
        <v>0</v>
      </c>
      <c r="V650" s="60">
        <v>0</v>
      </c>
      <c r="W650" s="60">
        <v>0</v>
      </c>
      <c r="X650" s="60">
        <v>0</v>
      </c>
      <c r="Y650" s="60">
        <v>0</v>
      </c>
      <c r="Z650" s="60">
        <v>0</v>
      </c>
      <c r="AA650" s="60">
        <v>0</v>
      </c>
      <c r="AB650" s="60">
        <v>0</v>
      </c>
      <c r="AC650" s="60">
        <v>0</v>
      </c>
      <c r="AD650" s="62">
        <v>66740.47</v>
      </c>
      <c r="AE650" s="60">
        <v>0</v>
      </c>
      <c r="AF650" s="170">
        <v>2021</v>
      </c>
      <c r="AG650" s="170" t="s">
        <v>257</v>
      </c>
      <c r="AH650" s="170" t="s">
        <v>257</v>
      </c>
    </row>
    <row r="651" spans="1:34" ht="61.5" x14ac:dyDescent="0.85">
      <c r="A651" s="7">
        <v>1</v>
      </c>
      <c r="B651" s="59">
        <f>SUBTOTAL(103,$A$558:A651)</f>
        <v>93</v>
      </c>
      <c r="C651" s="160" t="s">
        <v>434</v>
      </c>
      <c r="D651" s="60">
        <f t="shared" si="94"/>
        <v>68133</v>
      </c>
      <c r="E651" s="60">
        <v>0</v>
      </c>
      <c r="F651" s="60">
        <v>0</v>
      </c>
      <c r="G651" s="60">
        <v>0</v>
      </c>
      <c r="H651" s="60">
        <v>0</v>
      </c>
      <c r="I651" s="60">
        <v>0</v>
      </c>
      <c r="J651" s="60">
        <v>0</v>
      </c>
      <c r="K651" s="168">
        <v>0</v>
      </c>
      <c r="L651" s="60">
        <v>0</v>
      </c>
      <c r="M651" s="60">
        <v>0</v>
      </c>
      <c r="N651" s="60">
        <v>0</v>
      </c>
      <c r="O651" s="60">
        <v>0</v>
      </c>
      <c r="P651" s="60">
        <v>0</v>
      </c>
      <c r="Q651" s="60">
        <v>0</v>
      </c>
      <c r="R651" s="60">
        <v>0</v>
      </c>
      <c r="S651" s="60">
        <v>0</v>
      </c>
      <c r="T651" s="60">
        <v>0</v>
      </c>
      <c r="U651" s="60">
        <v>0</v>
      </c>
      <c r="V651" s="60">
        <v>0</v>
      </c>
      <c r="W651" s="60">
        <v>0</v>
      </c>
      <c r="X651" s="60">
        <v>0</v>
      </c>
      <c r="Y651" s="60">
        <v>0</v>
      </c>
      <c r="Z651" s="60">
        <v>0</v>
      </c>
      <c r="AA651" s="60">
        <v>0</v>
      </c>
      <c r="AB651" s="60">
        <v>0</v>
      </c>
      <c r="AC651" s="60">
        <v>0</v>
      </c>
      <c r="AD651" s="62">
        <v>68133</v>
      </c>
      <c r="AE651" s="60">
        <v>0</v>
      </c>
      <c r="AF651" s="170">
        <v>2021</v>
      </c>
      <c r="AG651" s="170" t="s">
        <v>257</v>
      </c>
      <c r="AH651" s="170" t="s">
        <v>257</v>
      </c>
    </row>
    <row r="652" spans="1:34" ht="61.5" x14ac:dyDescent="0.85">
      <c r="A652" s="7">
        <v>1</v>
      </c>
      <c r="B652" s="59">
        <f>SUBTOTAL(103,$A$558:A652)</f>
        <v>94</v>
      </c>
      <c r="C652" s="160" t="s">
        <v>435</v>
      </c>
      <c r="D652" s="60">
        <f t="shared" si="94"/>
        <v>3132062.8899999997</v>
      </c>
      <c r="E652" s="60">
        <v>0</v>
      </c>
      <c r="F652" s="60">
        <v>0</v>
      </c>
      <c r="G652" s="60">
        <v>0</v>
      </c>
      <c r="H652" s="60">
        <v>0</v>
      </c>
      <c r="I652" s="60">
        <v>0</v>
      </c>
      <c r="J652" s="60">
        <v>0</v>
      </c>
      <c r="K652" s="168">
        <v>0</v>
      </c>
      <c r="L652" s="60">
        <v>0</v>
      </c>
      <c r="M652" s="60">
        <v>665.55</v>
      </c>
      <c r="N652" s="60">
        <v>3025129</v>
      </c>
      <c r="O652" s="60">
        <v>0</v>
      </c>
      <c r="P652" s="60">
        <v>0</v>
      </c>
      <c r="Q652" s="60">
        <v>0</v>
      </c>
      <c r="R652" s="60">
        <v>0</v>
      </c>
      <c r="S652" s="60">
        <v>0</v>
      </c>
      <c r="T652" s="60">
        <v>0</v>
      </c>
      <c r="U652" s="60">
        <v>0</v>
      </c>
      <c r="V652" s="60">
        <v>0</v>
      </c>
      <c r="W652" s="60">
        <v>0</v>
      </c>
      <c r="X652" s="60">
        <v>0</v>
      </c>
      <c r="Y652" s="60">
        <v>0</v>
      </c>
      <c r="Z652" s="60">
        <v>0</v>
      </c>
      <c r="AA652" s="60">
        <v>0</v>
      </c>
      <c r="AB652" s="60">
        <v>0</v>
      </c>
      <c r="AC652" s="62">
        <v>31310.09</v>
      </c>
      <c r="AD652" s="60">
        <v>75623.8</v>
      </c>
      <c r="AE652" s="60">
        <v>0</v>
      </c>
      <c r="AF652" s="170">
        <v>2021</v>
      </c>
      <c r="AG652" s="170">
        <v>2021</v>
      </c>
      <c r="AH652" s="63">
        <v>2021</v>
      </c>
    </row>
    <row r="653" spans="1:34" ht="61.5" x14ac:dyDescent="0.85">
      <c r="A653" s="7">
        <v>1</v>
      </c>
      <c r="B653" s="59">
        <f>SUBTOTAL(103,$A$558:A653)</f>
        <v>95</v>
      </c>
      <c r="C653" s="160" t="s">
        <v>436</v>
      </c>
      <c r="D653" s="60">
        <f t="shared" si="94"/>
        <v>975506.3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168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363.46</v>
      </c>
      <c r="R653" s="62">
        <v>908242</v>
      </c>
      <c r="S653" s="60">
        <v>0</v>
      </c>
      <c r="T653" s="60">
        <v>0</v>
      </c>
      <c r="U653" s="60">
        <v>0</v>
      </c>
      <c r="V653" s="60">
        <v>0</v>
      </c>
      <c r="W653" s="60">
        <v>0</v>
      </c>
      <c r="X653" s="60">
        <v>0</v>
      </c>
      <c r="Y653" s="60">
        <v>0</v>
      </c>
      <c r="Z653" s="60">
        <v>0</v>
      </c>
      <c r="AA653" s="60">
        <v>0</v>
      </c>
      <c r="AB653" s="60">
        <v>0</v>
      </c>
      <c r="AC653" s="62">
        <v>9400.2999999999993</v>
      </c>
      <c r="AD653" s="62">
        <v>57864</v>
      </c>
      <c r="AE653" s="60">
        <v>0</v>
      </c>
      <c r="AF653" s="170">
        <v>2021</v>
      </c>
      <c r="AG653" s="170">
        <v>2021</v>
      </c>
      <c r="AH653" s="63">
        <v>2021</v>
      </c>
    </row>
    <row r="654" spans="1:34" ht="61.5" x14ac:dyDescent="0.85">
      <c r="A654" s="7">
        <v>1</v>
      </c>
      <c r="B654" s="59">
        <f>SUBTOTAL(103,$A$558:A654)</f>
        <v>96</v>
      </c>
      <c r="C654" s="160" t="s">
        <v>439</v>
      </c>
      <c r="D654" s="60">
        <f t="shared" si="94"/>
        <v>2381025.6399999997</v>
      </c>
      <c r="E654" s="62">
        <v>160322</v>
      </c>
      <c r="F654" s="60">
        <v>0</v>
      </c>
      <c r="G654" s="62">
        <v>1431141</v>
      </c>
      <c r="H654" s="60">
        <v>242845</v>
      </c>
      <c r="I654" s="62">
        <v>382577</v>
      </c>
      <c r="J654" s="60">
        <v>0</v>
      </c>
      <c r="K654" s="168">
        <v>0</v>
      </c>
      <c r="L654" s="60">
        <v>0</v>
      </c>
      <c r="M654" s="60">
        <v>0</v>
      </c>
      <c r="N654" s="60">
        <v>0</v>
      </c>
      <c r="O654" s="60">
        <v>0</v>
      </c>
      <c r="P654" s="60">
        <v>0</v>
      </c>
      <c r="Q654" s="60">
        <v>0</v>
      </c>
      <c r="R654" s="60">
        <v>0</v>
      </c>
      <c r="S654" s="60">
        <v>0</v>
      </c>
      <c r="T654" s="60">
        <v>0</v>
      </c>
      <c r="U654" s="60">
        <v>0</v>
      </c>
      <c r="V654" s="60">
        <v>0</v>
      </c>
      <c r="W654" s="60">
        <v>0</v>
      </c>
      <c r="X654" s="60">
        <v>0</v>
      </c>
      <c r="Y654" s="60">
        <v>0</v>
      </c>
      <c r="Z654" s="60">
        <v>0</v>
      </c>
      <c r="AA654" s="60">
        <v>0</v>
      </c>
      <c r="AB654" s="60">
        <v>0</v>
      </c>
      <c r="AC654" s="62">
        <v>22944.760000000002</v>
      </c>
      <c r="AD654" s="62">
        <f>98030.51+43165.37</f>
        <v>141195.88</v>
      </c>
      <c r="AE654" s="60">
        <v>0</v>
      </c>
      <c r="AF654" s="170">
        <v>2021</v>
      </c>
      <c r="AG654" s="170">
        <v>2021</v>
      </c>
      <c r="AH654" s="63">
        <v>2021</v>
      </c>
    </row>
    <row r="655" spans="1:34" ht="61.5" x14ac:dyDescent="0.85">
      <c r="A655" s="7">
        <v>1</v>
      </c>
      <c r="B655" s="59">
        <f>SUBTOTAL(103,$A$558:A655)</f>
        <v>97</v>
      </c>
      <c r="C655" s="160" t="s">
        <v>440</v>
      </c>
      <c r="D655" s="60">
        <f t="shared" si="94"/>
        <v>7890296.8599999994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168">
        <v>0</v>
      </c>
      <c r="L655" s="60">
        <v>0</v>
      </c>
      <c r="M655" s="60">
        <v>1911.3</v>
      </c>
      <c r="N655" s="60">
        <v>7704518</v>
      </c>
      <c r="O655" s="60">
        <v>0</v>
      </c>
      <c r="P655" s="60">
        <v>0</v>
      </c>
      <c r="Q655" s="60">
        <v>0</v>
      </c>
      <c r="R655" s="60">
        <v>0</v>
      </c>
      <c r="S655" s="60">
        <v>0</v>
      </c>
      <c r="T655" s="60">
        <v>0</v>
      </c>
      <c r="U655" s="60">
        <v>0</v>
      </c>
      <c r="V655" s="60">
        <v>0</v>
      </c>
      <c r="W655" s="60">
        <v>0</v>
      </c>
      <c r="X655" s="60">
        <v>0</v>
      </c>
      <c r="Y655" s="60">
        <v>0</v>
      </c>
      <c r="Z655" s="60">
        <v>0</v>
      </c>
      <c r="AA655" s="60">
        <v>0</v>
      </c>
      <c r="AB655" s="60">
        <v>0</v>
      </c>
      <c r="AC655" s="62">
        <v>79741.759999999995</v>
      </c>
      <c r="AD655" s="60">
        <v>106037.1</v>
      </c>
      <c r="AE655" s="60">
        <v>0</v>
      </c>
      <c r="AF655" s="170">
        <v>2021</v>
      </c>
      <c r="AG655" s="170">
        <v>2021</v>
      </c>
      <c r="AH655" s="63">
        <v>2021</v>
      </c>
    </row>
    <row r="656" spans="1:34" ht="61.5" x14ac:dyDescent="0.85">
      <c r="A656" s="7">
        <v>1</v>
      </c>
      <c r="B656" s="59">
        <f>SUBTOTAL(103,$A$558:A656)</f>
        <v>98</v>
      </c>
      <c r="C656" s="160" t="s">
        <v>420</v>
      </c>
      <c r="D656" s="60">
        <f t="shared" si="94"/>
        <v>2276102.04</v>
      </c>
      <c r="E656" s="60">
        <v>0</v>
      </c>
      <c r="F656" s="60">
        <v>0</v>
      </c>
      <c r="G656" s="60">
        <v>0</v>
      </c>
      <c r="H656" s="60">
        <v>0</v>
      </c>
      <c r="I656" s="60">
        <v>0</v>
      </c>
      <c r="J656" s="60">
        <v>0</v>
      </c>
      <c r="K656" s="168">
        <v>0</v>
      </c>
      <c r="L656" s="60">
        <v>0</v>
      </c>
      <c r="M656" s="60">
        <v>627.91999999999996</v>
      </c>
      <c r="N656" s="62">
        <v>2252785.71</v>
      </c>
      <c r="O656" s="60">
        <v>0</v>
      </c>
      <c r="P656" s="60">
        <v>0</v>
      </c>
      <c r="Q656" s="60">
        <v>0</v>
      </c>
      <c r="R656" s="60">
        <v>0</v>
      </c>
      <c r="S656" s="60">
        <v>0</v>
      </c>
      <c r="T656" s="60">
        <v>0</v>
      </c>
      <c r="U656" s="60">
        <v>0</v>
      </c>
      <c r="V656" s="60">
        <v>0</v>
      </c>
      <c r="W656" s="60">
        <v>0</v>
      </c>
      <c r="X656" s="60">
        <v>0</v>
      </c>
      <c r="Y656" s="60">
        <v>0</v>
      </c>
      <c r="Z656" s="60">
        <v>0</v>
      </c>
      <c r="AA656" s="60">
        <v>0</v>
      </c>
      <c r="AB656" s="60">
        <v>0</v>
      </c>
      <c r="AC656" s="62">
        <v>23316.33</v>
      </c>
      <c r="AD656" s="60">
        <v>0</v>
      </c>
      <c r="AE656" s="60">
        <v>0</v>
      </c>
      <c r="AF656" s="170" t="s">
        <v>257</v>
      </c>
      <c r="AG656" s="170">
        <v>2021</v>
      </c>
      <c r="AH656" s="63">
        <v>2021</v>
      </c>
    </row>
    <row r="657" spans="1:34" ht="61.5" x14ac:dyDescent="0.85">
      <c r="A657" s="7">
        <v>1</v>
      </c>
      <c r="B657" s="59">
        <f>SUBTOTAL(103,$A$558:A657)</f>
        <v>99</v>
      </c>
      <c r="C657" s="160" t="s">
        <v>1208</v>
      </c>
      <c r="D657" s="60">
        <f t="shared" si="94"/>
        <v>3075563.96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168">
        <v>0</v>
      </c>
      <c r="L657" s="60">
        <v>0</v>
      </c>
      <c r="M657" s="60">
        <v>627.86</v>
      </c>
      <c r="N657" s="60">
        <v>2972950</v>
      </c>
      <c r="O657" s="60">
        <v>0</v>
      </c>
      <c r="P657" s="60">
        <v>0</v>
      </c>
      <c r="Q657" s="60">
        <v>0</v>
      </c>
      <c r="R657" s="60">
        <v>0</v>
      </c>
      <c r="S657" s="60">
        <v>0</v>
      </c>
      <c r="T657" s="60">
        <v>0</v>
      </c>
      <c r="U657" s="60">
        <v>0</v>
      </c>
      <c r="V657" s="60">
        <v>0</v>
      </c>
      <c r="W657" s="60">
        <v>0</v>
      </c>
      <c r="X657" s="60">
        <v>0</v>
      </c>
      <c r="Y657" s="60">
        <v>0</v>
      </c>
      <c r="Z657" s="60">
        <v>0</v>
      </c>
      <c r="AA657" s="60">
        <v>0</v>
      </c>
      <c r="AB657" s="60">
        <v>0</v>
      </c>
      <c r="AC657" s="62">
        <v>30770.03</v>
      </c>
      <c r="AD657" s="60">
        <v>71843.929999999993</v>
      </c>
      <c r="AE657" s="60">
        <v>0</v>
      </c>
      <c r="AF657" s="170">
        <v>2021</v>
      </c>
      <c r="AG657" s="170">
        <v>2021</v>
      </c>
      <c r="AH657" s="63">
        <v>2021</v>
      </c>
    </row>
    <row r="658" spans="1:34" ht="61.5" x14ac:dyDescent="0.85">
      <c r="A658" s="7">
        <v>1</v>
      </c>
      <c r="B658" s="59">
        <f>SUBTOTAL(103,$A$558:A658)</f>
        <v>100</v>
      </c>
      <c r="C658" s="160" t="s">
        <v>438</v>
      </c>
      <c r="D658" s="60">
        <f t="shared" si="94"/>
        <v>4441479.53</v>
      </c>
      <c r="E658" s="60">
        <v>0</v>
      </c>
      <c r="F658" s="60">
        <v>0</v>
      </c>
      <c r="G658" s="60">
        <v>0</v>
      </c>
      <c r="H658" s="60">
        <v>0</v>
      </c>
      <c r="I658" s="60">
        <v>0</v>
      </c>
      <c r="J658" s="60">
        <v>0</v>
      </c>
      <c r="K658" s="168">
        <v>0</v>
      </c>
      <c r="L658" s="60">
        <v>0</v>
      </c>
      <c r="M658" s="60">
        <v>662.9</v>
      </c>
      <c r="N658" s="62">
        <v>4324827</v>
      </c>
      <c r="O658" s="60">
        <v>0</v>
      </c>
      <c r="P658" s="60">
        <v>0</v>
      </c>
      <c r="Q658" s="60">
        <v>0</v>
      </c>
      <c r="R658" s="60">
        <v>0</v>
      </c>
      <c r="S658" s="60">
        <v>0</v>
      </c>
      <c r="T658" s="60">
        <v>0</v>
      </c>
      <c r="U658" s="60">
        <v>0</v>
      </c>
      <c r="V658" s="60">
        <v>0</v>
      </c>
      <c r="W658" s="60">
        <v>0</v>
      </c>
      <c r="X658" s="60">
        <v>0</v>
      </c>
      <c r="Y658" s="60">
        <v>0</v>
      </c>
      <c r="Z658" s="60">
        <v>0</v>
      </c>
      <c r="AA658" s="60">
        <v>0</v>
      </c>
      <c r="AB658" s="60">
        <v>0</v>
      </c>
      <c r="AC658" s="62">
        <v>44761.96</v>
      </c>
      <c r="AD658" s="60">
        <v>71890.570000000007</v>
      </c>
      <c r="AE658" s="60">
        <v>0</v>
      </c>
      <c r="AF658" s="170">
        <v>2021</v>
      </c>
      <c r="AG658" s="170">
        <v>2021</v>
      </c>
      <c r="AH658" s="63">
        <v>2021</v>
      </c>
    </row>
    <row r="659" spans="1:34" ht="61.5" x14ac:dyDescent="0.85">
      <c r="A659" s="7">
        <v>1</v>
      </c>
      <c r="B659" s="59">
        <f>SUBTOTAL(103,$A$558:A659)</f>
        <v>101</v>
      </c>
      <c r="C659" s="160" t="s">
        <v>1524</v>
      </c>
      <c r="D659" s="60">
        <f t="shared" si="94"/>
        <v>2975915.4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168">
        <v>0</v>
      </c>
      <c r="L659" s="60">
        <v>0</v>
      </c>
      <c r="M659" s="60">
        <v>601.54</v>
      </c>
      <c r="N659" s="62">
        <v>2876506</v>
      </c>
      <c r="O659" s="60">
        <v>0</v>
      </c>
      <c r="P659" s="60">
        <v>0</v>
      </c>
      <c r="Q659" s="60">
        <v>0</v>
      </c>
      <c r="R659" s="60">
        <v>0</v>
      </c>
      <c r="S659" s="60">
        <v>0</v>
      </c>
      <c r="T659" s="60">
        <v>0</v>
      </c>
      <c r="U659" s="60">
        <v>0</v>
      </c>
      <c r="V659" s="60">
        <v>0</v>
      </c>
      <c r="W659" s="60">
        <v>0</v>
      </c>
      <c r="X659" s="60">
        <v>0</v>
      </c>
      <c r="Y659" s="60">
        <v>0</v>
      </c>
      <c r="Z659" s="60">
        <v>0</v>
      </c>
      <c r="AA659" s="60">
        <v>0</v>
      </c>
      <c r="AB659" s="60">
        <v>0</v>
      </c>
      <c r="AC659" s="62">
        <v>29771.84</v>
      </c>
      <c r="AD659" s="62">
        <v>69637.56</v>
      </c>
      <c r="AE659" s="60">
        <v>0</v>
      </c>
      <c r="AF659" s="170">
        <v>2021</v>
      </c>
      <c r="AG659" s="170">
        <v>2021</v>
      </c>
      <c r="AH659" s="63">
        <v>2021</v>
      </c>
    </row>
    <row r="660" spans="1:34" ht="61.5" x14ac:dyDescent="0.85">
      <c r="A660" s="7">
        <v>1</v>
      </c>
      <c r="B660" s="59">
        <f>SUBTOTAL(103,$A$558:A660)</f>
        <v>102</v>
      </c>
      <c r="C660" s="160" t="s">
        <v>1525</v>
      </c>
      <c r="D660" s="60">
        <f t="shared" si="94"/>
        <v>1188949.76</v>
      </c>
      <c r="E660" s="60">
        <v>0</v>
      </c>
      <c r="F660" s="60">
        <v>0</v>
      </c>
      <c r="G660" s="60">
        <v>0</v>
      </c>
      <c r="H660" s="60">
        <v>0</v>
      </c>
      <c r="I660" s="60">
        <v>0</v>
      </c>
      <c r="J660" s="60">
        <v>0</v>
      </c>
      <c r="K660" s="168">
        <v>0</v>
      </c>
      <c r="L660" s="60">
        <v>0</v>
      </c>
      <c r="M660" s="60">
        <v>245.22</v>
      </c>
      <c r="N660" s="60">
        <v>1131184</v>
      </c>
      <c r="O660" s="60">
        <v>0</v>
      </c>
      <c r="P660" s="60">
        <v>0</v>
      </c>
      <c r="Q660" s="60">
        <v>0</v>
      </c>
      <c r="R660" s="60">
        <v>0</v>
      </c>
      <c r="S660" s="60">
        <v>0</v>
      </c>
      <c r="T660" s="60">
        <v>0</v>
      </c>
      <c r="U660" s="60">
        <v>0</v>
      </c>
      <c r="V660" s="60">
        <v>0</v>
      </c>
      <c r="W660" s="60">
        <v>0</v>
      </c>
      <c r="X660" s="60">
        <v>0</v>
      </c>
      <c r="Y660" s="60">
        <v>0</v>
      </c>
      <c r="Z660" s="60">
        <v>0</v>
      </c>
      <c r="AA660" s="60">
        <v>0</v>
      </c>
      <c r="AB660" s="60">
        <v>0</v>
      </c>
      <c r="AC660" s="62">
        <v>11707.75</v>
      </c>
      <c r="AD660" s="60">
        <v>46058.01</v>
      </c>
      <c r="AE660" s="60">
        <v>0</v>
      </c>
      <c r="AF660" s="170">
        <v>2021</v>
      </c>
      <c r="AG660" s="170">
        <v>2021</v>
      </c>
      <c r="AH660" s="63">
        <v>2021</v>
      </c>
    </row>
    <row r="661" spans="1:34" ht="61.5" x14ac:dyDescent="0.85">
      <c r="A661" s="7">
        <v>1</v>
      </c>
      <c r="B661" s="59">
        <f>SUBTOTAL(103,$A$558:A661)</f>
        <v>103</v>
      </c>
      <c r="C661" s="160" t="s">
        <v>1526</v>
      </c>
      <c r="D661" s="60">
        <f t="shared" si="94"/>
        <v>2192920.11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168">
        <v>0</v>
      </c>
      <c r="L661" s="60">
        <v>0</v>
      </c>
      <c r="M661" s="60">
        <v>496.48</v>
      </c>
      <c r="N661" s="60">
        <v>2107333</v>
      </c>
      <c r="O661" s="60">
        <v>0</v>
      </c>
      <c r="P661" s="60">
        <v>0</v>
      </c>
      <c r="Q661" s="60">
        <v>0</v>
      </c>
      <c r="R661" s="60">
        <v>0</v>
      </c>
      <c r="S661" s="60">
        <v>0</v>
      </c>
      <c r="T661" s="60">
        <v>0</v>
      </c>
      <c r="U661" s="60">
        <v>0</v>
      </c>
      <c r="V661" s="60">
        <v>0</v>
      </c>
      <c r="W661" s="60">
        <v>0</v>
      </c>
      <c r="X661" s="60">
        <v>0</v>
      </c>
      <c r="Y661" s="60">
        <v>0</v>
      </c>
      <c r="Z661" s="60">
        <v>0</v>
      </c>
      <c r="AA661" s="60">
        <v>0</v>
      </c>
      <c r="AB661" s="60">
        <v>0</v>
      </c>
      <c r="AC661" s="62">
        <v>21810.9</v>
      </c>
      <c r="AD661" s="60">
        <v>63776.21</v>
      </c>
      <c r="AE661" s="60">
        <v>0</v>
      </c>
      <c r="AF661" s="170">
        <v>2021</v>
      </c>
      <c r="AG661" s="170">
        <v>2021</v>
      </c>
      <c r="AH661" s="63">
        <v>2021</v>
      </c>
    </row>
    <row r="662" spans="1:34" ht="61.5" x14ac:dyDescent="0.85">
      <c r="A662" s="7">
        <v>1</v>
      </c>
      <c r="B662" s="59">
        <f>SUBTOTAL(103,$A$558:A662)</f>
        <v>104</v>
      </c>
      <c r="C662" s="160" t="s">
        <v>1527</v>
      </c>
      <c r="D662" s="60">
        <f t="shared" si="94"/>
        <v>1858562.25</v>
      </c>
      <c r="E662" s="60">
        <v>0</v>
      </c>
      <c r="F662" s="60">
        <v>0</v>
      </c>
      <c r="G662" s="60">
        <v>0</v>
      </c>
      <c r="H662" s="60">
        <v>0</v>
      </c>
      <c r="I662" s="60">
        <v>0</v>
      </c>
      <c r="J662" s="60">
        <v>0</v>
      </c>
      <c r="K662" s="168">
        <v>0</v>
      </c>
      <c r="L662" s="60">
        <v>0</v>
      </c>
      <c r="M662" s="60">
        <v>413.7</v>
      </c>
      <c r="N662" s="62">
        <v>1779423</v>
      </c>
      <c r="O662" s="60">
        <v>0</v>
      </c>
      <c r="P662" s="60">
        <v>0</v>
      </c>
      <c r="Q662" s="60">
        <v>0</v>
      </c>
      <c r="R662" s="60">
        <v>0</v>
      </c>
      <c r="S662" s="60">
        <v>0</v>
      </c>
      <c r="T662" s="60">
        <v>0</v>
      </c>
      <c r="U662" s="60">
        <v>0</v>
      </c>
      <c r="V662" s="60">
        <v>0</v>
      </c>
      <c r="W662" s="60">
        <v>0</v>
      </c>
      <c r="X662" s="60">
        <v>0</v>
      </c>
      <c r="Y662" s="60">
        <v>0</v>
      </c>
      <c r="Z662" s="60">
        <v>0</v>
      </c>
      <c r="AA662" s="60">
        <v>0</v>
      </c>
      <c r="AB662" s="60">
        <v>0</v>
      </c>
      <c r="AC662" s="62">
        <v>18417.03</v>
      </c>
      <c r="AD662" s="60">
        <v>60722.22</v>
      </c>
      <c r="AE662" s="60">
        <v>0</v>
      </c>
      <c r="AF662" s="170">
        <v>2021</v>
      </c>
      <c r="AG662" s="170">
        <v>2021</v>
      </c>
      <c r="AH662" s="63">
        <v>2021</v>
      </c>
    </row>
    <row r="663" spans="1:34" ht="61.5" x14ac:dyDescent="0.85">
      <c r="A663" s="7">
        <v>1</v>
      </c>
      <c r="B663" s="59">
        <f>SUBTOTAL(103,$A$558:A663)</f>
        <v>105</v>
      </c>
      <c r="C663" s="160" t="s">
        <v>451</v>
      </c>
      <c r="D663" s="60">
        <f t="shared" si="94"/>
        <v>3247222.64</v>
      </c>
      <c r="E663" s="163">
        <v>0</v>
      </c>
      <c r="F663" s="193">
        <v>0</v>
      </c>
      <c r="G663" s="163">
        <v>0</v>
      </c>
      <c r="H663" s="193">
        <v>0</v>
      </c>
      <c r="I663" s="193">
        <v>0</v>
      </c>
      <c r="J663" s="193">
        <v>0</v>
      </c>
      <c r="K663" s="194">
        <v>0</v>
      </c>
      <c r="L663" s="193">
        <v>0</v>
      </c>
      <c r="M663" s="60">
        <v>662.47</v>
      </c>
      <c r="N663" s="62">
        <v>3134293</v>
      </c>
      <c r="O663" s="193">
        <v>0</v>
      </c>
      <c r="P663" s="193">
        <v>0</v>
      </c>
      <c r="Q663" s="193">
        <v>0</v>
      </c>
      <c r="R663" s="193">
        <v>0</v>
      </c>
      <c r="S663" s="193">
        <v>0</v>
      </c>
      <c r="T663" s="193">
        <v>0</v>
      </c>
      <c r="U663" s="193">
        <v>0</v>
      </c>
      <c r="V663" s="193">
        <v>0</v>
      </c>
      <c r="W663" s="193">
        <v>0</v>
      </c>
      <c r="X663" s="193">
        <v>0</v>
      </c>
      <c r="Y663" s="193">
        <v>0</v>
      </c>
      <c r="Z663" s="193">
        <v>0</v>
      </c>
      <c r="AA663" s="60">
        <v>0</v>
      </c>
      <c r="AB663" s="60">
        <v>0</v>
      </c>
      <c r="AC663" s="62">
        <v>32439.93</v>
      </c>
      <c r="AD663" s="62">
        <v>80489.710000000006</v>
      </c>
      <c r="AE663" s="60">
        <v>0</v>
      </c>
      <c r="AF663" s="170">
        <v>2021</v>
      </c>
      <c r="AG663" s="170">
        <v>2021</v>
      </c>
      <c r="AH663" s="63">
        <v>2021</v>
      </c>
    </row>
    <row r="664" spans="1:34" ht="61.5" x14ac:dyDescent="0.85">
      <c r="A664" s="7">
        <v>1</v>
      </c>
      <c r="B664" s="59">
        <f>SUBTOTAL(103,$A$558:A664)</f>
        <v>106</v>
      </c>
      <c r="C664" s="160" t="s">
        <v>1080</v>
      </c>
      <c r="D664" s="60">
        <f t="shared" si="94"/>
        <v>3246080.29</v>
      </c>
      <c r="E664" s="60">
        <v>0</v>
      </c>
      <c r="F664" s="60">
        <v>0</v>
      </c>
      <c r="G664" s="169">
        <v>1701159</v>
      </c>
      <c r="H664" s="163">
        <v>0</v>
      </c>
      <c r="I664" s="169">
        <v>1527371</v>
      </c>
      <c r="J664" s="60">
        <v>0</v>
      </c>
      <c r="K664" s="168">
        <v>0</v>
      </c>
      <c r="L664" s="60">
        <v>0</v>
      </c>
      <c r="M664" s="60">
        <v>0</v>
      </c>
      <c r="N664" s="60">
        <v>0</v>
      </c>
      <c r="O664" s="60">
        <v>0</v>
      </c>
      <c r="P664" s="60">
        <v>0</v>
      </c>
      <c r="Q664" s="60">
        <v>0</v>
      </c>
      <c r="R664" s="60">
        <v>0</v>
      </c>
      <c r="S664" s="60">
        <v>0</v>
      </c>
      <c r="T664" s="60">
        <v>0</v>
      </c>
      <c r="U664" s="60">
        <v>0</v>
      </c>
      <c r="V664" s="60">
        <v>0</v>
      </c>
      <c r="W664" s="60">
        <v>0</v>
      </c>
      <c r="X664" s="60">
        <v>0</v>
      </c>
      <c r="Y664" s="60">
        <v>0</v>
      </c>
      <c r="Z664" s="60">
        <v>0</v>
      </c>
      <c r="AA664" s="60">
        <v>0</v>
      </c>
      <c r="AB664" s="60">
        <v>0</v>
      </c>
      <c r="AC664" s="60">
        <v>17550.29</v>
      </c>
      <c r="AD664" s="60">
        <v>0</v>
      </c>
      <c r="AE664" s="60">
        <v>0</v>
      </c>
      <c r="AF664" s="170" t="s">
        <v>257</v>
      </c>
      <c r="AG664" s="170">
        <v>2021</v>
      </c>
      <c r="AH664" s="63">
        <v>2021</v>
      </c>
    </row>
    <row r="665" spans="1:34" ht="61.5" x14ac:dyDescent="0.85">
      <c r="A665" s="7">
        <v>1</v>
      </c>
      <c r="B665" s="59">
        <f>SUBTOTAL(103,$A$558:A665)</f>
        <v>107</v>
      </c>
      <c r="C665" s="160" t="s">
        <v>429</v>
      </c>
      <c r="D665" s="60">
        <f t="shared" si="94"/>
        <v>1068937.46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168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2">
        <v>538.6</v>
      </c>
      <c r="R665" s="62">
        <v>1062087</v>
      </c>
      <c r="S665" s="60">
        <v>0</v>
      </c>
      <c r="T665" s="60">
        <v>0</v>
      </c>
      <c r="U665" s="60">
        <v>0</v>
      </c>
      <c r="V665" s="60">
        <v>0</v>
      </c>
      <c r="W665" s="60">
        <v>0</v>
      </c>
      <c r="X665" s="60">
        <v>0</v>
      </c>
      <c r="Y665" s="60">
        <v>0</v>
      </c>
      <c r="Z665" s="60">
        <v>0</v>
      </c>
      <c r="AA665" s="60">
        <v>0</v>
      </c>
      <c r="AB665" s="60">
        <v>0</v>
      </c>
      <c r="AC665" s="62">
        <v>6850.46</v>
      </c>
      <c r="AD665" s="60">
        <v>0</v>
      </c>
      <c r="AE665" s="60">
        <v>0</v>
      </c>
      <c r="AF665" s="170" t="s">
        <v>257</v>
      </c>
      <c r="AG665" s="170">
        <v>2021</v>
      </c>
      <c r="AH665" s="63">
        <v>2021</v>
      </c>
    </row>
    <row r="666" spans="1:34" ht="61.5" x14ac:dyDescent="0.85">
      <c r="A666" s="7">
        <v>1</v>
      </c>
      <c r="B666" s="59">
        <f>SUBTOTAL(103,$A$558:A666)</f>
        <v>108</v>
      </c>
      <c r="C666" s="160" t="s">
        <v>1070</v>
      </c>
      <c r="D666" s="60">
        <f t="shared" si="94"/>
        <v>1303349.0799999998</v>
      </c>
      <c r="E666" s="60">
        <v>0</v>
      </c>
      <c r="F666" s="60">
        <v>0</v>
      </c>
      <c r="G666" s="60">
        <v>0</v>
      </c>
      <c r="H666" s="60">
        <v>0</v>
      </c>
      <c r="I666" s="60">
        <v>0</v>
      </c>
      <c r="J666" s="60">
        <v>0</v>
      </c>
      <c r="K666" s="168">
        <v>0</v>
      </c>
      <c r="L666" s="60">
        <v>0</v>
      </c>
      <c r="M666" s="60">
        <v>0</v>
      </c>
      <c r="N666" s="60">
        <v>0</v>
      </c>
      <c r="O666" s="60">
        <v>0</v>
      </c>
      <c r="P666" s="60">
        <v>0</v>
      </c>
      <c r="Q666" s="62">
        <v>744.64</v>
      </c>
      <c r="R666" s="62">
        <v>1296302.3799999999</v>
      </c>
      <c r="S666" s="60">
        <v>0</v>
      </c>
      <c r="T666" s="60">
        <v>0</v>
      </c>
      <c r="U666" s="60">
        <v>0</v>
      </c>
      <c r="V666" s="60">
        <v>0</v>
      </c>
      <c r="W666" s="60">
        <v>0</v>
      </c>
      <c r="X666" s="60">
        <v>0</v>
      </c>
      <c r="Y666" s="60">
        <v>0</v>
      </c>
      <c r="Z666" s="60">
        <v>0</v>
      </c>
      <c r="AA666" s="60">
        <v>0</v>
      </c>
      <c r="AB666" s="60">
        <v>0</v>
      </c>
      <c r="AC666" s="60">
        <v>7046.7</v>
      </c>
      <c r="AD666" s="60">
        <v>0</v>
      </c>
      <c r="AE666" s="60">
        <v>0</v>
      </c>
      <c r="AF666" s="170" t="s">
        <v>257</v>
      </c>
      <c r="AG666" s="170">
        <v>2021</v>
      </c>
      <c r="AH666" s="63">
        <v>2021</v>
      </c>
    </row>
    <row r="667" spans="1:34" ht="61.5" x14ac:dyDescent="0.85">
      <c r="A667" s="7">
        <v>1</v>
      </c>
      <c r="B667" s="59">
        <f>SUBTOTAL(103,$A$558:A667)</f>
        <v>109</v>
      </c>
      <c r="C667" s="160" t="s">
        <v>1079</v>
      </c>
      <c r="D667" s="60">
        <f t="shared" si="94"/>
        <v>1302365.3799999999</v>
      </c>
      <c r="E667" s="60">
        <v>0</v>
      </c>
      <c r="F667" s="60">
        <v>0</v>
      </c>
      <c r="G667" s="62">
        <v>1295324</v>
      </c>
      <c r="H667" s="60">
        <v>0</v>
      </c>
      <c r="I667" s="60">
        <v>0</v>
      </c>
      <c r="J667" s="60">
        <v>0</v>
      </c>
      <c r="K667" s="168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0">
        <v>0</v>
      </c>
      <c r="T667" s="60">
        <v>0</v>
      </c>
      <c r="U667" s="60">
        <v>0</v>
      </c>
      <c r="V667" s="60">
        <v>0</v>
      </c>
      <c r="W667" s="60">
        <v>0</v>
      </c>
      <c r="X667" s="60">
        <v>0</v>
      </c>
      <c r="Y667" s="60">
        <v>0</v>
      </c>
      <c r="Z667" s="60">
        <v>0</v>
      </c>
      <c r="AA667" s="60">
        <v>0</v>
      </c>
      <c r="AB667" s="60">
        <v>0</v>
      </c>
      <c r="AC667" s="60">
        <v>7041.38</v>
      </c>
      <c r="AD667" s="60">
        <v>0</v>
      </c>
      <c r="AE667" s="60">
        <v>0</v>
      </c>
      <c r="AF667" s="170" t="s">
        <v>257</v>
      </c>
      <c r="AG667" s="170">
        <v>2021</v>
      </c>
      <c r="AH667" s="63">
        <v>2021</v>
      </c>
    </row>
    <row r="668" spans="1:34" ht="61.5" x14ac:dyDescent="0.85">
      <c r="A668" s="7">
        <v>1</v>
      </c>
      <c r="B668" s="59">
        <f>SUBTOTAL(103,$A$558:A668)</f>
        <v>110</v>
      </c>
      <c r="C668" s="160" t="s">
        <v>437</v>
      </c>
      <c r="D668" s="60">
        <f t="shared" si="94"/>
        <v>2256753.77</v>
      </c>
      <c r="E668" s="60">
        <v>0</v>
      </c>
      <c r="F668" s="60">
        <v>0</v>
      </c>
      <c r="G668" s="60">
        <v>0</v>
      </c>
      <c r="H668" s="60">
        <v>0</v>
      </c>
      <c r="I668" s="60">
        <v>0</v>
      </c>
      <c r="J668" s="60">
        <v>0</v>
      </c>
      <c r="K668" s="168">
        <v>0</v>
      </c>
      <c r="L668" s="60">
        <v>0</v>
      </c>
      <c r="M668" s="62">
        <v>625.1</v>
      </c>
      <c r="N668" s="62">
        <v>2242290.9900000002</v>
      </c>
      <c r="O668" s="60">
        <v>0</v>
      </c>
      <c r="P668" s="60">
        <v>0</v>
      </c>
      <c r="Q668" s="60">
        <v>0</v>
      </c>
      <c r="R668" s="60">
        <v>0</v>
      </c>
      <c r="S668" s="60">
        <v>0</v>
      </c>
      <c r="T668" s="60">
        <v>0</v>
      </c>
      <c r="U668" s="60">
        <v>0</v>
      </c>
      <c r="V668" s="60">
        <v>0</v>
      </c>
      <c r="W668" s="60">
        <v>0</v>
      </c>
      <c r="X668" s="60">
        <v>0</v>
      </c>
      <c r="Y668" s="60">
        <v>0</v>
      </c>
      <c r="Z668" s="60">
        <v>0</v>
      </c>
      <c r="AA668" s="60">
        <v>0</v>
      </c>
      <c r="AB668" s="60">
        <v>0</v>
      </c>
      <c r="AC668" s="62">
        <v>14462.78</v>
      </c>
      <c r="AD668" s="60">
        <v>0</v>
      </c>
      <c r="AE668" s="60">
        <v>0</v>
      </c>
      <c r="AF668" s="170" t="s">
        <v>257</v>
      </c>
      <c r="AG668" s="170">
        <v>2021</v>
      </c>
      <c r="AH668" s="63">
        <v>2021</v>
      </c>
    </row>
    <row r="669" spans="1:34" ht="61.5" x14ac:dyDescent="0.85">
      <c r="A669" s="7">
        <v>1</v>
      </c>
      <c r="B669" s="59">
        <f>SUBTOTAL(103,$A$558:A669)</f>
        <v>111</v>
      </c>
      <c r="C669" s="160" t="s">
        <v>1207</v>
      </c>
      <c r="D669" s="60">
        <f t="shared" si="94"/>
        <v>2391061.65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168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2">
        <v>696.02</v>
      </c>
      <c r="R669" s="62">
        <v>2375738.14</v>
      </c>
      <c r="S669" s="60">
        <v>0</v>
      </c>
      <c r="T669" s="60">
        <v>0</v>
      </c>
      <c r="U669" s="60">
        <v>0</v>
      </c>
      <c r="V669" s="60">
        <v>0</v>
      </c>
      <c r="W669" s="60">
        <v>0</v>
      </c>
      <c r="X669" s="60">
        <v>0</v>
      </c>
      <c r="Y669" s="60">
        <v>0</v>
      </c>
      <c r="Z669" s="60">
        <v>0</v>
      </c>
      <c r="AA669" s="60">
        <v>0</v>
      </c>
      <c r="AB669" s="60">
        <v>0</v>
      </c>
      <c r="AC669" s="62">
        <v>15323.51</v>
      </c>
      <c r="AD669" s="60">
        <v>0</v>
      </c>
      <c r="AE669" s="60">
        <v>0</v>
      </c>
      <c r="AF669" s="170" t="s">
        <v>257</v>
      </c>
      <c r="AG669" s="170">
        <v>2021</v>
      </c>
      <c r="AH669" s="63">
        <v>2021</v>
      </c>
    </row>
    <row r="670" spans="1:34" ht="61.5" x14ac:dyDescent="0.85">
      <c r="A670" s="7">
        <v>1</v>
      </c>
      <c r="B670" s="59">
        <f>SUBTOTAL(103,$A$558:A670)</f>
        <v>112</v>
      </c>
      <c r="C670" s="160" t="s">
        <v>1462</v>
      </c>
      <c r="D670" s="60">
        <f t="shared" si="94"/>
        <v>3057599.6399999997</v>
      </c>
      <c r="E670" s="60">
        <v>0</v>
      </c>
      <c r="F670" s="60">
        <v>0</v>
      </c>
      <c r="G670" s="60">
        <v>0</v>
      </c>
      <c r="H670" s="60">
        <v>0</v>
      </c>
      <c r="I670" s="60">
        <v>0</v>
      </c>
      <c r="J670" s="60">
        <v>0</v>
      </c>
      <c r="K670" s="168">
        <v>0</v>
      </c>
      <c r="L670" s="60">
        <v>0</v>
      </c>
      <c r="M670" s="60">
        <v>0</v>
      </c>
      <c r="N670" s="60">
        <v>0</v>
      </c>
      <c r="O670" s="60">
        <v>0</v>
      </c>
      <c r="P670" s="60">
        <v>0</v>
      </c>
      <c r="Q670" s="62">
        <v>718.27</v>
      </c>
      <c r="R670" s="62">
        <v>2961203</v>
      </c>
      <c r="S670" s="60">
        <v>0</v>
      </c>
      <c r="T670" s="60">
        <v>0</v>
      </c>
      <c r="U670" s="60">
        <v>0</v>
      </c>
      <c r="V670" s="60">
        <v>0</v>
      </c>
      <c r="W670" s="60">
        <v>0</v>
      </c>
      <c r="X670" s="60">
        <v>0</v>
      </c>
      <c r="Y670" s="60">
        <v>0</v>
      </c>
      <c r="Z670" s="60">
        <v>0</v>
      </c>
      <c r="AA670" s="60">
        <v>0</v>
      </c>
      <c r="AB670" s="60">
        <v>0</v>
      </c>
      <c r="AC670" s="62">
        <v>19099.759999999998</v>
      </c>
      <c r="AD670" s="173">
        <v>77296.88</v>
      </c>
      <c r="AE670" s="60">
        <v>0</v>
      </c>
      <c r="AF670" s="170">
        <v>2021</v>
      </c>
      <c r="AG670" s="170">
        <v>2021</v>
      </c>
      <c r="AH670" s="63">
        <v>2021</v>
      </c>
    </row>
    <row r="671" spans="1:34" ht="61.5" x14ac:dyDescent="0.85">
      <c r="A671" s="7">
        <v>1</v>
      </c>
      <c r="B671" s="59">
        <f>SUBTOTAL(103,$A$558:A671)</f>
        <v>113</v>
      </c>
      <c r="C671" s="160" t="s">
        <v>428</v>
      </c>
      <c r="D671" s="60">
        <f t="shared" si="94"/>
        <v>2775034.26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168">
        <v>0</v>
      </c>
      <c r="L671" s="60">
        <v>0</v>
      </c>
      <c r="M671" s="62">
        <v>841</v>
      </c>
      <c r="N671" s="62">
        <v>2757250</v>
      </c>
      <c r="O671" s="60">
        <v>0</v>
      </c>
      <c r="P671" s="60">
        <v>0</v>
      </c>
      <c r="Q671" s="60">
        <v>0</v>
      </c>
      <c r="R671" s="60">
        <v>0</v>
      </c>
      <c r="S671" s="60">
        <v>0</v>
      </c>
      <c r="T671" s="60">
        <v>0</v>
      </c>
      <c r="U671" s="60">
        <v>0</v>
      </c>
      <c r="V671" s="60">
        <v>0</v>
      </c>
      <c r="W671" s="60">
        <v>0</v>
      </c>
      <c r="X671" s="60">
        <v>0</v>
      </c>
      <c r="Y671" s="60">
        <v>0</v>
      </c>
      <c r="Z671" s="60">
        <v>0</v>
      </c>
      <c r="AA671" s="60">
        <v>0</v>
      </c>
      <c r="AB671" s="60">
        <v>0</v>
      </c>
      <c r="AC671" s="62">
        <v>17784.259999999998</v>
      </c>
      <c r="AD671" s="60">
        <v>0</v>
      </c>
      <c r="AE671" s="60">
        <v>0</v>
      </c>
      <c r="AF671" s="170" t="s">
        <v>257</v>
      </c>
      <c r="AG671" s="170">
        <v>2021</v>
      </c>
      <c r="AH671" s="63">
        <v>2021</v>
      </c>
    </row>
    <row r="672" spans="1:34" ht="61.5" x14ac:dyDescent="0.85">
      <c r="A672" s="7">
        <v>1</v>
      </c>
      <c r="B672" s="59">
        <f>SUBTOTAL(103,$A$558:A672)</f>
        <v>114</v>
      </c>
      <c r="C672" s="160" t="s">
        <v>1799</v>
      </c>
      <c r="D672" s="60">
        <f t="shared" si="94"/>
        <v>132387.07</v>
      </c>
      <c r="E672" s="60">
        <v>0</v>
      </c>
      <c r="F672" s="60">
        <v>0</v>
      </c>
      <c r="G672" s="60">
        <v>0</v>
      </c>
      <c r="H672" s="60">
        <v>0</v>
      </c>
      <c r="I672" s="60">
        <v>0</v>
      </c>
      <c r="J672" s="60">
        <v>0</v>
      </c>
      <c r="K672" s="168">
        <v>0</v>
      </c>
      <c r="L672" s="60">
        <v>0</v>
      </c>
      <c r="M672" s="60">
        <v>0</v>
      </c>
      <c r="N672" s="60">
        <v>0</v>
      </c>
      <c r="O672" s="60">
        <v>0</v>
      </c>
      <c r="P672" s="60">
        <v>0</v>
      </c>
      <c r="Q672" s="60">
        <v>0</v>
      </c>
      <c r="R672" s="60">
        <v>0</v>
      </c>
      <c r="S672" s="60">
        <v>0</v>
      </c>
      <c r="T672" s="60">
        <v>0</v>
      </c>
      <c r="U672" s="60">
        <v>0</v>
      </c>
      <c r="V672" s="60">
        <v>0</v>
      </c>
      <c r="W672" s="60">
        <v>0</v>
      </c>
      <c r="X672" s="60">
        <v>0</v>
      </c>
      <c r="Y672" s="60">
        <v>0</v>
      </c>
      <c r="Z672" s="60">
        <v>0</v>
      </c>
      <c r="AA672" s="60">
        <v>0</v>
      </c>
      <c r="AB672" s="60">
        <v>0</v>
      </c>
      <c r="AC672" s="60">
        <v>0</v>
      </c>
      <c r="AD672" s="58">
        <v>132387.07</v>
      </c>
      <c r="AE672" s="60">
        <v>0</v>
      </c>
      <c r="AF672" s="170">
        <v>2021</v>
      </c>
      <c r="AG672" s="170" t="s">
        <v>257</v>
      </c>
      <c r="AH672" s="170" t="s">
        <v>257</v>
      </c>
    </row>
    <row r="673" spans="1:34" ht="61.5" x14ac:dyDescent="0.85">
      <c r="B673" s="160" t="s">
        <v>707</v>
      </c>
      <c r="C673" s="176"/>
      <c r="D673" s="177">
        <f t="shared" ref="D673:AE673" si="95">SUM(D674:D716)</f>
        <v>132149763.76000005</v>
      </c>
      <c r="E673" s="60">
        <f t="shared" si="95"/>
        <v>0</v>
      </c>
      <c r="F673" s="60">
        <f t="shared" si="95"/>
        <v>0</v>
      </c>
      <c r="G673" s="60">
        <f t="shared" si="95"/>
        <v>934135</v>
      </c>
      <c r="H673" s="60">
        <f t="shared" si="95"/>
        <v>195126</v>
      </c>
      <c r="I673" s="60">
        <f t="shared" si="95"/>
        <v>2423783</v>
      </c>
      <c r="J673" s="60">
        <f t="shared" si="95"/>
        <v>0</v>
      </c>
      <c r="K673" s="168">
        <f t="shared" si="95"/>
        <v>15</v>
      </c>
      <c r="L673" s="60">
        <f t="shared" si="95"/>
        <v>26775664.300000001</v>
      </c>
      <c r="M673" s="60">
        <f t="shared" si="95"/>
        <v>15518.51</v>
      </c>
      <c r="N673" s="60">
        <f t="shared" si="95"/>
        <v>82949735.900000006</v>
      </c>
      <c r="O673" s="60">
        <f t="shared" si="95"/>
        <v>0</v>
      </c>
      <c r="P673" s="60">
        <f t="shared" si="95"/>
        <v>0</v>
      </c>
      <c r="Q673" s="60">
        <f t="shared" si="95"/>
        <v>2379</v>
      </c>
      <c r="R673" s="60">
        <f t="shared" si="95"/>
        <v>11573530</v>
      </c>
      <c r="S673" s="60">
        <f t="shared" si="95"/>
        <v>121.1</v>
      </c>
      <c r="T673" s="60">
        <f t="shared" si="95"/>
        <v>3011824.03</v>
      </c>
      <c r="U673" s="60">
        <f t="shared" si="95"/>
        <v>0</v>
      </c>
      <c r="V673" s="60">
        <f t="shared" si="95"/>
        <v>0</v>
      </c>
      <c r="W673" s="60">
        <f t="shared" si="95"/>
        <v>0</v>
      </c>
      <c r="X673" s="60">
        <f t="shared" si="95"/>
        <v>0</v>
      </c>
      <c r="Y673" s="60">
        <f t="shared" si="95"/>
        <v>0</v>
      </c>
      <c r="Z673" s="60">
        <f t="shared" si="95"/>
        <v>0</v>
      </c>
      <c r="AA673" s="60">
        <f t="shared" si="95"/>
        <v>0</v>
      </c>
      <c r="AB673" s="60">
        <f t="shared" si="95"/>
        <v>0</v>
      </c>
      <c r="AC673" s="60">
        <f t="shared" si="95"/>
        <v>1375018.6000000003</v>
      </c>
      <c r="AD673" s="60">
        <f t="shared" si="95"/>
        <v>2910946.9299999992</v>
      </c>
      <c r="AE673" s="60">
        <f t="shared" si="95"/>
        <v>0</v>
      </c>
      <c r="AF673" s="54" t="s">
        <v>701</v>
      </c>
      <c r="AG673" s="54" t="s">
        <v>701</v>
      </c>
      <c r="AH673" s="55" t="s">
        <v>701</v>
      </c>
    </row>
    <row r="674" spans="1:34" ht="61.5" x14ac:dyDescent="0.85">
      <c r="A674" s="7">
        <v>1</v>
      </c>
      <c r="B674" s="59">
        <f>SUBTOTAL(103,$A$558:A674)</f>
        <v>115</v>
      </c>
      <c r="C674" s="160" t="s">
        <v>381</v>
      </c>
      <c r="D674" s="60">
        <f t="shared" ref="D674:D716" si="96">E674+F674+G674+H674+I674+J674+L674+N674+P674+R674+T674+U674+V674+W674+X674+Y674+Z674+AA674+AB674+AC674+AD674+AE674</f>
        <v>4849430.93</v>
      </c>
      <c r="E674" s="60">
        <v>0</v>
      </c>
      <c r="F674" s="60">
        <v>0</v>
      </c>
      <c r="G674" s="60">
        <v>0</v>
      </c>
      <c r="H674" s="60">
        <v>0</v>
      </c>
      <c r="I674" s="60">
        <v>0</v>
      </c>
      <c r="J674" s="60">
        <v>0</v>
      </c>
      <c r="K674" s="168">
        <v>0</v>
      </c>
      <c r="L674" s="60">
        <v>0</v>
      </c>
      <c r="M674" s="60">
        <v>1182.44</v>
      </c>
      <c r="N674" s="60">
        <v>4681601</v>
      </c>
      <c r="O674" s="60">
        <v>0</v>
      </c>
      <c r="P674" s="60">
        <v>0</v>
      </c>
      <c r="Q674" s="60">
        <v>0</v>
      </c>
      <c r="R674" s="60">
        <v>0</v>
      </c>
      <c r="S674" s="60">
        <v>0</v>
      </c>
      <c r="T674" s="60">
        <v>0</v>
      </c>
      <c r="U674" s="60">
        <v>0</v>
      </c>
      <c r="V674" s="60">
        <v>0</v>
      </c>
      <c r="W674" s="60">
        <v>0</v>
      </c>
      <c r="X674" s="60">
        <v>0</v>
      </c>
      <c r="Y674" s="60">
        <v>0</v>
      </c>
      <c r="Z674" s="60">
        <v>0</v>
      </c>
      <c r="AA674" s="60">
        <v>0</v>
      </c>
      <c r="AB674" s="60">
        <v>0</v>
      </c>
      <c r="AC674" s="62">
        <v>62148.25</v>
      </c>
      <c r="AD674" s="60">
        <v>105681.68</v>
      </c>
      <c r="AE674" s="60">
        <v>0</v>
      </c>
      <c r="AF674" s="170">
        <v>2021</v>
      </c>
      <c r="AG674" s="170">
        <v>2021</v>
      </c>
      <c r="AH674" s="63">
        <v>2021</v>
      </c>
    </row>
    <row r="675" spans="1:34" ht="61.5" x14ac:dyDescent="0.85">
      <c r="A675" s="7">
        <v>1</v>
      </c>
      <c r="B675" s="59">
        <f>SUBTOTAL(103,$A$558:A675)</f>
        <v>116</v>
      </c>
      <c r="C675" s="160" t="s">
        <v>383</v>
      </c>
      <c r="D675" s="60">
        <f t="shared" si="96"/>
        <v>3569146.2800000003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168">
        <v>0</v>
      </c>
      <c r="L675" s="60">
        <v>0</v>
      </c>
      <c r="M675" s="60">
        <v>825.5</v>
      </c>
      <c r="N675" s="60">
        <v>3417856</v>
      </c>
      <c r="O675" s="60">
        <v>0</v>
      </c>
      <c r="P675" s="60">
        <v>0</v>
      </c>
      <c r="Q675" s="60">
        <v>0</v>
      </c>
      <c r="R675" s="60">
        <v>0</v>
      </c>
      <c r="S675" s="60">
        <v>0</v>
      </c>
      <c r="T675" s="60">
        <v>0</v>
      </c>
      <c r="U675" s="60">
        <v>0</v>
      </c>
      <c r="V675" s="60">
        <v>0</v>
      </c>
      <c r="W675" s="60">
        <v>0</v>
      </c>
      <c r="X675" s="60">
        <v>0</v>
      </c>
      <c r="Y675" s="60">
        <v>0</v>
      </c>
      <c r="Z675" s="60">
        <v>0</v>
      </c>
      <c r="AA675" s="60">
        <v>0</v>
      </c>
      <c r="AB675" s="60">
        <v>0</v>
      </c>
      <c r="AC675" s="62">
        <v>45372.04</v>
      </c>
      <c r="AD675" s="60">
        <v>105918.24</v>
      </c>
      <c r="AE675" s="60">
        <v>0</v>
      </c>
      <c r="AF675" s="170">
        <v>2021</v>
      </c>
      <c r="AG675" s="170">
        <v>2021</v>
      </c>
      <c r="AH675" s="63">
        <v>2021</v>
      </c>
    </row>
    <row r="676" spans="1:34" ht="61.5" x14ac:dyDescent="0.85">
      <c r="A676" s="7">
        <v>1</v>
      </c>
      <c r="B676" s="59">
        <f>SUBTOTAL(103,$A$558:A676)</f>
        <v>117</v>
      </c>
      <c r="C676" s="160" t="s">
        <v>384</v>
      </c>
      <c r="D676" s="60">
        <f t="shared" si="96"/>
        <v>3343354.1199999996</v>
      </c>
      <c r="E676" s="60">
        <v>0</v>
      </c>
      <c r="F676" s="60">
        <v>0</v>
      </c>
      <c r="G676" s="60">
        <v>0</v>
      </c>
      <c r="H676" s="60">
        <v>0</v>
      </c>
      <c r="I676" s="60">
        <v>0</v>
      </c>
      <c r="J676" s="60">
        <v>0</v>
      </c>
      <c r="K676" s="168">
        <v>0</v>
      </c>
      <c r="L676" s="60">
        <v>0</v>
      </c>
      <c r="M676" s="60">
        <v>579</v>
      </c>
      <c r="N676" s="60">
        <v>3195187</v>
      </c>
      <c r="O676" s="60">
        <v>0</v>
      </c>
      <c r="P676" s="60">
        <v>0</v>
      </c>
      <c r="Q676" s="60">
        <v>0</v>
      </c>
      <c r="R676" s="60">
        <v>0</v>
      </c>
      <c r="S676" s="60">
        <v>0</v>
      </c>
      <c r="T676" s="60">
        <v>0</v>
      </c>
      <c r="U676" s="60">
        <v>0</v>
      </c>
      <c r="V676" s="60">
        <v>0</v>
      </c>
      <c r="W676" s="60">
        <v>0</v>
      </c>
      <c r="X676" s="60">
        <v>0</v>
      </c>
      <c r="Y676" s="60">
        <v>0</v>
      </c>
      <c r="Z676" s="60">
        <v>0</v>
      </c>
      <c r="AA676" s="60">
        <v>0</v>
      </c>
      <c r="AB676" s="60">
        <v>0</v>
      </c>
      <c r="AC676" s="62">
        <v>42416.11</v>
      </c>
      <c r="AD676" s="60">
        <v>105751.01</v>
      </c>
      <c r="AE676" s="60">
        <v>0</v>
      </c>
      <c r="AF676" s="170">
        <v>2021</v>
      </c>
      <c r="AG676" s="170">
        <v>2021</v>
      </c>
      <c r="AH676" s="63">
        <v>2021</v>
      </c>
    </row>
    <row r="677" spans="1:34" ht="61.5" x14ac:dyDescent="0.85">
      <c r="A677" s="7">
        <v>1</v>
      </c>
      <c r="B677" s="59">
        <f>SUBTOTAL(103,$A$558:A677)</f>
        <v>118</v>
      </c>
      <c r="C677" s="160" t="s">
        <v>385</v>
      </c>
      <c r="D677" s="60">
        <f t="shared" si="96"/>
        <v>3389665.14</v>
      </c>
      <c r="E677" s="60">
        <v>0</v>
      </c>
      <c r="F677" s="60">
        <v>0</v>
      </c>
      <c r="G677" s="60">
        <v>0</v>
      </c>
      <c r="H677" s="60">
        <v>0</v>
      </c>
      <c r="I677" s="60">
        <v>0</v>
      </c>
      <c r="J677" s="60">
        <v>0</v>
      </c>
      <c r="K677" s="168">
        <v>0</v>
      </c>
      <c r="L677" s="60">
        <v>0</v>
      </c>
      <c r="M677" s="60">
        <v>580</v>
      </c>
      <c r="N677" s="62">
        <v>3262649</v>
      </c>
      <c r="O677" s="60">
        <v>0</v>
      </c>
      <c r="P677" s="60">
        <v>0</v>
      </c>
      <c r="Q677" s="60">
        <v>0</v>
      </c>
      <c r="R677" s="60">
        <v>0</v>
      </c>
      <c r="S677" s="60">
        <v>0</v>
      </c>
      <c r="T677" s="60">
        <v>0</v>
      </c>
      <c r="U677" s="60">
        <v>0</v>
      </c>
      <c r="V677" s="60">
        <v>0</v>
      </c>
      <c r="W677" s="60">
        <v>0</v>
      </c>
      <c r="X677" s="60">
        <v>0</v>
      </c>
      <c r="Y677" s="60">
        <v>0</v>
      </c>
      <c r="Z677" s="60">
        <v>0</v>
      </c>
      <c r="AA677" s="60">
        <v>0</v>
      </c>
      <c r="AB677" s="60">
        <v>0</v>
      </c>
      <c r="AC677" s="62">
        <v>43311.67</v>
      </c>
      <c r="AD677" s="60">
        <v>83704.47</v>
      </c>
      <c r="AE677" s="60">
        <v>0</v>
      </c>
      <c r="AF677" s="170">
        <v>2021</v>
      </c>
      <c r="AG677" s="170">
        <v>2021</v>
      </c>
      <c r="AH677" s="63">
        <v>2021</v>
      </c>
    </row>
    <row r="678" spans="1:34" ht="61.5" x14ac:dyDescent="0.85">
      <c r="A678" s="7">
        <v>1</v>
      </c>
      <c r="B678" s="59">
        <f>SUBTOTAL(103,$A$558:A678)</f>
        <v>119</v>
      </c>
      <c r="C678" s="160" t="s">
        <v>386</v>
      </c>
      <c r="D678" s="60">
        <f t="shared" si="96"/>
        <v>2778209.21</v>
      </c>
      <c r="E678" s="60">
        <v>0</v>
      </c>
      <c r="F678" s="60">
        <v>0</v>
      </c>
      <c r="G678" s="60">
        <v>0</v>
      </c>
      <c r="H678" s="60">
        <v>0</v>
      </c>
      <c r="I678" s="60">
        <v>0</v>
      </c>
      <c r="J678" s="60">
        <v>0</v>
      </c>
      <c r="K678" s="168">
        <v>0</v>
      </c>
      <c r="L678" s="60">
        <v>0</v>
      </c>
      <c r="M678" s="60">
        <v>555</v>
      </c>
      <c r="N678" s="60">
        <v>2741811.66</v>
      </c>
      <c r="O678" s="60">
        <v>0</v>
      </c>
      <c r="P678" s="60">
        <v>0</v>
      </c>
      <c r="Q678" s="60">
        <v>0</v>
      </c>
      <c r="R678" s="60">
        <v>0</v>
      </c>
      <c r="S678" s="60">
        <v>0</v>
      </c>
      <c r="T678" s="60">
        <v>0</v>
      </c>
      <c r="U678" s="60">
        <v>0</v>
      </c>
      <c r="V678" s="60">
        <v>0</v>
      </c>
      <c r="W678" s="60">
        <v>0</v>
      </c>
      <c r="X678" s="60">
        <v>0</v>
      </c>
      <c r="Y678" s="60">
        <v>0</v>
      </c>
      <c r="Z678" s="60">
        <v>0</v>
      </c>
      <c r="AA678" s="60">
        <v>0</v>
      </c>
      <c r="AB678" s="60">
        <v>0</v>
      </c>
      <c r="AC678" s="62">
        <v>36397.550000000003</v>
      </c>
      <c r="AD678" s="60">
        <v>0</v>
      </c>
      <c r="AE678" s="60">
        <v>0</v>
      </c>
      <c r="AF678" s="170" t="s">
        <v>257</v>
      </c>
      <c r="AG678" s="170">
        <v>2021</v>
      </c>
      <c r="AH678" s="63">
        <v>2021</v>
      </c>
    </row>
    <row r="679" spans="1:34" ht="61.5" x14ac:dyDescent="0.85">
      <c r="A679" s="7">
        <v>1</v>
      </c>
      <c r="B679" s="59">
        <f>SUBTOTAL(103,$A$558:A679)</f>
        <v>120</v>
      </c>
      <c r="C679" s="160" t="s">
        <v>190</v>
      </c>
      <c r="D679" s="60">
        <f t="shared" si="96"/>
        <v>1203601.0899999999</v>
      </c>
      <c r="E679" s="60">
        <v>0</v>
      </c>
      <c r="F679" s="60">
        <v>0</v>
      </c>
      <c r="G679" s="62">
        <v>934135</v>
      </c>
      <c r="H679" s="62">
        <v>195126</v>
      </c>
      <c r="I679" s="60">
        <v>0</v>
      </c>
      <c r="J679" s="60">
        <v>0</v>
      </c>
      <c r="K679" s="168">
        <v>0</v>
      </c>
      <c r="L679" s="60">
        <v>0</v>
      </c>
      <c r="M679" s="60">
        <v>0</v>
      </c>
      <c r="N679" s="60">
        <v>0</v>
      </c>
      <c r="O679" s="60">
        <v>0</v>
      </c>
      <c r="P679" s="60">
        <v>0</v>
      </c>
      <c r="Q679" s="60">
        <v>0</v>
      </c>
      <c r="R679" s="60">
        <v>0</v>
      </c>
      <c r="S679" s="60">
        <v>0</v>
      </c>
      <c r="T679" s="60">
        <v>0</v>
      </c>
      <c r="U679" s="60">
        <v>0</v>
      </c>
      <c r="V679" s="60">
        <v>0</v>
      </c>
      <c r="W679" s="60">
        <v>0</v>
      </c>
      <c r="X679" s="60">
        <v>0</v>
      </c>
      <c r="Y679" s="60">
        <v>0</v>
      </c>
      <c r="Z679" s="60">
        <v>0</v>
      </c>
      <c r="AA679" s="60">
        <v>0</v>
      </c>
      <c r="AB679" s="60">
        <v>0</v>
      </c>
      <c r="AC679" s="62">
        <v>14990.939999999999</v>
      </c>
      <c r="AD679" s="62">
        <v>59349.15</v>
      </c>
      <c r="AE679" s="60">
        <v>0</v>
      </c>
      <c r="AF679" s="170">
        <v>2021</v>
      </c>
      <c r="AG679" s="170">
        <v>2021</v>
      </c>
      <c r="AH679" s="63">
        <v>2021</v>
      </c>
    </row>
    <row r="680" spans="1:34" ht="61.5" x14ac:dyDescent="0.85">
      <c r="A680" s="7">
        <v>1</v>
      </c>
      <c r="B680" s="59">
        <f>SUBTOTAL(103,$A$558:A680)</f>
        <v>121</v>
      </c>
      <c r="C680" s="160" t="s">
        <v>191</v>
      </c>
      <c r="D680" s="60">
        <f t="shared" si="96"/>
        <v>551118.57000000007</v>
      </c>
      <c r="E680" s="60">
        <v>0</v>
      </c>
      <c r="F680" s="60">
        <v>0</v>
      </c>
      <c r="G680" s="60">
        <v>0</v>
      </c>
      <c r="H680" s="60">
        <v>0</v>
      </c>
      <c r="I680" s="60">
        <v>496767</v>
      </c>
      <c r="J680" s="60">
        <v>0</v>
      </c>
      <c r="K680" s="168">
        <v>0</v>
      </c>
      <c r="L680" s="60">
        <v>0</v>
      </c>
      <c r="M680" s="60">
        <v>0</v>
      </c>
      <c r="N680" s="60">
        <v>0</v>
      </c>
      <c r="O680" s="60">
        <v>0</v>
      </c>
      <c r="P680" s="60">
        <v>0</v>
      </c>
      <c r="Q680" s="60">
        <v>0</v>
      </c>
      <c r="R680" s="60">
        <v>0</v>
      </c>
      <c r="S680" s="60">
        <v>0</v>
      </c>
      <c r="T680" s="60">
        <v>0</v>
      </c>
      <c r="U680" s="60">
        <v>0</v>
      </c>
      <c r="V680" s="60">
        <v>0</v>
      </c>
      <c r="W680" s="60">
        <v>0</v>
      </c>
      <c r="X680" s="60">
        <v>0</v>
      </c>
      <c r="Y680" s="60">
        <v>0</v>
      </c>
      <c r="Z680" s="60">
        <v>0</v>
      </c>
      <c r="AA680" s="60">
        <v>0</v>
      </c>
      <c r="AB680" s="60">
        <v>0</v>
      </c>
      <c r="AC680" s="60">
        <v>6594.58</v>
      </c>
      <c r="AD680" s="60">
        <v>47756.99</v>
      </c>
      <c r="AE680" s="60">
        <v>0</v>
      </c>
      <c r="AF680" s="170">
        <v>2021</v>
      </c>
      <c r="AG680" s="170">
        <v>2021</v>
      </c>
      <c r="AH680" s="63">
        <v>2021</v>
      </c>
    </row>
    <row r="681" spans="1:34" ht="61.5" x14ac:dyDescent="0.85">
      <c r="A681" s="7">
        <v>1</v>
      </c>
      <c r="B681" s="59">
        <f>SUBTOTAL(103,$A$558:A681)</f>
        <v>122</v>
      </c>
      <c r="C681" s="160" t="s">
        <v>387</v>
      </c>
      <c r="D681" s="60">
        <f t="shared" si="96"/>
        <v>2648939.79</v>
      </c>
      <c r="E681" s="60">
        <v>0</v>
      </c>
      <c r="F681" s="60">
        <v>0</v>
      </c>
      <c r="G681" s="60">
        <v>0</v>
      </c>
      <c r="H681" s="60">
        <v>0</v>
      </c>
      <c r="I681" s="60">
        <v>0</v>
      </c>
      <c r="J681" s="60">
        <v>0</v>
      </c>
      <c r="K681" s="168">
        <v>0</v>
      </c>
      <c r="L681" s="60">
        <v>0</v>
      </c>
      <c r="M681" s="60">
        <v>507.51</v>
      </c>
      <c r="N681" s="60">
        <v>2614235.81</v>
      </c>
      <c r="O681" s="60">
        <v>0</v>
      </c>
      <c r="P681" s="60">
        <v>0</v>
      </c>
      <c r="Q681" s="60">
        <v>0</v>
      </c>
      <c r="R681" s="60">
        <v>0</v>
      </c>
      <c r="S681" s="60">
        <v>0</v>
      </c>
      <c r="T681" s="60">
        <v>0</v>
      </c>
      <c r="U681" s="60">
        <v>0</v>
      </c>
      <c r="V681" s="60">
        <v>0</v>
      </c>
      <c r="W681" s="60">
        <v>0</v>
      </c>
      <c r="X681" s="60">
        <v>0</v>
      </c>
      <c r="Y681" s="60">
        <v>0</v>
      </c>
      <c r="Z681" s="60">
        <v>0</v>
      </c>
      <c r="AA681" s="60">
        <v>0</v>
      </c>
      <c r="AB681" s="60">
        <v>0</v>
      </c>
      <c r="AC681" s="62">
        <v>34703.980000000003</v>
      </c>
      <c r="AD681" s="60">
        <v>0</v>
      </c>
      <c r="AE681" s="60">
        <v>0</v>
      </c>
      <c r="AF681" s="170" t="s">
        <v>257</v>
      </c>
      <c r="AG681" s="170">
        <v>2021</v>
      </c>
      <c r="AH681" s="63">
        <v>2021</v>
      </c>
    </row>
    <row r="682" spans="1:34" ht="61.5" x14ac:dyDescent="0.85">
      <c r="A682" s="7">
        <v>1</v>
      </c>
      <c r="B682" s="59">
        <f>SUBTOTAL(103,$A$558:A682)</f>
        <v>123</v>
      </c>
      <c r="C682" s="160" t="s">
        <v>388</v>
      </c>
      <c r="D682" s="60">
        <f t="shared" si="96"/>
        <v>2651701.0900000003</v>
      </c>
      <c r="E682" s="60">
        <v>0</v>
      </c>
      <c r="F682" s="60">
        <v>0</v>
      </c>
      <c r="G682" s="60">
        <v>0</v>
      </c>
      <c r="H682" s="60">
        <v>0</v>
      </c>
      <c r="I682" s="60">
        <v>0</v>
      </c>
      <c r="J682" s="60">
        <v>0</v>
      </c>
      <c r="K682" s="168">
        <v>0</v>
      </c>
      <c r="L682" s="60">
        <v>0</v>
      </c>
      <c r="M682" s="60">
        <v>492</v>
      </c>
      <c r="N682" s="60">
        <v>2616960.9300000002</v>
      </c>
      <c r="O682" s="60">
        <v>0</v>
      </c>
      <c r="P682" s="60">
        <v>0</v>
      </c>
      <c r="Q682" s="60">
        <v>0</v>
      </c>
      <c r="R682" s="60">
        <v>0</v>
      </c>
      <c r="S682" s="60">
        <v>0</v>
      </c>
      <c r="T682" s="60">
        <v>0</v>
      </c>
      <c r="U682" s="60">
        <v>0</v>
      </c>
      <c r="V682" s="60">
        <v>0</v>
      </c>
      <c r="W682" s="60">
        <v>0</v>
      </c>
      <c r="X682" s="60">
        <v>0</v>
      </c>
      <c r="Y682" s="60">
        <v>0</v>
      </c>
      <c r="Z682" s="60">
        <v>0</v>
      </c>
      <c r="AA682" s="60">
        <v>0</v>
      </c>
      <c r="AB682" s="60">
        <v>0</v>
      </c>
      <c r="AC682" s="62">
        <v>34740.160000000003</v>
      </c>
      <c r="AD682" s="60">
        <v>0</v>
      </c>
      <c r="AE682" s="60">
        <v>0</v>
      </c>
      <c r="AF682" s="170" t="s">
        <v>257</v>
      </c>
      <c r="AG682" s="170">
        <v>2021</v>
      </c>
      <c r="AH682" s="63">
        <v>2021</v>
      </c>
    </row>
    <row r="683" spans="1:34" ht="61.5" x14ac:dyDescent="0.85">
      <c r="A683" s="7">
        <v>1</v>
      </c>
      <c r="B683" s="59">
        <f>SUBTOTAL(103,$A$558:A683)</f>
        <v>124</v>
      </c>
      <c r="C683" s="160" t="s">
        <v>389</v>
      </c>
      <c r="D683" s="60">
        <f t="shared" si="96"/>
        <v>103384.42</v>
      </c>
      <c r="E683" s="60">
        <v>0</v>
      </c>
      <c r="F683" s="60">
        <v>0</v>
      </c>
      <c r="G683" s="60">
        <v>0</v>
      </c>
      <c r="H683" s="60">
        <v>0</v>
      </c>
      <c r="I683" s="60">
        <v>0</v>
      </c>
      <c r="J683" s="60">
        <v>0</v>
      </c>
      <c r="K683" s="168">
        <v>0</v>
      </c>
      <c r="L683" s="60">
        <v>0</v>
      </c>
      <c r="M683" s="60">
        <v>0</v>
      </c>
      <c r="N683" s="60">
        <v>0</v>
      </c>
      <c r="O683" s="60">
        <v>0</v>
      </c>
      <c r="P683" s="60">
        <v>0</v>
      </c>
      <c r="Q683" s="60">
        <v>0</v>
      </c>
      <c r="R683" s="60">
        <v>0</v>
      </c>
      <c r="S683" s="60">
        <v>0</v>
      </c>
      <c r="T683" s="60">
        <v>0</v>
      </c>
      <c r="U683" s="60">
        <v>0</v>
      </c>
      <c r="V683" s="60">
        <v>0</v>
      </c>
      <c r="W683" s="60">
        <v>0</v>
      </c>
      <c r="X683" s="60">
        <v>0</v>
      </c>
      <c r="Y683" s="60">
        <v>0</v>
      </c>
      <c r="Z683" s="60">
        <v>0</v>
      </c>
      <c r="AA683" s="60">
        <v>0</v>
      </c>
      <c r="AB683" s="60">
        <v>0</v>
      </c>
      <c r="AC683" s="60">
        <v>0</v>
      </c>
      <c r="AD683" s="62">
        <v>103384.42</v>
      </c>
      <c r="AE683" s="60">
        <v>0</v>
      </c>
      <c r="AF683" s="170">
        <v>2021</v>
      </c>
      <c r="AG683" s="170" t="s">
        <v>257</v>
      </c>
      <c r="AH683" s="63" t="s">
        <v>257</v>
      </c>
    </row>
    <row r="684" spans="1:34" ht="61.5" x14ac:dyDescent="0.85">
      <c r="A684" s="7">
        <v>1</v>
      </c>
      <c r="B684" s="59">
        <f>SUBTOTAL(103,$A$558:A684)</f>
        <v>125</v>
      </c>
      <c r="C684" s="160" t="s">
        <v>390</v>
      </c>
      <c r="D684" s="60">
        <f t="shared" si="96"/>
        <v>2382043.14</v>
      </c>
      <c r="E684" s="60">
        <v>0</v>
      </c>
      <c r="F684" s="60">
        <v>0</v>
      </c>
      <c r="G684" s="60">
        <v>0</v>
      </c>
      <c r="H684" s="60">
        <v>0</v>
      </c>
      <c r="I684" s="60">
        <v>0</v>
      </c>
      <c r="J684" s="60">
        <v>0</v>
      </c>
      <c r="K684" s="168">
        <v>0</v>
      </c>
      <c r="L684" s="60">
        <v>0</v>
      </c>
      <c r="M684" s="60">
        <v>597.46</v>
      </c>
      <c r="N684" s="60">
        <v>2246604</v>
      </c>
      <c r="O684" s="60">
        <v>0</v>
      </c>
      <c r="P684" s="60">
        <v>0</v>
      </c>
      <c r="Q684" s="60">
        <v>0</v>
      </c>
      <c r="R684" s="60">
        <v>0</v>
      </c>
      <c r="S684" s="60">
        <v>0</v>
      </c>
      <c r="T684" s="60">
        <v>0</v>
      </c>
      <c r="U684" s="60">
        <v>0</v>
      </c>
      <c r="V684" s="60">
        <v>0</v>
      </c>
      <c r="W684" s="60">
        <v>0</v>
      </c>
      <c r="X684" s="60">
        <v>0</v>
      </c>
      <c r="Y684" s="60">
        <v>0</v>
      </c>
      <c r="Z684" s="60">
        <v>0</v>
      </c>
      <c r="AA684" s="60">
        <v>0</v>
      </c>
      <c r="AB684" s="60">
        <v>0</v>
      </c>
      <c r="AC684" s="62">
        <v>29823.67</v>
      </c>
      <c r="AD684" s="60">
        <v>105615.47</v>
      </c>
      <c r="AE684" s="60">
        <v>0</v>
      </c>
      <c r="AF684" s="170">
        <v>2021</v>
      </c>
      <c r="AG684" s="170">
        <v>2021</v>
      </c>
      <c r="AH684" s="63">
        <v>2021</v>
      </c>
    </row>
    <row r="685" spans="1:34" ht="61.5" x14ac:dyDescent="0.85">
      <c r="A685" s="7">
        <v>1</v>
      </c>
      <c r="B685" s="59">
        <f>SUBTOTAL(103,$A$558:A685)</f>
        <v>126</v>
      </c>
      <c r="C685" s="160" t="s">
        <v>391</v>
      </c>
      <c r="D685" s="60">
        <f t="shared" si="96"/>
        <v>105750.06</v>
      </c>
      <c r="E685" s="60">
        <v>0</v>
      </c>
      <c r="F685" s="60">
        <v>0</v>
      </c>
      <c r="G685" s="60">
        <v>0</v>
      </c>
      <c r="H685" s="60">
        <v>0</v>
      </c>
      <c r="I685" s="60">
        <v>0</v>
      </c>
      <c r="J685" s="60">
        <v>0</v>
      </c>
      <c r="K685" s="168">
        <v>0</v>
      </c>
      <c r="L685" s="60">
        <v>0</v>
      </c>
      <c r="M685" s="60">
        <v>0</v>
      </c>
      <c r="N685" s="60">
        <v>0</v>
      </c>
      <c r="O685" s="60">
        <v>0</v>
      </c>
      <c r="P685" s="60">
        <v>0</v>
      </c>
      <c r="Q685" s="60">
        <v>0</v>
      </c>
      <c r="R685" s="60">
        <v>0</v>
      </c>
      <c r="S685" s="60">
        <v>0</v>
      </c>
      <c r="T685" s="60">
        <v>0</v>
      </c>
      <c r="U685" s="60">
        <v>0</v>
      </c>
      <c r="V685" s="60">
        <v>0</v>
      </c>
      <c r="W685" s="60">
        <v>0</v>
      </c>
      <c r="X685" s="60">
        <v>0</v>
      </c>
      <c r="Y685" s="60">
        <v>0</v>
      </c>
      <c r="Z685" s="60">
        <v>0</v>
      </c>
      <c r="AA685" s="60">
        <v>0</v>
      </c>
      <c r="AB685" s="60">
        <v>0</v>
      </c>
      <c r="AC685" s="60">
        <v>0</v>
      </c>
      <c r="AD685" s="62">
        <v>105750.06</v>
      </c>
      <c r="AE685" s="60">
        <v>0</v>
      </c>
      <c r="AF685" s="170">
        <v>2021</v>
      </c>
      <c r="AG685" s="170" t="s">
        <v>257</v>
      </c>
      <c r="AH685" s="63" t="s">
        <v>257</v>
      </c>
    </row>
    <row r="686" spans="1:34" ht="61.5" x14ac:dyDescent="0.85">
      <c r="A686" s="7">
        <v>1</v>
      </c>
      <c r="B686" s="59">
        <f>SUBTOTAL(103,$A$558:A686)</f>
        <v>127</v>
      </c>
      <c r="C686" s="160" t="s">
        <v>393</v>
      </c>
      <c r="D686" s="60">
        <f t="shared" si="96"/>
        <v>2963667.8699999996</v>
      </c>
      <c r="E686" s="60">
        <v>0</v>
      </c>
      <c r="F686" s="60">
        <v>0</v>
      </c>
      <c r="G686" s="60">
        <v>0</v>
      </c>
      <c r="H686" s="60">
        <v>0</v>
      </c>
      <c r="I686" s="60">
        <v>0</v>
      </c>
      <c r="J686" s="60">
        <v>0</v>
      </c>
      <c r="K686" s="168">
        <v>0</v>
      </c>
      <c r="L686" s="60">
        <v>0</v>
      </c>
      <c r="M686" s="60">
        <v>563.65</v>
      </c>
      <c r="N686" s="60">
        <v>2924840.61</v>
      </c>
      <c r="O686" s="60">
        <v>0</v>
      </c>
      <c r="P686" s="60">
        <v>0</v>
      </c>
      <c r="Q686" s="60">
        <v>0</v>
      </c>
      <c r="R686" s="60">
        <v>0</v>
      </c>
      <c r="S686" s="60">
        <v>0</v>
      </c>
      <c r="T686" s="60">
        <v>0</v>
      </c>
      <c r="U686" s="60">
        <v>0</v>
      </c>
      <c r="V686" s="60">
        <v>0</v>
      </c>
      <c r="W686" s="60">
        <v>0</v>
      </c>
      <c r="X686" s="60">
        <v>0</v>
      </c>
      <c r="Y686" s="60">
        <v>0</v>
      </c>
      <c r="Z686" s="60">
        <v>0</v>
      </c>
      <c r="AA686" s="60">
        <v>0</v>
      </c>
      <c r="AB686" s="60">
        <v>0</v>
      </c>
      <c r="AC686" s="62">
        <v>38827.26</v>
      </c>
      <c r="AD686" s="60">
        <v>0</v>
      </c>
      <c r="AE686" s="60">
        <v>0</v>
      </c>
      <c r="AF686" s="170" t="s">
        <v>257</v>
      </c>
      <c r="AG686" s="170">
        <v>2021</v>
      </c>
      <c r="AH686" s="63">
        <v>2021</v>
      </c>
    </row>
    <row r="687" spans="1:34" ht="61.5" x14ac:dyDescent="0.85">
      <c r="A687" s="7">
        <v>1</v>
      </c>
      <c r="B687" s="59">
        <f>SUBTOTAL(103,$A$558:A687)</f>
        <v>128</v>
      </c>
      <c r="C687" s="160" t="s">
        <v>394</v>
      </c>
      <c r="D687" s="60">
        <f t="shared" si="96"/>
        <v>1476366.8</v>
      </c>
      <c r="E687" s="60">
        <v>0</v>
      </c>
      <c r="F687" s="60">
        <v>0</v>
      </c>
      <c r="G687" s="60">
        <v>0</v>
      </c>
      <c r="H687" s="60">
        <v>0</v>
      </c>
      <c r="I687" s="60">
        <v>0</v>
      </c>
      <c r="J687" s="60">
        <v>0</v>
      </c>
      <c r="K687" s="168">
        <v>0</v>
      </c>
      <c r="L687" s="60">
        <v>0</v>
      </c>
      <c r="M687" s="60">
        <v>265.04000000000002</v>
      </c>
      <c r="N687" s="60">
        <v>1457024.8</v>
      </c>
      <c r="O687" s="60">
        <v>0</v>
      </c>
      <c r="P687" s="60">
        <v>0</v>
      </c>
      <c r="Q687" s="60">
        <v>0</v>
      </c>
      <c r="R687" s="60">
        <v>0</v>
      </c>
      <c r="S687" s="60">
        <v>0</v>
      </c>
      <c r="T687" s="60">
        <v>0</v>
      </c>
      <c r="U687" s="60">
        <v>0</v>
      </c>
      <c r="V687" s="60">
        <v>0</v>
      </c>
      <c r="W687" s="60">
        <v>0</v>
      </c>
      <c r="X687" s="60">
        <v>0</v>
      </c>
      <c r="Y687" s="60">
        <v>0</v>
      </c>
      <c r="Z687" s="60">
        <v>0</v>
      </c>
      <c r="AA687" s="60">
        <v>0</v>
      </c>
      <c r="AB687" s="60">
        <v>0</v>
      </c>
      <c r="AC687" s="62">
        <v>19342</v>
      </c>
      <c r="AD687" s="60">
        <v>0</v>
      </c>
      <c r="AE687" s="60">
        <v>0</v>
      </c>
      <c r="AF687" s="170" t="s">
        <v>257</v>
      </c>
      <c r="AG687" s="170">
        <v>2021</v>
      </c>
      <c r="AH687" s="63">
        <v>2021</v>
      </c>
    </row>
    <row r="688" spans="1:34" ht="61.5" x14ac:dyDescent="0.85">
      <c r="A688" s="7">
        <v>1</v>
      </c>
      <c r="B688" s="59">
        <f>SUBTOTAL(103,$A$558:A688)</f>
        <v>129</v>
      </c>
      <c r="C688" s="160" t="s">
        <v>396</v>
      </c>
      <c r="D688" s="60">
        <f t="shared" si="96"/>
        <v>2629575.83</v>
      </c>
      <c r="E688" s="60">
        <v>0</v>
      </c>
      <c r="F688" s="60">
        <v>0</v>
      </c>
      <c r="G688" s="60">
        <v>0</v>
      </c>
      <c r="H688" s="60">
        <v>0</v>
      </c>
      <c r="I688" s="60">
        <v>0</v>
      </c>
      <c r="J688" s="60">
        <v>0</v>
      </c>
      <c r="K688" s="168">
        <v>0</v>
      </c>
      <c r="L688" s="60">
        <v>0</v>
      </c>
      <c r="M688" s="62">
        <v>461.3</v>
      </c>
      <c r="N688" s="62">
        <v>2527427</v>
      </c>
      <c r="O688" s="60">
        <v>0</v>
      </c>
      <c r="P688" s="60">
        <v>0</v>
      </c>
      <c r="Q688" s="60">
        <v>0</v>
      </c>
      <c r="R688" s="60">
        <v>0</v>
      </c>
      <c r="S688" s="60">
        <v>0</v>
      </c>
      <c r="T688" s="60">
        <v>0</v>
      </c>
      <c r="U688" s="60">
        <v>0</v>
      </c>
      <c r="V688" s="60">
        <v>0</v>
      </c>
      <c r="W688" s="60">
        <v>0</v>
      </c>
      <c r="X688" s="60">
        <v>0</v>
      </c>
      <c r="Y688" s="60">
        <v>0</v>
      </c>
      <c r="Z688" s="60">
        <v>0</v>
      </c>
      <c r="AA688" s="60">
        <v>0</v>
      </c>
      <c r="AB688" s="60">
        <v>0</v>
      </c>
      <c r="AC688" s="62">
        <v>33551.589999999997</v>
      </c>
      <c r="AD688" s="60">
        <v>68597.240000000005</v>
      </c>
      <c r="AE688" s="60">
        <v>0</v>
      </c>
      <c r="AF688" s="170">
        <v>2021</v>
      </c>
      <c r="AG688" s="170">
        <v>2021</v>
      </c>
      <c r="AH688" s="63">
        <v>2021</v>
      </c>
    </row>
    <row r="689" spans="1:34" ht="61.5" x14ac:dyDescent="0.85">
      <c r="A689" s="7">
        <v>1</v>
      </c>
      <c r="B689" s="59">
        <f>SUBTOTAL(103,$A$558:A689)</f>
        <v>130</v>
      </c>
      <c r="C689" s="160" t="s">
        <v>397</v>
      </c>
      <c r="D689" s="60">
        <f t="shared" si="96"/>
        <v>2063308.78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168">
        <v>0</v>
      </c>
      <c r="L689" s="60">
        <v>0</v>
      </c>
      <c r="M689" s="60">
        <v>379.64</v>
      </c>
      <c r="N689" s="60">
        <v>1978562</v>
      </c>
      <c r="O689" s="60">
        <v>0</v>
      </c>
      <c r="P689" s="60">
        <v>0</v>
      </c>
      <c r="Q689" s="60">
        <v>0</v>
      </c>
      <c r="R689" s="60">
        <v>0</v>
      </c>
      <c r="S689" s="60">
        <v>0</v>
      </c>
      <c r="T689" s="60">
        <v>0</v>
      </c>
      <c r="U689" s="60">
        <v>0</v>
      </c>
      <c r="V689" s="60">
        <v>0</v>
      </c>
      <c r="W689" s="60">
        <v>0</v>
      </c>
      <c r="X689" s="60">
        <v>0</v>
      </c>
      <c r="Y689" s="60">
        <v>0</v>
      </c>
      <c r="Z689" s="60">
        <v>0</v>
      </c>
      <c r="AA689" s="60">
        <v>0</v>
      </c>
      <c r="AB689" s="60">
        <v>0</v>
      </c>
      <c r="AC689" s="62">
        <v>26265.41</v>
      </c>
      <c r="AD689" s="60">
        <v>58481.37</v>
      </c>
      <c r="AE689" s="60">
        <v>0</v>
      </c>
      <c r="AF689" s="170">
        <v>2021</v>
      </c>
      <c r="AG689" s="170">
        <v>2021</v>
      </c>
      <c r="AH689" s="63">
        <v>2021</v>
      </c>
    </row>
    <row r="690" spans="1:34" ht="61.5" x14ac:dyDescent="0.85">
      <c r="A690" s="7">
        <v>1</v>
      </c>
      <c r="B690" s="59">
        <f>SUBTOTAL(103,$A$558:A690)</f>
        <v>131</v>
      </c>
      <c r="C690" s="160" t="s">
        <v>398</v>
      </c>
      <c r="D690" s="60">
        <f t="shared" si="96"/>
        <v>2866181.7800000003</v>
      </c>
      <c r="E690" s="60">
        <v>0</v>
      </c>
      <c r="F690" s="60">
        <v>0</v>
      </c>
      <c r="G690" s="60">
        <v>0</v>
      </c>
      <c r="H690" s="60">
        <v>0</v>
      </c>
      <c r="I690" s="60">
        <v>0</v>
      </c>
      <c r="J690" s="60">
        <v>0</v>
      </c>
      <c r="K690" s="168">
        <v>0</v>
      </c>
      <c r="L690" s="60">
        <v>0</v>
      </c>
      <c r="M690" s="60">
        <v>689.86</v>
      </c>
      <c r="N690" s="60">
        <v>2724358</v>
      </c>
      <c r="O690" s="60">
        <v>0</v>
      </c>
      <c r="P690" s="60">
        <v>0</v>
      </c>
      <c r="Q690" s="60">
        <v>0</v>
      </c>
      <c r="R690" s="60">
        <v>0</v>
      </c>
      <c r="S690" s="60">
        <v>0</v>
      </c>
      <c r="T690" s="60">
        <v>0</v>
      </c>
      <c r="U690" s="60">
        <v>0</v>
      </c>
      <c r="V690" s="60">
        <v>0</v>
      </c>
      <c r="W690" s="60">
        <v>0</v>
      </c>
      <c r="X690" s="60">
        <v>0</v>
      </c>
      <c r="Y690" s="60">
        <v>0</v>
      </c>
      <c r="Z690" s="60">
        <v>0</v>
      </c>
      <c r="AA690" s="60">
        <v>0</v>
      </c>
      <c r="AB690" s="60">
        <v>0</v>
      </c>
      <c r="AC690" s="62">
        <v>36165.85</v>
      </c>
      <c r="AD690" s="60">
        <v>105657.93</v>
      </c>
      <c r="AE690" s="60">
        <v>0</v>
      </c>
      <c r="AF690" s="170">
        <v>2021</v>
      </c>
      <c r="AG690" s="170">
        <v>2021</v>
      </c>
      <c r="AH690" s="63">
        <v>2021</v>
      </c>
    </row>
    <row r="691" spans="1:34" ht="61.5" x14ac:dyDescent="0.85">
      <c r="A691" s="7">
        <v>1</v>
      </c>
      <c r="B691" s="59">
        <f>SUBTOTAL(103,$A$558:A691)</f>
        <v>132</v>
      </c>
      <c r="C691" s="195" t="s">
        <v>399</v>
      </c>
      <c r="D691" s="60">
        <f t="shared" si="96"/>
        <v>2347074.0100000002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168">
        <v>0</v>
      </c>
      <c r="L691" s="60">
        <v>0</v>
      </c>
      <c r="M691" s="60">
        <v>547.88</v>
      </c>
      <c r="N691" s="62">
        <v>2203069</v>
      </c>
      <c r="O691" s="60">
        <v>0</v>
      </c>
      <c r="P691" s="60">
        <v>0</v>
      </c>
      <c r="Q691" s="60">
        <v>0</v>
      </c>
      <c r="R691" s="60">
        <v>0</v>
      </c>
      <c r="S691" s="60">
        <v>0</v>
      </c>
      <c r="T691" s="60">
        <v>0</v>
      </c>
      <c r="U691" s="60">
        <v>0</v>
      </c>
      <c r="V691" s="60">
        <v>0</v>
      </c>
      <c r="W691" s="60">
        <v>0</v>
      </c>
      <c r="X691" s="60">
        <v>0</v>
      </c>
      <c r="Y691" s="60">
        <v>0</v>
      </c>
      <c r="Z691" s="60">
        <v>0</v>
      </c>
      <c r="AA691" s="60">
        <v>0</v>
      </c>
      <c r="AB691" s="60">
        <v>0</v>
      </c>
      <c r="AC691" s="62">
        <v>29245.74</v>
      </c>
      <c r="AD691" s="62">
        <v>114759.27</v>
      </c>
      <c r="AE691" s="60">
        <v>0</v>
      </c>
      <c r="AF691" s="170">
        <v>2021</v>
      </c>
      <c r="AG691" s="170">
        <v>2021</v>
      </c>
      <c r="AH691" s="63">
        <v>2021</v>
      </c>
    </row>
    <row r="692" spans="1:34" ht="61.5" x14ac:dyDescent="0.85">
      <c r="A692" s="7">
        <v>1</v>
      </c>
      <c r="B692" s="59">
        <f>SUBTOTAL(103,$A$558:A692)</f>
        <v>133</v>
      </c>
      <c r="C692" s="160" t="s">
        <v>400</v>
      </c>
      <c r="D692" s="60">
        <f t="shared" si="96"/>
        <v>3255890.12</v>
      </c>
      <c r="E692" s="60">
        <v>0</v>
      </c>
      <c r="F692" s="60">
        <v>0</v>
      </c>
      <c r="G692" s="60">
        <v>0</v>
      </c>
      <c r="H692" s="60">
        <v>0</v>
      </c>
      <c r="I692" s="60">
        <v>0</v>
      </c>
      <c r="J692" s="60">
        <v>0</v>
      </c>
      <c r="K692" s="168">
        <v>0</v>
      </c>
      <c r="L692" s="60">
        <v>0</v>
      </c>
      <c r="M692" s="62">
        <v>565</v>
      </c>
      <c r="N692" s="62">
        <v>3133199</v>
      </c>
      <c r="O692" s="60">
        <v>0</v>
      </c>
      <c r="P692" s="60">
        <v>0</v>
      </c>
      <c r="Q692" s="60">
        <v>0</v>
      </c>
      <c r="R692" s="60">
        <v>0</v>
      </c>
      <c r="S692" s="60">
        <v>0</v>
      </c>
      <c r="T692" s="60">
        <v>0</v>
      </c>
      <c r="U692" s="60">
        <v>0</v>
      </c>
      <c r="V692" s="60">
        <v>0</v>
      </c>
      <c r="W692" s="60">
        <v>0</v>
      </c>
      <c r="X692" s="60">
        <v>0</v>
      </c>
      <c r="Y692" s="60">
        <v>0</v>
      </c>
      <c r="Z692" s="60">
        <v>0</v>
      </c>
      <c r="AA692" s="60">
        <v>0</v>
      </c>
      <c r="AB692" s="60">
        <v>0</v>
      </c>
      <c r="AC692" s="62">
        <v>41593.22</v>
      </c>
      <c r="AD692" s="60">
        <v>81097.899999999994</v>
      </c>
      <c r="AE692" s="60">
        <v>0</v>
      </c>
      <c r="AF692" s="170">
        <v>2021</v>
      </c>
      <c r="AG692" s="170">
        <v>2021</v>
      </c>
      <c r="AH692" s="63">
        <v>2021</v>
      </c>
    </row>
    <row r="693" spans="1:34" ht="61.5" x14ac:dyDescent="0.85">
      <c r="A693" s="7">
        <v>1</v>
      </c>
      <c r="B693" s="59">
        <f>SUBTOTAL(103,$A$558:A693)</f>
        <v>134</v>
      </c>
      <c r="C693" s="160" t="s">
        <v>401</v>
      </c>
      <c r="D693" s="60">
        <f t="shared" si="96"/>
        <v>2533670.4300000002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168">
        <v>0</v>
      </c>
      <c r="L693" s="60">
        <v>0</v>
      </c>
      <c r="M693" s="60">
        <v>481.94</v>
      </c>
      <c r="N693" s="60">
        <v>2500476.6</v>
      </c>
      <c r="O693" s="60">
        <v>0</v>
      </c>
      <c r="P693" s="60">
        <v>0</v>
      </c>
      <c r="Q693" s="60">
        <v>0</v>
      </c>
      <c r="R693" s="60">
        <v>0</v>
      </c>
      <c r="S693" s="60">
        <v>0</v>
      </c>
      <c r="T693" s="60">
        <v>0</v>
      </c>
      <c r="U693" s="60">
        <v>0</v>
      </c>
      <c r="V693" s="60">
        <v>0</v>
      </c>
      <c r="W693" s="60">
        <v>0</v>
      </c>
      <c r="X693" s="60">
        <v>0</v>
      </c>
      <c r="Y693" s="60">
        <v>0</v>
      </c>
      <c r="Z693" s="60">
        <v>0</v>
      </c>
      <c r="AA693" s="60">
        <v>0</v>
      </c>
      <c r="AB693" s="60">
        <v>0</v>
      </c>
      <c r="AC693" s="62">
        <v>33193.83</v>
      </c>
      <c r="AD693" s="60">
        <v>0</v>
      </c>
      <c r="AE693" s="60">
        <v>0</v>
      </c>
      <c r="AF693" s="170" t="s">
        <v>257</v>
      </c>
      <c r="AG693" s="170">
        <v>2021</v>
      </c>
      <c r="AH693" s="63">
        <v>2021</v>
      </c>
    </row>
    <row r="694" spans="1:34" ht="61.5" x14ac:dyDescent="0.85">
      <c r="A694" s="7">
        <v>1</v>
      </c>
      <c r="B694" s="59">
        <f>SUBTOTAL(103,$A$558:A694)</f>
        <v>135</v>
      </c>
      <c r="C694" s="160" t="s">
        <v>1523</v>
      </c>
      <c r="D694" s="60">
        <f t="shared" si="96"/>
        <v>7415740.2200000007</v>
      </c>
      <c r="E694" s="60">
        <v>0</v>
      </c>
      <c r="F694" s="60">
        <v>0</v>
      </c>
      <c r="G694" s="60">
        <v>0</v>
      </c>
      <c r="H694" s="60">
        <v>0</v>
      </c>
      <c r="I694" s="60">
        <v>0</v>
      </c>
      <c r="J694" s="60">
        <v>0</v>
      </c>
      <c r="K694" s="168">
        <v>0</v>
      </c>
      <c r="L694" s="60">
        <v>0</v>
      </c>
      <c r="M694" s="60">
        <v>882</v>
      </c>
      <c r="N694" s="60">
        <v>7214205</v>
      </c>
      <c r="O694" s="60">
        <v>0</v>
      </c>
      <c r="P694" s="60">
        <v>0</v>
      </c>
      <c r="Q694" s="60">
        <v>0</v>
      </c>
      <c r="R694" s="60">
        <v>0</v>
      </c>
      <c r="S694" s="60">
        <v>0</v>
      </c>
      <c r="T694" s="60">
        <v>0</v>
      </c>
      <c r="U694" s="60">
        <v>0</v>
      </c>
      <c r="V694" s="60">
        <v>0</v>
      </c>
      <c r="W694" s="60">
        <v>0</v>
      </c>
      <c r="X694" s="60">
        <v>0</v>
      </c>
      <c r="Y694" s="60">
        <v>0</v>
      </c>
      <c r="Z694" s="60">
        <v>0</v>
      </c>
      <c r="AA694" s="60">
        <v>0</v>
      </c>
      <c r="AB694" s="60">
        <v>0</v>
      </c>
      <c r="AC694" s="62">
        <v>95768.57</v>
      </c>
      <c r="AD694" s="60">
        <v>105766.65</v>
      </c>
      <c r="AE694" s="60">
        <v>0</v>
      </c>
      <c r="AF694" s="170">
        <v>2021</v>
      </c>
      <c r="AG694" s="170">
        <v>2021</v>
      </c>
      <c r="AH694" s="63">
        <v>2021</v>
      </c>
    </row>
    <row r="695" spans="1:34" ht="61.5" x14ac:dyDescent="0.85">
      <c r="A695" s="7">
        <v>1</v>
      </c>
      <c r="B695" s="59">
        <f>SUBTOTAL(103,$A$558:A695)</f>
        <v>136</v>
      </c>
      <c r="C695" s="160" t="s">
        <v>1551</v>
      </c>
      <c r="D695" s="60">
        <f t="shared" si="96"/>
        <v>4896179.7299999995</v>
      </c>
      <c r="E695" s="60">
        <v>0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168">
        <v>0</v>
      </c>
      <c r="L695" s="60">
        <v>0</v>
      </c>
      <c r="M695" s="60">
        <v>848</v>
      </c>
      <c r="N695" s="62">
        <v>4727725</v>
      </c>
      <c r="O695" s="60">
        <v>0</v>
      </c>
      <c r="P695" s="60">
        <v>0</v>
      </c>
      <c r="Q695" s="60">
        <v>0</v>
      </c>
      <c r="R695" s="60">
        <v>0</v>
      </c>
      <c r="S695" s="60">
        <v>0</v>
      </c>
      <c r="T695" s="60">
        <v>0</v>
      </c>
      <c r="U695" s="60">
        <v>0</v>
      </c>
      <c r="V695" s="60">
        <v>0</v>
      </c>
      <c r="W695" s="60">
        <v>0</v>
      </c>
      <c r="X695" s="60">
        <v>0</v>
      </c>
      <c r="Y695" s="60">
        <v>0</v>
      </c>
      <c r="Z695" s="60">
        <v>0</v>
      </c>
      <c r="AA695" s="60">
        <v>0</v>
      </c>
      <c r="AB695" s="60">
        <v>0</v>
      </c>
      <c r="AC695" s="62">
        <v>62760.55</v>
      </c>
      <c r="AD695" s="60">
        <v>105694.18</v>
      </c>
      <c r="AE695" s="60">
        <v>0</v>
      </c>
      <c r="AF695" s="170">
        <v>2021</v>
      </c>
      <c r="AG695" s="170">
        <v>2021</v>
      </c>
      <c r="AH695" s="63">
        <v>2021</v>
      </c>
    </row>
    <row r="696" spans="1:34" ht="61.5" x14ac:dyDescent="0.85">
      <c r="A696" s="7">
        <v>1</v>
      </c>
      <c r="B696" s="59">
        <f>SUBTOTAL(103,$A$558:A696)</f>
        <v>137</v>
      </c>
      <c r="C696" s="160" t="s">
        <v>1552</v>
      </c>
      <c r="D696" s="60">
        <f t="shared" si="96"/>
        <v>3292242.61</v>
      </c>
      <c r="E696" s="60">
        <v>0</v>
      </c>
      <c r="F696" s="60">
        <v>0</v>
      </c>
      <c r="G696" s="60">
        <v>0</v>
      </c>
      <c r="H696" s="60">
        <v>0</v>
      </c>
      <c r="I696" s="60">
        <v>0</v>
      </c>
      <c r="J696" s="60">
        <v>0</v>
      </c>
      <c r="K696" s="168">
        <v>0</v>
      </c>
      <c r="L696" s="60">
        <v>0</v>
      </c>
      <c r="M696" s="60">
        <v>565</v>
      </c>
      <c r="N696" s="60">
        <v>3166334</v>
      </c>
      <c r="O696" s="60">
        <v>0</v>
      </c>
      <c r="P696" s="60">
        <v>0</v>
      </c>
      <c r="Q696" s="60">
        <v>0</v>
      </c>
      <c r="R696" s="60">
        <v>0</v>
      </c>
      <c r="S696" s="60">
        <v>0</v>
      </c>
      <c r="T696" s="60">
        <v>0</v>
      </c>
      <c r="U696" s="60">
        <v>0</v>
      </c>
      <c r="V696" s="60">
        <v>0</v>
      </c>
      <c r="W696" s="60">
        <v>0</v>
      </c>
      <c r="X696" s="60">
        <v>0</v>
      </c>
      <c r="Y696" s="60">
        <v>0</v>
      </c>
      <c r="Z696" s="60">
        <v>0</v>
      </c>
      <c r="AA696" s="60">
        <v>0</v>
      </c>
      <c r="AB696" s="60">
        <v>0</v>
      </c>
      <c r="AC696" s="62">
        <v>42033.08</v>
      </c>
      <c r="AD696" s="60">
        <v>83875.53</v>
      </c>
      <c r="AE696" s="60">
        <v>0</v>
      </c>
      <c r="AF696" s="170">
        <v>2021</v>
      </c>
      <c r="AG696" s="170">
        <v>2021</v>
      </c>
      <c r="AH696" s="63">
        <v>2021</v>
      </c>
    </row>
    <row r="697" spans="1:34" ht="61.5" x14ac:dyDescent="0.85">
      <c r="A697" s="7">
        <v>1</v>
      </c>
      <c r="B697" s="59">
        <f>SUBTOTAL(103,$A$558:A697)</f>
        <v>138</v>
      </c>
      <c r="C697" s="160" t="s">
        <v>413</v>
      </c>
      <c r="D697" s="60">
        <f t="shared" si="96"/>
        <v>2957619.0999999996</v>
      </c>
      <c r="E697" s="60">
        <v>0</v>
      </c>
      <c r="F697" s="60">
        <v>0</v>
      </c>
      <c r="G697" s="60">
        <v>0</v>
      </c>
      <c r="H697" s="60">
        <v>0</v>
      </c>
      <c r="I697" s="60">
        <v>0</v>
      </c>
      <c r="J697" s="60">
        <v>0</v>
      </c>
      <c r="K697" s="168">
        <v>2</v>
      </c>
      <c r="L697" s="60">
        <v>2957619.0999999996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0">
        <v>0</v>
      </c>
      <c r="T697" s="60">
        <v>0</v>
      </c>
      <c r="U697" s="60">
        <v>0</v>
      </c>
      <c r="V697" s="60">
        <v>0</v>
      </c>
      <c r="W697" s="60">
        <v>0</v>
      </c>
      <c r="X697" s="60">
        <v>0</v>
      </c>
      <c r="Y697" s="60">
        <v>0</v>
      </c>
      <c r="Z697" s="60">
        <v>0</v>
      </c>
      <c r="AA697" s="60">
        <v>0</v>
      </c>
      <c r="AB697" s="60">
        <v>0</v>
      </c>
      <c r="AC697" s="60">
        <v>0</v>
      </c>
      <c r="AD697" s="60">
        <v>0</v>
      </c>
      <c r="AE697" s="60">
        <v>0</v>
      </c>
      <c r="AF697" s="63" t="s">
        <v>257</v>
      </c>
      <c r="AG697" s="170">
        <v>2021</v>
      </c>
      <c r="AH697" s="63" t="s">
        <v>257</v>
      </c>
    </row>
    <row r="698" spans="1:34" ht="61.5" x14ac:dyDescent="0.85">
      <c r="A698" s="7">
        <v>1</v>
      </c>
      <c r="B698" s="59">
        <f>SUBTOTAL(103,$A$558:A698)</f>
        <v>139</v>
      </c>
      <c r="C698" s="160" t="s">
        <v>1567</v>
      </c>
      <c r="D698" s="60">
        <f t="shared" si="96"/>
        <v>2930743.46</v>
      </c>
      <c r="E698" s="60">
        <v>0</v>
      </c>
      <c r="F698" s="60">
        <v>0</v>
      </c>
      <c r="G698" s="60">
        <v>0</v>
      </c>
      <c r="H698" s="60">
        <v>0</v>
      </c>
      <c r="I698" s="60">
        <v>0</v>
      </c>
      <c r="J698" s="60">
        <v>0</v>
      </c>
      <c r="K698" s="168">
        <v>0</v>
      </c>
      <c r="L698" s="60">
        <v>0</v>
      </c>
      <c r="M698" s="60">
        <v>600</v>
      </c>
      <c r="N698" s="60">
        <v>2823071</v>
      </c>
      <c r="O698" s="60">
        <v>0</v>
      </c>
      <c r="P698" s="60">
        <v>0</v>
      </c>
      <c r="Q698" s="60">
        <v>0</v>
      </c>
      <c r="R698" s="60">
        <v>0</v>
      </c>
      <c r="S698" s="60">
        <v>0</v>
      </c>
      <c r="T698" s="60">
        <v>0</v>
      </c>
      <c r="U698" s="60">
        <v>0</v>
      </c>
      <c r="V698" s="60">
        <v>0</v>
      </c>
      <c r="W698" s="60">
        <v>0</v>
      </c>
      <c r="X698" s="60">
        <v>0</v>
      </c>
      <c r="Y698" s="60">
        <v>0</v>
      </c>
      <c r="Z698" s="60">
        <v>0</v>
      </c>
      <c r="AA698" s="60">
        <v>0</v>
      </c>
      <c r="AB698" s="60">
        <v>0</v>
      </c>
      <c r="AC698" s="62">
        <v>37476.269999999997</v>
      </c>
      <c r="AD698" s="60">
        <v>70196.19</v>
      </c>
      <c r="AE698" s="60">
        <v>0</v>
      </c>
      <c r="AF698" s="170">
        <v>2021</v>
      </c>
      <c r="AG698" s="170">
        <v>2021</v>
      </c>
      <c r="AH698" s="63">
        <v>2021</v>
      </c>
    </row>
    <row r="699" spans="1:34" ht="61.5" x14ac:dyDescent="0.85">
      <c r="A699" s="7">
        <v>1</v>
      </c>
      <c r="B699" s="59">
        <f>SUBTOTAL(103,$A$558:A699)</f>
        <v>140</v>
      </c>
      <c r="C699" s="160" t="s">
        <v>1568</v>
      </c>
      <c r="D699" s="60">
        <f t="shared" si="96"/>
        <v>2227389.04</v>
      </c>
      <c r="E699" s="60">
        <v>0</v>
      </c>
      <c r="F699" s="60">
        <v>0</v>
      </c>
      <c r="G699" s="60">
        <v>0</v>
      </c>
      <c r="H699" s="60">
        <v>0</v>
      </c>
      <c r="I699" s="60">
        <v>0</v>
      </c>
      <c r="J699" s="60">
        <v>0</v>
      </c>
      <c r="K699" s="168">
        <v>0</v>
      </c>
      <c r="L699" s="60">
        <v>0</v>
      </c>
      <c r="M699" s="62">
        <v>410</v>
      </c>
      <c r="N699" s="62">
        <v>2134221.4900000002</v>
      </c>
      <c r="O699" s="60">
        <v>0</v>
      </c>
      <c r="P699" s="60">
        <v>0</v>
      </c>
      <c r="Q699" s="60">
        <v>0</v>
      </c>
      <c r="R699" s="60">
        <v>0</v>
      </c>
      <c r="S699" s="60">
        <v>0</v>
      </c>
      <c r="T699" s="60">
        <v>0</v>
      </c>
      <c r="U699" s="60">
        <v>0</v>
      </c>
      <c r="V699" s="60">
        <v>0</v>
      </c>
      <c r="W699" s="60">
        <v>0</v>
      </c>
      <c r="X699" s="60">
        <v>0</v>
      </c>
      <c r="Y699" s="60">
        <v>0</v>
      </c>
      <c r="Z699" s="60">
        <v>0</v>
      </c>
      <c r="AA699" s="60">
        <v>0</v>
      </c>
      <c r="AB699" s="60">
        <v>0</v>
      </c>
      <c r="AC699" s="62">
        <v>28331.79</v>
      </c>
      <c r="AD699" s="169">
        <v>64835.76</v>
      </c>
      <c r="AE699" s="60">
        <v>0</v>
      </c>
      <c r="AF699" s="170">
        <v>2021</v>
      </c>
      <c r="AG699" s="170">
        <v>2021</v>
      </c>
      <c r="AH699" s="63">
        <v>2021</v>
      </c>
    </row>
    <row r="700" spans="1:34" ht="61.5" x14ac:dyDescent="0.85">
      <c r="A700" s="7">
        <v>1</v>
      </c>
      <c r="B700" s="59">
        <f>SUBTOTAL(103,$A$558:A700)</f>
        <v>141</v>
      </c>
      <c r="C700" s="160" t="s">
        <v>1213</v>
      </c>
      <c r="D700" s="60">
        <f t="shared" si="96"/>
        <v>11628214.93</v>
      </c>
      <c r="E700" s="60">
        <v>0</v>
      </c>
      <c r="F700" s="60">
        <v>0</v>
      </c>
      <c r="G700" s="60">
        <v>0</v>
      </c>
      <c r="H700" s="60">
        <v>0</v>
      </c>
      <c r="I700" s="60">
        <v>0</v>
      </c>
      <c r="J700" s="60">
        <v>0</v>
      </c>
      <c r="K700" s="168">
        <v>0</v>
      </c>
      <c r="L700" s="60">
        <v>0</v>
      </c>
      <c r="M700" s="60">
        <v>0</v>
      </c>
      <c r="N700" s="60">
        <v>0</v>
      </c>
      <c r="O700" s="60">
        <v>0</v>
      </c>
      <c r="P700" s="60">
        <v>0</v>
      </c>
      <c r="Q700" s="62">
        <v>2379</v>
      </c>
      <c r="R700" s="62">
        <v>11573530</v>
      </c>
      <c r="S700" s="60">
        <v>0</v>
      </c>
      <c r="T700" s="60">
        <v>0</v>
      </c>
      <c r="U700" s="60">
        <v>0</v>
      </c>
      <c r="V700" s="60">
        <v>0</v>
      </c>
      <c r="W700" s="60">
        <v>0</v>
      </c>
      <c r="X700" s="60">
        <v>0</v>
      </c>
      <c r="Y700" s="60">
        <v>0</v>
      </c>
      <c r="Z700" s="60">
        <v>0</v>
      </c>
      <c r="AA700" s="60">
        <v>0</v>
      </c>
      <c r="AB700" s="60">
        <v>0</v>
      </c>
      <c r="AC700" s="62">
        <v>54684.93</v>
      </c>
      <c r="AD700" s="62">
        <v>0</v>
      </c>
      <c r="AE700" s="60">
        <v>0</v>
      </c>
      <c r="AF700" s="170" t="s">
        <v>257</v>
      </c>
      <c r="AG700" s="170">
        <v>2021</v>
      </c>
      <c r="AH700" s="63">
        <v>2021</v>
      </c>
    </row>
    <row r="701" spans="1:34" ht="61.5" x14ac:dyDescent="0.85">
      <c r="A701" s="7">
        <v>1</v>
      </c>
      <c r="B701" s="59">
        <f>SUBTOTAL(103,$A$558:A701)</f>
        <v>142</v>
      </c>
      <c r="C701" s="160" t="s">
        <v>1495</v>
      </c>
      <c r="D701" s="60">
        <f t="shared" si="96"/>
        <v>3026054.9</v>
      </c>
      <c r="E701" s="60">
        <v>0</v>
      </c>
      <c r="F701" s="60">
        <v>0</v>
      </c>
      <c r="G701" s="60">
        <v>0</v>
      </c>
      <c r="H701" s="60">
        <v>0</v>
      </c>
      <c r="I701" s="60">
        <v>0</v>
      </c>
      <c r="J701" s="60">
        <v>0</v>
      </c>
      <c r="K701" s="168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2">
        <v>121.1</v>
      </c>
      <c r="T701" s="62">
        <v>3011824.03</v>
      </c>
      <c r="U701" s="60">
        <v>0</v>
      </c>
      <c r="V701" s="60">
        <v>0</v>
      </c>
      <c r="W701" s="60">
        <v>0</v>
      </c>
      <c r="X701" s="60">
        <v>0</v>
      </c>
      <c r="Y701" s="60">
        <v>0</v>
      </c>
      <c r="Z701" s="60">
        <v>0</v>
      </c>
      <c r="AA701" s="60">
        <v>0</v>
      </c>
      <c r="AB701" s="60">
        <v>0</v>
      </c>
      <c r="AC701" s="62">
        <v>14230.87</v>
      </c>
      <c r="AD701" s="62">
        <v>0</v>
      </c>
      <c r="AE701" s="60">
        <v>0</v>
      </c>
      <c r="AF701" s="170" t="s">
        <v>257</v>
      </c>
      <c r="AG701" s="170">
        <v>2021</v>
      </c>
      <c r="AH701" s="63">
        <v>2021</v>
      </c>
    </row>
    <row r="702" spans="1:34" ht="61.5" x14ac:dyDescent="0.85">
      <c r="A702" s="7">
        <v>1</v>
      </c>
      <c r="B702" s="59">
        <f>SUBTOTAL(103,$A$558:A702)</f>
        <v>143</v>
      </c>
      <c r="C702" s="160" t="s">
        <v>1757</v>
      </c>
      <c r="D702" s="60">
        <f t="shared" si="96"/>
        <v>1498304.0199999998</v>
      </c>
      <c r="E702" s="60">
        <v>0</v>
      </c>
      <c r="F702" s="60">
        <v>0</v>
      </c>
      <c r="G702" s="60">
        <v>0</v>
      </c>
      <c r="H702" s="60">
        <v>0</v>
      </c>
      <c r="I702" s="60">
        <v>1391686</v>
      </c>
      <c r="J702" s="60">
        <v>0</v>
      </c>
      <c r="K702" s="168">
        <v>0</v>
      </c>
      <c r="L702" s="60">
        <v>0</v>
      </c>
      <c r="M702" s="60">
        <v>0</v>
      </c>
      <c r="N702" s="60">
        <v>0</v>
      </c>
      <c r="O702" s="60">
        <v>0</v>
      </c>
      <c r="P702" s="60">
        <v>0</v>
      </c>
      <c r="Q702" s="60">
        <v>0</v>
      </c>
      <c r="R702" s="60">
        <v>0</v>
      </c>
      <c r="S702" s="60">
        <v>0</v>
      </c>
      <c r="T702" s="60">
        <v>0</v>
      </c>
      <c r="U702" s="60">
        <v>0</v>
      </c>
      <c r="V702" s="60">
        <v>0</v>
      </c>
      <c r="W702" s="60">
        <v>0</v>
      </c>
      <c r="X702" s="60">
        <v>0</v>
      </c>
      <c r="Y702" s="60">
        <v>0</v>
      </c>
      <c r="Z702" s="60">
        <v>0</v>
      </c>
      <c r="AA702" s="60">
        <v>0</v>
      </c>
      <c r="AB702" s="60">
        <v>0</v>
      </c>
      <c r="AC702" s="62">
        <v>18474.63</v>
      </c>
      <c r="AD702" s="173">
        <v>88143.39</v>
      </c>
      <c r="AE702" s="60">
        <v>0</v>
      </c>
      <c r="AF702" s="170">
        <v>2021</v>
      </c>
      <c r="AG702" s="170">
        <v>2021</v>
      </c>
      <c r="AH702" s="63">
        <v>2021</v>
      </c>
    </row>
    <row r="703" spans="1:34" ht="61.5" x14ac:dyDescent="0.85">
      <c r="A703" s="7">
        <v>1</v>
      </c>
      <c r="B703" s="59">
        <f>SUBTOTAL(103,$A$558:A703)</f>
        <v>144</v>
      </c>
      <c r="C703" s="160" t="s">
        <v>1090</v>
      </c>
      <c r="D703" s="60">
        <f t="shared" si="96"/>
        <v>375226.5</v>
      </c>
      <c r="E703" s="60">
        <v>0</v>
      </c>
      <c r="F703" s="60">
        <v>0</v>
      </c>
      <c r="G703" s="60">
        <v>0</v>
      </c>
      <c r="H703" s="60">
        <v>0</v>
      </c>
      <c r="I703" s="172">
        <v>375226.5</v>
      </c>
      <c r="J703" s="60">
        <v>0</v>
      </c>
      <c r="K703" s="168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0">
        <v>0</v>
      </c>
      <c r="T703" s="60">
        <v>0</v>
      </c>
      <c r="U703" s="60">
        <v>0</v>
      </c>
      <c r="V703" s="60">
        <v>0</v>
      </c>
      <c r="W703" s="60">
        <v>0</v>
      </c>
      <c r="X703" s="60">
        <v>0</v>
      </c>
      <c r="Y703" s="60">
        <v>0</v>
      </c>
      <c r="Z703" s="60">
        <v>0</v>
      </c>
      <c r="AA703" s="60">
        <v>0</v>
      </c>
      <c r="AB703" s="60">
        <v>0</v>
      </c>
      <c r="AC703" s="60">
        <v>0</v>
      </c>
      <c r="AD703" s="60">
        <v>0</v>
      </c>
      <c r="AE703" s="60">
        <v>0</v>
      </c>
      <c r="AF703" s="170" t="s">
        <v>257</v>
      </c>
      <c r="AG703" s="170">
        <v>2018</v>
      </c>
      <c r="AH703" s="170" t="s">
        <v>257</v>
      </c>
    </row>
    <row r="704" spans="1:34" ht="61.5" x14ac:dyDescent="0.85">
      <c r="A704" s="7">
        <v>1</v>
      </c>
      <c r="B704" s="59">
        <f>SUBTOTAL(103,$A$558:A704)</f>
        <v>145</v>
      </c>
      <c r="C704" s="160" t="s">
        <v>1091</v>
      </c>
      <c r="D704" s="60">
        <f t="shared" si="96"/>
        <v>160103.5</v>
      </c>
      <c r="E704" s="60">
        <v>0</v>
      </c>
      <c r="F704" s="60">
        <v>0</v>
      </c>
      <c r="G704" s="60">
        <v>0</v>
      </c>
      <c r="H704" s="60">
        <v>0</v>
      </c>
      <c r="I704" s="172">
        <v>160103.5</v>
      </c>
      <c r="J704" s="60">
        <v>0</v>
      </c>
      <c r="K704" s="168">
        <v>0</v>
      </c>
      <c r="L704" s="60">
        <v>0</v>
      </c>
      <c r="M704" s="60">
        <v>0</v>
      </c>
      <c r="N704" s="60">
        <v>0</v>
      </c>
      <c r="O704" s="60">
        <v>0</v>
      </c>
      <c r="P704" s="60">
        <v>0</v>
      </c>
      <c r="Q704" s="60">
        <v>0</v>
      </c>
      <c r="R704" s="60">
        <v>0</v>
      </c>
      <c r="S704" s="60">
        <v>0</v>
      </c>
      <c r="T704" s="60">
        <v>0</v>
      </c>
      <c r="U704" s="60">
        <v>0</v>
      </c>
      <c r="V704" s="60">
        <v>0</v>
      </c>
      <c r="W704" s="60">
        <v>0</v>
      </c>
      <c r="X704" s="60">
        <v>0</v>
      </c>
      <c r="Y704" s="60">
        <v>0</v>
      </c>
      <c r="Z704" s="60">
        <v>0</v>
      </c>
      <c r="AA704" s="60">
        <v>0</v>
      </c>
      <c r="AB704" s="60">
        <v>0</v>
      </c>
      <c r="AC704" s="60">
        <v>0</v>
      </c>
      <c r="AD704" s="60">
        <v>0</v>
      </c>
      <c r="AE704" s="60">
        <v>0</v>
      </c>
      <c r="AF704" s="170" t="s">
        <v>257</v>
      </c>
      <c r="AG704" s="170">
        <v>2018</v>
      </c>
      <c r="AH704" s="170" t="s">
        <v>257</v>
      </c>
    </row>
    <row r="705" spans="1:34" ht="61.5" x14ac:dyDescent="0.85">
      <c r="A705" s="7">
        <v>1</v>
      </c>
      <c r="B705" s="59">
        <f>SUBTOTAL(103,$A$558:A705)</f>
        <v>146</v>
      </c>
      <c r="C705" s="160" t="s">
        <v>2159</v>
      </c>
      <c r="D705" s="60">
        <f t="shared" si="96"/>
        <v>5163065.4399999995</v>
      </c>
      <c r="E705" s="60">
        <v>0</v>
      </c>
      <c r="F705" s="60">
        <v>0</v>
      </c>
      <c r="G705" s="60">
        <v>0</v>
      </c>
      <c r="H705" s="60">
        <v>0</v>
      </c>
      <c r="I705" s="60">
        <v>0</v>
      </c>
      <c r="J705" s="60">
        <v>0</v>
      </c>
      <c r="K705" s="168">
        <v>0</v>
      </c>
      <c r="L705" s="60">
        <v>0</v>
      </c>
      <c r="M705" s="60">
        <v>679.6</v>
      </c>
      <c r="N705" s="60">
        <v>5012688</v>
      </c>
      <c r="O705" s="60">
        <v>0</v>
      </c>
      <c r="P705" s="60">
        <v>0</v>
      </c>
      <c r="Q705" s="60">
        <v>0</v>
      </c>
      <c r="R705" s="60">
        <v>0</v>
      </c>
      <c r="S705" s="60">
        <v>0</v>
      </c>
      <c r="T705" s="60">
        <v>0</v>
      </c>
      <c r="U705" s="60">
        <v>0</v>
      </c>
      <c r="V705" s="60">
        <v>0</v>
      </c>
      <c r="W705" s="60">
        <v>0</v>
      </c>
      <c r="X705" s="60">
        <v>0</v>
      </c>
      <c r="Y705" s="60">
        <v>0</v>
      </c>
      <c r="Z705" s="60">
        <v>0</v>
      </c>
      <c r="AA705" s="60">
        <v>0</v>
      </c>
      <c r="AB705" s="60">
        <v>0</v>
      </c>
      <c r="AC705" s="62">
        <v>66543.429999999993</v>
      </c>
      <c r="AD705" s="60">
        <v>83834.009999999995</v>
      </c>
      <c r="AE705" s="60">
        <v>0</v>
      </c>
      <c r="AF705" s="170">
        <v>2021</v>
      </c>
      <c r="AG705" s="170">
        <v>2021</v>
      </c>
      <c r="AH705" s="63">
        <v>2021</v>
      </c>
    </row>
    <row r="706" spans="1:34" ht="61.5" x14ac:dyDescent="0.85">
      <c r="A706" s="7">
        <v>1</v>
      </c>
      <c r="B706" s="59">
        <f>SUBTOTAL(103,$A$558:A706)</f>
        <v>147</v>
      </c>
      <c r="C706" s="160" t="s">
        <v>2158</v>
      </c>
      <c r="D706" s="60">
        <f t="shared" si="96"/>
        <v>6139793.3400000008</v>
      </c>
      <c r="E706" s="60">
        <v>0</v>
      </c>
      <c r="F706" s="60">
        <v>0</v>
      </c>
      <c r="G706" s="60">
        <v>0</v>
      </c>
      <c r="H706" s="60">
        <v>0</v>
      </c>
      <c r="I706" s="60">
        <v>0</v>
      </c>
      <c r="J706" s="60">
        <v>0</v>
      </c>
      <c r="K706" s="168">
        <v>0</v>
      </c>
      <c r="L706" s="60">
        <v>0</v>
      </c>
      <c r="M706" s="60">
        <v>752</v>
      </c>
      <c r="N706" s="62">
        <v>5973652</v>
      </c>
      <c r="O706" s="60">
        <v>0</v>
      </c>
      <c r="P706" s="60">
        <v>0</v>
      </c>
      <c r="Q706" s="60">
        <v>0</v>
      </c>
      <c r="R706" s="60">
        <v>0</v>
      </c>
      <c r="S706" s="60">
        <v>0</v>
      </c>
      <c r="T706" s="60">
        <v>0</v>
      </c>
      <c r="U706" s="60">
        <v>0</v>
      </c>
      <c r="V706" s="60">
        <v>0</v>
      </c>
      <c r="W706" s="60">
        <v>0</v>
      </c>
      <c r="X706" s="60">
        <v>0</v>
      </c>
      <c r="Y706" s="60">
        <v>0</v>
      </c>
      <c r="Z706" s="60">
        <v>0</v>
      </c>
      <c r="AA706" s="60">
        <v>0</v>
      </c>
      <c r="AB706" s="60">
        <v>0</v>
      </c>
      <c r="AC706" s="62">
        <v>79300.23</v>
      </c>
      <c r="AD706" s="60">
        <v>86841.11</v>
      </c>
      <c r="AE706" s="60">
        <v>0</v>
      </c>
      <c r="AF706" s="170">
        <v>2021</v>
      </c>
      <c r="AG706" s="170">
        <v>2021</v>
      </c>
      <c r="AH706" s="63">
        <v>2021</v>
      </c>
    </row>
    <row r="707" spans="1:34" ht="61.5" x14ac:dyDescent="0.85">
      <c r="A707" s="7">
        <v>1</v>
      </c>
      <c r="B707" s="59">
        <f>SUBTOTAL(103,$A$558:A707)</f>
        <v>148</v>
      </c>
      <c r="C707" s="160" t="s">
        <v>2177</v>
      </c>
      <c r="D707" s="60">
        <f t="shared" si="96"/>
        <v>2008023.04</v>
      </c>
      <c r="E707" s="60">
        <v>0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192">
        <v>1</v>
      </c>
      <c r="L707" s="169">
        <v>1890630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0">
        <v>0</v>
      </c>
      <c r="T707" s="60">
        <v>0</v>
      </c>
      <c r="U707" s="60">
        <v>0</v>
      </c>
      <c r="V707" s="60">
        <v>0</v>
      </c>
      <c r="W707" s="60">
        <v>0</v>
      </c>
      <c r="X707" s="60">
        <v>0</v>
      </c>
      <c r="Y707" s="60">
        <v>0</v>
      </c>
      <c r="Z707" s="60">
        <v>0</v>
      </c>
      <c r="AA707" s="60">
        <v>0</v>
      </c>
      <c r="AB707" s="60">
        <v>0</v>
      </c>
      <c r="AC707" s="169">
        <v>13754.33</v>
      </c>
      <c r="AD707" s="62">
        <v>103638.71</v>
      </c>
      <c r="AE707" s="60">
        <v>0</v>
      </c>
      <c r="AF707" s="170">
        <v>2021</v>
      </c>
      <c r="AG707" s="170">
        <v>2021</v>
      </c>
      <c r="AH707" s="170">
        <v>2021</v>
      </c>
    </row>
    <row r="708" spans="1:34" ht="61.5" x14ac:dyDescent="0.85">
      <c r="A708" s="7">
        <v>1</v>
      </c>
      <c r="B708" s="59">
        <f>SUBTOTAL(103,$A$558:A708)</f>
        <v>149</v>
      </c>
      <c r="C708" s="160" t="s">
        <v>2178</v>
      </c>
      <c r="D708" s="60">
        <f t="shared" si="96"/>
        <v>11645764.920000002</v>
      </c>
      <c r="E708" s="60">
        <v>0</v>
      </c>
      <c r="F708" s="60">
        <v>0</v>
      </c>
      <c r="G708" s="60">
        <v>0</v>
      </c>
      <c r="H708" s="60">
        <v>0</v>
      </c>
      <c r="I708" s="60">
        <v>0</v>
      </c>
      <c r="J708" s="60">
        <v>0</v>
      </c>
      <c r="K708" s="192">
        <v>6</v>
      </c>
      <c r="L708" s="169">
        <v>11446329.600000001</v>
      </c>
      <c r="M708" s="60">
        <v>0</v>
      </c>
      <c r="N708" s="60">
        <v>0</v>
      </c>
      <c r="O708" s="60">
        <v>0</v>
      </c>
      <c r="P708" s="60">
        <v>0</v>
      </c>
      <c r="Q708" s="60">
        <v>0</v>
      </c>
      <c r="R708" s="60">
        <v>0</v>
      </c>
      <c r="S708" s="60">
        <v>0</v>
      </c>
      <c r="T708" s="60">
        <v>0</v>
      </c>
      <c r="U708" s="60">
        <v>0</v>
      </c>
      <c r="V708" s="60">
        <v>0</v>
      </c>
      <c r="W708" s="60">
        <v>0</v>
      </c>
      <c r="X708" s="60">
        <v>0</v>
      </c>
      <c r="Y708" s="60">
        <v>0</v>
      </c>
      <c r="Z708" s="60">
        <v>0</v>
      </c>
      <c r="AA708" s="60">
        <v>0</v>
      </c>
      <c r="AB708" s="60">
        <v>0</v>
      </c>
      <c r="AC708" s="60">
        <v>83272.05</v>
      </c>
      <c r="AD708" s="62">
        <v>116163.27</v>
      </c>
      <c r="AE708" s="60">
        <v>0</v>
      </c>
      <c r="AF708" s="170">
        <v>2021</v>
      </c>
      <c r="AG708" s="170">
        <v>2021</v>
      </c>
      <c r="AH708" s="170">
        <v>2021</v>
      </c>
    </row>
    <row r="709" spans="1:34" ht="61.5" x14ac:dyDescent="0.85">
      <c r="A709" s="7">
        <v>1</v>
      </c>
      <c r="B709" s="59">
        <f>SUBTOTAL(103,$A$558:A709)</f>
        <v>150</v>
      </c>
      <c r="C709" s="160" t="s">
        <v>759</v>
      </c>
      <c r="D709" s="60">
        <f t="shared" si="96"/>
        <v>90029.61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168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0">
        <v>0</v>
      </c>
      <c r="T709" s="60">
        <v>0</v>
      </c>
      <c r="U709" s="60">
        <v>0</v>
      </c>
      <c r="V709" s="60">
        <v>0</v>
      </c>
      <c r="W709" s="60">
        <v>0</v>
      </c>
      <c r="X709" s="60">
        <v>0</v>
      </c>
      <c r="Y709" s="60">
        <v>0</v>
      </c>
      <c r="Z709" s="60">
        <v>0</v>
      </c>
      <c r="AA709" s="60">
        <v>0</v>
      </c>
      <c r="AB709" s="60">
        <v>0</v>
      </c>
      <c r="AC709" s="60">
        <v>0</v>
      </c>
      <c r="AD709" s="62">
        <v>90029.61</v>
      </c>
      <c r="AE709" s="60">
        <v>0</v>
      </c>
      <c r="AF709" s="170">
        <v>2021</v>
      </c>
      <c r="AG709" s="170" t="s">
        <v>257</v>
      </c>
      <c r="AH709" s="170" t="s">
        <v>257</v>
      </c>
    </row>
    <row r="710" spans="1:34" ht="61.5" x14ac:dyDescent="0.85">
      <c r="A710" s="7">
        <v>1</v>
      </c>
      <c r="B710" s="59">
        <f>SUBTOTAL(103,$A$558:A710)</f>
        <v>151</v>
      </c>
      <c r="C710" s="160" t="s">
        <v>407</v>
      </c>
      <c r="D710" s="60">
        <f t="shared" si="96"/>
        <v>91994.559999999998</v>
      </c>
      <c r="E710" s="60">
        <v>0</v>
      </c>
      <c r="F710" s="60">
        <v>0</v>
      </c>
      <c r="G710" s="60">
        <v>0</v>
      </c>
      <c r="H710" s="60">
        <v>0</v>
      </c>
      <c r="I710" s="60">
        <v>0</v>
      </c>
      <c r="J710" s="60">
        <v>0</v>
      </c>
      <c r="K710" s="168">
        <v>0</v>
      </c>
      <c r="L710" s="60">
        <v>0</v>
      </c>
      <c r="M710" s="60">
        <v>0</v>
      </c>
      <c r="N710" s="60">
        <v>0</v>
      </c>
      <c r="O710" s="60">
        <v>0</v>
      </c>
      <c r="P710" s="60">
        <v>0</v>
      </c>
      <c r="Q710" s="60">
        <v>0</v>
      </c>
      <c r="R710" s="60">
        <v>0</v>
      </c>
      <c r="S710" s="60">
        <v>0</v>
      </c>
      <c r="T710" s="60">
        <v>0</v>
      </c>
      <c r="U710" s="60">
        <v>0</v>
      </c>
      <c r="V710" s="60">
        <v>0</v>
      </c>
      <c r="W710" s="60">
        <v>0</v>
      </c>
      <c r="X710" s="60">
        <v>0</v>
      </c>
      <c r="Y710" s="60">
        <v>0</v>
      </c>
      <c r="Z710" s="60">
        <v>0</v>
      </c>
      <c r="AA710" s="60">
        <v>0</v>
      </c>
      <c r="AB710" s="60">
        <v>0</v>
      </c>
      <c r="AC710" s="60">
        <v>0</v>
      </c>
      <c r="AD710" s="62">
        <v>91994.559999999998</v>
      </c>
      <c r="AE710" s="60">
        <v>0</v>
      </c>
      <c r="AF710" s="170">
        <v>2021</v>
      </c>
      <c r="AG710" s="170" t="s">
        <v>257</v>
      </c>
      <c r="AH710" s="170" t="s">
        <v>257</v>
      </c>
    </row>
    <row r="711" spans="1:34" ht="61.5" x14ac:dyDescent="0.85">
      <c r="A711" s="7">
        <v>1</v>
      </c>
      <c r="B711" s="59">
        <f>SUBTOTAL(103,$A$558:A711)</f>
        <v>152</v>
      </c>
      <c r="C711" s="160" t="s">
        <v>2503</v>
      </c>
      <c r="D711" s="60">
        <f t="shared" si="96"/>
        <v>1853057.2000000002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168">
        <v>1</v>
      </c>
      <c r="L711" s="60">
        <v>1751182.8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0">
        <v>0</v>
      </c>
      <c r="T711" s="60">
        <v>0</v>
      </c>
      <c r="U711" s="60">
        <v>0</v>
      </c>
      <c r="V711" s="60">
        <v>0</v>
      </c>
      <c r="W711" s="60">
        <v>0</v>
      </c>
      <c r="X711" s="60">
        <v>0</v>
      </c>
      <c r="Y711" s="60">
        <v>0</v>
      </c>
      <c r="Z711" s="60">
        <v>0</v>
      </c>
      <c r="AA711" s="60">
        <v>0</v>
      </c>
      <c r="AB711" s="60">
        <v>0</v>
      </c>
      <c r="AC711" s="60">
        <v>12739.85</v>
      </c>
      <c r="AD711" s="62">
        <v>89134.55</v>
      </c>
      <c r="AE711" s="60">
        <v>0</v>
      </c>
      <c r="AF711" s="170">
        <v>2021</v>
      </c>
      <c r="AG711" s="170">
        <v>2021</v>
      </c>
      <c r="AH711" s="170">
        <v>2021</v>
      </c>
    </row>
    <row r="712" spans="1:34" ht="61.5" x14ac:dyDescent="0.85">
      <c r="A712" s="7">
        <v>1</v>
      </c>
      <c r="B712" s="59">
        <f>SUBTOTAL(103,$A$558:A712)</f>
        <v>153</v>
      </c>
      <c r="C712" s="160" t="s">
        <v>2504</v>
      </c>
      <c r="D712" s="60">
        <f t="shared" si="96"/>
        <v>3619242.2199999997</v>
      </c>
      <c r="E712" s="60">
        <v>0</v>
      </c>
      <c r="F712" s="60">
        <v>0</v>
      </c>
      <c r="G712" s="60">
        <v>0</v>
      </c>
      <c r="H712" s="60">
        <v>0</v>
      </c>
      <c r="I712" s="60">
        <v>0</v>
      </c>
      <c r="J712" s="60">
        <v>0</v>
      </c>
      <c r="K712" s="168">
        <v>2</v>
      </c>
      <c r="L712" s="60">
        <v>3495952.8</v>
      </c>
      <c r="M712" s="60">
        <v>0</v>
      </c>
      <c r="N712" s="60">
        <v>0</v>
      </c>
      <c r="O712" s="60">
        <v>0</v>
      </c>
      <c r="P712" s="60">
        <v>0</v>
      </c>
      <c r="Q712" s="60">
        <v>0</v>
      </c>
      <c r="R712" s="60">
        <v>0</v>
      </c>
      <c r="S712" s="60">
        <v>0</v>
      </c>
      <c r="T712" s="60">
        <v>0</v>
      </c>
      <c r="U712" s="60">
        <v>0</v>
      </c>
      <c r="V712" s="60">
        <v>0</v>
      </c>
      <c r="W712" s="60">
        <v>0</v>
      </c>
      <c r="X712" s="60">
        <v>0</v>
      </c>
      <c r="Y712" s="60">
        <v>0</v>
      </c>
      <c r="Z712" s="60">
        <v>0</v>
      </c>
      <c r="AA712" s="60">
        <v>0</v>
      </c>
      <c r="AB712" s="60">
        <v>0</v>
      </c>
      <c r="AC712" s="60">
        <v>25433.06</v>
      </c>
      <c r="AD712" s="62">
        <v>97856.36</v>
      </c>
      <c r="AE712" s="60">
        <v>0</v>
      </c>
      <c r="AF712" s="170">
        <v>2021</v>
      </c>
      <c r="AG712" s="170">
        <v>2021</v>
      </c>
      <c r="AH712" s="170">
        <v>2021</v>
      </c>
    </row>
    <row r="713" spans="1:34" ht="61.5" x14ac:dyDescent="0.85">
      <c r="A713" s="7">
        <v>1</v>
      </c>
      <c r="B713" s="59">
        <f>SUBTOTAL(103,$A$558:A713)</f>
        <v>154</v>
      </c>
      <c r="C713" s="160" t="s">
        <v>2505</v>
      </c>
      <c r="D713" s="60">
        <f t="shared" si="96"/>
        <v>5369834.1800000006</v>
      </c>
      <c r="E713" s="60">
        <v>0</v>
      </c>
      <c r="F713" s="60">
        <v>0</v>
      </c>
      <c r="G713" s="60">
        <v>0</v>
      </c>
      <c r="H713" s="60">
        <v>0</v>
      </c>
      <c r="I713" s="60">
        <v>0</v>
      </c>
      <c r="J713" s="60">
        <v>0</v>
      </c>
      <c r="K713" s="168">
        <v>3</v>
      </c>
      <c r="L713" s="60">
        <v>5233950</v>
      </c>
      <c r="M713" s="60">
        <v>0</v>
      </c>
      <c r="N713" s="60">
        <v>0</v>
      </c>
      <c r="O713" s="60">
        <v>0</v>
      </c>
      <c r="P713" s="60">
        <v>0</v>
      </c>
      <c r="Q713" s="60">
        <v>0</v>
      </c>
      <c r="R713" s="60">
        <v>0</v>
      </c>
      <c r="S713" s="60">
        <v>0</v>
      </c>
      <c r="T713" s="60">
        <v>0</v>
      </c>
      <c r="U713" s="60">
        <v>0</v>
      </c>
      <c r="V713" s="60">
        <v>0</v>
      </c>
      <c r="W713" s="60">
        <v>0</v>
      </c>
      <c r="X713" s="60">
        <v>0</v>
      </c>
      <c r="Y713" s="60">
        <v>0</v>
      </c>
      <c r="Z713" s="60">
        <v>0</v>
      </c>
      <c r="AA713" s="60">
        <v>0</v>
      </c>
      <c r="AB713" s="60">
        <v>0</v>
      </c>
      <c r="AC713" s="60">
        <v>38076.99</v>
      </c>
      <c r="AD713" s="62">
        <v>97807.19</v>
      </c>
      <c r="AE713" s="60">
        <v>0</v>
      </c>
      <c r="AF713" s="170">
        <v>2021</v>
      </c>
      <c r="AG713" s="170">
        <v>2021</v>
      </c>
      <c r="AH713" s="170">
        <v>2021</v>
      </c>
    </row>
    <row r="714" spans="1:34" ht="61.5" x14ac:dyDescent="0.85">
      <c r="A714" s="7">
        <v>1</v>
      </c>
      <c r="B714" s="59">
        <f>SUBTOTAL(103,$A$558:A714)</f>
        <v>155</v>
      </c>
      <c r="C714" s="160" t="s">
        <v>192</v>
      </c>
      <c r="D714" s="60">
        <f t="shared" si="96"/>
        <v>4651191.3999999994</v>
      </c>
      <c r="E714" s="60">
        <v>0</v>
      </c>
      <c r="F714" s="60">
        <v>0</v>
      </c>
      <c r="G714" s="60">
        <v>0</v>
      </c>
      <c r="H714" s="60">
        <v>0</v>
      </c>
      <c r="I714" s="60">
        <v>0</v>
      </c>
      <c r="J714" s="60">
        <v>0</v>
      </c>
      <c r="K714" s="168">
        <v>0</v>
      </c>
      <c r="L714" s="60">
        <v>0</v>
      </c>
      <c r="M714" s="60">
        <v>747.59</v>
      </c>
      <c r="N714" s="60">
        <v>4543203</v>
      </c>
      <c r="O714" s="60">
        <v>0</v>
      </c>
      <c r="P714" s="60">
        <v>0</v>
      </c>
      <c r="Q714" s="60">
        <v>0</v>
      </c>
      <c r="R714" s="60">
        <v>0</v>
      </c>
      <c r="S714" s="60">
        <v>0</v>
      </c>
      <c r="T714" s="60">
        <v>0</v>
      </c>
      <c r="U714" s="60">
        <v>0</v>
      </c>
      <c r="V714" s="60">
        <v>0</v>
      </c>
      <c r="W714" s="60">
        <v>0</v>
      </c>
      <c r="X714" s="60">
        <v>0</v>
      </c>
      <c r="Y714" s="60">
        <v>0</v>
      </c>
      <c r="Z714" s="60">
        <v>0</v>
      </c>
      <c r="AA714" s="60">
        <v>0</v>
      </c>
      <c r="AB714" s="60">
        <v>0</v>
      </c>
      <c r="AC714" s="62">
        <v>60311.02</v>
      </c>
      <c r="AD714" s="62">
        <v>47677.38</v>
      </c>
      <c r="AE714" s="60">
        <v>0</v>
      </c>
      <c r="AF714" s="170">
        <v>2021</v>
      </c>
      <c r="AG714" s="170">
        <v>2021</v>
      </c>
      <c r="AH714" s="170">
        <v>2021</v>
      </c>
    </row>
    <row r="715" spans="1:34" ht="61.5" x14ac:dyDescent="0.85">
      <c r="A715" s="7">
        <v>1</v>
      </c>
      <c r="B715" s="59">
        <f>SUBTOTAL(103,$A$558:A715)</f>
        <v>156</v>
      </c>
      <c r="C715" s="160" t="s">
        <v>1590</v>
      </c>
      <c r="D715" s="60">
        <f t="shared" si="96"/>
        <v>106040.56</v>
      </c>
      <c r="E715" s="60">
        <v>0</v>
      </c>
      <c r="F715" s="60">
        <v>0</v>
      </c>
      <c r="G715" s="60">
        <v>0</v>
      </c>
      <c r="H715" s="60">
        <v>0</v>
      </c>
      <c r="I715" s="60">
        <v>0</v>
      </c>
      <c r="J715" s="60">
        <v>0</v>
      </c>
      <c r="K715" s="168">
        <v>0</v>
      </c>
      <c r="L715" s="60">
        <v>0</v>
      </c>
      <c r="M715" s="60">
        <v>0</v>
      </c>
      <c r="N715" s="60">
        <v>0</v>
      </c>
      <c r="O715" s="60">
        <v>0</v>
      </c>
      <c r="P715" s="60">
        <v>0</v>
      </c>
      <c r="Q715" s="60">
        <v>0</v>
      </c>
      <c r="R715" s="60">
        <v>0</v>
      </c>
      <c r="S715" s="60">
        <v>0</v>
      </c>
      <c r="T715" s="60">
        <v>0</v>
      </c>
      <c r="U715" s="60">
        <v>0</v>
      </c>
      <c r="V715" s="60">
        <v>0</v>
      </c>
      <c r="W715" s="60">
        <v>0</v>
      </c>
      <c r="X715" s="60">
        <v>0</v>
      </c>
      <c r="Y715" s="60">
        <v>0</v>
      </c>
      <c r="Z715" s="60">
        <v>0</v>
      </c>
      <c r="AA715" s="60">
        <v>0</v>
      </c>
      <c r="AB715" s="60">
        <v>0</v>
      </c>
      <c r="AC715" s="60">
        <v>0</v>
      </c>
      <c r="AD715" s="60">
        <v>106040.56</v>
      </c>
      <c r="AE715" s="60">
        <v>0</v>
      </c>
      <c r="AF715" s="170">
        <v>2021</v>
      </c>
      <c r="AG715" s="170" t="s">
        <v>257</v>
      </c>
      <c r="AH715" s="170" t="s">
        <v>257</v>
      </c>
    </row>
    <row r="716" spans="1:34" ht="61.5" x14ac:dyDescent="0.85">
      <c r="A716" s="7">
        <v>1</v>
      </c>
      <c r="B716" s="59">
        <f>SUBTOTAL(103,$A$558:A716)</f>
        <v>157</v>
      </c>
      <c r="C716" s="160" t="s">
        <v>194</v>
      </c>
      <c r="D716" s="60">
        <f t="shared" si="96"/>
        <v>3291829.8200000003</v>
      </c>
      <c r="E716" s="60">
        <v>0</v>
      </c>
      <c r="F716" s="60">
        <v>0</v>
      </c>
      <c r="G716" s="60">
        <v>0</v>
      </c>
      <c r="H716" s="60">
        <v>0</v>
      </c>
      <c r="I716" s="60">
        <v>0</v>
      </c>
      <c r="J716" s="60">
        <v>0</v>
      </c>
      <c r="K716" s="168">
        <v>0</v>
      </c>
      <c r="L716" s="60">
        <v>0</v>
      </c>
      <c r="M716" s="60">
        <v>761.1</v>
      </c>
      <c r="N716" s="60">
        <v>3128774</v>
      </c>
      <c r="O716" s="60">
        <v>0</v>
      </c>
      <c r="P716" s="60">
        <v>0</v>
      </c>
      <c r="Q716" s="60">
        <v>0</v>
      </c>
      <c r="R716" s="60">
        <v>0</v>
      </c>
      <c r="S716" s="60">
        <v>0</v>
      </c>
      <c r="T716" s="60">
        <v>0</v>
      </c>
      <c r="U716" s="60">
        <v>0</v>
      </c>
      <c r="V716" s="60">
        <v>0</v>
      </c>
      <c r="W716" s="60">
        <v>0</v>
      </c>
      <c r="X716" s="60">
        <v>0</v>
      </c>
      <c r="Y716" s="60">
        <v>0</v>
      </c>
      <c r="Z716" s="60">
        <v>0</v>
      </c>
      <c r="AA716" s="60">
        <v>0</v>
      </c>
      <c r="AB716" s="60">
        <v>0</v>
      </c>
      <c r="AC716" s="60">
        <v>33143.1</v>
      </c>
      <c r="AD716" s="62">
        <v>129912.72</v>
      </c>
      <c r="AE716" s="60">
        <v>0</v>
      </c>
      <c r="AF716" s="170">
        <v>2021</v>
      </c>
      <c r="AG716" s="170">
        <v>2021</v>
      </c>
      <c r="AH716" s="170">
        <v>2021</v>
      </c>
    </row>
    <row r="717" spans="1:34" ht="61.5" x14ac:dyDescent="0.85">
      <c r="B717" s="160" t="s">
        <v>710</v>
      </c>
      <c r="C717" s="160"/>
      <c r="D717" s="177">
        <f t="shared" ref="D717:AE717" si="97">SUM(D718:D771)</f>
        <v>285849688.59999996</v>
      </c>
      <c r="E717" s="60">
        <f t="shared" si="97"/>
        <v>0</v>
      </c>
      <c r="F717" s="60">
        <f t="shared" si="97"/>
        <v>0</v>
      </c>
      <c r="G717" s="60">
        <f t="shared" si="97"/>
        <v>3100093.77</v>
      </c>
      <c r="H717" s="60">
        <f t="shared" si="97"/>
        <v>0</v>
      </c>
      <c r="I717" s="60">
        <f t="shared" si="97"/>
        <v>434298.01</v>
      </c>
      <c r="J717" s="60">
        <f t="shared" si="97"/>
        <v>0</v>
      </c>
      <c r="K717" s="168">
        <f t="shared" si="97"/>
        <v>143</v>
      </c>
      <c r="L717" s="60">
        <f t="shared" si="97"/>
        <v>255991893.87999997</v>
      </c>
      <c r="M717" s="60">
        <f t="shared" si="97"/>
        <v>1879.77</v>
      </c>
      <c r="N717" s="60">
        <f t="shared" si="97"/>
        <v>8671166.4499999993</v>
      </c>
      <c r="O717" s="60">
        <f t="shared" si="97"/>
        <v>0</v>
      </c>
      <c r="P717" s="60">
        <f t="shared" si="97"/>
        <v>0</v>
      </c>
      <c r="Q717" s="60">
        <f t="shared" si="97"/>
        <v>2037.21</v>
      </c>
      <c r="R717" s="60">
        <f t="shared" si="97"/>
        <v>10177614</v>
      </c>
      <c r="S717" s="60">
        <f t="shared" si="97"/>
        <v>0</v>
      </c>
      <c r="T717" s="60">
        <f t="shared" si="97"/>
        <v>0</v>
      </c>
      <c r="U717" s="60">
        <f t="shared" si="97"/>
        <v>0</v>
      </c>
      <c r="V717" s="60">
        <f t="shared" si="97"/>
        <v>0</v>
      </c>
      <c r="W717" s="60">
        <f t="shared" si="97"/>
        <v>0</v>
      </c>
      <c r="X717" s="60">
        <f t="shared" si="97"/>
        <v>0</v>
      </c>
      <c r="Y717" s="60">
        <f t="shared" si="97"/>
        <v>0</v>
      </c>
      <c r="Z717" s="60">
        <f t="shared" si="97"/>
        <v>0</v>
      </c>
      <c r="AA717" s="60">
        <f t="shared" si="97"/>
        <v>0</v>
      </c>
      <c r="AB717" s="60">
        <f t="shared" si="97"/>
        <v>0</v>
      </c>
      <c r="AC717" s="60">
        <f t="shared" si="97"/>
        <v>2104702.0900000003</v>
      </c>
      <c r="AD717" s="60">
        <f t="shared" si="97"/>
        <v>5369920.4000000004</v>
      </c>
      <c r="AE717" s="60">
        <f t="shared" si="97"/>
        <v>0</v>
      </c>
      <c r="AF717" s="54" t="s">
        <v>701</v>
      </c>
      <c r="AG717" s="54" t="s">
        <v>701</v>
      </c>
      <c r="AH717" s="55" t="s">
        <v>701</v>
      </c>
    </row>
    <row r="718" spans="1:34" ht="61.5" x14ac:dyDescent="0.85">
      <c r="A718" s="7">
        <v>1</v>
      </c>
      <c r="B718" s="59">
        <f>SUBTOTAL(103,$A$558:A718)</f>
        <v>158</v>
      </c>
      <c r="C718" s="160" t="s">
        <v>722</v>
      </c>
      <c r="D718" s="60">
        <f t="shared" ref="D718:D749" si="98">E718+F718+G718+H718+I718+J718+L718+N718+P718+R718+T718+U718+V718+W718+X718+Y718+Z718+AA718+AB718+AC718+AD718+AE718</f>
        <v>96616</v>
      </c>
      <c r="E718" s="60">
        <v>0</v>
      </c>
      <c r="F718" s="60">
        <v>0</v>
      </c>
      <c r="G718" s="60">
        <v>0</v>
      </c>
      <c r="H718" s="60">
        <v>0</v>
      </c>
      <c r="I718" s="60">
        <v>0</v>
      </c>
      <c r="J718" s="60">
        <v>0</v>
      </c>
      <c r="K718" s="168">
        <v>0</v>
      </c>
      <c r="L718" s="60">
        <v>0</v>
      </c>
      <c r="M718" s="60">
        <v>0</v>
      </c>
      <c r="N718" s="60">
        <v>0</v>
      </c>
      <c r="O718" s="60">
        <v>0</v>
      </c>
      <c r="P718" s="60">
        <v>0</v>
      </c>
      <c r="Q718" s="60">
        <v>0</v>
      </c>
      <c r="R718" s="60">
        <v>0</v>
      </c>
      <c r="S718" s="60">
        <v>0</v>
      </c>
      <c r="T718" s="60">
        <v>0</v>
      </c>
      <c r="U718" s="60">
        <v>0</v>
      </c>
      <c r="V718" s="60">
        <v>0</v>
      </c>
      <c r="W718" s="60">
        <v>0</v>
      </c>
      <c r="X718" s="60">
        <v>0</v>
      </c>
      <c r="Y718" s="60">
        <v>0</v>
      </c>
      <c r="Z718" s="60">
        <v>0</v>
      </c>
      <c r="AA718" s="60">
        <v>0</v>
      </c>
      <c r="AB718" s="60">
        <v>0</v>
      </c>
      <c r="AC718" s="60">
        <v>0</v>
      </c>
      <c r="AD718" s="60">
        <v>96616</v>
      </c>
      <c r="AE718" s="60">
        <v>0</v>
      </c>
      <c r="AF718" s="170">
        <v>2021</v>
      </c>
      <c r="AG718" s="63" t="s">
        <v>257</v>
      </c>
      <c r="AH718" s="63" t="s">
        <v>257</v>
      </c>
    </row>
    <row r="719" spans="1:34" ht="61.5" x14ac:dyDescent="0.85">
      <c r="A719" s="7">
        <v>1</v>
      </c>
      <c r="B719" s="59">
        <f>SUBTOTAL(103,$A$558:A719)</f>
        <v>159</v>
      </c>
      <c r="C719" s="160" t="s">
        <v>724</v>
      </c>
      <c r="D719" s="60">
        <f t="shared" si="98"/>
        <v>6290060.6799999997</v>
      </c>
      <c r="E719" s="60">
        <v>0</v>
      </c>
      <c r="F719" s="60">
        <v>0</v>
      </c>
      <c r="G719" s="60">
        <v>0</v>
      </c>
      <c r="H719" s="60">
        <v>0</v>
      </c>
      <c r="I719" s="60">
        <v>0</v>
      </c>
      <c r="J719" s="60">
        <v>0</v>
      </c>
      <c r="K719" s="168">
        <v>4</v>
      </c>
      <c r="L719" s="60">
        <v>6290060.6799999997</v>
      </c>
      <c r="M719" s="60">
        <v>0</v>
      </c>
      <c r="N719" s="60">
        <v>0</v>
      </c>
      <c r="O719" s="60">
        <v>0</v>
      </c>
      <c r="P719" s="60">
        <v>0</v>
      </c>
      <c r="Q719" s="60">
        <v>0</v>
      </c>
      <c r="R719" s="60">
        <v>0</v>
      </c>
      <c r="S719" s="60">
        <v>0</v>
      </c>
      <c r="T719" s="60">
        <v>0</v>
      </c>
      <c r="U719" s="60">
        <v>0</v>
      </c>
      <c r="V719" s="60">
        <v>0</v>
      </c>
      <c r="W719" s="60">
        <v>0</v>
      </c>
      <c r="X719" s="60">
        <v>0</v>
      </c>
      <c r="Y719" s="60">
        <v>0</v>
      </c>
      <c r="Z719" s="60">
        <v>0</v>
      </c>
      <c r="AA719" s="60">
        <v>0</v>
      </c>
      <c r="AB719" s="60">
        <v>0</v>
      </c>
      <c r="AC719" s="60">
        <v>0</v>
      </c>
      <c r="AD719" s="58">
        <v>0</v>
      </c>
      <c r="AE719" s="60">
        <v>0</v>
      </c>
      <c r="AF719" s="63" t="s">
        <v>257</v>
      </c>
      <c r="AG719" s="170">
        <v>2021</v>
      </c>
      <c r="AH719" s="63" t="s">
        <v>257</v>
      </c>
    </row>
    <row r="720" spans="1:34" ht="61.5" x14ac:dyDescent="0.85">
      <c r="A720" s="7">
        <v>1</v>
      </c>
      <c r="B720" s="59">
        <f>SUBTOTAL(103,$A$558:A720)</f>
        <v>160</v>
      </c>
      <c r="C720" s="160" t="s">
        <v>734</v>
      </c>
      <c r="D720" s="60">
        <f t="shared" si="98"/>
        <v>7808742.25</v>
      </c>
      <c r="E720" s="60">
        <v>0</v>
      </c>
      <c r="F720" s="60">
        <v>0</v>
      </c>
      <c r="G720" s="60">
        <v>0</v>
      </c>
      <c r="H720" s="60">
        <v>0</v>
      </c>
      <c r="I720" s="60">
        <v>0</v>
      </c>
      <c r="J720" s="60">
        <v>0</v>
      </c>
      <c r="K720" s="192">
        <v>4</v>
      </c>
      <c r="L720" s="169">
        <v>7623859.2000000002</v>
      </c>
      <c r="M720" s="60">
        <v>0</v>
      </c>
      <c r="N720" s="60">
        <v>0</v>
      </c>
      <c r="O720" s="60">
        <v>0</v>
      </c>
      <c r="P720" s="60">
        <v>0</v>
      </c>
      <c r="Q720" s="60">
        <v>0</v>
      </c>
      <c r="R720" s="60">
        <v>0</v>
      </c>
      <c r="S720" s="60">
        <v>0</v>
      </c>
      <c r="T720" s="60">
        <v>0</v>
      </c>
      <c r="U720" s="60">
        <v>0</v>
      </c>
      <c r="V720" s="60">
        <v>0</v>
      </c>
      <c r="W720" s="60">
        <v>0</v>
      </c>
      <c r="X720" s="60">
        <v>0</v>
      </c>
      <c r="Y720" s="60">
        <v>0</v>
      </c>
      <c r="Z720" s="60">
        <v>0</v>
      </c>
      <c r="AA720" s="60">
        <v>0</v>
      </c>
      <c r="AB720" s="60">
        <v>0</v>
      </c>
      <c r="AC720" s="62">
        <v>55463.58</v>
      </c>
      <c r="AD720" s="62">
        <v>129419.47</v>
      </c>
      <c r="AE720" s="60">
        <v>0</v>
      </c>
      <c r="AF720" s="170">
        <v>2021</v>
      </c>
      <c r="AG720" s="170">
        <v>2021</v>
      </c>
      <c r="AH720" s="170">
        <v>2021</v>
      </c>
    </row>
    <row r="721" spans="1:34" ht="61.5" x14ac:dyDescent="0.85">
      <c r="A721" s="7">
        <v>1</v>
      </c>
      <c r="B721" s="59">
        <f>SUBTOTAL(103,$A$558:A721)</f>
        <v>161</v>
      </c>
      <c r="C721" s="160" t="s">
        <v>1014</v>
      </c>
      <c r="D721" s="60">
        <f t="shared" si="98"/>
        <v>88143.9</v>
      </c>
      <c r="E721" s="60">
        <v>0</v>
      </c>
      <c r="F721" s="60">
        <v>0</v>
      </c>
      <c r="G721" s="60">
        <v>0</v>
      </c>
      <c r="H721" s="60">
        <v>0</v>
      </c>
      <c r="I721" s="60">
        <v>0</v>
      </c>
      <c r="J721" s="60">
        <v>0</v>
      </c>
      <c r="K721" s="168">
        <v>0</v>
      </c>
      <c r="L721" s="60">
        <v>0</v>
      </c>
      <c r="M721" s="60">
        <v>0</v>
      </c>
      <c r="N721" s="60">
        <v>0</v>
      </c>
      <c r="O721" s="60">
        <v>0</v>
      </c>
      <c r="P721" s="60">
        <v>0</v>
      </c>
      <c r="Q721" s="60">
        <v>0</v>
      </c>
      <c r="R721" s="60">
        <v>0</v>
      </c>
      <c r="S721" s="60">
        <v>0</v>
      </c>
      <c r="T721" s="60">
        <v>0</v>
      </c>
      <c r="U721" s="60">
        <v>0</v>
      </c>
      <c r="V721" s="60">
        <v>0</v>
      </c>
      <c r="W721" s="60">
        <v>0</v>
      </c>
      <c r="X721" s="60">
        <v>0</v>
      </c>
      <c r="Y721" s="60">
        <v>0</v>
      </c>
      <c r="Z721" s="60">
        <v>0</v>
      </c>
      <c r="AA721" s="60">
        <v>0</v>
      </c>
      <c r="AB721" s="60">
        <v>0</v>
      </c>
      <c r="AC721" s="60">
        <v>0</v>
      </c>
      <c r="AD721" s="60">
        <v>88143.9</v>
      </c>
      <c r="AE721" s="60">
        <v>0</v>
      </c>
      <c r="AF721" s="170">
        <v>2021</v>
      </c>
      <c r="AG721" s="63" t="s">
        <v>257</v>
      </c>
      <c r="AH721" s="63" t="s">
        <v>257</v>
      </c>
    </row>
    <row r="722" spans="1:34" ht="61.5" x14ac:dyDescent="0.85">
      <c r="A722" s="7">
        <v>1</v>
      </c>
      <c r="B722" s="59">
        <f>SUBTOTAL(103,$A$558:A722)</f>
        <v>162</v>
      </c>
      <c r="C722" s="160" t="s">
        <v>727</v>
      </c>
      <c r="D722" s="60">
        <f t="shared" si="98"/>
        <v>122961.97</v>
      </c>
      <c r="E722" s="60">
        <v>0</v>
      </c>
      <c r="F722" s="60">
        <v>0</v>
      </c>
      <c r="G722" s="60">
        <v>0</v>
      </c>
      <c r="H722" s="60">
        <v>0</v>
      </c>
      <c r="I722" s="60">
        <v>0</v>
      </c>
      <c r="J722" s="60">
        <v>0</v>
      </c>
      <c r="K722" s="168">
        <v>0</v>
      </c>
      <c r="L722" s="60">
        <v>0</v>
      </c>
      <c r="M722" s="60">
        <v>0</v>
      </c>
      <c r="N722" s="60">
        <v>0</v>
      </c>
      <c r="O722" s="60">
        <v>0</v>
      </c>
      <c r="P722" s="60">
        <v>0</v>
      </c>
      <c r="Q722" s="60">
        <v>0</v>
      </c>
      <c r="R722" s="60">
        <v>0</v>
      </c>
      <c r="S722" s="60">
        <v>0</v>
      </c>
      <c r="T722" s="60">
        <v>0</v>
      </c>
      <c r="U722" s="60">
        <v>0</v>
      </c>
      <c r="V722" s="60">
        <v>0</v>
      </c>
      <c r="W722" s="60">
        <v>0</v>
      </c>
      <c r="X722" s="60">
        <v>0</v>
      </c>
      <c r="Y722" s="60">
        <v>0</v>
      </c>
      <c r="Z722" s="60">
        <v>0</v>
      </c>
      <c r="AA722" s="60">
        <v>0</v>
      </c>
      <c r="AB722" s="60">
        <v>0</v>
      </c>
      <c r="AC722" s="60">
        <v>0</v>
      </c>
      <c r="AD722" s="60">
        <v>122961.97</v>
      </c>
      <c r="AE722" s="60">
        <v>0</v>
      </c>
      <c r="AF722" s="170">
        <v>2021</v>
      </c>
      <c r="AG722" s="63" t="s">
        <v>257</v>
      </c>
      <c r="AH722" s="63" t="s">
        <v>257</v>
      </c>
    </row>
    <row r="723" spans="1:34" ht="61.5" x14ac:dyDescent="0.85">
      <c r="A723" s="7">
        <v>1</v>
      </c>
      <c r="B723" s="59">
        <f>SUBTOTAL(103,$A$558:A723)</f>
        <v>163</v>
      </c>
      <c r="C723" s="160" t="s">
        <v>1505</v>
      </c>
      <c r="D723" s="60">
        <f t="shared" si="98"/>
        <v>2915751.56</v>
      </c>
      <c r="E723" s="60">
        <v>0</v>
      </c>
      <c r="F723" s="60">
        <v>0</v>
      </c>
      <c r="G723" s="60">
        <v>0</v>
      </c>
      <c r="H723" s="60">
        <v>0</v>
      </c>
      <c r="I723" s="60">
        <v>0</v>
      </c>
      <c r="J723" s="60">
        <v>0</v>
      </c>
      <c r="K723" s="168">
        <v>0</v>
      </c>
      <c r="L723" s="60">
        <v>0</v>
      </c>
      <c r="M723" s="60">
        <v>605.77</v>
      </c>
      <c r="N723" s="62">
        <v>2773533</v>
      </c>
      <c r="O723" s="60">
        <v>0</v>
      </c>
      <c r="P723" s="60">
        <v>0</v>
      </c>
      <c r="Q723" s="60">
        <v>0</v>
      </c>
      <c r="R723" s="60">
        <v>0</v>
      </c>
      <c r="S723" s="60">
        <v>0</v>
      </c>
      <c r="T723" s="60">
        <v>0</v>
      </c>
      <c r="U723" s="60">
        <v>0</v>
      </c>
      <c r="V723" s="60">
        <v>0</v>
      </c>
      <c r="W723" s="60">
        <v>0</v>
      </c>
      <c r="X723" s="60">
        <v>0</v>
      </c>
      <c r="Y723" s="60">
        <v>0</v>
      </c>
      <c r="Z723" s="60">
        <v>0</v>
      </c>
      <c r="AA723" s="60">
        <v>0</v>
      </c>
      <c r="AB723" s="60">
        <v>0</v>
      </c>
      <c r="AC723" s="62">
        <v>36402.620000000003</v>
      </c>
      <c r="AD723" s="60">
        <v>105815.94</v>
      </c>
      <c r="AE723" s="60">
        <v>0</v>
      </c>
      <c r="AF723" s="170">
        <v>2021</v>
      </c>
      <c r="AG723" s="170">
        <v>2021</v>
      </c>
      <c r="AH723" s="63">
        <v>2021</v>
      </c>
    </row>
    <row r="724" spans="1:34" ht="61.5" x14ac:dyDescent="0.85">
      <c r="A724" s="7">
        <v>1</v>
      </c>
      <c r="B724" s="59">
        <f>SUBTOTAL(103,$A$558:A724)</f>
        <v>164</v>
      </c>
      <c r="C724" s="160" t="s">
        <v>720</v>
      </c>
      <c r="D724" s="60">
        <f t="shared" si="98"/>
        <v>5973712.9199999999</v>
      </c>
      <c r="E724" s="60">
        <v>0</v>
      </c>
      <c r="F724" s="60">
        <v>0</v>
      </c>
      <c r="G724" s="60">
        <v>0</v>
      </c>
      <c r="H724" s="60">
        <v>0</v>
      </c>
      <c r="I724" s="60">
        <v>0</v>
      </c>
      <c r="J724" s="60">
        <v>0</v>
      </c>
      <c r="K724" s="168">
        <v>0</v>
      </c>
      <c r="L724" s="60">
        <v>0</v>
      </c>
      <c r="M724" s="62">
        <v>1274</v>
      </c>
      <c r="N724" s="62">
        <v>5897633.4500000002</v>
      </c>
      <c r="O724" s="60">
        <v>0</v>
      </c>
      <c r="P724" s="60">
        <v>0</v>
      </c>
      <c r="Q724" s="60">
        <v>0</v>
      </c>
      <c r="R724" s="60">
        <v>0</v>
      </c>
      <c r="S724" s="60">
        <v>0</v>
      </c>
      <c r="T724" s="60">
        <v>0</v>
      </c>
      <c r="U724" s="60">
        <v>0</v>
      </c>
      <c r="V724" s="60">
        <v>0</v>
      </c>
      <c r="W724" s="60">
        <v>0</v>
      </c>
      <c r="X724" s="60">
        <v>0</v>
      </c>
      <c r="Y724" s="60">
        <v>0</v>
      </c>
      <c r="Z724" s="60">
        <v>0</v>
      </c>
      <c r="AA724" s="60">
        <v>0</v>
      </c>
      <c r="AB724" s="60">
        <v>0</v>
      </c>
      <c r="AC724" s="62">
        <v>76079.47</v>
      </c>
      <c r="AD724" s="60">
        <v>0</v>
      </c>
      <c r="AE724" s="60">
        <v>0</v>
      </c>
      <c r="AF724" s="170" t="s">
        <v>257</v>
      </c>
      <c r="AG724" s="170">
        <v>2021</v>
      </c>
      <c r="AH724" s="63">
        <v>2021</v>
      </c>
    </row>
    <row r="725" spans="1:34" ht="61.5" x14ac:dyDescent="0.85">
      <c r="A725" s="7">
        <v>1</v>
      </c>
      <c r="B725" s="59">
        <f>SUBTOTAL(103,$A$558:A725)</f>
        <v>165</v>
      </c>
      <c r="C725" s="160" t="s">
        <v>711</v>
      </c>
      <c r="D725" s="60">
        <f t="shared" si="98"/>
        <v>10308962.380000001</v>
      </c>
      <c r="E725" s="60">
        <v>0</v>
      </c>
      <c r="F725" s="60">
        <v>0</v>
      </c>
      <c r="G725" s="60">
        <v>0</v>
      </c>
      <c r="H725" s="60">
        <v>0</v>
      </c>
      <c r="I725" s="60">
        <v>0</v>
      </c>
      <c r="J725" s="60">
        <v>0</v>
      </c>
      <c r="K725" s="168">
        <v>0</v>
      </c>
      <c r="L725" s="60">
        <v>0</v>
      </c>
      <c r="M725" s="60">
        <v>0</v>
      </c>
      <c r="N725" s="60">
        <v>0</v>
      </c>
      <c r="O725" s="60">
        <v>0</v>
      </c>
      <c r="P725" s="60">
        <v>0</v>
      </c>
      <c r="Q725" s="62">
        <v>2037.21</v>
      </c>
      <c r="R725" s="62">
        <f>10182045-4431</f>
        <v>10177614</v>
      </c>
      <c r="S725" s="60">
        <v>0</v>
      </c>
      <c r="T725" s="60">
        <v>0</v>
      </c>
      <c r="U725" s="60">
        <v>0</v>
      </c>
      <c r="V725" s="60">
        <v>0</v>
      </c>
      <c r="W725" s="60">
        <v>0</v>
      </c>
      <c r="X725" s="60">
        <v>0</v>
      </c>
      <c r="Y725" s="60">
        <v>0</v>
      </c>
      <c r="Z725" s="60">
        <v>0</v>
      </c>
      <c r="AA725" s="60">
        <v>0</v>
      </c>
      <c r="AB725" s="60">
        <v>0</v>
      </c>
      <c r="AC725" s="62">
        <v>131348.38</v>
      </c>
      <c r="AD725" s="60">
        <v>0</v>
      </c>
      <c r="AE725" s="60">
        <v>0</v>
      </c>
      <c r="AF725" s="170" t="s">
        <v>257</v>
      </c>
      <c r="AG725" s="170">
        <v>2021</v>
      </c>
      <c r="AH725" s="63">
        <v>2021</v>
      </c>
    </row>
    <row r="726" spans="1:34" ht="61.5" x14ac:dyDescent="0.85">
      <c r="A726" s="7">
        <v>1</v>
      </c>
      <c r="B726" s="59">
        <f>SUBTOTAL(103,$A$558:A726)</f>
        <v>166</v>
      </c>
      <c r="C726" s="160" t="s">
        <v>718</v>
      </c>
      <c r="D726" s="60">
        <f t="shared" si="98"/>
        <v>3360171.32</v>
      </c>
      <c r="E726" s="60">
        <v>0</v>
      </c>
      <c r="F726" s="60">
        <v>0</v>
      </c>
      <c r="G726" s="62">
        <v>3100093.77</v>
      </c>
      <c r="H726" s="60">
        <v>0</v>
      </c>
      <c r="I726" s="60">
        <v>0</v>
      </c>
      <c r="J726" s="60">
        <v>0</v>
      </c>
      <c r="K726" s="168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0">
        <v>0</v>
      </c>
      <c r="T726" s="60">
        <v>0</v>
      </c>
      <c r="U726" s="60">
        <v>0</v>
      </c>
      <c r="V726" s="60">
        <v>0</v>
      </c>
      <c r="W726" s="60">
        <v>0</v>
      </c>
      <c r="X726" s="60">
        <v>0</v>
      </c>
      <c r="Y726" s="60">
        <v>0</v>
      </c>
      <c r="Z726" s="60">
        <v>0</v>
      </c>
      <c r="AA726" s="60">
        <v>0</v>
      </c>
      <c r="AB726" s="60">
        <v>0</v>
      </c>
      <c r="AC726" s="62">
        <v>39991.21</v>
      </c>
      <c r="AD726" s="62">
        <v>220086.34</v>
      </c>
      <c r="AE726" s="60">
        <v>0</v>
      </c>
      <c r="AF726" s="170">
        <v>2021</v>
      </c>
      <c r="AG726" s="170">
        <v>2021</v>
      </c>
      <c r="AH726" s="63">
        <v>2021</v>
      </c>
    </row>
    <row r="727" spans="1:34" ht="61.5" x14ac:dyDescent="0.85">
      <c r="A727" s="7">
        <v>1</v>
      </c>
      <c r="B727" s="59">
        <f>SUBTOTAL(103,$A$558:A727)</f>
        <v>167</v>
      </c>
      <c r="C727" s="160" t="s">
        <v>1098</v>
      </c>
      <c r="D727" s="60">
        <f t="shared" si="98"/>
        <v>438597.56</v>
      </c>
      <c r="E727" s="60">
        <v>0</v>
      </c>
      <c r="F727" s="60">
        <v>0</v>
      </c>
      <c r="G727" s="60">
        <v>0</v>
      </c>
      <c r="H727" s="60">
        <v>0</v>
      </c>
      <c r="I727" s="62">
        <v>434298.01</v>
      </c>
      <c r="J727" s="60">
        <v>0</v>
      </c>
      <c r="K727" s="168">
        <v>0</v>
      </c>
      <c r="L727" s="60">
        <v>0</v>
      </c>
      <c r="M727" s="60">
        <v>0</v>
      </c>
      <c r="N727" s="60">
        <v>0</v>
      </c>
      <c r="O727" s="60">
        <v>0</v>
      </c>
      <c r="P727" s="60">
        <v>0</v>
      </c>
      <c r="Q727" s="60">
        <v>0</v>
      </c>
      <c r="R727" s="60">
        <v>0</v>
      </c>
      <c r="S727" s="60">
        <v>0</v>
      </c>
      <c r="T727" s="60">
        <v>0</v>
      </c>
      <c r="U727" s="60">
        <v>0</v>
      </c>
      <c r="V727" s="60">
        <v>0</v>
      </c>
      <c r="W727" s="60">
        <v>0</v>
      </c>
      <c r="X727" s="60">
        <v>0</v>
      </c>
      <c r="Y727" s="60">
        <v>0</v>
      </c>
      <c r="Z727" s="60">
        <v>0</v>
      </c>
      <c r="AA727" s="60">
        <v>0</v>
      </c>
      <c r="AB727" s="60">
        <v>0</v>
      </c>
      <c r="AC727" s="62">
        <v>4299.55</v>
      </c>
      <c r="AD727" s="60">
        <v>0</v>
      </c>
      <c r="AE727" s="60">
        <v>0</v>
      </c>
      <c r="AF727" s="170" t="s">
        <v>257</v>
      </c>
      <c r="AG727" s="170">
        <v>2021</v>
      </c>
      <c r="AH727" s="63">
        <v>2021</v>
      </c>
    </row>
    <row r="728" spans="1:34" ht="61.5" x14ac:dyDescent="0.85">
      <c r="A728" s="7">
        <v>1</v>
      </c>
      <c r="B728" s="59">
        <f>SUBTOTAL(103,$A$558:A728)</f>
        <v>168</v>
      </c>
      <c r="C728" s="160" t="s">
        <v>758</v>
      </c>
      <c r="D728" s="60">
        <f t="shared" si="98"/>
        <v>46416.4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168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0">
        <v>0</v>
      </c>
      <c r="T728" s="60">
        <v>0</v>
      </c>
      <c r="U728" s="60">
        <v>0</v>
      </c>
      <c r="V728" s="60">
        <v>0</v>
      </c>
      <c r="W728" s="60">
        <v>0</v>
      </c>
      <c r="X728" s="60">
        <v>0</v>
      </c>
      <c r="Y728" s="60">
        <v>0</v>
      </c>
      <c r="Z728" s="60">
        <v>0</v>
      </c>
      <c r="AA728" s="60">
        <v>0</v>
      </c>
      <c r="AB728" s="60">
        <v>0</v>
      </c>
      <c r="AC728" s="60">
        <v>0</v>
      </c>
      <c r="AD728" s="60">
        <v>46416.4</v>
      </c>
      <c r="AE728" s="60">
        <v>0</v>
      </c>
      <c r="AF728" s="170">
        <v>2021</v>
      </c>
      <c r="AG728" s="63" t="s">
        <v>257</v>
      </c>
      <c r="AH728" s="63" t="s">
        <v>257</v>
      </c>
    </row>
    <row r="729" spans="1:34" ht="61.5" x14ac:dyDescent="0.85">
      <c r="A729" s="7">
        <v>1</v>
      </c>
      <c r="B729" s="59">
        <f>SUBTOTAL(103,$A$558:A729)</f>
        <v>169</v>
      </c>
      <c r="C729" s="160" t="s">
        <v>1801</v>
      </c>
      <c r="D729" s="60">
        <f t="shared" si="98"/>
        <v>3490309.46</v>
      </c>
      <c r="E729" s="60">
        <v>0</v>
      </c>
      <c r="F729" s="60">
        <v>0</v>
      </c>
      <c r="G729" s="60">
        <v>0</v>
      </c>
      <c r="H729" s="60">
        <v>0</v>
      </c>
      <c r="I729" s="60">
        <v>0</v>
      </c>
      <c r="J729" s="60">
        <v>0</v>
      </c>
      <c r="K729" s="168">
        <v>2</v>
      </c>
      <c r="L729" s="60">
        <v>3354996</v>
      </c>
      <c r="M729" s="60">
        <v>0</v>
      </c>
      <c r="N729" s="60">
        <v>0</v>
      </c>
      <c r="O729" s="60">
        <v>0</v>
      </c>
      <c r="P729" s="60">
        <v>0</v>
      </c>
      <c r="Q729" s="60">
        <v>0</v>
      </c>
      <c r="R729" s="60">
        <v>0</v>
      </c>
      <c r="S729" s="60">
        <v>0</v>
      </c>
      <c r="T729" s="60">
        <v>0</v>
      </c>
      <c r="U729" s="60">
        <v>0</v>
      </c>
      <c r="V729" s="60">
        <v>0</v>
      </c>
      <c r="W729" s="60">
        <v>0</v>
      </c>
      <c r="X729" s="60">
        <v>0</v>
      </c>
      <c r="Y729" s="60">
        <v>0</v>
      </c>
      <c r="Z729" s="60">
        <v>0</v>
      </c>
      <c r="AA729" s="60">
        <v>0</v>
      </c>
      <c r="AB729" s="60">
        <v>0</v>
      </c>
      <c r="AC729" s="58">
        <v>24407.599999999999</v>
      </c>
      <c r="AD729" s="58">
        <v>110905.86</v>
      </c>
      <c r="AE729" s="60">
        <v>0</v>
      </c>
      <c r="AF729" s="170">
        <v>2021</v>
      </c>
      <c r="AG729" s="170">
        <v>2021</v>
      </c>
      <c r="AH729" s="170">
        <v>2021</v>
      </c>
    </row>
    <row r="730" spans="1:34" ht="61.5" x14ac:dyDescent="0.85">
      <c r="A730" s="7">
        <v>1</v>
      </c>
      <c r="B730" s="59">
        <f>SUBTOTAL(103,$A$558:A730)</f>
        <v>170</v>
      </c>
      <c r="C730" s="160" t="s">
        <v>1800</v>
      </c>
      <c r="D730" s="60">
        <f t="shared" si="98"/>
        <v>3492236.32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168">
        <v>2</v>
      </c>
      <c r="L730" s="60">
        <v>3358180.8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0">
        <v>0</v>
      </c>
      <c r="T730" s="60">
        <v>0</v>
      </c>
      <c r="U730" s="60">
        <v>0</v>
      </c>
      <c r="V730" s="60">
        <v>0</v>
      </c>
      <c r="W730" s="60">
        <v>0</v>
      </c>
      <c r="X730" s="60">
        <v>0</v>
      </c>
      <c r="Y730" s="60">
        <v>0</v>
      </c>
      <c r="Z730" s="60">
        <v>0</v>
      </c>
      <c r="AA730" s="60">
        <v>0</v>
      </c>
      <c r="AB730" s="60">
        <v>0</v>
      </c>
      <c r="AC730" s="58">
        <v>24430.77</v>
      </c>
      <c r="AD730" s="58">
        <v>109624.75</v>
      </c>
      <c r="AE730" s="60">
        <v>0</v>
      </c>
      <c r="AF730" s="170">
        <v>2021</v>
      </c>
      <c r="AG730" s="170">
        <v>2021</v>
      </c>
      <c r="AH730" s="170">
        <v>2021</v>
      </c>
    </row>
    <row r="731" spans="1:34" ht="61.5" x14ac:dyDescent="0.85">
      <c r="A731" s="7">
        <v>1</v>
      </c>
      <c r="B731" s="59">
        <f>SUBTOTAL(103,$A$558:A731)</f>
        <v>171</v>
      </c>
      <c r="C731" s="160" t="s">
        <v>2154</v>
      </c>
      <c r="D731" s="60">
        <f t="shared" si="98"/>
        <v>4052575.69</v>
      </c>
      <c r="E731" s="60">
        <v>0</v>
      </c>
      <c r="F731" s="60">
        <v>0</v>
      </c>
      <c r="G731" s="60">
        <v>0</v>
      </c>
      <c r="H731" s="60">
        <v>0</v>
      </c>
      <c r="I731" s="60">
        <v>0</v>
      </c>
      <c r="J731" s="60">
        <v>0</v>
      </c>
      <c r="K731" s="192">
        <v>2</v>
      </c>
      <c r="L731" s="169">
        <v>3913872</v>
      </c>
      <c r="M731" s="60">
        <v>0</v>
      </c>
      <c r="N731" s="60">
        <v>0</v>
      </c>
      <c r="O731" s="60">
        <v>0</v>
      </c>
      <c r="P731" s="60">
        <v>0</v>
      </c>
      <c r="Q731" s="60">
        <v>0</v>
      </c>
      <c r="R731" s="60">
        <v>0</v>
      </c>
      <c r="S731" s="60">
        <v>0</v>
      </c>
      <c r="T731" s="60">
        <v>0</v>
      </c>
      <c r="U731" s="60">
        <v>0</v>
      </c>
      <c r="V731" s="60">
        <v>0</v>
      </c>
      <c r="W731" s="60">
        <v>0</v>
      </c>
      <c r="X731" s="60">
        <v>0</v>
      </c>
      <c r="Y731" s="60">
        <v>0</v>
      </c>
      <c r="Z731" s="60">
        <v>0</v>
      </c>
      <c r="AA731" s="60">
        <v>0</v>
      </c>
      <c r="AB731" s="60">
        <v>0</v>
      </c>
      <c r="AC731" s="169">
        <v>28473.42</v>
      </c>
      <c r="AD731" s="62">
        <v>110230.27</v>
      </c>
      <c r="AE731" s="60">
        <v>0</v>
      </c>
      <c r="AF731" s="170">
        <v>2021</v>
      </c>
      <c r="AG731" s="170">
        <v>2021</v>
      </c>
      <c r="AH731" s="170">
        <v>2021</v>
      </c>
    </row>
    <row r="732" spans="1:34" ht="61.5" x14ac:dyDescent="0.85">
      <c r="A732" s="7">
        <v>1</v>
      </c>
      <c r="B732" s="59">
        <f>SUBTOTAL(103,$A$558:A732)</f>
        <v>172</v>
      </c>
      <c r="C732" s="160" t="s">
        <v>2170</v>
      </c>
      <c r="D732" s="60">
        <f t="shared" si="98"/>
        <v>5773219.4600000009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192">
        <v>3</v>
      </c>
      <c r="L732" s="169">
        <v>5608990.8000000007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0">
        <v>0</v>
      </c>
      <c r="T732" s="60">
        <v>0</v>
      </c>
      <c r="U732" s="60">
        <v>0</v>
      </c>
      <c r="V732" s="60">
        <v>0</v>
      </c>
      <c r="W732" s="60">
        <v>0</v>
      </c>
      <c r="X732" s="60">
        <v>0</v>
      </c>
      <c r="Y732" s="60">
        <v>0</v>
      </c>
      <c r="Z732" s="60">
        <v>0</v>
      </c>
      <c r="AA732" s="60">
        <v>0</v>
      </c>
      <c r="AB732" s="60">
        <v>0</v>
      </c>
      <c r="AC732" s="169">
        <v>40805.410000000003</v>
      </c>
      <c r="AD732" s="62">
        <v>123423.25</v>
      </c>
      <c r="AE732" s="60">
        <v>0</v>
      </c>
      <c r="AF732" s="170">
        <v>2021</v>
      </c>
      <c r="AG732" s="170">
        <v>2021</v>
      </c>
      <c r="AH732" s="170">
        <v>2021</v>
      </c>
    </row>
    <row r="733" spans="1:34" ht="61.5" x14ac:dyDescent="0.85">
      <c r="A733" s="7">
        <v>1</v>
      </c>
      <c r="B733" s="59">
        <f>SUBTOTAL(103,$A$558:A733)</f>
        <v>173</v>
      </c>
      <c r="C733" s="160" t="s">
        <v>1953</v>
      </c>
      <c r="D733" s="60">
        <f t="shared" si="98"/>
        <v>19066680.210000001</v>
      </c>
      <c r="E733" s="60">
        <v>0</v>
      </c>
      <c r="F733" s="60">
        <v>0</v>
      </c>
      <c r="G733" s="60">
        <v>0</v>
      </c>
      <c r="H733" s="60">
        <v>0</v>
      </c>
      <c r="I733" s="60">
        <v>0</v>
      </c>
      <c r="J733" s="60">
        <v>0</v>
      </c>
      <c r="K733" s="192">
        <v>10</v>
      </c>
      <c r="L733" s="169">
        <v>18744156</v>
      </c>
      <c r="M733" s="60">
        <v>0</v>
      </c>
      <c r="N733" s="60">
        <v>0</v>
      </c>
      <c r="O733" s="60">
        <v>0</v>
      </c>
      <c r="P733" s="60">
        <v>0</v>
      </c>
      <c r="Q733" s="60">
        <v>0</v>
      </c>
      <c r="R733" s="60">
        <v>0</v>
      </c>
      <c r="S733" s="60">
        <v>0</v>
      </c>
      <c r="T733" s="60">
        <v>0</v>
      </c>
      <c r="U733" s="60">
        <v>0</v>
      </c>
      <c r="V733" s="60">
        <v>0</v>
      </c>
      <c r="W733" s="60">
        <v>0</v>
      </c>
      <c r="X733" s="60">
        <v>0</v>
      </c>
      <c r="Y733" s="60">
        <v>0</v>
      </c>
      <c r="Z733" s="60">
        <v>0</v>
      </c>
      <c r="AA733" s="60">
        <v>0</v>
      </c>
      <c r="AB733" s="60">
        <v>0</v>
      </c>
      <c r="AC733" s="169">
        <v>136363.73000000001</v>
      </c>
      <c r="AD733" s="62">
        <v>186160.48</v>
      </c>
      <c r="AE733" s="60">
        <v>0</v>
      </c>
      <c r="AF733" s="170">
        <v>2021</v>
      </c>
      <c r="AG733" s="170">
        <v>2021</v>
      </c>
      <c r="AH733" s="170">
        <v>2021</v>
      </c>
    </row>
    <row r="734" spans="1:34" ht="61.5" x14ac:dyDescent="0.85">
      <c r="A734" s="7">
        <v>1</v>
      </c>
      <c r="B734" s="59">
        <f>SUBTOTAL(103,$A$558:A734)</f>
        <v>174</v>
      </c>
      <c r="C734" s="160" t="s">
        <v>2171</v>
      </c>
      <c r="D734" s="60">
        <f t="shared" si="98"/>
        <v>3958924.54</v>
      </c>
      <c r="E734" s="60">
        <v>0</v>
      </c>
      <c r="F734" s="60">
        <v>0</v>
      </c>
      <c r="G734" s="60">
        <v>0</v>
      </c>
      <c r="H734" s="60">
        <v>0</v>
      </c>
      <c r="I734" s="60">
        <v>0</v>
      </c>
      <c r="J734" s="60">
        <v>0</v>
      </c>
      <c r="K734" s="192">
        <v>2</v>
      </c>
      <c r="L734" s="169">
        <v>3820322.4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0">
        <v>0</v>
      </c>
      <c r="T734" s="60">
        <v>0</v>
      </c>
      <c r="U734" s="60">
        <v>0</v>
      </c>
      <c r="V734" s="60">
        <v>0</v>
      </c>
      <c r="W734" s="60">
        <v>0</v>
      </c>
      <c r="X734" s="60">
        <v>0</v>
      </c>
      <c r="Y734" s="60">
        <v>0</v>
      </c>
      <c r="Z734" s="60">
        <v>0</v>
      </c>
      <c r="AA734" s="60">
        <v>0</v>
      </c>
      <c r="AB734" s="60">
        <v>0</v>
      </c>
      <c r="AC734" s="169">
        <v>27792.85</v>
      </c>
      <c r="AD734" s="62">
        <v>110809.29</v>
      </c>
      <c r="AE734" s="60">
        <v>0</v>
      </c>
      <c r="AF734" s="170">
        <v>2021</v>
      </c>
      <c r="AG734" s="170">
        <v>2021</v>
      </c>
      <c r="AH734" s="170">
        <v>2021</v>
      </c>
    </row>
    <row r="735" spans="1:34" ht="61.5" x14ac:dyDescent="0.85">
      <c r="A735" s="7">
        <v>1</v>
      </c>
      <c r="B735" s="59">
        <f>SUBTOTAL(103,$A$558:A735)</f>
        <v>175</v>
      </c>
      <c r="C735" s="160" t="s">
        <v>2172</v>
      </c>
      <c r="D735" s="60">
        <f t="shared" si="98"/>
        <v>3946831.02</v>
      </c>
      <c r="E735" s="60">
        <v>0</v>
      </c>
      <c r="F735" s="60">
        <v>0</v>
      </c>
      <c r="G735" s="60">
        <v>0</v>
      </c>
      <c r="H735" s="60">
        <v>0</v>
      </c>
      <c r="I735" s="60">
        <v>0</v>
      </c>
      <c r="J735" s="60">
        <v>0</v>
      </c>
      <c r="K735" s="192">
        <v>2</v>
      </c>
      <c r="L735" s="169">
        <v>3810084</v>
      </c>
      <c r="M735" s="60">
        <v>0</v>
      </c>
      <c r="N735" s="60">
        <v>0</v>
      </c>
      <c r="O735" s="60">
        <v>0</v>
      </c>
      <c r="P735" s="60">
        <v>0</v>
      </c>
      <c r="Q735" s="60">
        <v>0</v>
      </c>
      <c r="R735" s="60">
        <v>0</v>
      </c>
      <c r="S735" s="60">
        <v>0</v>
      </c>
      <c r="T735" s="60">
        <v>0</v>
      </c>
      <c r="U735" s="60">
        <v>0</v>
      </c>
      <c r="V735" s="60">
        <v>0</v>
      </c>
      <c r="W735" s="60">
        <v>0</v>
      </c>
      <c r="X735" s="60">
        <v>0</v>
      </c>
      <c r="Y735" s="60">
        <v>0</v>
      </c>
      <c r="Z735" s="60">
        <v>0</v>
      </c>
      <c r="AA735" s="60">
        <v>0</v>
      </c>
      <c r="AB735" s="60">
        <v>0</v>
      </c>
      <c r="AC735" s="169">
        <v>27718.36</v>
      </c>
      <c r="AD735" s="62">
        <v>109028.66</v>
      </c>
      <c r="AE735" s="60">
        <v>0</v>
      </c>
      <c r="AF735" s="170">
        <v>2021</v>
      </c>
      <c r="AG735" s="170">
        <v>2021</v>
      </c>
      <c r="AH735" s="170">
        <v>2021</v>
      </c>
    </row>
    <row r="736" spans="1:34" ht="61.5" x14ac:dyDescent="0.85">
      <c r="A736" s="7">
        <v>1</v>
      </c>
      <c r="B736" s="59">
        <f>SUBTOTAL(103,$A$558:A736)</f>
        <v>176</v>
      </c>
      <c r="C736" s="160" t="s">
        <v>2173</v>
      </c>
      <c r="D736" s="60">
        <f t="shared" si="98"/>
        <v>3947012.05</v>
      </c>
      <c r="E736" s="60">
        <v>0</v>
      </c>
      <c r="F736" s="60">
        <v>0</v>
      </c>
      <c r="G736" s="60">
        <v>0</v>
      </c>
      <c r="H736" s="60">
        <v>0</v>
      </c>
      <c r="I736" s="60">
        <v>0</v>
      </c>
      <c r="J736" s="60">
        <v>0</v>
      </c>
      <c r="K736" s="192">
        <v>2</v>
      </c>
      <c r="L736" s="169">
        <v>3810084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0">
        <v>0</v>
      </c>
      <c r="T736" s="60">
        <v>0</v>
      </c>
      <c r="U736" s="60">
        <v>0</v>
      </c>
      <c r="V736" s="60">
        <v>0</v>
      </c>
      <c r="W736" s="60">
        <v>0</v>
      </c>
      <c r="X736" s="60">
        <v>0</v>
      </c>
      <c r="Y736" s="60">
        <v>0</v>
      </c>
      <c r="Z736" s="60">
        <v>0</v>
      </c>
      <c r="AA736" s="60">
        <v>0</v>
      </c>
      <c r="AB736" s="60">
        <v>0</v>
      </c>
      <c r="AC736" s="60">
        <v>27718.36</v>
      </c>
      <c r="AD736" s="62">
        <v>109209.69</v>
      </c>
      <c r="AE736" s="60">
        <v>0</v>
      </c>
      <c r="AF736" s="170">
        <v>2021</v>
      </c>
      <c r="AG736" s="170">
        <v>2021</v>
      </c>
      <c r="AH736" s="170">
        <v>2021</v>
      </c>
    </row>
    <row r="737" spans="1:34" ht="61.5" x14ac:dyDescent="0.85">
      <c r="A737" s="7">
        <v>1</v>
      </c>
      <c r="B737" s="59">
        <f>SUBTOTAL(103,$A$558:A737)</f>
        <v>177</v>
      </c>
      <c r="C737" s="160" t="s">
        <v>2174</v>
      </c>
      <c r="D737" s="60">
        <f t="shared" si="98"/>
        <v>7802836.8099999996</v>
      </c>
      <c r="E737" s="60">
        <v>0</v>
      </c>
      <c r="F737" s="60">
        <v>0</v>
      </c>
      <c r="G737" s="60">
        <v>0</v>
      </c>
      <c r="H737" s="60">
        <v>0</v>
      </c>
      <c r="I737" s="60">
        <v>0</v>
      </c>
      <c r="J737" s="60">
        <v>0</v>
      </c>
      <c r="K737" s="192">
        <v>4</v>
      </c>
      <c r="L737" s="169">
        <v>7620168</v>
      </c>
      <c r="M737" s="60">
        <v>0</v>
      </c>
      <c r="N737" s="60">
        <v>0</v>
      </c>
      <c r="O737" s="60">
        <v>0</v>
      </c>
      <c r="P737" s="60">
        <v>0</v>
      </c>
      <c r="Q737" s="60">
        <v>0</v>
      </c>
      <c r="R737" s="60">
        <v>0</v>
      </c>
      <c r="S737" s="60">
        <v>0</v>
      </c>
      <c r="T737" s="60">
        <v>0</v>
      </c>
      <c r="U737" s="60">
        <v>0</v>
      </c>
      <c r="V737" s="60">
        <v>0</v>
      </c>
      <c r="W737" s="60">
        <v>0</v>
      </c>
      <c r="X737" s="60">
        <v>0</v>
      </c>
      <c r="Y737" s="60">
        <v>0</v>
      </c>
      <c r="Z737" s="60">
        <v>0</v>
      </c>
      <c r="AA737" s="60">
        <v>0</v>
      </c>
      <c r="AB737" s="60">
        <v>0</v>
      </c>
      <c r="AC737" s="169">
        <v>55436.72</v>
      </c>
      <c r="AD737" s="62">
        <v>127232.09</v>
      </c>
      <c r="AE737" s="60">
        <v>0</v>
      </c>
      <c r="AF737" s="170">
        <v>2021</v>
      </c>
      <c r="AG737" s="170">
        <v>2021</v>
      </c>
      <c r="AH737" s="170">
        <v>2021</v>
      </c>
    </row>
    <row r="738" spans="1:34" ht="61.5" x14ac:dyDescent="0.85">
      <c r="A738" s="7">
        <v>1</v>
      </c>
      <c r="B738" s="59">
        <f>SUBTOTAL(103,$A$558:A738)</f>
        <v>178</v>
      </c>
      <c r="C738" s="160" t="s">
        <v>2175</v>
      </c>
      <c r="D738" s="60">
        <f t="shared" si="98"/>
        <v>3947951.9499999997</v>
      </c>
      <c r="E738" s="60">
        <v>0</v>
      </c>
      <c r="F738" s="60">
        <v>0</v>
      </c>
      <c r="G738" s="60">
        <v>0</v>
      </c>
      <c r="H738" s="60">
        <v>0</v>
      </c>
      <c r="I738" s="60">
        <v>0</v>
      </c>
      <c r="J738" s="60">
        <v>0</v>
      </c>
      <c r="K738" s="192">
        <v>2</v>
      </c>
      <c r="L738" s="169">
        <v>3810084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0">
        <v>0</v>
      </c>
      <c r="T738" s="60">
        <v>0</v>
      </c>
      <c r="U738" s="60">
        <v>0</v>
      </c>
      <c r="V738" s="60">
        <v>0</v>
      </c>
      <c r="W738" s="60">
        <v>0</v>
      </c>
      <c r="X738" s="60">
        <v>0</v>
      </c>
      <c r="Y738" s="60">
        <v>0</v>
      </c>
      <c r="Z738" s="60">
        <v>0</v>
      </c>
      <c r="AA738" s="60">
        <v>0</v>
      </c>
      <c r="AB738" s="60">
        <v>0</v>
      </c>
      <c r="AC738" s="169">
        <v>27718.36</v>
      </c>
      <c r="AD738" s="62">
        <v>110149.59</v>
      </c>
      <c r="AE738" s="60">
        <v>0</v>
      </c>
      <c r="AF738" s="170">
        <v>2021</v>
      </c>
      <c r="AG738" s="170">
        <v>2021</v>
      </c>
      <c r="AH738" s="170">
        <v>2021</v>
      </c>
    </row>
    <row r="739" spans="1:34" ht="61.5" x14ac:dyDescent="0.85">
      <c r="A739" s="7">
        <v>1</v>
      </c>
      <c r="B739" s="59">
        <f>SUBTOTAL(103,$A$558:A739)</f>
        <v>179</v>
      </c>
      <c r="C739" s="160" t="s">
        <v>2478</v>
      </c>
      <c r="D739" s="60">
        <f t="shared" si="98"/>
        <v>5373483.8699999992</v>
      </c>
      <c r="E739" s="60">
        <v>0</v>
      </c>
      <c r="F739" s="60">
        <v>0</v>
      </c>
      <c r="G739" s="60">
        <v>0</v>
      </c>
      <c r="H739" s="60">
        <v>0</v>
      </c>
      <c r="I739" s="60">
        <v>0</v>
      </c>
      <c r="J739" s="60">
        <v>0</v>
      </c>
      <c r="K739" s="168">
        <v>3</v>
      </c>
      <c r="L739" s="60">
        <v>5234436</v>
      </c>
      <c r="M739" s="60">
        <v>0</v>
      </c>
      <c r="N739" s="60">
        <v>0</v>
      </c>
      <c r="O739" s="60">
        <v>0</v>
      </c>
      <c r="P739" s="60">
        <v>0</v>
      </c>
      <c r="Q739" s="60">
        <v>0</v>
      </c>
      <c r="R739" s="60">
        <v>0</v>
      </c>
      <c r="S739" s="60">
        <v>0</v>
      </c>
      <c r="T739" s="60">
        <v>0</v>
      </c>
      <c r="U739" s="60">
        <v>0</v>
      </c>
      <c r="V739" s="60">
        <v>0</v>
      </c>
      <c r="W739" s="60">
        <v>0</v>
      </c>
      <c r="X739" s="60">
        <v>0</v>
      </c>
      <c r="Y739" s="60">
        <v>0</v>
      </c>
      <c r="Z739" s="60">
        <v>0</v>
      </c>
      <c r="AA739" s="60">
        <v>0</v>
      </c>
      <c r="AB739" s="60">
        <v>0</v>
      </c>
      <c r="AC739" s="62">
        <v>38080.519999999997</v>
      </c>
      <c r="AD739" s="62">
        <v>100967.35</v>
      </c>
      <c r="AE739" s="60">
        <v>0</v>
      </c>
      <c r="AF739" s="170">
        <v>2021</v>
      </c>
      <c r="AG739" s="170">
        <v>2021</v>
      </c>
      <c r="AH739" s="170">
        <v>2021</v>
      </c>
    </row>
    <row r="740" spans="1:34" ht="61.5" x14ac:dyDescent="0.85">
      <c r="A740" s="7">
        <v>1</v>
      </c>
      <c r="B740" s="59">
        <f>SUBTOTAL(103,$A$558:A740)</f>
        <v>180</v>
      </c>
      <c r="C740" s="160" t="s">
        <v>2479</v>
      </c>
      <c r="D740" s="60">
        <f t="shared" si="98"/>
        <v>3599122.37</v>
      </c>
      <c r="E740" s="60">
        <v>0</v>
      </c>
      <c r="F740" s="60">
        <v>0</v>
      </c>
      <c r="G740" s="60">
        <v>0</v>
      </c>
      <c r="H740" s="60">
        <v>0</v>
      </c>
      <c r="I740" s="60">
        <v>0</v>
      </c>
      <c r="J740" s="60">
        <v>0</v>
      </c>
      <c r="K740" s="168">
        <v>2</v>
      </c>
      <c r="L740" s="60">
        <v>3480376.8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0">
        <v>0</v>
      </c>
      <c r="T740" s="60">
        <v>0</v>
      </c>
      <c r="U740" s="60">
        <v>0</v>
      </c>
      <c r="V740" s="60">
        <v>0</v>
      </c>
      <c r="W740" s="60">
        <v>0</v>
      </c>
      <c r="X740" s="60">
        <v>0</v>
      </c>
      <c r="Y740" s="60">
        <v>0</v>
      </c>
      <c r="Z740" s="60">
        <v>0</v>
      </c>
      <c r="AA740" s="60">
        <v>0</v>
      </c>
      <c r="AB740" s="60">
        <v>0</v>
      </c>
      <c r="AC740" s="62">
        <v>25319.74</v>
      </c>
      <c r="AD740" s="62">
        <v>93425.83</v>
      </c>
      <c r="AE740" s="60">
        <v>0</v>
      </c>
      <c r="AF740" s="170">
        <v>2021</v>
      </c>
      <c r="AG740" s="170">
        <v>2021</v>
      </c>
      <c r="AH740" s="170">
        <v>2021</v>
      </c>
    </row>
    <row r="741" spans="1:34" ht="61.5" x14ac:dyDescent="0.85">
      <c r="A741" s="7">
        <v>1</v>
      </c>
      <c r="B741" s="59">
        <f>SUBTOTAL(103,$A$558:A741)</f>
        <v>181</v>
      </c>
      <c r="C741" s="160" t="s">
        <v>2480</v>
      </c>
      <c r="D741" s="60">
        <f t="shared" si="98"/>
        <v>3598898.38</v>
      </c>
      <c r="E741" s="60">
        <v>0</v>
      </c>
      <c r="F741" s="60">
        <v>0</v>
      </c>
      <c r="G741" s="60">
        <v>0</v>
      </c>
      <c r="H741" s="60">
        <v>0</v>
      </c>
      <c r="I741" s="60">
        <v>0</v>
      </c>
      <c r="J741" s="60">
        <v>0</v>
      </c>
      <c r="K741" s="168">
        <v>2</v>
      </c>
      <c r="L741" s="60">
        <v>3480381.6</v>
      </c>
      <c r="M741" s="60">
        <v>0</v>
      </c>
      <c r="N741" s="60">
        <v>0</v>
      </c>
      <c r="O741" s="60">
        <v>0</v>
      </c>
      <c r="P741" s="60">
        <v>0</v>
      </c>
      <c r="Q741" s="60">
        <v>0</v>
      </c>
      <c r="R741" s="60">
        <v>0</v>
      </c>
      <c r="S741" s="60">
        <v>0</v>
      </c>
      <c r="T741" s="60">
        <v>0</v>
      </c>
      <c r="U741" s="60">
        <v>0</v>
      </c>
      <c r="V741" s="60">
        <v>0</v>
      </c>
      <c r="W741" s="60">
        <v>0</v>
      </c>
      <c r="X741" s="60">
        <v>0</v>
      </c>
      <c r="Y741" s="60">
        <v>0</v>
      </c>
      <c r="Z741" s="60">
        <v>0</v>
      </c>
      <c r="AA741" s="60">
        <v>0</v>
      </c>
      <c r="AB741" s="60">
        <v>0</v>
      </c>
      <c r="AC741" s="62">
        <v>25319.78</v>
      </c>
      <c r="AD741" s="62">
        <v>93197</v>
      </c>
      <c r="AE741" s="60">
        <v>0</v>
      </c>
      <c r="AF741" s="170">
        <v>2021</v>
      </c>
      <c r="AG741" s="170">
        <v>2021</v>
      </c>
      <c r="AH741" s="170">
        <v>2021</v>
      </c>
    </row>
    <row r="742" spans="1:34" ht="61.5" x14ac:dyDescent="0.85">
      <c r="A742" s="7">
        <v>1</v>
      </c>
      <c r="B742" s="59">
        <f>SUBTOTAL(103,$A$558:A742)</f>
        <v>182</v>
      </c>
      <c r="C742" s="160" t="s">
        <v>2481</v>
      </c>
      <c r="D742" s="60">
        <f t="shared" si="98"/>
        <v>16060948.73</v>
      </c>
      <c r="E742" s="60">
        <v>0</v>
      </c>
      <c r="F742" s="60">
        <v>0</v>
      </c>
      <c r="G742" s="60">
        <v>0</v>
      </c>
      <c r="H742" s="60">
        <v>0</v>
      </c>
      <c r="I742" s="60">
        <v>0</v>
      </c>
      <c r="J742" s="60">
        <v>0</v>
      </c>
      <c r="K742" s="168">
        <v>9</v>
      </c>
      <c r="L742" s="60">
        <v>15799612.800000001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0">
        <v>0</v>
      </c>
      <c r="T742" s="60">
        <v>0</v>
      </c>
      <c r="U742" s="60">
        <v>0</v>
      </c>
      <c r="V742" s="60">
        <v>0</v>
      </c>
      <c r="W742" s="60">
        <v>0</v>
      </c>
      <c r="X742" s="60">
        <v>0</v>
      </c>
      <c r="Y742" s="60">
        <v>0</v>
      </c>
      <c r="Z742" s="60">
        <v>0</v>
      </c>
      <c r="AA742" s="60">
        <v>0</v>
      </c>
      <c r="AB742" s="60">
        <v>0</v>
      </c>
      <c r="AC742" s="62">
        <v>114942.18</v>
      </c>
      <c r="AD742" s="62">
        <v>146393.75</v>
      </c>
      <c r="AE742" s="60">
        <v>0</v>
      </c>
      <c r="AF742" s="170">
        <v>2021</v>
      </c>
      <c r="AG742" s="170">
        <v>2021</v>
      </c>
      <c r="AH742" s="170">
        <v>2021</v>
      </c>
    </row>
    <row r="743" spans="1:34" ht="61.5" x14ac:dyDescent="0.85">
      <c r="A743" s="7">
        <v>1</v>
      </c>
      <c r="B743" s="59">
        <f>SUBTOTAL(103,$A$558:A743)</f>
        <v>183</v>
      </c>
      <c r="C743" s="160" t="s">
        <v>2482</v>
      </c>
      <c r="D743" s="60">
        <f t="shared" si="98"/>
        <v>5376050.21</v>
      </c>
      <c r="E743" s="60">
        <v>0</v>
      </c>
      <c r="F743" s="60">
        <v>0</v>
      </c>
      <c r="G743" s="60">
        <v>0</v>
      </c>
      <c r="H743" s="60">
        <v>0</v>
      </c>
      <c r="I743" s="60">
        <v>0</v>
      </c>
      <c r="J743" s="60">
        <v>0</v>
      </c>
      <c r="K743" s="168">
        <v>3</v>
      </c>
      <c r="L743" s="60">
        <v>5236848</v>
      </c>
      <c r="M743" s="60">
        <v>0</v>
      </c>
      <c r="N743" s="60">
        <v>0</v>
      </c>
      <c r="O743" s="60">
        <v>0</v>
      </c>
      <c r="P743" s="60">
        <v>0</v>
      </c>
      <c r="Q743" s="60">
        <v>0</v>
      </c>
      <c r="R743" s="60">
        <v>0</v>
      </c>
      <c r="S743" s="60">
        <v>0</v>
      </c>
      <c r="T743" s="60">
        <v>0</v>
      </c>
      <c r="U743" s="60">
        <v>0</v>
      </c>
      <c r="V743" s="60">
        <v>0</v>
      </c>
      <c r="W743" s="60">
        <v>0</v>
      </c>
      <c r="X743" s="60">
        <v>0</v>
      </c>
      <c r="Y743" s="60">
        <v>0</v>
      </c>
      <c r="Z743" s="60">
        <v>0</v>
      </c>
      <c r="AA743" s="60">
        <v>0</v>
      </c>
      <c r="AB743" s="60">
        <v>0</v>
      </c>
      <c r="AC743" s="62">
        <v>38098.07</v>
      </c>
      <c r="AD743" s="62">
        <v>101104.14</v>
      </c>
      <c r="AE743" s="60">
        <v>0</v>
      </c>
      <c r="AF743" s="170">
        <v>2021</v>
      </c>
      <c r="AG743" s="170">
        <v>2021</v>
      </c>
      <c r="AH743" s="170">
        <v>2021</v>
      </c>
    </row>
    <row r="744" spans="1:34" ht="61.5" x14ac:dyDescent="0.85">
      <c r="A744" s="7">
        <v>1</v>
      </c>
      <c r="B744" s="59">
        <f>SUBTOTAL(103,$A$558:A744)</f>
        <v>184</v>
      </c>
      <c r="C744" s="160" t="s">
        <v>2483</v>
      </c>
      <c r="D744" s="60">
        <f t="shared" si="98"/>
        <v>5513113.2000000002</v>
      </c>
      <c r="E744" s="60">
        <v>0</v>
      </c>
      <c r="F744" s="60">
        <v>0</v>
      </c>
      <c r="G744" s="60">
        <v>0</v>
      </c>
      <c r="H744" s="60">
        <v>0</v>
      </c>
      <c r="I744" s="60">
        <v>0</v>
      </c>
      <c r="J744" s="60">
        <v>0</v>
      </c>
      <c r="K744" s="168">
        <v>3</v>
      </c>
      <c r="L744" s="60">
        <v>5372874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0">
        <v>0</v>
      </c>
      <c r="T744" s="60">
        <v>0</v>
      </c>
      <c r="U744" s="60">
        <v>0</v>
      </c>
      <c r="V744" s="60">
        <v>0</v>
      </c>
      <c r="W744" s="60">
        <v>0</v>
      </c>
      <c r="X744" s="60">
        <v>0</v>
      </c>
      <c r="Y744" s="60">
        <v>0</v>
      </c>
      <c r="Z744" s="60">
        <v>0</v>
      </c>
      <c r="AA744" s="60">
        <v>0</v>
      </c>
      <c r="AB744" s="60">
        <v>0</v>
      </c>
      <c r="AC744" s="62">
        <v>39087.660000000003</v>
      </c>
      <c r="AD744" s="62">
        <v>101151.54</v>
      </c>
      <c r="AE744" s="60">
        <v>0</v>
      </c>
      <c r="AF744" s="170">
        <v>2021</v>
      </c>
      <c r="AG744" s="170">
        <v>2021</v>
      </c>
      <c r="AH744" s="170">
        <v>2021</v>
      </c>
    </row>
    <row r="745" spans="1:34" ht="61.5" x14ac:dyDescent="0.85">
      <c r="A745" s="7">
        <v>1</v>
      </c>
      <c r="B745" s="59">
        <f>SUBTOTAL(103,$A$558:A745)</f>
        <v>185</v>
      </c>
      <c r="C745" s="160" t="s">
        <v>2484</v>
      </c>
      <c r="D745" s="60">
        <f t="shared" si="98"/>
        <v>5558725.9300000006</v>
      </c>
      <c r="E745" s="60">
        <v>0</v>
      </c>
      <c r="F745" s="60">
        <v>0</v>
      </c>
      <c r="G745" s="60">
        <v>0</v>
      </c>
      <c r="H745" s="60">
        <v>0</v>
      </c>
      <c r="I745" s="60">
        <v>0</v>
      </c>
      <c r="J745" s="60">
        <v>0</v>
      </c>
      <c r="K745" s="168">
        <v>3</v>
      </c>
      <c r="L745" s="60">
        <v>5421124.8000000007</v>
      </c>
      <c r="M745" s="60">
        <v>0</v>
      </c>
      <c r="N745" s="60">
        <v>0</v>
      </c>
      <c r="O745" s="60">
        <v>0</v>
      </c>
      <c r="P745" s="60">
        <v>0</v>
      </c>
      <c r="Q745" s="60">
        <v>0</v>
      </c>
      <c r="R745" s="60">
        <v>0</v>
      </c>
      <c r="S745" s="60">
        <v>0</v>
      </c>
      <c r="T745" s="60">
        <v>0</v>
      </c>
      <c r="U745" s="60">
        <v>0</v>
      </c>
      <c r="V745" s="60">
        <v>0</v>
      </c>
      <c r="W745" s="60">
        <v>0</v>
      </c>
      <c r="X745" s="60">
        <v>0</v>
      </c>
      <c r="Y745" s="60">
        <v>0</v>
      </c>
      <c r="Z745" s="60">
        <v>0</v>
      </c>
      <c r="AA745" s="60">
        <v>0</v>
      </c>
      <c r="AB745" s="60">
        <v>0</v>
      </c>
      <c r="AC745" s="60">
        <v>39438.68</v>
      </c>
      <c r="AD745" s="62">
        <v>98162.45</v>
      </c>
      <c r="AE745" s="60">
        <v>0</v>
      </c>
      <c r="AF745" s="170">
        <v>2021</v>
      </c>
      <c r="AG745" s="170">
        <v>2021</v>
      </c>
      <c r="AH745" s="170">
        <v>2021</v>
      </c>
    </row>
    <row r="746" spans="1:34" ht="61.5" x14ac:dyDescent="0.85">
      <c r="A746" s="7">
        <v>1</v>
      </c>
      <c r="B746" s="59">
        <f>SUBTOTAL(103,$A$558:A746)</f>
        <v>186</v>
      </c>
      <c r="C746" s="160" t="s">
        <v>2485</v>
      </c>
      <c r="D746" s="60">
        <f t="shared" si="98"/>
        <v>7380419.5899999999</v>
      </c>
      <c r="E746" s="60">
        <v>0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168">
        <v>4</v>
      </c>
      <c r="L746" s="60">
        <v>7223596.7999999998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0">
        <v>0</v>
      </c>
      <c r="T746" s="60">
        <v>0</v>
      </c>
      <c r="U746" s="60">
        <v>0</v>
      </c>
      <c r="V746" s="60">
        <v>0</v>
      </c>
      <c r="W746" s="60">
        <v>0</v>
      </c>
      <c r="X746" s="60">
        <v>0</v>
      </c>
      <c r="Y746" s="60">
        <v>0</v>
      </c>
      <c r="Z746" s="60">
        <v>0</v>
      </c>
      <c r="AA746" s="60">
        <v>0</v>
      </c>
      <c r="AB746" s="60">
        <v>0</v>
      </c>
      <c r="AC746" s="60">
        <v>52551.67</v>
      </c>
      <c r="AD746" s="62">
        <v>104271.12</v>
      </c>
      <c r="AE746" s="60">
        <v>0</v>
      </c>
      <c r="AF746" s="170">
        <v>2021</v>
      </c>
      <c r="AG746" s="170">
        <v>2021</v>
      </c>
      <c r="AH746" s="170">
        <v>2021</v>
      </c>
    </row>
    <row r="747" spans="1:34" ht="61.5" x14ac:dyDescent="0.85">
      <c r="A747" s="7">
        <v>1</v>
      </c>
      <c r="B747" s="59">
        <f>SUBTOTAL(103,$A$558:A747)</f>
        <v>187</v>
      </c>
      <c r="C747" s="160" t="s">
        <v>2486</v>
      </c>
      <c r="D747" s="60">
        <f t="shared" si="98"/>
        <v>3692617.6899999995</v>
      </c>
      <c r="E747" s="60">
        <v>0</v>
      </c>
      <c r="F747" s="60">
        <v>0</v>
      </c>
      <c r="G747" s="60">
        <v>0</v>
      </c>
      <c r="H747" s="60">
        <v>0</v>
      </c>
      <c r="I747" s="60">
        <v>0</v>
      </c>
      <c r="J747" s="60">
        <v>0</v>
      </c>
      <c r="K747" s="168">
        <v>2</v>
      </c>
      <c r="L747" s="60">
        <v>3572692.8</v>
      </c>
      <c r="M747" s="60">
        <v>0</v>
      </c>
      <c r="N747" s="60">
        <v>0</v>
      </c>
      <c r="O747" s="60">
        <v>0</v>
      </c>
      <c r="P747" s="60">
        <v>0</v>
      </c>
      <c r="Q747" s="60">
        <v>0</v>
      </c>
      <c r="R747" s="60">
        <v>0</v>
      </c>
      <c r="S747" s="60">
        <v>0</v>
      </c>
      <c r="T747" s="60">
        <v>0</v>
      </c>
      <c r="U747" s="60">
        <v>0</v>
      </c>
      <c r="V747" s="60">
        <v>0</v>
      </c>
      <c r="W747" s="60">
        <v>0</v>
      </c>
      <c r="X747" s="60">
        <v>0</v>
      </c>
      <c r="Y747" s="60">
        <v>0</v>
      </c>
      <c r="Z747" s="60">
        <v>0</v>
      </c>
      <c r="AA747" s="60">
        <v>0</v>
      </c>
      <c r="AB747" s="60">
        <v>0</v>
      </c>
      <c r="AC747" s="60">
        <v>25991.34</v>
      </c>
      <c r="AD747" s="62">
        <v>93933.55</v>
      </c>
      <c r="AE747" s="60">
        <v>0</v>
      </c>
      <c r="AF747" s="170">
        <v>2021</v>
      </c>
      <c r="AG747" s="170">
        <v>2021</v>
      </c>
      <c r="AH747" s="170">
        <v>2021</v>
      </c>
    </row>
    <row r="748" spans="1:34" ht="61.5" x14ac:dyDescent="0.85">
      <c r="A748" s="7">
        <v>1</v>
      </c>
      <c r="B748" s="59">
        <f>SUBTOTAL(103,$A$558:A748)</f>
        <v>188</v>
      </c>
      <c r="C748" s="160" t="s">
        <v>2487</v>
      </c>
      <c r="D748" s="60">
        <f t="shared" si="98"/>
        <v>3742125.6799999997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168">
        <v>2</v>
      </c>
      <c r="L748" s="60">
        <v>3622476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0">
        <v>0</v>
      </c>
      <c r="T748" s="60">
        <v>0</v>
      </c>
      <c r="U748" s="60">
        <v>0</v>
      </c>
      <c r="V748" s="60">
        <v>0</v>
      </c>
      <c r="W748" s="60">
        <v>0</v>
      </c>
      <c r="X748" s="60">
        <v>0</v>
      </c>
      <c r="Y748" s="60">
        <v>0</v>
      </c>
      <c r="Z748" s="60">
        <v>0</v>
      </c>
      <c r="AA748" s="60">
        <v>0</v>
      </c>
      <c r="AB748" s="60">
        <v>0</v>
      </c>
      <c r="AC748" s="60">
        <v>26353.51</v>
      </c>
      <c r="AD748" s="62">
        <v>93296.17</v>
      </c>
      <c r="AE748" s="60">
        <v>0</v>
      </c>
      <c r="AF748" s="170">
        <v>2021</v>
      </c>
      <c r="AG748" s="170">
        <v>2021</v>
      </c>
      <c r="AH748" s="170">
        <v>2021</v>
      </c>
    </row>
    <row r="749" spans="1:34" ht="61.5" x14ac:dyDescent="0.85">
      <c r="A749" s="7">
        <v>1</v>
      </c>
      <c r="B749" s="59">
        <f>SUBTOTAL(103,$A$558:A749)</f>
        <v>189</v>
      </c>
      <c r="C749" s="160" t="s">
        <v>1695</v>
      </c>
      <c r="D749" s="60">
        <f t="shared" si="98"/>
        <v>5572583.540000001</v>
      </c>
      <c r="E749" s="60">
        <v>0</v>
      </c>
      <c r="F749" s="60">
        <v>0</v>
      </c>
      <c r="G749" s="60">
        <v>0</v>
      </c>
      <c r="H749" s="60">
        <v>0</v>
      </c>
      <c r="I749" s="60">
        <v>0</v>
      </c>
      <c r="J749" s="60">
        <v>0</v>
      </c>
      <c r="K749" s="168">
        <v>3</v>
      </c>
      <c r="L749" s="60">
        <v>5435416.8000000007</v>
      </c>
      <c r="M749" s="60">
        <v>0</v>
      </c>
      <c r="N749" s="60">
        <v>0</v>
      </c>
      <c r="O749" s="60">
        <v>0</v>
      </c>
      <c r="P749" s="60">
        <v>0</v>
      </c>
      <c r="Q749" s="60">
        <v>0</v>
      </c>
      <c r="R749" s="60">
        <v>0</v>
      </c>
      <c r="S749" s="60">
        <v>0</v>
      </c>
      <c r="T749" s="60">
        <v>0</v>
      </c>
      <c r="U749" s="60">
        <v>0</v>
      </c>
      <c r="V749" s="60">
        <v>0</v>
      </c>
      <c r="W749" s="60">
        <v>0</v>
      </c>
      <c r="X749" s="60">
        <v>0</v>
      </c>
      <c r="Y749" s="60">
        <v>0</v>
      </c>
      <c r="Z749" s="60">
        <v>0</v>
      </c>
      <c r="AA749" s="60">
        <v>0</v>
      </c>
      <c r="AB749" s="60">
        <v>0</v>
      </c>
      <c r="AC749" s="60">
        <v>39542.660000000003</v>
      </c>
      <c r="AD749" s="62">
        <v>97624.08</v>
      </c>
      <c r="AE749" s="60">
        <v>0</v>
      </c>
      <c r="AF749" s="170">
        <v>2021</v>
      </c>
      <c r="AG749" s="170">
        <v>2021</v>
      </c>
      <c r="AH749" s="170">
        <v>2021</v>
      </c>
    </row>
    <row r="750" spans="1:34" ht="61.5" x14ac:dyDescent="0.85">
      <c r="A750" s="7">
        <v>1</v>
      </c>
      <c r="B750" s="59">
        <f>SUBTOTAL(103,$A$558:A750)</f>
        <v>190</v>
      </c>
      <c r="C750" s="160" t="s">
        <v>2488</v>
      </c>
      <c r="D750" s="60">
        <f t="shared" ref="D750:D771" si="99">E750+F750+G750+H750+I750+J750+L750+N750+P750+R750+T750+U750+V750+W750+X750+Y750+Z750+AA750+AB750+AC750+AD750+AE750</f>
        <v>7416270.46</v>
      </c>
      <c r="E750" s="60">
        <v>0</v>
      </c>
      <c r="F750" s="60">
        <v>0</v>
      </c>
      <c r="G750" s="60">
        <v>0</v>
      </c>
      <c r="H750" s="60">
        <v>0</v>
      </c>
      <c r="I750" s="60">
        <v>0</v>
      </c>
      <c r="J750" s="60">
        <v>0</v>
      </c>
      <c r="K750" s="168">
        <v>4</v>
      </c>
      <c r="L750" s="60">
        <v>7259352</v>
      </c>
      <c r="M750" s="60">
        <v>0</v>
      </c>
      <c r="N750" s="60">
        <v>0</v>
      </c>
      <c r="O750" s="60">
        <v>0</v>
      </c>
      <c r="P750" s="60">
        <v>0</v>
      </c>
      <c r="Q750" s="60">
        <v>0</v>
      </c>
      <c r="R750" s="60">
        <v>0</v>
      </c>
      <c r="S750" s="60">
        <v>0</v>
      </c>
      <c r="T750" s="60">
        <v>0</v>
      </c>
      <c r="U750" s="60">
        <v>0</v>
      </c>
      <c r="V750" s="60">
        <v>0</v>
      </c>
      <c r="W750" s="60">
        <v>0</v>
      </c>
      <c r="X750" s="60">
        <v>0</v>
      </c>
      <c r="Y750" s="60">
        <v>0</v>
      </c>
      <c r="Z750" s="60">
        <v>0</v>
      </c>
      <c r="AA750" s="60">
        <v>0</v>
      </c>
      <c r="AB750" s="60">
        <v>0</v>
      </c>
      <c r="AC750" s="60">
        <v>52811.79</v>
      </c>
      <c r="AD750" s="62">
        <v>104106.67</v>
      </c>
      <c r="AE750" s="60">
        <v>0</v>
      </c>
      <c r="AF750" s="170">
        <v>2021</v>
      </c>
      <c r="AG750" s="170">
        <v>2021</v>
      </c>
      <c r="AH750" s="170">
        <v>2021</v>
      </c>
    </row>
    <row r="751" spans="1:34" ht="61.5" x14ac:dyDescent="0.85">
      <c r="A751" s="7">
        <v>1</v>
      </c>
      <c r="B751" s="59">
        <f>SUBTOTAL(103,$A$558:A751)</f>
        <v>191</v>
      </c>
      <c r="C751" s="160" t="s">
        <v>2388</v>
      </c>
      <c r="D751" s="60">
        <f t="shared" si="99"/>
        <v>5572860.3200000003</v>
      </c>
      <c r="E751" s="60">
        <v>0</v>
      </c>
      <c r="F751" s="60">
        <v>0</v>
      </c>
      <c r="G751" s="60">
        <v>0</v>
      </c>
      <c r="H751" s="60">
        <v>0</v>
      </c>
      <c r="I751" s="60">
        <v>0</v>
      </c>
      <c r="J751" s="60">
        <v>0</v>
      </c>
      <c r="K751" s="168">
        <v>3</v>
      </c>
      <c r="L751" s="60">
        <v>5435442</v>
      </c>
      <c r="M751" s="60">
        <v>0</v>
      </c>
      <c r="N751" s="60">
        <v>0</v>
      </c>
      <c r="O751" s="60">
        <v>0</v>
      </c>
      <c r="P751" s="60">
        <v>0</v>
      </c>
      <c r="Q751" s="60">
        <v>0</v>
      </c>
      <c r="R751" s="60">
        <v>0</v>
      </c>
      <c r="S751" s="60">
        <v>0</v>
      </c>
      <c r="T751" s="60">
        <v>0</v>
      </c>
      <c r="U751" s="60">
        <v>0</v>
      </c>
      <c r="V751" s="60">
        <v>0</v>
      </c>
      <c r="W751" s="60">
        <v>0</v>
      </c>
      <c r="X751" s="60">
        <v>0</v>
      </c>
      <c r="Y751" s="60">
        <v>0</v>
      </c>
      <c r="Z751" s="60">
        <v>0</v>
      </c>
      <c r="AA751" s="60">
        <v>0</v>
      </c>
      <c r="AB751" s="60">
        <v>0</v>
      </c>
      <c r="AC751" s="60">
        <v>39542.839999999997</v>
      </c>
      <c r="AD751" s="62">
        <v>97875.48</v>
      </c>
      <c r="AE751" s="60">
        <v>0</v>
      </c>
      <c r="AF751" s="170">
        <v>2021</v>
      </c>
      <c r="AG751" s="170">
        <v>2021</v>
      </c>
      <c r="AH751" s="170">
        <v>2021</v>
      </c>
    </row>
    <row r="752" spans="1:34" ht="61.5" x14ac:dyDescent="0.85">
      <c r="A752" s="7">
        <v>1</v>
      </c>
      <c r="B752" s="59">
        <f>SUBTOTAL(103,$A$558:A752)</f>
        <v>192</v>
      </c>
      <c r="C752" s="160" t="s">
        <v>2489</v>
      </c>
      <c r="D752" s="60">
        <f t="shared" si="99"/>
        <v>8909170.0899999999</v>
      </c>
      <c r="E752" s="60">
        <v>0</v>
      </c>
      <c r="F752" s="60">
        <v>0</v>
      </c>
      <c r="G752" s="60">
        <v>0</v>
      </c>
      <c r="H752" s="60">
        <v>0</v>
      </c>
      <c r="I752" s="60">
        <v>0</v>
      </c>
      <c r="J752" s="60">
        <v>0</v>
      </c>
      <c r="K752" s="168">
        <v>5</v>
      </c>
      <c r="L752" s="60">
        <v>8728080</v>
      </c>
      <c r="M752" s="60">
        <v>0</v>
      </c>
      <c r="N752" s="60">
        <v>0</v>
      </c>
      <c r="O752" s="60">
        <v>0</v>
      </c>
      <c r="P752" s="60">
        <v>0</v>
      </c>
      <c r="Q752" s="60">
        <v>0</v>
      </c>
      <c r="R752" s="60">
        <v>0</v>
      </c>
      <c r="S752" s="60">
        <v>0</v>
      </c>
      <c r="T752" s="60">
        <v>0</v>
      </c>
      <c r="U752" s="60">
        <v>0</v>
      </c>
      <c r="V752" s="60">
        <v>0</v>
      </c>
      <c r="W752" s="60">
        <v>0</v>
      </c>
      <c r="X752" s="60">
        <v>0</v>
      </c>
      <c r="Y752" s="60">
        <v>0</v>
      </c>
      <c r="Z752" s="60">
        <v>0</v>
      </c>
      <c r="AA752" s="60">
        <v>0</v>
      </c>
      <c r="AB752" s="60">
        <v>0</v>
      </c>
      <c r="AC752" s="62">
        <v>63496.78</v>
      </c>
      <c r="AD752" s="62">
        <v>117593.31</v>
      </c>
      <c r="AE752" s="60">
        <v>0</v>
      </c>
      <c r="AF752" s="170">
        <v>2021</v>
      </c>
      <c r="AG752" s="170">
        <v>2021</v>
      </c>
      <c r="AH752" s="170">
        <v>2021</v>
      </c>
    </row>
    <row r="753" spans="1:34" ht="61.5" x14ac:dyDescent="0.85">
      <c r="A753" s="7">
        <v>1</v>
      </c>
      <c r="B753" s="59">
        <f>SUBTOTAL(103,$A$558:A753)</f>
        <v>193</v>
      </c>
      <c r="C753" s="160" t="s">
        <v>2490</v>
      </c>
      <c r="D753" s="60">
        <f t="shared" si="99"/>
        <v>7143104.0700000003</v>
      </c>
      <c r="E753" s="60">
        <v>0</v>
      </c>
      <c r="F753" s="60">
        <v>0</v>
      </c>
      <c r="G753" s="60">
        <v>0</v>
      </c>
      <c r="H753" s="60">
        <v>0</v>
      </c>
      <c r="I753" s="60">
        <v>0</v>
      </c>
      <c r="J753" s="60">
        <v>0</v>
      </c>
      <c r="K753" s="168">
        <v>4</v>
      </c>
      <c r="L753" s="60">
        <v>6983966.4000000004</v>
      </c>
      <c r="M753" s="60">
        <v>0</v>
      </c>
      <c r="N753" s="60">
        <v>0</v>
      </c>
      <c r="O753" s="60">
        <v>0</v>
      </c>
      <c r="P753" s="60">
        <v>0</v>
      </c>
      <c r="Q753" s="60">
        <v>0</v>
      </c>
      <c r="R753" s="60">
        <v>0</v>
      </c>
      <c r="S753" s="60">
        <v>0</v>
      </c>
      <c r="T753" s="60">
        <v>0</v>
      </c>
      <c r="U753" s="60">
        <v>0</v>
      </c>
      <c r="V753" s="60">
        <v>0</v>
      </c>
      <c r="W753" s="60">
        <v>0</v>
      </c>
      <c r="X753" s="60">
        <v>0</v>
      </c>
      <c r="Y753" s="60">
        <v>0</v>
      </c>
      <c r="Z753" s="60">
        <v>0</v>
      </c>
      <c r="AA753" s="60">
        <v>0</v>
      </c>
      <c r="AB753" s="60">
        <v>0</v>
      </c>
      <c r="AC753" s="62">
        <v>50808.36</v>
      </c>
      <c r="AD753" s="62">
        <v>108329.31</v>
      </c>
      <c r="AE753" s="60">
        <v>0</v>
      </c>
      <c r="AF753" s="170">
        <v>2021</v>
      </c>
      <c r="AG753" s="170">
        <v>2021</v>
      </c>
      <c r="AH753" s="170">
        <v>2021</v>
      </c>
    </row>
    <row r="754" spans="1:34" ht="61.5" x14ac:dyDescent="0.85">
      <c r="A754" s="7">
        <v>1</v>
      </c>
      <c r="B754" s="59">
        <f>SUBTOTAL(103,$A$558:A754)</f>
        <v>194</v>
      </c>
      <c r="C754" s="160" t="s">
        <v>2491</v>
      </c>
      <c r="D754" s="60">
        <f t="shared" si="99"/>
        <v>5513685.3200000003</v>
      </c>
      <c r="E754" s="60">
        <v>0</v>
      </c>
      <c r="F754" s="60">
        <v>0</v>
      </c>
      <c r="G754" s="60">
        <v>0</v>
      </c>
      <c r="H754" s="60">
        <v>0</v>
      </c>
      <c r="I754" s="60">
        <v>0</v>
      </c>
      <c r="J754" s="60">
        <v>0</v>
      </c>
      <c r="K754" s="168">
        <v>3</v>
      </c>
      <c r="L754" s="60">
        <v>5374782</v>
      </c>
      <c r="M754" s="60">
        <v>0</v>
      </c>
      <c r="N754" s="60">
        <v>0</v>
      </c>
      <c r="O754" s="60">
        <v>0</v>
      </c>
      <c r="P754" s="60">
        <v>0</v>
      </c>
      <c r="Q754" s="60">
        <v>0</v>
      </c>
      <c r="R754" s="60">
        <v>0</v>
      </c>
      <c r="S754" s="60">
        <v>0</v>
      </c>
      <c r="T754" s="60">
        <v>0</v>
      </c>
      <c r="U754" s="60">
        <v>0</v>
      </c>
      <c r="V754" s="60">
        <v>0</v>
      </c>
      <c r="W754" s="60">
        <v>0</v>
      </c>
      <c r="X754" s="60">
        <v>0</v>
      </c>
      <c r="Y754" s="60">
        <v>0</v>
      </c>
      <c r="Z754" s="60">
        <v>0</v>
      </c>
      <c r="AA754" s="60">
        <v>0</v>
      </c>
      <c r="AB754" s="60">
        <v>0</v>
      </c>
      <c r="AC754" s="62">
        <v>39101.54</v>
      </c>
      <c r="AD754" s="62">
        <v>99801.78</v>
      </c>
      <c r="AE754" s="60">
        <v>0</v>
      </c>
      <c r="AF754" s="170">
        <v>2021</v>
      </c>
      <c r="AG754" s="170">
        <v>2021</v>
      </c>
      <c r="AH754" s="170">
        <v>2021</v>
      </c>
    </row>
    <row r="755" spans="1:34" ht="61.5" x14ac:dyDescent="0.85">
      <c r="A755" s="7">
        <v>1</v>
      </c>
      <c r="B755" s="59">
        <f>SUBTOTAL(103,$A$558:A755)</f>
        <v>195</v>
      </c>
      <c r="C755" s="160" t="s">
        <v>2492</v>
      </c>
      <c r="D755" s="60">
        <f t="shared" si="99"/>
        <v>1897149.8399999999</v>
      </c>
      <c r="E755" s="60">
        <v>0</v>
      </c>
      <c r="F755" s="60">
        <v>0</v>
      </c>
      <c r="G755" s="60">
        <v>0</v>
      </c>
      <c r="H755" s="60">
        <v>0</v>
      </c>
      <c r="I755" s="60">
        <v>0</v>
      </c>
      <c r="J755" s="60">
        <v>0</v>
      </c>
      <c r="K755" s="168">
        <v>1</v>
      </c>
      <c r="L755" s="60">
        <v>1790612.4</v>
      </c>
      <c r="M755" s="60">
        <v>0</v>
      </c>
      <c r="N755" s="60">
        <v>0</v>
      </c>
      <c r="O755" s="60">
        <v>0</v>
      </c>
      <c r="P755" s="60">
        <v>0</v>
      </c>
      <c r="Q755" s="60">
        <v>0</v>
      </c>
      <c r="R755" s="60">
        <v>0</v>
      </c>
      <c r="S755" s="60">
        <v>0</v>
      </c>
      <c r="T755" s="60">
        <v>0</v>
      </c>
      <c r="U755" s="60">
        <v>0</v>
      </c>
      <c r="V755" s="60">
        <v>0</v>
      </c>
      <c r="W755" s="60">
        <v>0</v>
      </c>
      <c r="X755" s="60">
        <v>0</v>
      </c>
      <c r="Y755" s="60">
        <v>0</v>
      </c>
      <c r="Z755" s="60">
        <v>0</v>
      </c>
      <c r="AA755" s="60">
        <v>0</v>
      </c>
      <c r="AB755" s="60">
        <v>0</v>
      </c>
      <c r="AC755" s="60">
        <v>13026.71</v>
      </c>
      <c r="AD755" s="62">
        <v>93510.73</v>
      </c>
      <c r="AE755" s="60">
        <v>0</v>
      </c>
      <c r="AF755" s="170">
        <v>2021</v>
      </c>
      <c r="AG755" s="170">
        <v>2021</v>
      </c>
      <c r="AH755" s="170">
        <v>2021</v>
      </c>
    </row>
    <row r="756" spans="1:34" ht="61.5" x14ac:dyDescent="0.85">
      <c r="A756" s="7">
        <v>1</v>
      </c>
      <c r="B756" s="59">
        <f>SUBTOTAL(103,$A$558:A756)</f>
        <v>196</v>
      </c>
      <c r="C756" s="160" t="s">
        <v>2493</v>
      </c>
      <c r="D756" s="60">
        <f t="shared" si="99"/>
        <v>3605355.24</v>
      </c>
      <c r="E756" s="60">
        <v>0</v>
      </c>
      <c r="F756" s="60">
        <v>0</v>
      </c>
      <c r="G756" s="60">
        <v>0</v>
      </c>
      <c r="H756" s="60">
        <v>0</v>
      </c>
      <c r="I756" s="60">
        <v>0</v>
      </c>
      <c r="J756" s="60">
        <v>0</v>
      </c>
      <c r="K756" s="168">
        <v>2</v>
      </c>
      <c r="L756" s="60">
        <v>3486403.2</v>
      </c>
      <c r="M756" s="60">
        <v>0</v>
      </c>
      <c r="N756" s="60">
        <v>0</v>
      </c>
      <c r="O756" s="60">
        <v>0</v>
      </c>
      <c r="P756" s="60">
        <v>0</v>
      </c>
      <c r="Q756" s="60">
        <v>0</v>
      </c>
      <c r="R756" s="60">
        <v>0</v>
      </c>
      <c r="S756" s="60">
        <v>0</v>
      </c>
      <c r="T756" s="60">
        <v>0</v>
      </c>
      <c r="U756" s="60">
        <v>0</v>
      </c>
      <c r="V756" s="60">
        <v>0</v>
      </c>
      <c r="W756" s="60">
        <v>0</v>
      </c>
      <c r="X756" s="60">
        <v>0</v>
      </c>
      <c r="Y756" s="60">
        <v>0</v>
      </c>
      <c r="Z756" s="60">
        <v>0</v>
      </c>
      <c r="AA756" s="60">
        <v>0</v>
      </c>
      <c r="AB756" s="60">
        <v>0</v>
      </c>
      <c r="AC756" s="62">
        <v>25363.58</v>
      </c>
      <c r="AD756" s="62">
        <v>93588.46</v>
      </c>
      <c r="AE756" s="60">
        <v>0</v>
      </c>
      <c r="AF756" s="170">
        <v>2021</v>
      </c>
      <c r="AG756" s="170">
        <v>2021</v>
      </c>
      <c r="AH756" s="170">
        <v>2021</v>
      </c>
    </row>
    <row r="757" spans="1:34" ht="61.5" x14ac:dyDescent="0.85">
      <c r="A757" s="7">
        <v>1</v>
      </c>
      <c r="B757" s="59">
        <f>SUBTOTAL(103,$A$558:A757)</f>
        <v>197</v>
      </c>
      <c r="C757" s="160" t="s">
        <v>2289</v>
      </c>
      <c r="D757" s="60">
        <f t="shared" si="99"/>
        <v>79337.539999999994</v>
      </c>
      <c r="E757" s="60">
        <v>0</v>
      </c>
      <c r="F757" s="60">
        <v>0</v>
      </c>
      <c r="G757" s="60">
        <v>0</v>
      </c>
      <c r="H757" s="60">
        <v>0</v>
      </c>
      <c r="I757" s="60">
        <v>0</v>
      </c>
      <c r="J757" s="60">
        <v>0</v>
      </c>
      <c r="K757" s="168">
        <v>0</v>
      </c>
      <c r="L757" s="60">
        <v>0</v>
      </c>
      <c r="M757" s="60">
        <v>0</v>
      </c>
      <c r="N757" s="60">
        <v>0</v>
      </c>
      <c r="O757" s="60">
        <v>0</v>
      </c>
      <c r="P757" s="60">
        <v>0</v>
      </c>
      <c r="Q757" s="60">
        <v>0</v>
      </c>
      <c r="R757" s="60">
        <v>0</v>
      </c>
      <c r="S757" s="60">
        <v>0</v>
      </c>
      <c r="T757" s="60">
        <v>0</v>
      </c>
      <c r="U757" s="60">
        <v>0</v>
      </c>
      <c r="V757" s="60">
        <v>0</v>
      </c>
      <c r="W757" s="60">
        <v>0</v>
      </c>
      <c r="X757" s="60">
        <v>0</v>
      </c>
      <c r="Y757" s="60">
        <v>0</v>
      </c>
      <c r="Z757" s="60">
        <v>0</v>
      </c>
      <c r="AA757" s="60">
        <v>0</v>
      </c>
      <c r="AB757" s="60">
        <v>0</v>
      </c>
      <c r="AC757" s="60">
        <v>0</v>
      </c>
      <c r="AD757" s="62">
        <v>79337.539999999994</v>
      </c>
      <c r="AE757" s="60">
        <v>0</v>
      </c>
      <c r="AF757" s="170">
        <v>2021</v>
      </c>
      <c r="AG757" s="170" t="s">
        <v>257</v>
      </c>
      <c r="AH757" s="170" t="s">
        <v>257</v>
      </c>
    </row>
    <row r="758" spans="1:34" ht="61.5" x14ac:dyDescent="0.85">
      <c r="A758" s="7">
        <v>1</v>
      </c>
      <c r="B758" s="59">
        <f>SUBTOTAL(103,$A$558:A758)</f>
        <v>198</v>
      </c>
      <c r="C758" s="160" t="s">
        <v>2290</v>
      </c>
      <c r="D758" s="60">
        <f t="shared" si="99"/>
        <v>80050.720000000001</v>
      </c>
      <c r="E758" s="60">
        <v>0</v>
      </c>
      <c r="F758" s="60">
        <v>0</v>
      </c>
      <c r="G758" s="60">
        <v>0</v>
      </c>
      <c r="H758" s="60">
        <v>0</v>
      </c>
      <c r="I758" s="60">
        <v>0</v>
      </c>
      <c r="J758" s="60">
        <v>0</v>
      </c>
      <c r="K758" s="168">
        <v>0</v>
      </c>
      <c r="L758" s="60">
        <v>0</v>
      </c>
      <c r="M758" s="60">
        <v>0</v>
      </c>
      <c r="N758" s="60">
        <v>0</v>
      </c>
      <c r="O758" s="60">
        <v>0</v>
      </c>
      <c r="P758" s="60">
        <v>0</v>
      </c>
      <c r="Q758" s="60">
        <v>0</v>
      </c>
      <c r="R758" s="60">
        <v>0</v>
      </c>
      <c r="S758" s="60">
        <v>0</v>
      </c>
      <c r="T758" s="60">
        <v>0</v>
      </c>
      <c r="U758" s="60">
        <v>0</v>
      </c>
      <c r="V758" s="60">
        <v>0</v>
      </c>
      <c r="W758" s="60">
        <v>0</v>
      </c>
      <c r="X758" s="60">
        <v>0</v>
      </c>
      <c r="Y758" s="60">
        <v>0</v>
      </c>
      <c r="Z758" s="60">
        <v>0</v>
      </c>
      <c r="AA758" s="60">
        <v>0</v>
      </c>
      <c r="AB758" s="60">
        <v>0</v>
      </c>
      <c r="AC758" s="60">
        <v>0</v>
      </c>
      <c r="AD758" s="62">
        <v>80050.720000000001</v>
      </c>
      <c r="AE758" s="60">
        <v>0</v>
      </c>
      <c r="AF758" s="170">
        <v>2021</v>
      </c>
      <c r="AG758" s="170" t="s">
        <v>257</v>
      </c>
      <c r="AH758" s="170" t="s">
        <v>257</v>
      </c>
    </row>
    <row r="759" spans="1:34" ht="61.5" x14ac:dyDescent="0.85">
      <c r="A759" s="7">
        <v>1</v>
      </c>
      <c r="B759" s="59">
        <f>SUBTOTAL(103,$A$558:A759)</f>
        <v>199</v>
      </c>
      <c r="C759" s="160" t="s">
        <v>1988</v>
      </c>
      <c r="D759" s="60">
        <f t="shared" si="99"/>
        <v>7420651.3099999996</v>
      </c>
      <c r="E759" s="60">
        <v>0</v>
      </c>
      <c r="F759" s="60">
        <v>0</v>
      </c>
      <c r="G759" s="60">
        <v>0</v>
      </c>
      <c r="H759" s="60">
        <v>0</v>
      </c>
      <c r="I759" s="60">
        <v>0</v>
      </c>
      <c r="J759" s="60">
        <v>0</v>
      </c>
      <c r="K759" s="168">
        <v>4</v>
      </c>
      <c r="L759" s="60">
        <v>7260115.2000000002</v>
      </c>
      <c r="M759" s="60">
        <v>0</v>
      </c>
      <c r="N759" s="60">
        <v>0</v>
      </c>
      <c r="O759" s="60">
        <v>0</v>
      </c>
      <c r="P759" s="60">
        <v>0</v>
      </c>
      <c r="Q759" s="60">
        <v>0</v>
      </c>
      <c r="R759" s="60">
        <v>0</v>
      </c>
      <c r="S759" s="60">
        <v>0</v>
      </c>
      <c r="T759" s="60">
        <v>0</v>
      </c>
      <c r="U759" s="60">
        <v>0</v>
      </c>
      <c r="V759" s="60">
        <v>0</v>
      </c>
      <c r="W759" s="60">
        <v>0</v>
      </c>
      <c r="X759" s="60">
        <v>0</v>
      </c>
      <c r="Y759" s="60">
        <v>0</v>
      </c>
      <c r="Z759" s="60">
        <v>0</v>
      </c>
      <c r="AA759" s="60">
        <v>0</v>
      </c>
      <c r="AB759" s="60">
        <v>0</v>
      </c>
      <c r="AC759" s="62">
        <v>52817.34</v>
      </c>
      <c r="AD759" s="62">
        <v>107718.77</v>
      </c>
      <c r="AE759" s="60">
        <v>0</v>
      </c>
      <c r="AF759" s="170">
        <v>2021</v>
      </c>
      <c r="AG759" s="170">
        <v>2021</v>
      </c>
      <c r="AH759" s="170">
        <v>2021</v>
      </c>
    </row>
    <row r="760" spans="1:34" ht="61.5" x14ac:dyDescent="0.85">
      <c r="A760" s="7">
        <v>1</v>
      </c>
      <c r="B760" s="59">
        <f>SUBTOTAL(103,$A$558:A760)</f>
        <v>200</v>
      </c>
      <c r="C760" s="160" t="s">
        <v>2394</v>
      </c>
      <c r="D760" s="60">
        <f t="shared" si="99"/>
        <v>7420668.29</v>
      </c>
      <c r="E760" s="60">
        <v>0</v>
      </c>
      <c r="F760" s="60">
        <v>0</v>
      </c>
      <c r="G760" s="60">
        <v>0</v>
      </c>
      <c r="H760" s="60">
        <v>0</v>
      </c>
      <c r="I760" s="60">
        <v>0</v>
      </c>
      <c r="J760" s="60">
        <v>0</v>
      </c>
      <c r="K760" s="168">
        <v>4</v>
      </c>
      <c r="L760" s="60">
        <v>7260115.2000000002</v>
      </c>
      <c r="M760" s="60">
        <v>0</v>
      </c>
      <c r="N760" s="60">
        <v>0</v>
      </c>
      <c r="O760" s="60">
        <v>0</v>
      </c>
      <c r="P760" s="60">
        <v>0</v>
      </c>
      <c r="Q760" s="60">
        <v>0</v>
      </c>
      <c r="R760" s="60">
        <v>0</v>
      </c>
      <c r="S760" s="60">
        <v>0</v>
      </c>
      <c r="T760" s="60">
        <v>0</v>
      </c>
      <c r="U760" s="60">
        <v>0</v>
      </c>
      <c r="V760" s="60">
        <v>0</v>
      </c>
      <c r="W760" s="60">
        <v>0</v>
      </c>
      <c r="X760" s="60">
        <v>0</v>
      </c>
      <c r="Y760" s="60">
        <v>0</v>
      </c>
      <c r="Z760" s="60">
        <v>0</v>
      </c>
      <c r="AA760" s="60">
        <v>0</v>
      </c>
      <c r="AB760" s="60">
        <v>0</v>
      </c>
      <c r="AC760" s="62">
        <v>52817.34</v>
      </c>
      <c r="AD760" s="62">
        <v>107735.75</v>
      </c>
      <c r="AE760" s="60">
        <v>0</v>
      </c>
      <c r="AF760" s="170">
        <v>2021</v>
      </c>
      <c r="AG760" s="170">
        <v>2021</v>
      </c>
      <c r="AH760" s="170">
        <v>2021</v>
      </c>
    </row>
    <row r="761" spans="1:34" ht="61.5" x14ac:dyDescent="0.85">
      <c r="A761" s="7">
        <v>1</v>
      </c>
      <c r="B761" s="59">
        <f>SUBTOTAL(103,$A$558:A761)</f>
        <v>201</v>
      </c>
      <c r="C761" s="160" t="s">
        <v>1705</v>
      </c>
      <c r="D761" s="60">
        <f t="shared" si="99"/>
        <v>10658255.35</v>
      </c>
      <c r="E761" s="60">
        <v>0</v>
      </c>
      <c r="F761" s="60">
        <v>0</v>
      </c>
      <c r="G761" s="60">
        <v>0</v>
      </c>
      <c r="H761" s="60">
        <v>0</v>
      </c>
      <c r="I761" s="60">
        <v>0</v>
      </c>
      <c r="J761" s="60">
        <v>0</v>
      </c>
      <c r="K761" s="168">
        <v>6</v>
      </c>
      <c r="L761" s="60">
        <v>10461448.800000001</v>
      </c>
      <c r="M761" s="60">
        <v>0</v>
      </c>
      <c r="N761" s="60">
        <v>0</v>
      </c>
      <c r="O761" s="60">
        <v>0</v>
      </c>
      <c r="P761" s="60">
        <v>0</v>
      </c>
      <c r="Q761" s="60">
        <v>0</v>
      </c>
      <c r="R761" s="60">
        <v>0</v>
      </c>
      <c r="S761" s="60">
        <v>0</v>
      </c>
      <c r="T761" s="60">
        <v>0</v>
      </c>
      <c r="U761" s="60">
        <v>0</v>
      </c>
      <c r="V761" s="60">
        <v>0</v>
      </c>
      <c r="W761" s="60">
        <v>0</v>
      </c>
      <c r="X761" s="60">
        <v>0</v>
      </c>
      <c r="Y761" s="60">
        <v>0</v>
      </c>
      <c r="Z761" s="60">
        <v>0</v>
      </c>
      <c r="AA761" s="60">
        <v>0</v>
      </c>
      <c r="AB761" s="60">
        <v>0</v>
      </c>
      <c r="AC761" s="60">
        <v>76107.039999999994</v>
      </c>
      <c r="AD761" s="62">
        <v>120699.51</v>
      </c>
      <c r="AE761" s="60">
        <v>0</v>
      </c>
      <c r="AF761" s="170">
        <v>2021</v>
      </c>
      <c r="AG761" s="170">
        <v>2021</v>
      </c>
      <c r="AH761" s="170">
        <v>2021</v>
      </c>
    </row>
    <row r="762" spans="1:34" ht="61.5" x14ac:dyDescent="0.85">
      <c r="A762" s="7">
        <v>1</v>
      </c>
      <c r="B762" s="59">
        <f>SUBTOTAL(103,$A$558:A762)</f>
        <v>202</v>
      </c>
      <c r="C762" s="160" t="s">
        <v>2494</v>
      </c>
      <c r="D762" s="60">
        <f t="shared" si="99"/>
        <v>3606108.8899999997</v>
      </c>
      <c r="E762" s="60">
        <v>0</v>
      </c>
      <c r="F762" s="60">
        <v>0</v>
      </c>
      <c r="G762" s="60">
        <v>0</v>
      </c>
      <c r="H762" s="60">
        <v>0</v>
      </c>
      <c r="I762" s="60">
        <v>0</v>
      </c>
      <c r="J762" s="60">
        <v>0</v>
      </c>
      <c r="K762" s="168">
        <v>2</v>
      </c>
      <c r="L762" s="60">
        <v>3487149.6</v>
      </c>
      <c r="M762" s="60">
        <v>0</v>
      </c>
      <c r="N762" s="60">
        <v>0</v>
      </c>
      <c r="O762" s="60">
        <v>0</v>
      </c>
      <c r="P762" s="60">
        <v>0</v>
      </c>
      <c r="Q762" s="60">
        <v>0</v>
      </c>
      <c r="R762" s="60">
        <v>0</v>
      </c>
      <c r="S762" s="60">
        <v>0</v>
      </c>
      <c r="T762" s="60">
        <v>0</v>
      </c>
      <c r="U762" s="60">
        <v>0</v>
      </c>
      <c r="V762" s="60">
        <v>0</v>
      </c>
      <c r="W762" s="60">
        <v>0</v>
      </c>
      <c r="X762" s="60">
        <v>0</v>
      </c>
      <c r="Y762" s="60">
        <v>0</v>
      </c>
      <c r="Z762" s="60">
        <v>0</v>
      </c>
      <c r="AA762" s="60">
        <v>0</v>
      </c>
      <c r="AB762" s="60">
        <v>0</v>
      </c>
      <c r="AC762" s="62">
        <v>25369.01</v>
      </c>
      <c r="AD762" s="62">
        <v>93590.28</v>
      </c>
      <c r="AE762" s="60">
        <v>0</v>
      </c>
      <c r="AF762" s="170">
        <v>2021</v>
      </c>
      <c r="AG762" s="170">
        <v>2021</v>
      </c>
      <c r="AH762" s="170">
        <v>2021</v>
      </c>
    </row>
    <row r="763" spans="1:34" ht="61.5" x14ac:dyDescent="0.85">
      <c r="A763" s="7">
        <v>1</v>
      </c>
      <c r="B763" s="59">
        <f>SUBTOTAL(103,$A$558:A763)</f>
        <v>203</v>
      </c>
      <c r="C763" s="160" t="s">
        <v>2495</v>
      </c>
      <c r="D763" s="60">
        <f t="shared" si="99"/>
        <v>7421117.5899999999</v>
      </c>
      <c r="E763" s="60">
        <v>0</v>
      </c>
      <c r="F763" s="60">
        <v>0</v>
      </c>
      <c r="G763" s="60">
        <v>0</v>
      </c>
      <c r="H763" s="60">
        <v>0</v>
      </c>
      <c r="I763" s="60">
        <v>0</v>
      </c>
      <c r="J763" s="60">
        <v>0</v>
      </c>
      <c r="K763" s="168">
        <v>4</v>
      </c>
      <c r="L763" s="60">
        <v>7260768</v>
      </c>
      <c r="M763" s="60">
        <v>0</v>
      </c>
      <c r="N763" s="60">
        <v>0</v>
      </c>
      <c r="O763" s="60">
        <v>0</v>
      </c>
      <c r="P763" s="60">
        <v>0</v>
      </c>
      <c r="Q763" s="60">
        <v>0</v>
      </c>
      <c r="R763" s="60">
        <v>0</v>
      </c>
      <c r="S763" s="60">
        <v>0</v>
      </c>
      <c r="T763" s="60">
        <v>0</v>
      </c>
      <c r="U763" s="60">
        <v>0</v>
      </c>
      <c r="V763" s="60">
        <v>0</v>
      </c>
      <c r="W763" s="60">
        <v>0</v>
      </c>
      <c r="X763" s="60">
        <v>0</v>
      </c>
      <c r="Y763" s="60">
        <v>0</v>
      </c>
      <c r="Z763" s="60">
        <v>0</v>
      </c>
      <c r="AA763" s="60">
        <v>0</v>
      </c>
      <c r="AB763" s="60">
        <v>0</v>
      </c>
      <c r="AC763" s="62">
        <v>52822.09</v>
      </c>
      <c r="AD763" s="62">
        <v>107527.5</v>
      </c>
      <c r="AE763" s="60">
        <v>0</v>
      </c>
      <c r="AF763" s="170">
        <v>2021</v>
      </c>
      <c r="AG763" s="170">
        <v>2021</v>
      </c>
      <c r="AH763" s="170">
        <v>2021</v>
      </c>
    </row>
    <row r="764" spans="1:34" ht="61.5" x14ac:dyDescent="0.85">
      <c r="A764" s="7">
        <v>1</v>
      </c>
      <c r="B764" s="59">
        <f>SUBTOTAL(103,$A$558:A764)</f>
        <v>204</v>
      </c>
      <c r="C764" s="160" t="s">
        <v>2496</v>
      </c>
      <c r="D764" s="60">
        <f t="shared" si="99"/>
        <v>3606935.17</v>
      </c>
      <c r="E764" s="60">
        <v>0</v>
      </c>
      <c r="F764" s="60">
        <v>0</v>
      </c>
      <c r="G764" s="60">
        <v>0</v>
      </c>
      <c r="H764" s="60">
        <v>0</v>
      </c>
      <c r="I764" s="60">
        <v>0</v>
      </c>
      <c r="J764" s="60">
        <v>0</v>
      </c>
      <c r="K764" s="168">
        <v>2</v>
      </c>
      <c r="L764" s="60">
        <v>3488020.8</v>
      </c>
      <c r="M764" s="60">
        <v>0</v>
      </c>
      <c r="N764" s="60">
        <v>0</v>
      </c>
      <c r="O764" s="60">
        <v>0</v>
      </c>
      <c r="P764" s="60">
        <v>0</v>
      </c>
      <c r="Q764" s="60">
        <v>0</v>
      </c>
      <c r="R764" s="60">
        <v>0</v>
      </c>
      <c r="S764" s="60">
        <v>0</v>
      </c>
      <c r="T764" s="60">
        <v>0</v>
      </c>
      <c r="U764" s="60">
        <v>0</v>
      </c>
      <c r="V764" s="60">
        <v>0</v>
      </c>
      <c r="W764" s="60">
        <v>0</v>
      </c>
      <c r="X764" s="60">
        <v>0</v>
      </c>
      <c r="Y764" s="60">
        <v>0</v>
      </c>
      <c r="Z764" s="60">
        <v>0</v>
      </c>
      <c r="AA764" s="60">
        <v>0</v>
      </c>
      <c r="AB764" s="60">
        <v>0</v>
      </c>
      <c r="AC764" s="62">
        <v>25375.35</v>
      </c>
      <c r="AD764" s="62">
        <v>93539.02</v>
      </c>
      <c r="AE764" s="60">
        <v>0</v>
      </c>
      <c r="AF764" s="170">
        <v>2021</v>
      </c>
      <c r="AG764" s="170">
        <v>2021</v>
      </c>
      <c r="AH764" s="170">
        <v>2021</v>
      </c>
    </row>
    <row r="765" spans="1:34" ht="61.5" x14ac:dyDescent="0.85">
      <c r="A765" s="7">
        <v>1</v>
      </c>
      <c r="B765" s="59">
        <f>SUBTOTAL(103,$A$558:A765)</f>
        <v>205</v>
      </c>
      <c r="C765" s="160" t="s">
        <v>2497</v>
      </c>
      <c r="D765" s="60">
        <f t="shared" si="99"/>
        <v>7303041.5899999999</v>
      </c>
      <c r="E765" s="60">
        <v>0</v>
      </c>
      <c r="F765" s="60">
        <v>0</v>
      </c>
      <c r="G765" s="60">
        <v>0</v>
      </c>
      <c r="H765" s="60">
        <v>0</v>
      </c>
      <c r="I765" s="60">
        <v>0</v>
      </c>
      <c r="J765" s="60">
        <v>0</v>
      </c>
      <c r="K765" s="168">
        <v>4</v>
      </c>
      <c r="L765" s="60">
        <v>7143820.7999999998</v>
      </c>
      <c r="M765" s="60">
        <v>0</v>
      </c>
      <c r="N765" s="60">
        <v>0</v>
      </c>
      <c r="O765" s="60">
        <v>0</v>
      </c>
      <c r="P765" s="60">
        <v>0</v>
      </c>
      <c r="Q765" s="60">
        <v>0</v>
      </c>
      <c r="R765" s="60">
        <v>0</v>
      </c>
      <c r="S765" s="60">
        <v>0</v>
      </c>
      <c r="T765" s="60">
        <v>0</v>
      </c>
      <c r="U765" s="60">
        <v>0</v>
      </c>
      <c r="V765" s="60">
        <v>0</v>
      </c>
      <c r="W765" s="60">
        <v>0</v>
      </c>
      <c r="X765" s="60">
        <v>0</v>
      </c>
      <c r="Y765" s="60">
        <v>0</v>
      </c>
      <c r="Z765" s="60">
        <v>0</v>
      </c>
      <c r="AA765" s="60">
        <v>0</v>
      </c>
      <c r="AB765" s="60">
        <v>0</v>
      </c>
      <c r="AC765" s="60">
        <v>51971.3</v>
      </c>
      <c r="AD765" s="62">
        <v>107249.49</v>
      </c>
      <c r="AE765" s="60">
        <v>0</v>
      </c>
      <c r="AF765" s="170">
        <v>2021</v>
      </c>
      <c r="AG765" s="170">
        <v>2021</v>
      </c>
      <c r="AH765" s="170">
        <v>2021</v>
      </c>
    </row>
    <row r="766" spans="1:34" ht="61.5" x14ac:dyDescent="0.85">
      <c r="A766" s="7">
        <v>1</v>
      </c>
      <c r="B766" s="59">
        <f>SUBTOTAL(103,$A$558:A766)</f>
        <v>206</v>
      </c>
      <c r="C766" s="160" t="s">
        <v>2012</v>
      </c>
      <c r="D766" s="60">
        <f t="shared" si="99"/>
        <v>79535.62</v>
      </c>
      <c r="E766" s="60">
        <v>0</v>
      </c>
      <c r="F766" s="60">
        <v>0</v>
      </c>
      <c r="G766" s="60">
        <v>0</v>
      </c>
      <c r="H766" s="60">
        <v>0</v>
      </c>
      <c r="I766" s="60">
        <v>0</v>
      </c>
      <c r="J766" s="60">
        <v>0</v>
      </c>
      <c r="K766" s="168">
        <v>0</v>
      </c>
      <c r="L766" s="60">
        <v>0</v>
      </c>
      <c r="M766" s="60">
        <v>0</v>
      </c>
      <c r="N766" s="60">
        <v>0</v>
      </c>
      <c r="O766" s="60">
        <v>0</v>
      </c>
      <c r="P766" s="60">
        <v>0</v>
      </c>
      <c r="Q766" s="60">
        <v>0</v>
      </c>
      <c r="R766" s="60">
        <v>0</v>
      </c>
      <c r="S766" s="60">
        <v>0</v>
      </c>
      <c r="T766" s="60">
        <v>0</v>
      </c>
      <c r="U766" s="60">
        <v>0</v>
      </c>
      <c r="V766" s="60">
        <v>0</v>
      </c>
      <c r="W766" s="60">
        <v>0</v>
      </c>
      <c r="X766" s="60">
        <v>0</v>
      </c>
      <c r="Y766" s="60">
        <v>0</v>
      </c>
      <c r="Z766" s="60">
        <v>0</v>
      </c>
      <c r="AA766" s="60">
        <v>0</v>
      </c>
      <c r="AB766" s="60">
        <v>0</v>
      </c>
      <c r="AC766" s="60">
        <v>0</v>
      </c>
      <c r="AD766" s="62">
        <v>79535.62</v>
      </c>
      <c r="AE766" s="60">
        <v>0</v>
      </c>
      <c r="AF766" s="170">
        <v>2021</v>
      </c>
      <c r="AG766" s="170" t="s">
        <v>257</v>
      </c>
      <c r="AH766" s="170" t="s">
        <v>257</v>
      </c>
    </row>
    <row r="767" spans="1:34" ht="61.5" x14ac:dyDescent="0.85">
      <c r="A767" s="7">
        <v>1</v>
      </c>
      <c r="B767" s="59">
        <f>SUBTOTAL(103,$A$558:A767)</f>
        <v>207</v>
      </c>
      <c r="C767" s="160" t="s">
        <v>2498</v>
      </c>
      <c r="D767" s="60">
        <f t="shared" si="99"/>
        <v>5374908.1000000006</v>
      </c>
      <c r="E767" s="60">
        <v>0</v>
      </c>
      <c r="F767" s="60">
        <v>0</v>
      </c>
      <c r="G767" s="60">
        <v>0</v>
      </c>
      <c r="H767" s="60">
        <v>0</v>
      </c>
      <c r="I767" s="60">
        <v>0</v>
      </c>
      <c r="J767" s="60">
        <v>0</v>
      </c>
      <c r="K767" s="168">
        <v>3</v>
      </c>
      <c r="L767" s="60">
        <v>5236740</v>
      </c>
      <c r="M767" s="60">
        <v>0</v>
      </c>
      <c r="N767" s="60">
        <v>0</v>
      </c>
      <c r="O767" s="60">
        <v>0</v>
      </c>
      <c r="P767" s="60">
        <v>0</v>
      </c>
      <c r="Q767" s="60">
        <v>0</v>
      </c>
      <c r="R767" s="60">
        <v>0</v>
      </c>
      <c r="S767" s="60">
        <v>0</v>
      </c>
      <c r="T767" s="60">
        <v>0</v>
      </c>
      <c r="U767" s="60">
        <v>0</v>
      </c>
      <c r="V767" s="60">
        <v>0</v>
      </c>
      <c r="W767" s="60">
        <v>0</v>
      </c>
      <c r="X767" s="60">
        <v>0</v>
      </c>
      <c r="Y767" s="60">
        <v>0</v>
      </c>
      <c r="Z767" s="60">
        <v>0</v>
      </c>
      <c r="AA767" s="60">
        <v>0</v>
      </c>
      <c r="AB767" s="60">
        <v>0</v>
      </c>
      <c r="AC767" s="62">
        <v>38097.279999999999</v>
      </c>
      <c r="AD767" s="62">
        <v>100070.82</v>
      </c>
      <c r="AE767" s="60">
        <v>0</v>
      </c>
      <c r="AF767" s="170">
        <v>2021</v>
      </c>
      <c r="AG767" s="170">
        <v>2021</v>
      </c>
      <c r="AH767" s="170">
        <v>2021</v>
      </c>
    </row>
    <row r="768" spans="1:34" ht="61.5" x14ac:dyDescent="0.85">
      <c r="A768" s="7">
        <v>1</v>
      </c>
      <c r="B768" s="59">
        <f>SUBTOTAL(103,$A$558:A768)</f>
        <v>208</v>
      </c>
      <c r="C768" s="160" t="s">
        <v>2499</v>
      </c>
      <c r="D768" s="60">
        <f t="shared" si="99"/>
        <v>3607168.27</v>
      </c>
      <c r="E768" s="60">
        <v>0</v>
      </c>
      <c r="F768" s="60">
        <v>0</v>
      </c>
      <c r="G768" s="60">
        <v>0</v>
      </c>
      <c r="H768" s="60">
        <v>0</v>
      </c>
      <c r="I768" s="60">
        <v>0</v>
      </c>
      <c r="J768" s="60">
        <v>0</v>
      </c>
      <c r="K768" s="168">
        <v>2</v>
      </c>
      <c r="L768" s="60">
        <v>3488659.2</v>
      </c>
      <c r="M768" s="60">
        <v>0</v>
      </c>
      <c r="N768" s="60">
        <v>0</v>
      </c>
      <c r="O768" s="60">
        <v>0</v>
      </c>
      <c r="P768" s="60">
        <v>0</v>
      </c>
      <c r="Q768" s="60">
        <v>0</v>
      </c>
      <c r="R768" s="60">
        <v>0</v>
      </c>
      <c r="S768" s="60">
        <v>0</v>
      </c>
      <c r="T768" s="60">
        <v>0</v>
      </c>
      <c r="U768" s="60">
        <v>0</v>
      </c>
      <c r="V768" s="60">
        <v>0</v>
      </c>
      <c r="W768" s="60">
        <v>0</v>
      </c>
      <c r="X768" s="60">
        <v>0</v>
      </c>
      <c r="Y768" s="60">
        <v>0</v>
      </c>
      <c r="Z768" s="60">
        <v>0</v>
      </c>
      <c r="AA768" s="60">
        <v>0</v>
      </c>
      <c r="AB768" s="60">
        <v>0</v>
      </c>
      <c r="AC768" s="62">
        <v>25380</v>
      </c>
      <c r="AD768" s="62">
        <v>93129.07</v>
      </c>
      <c r="AE768" s="60">
        <v>0</v>
      </c>
      <c r="AF768" s="170">
        <v>2021</v>
      </c>
      <c r="AG768" s="170">
        <v>2021</v>
      </c>
      <c r="AH768" s="170">
        <v>2021</v>
      </c>
    </row>
    <row r="769" spans="1:34" ht="61.5" x14ac:dyDescent="0.85">
      <c r="A769" s="7">
        <v>1</v>
      </c>
      <c r="B769" s="59">
        <f>SUBTOTAL(103,$A$558:A769)</f>
        <v>209</v>
      </c>
      <c r="C769" s="160" t="s">
        <v>2500</v>
      </c>
      <c r="D769" s="60">
        <f t="shared" si="99"/>
        <v>12449219.799999999</v>
      </c>
      <c r="E769" s="60">
        <v>0</v>
      </c>
      <c r="F769" s="60">
        <v>0</v>
      </c>
      <c r="G769" s="60">
        <v>0</v>
      </c>
      <c r="H769" s="60">
        <v>0</v>
      </c>
      <c r="I769" s="60">
        <v>0</v>
      </c>
      <c r="J769" s="60">
        <v>0</v>
      </c>
      <c r="K769" s="168">
        <v>7</v>
      </c>
      <c r="L769" s="60">
        <v>12231550.799999999</v>
      </c>
      <c r="M769" s="60">
        <v>0</v>
      </c>
      <c r="N769" s="60">
        <v>0</v>
      </c>
      <c r="O769" s="60">
        <v>0</v>
      </c>
      <c r="P769" s="60">
        <v>0</v>
      </c>
      <c r="Q769" s="60">
        <v>0</v>
      </c>
      <c r="R769" s="60">
        <v>0</v>
      </c>
      <c r="S769" s="60">
        <v>0</v>
      </c>
      <c r="T769" s="60">
        <v>0</v>
      </c>
      <c r="U769" s="60">
        <v>0</v>
      </c>
      <c r="V769" s="60">
        <v>0</v>
      </c>
      <c r="W769" s="60">
        <v>0</v>
      </c>
      <c r="X769" s="60">
        <v>0</v>
      </c>
      <c r="Y769" s="60">
        <v>0</v>
      </c>
      <c r="Z769" s="60">
        <v>0</v>
      </c>
      <c r="AA769" s="60">
        <v>0</v>
      </c>
      <c r="AB769" s="60">
        <v>0</v>
      </c>
      <c r="AC769" s="62">
        <v>88984.53</v>
      </c>
      <c r="AD769" s="62">
        <v>128684.47</v>
      </c>
      <c r="AE769" s="60">
        <v>0</v>
      </c>
      <c r="AF769" s="170">
        <v>2021</v>
      </c>
      <c r="AG769" s="170">
        <v>2021</v>
      </c>
      <c r="AH769" s="170">
        <v>2021</v>
      </c>
    </row>
    <row r="770" spans="1:34" ht="61.5" x14ac:dyDescent="0.85">
      <c r="A770" s="7">
        <v>1</v>
      </c>
      <c r="B770" s="59">
        <f>SUBTOTAL(103,$A$558:A770)</f>
        <v>210</v>
      </c>
      <c r="C770" s="160" t="s">
        <v>2501</v>
      </c>
      <c r="D770" s="60">
        <f t="shared" si="99"/>
        <v>5380589.8799999999</v>
      </c>
      <c r="E770" s="60">
        <v>0</v>
      </c>
      <c r="F770" s="60">
        <v>0</v>
      </c>
      <c r="G770" s="60">
        <v>0</v>
      </c>
      <c r="H770" s="60">
        <v>0</v>
      </c>
      <c r="I770" s="60">
        <v>0</v>
      </c>
      <c r="J770" s="60">
        <v>0</v>
      </c>
      <c r="K770" s="168">
        <v>3</v>
      </c>
      <c r="L770" s="60">
        <v>5242093.1999999993</v>
      </c>
      <c r="M770" s="60">
        <v>0</v>
      </c>
      <c r="N770" s="60">
        <v>0</v>
      </c>
      <c r="O770" s="60">
        <v>0</v>
      </c>
      <c r="P770" s="60">
        <v>0</v>
      </c>
      <c r="Q770" s="60">
        <v>0</v>
      </c>
      <c r="R770" s="60">
        <v>0</v>
      </c>
      <c r="S770" s="60">
        <v>0</v>
      </c>
      <c r="T770" s="60">
        <v>0</v>
      </c>
      <c r="U770" s="60">
        <v>0</v>
      </c>
      <c r="V770" s="60">
        <v>0</v>
      </c>
      <c r="W770" s="60">
        <v>0</v>
      </c>
      <c r="X770" s="60">
        <v>0</v>
      </c>
      <c r="Y770" s="60">
        <v>0</v>
      </c>
      <c r="Z770" s="60">
        <v>0</v>
      </c>
      <c r="AA770" s="60">
        <v>0</v>
      </c>
      <c r="AB770" s="60">
        <v>0</v>
      </c>
      <c r="AC770" s="60">
        <v>38136.230000000003</v>
      </c>
      <c r="AD770" s="62">
        <v>100360.45</v>
      </c>
      <c r="AE770" s="60">
        <v>0</v>
      </c>
      <c r="AF770" s="170">
        <v>2021</v>
      </c>
      <c r="AG770" s="170">
        <v>2021</v>
      </c>
      <c r="AH770" s="170">
        <v>2021</v>
      </c>
    </row>
    <row r="771" spans="1:34" ht="61.5" x14ac:dyDescent="0.85">
      <c r="A771" s="7">
        <v>1</v>
      </c>
      <c r="B771" s="59">
        <f>SUBTOTAL(103,$A$558:A771)</f>
        <v>211</v>
      </c>
      <c r="C771" s="160" t="s">
        <v>2502</v>
      </c>
      <c r="D771" s="60">
        <f t="shared" si="99"/>
        <v>8907701.5</v>
      </c>
      <c r="E771" s="60">
        <v>0</v>
      </c>
      <c r="F771" s="60">
        <v>0</v>
      </c>
      <c r="G771" s="60">
        <v>0</v>
      </c>
      <c r="H771" s="60">
        <v>0</v>
      </c>
      <c r="I771" s="60">
        <v>0</v>
      </c>
      <c r="J771" s="60">
        <v>0</v>
      </c>
      <c r="K771" s="168">
        <v>5</v>
      </c>
      <c r="L771" s="60">
        <v>8728080</v>
      </c>
      <c r="M771" s="60">
        <v>0</v>
      </c>
      <c r="N771" s="60">
        <v>0</v>
      </c>
      <c r="O771" s="60">
        <v>0</v>
      </c>
      <c r="P771" s="60">
        <v>0</v>
      </c>
      <c r="Q771" s="60">
        <v>0</v>
      </c>
      <c r="R771" s="60">
        <v>0</v>
      </c>
      <c r="S771" s="60">
        <v>0</v>
      </c>
      <c r="T771" s="60">
        <v>0</v>
      </c>
      <c r="U771" s="60">
        <v>0</v>
      </c>
      <c r="V771" s="60">
        <v>0</v>
      </c>
      <c r="W771" s="60">
        <v>0</v>
      </c>
      <c r="X771" s="60">
        <v>0</v>
      </c>
      <c r="Y771" s="60">
        <v>0</v>
      </c>
      <c r="Z771" s="60">
        <v>0</v>
      </c>
      <c r="AA771" s="60">
        <v>0</v>
      </c>
      <c r="AB771" s="60">
        <v>0</v>
      </c>
      <c r="AC771" s="60">
        <v>63496.78</v>
      </c>
      <c r="AD771" s="62">
        <v>116124.72</v>
      </c>
      <c r="AE771" s="60">
        <v>0</v>
      </c>
      <c r="AF771" s="170">
        <v>2021</v>
      </c>
      <c r="AG771" s="170">
        <v>2021</v>
      </c>
      <c r="AH771" s="170">
        <v>2021</v>
      </c>
    </row>
    <row r="772" spans="1:34" ht="61.5" x14ac:dyDescent="0.85">
      <c r="B772" s="160" t="s">
        <v>708</v>
      </c>
      <c r="C772" s="176"/>
      <c r="D772" s="177">
        <f t="shared" ref="D772:AE772" si="100">SUM(D773:D787)</f>
        <v>102296821.16</v>
      </c>
      <c r="E772" s="60">
        <f t="shared" si="100"/>
        <v>988552.94</v>
      </c>
      <c r="F772" s="60">
        <f t="shared" si="100"/>
        <v>2392274.61</v>
      </c>
      <c r="G772" s="60">
        <f t="shared" si="100"/>
        <v>2926412.4</v>
      </c>
      <c r="H772" s="60">
        <f t="shared" si="100"/>
        <v>1290609.53</v>
      </c>
      <c r="I772" s="60">
        <f t="shared" si="100"/>
        <v>4151514.4</v>
      </c>
      <c r="J772" s="60">
        <f t="shared" si="100"/>
        <v>0</v>
      </c>
      <c r="K772" s="168">
        <f t="shared" si="100"/>
        <v>40</v>
      </c>
      <c r="L772" s="60">
        <f t="shared" si="100"/>
        <v>87928522.5</v>
      </c>
      <c r="M772" s="60">
        <f t="shared" si="100"/>
        <v>0</v>
      </c>
      <c r="N772" s="60">
        <f t="shared" si="100"/>
        <v>0</v>
      </c>
      <c r="O772" s="60">
        <f t="shared" si="100"/>
        <v>0</v>
      </c>
      <c r="P772" s="60">
        <f t="shared" si="100"/>
        <v>0</v>
      </c>
      <c r="Q772" s="60">
        <f t="shared" si="100"/>
        <v>0</v>
      </c>
      <c r="R772" s="60">
        <f t="shared" si="100"/>
        <v>0</v>
      </c>
      <c r="S772" s="60">
        <f t="shared" si="100"/>
        <v>0</v>
      </c>
      <c r="T772" s="60">
        <f t="shared" si="100"/>
        <v>0</v>
      </c>
      <c r="U772" s="60">
        <f t="shared" si="100"/>
        <v>0</v>
      </c>
      <c r="V772" s="60">
        <f t="shared" si="100"/>
        <v>0</v>
      </c>
      <c r="W772" s="60">
        <f t="shared" si="100"/>
        <v>0</v>
      </c>
      <c r="X772" s="60">
        <f t="shared" si="100"/>
        <v>0</v>
      </c>
      <c r="Y772" s="60">
        <f t="shared" si="100"/>
        <v>0</v>
      </c>
      <c r="Z772" s="60">
        <f t="shared" si="100"/>
        <v>0</v>
      </c>
      <c r="AA772" s="60">
        <f t="shared" si="100"/>
        <v>0</v>
      </c>
      <c r="AB772" s="60">
        <f t="shared" si="100"/>
        <v>0</v>
      </c>
      <c r="AC772" s="60">
        <f t="shared" si="100"/>
        <v>958267.76</v>
      </c>
      <c r="AD772" s="60">
        <f t="shared" si="100"/>
        <v>1660667.02</v>
      </c>
      <c r="AE772" s="60">
        <f t="shared" si="100"/>
        <v>0</v>
      </c>
      <c r="AF772" s="54" t="s">
        <v>701</v>
      </c>
      <c r="AG772" s="54" t="s">
        <v>701</v>
      </c>
      <c r="AH772" s="55" t="s">
        <v>701</v>
      </c>
    </row>
    <row r="773" spans="1:34" ht="61.5" x14ac:dyDescent="0.85">
      <c r="A773" s="7">
        <v>1</v>
      </c>
      <c r="B773" s="59">
        <f>SUBTOTAL(103,$A$558:A773)</f>
        <v>212</v>
      </c>
      <c r="C773" s="160" t="s">
        <v>363</v>
      </c>
      <c r="D773" s="60">
        <f t="shared" ref="D773:D787" si="101">E773+F773+G773+H773+I773+J773+L773+N773+P773+R773+T773+U773+V773+W773+X773+Y773+Z773+AA773+AB773+AC773+AD773+AE773</f>
        <v>6784672.5999999996</v>
      </c>
      <c r="E773" s="60">
        <v>0</v>
      </c>
      <c r="F773" s="60">
        <v>0</v>
      </c>
      <c r="G773" s="60">
        <v>0</v>
      </c>
      <c r="H773" s="60">
        <v>0</v>
      </c>
      <c r="I773" s="60">
        <v>0</v>
      </c>
      <c r="J773" s="60">
        <v>0</v>
      </c>
      <c r="K773" s="168">
        <v>4</v>
      </c>
      <c r="L773" s="60">
        <v>6784672.5999999996</v>
      </c>
      <c r="M773" s="60">
        <v>0</v>
      </c>
      <c r="N773" s="60">
        <v>0</v>
      </c>
      <c r="O773" s="60">
        <v>0</v>
      </c>
      <c r="P773" s="60">
        <v>0</v>
      </c>
      <c r="Q773" s="60">
        <v>0</v>
      </c>
      <c r="R773" s="60">
        <v>0</v>
      </c>
      <c r="S773" s="60">
        <v>0</v>
      </c>
      <c r="T773" s="60">
        <v>0</v>
      </c>
      <c r="U773" s="60">
        <v>0</v>
      </c>
      <c r="V773" s="60">
        <v>0</v>
      </c>
      <c r="W773" s="60">
        <v>0</v>
      </c>
      <c r="X773" s="60">
        <v>0</v>
      </c>
      <c r="Y773" s="60">
        <v>0</v>
      </c>
      <c r="Z773" s="60">
        <v>0</v>
      </c>
      <c r="AA773" s="60">
        <v>0</v>
      </c>
      <c r="AB773" s="60">
        <v>0</v>
      </c>
      <c r="AC773" s="60">
        <v>0</v>
      </c>
      <c r="AD773" s="60">
        <v>0</v>
      </c>
      <c r="AE773" s="60">
        <v>0</v>
      </c>
      <c r="AF773" s="170" t="s">
        <v>257</v>
      </c>
      <c r="AG773" s="170">
        <v>2021</v>
      </c>
      <c r="AH773" s="63" t="s">
        <v>257</v>
      </c>
    </row>
    <row r="774" spans="1:34" ht="61.5" x14ac:dyDescent="0.85">
      <c r="A774" s="7">
        <v>1</v>
      </c>
      <c r="B774" s="59">
        <f>SUBTOTAL(103,$A$558:A774)</f>
        <v>213</v>
      </c>
      <c r="C774" s="160" t="s">
        <v>1553</v>
      </c>
      <c r="D774" s="60">
        <f t="shared" si="101"/>
        <v>209745.8</v>
      </c>
      <c r="E774" s="60">
        <v>0</v>
      </c>
      <c r="F774" s="60">
        <v>0</v>
      </c>
      <c r="G774" s="60">
        <v>0</v>
      </c>
      <c r="H774" s="60">
        <v>0</v>
      </c>
      <c r="I774" s="60">
        <v>0</v>
      </c>
      <c r="J774" s="60">
        <v>0</v>
      </c>
      <c r="K774" s="168">
        <v>0</v>
      </c>
      <c r="L774" s="60">
        <v>0</v>
      </c>
      <c r="M774" s="60">
        <v>0</v>
      </c>
      <c r="N774" s="60">
        <v>0</v>
      </c>
      <c r="O774" s="60">
        <v>0</v>
      </c>
      <c r="P774" s="60">
        <v>0</v>
      </c>
      <c r="Q774" s="60">
        <v>0</v>
      </c>
      <c r="R774" s="60">
        <v>0</v>
      </c>
      <c r="S774" s="60">
        <v>0</v>
      </c>
      <c r="T774" s="60">
        <v>0</v>
      </c>
      <c r="U774" s="60">
        <v>0</v>
      </c>
      <c r="V774" s="60">
        <v>0</v>
      </c>
      <c r="W774" s="60">
        <v>0</v>
      </c>
      <c r="X774" s="60">
        <v>0</v>
      </c>
      <c r="Y774" s="60">
        <v>0</v>
      </c>
      <c r="Z774" s="60">
        <v>0</v>
      </c>
      <c r="AA774" s="60">
        <v>0</v>
      </c>
      <c r="AB774" s="60">
        <v>0</v>
      </c>
      <c r="AC774" s="60">
        <v>0</v>
      </c>
      <c r="AD774" s="62">
        <v>209745.8</v>
      </c>
      <c r="AE774" s="60">
        <v>0</v>
      </c>
      <c r="AF774" s="170">
        <v>2021</v>
      </c>
      <c r="AG774" s="63" t="s">
        <v>257</v>
      </c>
      <c r="AH774" s="63" t="s">
        <v>257</v>
      </c>
    </row>
    <row r="775" spans="1:34" ht="61.5" x14ac:dyDescent="0.85">
      <c r="A775" s="7">
        <v>1</v>
      </c>
      <c r="B775" s="59">
        <f>SUBTOTAL(103,$A$558:A775)</f>
        <v>214</v>
      </c>
      <c r="C775" s="160" t="s">
        <v>364</v>
      </c>
      <c r="D775" s="60">
        <f t="shared" si="101"/>
        <v>100016.58</v>
      </c>
      <c r="E775" s="60">
        <v>0</v>
      </c>
      <c r="F775" s="60">
        <v>0</v>
      </c>
      <c r="G775" s="60">
        <v>0</v>
      </c>
      <c r="H775" s="60">
        <v>0</v>
      </c>
      <c r="I775" s="60">
        <v>0</v>
      </c>
      <c r="J775" s="60">
        <v>0</v>
      </c>
      <c r="K775" s="168">
        <v>0</v>
      </c>
      <c r="L775" s="60">
        <v>0</v>
      </c>
      <c r="M775" s="60">
        <v>0</v>
      </c>
      <c r="N775" s="60">
        <v>0</v>
      </c>
      <c r="O775" s="60">
        <v>0</v>
      </c>
      <c r="P775" s="60">
        <v>0</v>
      </c>
      <c r="Q775" s="60">
        <v>0</v>
      </c>
      <c r="R775" s="60">
        <v>0</v>
      </c>
      <c r="S775" s="60">
        <v>0</v>
      </c>
      <c r="T775" s="60">
        <v>0</v>
      </c>
      <c r="U775" s="60">
        <v>0</v>
      </c>
      <c r="V775" s="60">
        <v>0</v>
      </c>
      <c r="W775" s="60">
        <v>0</v>
      </c>
      <c r="X775" s="60">
        <v>0</v>
      </c>
      <c r="Y775" s="60">
        <v>0</v>
      </c>
      <c r="Z775" s="60">
        <v>0</v>
      </c>
      <c r="AA775" s="60">
        <v>0</v>
      </c>
      <c r="AB775" s="60">
        <v>0</v>
      </c>
      <c r="AC775" s="60">
        <v>0</v>
      </c>
      <c r="AD775" s="62">
        <v>100016.58</v>
      </c>
      <c r="AE775" s="60">
        <v>0</v>
      </c>
      <c r="AF775" s="170">
        <v>2021</v>
      </c>
      <c r="AG775" s="63" t="s">
        <v>257</v>
      </c>
      <c r="AH775" s="63" t="s">
        <v>257</v>
      </c>
    </row>
    <row r="776" spans="1:34" ht="61.5" x14ac:dyDescent="0.85">
      <c r="A776" s="7">
        <v>1</v>
      </c>
      <c r="B776" s="59">
        <f>SUBTOTAL(103,$A$558:A776)</f>
        <v>215</v>
      </c>
      <c r="C776" s="160" t="s">
        <v>1106</v>
      </c>
      <c r="D776" s="60">
        <f t="shared" si="101"/>
        <v>11924723.139999999</v>
      </c>
      <c r="E776" s="62">
        <v>988552.94</v>
      </c>
      <c r="F776" s="62">
        <v>2392274.61</v>
      </c>
      <c r="G776" s="62">
        <v>2926412.4</v>
      </c>
      <c r="H776" s="62">
        <v>1290609.53</v>
      </c>
      <c r="I776" s="62">
        <v>4151514.4</v>
      </c>
      <c r="J776" s="60">
        <v>0</v>
      </c>
      <c r="K776" s="168">
        <v>0</v>
      </c>
      <c r="L776" s="60">
        <v>0</v>
      </c>
      <c r="M776" s="60">
        <v>0</v>
      </c>
      <c r="N776" s="60">
        <v>0</v>
      </c>
      <c r="O776" s="60">
        <v>0</v>
      </c>
      <c r="P776" s="60">
        <v>0</v>
      </c>
      <c r="Q776" s="60">
        <v>0</v>
      </c>
      <c r="R776" s="60">
        <v>0</v>
      </c>
      <c r="S776" s="60">
        <v>0</v>
      </c>
      <c r="T776" s="60">
        <v>0</v>
      </c>
      <c r="U776" s="60">
        <v>0</v>
      </c>
      <c r="V776" s="60">
        <v>0</v>
      </c>
      <c r="W776" s="60">
        <v>0</v>
      </c>
      <c r="X776" s="60">
        <v>0</v>
      </c>
      <c r="Y776" s="60">
        <v>0</v>
      </c>
      <c r="Z776" s="60">
        <v>0</v>
      </c>
      <c r="AA776" s="60">
        <v>0</v>
      </c>
      <c r="AB776" s="60">
        <v>0</v>
      </c>
      <c r="AC776" s="62">
        <v>175359.25999999998</v>
      </c>
      <c r="AD776" s="60">
        <v>0</v>
      </c>
      <c r="AE776" s="60">
        <v>0</v>
      </c>
      <c r="AF776" s="63" t="s">
        <v>257</v>
      </c>
      <c r="AG776" s="170">
        <v>2021</v>
      </c>
      <c r="AH776" s="63">
        <v>2021</v>
      </c>
    </row>
    <row r="777" spans="1:34" ht="61.5" x14ac:dyDescent="0.85">
      <c r="A777" s="7">
        <v>1</v>
      </c>
      <c r="B777" s="59">
        <f>SUBTOTAL(103,$A$558:A777)</f>
        <v>216</v>
      </c>
      <c r="C777" s="160" t="s">
        <v>1107</v>
      </c>
      <c r="D777" s="60">
        <f t="shared" si="101"/>
        <v>3601876.7</v>
      </c>
      <c r="E777" s="60">
        <v>0</v>
      </c>
      <c r="F777" s="60">
        <v>0</v>
      </c>
      <c r="G777" s="60">
        <v>0</v>
      </c>
      <c r="H777" s="60">
        <v>0</v>
      </c>
      <c r="I777" s="60">
        <v>0</v>
      </c>
      <c r="J777" s="60">
        <v>0</v>
      </c>
      <c r="K777" s="171">
        <v>2</v>
      </c>
      <c r="L777" s="62">
        <v>3601876.7</v>
      </c>
      <c r="M777" s="60">
        <v>0</v>
      </c>
      <c r="N777" s="60">
        <v>0</v>
      </c>
      <c r="O777" s="60">
        <v>0</v>
      </c>
      <c r="P777" s="60">
        <v>0</v>
      </c>
      <c r="Q777" s="60">
        <v>0</v>
      </c>
      <c r="R777" s="60">
        <v>0</v>
      </c>
      <c r="S777" s="60">
        <v>0</v>
      </c>
      <c r="T777" s="60">
        <v>0</v>
      </c>
      <c r="U777" s="60">
        <v>0</v>
      </c>
      <c r="V777" s="60">
        <v>0</v>
      </c>
      <c r="W777" s="60">
        <v>0</v>
      </c>
      <c r="X777" s="60">
        <v>0</v>
      </c>
      <c r="Y777" s="60">
        <v>0</v>
      </c>
      <c r="Z777" s="60">
        <v>0</v>
      </c>
      <c r="AA777" s="60">
        <v>0</v>
      </c>
      <c r="AB777" s="60">
        <v>0</v>
      </c>
      <c r="AC777" s="60">
        <v>0</v>
      </c>
      <c r="AD777" s="60">
        <v>0</v>
      </c>
      <c r="AE777" s="60">
        <v>0</v>
      </c>
      <c r="AF777" s="63" t="s">
        <v>257</v>
      </c>
      <c r="AG777" s="170">
        <v>2021</v>
      </c>
      <c r="AH777" s="63" t="s">
        <v>257</v>
      </c>
    </row>
    <row r="778" spans="1:34" ht="61.5" x14ac:dyDescent="0.85">
      <c r="A778" s="7">
        <v>1</v>
      </c>
      <c r="B778" s="59">
        <f>SUBTOTAL(103,$A$558:A778)</f>
        <v>217</v>
      </c>
      <c r="C778" s="160" t="s">
        <v>1810</v>
      </c>
      <c r="D778" s="60">
        <f t="shared" si="101"/>
        <v>199983.54</v>
      </c>
      <c r="E778" s="180">
        <v>0</v>
      </c>
      <c r="F778" s="180">
        <v>0</v>
      </c>
      <c r="G778" s="180">
        <v>0</v>
      </c>
      <c r="H778" s="180">
        <v>0</v>
      </c>
      <c r="I778" s="180">
        <v>0</v>
      </c>
      <c r="J778" s="180">
        <v>0</v>
      </c>
      <c r="K778" s="168">
        <v>0</v>
      </c>
      <c r="L778" s="60">
        <v>0</v>
      </c>
      <c r="M778" s="60">
        <v>0</v>
      </c>
      <c r="N778" s="60">
        <v>0</v>
      </c>
      <c r="O778" s="60">
        <v>0</v>
      </c>
      <c r="P778" s="60">
        <v>0</v>
      </c>
      <c r="Q778" s="60">
        <v>0</v>
      </c>
      <c r="R778" s="60">
        <v>0</v>
      </c>
      <c r="S778" s="60">
        <v>0</v>
      </c>
      <c r="T778" s="60">
        <v>0</v>
      </c>
      <c r="U778" s="60">
        <v>0</v>
      </c>
      <c r="V778" s="60">
        <v>0</v>
      </c>
      <c r="W778" s="60">
        <v>0</v>
      </c>
      <c r="X778" s="60">
        <v>0</v>
      </c>
      <c r="Y778" s="60">
        <v>0</v>
      </c>
      <c r="Z778" s="60">
        <v>0</v>
      </c>
      <c r="AA778" s="60">
        <v>0</v>
      </c>
      <c r="AB778" s="60">
        <v>0</v>
      </c>
      <c r="AC778" s="60">
        <v>0</v>
      </c>
      <c r="AD778" s="62">
        <v>199983.54</v>
      </c>
      <c r="AE778" s="60">
        <v>0</v>
      </c>
      <c r="AF778" s="170">
        <v>2021</v>
      </c>
      <c r="AG778" s="63" t="s">
        <v>257</v>
      </c>
      <c r="AH778" s="63" t="s">
        <v>257</v>
      </c>
    </row>
    <row r="779" spans="1:34" ht="61.5" x14ac:dyDescent="0.85">
      <c r="A779" s="7">
        <v>1</v>
      </c>
      <c r="B779" s="59">
        <f>SUBTOTAL(103,$A$558:A779)</f>
        <v>218</v>
      </c>
      <c r="C779" s="160" t="s">
        <v>1379</v>
      </c>
      <c r="D779" s="60">
        <f t="shared" si="101"/>
        <v>8888556.3200000022</v>
      </c>
      <c r="E779" s="60">
        <v>0</v>
      </c>
      <c r="F779" s="60">
        <v>0</v>
      </c>
      <c r="G779" s="60">
        <v>0</v>
      </c>
      <c r="H779" s="60">
        <v>0</v>
      </c>
      <c r="I779" s="60">
        <v>0</v>
      </c>
      <c r="J779" s="60">
        <v>0</v>
      </c>
      <c r="K779" s="192">
        <v>4</v>
      </c>
      <c r="L779" s="169">
        <v>8643580.8000000007</v>
      </c>
      <c r="M779" s="60">
        <v>0</v>
      </c>
      <c r="N779" s="60">
        <v>0</v>
      </c>
      <c r="O779" s="60">
        <v>0</v>
      </c>
      <c r="P779" s="60">
        <v>0</v>
      </c>
      <c r="Q779" s="60">
        <v>0</v>
      </c>
      <c r="R779" s="60">
        <v>0</v>
      </c>
      <c r="S779" s="60">
        <v>0</v>
      </c>
      <c r="T779" s="60">
        <v>0</v>
      </c>
      <c r="U779" s="60">
        <v>0</v>
      </c>
      <c r="V779" s="60">
        <v>0</v>
      </c>
      <c r="W779" s="60">
        <v>0</v>
      </c>
      <c r="X779" s="60">
        <v>0</v>
      </c>
      <c r="Y779" s="60">
        <v>0</v>
      </c>
      <c r="Z779" s="60">
        <v>0</v>
      </c>
      <c r="AA779" s="60">
        <v>0</v>
      </c>
      <c r="AB779" s="60">
        <v>0</v>
      </c>
      <c r="AC779" s="60">
        <v>121226.22</v>
      </c>
      <c r="AD779" s="62">
        <v>123749.3</v>
      </c>
      <c r="AE779" s="60">
        <v>0</v>
      </c>
      <c r="AF779" s="170">
        <v>2021</v>
      </c>
      <c r="AG779" s="170">
        <v>2021</v>
      </c>
      <c r="AH779" s="170">
        <v>2021</v>
      </c>
    </row>
    <row r="780" spans="1:34" ht="61.5" x14ac:dyDescent="0.85">
      <c r="A780" s="7">
        <v>1</v>
      </c>
      <c r="B780" s="59">
        <f>SUBTOTAL(103,$A$558:A780)</f>
        <v>219</v>
      </c>
      <c r="C780" s="160" t="s">
        <v>1380</v>
      </c>
      <c r="D780" s="60">
        <f t="shared" si="101"/>
        <v>8888530.1400000006</v>
      </c>
      <c r="E780" s="60">
        <v>0</v>
      </c>
      <c r="F780" s="60">
        <v>0</v>
      </c>
      <c r="G780" s="60">
        <v>0</v>
      </c>
      <c r="H780" s="60">
        <v>0</v>
      </c>
      <c r="I780" s="60">
        <v>0</v>
      </c>
      <c r="J780" s="60">
        <v>0</v>
      </c>
      <c r="K780" s="192">
        <v>4</v>
      </c>
      <c r="L780" s="169">
        <v>8643580.8000000007</v>
      </c>
      <c r="M780" s="60">
        <v>0</v>
      </c>
      <c r="N780" s="60">
        <v>0</v>
      </c>
      <c r="O780" s="60">
        <v>0</v>
      </c>
      <c r="P780" s="60">
        <v>0</v>
      </c>
      <c r="Q780" s="60">
        <v>0</v>
      </c>
      <c r="R780" s="60">
        <v>0</v>
      </c>
      <c r="S780" s="60">
        <v>0</v>
      </c>
      <c r="T780" s="60">
        <v>0</v>
      </c>
      <c r="U780" s="60">
        <v>0</v>
      </c>
      <c r="V780" s="60">
        <v>0</v>
      </c>
      <c r="W780" s="60">
        <v>0</v>
      </c>
      <c r="X780" s="60">
        <v>0</v>
      </c>
      <c r="Y780" s="60">
        <v>0</v>
      </c>
      <c r="Z780" s="60">
        <v>0</v>
      </c>
      <c r="AA780" s="60">
        <v>0</v>
      </c>
      <c r="AB780" s="60">
        <v>0</v>
      </c>
      <c r="AC780" s="60">
        <v>121226.22</v>
      </c>
      <c r="AD780" s="62">
        <v>123723.12</v>
      </c>
      <c r="AE780" s="60">
        <v>0</v>
      </c>
      <c r="AF780" s="170">
        <v>2021</v>
      </c>
      <c r="AG780" s="170">
        <v>2021</v>
      </c>
      <c r="AH780" s="170">
        <v>2021</v>
      </c>
    </row>
    <row r="781" spans="1:34" ht="61.5" x14ac:dyDescent="0.85">
      <c r="A781" s="7">
        <v>1</v>
      </c>
      <c r="B781" s="59">
        <f>SUBTOTAL(103,$A$558:A781)</f>
        <v>220</v>
      </c>
      <c r="C781" s="160" t="s">
        <v>2141</v>
      </c>
      <c r="D781" s="60">
        <f t="shared" si="101"/>
        <v>6689445.79</v>
      </c>
      <c r="E781" s="60">
        <v>0</v>
      </c>
      <c r="F781" s="60">
        <v>0</v>
      </c>
      <c r="G781" s="60">
        <v>0</v>
      </c>
      <c r="H781" s="60">
        <v>0</v>
      </c>
      <c r="I781" s="60">
        <v>0</v>
      </c>
      <c r="J781" s="60">
        <v>0</v>
      </c>
      <c r="K781" s="192">
        <v>3</v>
      </c>
      <c r="L781" s="169">
        <v>6482685.6000000006</v>
      </c>
      <c r="M781" s="60">
        <v>0</v>
      </c>
      <c r="N781" s="60">
        <v>0</v>
      </c>
      <c r="O781" s="60">
        <v>0</v>
      </c>
      <c r="P781" s="60">
        <v>0</v>
      </c>
      <c r="Q781" s="60">
        <v>0</v>
      </c>
      <c r="R781" s="60">
        <v>0</v>
      </c>
      <c r="S781" s="60">
        <v>0</v>
      </c>
      <c r="T781" s="60">
        <v>0</v>
      </c>
      <c r="U781" s="60">
        <v>0</v>
      </c>
      <c r="V781" s="60">
        <v>0</v>
      </c>
      <c r="W781" s="60">
        <v>0</v>
      </c>
      <c r="X781" s="60">
        <v>0</v>
      </c>
      <c r="Y781" s="60">
        <v>0</v>
      </c>
      <c r="Z781" s="60">
        <v>0</v>
      </c>
      <c r="AA781" s="60">
        <v>0</v>
      </c>
      <c r="AB781" s="60">
        <v>0</v>
      </c>
      <c r="AC781" s="60">
        <v>90919.67</v>
      </c>
      <c r="AD781" s="62">
        <v>115840.52</v>
      </c>
      <c r="AE781" s="60">
        <v>0</v>
      </c>
      <c r="AF781" s="170">
        <v>2021</v>
      </c>
      <c r="AG781" s="170">
        <v>2021</v>
      </c>
      <c r="AH781" s="170">
        <v>2021</v>
      </c>
    </row>
    <row r="782" spans="1:34" ht="61.5" x14ac:dyDescent="0.85">
      <c r="A782" s="7">
        <v>1</v>
      </c>
      <c r="B782" s="59">
        <f>SUBTOTAL(103,$A$558:A782)</f>
        <v>221</v>
      </c>
      <c r="C782" s="160" t="s">
        <v>2176</v>
      </c>
      <c r="D782" s="60">
        <f t="shared" si="101"/>
        <v>8888678.4400000013</v>
      </c>
      <c r="E782" s="60">
        <v>0</v>
      </c>
      <c r="F782" s="60">
        <v>0</v>
      </c>
      <c r="G782" s="60">
        <v>0</v>
      </c>
      <c r="H782" s="60">
        <v>0</v>
      </c>
      <c r="I782" s="60">
        <v>0</v>
      </c>
      <c r="J782" s="60">
        <v>0</v>
      </c>
      <c r="K782" s="192">
        <v>4</v>
      </c>
      <c r="L782" s="169">
        <v>8643580.8000000007</v>
      </c>
      <c r="M782" s="60">
        <v>0</v>
      </c>
      <c r="N782" s="60">
        <v>0</v>
      </c>
      <c r="O782" s="60">
        <v>0</v>
      </c>
      <c r="P782" s="60">
        <v>0</v>
      </c>
      <c r="Q782" s="60">
        <v>0</v>
      </c>
      <c r="R782" s="60">
        <v>0</v>
      </c>
      <c r="S782" s="60">
        <v>0</v>
      </c>
      <c r="T782" s="60">
        <v>0</v>
      </c>
      <c r="U782" s="60">
        <v>0</v>
      </c>
      <c r="V782" s="60">
        <v>0</v>
      </c>
      <c r="W782" s="60">
        <v>0</v>
      </c>
      <c r="X782" s="60">
        <v>0</v>
      </c>
      <c r="Y782" s="60">
        <v>0</v>
      </c>
      <c r="Z782" s="60">
        <v>0</v>
      </c>
      <c r="AA782" s="60">
        <v>0</v>
      </c>
      <c r="AB782" s="60">
        <v>0</v>
      </c>
      <c r="AC782" s="60">
        <v>121226.22</v>
      </c>
      <c r="AD782" s="62">
        <v>123871.42</v>
      </c>
      <c r="AE782" s="60">
        <v>0</v>
      </c>
      <c r="AF782" s="170">
        <v>2021</v>
      </c>
      <c r="AG782" s="170">
        <v>2021</v>
      </c>
      <c r="AH782" s="170">
        <v>2021</v>
      </c>
    </row>
    <row r="783" spans="1:34" ht="61.5" x14ac:dyDescent="0.85">
      <c r="A783" s="7">
        <v>1</v>
      </c>
      <c r="B783" s="59">
        <f>SUBTOTAL(103,$A$558:A783)</f>
        <v>222</v>
      </c>
      <c r="C783" s="160" t="s">
        <v>2506</v>
      </c>
      <c r="D783" s="60">
        <f t="shared" si="101"/>
        <v>15793403.27</v>
      </c>
      <c r="E783" s="60">
        <v>0</v>
      </c>
      <c r="F783" s="60">
        <v>0</v>
      </c>
      <c r="G783" s="60">
        <v>0</v>
      </c>
      <c r="H783" s="60">
        <v>0</v>
      </c>
      <c r="I783" s="60">
        <v>0</v>
      </c>
      <c r="J783" s="60">
        <v>0</v>
      </c>
      <c r="K783" s="168">
        <v>6</v>
      </c>
      <c r="L783" s="60">
        <v>15527628</v>
      </c>
      <c r="M783" s="60">
        <v>0</v>
      </c>
      <c r="N783" s="60">
        <v>0</v>
      </c>
      <c r="O783" s="60">
        <v>0</v>
      </c>
      <c r="P783" s="60">
        <v>0</v>
      </c>
      <c r="Q783" s="60">
        <v>0</v>
      </c>
      <c r="R783" s="60">
        <v>0</v>
      </c>
      <c r="S783" s="60">
        <v>0</v>
      </c>
      <c r="T783" s="60">
        <v>0</v>
      </c>
      <c r="U783" s="60">
        <v>0</v>
      </c>
      <c r="V783" s="60">
        <v>0</v>
      </c>
      <c r="W783" s="60">
        <v>0</v>
      </c>
      <c r="X783" s="60">
        <v>0</v>
      </c>
      <c r="Y783" s="60">
        <v>0</v>
      </c>
      <c r="Z783" s="60">
        <v>0</v>
      </c>
      <c r="AA783" s="60">
        <v>0</v>
      </c>
      <c r="AB783" s="60">
        <v>0</v>
      </c>
      <c r="AC783" s="60">
        <v>112963.49</v>
      </c>
      <c r="AD783" s="60">
        <v>152811.78</v>
      </c>
      <c r="AE783" s="60">
        <v>0</v>
      </c>
      <c r="AF783" s="170">
        <v>2021</v>
      </c>
      <c r="AG783" s="170">
        <v>2021</v>
      </c>
      <c r="AH783" s="170">
        <v>2021</v>
      </c>
    </row>
    <row r="784" spans="1:34" ht="61.5" x14ac:dyDescent="0.85">
      <c r="A784" s="7">
        <v>1</v>
      </c>
      <c r="B784" s="59">
        <f>SUBTOTAL(103,$A$558:A784)</f>
        <v>223</v>
      </c>
      <c r="C784" s="160" t="s">
        <v>2507</v>
      </c>
      <c r="D784" s="60">
        <f t="shared" si="101"/>
        <v>2331279.67</v>
      </c>
      <c r="E784" s="60">
        <v>0</v>
      </c>
      <c r="F784" s="60">
        <v>0</v>
      </c>
      <c r="G784" s="60">
        <v>0</v>
      </c>
      <c r="H784" s="60">
        <v>0</v>
      </c>
      <c r="I784" s="60">
        <v>0</v>
      </c>
      <c r="J784" s="60">
        <v>0</v>
      </c>
      <c r="K784" s="168">
        <v>1</v>
      </c>
      <c r="L784" s="60">
        <v>2207168.4</v>
      </c>
      <c r="M784" s="60">
        <v>0</v>
      </c>
      <c r="N784" s="60">
        <v>0</v>
      </c>
      <c r="O784" s="60">
        <v>0</v>
      </c>
      <c r="P784" s="60">
        <v>0</v>
      </c>
      <c r="Q784" s="60">
        <v>0</v>
      </c>
      <c r="R784" s="60">
        <v>0</v>
      </c>
      <c r="S784" s="60">
        <v>0</v>
      </c>
      <c r="T784" s="60">
        <v>0</v>
      </c>
      <c r="U784" s="60">
        <v>0</v>
      </c>
      <c r="V784" s="60">
        <v>0</v>
      </c>
      <c r="W784" s="60">
        <v>0</v>
      </c>
      <c r="X784" s="60">
        <v>0</v>
      </c>
      <c r="Y784" s="60">
        <v>0</v>
      </c>
      <c r="Z784" s="60">
        <v>0</v>
      </c>
      <c r="AA784" s="60">
        <v>0</v>
      </c>
      <c r="AB784" s="60">
        <v>0</v>
      </c>
      <c r="AC784" s="60">
        <v>16057.15</v>
      </c>
      <c r="AD784" s="60">
        <v>108054.12</v>
      </c>
      <c r="AE784" s="60">
        <v>0</v>
      </c>
      <c r="AF784" s="170">
        <v>2021</v>
      </c>
      <c r="AG784" s="170">
        <v>2021</v>
      </c>
      <c r="AH784" s="170">
        <v>2021</v>
      </c>
    </row>
    <row r="785" spans="1:34" ht="61.5" x14ac:dyDescent="0.85">
      <c r="A785" s="7">
        <v>1</v>
      </c>
      <c r="B785" s="59">
        <f>SUBTOTAL(103,$A$558:A785)</f>
        <v>224</v>
      </c>
      <c r="C785" s="160" t="s">
        <v>2508</v>
      </c>
      <c r="D785" s="60">
        <f t="shared" si="101"/>
        <v>11664872.390000001</v>
      </c>
      <c r="E785" s="60">
        <v>0</v>
      </c>
      <c r="F785" s="60">
        <v>0</v>
      </c>
      <c r="G785" s="60">
        <v>0</v>
      </c>
      <c r="H785" s="60">
        <v>0</v>
      </c>
      <c r="I785" s="60">
        <v>0</v>
      </c>
      <c r="J785" s="60">
        <v>0</v>
      </c>
      <c r="K785" s="168">
        <v>5</v>
      </c>
      <c r="L785" s="60">
        <v>11432166</v>
      </c>
      <c r="M785" s="60">
        <v>0</v>
      </c>
      <c r="N785" s="60">
        <v>0</v>
      </c>
      <c r="O785" s="60">
        <v>0</v>
      </c>
      <c r="P785" s="60">
        <v>0</v>
      </c>
      <c r="Q785" s="60">
        <v>0</v>
      </c>
      <c r="R785" s="60">
        <v>0</v>
      </c>
      <c r="S785" s="60">
        <v>0</v>
      </c>
      <c r="T785" s="60">
        <v>0</v>
      </c>
      <c r="U785" s="60">
        <v>0</v>
      </c>
      <c r="V785" s="60">
        <v>0</v>
      </c>
      <c r="W785" s="60">
        <v>0</v>
      </c>
      <c r="X785" s="60">
        <v>0</v>
      </c>
      <c r="Y785" s="60">
        <v>0</v>
      </c>
      <c r="Z785" s="60">
        <v>0</v>
      </c>
      <c r="AA785" s="60">
        <v>0</v>
      </c>
      <c r="AB785" s="60">
        <v>0</v>
      </c>
      <c r="AC785" s="60">
        <v>83169.009999999995</v>
      </c>
      <c r="AD785" s="62">
        <v>149537.38</v>
      </c>
      <c r="AE785" s="60">
        <v>0</v>
      </c>
      <c r="AF785" s="170">
        <v>2021</v>
      </c>
      <c r="AG785" s="170">
        <v>2021</v>
      </c>
      <c r="AH785" s="170">
        <v>2021</v>
      </c>
    </row>
    <row r="786" spans="1:34" ht="61.5" x14ac:dyDescent="0.85">
      <c r="A786" s="7">
        <v>1</v>
      </c>
      <c r="B786" s="59">
        <f>SUBTOTAL(103,$A$558:A786)</f>
        <v>225</v>
      </c>
      <c r="C786" s="160" t="s">
        <v>2509</v>
      </c>
      <c r="D786" s="60">
        <f t="shared" si="101"/>
        <v>9331381.5299999993</v>
      </c>
      <c r="E786" s="60">
        <v>0</v>
      </c>
      <c r="F786" s="60">
        <v>0</v>
      </c>
      <c r="G786" s="60">
        <v>0</v>
      </c>
      <c r="H786" s="60">
        <v>0</v>
      </c>
      <c r="I786" s="60">
        <v>0</v>
      </c>
      <c r="J786" s="60">
        <v>0</v>
      </c>
      <c r="K786" s="168">
        <v>4</v>
      </c>
      <c r="L786" s="60">
        <v>9134438.4000000004</v>
      </c>
      <c r="M786" s="60">
        <v>0</v>
      </c>
      <c r="N786" s="60">
        <v>0</v>
      </c>
      <c r="O786" s="60">
        <v>0</v>
      </c>
      <c r="P786" s="60">
        <v>0</v>
      </c>
      <c r="Q786" s="60">
        <v>0</v>
      </c>
      <c r="R786" s="60">
        <v>0</v>
      </c>
      <c r="S786" s="60">
        <v>0</v>
      </c>
      <c r="T786" s="60">
        <v>0</v>
      </c>
      <c r="U786" s="60">
        <v>0</v>
      </c>
      <c r="V786" s="60">
        <v>0</v>
      </c>
      <c r="W786" s="60">
        <v>0</v>
      </c>
      <c r="X786" s="60">
        <v>0</v>
      </c>
      <c r="Y786" s="60">
        <v>0</v>
      </c>
      <c r="Z786" s="60">
        <v>0</v>
      </c>
      <c r="AA786" s="60">
        <v>0</v>
      </c>
      <c r="AB786" s="60">
        <v>0</v>
      </c>
      <c r="AC786" s="60">
        <v>66453.039999999994</v>
      </c>
      <c r="AD786" s="60">
        <v>130490.09</v>
      </c>
      <c r="AE786" s="60">
        <v>0</v>
      </c>
      <c r="AF786" s="170">
        <v>2021</v>
      </c>
      <c r="AG786" s="170">
        <v>2021</v>
      </c>
      <c r="AH786" s="170">
        <v>2021</v>
      </c>
    </row>
    <row r="787" spans="1:34" ht="61.5" x14ac:dyDescent="0.85">
      <c r="A787" s="7">
        <v>1</v>
      </c>
      <c r="B787" s="59">
        <f>SUBTOTAL(103,$A$558:A787)</f>
        <v>226</v>
      </c>
      <c r="C787" s="160" t="s">
        <v>2510</v>
      </c>
      <c r="D787" s="60">
        <f t="shared" si="101"/>
        <v>6999655.25</v>
      </c>
      <c r="E787" s="60">
        <v>0</v>
      </c>
      <c r="F787" s="60">
        <v>0</v>
      </c>
      <c r="G787" s="60">
        <v>0</v>
      </c>
      <c r="H787" s="60">
        <v>0</v>
      </c>
      <c r="I787" s="60">
        <v>0</v>
      </c>
      <c r="J787" s="60">
        <v>0</v>
      </c>
      <c r="K787" s="168">
        <v>3</v>
      </c>
      <c r="L787" s="60">
        <v>6827144.3999999994</v>
      </c>
      <c r="M787" s="60">
        <v>0</v>
      </c>
      <c r="N787" s="60">
        <v>0</v>
      </c>
      <c r="O787" s="60">
        <v>0</v>
      </c>
      <c r="P787" s="60">
        <v>0</v>
      </c>
      <c r="Q787" s="60">
        <v>0</v>
      </c>
      <c r="R787" s="60">
        <v>0</v>
      </c>
      <c r="S787" s="60">
        <v>0</v>
      </c>
      <c r="T787" s="60">
        <v>0</v>
      </c>
      <c r="U787" s="60">
        <v>0</v>
      </c>
      <c r="V787" s="60">
        <v>0</v>
      </c>
      <c r="W787" s="60">
        <v>0</v>
      </c>
      <c r="X787" s="60">
        <v>0</v>
      </c>
      <c r="Y787" s="60">
        <v>0</v>
      </c>
      <c r="Z787" s="60">
        <v>0</v>
      </c>
      <c r="AA787" s="60">
        <v>0</v>
      </c>
      <c r="AB787" s="60">
        <v>0</v>
      </c>
      <c r="AC787" s="60">
        <v>49667.48</v>
      </c>
      <c r="AD787" s="60">
        <v>122843.37</v>
      </c>
      <c r="AE787" s="60">
        <v>0</v>
      </c>
      <c r="AF787" s="170">
        <v>2021</v>
      </c>
      <c r="AG787" s="170">
        <v>2021</v>
      </c>
      <c r="AH787" s="170">
        <v>2021</v>
      </c>
    </row>
    <row r="788" spans="1:34" ht="61.5" x14ac:dyDescent="0.85">
      <c r="B788" s="160" t="s">
        <v>760</v>
      </c>
      <c r="C788" s="176"/>
      <c r="D788" s="177">
        <f t="shared" ref="D788:AE788" si="102">SUM(D789:D809)</f>
        <v>67277055.319999993</v>
      </c>
      <c r="E788" s="60">
        <f t="shared" si="102"/>
        <v>0</v>
      </c>
      <c r="F788" s="60">
        <f t="shared" si="102"/>
        <v>0</v>
      </c>
      <c r="G788" s="60">
        <f t="shared" si="102"/>
        <v>0</v>
      </c>
      <c r="H788" s="60">
        <f t="shared" si="102"/>
        <v>0</v>
      </c>
      <c r="I788" s="60">
        <f t="shared" si="102"/>
        <v>0</v>
      </c>
      <c r="J788" s="60">
        <f t="shared" si="102"/>
        <v>0</v>
      </c>
      <c r="K788" s="168">
        <f t="shared" si="102"/>
        <v>1</v>
      </c>
      <c r="L788" s="60">
        <f t="shared" si="102"/>
        <v>1652600.62</v>
      </c>
      <c r="M788" s="60">
        <f t="shared" si="102"/>
        <v>10955.51</v>
      </c>
      <c r="N788" s="60">
        <f t="shared" si="102"/>
        <v>57896252.460000001</v>
      </c>
      <c r="O788" s="60">
        <f t="shared" si="102"/>
        <v>0</v>
      </c>
      <c r="P788" s="60">
        <f t="shared" si="102"/>
        <v>0</v>
      </c>
      <c r="Q788" s="60">
        <f t="shared" si="102"/>
        <v>0</v>
      </c>
      <c r="R788" s="60">
        <f t="shared" si="102"/>
        <v>0</v>
      </c>
      <c r="S788" s="60">
        <f t="shared" si="102"/>
        <v>0</v>
      </c>
      <c r="T788" s="60">
        <f t="shared" si="102"/>
        <v>0</v>
      </c>
      <c r="U788" s="60">
        <f t="shared" si="102"/>
        <v>5667586</v>
      </c>
      <c r="V788" s="60">
        <f t="shared" si="102"/>
        <v>0</v>
      </c>
      <c r="W788" s="60">
        <f t="shared" si="102"/>
        <v>0</v>
      </c>
      <c r="X788" s="60">
        <f t="shared" si="102"/>
        <v>0</v>
      </c>
      <c r="Y788" s="60">
        <f t="shared" si="102"/>
        <v>0</v>
      </c>
      <c r="Z788" s="60">
        <f t="shared" si="102"/>
        <v>0</v>
      </c>
      <c r="AA788" s="60">
        <f t="shared" si="102"/>
        <v>0</v>
      </c>
      <c r="AB788" s="60">
        <f t="shared" si="102"/>
        <v>0</v>
      </c>
      <c r="AC788" s="60">
        <f t="shared" si="102"/>
        <v>597512.63000000012</v>
      </c>
      <c r="AD788" s="60">
        <f t="shared" si="102"/>
        <v>1463103.6099999999</v>
      </c>
      <c r="AE788" s="60">
        <f t="shared" si="102"/>
        <v>0</v>
      </c>
      <c r="AF788" s="54" t="s">
        <v>701</v>
      </c>
      <c r="AG788" s="54" t="s">
        <v>701</v>
      </c>
      <c r="AH788" s="55" t="s">
        <v>701</v>
      </c>
    </row>
    <row r="789" spans="1:34" ht="61.5" x14ac:dyDescent="0.85">
      <c r="A789" s="7">
        <v>1</v>
      </c>
      <c r="B789" s="59">
        <f>SUBTOTAL(103,$A$558:A789)</f>
        <v>227</v>
      </c>
      <c r="C789" s="160" t="s">
        <v>1802</v>
      </c>
      <c r="D789" s="60">
        <f t="shared" ref="D789:D809" si="103">E789+F789+G789+H789+I789+J789+L789+N789+P789+R789+T789+U789+V789+W789+X789+Y789+Z789+AA789+AB789+AC789+AD789+AE789</f>
        <v>75549.039999999994</v>
      </c>
      <c r="E789" s="60">
        <v>0</v>
      </c>
      <c r="F789" s="60">
        <v>0</v>
      </c>
      <c r="G789" s="60">
        <v>0</v>
      </c>
      <c r="H789" s="60">
        <v>0</v>
      </c>
      <c r="I789" s="60">
        <v>0</v>
      </c>
      <c r="J789" s="60">
        <v>0</v>
      </c>
      <c r="K789" s="168">
        <v>0</v>
      </c>
      <c r="L789" s="60">
        <v>0</v>
      </c>
      <c r="M789" s="60">
        <v>0</v>
      </c>
      <c r="N789" s="60">
        <v>0</v>
      </c>
      <c r="O789" s="60">
        <v>0</v>
      </c>
      <c r="P789" s="60">
        <v>0</v>
      </c>
      <c r="Q789" s="60">
        <v>0</v>
      </c>
      <c r="R789" s="60">
        <v>0</v>
      </c>
      <c r="S789" s="60">
        <v>0</v>
      </c>
      <c r="T789" s="60">
        <v>0</v>
      </c>
      <c r="U789" s="60">
        <v>0</v>
      </c>
      <c r="V789" s="60">
        <v>0</v>
      </c>
      <c r="W789" s="60">
        <v>0</v>
      </c>
      <c r="X789" s="60">
        <v>0</v>
      </c>
      <c r="Y789" s="60">
        <v>0</v>
      </c>
      <c r="Z789" s="60">
        <v>0</v>
      </c>
      <c r="AA789" s="60">
        <v>0</v>
      </c>
      <c r="AB789" s="60">
        <v>0</v>
      </c>
      <c r="AC789" s="60">
        <v>0</v>
      </c>
      <c r="AD789" s="62">
        <v>75549.039999999994</v>
      </c>
      <c r="AE789" s="60">
        <v>0</v>
      </c>
      <c r="AF789" s="170">
        <v>2021</v>
      </c>
      <c r="AG789" s="63" t="s">
        <v>257</v>
      </c>
      <c r="AH789" s="63" t="s">
        <v>257</v>
      </c>
    </row>
    <row r="790" spans="1:34" ht="61.5" x14ac:dyDescent="0.85">
      <c r="A790" s="7">
        <v>1</v>
      </c>
      <c r="B790" s="59">
        <f>SUBTOTAL(103,$A$558:A790)</f>
        <v>228</v>
      </c>
      <c r="C790" s="160" t="s">
        <v>1803</v>
      </c>
      <c r="D790" s="60">
        <f t="shared" si="103"/>
        <v>55087.88</v>
      </c>
      <c r="E790" s="60">
        <v>0</v>
      </c>
      <c r="F790" s="60">
        <v>0</v>
      </c>
      <c r="G790" s="60">
        <v>0</v>
      </c>
      <c r="H790" s="60">
        <v>0</v>
      </c>
      <c r="I790" s="60">
        <v>0</v>
      </c>
      <c r="J790" s="60">
        <v>0</v>
      </c>
      <c r="K790" s="168">
        <v>0</v>
      </c>
      <c r="L790" s="60">
        <v>0</v>
      </c>
      <c r="M790" s="60">
        <v>0</v>
      </c>
      <c r="N790" s="60">
        <v>0</v>
      </c>
      <c r="O790" s="60">
        <v>0</v>
      </c>
      <c r="P790" s="60">
        <v>0</v>
      </c>
      <c r="Q790" s="60">
        <v>0</v>
      </c>
      <c r="R790" s="60">
        <v>0</v>
      </c>
      <c r="S790" s="60">
        <v>0</v>
      </c>
      <c r="T790" s="60">
        <v>0</v>
      </c>
      <c r="U790" s="60">
        <v>0</v>
      </c>
      <c r="V790" s="60">
        <v>0</v>
      </c>
      <c r="W790" s="60">
        <v>0</v>
      </c>
      <c r="X790" s="60">
        <v>0</v>
      </c>
      <c r="Y790" s="60">
        <v>0</v>
      </c>
      <c r="Z790" s="60">
        <v>0</v>
      </c>
      <c r="AA790" s="60">
        <v>0</v>
      </c>
      <c r="AB790" s="60">
        <v>0</v>
      </c>
      <c r="AC790" s="60">
        <v>0</v>
      </c>
      <c r="AD790" s="62">
        <v>55087.88</v>
      </c>
      <c r="AE790" s="60">
        <v>0</v>
      </c>
      <c r="AF790" s="170">
        <v>2021</v>
      </c>
      <c r="AG790" s="63" t="s">
        <v>257</v>
      </c>
      <c r="AH790" s="63" t="s">
        <v>257</v>
      </c>
    </row>
    <row r="791" spans="1:34" ht="61.5" x14ac:dyDescent="0.85">
      <c r="A791" s="7">
        <v>1</v>
      </c>
      <c r="B791" s="59">
        <f>SUBTOTAL(103,$A$558:A791)</f>
        <v>229</v>
      </c>
      <c r="C791" s="160" t="s">
        <v>570</v>
      </c>
      <c r="D791" s="60">
        <f t="shared" si="103"/>
        <v>5078568.7700000005</v>
      </c>
      <c r="E791" s="180">
        <v>0</v>
      </c>
      <c r="F791" s="180">
        <v>0</v>
      </c>
      <c r="G791" s="180">
        <v>0</v>
      </c>
      <c r="H791" s="180">
        <v>0</v>
      </c>
      <c r="I791" s="180">
        <v>0</v>
      </c>
      <c r="J791" s="180">
        <v>0</v>
      </c>
      <c r="K791" s="168">
        <v>0</v>
      </c>
      <c r="L791" s="60">
        <v>0</v>
      </c>
      <c r="M791" s="60">
        <v>809.7</v>
      </c>
      <c r="N791" s="60">
        <v>4921605</v>
      </c>
      <c r="O791" s="60">
        <v>0</v>
      </c>
      <c r="P791" s="60">
        <v>0</v>
      </c>
      <c r="Q791" s="60">
        <v>0</v>
      </c>
      <c r="R791" s="60">
        <v>0</v>
      </c>
      <c r="S791" s="60">
        <v>0</v>
      </c>
      <c r="T791" s="60">
        <v>0</v>
      </c>
      <c r="U791" s="60">
        <v>0</v>
      </c>
      <c r="V791" s="60">
        <v>0</v>
      </c>
      <c r="W791" s="60">
        <v>0</v>
      </c>
      <c r="X791" s="60">
        <v>0</v>
      </c>
      <c r="Y791" s="60">
        <v>0</v>
      </c>
      <c r="Z791" s="60">
        <v>0</v>
      </c>
      <c r="AA791" s="60">
        <v>0</v>
      </c>
      <c r="AB791" s="60">
        <v>0</v>
      </c>
      <c r="AC791" s="62">
        <v>51307.73</v>
      </c>
      <c r="AD791" s="173">
        <v>105656.04</v>
      </c>
      <c r="AE791" s="60">
        <v>0</v>
      </c>
      <c r="AF791" s="170">
        <v>2021</v>
      </c>
      <c r="AG791" s="170">
        <v>2021</v>
      </c>
      <c r="AH791" s="63">
        <v>2021</v>
      </c>
    </row>
    <row r="792" spans="1:34" ht="61.5" x14ac:dyDescent="0.85">
      <c r="A792" s="7">
        <v>1</v>
      </c>
      <c r="B792" s="59">
        <f>SUBTOTAL(103,$A$558:A792)</f>
        <v>230</v>
      </c>
      <c r="C792" s="160" t="s">
        <v>571</v>
      </c>
      <c r="D792" s="60">
        <f t="shared" si="103"/>
        <v>6413646.6999999993</v>
      </c>
      <c r="E792" s="180">
        <v>0</v>
      </c>
      <c r="F792" s="180">
        <v>0</v>
      </c>
      <c r="G792" s="180">
        <v>0</v>
      </c>
      <c r="H792" s="180">
        <v>0</v>
      </c>
      <c r="I792" s="180">
        <v>0</v>
      </c>
      <c r="J792" s="180">
        <v>0</v>
      </c>
      <c r="K792" s="168">
        <v>0</v>
      </c>
      <c r="L792" s="60">
        <v>0</v>
      </c>
      <c r="M792" s="60">
        <v>1048.5</v>
      </c>
      <c r="N792" s="60">
        <v>6242871</v>
      </c>
      <c r="O792" s="60">
        <v>0</v>
      </c>
      <c r="P792" s="60">
        <v>0</v>
      </c>
      <c r="Q792" s="60">
        <v>0</v>
      </c>
      <c r="R792" s="60">
        <v>0</v>
      </c>
      <c r="S792" s="60">
        <v>0</v>
      </c>
      <c r="T792" s="60">
        <v>0</v>
      </c>
      <c r="U792" s="60">
        <v>0</v>
      </c>
      <c r="V792" s="60">
        <v>0</v>
      </c>
      <c r="W792" s="60">
        <v>0</v>
      </c>
      <c r="X792" s="60">
        <v>0</v>
      </c>
      <c r="Y792" s="60">
        <v>0</v>
      </c>
      <c r="Z792" s="60">
        <v>0</v>
      </c>
      <c r="AA792" s="60">
        <v>0</v>
      </c>
      <c r="AB792" s="60">
        <v>0</v>
      </c>
      <c r="AC792" s="62">
        <v>65081.93</v>
      </c>
      <c r="AD792" s="62">
        <v>105693.77</v>
      </c>
      <c r="AE792" s="60">
        <v>0</v>
      </c>
      <c r="AF792" s="170">
        <v>2021</v>
      </c>
      <c r="AG792" s="170">
        <v>2021</v>
      </c>
      <c r="AH792" s="63">
        <v>2021</v>
      </c>
    </row>
    <row r="793" spans="1:34" ht="61.5" x14ac:dyDescent="0.85">
      <c r="A793" s="7">
        <v>1</v>
      </c>
      <c r="B793" s="59">
        <f>SUBTOTAL(103,$A$558:A793)</f>
        <v>231</v>
      </c>
      <c r="C793" s="160" t="s">
        <v>572</v>
      </c>
      <c r="D793" s="60">
        <f t="shared" si="103"/>
        <v>5106188.7799999993</v>
      </c>
      <c r="E793" s="180">
        <v>0</v>
      </c>
      <c r="F793" s="180">
        <v>0</v>
      </c>
      <c r="G793" s="180">
        <v>0</v>
      </c>
      <c r="H793" s="180">
        <v>0</v>
      </c>
      <c r="I793" s="180">
        <v>0</v>
      </c>
      <c r="J793" s="180">
        <v>0</v>
      </c>
      <c r="K793" s="168">
        <v>0</v>
      </c>
      <c r="L793" s="60">
        <v>0</v>
      </c>
      <c r="M793" s="60">
        <v>993.24</v>
      </c>
      <c r="N793" s="60">
        <v>4948920.72</v>
      </c>
      <c r="O793" s="60">
        <v>0</v>
      </c>
      <c r="P793" s="60">
        <v>0</v>
      </c>
      <c r="Q793" s="60">
        <v>0</v>
      </c>
      <c r="R793" s="60">
        <v>0</v>
      </c>
      <c r="S793" s="60">
        <v>0</v>
      </c>
      <c r="T793" s="60">
        <v>0</v>
      </c>
      <c r="U793" s="60">
        <v>0</v>
      </c>
      <c r="V793" s="60">
        <v>0</v>
      </c>
      <c r="W793" s="60">
        <v>0</v>
      </c>
      <c r="X793" s="60">
        <v>0</v>
      </c>
      <c r="Y793" s="60">
        <v>0</v>
      </c>
      <c r="Z793" s="60">
        <v>0</v>
      </c>
      <c r="AA793" s="60">
        <v>0</v>
      </c>
      <c r="AB793" s="60">
        <v>0</v>
      </c>
      <c r="AC793" s="62">
        <v>51592.5</v>
      </c>
      <c r="AD793" s="173">
        <v>105675.56</v>
      </c>
      <c r="AE793" s="60">
        <v>0</v>
      </c>
      <c r="AF793" s="170">
        <v>2021</v>
      </c>
      <c r="AG793" s="170">
        <v>2021</v>
      </c>
      <c r="AH793" s="63">
        <v>2021</v>
      </c>
    </row>
    <row r="794" spans="1:34" ht="61.5" x14ac:dyDescent="0.85">
      <c r="A794" s="7">
        <v>1</v>
      </c>
      <c r="B794" s="59">
        <f>SUBTOTAL(103,$A$558:A794)</f>
        <v>232</v>
      </c>
      <c r="C794" s="160" t="s">
        <v>576</v>
      </c>
      <c r="D794" s="60">
        <f t="shared" si="103"/>
        <v>1761455.3699999999</v>
      </c>
      <c r="E794" s="180">
        <v>0</v>
      </c>
      <c r="F794" s="180">
        <v>0</v>
      </c>
      <c r="G794" s="180">
        <v>0</v>
      </c>
      <c r="H794" s="180">
        <v>0</v>
      </c>
      <c r="I794" s="180">
        <v>0</v>
      </c>
      <c r="J794" s="180">
        <v>0</v>
      </c>
      <c r="K794" s="168">
        <v>0</v>
      </c>
      <c r="L794" s="60">
        <v>0</v>
      </c>
      <c r="M794" s="60">
        <v>402.5</v>
      </c>
      <c r="N794" s="60">
        <v>1687162</v>
      </c>
      <c r="O794" s="60">
        <v>0</v>
      </c>
      <c r="P794" s="60">
        <v>0</v>
      </c>
      <c r="Q794" s="60">
        <v>0</v>
      </c>
      <c r="R794" s="60">
        <v>0</v>
      </c>
      <c r="S794" s="60">
        <v>0</v>
      </c>
      <c r="T794" s="60">
        <v>0</v>
      </c>
      <c r="U794" s="60">
        <v>0</v>
      </c>
      <c r="V794" s="60">
        <v>0</v>
      </c>
      <c r="W794" s="60">
        <v>0</v>
      </c>
      <c r="X794" s="60">
        <v>0</v>
      </c>
      <c r="Y794" s="60">
        <v>0</v>
      </c>
      <c r="Z794" s="60">
        <v>0</v>
      </c>
      <c r="AA794" s="60">
        <v>0</v>
      </c>
      <c r="AB794" s="60">
        <v>0</v>
      </c>
      <c r="AC794" s="62">
        <v>17588.66</v>
      </c>
      <c r="AD794" s="173">
        <v>56704.71</v>
      </c>
      <c r="AE794" s="60">
        <v>0</v>
      </c>
      <c r="AF794" s="170">
        <v>2021</v>
      </c>
      <c r="AG794" s="170">
        <v>2021</v>
      </c>
      <c r="AH794" s="63">
        <v>2021</v>
      </c>
    </row>
    <row r="795" spans="1:34" ht="61.5" x14ac:dyDescent="0.85">
      <c r="A795" s="7">
        <v>1</v>
      </c>
      <c r="B795" s="59">
        <f>SUBTOTAL(103,$A$558:A795)</f>
        <v>233</v>
      </c>
      <c r="C795" s="160" t="s">
        <v>577</v>
      </c>
      <c r="D795" s="60">
        <f t="shared" si="103"/>
        <v>5654807.2299999995</v>
      </c>
      <c r="E795" s="180">
        <v>0</v>
      </c>
      <c r="F795" s="180">
        <v>0</v>
      </c>
      <c r="G795" s="180">
        <v>0</v>
      </c>
      <c r="H795" s="180">
        <v>0</v>
      </c>
      <c r="I795" s="180">
        <v>0</v>
      </c>
      <c r="J795" s="180">
        <v>0</v>
      </c>
      <c r="K795" s="168">
        <v>0</v>
      </c>
      <c r="L795" s="60">
        <v>0</v>
      </c>
      <c r="M795" s="60">
        <v>1070.4000000000001</v>
      </c>
      <c r="N795" s="60">
        <v>5491847.5199999996</v>
      </c>
      <c r="O795" s="60">
        <v>0</v>
      </c>
      <c r="P795" s="60">
        <v>0</v>
      </c>
      <c r="Q795" s="60">
        <v>0</v>
      </c>
      <c r="R795" s="60">
        <v>0</v>
      </c>
      <c r="S795" s="60">
        <v>0</v>
      </c>
      <c r="T795" s="60">
        <v>0</v>
      </c>
      <c r="U795" s="60">
        <v>0</v>
      </c>
      <c r="V795" s="60">
        <v>0</v>
      </c>
      <c r="W795" s="60">
        <v>0</v>
      </c>
      <c r="X795" s="60">
        <v>0</v>
      </c>
      <c r="Y795" s="60">
        <v>0</v>
      </c>
      <c r="Z795" s="60">
        <v>0</v>
      </c>
      <c r="AA795" s="60">
        <v>0</v>
      </c>
      <c r="AB795" s="60">
        <v>0</v>
      </c>
      <c r="AC795" s="62">
        <v>57252.51</v>
      </c>
      <c r="AD795" s="173">
        <v>105707.2</v>
      </c>
      <c r="AE795" s="60">
        <v>0</v>
      </c>
      <c r="AF795" s="170">
        <v>2021</v>
      </c>
      <c r="AG795" s="170">
        <v>2021</v>
      </c>
      <c r="AH795" s="63">
        <v>2021</v>
      </c>
    </row>
    <row r="796" spans="1:34" ht="61.5" x14ac:dyDescent="0.85">
      <c r="A796" s="7">
        <v>1</v>
      </c>
      <c r="B796" s="59">
        <f>SUBTOTAL(103,$A$558:A796)</f>
        <v>234</v>
      </c>
      <c r="C796" s="160" t="s">
        <v>567</v>
      </c>
      <c r="D796" s="60">
        <f t="shared" si="103"/>
        <v>3419017.6999999997</v>
      </c>
      <c r="E796" s="180">
        <v>0</v>
      </c>
      <c r="F796" s="180">
        <v>0</v>
      </c>
      <c r="G796" s="180">
        <v>0</v>
      </c>
      <c r="H796" s="180">
        <v>0</v>
      </c>
      <c r="I796" s="180">
        <v>0</v>
      </c>
      <c r="J796" s="180">
        <v>0</v>
      </c>
      <c r="K796" s="168">
        <v>0</v>
      </c>
      <c r="L796" s="60">
        <v>0</v>
      </c>
      <c r="M796" s="60">
        <v>553</v>
      </c>
      <c r="N796" s="60">
        <v>3313222</v>
      </c>
      <c r="O796" s="60">
        <v>0</v>
      </c>
      <c r="P796" s="60">
        <v>0</v>
      </c>
      <c r="Q796" s="60">
        <v>0</v>
      </c>
      <c r="R796" s="60">
        <v>0</v>
      </c>
      <c r="S796" s="60">
        <v>0</v>
      </c>
      <c r="T796" s="60">
        <v>0</v>
      </c>
      <c r="U796" s="60">
        <v>0</v>
      </c>
      <c r="V796" s="60">
        <v>0</v>
      </c>
      <c r="W796" s="60">
        <v>0</v>
      </c>
      <c r="X796" s="60">
        <v>0</v>
      </c>
      <c r="Y796" s="60">
        <v>0</v>
      </c>
      <c r="Z796" s="60">
        <v>0</v>
      </c>
      <c r="AA796" s="60">
        <v>0</v>
      </c>
      <c r="AB796" s="60">
        <v>0</v>
      </c>
      <c r="AC796" s="62">
        <v>34540.339999999997</v>
      </c>
      <c r="AD796" s="173">
        <v>71255.360000000001</v>
      </c>
      <c r="AE796" s="60">
        <v>0</v>
      </c>
      <c r="AF796" s="170">
        <v>2021</v>
      </c>
      <c r="AG796" s="170">
        <v>2021</v>
      </c>
      <c r="AH796" s="63">
        <v>2021</v>
      </c>
    </row>
    <row r="797" spans="1:34" ht="61.5" x14ac:dyDescent="0.85">
      <c r="A797" s="7">
        <v>1</v>
      </c>
      <c r="B797" s="59">
        <f>SUBTOTAL(103,$A$558:A797)</f>
        <v>235</v>
      </c>
      <c r="C797" s="160" t="s">
        <v>581</v>
      </c>
      <c r="D797" s="60">
        <f t="shared" si="103"/>
        <v>4894076.08</v>
      </c>
      <c r="E797" s="180">
        <v>0</v>
      </c>
      <c r="F797" s="180">
        <v>0</v>
      </c>
      <c r="G797" s="180">
        <v>0</v>
      </c>
      <c r="H797" s="180">
        <v>0</v>
      </c>
      <c r="I797" s="180">
        <v>0</v>
      </c>
      <c r="J797" s="180">
        <v>0</v>
      </c>
      <c r="K797" s="168">
        <v>0</v>
      </c>
      <c r="L797" s="60">
        <v>0</v>
      </c>
      <c r="M797" s="62">
        <v>777.5</v>
      </c>
      <c r="N797" s="62">
        <v>4738959</v>
      </c>
      <c r="O797" s="60">
        <v>0</v>
      </c>
      <c r="P797" s="60">
        <v>0</v>
      </c>
      <c r="Q797" s="60">
        <v>0</v>
      </c>
      <c r="R797" s="60">
        <v>0</v>
      </c>
      <c r="S797" s="60">
        <v>0</v>
      </c>
      <c r="T797" s="60">
        <v>0</v>
      </c>
      <c r="U797" s="60">
        <v>0</v>
      </c>
      <c r="V797" s="60">
        <v>0</v>
      </c>
      <c r="W797" s="60">
        <v>0</v>
      </c>
      <c r="X797" s="60">
        <v>0</v>
      </c>
      <c r="Y797" s="60">
        <v>0</v>
      </c>
      <c r="Z797" s="60">
        <v>0</v>
      </c>
      <c r="AA797" s="60">
        <v>0</v>
      </c>
      <c r="AB797" s="60">
        <v>0</v>
      </c>
      <c r="AC797" s="62">
        <v>49403.65</v>
      </c>
      <c r="AD797" s="173">
        <v>105713.43</v>
      </c>
      <c r="AE797" s="60">
        <v>0</v>
      </c>
      <c r="AF797" s="170">
        <v>2021</v>
      </c>
      <c r="AG797" s="170">
        <v>2021</v>
      </c>
      <c r="AH797" s="63">
        <v>2021</v>
      </c>
    </row>
    <row r="798" spans="1:34" ht="61.5" x14ac:dyDescent="0.85">
      <c r="A798" s="7">
        <v>1</v>
      </c>
      <c r="B798" s="59">
        <f>SUBTOTAL(103,$A$558:A798)</f>
        <v>236</v>
      </c>
      <c r="C798" s="160" t="s">
        <v>580</v>
      </c>
      <c r="D798" s="60">
        <f t="shared" si="103"/>
        <v>1881436.15</v>
      </c>
      <c r="E798" s="180">
        <v>0</v>
      </c>
      <c r="F798" s="180">
        <v>0</v>
      </c>
      <c r="G798" s="180">
        <v>0</v>
      </c>
      <c r="H798" s="180">
        <v>0</v>
      </c>
      <c r="I798" s="180">
        <v>0</v>
      </c>
      <c r="J798" s="180">
        <v>0</v>
      </c>
      <c r="K798" s="168">
        <v>0</v>
      </c>
      <c r="L798" s="60">
        <v>0</v>
      </c>
      <c r="M798" s="60">
        <v>383.2</v>
      </c>
      <c r="N798" s="60">
        <v>1806396</v>
      </c>
      <c r="O798" s="60">
        <v>0</v>
      </c>
      <c r="P798" s="60">
        <v>0</v>
      </c>
      <c r="Q798" s="60">
        <v>0</v>
      </c>
      <c r="R798" s="60">
        <v>0</v>
      </c>
      <c r="S798" s="60">
        <v>0</v>
      </c>
      <c r="T798" s="60">
        <v>0</v>
      </c>
      <c r="U798" s="60">
        <v>0</v>
      </c>
      <c r="V798" s="60">
        <v>0</v>
      </c>
      <c r="W798" s="60">
        <v>0</v>
      </c>
      <c r="X798" s="60">
        <v>0</v>
      </c>
      <c r="Y798" s="60">
        <v>0</v>
      </c>
      <c r="Z798" s="60">
        <v>0</v>
      </c>
      <c r="AA798" s="60">
        <v>0</v>
      </c>
      <c r="AB798" s="60">
        <v>0</v>
      </c>
      <c r="AC798" s="62">
        <v>18831.68</v>
      </c>
      <c r="AD798" s="173">
        <v>56208.47</v>
      </c>
      <c r="AE798" s="60">
        <v>0</v>
      </c>
      <c r="AF798" s="170">
        <v>2021</v>
      </c>
      <c r="AG798" s="170">
        <v>2021</v>
      </c>
      <c r="AH798" s="63">
        <v>2021</v>
      </c>
    </row>
    <row r="799" spans="1:34" ht="61.5" x14ac:dyDescent="0.85">
      <c r="A799" s="7">
        <v>1</v>
      </c>
      <c r="B799" s="59">
        <f>SUBTOTAL(103,$A$558:A799)</f>
        <v>237</v>
      </c>
      <c r="C799" s="160" t="s">
        <v>585</v>
      </c>
      <c r="D799" s="60">
        <f t="shared" si="103"/>
        <v>1652600.62</v>
      </c>
      <c r="E799" s="180">
        <v>0</v>
      </c>
      <c r="F799" s="180">
        <v>0</v>
      </c>
      <c r="G799" s="180">
        <v>0</v>
      </c>
      <c r="H799" s="180">
        <v>0</v>
      </c>
      <c r="I799" s="180">
        <v>0</v>
      </c>
      <c r="J799" s="180">
        <v>0</v>
      </c>
      <c r="K799" s="168">
        <v>1</v>
      </c>
      <c r="L799" s="60">
        <v>1652600.62</v>
      </c>
      <c r="M799" s="60">
        <v>0</v>
      </c>
      <c r="N799" s="60">
        <v>0</v>
      </c>
      <c r="O799" s="60">
        <v>0</v>
      </c>
      <c r="P799" s="60">
        <v>0</v>
      </c>
      <c r="Q799" s="60">
        <v>0</v>
      </c>
      <c r="R799" s="60">
        <v>0</v>
      </c>
      <c r="S799" s="60">
        <v>0</v>
      </c>
      <c r="T799" s="60">
        <v>0</v>
      </c>
      <c r="U799" s="60">
        <v>0</v>
      </c>
      <c r="V799" s="60">
        <v>0</v>
      </c>
      <c r="W799" s="60">
        <v>0</v>
      </c>
      <c r="X799" s="60">
        <v>0</v>
      </c>
      <c r="Y799" s="60">
        <v>0</v>
      </c>
      <c r="Z799" s="60">
        <v>0</v>
      </c>
      <c r="AA799" s="60">
        <v>0</v>
      </c>
      <c r="AB799" s="60">
        <v>0</v>
      </c>
      <c r="AC799" s="60">
        <v>0</v>
      </c>
      <c r="AD799" s="60">
        <v>0</v>
      </c>
      <c r="AE799" s="60">
        <v>0</v>
      </c>
      <c r="AF799" s="170" t="s">
        <v>257</v>
      </c>
      <c r="AG799" s="170">
        <v>2021</v>
      </c>
      <c r="AH799" s="63" t="s">
        <v>257</v>
      </c>
    </row>
    <row r="800" spans="1:34" ht="61.5" x14ac:dyDescent="0.85">
      <c r="A800" s="7">
        <v>1</v>
      </c>
      <c r="B800" s="59">
        <f>SUBTOTAL(103,$A$558:A800)</f>
        <v>238</v>
      </c>
      <c r="C800" s="160" t="s">
        <v>583</v>
      </c>
      <c r="D800" s="60">
        <f t="shared" si="103"/>
        <v>2629684.4900000002</v>
      </c>
      <c r="E800" s="180">
        <v>0</v>
      </c>
      <c r="F800" s="180">
        <v>0</v>
      </c>
      <c r="G800" s="180">
        <v>0</v>
      </c>
      <c r="H800" s="180">
        <v>0</v>
      </c>
      <c r="I800" s="180">
        <v>0</v>
      </c>
      <c r="J800" s="180">
        <v>0</v>
      </c>
      <c r="K800" s="168">
        <v>0</v>
      </c>
      <c r="L800" s="60">
        <v>0</v>
      </c>
      <c r="M800" s="60">
        <v>786.69</v>
      </c>
      <c r="N800" s="62">
        <v>2497915.7200000002</v>
      </c>
      <c r="O800" s="60">
        <v>0</v>
      </c>
      <c r="P800" s="60">
        <v>0</v>
      </c>
      <c r="Q800" s="60">
        <v>0</v>
      </c>
      <c r="R800" s="60">
        <v>0</v>
      </c>
      <c r="S800" s="60">
        <v>0</v>
      </c>
      <c r="T800" s="60">
        <v>0</v>
      </c>
      <c r="U800" s="60">
        <v>0</v>
      </c>
      <c r="V800" s="60">
        <v>0</v>
      </c>
      <c r="W800" s="60">
        <v>0</v>
      </c>
      <c r="X800" s="60">
        <v>0</v>
      </c>
      <c r="Y800" s="60">
        <v>0</v>
      </c>
      <c r="Z800" s="60">
        <v>0</v>
      </c>
      <c r="AA800" s="60">
        <v>0</v>
      </c>
      <c r="AB800" s="60">
        <v>0</v>
      </c>
      <c r="AC800" s="62">
        <v>26040.77</v>
      </c>
      <c r="AD800" s="173">
        <v>105728</v>
      </c>
      <c r="AE800" s="60">
        <v>0</v>
      </c>
      <c r="AF800" s="170">
        <v>2021</v>
      </c>
      <c r="AG800" s="170">
        <v>2021</v>
      </c>
      <c r="AH800" s="63">
        <v>2021</v>
      </c>
    </row>
    <row r="801" spans="1:34" ht="61.5" x14ac:dyDescent="0.85">
      <c r="A801" s="7">
        <v>1</v>
      </c>
      <c r="B801" s="59">
        <f>SUBTOTAL(103,$A$558:A801)</f>
        <v>239</v>
      </c>
      <c r="C801" s="160" t="s">
        <v>1499</v>
      </c>
      <c r="D801" s="60">
        <f t="shared" si="103"/>
        <v>3190209.33</v>
      </c>
      <c r="E801" s="60">
        <v>0</v>
      </c>
      <c r="F801" s="60">
        <v>0</v>
      </c>
      <c r="G801" s="60">
        <v>0</v>
      </c>
      <c r="H801" s="60">
        <v>0</v>
      </c>
      <c r="I801" s="60">
        <v>0</v>
      </c>
      <c r="J801" s="60">
        <v>0</v>
      </c>
      <c r="K801" s="168">
        <v>0</v>
      </c>
      <c r="L801" s="60">
        <v>0</v>
      </c>
      <c r="M801" s="62">
        <v>616.41999999999996</v>
      </c>
      <c r="N801" s="62">
        <v>3082914</v>
      </c>
      <c r="O801" s="60">
        <v>0</v>
      </c>
      <c r="P801" s="60">
        <v>0</v>
      </c>
      <c r="Q801" s="60">
        <v>0</v>
      </c>
      <c r="R801" s="60">
        <v>0</v>
      </c>
      <c r="S801" s="60">
        <v>0</v>
      </c>
      <c r="T801" s="60">
        <v>0</v>
      </c>
      <c r="U801" s="60">
        <v>0</v>
      </c>
      <c r="V801" s="60">
        <v>0</v>
      </c>
      <c r="W801" s="60">
        <v>0</v>
      </c>
      <c r="X801" s="60">
        <v>0</v>
      </c>
      <c r="Y801" s="60">
        <v>0</v>
      </c>
      <c r="Z801" s="60">
        <v>0</v>
      </c>
      <c r="AA801" s="60">
        <v>0</v>
      </c>
      <c r="AB801" s="60">
        <v>0</v>
      </c>
      <c r="AC801" s="62">
        <v>32139.38</v>
      </c>
      <c r="AD801" s="173">
        <v>75155.95</v>
      </c>
      <c r="AE801" s="60">
        <v>0</v>
      </c>
      <c r="AF801" s="170">
        <v>2021</v>
      </c>
      <c r="AG801" s="170">
        <v>2021</v>
      </c>
      <c r="AH801" s="63">
        <v>2021</v>
      </c>
    </row>
    <row r="802" spans="1:34" ht="61.5" x14ac:dyDescent="0.85">
      <c r="A802" s="7">
        <v>1</v>
      </c>
      <c r="B802" s="59">
        <f>SUBTOTAL(103,$A$558:A802)</f>
        <v>240</v>
      </c>
      <c r="C802" s="160" t="s">
        <v>1519</v>
      </c>
      <c r="D802" s="60">
        <f t="shared" si="103"/>
        <v>3561457.25</v>
      </c>
      <c r="E802" s="60">
        <v>0</v>
      </c>
      <c r="F802" s="60">
        <v>0</v>
      </c>
      <c r="G802" s="60">
        <v>0</v>
      </c>
      <c r="H802" s="60">
        <v>0</v>
      </c>
      <c r="I802" s="60">
        <v>0</v>
      </c>
      <c r="J802" s="60">
        <v>0</v>
      </c>
      <c r="K802" s="168">
        <v>0</v>
      </c>
      <c r="L802" s="60">
        <v>0</v>
      </c>
      <c r="M802" s="62">
        <v>683.3</v>
      </c>
      <c r="N802" s="62">
        <v>3437570.15</v>
      </c>
      <c r="O802" s="60">
        <v>0</v>
      </c>
      <c r="P802" s="60">
        <v>0</v>
      </c>
      <c r="Q802" s="60">
        <v>0</v>
      </c>
      <c r="R802" s="60">
        <v>0</v>
      </c>
      <c r="S802" s="60">
        <v>0</v>
      </c>
      <c r="T802" s="60">
        <v>0</v>
      </c>
      <c r="U802" s="60">
        <v>0</v>
      </c>
      <c r="V802" s="60">
        <v>0</v>
      </c>
      <c r="W802" s="60">
        <v>0</v>
      </c>
      <c r="X802" s="60">
        <v>0</v>
      </c>
      <c r="Y802" s="60">
        <v>0</v>
      </c>
      <c r="Z802" s="60">
        <v>0</v>
      </c>
      <c r="AA802" s="60">
        <v>0</v>
      </c>
      <c r="AB802" s="60">
        <v>0</v>
      </c>
      <c r="AC802" s="60">
        <v>35836.67</v>
      </c>
      <c r="AD802" s="173">
        <v>88050.43</v>
      </c>
      <c r="AE802" s="60">
        <v>0</v>
      </c>
      <c r="AF802" s="170">
        <v>2021</v>
      </c>
      <c r="AG802" s="170">
        <v>2021</v>
      </c>
      <c r="AH802" s="63">
        <v>2021</v>
      </c>
    </row>
    <row r="803" spans="1:34" ht="61.5" x14ac:dyDescent="0.85">
      <c r="A803" s="7">
        <v>1</v>
      </c>
      <c r="B803" s="59">
        <f>SUBTOTAL(103,$A$558:A803)</f>
        <v>241</v>
      </c>
      <c r="C803" s="160" t="s">
        <v>1520</v>
      </c>
      <c r="D803" s="60">
        <f t="shared" si="103"/>
        <v>1599599.44</v>
      </c>
      <c r="E803" s="60">
        <v>0</v>
      </c>
      <c r="F803" s="60">
        <v>0</v>
      </c>
      <c r="G803" s="60">
        <v>0</v>
      </c>
      <c r="H803" s="60">
        <v>0</v>
      </c>
      <c r="I803" s="60">
        <v>0</v>
      </c>
      <c r="J803" s="60">
        <v>0</v>
      </c>
      <c r="K803" s="168">
        <v>0</v>
      </c>
      <c r="L803" s="60">
        <v>0</v>
      </c>
      <c r="M803" s="60">
        <v>336.23</v>
      </c>
      <c r="N803" s="60">
        <v>1528275</v>
      </c>
      <c r="O803" s="60">
        <v>0</v>
      </c>
      <c r="P803" s="60">
        <v>0</v>
      </c>
      <c r="Q803" s="60">
        <v>0</v>
      </c>
      <c r="R803" s="60">
        <v>0</v>
      </c>
      <c r="S803" s="60">
        <v>0</v>
      </c>
      <c r="T803" s="60">
        <v>0</v>
      </c>
      <c r="U803" s="60">
        <v>0</v>
      </c>
      <c r="V803" s="60">
        <v>0</v>
      </c>
      <c r="W803" s="60">
        <v>0</v>
      </c>
      <c r="X803" s="60">
        <v>0</v>
      </c>
      <c r="Y803" s="60">
        <v>0</v>
      </c>
      <c r="Z803" s="60">
        <v>0</v>
      </c>
      <c r="AA803" s="60">
        <v>0</v>
      </c>
      <c r="AB803" s="60">
        <v>0</v>
      </c>
      <c r="AC803" s="62">
        <v>15932.27</v>
      </c>
      <c r="AD803" s="173">
        <v>55392.17</v>
      </c>
      <c r="AE803" s="60">
        <v>0</v>
      </c>
      <c r="AF803" s="170">
        <v>2021</v>
      </c>
      <c r="AG803" s="170">
        <v>2021</v>
      </c>
      <c r="AH803" s="63">
        <v>2021</v>
      </c>
    </row>
    <row r="804" spans="1:34" ht="61.5" x14ac:dyDescent="0.85">
      <c r="A804" s="7">
        <v>1</v>
      </c>
      <c r="B804" s="59">
        <f>SUBTOTAL(103,$A$558:A804)</f>
        <v>242</v>
      </c>
      <c r="C804" s="160" t="s">
        <v>1521</v>
      </c>
      <c r="D804" s="60">
        <f t="shared" si="103"/>
        <v>4130824.7</v>
      </c>
      <c r="E804" s="60">
        <v>0</v>
      </c>
      <c r="F804" s="60">
        <v>0</v>
      </c>
      <c r="G804" s="60">
        <v>0</v>
      </c>
      <c r="H804" s="60">
        <v>0</v>
      </c>
      <c r="I804" s="60">
        <v>0</v>
      </c>
      <c r="J804" s="60">
        <v>0</v>
      </c>
      <c r="K804" s="168">
        <v>0</v>
      </c>
      <c r="L804" s="60">
        <v>0</v>
      </c>
      <c r="M804" s="60">
        <v>686.92</v>
      </c>
      <c r="N804" s="62">
        <v>4008645</v>
      </c>
      <c r="O804" s="60">
        <v>0</v>
      </c>
      <c r="P804" s="60">
        <v>0</v>
      </c>
      <c r="Q804" s="60">
        <v>0</v>
      </c>
      <c r="R804" s="60">
        <v>0</v>
      </c>
      <c r="S804" s="60">
        <v>0</v>
      </c>
      <c r="T804" s="60">
        <v>0</v>
      </c>
      <c r="U804" s="60">
        <v>0</v>
      </c>
      <c r="V804" s="60">
        <v>0</v>
      </c>
      <c r="W804" s="60">
        <v>0</v>
      </c>
      <c r="X804" s="60">
        <v>0</v>
      </c>
      <c r="Y804" s="60">
        <v>0</v>
      </c>
      <c r="Z804" s="60">
        <v>0</v>
      </c>
      <c r="AA804" s="60">
        <v>0</v>
      </c>
      <c r="AB804" s="60">
        <v>0</v>
      </c>
      <c r="AC804" s="62">
        <v>41790.120000000003</v>
      </c>
      <c r="AD804" s="173">
        <v>80389.58</v>
      </c>
      <c r="AE804" s="60">
        <v>0</v>
      </c>
      <c r="AF804" s="170">
        <v>2021</v>
      </c>
      <c r="AG804" s="170">
        <v>2021</v>
      </c>
      <c r="AH804" s="63">
        <v>2021</v>
      </c>
    </row>
    <row r="805" spans="1:34" ht="61.5" x14ac:dyDescent="0.85">
      <c r="A805" s="7">
        <v>1</v>
      </c>
      <c r="B805" s="59">
        <f>SUBTOTAL(103,$A$558:A805)</f>
        <v>243</v>
      </c>
      <c r="C805" s="160" t="s">
        <v>1522</v>
      </c>
      <c r="D805" s="60">
        <f t="shared" si="103"/>
        <v>2555076.9</v>
      </c>
      <c r="E805" s="60">
        <v>0</v>
      </c>
      <c r="F805" s="60">
        <v>0</v>
      </c>
      <c r="G805" s="60">
        <v>0</v>
      </c>
      <c r="H805" s="60">
        <v>0</v>
      </c>
      <c r="I805" s="60">
        <v>0</v>
      </c>
      <c r="J805" s="60">
        <v>0</v>
      </c>
      <c r="K805" s="168">
        <v>0</v>
      </c>
      <c r="L805" s="60">
        <v>0</v>
      </c>
      <c r="M805" s="60">
        <v>463.7</v>
      </c>
      <c r="N805" s="62">
        <v>2464073</v>
      </c>
      <c r="O805" s="60">
        <v>0</v>
      </c>
      <c r="P805" s="60">
        <v>0</v>
      </c>
      <c r="Q805" s="60">
        <v>0</v>
      </c>
      <c r="R805" s="60">
        <v>0</v>
      </c>
      <c r="S805" s="60">
        <v>0</v>
      </c>
      <c r="T805" s="60">
        <v>0</v>
      </c>
      <c r="U805" s="60">
        <v>0</v>
      </c>
      <c r="V805" s="60">
        <v>0</v>
      </c>
      <c r="W805" s="60">
        <v>0</v>
      </c>
      <c r="X805" s="60">
        <v>0</v>
      </c>
      <c r="Y805" s="60">
        <v>0</v>
      </c>
      <c r="Z805" s="60">
        <v>0</v>
      </c>
      <c r="AA805" s="60">
        <v>0</v>
      </c>
      <c r="AB805" s="60">
        <v>0</v>
      </c>
      <c r="AC805" s="62">
        <v>25687.96</v>
      </c>
      <c r="AD805" s="173">
        <v>65315.94</v>
      </c>
      <c r="AE805" s="60">
        <v>0</v>
      </c>
      <c r="AF805" s="170">
        <v>2021</v>
      </c>
      <c r="AG805" s="170">
        <v>2021</v>
      </c>
      <c r="AH805" s="63">
        <v>2021</v>
      </c>
    </row>
    <row r="806" spans="1:34" ht="61.5" x14ac:dyDescent="0.85">
      <c r="A806" s="7">
        <v>1</v>
      </c>
      <c r="B806" s="59">
        <f>SUBTOTAL(103,$A$558:A806)</f>
        <v>244</v>
      </c>
      <c r="C806" s="160" t="s">
        <v>578</v>
      </c>
      <c r="D806" s="60">
        <f t="shared" si="103"/>
        <v>5701591.5199999996</v>
      </c>
      <c r="E806" s="180">
        <v>0</v>
      </c>
      <c r="F806" s="180">
        <v>0</v>
      </c>
      <c r="G806" s="180">
        <v>0</v>
      </c>
      <c r="H806" s="180">
        <v>0</v>
      </c>
      <c r="I806" s="180">
        <v>0</v>
      </c>
      <c r="J806" s="180">
        <v>0</v>
      </c>
      <c r="K806" s="168">
        <v>0</v>
      </c>
      <c r="L806" s="60">
        <v>0</v>
      </c>
      <c r="M806" s="60">
        <v>0</v>
      </c>
      <c r="N806" s="60">
        <v>0</v>
      </c>
      <c r="O806" s="180">
        <v>0</v>
      </c>
      <c r="P806" s="180">
        <v>0</v>
      </c>
      <c r="Q806" s="180">
        <v>0</v>
      </c>
      <c r="R806" s="180">
        <v>0</v>
      </c>
      <c r="S806" s="60">
        <v>0</v>
      </c>
      <c r="T806" s="60">
        <v>0</v>
      </c>
      <c r="U806" s="62">
        <v>5667586</v>
      </c>
      <c r="V806" s="60">
        <v>0</v>
      </c>
      <c r="W806" s="60">
        <v>0</v>
      </c>
      <c r="X806" s="60">
        <v>0</v>
      </c>
      <c r="Y806" s="60">
        <v>0</v>
      </c>
      <c r="Z806" s="60">
        <v>0</v>
      </c>
      <c r="AA806" s="60">
        <v>0</v>
      </c>
      <c r="AB806" s="60">
        <v>0</v>
      </c>
      <c r="AC806" s="62">
        <v>34005.519999999997</v>
      </c>
      <c r="AD806" s="60">
        <v>0</v>
      </c>
      <c r="AE806" s="60">
        <v>0</v>
      </c>
      <c r="AF806" s="170" t="s">
        <v>257</v>
      </c>
      <c r="AG806" s="170">
        <v>2021</v>
      </c>
      <c r="AH806" s="63">
        <v>2021</v>
      </c>
    </row>
    <row r="807" spans="1:34" ht="61.5" x14ac:dyDescent="0.85">
      <c r="A807" s="7">
        <v>1</v>
      </c>
      <c r="B807" s="59">
        <f>SUBTOTAL(103,$A$558:A807)</f>
        <v>245</v>
      </c>
      <c r="C807" s="160" t="s">
        <v>1461</v>
      </c>
      <c r="D807" s="60">
        <f t="shared" si="103"/>
        <v>3842812.35</v>
      </c>
      <c r="E807" s="60">
        <v>0</v>
      </c>
      <c r="F807" s="60">
        <v>0</v>
      </c>
      <c r="G807" s="60">
        <v>0</v>
      </c>
      <c r="H807" s="60">
        <v>0</v>
      </c>
      <c r="I807" s="60">
        <v>0</v>
      </c>
      <c r="J807" s="60">
        <v>0</v>
      </c>
      <c r="K807" s="168">
        <v>0</v>
      </c>
      <c r="L807" s="60">
        <v>0</v>
      </c>
      <c r="M807" s="62">
        <v>829.3</v>
      </c>
      <c r="N807" s="172">
        <v>3842812.35</v>
      </c>
      <c r="O807" s="60">
        <v>0</v>
      </c>
      <c r="P807" s="60">
        <v>0</v>
      </c>
      <c r="Q807" s="60">
        <v>0</v>
      </c>
      <c r="R807" s="60">
        <v>0</v>
      </c>
      <c r="S807" s="60">
        <v>0</v>
      </c>
      <c r="T807" s="60">
        <v>0</v>
      </c>
      <c r="U807" s="60">
        <v>0</v>
      </c>
      <c r="V807" s="60">
        <v>0</v>
      </c>
      <c r="W807" s="60">
        <v>0</v>
      </c>
      <c r="X807" s="60">
        <v>0</v>
      </c>
      <c r="Y807" s="60">
        <v>0</v>
      </c>
      <c r="Z807" s="60">
        <v>0</v>
      </c>
      <c r="AA807" s="60">
        <v>0</v>
      </c>
      <c r="AB807" s="60">
        <v>0</v>
      </c>
      <c r="AC807" s="60">
        <v>0</v>
      </c>
      <c r="AD807" s="60">
        <v>0</v>
      </c>
      <c r="AE807" s="60">
        <v>0</v>
      </c>
      <c r="AF807" s="170" t="s">
        <v>257</v>
      </c>
      <c r="AG807" s="170">
        <v>2021</v>
      </c>
      <c r="AH807" s="63" t="s">
        <v>257</v>
      </c>
    </row>
    <row r="808" spans="1:34" ht="61.5" x14ac:dyDescent="0.85">
      <c r="A808" s="7">
        <v>1</v>
      </c>
      <c r="B808" s="59">
        <f>SUBTOTAL(103,$A$558:A808)</f>
        <v>246</v>
      </c>
      <c r="C808" s="160" t="s">
        <v>1804</v>
      </c>
      <c r="D808" s="60">
        <f t="shared" si="103"/>
        <v>77282.759999999995</v>
      </c>
      <c r="E808" s="60">
        <v>0</v>
      </c>
      <c r="F808" s="60">
        <v>0</v>
      </c>
      <c r="G808" s="60">
        <v>0</v>
      </c>
      <c r="H808" s="60">
        <v>0</v>
      </c>
      <c r="I808" s="60">
        <v>0</v>
      </c>
      <c r="J808" s="60">
        <v>0</v>
      </c>
      <c r="K808" s="168">
        <v>0</v>
      </c>
      <c r="L808" s="60">
        <v>0</v>
      </c>
      <c r="M808" s="60">
        <v>0</v>
      </c>
      <c r="N808" s="60">
        <v>0</v>
      </c>
      <c r="O808" s="60">
        <v>0</v>
      </c>
      <c r="P808" s="60">
        <v>0</v>
      </c>
      <c r="Q808" s="60">
        <v>0</v>
      </c>
      <c r="R808" s="60">
        <v>0</v>
      </c>
      <c r="S808" s="60">
        <v>0</v>
      </c>
      <c r="T808" s="60">
        <v>0</v>
      </c>
      <c r="U808" s="60">
        <v>0</v>
      </c>
      <c r="V808" s="60">
        <v>0</v>
      </c>
      <c r="W808" s="60">
        <v>0</v>
      </c>
      <c r="X808" s="60">
        <v>0</v>
      </c>
      <c r="Y808" s="60">
        <v>0</v>
      </c>
      <c r="Z808" s="60">
        <v>0</v>
      </c>
      <c r="AA808" s="60">
        <v>0</v>
      </c>
      <c r="AB808" s="60">
        <v>0</v>
      </c>
      <c r="AC808" s="60">
        <v>0</v>
      </c>
      <c r="AD808" s="62">
        <v>77282.759999999995</v>
      </c>
      <c r="AE808" s="60">
        <v>0</v>
      </c>
      <c r="AF808" s="170">
        <v>2021</v>
      </c>
      <c r="AG808" s="170" t="s">
        <v>257</v>
      </c>
      <c r="AH808" s="170" t="s">
        <v>257</v>
      </c>
    </row>
    <row r="809" spans="1:34" ht="61.5" x14ac:dyDescent="0.85">
      <c r="A809" s="7">
        <v>1</v>
      </c>
      <c r="B809" s="59">
        <f>SUBTOTAL(103,$A$558:A809)</f>
        <v>247</v>
      </c>
      <c r="C809" s="160" t="s">
        <v>2161</v>
      </c>
      <c r="D809" s="60">
        <f t="shared" si="103"/>
        <v>3996082.26</v>
      </c>
      <c r="E809" s="180">
        <v>0</v>
      </c>
      <c r="F809" s="180">
        <v>0</v>
      </c>
      <c r="G809" s="180">
        <v>0</v>
      </c>
      <c r="H809" s="180">
        <v>0</v>
      </c>
      <c r="I809" s="180">
        <v>0</v>
      </c>
      <c r="J809" s="180">
        <v>0</v>
      </c>
      <c r="K809" s="168">
        <v>0</v>
      </c>
      <c r="L809" s="60">
        <v>0</v>
      </c>
      <c r="M809" s="60">
        <v>514.91</v>
      </c>
      <c r="N809" s="62">
        <v>3883064</v>
      </c>
      <c r="O809" s="60">
        <v>0</v>
      </c>
      <c r="P809" s="60">
        <v>0</v>
      </c>
      <c r="Q809" s="60">
        <v>0</v>
      </c>
      <c r="R809" s="60">
        <v>0</v>
      </c>
      <c r="S809" s="60">
        <v>0</v>
      </c>
      <c r="T809" s="60">
        <v>0</v>
      </c>
      <c r="U809" s="60">
        <v>0</v>
      </c>
      <c r="V809" s="60">
        <v>0</v>
      </c>
      <c r="W809" s="60">
        <v>0</v>
      </c>
      <c r="X809" s="60">
        <v>0</v>
      </c>
      <c r="Y809" s="60">
        <v>0</v>
      </c>
      <c r="Z809" s="60">
        <v>0</v>
      </c>
      <c r="AA809" s="60">
        <v>0</v>
      </c>
      <c r="AB809" s="60">
        <v>0</v>
      </c>
      <c r="AC809" s="60">
        <v>40480.94</v>
      </c>
      <c r="AD809" s="62">
        <v>72537.320000000007</v>
      </c>
      <c r="AE809" s="60">
        <v>0</v>
      </c>
      <c r="AF809" s="170">
        <v>2021</v>
      </c>
      <c r="AG809" s="170">
        <v>2021</v>
      </c>
      <c r="AH809" s="63">
        <v>2021</v>
      </c>
    </row>
    <row r="810" spans="1:34" ht="61.5" x14ac:dyDescent="0.85">
      <c r="B810" s="160" t="s">
        <v>761</v>
      </c>
      <c r="C810" s="160"/>
      <c r="D810" s="177">
        <f t="shared" ref="D810:AE810" si="104">SUM(D811:D817)</f>
        <v>8413669.7699999996</v>
      </c>
      <c r="E810" s="60">
        <f t="shared" si="104"/>
        <v>105445.54</v>
      </c>
      <c r="F810" s="60">
        <f t="shared" si="104"/>
        <v>271674.86</v>
      </c>
      <c r="G810" s="60">
        <f t="shared" si="104"/>
        <v>565239.94999999995</v>
      </c>
      <c r="H810" s="60">
        <f t="shared" si="104"/>
        <v>133112.60999999999</v>
      </c>
      <c r="I810" s="60">
        <f t="shared" si="104"/>
        <v>0</v>
      </c>
      <c r="J810" s="60">
        <f t="shared" si="104"/>
        <v>0</v>
      </c>
      <c r="K810" s="168">
        <f t="shared" si="104"/>
        <v>0</v>
      </c>
      <c r="L810" s="60">
        <f t="shared" si="104"/>
        <v>0</v>
      </c>
      <c r="M810" s="60">
        <f t="shared" si="104"/>
        <v>2134.9</v>
      </c>
      <c r="N810" s="60">
        <f t="shared" si="104"/>
        <v>6695056.4500000002</v>
      </c>
      <c r="O810" s="60">
        <f t="shared" si="104"/>
        <v>0</v>
      </c>
      <c r="P810" s="60">
        <f t="shared" si="104"/>
        <v>0</v>
      </c>
      <c r="Q810" s="60">
        <f t="shared" si="104"/>
        <v>0</v>
      </c>
      <c r="R810" s="60">
        <f t="shared" si="104"/>
        <v>0</v>
      </c>
      <c r="S810" s="60">
        <f t="shared" si="104"/>
        <v>0</v>
      </c>
      <c r="T810" s="60">
        <f t="shared" si="104"/>
        <v>0</v>
      </c>
      <c r="U810" s="60">
        <f t="shared" si="104"/>
        <v>0</v>
      </c>
      <c r="V810" s="60">
        <f t="shared" si="104"/>
        <v>0</v>
      </c>
      <c r="W810" s="60">
        <f t="shared" si="104"/>
        <v>0</v>
      </c>
      <c r="X810" s="60">
        <f t="shared" si="104"/>
        <v>0</v>
      </c>
      <c r="Y810" s="60">
        <f t="shared" si="104"/>
        <v>0</v>
      </c>
      <c r="Z810" s="60">
        <f t="shared" si="104"/>
        <v>0</v>
      </c>
      <c r="AA810" s="60">
        <f t="shared" si="104"/>
        <v>0</v>
      </c>
      <c r="AB810" s="60">
        <f t="shared" si="104"/>
        <v>0</v>
      </c>
      <c r="AC810" s="60">
        <f t="shared" si="104"/>
        <v>62151.18</v>
      </c>
      <c r="AD810" s="60">
        <f t="shared" si="104"/>
        <v>580989.17999999993</v>
      </c>
      <c r="AE810" s="60">
        <f t="shared" si="104"/>
        <v>0</v>
      </c>
      <c r="AF810" s="54" t="s">
        <v>701</v>
      </c>
      <c r="AG810" s="54" t="s">
        <v>701</v>
      </c>
      <c r="AH810" s="55" t="s">
        <v>701</v>
      </c>
    </row>
    <row r="811" spans="1:34" ht="61.5" x14ac:dyDescent="0.85">
      <c r="A811" s="7">
        <v>1</v>
      </c>
      <c r="B811" s="59">
        <f>SUBTOTAL(103,$A$558:A811)</f>
        <v>248</v>
      </c>
      <c r="C811" s="160" t="s">
        <v>2915</v>
      </c>
      <c r="D811" s="60">
        <f t="shared" ref="D811:D817" si="105">E811+F811+G811+H811+I811+J811+L811+N811+P811+R811+T811+U811+V811+W811+X811+Y811+Z811+AA811+AB811+AC811+AD811+AE811</f>
        <v>3924906.3200000003</v>
      </c>
      <c r="E811" s="180">
        <v>0</v>
      </c>
      <c r="F811" s="180">
        <v>0</v>
      </c>
      <c r="G811" s="180">
        <v>0</v>
      </c>
      <c r="H811" s="180">
        <v>0</v>
      </c>
      <c r="I811" s="180">
        <v>0</v>
      </c>
      <c r="J811" s="180">
        <v>0</v>
      </c>
      <c r="K811" s="168">
        <v>0</v>
      </c>
      <c r="L811" s="60">
        <v>0</v>
      </c>
      <c r="M811" s="60">
        <v>1023.9</v>
      </c>
      <c r="N811" s="60">
        <v>3779726.45</v>
      </c>
      <c r="O811" s="60">
        <v>0</v>
      </c>
      <c r="P811" s="60">
        <v>0</v>
      </c>
      <c r="Q811" s="60">
        <v>0</v>
      </c>
      <c r="R811" s="60">
        <v>0</v>
      </c>
      <c r="S811" s="60">
        <v>0</v>
      </c>
      <c r="T811" s="60">
        <v>0</v>
      </c>
      <c r="U811" s="60">
        <v>0</v>
      </c>
      <c r="V811" s="60">
        <v>0</v>
      </c>
      <c r="W811" s="60">
        <v>0</v>
      </c>
      <c r="X811" s="60">
        <v>0</v>
      </c>
      <c r="Y811" s="60">
        <v>0</v>
      </c>
      <c r="Z811" s="60">
        <v>0</v>
      </c>
      <c r="AA811" s="60">
        <v>0</v>
      </c>
      <c r="AB811" s="60">
        <v>0</v>
      </c>
      <c r="AC811" s="62">
        <v>39403.65</v>
      </c>
      <c r="AD811" s="173">
        <v>105776.22</v>
      </c>
      <c r="AE811" s="60">
        <v>0</v>
      </c>
      <c r="AF811" s="170">
        <v>2021</v>
      </c>
      <c r="AG811" s="170">
        <v>2021</v>
      </c>
      <c r="AH811" s="63">
        <v>2021</v>
      </c>
    </row>
    <row r="812" spans="1:34" ht="61.5" x14ac:dyDescent="0.85">
      <c r="A812" s="7">
        <v>1</v>
      </c>
      <c r="B812" s="59">
        <f>SUBTOTAL(103,$A$558:A812)</f>
        <v>249</v>
      </c>
      <c r="C812" s="160" t="s">
        <v>2906</v>
      </c>
      <c r="D812" s="60">
        <f t="shared" si="105"/>
        <v>105626.75</v>
      </c>
      <c r="E812" s="180">
        <v>0</v>
      </c>
      <c r="F812" s="180">
        <v>0</v>
      </c>
      <c r="G812" s="180">
        <v>0</v>
      </c>
      <c r="H812" s="180">
        <v>0</v>
      </c>
      <c r="I812" s="180">
        <v>0</v>
      </c>
      <c r="J812" s="180">
        <v>0</v>
      </c>
      <c r="K812" s="168">
        <v>0</v>
      </c>
      <c r="L812" s="60">
        <v>0</v>
      </c>
      <c r="M812" s="60">
        <v>0</v>
      </c>
      <c r="N812" s="60">
        <v>0</v>
      </c>
      <c r="O812" s="60">
        <v>0</v>
      </c>
      <c r="P812" s="60">
        <v>0</v>
      </c>
      <c r="Q812" s="60">
        <v>0</v>
      </c>
      <c r="R812" s="60">
        <v>0</v>
      </c>
      <c r="S812" s="60">
        <v>0</v>
      </c>
      <c r="T812" s="60">
        <v>0</v>
      </c>
      <c r="U812" s="60">
        <v>0</v>
      </c>
      <c r="V812" s="60">
        <v>0</v>
      </c>
      <c r="W812" s="60">
        <v>0</v>
      </c>
      <c r="X812" s="60">
        <v>0</v>
      </c>
      <c r="Y812" s="60">
        <v>0</v>
      </c>
      <c r="Z812" s="60">
        <v>0</v>
      </c>
      <c r="AA812" s="60">
        <v>0</v>
      </c>
      <c r="AB812" s="60">
        <v>0</v>
      </c>
      <c r="AC812" s="60">
        <v>0</v>
      </c>
      <c r="AD812" s="173">
        <v>105626.75</v>
      </c>
      <c r="AE812" s="60">
        <v>0</v>
      </c>
      <c r="AF812" s="170">
        <v>2021</v>
      </c>
      <c r="AG812" s="170" t="s">
        <v>257</v>
      </c>
      <c r="AH812" s="170" t="s">
        <v>257</v>
      </c>
    </row>
    <row r="813" spans="1:34" ht="61.5" x14ac:dyDescent="0.85">
      <c r="A813" s="7">
        <v>1</v>
      </c>
      <c r="B813" s="59">
        <f>SUBTOTAL(103,$A$558:A813)</f>
        <v>250</v>
      </c>
      <c r="C813" s="160" t="s">
        <v>2909</v>
      </c>
      <c r="D813" s="60">
        <f t="shared" si="105"/>
        <v>176363.02</v>
      </c>
      <c r="E813" s="182">
        <v>0</v>
      </c>
      <c r="F813" s="182">
        <v>0</v>
      </c>
      <c r="G813" s="182">
        <v>0</v>
      </c>
      <c r="H813" s="182">
        <v>0</v>
      </c>
      <c r="I813" s="182">
        <v>0</v>
      </c>
      <c r="J813" s="182">
        <v>0</v>
      </c>
      <c r="K813" s="196">
        <v>0</v>
      </c>
      <c r="L813" s="182">
        <v>0</v>
      </c>
      <c r="M813" s="60">
        <v>0</v>
      </c>
      <c r="N813" s="60">
        <v>0</v>
      </c>
      <c r="O813" s="60">
        <v>0</v>
      </c>
      <c r="P813" s="60">
        <v>0</v>
      </c>
      <c r="Q813" s="60">
        <v>0</v>
      </c>
      <c r="R813" s="60">
        <v>0</v>
      </c>
      <c r="S813" s="60">
        <v>0</v>
      </c>
      <c r="T813" s="60">
        <v>0</v>
      </c>
      <c r="U813" s="60">
        <v>0</v>
      </c>
      <c r="V813" s="60">
        <v>0</v>
      </c>
      <c r="W813" s="60">
        <v>0</v>
      </c>
      <c r="X813" s="60">
        <v>0</v>
      </c>
      <c r="Y813" s="60">
        <v>0</v>
      </c>
      <c r="Z813" s="60">
        <v>0</v>
      </c>
      <c r="AA813" s="60">
        <v>0</v>
      </c>
      <c r="AB813" s="60">
        <v>0</v>
      </c>
      <c r="AC813" s="60">
        <v>0</v>
      </c>
      <c r="AD813" s="62">
        <v>176363.02</v>
      </c>
      <c r="AE813" s="60">
        <v>0</v>
      </c>
      <c r="AF813" s="170">
        <v>2021</v>
      </c>
      <c r="AG813" s="170" t="s">
        <v>257</v>
      </c>
      <c r="AH813" s="170" t="s">
        <v>257</v>
      </c>
    </row>
    <row r="814" spans="1:34" ht="61.5" x14ac:dyDescent="0.85">
      <c r="A814" s="7">
        <v>1</v>
      </c>
      <c r="B814" s="59">
        <f>SUBTOTAL(103,$A$558:A814)</f>
        <v>251</v>
      </c>
      <c r="C814" s="160" t="s">
        <v>2916</v>
      </c>
      <c r="D814" s="60">
        <f t="shared" si="105"/>
        <v>1081603.1399999999</v>
      </c>
      <c r="E814" s="172">
        <v>105445.54</v>
      </c>
      <c r="F814" s="172">
        <v>271674.86</v>
      </c>
      <c r="G814" s="172">
        <v>565239.94999999995</v>
      </c>
      <c r="H814" s="172">
        <v>133112.60999999999</v>
      </c>
      <c r="I814" s="180">
        <v>0</v>
      </c>
      <c r="J814" s="180">
        <v>0</v>
      </c>
      <c r="K814" s="168">
        <v>0</v>
      </c>
      <c r="L814" s="60">
        <v>0</v>
      </c>
      <c r="M814" s="60">
        <v>0</v>
      </c>
      <c r="N814" s="60">
        <v>0</v>
      </c>
      <c r="O814" s="180">
        <v>0</v>
      </c>
      <c r="P814" s="180">
        <v>0</v>
      </c>
      <c r="Q814" s="60">
        <v>0</v>
      </c>
      <c r="R814" s="60">
        <v>0</v>
      </c>
      <c r="S814" s="60">
        <v>0</v>
      </c>
      <c r="T814" s="60">
        <v>0</v>
      </c>
      <c r="U814" s="60">
        <v>0</v>
      </c>
      <c r="V814" s="60">
        <v>0</v>
      </c>
      <c r="W814" s="60">
        <v>0</v>
      </c>
      <c r="X814" s="60">
        <v>0</v>
      </c>
      <c r="Y814" s="60">
        <v>0</v>
      </c>
      <c r="Z814" s="60">
        <v>0</v>
      </c>
      <c r="AA814" s="60">
        <v>0</v>
      </c>
      <c r="AB814" s="60">
        <v>0</v>
      </c>
      <c r="AC814" s="62">
        <v>6130.18</v>
      </c>
      <c r="AD814" s="60">
        <v>0</v>
      </c>
      <c r="AE814" s="60">
        <v>0</v>
      </c>
      <c r="AF814" s="170" t="s">
        <v>257</v>
      </c>
      <c r="AG814" s="170">
        <v>2021</v>
      </c>
      <c r="AH814" s="63">
        <v>2021</v>
      </c>
    </row>
    <row r="815" spans="1:34" ht="61.5" x14ac:dyDescent="0.85">
      <c r="A815" s="7">
        <v>1</v>
      </c>
      <c r="B815" s="59">
        <f>SUBTOTAL(103,$A$558:A815)</f>
        <v>252</v>
      </c>
      <c r="C815" s="160" t="s">
        <v>2907</v>
      </c>
      <c r="D815" s="60">
        <f t="shared" si="105"/>
        <v>84899.97</v>
      </c>
      <c r="E815" s="182">
        <v>0</v>
      </c>
      <c r="F815" s="182">
        <v>0</v>
      </c>
      <c r="G815" s="182">
        <v>0</v>
      </c>
      <c r="H815" s="182">
        <v>0</v>
      </c>
      <c r="I815" s="182">
        <v>0</v>
      </c>
      <c r="J815" s="182">
        <v>0</v>
      </c>
      <c r="K815" s="196">
        <v>0</v>
      </c>
      <c r="L815" s="182">
        <v>0</v>
      </c>
      <c r="M815" s="60">
        <v>0</v>
      </c>
      <c r="N815" s="60">
        <v>0</v>
      </c>
      <c r="O815" s="60">
        <v>0</v>
      </c>
      <c r="P815" s="60">
        <v>0</v>
      </c>
      <c r="Q815" s="60">
        <v>0</v>
      </c>
      <c r="R815" s="60">
        <v>0</v>
      </c>
      <c r="S815" s="60">
        <v>0</v>
      </c>
      <c r="T815" s="60">
        <v>0</v>
      </c>
      <c r="U815" s="60">
        <v>0</v>
      </c>
      <c r="V815" s="60">
        <v>0</v>
      </c>
      <c r="W815" s="60">
        <v>0</v>
      </c>
      <c r="X815" s="60">
        <v>0</v>
      </c>
      <c r="Y815" s="60">
        <v>0</v>
      </c>
      <c r="Z815" s="60">
        <v>0</v>
      </c>
      <c r="AA815" s="60">
        <v>0</v>
      </c>
      <c r="AB815" s="60">
        <v>0</v>
      </c>
      <c r="AC815" s="60">
        <v>0</v>
      </c>
      <c r="AD815" s="62">
        <v>84899.97</v>
      </c>
      <c r="AE815" s="60">
        <v>0</v>
      </c>
      <c r="AF815" s="170">
        <v>2021</v>
      </c>
      <c r="AG815" s="170" t="s">
        <v>257</v>
      </c>
      <c r="AH815" s="170" t="s">
        <v>257</v>
      </c>
    </row>
    <row r="816" spans="1:34" ht="61.5" x14ac:dyDescent="0.85">
      <c r="A816" s="7">
        <v>1</v>
      </c>
      <c r="B816" s="59">
        <f>SUBTOTAL(103,$A$558:A816)</f>
        <v>253</v>
      </c>
      <c r="C816" s="160" t="s">
        <v>2908</v>
      </c>
      <c r="D816" s="60">
        <f t="shared" si="105"/>
        <v>108323.22</v>
      </c>
      <c r="E816" s="182">
        <v>0</v>
      </c>
      <c r="F816" s="182">
        <v>0</v>
      </c>
      <c r="G816" s="182">
        <v>0</v>
      </c>
      <c r="H816" s="182">
        <v>0</v>
      </c>
      <c r="I816" s="182">
        <v>0</v>
      </c>
      <c r="J816" s="182">
        <v>0</v>
      </c>
      <c r="K816" s="196">
        <v>0</v>
      </c>
      <c r="L816" s="182">
        <v>0</v>
      </c>
      <c r="M816" s="60">
        <v>0</v>
      </c>
      <c r="N816" s="60">
        <v>0</v>
      </c>
      <c r="O816" s="60">
        <v>0</v>
      </c>
      <c r="P816" s="60">
        <v>0</v>
      </c>
      <c r="Q816" s="60">
        <v>0</v>
      </c>
      <c r="R816" s="60">
        <v>0</v>
      </c>
      <c r="S816" s="60">
        <v>0</v>
      </c>
      <c r="T816" s="60">
        <v>0</v>
      </c>
      <c r="U816" s="60">
        <v>0</v>
      </c>
      <c r="V816" s="60">
        <v>0</v>
      </c>
      <c r="W816" s="60">
        <v>0</v>
      </c>
      <c r="X816" s="60">
        <v>0</v>
      </c>
      <c r="Y816" s="60">
        <v>0</v>
      </c>
      <c r="Z816" s="60">
        <v>0</v>
      </c>
      <c r="AA816" s="60">
        <v>0</v>
      </c>
      <c r="AB816" s="60">
        <v>0</v>
      </c>
      <c r="AC816" s="60">
        <v>0</v>
      </c>
      <c r="AD816" s="62">
        <v>108323.22</v>
      </c>
      <c r="AE816" s="60">
        <v>0</v>
      </c>
      <c r="AF816" s="170">
        <v>2021</v>
      </c>
      <c r="AG816" s="170" t="s">
        <v>257</v>
      </c>
      <c r="AH816" s="170" t="s">
        <v>257</v>
      </c>
    </row>
    <row r="817" spans="1:34" ht="61.5" x14ac:dyDescent="0.85">
      <c r="A817" s="7">
        <v>1</v>
      </c>
      <c r="B817" s="59">
        <f>SUBTOTAL(103,$A$558:A817)</f>
        <v>254</v>
      </c>
      <c r="C817" s="160" t="s">
        <v>2917</v>
      </c>
      <c r="D817" s="60">
        <f t="shared" si="105"/>
        <v>2931947.35</v>
      </c>
      <c r="E817" s="180">
        <v>0</v>
      </c>
      <c r="F817" s="180">
        <v>0</v>
      </c>
      <c r="G817" s="180">
        <v>0</v>
      </c>
      <c r="H817" s="180">
        <v>0</v>
      </c>
      <c r="I817" s="180">
        <v>0</v>
      </c>
      <c r="J817" s="180">
        <v>0</v>
      </c>
      <c r="K817" s="168">
        <v>0</v>
      </c>
      <c r="L817" s="60">
        <v>0</v>
      </c>
      <c r="M817" s="62">
        <v>1111</v>
      </c>
      <c r="N817" s="62">
        <v>2915330</v>
      </c>
      <c r="O817" s="180">
        <v>0</v>
      </c>
      <c r="P817" s="180">
        <v>0</v>
      </c>
      <c r="Q817" s="60">
        <v>0</v>
      </c>
      <c r="R817" s="60">
        <v>0</v>
      </c>
      <c r="S817" s="60">
        <v>0</v>
      </c>
      <c r="T817" s="60">
        <v>0</v>
      </c>
      <c r="U817" s="60">
        <v>0</v>
      </c>
      <c r="V817" s="60">
        <v>0</v>
      </c>
      <c r="W817" s="60">
        <v>0</v>
      </c>
      <c r="X817" s="60">
        <v>0</v>
      </c>
      <c r="Y817" s="60">
        <v>0</v>
      </c>
      <c r="Z817" s="60">
        <v>0</v>
      </c>
      <c r="AA817" s="60">
        <v>0</v>
      </c>
      <c r="AB817" s="60">
        <v>0</v>
      </c>
      <c r="AC817" s="62">
        <v>16617.349999999999</v>
      </c>
      <c r="AD817" s="60">
        <v>0</v>
      </c>
      <c r="AE817" s="60">
        <v>0</v>
      </c>
      <c r="AF817" s="170" t="s">
        <v>257</v>
      </c>
      <c r="AG817" s="170">
        <v>2021</v>
      </c>
      <c r="AH817" s="63">
        <v>2021</v>
      </c>
    </row>
    <row r="818" spans="1:34" ht="61.5" x14ac:dyDescent="0.85">
      <c r="B818" s="160" t="s">
        <v>762</v>
      </c>
      <c r="C818" s="160"/>
      <c r="D818" s="177">
        <f t="shared" ref="D818:AE818" si="106">SUM(D819:D823)</f>
        <v>7749775.5699999994</v>
      </c>
      <c r="E818" s="60">
        <f t="shared" si="106"/>
        <v>0</v>
      </c>
      <c r="F818" s="60">
        <f t="shared" si="106"/>
        <v>0</v>
      </c>
      <c r="G818" s="60">
        <f t="shared" si="106"/>
        <v>0</v>
      </c>
      <c r="H818" s="60">
        <f t="shared" si="106"/>
        <v>0</v>
      </c>
      <c r="I818" s="60">
        <f t="shared" si="106"/>
        <v>0</v>
      </c>
      <c r="J818" s="60">
        <f t="shared" si="106"/>
        <v>0</v>
      </c>
      <c r="K818" s="168">
        <f t="shared" si="106"/>
        <v>0</v>
      </c>
      <c r="L818" s="60">
        <f t="shared" si="106"/>
        <v>0</v>
      </c>
      <c r="M818" s="60">
        <f t="shared" si="106"/>
        <v>1222.7</v>
      </c>
      <c r="N818" s="60">
        <f t="shared" si="106"/>
        <v>7210619</v>
      </c>
      <c r="O818" s="60">
        <f t="shared" si="106"/>
        <v>0</v>
      </c>
      <c r="P818" s="60">
        <f t="shared" si="106"/>
        <v>0</v>
      </c>
      <c r="Q818" s="60">
        <f t="shared" si="106"/>
        <v>0</v>
      </c>
      <c r="R818" s="60">
        <f t="shared" si="106"/>
        <v>0</v>
      </c>
      <c r="S818" s="60">
        <f t="shared" si="106"/>
        <v>0</v>
      </c>
      <c r="T818" s="60">
        <f t="shared" si="106"/>
        <v>0</v>
      </c>
      <c r="U818" s="60">
        <f t="shared" si="106"/>
        <v>0</v>
      </c>
      <c r="V818" s="60">
        <f t="shared" si="106"/>
        <v>0</v>
      </c>
      <c r="W818" s="60">
        <f t="shared" si="106"/>
        <v>0</v>
      </c>
      <c r="X818" s="60">
        <f t="shared" si="106"/>
        <v>0</v>
      </c>
      <c r="Y818" s="60">
        <f t="shared" si="106"/>
        <v>0</v>
      </c>
      <c r="Z818" s="60">
        <f t="shared" si="106"/>
        <v>0</v>
      </c>
      <c r="AA818" s="60">
        <f t="shared" si="106"/>
        <v>0</v>
      </c>
      <c r="AB818" s="60">
        <f t="shared" si="106"/>
        <v>0</v>
      </c>
      <c r="AC818" s="60">
        <f t="shared" si="106"/>
        <v>75170.709999999992</v>
      </c>
      <c r="AD818" s="60">
        <f t="shared" si="106"/>
        <v>463985.86000000004</v>
      </c>
      <c r="AE818" s="60">
        <f t="shared" si="106"/>
        <v>0</v>
      </c>
      <c r="AF818" s="54" t="s">
        <v>701</v>
      </c>
      <c r="AG818" s="54" t="s">
        <v>701</v>
      </c>
      <c r="AH818" s="55" t="s">
        <v>701</v>
      </c>
    </row>
    <row r="819" spans="1:34" ht="61.5" x14ac:dyDescent="0.85">
      <c r="A819" s="7">
        <v>1</v>
      </c>
      <c r="B819" s="59">
        <f>SUBTOTAL(103,$A$558:A819)</f>
        <v>255</v>
      </c>
      <c r="C819" s="160" t="s">
        <v>599</v>
      </c>
      <c r="D819" s="60">
        <f>E819+F819+G819+H819+I819+J819+L819+N819+P819+R819+T819+U819+V819+W819+X819+Y819+Z819+AA819+AB819+AC819+AD819+AE819</f>
        <v>55616.21</v>
      </c>
      <c r="E819" s="180">
        <v>0</v>
      </c>
      <c r="F819" s="180">
        <v>0</v>
      </c>
      <c r="G819" s="180">
        <v>0</v>
      </c>
      <c r="H819" s="180">
        <v>0</v>
      </c>
      <c r="I819" s="180">
        <v>0</v>
      </c>
      <c r="J819" s="180">
        <v>0</v>
      </c>
      <c r="K819" s="168">
        <v>0</v>
      </c>
      <c r="L819" s="60">
        <v>0</v>
      </c>
      <c r="M819" s="60">
        <v>0</v>
      </c>
      <c r="N819" s="60">
        <v>0</v>
      </c>
      <c r="O819" s="60">
        <v>0</v>
      </c>
      <c r="P819" s="60">
        <v>0</v>
      </c>
      <c r="Q819" s="60">
        <v>0</v>
      </c>
      <c r="R819" s="60">
        <v>0</v>
      </c>
      <c r="S819" s="60">
        <v>0</v>
      </c>
      <c r="T819" s="60">
        <v>0</v>
      </c>
      <c r="U819" s="60">
        <v>0</v>
      </c>
      <c r="V819" s="60">
        <v>0</v>
      </c>
      <c r="W819" s="60">
        <v>0</v>
      </c>
      <c r="X819" s="60">
        <v>0</v>
      </c>
      <c r="Y819" s="60">
        <v>0</v>
      </c>
      <c r="Z819" s="60">
        <v>0</v>
      </c>
      <c r="AA819" s="60">
        <v>0</v>
      </c>
      <c r="AB819" s="60">
        <v>0</v>
      </c>
      <c r="AC819" s="60">
        <v>0</v>
      </c>
      <c r="AD819" s="173">
        <v>55616.21</v>
      </c>
      <c r="AE819" s="60">
        <v>0</v>
      </c>
      <c r="AF819" s="170">
        <v>2021</v>
      </c>
      <c r="AG819" s="170" t="s">
        <v>257</v>
      </c>
      <c r="AH819" s="170" t="s">
        <v>257</v>
      </c>
    </row>
    <row r="820" spans="1:34" ht="61.5" x14ac:dyDescent="0.85">
      <c r="A820" s="7">
        <v>1</v>
      </c>
      <c r="B820" s="59">
        <f>SUBTOTAL(103,$A$558:A820)</f>
        <v>256</v>
      </c>
      <c r="C820" s="160" t="s">
        <v>1815</v>
      </c>
      <c r="D820" s="60">
        <f>E820+F820+G820+H820+I820+J820+L820+N820+P820+R820+T820+U820+V820+W820+X820+Y820+Z820+AA820+AB820+AC820+AD820+AE820</f>
        <v>84253.17</v>
      </c>
      <c r="E820" s="180">
        <v>0</v>
      </c>
      <c r="F820" s="180">
        <v>0</v>
      </c>
      <c r="G820" s="180">
        <v>0</v>
      </c>
      <c r="H820" s="180">
        <v>0</v>
      </c>
      <c r="I820" s="180">
        <v>0</v>
      </c>
      <c r="J820" s="180">
        <v>0</v>
      </c>
      <c r="K820" s="168">
        <v>0</v>
      </c>
      <c r="L820" s="60">
        <v>0</v>
      </c>
      <c r="M820" s="60">
        <v>0</v>
      </c>
      <c r="N820" s="60">
        <v>0</v>
      </c>
      <c r="O820" s="60">
        <v>0</v>
      </c>
      <c r="P820" s="60">
        <v>0</v>
      </c>
      <c r="Q820" s="60">
        <v>0</v>
      </c>
      <c r="R820" s="60">
        <v>0</v>
      </c>
      <c r="S820" s="60">
        <v>0</v>
      </c>
      <c r="T820" s="60">
        <v>0</v>
      </c>
      <c r="U820" s="60">
        <v>0</v>
      </c>
      <c r="V820" s="60">
        <v>0</v>
      </c>
      <c r="W820" s="60">
        <v>0</v>
      </c>
      <c r="X820" s="60">
        <v>0</v>
      </c>
      <c r="Y820" s="60">
        <v>0</v>
      </c>
      <c r="Z820" s="60">
        <v>0</v>
      </c>
      <c r="AA820" s="60">
        <v>0</v>
      </c>
      <c r="AB820" s="60">
        <v>0</v>
      </c>
      <c r="AC820" s="60">
        <v>0</v>
      </c>
      <c r="AD820" s="62">
        <v>84253.17</v>
      </c>
      <c r="AE820" s="60">
        <v>0</v>
      </c>
      <c r="AF820" s="170">
        <v>2021</v>
      </c>
      <c r="AG820" s="170" t="s">
        <v>257</v>
      </c>
      <c r="AH820" s="170" t="s">
        <v>257</v>
      </c>
    </row>
    <row r="821" spans="1:34" ht="61.5" x14ac:dyDescent="0.85">
      <c r="A821" s="7">
        <v>1</v>
      </c>
      <c r="B821" s="59">
        <f>SUBTOTAL(103,$A$558:A821)</f>
        <v>257</v>
      </c>
      <c r="C821" s="160" t="s">
        <v>600</v>
      </c>
      <c r="D821" s="60">
        <f>E821+F821+G821+H821+I821+J821+L821+N821+P821+R821+T821+U821+V821+W821+X821+Y821+Z821+AA821+AB821+AC821+AD821+AE821</f>
        <v>3479820.42</v>
      </c>
      <c r="E821" s="180">
        <v>0</v>
      </c>
      <c r="F821" s="180">
        <v>0</v>
      </c>
      <c r="G821" s="180">
        <v>0</v>
      </c>
      <c r="H821" s="180">
        <v>0</v>
      </c>
      <c r="I821" s="180">
        <v>0</v>
      </c>
      <c r="J821" s="180">
        <v>0</v>
      </c>
      <c r="K821" s="168">
        <v>0</v>
      </c>
      <c r="L821" s="60">
        <v>0</v>
      </c>
      <c r="M821" s="60">
        <v>611</v>
      </c>
      <c r="N821" s="60">
        <v>3339170</v>
      </c>
      <c r="O821" s="60">
        <v>0</v>
      </c>
      <c r="P821" s="60">
        <v>0</v>
      </c>
      <c r="Q821" s="60">
        <v>0</v>
      </c>
      <c r="R821" s="60">
        <v>0</v>
      </c>
      <c r="S821" s="60">
        <v>0</v>
      </c>
      <c r="T821" s="60">
        <v>0</v>
      </c>
      <c r="U821" s="60">
        <v>0</v>
      </c>
      <c r="V821" s="60">
        <v>0</v>
      </c>
      <c r="W821" s="60">
        <v>0</v>
      </c>
      <c r="X821" s="60">
        <v>0</v>
      </c>
      <c r="Y821" s="60">
        <v>0</v>
      </c>
      <c r="Z821" s="60">
        <v>0</v>
      </c>
      <c r="AA821" s="60">
        <v>0</v>
      </c>
      <c r="AB821" s="60">
        <v>0</v>
      </c>
      <c r="AC821" s="62">
        <v>34810.85</v>
      </c>
      <c r="AD821" s="173">
        <v>105839.57</v>
      </c>
      <c r="AE821" s="60">
        <v>0</v>
      </c>
      <c r="AF821" s="170">
        <v>2021</v>
      </c>
      <c r="AG821" s="170">
        <v>2021</v>
      </c>
      <c r="AH821" s="63">
        <v>2021</v>
      </c>
    </row>
    <row r="822" spans="1:34" ht="61.5" x14ac:dyDescent="0.85">
      <c r="A822" s="7">
        <v>1</v>
      </c>
      <c r="B822" s="59">
        <f>SUBTOTAL(103,$A$558:A822)</f>
        <v>258</v>
      </c>
      <c r="C822" s="160" t="s">
        <v>598</v>
      </c>
      <c r="D822" s="60">
        <f>E822+F822+G822+H822+I822+J822+L822+N822+P822+R822+T822+U822+V822+W822+X822+Y822+Z822+AA822+AB822+AC822+AD822+AE822</f>
        <v>4016621.56</v>
      </c>
      <c r="E822" s="180">
        <v>0</v>
      </c>
      <c r="F822" s="180">
        <v>0</v>
      </c>
      <c r="G822" s="180">
        <v>0</v>
      </c>
      <c r="H822" s="180">
        <v>0</v>
      </c>
      <c r="I822" s="180">
        <v>0</v>
      </c>
      <c r="J822" s="180">
        <v>0</v>
      </c>
      <c r="K822" s="168">
        <v>0</v>
      </c>
      <c r="L822" s="60">
        <v>0</v>
      </c>
      <c r="M822" s="60">
        <v>611.70000000000005</v>
      </c>
      <c r="N822" s="62">
        <v>3871449</v>
      </c>
      <c r="O822" s="60">
        <v>0</v>
      </c>
      <c r="P822" s="60">
        <v>0</v>
      </c>
      <c r="Q822" s="60">
        <v>0</v>
      </c>
      <c r="R822" s="60">
        <v>0</v>
      </c>
      <c r="S822" s="60">
        <v>0</v>
      </c>
      <c r="T822" s="60">
        <v>0</v>
      </c>
      <c r="U822" s="60">
        <v>0</v>
      </c>
      <c r="V822" s="60">
        <v>0</v>
      </c>
      <c r="W822" s="60">
        <v>0</v>
      </c>
      <c r="X822" s="60">
        <v>0</v>
      </c>
      <c r="Y822" s="60">
        <v>0</v>
      </c>
      <c r="Z822" s="60">
        <v>0</v>
      </c>
      <c r="AA822" s="60">
        <v>0</v>
      </c>
      <c r="AB822" s="60">
        <v>0</v>
      </c>
      <c r="AC822" s="62">
        <v>40359.86</v>
      </c>
      <c r="AD822" s="173">
        <v>104812.7</v>
      </c>
      <c r="AE822" s="60">
        <v>0</v>
      </c>
      <c r="AF822" s="170">
        <v>2021</v>
      </c>
      <c r="AG822" s="170">
        <v>2021</v>
      </c>
      <c r="AH822" s="63">
        <v>2021</v>
      </c>
    </row>
    <row r="823" spans="1:34" ht="61.5" x14ac:dyDescent="0.85">
      <c r="A823" s="7">
        <v>1</v>
      </c>
      <c r="B823" s="59">
        <f>SUBTOTAL(103,$A$558:A823)</f>
        <v>259</v>
      </c>
      <c r="C823" s="160" t="s">
        <v>1816</v>
      </c>
      <c r="D823" s="60">
        <f>E823+F823+G823+H823+I823+J823+L823+N823+P823+R823+T823+U823+V823+W823+X823+Y823+Z823+AA823+AB823+AC823+AD823+AE823</f>
        <v>113464.21</v>
      </c>
      <c r="E823" s="180">
        <v>0</v>
      </c>
      <c r="F823" s="180">
        <v>0</v>
      </c>
      <c r="G823" s="180">
        <v>0</v>
      </c>
      <c r="H823" s="180">
        <v>0</v>
      </c>
      <c r="I823" s="180">
        <v>0</v>
      </c>
      <c r="J823" s="180">
        <v>0</v>
      </c>
      <c r="K823" s="168">
        <v>0</v>
      </c>
      <c r="L823" s="60">
        <v>0</v>
      </c>
      <c r="M823" s="60">
        <v>0</v>
      </c>
      <c r="N823" s="180">
        <v>0</v>
      </c>
      <c r="O823" s="60">
        <v>0</v>
      </c>
      <c r="P823" s="60">
        <v>0</v>
      </c>
      <c r="Q823" s="60">
        <v>0</v>
      </c>
      <c r="R823" s="60">
        <v>0</v>
      </c>
      <c r="S823" s="60">
        <v>0</v>
      </c>
      <c r="T823" s="60">
        <v>0</v>
      </c>
      <c r="U823" s="60">
        <v>0</v>
      </c>
      <c r="V823" s="60">
        <v>0</v>
      </c>
      <c r="W823" s="60">
        <v>0</v>
      </c>
      <c r="X823" s="60">
        <v>0</v>
      </c>
      <c r="Y823" s="60">
        <v>0</v>
      </c>
      <c r="Z823" s="60">
        <v>0</v>
      </c>
      <c r="AA823" s="60">
        <v>0</v>
      </c>
      <c r="AB823" s="60">
        <v>0</v>
      </c>
      <c r="AC823" s="60">
        <v>0</v>
      </c>
      <c r="AD823" s="62">
        <v>113464.21</v>
      </c>
      <c r="AE823" s="60">
        <v>0</v>
      </c>
      <c r="AF823" s="170">
        <v>2021</v>
      </c>
      <c r="AG823" s="170" t="s">
        <v>257</v>
      </c>
      <c r="AH823" s="170" t="s">
        <v>257</v>
      </c>
    </row>
    <row r="824" spans="1:34" ht="61.5" x14ac:dyDescent="0.85">
      <c r="B824" s="160" t="s">
        <v>763</v>
      </c>
      <c r="C824" s="160"/>
      <c r="D824" s="177">
        <f t="shared" ref="D824:AE824" si="107">SUM(D825:D828)</f>
        <v>8707199.9100000001</v>
      </c>
      <c r="E824" s="60">
        <f t="shared" si="107"/>
        <v>0</v>
      </c>
      <c r="F824" s="60">
        <f t="shared" si="107"/>
        <v>0</v>
      </c>
      <c r="G824" s="60">
        <f t="shared" si="107"/>
        <v>0</v>
      </c>
      <c r="H824" s="60">
        <f t="shared" si="107"/>
        <v>0</v>
      </c>
      <c r="I824" s="60">
        <f t="shared" si="107"/>
        <v>0</v>
      </c>
      <c r="J824" s="60">
        <f t="shared" si="107"/>
        <v>0</v>
      </c>
      <c r="K824" s="168">
        <f t="shared" si="107"/>
        <v>0</v>
      </c>
      <c r="L824" s="60">
        <f t="shared" si="107"/>
        <v>0</v>
      </c>
      <c r="M824" s="60">
        <f t="shared" si="107"/>
        <v>1697.63</v>
      </c>
      <c r="N824" s="60">
        <f t="shared" si="107"/>
        <v>8179016</v>
      </c>
      <c r="O824" s="60">
        <f t="shared" si="107"/>
        <v>0</v>
      </c>
      <c r="P824" s="60">
        <f t="shared" si="107"/>
        <v>0</v>
      </c>
      <c r="Q824" s="60">
        <f t="shared" si="107"/>
        <v>0</v>
      </c>
      <c r="R824" s="60">
        <f t="shared" si="107"/>
        <v>0</v>
      </c>
      <c r="S824" s="60">
        <f t="shared" si="107"/>
        <v>0</v>
      </c>
      <c r="T824" s="60">
        <f t="shared" si="107"/>
        <v>0</v>
      </c>
      <c r="U824" s="60">
        <f t="shared" si="107"/>
        <v>0</v>
      </c>
      <c r="V824" s="60">
        <f t="shared" si="107"/>
        <v>0</v>
      </c>
      <c r="W824" s="60">
        <f t="shared" si="107"/>
        <v>0</v>
      </c>
      <c r="X824" s="60">
        <f t="shared" si="107"/>
        <v>0</v>
      </c>
      <c r="Y824" s="60">
        <f t="shared" si="107"/>
        <v>0</v>
      </c>
      <c r="Z824" s="60">
        <f t="shared" si="107"/>
        <v>0</v>
      </c>
      <c r="AA824" s="60">
        <f t="shared" si="107"/>
        <v>0</v>
      </c>
      <c r="AB824" s="60">
        <f t="shared" si="107"/>
        <v>0</v>
      </c>
      <c r="AC824" s="60">
        <f t="shared" si="107"/>
        <v>85266.239999999991</v>
      </c>
      <c r="AD824" s="60">
        <f t="shared" si="107"/>
        <v>442917.66999999993</v>
      </c>
      <c r="AE824" s="60">
        <f t="shared" si="107"/>
        <v>0</v>
      </c>
      <c r="AF824" s="54" t="s">
        <v>701</v>
      </c>
      <c r="AG824" s="54" t="s">
        <v>701</v>
      </c>
      <c r="AH824" s="55" t="s">
        <v>701</v>
      </c>
    </row>
    <row r="825" spans="1:34" ht="61.5" x14ac:dyDescent="0.85">
      <c r="A825" s="7">
        <v>1</v>
      </c>
      <c r="B825" s="59">
        <f>SUBTOTAL(103,$A$558:A825)</f>
        <v>260</v>
      </c>
      <c r="C825" s="160" t="s">
        <v>605</v>
      </c>
      <c r="D825" s="60">
        <f>E825+F825+G825+H825+I825+J825+L825+N825+P825+R825+T825+U825+V825+W825+X825+Y825+Z825+AA825+AB825+AC825+AD825+AE825</f>
        <v>4280600.08</v>
      </c>
      <c r="E825" s="180">
        <v>0</v>
      </c>
      <c r="F825" s="180">
        <v>0</v>
      </c>
      <c r="G825" s="180">
        <v>0</v>
      </c>
      <c r="H825" s="180">
        <v>0</v>
      </c>
      <c r="I825" s="180">
        <v>0</v>
      </c>
      <c r="J825" s="180">
        <v>0</v>
      </c>
      <c r="K825" s="168">
        <v>0</v>
      </c>
      <c r="L825" s="60">
        <v>0</v>
      </c>
      <c r="M825" s="60">
        <v>632.34</v>
      </c>
      <c r="N825" s="169">
        <v>4131723</v>
      </c>
      <c r="O825" s="60">
        <v>0</v>
      </c>
      <c r="P825" s="60">
        <v>0</v>
      </c>
      <c r="Q825" s="60">
        <v>0</v>
      </c>
      <c r="R825" s="60">
        <v>0</v>
      </c>
      <c r="S825" s="60">
        <v>0</v>
      </c>
      <c r="T825" s="60">
        <v>0</v>
      </c>
      <c r="U825" s="60">
        <v>0</v>
      </c>
      <c r="V825" s="60">
        <v>0</v>
      </c>
      <c r="W825" s="60">
        <v>0</v>
      </c>
      <c r="X825" s="60">
        <v>0</v>
      </c>
      <c r="Y825" s="60">
        <v>0</v>
      </c>
      <c r="Z825" s="60">
        <v>0</v>
      </c>
      <c r="AA825" s="60">
        <v>0</v>
      </c>
      <c r="AB825" s="60">
        <v>0</v>
      </c>
      <c r="AC825" s="60">
        <v>43073.21</v>
      </c>
      <c r="AD825" s="173">
        <v>105803.87</v>
      </c>
      <c r="AE825" s="60">
        <v>0</v>
      </c>
      <c r="AF825" s="170">
        <v>2021</v>
      </c>
      <c r="AG825" s="170">
        <v>2021</v>
      </c>
      <c r="AH825" s="170">
        <v>2021</v>
      </c>
    </row>
    <row r="826" spans="1:34" ht="61.5" x14ac:dyDescent="0.85">
      <c r="A826" s="7">
        <v>1</v>
      </c>
      <c r="B826" s="59">
        <f>SUBTOTAL(103,$A$558:A826)</f>
        <v>261</v>
      </c>
      <c r="C826" s="160" t="s">
        <v>608</v>
      </c>
      <c r="D826" s="60">
        <f>E826+F826+G826+H826+I826+J826+L826+N826+P826+R826+T826+U826+V826+W826+X826+Y826+Z826+AA826+AB826+AC826+AD826+AE826</f>
        <v>4194843.93</v>
      </c>
      <c r="E826" s="182">
        <v>0</v>
      </c>
      <c r="F826" s="182">
        <v>0</v>
      </c>
      <c r="G826" s="182">
        <v>0</v>
      </c>
      <c r="H826" s="182">
        <v>0</v>
      </c>
      <c r="I826" s="182">
        <v>0</v>
      </c>
      <c r="J826" s="182">
        <v>0</v>
      </c>
      <c r="K826" s="196">
        <v>0</v>
      </c>
      <c r="L826" s="182">
        <v>0</v>
      </c>
      <c r="M826" s="60">
        <v>1065.29</v>
      </c>
      <c r="N826" s="62">
        <v>4047293</v>
      </c>
      <c r="O826" s="60">
        <v>0</v>
      </c>
      <c r="P826" s="60">
        <v>0</v>
      </c>
      <c r="Q826" s="60">
        <v>0</v>
      </c>
      <c r="R826" s="60">
        <v>0</v>
      </c>
      <c r="S826" s="60">
        <v>0</v>
      </c>
      <c r="T826" s="60">
        <v>0</v>
      </c>
      <c r="U826" s="60">
        <v>0</v>
      </c>
      <c r="V826" s="60">
        <v>0</v>
      </c>
      <c r="W826" s="60">
        <v>0</v>
      </c>
      <c r="X826" s="60">
        <v>0</v>
      </c>
      <c r="Y826" s="60">
        <v>0</v>
      </c>
      <c r="Z826" s="60">
        <v>0</v>
      </c>
      <c r="AA826" s="60">
        <v>0</v>
      </c>
      <c r="AB826" s="60">
        <v>0</v>
      </c>
      <c r="AC826" s="60">
        <f>ROUND(N826*1.0425%,2)</f>
        <v>42193.03</v>
      </c>
      <c r="AD826" s="173">
        <v>105357.9</v>
      </c>
      <c r="AE826" s="60">
        <v>0</v>
      </c>
      <c r="AF826" s="170">
        <v>2021</v>
      </c>
      <c r="AG826" s="170">
        <v>2021</v>
      </c>
      <c r="AH826" s="63">
        <v>2021</v>
      </c>
    </row>
    <row r="827" spans="1:34" ht="61.5" x14ac:dyDescent="0.85">
      <c r="A827" s="7">
        <v>1</v>
      </c>
      <c r="B827" s="59">
        <f>SUBTOTAL(103,$A$558:A827)</f>
        <v>262</v>
      </c>
      <c r="C827" s="160" t="s">
        <v>1790</v>
      </c>
      <c r="D827" s="60">
        <f>E827+F827+G827+H827+I827+J827+L827+N827+P827+R827+T827+U827+V827+W827+X827+Y827+Z827+AA827+AB827+AC827+AD827+AE827</f>
        <v>175453.56</v>
      </c>
      <c r="E827" s="182">
        <v>0</v>
      </c>
      <c r="F827" s="182">
        <v>0</v>
      </c>
      <c r="G827" s="182">
        <v>0</v>
      </c>
      <c r="H827" s="182">
        <v>0</v>
      </c>
      <c r="I827" s="182">
        <v>0</v>
      </c>
      <c r="J827" s="182">
        <v>0</v>
      </c>
      <c r="K827" s="196">
        <v>0</v>
      </c>
      <c r="L827" s="182">
        <v>0</v>
      </c>
      <c r="M827" s="60">
        <v>0</v>
      </c>
      <c r="N827" s="60">
        <v>0</v>
      </c>
      <c r="O827" s="60">
        <v>0</v>
      </c>
      <c r="P827" s="60">
        <v>0</v>
      </c>
      <c r="Q827" s="60">
        <v>0</v>
      </c>
      <c r="R827" s="60">
        <v>0</v>
      </c>
      <c r="S827" s="60">
        <v>0</v>
      </c>
      <c r="T827" s="60">
        <v>0</v>
      </c>
      <c r="U827" s="60">
        <v>0</v>
      </c>
      <c r="V827" s="60">
        <v>0</v>
      </c>
      <c r="W827" s="60">
        <v>0</v>
      </c>
      <c r="X827" s="60">
        <v>0</v>
      </c>
      <c r="Y827" s="60">
        <v>0</v>
      </c>
      <c r="Z827" s="60">
        <v>0</v>
      </c>
      <c r="AA827" s="60">
        <v>0</v>
      </c>
      <c r="AB827" s="60">
        <v>0</v>
      </c>
      <c r="AC827" s="60">
        <f>ROUND((E827+G827+H827+I827)*1.5%,2)</f>
        <v>0</v>
      </c>
      <c r="AD827" s="62">
        <v>175453.56</v>
      </c>
      <c r="AE827" s="60">
        <v>0</v>
      </c>
      <c r="AF827" s="170">
        <v>2021</v>
      </c>
      <c r="AG827" s="170" t="s">
        <v>257</v>
      </c>
      <c r="AH827" s="170" t="s">
        <v>257</v>
      </c>
    </row>
    <row r="828" spans="1:34" ht="61.5" x14ac:dyDescent="0.85">
      <c r="A828" s="7">
        <v>1</v>
      </c>
      <c r="B828" s="59">
        <f>SUBTOTAL(103,$A$558:A828)</f>
        <v>263</v>
      </c>
      <c r="C828" s="160" t="s">
        <v>1805</v>
      </c>
      <c r="D828" s="60">
        <f>E828+F828+G828+H828+I828+J828+L828+N828+P828+R828+T828+U828+V828+W828+X828+Y828+Z828+AA828+AB828+AC828+AD828+AE828</f>
        <v>56302.34</v>
      </c>
      <c r="E828" s="182">
        <v>0</v>
      </c>
      <c r="F828" s="182">
        <v>0</v>
      </c>
      <c r="G828" s="182">
        <v>0</v>
      </c>
      <c r="H828" s="182">
        <v>0</v>
      </c>
      <c r="I828" s="182">
        <v>0</v>
      </c>
      <c r="J828" s="182">
        <v>0</v>
      </c>
      <c r="K828" s="196">
        <v>0</v>
      </c>
      <c r="L828" s="182">
        <v>0</v>
      </c>
      <c r="M828" s="60">
        <v>0</v>
      </c>
      <c r="N828" s="60">
        <v>0</v>
      </c>
      <c r="O828" s="60">
        <v>0</v>
      </c>
      <c r="P828" s="60">
        <v>0</v>
      </c>
      <c r="Q828" s="60">
        <v>0</v>
      </c>
      <c r="R828" s="60">
        <v>0</v>
      </c>
      <c r="S828" s="60">
        <v>0</v>
      </c>
      <c r="T828" s="60">
        <v>0</v>
      </c>
      <c r="U828" s="60">
        <v>0</v>
      </c>
      <c r="V828" s="60">
        <v>0</v>
      </c>
      <c r="W828" s="60">
        <v>0</v>
      </c>
      <c r="X828" s="60">
        <v>0</v>
      </c>
      <c r="Y828" s="60">
        <v>0</v>
      </c>
      <c r="Z828" s="60">
        <v>0</v>
      </c>
      <c r="AA828" s="60">
        <v>0</v>
      </c>
      <c r="AB828" s="60">
        <v>0</v>
      </c>
      <c r="AC828" s="60">
        <f>ROUND((E828+G828+H828+I828)*1.5%,2)</f>
        <v>0</v>
      </c>
      <c r="AD828" s="62">
        <v>56302.34</v>
      </c>
      <c r="AE828" s="60">
        <v>0</v>
      </c>
      <c r="AF828" s="170">
        <v>2021</v>
      </c>
      <c r="AG828" s="170" t="s">
        <v>257</v>
      </c>
      <c r="AH828" s="170" t="s">
        <v>257</v>
      </c>
    </row>
    <row r="829" spans="1:34" ht="61.5" x14ac:dyDescent="0.85">
      <c r="B829" s="160" t="s">
        <v>764</v>
      </c>
      <c r="C829" s="176"/>
      <c r="D829" s="177">
        <f t="shared" ref="D829:AE829" si="108">SUM(D830:D830)</f>
        <v>3324897.97</v>
      </c>
      <c r="E829" s="60">
        <f t="shared" si="108"/>
        <v>0</v>
      </c>
      <c r="F829" s="60">
        <f t="shared" si="108"/>
        <v>0</v>
      </c>
      <c r="G829" s="60">
        <f t="shared" si="108"/>
        <v>0</v>
      </c>
      <c r="H829" s="60">
        <f t="shared" si="108"/>
        <v>0</v>
      </c>
      <c r="I829" s="60">
        <f t="shared" si="108"/>
        <v>0</v>
      </c>
      <c r="J829" s="60">
        <f t="shared" si="108"/>
        <v>0</v>
      </c>
      <c r="K829" s="168">
        <f t="shared" si="108"/>
        <v>0</v>
      </c>
      <c r="L829" s="60">
        <f t="shared" si="108"/>
        <v>0</v>
      </c>
      <c r="M829" s="60">
        <f t="shared" si="108"/>
        <v>781.52</v>
      </c>
      <c r="N829" s="60">
        <f t="shared" si="108"/>
        <v>3179095</v>
      </c>
      <c r="O829" s="60">
        <f t="shared" si="108"/>
        <v>0</v>
      </c>
      <c r="P829" s="60">
        <f t="shared" si="108"/>
        <v>0</v>
      </c>
      <c r="Q829" s="60">
        <f t="shared" si="108"/>
        <v>0</v>
      </c>
      <c r="R829" s="60">
        <f t="shared" si="108"/>
        <v>0</v>
      </c>
      <c r="S829" s="60">
        <f t="shared" si="108"/>
        <v>0</v>
      </c>
      <c r="T829" s="60">
        <f t="shared" si="108"/>
        <v>0</v>
      </c>
      <c r="U829" s="60">
        <f t="shared" si="108"/>
        <v>0</v>
      </c>
      <c r="V829" s="60">
        <f t="shared" si="108"/>
        <v>0</v>
      </c>
      <c r="W829" s="60">
        <f t="shared" si="108"/>
        <v>0</v>
      </c>
      <c r="X829" s="60">
        <f t="shared" si="108"/>
        <v>0</v>
      </c>
      <c r="Y829" s="60">
        <f t="shared" si="108"/>
        <v>0</v>
      </c>
      <c r="Z829" s="60">
        <f t="shared" si="108"/>
        <v>0</v>
      </c>
      <c r="AA829" s="60">
        <f t="shared" si="108"/>
        <v>0</v>
      </c>
      <c r="AB829" s="60">
        <f t="shared" si="108"/>
        <v>0</v>
      </c>
      <c r="AC829" s="60">
        <f t="shared" si="108"/>
        <v>40056.6</v>
      </c>
      <c r="AD829" s="60">
        <f t="shared" si="108"/>
        <v>105746.37</v>
      </c>
      <c r="AE829" s="60">
        <f t="shared" si="108"/>
        <v>0</v>
      </c>
      <c r="AF829" s="54" t="s">
        <v>701</v>
      </c>
      <c r="AG829" s="54" t="s">
        <v>701</v>
      </c>
      <c r="AH829" s="55" t="s">
        <v>701</v>
      </c>
    </row>
    <row r="830" spans="1:34" ht="61.5" x14ac:dyDescent="0.85">
      <c r="A830" s="7">
        <v>1</v>
      </c>
      <c r="B830" s="59">
        <f>SUBTOTAL(103,$A$558:A830)</f>
        <v>264</v>
      </c>
      <c r="C830" s="160" t="s">
        <v>709</v>
      </c>
      <c r="D830" s="60">
        <f>E830+F830+G830+H830+I830+J830+L830+N830+P830+R830+T830+U830+V830+W830+X830+Y830+Z830+AA830+AB830+AC830+AD830+AE830</f>
        <v>3324897.97</v>
      </c>
      <c r="E830" s="60">
        <v>0</v>
      </c>
      <c r="F830" s="60">
        <v>0</v>
      </c>
      <c r="G830" s="60">
        <v>0</v>
      </c>
      <c r="H830" s="60">
        <v>0</v>
      </c>
      <c r="I830" s="60">
        <v>0</v>
      </c>
      <c r="J830" s="60">
        <v>0</v>
      </c>
      <c r="K830" s="168">
        <v>0</v>
      </c>
      <c r="L830" s="60">
        <v>0</v>
      </c>
      <c r="M830" s="60">
        <v>781.52</v>
      </c>
      <c r="N830" s="60">
        <v>3179095</v>
      </c>
      <c r="O830" s="60">
        <v>0</v>
      </c>
      <c r="P830" s="60">
        <v>0</v>
      </c>
      <c r="Q830" s="60">
        <v>0</v>
      </c>
      <c r="R830" s="60">
        <v>0</v>
      </c>
      <c r="S830" s="60">
        <v>0</v>
      </c>
      <c r="T830" s="60">
        <v>0</v>
      </c>
      <c r="U830" s="60">
        <v>0</v>
      </c>
      <c r="V830" s="60">
        <v>0</v>
      </c>
      <c r="W830" s="60">
        <v>0</v>
      </c>
      <c r="X830" s="60">
        <v>0</v>
      </c>
      <c r="Y830" s="60">
        <v>0</v>
      </c>
      <c r="Z830" s="60">
        <v>0</v>
      </c>
      <c r="AA830" s="60">
        <v>0</v>
      </c>
      <c r="AB830" s="60">
        <v>0</v>
      </c>
      <c r="AC830" s="62">
        <v>40056.6</v>
      </c>
      <c r="AD830" s="62">
        <v>105746.37</v>
      </c>
      <c r="AE830" s="60">
        <v>0</v>
      </c>
      <c r="AF830" s="170">
        <v>2021</v>
      </c>
      <c r="AG830" s="170">
        <v>2021</v>
      </c>
      <c r="AH830" s="63">
        <v>2021</v>
      </c>
    </row>
    <row r="831" spans="1:34" ht="61.5" x14ac:dyDescent="0.85">
      <c r="B831" s="160" t="s">
        <v>766</v>
      </c>
      <c r="C831" s="160"/>
      <c r="D831" s="177">
        <f t="shared" ref="D831:AE831" si="109">SUM(D832:D833)</f>
        <v>221036.09999999998</v>
      </c>
      <c r="E831" s="60">
        <f t="shared" si="109"/>
        <v>0</v>
      </c>
      <c r="F831" s="60">
        <f t="shared" si="109"/>
        <v>0</v>
      </c>
      <c r="G831" s="60">
        <f t="shared" si="109"/>
        <v>0</v>
      </c>
      <c r="H831" s="60">
        <f t="shared" si="109"/>
        <v>0</v>
      </c>
      <c r="I831" s="60">
        <f t="shared" si="109"/>
        <v>115338.4</v>
      </c>
      <c r="J831" s="60">
        <f t="shared" si="109"/>
        <v>0</v>
      </c>
      <c r="K831" s="168">
        <f t="shared" si="109"/>
        <v>0</v>
      </c>
      <c r="L831" s="60">
        <f t="shared" si="109"/>
        <v>0</v>
      </c>
      <c r="M831" s="60">
        <f t="shared" si="109"/>
        <v>0</v>
      </c>
      <c r="N831" s="60">
        <f t="shared" si="109"/>
        <v>0</v>
      </c>
      <c r="O831" s="60">
        <f t="shared" si="109"/>
        <v>0</v>
      </c>
      <c r="P831" s="60">
        <f t="shared" si="109"/>
        <v>0</v>
      </c>
      <c r="Q831" s="60">
        <f t="shared" si="109"/>
        <v>0</v>
      </c>
      <c r="R831" s="60">
        <f t="shared" si="109"/>
        <v>0</v>
      </c>
      <c r="S831" s="60">
        <f t="shared" si="109"/>
        <v>0</v>
      </c>
      <c r="T831" s="60">
        <f t="shared" si="109"/>
        <v>0</v>
      </c>
      <c r="U831" s="60">
        <f t="shared" si="109"/>
        <v>0</v>
      </c>
      <c r="V831" s="60">
        <f t="shared" si="109"/>
        <v>0</v>
      </c>
      <c r="W831" s="60">
        <f t="shared" si="109"/>
        <v>0</v>
      </c>
      <c r="X831" s="60">
        <f t="shared" si="109"/>
        <v>0</v>
      </c>
      <c r="Y831" s="60">
        <f t="shared" si="109"/>
        <v>0</v>
      </c>
      <c r="Z831" s="60">
        <f t="shared" si="109"/>
        <v>0</v>
      </c>
      <c r="AA831" s="60">
        <f t="shared" si="109"/>
        <v>0</v>
      </c>
      <c r="AB831" s="60">
        <f t="shared" si="109"/>
        <v>0</v>
      </c>
      <c r="AC831" s="60">
        <f t="shared" si="109"/>
        <v>1453.26</v>
      </c>
      <c r="AD831" s="60">
        <f t="shared" si="109"/>
        <v>104244.44</v>
      </c>
      <c r="AE831" s="60">
        <f t="shared" si="109"/>
        <v>0</v>
      </c>
      <c r="AF831" s="54" t="s">
        <v>701</v>
      </c>
      <c r="AG831" s="54" t="s">
        <v>701</v>
      </c>
      <c r="AH831" s="55" t="s">
        <v>701</v>
      </c>
    </row>
    <row r="832" spans="1:34" ht="61.5" x14ac:dyDescent="0.85">
      <c r="A832" s="7">
        <v>1</v>
      </c>
      <c r="B832" s="59">
        <f>SUBTOTAL(103,$A$558:A832)</f>
        <v>265</v>
      </c>
      <c r="C832" s="160" t="s">
        <v>637</v>
      </c>
      <c r="D832" s="60">
        <f>E832+F832+G832+H832+I832+J832+L832+N832+P832+R832+T832+U832+V832+W832+X832+Y832+Z832+AA832+AB832+AC832+AD832+AE832</f>
        <v>77608.14</v>
      </c>
      <c r="E832" s="60">
        <v>0</v>
      </c>
      <c r="F832" s="60">
        <v>0</v>
      </c>
      <c r="G832" s="60">
        <v>0</v>
      </c>
      <c r="H832" s="60">
        <v>0</v>
      </c>
      <c r="I832" s="60">
        <v>0</v>
      </c>
      <c r="J832" s="60">
        <v>0</v>
      </c>
      <c r="K832" s="168">
        <v>0</v>
      </c>
      <c r="L832" s="60">
        <v>0</v>
      </c>
      <c r="M832" s="60">
        <v>0</v>
      </c>
      <c r="N832" s="60">
        <v>0</v>
      </c>
      <c r="O832" s="60">
        <v>0</v>
      </c>
      <c r="P832" s="60">
        <v>0</v>
      </c>
      <c r="Q832" s="60">
        <v>0</v>
      </c>
      <c r="R832" s="60">
        <v>0</v>
      </c>
      <c r="S832" s="60">
        <v>0</v>
      </c>
      <c r="T832" s="60">
        <v>0</v>
      </c>
      <c r="U832" s="60">
        <v>0</v>
      </c>
      <c r="V832" s="60">
        <v>0</v>
      </c>
      <c r="W832" s="60">
        <v>0</v>
      </c>
      <c r="X832" s="60">
        <v>0</v>
      </c>
      <c r="Y832" s="60">
        <v>0</v>
      </c>
      <c r="Z832" s="60">
        <v>0</v>
      </c>
      <c r="AA832" s="60">
        <v>0</v>
      </c>
      <c r="AB832" s="60">
        <v>0</v>
      </c>
      <c r="AC832" s="60">
        <v>0</v>
      </c>
      <c r="AD832" s="60">
        <v>77608.14</v>
      </c>
      <c r="AE832" s="60">
        <v>0</v>
      </c>
      <c r="AF832" s="170">
        <v>2021</v>
      </c>
      <c r="AG832" s="170" t="s">
        <v>257</v>
      </c>
      <c r="AH832" s="170" t="s">
        <v>257</v>
      </c>
    </row>
    <row r="833" spans="1:34" ht="61.5" x14ac:dyDescent="0.85">
      <c r="A833" s="7">
        <v>1</v>
      </c>
      <c r="B833" s="59">
        <f>SUBTOTAL(103,$A$558:A833)</f>
        <v>266</v>
      </c>
      <c r="C833" s="160" t="s">
        <v>629</v>
      </c>
      <c r="D833" s="60">
        <f>E833+F833+G833+H833+I833+J833+L833+N833+P833+R833+T833+U833+V833+W833+X833+Y833+Z833+AA833+AB833+AC833+AD833+AE833</f>
        <v>143427.96</v>
      </c>
      <c r="E833" s="60">
        <v>0</v>
      </c>
      <c r="F833" s="60">
        <v>0</v>
      </c>
      <c r="G833" s="60">
        <v>0</v>
      </c>
      <c r="H833" s="60">
        <v>0</v>
      </c>
      <c r="I833" s="60">
        <v>115338.4</v>
      </c>
      <c r="J833" s="60">
        <v>0</v>
      </c>
      <c r="K833" s="168">
        <v>0</v>
      </c>
      <c r="L833" s="60">
        <v>0</v>
      </c>
      <c r="M833" s="60">
        <v>0</v>
      </c>
      <c r="N833" s="60">
        <v>0</v>
      </c>
      <c r="O833" s="60">
        <v>0</v>
      </c>
      <c r="P833" s="60">
        <v>0</v>
      </c>
      <c r="Q833" s="60">
        <v>0</v>
      </c>
      <c r="R833" s="60">
        <v>0</v>
      </c>
      <c r="S833" s="60">
        <v>0</v>
      </c>
      <c r="T833" s="60">
        <v>0</v>
      </c>
      <c r="U833" s="60">
        <v>0</v>
      </c>
      <c r="V833" s="60">
        <v>0</v>
      </c>
      <c r="W833" s="60">
        <v>0</v>
      </c>
      <c r="X833" s="60">
        <v>0</v>
      </c>
      <c r="Y833" s="60">
        <v>0</v>
      </c>
      <c r="Z833" s="60">
        <v>0</v>
      </c>
      <c r="AA833" s="60">
        <v>0</v>
      </c>
      <c r="AB833" s="60">
        <v>0</v>
      </c>
      <c r="AC833" s="62">
        <v>1453.26</v>
      </c>
      <c r="AD833" s="60">
        <v>26636.3</v>
      </c>
      <c r="AE833" s="60">
        <v>0</v>
      </c>
      <c r="AF833" s="170">
        <v>2021</v>
      </c>
      <c r="AG833" s="170">
        <v>2021</v>
      </c>
      <c r="AH833" s="63">
        <v>2021</v>
      </c>
    </row>
    <row r="834" spans="1:34" ht="61.5" x14ac:dyDescent="0.85">
      <c r="B834" s="160" t="s">
        <v>811</v>
      </c>
      <c r="C834" s="160"/>
      <c r="D834" s="177">
        <f t="shared" ref="D834:AE834" si="110">D835</f>
        <v>63207.3</v>
      </c>
      <c r="E834" s="60">
        <f t="shared" si="110"/>
        <v>0</v>
      </c>
      <c r="F834" s="60">
        <f t="shared" si="110"/>
        <v>0</v>
      </c>
      <c r="G834" s="60">
        <f t="shared" si="110"/>
        <v>0</v>
      </c>
      <c r="H834" s="60">
        <f t="shared" si="110"/>
        <v>0</v>
      </c>
      <c r="I834" s="60">
        <f t="shared" si="110"/>
        <v>0</v>
      </c>
      <c r="J834" s="60">
        <f t="shared" si="110"/>
        <v>0</v>
      </c>
      <c r="K834" s="168">
        <f t="shared" si="110"/>
        <v>0</v>
      </c>
      <c r="L834" s="60">
        <f t="shared" si="110"/>
        <v>0</v>
      </c>
      <c r="M834" s="60">
        <f t="shared" si="110"/>
        <v>0</v>
      </c>
      <c r="N834" s="60">
        <f t="shared" si="110"/>
        <v>0</v>
      </c>
      <c r="O834" s="60">
        <f t="shared" si="110"/>
        <v>0</v>
      </c>
      <c r="P834" s="60">
        <f t="shared" si="110"/>
        <v>0</v>
      </c>
      <c r="Q834" s="60">
        <f t="shared" si="110"/>
        <v>0</v>
      </c>
      <c r="R834" s="60">
        <f t="shared" si="110"/>
        <v>0</v>
      </c>
      <c r="S834" s="60">
        <f t="shared" si="110"/>
        <v>0</v>
      </c>
      <c r="T834" s="60">
        <f t="shared" si="110"/>
        <v>0</v>
      </c>
      <c r="U834" s="60">
        <f t="shared" si="110"/>
        <v>0</v>
      </c>
      <c r="V834" s="60">
        <f t="shared" si="110"/>
        <v>0</v>
      </c>
      <c r="W834" s="60">
        <f t="shared" si="110"/>
        <v>0</v>
      </c>
      <c r="X834" s="60">
        <f t="shared" si="110"/>
        <v>0</v>
      </c>
      <c r="Y834" s="60">
        <f t="shared" si="110"/>
        <v>0</v>
      </c>
      <c r="Z834" s="60">
        <f t="shared" si="110"/>
        <v>0</v>
      </c>
      <c r="AA834" s="60">
        <f t="shared" si="110"/>
        <v>0</v>
      </c>
      <c r="AB834" s="60">
        <f t="shared" si="110"/>
        <v>0</v>
      </c>
      <c r="AC834" s="60">
        <f t="shared" si="110"/>
        <v>0</v>
      </c>
      <c r="AD834" s="60">
        <f t="shared" si="110"/>
        <v>63207.3</v>
      </c>
      <c r="AE834" s="60">
        <f t="shared" si="110"/>
        <v>0</v>
      </c>
      <c r="AF834" s="54" t="s">
        <v>701</v>
      </c>
      <c r="AG834" s="54" t="s">
        <v>701</v>
      </c>
      <c r="AH834" s="55" t="s">
        <v>701</v>
      </c>
    </row>
    <row r="835" spans="1:34" ht="61.5" x14ac:dyDescent="0.85">
      <c r="A835" s="7">
        <v>1</v>
      </c>
      <c r="B835" s="59">
        <f>SUBTOTAL(103,$A$558:A835)</f>
        <v>267</v>
      </c>
      <c r="C835" s="160" t="s">
        <v>624</v>
      </c>
      <c r="D835" s="60">
        <f>E835+F835+G835+H835+I835+J835+L835+N835+P835+R835+T835+U835+V835+W835+X835+Y835+Z835+AA835+AB835+AC835+AD835+AE835</f>
        <v>63207.3</v>
      </c>
      <c r="E835" s="60">
        <v>0</v>
      </c>
      <c r="F835" s="60">
        <v>0</v>
      </c>
      <c r="G835" s="60">
        <v>0</v>
      </c>
      <c r="H835" s="60">
        <v>0</v>
      </c>
      <c r="I835" s="60">
        <v>0</v>
      </c>
      <c r="J835" s="60">
        <v>0</v>
      </c>
      <c r="K835" s="168">
        <v>0</v>
      </c>
      <c r="L835" s="60">
        <v>0</v>
      </c>
      <c r="M835" s="60">
        <v>0</v>
      </c>
      <c r="N835" s="60">
        <v>0</v>
      </c>
      <c r="O835" s="60">
        <v>0</v>
      </c>
      <c r="P835" s="60">
        <v>0</v>
      </c>
      <c r="Q835" s="60">
        <v>0</v>
      </c>
      <c r="R835" s="60">
        <v>0</v>
      </c>
      <c r="S835" s="60">
        <v>0</v>
      </c>
      <c r="T835" s="60">
        <v>0</v>
      </c>
      <c r="U835" s="60">
        <v>0</v>
      </c>
      <c r="V835" s="60">
        <v>0</v>
      </c>
      <c r="W835" s="60">
        <v>0</v>
      </c>
      <c r="X835" s="60">
        <v>0</v>
      </c>
      <c r="Y835" s="60">
        <v>0</v>
      </c>
      <c r="Z835" s="60">
        <v>0</v>
      </c>
      <c r="AA835" s="60">
        <v>0</v>
      </c>
      <c r="AB835" s="60">
        <v>0</v>
      </c>
      <c r="AC835" s="60">
        <f>ROUND(N835*1.5%,2)</f>
        <v>0</v>
      </c>
      <c r="AD835" s="60">
        <v>63207.3</v>
      </c>
      <c r="AE835" s="60">
        <v>0</v>
      </c>
      <c r="AF835" s="170">
        <v>2021</v>
      </c>
      <c r="AG835" s="170" t="s">
        <v>257</v>
      </c>
      <c r="AH835" s="170" t="s">
        <v>257</v>
      </c>
    </row>
    <row r="836" spans="1:34" ht="61.5" x14ac:dyDescent="0.85">
      <c r="B836" s="160" t="s">
        <v>767</v>
      </c>
      <c r="C836" s="160"/>
      <c r="D836" s="177">
        <f t="shared" ref="D836:AE836" si="111">SUM(D837:D837)</f>
        <v>105310.57</v>
      </c>
      <c r="E836" s="60">
        <f t="shared" si="111"/>
        <v>0</v>
      </c>
      <c r="F836" s="60">
        <f t="shared" si="111"/>
        <v>0</v>
      </c>
      <c r="G836" s="60">
        <f t="shared" si="111"/>
        <v>0</v>
      </c>
      <c r="H836" s="60">
        <f t="shared" si="111"/>
        <v>0</v>
      </c>
      <c r="I836" s="60">
        <f t="shared" si="111"/>
        <v>0</v>
      </c>
      <c r="J836" s="60">
        <f t="shared" si="111"/>
        <v>0</v>
      </c>
      <c r="K836" s="168">
        <f t="shared" si="111"/>
        <v>0</v>
      </c>
      <c r="L836" s="60">
        <f t="shared" si="111"/>
        <v>0</v>
      </c>
      <c r="M836" s="60">
        <f t="shared" si="111"/>
        <v>0</v>
      </c>
      <c r="N836" s="60">
        <f t="shared" si="111"/>
        <v>0</v>
      </c>
      <c r="O836" s="60">
        <f t="shared" si="111"/>
        <v>0</v>
      </c>
      <c r="P836" s="60">
        <f t="shared" si="111"/>
        <v>0</v>
      </c>
      <c r="Q836" s="60">
        <f t="shared" si="111"/>
        <v>0</v>
      </c>
      <c r="R836" s="60">
        <f t="shared" si="111"/>
        <v>0</v>
      </c>
      <c r="S836" s="60">
        <f t="shared" si="111"/>
        <v>0</v>
      </c>
      <c r="T836" s="60">
        <f t="shared" si="111"/>
        <v>0</v>
      </c>
      <c r="U836" s="60">
        <f t="shared" si="111"/>
        <v>0</v>
      </c>
      <c r="V836" s="60">
        <f t="shared" si="111"/>
        <v>0</v>
      </c>
      <c r="W836" s="60">
        <f t="shared" si="111"/>
        <v>0</v>
      </c>
      <c r="X836" s="60">
        <f t="shared" si="111"/>
        <v>0</v>
      </c>
      <c r="Y836" s="60">
        <f t="shared" si="111"/>
        <v>0</v>
      </c>
      <c r="Z836" s="60">
        <f t="shared" si="111"/>
        <v>0</v>
      </c>
      <c r="AA836" s="60">
        <f t="shared" si="111"/>
        <v>0</v>
      </c>
      <c r="AB836" s="60">
        <f t="shared" si="111"/>
        <v>0</v>
      </c>
      <c r="AC836" s="60">
        <f t="shared" si="111"/>
        <v>0</v>
      </c>
      <c r="AD836" s="60">
        <f t="shared" si="111"/>
        <v>105310.57</v>
      </c>
      <c r="AE836" s="60">
        <f t="shared" si="111"/>
        <v>0</v>
      </c>
      <c r="AF836" s="54" t="s">
        <v>701</v>
      </c>
      <c r="AG836" s="54" t="s">
        <v>701</v>
      </c>
      <c r="AH836" s="55" t="s">
        <v>701</v>
      </c>
    </row>
    <row r="837" spans="1:34" ht="61.5" x14ac:dyDescent="0.85">
      <c r="A837" s="7">
        <v>1</v>
      </c>
      <c r="B837" s="59">
        <f>SUBTOTAL(103,$A$558:A837)</f>
        <v>268</v>
      </c>
      <c r="C837" s="186" t="s">
        <v>630</v>
      </c>
      <c r="D837" s="60">
        <f>E837+F837+G837+H837+I837+J837+L837+N837+P837+R837+T837+U837+V837+W837+X837+Y837+Z837+AA837+AB837+AC837+AD837+AE837</f>
        <v>105310.57</v>
      </c>
      <c r="E837" s="60">
        <v>0</v>
      </c>
      <c r="F837" s="60">
        <v>0</v>
      </c>
      <c r="G837" s="60">
        <v>0</v>
      </c>
      <c r="H837" s="60">
        <v>0</v>
      </c>
      <c r="I837" s="60">
        <v>0</v>
      </c>
      <c r="J837" s="60">
        <v>0</v>
      </c>
      <c r="K837" s="168">
        <v>0</v>
      </c>
      <c r="L837" s="60">
        <v>0</v>
      </c>
      <c r="M837" s="60">
        <v>0</v>
      </c>
      <c r="N837" s="60">
        <v>0</v>
      </c>
      <c r="O837" s="60">
        <v>0</v>
      </c>
      <c r="P837" s="60">
        <v>0</v>
      </c>
      <c r="Q837" s="60">
        <v>0</v>
      </c>
      <c r="R837" s="60">
        <v>0</v>
      </c>
      <c r="S837" s="60">
        <v>0</v>
      </c>
      <c r="T837" s="60">
        <v>0</v>
      </c>
      <c r="U837" s="60">
        <v>0</v>
      </c>
      <c r="V837" s="60">
        <v>0</v>
      </c>
      <c r="W837" s="60">
        <v>0</v>
      </c>
      <c r="X837" s="60">
        <v>0</v>
      </c>
      <c r="Y837" s="60">
        <v>0</v>
      </c>
      <c r="Z837" s="60">
        <v>0</v>
      </c>
      <c r="AA837" s="60">
        <v>0</v>
      </c>
      <c r="AB837" s="60">
        <v>0</v>
      </c>
      <c r="AC837" s="60">
        <f>ROUND(N837*1.5%,2)</f>
        <v>0</v>
      </c>
      <c r="AD837" s="62">
        <v>105310.57</v>
      </c>
      <c r="AE837" s="60">
        <v>0</v>
      </c>
      <c r="AF837" s="170">
        <v>2021</v>
      </c>
      <c r="AG837" s="170" t="s">
        <v>257</v>
      </c>
      <c r="AH837" s="170" t="s">
        <v>257</v>
      </c>
    </row>
    <row r="838" spans="1:34" ht="61.5" x14ac:dyDescent="0.85">
      <c r="B838" s="160" t="s">
        <v>768</v>
      </c>
      <c r="C838" s="160"/>
      <c r="D838" s="177">
        <f t="shared" ref="D838:AE838" si="112">SUM(D839:D851)</f>
        <v>29546394.850000001</v>
      </c>
      <c r="E838" s="60">
        <f t="shared" si="112"/>
        <v>0</v>
      </c>
      <c r="F838" s="60">
        <f t="shared" si="112"/>
        <v>0</v>
      </c>
      <c r="G838" s="60">
        <f t="shared" si="112"/>
        <v>0</v>
      </c>
      <c r="H838" s="60">
        <f t="shared" si="112"/>
        <v>0</v>
      </c>
      <c r="I838" s="60">
        <f t="shared" si="112"/>
        <v>0</v>
      </c>
      <c r="J838" s="60">
        <f t="shared" si="112"/>
        <v>0</v>
      </c>
      <c r="K838" s="168">
        <f t="shared" si="112"/>
        <v>2</v>
      </c>
      <c r="L838" s="60">
        <f t="shared" si="112"/>
        <v>3925408.8</v>
      </c>
      <c r="M838" s="60">
        <f t="shared" si="112"/>
        <v>5475.4699999999993</v>
      </c>
      <c r="N838" s="60">
        <f t="shared" si="112"/>
        <v>24117943</v>
      </c>
      <c r="O838" s="60">
        <f t="shared" si="112"/>
        <v>0</v>
      </c>
      <c r="P838" s="60">
        <f t="shared" si="112"/>
        <v>0</v>
      </c>
      <c r="Q838" s="60">
        <f t="shared" si="112"/>
        <v>0</v>
      </c>
      <c r="R838" s="60">
        <f t="shared" si="112"/>
        <v>0</v>
      </c>
      <c r="S838" s="60">
        <f t="shared" si="112"/>
        <v>0</v>
      </c>
      <c r="T838" s="60">
        <f t="shared" si="112"/>
        <v>0</v>
      </c>
      <c r="U838" s="60">
        <f t="shared" si="112"/>
        <v>0</v>
      </c>
      <c r="V838" s="60">
        <f t="shared" si="112"/>
        <v>0</v>
      </c>
      <c r="W838" s="60">
        <f t="shared" si="112"/>
        <v>0</v>
      </c>
      <c r="X838" s="60">
        <f t="shared" si="112"/>
        <v>0</v>
      </c>
      <c r="Y838" s="60">
        <f t="shared" si="112"/>
        <v>0</v>
      </c>
      <c r="Z838" s="60">
        <f t="shared" si="112"/>
        <v>0</v>
      </c>
      <c r="AA838" s="60">
        <f t="shared" si="112"/>
        <v>0</v>
      </c>
      <c r="AB838" s="60">
        <f t="shared" si="112"/>
        <v>0</v>
      </c>
      <c r="AC838" s="60">
        <f t="shared" si="112"/>
        <v>315378.24</v>
      </c>
      <c r="AD838" s="60">
        <f t="shared" si="112"/>
        <v>1187664.81</v>
      </c>
      <c r="AE838" s="60">
        <f t="shared" si="112"/>
        <v>0</v>
      </c>
      <c r="AF838" s="54" t="s">
        <v>701</v>
      </c>
      <c r="AG838" s="54" t="s">
        <v>701</v>
      </c>
      <c r="AH838" s="55" t="s">
        <v>701</v>
      </c>
    </row>
    <row r="839" spans="1:34" ht="61.5" x14ac:dyDescent="0.85">
      <c r="A839" s="7">
        <v>1</v>
      </c>
      <c r="B839" s="59">
        <f>SUBTOTAL(103,$A$558:A839)</f>
        <v>269</v>
      </c>
      <c r="C839" s="186" t="s">
        <v>622</v>
      </c>
      <c r="D839" s="60">
        <f t="shared" ref="D839:D851" si="113">E839+F839+G839+H839+I839+J839+L839+N839+P839+R839+T839+U839+V839+W839+X839+Y839+Z839+AA839+AB839+AC839+AD839+AE839</f>
        <v>132374.42000000001</v>
      </c>
      <c r="E839" s="60">
        <v>0</v>
      </c>
      <c r="F839" s="60">
        <v>0</v>
      </c>
      <c r="G839" s="60">
        <v>0</v>
      </c>
      <c r="H839" s="60">
        <v>0</v>
      </c>
      <c r="I839" s="60">
        <v>0</v>
      </c>
      <c r="J839" s="60">
        <v>0</v>
      </c>
      <c r="K839" s="168">
        <v>0</v>
      </c>
      <c r="L839" s="60">
        <v>0</v>
      </c>
      <c r="M839" s="60">
        <v>0</v>
      </c>
      <c r="N839" s="60">
        <v>0</v>
      </c>
      <c r="O839" s="60">
        <v>0</v>
      </c>
      <c r="P839" s="60">
        <v>0</v>
      </c>
      <c r="Q839" s="60">
        <v>0</v>
      </c>
      <c r="R839" s="60">
        <v>0</v>
      </c>
      <c r="S839" s="60">
        <v>0</v>
      </c>
      <c r="T839" s="60">
        <v>0</v>
      </c>
      <c r="U839" s="60">
        <v>0</v>
      </c>
      <c r="V839" s="60">
        <v>0</v>
      </c>
      <c r="W839" s="60">
        <v>0</v>
      </c>
      <c r="X839" s="60">
        <v>0</v>
      </c>
      <c r="Y839" s="60">
        <v>0</v>
      </c>
      <c r="Z839" s="60">
        <v>0</v>
      </c>
      <c r="AA839" s="60">
        <v>0</v>
      </c>
      <c r="AB839" s="60">
        <v>0</v>
      </c>
      <c r="AC839" s="60">
        <v>0</v>
      </c>
      <c r="AD839" s="60">
        <v>132374.42000000001</v>
      </c>
      <c r="AE839" s="60">
        <v>0</v>
      </c>
      <c r="AF839" s="197">
        <v>2021</v>
      </c>
      <c r="AG839" s="170" t="s">
        <v>257</v>
      </c>
      <c r="AH839" s="170" t="s">
        <v>257</v>
      </c>
    </row>
    <row r="840" spans="1:34" ht="61.5" x14ac:dyDescent="0.85">
      <c r="A840" s="7">
        <v>1</v>
      </c>
      <c r="B840" s="59">
        <f>SUBTOTAL(103,$A$558:A840)</f>
        <v>270</v>
      </c>
      <c r="C840" s="160" t="s">
        <v>610</v>
      </c>
      <c r="D840" s="60">
        <f t="shared" si="113"/>
        <v>5104924.47</v>
      </c>
      <c r="E840" s="60">
        <v>0</v>
      </c>
      <c r="F840" s="60">
        <v>0</v>
      </c>
      <c r="G840" s="60">
        <v>0</v>
      </c>
      <c r="H840" s="60">
        <v>0</v>
      </c>
      <c r="I840" s="60">
        <v>0</v>
      </c>
      <c r="J840" s="60">
        <v>0</v>
      </c>
      <c r="K840" s="168">
        <v>0</v>
      </c>
      <c r="L840" s="60">
        <v>0</v>
      </c>
      <c r="M840" s="60">
        <v>1274.6500000000001</v>
      </c>
      <c r="N840" s="60">
        <v>4936459</v>
      </c>
      <c r="O840" s="60">
        <v>0</v>
      </c>
      <c r="P840" s="60">
        <v>0</v>
      </c>
      <c r="Q840" s="60">
        <v>0</v>
      </c>
      <c r="R840" s="60">
        <v>0</v>
      </c>
      <c r="S840" s="60">
        <v>0</v>
      </c>
      <c r="T840" s="60">
        <v>0</v>
      </c>
      <c r="U840" s="60">
        <v>0</v>
      </c>
      <c r="V840" s="60">
        <v>0</v>
      </c>
      <c r="W840" s="60">
        <v>0</v>
      </c>
      <c r="X840" s="60">
        <v>0</v>
      </c>
      <c r="Y840" s="60">
        <v>0</v>
      </c>
      <c r="Z840" s="60">
        <v>0</v>
      </c>
      <c r="AA840" s="60">
        <v>0</v>
      </c>
      <c r="AB840" s="60">
        <v>0</v>
      </c>
      <c r="AC840" s="62">
        <v>62199.38</v>
      </c>
      <c r="AD840" s="60">
        <v>106266.09</v>
      </c>
      <c r="AE840" s="60">
        <v>0</v>
      </c>
      <c r="AF840" s="170">
        <v>2021</v>
      </c>
      <c r="AG840" s="170">
        <v>2021</v>
      </c>
      <c r="AH840" s="63">
        <v>2021</v>
      </c>
    </row>
    <row r="841" spans="1:34" ht="61.5" x14ac:dyDescent="0.85">
      <c r="A841" s="7">
        <v>1</v>
      </c>
      <c r="B841" s="59">
        <f>SUBTOTAL(103,$A$558:A841)</f>
        <v>271</v>
      </c>
      <c r="C841" s="160" t="s">
        <v>636</v>
      </c>
      <c r="D841" s="60">
        <f t="shared" si="113"/>
        <v>4285842.99</v>
      </c>
      <c r="E841" s="60">
        <v>0</v>
      </c>
      <c r="F841" s="60">
        <v>0</v>
      </c>
      <c r="G841" s="60">
        <v>0</v>
      </c>
      <c r="H841" s="60">
        <v>0</v>
      </c>
      <c r="I841" s="60">
        <v>0</v>
      </c>
      <c r="J841" s="60">
        <v>0</v>
      </c>
      <c r="K841" s="168">
        <v>0</v>
      </c>
      <c r="L841" s="60">
        <v>0</v>
      </c>
      <c r="M841" s="60">
        <v>786.5</v>
      </c>
      <c r="N841" s="60">
        <v>4128812</v>
      </c>
      <c r="O841" s="60">
        <v>0</v>
      </c>
      <c r="P841" s="60">
        <v>0</v>
      </c>
      <c r="Q841" s="60">
        <v>0</v>
      </c>
      <c r="R841" s="60">
        <v>0</v>
      </c>
      <c r="S841" s="60">
        <v>0</v>
      </c>
      <c r="T841" s="60">
        <v>0</v>
      </c>
      <c r="U841" s="60">
        <v>0</v>
      </c>
      <c r="V841" s="60">
        <v>0</v>
      </c>
      <c r="W841" s="60">
        <v>0</v>
      </c>
      <c r="X841" s="60">
        <v>0</v>
      </c>
      <c r="Y841" s="60">
        <v>0</v>
      </c>
      <c r="Z841" s="60">
        <v>0</v>
      </c>
      <c r="AA841" s="60">
        <v>0</v>
      </c>
      <c r="AB841" s="60">
        <v>0</v>
      </c>
      <c r="AC841" s="62">
        <v>52023.03</v>
      </c>
      <c r="AD841" s="60">
        <v>105007.96</v>
      </c>
      <c r="AE841" s="60">
        <v>0</v>
      </c>
      <c r="AF841" s="170">
        <v>2021</v>
      </c>
      <c r="AG841" s="170">
        <v>2021</v>
      </c>
      <c r="AH841" s="63">
        <v>2021</v>
      </c>
    </row>
    <row r="842" spans="1:34" ht="61.5" x14ac:dyDescent="0.85">
      <c r="A842" s="7">
        <v>1</v>
      </c>
      <c r="B842" s="59">
        <f>SUBTOTAL(103,$A$558:A842)</f>
        <v>272</v>
      </c>
      <c r="C842" s="160" t="s">
        <v>615</v>
      </c>
      <c r="D842" s="60">
        <f t="shared" si="113"/>
        <v>182408.64</v>
      </c>
      <c r="E842" s="60">
        <v>0</v>
      </c>
      <c r="F842" s="60">
        <v>0</v>
      </c>
      <c r="G842" s="60">
        <v>0</v>
      </c>
      <c r="H842" s="60">
        <v>0</v>
      </c>
      <c r="I842" s="60">
        <v>0</v>
      </c>
      <c r="J842" s="60">
        <v>0</v>
      </c>
      <c r="K842" s="168">
        <v>0</v>
      </c>
      <c r="L842" s="60">
        <v>0</v>
      </c>
      <c r="M842" s="60">
        <v>0</v>
      </c>
      <c r="N842" s="60">
        <v>0</v>
      </c>
      <c r="O842" s="60">
        <v>0</v>
      </c>
      <c r="P842" s="60">
        <v>0</v>
      </c>
      <c r="Q842" s="60">
        <v>0</v>
      </c>
      <c r="R842" s="60">
        <v>0</v>
      </c>
      <c r="S842" s="60">
        <v>0</v>
      </c>
      <c r="T842" s="60">
        <v>0</v>
      </c>
      <c r="U842" s="60">
        <v>0</v>
      </c>
      <c r="V842" s="60">
        <v>0</v>
      </c>
      <c r="W842" s="60">
        <v>0</v>
      </c>
      <c r="X842" s="60">
        <v>0</v>
      </c>
      <c r="Y842" s="60">
        <v>0</v>
      </c>
      <c r="Z842" s="60">
        <v>0</v>
      </c>
      <c r="AA842" s="60">
        <v>0</v>
      </c>
      <c r="AB842" s="60">
        <v>0</v>
      </c>
      <c r="AC842" s="60">
        <v>0</v>
      </c>
      <c r="AD842" s="60">
        <v>182408.64</v>
      </c>
      <c r="AE842" s="60">
        <v>0</v>
      </c>
      <c r="AF842" s="170">
        <v>2021</v>
      </c>
      <c r="AG842" s="170" t="s">
        <v>257</v>
      </c>
      <c r="AH842" s="170" t="s">
        <v>257</v>
      </c>
    </row>
    <row r="843" spans="1:34" ht="61.5" x14ac:dyDescent="0.85">
      <c r="A843" s="7">
        <v>1</v>
      </c>
      <c r="B843" s="59">
        <f>SUBTOTAL(103,$A$558:A843)</f>
        <v>273</v>
      </c>
      <c r="C843" s="160" t="s">
        <v>620</v>
      </c>
      <c r="D843" s="60">
        <f t="shared" si="113"/>
        <v>100139.03</v>
      </c>
      <c r="E843" s="60">
        <v>0</v>
      </c>
      <c r="F843" s="60">
        <v>0</v>
      </c>
      <c r="G843" s="60">
        <v>0</v>
      </c>
      <c r="H843" s="60">
        <v>0</v>
      </c>
      <c r="I843" s="60">
        <v>0</v>
      </c>
      <c r="J843" s="60">
        <v>0</v>
      </c>
      <c r="K843" s="168">
        <v>0</v>
      </c>
      <c r="L843" s="60">
        <v>0</v>
      </c>
      <c r="M843" s="60">
        <v>0</v>
      </c>
      <c r="N843" s="60">
        <v>0</v>
      </c>
      <c r="O843" s="60">
        <v>0</v>
      </c>
      <c r="P843" s="60">
        <v>0</v>
      </c>
      <c r="Q843" s="60">
        <v>0</v>
      </c>
      <c r="R843" s="60">
        <v>0</v>
      </c>
      <c r="S843" s="60">
        <v>0</v>
      </c>
      <c r="T843" s="60">
        <v>0</v>
      </c>
      <c r="U843" s="60">
        <v>0</v>
      </c>
      <c r="V843" s="60">
        <v>0</v>
      </c>
      <c r="W843" s="60">
        <v>0</v>
      </c>
      <c r="X843" s="60">
        <v>0</v>
      </c>
      <c r="Y843" s="60">
        <v>0</v>
      </c>
      <c r="Z843" s="60">
        <v>0</v>
      </c>
      <c r="AA843" s="60">
        <v>0</v>
      </c>
      <c r="AB843" s="60">
        <v>0</v>
      </c>
      <c r="AC843" s="60">
        <v>0</v>
      </c>
      <c r="AD843" s="60">
        <v>100139.03</v>
      </c>
      <c r="AE843" s="60">
        <v>0</v>
      </c>
      <c r="AF843" s="170">
        <v>2021</v>
      </c>
      <c r="AG843" s="170" t="s">
        <v>257</v>
      </c>
      <c r="AH843" s="170" t="s">
        <v>257</v>
      </c>
    </row>
    <row r="844" spans="1:34" ht="61.5" x14ac:dyDescent="0.85">
      <c r="A844" s="7">
        <v>1</v>
      </c>
      <c r="B844" s="59">
        <f>SUBTOTAL(103,$A$558:A844)</f>
        <v>274</v>
      </c>
      <c r="C844" s="160" t="s">
        <v>619</v>
      </c>
      <c r="D844" s="60">
        <f t="shared" si="113"/>
        <v>3276117.4600000004</v>
      </c>
      <c r="E844" s="60">
        <v>0</v>
      </c>
      <c r="F844" s="60">
        <v>0</v>
      </c>
      <c r="G844" s="60">
        <v>0</v>
      </c>
      <c r="H844" s="60">
        <v>0</v>
      </c>
      <c r="I844" s="60">
        <v>0</v>
      </c>
      <c r="J844" s="60">
        <v>0</v>
      </c>
      <c r="K844" s="168">
        <v>0</v>
      </c>
      <c r="L844" s="60">
        <v>0</v>
      </c>
      <c r="M844" s="60">
        <v>788.92</v>
      </c>
      <c r="N844" s="62">
        <v>3131089</v>
      </c>
      <c r="O844" s="60">
        <v>0</v>
      </c>
      <c r="P844" s="60">
        <v>0</v>
      </c>
      <c r="Q844" s="60">
        <v>0</v>
      </c>
      <c r="R844" s="60">
        <v>0</v>
      </c>
      <c r="S844" s="60">
        <v>0</v>
      </c>
      <c r="T844" s="60">
        <v>0</v>
      </c>
      <c r="U844" s="60">
        <v>0</v>
      </c>
      <c r="V844" s="60">
        <v>0</v>
      </c>
      <c r="W844" s="60">
        <v>0</v>
      </c>
      <c r="X844" s="60">
        <v>0</v>
      </c>
      <c r="Y844" s="60">
        <v>0</v>
      </c>
      <c r="Z844" s="60">
        <v>0</v>
      </c>
      <c r="AA844" s="60">
        <v>0</v>
      </c>
      <c r="AB844" s="60">
        <v>0</v>
      </c>
      <c r="AC844" s="62">
        <v>39451.72</v>
      </c>
      <c r="AD844" s="62">
        <v>105576.74</v>
      </c>
      <c r="AE844" s="60">
        <v>0</v>
      </c>
      <c r="AF844" s="170">
        <v>2021</v>
      </c>
      <c r="AG844" s="170">
        <v>2021</v>
      </c>
      <c r="AH844" s="63">
        <v>2021</v>
      </c>
    </row>
    <row r="845" spans="1:34" ht="61.5" x14ac:dyDescent="0.85">
      <c r="A845" s="7">
        <v>1</v>
      </c>
      <c r="B845" s="59">
        <f>SUBTOTAL(103,$A$558:A845)</f>
        <v>275</v>
      </c>
      <c r="C845" s="160" t="s">
        <v>635</v>
      </c>
      <c r="D845" s="60">
        <f t="shared" si="113"/>
        <v>4306090.1500000004</v>
      </c>
      <c r="E845" s="182">
        <v>0</v>
      </c>
      <c r="F845" s="182">
        <v>0</v>
      </c>
      <c r="G845" s="60">
        <v>0</v>
      </c>
      <c r="H845" s="182">
        <v>0</v>
      </c>
      <c r="I845" s="182">
        <v>0</v>
      </c>
      <c r="J845" s="182">
        <v>0</v>
      </c>
      <c r="K845" s="168">
        <v>0</v>
      </c>
      <c r="L845" s="60">
        <v>0</v>
      </c>
      <c r="M845" s="62">
        <v>870</v>
      </c>
      <c r="N845" s="169">
        <v>4262928</v>
      </c>
      <c r="O845" s="182">
        <v>0</v>
      </c>
      <c r="P845" s="182">
        <v>0</v>
      </c>
      <c r="Q845" s="60">
        <v>0</v>
      </c>
      <c r="R845" s="60">
        <v>0</v>
      </c>
      <c r="S845" s="60">
        <v>0</v>
      </c>
      <c r="T845" s="60">
        <v>0</v>
      </c>
      <c r="U845" s="60">
        <v>0</v>
      </c>
      <c r="V845" s="60">
        <v>0</v>
      </c>
      <c r="W845" s="60">
        <v>0</v>
      </c>
      <c r="X845" s="60">
        <v>0</v>
      </c>
      <c r="Y845" s="60">
        <v>0</v>
      </c>
      <c r="Z845" s="60">
        <v>0</v>
      </c>
      <c r="AA845" s="60">
        <v>0</v>
      </c>
      <c r="AB845" s="60">
        <v>0</v>
      </c>
      <c r="AC845" s="62">
        <v>43162.15</v>
      </c>
      <c r="AD845" s="60">
        <v>0</v>
      </c>
      <c r="AE845" s="60">
        <v>0</v>
      </c>
      <c r="AF845" s="170" t="s">
        <v>257</v>
      </c>
      <c r="AG845" s="170">
        <v>2021</v>
      </c>
      <c r="AH845" s="63">
        <v>2021</v>
      </c>
    </row>
    <row r="846" spans="1:34" ht="61.5" x14ac:dyDescent="0.85">
      <c r="A846" s="7">
        <v>1</v>
      </c>
      <c r="B846" s="59">
        <f>SUBTOTAL(103,$A$558:A846)</f>
        <v>276</v>
      </c>
      <c r="C846" s="160" t="s">
        <v>612</v>
      </c>
      <c r="D846" s="60">
        <f t="shared" si="113"/>
        <v>5118136.7</v>
      </c>
      <c r="E846" s="182">
        <v>0</v>
      </c>
      <c r="F846" s="182">
        <v>0</v>
      </c>
      <c r="G846" s="60">
        <v>0</v>
      </c>
      <c r="H846" s="182">
        <v>0</v>
      </c>
      <c r="I846" s="182">
        <v>0</v>
      </c>
      <c r="J846" s="182">
        <v>0</v>
      </c>
      <c r="K846" s="168">
        <v>0</v>
      </c>
      <c r="L846" s="60">
        <v>0</v>
      </c>
      <c r="M846" s="62">
        <v>1016.5</v>
      </c>
      <c r="N846" s="169">
        <v>5066835</v>
      </c>
      <c r="O846" s="182">
        <v>0</v>
      </c>
      <c r="P846" s="182">
        <v>0</v>
      </c>
      <c r="Q846" s="60">
        <v>0</v>
      </c>
      <c r="R846" s="60">
        <v>0</v>
      </c>
      <c r="S846" s="60">
        <v>0</v>
      </c>
      <c r="T846" s="60">
        <v>0</v>
      </c>
      <c r="U846" s="60">
        <v>0</v>
      </c>
      <c r="V846" s="60">
        <v>0</v>
      </c>
      <c r="W846" s="60">
        <v>0</v>
      </c>
      <c r="X846" s="60">
        <v>0</v>
      </c>
      <c r="Y846" s="60">
        <v>0</v>
      </c>
      <c r="Z846" s="60">
        <v>0</v>
      </c>
      <c r="AA846" s="60">
        <v>0</v>
      </c>
      <c r="AB846" s="60">
        <v>0</v>
      </c>
      <c r="AC846" s="62">
        <v>51301.7</v>
      </c>
      <c r="AD846" s="60">
        <v>0</v>
      </c>
      <c r="AE846" s="60">
        <v>0</v>
      </c>
      <c r="AF846" s="170" t="s">
        <v>257</v>
      </c>
      <c r="AG846" s="170">
        <v>2021</v>
      </c>
      <c r="AH846" s="63">
        <v>2021</v>
      </c>
    </row>
    <row r="847" spans="1:34" ht="61.5" x14ac:dyDescent="0.85">
      <c r="A847" s="7">
        <v>1</v>
      </c>
      <c r="B847" s="59">
        <f>SUBTOTAL(103,$A$558:A847)</f>
        <v>277</v>
      </c>
      <c r="C847" s="160" t="s">
        <v>1132</v>
      </c>
      <c r="D847" s="60">
        <f t="shared" si="113"/>
        <v>2630502.91</v>
      </c>
      <c r="E847" s="182">
        <v>0</v>
      </c>
      <c r="F847" s="182">
        <v>0</v>
      </c>
      <c r="G847" s="60">
        <v>0</v>
      </c>
      <c r="H847" s="182">
        <v>0</v>
      </c>
      <c r="I847" s="182">
        <v>0</v>
      </c>
      <c r="J847" s="182">
        <v>0</v>
      </c>
      <c r="K847" s="168">
        <v>0</v>
      </c>
      <c r="L847" s="60">
        <v>0</v>
      </c>
      <c r="M847" s="62">
        <v>738.9</v>
      </c>
      <c r="N847" s="62">
        <v>2591820</v>
      </c>
      <c r="O847" s="182">
        <v>0</v>
      </c>
      <c r="P847" s="182">
        <v>0</v>
      </c>
      <c r="Q847" s="60">
        <v>0</v>
      </c>
      <c r="R847" s="60">
        <v>0</v>
      </c>
      <c r="S847" s="60">
        <v>0</v>
      </c>
      <c r="T847" s="60">
        <v>0</v>
      </c>
      <c r="U847" s="60">
        <v>0</v>
      </c>
      <c r="V847" s="60">
        <v>0</v>
      </c>
      <c r="W847" s="60">
        <v>0</v>
      </c>
      <c r="X847" s="60">
        <v>0</v>
      </c>
      <c r="Y847" s="60">
        <v>0</v>
      </c>
      <c r="Z847" s="60">
        <v>0</v>
      </c>
      <c r="AA847" s="60">
        <v>0</v>
      </c>
      <c r="AB847" s="60">
        <v>0</v>
      </c>
      <c r="AC847" s="62">
        <v>38682.910000000003</v>
      </c>
      <c r="AD847" s="60">
        <v>0</v>
      </c>
      <c r="AE847" s="60">
        <v>0</v>
      </c>
      <c r="AF847" s="170" t="s">
        <v>257</v>
      </c>
      <c r="AG847" s="170">
        <v>2021</v>
      </c>
      <c r="AH847" s="63">
        <v>2021</v>
      </c>
    </row>
    <row r="848" spans="1:34" s="66" customFormat="1" ht="61.5" x14ac:dyDescent="0.85">
      <c r="A848" s="66">
        <v>1</v>
      </c>
      <c r="B848" s="59">
        <f>SUBTOTAL(103,$A$558:A848)</f>
        <v>278</v>
      </c>
      <c r="C848" s="195" t="s">
        <v>1811</v>
      </c>
      <c r="D848" s="60">
        <f t="shared" si="113"/>
        <v>81858.100000000006</v>
      </c>
      <c r="E848" s="198">
        <v>0</v>
      </c>
      <c r="F848" s="198">
        <v>0</v>
      </c>
      <c r="G848" s="198">
        <v>0</v>
      </c>
      <c r="H848" s="198">
        <v>0</v>
      </c>
      <c r="I848" s="198">
        <v>0</v>
      </c>
      <c r="J848" s="198">
        <v>0</v>
      </c>
      <c r="K848" s="174">
        <v>0</v>
      </c>
      <c r="L848" s="173">
        <v>0</v>
      </c>
      <c r="M848" s="60">
        <v>0</v>
      </c>
      <c r="N848" s="60">
        <v>0</v>
      </c>
      <c r="O848" s="173">
        <v>0</v>
      </c>
      <c r="P848" s="173">
        <v>0</v>
      </c>
      <c r="Q848" s="173">
        <v>0</v>
      </c>
      <c r="R848" s="173">
        <v>0</v>
      </c>
      <c r="S848" s="173">
        <v>0</v>
      </c>
      <c r="T848" s="173">
        <v>0</v>
      </c>
      <c r="U848" s="173">
        <v>0</v>
      </c>
      <c r="V848" s="173">
        <v>0</v>
      </c>
      <c r="W848" s="173">
        <v>0</v>
      </c>
      <c r="X848" s="173">
        <v>0</v>
      </c>
      <c r="Y848" s="173">
        <v>0</v>
      </c>
      <c r="Z848" s="173">
        <v>0</v>
      </c>
      <c r="AA848" s="173">
        <v>0</v>
      </c>
      <c r="AB848" s="173">
        <v>0</v>
      </c>
      <c r="AC848" s="173">
        <v>0</v>
      </c>
      <c r="AD848" s="62">
        <v>81858.100000000006</v>
      </c>
      <c r="AE848" s="173">
        <v>0</v>
      </c>
      <c r="AF848" s="197">
        <v>2021</v>
      </c>
      <c r="AG848" s="170" t="s">
        <v>257</v>
      </c>
      <c r="AH848" s="170" t="s">
        <v>257</v>
      </c>
    </row>
    <row r="849" spans="1:34" ht="61.5" x14ac:dyDescent="0.85">
      <c r="A849" s="7">
        <v>1</v>
      </c>
      <c r="B849" s="59">
        <f>SUBTOTAL(103,$A$558:A849)</f>
        <v>279</v>
      </c>
      <c r="C849" s="160" t="s">
        <v>609</v>
      </c>
      <c r="D849" s="60">
        <f t="shared" si="113"/>
        <v>4070229.64</v>
      </c>
      <c r="E849" s="180">
        <v>0</v>
      </c>
      <c r="F849" s="180">
        <v>0</v>
      </c>
      <c r="G849" s="180">
        <v>0</v>
      </c>
      <c r="H849" s="180">
        <v>0</v>
      </c>
      <c r="I849" s="180">
        <v>0</v>
      </c>
      <c r="J849" s="180">
        <v>0</v>
      </c>
      <c r="K849" s="168">
        <v>2</v>
      </c>
      <c r="L849" s="60">
        <v>3925408.8</v>
      </c>
      <c r="M849" s="60">
        <v>0</v>
      </c>
      <c r="N849" s="60">
        <v>0</v>
      </c>
      <c r="O849" s="60">
        <v>0</v>
      </c>
      <c r="P849" s="60">
        <v>0</v>
      </c>
      <c r="Q849" s="60">
        <v>0</v>
      </c>
      <c r="R849" s="60">
        <v>0</v>
      </c>
      <c r="S849" s="60">
        <v>0</v>
      </c>
      <c r="T849" s="60">
        <v>0</v>
      </c>
      <c r="U849" s="60">
        <v>0</v>
      </c>
      <c r="V849" s="60">
        <v>0</v>
      </c>
      <c r="W849" s="60">
        <v>0</v>
      </c>
      <c r="X849" s="60">
        <v>0</v>
      </c>
      <c r="Y849" s="60">
        <v>0</v>
      </c>
      <c r="Z849" s="60">
        <v>0</v>
      </c>
      <c r="AA849" s="60">
        <v>0</v>
      </c>
      <c r="AB849" s="60">
        <v>0</v>
      </c>
      <c r="AC849" s="60">
        <v>28557.35</v>
      </c>
      <c r="AD849" s="62">
        <v>116263.49</v>
      </c>
      <c r="AE849" s="60">
        <v>0</v>
      </c>
      <c r="AF849" s="170">
        <v>2021</v>
      </c>
      <c r="AG849" s="170">
        <v>2021</v>
      </c>
      <c r="AH849" s="170">
        <v>2021</v>
      </c>
    </row>
    <row r="850" spans="1:34" ht="61.5" x14ac:dyDescent="0.85">
      <c r="A850" s="7">
        <v>1</v>
      </c>
      <c r="B850" s="59">
        <f>SUBTOTAL(103,$A$558:A850)</f>
        <v>280</v>
      </c>
      <c r="C850" s="186" t="s">
        <v>614</v>
      </c>
      <c r="D850" s="60">
        <f t="shared" si="113"/>
        <v>126963.15</v>
      </c>
      <c r="E850" s="60">
        <v>0</v>
      </c>
      <c r="F850" s="60">
        <v>0</v>
      </c>
      <c r="G850" s="60">
        <v>0</v>
      </c>
      <c r="H850" s="60">
        <v>0</v>
      </c>
      <c r="I850" s="60">
        <v>0</v>
      </c>
      <c r="J850" s="60">
        <v>0</v>
      </c>
      <c r="K850" s="168">
        <v>0</v>
      </c>
      <c r="L850" s="60">
        <v>0</v>
      </c>
      <c r="M850" s="60">
        <v>0</v>
      </c>
      <c r="N850" s="60">
        <v>0</v>
      </c>
      <c r="O850" s="60">
        <v>0</v>
      </c>
      <c r="P850" s="60">
        <v>0</v>
      </c>
      <c r="Q850" s="60">
        <v>0</v>
      </c>
      <c r="R850" s="60">
        <v>0</v>
      </c>
      <c r="S850" s="60">
        <v>0</v>
      </c>
      <c r="T850" s="60">
        <v>0</v>
      </c>
      <c r="U850" s="60">
        <v>0</v>
      </c>
      <c r="V850" s="60">
        <v>0</v>
      </c>
      <c r="W850" s="60">
        <v>0</v>
      </c>
      <c r="X850" s="60">
        <v>0</v>
      </c>
      <c r="Y850" s="60">
        <v>0</v>
      </c>
      <c r="Z850" s="60">
        <v>0</v>
      </c>
      <c r="AA850" s="60">
        <v>0</v>
      </c>
      <c r="AB850" s="60">
        <v>0</v>
      </c>
      <c r="AC850" s="60">
        <v>0</v>
      </c>
      <c r="AD850" s="62">
        <v>126963.15</v>
      </c>
      <c r="AE850" s="60">
        <v>0</v>
      </c>
      <c r="AF850" s="170">
        <v>2021</v>
      </c>
      <c r="AG850" s="170" t="s">
        <v>257</v>
      </c>
      <c r="AH850" s="170" t="s">
        <v>257</v>
      </c>
    </row>
    <row r="851" spans="1:34" ht="61.5" x14ac:dyDescent="0.85">
      <c r="A851" s="7">
        <v>1</v>
      </c>
      <c r="B851" s="59">
        <f>SUBTOTAL(103,$A$558:A851)</f>
        <v>281</v>
      </c>
      <c r="C851" s="160" t="s">
        <v>2293</v>
      </c>
      <c r="D851" s="60">
        <f t="shared" si="113"/>
        <v>130807.19</v>
      </c>
      <c r="E851" s="180">
        <v>0</v>
      </c>
      <c r="F851" s="180">
        <v>0</v>
      </c>
      <c r="G851" s="180">
        <v>0</v>
      </c>
      <c r="H851" s="180">
        <v>0</v>
      </c>
      <c r="I851" s="180">
        <v>0</v>
      </c>
      <c r="J851" s="180">
        <v>0</v>
      </c>
      <c r="K851" s="168">
        <v>0</v>
      </c>
      <c r="L851" s="60">
        <v>0</v>
      </c>
      <c r="M851" s="60">
        <v>0</v>
      </c>
      <c r="N851" s="60">
        <v>0</v>
      </c>
      <c r="O851" s="60">
        <v>0</v>
      </c>
      <c r="P851" s="60">
        <v>0</v>
      </c>
      <c r="Q851" s="60">
        <v>0</v>
      </c>
      <c r="R851" s="60">
        <v>0</v>
      </c>
      <c r="S851" s="60">
        <v>0</v>
      </c>
      <c r="T851" s="60">
        <v>0</v>
      </c>
      <c r="U851" s="60">
        <v>0</v>
      </c>
      <c r="V851" s="60">
        <v>0</v>
      </c>
      <c r="W851" s="60">
        <v>0</v>
      </c>
      <c r="X851" s="60">
        <v>0</v>
      </c>
      <c r="Y851" s="60">
        <v>0</v>
      </c>
      <c r="Z851" s="60">
        <v>0</v>
      </c>
      <c r="AA851" s="60">
        <v>0</v>
      </c>
      <c r="AB851" s="60">
        <v>0</v>
      </c>
      <c r="AC851" s="60">
        <v>0</v>
      </c>
      <c r="AD851" s="62">
        <v>130807.19</v>
      </c>
      <c r="AE851" s="60">
        <v>0</v>
      </c>
      <c r="AF851" s="197">
        <v>2021</v>
      </c>
      <c r="AG851" s="170" t="s">
        <v>257</v>
      </c>
      <c r="AH851" s="170" t="s">
        <v>257</v>
      </c>
    </row>
    <row r="852" spans="1:34" ht="61.5" x14ac:dyDescent="0.85">
      <c r="B852" s="160" t="s">
        <v>769</v>
      </c>
      <c r="C852" s="176"/>
      <c r="D852" s="177">
        <f t="shared" ref="D852:AE852" si="114">SUM(D853:D858)</f>
        <v>19474666.420000002</v>
      </c>
      <c r="E852" s="60">
        <f t="shared" si="114"/>
        <v>297009.18</v>
      </c>
      <c r="F852" s="60">
        <f t="shared" si="114"/>
        <v>0</v>
      </c>
      <c r="G852" s="60">
        <f t="shared" si="114"/>
        <v>0</v>
      </c>
      <c r="H852" s="60">
        <f t="shared" si="114"/>
        <v>398267.64</v>
      </c>
      <c r="I852" s="60">
        <f t="shared" si="114"/>
        <v>0</v>
      </c>
      <c r="J852" s="60">
        <f t="shared" si="114"/>
        <v>0</v>
      </c>
      <c r="K852" s="168">
        <f t="shared" si="114"/>
        <v>0</v>
      </c>
      <c r="L852" s="60">
        <f t="shared" si="114"/>
        <v>0</v>
      </c>
      <c r="M852" s="60">
        <f t="shared" si="114"/>
        <v>2459.36</v>
      </c>
      <c r="N852" s="60">
        <f t="shared" si="114"/>
        <v>11744460.039999999</v>
      </c>
      <c r="O852" s="60">
        <f t="shared" si="114"/>
        <v>0</v>
      </c>
      <c r="P852" s="60">
        <f t="shared" si="114"/>
        <v>0</v>
      </c>
      <c r="Q852" s="60">
        <f t="shared" si="114"/>
        <v>0</v>
      </c>
      <c r="R852" s="60">
        <f t="shared" si="114"/>
        <v>0</v>
      </c>
      <c r="S852" s="60">
        <f t="shared" si="114"/>
        <v>84.3</v>
      </c>
      <c r="T852" s="60">
        <f t="shared" si="114"/>
        <v>1861520.48</v>
      </c>
      <c r="U852" s="60">
        <f t="shared" si="114"/>
        <v>4694646</v>
      </c>
      <c r="V852" s="60">
        <f t="shared" si="114"/>
        <v>0</v>
      </c>
      <c r="W852" s="60">
        <f t="shared" si="114"/>
        <v>0</v>
      </c>
      <c r="X852" s="60">
        <f t="shared" si="114"/>
        <v>0</v>
      </c>
      <c r="Y852" s="60">
        <f t="shared" si="114"/>
        <v>0</v>
      </c>
      <c r="Z852" s="60">
        <f t="shared" si="114"/>
        <v>0</v>
      </c>
      <c r="AA852" s="60">
        <f t="shared" si="114"/>
        <v>0</v>
      </c>
      <c r="AB852" s="60">
        <f t="shared" si="114"/>
        <v>0</v>
      </c>
      <c r="AC852" s="60">
        <f t="shared" si="114"/>
        <v>232828.54000000004</v>
      </c>
      <c r="AD852" s="60">
        <f t="shared" si="114"/>
        <v>245934.54</v>
      </c>
      <c r="AE852" s="60">
        <f t="shared" si="114"/>
        <v>0</v>
      </c>
      <c r="AF852" s="54" t="s">
        <v>701</v>
      </c>
      <c r="AG852" s="54" t="s">
        <v>701</v>
      </c>
      <c r="AH852" s="55" t="s">
        <v>701</v>
      </c>
    </row>
    <row r="853" spans="1:34" ht="61.5" x14ac:dyDescent="0.85">
      <c r="A853" s="7">
        <v>1</v>
      </c>
      <c r="B853" s="59">
        <f>SUBTOTAL(103,$A$558:A853)</f>
        <v>282</v>
      </c>
      <c r="C853" s="160" t="s">
        <v>224</v>
      </c>
      <c r="D853" s="60">
        <f t="shared" ref="D853:D858" si="115">E853+F853+G853+H853+I853+J853+L853+N853+P853+R853+T853+U853+V853+W853+X853+Y853+Z853+AA853+AB853+AC853+AD853+AE853</f>
        <v>7716315.5500000007</v>
      </c>
      <c r="E853" s="60">
        <v>0</v>
      </c>
      <c r="F853" s="60">
        <v>0</v>
      </c>
      <c r="G853" s="60">
        <v>0</v>
      </c>
      <c r="H853" s="60">
        <v>0</v>
      </c>
      <c r="I853" s="60">
        <v>0</v>
      </c>
      <c r="J853" s="60">
        <v>0</v>
      </c>
      <c r="K853" s="168">
        <v>0</v>
      </c>
      <c r="L853" s="60">
        <v>0</v>
      </c>
      <c r="M853" s="60">
        <v>1435.18</v>
      </c>
      <c r="N853" s="60">
        <v>7515978</v>
      </c>
      <c r="O853" s="60">
        <v>0</v>
      </c>
      <c r="P853" s="60">
        <v>0</v>
      </c>
      <c r="Q853" s="60">
        <v>0</v>
      </c>
      <c r="R853" s="60">
        <v>0</v>
      </c>
      <c r="S853" s="60">
        <v>0</v>
      </c>
      <c r="T853" s="60">
        <v>0</v>
      </c>
      <c r="U853" s="60">
        <v>0</v>
      </c>
      <c r="V853" s="60">
        <v>0</v>
      </c>
      <c r="W853" s="60">
        <v>0</v>
      </c>
      <c r="X853" s="60">
        <v>0</v>
      </c>
      <c r="Y853" s="60">
        <v>0</v>
      </c>
      <c r="Z853" s="60">
        <v>0</v>
      </c>
      <c r="AA853" s="60">
        <v>0</v>
      </c>
      <c r="AB853" s="60">
        <v>0</v>
      </c>
      <c r="AC853" s="62">
        <v>94701.32</v>
      </c>
      <c r="AD853" s="60">
        <v>105636.23</v>
      </c>
      <c r="AE853" s="60">
        <v>0</v>
      </c>
      <c r="AF853" s="170">
        <v>2021</v>
      </c>
      <c r="AG853" s="170">
        <v>2021</v>
      </c>
      <c r="AH853" s="63">
        <v>2021</v>
      </c>
    </row>
    <row r="854" spans="1:34" ht="61.5" x14ac:dyDescent="0.85">
      <c r="A854" s="7">
        <v>1</v>
      </c>
      <c r="B854" s="59">
        <f>SUBTOTAL(103,$A$558:A854)</f>
        <v>283</v>
      </c>
      <c r="C854" s="160" t="s">
        <v>229</v>
      </c>
      <c r="D854" s="60">
        <f t="shared" si="115"/>
        <v>4844326.3099999996</v>
      </c>
      <c r="E854" s="60">
        <v>0</v>
      </c>
      <c r="F854" s="60">
        <v>0</v>
      </c>
      <c r="G854" s="60">
        <v>0</v>
      </c>
      <c r="H854" s="60">
        <v>0</v>
      </c>
      <c r="I854" s="60">
        <v>0</v>
      </c>
      <c r="J854" s="60">
        <v>0</v>
      </c>
      <c r="K854" s="168">
        <v>0</v>
      </c>
      <c r="L854" s="60">
        <v>0</v>
      </c>
      <c r="M854" s="60">
        <v>0</v>
      </c>
      <c r="N854" s="60">
        <v>0</v>
      </c>
      <c r="O854" s="60">
        <v>0</v>
      </c>
      <c r="P854" s="60">
        <v>0</v>
      </c>
      <c r="Q854" s="60">
        <v>0</v>
      </c>
      <c r="R854" s="60">
        <v>0</v>
      </c>
      <c r="S854" s="60">
        <v>0</v>
      </c>
      <c r="T854" s="60">
        <v>0</v>
      </c>
      <c r="U854" s="60">
        <v>4694646</v>
      </c>
      <c r="V854" s="60">
        <v>0</v>
      </c>
      <c r="W854" s="60">
        <v>0</v>
      </c>
      <c r="X854" s="60">
        <v>0</v>
      </c>
      <c r="Y854" s="60">
        <v>0</v>
      </c>
      <c r="Z854" s="60">
        <v>0</v>
      </c>
      <c r="AA854" s="60">
        <v>0</v>
      </c>
      <c r="AB854" s="60">
        <v>0</v>
      </c>
      <c r="AC854" s="60">
        <v>59152.54</v>
      </c>
      <c r="AD854" s="60">
        <v>90527.77</v>
      </c>
      <c r="AE854" s="60">
        <v>0</v>
      </c>
      <c r="AF854" s="170">
        <v>2021</v>
      </c>
      <c r="AG854" s="170">
        <v>2021</v>
      </c>
      <c r="AH854" s="63">
        <v>2021</v>
      </c>
    </row>
    <row r="855" spans="1:34" ht="61.5" x14ac:dyDescent="0.85">
      <c r="A855" s="7">
        <v>1</v>
      </c>
      <c r="B855" s="59">
        <f>SUBTOTAL(103,$A$558:A855)</f>
        <v>284</v>
      </c>
      <c r="C855" s="160" t="s">
        <v>1510</v>
      </c>
      <c r="D855" s="60">
        <f t="shared" si="115"/>
        <v>1255062.24</v>
      </c>
      <c r="E855" s="60">
        <v>0</v>
      </c>
      <c r="F855" s="60">
        <v>0</v>
      </c>
      <c r="G855" s="60">
        <v>0</v>
      </c>
      <c r="H855" s="60">
        <v>0</v>
      </c>
      <c r="I855" s="60">
        <v>0</v>
      </c>
      <c r="J855" s="60">
        <v>0</v>
      </c>
      <c r="K855" s="168">
        <v>0</v>
      </c>
      <c r="L855" s="60">
        <v>0</v>
      </c>
      <c r="M855" s="60">
        <v>304.68</v>
      </c>
      <c r="N855" s="62">
        <v>1190294</v>
      </c>
      <c r="O855" s="60">
        <v>0</v>
      </c>
      <c r="P855" s="60">
        <v>0</v>
      </c>
      <c r="Q855" s="60">
        <v>0</v>
      </c>
      <c r="R855" s="60">
        <v>0</v>
      </c>
      <c r="S855" s="60">
        <v>0</v>
      </c>
      <c r="T855" s="60">
        <v>0</v>
      </c>
      <c r="U855" s="60">
        <v>0</v>
      </c>
      <c r="V855" s="60">
        <v>0</v>
      </c>
      <c r="W855" s="60">
        <v>0</v>
      </c>
      <c r="X855" s="60">
        <v>0</v>
      </c>
      <c r="Y855" s="60">
        <v>0</v>
      </c>
      <c r="Z855" s="60">
        <v>0</v>
      </c>
      <c r="AA855" s="60">
        <v>0</v>
      </c>
      <c r="AB855" s="60">
        <v>0</v>
      </c>
      <c r="AC855" s="62">
        <v>14997.7</v>
      </c>
      <c r="AD855" s="60">
        <v>49770.54</v>
      </c>
      <c r="AE855" s="60">
        <v>0</v>
      </c>
      <c r="AF855" s="170">
        <v>2021</v>
      </c>
      <c r="AG855" s="170">
        <v>2021</v>
      </c>
      <c r="AH855" s="63">
        <v>2021</v>
      </c>
    </row>
    <row r="856" spans="1:34" ht="61.5" x14ac:dyDescent="0.85">
      <c r="A856" s="7">
        <v>1</v>
      </c>
      <c r="B856" s="59">
        <f>SUBTOTAL(103,$A$558:A856)</f>
        <v>285</v>
      </c>
      <c r="C856" s="160" t="s">
        <v>1138</v>
      </c>
      <c r="D856" s="60">
        <f t="shared" si="115"/>
        <v>3076469.21</v>
      </c>
      <c r="E856" s="182">
        <v>0</v>
      </c>
      <c r="F856" s="182">
        <v>0</v>
      </c>
      <c r="G856" s="60">
        <v>0</v>
      </c>
      <c r="H856" s="182">
        <v>0</v>
      </c>
      <c r="I856" s="182">
        <v>0</v>
      </c>
      <c r="J856" s="182">
        <v>0</v>
      </c>
      <c r="K856" s="168">
        <v>0</v>
      </c>
      <c r="L856" s="60">
        <v>0</v>
      </c>
      <c r="M856" s="60">
        <v>719.5</v>
      </c>
      <c r="N856" s="62">
        <v>3038188.04</v>
      </c>
      <c r="O856" s="182">
        <v>0</v>
      </c>
      <c r="P856" s="182">
        <v>0</v>
      </c>
      <c r="Q856" s="60">
        <v>0</v>
      </c>
      <c r="R856" s="60">
        <v>0</v>
      </c>
      <c r="S856" s="60">
        <v>0</v>
      </c>
      <c r="T856" s="60">
        <v>0</v>
      </c>
      <c r="U856" s="60">
        <v>0</v>
      </c>
      <c r="V856" s="60">
        <v>0</v>
      </c>
      <c r="W856" s="60">
        <v>0</v>
      </c>
      <c r="X856" s="60">
        <v>0</v>
      </c>
      <c r="Y856" s="60">
        <v>0</v>
      </c>
      <c r="Z856" s="60">
        <v>0</v>
      </c>
      <c r="AA856" s="60">
        <v>0</v>
      </c>
      <c r="AB856" s="60">
        <v>0</v>
      </c>
      <c r="AC856" s="62">
        <v>38281.17</v>
      </c>
      <c r="AD856" s="60">
        <v>0</v>
      </c>
      <c r="AE856" s="60">
        <v>0</v>
      </c>
      <c r="AF856" s="170" t="s">
        <v>257</v>
      </c>
      <c r="AG856" s="170">
        <v>2021</v>
      </c>
      <c r="AH856" s="63">
        <v>2021</v>
      </c>
    </row>
    <row r="857" spans="1:34" ht="61.5" x14ac:dyDescent="0.85">
      <c r="A857" s="7">
        <v>1</v>
      </c>
      <c r="B857" s="59">
        <f>SUBTOTAL(103,$A$558:A857)</f>
        <v>286</v>
      </c>
      <c r="C857" s="160" t="s">
        <v>1136</v>
      </c>
      <c r="D857" s="60">
        <f t="shared" si="115"/>
        <v>702264.35000000009</v>
      </c>
      <c r="E857" s="62">
        <v>297009.18</v>
      </c>
      <c r="F857" s="182">
        <v>0</v>
      </c>
      <c r="G857" s="60">
        <v>0</v>
      </c>
      <c r="H857" s="62">
        <v>398267.64</v>
      </c>
      <c r="I857" s="182">
        <v>0</v>
      </c>
      <c r="J857" s="182">
        <v>0</v>
      </c>
      <c r="K857" s="168">
        <v>0</v>
      </c>
      <c r="L857" s="60">
        <v>0</v>
      </c>
      <c r="M857" s="60">
        <v>0</v>
      </c>
      <c r="N857" s="60">
        <v>0</v>
      </c>
      <c r="O857" s="182">
        <v>0</v>
      </c>
      <c r="P857" s="182">
        <v>0</v>
      </c>
      <c r="Q857" s="60">
        <v>0</v>
      </c>
      <c r="R857" s="60">
        <v>0</v>
      </c>
      <c r="S857" s="60">
        <v>0</v>
      </c>
      <c r="T857" s="60">
        <v>0</v>
      </c>
      <c r="U857" s="60">
        <v>0</v>
      </c>
      <c r="V857" s="60">
        <v>0</v>
      </c>
      <c r="W857" s="60">
        <v>0</v>
      </c>
      <c r="X857" s="60">
        <v>0</v>
      </c>
      <c r="Y857" s="60">
        <v>0</v>
      </c>
      <c r="Z857" s="60">
        <v>0</v>
      </c>
      <c r="AA857" s="60">
        <v>0</v>
      </c>
      <c r="AB857" s="60">
        <v>0</v>
      </c>
      <c r="AC857" s="62">
        <v>6987.5300000000007</v>
      </c>
      <c r="AD857" s="60">
        <v>0</v>
      </c>
      <c r="AE857" s="60">
        <v>0</v>
      </c>
      <c r="AF857" s="170" t="s">
        <v>257</v>
      </c>
      <c r="AG857" s="170">
        <v>2021</v>
      </c>
      <c r="AH857" s="63">
        <v>2021</v>
      </c>
    </row>
    <row r="858" spans="1:34" ht="61.5" x14ac:dyDescent="0.85">
      <c r="A858" s="7">
        <v>1</v>
      </c>
      <c r="B858" s="59">
        <f>SUBTOTAL(103,$A$558:A858)</f>
        <v>287</v>
      </c>
      <c r="C858" s="160" t="s">
        <v>1139</v>
      </c>
      <c r="D858" s="60">
        <f t="shared" si="115"/>
        <v>1880228.76</v>
      </c>
      <c r="E858" s="182">
        <v>0</v>
      </c>
      <c r="F858" s="182">
        <v>0</v>
      </c>
      <c r="G858" s="60">
        <v>0</v>
      </c>
      <c r="H858" s="182">
        <v>0</v>
      </c>
      <c r="I858" s="182">
        <v>0</v>
      </c>
      <c r="J858" s="182">
        <v>0</v>
      </c>
      <c r="K858" s="168">
        <v>0</v>
      </c>
      <c r="L858" s="60">
        <v>0</v>
      </c>
      <c r="M858" s="60">
        <v>0</v>
      </c>
      <c r="N858" s="60">
        <v>0</v>
      </c>
      <c r="O858" s="182">
        <v>0</v>
      </c>
      <c r="P858" s="182">
        <v>0</v>
      </c>
      <c r="Q858" s="60">
        <v>0</v>
      </c>
      <c r="R858" s="60">
        <v>0</v>
      </c>
      <c r="S858" s="62">
        <v>84.3</v>
      </c>
      <c r="T858" s="62">
        <v>1861520.48</v>
      </c>
      <c r="U858" s="60">
        <v>0</v>
      </c>
      <c r="V858" s="60">
        <v>0</v>
      </c>
      <c r="W858" s="60">
        <v>0</v>
      </c>
      <c r="X858" s="60">
        <v>0</v>
      </c>
      <c r="Y858" s="60">
        <v>0</v>
      </c>
      <c r="Z858" s="60">
        <v>0</v>
      </c>
      <c r="AA858" s="60">
        <v>0</v>
      </c>
      <c r="AB858" s="60">
        <v>0</v>
      </c>
      <c r="AC858" s="62">
        <v>18708.28</v>
      </c>
      <c r="AD858" s="60">
        <v>0</v>
      </c>
      <c r="AE858" s="60">
        <v>0</v>
      </c>
      <c r="AF858" s="170" t="s">
        <v>257</v>
      </c>
      <c r="AG858" s="170">
        <v>2021</v>
      </c>
      <c r="AH858" s="63">
        <v>2021</v>
      </c>
    </row>
    <row r="859" spans="1:34" ht="61.5" x14ac:dyDescent="0.85">
      <c r="B859" s="160" t="s">
        <v>1201</v>
      </c>
      <c r="C859" s="160"/>
      <c r="D859" s="177">
        <f t="shared" ref="D859:AE859" si="116">SUM(D860:D861)</f>
        <v>189626.95</v>
      </c>
      <c r="E859" s="60">
        <f t="shared" si="116"/>
        <v>0</v>
      </c>
      <c r="F859" s="60">
        <f t="shared" si="116"/>
        <v>0</v>
      </c>
      <c r="G859" s="60">
        <f t="shared" si="116"/>
        <v>0</v>
      </c>
      <c r="H859" s="60">
        <f t="shared" si="116"/>
        <v>0</v>
      </c>
      <c r="I859" s="60">
        <f t="shared" si="116"/>
        <v>0</v>
      </c>
      <c r="J859" s="60">
        <f t="shared" si="116"/>
        <v>0</v>
      </c>
      <c r="K859" s="168">
        <f t="shared" si="116"/>
        <v>0</v>
      </c>
      <c r="L859" s="60">
        <f t="shared" si="116"/>
        <v>0</v>
      </c>
      <c r="M859" s="60">
        <f t="shared" si="116"/>
        <v>0</v>
      </c>
      <c r="N859" s="60">
        <f t="shared" si="116"/>
        <v>0</v>
      </c>
      <c r="O859" s="60">
        <f t="shared" si="116"/>
        <v>0</v>
      </c>
      <c r="P859" s="60">
        <f t="shared" si="116"/>
        <v>0</v>
      </c>
      <c r="Q859" s="60">
        <f t="shared" si="116"/>
        <v>0</v>
      </c>
      <c r="R859" s="60">
        <f t="shared" si="116"/>
        <v>0</v>
      </c>
      <c r="S859" s="60">
        <f t="shared" si="116"/>
        <v>0</v>
      </c>
      <c r="T859" s="60">
        <f t="shared" si="116"/>
        <v>0</v>
      </c>
      <c r="U859" s="60">
        <f t="shared" si="116"/>
        <v>0</v>
      </c>
      <c r="V859" s="60">
        <f t="shared" si="116"/>
        <v>0</v>
      </c>
      <c r="W859" s="60">
        <f t="shared" si="116"/>
        <v>0</v>
      </c>
      <c r="X859" s="60">
        <f t="shared" si="116"/>
        <v>0</v>
      </c>
      <c r="Y859" s="60">
        <f t="shared" si="116"/>
        <v>0</v>
      </c>
      <c r="Z859" s="60">
        <f t="shared" si="116"/>
        <v>0</v>
      </c>
      <c r="AA859" s="60">
        <f t="shared" si="116"/>
        <v>0</v>
      </c>
      <c r="AB859" s="60">
        <f t="shared" si="116"/>
        <v>0</v>
      </c>
      <c r="AC859" s="60">
        <f t="shared" si="116"/>
        <v>0</v>
      </c>
      <c r="AD859" s="60">
        <f t="shared" si="116"/>
        <v>189626.95</v>
      </c>
      <c r="AE859" s="60">
        <f t="shared" si="116"/>
        <v>0</v>
      </c>
      <c r="AF859" s="54" t="s">
        <v>701</v>
      </c>
      <c r="AG859" s="54" t="s">
        <v>701</v>
      </c>
      <c r="AH859" s="55" t="s">
        <v>701</v>
      </c>
    </row>
    <row r="860" spans="1:34" ht="61.5" x14ac:dyDescent="0.85">
      <c r="A860" s="7">
        <v>1</v>
      </c>
      <c r="B860" s="59">
        <f>SUBTOTAL(103,$A$558:A860)</f>
        <v>288</v>
      </c>
      <c r="C860" s="160" t="s">
        <v>1202</v>
      </c>
      <c r="D860" s="60">
        <f>E860+F860+G860+H860+I860+J860+L860+N860+P860+R860+T860+U860+V860+W860+X860+Y860+Z860+AA860+AB860+AC860+AD860+AE860</f>
        <v>105800.95</v>
      </c>
      <c r="E860" s="60">
        <v>0</v>
      </c>
      <c r="F860" s="60">
        <v>0</v>
      </c>
      <c r="G860" s="60">
        <v>0</v>
      </c>
      <c r="H860" s="60">
        <v>0</v>
      </c>
      <c r="I860" s="60">
        <v>0</v>
      </c>
      <c r="J860" s="60">
        <v>0</v>
      </c>
      <c r="K860" s="168">
        <v>0</v>
      </c>
      <c r="L860" s="60">
        <v>0</v>
      </c>
      <c r="M860" s="60">
        <v>0</v>
      </c>
      <c r="N860" s="60">
        <v>0</v>
      </c>
      <c r="O860" s="60">
        <v>0</v>
      </c>
      <c r="P860" s="60">
        <v>0</v>
      </c>
      <c r="Q860" s="60">
        <v>0</v>
      </c>
      <c r="R860" s="60">
        <v>0</v>
      </c>
      <c r="S860" s="60">
        <v>0</v>
      </c>
      <c r="T860" s="60">
        <v>0</v>
      </c>
      <c r="U860" s="60">
        <v>0</v>
      </c>
      <c r="V860" s="60">
        <v>0</v>
      </c>
      <c r="W860" s="60">
        <v>0</v>
      </c>
      <c r="X860" s="60">
        <v>0</v>
      </c>
      <c r="Y860" s="60">
        <v>0</v>
      </c>
      <c r="Z860" s="60">
        <v>0</v>
      </c>
      <c r="AA860" s="60">
        <v>0</v>
      </c>
      <c r="AB860" s="60">
        <v>0</v>
      </c>
      <c r="AC860" s="60">
        <f>ROUND(R860*1.26%,2)</f>
        <v>0</v>
      </c>
      <c r="AD860" s="60">
        <v>105800.95</v>
      </c>
      <c r="AE860" s="60">
        <v>0</v>
      </c>
      <c r="AF860" s="170">
        <v>2021</v>
      </c>
      <c r="AG860" s="170" t="s">
        <v>257</v>
      </c>
      <c r="AH860" s="170" t="s">
        <v>257</v>
      </c>
    </row>
    <row r="861" spans="1:34" ht="61.5" x14ac:dyDescent="0.85">
      <c r="A861" s="7">
        <v>1</v>
      </c>
      <c r="B861" s="59">
        <f>SUBTOTAL(103,$A$558:A861)</f>
        <v>289</v>
      </c>
      <c r="C861" s="186" t="s">
        <v>234</v>
      </c>
      <c r="D861" s="60">
        <f>E861+F861+G861+H861+I861+J861+L861+N861+P861+R861+T861+U861+V861+W861+X861+Y861+Z861+AA861+AB861+AC861+AD861+AE861</f>
        <v>83826</v>
      </c>
      <c r="E861" s="60">
        <v>0</v>
      </c>
      <c r="F861" s="60">
        <v>0</v>
      </c>
      <c r="G861" s="60">
        <v>0</v>
      </c>
      <c r="H861" s="60">
        <v>0</v>
      </c>
      <c r="I861" s="60">
        <v>0</v>
      </c>
      <c r="J861" s="60">
        <v>0</v>
      </c>
      <c r="K861" s="168">
        <v>0</v>
      </c>
      <c r="L861" s="60">
        <v>0</v>
      </c>
      <c r="M861" s="60">
        <v>0</v>
      </c>
      <c r="N861" s="60">
        <v>0</v>
      </c>
      <c r="O861" s="60">
        <v>0</v>
      </c>
      <c r="P861" s="60">
        <v>0</v>
      </c>
      <c r="Q861" s="60">
        <v>0</v>
      </c>
      <c r="R861" s="60">
        <v>0</v>
      </c>
      <c r="S861" s="60">
        <v>0</v>
      </c>
      <c r="T861" s="60">
        <v>0</v>
      </c>
      <c r="U861" s="60">
        <v>0</v>
      </c>
      <c r="V861" s="60">
        <v>0</v>
      </c>
      <c r="W861" s="60">
        <v>0</v>
      </c>
      <c r="X861" s="60">
        <v>0</v>
      </c>
      <c r="Y861" s="60">
        <v>0</v>
      </c>
      <c r="Z861" s="60">
        <v>0</v>
      </c>
      <c r="AA861" s="60">
        <v>0</v>
      </c>
      <c r="AB861" s="60">
        <v>0</v>
      </c>
      <c r="AC861" s="60">
        <f>ROUND(R861*1.5%,2)</f>
        <v>0</v>
      </c>
      <c r="AD861" s="60">
        <v>83826</v>
      </c>
      <c r="AE861" s="60">
        <v>0</v>
      </c>
      <c r="AF861" s="170">
        <v>2021</v>
      </c>
      <c r="AG861" s="170" t="s">
        <v>257</v>
      </c>
      <c r="AH861" s="170" t="s">
        <v>257</v>
      </c>
    </row>
    <row r="862" spans="1:34" ht="61.5" x14ac:dyDescent="0.85">
      <c r="B862" s="160" t="s">
        <v>770</v>
      </c>
      <c r="C862" s="160"/>
      <c r="D862" s="177">
        <f t="shared" ref="D862:AE862" si="117">SUM(D863:D863)</f>
        <v>379110.22000000003</v>
      </c>
      <c r="E862" s="60">
        <f t="shared" si="117"/>
        <v>0</v>
      </c>
      <c r="F862" s="60">
        <f t="shared" si="117"/>
        <v>0</v>
      </c>
      <c r="G862" s="60">
        <f t="shared" si="117"/>
        <v>0</v>
      </c>
      <c r="H862" s="60">
        <f t="shared" si="117"/>
        <v>0</v>
      </c>
      <c r="I862" s="60">
        <f t="shared" si="117"/>
        <v>0</v>
      </c>
      <c r="J862" s="60">
        <f t="shared" si="117"/>
        <v>0</v>
      </c>
      <c r="K862" s="168">
        <f t="shared" si="117"/>
        <v>0</v>
      </c>
      <c r="L862" s="60">
        <f t="shared" si="117"/>
        <v>0</v>
      </c>
      <c r="M862" s="60">
        <f t="shared" si="117"/>
        <v>0</v>
      </c>
      <c r="N862" s="60">
        <f t="shared" si="117"/>
        <v>0</v>
      </c>
      <c r="O862" s="60">
        <f t="shared" si="117"/>
        <v>0</v>
      </c>
      <c r="P862" s="60">
        <f t="shared" si="117"/>
        <v>0</v>
      </c>
      <c r="Q862" s="60">
        <f t="shared" si="117"/>
        <v>0</v>
      </c>
      <c r="R862" s="60">
        <f t="shared" si="117"/>
        <v>0</v>
      </c>
      <c r="S862" s="60">
        <f t="shared" si="117"/>
        <v>41.6</v>
      </c>
      <c r="T862" s="60">
        <f t="shared" si="117"/>
        <v>373535.21</v>
      </c>
      <c r="U862" s="60">
        <f t="shared" si="117"/>
        <v>0</v>
      </c>
      <c r="V862" s="60">
        <f t="shared" si="117"/>
        <v>0</v>
      </c>
      <c r="W862" s="60">
        <f t="shared" si="117"/>
        <v>0</v>
      </c>
      <c r="X862" s="60">
        <f t="shared" si="117"/>
        <v>0</v>
      </c>
      <c r="Y862" s="60">
        <f t="shared" si="117"/>
        <v>0</v>
      </c>
      <c r="Z862" s="60">
        <f t="shared" si="117"/>
        <v>0</v>
      </c>
      <c r="AA862" s="60">
        <f t="shared" si="117"/>
        <v>0</v>
      </c>
      <c r="AB862" s="60">
        <f t="shared" si="117"/>
        <v>0</v>
      </c>
      <c r="AC862" s="60">
        <f t="shared" si="117"/>
        <v>5575.01</v>
      </c>
      <c r="AD862" s="60">
        <f t="shared" si="117"/>
        <v>0</v>
      </c>
      <c r="AE862" s="60">
        <f t="shared" si="117"/>
        <v>0</v>
      </c>
      <c r="AF862" s="54" t="s">
        <v>701</v>
      </c>
      <c r="AG862" s="54" t="s">
        <v>701</v>
      </c>
      <c r="AH862" s="55" t="s">
        <v>701</v>
      </c>
    </row>
    <row r="863" spans="1:34" ht="61.5" x14ac:dyDescent="0.85">
      <c r="A863" s="7">
        <v>1</v>
      </c>
      <c r="B863" s="59">
        <f>SUBTOTAL(103,$A$558:A863)</f>
        <v>290</v>
      </c>
      <c r="C863" s="160" t="s">
        <v>1143</v>
      </c>
      <c r="D863" s="60">
        <f>E863+F863+G863+H863+I863+J863+L863+N863+P863+R863+T863+U863+V863+W863+X863+Y863+Z863+AA863+AB863+AC863+AD863+AE863</f>
        <v>379110.22000000003</v>
      </c>
      <c r="E863" s="60">
        <v>0</v>
      </c>
      <c r="F863" s="60">
        <v>0</v>
      </c>
      <c r="G863" s="60">
        <v>0</v>
      </c>
      <c r="H863" s="60">
        <v>0</v>
      </c>
      <c r="I863" s="60">
        <v>0</v>
      </c>
      <c r="J863" s="60">
        <v>0</v>
      </c>
      <c r="K863" s="168">
        <v>0</v>
      </c>
      <c r="L863" s="60">
        <v>0</v>
      </c>
      <c r="M863" s="60">
        <v>0</v>
      </c>
      <c r="N863" s="60">
        <v>0</v>
      </c>
      <c r="O863" s="60">
        <v>0</v>
      </c>
      <c r="P863" s="60">
        <v>0</v>
      </c>
      <c r="Q863" s="60">
        <v>0</v>
      </c>
      <c r="R863" s="60">
        <v>0</v>
      </c>
      <c r="S863" s="60">
        <v>41.6</v>
      </c>
      <c r="T863" s="62">
        <v>373535.21</v>
      </c>
      <c r="U863" s="60">
        <v>0</v>
      </c>
      <c r="V863" s="60">
        <v>0</v>
      </c>
      <c r="W863" s="60">
        <v>0</v>
      </c>
      <c r="X863" s="60">
        <v>0</v>
      </c>
      <c r="Y863" s="60">
        <v>0</v>
      </c>
      <c r="Z863" s="60">
        <v>0</v>
      </c>
      <c r="AA863" s="60">
        <v>0</v>
      </c>
      <c r="AB863" s="60">
        <v>0</v>
      </c>
      <c r="AC863" s="62">
        <v>5575.01</v>
      </c>
      <c r="AD863" s="60">
        <v>0</v>
      </c>
      <c r="AE863" s="60">
        <v>0</v>
      </c>
      <c r="AF863" s="170" t="s">
        <v>257</v>
      </c>
      <c r="AG863" s="170">
        <v>2021</v>
      </c>
      <c r="AH863" s="63">
        <v>2021</v>
      </c>
    </row>
    <row r="864" spans="1:34" ht="61.5" x14ac:dyDescent="0.85">
      <c r="B864" s="160" t="s">
        <v>812</v>
      </c>
      <c r="C864" s="160"/>
      <c r="D864" s="177">
        <f t="shared" ref="D864:AE864" si="118">SUM(D865)</f>
        <v>62038.82</v>
      </c>
      <c r="E864" s="60">
        <f t="shared" si="118"/>
        <v>0</v>
      </c>
      <c r="F864" s="60">
        <f t="shared" si="118"/>
        <v>0</v>
      </c>
      <c r="G864" s="60">
        <f t="shared" si="118"/>
        <v>0</v>
      </c>
      <c r="H864" s="60">
        <f t="shared" si="118"/>
        <v>0</v>
      </c>
      <c r="I864" s="60">
        <f t="shared" si="118"/>
        <v>0</v>
      </c>
      <c r="J864" s="60">
        <f t="shared" si="118"/>
        <v>0</v>
      </c>
      <c r="K864" s="168">
        <f t="shared" si="118"/>
        <v>0</v>
      </c>
      <c r="L864" s="60">
        <f t="shared" si="118"/>
        <v>0</v>
      </c>
      <c r="M864" s="60">
        <f t="shared" si="118"/>
        <v>0</v>
      </c>
      <c r="N864" s="60">
        <f t="shared" si="118"/>
        <v>0</v>
      </c>
      <c r="O864" s="60">
        <f t="shared" si="118"/>
        <v>0</v>
      </c>
      <c r="P864" s="60">
        <f t="shared" si="118"/>
        <v>0</v>
      </c>
      <c r="Q864" s="60">
        <f t="shared" si="118"/>
        <v>0</v>
      </c>
      <c r="R864" s="60">
        <f t="shared" si="118"/>
        <v>0</v>
      </c>
      <c r="S864" s="60">
        <f t="shared" si="118"/>
        <v>0</v>
      </c>
      <c r="T864" s="60">
        <f t="shared" si="118"/>
        <v>0</v>
      </c>
      <c r="U864" s="60">
        <f t="shared" si="118"/>
        <v>0</v>
      </c>
      <c r="V864" s="60">
        <f t="shared" si="118"/>
        <v>0</v>
      </c>
      <c r="W864" s="60">
        <f t="shared" si="118"/>
        <v>0</v>
      </c>
      <c r="X864" s="60">
        <f t="shared" si="118"/>
        <v>0</v>
      </c>
      <c r="Y864" s="60">
        <f t="shared" si="118"/>
        <v>0</v>
      </c>
      <c r="Z864" s="60">
        <f t="shared" si="118"/>
        <v>0</v>
      </c>
      <c r="AA864" s="60">
        <f t="shared" si="118"/>
        <v>0</v>
      </c>
      <c r="AB864" s="60">
        <f t="shared" si="118"/>
        <v>0</v>
      </c>
      <c r="AC864" s="60">
        <f t="shared" si="118"/>
        <v>0</v>
      </c>
      <c r="AD864" s="60">
        <f t="shared" si="118"/>
        <v>62038.82</v>
      </c>
      <c r="AE864" s="60">
        <f t="shared" si="118"/>
        <v>0</v>
      </c>
      <c r="AF864" s="54" t="s">
        <v>701</v>
      </c>
      <c r="AG864" s="54" t="s">
        <v>701</v>
      </c>
      <c r="AH864" s="55" t="s">
        <v>701</v>
      </c>
    </row>
    <row r="865" spans="1:34" ht="61.5" x14ac:dyDescent="0.85">
      <c r="A865" s="7">
        <v>1</v>
      </c>
      <c r="B865" s="59">
        <f>SUBTOTAL(103,$A$558:A865)</f>
        <v>291</v>
      </c>
      <c r="C865" s="160" t="s">
        <v>231</v>
      </c>
      <c r="D865" s="60">
        <f>E865+F865+G865+H865+I865+J865+L865+N865+P865+R865+T865+U865+V865+W865+X865+Y865+Z865+AA865+AB865+AC865+AD865+AE865</f>
        <v>62038.82</v>
      </c>
      <c r="E865" s="60">
        <v>0</v>
      </c>
      <c r="F865" s="60">
        <v>0</v>
      </c>
      <c r="G865" s="60">
        <v>0</v>
      </c>
      <c r="H865" s="60">
        <v>0</v>
      </c>
      <c r="I865" s="60">
        <v>0</v>
      </c>
      <c r="J865" s="60">
        <v>0</v>
      </c>
      <c r="K865" s="168">
        <v>0</v>
      </c>
      <c r="L865" s="60">
        <v>0</v>
      </c>
      <c r="M865" s="60">
        <v>0</v>
      </c>
      <c r="N865" s="60">
        <v>0</v>
      </c>
      <c r="O865" s="60">
        <v>0</v>
      </c>
      <c r="P865" s="60">
        <v>0</v>
      </c>
      <c r="Q865" s="60">
        <v>0</v>
      </c>
      <c r="R865" s="60">
        <v>0</v>
      </c>
      <c r="S865" s="60">
        <v>0</v>
      </c>
      <c r="T865" s="60">
        <v>0</v>
      </c>
      <c r="U865" s="60">
        <v>0</v>
      </c>
      <c r="V865" s="60">
        <v>0</v>
      </c>
      <c r="W865" s="60">
        <v>0</v>
      </c>
      <c r="X865" s="60">
        <v>0</v>
      </c>
      <c r="Y865" s="60">
        <v>0</v>
      </c>
      <c r="Z865" s="60">
        <v>0</v>
      </c>
      <c r="AA865" s="60">
        <v>0</v>
      </c>
      <c r="AB865" s="60">
        <v>0</v>
      </c>
      <c r="AC865" s="60">
        <f>ROUND(N865*1.26%,2)</f>
        <v>0</v>
      </c>
      <c r="AD865" s="60">
        <v>62038.82</v>
      </c>
      <c r="AE865" s="60">
        <v>0</v>
      </c>
      <c r="AF865" s="170">
        <v>2021</v>
      </c>
      <c r="AG865" s="170" t="s">
        <v>257</v>
      </c>
      <c r="AH865" s="170" t="s">
        <v>257</v>
      </c>
    </row>
    <row r="866" spans="1:34" ht="61.5" x14ac:dyDescent="0.85">
      <c r="B866" s="160" t="s">
        <v>813</v>
      </c>
      <c r="C866" s="184"/>
      <c r="D866" s="177">
        <f t="shared" ref="D866:AE866" si="119">D867</f>
        <v>2713692.58</v>
      </c>
      <c r="E866" s="60">
        <f t="shared" si="119"/>
        <v>0</v>
      </c>
      <c r="F866" s="60">
        <f t="shared" si="119"/>
        <v>0</v>
      </c>
      <c r="G866" s="60">
        <f t="shared" si="119"/>
        <v>0</v>
      </c>
      <c r="H866" s="60">
        <f t="shared" si="119"/>
        <v>0</v>
      </c>
      <c r="I866" s="60">
        <f t="shared" si="119"/>
        <v>0</v>
      </c>
      <c r="J866" s="60">
        <f t="shared" si="119"/>
        <v>0</v>
      </c>
      <c r="K866" s="168">
        <f t="shared" si="119"/>
        <v>0</v>
      </c>
      <c r="L866" s="60">
        <f t="shared" si="119"/>
        <v>0</v>
      </c>
      <c r="M866" s="60">
        <f t="shared" si="119"/>
        <v>615.95000000000005</v>
      </c>
      <c r="N866" s="60">
        <f t="shared" si="119"/>
        <v>2613332</v>
      </c>
      <c r="O866" s="60">
        <f t="shared" si="119"/>
        <v>0</v>
      </c>
      <c r="P866" s="60">
        <f t="shared" si="119"/>
        <v>0</v>
      </c>
      <c r="Q866" s="60">
        <f t="shared" si="119"/>
        <v>0</v>
      </c>
      <c r="R866" s="60">
        <f t="shared" si="119"/>
        <v>0</v>
      </c>
      <c r="S866" s="60">
        <f t="shared" si="119"/>
        <v>0</v>
      </c>
      <c r="T866" s="60">
        <f t="shared" si="119"/>
        <v>0</v>
      </c>
      <c r="U866" s="60">
        <f t="shared" si="119"/>
        <v>0</v>
      </c>
      <c r="V866" s="60">
        <f t="shared" si="119"/>
        <v>0</v>
      </c>
      <c r="W866" s="60">
        <f t="shared" si="119"/>
        <v>0</v>
      </c>
      <c r="X866" s="60">
        <f t="shared" si="119"/>
        <v>0</v>
      </c>
      <c r="Y866" s="60">
        <f t="shared" si="119"/>
        <v>0</v>
      </c>
      <c r="Z866" s="60">
        <f t="shared" si="119"/>
        <v>0</v>
      </c>
      <c r="AA866" s="60">
        <f t="shared" si="119"/>
        <v>0</v>
      </c>
      <c r="AB866" s="60">
        <f t="shared" si="119"/>
        <v>0</v>
      </c>
      <c r="AC866" s="60">
        <f t="shared" si="119"/>
        <v>27047.99</v>
      </c>
      <c r="AD866" s="60">
        <f t="shared" si="119"/>
        <v>73312.59</v>
      </c>
      <c r="AE866" s="60">
        <f t="shared" si="119"/>
        <v>0</v>
      </c>
      <c r="AF866" s="54" t="s">
        <v>701</v>
      </c>
      <c r="AG866" s="54" t="s">
        <v>701</v>
      </c>
      <c r="AH866" s="55" t="s">
        <v>701</v>
      </c>
    </row>
    <row r="867" spans="1:34" ht="61.5" x14ac:dyDescent="0.85">
      <c r="A867" s="7">
        <v>1</v>
      </c>
      <c r="B867" s="59">
        <f>SUBTOTAL(103,$A$558:A867)</f>
        <v>292</v>
      </c>
      <c r="C867" s="185" t="s">
        <v>2</v>
      </c>
      <c r="D867" s="60">
        <f>E867+F867+G867+H867+I867+J867+L867+N867+P867+R867+T867+U867+V867+W867+X867+Y867+Z867+AA867+AB867+AC867+AD867+AE867</f>
        <v>2713692.58</v>
      </c>
      <c r="E867" s="60">
        <v>0</v>
      </c>
      <c r="F867" s="60">
        <v>0</v>
      </c>
      <c r="G867" s="60">
        <v>0</v>
      </c>
      <c r="H867" s="60">
        <v>0</v>
      </c>
      <c r="I867" s="60">
        <v>0</v>
      </c>
      <c r="J867" s="60">
        <v>0</v>
      </c>
      <c r="K867" s="168">
        <v>0</v>
      </c>
      <c r="L867" s="60">
        <v>0</v>
      </c>
      <c r="M867" s="60">
        <v>615.95000000000005</v>
      </c>
      <c r="N867" s="60">
        <v>2613332</v>
      </c>
      <c r="O867" s="60">
        <v>0</v>
      </c>
      <c r="P867" s="60">
        <v>0</v>
      </c>
      <c r="Q867" s="60">
        <v>0</v>
      </c>
      <c r="R867" s="60">
        <v>0</v>
      </c>
      <c r="S867" s="60">
        <v>0</v>
      </c>
      <c r="T867" s="60">
        <v>0</v>
      </c>
      <c r="U867" s="60">
        <v>0</v>
      </c>
      <c r="V867" s="60">
        <v>0</v>
      </c>
      <c r="W867" s="60">
        <v>0</v>
      </c>
      <c r="X867" s="60">
        <v>0</v>
      </c>
      <c r="Y867" s="60">
        <v>0</v>
      </c>
      <c r="Z867" s="60">
        <v>0</v>
      </c>
      <c r="AA867" s="60">
        <v>0</v>
      </c>
      <c r="AB867" s="60">
        <v>0</v>
      </c>
      <c r="AC867" s="62">
        <v>27047.99</v>
      </c>
      <c r="AD867" s="60">
        <v>73312.59</v>
      </c>
      <c r="AE867" s="60">
        <v>0</v>
      </c>
      <c r="AF867" s="170">
        <v>2021</v>
      </c>
      <c r="AG867" s="170">
        <v>2021</v>
      </c>
      <c r="AH867" s="63">
        <v>2021</v>
      </c>
    </row>
    <row r="868" spans="1:34" ht="61.5" x14ac:dyDescent="0.85">
      <c r="B868" s="160" t="s">
        <v>814</v>
      </c>
      <c r="C868" s="185"/>
      <c r="D868" s="177">
        <f t="shared" ref="D868:AE868" si="120">D869</f>
        <v>2079679.89</v>
      </c>
      <c r="E868" s="60">
        <f t="shared" si="120"/>
        <v>0</v>
      </c>
      <c r="F868" s="60">
        <f t="shared" si="120"/>
        <v>0</v>
      </c>
      <c r="G868" s="60">
        <f t="shared" si="120"/>
        <v>0</v>
      </c>
      <c r="H868" s="60">
        <f t="shared" si="120"/>
        <v>0</v>
      </c>
      <c r="I868" s="60">
        <f t="shared" si="120"/>
        <v>0</v>
      </c>
      <c r="J868" s="60">
        <f t="shared" si="120"/>
        <v>0</v>
      </c>
      <c r="K868" s="168">
        <f t="shared" si="120"/>
        <v>0</v>
      </c>
      <c r="L868" s="60">
        <f t="shared" si="120"/>
        <v>0</v>
      </c>
      <c r="M868" s="60">
        <f t="shared" si="120"/>
        <v>472.92</v>
      </c>
      <c r="N868" s="60">
        <f t="shared" si="120"/>
        <v>1999481</v>
      </c>
      <c r="O868" s="60">
        <f t="shared" si="120"/>
        <v>0</v>
      </c>
      <c r="P868" s="60">
        <f t="shared" si="120"/>
        <v>0</v>
      </c>
      <c r="Q868" s="60">
        <f t="shared" si="120"/>
        <v>0</v>
      </c>
      <c r="R868" s="60">
        <f t="shared" si="120"/>
        <v>0</v>
      </c>
      <c r="S868" s="60">
        <f t="shared" si="120"/>
        <v>0</v>
      </c>
      <c r="T868" s="60">
        <f t="shared" si="120"/>
        <v>0</v>
      </c>
      <c r="U868" s="60">
        <f t="shared" si="120"/>
        <v>0</v>
      </c>
      <c r="V868" s="60">
        <f t="shared" si="120"/>
        <v>0</v>
      </c>
      <c r="W868" s="60">
        <f t="shared" si="120"/>
        <v>0</v>
      </c>
      <c r="X868" s="60">
        <f t="shared" si="120"/>
        <v>0</v>
      </c>
      <c r="Y868" s="60">
        <f t="shared" si="120"/>
        <v>0</v>
      </c>
      <c r="Z868" s="60">
        <f t="shared" si="120"/>
        <v>0</v>
      </c>
      <c r="AA868" s="60">
        <f t="shared" si="120"/>
        <v>0</v>
      </c>
      <c r="AB868" s="60">
        <f t="shared" si="120"/>
        <v>0</v>
      </c>
      <c r="AC868" s="60">
        <f t="shared" si="120"/>
        <v>20694.63</v>
      </c>
      <c r="AD868" s="60">
        <f t="shared" si="120"/>
        <v>59504.26</v>
      </c>
      <c r="AE868" s="60">
        <f t="shared" si="120"/>
        <v>0</v>
      </c>
      <c r="AF868" s="54" t="s">
        <v>701</v>
      </c>
      <c r="AG868" s="54" t="s">
        <v>701</v>
      </c>
      <c r="AH868" s="55" t="s">
        <v>701</v>
      </c>
    </row>
    <row r="869" spans="1:34" ht="61.5" x14ac:dyDescent="0.85">
      <c r="A869" s="7">
        <v>1</v>
      </c>
      <c r="B869" s="59">
        <f>SUBTOTAL(103,$A$558:A869)</f>
        <v>293</v>
      </c>
      <c r="C869" s="185" t="s">
        <v>1</v>
      </c>
      <c r="D869" s="60">
        <f>E869+F869+G869+H869+I869+J869+L869+N869+P869+R869+T869+U869+V869+W869+X869+Y869+Z869+AA869+AB869+AC869+AD869+AE869</f>
        <v>2079679.89</v>
      </c>
      <c r="E869" s="60">
        <v>0</v>
      </c>
      <c r="F869" s="60">
        <v>0</v>
      </c>
      <c r="G869" s="60">
        <v>0</v>
      </c>
      <c r="H869" s="60">
        <v>0</v>
      </c>
      <c r="I869" s="60">
        <v>0</v>
      </c>
      <c r="J869" s="60">
        <v>0</v>
      </c>
      <c r="K869" s="168">
        <v>0</v>
      </c>
      <c r="L869" s="60">
        <v>0</v>
      </c>
      <c r="M869" s="60">
        <v>472.92</v>
      </c>
      <c r="N869" s="60">
        <v>1999481</v>
      </c>
      <c r="O869" s="60">
        <v>0</v>
      </c>
      <c r="P869" s="60">
        <v>0</v>
      </c>
      <c r="Q869" s="60">
        <v>0</v>
      </c>
      <c r="R869" s="60">
        <v>0</v>
      </c>
      <c r="S869" s="60">
        <v>0</v>
      </c>
      <c r="T869" s="60">
        <v>0</v>
      </c>
      <c r="U869" s="60">
        <v>0</v>
      </c>
      <c r="V869" s="60">
        <v>0</v>
      </c>
      <c r="W869" s="60">
        <v>0</v>
      </c>
      <c r="X869" s="60">
        <v>0</v>
      </c>
      <c r="Y869" s="60">
        <v>0</v>
      </c>
      <c r="Z869" s="60">
        <v>0</v>
      </c>
      <c r="AA869" s="60">
        <v>0</v>
      </c>
      <c r="AB869" s="60">
        <v>0</v>
      </c>
      <c r="AC869" s="62">
        <v>20694.63</v>
      </c>
      <c r="AD869" s="60">
        <v>59504.26</v>
      </c>
      <c r="AE869" s="60">
        <v>0</v>
      </c>
      <c r="AF869" s="170">
        <v>2021</v>
      </c>
      <c r="AG869" s="170">
        <v>2021</v>
      </c>
      <c r="AH869" s="63">
        <v>2021</v>
      </c>
    </row>
    <row r="870" spans="1:34" ht="61.5" x14ac:dyDescent="0.85">
      <c r="B870" s="160" t="s">
        <v>773</v>
      </c>
      <c r="C870" s="176"/>
      <c r="D870" s="177">
        <f t="shared" ref="D870:AE870" si="121">D871</f>
        <v>105976.66</v>
      </c>
      <c r="E870" s="60">
        <f t="shared" si="121"/>
        <v>0</v>
      </c>
      <c r="F870" s="60">
        <f t="shared" si="121"/>
        <v>0</v>
      </c>
      <c r="G870" s="60">
        <f t="shared" si="121"/>
        <v>0</v>
      </c>
      <c r="H870" s="60">
        <f t="shared" si="121"/>
        <v>0</v>
      </c>
      <c r="I870" s="60">
        <f t="shared" si="121"/>
        <v>0</v>
      </c>
      <c r="J870" s="60">
        <f t="shared" si="121"/>
        <v>0</v>
      </c>
      <c r="K870" s="168">
        <f t="shared" si="121"/>
        <v>0</v>
      </c>
      <c r="L870" s="60">
        <f t="shared" si="121"/>
        <v>0</v>
      </c>
      <c r="M870" s="60">
        <f t="shared" si="121"/>
        <v>0</v>
      </c>
      <c r="N870" s="60">
        <f t="shared" si="121"/>
        <v>0</v>
      </c>
      <c r="O870" s="60">
        <f t="shared" si="121"/>
        <v>0</v>
      </c>
      <c r="P870" s="60">
        <f t="shared" si="121"/>
        <v>0</v>
      </c>
      <c r="Q870" s="60">
        <f t="shared" si="121"/>
        <v>0</v>
      </c>
      <c r="R870" s="60">
        <f t="shared" si="121"/>
        <v>0</v>
      </c>
      <c r="S870" s="60">
        <f t="shared" si="121"/>
        <v>0</v>
      </c>
      <c r="T870" s="60">
        <f t="shared" si="121"/>
        <v>0</v>
      </c>
      <c r="U870" s="60">
        <f t="shared" si="121"/>
        <v>0</v>
      </c>
      <c r="V870" s="60">
        <f t="shared" si="121"/>
        <v>0</v>
      </c>
      <c r="W870" s="60">
        <f t="shared" si="121"/>
        <v>0</v>
      </c>
      <c r="X870" s="60">
        <f t="shared" si="121"/>
        <v>0</v>
      </c>
      <c r="Y870" s="60">
        <f t="shared" si="121"/>
        <v>0</v>
      </c>
      <c r="Z870" s="60">
        <f t="shared" si="121"/>
        <v>0</v>
      </c>
      <c r="AA870" s="60">
        <f t="shared" si="121"/>
        <v>0</v>
      </c>
      <c r="AB870" s="60">
        <f t="shared" si="121"/>
        <v>0</v>
      </c>
      <c r="AC870" s="60">
        <f t="shared" si="121"/>
        <v>0</v>
      </c>
      <c r="AD870" s="60">
        <f t="shared" si="121"/>
        <v>105976.66</v>
      </c>
      <c r="AE870" s="60">
        <f t="shared" si="121"/>
        <v>0</v>
      </c>
      <c r="AF870" s="54" t="s">
        <v>701</v>
      </c>
      <c r="AG870" s="54" t="s">
        <v>701</v>
      </c>
      <c r="AH870" s="55" t="s">
        <v>701</v>
      </c>
    </row>
    <row r="871" spans="1:34" ht="61.5" x14ac:dyDescent="0.85">
      <c r="A871" s="7">
        <v>1</v>
      </c>
      <c r="B871" s="59">
        <f>SUBTOTAL(103,$A$558:A871)</f>
        <v>294</v>
      </c>
      <c r="C871" s="160" t="s">
        <v>645</v>
      </c>
      <c r="D871" s="60">
        <f>E871+F871+G871+H871+I871+J871+L871+N871+P871+R871+T871+U871+V871+W871+X871+Y871+Z871+AA871+AB871+AC871+AD871+AE871</f>
        <v>105976.66</v>
      </c>
      <c r="E871" s="60">
        <v>0</v>
      </c>
      <c r="F871" s="60">
        <v>0</v>
      </c>
      <c r="G871" s="60">
        <v>0</v>
      </c>
      <c r="H871" s="60">
        <v>0</v>
      </c>
      <c r="I871" s="60">
        <v>0</v>
      </c>
      <c r="J871" s="60">
        <v>0</v>
      </c>
      <c r="K871" s="168">
        <v>0</v>
      </c>
      <c r="L871" s="60">
        <v>0</v>
      </c>
      <c r="M871" s="60">
        <v>0</v>
      </c>
      <c r="N871" s="163">
        <v>0</v>
      </c>
      <c r="O871" s="60">
        <v>0</v>
      </c>
      <c r="P871" s="60">
        <v>0</v>
      </c>
      <c r="Q871" s="60">
        <v>0</v>
      </c>
      <c r="R871" s="60">
        <v>0</v>
      </c>
      <c r="S871" s="60">
        <v>0</v>
      </c>
      <c r="T871" s="60">
        <v>0</v>
      </c>
      <c r="U871" s="60">
        <v>0</v>
      </c>
      <c r="V871" s="60">
        <v>0</v>
      </c>
      <c r="W871" s="60">
        <v>0</v>
      </c>
      <c r="X871" s="60">
        <v>0</v>
      </c>
      <c r="Y871" s="60">
        <v>0</v>
      </c>
      <c r="Z871" s="60">
        <v>0</v>
      </c>
      <c r="AA871" s="60">
        <v>0</v>
      </c>
      <c r="AB871" s="60">
        <v>0</v>
      </c>
      <c r="AC871" s="60">
        <f>ROUND(N871*1.5%,2)</f>
        <v>0</v>
      </c>
      <c r="AD871" s="60">
        <v>105976.66</v>
      </c>
      <c r="AE871" s="60">
        <v>0</v>
      </c>
      <c r="AF871" s="170">
        <v>2021</v>
      </c>
      <c r="AG871" s="170" t="s">
        <v>257</v>
      </c>
      <c r="AH871" s="170" t="s">
        <v>257</v>
      </c>
    </row>
    <row r="872" spans="1:34" ht="61.5" x14ac:dyDescent="0.85">
      <c r="B872" s="160" t="s">
        <v>815</v>
      </c>
      <c r="C872" s="160"/>
      <c r="D872" s="177">
        <f t="shared" ref="D872:AE872" si="122">D873</f>
        <v>65297.52</v>
      </c>
      <c r="E872" s="60">
        <f t="shared" si="122"/>
        <v>0</v>
      </c>
      <c r="F872" s="60">
        <f t="shared" si="122"/>
        <v>0</v>
      </c>
      <c r="G872" s="60">
        <f t="shared" si="122"/>
        <v>0</v>
      </c>
      <c r="H872" s="60">
        <f t="shared" si="122"/>
        <v>0</v>
      </c>
      <c r="I872" s="60">
        <f t="shared" si="122"/>
        <v>0</v>
      </c>
      <c r="J872" s="60">
        <f t="shared" si="122"/>
        <v>0</v>
      </c>
      <c r="K872" s="168">
        <f t="shared" si="122"/>
        <v>0</v>
      </c>
      <c r="L872" s="60">
        <f t="shared" si="122"/>
        <v>0</v>
      </c>
      <c r="M872" s="60">
        <f t="shared" si="122"/>
        <v>0</v>
      </c>
      <c r="N872" s="60">
        <f t="shared" si="122"/>
        <v>0</v>
      </c>
      <c r="O872" s="60">
        <f t="shared" si="122"/>
        <v>0</v>
      </c>
      <c r="P872" s="60">
        <f t="shared" si="122"/>
        <v>0</v>
      </c>
      <c r="Q872" s="60">
        <f t="shared" si="122"/>
        <v>0</v>
      </c>
      <c r="R872" s="60">
        <f t="shared" si="122"/>
        <v>0</v>
      </c>
      <c r="S872" s="60">
        <f t="shared" si="122"/>
        <v>0</v>
      </c>
      <c r="T872" s="60">
        <f t="shared" si="122"/>
        <v>0</v>
      </c>
      <c r="U872" s="60">
        <f t="shared" si="122"/>
        <v>0</v>
      </c>
      <c r="V872" s="60">
        <f t="shared" si="122"/>
        <v>0</v>
      </c>
      <c r="W872" s="60">
        <f t="shared" si="122"/>
        <v>0</v>
      </c>
      <c r="X872" s="60">
        <f t="shared" si="122"/>
        <v>0</v>
      </c>
      <c r="Y872" s="60">
        <f t="shared" si="122"/>
        <v>0</v>
      </c>
      <c r="Z872" s="60">
        <f t="shared" si="122"/>
        <v>0</v>
      </c>
      <c r="AA872" s="60">
        <f t="shared" si="122"/>
        <v>0</v>
      </c>
      <c r="AB872" s="60">
        <f t="shared" si="122"/>
        <v>0</v>
      </c>
      <c r="AC872" s="60">
        <f t="shared" si="122"/>
        <v>0</v>
      </c>
      <c r="AD872" s="60">
        <f t="shared" si="122"/>
        <v>65297.52</v>
      </c>
      <c r="AE872" s="60">
        <f t="shared" si="122"/>
        <v>0</v>
      </c>
      <c r="AF872" s="54" t="s">
        <v>701</v>
      </c>
      <c r="AG872" s="54" t="s">
        <v>701</v>
      </c>
      <c r="AH872" s="55" t="s">
        <v>701</v>
      </c>
    </row>
    <row r="873" spans="1:34" ht="61.5" x14ac:dyDescent="0.85">
      <c r="A873" s="7">
        <v>1</v>
      </c>
      <c r="B873" s="59">
        <f>SUBTOTAL(103,$A$558:A873)</f>
        <v>295</v>
      </c>
      <c r="C873" s="160" t="s">
        <v>651</v>
      </c>
      <c r="D873" s="60">
        <f>E873+F873+G873+H873+I873+J873+L873+N873+P873+R873+T873+U873+V873+W873+X873+Y873+Z873+AA873+AB873+AC873+AD873+AE873</f>
        <v>65297.52</v>
      </c>
      <c r="E873" s="60">
        <v>0</v>
      </c>
      <c r="F873" s="60">
        <v>0</v>
      </c>
      <c r="G873" s="60">
        <v>0</v>
      </c>
      <c r="H873" s="60">
        <v>0</v>
      </c>
      <c r="I873" s="60">
        <v>0</v>
      </c>
      <c r="J873" s="60">
        <v>0</v>
      </c>
      <c r="K873" s="168">
        <v>0</v>
      </c>
      <c r="L873" s="60">
        <v>0</v>
      </c>
      <c r="M873" s="60">
        <v>0</v>
      </c>
      <c r="N873" s="163">
        <v>0</v>
      </c>
      <c r="O873" s="60">
        <v>0</v>
      </c>
      <c r="P873" s="60">
        <v>0</v>
      </c>
      <c r="Q873" s="60">
        <v>0</v>
      </c>
      <c r="R873" s="60">
        <v>0</v>
      </c>
      <c r="S873" s="60">
        <v>0</v>
      </c>
      <c r="T873" s="60">
        <v>0</v>
      </c>
      <c r="U873" s="60">
        <v>0</v>
      </c>
      <c r="V873" s="60">
        <v>0</v>
      </c>
      <c r="W873" s="60">
        <v>0</v>
      </c>
      <c r="X873" s="60">
        <v>0</v>
      </c>
      <c r="Y873" s="60">
        <v>0</v>
      </c>
      <c r="Z873" s="60">
        <v>0</v>
      </c>
      <c r="AA873" s="60">
        <v>0</v>
      </c>
      <c r="AB873" s="60">
        <v>0</v>
      </c>
      <c r="AC873" s="60">
        <f>ROUND(N873*1.5%,2)</f>
        <v>0</v>
      </c>
      <c r="AD873" s="62">
        <v>65297.52</v>
      </c>
      <c r="AE873" s="60">
        <v>0</v>
      </c>
      <c r="AF873" s="170">
        <v>2021</v>
      </c>
      <c r="AG873" s="170" t="s">
        <v>257</v>
      </c>
      <c r="AH873" s="170" t="s">
        <v>257</v>
      </c>
    </row>
    <row r="874" spans="1:34" ht="61.5" x14ac:dyDescent="0.85">
      <c r="B874" s="160" t="s">
        <v>774</v>
      </c>
      <c r="C874" s="160"/>
      <c r="D874" s="177">
        <f t="shared" ref="D874:AE874" si="123">SUM(D875:D876)</f>
        <v>3106581.3099999996</v>
      </c>
      <c r="E874" s="60">
        <f t="shared" si="123"/>
        <v>0</v>
      </c>
      <c r="F874" s="60">
        <f t="shared" si="123"/>
        <v>0</v>
      </c>
      <c r="G874" s="60">
        <f t="shared" si="123"/>
        <v>0</v>
      </c>
      <c r="H874" s="60">
        <f t="shared" si="123"/>
        <v>0</v>
      </c>
      <c r="I874" s="60">
        <f t="shared" si="123"/>
        <v>0</v>
      </c>
      <c r="J874" s="60">
        <f t="shared" si="123"/>
        <v>0</v>
      </c>
      <c r="K874" s="168">
        <f t="shared" si="123"/>
        <v>0</v>
      </c>
      <c r="L874" s="60">
        <f t="shared" si="123"/>
        <v>0</v>
      </c>
      <c r="M874" s="60">
        <f t="shared" si="123"/>
        <v>762.8</v>
      </c>
      <c r="N874" s="60">
        <f t="shared" si="123"/>
        <v>3000784.51</v>
      </c>
      <c r="O874" s="60">
        <f t="shared" si="123"/>
        <v>0</v>
      </c>
      <c r="P874" s="60">
        <f t="shared" si="123"/>
        <v>0</v>
      </c>
      <c r="Q874" s="60">
        <f t="shared" si="123"/>
        <v>0</v>
      </c>
      <c r="R874" s="60">
        <f t="shared" si="123"/>
        <v>0</v>
      </c>
      <c r="S874" s="60">
        <f t="shared" si="123"/>
        <v>0</v>
      </c>
      <c r="T874" s="60">
        <f t="shared" si="123"/>
        <v>0</v>
      </c>
      <c r="U874" s="60">
        <f t="shared" si="123"/>
        <v>0</v>
      </c>
      <c r="V874" s="60">
        <f t="shared" si="123"/>
        <v>0</v>
      </c>
      <c r="W874" s="60">
        <f t="shared" si="123"/>
        <v>0</v>
      </c>
      <c r="X874" s="60">
        <f t="shared" si="123"/>
        <v>0</v>
      </c>
      <c r="Y874" s="60">
        <f t="shared" si="123"/>
        <v>0</v>
      </c>
      <c r="Z874" s="60">
        <f t="shared" si="123"/>
        <v>0</v>
      </c>
      <c r="AA874" s="60">
        <f t="shared" si="123"/>
        <v>0</v>
      </c>
      <c r="AB874" s="60">
        <f t="shared" si="123"/>
        <v>0</v>
      </c>
      <c r="AC874" s="60">
        <f t="shared" si="123"/>
        <v>0</v>
      </c>
      <c r="AD874" s="60">
        <f t="shared" si="123"/>
        <v>105796.8</v>
      </c>
      <c r="AE874" s="60">
        <f t="shared" si="123"/>
        <v>0</v>
      </c>
      <c r="AF874" s="54" t="s">
        <v>701</v>
      </c>
      <c r="AG874" s="54" t="s">
        <v>701</v>
      </c>
      <c r="AH874" s="55" t="s">
        <v>701</v>
      </c>
    </row>
    <row r="875" spans="1:34" ht="61.5" x14ac:dyDescent="0.85">
      <c r="A875" s="7">
        <v>1</v>
      </c>
      <c r="B875" s="59">
        <f>SUBTOTAL(103,$A$558:A875)</f>
        <v>296</v>
      </c>
      <c r="C875" s="160" t="s">
        <v>648</v>
      </c>
      <c r="D875" s="60">
        <f>E875+F875+G875+H875+I875+J875+L875+N875+P875+R875+T875+U875+V875+W875+X875+Y875+Z875+AA875+AB875+AC875+AD875+AE875</f>
        <v>105796.8</v>
      </c>
      <c r="E875" s="60">
        <v>0</v>
      </c>
      <c r="F875" s="60">
        <v>0</v>
      </c>
      <c r="G875" s="60">
        <v>0</v>
      </c>
      <c r="H875" s="60">
        <v>0</v>
      </c>
      <c r="I875" s="60">
        <v>0</v>
      </c>
      <c r="J875" s="60">
        <v>0</v>
      </c>
      <c r="K875" s="168">
        <v>0</v>
      </c>
      <c r="L875" s="60">
        <v>0</v>
      </c>
      <c r="M875" s="60">
        <v>0</v>
      </c>
      <c r="N875" s="163">
        <v>0</v>
      </c>
      <c r="O875" s="60">
        <v>0</v>
      </c>
      <c r="P875" s="60">
        <v>0</v>
      </c>
      <c r="Q875" s="60">
        <v>0</v>
      </c>
      <c r="R875" s="60">
        <v>0</v>
      </c>
      <c r="S875" s="60">
        <v>0</v>
      </c>
      <c r="T875" s="60">
        <v>0</v>
      </c>
      <c r="U875" s="60">
        <v>0</v>
      </c>
      <c r="V875" s="60">
        <v>0</v>
      </c>
      <c r="W875" s="60">
        <v>0</v>
      </c>
      <c r="X875" s="60">
        <v>0</v>
      </c>
      <c r="Y875" s="60">
        <v>0</v>
      </c>
      <c r="Z875" s="60">
        <v>0</v>
      </c>
      <c r="AA875" s="60">
        <v>0</v>
      </c>
      <c r="AB875" s="60">
        <v>0</v>
      </c>
      <c r="AC875" s="60">
        <f>ROUND(N875*1.5%,2)</f>
        <v>0</v>
      </c>
      <c r="AD875" s="62">
        <v>105796.8</v>
      </c>
      <c r="AE875" s="60">
        <v>0</v>
      </c>
      <c r="AF875" s="170">
        <v>2021</v>
      </c>
      <c r="AG875" s="170" t="s">
        <v>257</v>
      </c>
      <c r="AH875" s="170" t="s">
        <v>257</v>
      </c>
    </row>
    <row r="876" spans="1:34" ht="61.5" x14ac:dyDescent="0.85">
      <c r="A876" s="7">
        <v>1</v>
      </c>
      <c r="B876" s="59">
        <f>SUBTOTAL(103,$A$558:A876)</f>
        <v>297</v>
      </c>
      <c r="C876" s="160" t="s">
        <v>1459</v>
      </c>
      <c r="D876" s="60">
        <f>E876+F876+G876+H876+I876+J876+L876+N876+P876+R876+T876+U876+V876+W876+X876+Y876+Z876+AA876+AB876+AC876+AD876+AE876</f>
        <v>3000784.51</v>
      </c>
      <c r="E876" s="60">
        <v>0</v>
      </c>
      <c r="F876" s="60">
        <v>0</v>
      </c>
      <c r="G876" s="60">
        <v>0</v>
      </c>
      <c r="H876" s="60">
        <v>0</v>
      </c>
      <c r="I876" s="60">
        <v>0</v>
      </c>
      <c r="J876" s="60">
        <v>0</v>
      </c>
      <c r="K876" s="168">
        <v>0</v>
      </c>
      <c r="L876" s="60">
        <v>0</v>
      </c>
      <c r="M876" s="62">
        <v>762.8</v>
      </c>
      <c r="N876" s="62">
        <v>3000784.51</v>
      </c>
      <c r="O876" s="60">
        <v>0</v>
      </c>
      <c r="P876" s="60">
        <v>0</v>
      </c>
      <c r="Q876" s="60">
        <v>0</v>
      </c>
      <c r="R876" s="60">
        <v>0</v>
      </c>
      <c r="S876" s="60">
        <v>0</v>
      </c>
      <c r="T876" s="60">
        <v>0</v>
      </c>
      <c r="U876" s="60">
        <v>0</v>
      </c>
      <c r="V876" s="60">
        <v>0</v>
      </c>
      <c r="W876" s="60">
        <v>0</v>
      </c>
      <c r="X876" s="60">
        <v>0</v>
      </c>
      <c r="Y876" s="60">
        <v>0</v>
      </c>
      <c r="Z876" s="60">
        <v>0</v>
      </c>
      <c r="AA876" s="60">
        <v>0</v>
      </c>
      <c r="AB876" s="60">
        <v>0</v>
      </c>
      <c r="AC876" s="60">
        <v>0</v>
      </c>
      <c r="AD876" s="60">
        <v>0</v>
      </c>
      <c r="AE876" s="60">
        <v>0</v>
      </c>
      <c r="AF876" s="170" t="s">
        <v>257</v>
      </c>
      <c r="AG876" s="170">
        <v>2021</v>
      </c>
      <c r="AH876" s="63" t="s">
        <v>257</v>
      </c>
    </row>
    <row r="877" spans="1:34" ht="61.5" x14ac:dyDescent="0.85">
      <c r="B877" s="160" t="s">
        <v>776</v>
      </c>
      <c r="C877" s="176"/>
      <c r="D877" s="177">
        <f t="shared" ref="D877:AE877" si="124">SUM(D878:D888)</f>
        <v>22316439.620000001</v>
      </c>
      <c r="E877" s="60">
        <f t="shared" si="124"/>
        <v>0</v>
      </c>
      <c r="F877" s="60">
        <f t="shared" si="124"/>
        <v>0</v>
      </c>
      <c r="G877" s="60">
        <f t="shared" si="124"/>
        <v>796456.11</v>
      </c>
      <c r="H877" s="60">
        <f t="shared" si="124"/>
        <v>94173.67</v>
      </c>
      <c r="I877" s="60">
        <f t="shared" si="124"/>
        <v>0</v>
      </c>
      <c r="J877" s="60">
        <f t="shared" si="124"/>
        <v>0</v>
      </c>
      <c r="K877" s="168">
        <f t="shared" si="124"/>
        <v>0</v>
      </c>
      <c r="L877" s="60">
        <f t="shared" si="124"/>
        <v>0</v>
      </c>
      <c r="M877" s="60">
        <f t="shared" si="124"/>
        <v>3100.2</v>
      </c>
      <c r="N877" s="60">
        <f t="shared" si="124"/>
        <v>15039683.699999999</v>
      </c>
      <c r="O877" s="60">
        <f t="shared" si="124"/>
        <v>0</v>
      </c>
      <c r="P877" s="60">
        <f t="shared" si="124"/>
        <v>0</v>
      </c>
      <c r="Q877" s="60">
        <f t="shared" si="124"/>
        <v>0</v>
      </c>
      <c r="R877" s="60">
        <f t="shared" si="124"/>
        <v>0</v>
      </c>
      <c r="S877" s="60">
        <f t="shared" si="124"/>
        <v>0</v>
      </c>
      <c r="T877" s="60">
        <f t="shared" si="124"/>
        <v>0</v>
      </c>
      <c r="U877" s="60">
        <f t="shared" si="124"/>
        <v>5487161</v>
      </c>
      <c r="V877" s="60">
        <f t="shared" si="124"/>
        <v>0</v>
      </c>
      <c r="W877" s="60">
        <f t="shared" si="124"/>
        <v>0</v>
      </c>
      <c r="X877" s="60">
        <f t="shared" si="124"/>
        <v>0</v>
      </c>
      <c r="Y877" s="60">
        <f t="shared" si="124"/>
        <v>0</v>
      </c>
      <c r="Z877" s="60">
        <f t="shared" si="124"/>
        <v>0</v>
      </c>
      <c r="AA877" s="60">
        <f t="shared" si="124"/>
        <v>0</v>
      </c>
      <c r="AB877" s="60">
        <f t="shared" si="124"/>
        <v>0</v>
      </c>
      <c r="AC877" s="60">
        <f t="shared" si="124"/>
        <v>204345.34</v>
      </c>
      <c r="AD877" s="60">
        <f t="shared" si="124"/>
        <v>694619.8</v>
      </c>
      <c r="AE877" s="60">
        <f t="shared" si="124"/>
        <v>0</v>
      </c>
      <c r="AF877" s="54" t="s">
        <v>701</v>
      </c>
      <c r="AG877" s="54" t="s">
        <v>701</v>
      </c>
      <c r="AH877" s="55" t="s">
        <v>701</v>
      </c>
    </row>
    <row r="878" spans="1:34" ht="61.5" x14ac:dyDescent="0.85">
      <c r="A878" s="7">
        <v>1</v>
      </c>
      <c r="B878" s="59">
        <f>SUBTOTAL(103,$A$558:A878)</f>
        <v>298</v>
      </c>
      <c r="C878" s="160" t="s">
        <v>120</v>
      </c>
      <c r="D878" s="60">
        <f t="shared" ref="D878:D888" si="125">E878+F878+G878+H878+I878+J878+L878+N878+P878+R878+T878+U878+V878+W878+X878+Y878+Z878+AA878+AB878+AC878+AD878+AE878</f>
        <v>119941.93</v>
      </c>
      <c r="E878" s="60">
        <v>0</v>
      </c>
      <c r="F878" s="60">
        <v>0</v>
      </c>
      <c r="G878" s="60">
        <v>0</v>
      </c>
      <c r="H878" s="60">
        <v>0</v>
      </c>
      <c r="I878" s="60">
        <v>0</v>
      </c>
      <c r="J878" s="60">
        <v>0</v>
      </c>
      <c r="K878" s="168">
        <v>0</v>
      </c>
      <c r="L878" s="60">
        <v>0</v>
      </c>
      <c r="M878" s="60">
        <v>0</v>
      </c>
      <c r="N878" s="60">
        <v>0</v>
      </c>
      <c r="O878" s="60">
        <v>0</v>
      </c>
      <c r="P878" s="60">
        <v>0</v>
      </c>
      <c r="Q878" s="60">
        <v>0</v>
      </c>
      <c r="R878" s="60">
        <v>0</v>
      </c>
      <c r="S878" s="60">
        <v>0</v>
      </c>
      <c r="T878" s="60">
        <v>0</v>
      </c>
      <c r="U878" s="60">
        <v>0</v>
      </c>
      <c r="V878" s="60">
        <v>0</v>
      </c>
      <c r="W878" s="60">
        <v>0</v>
      </c>
      <c r="X878" s="60">
        <v>0</v>
      </c>
      <c r="Y878" s="60">
        <v>0</v>
      </c>
      <c r="Z878" s="60">
        <v>0</v>
      </c>
      <c r="AA878" s="60">
        <v>0</v>
      </c>
      <c r="AB878" s="60">
        <v>0</v>
      </c>
      <c r="AC878" s="60">
        <v>0</v>
      </c>
      <c r="AD878" s="60">
        <v>119941.93</v>
      </c>
      <c r="AE878" s="60">
        <v>0</v>
      </c>
      <c r="AF878" s="170">
        <v>2021</v>
      </c>
      <c r="AG878" s="170" t="s">
        <v>257</v>
      </c>
      <c r="AH878" s="170" t="s">
        <v>257</v>
      </c>
    </row>
    <row r="879" spans="1:34" ht="61.5" x14ac:dyDescent="0.85">
      <c r="A879" s="7">
        <v>1</v>
      </c>
      <c r="B879" s="59">
        <f>SUBTOTAL(103,$A$558:A879)</f>
        <v>299</v>
      </c>
      <c r="C879" s="160" t="s">
        <v>125</v>
      </c>
      <c r="D879" s="60">
        <f t="shared" si="125"/>
        <v>5544364.6500000004</v>
      </c>
      <c r="E879" s="60">
        <v>0</v>
      </c>
      <c r="F879" s="60">
        <v>0</v>
      </c>
      <c r="G879" s="60">
        <v>0</v>
      </c>
      <c r="H879" s="60">
        <v>0</v>
      </c>
      <c r="I879" s="60">
        <v>0</v>
      </c>
      <c r="J879" s="60">
        <v>0</v>
      </c>
      <c r="K879" s="168">
        <v>0</v>
      </c>
      <c r="L879" s="60">
        <v>0</v>
      </c>
      <c r="M879" s="60">
        <v>0</v>
      </c>
      <c r="N879" s="60">
        <v>0</v>
      </c>
      <c r="O879" s="60">
        <v>0</v>
      </c>
      <c r="P879" s="60">
        <v>0</v>
      </c>
      <c r="Q879" s="60">
        <v>0</v>
      </c>
      <c r="R879" s="60">
        <v>0</v>
      </c>
      <c r="S879" s="60">
        <v>0</v>
      </c>
      <c r="T879" s="60">
        <v>0</v>
      </c>
      <c r="U879" s="60">
        <v>5487161</v>
      </c>
      <c r="V879" s="60">
        <v>0</v>
      </c>
      <c r="W879" s="60">
        <v>0</v>
      </c>
      <c r="X879" s="60">
        <v>0</v>
      </c>
      <c r="Y879" s="60">
        <v>0</v>
      </c>
      <c r="Z879" s="60">
        <v>0</v>
      </c>
      <c r="AA879" s="60">
        <v>0</v>
      </c>
      <c r="AB879" s="60">
        <v>0</v>
      </c>
      <c r="AC879" s="62">
        <v>57203.65</v>
      </c>
      <c r="AD879" s="60">
        <v>0</v>
      </c>
      <c r="AE879" s="60">
        <v>0</v>
      </c>
      <c r="AF879" s="170" t="s">
        <v>257</v>
      </c>
      <c r="AG879" s="170">
        <v>2021</v>
      </c>
      <c r="AH879" s="63">
        <v>2021</v>
      </c>
    </row>
    <row r="880" spans="1:34" ht="61.5" x14ac:dyDescent="0.85">
      <c r="A880" s="7">
        <v>1</v>
      </c>
      <c r="B880" s="59">
        <f>SUBTOTAL(103,$A$558:A880)</f>
        <v>300</v>
      </c>
      <c r="C880" s="160" t="s">
        <v>123</v>
      </c>
      <c r="D880" s="60">
        <f t="shared" si="125"/>
        <v>4164322.15</v>
      </c>
      <c r="E880" s="60">
        <v>0</v>
      </c>
      <c r="F880" s="60">
        <v>0</v>
      </c>
      <c r="G880" s="60">
        <v>0</v>
      </c>
      <c r="H880" s="60">
        <v>0</v>
      </c>
      <c r="I880" s="60">
        <v>0</v>
      </c>
      <c r="J880" s="60">
        <v>0</v>
      </c>
      <c r="K880" s="168">
        <v>0</v>
      </c>
      <c r="L880" s="60">
        <v>0</v>
      </c>
      <c r="M880" s="60">
        <v>897.57</v>
      </c>
      <c r="N880" s="60">
        <v>4121357</v>
      </c>
      <c r="O880" s="60">
        <v>0</v>
      </c>
      <c r="P880" s="60">
        <v>0</v>
      </c>
      <c r="Q880" s="60">
        <v>0</v>
      </c>
      <c r="R880" s="60">
        <v>0</v>
      </c>
      <c r="S880" s="60">
        <v>0</v>
      </c>
      <c r="T880" s="60">
        <v>0</v>
      </c>
      <c r="U880" s="60">
        <v>0</v>
      </c>
      <c r="V880" s="60">
        <v>0</v>
      </c>
      <c r="W880" s="60">
        <v>0</v>
      </c>
      <c r="X880" s="60">
        <v>0</v>
      </c>
      <c r="Y880" s="60">
        <v>0</v>
      </c>
      <c r="Z880" s="60">
        <v>0</v>
      </c>
      <c r="AA880" s="60">
        <v>0</v>
      </c>
      <c r="AB880" s="60">
        <v>0</v>
      </c>
      <c r="AC880" s="62">
        <v>42965.15</v>
      </c>
      <c r="AD880" s="60">
        <v>0</v>
      </c>
      <c r="AE880" s="60">
        <v>0</v>
      </c>
      <c r="AF880" s="170" t="s">
        <v>257</v>
      </c>
      <c r="AG880" s="170">
        <v>2021</v>
      </c>
      <c r="AH880" s="63">
        <v>2021</v>
      </c>
    </row>
    <row r="881" spans="1:34" ht="61.5" x14ac:dyDescent="0.85">
      <c r="A881" s="7">
        <v>1</v>
      </c>
      <c r="B881" s="59">
        <f>SUBTOTAL(103,$A$558:A881)</f>
        <v>301</v>
      </c>
      <c r="C881" s="160" t="s">
        <v>126</v>
      </c>
      <c r="D881" s="60">
        <f t="shared" si="125"/>
        <v>3561345.98</v>
      </c>
      <c r="E881" s="60">
        <v>0</v>
      </c>
      <c r="F881" s="60">
        <v>0</v>
      </c>
      <c r="G881" s="60">
        <v>0</v>
      </c>
      <c r="H881" s="60">
        <v>0</v>
      </c>
      <c r="I881" s="60">
        <v>0</v>
      </c>
      <c r="J881" s="60">
        <v>0</v>
      </c>
      <c r="K881" s="168">
        <v>0</v>
      </c>
      <c r="L881" s="60">
        <v>0</v>
      </c>
      <c r="M881" s="60">
        <v>643.1</v>
      </c>
      <c r="N881" s="60">
        <v>3524602</v>
      </c>
      <c r="O881" s="60">
        <v>0</v>
      </c>
      <c r="P881" s="60">
        <v>0</v>
      </c>
      <c r="Q881" s="60">
        <v>0</v>
      </c>
      <c r="R881" s="60">
        <v>0</v>
      </c>
      <c r="S881" s="60">
        <v>0</v>
      </c>
      <c r="T881" s="60">
        <v>0</v>
      </c>
      <c r="U881" s="60">
        <v>0</v>
      </c>
      <c r="V881" s="60">
        <v>0</v>
      </c>
      <c r="W881" s="60">
        <v>0</v>
      </c>
      <c r="X881" s="60">
        <v>0</v>
      </c>
      <c r="Y881" s="60">
        <v>0</v>
      </c>
      <c r="Z881" s="60">
        <v>0</v>
      </c>
      <c r="AA881" s="60">
        <v>0</v>
      </c>
      <c r="AB881" s="60">
        <v>0</v>
      </c>
      <c r="AC881" s="62">
        <v>36743.980000000003</v>
      </c>
      <c r="AD881" s="60">
        <v>0</v>
      </c>
      <c r="AE881" s="60">
        <v>0</v>
      </c>
      <c r="AF881" s="170" t="s">
        <v>257</v>
      </c>
      <c r="AG881" s="170">
        <v>2021</v>
      </c>
      <c r="AH881" s="63">
        <v>2021</v>
      </c>
    </row>
    <row r="882" spans="1:34" ht="61.5" x14ac:dyDescent="0.85">
      <c r="A882" s="7">
        <v>1</v>
      </c>
      <c r="B882" s="59">
        <f>SUBTOTAL(103,$A$558:A882)</f>
        <v>302</v>
      </c>
      <c r="C882" s="160" t="s">
        <v>124</v>
      </c>
      <c r="D882" s="60">
        <f t="shared" si="125"/>
        <v>2858655.04</v>
      </c>
      <c r="E882" s="60">
        <v>0</v>
      </c>
      <c r="F882" s="60">
        <v>0</v>
      </c>
      <c r="G882" s="60">
        <v>0</v>
      </c>
      <c r="H882" s="60">
        <v>0</v>
      </c>
      <c r="I882" s="60">
        <v>0</v>
      </c>
      <c r="J882" s="60">
        <v>0</v>
      </c>
      <c r="K882" s="168">
        <v>0</v>
      </c>
      <c r="L882" s="60">
        <v>0</v>
      </c>
      <c r="M882" s="60">
        <v>557.17999999999995</v>
      </c>
      <c r="N882" s="60">
        <v>2749022</v>
      </c>
      <c r="O882" s="60">
        <v>0</v>
      </c>
      <c r="P882" s="60">
        <v>0</v>
      </c>
      <c r="Q882" s="60">
        <v>0</v>
      </c>
      <c r="R882" s="60">
        <v>0</v>
      </c>
      <c r="S882" s="60">
        <v>0</v>
      </c>
      <c r="T882" s="60">
        <v>0</v>
      </c>
      <c r="U882" s="60">
        <v>0</v>
      </c>
      <c r="V882" s="60">
        <v>0</v>
      </c>
      <c r="W882" s="60">
        <v>0</v>
      </c>
      <c r="X882" s="60">
        <v>0</v>
      </c>
      <c r="Y882" s="60">
        <v>0</v>
      </c>
      <c r="Z882" s="60">
        <v>0</v>
      </c>
      <c r="AA882" s="60">
        <v>0</v>
      </c>
      <c r="AB882" s="60">
        <v>0</v>
      </c>
      <c r="AC882" s="62">
        <v>28658.55</v>
      </c>
      <c r="AD882" s="60">
        <v>80974.490000000005</v>
      </c>
      <c r="AE882" s="60">
        <v>0</v>
      </c>
      <c r="AF882" s="170">
        <v>2021</v>
      </c>
      <c r="AG882" s="170">
        <v>2021</v>
      </c>
      <c r="AH882" s="63">
        <v>2021</v>
      </c>
    </row>
    <row r="883" spans="1:34" ht="61.5" x14ac:dyDescent="0.85">
      <c r="A883" s="7">
        <v>1</v>
      </c>
      <c r="B883" s="59">
        <f>SUBTOTAL(103,$A$558:A883)</f>
        <v>303</v>
      </c>
      <c r="C883" s="160" t="s">
        <v>121</v>
      </c>
      <c r="D883" s="60">
        <f t="shared" si="125"/>
        <v>120068.08</v>
      </c>
      <c r="E883" s="60">
        <v>0</v>
      </c>
      <c r="F883" s="60">
        <v>0</v>
      </c>
      <c r="G883" s="60">
        <v>0</v>
      </c>
      <c r="H883" s="60">
        <v>0</v>
      </c>
      <c r="I883" s="60">
        <v>0</v>
      </c>
      <c r="J883" s="60">
        <v>0</v>
      </c>
      <c r="K883" s="168">
        <v>0</v>
      </c>
      <c r="L883" s="60">
        <v>0</v>
      </c>
      <c r="M883" s="60">
        <v>0</v>
      </c>
      <c r="N883" s="60">
        <v>0</v>
      </c>
      <c r="O883" s="60">
        <v>0</v>
      </c>
      <c r="P883" s="60">
        <v>0</v>
      </c>
      <c r="Q883" s="60">
        <v>0</v>
      </c>
      <c r="R883" s="60">
        <v>0</v>
      </c>
      <c r="S883" s="60">
        <v>0</v>
      </c>
      <c r="T883" s="60">
        <v>0</v>
      </c>
      <c r="U883" s="60">
        <v>0</v>
      </c>
      <c r="V883" s="60">
        <v>0</v>
      </c>
      <c r="W883" s="60">
        <v>0</v>
      </c>
      <c r="X883" s="60">
        <v>0</v>
      </c>
      <c r="Y883" s="60">
        <v>0</v>
      </c>
      <c r="Z883" s="60">
        <v>0</v>
      </c>
      <c r="AA883" s="60">
        <v>0</v>
      </c>
      <c r="AB883" s="60">
        <v>0</v>
      </c>
      <c r="AC883" s="60">
        <v>0</v>
      </c>
      <c r="AD883" s="60">
        <v>120068.08</v>
      </c>
      <c r="AE883" s="60">
        <v>0</v>
      </c>
      <c r="AF883" s="170">
        <v>2021</v>
      </c>
      <c r="AG883" s="170" t="s">
        <v>257</v>
      </c>
      <c r="AH883" s="170" t="s">
        <v>257</v>
      </c>
    </row>
    <row r="884" spans="1:34" ht="61.5" x14ac:dyDescent="0.85">
      <c r="A884" s="7">
        <v>1</v>
      </c>
      <c r="B884" s="59">
        <f>SUBTOTAL(103,$A$558:A884)</f>
        <v>304</v>
      </c>
      <c r="C884" s="160" t="s">
        <v>122</v>
      </c>
      <c r="D884" s="60">
        <f t="shared" si="125"/>
        <v>119926.1</v>
      </c>
      <c r="E884" s="60">
        <v>0</v>
      </c>
      <c r="F884" s="60">
        <v>0</v>
      </c>
      <c r="G884" s="60">
        <v>0</v>
      </c>
      <c r="H884" s="60">
        <v>0</v>
      </c>
      <c r="I884" s="60">
        <v>0</v>
      </c>
      <c r="J884" s="60">
        <v>0</v>
      </c>
      <c r="K884" s="168">
        <v>0</v>
      </c>
      <c r="L884" s="60">
        <v>0</v>
      </c>
      <c r="M884" s="60">
        <v>0</v>
      </c>
      <c r="N884" s="60">
        <v>0</v>
      </c>
      <c r="O884" s="60">
        <v>0</v>
      </c>
      <c r="P884" s="60">
        <v>0</v>
      </c>
      <c r="Q884" s="60">
        <v>0</v>
      </c>
      <c r="R884" s="60">
        <v>0</v>
      </c>
      <c r="S884" s="60">
        <v>0</v>
      </c>
      <c r="T884" s="60">
        <v>0</v>
      </c>
      <c r="U884" s="60">
        <v>0</v>
      </c>
      <c r="V884" s="60">
        <v>0</v>
      </c>
      <c r="W884" s="60">
        <v>0</v>
      </c>
      <c r="X884" s="60">
        <v>0</v>
      </c>
      <c r="Y884" s="60">
        <v>0</v>
      </c>
      <c r="Z884" s="60">
        <v>0</v>
      </c>
      <c r="AA884" s="60">
        <v>0</v>
      </c>
      <c r="AB884" s="60">
        <v>0</v>
      </c>
      <c r="AC884" s="60">
        <v>0</v>
      </c>
      <c r="AD884" s="60">
        <v>119926.1</v>
      </c>
      <c r="AE884" s="60">
        <v>0</v>
      </c>
      <c r="AF884" s="170">
        <v>2021</v>
      </c>
      <c r="AG884" s="170" t="s">
        <v>257</v>
      </c>
      <c r="AH884" s="170" t="s">
        <v>257</v>
      </c>
    </row>
    <row r="885" spans="1:34" ht="61.5" x14ac:dyDescent="0.85">
      <c r="A885" s="7">
        <v>1</v>
      </c>
      <c r="B885" s="59">
        <f>SUBTOTAL(103,$A$558:A885)</f>
        <v>305</v>
      </c>
      <c r="C885" s="160" t="s">
        <v>127</v>
      </c>
      <c r="D885" s="60">
        <f t="shared" si="125"/>
        <v>194982.26</v>
      </c>
      <c r="E885" s="60">
        <v>0</v>
      </c>
      <c r="F885" s="60">
        <v>0</v>
      </c>
      <c r="G885" s="60">
        <v>0</v>
      </c>
      <c r="H885" s="60">
        <v>0</v>
      </c>
      <c r="I885" s="60">
        <v>0</v>
      </c>
      <c r="J885" s="60">
        <v>0</v>
      </c>
      <c r="K885" s="168">
        <v>0</v>
      </c>
      <c r="L885" s="60">
        <v>0</v>
      </c>
      <c r="M885" s="60">
        <v>0</v>
      </c>
      <c r="N885" s="60">
        <v>0</v>
      </c>
      <c r="O885" s="60">
        <v>0</v>
      </c>
      <c r="P885" s="60">
        <v>0</v>
      </c>
      <c r="Q885" s="60">
        <v>0</v>
      </c>
      <c r="R885" s="60">
        <v>0</v>
      </c>
      <c r="S885" s="60">
        <v>0</v>
      </c>
      <c r="T885" s="60">
        <v>0</v>
      </c>
      <c r="U885" s="60">
        <v>0</v>
      </c>
      <c r="V885" s="60">
        <v>0</v>
      </c>
      <c r="W885" s="60">
        <v>0</v>
      </c>
      <c r="X885" s="60">
        <v>0</v>
      </c>
      <c r="Y885" s="60">
        <v>0</v>
      </c>
      <c r="Z885" s="60">
        <v>0</v>
      </c>
      <c r="AA885" s="60">
        <v>0</v>
      </c>
      <c r="AB885" s="60">
        <v>0</v>
      </c>
      <c r="AC885" s="60">
        <v>0</v>
      </c>
      <c r="AD885" s="60">
        <v>194982.26</v>
      </c>
      <c r="AE885" s="60">
        <v>0</v>
      </c>
      <c r="AF885" s="170">
        <v>2021</v>
      </c>
      <c r="AG885" s="170" t="s">
        <v>257</v>
      </c>
      <c r="AH885" s="170" t="s">
        <v>257</v>
      </c>
    </row>
    <row r="886" spans="1:34" ht="61.5" x14ac:dyDescent="0.85">
      <c r="A886" s="7">
        <v>1</v>
      </c>
      <c r="B886" s="59">
        <f>SUBTOTAL(103,$A$558:A886)</f>
        <v>306</v>
      </c>
      <c r="C886" s="160" t="s">
        <v>112</v>
      </c>
      <c r="D886" s="60">
        <f t="shared" si="125"/>
        <v>2512737.2000000002</v>
      </c>
      <c r="E886" s="60">
        <v>0</v>
      </c>
      <c r="F886" s="60">
        <v>0</v>
      </c>
      <c r="G886" s="60">
        <v>0</v>
      </c>
      <c r="H886" s="60">
        <v>0</v>
      </c>
      <c r="I886" s="60">
        <v>0</v>
      </c>
      <c r="J886" s="60">
        <v>0</v>
      </c>
      <c r="K886" s="168">
        <v>0</v>
      </c>
      <c r="L886" s="60">
        <v>0</v>
      </c>
      <c r="M886" s="62">
        <v>636.6</v>
      </c>
      <c r="N886" s="62">
        <v>2497750.7000000002</v>
      </c>
      <c r="O886" s="60">
        <v>0</v>
      </c>
      <c r="P886" s="60">
        <v>0</v>
      </c>
      <c r="Q886" s="60">
        <v>0</v>
      </c>
      <c r="R886" s="60">
        <v>0</v>
      </c>
      <c r="S886" s="60">
        <v>0</v>
      </c>
      <c r="T886" s="60">
        <v>0</v>
      </c>
      <c r="U886" s="60">
        <v>0</v>
      </c>
      <c r="V886" s="60">
        <v>0</v>
      </c>
      <c r="W886" s="60">
        <v>0</v>
      </c>
      <c r="X886" s="60">
        <v>0</v>
      </c>
      <c r="Y886" s="60">
        <v>0</v>
      </c>
      <c r="Z886" s="60">
        <v>0</v>
      </c>
      <c r="AA886" s="60">
        <v>0</v>
      </c>
      <c r="AB886" s="60">
        <v>0</v>
      </c>
      <c r="AC886" s="62">
        <v>14986.5</v>
      </c>
      <c r="AD886" s="60">
        <v>0</v>
      </c>
      <c r="AE886" s="60">
        <v>0</v>
      </c>
      <c r="AF886" s="170" t="s">
        <v>257</v>
      </c>
      <c r="AG886" s="170">
        <v>2021</v>
      </c>
      <c r="AH886" s="63">
        <v>2021</v>
      </c>
    </row>
    <row r="887" spans="1:34" ht="61.5" x14ac:dyDescent="0.85">
      <c r="A887" s="7">
        <v>1</v>
      </c>
      <c r="B887" s="59">
        <f>SUBTOTAL(103,$A$558:A887)</f>
        <v>307</v>
      </c>
      <c r="C887" s="160" t="s">
        <v>1150</v>
      </c>
      <c r="D887" s="60">
        <f t="shared" si="125"/>
        <v>892035.32000000007</v>
      </c>
      <c r="E887" s="60">
        <v>0</v>
      </c>
      <c r="F887" s="60">
        <v>0</v>
      </c>
      <c r="G887" s="62">
        <v>796456.11</v>
      </c>
      <c r="H887" s="62">
        <v>94173.67</v>
      </c>
      <c r="I887" s="60">
        <v>0</v>
      </c>
      <c r="J887" s="60">
        <v>0</v>
      </c>
      <c r="K887" s="168">
        <v>0</v>
      </c>
      <c r="L887" s="60">
        <v>0</v>
      </c>
      <c r="M887" s="60">
        <v>0</v>
      </c>
      <c r="N887" s="60">
        <v>0</v>
      </c>
      <c r="O887" s="60">
        <v>0</v>
      </c>
      <c r="P887" s="60">
        <v>0</v>
      </c>
      <c r="Q887" s="60">
        <v>0</v>
      </c>
      <c r="R887" s="60">
        <v>0</v>
      </c>
      <c r="S887" s="60">
        <v>0</v>
      </c>
      <c r="T887" s="60">
        <v>0</v>
      </c>
      <c r="U887" s="60">
        <v>0</v>
      </c>
      <c r="V887" s="60">
        <v>0</v>
      </c>
      <c r="W887" s="60">
        <v>0</v>
      </c>
      <c r="X887" s="60">
        <v>0</v>
      </c>
      <c r="Y887" s="60">
        <v>0</v>
      </c>
      <c r="Z887" s="60">
        <v>0</v>
      </c>
      <c r="AA887" s="60">
        <v>0</v>
      </c>
      <c r="AB887" s="60">
        <v>0</v>
      </c>
      <c r="AC887" s="60">
        <v>1405.54</v>
      </c>
      <c r="AD887" s="60">
        <v>0</v>
      </c>
      <c r="AE887" s="60">
        <v>0</v>
      </c>
      <c r="AF887" s="170" t="s">
        <v>257</v>
      </c>
      <c r="AG887" s="170">
        <v>2021</v>
      </c>
      <c r="AH887" s="63">
        <v>2021</v>
      </c>
    </row>
    <row r="888" spans="1:34" ht="61.5" x14ac:dyDescent="0.85">
      <c r="A888" s="7">
        <v>1</v>
      </c>
      <c r="B888" s="59">
        <f>SUBTOTAL(103,$A$558:A888)</f>
        <v>308</v>
      </c>
      <c r="C888" s="160" t="s">
        <v>2163</v>
      </c>
      <c r="D888" s="60">
        <f t="shared" si="125"/>
        <v>2228060.91</v>
      </c>
      <c r="E888" s="180">
        <v>0</v>
      </c>
      <c r="F888" s="180">
        <v>0</v>
      </c>
      <c r="G888" s="180">
        <v>0</v>
      </c>
      <c r="H888" s="180">
        <v>0</v>
      </c>
      <c r="I888" s="180">
        <v>0</v>
      </c>
      <c r="J888" s="180">
        <v>0</v>
      </c>
      <c r="K888" s="168">
        <v>0</v>
      </c>
      <c r="L888" s="60">
        <v>0</v>
      </c>
      <c r="M888" s="60">
        <v>365.75</v>
      </c>
      <c r="N888" s="60">
        <v>2146952</v>
      </c>
      <c r="O888" s="60">
        <v>0</v>
      </c>
      <c r="P888" s="60">
        <v>0</v>
      </c>
      <c r="Q888" s="60">
        <v>0</v>
      </c>
      <c r="R888" s="60">
        <v>0</v>
      </c>
      <c r="S888" s="60">
        <v>0</v>
      </c>
      <c r="T888" s="60">
        <v>0</v>
      </c>
      <c r="U888" s="60">
        <v>0</v>
      </c>
      <c r="V888" s="60">
        <v>0</v>
      </c>
      <c r="W888" s="60">
        <v>0</v>
      </c>
      <c r="X888" s="60">
        <v>0</v>
      </c>
      <c r="Y888" s="60">
        <v>0</v>
      </c>
      <c r="Z888" s="60">
        <v>0</v>
      </c>
      <c r="AA888" s="60">
        <v>0</v>
      </c>
      <c r="AB888" s="60">
        <v>0</v>
      </c>
      <c r="AC888" s="62">
        <v>22381.97</v>
      </c>
      <c r="AD888" s="62">
        <v>58726.94</v>
      </c>
      <c r="AE888" s="60">
        <v>0</v>
      </c>
      <c r="AF888" s="170">
        <v>2021</v>
      </c>
      <c r="AG888" s="170">
        <v>2021</v>
      </c>
      <c r="AH888" s="63">
        <v>2021</v>
      </c>
    </row>
    <row r="889" spans="1:34" ht="61.5" x14ac:dyDescent="0.85">
      <c r="B889" s="160" t="s">
        <v>779</v>
      </c>
      <c r="C889" s="176"/>
      <c r="D889" s="177">
        <f t="shared" ref="D889:AE889" si="126">SUM(D890:D891)</f>
        <v>5513180.9399999995</v>
      </c>
      <c r="E889" s="60">
        <f t="shared" si="126"/>
        <v>0</v>
      </c>
      <c r="F889" s="60">
        <f t="shared" si="126"/>
        <v>0</v>
      </c>
      <c r="G889" s="60">
        <f t="shared" si="126"/>
        <v>0</v>
      </c>
      <c r="H889" s="60">
        <f t="shared" si="126"/>
        <v>0</v>
      </c>
      <c r="I889" s="60">
        <f t="shared" si="126"/>
        <v>0</v>
      </c>
      <c r="J889" s="60">
        <f t="shared" si="126"/>
        <v>0</v>
      </c>
      <c r="K889" s="168">
        <f t="shared" si="126"/>
        <v>0</v>
      </c>
      <c r="L889" s="60">
        <f t="shared" si="126"/>
        <v>0</v>
      </c>
      <c r="M889" s="60">
        <f t="shared" si="126"/>
        <v>293</v>
      </c>
      <c r="N889" s="60">
        <f t="shared" si="126"/>
        <v>1132822</v>
      </c>
      <c r="O889" s="60">
        <f t="shared" si="126"/>
        <v>0</v>
      </c>
      <c r="P889" s="60">
        <f t="shared" si="126"/>
        <v>0</v>
      </c>
      <c r="Q889" s="60">
        <f t="shared" si="126"/>
        <v>0</v>
      </c>
      <c r="R889" s="60">
        <f t="shared" si="126"/>
        <v>0</v>
      </c>
      <c r="S889" s="60">
        <f t="shared" si="126"/>
        <v>0</v>
      </c>
      <c r="T889" s="60">
        <f t="shared" si="126"/>
        <v>0</v>
      </c>
      <c r="U889" s="60">
        <f t="shared" si="126"/>
        <v>4310144.67</v>
      </c>
      <c r="V889" s="60">
        <f t="shared" si="126"/>
        <v>0</v>
      </c>
      <c r="W889" s="60">
        <f t="shared" si="126"/>
        <v>0</v>
      </c>
      <c r="X889" s="60">
        <f t="shared" si="126"/>
        <v>0</v>
      </c>
      <c r="Y889" s="60">
        <f t="shared" si="126"/>
        <v>0</v>
      </c>
      <c r="Z889" s="60">
        <f t="shared" si="126"/>
        <v>0</v>
      </c>
      <c r="AA889" s="60">
        <f t="shared" si="126"/>
        <v>0</v>
      </c>
      <c r="AB889" s="60">
        <f t="shared" si="126"/>
        <v>0</v>
      </c>
      <c r="AC889" s="60">
        <f t="shared" si="126"/>
        <v>70214.27</v>
      </c>
      <c r="AD889" s="60">
        <f t="shared" si="126"/>
        <v>0</v>
      </c>
      <c r="AE889" s="60">
        <f t="shared" si="126"/>
        <v>0</v>
      </c>
      <c r="AF889" s="54" t="s">
        <v>701</v>
      </c>
      <c r="AG889" s="54" t="s">
        <v>701</v>
      </c>
      <c r="AH889" s="55" t="s">
        <v>701</v>
      </c>
    </row>
    <row r="890" spans="1:34" ht="61.5" x14ac:dyDescent="0.85">
      <c r="A890" s="7">
        <v>1</v>
      </c>
      <c r="B890" s="59">
        <f>SUBTOTAL(103,$A$558:A890)</f>
        <v>309</v>
      </c>
      <c r="C890" s="160" t="s">
        <v>163</v>
      </c>
      <c r="D890" s="60">
        <f>E890+F890+G890+H890+I890+J890+L890+N890+P890+R890+T890+U890+V890+W890+X890+Y890+Z890+AA890+AB890+AC890+AD890+AE890</f>
        <v>4365745.54</v>
      </c>
      <c r="E890" s="60">
        <v>0</v>
      </c>
      <c r="F890" s="60">
        <v>0</v>
      </c>
      <c r="G890" s="60">
        <v>0</v>
      </c>
      <c r="H890" s="60">
        <v>0</v>
      </c>
      <c r="I890" s="60">
        <v>0</v>
      </c>
      <c r="J890" s="60">
        <v>0</v>
      </c>
      <c r="K890" s="168">
        <v>0</v>
      </c>
      <c r="L890" s="60">
        <v>0</v>
      </c>
      <c r="M890" s="60">
        <v>0</v>
      </c>
      <c r="N890" s="60">
        <v>0</v>
      </c>
      <c r="O890" s="60">
        <v>0</v>
      </c>
      <c r="P890" s="60">
        <v>0</v>
      </c>
      <c r="Q890" s="60">
        <v>0</v>
      </c>
      <c r="R890" s="60">
        <v>0</v>
      </c>
      <c r="S890" s="60">
        <v>0</v>
      </c>
      <c r="T890" s="60">
        <v>0</v>
      </c>
      <c r="U890" s="62">
        <v>4310144.67</v>
      </c>
      <c r="V890" s="60">
        <v>0</v>
      </c>
      <c r="W890" s="60">
        <v>0</v>
      </c>
      <c r="X890" s="60">
        <v>0</v>
      </c>
      <c r="Y890" s="60">
        <v>0</v>
      </c>
      <c r="Z890" s="60">
        <v>0</v>
      </c>
      <c r="AA890" s="60">
        <v>0</v>
      </c>
      <c r="AB890" s="60">
        <v>0</v>
      </c>
      <c r="AC890" s="62">
        <v>55600.87</v>
      </c>
      <c r="AD890" s="60">
        <v>0</v>
      </c>
      <c r="AE890" s="60">
        <v>0</v>
      </c>
      <c r="AF890" s="170" t="s">
        <v>257</v>
      </c>
      <c r="AG890" s="170">
        <v>2021</v>
      </c>
      <c r="AH890" s="63">
        <v>2021</v>
      </c>
    </row>
    <row r="891" spans="1:34" ht="61.5" x14ac:dyDescent="0.85">
      <c r="A891" s="7">
        <v>1</v>
      </c>
      <c r="B891" s="59">
        <f>SUBTOTAL(103,$A$558:A891)</f>
        <v>310</v>
      </c>
      <c r="C891" s="160" t="s">
        <v>1477</v>
      </c>
      <c r="D891" s="60">
        <f>E891+F891+G891+H891+I891+J891+L891+N891+P891+R891+T891+U891+V891+W891+X891+Y891+Z891+AA891+AB891+AC891+AD891+AE891</f>
        <v>1147435.3999999999</v>
      </c>
      <c r="E891" s="60">
        <v>0</v>
      </c>
      <c r="F891" s="60">
        <v>0</v>
      </c>
      <c r="G891" s="60">
        <v>0</v>
      </c>
      <c r="H891" s="60">
        <v>0</v>
      </c>
      <c r="I891" s="60">
        <v>0</v>
      </c>
      <c r="J891" s="60">
        <v>0</v>
      </c>
      <c r="K891" s="168">
        <v>0</v>
      </c>
      <c r="L891" s="60">
        <v>0</v>
      </c>
      <c r="M891" s="62">
        <v>293</v>
      </c>
      <c r="N891" s="62">
        <v>1132822</v>
      </c>
      <c r="O891" s="60">
        <v>0</v>
      </c>
      <c r="P891" s="60">
        <v>0</v>
      </c>
      <c r="Q891" s="60">
        <v>0</v>
      </c>
      <c r="R891" s="60">
        <v>0</v>
      </c>
      <c r="S891" s="60">
        <v>0</v>
      </c>
      <c r="T891" s="60">
        <v>0</v>
      </c>
      <c r="U891" s="60">
        <v>0</v>
      </c>
      <c r="V891" s="60">
        <v>0</v>
      </c>
      <c r="W891" s="60">
        <v>0</v>
      </c>
      <c r="X891" s="60">
        <v>0</v>
      </c>
      <c r="Y891" s="60">
        <v>0</v>
      </c>
      <c r="Z891" s="60">
        <v>0</v>
      </c>
      <c r="AA891" s="60">
        <v>0</v>
      </c>
      <c r="AB891" s="60">
        <v>0</v>
      </c>
      <c r="AC891" s="62">
        <v>14613.4</v>
      </c>
      <c r="AD891" s="60">
        <v>0</v>
      </c>
      <c r="AE891" s="60">
        <v>0</v>
      </c>
      <c r="AF891" s="170" t="s">
        <v>257</v>
      </c>
      <c r="AG891" s="170">
        <v>2021</v>
      </c>
      <c r="AH891" s="63">
        <v>2021</v>
      </c>
    </row>
    <row r="892" spans="1:34" ht="61.5" x14ac:dyDescent="0.85">
      <c r="B892" s="160" t="s">
        <v>781</v>
      </c>
      <c r="C892" s="176"/>
      <c r="D892" s="177">
        <f t="shared" ref="D892:AE892" si="127">SUM(D893:D895)</f>
        <v>4300110.49</v>
      </c>
      <c r="E892" s="60">
        <f t="shared" si="127"/>
        <v>0</v>
      </c>
      <c r="F892" s="60">
        <f t="shared" si="127"/>
        <v>0</v>
      </c>
      <c r="G892" s="60">
        <f t="shared" si="127"/>
        <v>0</v>
      </c>
      <c r="H892" s="60">
        <f t="shared" si="127"/>
        <v>0</v>
      </c>
      <c r="I892" s="60">
        <f t="shared" si="127"/>
        <v>0</v>
      </c>
      <c r="J892" s="60">
        <f t="shared" si="127"/>
        <v>0</v>
      </c>
      <c r="K892" s="168">
        <f t="shared" si="127"/>
        <v>0</v>
      </c>
      <c r="L892" s="60">
        <f t="shared" si="127"/>
        <v>0</v>
      </c>
      <c r="M892" s="60">
        <f t="shared" si="127"/>
        <v>0</v>
      </c>
      <c r="N892" s="60">
        <f t="shared" si="127"/>
        <v>0</v>
      </c>
      <c r="O892" s="60">
        <f t="shared" si="127"/>
        <v>0</v>
      </c>
      <c r="P892" s="60">
        <f t="shared" si="127"/>
        <v>0</v>
      </c>
      <c r="Q892" s="60">
        <f t="shared" si="127"/>
        <v>655.53</v>
      </c>
      <c r="R892" s="60">
        <f t="shared" si="127"/>
        <v>2352267</v>
      </c>
      <c r="S892" s="60">
        <f t="shared" si="127"/>
        <v>0</v>
      </c>
      <c r="T892" s="60">
        <f t="shared" si="127"/>
        <v>0</v>
      </c>
      <c r="U892" s="60">
        <f t="shared" si="127"/>
        <v>1815231</v>
      </c>
      <c r="V892" s="60">
        <f t="shared" si="127"/>
        <v>0</v>
      </c>
      <c r="W892" s="60">
        <f t="shared" si="127"/>
        <v>0</v>
      </c>
      <c r="X892" s="60">
        <f t="shared" si="127"/>
        <v>0</v>
      </c>
      <c r="Y892" s="60">
        <f t="shared" si="127"/>
        <v>0</v>
      </c>
      <c r="Z892" s="60">
        <f t="shared" si="127"/>
        <v>0</v>
      </c>
      <c r="AA892" s="60">
        <f t="shared" si="127"/>
        <v>0</v>
      </c>
      <c r="AB892" s="60">
        <f t="shared" si="127"/>
        <v>0</v>
      </c>
      <c r="AC892" s="60">
        <f t="shared" si="127"/>
        <v>53760.72</v>
      </c>
      <c r="AD892" s="60">
        <f t="shared" si="127"/>
        <v>78851.77</v>
      </c>
      <c r="AE892" s="60">
        <f t="shared" si="127"/>
        <v>0</v>
      </c>
      <c r="AF892" s="54" t="s">
        <v>701</v>
      </c>
      <c r="AG892" s="54" t="s">
        <v>701</v>
      </c>
      <c r="AH892" s="55" t="s">
        <v>701</v>
      </c>
    </row>
    <row r="893" spans="1:34" ht="61.5" x14ac:dyDescent="0.85">
      <c r="A893" s="7">
        <v>1</v>
      </c>
      <c r="B893" s="59">
        <f>SUBTOTAL(103,$A$558:A893)</f>
        <v>311</v>
      </c>
      <c r="C893" s="160" t="s">
        <v>170</v>
      </c>
      <c r="D893" s="60">
        <f>E893+F893+G893+H893+I893+J893+L893+N893+P893+R893+T893+U893+V893+W893+X893+Y893+Z893+AA893+AB893+AC893+AD893+AE893</f>
        <v>78851.77</v>
      </c>
      <c r="E893" s="60">
        <v>0</v>
      </c>
      <c r="F893" s="60">
        <v>0</v>
      </c>
      <c r="G893" s="60">
        <v>0</v>
      </c>
      <c r="H893" s="60">
        <v>0</v>
      </c>
      <c r="I893" s="60">
        <v>0</v>
      </c>
      <c r="J893" s="60">
        <v>0</v>
      </c>
      <c r="K893" s="168">
        <v>0</v>
      </c>
      <c r="L893" s="60">
        <v>0</v>
      </c>
      <c r="M893" s="60">
        <v>0</v>
      </c>
      <c r="N893" s="60">
        <v>0</v>
      </c>
      <c r="O893" s="60">
        <v>0</v>
      </c>
      <c r="P893" s="60">
        <v>0</v>
      </c>
      <c r="Q893" s="60">
        <v>0</v>
      </c>
      <c r="R893" s="60">
        <v>0</v>
      </c>
      <c r="S893" s="60">
        <v>0</v>
      </c>
      <c r="T893" s="60">
        <v>0</v>
      </c>
      <c r="U893" s="60">
        <v>0</v>
      </c>
      <c r="V893" s="60">
        <v>0</v>
      </c>
      <c r="W893" s="60">
        <v>0</v>
      </c>
      <c r="X893" s="60">
        <v>0</v>
      </c>
      <c r="Y893" s="60">
        <v>0</v>
      </c>
      <c r="Z893" s="60">
        <v>0</v>
      </c>
      <c r="AA893" s="60">
        <v>0</v>
      </c>
      <c r="AB893" s="60">
        <v>0</v>
      </c>
      <c r="AC893" s="60">
        <v>0</v>
      </c>
      <c r="AD893" s="60">
        <v>78851.77</v>
      </c>
      <c r="AE893" s="60">
        <v>0</v>
      </c>
      <c r="AF893" s="170">
        <v>2021</v>
      </c>
      <c r="AG893" s="170" t="s">
        <v>257</v>
      </c>
      <c r="AH893" s="170" t="s">
        <v>257</v>
      </c>
    </row>
    <row r="894" spans="1:34" ht="61.5" x14ac:dyDescent="0.85">
      <c r="A894" s="7">
        <v>1</v>
      </c>
      <c r="B894" s="59">
        <f>SUBTOTAL(103,$A$558:A894)</f>
        <v>312</v>
      </c>
      <c r="C894" s="160" t="s">
        <v>174</v>
      </c>
      <c r="D894" s="60">
        <f>E894+F894+G894+H894+I894+J894+L894+N894+P894+R894+T894+U894+V894+W894+X894+Y894+Z894+AA894+AB894+AC894+AD894+AE894</f>
        <v>2382611.2400000002</v>
      </c>
      <c r="E894" s="60">
        <v>0</v>
      </c>
      <c r="F894" s="60">
        <v>0</v>
      </c>
      <c r="G894" s="60">
        <v>0</v>
      </c>
      <c r="H894" s="60">
        <v>0</v>
      </c>
      <c r="I894" s="60">
        <v>0</v>
      </c>
      <c r="J894" s="60">
        <v>0</v>
      </c>
      <c r="K894" s="168">
        <v>0</v>
      </c>
      <c r="L894" s="60">
        <v>0</v>
      </c>
      <c r="M894" s="60">
        <v>0</v>
      </c>
      <c r="N894" s="60">
        <v>0</v>
      </c>
      <c r="O894" s="60">
        <v>0</v>
      </c>
      <c r="P894" s="60">
        <v>0</v>
      </c>
      <c r="Q894" s="62">
        <v>655.53</v>
      </c>
      <c r="R894" s="62">
        <v>2352267</v>
      </c>
      <c r="S894" s="60">
        <v>0</v>
      </c>
      <c r="T894" s="60">
        <v>0</v>
      </c>
      <c r="U894" s="60">
        <v>0</v>
      </c>
      <c r="V894" s="60">
        <v>0</v>
      </c>
      <c r="W894" s="60">
        <v>0</v>
      </c>
      <c r="X894" s="60">
        <v>0</v>
      </c>
      <c r="Y894" s="60">
        <v>0</v>
      </c>
      <c r="Z894" s="60">
        <v>0</v>
      </c>
      <c r="AA894" s="60">
        <v>0</v>
      </c>
      <c r="AB894" s="60">
        <v>0</v>
      </c>
      <c r="AC894" s="62">
        <v>30344.240000000002</v>
      </c>
      <c r="AD894" s="60">
        <v>0</v>
      </c>
      <c r="AE894" s="60">
        <v>0</v>
      </c>
      <c r="AF894" s="170" t="s">
        <v>257</v>
      </c>
      <c r="AG894" s="170">
        <v>2021</v>
      </c>
      <c r="AH894" s="63">
        <v>2021</v>
      </c>
    </row>
    <row r="895" spans="1:34" ht="61.5" x14ac:dyDescent="0.85">
      <c r="A895" s="7">
        <v>1</v>
      </c>
      <c r="B895" s="59">
        <f>SUBTOTAL(103,$A$558:A895)</f>
        <v>313</v>
      </c>
      <c r="C895" s="160" t="s">
        <v>1476</v>
      </c>
      <c r="D895" s="60">
        <f>E895+F895+G895+H895+I895+J895+L895+N895+P895+R895+T895+U895+V895+W895+X895+Y895+Z895+AA895+AB895+AC895+AD895+AE895</f>
        <v>1838647.48</v>
      </c>
      <c r="E895" s="60">
        <v>0</v>
      </c>
      <c r="F895" s="60">
        <v>0</v>
      </c>
      <c r="G895" s="60">
        <v>0</v>
      </c>
      <c r="H895" s="60">
        <v>0</v>
      </c>
      <c r="I895" s="60">
        <v>0</v>
      </c>
      <c r="J895" s="60">
        <v>0</v>
      </c>
      <c r="K895" s="168">
        <v>0</v>
      </c>
      <c r="L895" s="60">
        <v>0</v>
      </c>
      <c r="M895" s="60">
        <v>0</v>
      </c>
      <c r="N895" s="60">
        <v>0</v>
      </c>
      <c r="O895" s="60">
        <v>0</v>
      </c>
      <c r="P895" s="60">
        <v>0</v>
      </c>
      <c r="Q895" s="60">
        <v>0</v>
      </c>
      <c r="R895" s="60">
        <v>0</v>
      </c>
      <c r="S895" s="60">
        <v>0</v>
      </c>
      <c r="T895" s="60">
        <v>0</v>
      </c>
      <c r="U895" s="60">
        <v>1815231</v>
      </c>
      <c r="V895" s="60">
        <v>0</v>
      </c>
      <c r="W895" s="60">
        <v>0</v>
      </c>
      <c r="X895" s="60">
        <v>0</v>
      </c>
      <c r="Y895" s="60">
        <v>0</v>
      </c>
      <c r="Z895" s="60">
        <v>0</v>
      </c>
      <c r="AA895" s="60">
        <v>0</v>
      </c>
      <c r="AB895" s="60">
        <v>0</v>
      </c>
      <c r="AC895" s="62">
        <v>23416.48</v>
      </c>
      <c r="AD895" s="60">
        <v>0</v>
      </c>
      <c r="AE895" s="60">
        <v>0</v>
      </c>
      <c r="AF895" s="170" t="s">
        <v>257</v>
      </c>
      <c r="AG895" s="170">
        <v>2021</v>
      </c>
      <c r="AH895" s="63">
        <v>2021</v>
      </c>
    </row>
    <row r="896" spans="1:34" ht="61.5" x14ac:dyDescent="0.85">
      <c r="B896" s="160" t="s">
        <v>780</v>
      </c>
      <c r="C896" s="160"/>
      <c r="D896" s="177">
        <f t="shared" ref="D896:AE896" si="128">SUM(D897)</f>
        <v>63914.7</v>
      </c>
      <c r="E896" s="60">
        <f t="shared" si="128"/>
        <v>0</v>
      </c>
      <c r="F896" s="60">
        <f t="shared" si="128"/>
        <v>0</v>
      </c>
      <c r="G896" s="60">
        <f t="shared" si="128"/>
        <v>0</v>
      </c>
      <c r="H896" s="60">
        <f t="shared" si="128"/>
        <v>0</v>
      </c>
      <c r="I896" s="60">
        <f t="shared" si="128"/>
        <v>0</v>
      </c>
      <c r="J896" s="60">
        <f t="shared" si="128"/>
        <v>0</v>
      </c>
      <c r="K896" s="168">
        <f t="shared" si="128"/>
        <v>0</v>
      </c>
      <c r="L896" s="60">
        <f t="shared" si="128"/>
        <v>0</v>
      </c>
      <c r="M896" s="60">
        <f t="shared" si="128"/>
        <v>0</v>
      </c>
      <c r="N896" s="60">
        <f t="shared" si="128"/>
        <v>0</v>
      </c>
      <c r="O896" s="60">
        <f t="shared" si="128"/>
        <v>0</v>
      </c>
      <c r="P896" s="60">
        <f t="shared" si="128"/>
        <v>0</v>
      </c>
      <c r="Q896" s="60">
        <f t="shared" si="128"/>
        <v>0</v>
      </c>
      <c r="R896" s="60">
        <f t="shared" si="128"/>
        <v>0</v>
      </c>
      <c r="S896" s="60">
        <f t="shared" si="128"/>
        <v>0</v>
      </c>
      <c r="T896" s="60">
        <f t="shared" si="128"/>
        <v>0</v>
      </c>
      <c r="U896" s="60">
        <f t="shared" si="128"/>
        <v>0</v>
      </c>
      <c r="V896" s="60">
        <f t="shared" si="128"/>
        <v>0</v>
      </c>
      <c r="W896" s="60">
        <f t="shared" si="128"/>
        <v>0</v>
      </c>
      <c r="X896" s="60">
        <f t="shared" si="128"/>
        <v>0</v>
      </c>
      <c r="Y896" s="60">
        <f t="shared" si="128"/>
        <v>0</v>
      </c>
      <c r="Z896" s="60">
        <f t="shared" si="128"/>
        <v>0</v>
      </c>
      <c r="AA896" s="60">
        <f t="shared" si="128"/>
        <v>0</v>
      </c>
      <c r="AB896" s="60">
        <f t="shared" si="128"/>
        <v>0</v>
      </c>
      <c r="AC896" s="60">
        <f t="shared" si="128"/>
        <v>0</v>
      </c>
      <c r="AD896" s="60">
        <f t="shared" si="128"/>
        <v>63914.7</v>
      </c>
      <c r="AE896" s="60">
        <f t="shared" si="128"/>
        <v>0</v>
      </c>
      <c r="AF896" s="54" t="s">
        <v>701</v>
      </c>
      <c r="AG896" s="54" t="s">
        <v>701</v>
      </c>
      <c r="AH896" s="55" t="s">
        <v>701</v>
      </c>
    </row>
    <row r="897" spans="1:34" ht="61.5" x14ac:dyDescent="0.85">
      <c r="A897" s="7">
        <v>1</v>
      </c>
      <c r="B897" s="59">
        <f>SUBTOTAL(103,$A$558:A897)</f>
        <v>314</v>
      </c>
      <c r="C897" s="160" t="s">
        <v>169</v>
      </c>
      <c r="D897" s="60">
        <f>E897+F897+G897+H897+I897+J897+L897+N897+P897+R897+T897+U897+V897+W897+X897+Y897+Z897+AA897+AB897+AC897+AD897+AE897</f>
        <v>63914.7</v>
      </c>
      <c r="E897" s="60">
        <v>0</v>
      </c>
      <c r="F897" s="60">
        <v>0</v>
      </c>
      <c r="G897" s="60">
        <v>0</v>
      </c>
      <c r="H897" s="60">
        <v>0</v>
      </c>
      <c r="I897" s="60">
        <v>0</v>
      </c>
      <c r="J897" s="60">
        <v>0</v>
      </c>
      <c r="K897" s="168">
        <v>0</v>
      </c>
      <c r="L897" s="60">
        <v>0</v>
      </c>
      <c r="M897" s="60">
        <v>0</v>
      </c>
      <c r="N897" s="60">
        <v>0</v>
      </c>
      <c r="O897" s="60">
        <v>0</v>
      </c>
      <c r="P897" s="60">
        <v>0</v>
      </c>
      <c r="Q897" s="60">
        <v>0</v>
      </c>
      <c r="R897" s="60">
        <v>0</v>
      </c>
      <c r="S897" s="60">
        <v>0</v>
      </c>
      <c r="T897" s="60">
        <v>0</v>
      </c>
      <c r="U897" s="60">
        <v>0</v>
      </c>
      <c r="V897" s="60">
        <v>0</v>
      </c>
      <c r="W897" s="60">
        <v>0</v>
      </c>
      <c r="X897" s="60">
        <v>0</v>
      </c>
      <c r="Y897" s="60">
        <v>0</v>
      </c>
      <c r="Z897" s="60">
        <v>0</v>
      </c>
      <c r="AA897" s="60">
        <v>0</v>
      </c>
      <c r="AB897" s="60">
        <v>0</v>
      </c>
      <c r="AC897" s="60">
        <f>ROUND(R897*1.5%,2)</f>
        <v>0</v>
      </c>
      <c r="AD897" s="60">
        <v>63914.7</v>
      </c>
      <c r="AE897" s="60">
        <v>0</v>
      </c>
      <c r="AF897" s="170">
        <v>2021</v>
      </c>
      <c r="AG897" s="170" t="s">
        <v>257</v>
      </c>
      <c r="AH897" s="170" t="s">
        <v>257</v>
      </c>
    </row>
    <row r="898" spans="1:34" ht="61.5" x14ac:dyDescent="0.85">
      <c r="B898" s="160" t="s">
        <v>816</v>
      </c>
      <c r="C898" s="160"/>
      <c r="D898" s="177">
        <f t="shared" ref="D898:AE898" si="129">SUM(D899:D900)</f>
        <v>5200378.79</v>
      </c>
      <c r="E898" s="60">
        <f t="shared" si="129"/>
        <v>0</v>
      </c>
      <c r="F898" s="60">
        <f t="shared" si="129"/>
        <v>0</v>
      </c>
      <c r="G898" s="60">
        <f t="shared" si="129"/>
        <v>0</v>
      </c>
      <c r="H898" s="60">
        <f t="shared" si="129"/>
        <v>0</v>
      </c>
      <c r="I898" s="60">
        <f t="shared" si="129"/>
        <v>0</v>
      </c>
      <c r="J898" s="60">
        <f t="shared" si="129"/>
        <v>0</v>
      </c>
      <c r="K898" s="168">
        <f t="shared" si="129"/>
        <v>0</v>
      </c>
      <c r="L898" s="60">
        <f t="shared" si="129"/>
        <v>0</v>
      </c>
      <c r="M898" s="60">
        <f t="shared" si="129"/>
        <v>792.5</v>
      </c>
      <c r="N898" s="60">
        <f t="shared" si="129"/>
        <v>4951089</v>
      </c>
      <c r="O898" s="60">
        <f t="shared" si="129"/>
        <v>0</v>
      </c>
      <c r="P898" s="60">
        <f t="shared" si="129"/>
        <v>0</v>
      </c>
      <c r="Q898" s="60">
        <f t="shared" si="129"/>
        <v>0</v>
      </c>
      <c r="R898" s="60">
        <f t="shared" si="129"/>
        <v>0</v>
      </c>
      <c r="S898" s="60">
        <f t="shared" si="129"/>
        <v>0</v>
      </c>
      <c r="T898" s="60">
        <f t="shared" si="129"/>
        <v>0</v>
      </c>
      <c r="U898" s="60">
        <f t="shared" si="129"/>
        <v>0</v>
      </c>
      <c r="V898" s="60">
        <f t="shared" si="129"/>
        <v>0</v>
      </c>
      <c r="W898" s="60">
        <f t="shared" si="129"/>
        <v>0</v>
      </c>
      <c r="X898" s="60">
        <f t="shared" si="129"/>
        <v>0</v>
      </c>
      <c r="Y898" s="60">
        <f t="shared" si="129"/>
        <v>0</v>
      </c>
      <c r="Z898" s="60">
        <f t="shared" si="129"/>
        <v>0</v>
      </c>
      <c r="AA898" s="60">
        <f t="shared" si="129"/>
        <v>0</v>
      </c>
      <c r="AB898" s="60">
        <f t="shared" si="129"/>
        <v>0</v>
      </c>
      <c r="AC898" s="60">
        <f t="shared" si="129"/>
        <v>64983.040000000001</v>
      </c>
      <c r="AD898" s="60">
        <f t="shared" si="129"/>
        <v>184306.75</v>
      </c>
      <c r="AE898" s="60">
        <f t="shared" si="129"/>
        <v>0</v>
      </c>
      <c r="AF898" s="54" t="s">
        <v>701</v>
      </c>
      <c r="AG898" s="54" t="s">
        <v>701</v>
      </c>
      <c r="AH898" s="55" t="s">
        <v>701</v>
      </c>
    </row>
    <row r="899" spans="1:34" ht="61.5" x14ac:dyDescent="0.85">
      <c r="A899" s="7">
        <v>1</v>
      </c>
      <c r="B899" s="59">
        <f>SUBTOTAL(103,$A$558:A899)</f>
        <v>315</v>
      </c>
      <c r="C899" s="160" t="s">
        <v>167</v>
      </c>
      <c r="D899" s="60">
        <f>E899+F899+G899+H899+I899+J899+L899+N899+P899+R899+T899+U899+V899+W899+X899+Y899+Z899+AA899+AB899+AC899+AD899+AE899</f>
        <v>5103668.53</v>
      </c>
      <c r="E899" s="60">
        <v>0</v>
      </c>
      <c r="F899" s="60">
        <v>0</v>
      </c>
      <c r="G899" s="60">
        <v>0</v>
      </c>
      <c r="H899" s="60">
        <v>0</v>
      </c>
      <c r="I899" s="60">
        <v>0</v>
      </c>
      <c r="J899" s="60">
        <v>0</v>
      </c>
      <c r="K899" s="168">
        <v>0</v>
      </c>
      <c r="L899" s="60">
        <v>0</v>
      </c>
      <c r="M899" s="60">
        <v>792.5</v>
      </c>
      <c r="N899" s="60">
        <v>4951089</v>
      </c>
      <c r="O899" s="60">
        <v>0</v>
      </c>
      <c r="P899" s="60">
        <v>0</v>
      </c>
      <c r="Q899" s="60">
        <v>0</v>
      </c>
      <c r="R899" s="60">
        <v>0</v>
      </c>
      <c r="S899" s="60">
        <v>0</v>
      </c>
      <c r="T899" s="60">
        <v>0</v>
      </c>
      <c r="U899" s="60">
        <v>0</v>
      </c>
      <c r="V899" s="60">
        <v>0</v>
      </c>
      <c r="W899" s="60">
        <v>0</v>
      </c>
      <c r="X899" s="60">
        <v>0</v>
      </c>
      <c r="Y899" s="60">
        <v>0</v>
      </c>
      <c r="Z899" s="60">
        <v>0</v>
      </c>
      <c r="AA899" s="60">
        <v>0</v>
      </c>
      <c r="AB899" s="60">
        <v>0</v>
      </c>
      <c r="AC899" s="62">
        <v>64983.040000000001</v>
      </c>
      <c r="AD899" s="60">
        <v>87596.49</v>
      </c>
      <c r="AE899" s="60">
        <v>0</v>
      </c>
      <c r="AF899" s="170">
        <v>2021</v>
      </c>
      <c r="AG899" s="170">
        <v>2021</v>
      </c>
      <c r="AH899" s="63">
        <v>2021</v>
      </c>
    </row>
    <row r="900" spans="1:34" ht="61.5" x14ac:dyDescent="0.85">
      <c r="A900" s="7">
        <v>1</v>
      </c>
      <c r="B900" s="59">
        <f>SUBTOTAL(103,$A$558:A900)</f>
        <v>316</v>
      </c>
      <c r="C900" s="160" t="s">
        <v>1819</v>
      </c>
      <c r="D900" s="60">
        <f>E900+F900+G900+H900+I900+J900+L900+N900+P900+R900+T900+U900+V900+W900+X900+Y900+Z900+AA900+AB900+AC900+AD900+AE900</f>
        <v>96710.26</v>
      </c>
      <c r="E900" s="60">
        <v>0</v>
      </c>
      <c r="F900" s="60">
        <v>0</v>
      </c>
      <c r="G900" s="60">
        <v>0</v>
      </c>
      <c r="H900" s="60">
        <v>0</v>
      </c>
      <c r="I900" s="60">
        <v>0</v>
      </c>
      <c r="J900" s="60">
        <v>0</v>
      </c>
      <c r="K900" s="168">
        <v>0</v>
      </c>
      <c r="L900" s="60">
        <v>0</v>
      </c>
      <c r="M900" s="60">
        <v>0</v>
      </c>
      <c r="N900" s="60">
        <v>0</v>
      </c>
      <c r="O900" s="60">
        <v>0</v>
      </c>
      <c r="P900" s="60">
        <v>0</v>
      </c>
      <c r="Q900" s="60">
        <v>0</v>
      </c>
      <c r="R900" s="60">
        <v>0</v>
      </c>
      <c r="S900" s="60">
        <v>0</v>
      </c>
      <c r="T900" s="60">
        <v>0</v>
      </c>
      <c r="U900" s="60">
        <v>0</v>
      </c>
      <c r="V900" s="60">
        <v>0</v>
      </c>
      <c r="W900" s="60">
        <v>0</v>
      </c>
      <c r="X900" s="60">
        <v>0</v>
      </c>
      <c r="Y900" s="60">
        <v>0</v>
      </c>
      <c r="Z900" s="60">
        <v>0</v>
      </c>
      <c r="AA900" s="60">
        <v>0</v>
      </c>
      <c r="AB900" s="60">
        <v>0</v>
      </c>
      <c r="AC900" s="60">
        <v>0</v>
      </c>
      <c r="AD900" s="62">
        <v>96710.26</v>
      </c>
      <c r="AE900" s="60">
        <v>0</v>
      </c>
      <c r="AF900" s="170">
        <v>2021</v>
      </c>
      <c r="AG900" s="170" t="s">
        <v>257</v>
      </c>
      <c r="AH900" s="170" t="s">
        <v>257</v>
      </c>
    </row>
    <row r="901" spans="1:34" ht="61.5" x14ac:dyDescent="0.85">
      <c r="B901" s="160" t="s">
        <v>782</v>
      </c>
      <c r="C901" s="160"/>
      <c r="D901" s="177">
        <f t="shared" ref="D901:AE901" si="130">SUM(D902:D903)</f>
        <v>1314396.72</v>
      </c>
      <c r="E901" s="60">
        <f t="shared" si="130"/>
        <v>0</v>
      </c>
      <c r="F901" s="60">
        <f t="shared" si="130"/>
        <v>0</v>
      </c>
      <c r="G901" s="60">
        <f t="shared" si="130"/>
        <v>0</v>
      </c>
      <c r="H901" s="60">
        <f t="shared" si="130"/>
        <v>0</v>
      </c>
      <c r="I901" s="60">
        <f t="shared" si="130"/>
        <v>0</v>
      </c>
      <c r="J901" s="60">
        <f t="shared" si="130"/>
        <v>0</v>
      </c>
      <c r="K901" s="168">
        <f t="shared" si="130"/>
        <v>0</v>
      </c>
      <c r="L901" s="60">
        <f t="shared" si="130"/>
        <v>0</v>
      </c>
      <c r="M901" s="60">
        <f t="shared" si="130"/>
        <v>356.03</v>
      </c>
      <c r="N901" s="60">
        <f t="shared" si="130"/>
        <v>1243080.82</v>
      </c>
      <c r="O901" s="60">
        <f t="shared" si="130"/>
        <v>0</v>
      </c>
      <c r="P901" s="60">
        <f t="shared" si="130"/>
        <v>0</v>
      </c>
      <c r="Q901" s="60">
        <f t="shared" si="130"/>
        <v>0</v>
      </c>
      <c r="R901" s="60">
        <f t="shared" si="130"/>
        <v>0</v>
      </c>
      <c r="S901" s="60">
        <f t="shared" si="130"/>
        <v>0</v>
      </c>
      <c r="T901" s="60">
        <f t="shared" si="130"/>
        <v>0</v>
      </c>
      <c r="U901" s="60">
        <f t="shared" si="130"/>
        <v>0</v>
      </c>
      <c r="V901" s="60">
        <f t="shared" si="130"/>
        <v>0</v>
      </c>
      <c r="W901" s="60">
        <f t="shared" si="130"/>
        <v>0</v>
      </c>
      <c r="X901" s="60">
        <f t="shared" si="130"/>
        <v>0</v>
      </c>
      <c r="Y901" s="60">
        <f t="shared" si="130"/>
        <v>0</v>
      </c>
      <c r="Z901" s="60">
        <f t="shared" si="130"/>
        <v>0</v>
      </c>
      <c r="AA901" s="60">
        <f t="shared" si="130"/>
        <v>0</v>
      </c>
      <c r="AB901" s="60">
        <f t="shared" si="130"/>
        <v>0</v>
      </c>
      <c r="AC901" s="60">
        <f t="shared" si="130"/>
        <v>16035.74</v>
      </c>
      <c r="AD901" s="60">
        <f t="shared" si="130"/>
        <v>55280.160000000003</v>
      </c>
      <c r="AE901" s="60">
        <f t="shared" si="130"/>
        <v>0</v>
      </c>
      <c r="AF901" s="54" t="s">
        <v>701</v>
      </c>
      <c r="AG901" s="54" t="s">
        <v>701</v>
      </c>
      <c r="AH901" s="55" t="s">
        <v>701</v>
      </c>
    </row>
    <row r="902" spans="1:34" s="23" customFormat="1" ht="123" x14ac:dyDescent="0.85">
      <c r="A902" s="23">
        <v>1</v>
      </c>
      <c r="B902" s="59">
        <f>SUBTOTAL(103,$A$558:A902)</f>
        <v>317</v>
      </c>
      <c r="C902" s="187" t="s">
        <v>166</v>
      </c>
      <c r="D902" s="188">
        <f>E902+F902+G902+H902+I902+J902+L902+N902+P902+R902+T902+U902+V902+W902+X902+Y902+Z902+AA902+AB902+AC902+AD902+AE902</f>
        <v>55280.160000000003</v>
      </c>
      <c r="E902" s="188">
        <v>0</v>
      </c>
      <c r="F902" s="188">
        <v>0</v>
      </c>
      <c r="G902" s="188">
        <v>0</v>
      </c>
      <c r="H902" s="188">
        <v>0</v>
      </c>
      <c r="I902" s="188">
        <v>0</v>
      </c>
      <c r="J902" s="188">
        <v>0</v>
      </c>
      <c r="K902" s="189">
        <v>0</v>
      </c>
      <c r="L902" s="188">
        <v>0</v>
      </c>
      <c r="M902" s="188">
        <v>0</v>
      </c>
      <c r="N902" s="188">
        <v>0</v>
      </c>
      <c r="O902" s="188">
        <v>0</v>
      </c>
      <c r="P902" s="188">
        <v>0</v>
      </c>
      <c r="Q902" s="188">
        <v>0</v>
      </c>
      <c r="R902" s="188">
        <v>0</v>
      </c>
      <c r="S902" s="188">
        <v>0</v>
      </c>
      <c r="T902" s="188">
        <v>0</v>
      </c>
      <c r="U902" s="188">
        <v>0</v>
      </c>
      <c r="V902" s="188">
        <v>0</v>
      </c>
      <c r="W902" s="188">
        <v>0</v>
      </c>
      <c r="X902" s="188">
        <v>0</v>
      </c>
      <c r="Y902" s="188">
        <v>0</v>
      </c>
      <c r="Z902" s="188">
        <v>0</v>
      </c>
      <c r="AA902" s="188">
        <v>0</v>
      </c>
      <c r="AB902" s="188">
        <v>0</v>
      </c>
      <c r="AC902" s="188">
        <v>0</v>
      </c>
      <c r="AD902" s="199">
        <v>55280.160000000003</v>
      </c>
      <c r="AE902" s="188">
        <v>0</v>
      </c>
      <c r="AF902" s="190">
        <v>2021</v>
      </c>
      <c r="AG902" s="190" t="s">
        <v>257</v>
      </c>
      <c r="AH902" s="190" t="s">
        <v>257</v>
      </c>
    </row>
    <row r="903" spans="1:34" s="23" customFormat="1" ht="123" x14ac:dyDescent="0.85">
      <c r="A903" s="23">
        <v>1</v>
      </c>
      <c r="B903" s="59">
        <f>SUBTOTAL(103,$A$558:A903)</f>
        <v>318</v>
      </c>
      <c r="C903" s="187" t="s">
        <v>161</v>
      </c>
      <c r="D903" s="188">
        <f>E903+F903+G903+H903+I903+J903+L903+N903+P903+R903+T903+U903+V903+W903+X903+Y903+Z903+AA903+AB903+AC903+AD903+AE903</f>
        <v>1259116.56</v>
      </c>
      <c r="E903" s="188">
        <v>0</v>
      </c>
      <c r="F903" s="188">
        <v>0</v>
      </c>
      <c r="G903" s="188">
        <v>0</v>
      </c>
      <c r="H903" s="188">
        <v>0</v>
      </c>
      <c r="I903" s="188">
        <v>0</v>
      </c>
      <c r="J903" s="188">
        <v>0</v>
      </c>
      <c r="K903" s="189">
        <v>0</v>
      </c>
      <c r="L903" s="188">
        <v>0</v>
      </c>
      <c r="M903" s="199">
        <v>356.03</v>
      </c>
      <c r="N903" s="199">
        <v>1243080.82</v>
      </c>
      <c r="O903" s="188">
        <v>0</v>
      </c>
      <c r="P903" s="188">
        <v>0</v>
      </c>
      <c r="Q903" s="188">
        <v>0</v>
      </c>
      <c r="R903" s="188">
        <v>0</v>
      </c>
      <c r="S903" s="188">
        <v>0</v>
      </c>
      <c r="T903" s="188">
        <v>0</v>
      </c>
      <c r="U903" s="188">
        <v>0</v>
      </c>
      <c r="V903" s="188">
        <v>0</v>
      </c>
      <c r="W903" s="188">
        <v>0</v>
      </c>
      <c r="X903" s="188">
        <v>0</v>
      </c>
      <c r="Y903" s="188">
        <v>0</v>
      </c>
      <c r="Z903" s="188">
        <v>0</v>
      </c>
      <c r="AA903" s="188">
        <v>0</v>
      </c>
      <c r="AB903" s="188">
        <v>0</v>
      </c>
      <c r="AC903" s="62">
        <v>16035.74</v>
      </c>
      <c r="AD903" s="188">
        <v>0</v>
      </c>
      <c r="AE903" s="188">
        <v>0</v>
      </c>
      <c r="AF903" s="190" t="s">
        <v>257</v>
      </c>
      <c r="AG903" s="190">
        <v>2021</v>
      </c>
      <c r="AH903" s="200">
        <v>2021</v>
      </c>
    </row>
    <row r="904" spans="1:34" ht="61.5" x14ac:dyDescent="0.85">
      <c r="B904" s="160" t="s">
        <v>783</v>
      </c>
      <c r="C904" s="176"/>
      <c r="D904" s="177">
        <f t="shared" ref="D904:AE904" si="131">SUM(D905:D912)</f>
        <v>21705858.420000002</v>
      </c>
      <c r="E904" s="60">
        <f t="shared" si="131"/>
        <v>0</v>
      </c>
      <c r="F904" s="60">
        <f t="shared" si="131"/>
        <v>0</v>
      </c>
      <c r="G904" s="60">
        <f t="shared" si="131"/>
        <v>0</v>
      </c>
      <c r="H904" s="60">
        <f t="shared" si="131"/>
        <v>0</v>
      </c>
      <c r="I904" s="60">
        <f t="shared" si="131"/>
        <v>0</v>
      </c>
      <c r="J904" s="60">
        <f t="shared" si="131"/>
        <v>0</v>
      </c>
      <c r="K904" s="168">
        <f t="shared" si="131"/>
        <v>0</v>
      </c>
      <c r="L904" s="60">
        <f t="shared" si="131"/>
        <v>0</v>
      </c>
      <c r="M904" s="60">
        <f t="shared" si="131"/>
        <v>4004.7999999999997</v>
      </c>
      <c r="N904" s="60">
        <f t="shared" si="131"/>
        <v>21279686.969999999</v>
      </c>
      <c r="O904" s="60">
        <f t="shared" si="131"/>
        <v>0</v>
      </c>
      <c r="P904" s="60">
        <f t="shared" si="131"/>
        <v>0</v>
      </c>
      <c r="Q904" s="60">
        <f t="shared" si="131"/>
        <v>0</v>
      </c>
      <c r="R904" s="60">
        <f t="shared" si="131"/>
        <v>0</v>
      </c>
      <c r="S904" s="60">
        <f t="shared" si="131"/>
        <v>0</v>
      </c>
      <c r="T904" s="60">
        <f t="shared" si="131"/>
        <v>0</v>
      </c>
      <c r="U904" s="60">
        <f t="shared" si="131"/>
        <v>0</v>
      </c>
      <c r="V904" s="60">
        <f t="shared" si="131"/>
        <v>0</v>
      </c>
      <c r="W904" s="60">
        <f t="shared" si="131"/>
        <v>0</v>
      </c>
      <c r="X904" s="60">
        <f t="shared" si="131"/>
        <v>0</v>
      </c>
      <c r="Y904" s="60">
        <f t="shared" si="131"/>
        <v>0</v>
      </c>
      <c r="Z904" s="60">
        <f t="shared" si="131"/>
        <v>0</v>
      </c>
      <c r="AA904" s="60">
        <f t="shared" si="131"/>
        <v>0</v>
      </c>
      <c r="AB904" s="60">
        <f t="shared" si="131"/>
        <v>0</v>
      </c>
      <c r="AC904" s="60">
        <f t="shared" si="131"/>
        <v>182356.47000000003</v>
      </c>
      <c r="AD904" s="60">
        <f t="shared" si="131"/>
        <v>243814.97999999998</v>
      </c>
      <c r="AE904" s="60">
        <f t="shared" si="131"/>
        <v>0</v>
      </c>
      <c r="AF904" s="54" t="s">
        <v>701</v>
      </c>
      <c r="AG904" s="54" t="s">
        <v>701</v>
      </c>
      <c r="AH904" s="55" t="s">
        <v>701</v>
      </c>
    </row>
    <row r="905" spans="1:34" ht="61.5" x14ac:dyDescent="0.85">
      <c r="A905" s="7">
        <v>1</v>
      </c>
      <c r="B905" s="59">
        <f>SUBTOTAL(103,$A$558:A905)</f>
        <v>319</v>
      </c>
      <c r="C905" s="160" t="s">
        <v>1572</v>
      </c>
      <c r="D905" s="60">
        <f t="shared" ref="D905:D912" si="132">E905+F905+G905+H905+I905+J905+L905+N905+P905+R905+T905+U905+V905+W905+X905+Y905+Z905+AA905+AB905+AC905+AD905+AE905</f>
        <v>2926372.8400000003</v>
      </c>
      <c r="E905" s="60">
        <v>0</v>
      </c>
      <c r="F905" s="60">
        <v>0</v>
      </c>
      <c r="G905" s="60">
        <v>0</v>
      </c>
      <c r="H905" s="60">
        <v>0</v>
      </c>
      <c r="I905" s="60">
        <v>0</v>
      </c>
      <c r="J905" s="60">
        <v>0</v>
      </c>
      <c r="K905" s="168">
        <v>0</v>
      </c>
      <c r="L905" s="60">
        <v>0</v>
      </c>
      <c r="M905" s="60">
        <v>436</v>
      </c>
      <c r="N905" s="60">
        <v>2829062</v>
      </c>
      <c r="O905" s="60">
        <v>0</v>
      </c>
      <c r="P905" s="60">
        <v>0</v>
      </c>
      <c r="Q905" s="60">
        <v>0</v>
      </c>
      <c r="R905" s="60">
        <v>0</v>
      </c>
      <c r="S905" s="60">
        <v>0</v>
      </c>
      <c r="T905" s="60">
        <v>0</v>
      </c>
      <c r="U905" s="60">
        <v>0</v>
      </c>
      <c r="V905" s="60">
        <v>0</v>
      </c>
      <c r="W905" s="60">
        <v>0</v>
      </c>
      <c r="X905" s="60">
        <v>0</v>
      </c>
      <c r="Y905" s="60">
        <v>0</v>
      </c>
      <c r="Z905" s="60">
        <v>0</v>
      </c>
      <c r="AA905" s="60">
        <v>0</v>
      </c>
      <c r="AB905" s="60">
        <v>0</v>
      </c>
      <c r="AC905" s="62">
        <v>29492.97</v>
      </c>
      <c r="AD905" s="60">
        <v>67817.87</v>
      </c>
      <c r="AE905" s="60">
        <v>0</v>
      </c>
      <c r="AF905" s="170">
        <v>2021</v>
      </c>
      <c r="AG905" s="170">
        <v>2021</v>
      </c>
      <c r="AH905" s="63">
        <v>2021</v>
      </c>
    </row>
    <row r="906" spans="1:34" ht="61.5" x14ac:dyDescent="0.85">
      <c r="A906" s="7">
        <v>1</v>
      </c>
      <c r="B906" s="59">
        <f>SUBTOTAL(103,$A$558:A906)</f>
        <v>320</v>
      </c>
      <c r="C906" s="160" t="s">
        <v>77</v>
      </c>
      <c r="D906" s="60">
        <f t="shared" si="132"/>
        <v>1606349.41</v>
      </c>
      <c r="E906" s="60">
        <v>0</v>
      </c>
      <c r="F906" s="60">
        <v>0</v>
      </c>
      <c r="G906" s="60">
        <v>0</v>
      </c>
      <c r="H906" s="60">
        <v>0</v>
      </c>
      <c r="I906" s="60">
        <v>0</v>
      </c>
      <c r="J906" s="60">
        <v>0</v>
      </c>
      <c r="K906" s="168">
        <v>0</v>
      </c>
      <c r="L906" s="60">
        <v>0</v>
      </c>
      <c r="M906" s="62">
        <v>327</v>
      </c>
      <c r="N906" s="62">
        <v>1589776</v>
      </c>
      <c r="O906" s="60">
        <v>0</v>
      </c>
      <c r="P906" s="60">
        <v>0</v>
      </c>
      <c r="Q906" s="60">
        <v>0</v>
      </c>
      <c r="R906" s="60">
        <v>0</v>
      </c>
      <c r="S906" s="60">
        <v>0</v>
      </c>
      <c r="T906" s="60">
        <v>0</v>
      </c>
      <c r="U906" s="60">
        <v>0</v>
      </c>
      <c r="V906" s="60">
        <v>0</v>
      </c>
      <c r="W906" s="60">
        <v>0</v>
      </c>
      <c r="X906" s="60">
        <v>0</v>
      </c>
      <c r="Y906" s="60">
        <v>0</v>
      </c>
      <c r="Z906" s="60">
        <v>0</v>
      </c>
      <c r="AA906" s="60">
        <v>0</v>
      </c>
      <c r="AB906" s="60">
        <v>0</v>
      </c>
      <c r="AC906" s="62">
        <v>16573.41</v>
      </c>
      <c r="AD906" s="60">
        <v>0</v>
      </c>
      <c r="AE906" s="60">
        <v>0</v>
      </c>
      <c r="AF906" s="170" t="s">
        <v>257</v>
      </c>
      <c r="AG906" s="170">
        <v>2021</v>
      </c>
      <c r="AH906" s="63">
        <v>2021</v>
      </c>
    </row>
    <row r="907" spans="1:34" ht="61.5" x14ac:dyDescent="0.85">
      <c r="A907" s="7">
        <v>1</v>
      </c>
      <c r="B907" s="59">
        <f>SUBTOTAL(103,$A$558:A907)</f>
        <v>321</v>
      </c>
      <c r="C907" s="160" t="s">
        <v>78</v>
      </c>
      <c r="D907" s="60">
        <f t="shared" si="132"/>
        <v>2453934.3199999998</v>
      </c>
      <c r="E907" s="60">
        <v>0</v>
      </c>
      <c r="F907" s="60">
        <v>0</v>
      </c>
      <c r="G907" s="60">
        <v>0</v>
      </c>
      <c r="H907" s="60">
        <v>0</v>
      </c>
      <c r="I907" s="60">
        <v>0</v>
      </c>
      <c r="J907" s="60">
        <v>0</v>
      </c>
      <c r="K907" s="168">
        <v>0</v>
      </c>
      <c r="L907" s="60">
        <v>0</v>
      </c>
      <c r="M907" s="62">
        <v>531</v>
      </c>
      <c r="N907" s="62">
        <v>2428616</v>
      </c>
      <c r="O907" s="60">
        <v>0</v>
      </c>
      <c r="P907" s="60">
        <v>0</v>
      </c>
      <c r="Q907" s="60">
        <v>0</v>
      </c>
      <c r="R907" s="60">
        <v>0</v>
      </c>
      <c r="S907" s="60">
        <v>0</v>
      </c>
      <c r="T907" s="60">
        <v>0</v>
      </c>
      <c r="U907" s="60">
        <v>0</v>
      </c>
      <c r="V907" s="60">
        <v>0</v>
      </c>
      <c r="W907" s="60">
        <v>0</v>
      </c>
      <c r="X907" s="60">
        <v>0</v>
      </c>
      <c r="Y907" s="60">
        <v>0</v>
      </c>
      <c r="Z907" s="60">
        <v>0</v>
      </c>
      <c r="AA907" s="60">
        <v>0</v>
      </c>
      <c r="AB907" s="60">
        <v>0</v>
      </c>
      <c r="AC907" s="62">
        <v>25318.32</v>
      </c>
      <c r="AD907" s="60">
        <v>0</v>
      </c>
      <c r="AE907" s="60">
        <v>0</v>
      </c>
      <c r="AF907" s="170" t="s">
        <v>257</v>
      </c>
      <c r="AG907" s="170">
        <v>2021</v>
      </c>
      <c r="AH907" s="63">
        <v>2021</v>
      </c>
    </row>
    <row r="908" spans="1:34" ht="61.5" x14ac:dyDescent="0.85">
      <c r="A908" s="7">
        <v>1</v>
      </c>
      <c r="B908" s="59">
        <f>SUBTOTAL(103,$A$558:A908)</f>
        <v>322</v>
      </c>
      <c r="C908" s="160" t="s">
        <v>76</v>
      </c>
      <c r="D908" s="60">
        <f t="shared" si="132"/>
        <v>85575.03</v>
      </c>
      <c r="E908" s="60">
        <v>0</v>
      </c>
      <c r="F908" s="60">
        <v>0</v>
      </c>
      <c r="G908" s="60">
        <v>0</v>
      </c>
      <c r="H908" s="60">
        <v>0</v>
      </c>
      <c r="I908" s="60">
        <v>0</v>
      </c>
      <c r="J908" s="60">
        <v>0</v>
      </c>
      <c r="K908" s="168">
        <v>0</v>
      </c>
      <c r="L908" s="60">
        <v>0</v>
      </c>
      <c r="M908" s="60">
        <v>0</v>
      </c>
      <c r="N908" s="60">
        <v>0</v>
      </c>
      <c r="O908" s="60">
        <v>0</v>
      </c>
      <c r="P908" s="60">
        <v>0</v>
      </c>
      <c r="Q908" s="60">
        <v>0</v>
      </c>
      <c r="R908" s="60">
        <v>0</v>
      </c>
      <c r="S908" s="60">
        <v>0</v>
      </c>
      <c r="T908" s="60">
        <v>0</v>
      </c>
      <c r="U908" s="60">
        <v>0</v>
      </c>
      <c r="V908" s="60">
        <v>0</v>
      </c>
      <c r="W908" s="60">
        <v>0</v>
      </c>
      <c r="X908" s="60">
        <v>0</v>
      </c>
      <c r="Y908" s="60">
        <v>0</v>
      </c>
      <c r="Z908" s="60">
        <v>0</v>
      </c>
      <c r="AA908" s="60">
        <v>0</v>
      </c>
      <c r="AB908" s="60">
        <v>0</v>
      </c>
      <c r="AC908" s="60">
        <v>0</v>
      </c>
      <c r="AD908" s="60">
        <v>85575.03</v>
      </c>
      <c r="AE908" s="60">
        <v>0</v>
      </c>
      <c r="AF908" s="170">
        <v>2021</v>
      </c>
      <c r="AG908" s="170" t="s">
        <v>257</v>
      </c>
      <c r="AH908" s="170" t="s">
        <v>257</v>
      </c>
    </row>
    <row r="909" spans="1:34" ht="61.5" x14ac:dyDescent="0.85">
      <c r="A909" s="7">
        <v>1</v>
      </c>
      <c r="B909" s="59">
        <f>SUBTOTAL(103,$A$558:A909)</f>
        <v>323</v>
      </c>
      <c r="C909" s="160" t="s">
        <v>1571</v>
      </c>
      <c r="D909" s="60">
        <f t="shared" si="132"/>
        <v>5741880.5099999998</v>
      </c>
      <c r="E909" s="60">
        <v>0</v>
      </c>
      <c r="F909" s="60">
        <v>0</v>
      </c>
      <c r="G909" s="60">
        <v>0</v>
      </c>
      <c r="H909" s="60">
        <v>0</v>
      </c>
      <c r="I909" s="60">
        <v>0</v>
      </c>
      <c r="J909" s="60">
        <v>0</v>
      </c>
      <c r="K909" s="168">
        <v>0</v>
      </c>
      <c r="L909" s="60">
        <v>0</v>
      </c>
      <c r="M909" s="60">
        <v>952.6</v>
      </c>
      <c r="N909" s="62">
        <v>5682639</v>
      </c>
      <c r="O909" s="60">
        <v>0</v>
      </c>
      <c r="P909" s="60">
        <v>0</v>
      </c>
      <c r="Q909" s="60">
        <v>0</v>
      </c>
      <c r="R909" s="60">
        <v>0</v>
      </c>
      <c r="S909" s="60">
        <v>0</v>
      </c>
      <c r="T909" s="60">
        <v>0</v>
      </c>
      <c r="U909" s="60">
        <v>0</v>
      </c>
      <c r="V909" s="60">
        <v>0</v>
      </c>
      <c r="W909" s="60">
        <v>0</v>
      </c>
      <c r="X909" s="60">
        <v>0</v>
      </c>
      <c r="Y909" s="60">
        <v>0</v>
      </c>
      <c r="Z909" s="60">
        <v>0</v>
      </c>
      <c r="AA909" s="60">
        <v>0</v>
      </c>
      <c r="AB909" s="60">
        <v>0</v>
      </c>
      <c r="AC909" s="62">
        <v>59241.51</v>
      </c>
      <c r="AD909" s="60">
        <v>0</v>
      </c>
      <c r="AE909" s="60">
        <v>0</v>
      </c>
      <c r="AF909" s="170" t="s">
        <v>257</v>
      </c>
      <c r="AG909" s="170">
        <v>2021</v>
      </c>
      <c r="AH909" s="63">
        <v>2021</v>
      </c>
    </row>
    <row r="910" spans="1:34" ht="61.5" x14ac:dyDescent="0.85">
      <c r="A910" s="7">
        <v>1</v>
      </c>
      <c r="B910" s="59">
        <f>SUBTOTAL(103,$A$558:A910)</f>
        <v>324</v>
      </c>
      <c r="C910" s="160" t="s">
        <v>74</v>
      </c>
      <c r="D910" s="60">
        <f t="shared" si="132"/>
        <v>4099254.73</v>
      </c>
      <c r="E910" s="60">
        <v>0</v>
      </c>
      <c r="F910" s="60">
        <v>0</v>
      </c>
      <c r="G910" s="60">
        <v>0</v>
      </c>
      <c r="H910" s="60">
        <v>0</v>
      </c>
      <c r="I910" s="60">
        <v>0</v>
      </c>
      <c r="J910" s="60">
        <v>0</v>
      </c>
      <c r="K910" s="168">
        <v>0</v>
      </c>
      <c r="L910" s="60">
        <v>0</v>
      </c>
      <c r="M910" s="62">
        <v>779</v>
      </c>
      <c r="N910" s="62">
        <v>4074805.9</v>
      </c>
      <c r="O910" s="60">
        <v>0</v>
      </c>
      <c r="P910" s="60">
        <v>0</v>
      </c>
      <c r="Q910" s="60">
        <v>0</v>
      </c>
      <c r="R910" s="60">
        <v>0</v>
      </c>
      <c r="S910" s="60">
        <v>0</v>
      </c>
      <c r="T910" s="60">
        <v>0</v>
      </c>
      <c r="U910" s="60">
        <v>0</v>
      </c>
      <c r="V910" s="60">
        <v>0</v>
      </c>
      <c r="W910" s="60">
        <v>0</v>
      </c>
      <c r="X910" s="60">
        <v>0</v>
      </c>
      <c r="Y910" s="60">
        <v>0</v>
      </c>
      <c r="Z910" s="60">
        <v>0</v>
      </c>
      <c r="AA910" s="60">
        <v>0</v>
      </c>
      <c r="AB910" s="60">
        <v>0</v>
      </c>
      <c r="AC910" s="62">
        <v>24448.83</v>
      </c>
      <c r="AD910" s="60">
        <v>0</v>
      </c>
      <c r="AE910" s="60">
        <v>0</v>
      </c>
      <c r="AF910" s="170" t="s">
        <v>257</v>
      </c>
      <c r="AG910" s="170">
        <v>2021</v>
      </c>
      <c r="AH910" s="170">
        <v>2021</v>
      </c>
    </row>
    <row r="911" spans="1:34" ht="61.5" x14ac:dyDescent="0.85">
      <c r="A911" s="7">
        <v>1</v>
      </c>
      <c r="B911" s="59">
        <f>SUBTOTAL(103,$A$558:A911)</f>
        <v>325</v>
      </c>
      <c r="C911" s="160" t="s">
        <v>1158</v>
      </c>
      <c r="D911" s="60">
        <f t="shared" si="132"/>
        <v>2057864.07</v>
      </c>
      <c r="E911" s="60">
        <v>0</v>
      </c>
      <c r="F911" s="60">
        <v>0</v>
      </c>
      <c r="G911" s="60">
        <v>0</v>
      </c>
      <c r="H911" s="60">
        <v>0</v>
      </c>
      <c r="I911" s="60">
        <v>0</v>
      </c>
      <c r="J911" s="60">
        <v>0</v>
      </c>
      <c r="K911" s="168">
        <v>0</v>
      </c>
      <c r="L911" s="60">
        <v>0</v>
      </c>
      <c r="M911" s="62">
        <v>600</v>
      </c>
      <c r="N911" s="62">
        <v>2057864.07</v>
      </c>
      <c r="O911" s="60">
        <v>0</v>
      </c>
      <c r="P911" s="60">
        <v>0</v>
      </c>
      <c r="Q911" s="60">
        <v>0</v>
      </c>
      <c r="R911" s="60">
        <v>0</v>
      </c>
      <c r="S911" s="60">
        <v>0</v>
      </c>
      <c r="T911" s="60">
        <v>0</v>
      </c>
      <c r="U911" s="60">
        <v>0</v>
      </c>
      <c r="V911" s="60">
        <v>0</v>
      </c>
      <c r="W911" s="60">
        <v>0</v>
      </c>
      <c r="X911" s="60">
        <v>0</v>
      </c>
      <c r="Y911" s="60">
        <v>0</v>
      </c>
      <c r="Z911" s="60">
        <v>0</v>
      </c>
      <c r="AA911" s="60">
        <v>0</v>
      </c>
      <c r="AB911" s="60">
        <v>0</v>
      </c>
      <c r="AC911" s="60">
        <v>0</v>
      </c>
      <c r="AD911" s="60">
        <v>0</v>
      </c>
      <c r="AE911" s="60">
        <v>0</v>
      </c>
      <c r="AF911" s="170" t="s">
        <v>257</v>
      </c>
      <c r="AG911" s="170">
        <v>2017</v>
      </c>
      <c r="AH911" s="170" t="s">
        <v>257</v>
      </c>
    </row>
    <row r="912" spans="1:34" ht="61.5" x14ac:dyDescent="0.85">
      <c r="A912" s="7">
        <v>1</v>
      </c>
      <c r="B912" s="59">
        <f>SUBTOTAL(103,$A$558:A912)</f>
        <v>326</v>
      </c>
      <c r="C912" s="160" t="s">
        <v>2133</v>
      </c>
      <c r="D912" s="60">
        <f t="shared" si="132"/>
        <v>2734627.5100000002</v>
      </c>
      <c r="E912" s="180">
        <v>0</v>
      </c>
      <c r="F912" s="180">
        <v>0</v>
      </c>
      <c r="G912" s="180">
        <v>0</v>
      </c>
      <c r="H912" s="180">
        <v>0</v>
      </c>
      <c r="I912" s="180">
        <v>0</v>
      </c>
      <c r="J912" s="180">
        <v>0</v>
      </c>
      <c r="K912" s="168">
        <v>0</v>
      </c>
      <c r="L912" s="60">
        <v>0</v>
      </c>
      <c r="M912" s="60">
        <v>379.2</v>
      </c>
      <c r="N912" s="60">
        <v>2616924</v>
      </c>
      <c r="O912" s="60">
        <v>0</v>
      </c>
      <c r="P912" s="60">
        <v>0</v>
      </c>
      <c r="Q912" s="60">
        <v>0</v>
      </c>
      <c r="R912" s="60">
        <v>0</v>
      </c>
      <c r="S912" s="60">
        <v>0</v>
      </c>
      <c r="T912" s="60">
        <v>0</v>
      </c>
      <c r="U912" s="60">
        <v>0</v>
      </c>
      <c r="V912" s="60">
        <v>0</v>
      </c>
      <c r="W912" s="60">
        <v>0</v>
      </c>
      <c r="X912" s="60">
        <v>0</v>
      </c>
      <c r="Y912" s="60">
        <v>0</v>
      </c>
      <c r="Z912" s="60">
        <v>0</v>
      </c>
      <c r="AA912" s="60">
        <v>0</v>
      </c>
      <c r="AB912" s="60">
        <v>0</v>
      </c>
      <c r="AC912" s="62">
        <v>27281.43</v>
      </c>
      <c r="AD912" s="62">
        <v>90422.080000000002</v>
      </c>
      <c r="AE912" s="60">
        <v>0</v>
      </c>
      <c r="AF912" s="170">
        <v>2021</v>
      </c>
      <c r="AG912" s="170">
        <v>2021</v>
      </c>
      <c r="AH912" s="170">
        <v>2021</v>
      </c>
    </row>
    <row r="913" spans="1:16199" ht="61.5" x14ac:dyDescent="0.85">
      <c r="B913" s="160" t="s">
        <v>817</v>
      </c>
      <c r="C913" s="160"/>
      <c r="D913" s="177">
        <f t="shared" ref="D913:AE913" si="133">SUM(D914:D916)</f>
        <v>2242341.23</v>
      </c>
      <c r="E913" s="60">
        <f t="shared" si="133"/>
        <v>0</v>
      </c>
      <c r="F913" s="60">
        <f t="shared" si="133"/>
        <v>0</v>
      </c>
      <c r="G913" s="60">
        <f t="shared" si="133"/>
        <v>0</v>
      </c>
      <c r="H913" s="60">
        <f t="shared" si="133"/>
        <v>231448</v>
      </c>
      <c r="I913" s="60">
        <f t="shared" si="133"/>
        <v>0</v>
      </c>
      <c r="J913" s="60">
        <f t="shared" si="133"/>
        <v>0</v>
      </c>
      <c r="K913" s="168">
        <f t="shared" si="133"/>
        <v>0</v>
      </c>
      <c r="L913" s="60">
        <f t="shared" si="133"/>
        <v>0</v>
      </c>
      <c r="M913" s="60">
        <f t="shared" si="133"/>
        <v>482.9</v>
      </c>
      <c r="N913" s="60">
        <f t="shared" si="133"/>
        <v>1987758</v>
      </c>
      <c r="O913" s="60">
        <f t="shared" si="133"/>
        <v>0</v>
      </c>
      <c r="P913" s="60">
        <f t="shared" si="133"/>
        <v>0</v>
      </c>
      <c r="Q913" s="60">
        <f t="shared" si="133"/>
        <v>0</v>
      </c>
      <c r="R913" s="60">
        <f t="shared" si="133"/>
        <v>0</v>
      </c>
      <c r="S913" s="60">
        <f t="shared" si="133"/>
        <v>0</v>
      </c>
      <c r="T913" s="60">
        <f t="shared" si="133"/>
        <v>0</v>
      </c>
      <c r="U913" s="60">
        <f t="shared" si="133"/>
        <v>0</v>
      </c>
      <c r="V913" s="60">
        <f t="shared" si="133"/>
        <v>0</v>
      </c>
      <c r="W913" s="60">
        <f t="shared" si="133"/>
        <v>0</v>
      </c>
      <c r="X913" s="60">
        <f t="shared" si="133"/>
        <v>0</v>
      </c>
      <c r="Y913" s="60">
        <f t="shared" si="133"/>
        <v>0</v>
      </c>
      <c r="Z913" s="60">
        <f t="shared" si="133"/>
        <v>0</v>
      </c>
      <c r="AA913" s="60">
        <f t="shared" si="133"/>
        <v>0</v>
      </c>
      <c r="AB913" s="60">
        <f t="shared" si="133"/>
        <v>0</v>
      </c>
      <c r="AC913" s="60">
        <f t="shared" si="133"/>
        <v>23135.229999999996</v>
      </c>
      <c r="AD913" s="60">
        <f t="shared" si="133"/>
        <v>0</v>
      </c>
      <c r="AE913" s="60">
        <f t="shared" si="133"/>
        <v>0</v>
      </c>
      <c r="AF913" s="54" t="s">
        <v>701</v>
      </c>
      <c r="AG913" s="54" t="s">
        <v>701</v>
      </c>
      <c r="AH913" s="55" t="s">
        <v>701</v>
      </c>
    </row>
    <row r="914" spans="1:16199" ht="61.5" x14ac:dyDescent="0.85">
      <c r="A914" s="7">
        <v>1</v>
      </c>
      <c r="B914" s="59">
        <f>SUBTOTAL(103,$A$558:A914)</f>
        <v>327</v>
      </c>
      <c r="C914" s="160" t="s">
        <v>79</v>
      </c>
      <c r="D914" s="60">
        <f>E914+F914+G914+H914+I914+J914+L914+N914+P914+R914+T914+U914+V914+W914+X914+Y914+Z914+AA914+AB914+AC914+AD914+AE914</f>
        <v>1196861.55</v>
      </c>
      <c r="E914" s="60">
        <v>0</v>
      </c>
      <c r="F914" s="60">
        <v>0</v>
      </c>
      <c r="G914" s="60">
        <v>0</v>
      </c>
      <c r="H914" s="60">
        <v>0</v>
      </c>
      <c r="I914" s="60">
        <v>0</v>
      </c>
      <c r="J914" s="60">
        <v>0</v>
      </c>
      <c r="K914" s="168">
        <v>0</v>
      </c>
      <c r="L914" s="60">
        <v>0</v>
      </c>
      <c r="M914" s="60">
        <v>302.3</v>
      </c>
      <c r="N914" s="60">
        <v>1184513</v>
      </c>
      <c r="O914" s="60">
        <v>0</v>
      </c>
      <c r="P914" s="60">
        <v>0</v>
      </c>
      <c r="Q914" s="60">
        <v>0</v>
      </c>
      <c r="R914" s="60">
        <v>0</v>
      </c>
      <c r="S914" s="60">
        <v>0</v>
      </c>
      <c r="T914" s="60">
        <v>0</v>
      </c>
      <c r="U914" s="60">
        <v>0</v>
      </c>
      <c r="V914" s="60">
        <v>0</v>
      </c>
      <c r="W914" s="60">
        <v>0</v>
      </c>
      <c r="X914" s="60">
        <v>0</v>
      </c>
      <c r="Y914" s="60">
        <v>0</v>
      </c>
      <c r="Z914" s="60">
        <v>0</v>
      </c>
      <c r="AA914" s="60">
        <v>0</v>
      </c>
      <c r="AB914" s="60">
        <v>0</v>
      </c>
      <c r="AC914" s="62">
        <v>12348.55</v>
      </c>
      <c r="AD914" s="60">
        <v>0</v>
      </c>
      <c r="AE914" s="60">
        <v>0</v>
      </c>
      <c r="AF914" s="170" t="s">
        <v>257</v>
      </c>
      <c r="AG914" s="170">
        <v>2021</v>
      </c>
      <c r="AH914" s="63">
        <v>2021</v>
      </c>
    </row>
    <row r="915" spans="1:16199" ht="61.5" x14ac:dyDescent="0.85">
      <c r="A915" s="7">
        <v>1</v>
      </c>
      <c r="B915" s="59">
        <f>SUBTOTAL(103,$A$558:A915)</f>
        <v>328</v>
      </c>
      <c r="C915" s="160" t="s">
        <v>80</v>
      </c>
      <c r="D915" s="60">
        <f>E915+F915+G915+H915+I915+J915+L915+N915+P915+R915+T915+U915+V915+W915+X915+Y915+Z915+AA915+AB915+AC915+AD915+AE915</f>
        <v>811618.83</v>
      </c>
      <c r="E915" s="60">
        <v>0</v>
      </c>
      <c r="F915" s="60">
        <v>0</v>
      </c>
      <c r="G915" s="60">
        <v>0</v>
      </c>
      <c r="H915" s="60">
        <v>0</v>
      </c>
      <c r="I915" s="60">
        <v>0</v>
      </c>
      <c r="J915" s="60">
        <v>0</v>
      </c>
      <c r="K915" s="168">
        <v>0</v>
      </c>
      <c r="L915" s="60">
        <v>0</v>
      </c>
      <c r="M915" s="60">
        <v>180.6</v>
      </c>
      <c r="N915" s="60">
        <v>803245</v>
      </c>
      <c r="O915" s="60">
        <v>0</v>
      </c>
      <c r="P915" s="60">
        <v>0</v>
      </c>
      <c r="Q915" s="60">
        <v>0</v>
      </c>
      <c r="R915" s="60">
        <v>0</v>
      </c>
      <c r="S915" s="60">
        <v>0</v>
      </c>
      <c r="T915" s="60">
        <v>0</v>
      </c>
      <c r="U915" s="60">
        <v>0</v>
      </c>
      <c r="V915" s="60">
        <v>0</v>
      </c>
      <c r="W915" s="60">
        <v>0</v>
      </c>
      <c r="X915" s="60">
        <v>0</v>
      </c>
      <c r="Y915" s="60">
        <v>0</v>
      </c>
      <c r="Z915" s="60">
        <v>0</v>
      </c>
      <c r="AA915" s="60">
        <v>0</v>
      </c>
      <c r="AB915" s="60">
        <v>0</v>
      </c>
      <c r="AC915" s="62">
        <v>8373.83</v>
      </c>
      <c r="AD915" s="60">
        <v>0</v>
      </c>
      <c r="AE915" s="60">
        <v>0</v>
      </c>
      <c r="AF915" s="170" t="s">
        <v>257</v>
      </c>
      <c r="AG915" s="170">
        <v>2021</v>
      </c>
      <c r="AH915" s="63">
        <v>2021</v>
      </c>
    </row>
    <row r="916" spans="1:16199" customFormat="1" ht="61.5" x14ac:dyDescent="0.85">
      <c r="A916" s="7">
        <v>1</v>
      </c>
      <c r="B916" s="59">
        <f>SUBTOTAL(103,$A$558:A916)</f>
        <v>329</v>
      </c>
      <c r="C916" s="160" t="s">
        <v>2135</v>
      </c>
      <c r="D916" s="60">
        <f>E916+F916+G916+H916+I916+J916+L916+N916+P916+R916+T916+U916+V916+W916+X916+Y916+Z916+AA916+AB916+AC916+AD916+AE916</f>
        <v>233860.85</v>
      </c>
      <c r="E916" s="180">
        <v>0</v>
      </c>
      <c r="F916" s="180">
        <v>0</v>
      </c>
      <c r="G916" s="180">
        <v>0</v>
      </c>
      <c r="H916" s="62">
        <v>231448</v>
      </c>
      <c r="I916" s="180">
        <v>0</v>
      </c>
      <c r="J916" s="180">
        <v>0</v>
      </c>
      <c r="K916" s="168">
        <v>0</v>
      </c>
      <c r="L916" s="60">
        <v>0</v>
      </c>
      <c r="M916" s="60">
        <v>0</v>
      </c>
      <c r="N916" s="60">
        <v>0</v>
      </c>
      <c r="O916" s="60">
        <v>0</v>
      </c>
      <c r="P916" s="60">
        <v>0</v>
      </c>
      <c r="Q916" s="60">
        <v>0</v>
      </c>
      <c r="R916" s="60">
        <v>0</v>
      </c>
      <c r="S916" s="60">
        <v>0</v>
      </c>
      <c r="T916" s="60">
        <v>0</v>
      </c>
      <c r="U916" s="60">
        <v>0</v>
      </c>
      <c r="V916" s="60">
        <v>0</v>
      </c>
      <c r="W916" s="60">
        <v>0</v>
      </c>
      <c r="X916" s="60">
        <v>0</v>
      </c>
      <c r="Y916" s="60">
        <v>0</v>
      </c>
      <c r="Z916" s="60">
        <v>0</v>
      </c>
      <c r="AA916" s="60">
        <v>0</v>
      </c>
      <c r="AB916" s="60">
        <v>0</v>
      </c>
      <c r="AC916" s="60">
        <v>2412.85</v>
      </c>
      <c r="AD916" s="60">
        <v>0</v>
      </c>
      <c r="AE916" s="60">
        <v>0</v>
      </c>
      <c r="AF916" s="170" t="s">
        <v>257</v>
      </c>
      <c r="AG916" s="170">
        <v>2021</v>
      </c>
      <c r="AH916" s="63">
        <v>2021</v>
      </c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  <c r="HJ916" s="7"/>
      <c r="HK916" s="7"/>
      <c r="HL916" s="7"/>
      <c r="HM916" s="7"/>
      <c r="HN916" s="7"/>
      <c r="HO916" s="7"/>
      <c r="HP916" s="7"/>
      <c r="HQ916" s="7"/>
      <c r="HR916" s="7"/>
      <c r="HS916" s="7"/>
      <c r="HT916" s="7"/>
      <c r="HU916" s="7"/>
      <c r="HV916" s="7"/>
      <c r="HW916" s="7"/>
      <c r="HX916" s="7"/>
      <c r="HY916" s="7"/>
      <c r="HZ916" s="7"/>
      <c r="IA916" s="7"/>
      <c r="IB916" s="7"/>
      <c r="IC916" s="7"/>
      <c r="ID916" s="7"/>
      <c r="IE916" s="7"/>
      <c r="IF916" s="7"/>
      <c r="IG916" s="7"/>
      <c r="IH916" s="7"/>
      <c r="II916" s="7"/>
      <c r="IJ916" s="7"/>
      <c r="IK916" s="7"/>
      <c r="IL916" s="7"/>
      <c r="IM916" s="7"/>
      <c r="IN916" s="7"/>
      <c r="IO916" s="7"/>
      <c r="IP916" s="7"/>
      <c r="IQ916" s="7"/>
      <c r="IR916" s="7"/>
      <c r="IS916" s="7"/>
      <c r="IT916" s="7"/>
      <c r="IU916" s="7"/>
      <c r="IV916" s="7"/>
      <c r="IW916" s="7"/>
      <c r="IX916" s="7"/>
      <c r="IY916" s="7"/>
      <c r="IZ916" s="7"/>
      <c r="JA916" s="7"/>
      <c r="JB916" s="7"/>
      <c r="JC916" s="7"/>
      <c r="JD916" s="7"/>
      <c r="JE916" s="7"/>
      <c r="JF916" s="7"/>
      <c r="JG916" s="7"/>
      <c r="JH916" s="7"/>
      <c r="JI916" s="7"/>
      <c r="JJ916" s="7"/>
      <c r="JK916" s="7"/>
      <c r="JL916" s="7"/>
      <c r="JM916" s="7"/>
      <c r="JN916" s="7"/>
      <c r="JO916" s="7"/>
      <c r="JP916" s="7"/>
      <c r="JQ916" s="7"/>
      <c r="JR916" s="7"/>
      <c r="JS916" s="7"/>
      <c r="JT916" s="7"/>
      <c r="JU916" s="7"/>
      <c r="JV916" s="7"/>
      <c r="JW916" s="7"/>
      <c r="JX916" s="7"/>
      <c r="JY916" s="7"/>
      <c r="JZ916" s="7"/>
      <c r="KA916" s="7"/>
      <c r="KB916" s="7"/>
      <c r="KC916" s="7"/>
      <c r="KD916" s="7"/>
      <c r="KE916" s="7"/>
      <c r="KF916" s="7"/>
      <c r="KG916" s="7"/>
      <c r="KH916" s="7"/>
      <c r="KI916" s="7"/>
      <c r="KJ916" s="7"/>
      <c r="KK916" s="7"/>
      <c r="KL916" s="7"/>
      <c r="KM916" s="7"/>
      <c r="KN916" s="7"/>
      <c r="KO916" s="7"/>
      <c r="KP916" s="7"/>
      <c r="KQ916" s="7"/>
      <c r="KR916" s="7"/>
      <c r="KS916" s="7"/>
      <c r="KT916" s="7"/>
      <c r="KU916" s="7"/>
      <c r="KV916" s="7"/>
      <c r="KW916" s="7"/>
      <c r="KX916" s="7"/>
      <c r="KY916" s="7"/>
      <c r="KZ916" s="7"/>
      <c r="LA916" s="7"/>
      <c r="LB916" s="7"/>
      <c r="LC916" s="7"/>
      <c r="LD916" s="7"/>
      <c r="LE916" s="7"/>
      <c r="LF916" s="7"/>
      <c r="LG916" s="7"/>
      <c r="LH916" s="7"/>
      <c r="LI916" s="7"/>
      <c r="LJ916" s="7"/>
      <c r="LK916" s="7"/>
      <c r="LL916" s="7"/>
      <c r="LM916" s="7"/>
      <c r="LN916" s="7"/>
      <c r="LO916" s="7"/>
      <c r="LP916" s="7"/>
      <c r="LQ916" s="7"/>
      <c r="LR916" s="7"/>
      <c r="LS916" s="7"/>
      <c r="LT916" s="7"/>
      <c r="LU916" s="7"/>
      <c r="LV916" s="7"/>
      <c r="LW916" s="7"/>
      <c r="LX916" s="7"/>
      <c r="LY916" s="7"/>
      <c r="LZ916" s="7"/>
      <c r="MA916" s="7"/>
      <c r="MB916" s="7"/>
      <c r="MC916" s="7"/>
      <c r="MD916" s="7"/>
      <c r="ME916" s="7"/>
      <c r="MF916" s="7"/>
      <c r="MG916" s="7"/>
      <c r="MH916" s="7"/>
      <c r="MI916" s="7"/>
      <c r="MJ916" s="7"/>
      <c r="MK916" s="7"/>
      <c r="ML916" s="7"/>
      <c r="MM916" s="7"/>
      <c r="MN916" s="7"/>
      <c r="MO916" s="7"/>
      <c r="MP916" s="7"/>
      <c r="MQ916" s="7"/>
      <c r="MR916" s="7"/>
      <c r="MS916" s="7"/>
      <c r="MT916" s="7"/>
      <c r="MU916" s="7"/>
      <c r="MV916" s="7"/>
      <c r="MW916" s="7"/>
      <c r="MX916" s="7"/>
      <c r="MY916" s="7"/>
      <c r="MZ916" s="7"/>
      <c r="NA916" s="7"/>
      <c r="NB916" s="7"/>
      <c r="NC916" s="7"/>
      <c r="ND916" s="7"/>
      <c r="NE916" s="7"/>
      <c r="NF916" s="7"/>
      <c r="NG916" s="7"/>
      <c r="NH916" s="7"/>
      <c r="NI916" s="7"/>
      <c r="NJ916" s="7"/>
      <c r="NK916" s="7"/>
      <c r="NL916" s="7"/>
      <c r="NM916" s="7"/>
      <c r="NN916" s="7"/>
      <c r="NO916" s="7"/>
      <c r="NP916" s="7"/>
      <c r="NQ916" s="7"/>
      <c r="NR916" s="7"/>
      <c r="NS916" s="7"/>
      <c r="NT916" s="7"/>
      <c r="NU916" s="7"/>
      <c r="NV916" s="7"/>
      <c r="NW916" s="7"/>
      <c r="NX916" s="7"/>
      <c r="NY916" s="7"/>
      <c r="NZ916" s="7"/>
      <c r="OA916" s="7"/>
      <c r="OB916" s="7"/>
      <c r="OC916" s="7"/>
      <c r="OD916" s="7"/>
      <c r="OE916" s="7"/>
      <c r="OF916" s="7"/>
      <c r="OG916" s="7"/>
      <c r="OH916" s="7"/>
      <c r="OI916" s="7"/>
      <c r="OJ916" s="7"/>
      <c r="OK916" s="7"/>
      <c r="OL916" s="7"/>
      <c r="OM916" s="7"/>
      <c r="ON916" s="7"/>
      <c r="OO916" s="7"/>
      <c r="OP916" s="7"/>
      <c r="OQ916" s="7"/>
      <c r="OR916" s="7"/>
      <c r="OS916" s="7"/>
      <c r="OT916" s="7"/>
      <c r="OU916" s="7"/>
      <c r="OV916" s="7"/>
      <c r="OW916" s="7"/>
      <c r="OX916" s="7"/>
      <c r="OY916" s="7"/>
      <c r="OZ916" s="7"/>
      <c r="PA916" s="7"/>
      <c r="PB916" s="7"/>
      <c r="PC916" s="7"/>
      <c r="PD916" s="7"/>
      <c r="PE916" s="7"/>
      <c r="PF916" s="7"/>
      <c r="PG916" s="7"/>
      <c r="PH916" s="7"/>
      <c r="PI916" s="7"/>
      <c r="PJ916" s="7"/>
      <c r="PK916" s="7"/>
      <c r="PL916" s="7"/>
      <c r="PM916" s="7"/>
      <c r="PN916" s="7"/>
      <c r="PO916" s="7"/>
      <c r="PP916" s="7"/>
      <c r="PQ916" s="7"/>
      <c r="PR916" s="7"/>
      <c r="PS916" s="7"/>
      <c r="PT916" s="7"/>
      <c r="PU916" s="7"/>
      <c r="PV916" s="7"/>
      <c r="PW916" s="7"/>
      <c r="PX916" s="7"/>
      <c r="PY916" s="7"/>
      <c r="PZ916" s="7"/>
      <c r="QA916" s="7"/>
      <c r="QB916" s="7"/>
      <c r="QC916" s="7"/>
      <c r="QD916" s="7"/>
      <c r="QE916" s="7"/>
      <c r="QF916" s="7"/>
      <c r="QG916" s="7"/>
      <c r="QH916" s="7"/>
      <c r="QI916" s="7"/>
      <c r="QJ916" s="7"/>
      <c r="QK916" s="7"/>
      <c r="QL916" s="7"/>
      <c r="QM916" s="7"/>
      <c r="QN916" s="7"/>
      <c r="QO916" s="7"/>
      <c r="QP916" s="7"/>
      <c r="QQ916" s="7"/>
      <c r="QR916" s="7"/>
      <c r="QS916" s="7"/>
      <c r="QT916" s="7"/>
      <c r="QU916" s="7"/>
      <c r="QV916" s="7"/>
      <c r="QW916" s="7"/>
      <c r="QX916" s="7"/>
      <c r="QY916" s="7"/>
      <c r="QZ916" s="7"/>
      <c r="RA916" s="7"/>
      <c r="RB916" s="7"/>
      <c r="RC916" s="7"/>
      <c r="RD916" s="7"/>
      <c r="RE916" s="7"/>
      <c r="RF916" s="7"/>
      <c r="RG916" s="7"/>
      <c r="RH916" s="7"/>
      <c r="RI916" s="7"/>
      <c r="RJ916" s="7"/>
      <c r="RK916" s="7"/>
      <c r="RL916" s="7"/>
      <c r="RM916" s="7"/>
      <c r="RN916" s="7"/>
      <c r="RO916" s="7"/>
      <c r="RP916" s="7"/>
      <c r="RQ916" s="7"/>
      <c r="RR916" s="7"/>
      <c r="RS916" s="7"/>
      <c r="RT916" s="7"/>
      <c r="RU916" s="7"/>
      <c r="RV916" s="7"/>
      <c r="RW916" s="7"/>
      <c r="RX916" s="7"/>
      <c r="RY916" s="7"/>
      <c r="RZ916" s="7"/>
      <c r="SA916" s="7"/>
      <c r="SB916" s="7"/>
      <c r="SC916" s="7"/>
      <c r="SD916" s="7"/>
      <c r="SE916" s="7"/>
      <c r="SF916" s="7"/>
      <c r="SG916" s="7"/>
      <c r="SH916" s="7"/>
      <c r="SI916" s="7"/>
      <c r="SJ916" s="7"/>
      <c r="SK916" s="7"/>
      <c r="SL916" s="7"/>
      <c r="SM916" s="7"/>
      <c r="SN916" s="7"/>
      <c r="SO916" s="7"/>
      <c r="SP916" s="7"/>
      <c r="SQ916" s="7"/>
      <c r="SR916" s="7"/>
      <c r="SS916" s="7"/>
      <c r="ST916" s="7"/>
      <c r="SU916" s="7"/>
      <c r="SV916" s="7"/>
      <c r="SW916" s="7"/>
      <c r="SX916" s="7"/>
      <c r="SY916" s="7"/>
      <c r="SZ916" s="7"/>
      <c r="TA916" s="7"/>
      <c r="TB916" s="7"/>
      <c r="TC916" s="7"/>
      <c r="TD916" s="7"/>
      <c r="TE916" s="7"/>
      <c r="TF916" s="7"/>
      <c r="TG916" s="7"/>
      <c r="TH916" s="7"/>
      <c r="TI916" s="7"/>
      <c r="TJ916" s="7"/>
      <c r="TK916" s="7"/>
      <c r="TL916" s="7"/>
      <c r="TM916" s="7"/>
      <c r="TN916" s="7"/>
      <c r="TO916" s="7"/>
      <c r="TP916" s="7"/>
      <c r="TQ916" s="7"/>
      <c r="TR916" s="7"/>
      <c r="TS916" s="7"/>
      <c r="TT916" s="7"/>
      <c r="TU916" s="7"/>
      <c r="TV916" s="7"/>
      <c r="TW916" s="7"/>
      <c r="TX916" s="7"/>
      <c r="TY916" s="7"/>
      <c r="TZ916" s="7"/>
      <c r="UA916" s="7"/>
      <c r="UB916" s="7"/>
      <c r="UC916" s="7"/>
      <c r="UD916" s="7"/>
      <c r="UE916" s="7"/>
      <c r="UF916" s="7"/>
      <c r="UG916" s="7"/>
      <c r="UH916" s="7"/>
      <c r="UI916" s="7"/>
      <c r="UJ916" s="7"/>
      <c r="UK916" s="7"/>
      <c r="UL916" s="7"/>
      <c r="UM916" s="7"/>
      <c r="UN916" s="7"/>
      <c r="UO916" s="7"/>
      <c r="UP916" s="7"/>
      <c r="UQ916" s="7"/>
      <c r="UR916" s="7"/>
      <c r="US916" s="7"/>
      <c r="UT916" s="7"/>
      <c r="UU916" s="7"/>
      <c r="UV916" s="7"/>
      <c r="UW916" s="7"/>
      <c r="UX916" s="7"/>
      <c r="UY916" s="7"/>
      <c r="UZ916" s="7"/>
      <c r="VA916" s="7"/>
      <c r="VB916" s="7"/>
      <c r="VC916" s="7"/>
      <c r="VD916" s="7"/>
      <c r="VE916" s="7"/>
      <c r="VF916" s="7"/>
      <c r="VG916" s="7"/>
      <c r="VH916" s="7"/>
      <c r="VI916" s="7"/>
      <c r="VJ916" s="7"/>
      <c r="VK916" s="7"/>
      <c r="VL916" s="7"/>
      <c r="VM916" s="7"/>
      <c r="VN916" s="7"/>
      <c r="VO916" s="7"/>
      <c r="VP916" s="7"/>
      <c r="VQ916" s="7"/>
      <c r="VR916" s="7"/>
      <c r="VS916" s="7"/>
      <c r="VT916" s="7"/>
      <c r="VU916" s="7"/>
      <c r="VV916" s="7"/>
      <c r="VW916" s="7"/>
      <c r="VX916" s="7"/>
      <c r="VY916" s="7"/>
      <c r="VZ916" s="7"/>
      <c r="WA916" s="7"/>
      <c r="WB916" s="7"/>
      <c r="WC916" s="7"/>
      <c r="WD916" s="7"/>
      <c r="WE916" s="7"/>
      <c r="WF916" s="7"/>
      <c r="WG916" s="7"/>
      <c r="WH916" s="7"/>
      <c r="WI916" s="7"/>
      <c r="WJ916" s="7"/>
      <c r="WK916" s="7"/>
      <c r="WL916" s="7"/>
      <c r="WM916" s="7"/>
      <c r="WN916" s="7"/>
      <c r="WO916" s="7"/>
      <c r="WP916" s="7"/>
      <c r="WQ916" s="7"/>
      <c r="WR916" s="7"/>
      <c r="WS916" s="7"/>
      <c r="WT916" s="7"/>
      <c r="WU916" s="7"/>
      <c r="WV916" s="7"/>
      <c r="WW916" s="7"/>
      <c r="WX916" s="7"/>
      <c r="WY916" s="7"/>
      <c r="WZ916" s="7"/>
      <c r="XA916" s="7"/>
      <c r="XB916" s="7"/>
      <c r="XC916" s="7"/>
      <c r="XD916" s="7"/>
      <c r="XE916" s="7"/>
      <c r="XF916" s="7"/>
      <c r="XG916" s="7"/>
      <c r="XH916" s="7"/>
      <c r="XI916" s="7"/>
      <c r="XJ916" s="7"/>
      <c r="XK916" s="7"/>
      <c r="XL916" s="7"/>
      <c r="XM916" s="7"/>
      <c r="XN916" s="7"/>
      <c r="XO916" s="7"/>
      <c r="XP916" s="7"/>
      <c r="XQ916" s="7"/>
      <c r="XR916" s="7"/>
      <c r="XS916" s="7"/>
      <c r="XT916" s="7"/>
      <c r="XU916" s="7"/>
      <c r="XV916" s="7"/>
      <c r="XW916" s="7"/>
      <c r="XX916" s="7"/>
      <c r="XY916" s="7"/>
      <c r="XZ916" s="7"/>
      <c r="YA916" s="7"/>
      <c r="YB916" s="7"/>
      <c r="YC916" s="7"/>
      <c r="YD916" s="7"/>
      <c r="YE916" s="7"/>
      <c r="YF916" s="7"/>
      <c r="YG916" s="7"/>
      <c r="YH916" s="7"/>
      <c r="YI916" s="7"/>
      <c r="YJ916" s="7"/>
      <c r="YK916" s="7"/>
      <c r="YL916" s="7"/>
      <c r="YM916" s="7"/>
      <c r="YN916" s="7"/>
      <c r="YO916" s="7"/>
      <c r="YP916" s="7"/>
      <c r="YQ916" s="7"/>
      <c r="YR916" s="7"/>
      <c r="YS916" s="7"/>
      <c r="YT916" s="7"/>
      <c r="YU916" s="7"/>
      <c r="YV916" s="7"/>
      <c r="YW916" s="7"/>
      <c r="YX916" s="7"/>
      <c r="YY916" s="7"/>
      <c r="YZ916" s="7"/>
      <c r="ZA916" s="7"/>
      <c r="ZB916" s="7"/>
      <c r="ZC916" s="7"/>
      <c r="ZD916" s="7"/>
      <c r="ZE916" s="7"/>
      <c r="ZF916" s="7"/>
      <c r="ZG916" s="7"/>
      <c r="ZH916" s="7"/>
      <c r="ZI916" s="7"/>
      <c r="ZJ916" s="7"/>
      <c r="ZK916" s="7"/>
      <c r="ZL916" s="7"/>
      <c r="ZM916" s="7"/>
      <c r="ZN916" s="7"/>
      <c r="ZO916" s="7"/>
      <c r="ZP916" s="7"/>
      <c r="ZQ916" s="7"/>
      <c r="ZR916" s="7"/>
      <c r="ZS916" s="7"/>
      <c r="ZT916" s="7"/>
      <c r="ZU916" s="7"/>
      <c r="ZV916" s="7"/>
      <c r="ZW916" s="7"/>
      <c r="ZX916" s="7"/>
      <c r="ZY916" s="7"/>
      <c r="ZZ916" s="7"/>
      <c r="AAA916" s="7"/>
      <c r="AAB916" s="7"/>
      <c r="AAC916" s="7"/>
      <c r="AAD916" s="7"/>
      <c r="AAE916" s="7"/>
      <c r="AAF916" s="7"/>
      <c r="AAG916" s="7"/>
      <c r="AAH916" s="7"/>
      <c r="AAI916" s="7"/>
      <c r="AAJ916" s="7"/>
      <c r="AAK916" s="7"/>
      <c r="AAL916" s="7"/>
      <c r="AAM916" s="7"/>
      <c r="AAN916" s="7"/>
      <c r="AAO916" s="7"/>
      <c r="AAP916" s="7"/>
      <c r="AAQ916" s="7"/>
      <c r="AAR916" s="7"/>
      <c r="AAS916" s="7"/>
      <c r="AAT916" s="7"/>
      <c r="AAU916" s="7"/>
      <c r="AAV916" s="7"/>
      <c r="AAW916" s="7"/>
      <c r="AAX916" s="7"/>
      <c r="AAY916" s="7"/>
      <c r="AAZ916" s="7"/>
      <c r="ABA916" s="7"/>
      <c r="ABB916" s="7"/>
      <c r="ABC916" s="7"/>
      <c r="ABD916" s="7"/>
      <c r="ABE916" s="7"/>
      <c r="ABF916" s="7"/>
      <c r="ABG916" s="7"/>
      <c r="ABH916" s="7"/>
      <c r="ABI916" s="7"/>
      <c r="ABJ916" s="7"/>
      <c r="ABK916" s="7"/>
      <c r="ABL916" s="7"/>
      <c r="ABM916" s="7"/>
      <c r="ABN916" s="7"/>
      <c r="ABO916" s="7"/>
      <c r="ABP916" s="7"/>
      <c r="ABQ916" s="7"/>
      <c r="ABR916" s="7"/>
      <c r="ABS916" s="7"/>
      <c r="ABT916" s="7"/>
      <c r="ABU916" s="7"/>
      <c r="ABV916" s="7"/>
      <c r="ABW916" s="7"/>
      <c r="ABX916" s="7"/>
      <c r="ABY916" s="7"/>
      <c r="ABZ916" s="7"/>
      <c r="ACA916" s="7"/>
      <c r="ACB916" s="7"/>
      <c r="ACC916" s="7"/>
      <c r="ACD916" s="7"/>
      <c r="ACE916" s="7"/>
      <c r="ACF916" s="7"/>
      <c r="ACG916" s="7"/>
      <c r="ACH916" s="7"/>
      <c r="ACI916" s="7"/>
      <c r="ACJ916" s="7"/>
      <c r="ACK916" s="7"/>
      <c r="ACL916" s="7"/>
      <c r="ACM916" s="7"/>
      <c r="ACN916" s="7"/>
      <c r="ACO916" s="7"/>
      <c r="ACP916" s="7"/>
      <c r="ACQ916" s="7"/>
      <c r="ACR916" s="7"/>
      <c r="ACS916" s="7"/>
      <c r="ACT916" s="7"/>
      <c r="ACU916" s="7"/>
      <c r="ACV916" s="7"/>
      <c r="ACW916" s="7"/>
      <c r="ACX916" s="7"/>
      <c r="ACY916" s="7"/>
      <c r="ACZ916" s="7"/>
      <c r="ADA916" s="7"/>
      <c r="ADB916" s="7"/>
      <c r="ADC916" s="7"/>
      <c r="ADD916" s="7"/>
      <c r="ADE916" s="7"/>
      <c r="ADF916" s="7"/>
      <c r="ADG916" s="7"/>
      <c r="ADH916" s="7"/>
      <c r="ADI916" s="7"/>
      <c r="ADJ916" s="7"/>
      <c r="ADK916" s="7"/>
      <c r="ADL916" s="7"/>
      <c r="ADM916" s="7"/>
      <c r="ADN916" s="7"/>
      <c r="ADO916" s="7"/>
      <c r="ADP916" s="7"/>
      <c r="ADQ916" s="7"/>
      <c r="ADR916" s="7"/>
      <c r="ADS916" s="7"/>
      <c r="ADT916" s="7"/>
      <c r="ADU916" s="7"/>
      <c r="ADV916" s="7"/>
      <c r="ADW916" s="7"/>
      <c r="ADX916" s="7"/>
      <c r="ADY916" s="7"/>
      <c r="ADZ916" s="7"/>
      <c r="AEA916" s="7"/>
      <c r="AEB916" s="7"/>
      <c r="AEC916" s="7"/>
      <c r="AED916" s="7"/>
      <c r="AEE916" s="7"/>
      <c r="AEF916" s="7"/>
      <c r="AEG916" s="7"/>
      <c r="AEH916" s="7"/>
      <c r="AEI916" s="7"/>
      <c r="AEJ916" s="7"/>
      <c r="AEK916" s="7"/>
      <c r="AEL916" s="7"/>
      <c r="AEM916" s="7"/>
      <c r="AEN916" s="7"/>
      <c r="AEO916" s="7"/>
      <c r="AEP916" s="7"/>
      <c r="AEQ916" s="7"/>
      <c r="AER916" s="7"/>
      <c r="AES916" s="7"/>
      <c r="AET916" s="7"/>
      <c r="AEU916" s="7"/>
      <c r="AEV916" s="7"/>
      <c r="AEW916" s="7"/>
      <c r="AEX916" s="7"/>
      <c r="AEY916" s="7"/>
      <c r="AEZ916" s="7"/>
      <c r="AFA916" s="7"/>
      <c r="AFB916" s="7"/>
      <c r="AFC916" s="7"/>
      <c r="AFD916" s="7"/>
      <c r="AFE916" s="7"/>
      <c r="AFF916" s="7"/>
      <c r="AFG916" s="7"/>
      <c r="AFH916" s="7"/>
      <c r="AFI916" s="7"/>
      <c r="AFJ916" s="7"/>
      <c r="AFK916" s="7"/>
      <c r="AFL916" s="7"/>
      <c r="AFM916" s="7"/>
      <c r="AFN916" s="7"/>
      <c r="AFO916" s="7"/>
      <c r="AFP916" s="7"/>
      <c r="AFQ916" s="7"/>
      <c r="AFR916" s="7"/>
      <c r="AFS916" s="7"/>
      <c r="AFT916" s="7"/>
      <c r="AFU916" s="7"/>
      <c r="AFV916" s="7"/>
      <c r="AFW916" s="7"/>
      <c r="AFX916" s="7"/>
      <c r="AFY916" s="7"/>
      <c r="AFZ916" s="7"/>
      <c r="AGA916" s="7"/>
      <c r="AGB916" s="7"/>
      <c r="AGC916" s="7"/>
      <c r="AGD916" s="7"/>
      <c r="AGE916" s="7"/>
      <c r="AGF916" s="7"/>
      <c r="AGG916" s="7"/>
      <c r="AGH916" s="7"/>
      <c r="AGI916" s="7"/>
      <c r="AGJ916" s="7"/>
      <c r="AGK916" s="7"/>
      <c r="AGL916" s="7"/>
      <c r="AGM916" s="7"/>
      <c r="AGN916" s="7"/>
      <c r="AGO916" s="7"/>
      <c r="AGP916" s="7"/>
      <c r="AGQ916" s="7"/>
      <c r="AGR916" s="7"/>
      <c r="AGS916" s="7"/>
      <c r="AGT916" s="7"/>
      <c r="AGU916" s="7"/>
      <c r="AGV916" s="7"/>
      <c r="AGW916" s="7"/>
      <c r="AGX916" s="7"/>
      <c r="AGY916" s="7"/>
      <c r="AGZ916" s="7"/>
      <c r="AHA916" s="7"/>
      <c r="AHB916" s="7"/>
      <c r="AHC916" s="7"/>
      <c r="AHD916" s="7"/>
      <c r="AHE916" s="7"/>
      <c r="AHF916" s="7"/>
      <c r="AHG916" s="7"/>
      <c r="AHH916" s="7"/>
      <c r="AHI916" s="7"/>
      <c r="AHJ916" s="7"/>
      <c r="AHK916" s="7"/>
      <c r="AHL916" s="7"/>
      <c r="AHM916" s="7"/>
      <c r="AHN916" s="7"/>
      <c r="AHO916" s="7"/>
      <c r="AHP916" s="7"/>
      <c r="AHQ916" s="7"/>
      <c r="AHR916" s="7"/>
      <c r="AHS916" s="7"/>
      <c r="AHT916" s="7"/>
      <c r="AHU916" s="7"/>
      <c r="AHV916" s="7"/>
      <c r="AHW916" s="7"/>
      <c r="AHX916" s="7"/>
      <c r="AHY916" s="7"/>
      <c r="AHZ916" s="7"/>
      <c r="AIA916" s="7"/>
      <c r="AIB916" s="7"/>
      <c r="AIC916" s="7"/>
      <c r="AID916" s="7"/>
      <c r="AIE916" s="7"/>
      <c r="AIF916" s="7"/>
      <c r="AIG916" s="7"/>
      <c r="AIH916" s="7"/>
      <c r="AII916" s="7"/>
      <c r="AIJ916" s="7"/>
      <c r="AIK916" s="7"/>
      <c r="AIL916" s="7"/>
      <c r="AIM916" s="7"/>
      <c r="AIN916" s="7"/>
      <c r="AIO916" s="7"/>
      <c r="AIP916" s="7"/>
      <c r="AIQ916" s="7"/>
      <c r="AIR916" s="7"/>
      <c r="AIS916" s="7"/>
      <c r="AIT916" s="7"/>
      <c r="AIU916" s="7"/>
      <c r="AIV916" s="7"/>
      <c r="AIW916" s="7"/>
      <c r="AIX916" s="7"/>
      <c r="AIY916" s="7"/>
      <c r="AIZ916" s="7"/>
      <c r="AJA916" s="7"/>
      <c r="AJB916" s="7"/>
      <c r="AJC916" s="7"/>
      <c r="AJD916" s="7"/>
      <c r="AJE916" s="7"/>
      <c r="AJF916" s="7"/>
      <c r="AJG916" s="7"/>
      <c r="AJH916" s="7"/>
      <c r="AJI916" s="7"/>
      <c r="AJJ916" s="7"/>
      <c r="AJK916" s="7"/>
      <c r="AJL916" s="7"/>
      <c r="AJM916" s="7"/>
      <c r="AJN916" s="7"/>
      <c r="AJO916" s="7"/>
      <c r="AJP916" s="7"/>
      <c r="AJQ916" s="7"/>
      <c r="AJR916" s="7"/>
      <c r="AJS916" s="7"/>
      <c r="AJT916" s="7"/>
      <c r="AJU916" s="7"/>
      <c r="AJV916" s="7"/>
      <c r="AJW916" s="7"/>
      <c r="AJX916" s="7"/>
      <c r="AJY916" s="7"/>
      <c r="AJZ916" s="7"/>
      <c r="AKA916" s="7"/>
      <c r="AKB916" s="7"/>
      <c r="AKC916" s="7"/>
      <c r="AKD916" s="7"/>
      <c r="AKE916" s="7"/>
      <c r="AKF916" s="7"/>
      <c r="AKG916" s="7"/>
      <c r="AKH916" s="7"/>
      <c r="AKI916" s="7"/>
      <c r="AKJ916" s="7"/>
      <c r="AKK916" s="7"/>
      <c r="AKL916" s="7"/>
      <c r="AKM916" s="7"/>
      <c r="AKN916" s="7"/>
      <c r="AKO916" s="7"/>
      <c r="AKP916" s="7"/>
      <c r="AKQ916" s="7"/>
      <c r="AKR916" s="7"/>
      <c r="AKS916" s="7"/>
      <c r="AKT916" s="7"/>
      <c r="AKU916" s="7"/>
      <c r="AKV916" s="7"/>
      <c r="AKW916" s="7"/>
      <c r="AKX916" s="7"/>
      <c r="AKY916" s="7"/>
      <c r="AKZ916" s="7"/>
      <c r="ALA916" s="7"/>
      <c r="ALB916" s="7"/>
      <c r="ALC916" s="7"/>
      <c r="ALD916" s="7"/>
      <c r="ALE916" s="7"/>
      <c r="ALF916" s="7"/>
      <c r="ALG916" s="7"/>
      <c r="ALH916" s="7"/>
      <c r="ALI916" s="7"/>
      <c r="ALJ916" s="7"/>
      <c r="ALK916" s="7"/>
      <c r="ALL916" s="7"/>
      <c r="ALM916" s="7"/>
      <c r="ALN916" s="7"/>
      <c r="ALO916" s="7"/>
      <c r="ALP916" s="7"/>
      <c r="ALQ916" s="7"/>
      <c r="ALR916" s="7"/>
      <c r="ALS916" s="7"/>
      <c r="ALT916" s="7"/>
      <c r="ALU916" s="7"/>
      <c r="ALV916" s="7"/>
      <c r="ALW916" s="7"/>
      <c r="ALX916" s="7"/>
      <c r="ALY916" s="7"/>
      <c r="ALZ916" s="7"/>
      <c r="AMA916" s="7"/>
      <c r="AMB916" s="7"/>
      <c r="AMC916" s="7"/>
      <c r="AMD916" s="7"/>
      <c r="AME916" s="7"/>
      <c r="AMF916" s="7"/>
      <c r="AMG916" s="7"/>
      <c r="AMH916" s="7"/>
      <c r="AMI916" s="7"/>
      <c r="AMJ916" s="7"/>
      <c r="AMK916" s="7"/>
      <c r="AML916" s="7"/>
      <c r="AMM916" s="7"/>
      <c r="AMN916" s="7"/>
      <c r="AMO916" s="7"/>
      <c r="AMP916" s="7"/>
      <c r="AMQ916" s="7"/>
      <c r="AMR916" s="7"/>
      <c r="AMS916" s="7"/>
      <c r="AMT916" s="7"/>
      <c r="AMU916" s="7"/>
      <c r="AMV916" s="7"/>
      <c r="AMW916" s="7"/>
      <c r="AMX916" s="7"/>
      <c r="AMY916" s="7"/>
      <c r="AMZ916" s="7"/>
      <c r="ANA916" s="7"/>
      <c r="ANB916" s="7"/>
      <c r="ANC916" s="7"/>
      <c r="AND916" s="7"/>
      <c r="ANE916" s="7"/>
      <c r="ANF916" s="7"/>
      <c r="ANG916" s="7"/>
      <c r="ANH916" s="7"/>
      <c r="ANI916" s="7"/>
      <c r="ANJ916" s="7"/>
      <c r="ANK916" s="7"/>
      <c r="ANL916" s="7"/>
      <c r="ANM916" s="7"/>
      <c r="ANN916" s="7"/>
      <c r="ANO916" s="7"/>
      <c r="ANP916" s="7"/>
      <c r="ANQ916" s="7"/>
      <c r="ANR916" s="7"/>
      <c r="ANS916" s="7"/>
      <c r="ANT916" s="7"/>
      <c r="ANU916" s="7"/>
      <c r="ANV916" s="7"/>
      <c r="ANW916" s="7"/>
      <c r="ANX916" s="7"/>
      <c r="ANY916" s="7"/>
      <c r="ANZ916" s="7"/>
      <c r="AOA916" s="7"/>
      <c r="AOB916" s="7"/>
      <c r="AOC916" s="7"/>
      <c r="AOD916" s="7"/>
      <c r="AOE916" s="7"/>
      <c r="AOF916" s="7"/>
      <c r="AOG916" s="7"/>
      <c r="AOH916" s="7"/>
      <c r="AOI916" s="7"/>
      <c r="AOJ916" s="7"/>
      <c r="AOK916" s="7"/>
      <c r="AOL916" s="7"/>
      <c r="AOM916" s="7"/>
      <c r="AON916" s="7"/>
      <c r="AOO916" s="7"/>
      <c r="AOP916" s="7"/>
      <c r="AOQ916" s="7"/>
      <c r="AOR916" s="7"/>
      <c r="AOS916" s="7"/>
      <c r="AOT916" s="7"/>
      <c r="AOU916" s="7"/>
      <c r="AOV916" s="7"/>
      <c r="AOW916" s="7"/>
      <c r="AOX916" s="7"/>
      <c r="AOY916" s="7"/>
      <c r="AOZ916" s="7"/>
      <c r="APA916" s="7"/>
      <c r="APB916" s="7"/>
      <c r="APC916" s="7"/>
      <c r="APD916" s="7"/>
      <c r="APE916" s="7"/>
      <c r="APF916" s="7"/>
      <c r="APG916" s="7"/>
      <c r="APH916" s="7"/>
      <c r="API916" s="7"/>
      <c r="APJ916" s="7"/>
      <c r="APK916" s="7"/>
      <c r="APL916" s="7"/>
      <c r="APM916" s="7"/>
      <c r="APN916" s="7"/>
      <c r="APO916" s="7"/>
      <c r="APP916" s="7"/>
      <c r="APQ916" s="7"/>
      <c r="APR916" s="7"/>
      <c r="APS916" s="7"/>
      <c r="APT916" s="7"/>
      <c r="APU916" s="7"/>
      <c r="APV916" s="7"/>
      <c r="APW916" s="7"/>
      <c r="APX916" s="7"/>
      <c r="APY916" s="7"/>
      <c r="APZ916" s="7"/>
      <c r="AQA916" s="7"/>
      <c r="AQB916" s="7"/>
      <c r="AQC916" s="7"/>
      <c r="AQD916" s="7"/>
      <c r="AQE916" s="7"/>
      <c r="AQF916" s="7"/>
      <c r="AQG916" s="7"/>
      <c r="AQH916" s="7"/>
      <c r="AQI916" s="7"/>
      <c r="AQJ916" s="7"/>
      <c r="AQK916" s="7"/>
      <c r="AQL916" s="7"/>
      <c r="AQM916" s="7"/>
      <c r="AQN916" s="7"/>
      <c r="AQO916" s="7"/>
      <c r="AQP916" s="7"/>
      <c r="AQQ916" s="7"/>
      <c r="AQR916" s="7"/>
      <c r="AQS916" s="7"/>
      <c r="AQT916" s="7"/>
      <c r="AQU916" s="7"/>
      <c r="AQV916" s="7"/>
      <c r="AQW916" s="7"/>
      <c r="AQX916" s="7"/>
      <c r="AQY916" s="7"/>
      <c r="AQZ916" s="7"/>
      <c r="ARA916" s="7"/>
      <c r="ARB916" s="7"/>
      <c r="ARC916" s="7"/>
      <c r="ARD916" s="7"/>
      <c r="ARE916" s="7"/>
      <c r="ARF916" s="7"/>
      <c r="ARG916" s="7"/>
      <c r="ARH916" s="7"/>
      <c r="ARI916" s="7"/>
      <c r="ARJ916" s="7"/>
      <c r="ARK916" s="7"/>
      <c r="ARL916" s="7"/>
      <c r="ARM916" s="7"/>
      <c r="ARN916" s="7"/>
      <c r="ARO916" s="7"/>
      <c r="ARP916" s="7"/>
      <c r="ARQ916" s="7"/>
      <c r="ARR916" s="7"/>
      <c r="ARS916" s="7"/>
      <c r="ART916" s="7"/>
      <c r="ARU916" s="7"/>
      <c r="ARV916" s="7"/>
      <c r="ARW916" s="7"/>
      <c r="ARX916" s="7"/>
      <c r="ARY916" s="7"/>
      <c r="ARZ916" s="7"/>
      <c r="ASA916" s="7"/>
      <c r="ASB916" s="7"/>
      <c r="ASC916" s="7"/>
      <c r="ASD916" s="7"/>
      <c r="ASE916" s="7"/>
      <c r="ASF916" s="7"/>
      <c r="ASG916" s="7"/>
      <c r="ASH916" s="7"/>
      <c r="ASI916" s="7"/>
      <c r="ASJ916" s="7"/>
      <c r="ASK916" s="7"/>
      <c r="ASL916" s="7"/>
      <c r="ASM916" s="7"/>
      <c r="ASN916" s="7"/>
      <c r="ASO916" s="7"/>
      <c r="ASP916" s="7"/>
      <c r="ASQ916" s="7"/>
      <c r="ASR916" s="7"/>
      <c r="ASS916" s="7"/>
      <c r="AST916" s="7"/>
      <c r="ASU916" s="7"/>
      <c r="ASV916" s="7"/>
      <c r="ASW916" s="7"/>
      <c r="ASX916" s="7"/>
      <c r="ASY916" s="7"/>
      <c r="ASZ916" s="7"/>
      <c r="ATA916" s="7"/>
      <c r="ATB916" s="7"/>
      <c r="ATC916" s="7"/>
      <c r="ATD916" s="7"/>
      <c r="ATE916" s="7"/>
      <c r="ATF916" s="7"/>
      <c r="ATG916" s="7"/>
      <c r="ATH916" s="7"/>
      <c r="ATI916" s="7"/>
      <c r="ATJ916" s="7"/>
      <c r="ATK916" s="7"/>
      <c r="ATL916" s="7"/>
      <c r="ATM916" s="7"/>
      <c r="ATN916" s="7"/>
      <c r="ATO916" s="7"/>
      <c r="ATP916" s="7"/>
      <c r="ATQ916" s="7"/>
      <c r="ATR916" s="7"/>
      <c r="ATS916" s="7"/>
      <c r="ATT916" s="7"/>
      <c r="ATU916" s="7"/>
      <c r="ATV916" s="7"/>
      <c r="ATW916" s="7"/>
      <c r="ATX916" s="7"/>
      <c r="ATY916" s="7"/>
      <c r="ATZ916" s="7"/>
      <c r="AUA916" s="7"/>
      <c r="AUB916" s="7"/>
      <c r="AUC916" s="7"/>
      <c r="AUD916" s="7"/>
      <c r="AUE916" s="7"/>
      <c r="AUF916" s="7"/>
      <c r="AUG916" s="7"/>
      <c r="AUH916" s="7"/>
      <c r="AUI916" s="7"/>
      <c r="AUJ916" s="7"/>
      <c r="AUK916" s="7"/>
      <c r="AUL916" s="7"/>
      <c r="AUM916" s="7"/>
      <c r="AUN916" s="7"/>
      <c r="AUO916" s="7"/>
      <c r="AUP916" s="7"/>
      <c r="AUQ916" s="7"/>
      <c r="AUR916" s="7"/>
      <c r="AUS916" s="7"/>
      <c r="AUT916" s="7"/>
      <c r="AUU916" s="7"/>
      <c r="AUV916" s="7"/>
      <c r="AUW916" s="7"/>
      <c r="AUX916" s="7"/>
      <c r="AUY916" s="7"/>
      <c r="AUZ916" s="7"/>
      <c r="AVA916" s="7"/>
      <c r="AVB916" s="7"/>
      <c r="AVC916" s="7"/>
      <c r="AVD916" s="7"/>
      <c r="AVE916" s="7"/>
      <c r="AVF916" s="7"/>
      <c r="AVG916" s="7"/>
      <c r="AVH916" s="7"/>
      <c r="AVI916" s="7"/>
      <c r="AVJ916" s="7"/>
      <c r="AVK916" s="7"/>
      <c r="AVL916" s="7"/>
      <c r="AVM916" s="7"/>
      <c r="AVN916" s="7"/>
      <c r="AVO916" s="7"/>
      <c r="AVP916" s="7"/>
      <c r="AVQ916" s="7"/>
      <c r="AVR916" s="7"/>
      <c r="AVS916" s="7"/>
      <c r="AVT916" s="7"/>
      <c r="AVU916" s="7"/>
      <c r="AVV916" s="7"/>
      <c r="AVW916" s="7"/>
      <c r="AVX916" s="7"/>
      <c r="AVY916" s="7"/>
      <c r="AVZ916" s="7"/>
      <c r="AWA916" s="7"/>
      <c r="AWB916" s="7"/>
      <c r="AWC916" s="7"/>
      <c r="AWD916" s="7"/>
      <c r="AWE916" s="7"/>
      <c r="AWF916" s="7"/>
      <c r="AWG916" s="7"/>
      <c r="AWH916" s="7"/>
      <c r="AWI916" s="7"/>
      <c r="AWJ916" s="7"/>
      <c r="AWK916" s="7"/>
      <c r="AWL916" s="7"/>
      <c r="AWM916" s="7"/>
      <c r="AWN916" s="7"/>
      <c r="AWO916" s="7"/>
      <c r="AWP916" s="7"/>
      <c r="AWQ916" s="7"/>
      <c r="AWR916" s="7"/>
      <c r="AWS916" s="7"/>
      <c r="AWT916" s="7"/>
      <c r="AWU916" s="7"/>
      <c r="AWV916" s="7"/>
      <c r="AWW916" s="7"/>
      <c r="AWX916" s="7"/>
      <c r="AWY916" s="7"/>
      <c r="AWZ916" s="7"/>
      <c r="AXA916" s="7"/>
      <c r="AXB916" s="7"/>
      <c r="AXC916" s="7"/>
      <c r="AXD916" s="7"/>
      <c r="AXE916" s="7"/>
      <c r="AXF916" s="7"/>
      <c r="AXG916" s="7"/>
      <c r="AXH916" s="7"/>
      <c r="AXI916" s="7"/>
      <c r="AXJ916" s="7"/>
      <c r="AXK916" s="7"/>
      <c r="AXL916" s="7"/>
      <c r="AXM916" s="7"/>
      <c r="AXN916" s="7"/>
      <c r="AXO916" s="7"/>
      <c r="AXP916" s="7"/>
      <c r="AXQ916" s="7"/>
      <c r="AXR916" s="7"/>
      <c r="AXS916" s="7"/>
      <c r="AXT916" s="7"/>
      <c r="AXU916" s="7"/>
      <c r="AXV916" s="7"/>
      <c r="AXW916" s="7"/>
      <c r="AXX916" s="7"/>
      <c r="AXY916" s="7"/>
      <c r="AXZ916" s="7"/>
      <c r="AYA916" s="7"/>
      <c r="AYB916" s="7"/>
      <c r="AYC916" s="7"/>
      <c r="AYD916" s="7"/>
      <c r="AYE916" s="7"/>
      <c r="AYF916" s="7"/>
      <c r="AYG916" s="7"/>
      <c r="AYH916" s="7"/>
      <c r="AYI916" s="7"/>
      <c r="AYJ916" s="7"/>
      <c r="AYK916" s="7"/>
      <c r="AYL916" s="7"/>
      <c r="AYM916" s="7"/>
      <c r="AYN916" s="7"/>
      <c r="AYO916" s="7"/>
      <c r="AYP916" s="7"/>
      <c r="AYQ916" s="7"/>
      <c r="AYR916" s="7"/>
      <c r="AYS916" s="7"/>
      <c r="AYT916" s="7"/>
      <c r="AYU916" s="7"/>
      <c r="AYV916" s="7"/>
      <c r="AYW916" s="7"/>
      <c r="AYX916" s="7"/>
      <c r="AYY916" s="7"/>
      <c r="AYZ916" s="7"/>
      <c r="AZA916" s="7"/>
      <c r="AZB916" s="7"/>
      <c r="AZC916" s="7"/>
      <c r="AZD916" s="7"/>
      <c r="AZE916" s="7"/>
      <c r="AZF916" s="7"/>
      <c r="AZG916" s="7"/>
      <c r="AZH916" s="7"/>
      <c r="AZI916" s="7"/>
      <c r="AZJ916" s="7"/>
      <c r="AZK916" s="7"/>
      <c r="AZL916" s="7"/>
      <c r="AZM916" s="7"/>
      <c r="AZN916" s="7"/>
      <c r="AZO916" s="7"/>
      <c r="AZP916" s="7"/>
      <c r="AZQ916" s="7"/>
      <c r="AZR916" s="7"/>
      <c r="AZS916" s="7"/>
      <c r="AZT916" s="7"/>
      <c r="AZU916" s="7"/>
      <c r="AZV916" s="7"/>
      <c r="AZW916" s="7"/>
      <c r="AZX916" s="7"/>
      <c r="AZY916" s="7"/>
      <c r="AZZ916" s="7"/>
      <c r="BAA916" s="7"/>
      <c r="BAB916" s="7"/>
      <c r="BAC916" s="7"/>
      <c r="BAD916" s="7"/>
      <c r="BAE916" s="7"/>
      <c r="BAF916" s="7"/>
      <c r="BAG916" s="7"/>
      <c r="BAH916" s="7"/>
      <c r="BAI916" s="7"/>
      <c r="BAJ916" s="7"/>
      <c r="BAK916" s="7"/>
      <c r="BAL916" s="7"/>
      <c r="BAM916" s="7"/>
      <c r="BAN916" s="7"/>
      <c r="BAO916" s="7"/>
      <c r="BAP916" s="7"/>
      <c r="BAQ916" s="7"/>
      <c r="BAR916" s="7"/>
      <c r="BAS916" s="7"/>
      <c r="BAT916" s="7"/>
      <c r="BAU916" s="7"/>
      <c r="BAV916" s="7"/>
      <c r="BAW916" s="7"/>
      <c r="BAX916" s="7"/>
      <c r="BAY916" s="7"/>
      <c r="BAZ916" s="7"/>
      <c r="BBA916" s="7"/>
      <c r="BBB916" s="7"/>
      <c r="BBC916" s="7"/>
      <c r="BBD916" s="7"/>
      <c r="BBE916" s="7"/>
      <c r="BBF916" s="7"/>
      <c r="BBG916" s="7"/>
      <c r="BBH916" s="7"/>
      <c r="BBI916" s="7"/>
      <c r="BBJ916" s="7"/>
      <c r="BBK916" s="7"/>
      <c r="BBL916" s="7"/>
      <c r="BBM916" s="7"/>
      <c r="BBN916" s="7"/>
      <c r="BBO916" s="7"/>
      <c r="BBP916" s="7"/>
      <c r="BBQ916" s="7"/>
      <c r="BBR916" s="7"/>
      <c r="BBS916" s="7"/>
      <c r="BBT916" s="7"/>
      <c r="BBU916" s="7"/>
      <c r="BBV916" s="7"/>
      <c r="BBW916" s="7"/>
      <c r="BBX916" s="7"/>
      <c r="BBY916" s="7"/>
      <c r="BBZ916" s="7"/>
      <c r="BCA916" s="7"/>
      <c r="BCB916" s="7"/>
      <c r="BCC916" s="7"/>
      <c r="BCD916" s="7"/>
      <c r="BCE916" s="7"/>
      <c r="BCF916" s="7"/>
      <c r="BCG916" s="7"/>
      <c r="BCH916" s="7"/>
      <c r="BCI916" s="7"/>
      <c r="BCJ916" s="7"/>
      <c r="BCK916" s="7"/>
      <c r="BCL916" s="7"/>
      <c r="BCM916" s="7"/>
      <c r="BCN916" s="7"/>
      <c r="BCO916" s="7"/>
      <c r="BCP916" s="7"/>
      <c r="BCQ916" s="7"/>
      <c r="BCR916" s="7"/>
      <c r="BCS916" s="7"/>
      <c r="BCT916" s="7"/>
      <c r="BCU916" s="7"/>
      <c r="BCV916" s="7"/>
      <c r="BCW916" s="7"/>
      <c r="BCX916" s="7"/>
      <c r="BCY916" s="7"/>
      <c r="BCZ916" s="7"/>
      <c r="BDA916" s="7"/>
      <c r="BDB916" s="7"/>
      <c r="BDC916" s="7"/>
      <c r="BDD916" s="7"/>
      <c r="BDE916" s="7"/>
      <c r="BDF916" s="7"/>
      <c r="BDG916" s="7"/>
      <c r="BDH916" s="7"/>
      <c r="BDI916" s="7"/>
      <c r="BDJ916" s="7"/>
      <c r="BDK916" s="7"/>
      <c r="BDL916" s="7"/>
      <c r="BDM916" s="7"/>
      <c r="BDN916" s="7"/>
      <c r="BDO916" s="7"/>
      <c r="BDP916" s="7"/>
      <c r="BDQ916" s="7"/>
      <c r="BDR916" s="7"/>
      <c r="BDS916" s="7"/>
      <c r="BDT916" s="7"/>
      <c r="BDU916" s="7"/>
      <c r="BDV916" s="7"/>
      <c r="BDW916" s="7"/>
      <c r="BDX916" s="7"/>
      <c r="BDY916" s="7"/>
      <c r="BDZ916" s="7"/>
      <c r="BEA916" s="7"/>
      <c r="BEB916" s="7"/>
      <c r="BEC916" s="7"/>
      <c r="BED916" s="7"/>
      <c r="BEE916" s="7"/>
      <c r="BEF916" s="7"/>
      <c r="BEG916" s="7"/>
      <c r="BEH916" s="7"/>
      <c r="BEI916" s="7"/>
      <c r="BEJ916" s="7"/>
      <c r="BEK916" s="7"/>
      <c r="BEL916" s="7"/>
      <c r="BEM916" s="7"/>
      <c r="BEN916" s="7"/>
      <c r="BEO916" s="7"/>
      <c r="BEP916" s="7"/>
      <c r="BEQ916" s="7"/>
      <c r="BER916" s="7"/>
      <c r="BES916" s="7"/>
      <c r="BET916" s="7"/>
      <c r="BEU916" s="7"/>
      <c r="BEV916" s="7"/>
      <c r="BEW916" s="7"/>
      <c r="BEX916" s="7"/>
      <c r="BEY916" s="7"/>
      <c r="BEZ916" s="7"/>
      <c r="BFA916" s="7"/>
      <c r="BFB916" s="7"/>
      <c r="BFC916" s="7"/>
      <c r="BFD916" s="7"/>
      <c r="BFE916" s="7"/>
      <c r="BFF916" s="7"/>
      <c r="BFG916" s="7"/>
      <c r="BFH916" s="7"/>
      <c r="BFI916" s="7"/>
      <c r="BFJ916" s="7"/>
      <c r="BFK916" s="7"/>
      <c r="BFL916" s="7"/>
      <c r="BFM916" s="7"/>
      <c r="BFN916" s="7"/>
      <c r="BFO916" s="7"/>
      <c r="BFP916" s="7"/>
      <c r="BFQ916" s="7"/>
      <c r="BFR916" s="7"/>
      <c r="BFS916" s="7"/>
      <c r="BFT916" s="7"/>
      <c r="BFU916" s="7"/>
      <c r="BFV916" s="7"/>
      <c r="BFW916" s="7"/>
      <c r="BFX916" s="7"/>
      <c r="BFY916" s="7"/>
      <c r="BFZ916" s="7"/>
      <c r="BGA916" s="7"/>
      <c r="BGB916" s="7"/>
      <c r="BGC916" s="7"/>
      <c r="BGD916" s="7"/>
      <c r="BGE916" s="7"/>
      <c r="BGF916" s="7"/>
      <c r="BGG916" s="7"/>
      <c r="BGH916" s="7"/>
      <c r="BGI916" s="7"/>
      <c r="BGJ916" s="7"/>
      <c r="BGK916" s="7"/>
      <c r="BGL916" s="7"/>
      <c r="BGM916" s="7"/>
      <c r="BGN916" s="7"/>
      <c r="BGO916" s="7"/>
      <c r="BGP916" s="7"/>
      <c r="BGQ916" s="7"/>
      <c r="BGR916" s="7"/>
      <c r="BGS916" s="7"/>
      <c r="BGT916" s="7"/>
      <c r="BGU916" s="7"/>
      <c r="BGV916" s="7"/>
      <c r="BGW916" s="7"/>
      <c r="BGX916" s="7"/>
      <c r="BGY916" s="7"/>
      <c r="BGZ916" s="7"/>
      <c r="BHA916" s="7"/>
      <c r="BHB916" s="7"/>
      <c r="BHC916" s="7"/>
      <c r="BHD916" s="7"/>
      <c r="BHE916" s="7"/>
      <c r="BHF916" s="7"/>
      <c r="BHG916" s="7"/>
      <c r="BHH916" s="7"/>
      <c r="BHI916" s="7"/>
      <c r="BHJ916" s="7"/>
      <c r="BHK916" s="7"/>
      <c r="BHL916" s="7"/>
      <c r="BHM916" s="7"/>
      <c r="BHN916" s="7"/>
      <c r="BHO916" s="7"/>
      <c r="BHP916" s="7"/>
      <c r="BHQ916" s="7"/>
      <c r="BHR916" s="7"/>
      <c r="BHS916" s="7"/>
      <c r="BHT916" s="7"/>
      <c r="BHU916" s="7"/>
      <c r="BHV916" s="7"/>
      <c r="BHW916" s="7"/>
      <c r="BHX916" s="7"/>
      <c r="BHY916" s="7"/>
      <c r="BHZ916" s="7"/>
      <c r="BIA916" s="7"/>
      <c r="BIB916" s="7"/>
      <c r="BIC916" s="7"/>
      <c r="BID916" s="7"/>
      <c r="BIE916" s="7"/>
      <c r="BIF916" s="7"/>
      <c r="BIG916" s="7"/>
      <c r="BIH916" s="7"/>
      <c r="BII916" s="7"/>
      <c r="BIJ916" s="7"/>
      <c r="BIK916" s="7"/>
      <c r="BIL916" s="7"/>
      <c r="BIM916" s="7"/>
      <c r="BIN916" s="7"/>
      <c r="BIO916" s="7"/>
      <c r="BIP916" s="7"/>
      <c r="BIQ916" s="7"/>
      <c r="BIR916" s="7"/>
      <c r="BIS916" s="7"/>
      <c r="BIT916" s="7"/>
      <c r="BIU916" s="7"/>
      <c r="BIV916" s="7"/>
      <c r="BIW916" s="7"/>
      <c r="BIX916" s="7"/>
      <c r="BIY916" s="7"/>
      <c r="BIZ916" s="7"/>
      <c r="BJA916" s="7"/>
      <c r="BJB916" s="7"/>
      <c r="BJC916" s="7"/>
      <c r="BJD916" s="7"/>
      <c r="BJE916" s="7"/>
      <c r="BJF916" s="7"/>
      <c r="BJG916" s="7"/>
      <c r="BJH916" s="7"/>
      <c r="BJI916" s="7"/>
      <c r="BJJ916" s="7"/>
      <c r="BJK916" s="7"/>
      <c r="BJL916" s="7"/>
      <c r="BJM916" s="7"/>
      <c r="BJN916" s="7"/>
      <c r="BJO916" s="7"/>
      <c r="BJP916" s="7"/>
      <c r="BJQ916" s="7"/>
      <c r="BJR916" s="7"/>
      <c r="BJS916" s="7"/>
      <c r="BJT916" s="7"/>
      <c r="BJU916" s="7"/>
      <c r="BJV916" s="7"/>
      <c r="BJW916" s="7"/>
      <c r="BJX916" s="7"/>
      <c r="BJY916" s="7"/>
      <c r="BJZ916" s="7"/>
      <c r="BKA916" s="7"/>
      <c r="BKB916" s="7"/>
      <c r="BKC916" s="7"/>
      <c r="BKD916" s="7"/>
      <c r="BKE916" s="7"/>
      <c r="BKF916" s="7"/>
      <c r="BKG916" s="7"/>
      <c r="BKH916" s="7"/>
      <c r="BKI916" s="7"/>
      <c r="BKJ916" s="7"/>
      <c r="BKK916" s="7"/>
      <c r="BKL916" s="7"/>
      <c r="BKM916" s="7"/>
      <c r="BKN916" s="7"/>
      <c r="BKO916" s="7"/>
      <c r="BKP916" s="7"/>
      <c r="BKQ916" s="7"/>
      <c r="BKR916" s="7"/>
      <c r="BKS916" s="7"/>
      <c r="BKT916" s="7"/>
      <c r="BKU916" s="7"/>
      <c r="BKV916" s="7"/>
      <c r="BKW916" s="7"/>
      <c r="BKX916" s="7"/>
      <c r="BKY916" s="7"/>
      <c r="BKZ916" s="7"/>
      <c r="BLA916" s="7"/>
      <c r="BLB916" s="7"/>
      <c r="BLC916" s="7"/>
      <c r="BLD916" s="7"/>
      <c r="BLE916" s="7"/>
      <c r="BLF916" s="7"/>
      <c r="BLG916" s="7"/>
      <c r="BLH916" s="7"/>
      <c r="BLI916" s="7"/>
      <c r="BLJ916" s="7"/>
      <c r="BLK916" s="7"/>
      <c r="BLL916" s="7"/>
      <c r="BLM916" s="7"/>
      <c r="BLN916" s="7"/>
      <c r="BLO916" s="7"/>
      <c r="BLP916" s="7"/>
      <c r="BLQ916" s="7"/>
      <c r="BLR916" s="7"/>
      <c r="BLS916" s="7"/>
      <c r="BLT916" s="7"/>
      <c r="BLU916" s="7"/>
      <c r="BLV916" s="7"/>
      <c r="BLW916" s="7"/>
      <c r="BLX916" s="7"/>
      <c r="BLY916" s="7"/>
      <c r="BLZ916" s="7"/>
      <c r="BMA916" s="7"/>
      <c r="BMB916" s="7"/>
      <c r="BMC916" s="7"/>
      <c r="BMD916" s="7"/>
      <c r="BME916" s="7"/>
      <c r="BMF916" s="7"/>
      <c r="BMG916" s="7"/>
      <c r="BMH916" s="7"/>
      <c r="BMI916" s="7"/>
      <c r="BMJ916" s="7"/>
      <c r="BMK916" s="7"/>
      <c r="BML916" s="7"/>
      <c r="BMM916" s="7"/>
      <c r="BMN916" s="7"/>
      <c r="BMO916" s="7"/>
      <c r="BMP916" s="7"/>
      <c r="BMQ916" s="7"/>
      <c r="BMR916" s="7"/>
      <c r="BMS916" s="7"/>
      <c r="BMT916" s="7"/>
      <c r="BMU916" s="7"/>
      <c r="BMV916" s="7"/>
      <c r="BMW916" s="7"/>
      <c r="BMX916" s="7"/>
      <c r="BMY916" s="7"/>
      <c r="BMZ916" s="7"/>
      <c r="BNA916" s="7"/>
      <c r="BNB916" s="7"/>
      <c r="BNC916" s="7"/>
      <c r="BND916" s="7"/>
      <c r="BNE916" s="7"/>
      <c r="BNF916" s="7"/>
      <c r="BNG916" s="7"/>
      <c r="BNH916" s="7"/>
      <c r="BNI916" s="7"/>
      <c r="BNJ916" s="7"/>
      <c r="BNK916" s="7"/>
      <c r="BNL916" s="7"/>
      <c r="BNM916" s="7"/>
      <c r="BNN916" s="7"/>
      <c r="BNO916" s="7"/>
      <c r="BNP916" s="7"/>
      <c r="BNQ916" s="7"/>
      <c r="BNR916" s="7"/>
      <c r="BNS916" s="7"/>
      <c r="BNT916" s="7"/>
      <c r="BNU916" s="7"/>
      <c r="BNV916" s="7"/>
      <c r="BNW916" s="7"/>
      <c r="BNX916" s="7"/>
      <c r="BNY916" s="7"/>
      <c r="BNZ916" s="7"/>
      <c r="BOA916" s="7"/>
      <c r="BOB916" s="7"/>
      <c r="BOC916" s="7"/>
      <c r="BOD916" s="7"/>
      <c r="BOE916" s="7"/>
      <c r="BOF916" s="7"/>
      <c r="BOG916" s="7"/>
      <c r="BOH916" s="7"/>
      <c r="BOI916" s="7"/>
      <c r="BOJ916" s="7"/>
      <c r="BOK916" s="7"/>
      <c r="BOL916" s="7"/>
      <c r="BOM916" s="7"/>
      <c r="BON916" s="7"/>
      <c r="BOO916" s="7"/>
      <c r="BOP916" s="7"/>
      <c r="BOQ916" s="7"/>
      <c r="BOR916" s="7"/>
      <c r="BOS916" s="7"/>
      <c r="BOT916" s="7"/>
      <c r="BOU916" s="7"/>
      <c r="BOV916" s="7"/>
      <c r="BOW916" s="7"/>
      <c r="BOX916" s="7"/>
      <c r="BOY916" s="7"/>
      <c r="BOZ916" s="7"/>
      <c r="BPA916" s="7"/>
      <c r="BPB916" s="7"/>
      <c r="BPC916" s="7"/>
      <c r="BPD916" s="7"/>
      <c r="BPE916" s="7"/>
      <c r="BPF916" s="7"/>
      <c r="BPG916" s="7"/>
      <c r="BPH916" s="7"/>
      <c r="BPI916" s="7"/>
      <c r="BPJ916" s="7"/>
      <c r="BPK916" s="7"/>
      <c r="BPL916" s="7"/>
      <c r="BPM916" s="7"/>
      <c r="BPN916" s="7"/>
      <c r="BPO916" s="7"/>
      <c r="BPP916" s="7"/>
      <c r="BPQ916" s="7"/>
      <c r="BPR916" s="7"/>
      <c r="BPS916" s="7"/>
      <c r="BPT916" s="7"/>
      <c r="BPU916" s="7"/>
      <c r="BPV916" s="7"/>
      <c r="BPW916" s="7"/>
      <c r="BPX916" s="7"/>
      <c r="BPY916" s="7"/>
      <c r="BPZ916" s="7"/>
      <c r="BQA916" s="7"/>
      <c r="BQB916" s="7"/>
      <c r="BQC916" s="7"/>
      <c r="BQD916" s="7"/>
      <c r="BQE916" s="7"/>
      <c r="BQF916" s="7"/>
      <c r="BQG916" s="7"/>
      <c r="BQH916" s="7"/>
      <c r="BQI916" s="7"/>
      <c r="BQJ916" s="7"/>
      <c r="BQK916" s="7"/>
      <c r="BQL916" s="7"/>
      <c r="BQM916" s="7"/>
      <c r="BQN916" s="7"/>
      <c r="BQO916" s="7"/>
      <c r="BQP916" s="7"/>
      <c r="BQQ916" s="7"/>
      <c r="BQR916" s="7"/>
      <c r="BQS916" s="7"/>
      <c r="BQT916" s="7"/>
      <c r="BQU916" s="7"/>
      <c r="BQV916" s="7"/>
      <c r="BQW916" s="7"/>
      <c r="BQX916" s="7"/>
      <c r="BQY916" s="7"/>
      <c r="BQZ916" s="7"/>
      <c r="BRA916" s="7"/>
      <c r="BRB916" s="7"/>
      <c r="BRC916" s="7"/>
      <c r="BRD916" s="7"/>
      <c r="BRE916" s="7"/>
      <c r="BRF916" s="7"/>
      <c r="BRG916" s="7"/>
      <c r="BRH916" s="7"/>
      <c r="BRI916" s="7"/>
      <c r="BRJ916" s="7"/>
      <c r="BRK916" s="7"/>
      <c r="BRL916" s="7"/>
      <c r="BRM916" s="7"/>
      <c r="BRN916" s="7"/>
      <c r="BRO916" s="7"/>
      <c r="BRP916" s="7"/>
      <c r="BRQ916" s="7"/>
      <c r="BRR916" s="7"/>
      <c r="BRS916" s="7"/>
      <c r="BRT916" s="7"/>
      <c r="BRU916" s="7"/>
      <c r="BRV916" s="7"/>
      <c r="BRW916" s="7"/>
      <c r="BRX916" s="7"/>
      <c r="BRY916" s="7"/>
      <c r="BRZ916" s="7"/>
      <c r="BSA916" s="7"/>
      <c r="BSB916" s="7"/>
      <c r="BSC916" s="7"/>
      <c r="BSD916" s="7"/>
      <c r="BSE916" s="7"/>
      <c r="BSF916" s="7"/>
      <c r="BSG916" s="7"/>
      <c r="BSH916" s="7"/>
      <c r="BSI916" s="7"/>
      <c r="BSJ916" s="7"/>
      <c r="BSK916" s="7"/>
      <c r="BSL916" s="7"/>
      <c r="BSM916" s="7"/>
      <c r="BSN916" s="7"/>
      <c r="BSO916" s="7"/>
      <c r="BSP916" s="7"/>
      <c r="BSQ916" s="7"/>
      <c r="BSR916" s="7"/>
      <c r="BSS916" s="7"/>
      <c r="BST916" s="7"/>
      <c r="BSU916" s="7"/>
      <c r="BSV916" s="7"/>
      <c r="BSW916" s="7"/>
      <c r="BSX916" s="7"/>
      <c r="BSY916" s="7"/>
      <c r="BSZ916" s="7"/>
      <c r="BTA916" s="7"/>
      <c r="BTB916" s="7"/>
      <c r="BTC916" s="7"/>
      <c r="BTD916" s="7"/>
      <c r="BTE916" s="7"/>
      <c r="BTF916" s="7"/>
      <c r="BTG916" s="7"/>
      <c r="BTH916" s="7"/>
      <c r="BTI916" s="7"/>
      <c r="BTJ916" s="7"/>
      <c r="BTK916" s="7"/>
      <c r="BTL916" s="7"/>
      <c r="BTM916" s="7"/>
      <c r="BTN916" s="7"/>
      <c r="BTO916" s="7"/>
      <c r="BTP916" s="7"/>
      <c r="BTQ916" s="7"/>
      <c r="BTR916" s="7"/>
      <c r="BTS916" s="7"/>
      <c r="BTT916" s="7"/>
      <c r="BTU916" s="7"/>
      <c r="BTV916" s="7"/>
      <c r="BTW916" s="7"/>
      <c r="BTX916" s="7"/>
      <c r="BTY916" s="7"/>
      <c r="BTZ916" s="7"/>
      <c r="BUA916" s="7"/>
      <c r="BUB916" s="7"/>
      <c r="BUC916" s="7"/>
      <c r="BUD916" s="7"/>
      <c r="BUE916" s="7"/>
      <c r="BUF916" s="7"/>
      <c r="BUG916" s="7"/>
      <c r="BUH916" s="7"/>
      <c r="BUI916" s="7"/>
      <c r="BUJ916" s="7"/>
      <c r="BUK916" s="7"/>
      <c r="BUL916" s="7"/>
      <c r="BUM916" s="7"/>
      <c r="BUN916" s="7"/>
      <c r="BUO916" s="7"/>
      <c r="BUP916" s="7"/>
      <c r="BUQ916" s="7"/>
      <c r="BUR916" s="7"/>
      <c r="BUS916" s="7"/>
      <c r="BUT916" s="7"/>
      <c r="BUU916" s="7"/>
      <c r="BUV916" s="7"/>
      <c r="BUW916" s="7"/>
      <c r="BUX916" s="7"/>
      <c r="BUY916" s="7"/>
      <c r="BUZ916" s="7"/>
      <c r="BVA916" s="7"/>
      <c r="BVB916" s="7"/>
      <c r="BVC916" s="7"/>
      <c r="BVD916" s="7"/>
      <c r="BVE916" s="7"/>
      <c r="BVF916" s="7"/>
      <c r="BVG916" s="7"/>
      <c r="BVH916" s="7"/>
      <c r="BVI916" s="7"/>
      <c r="BVJ916" s="7"/>
      <c r="BVK916" s="7"/>
      <c r="BVL916" s="7"/>
      <c r="BVM916" s="7"/>
      <c r="BVN916" s="7"/>
      <c r="BVO916" s="7"/>
      <c r="BVP916" s="7"/>
      <c r="BVQ916" s="7"/>
      <c r="BVR916" s="7"/>
      <c r="BVS916" s="7"/>
      <c r="BVT916" s="7"/>
      <c r="BVU916" s="7"/>
      <c r="BVV916" s="7"/>
      <c r="BVW916" s="7"/>
      <c r="BVX916" s="7"/>
      <c r="BVY916" s="7"/>
      <c r="BVZ916" s="7"/>
      <c r="BWA916" s="7"/>
      <c r="BWB916" s="7"/>
      <c r="BWC916" s="7"/>
      <c r="BWD916" s="7"/>
      <c r="BWE916" s="7"/>
      <c r="BWF916" s="7"/>
      <c r="BWG916" s="7"/>
      <c r="BWH916" s="7"/>
      <c r="BWI916" s="7"/>
      <c r="BWJ916" s="7"/>
      <c r="BWK916" s="7"/>
      <c r="BWL916" s="7"/>
      <c r="BWM916" s="7"/>
      <c r="BWN916" s="7"/>
      <c r="BWO916" s="7"/>
      <c r="BWP916" s="7"/>
      <c r="BWQ916" s="7"/>
      <c r="BWR916" s="7"/>
      <c r="BWS916" s="7"/>
      <c r="BWT916" s="7"/>
      <c r="BWU916" s="7"/>
      <c r="BWV916" s="7"/>
      <c r="BWW916" s="7"/>
      <c r="BWX916" s="7"/>
      <c r="BWY916" s="7"/>
      <c r="BWZ916" s="7"/>
      <c r="BXA916" s="7"/>
      <c r="BXB916" s="7"/>
      <c r="BXC916" s="7"/>
      <c r="BXD916" s="7"/>
      <c r="BXE916" s="7"/>
      <c r="BXF916" s="7"/>
      <c r="BXG916" s="7"/>
      <c r="BXH916" s="7"/>
      <c r="BXI916" s="7"/>
      <c r="BXJ916" s="7"/>
      <c r="BXK916" s="7"/>
      <c r="BXL916" s="7"/>
      <c r="BXM916" s="7"/>
      <c r="BXN916" s="7"/>
      <c r="BXO916" s="7"/>
      <c r="BXP916" s="7"/>
      <c r="BXQ916" s="7"/>
      <c r="BXR916" s="7"/>
      <c r="BXS916" s="7"/>
      <c r="BXT916" s="7"/>
      <c r="BXU916" s="7"/>
      <c r="BXV916" s="7"/>
      <c r="BXW916" s="7"/>
      <c r="BXX916" s="7"/>
      <c r="BXY916" s="7"/>
      <c r="BXZ916" s="7"/>
      <c r="BYA916" s="7"/>
      <c r="BYB916" s="7"/>
      <c r="BYC916" s="7"/>
      <c r="BYD916" s="7"/>
      <c r="BYE916" s="7"/>
      <c r="BYF916" s="7"/>
      <c r="BYG916" s="7"/>
      <c r="BYH916" s="7"/>
      <c r="BYI916" s="7"/>
      <c r="BYJ916" s="7"/>
      <c r="BYK916" s="7"/>
      <c r="BYL916" s="7"/>
      <c r="BYM916" s="7"/>
      <c r="BYN916" s="7"/>
      <c r="BYO916" s="7"/>
      <c r="BYP916" s="7"/>
      <c r="BYQ916" s="7"/>
      <c r="BYR916" s="7"/>
      <c r="BYS916" s="7"/>
      <c r="BYT916" s="7"/>
      <c r="BYU916" s="7"/>
      <c r="BYV916" s="7"/>
      <c r="BYW916" s="7"/>
      <c r="BYX916" s="7"/>
      <c r="BYY916" s="7"/>
      <c r="BYZ916" s="7"/>
      <c r="BZA916" s="7"/>
      <c r="BZB916" s="7"/>
      <c r="BZC916" s="7"/>
      <c r="BZD916" s="7"/>
      <c r="BZE916" s="7"/>
      <c r="BZF916" s="7"/>
      <c r="BZG916" s="7"/>
      <c r="BZH916" s="7"/>
      <c r="BZI916" s="7"/>
      <c r="BZJ916" s="7"/>
      <c r="BZK916" s="7"/>
      <c r="BZL916" s="7"/>
      <c r="BZM916" s="7"/>
      <c r="BZN916" s="7"/>
      <c r="BZO916" s="7"/>
      <c r="BZP916" s="7"/>
      <c r="BZQ916" s="7"/>
      <c r="BZR916" s="7"/>
      <c r="BZS916" s="7"/>
      <c r="BZT916" s="7"/>
      <c r="BZU916" s="7"/>
      <c r="BZV916" s="7"/>
      <c r="BZW916" s="7"/>
      <c r="BZX916" s="7"/>
      <c r="BZY916" s="7"/>
      <c r="BZZ916" s="7"/>
      <c r="CAA916" s="7"/>
      <c r="CAB916" s="7"/>
      <c r="CAC916" s="7"/>
      <c r="CAD916" s="7"/>
      <c r="CAE916" s="7"/>
      <c r="CAF916" s="7"/>
      <c r="CAG916" s="7"/>
      <c r="CAH916" s="7"/>
      <c r="CAI916" s="7"/>
      <c r="CAJ916" s="7"/>
      <c r="CAK916" s="7"/>
      <c r="CAL916" s="7"/>
      <c r="CAM916" s="7"/>
      <c r="CAN916" s="7"/>
      <c r="CAO916" s="7"/>
      <c r="CAP916" s="7"/>
      <c r="CAQ916" s="7"/>
      <c r="CAR916" s="7"/>
      <c r="CAS916" s="7"/>
      <c r="CAT916" s="7"/>
      <c r="CAU916" s="7"/>
      <c r="CAV916" s="7"/>
      <c r="CAW916" s="7"/>
      <c r="CAX916" s="7"/>
      <c r="CAY916" s="7"/>
      <c r="CAZ916" s="7"/>
      <c r="CBA916" s="7"/>
      <c r="CBB916" s="7"/>
      <c r="CBC916" s="7"/>
      <c r="CBD916" s="7"/>
      <c r="CBE916" s="7"/>
      <c r="CBF916" s="7"/>
      <c r="CBG916" s="7"/>
      <c r="CBH916" s="7"/>
      <c r="CBI916" s="7"/>
      <c r="CBJ916" s="7"/>
      <c r="CBK916" s="7"/>
      <c r="CBL916" s="7"/>
      <c r="CBM916" s="7"/>
      <c r="CBN916" s="7"/>
      <c r="CBO916" s="7"/>
      <c r="CBP916" s="7"/>
      <c r="CBQ916" s="7"/>
      <c r="CBR916" s="7"/>
      <c r="CBS916" s="7"/>
      <c r="CBT916" s="7"/>
      <c r="CBU916" s="7"/>
      <c r="CBV916" s="7"/>
      <c r="CBW916" s="7"/>
      <c r="CBX916" s="7"/>
      <c r="CBY916" s="7"/>
      <c r="CBZ916" s="7"/>
      <c r="CCA916" s="7"/>
      <c r="CCB916" s="7"/>
      <c r="CCC916" s="7"/>
      <c r="CCD916" s="7"/>
      <c r="CCE916" s="7"/>
      <c r="CCF916" s="7"/>
      <c r="CCG916" s="7"/>
      <c r="CCH916" s="7"/>
      <c r="CCI916" s="7"/>
      <c r="CCJ916" s="7"/>
      <c r="CCK916" s="7"/>
      <c r="CCL916" s="7"/>
      <c r="CCM916" s="7"/>
      <c r="CCN916" s="7"/>
      <c r="CCO916" s="7"/>
      <c r="CCP916" s="7"/>
      <c r="CCQ916" s="7"/>
      <c r="CCR916" s="7"/>
      <c r="CCS916" s="7"/>
      <c r="CCT916" s="7"/>
      <c r="CCU916" s="7"/>
      <c r="CCV916" s="7"/>
      <c r="CCW916" s="7"/>
      <c r="CCX916" s="7"/>
      <c r="CCY916" s="7"/>
      <c r="CCZ916" s="7"/>
      <c r="CDA916" s="7"/>
      <c r="CDB916" s="7"/>
      <c r="CDC916" s="7"/>
      <c r="CDD916" s="7"/>
      <c r="CDE916" s="7"/>
      <c r="CDF916" s="7"/>
      <c r="CDG916" s="7"/>
      <c r="CDH916" s="7"/>
      <c r="CDI916" s="7"/>
      <c r="CDJ916" s="7"/>
      <c r="CDK916" s="7"/>
      <c r="CDL916" s="7"/>
      <c r="CDM916" s="7"/>
      <c r="CDN916" s="7"/>
      <c r="CDO916" s="7"/>
      <c r="CDP916" s="7"/>
      <c r="CDQ916" s="7"/>
      <c r="CDR916" s="7"/>
      <c r="CDS916" s="7"/>
      <c r="CDT916" s="7"/>
      <c r="CDU916" s="7"/>
      <c r="CDV916" s="7"/>
      <c r="CDW916" s="7"/>
      <c r="CDX916" s="7"/>
      <c r="CDY916" s="7"/>
      <c r="CDZ916" s="7"/>
      <c r="CEA916" s="7"/>
      <c r="CEB916" s="7"/>
      <c r="CEC916" s="7"/>
      <c r="CED916" s="7"/>
      <c r="CEE916" s="7"/>
      <c r="CEF916" s="7"/>
      <c r="CEG916" s="7"/>
      <c r="CEH916" s="7"/>
      <c r="CEI916" s="7"/>
      <c r="CEJ916" s="7"/>
      <c r="CEK916" s="7"/>
      <c r="CEL916" s="7"/>
      <c r="CEM916" s="7"/>
      <c r="CEN916" s="7"/>
      <c r="CEO916" s="7"/>
      <c r="CEP916" s="7"/>
      <c r="CEQ916" s="7"/>
      <c r="CER916" s="7"/>
      <c r="CES916" s="7"/>
      <c r="CET916" s="7"/>
      <c r="CEU916" s="7"/>
      <c r="CEV916" s="7"/>
      <c r="CEW916" s="7"/>
      <c r="CEX916" s="7"/>
      <c r="CEY916" s="7"/>
      <c r="CEZ916" s="7"/>
      <c r="CFA916" s="7"/>
      <c r="CFB916" s="7"/>
      <c r="CFC916" s="7"/>
      <c r="CFD916" s="7"/>
      <c r="CFE916" s="7"/>
      <c r="CFF916" s="7"/>
      <c r="CFG916" s="7"/>
      <c r="CFH916" s="7"/>
      <c r="CFI916" s="7"/>
      <c r="CFJ916" s="7"/>
      <c r="CFK916" s="7"/>
      <c r="CFL916" s="7"/>
      <c r="CFM916" s="7"/>
      <c r="CFN916" s="7"/>
      <c r="CFO916" s="7"/>
      <c r="CFP916" s="7"/>
      <c r="CFQ916" s="7"/>
      <c r="CFR916" s="7"/>
      <c r="CFS916" s="7"/>
      <c r="CFT916" s="7"/>
      <c r="CFU916" s="7"/>
      <c r="CFV916" s="7"/>
      <c r="CFW916" s="7"/>
      <c r="CFX916" s="7"/>
      <c r="CFY916" s="7"/>
      <c r="CFZ916" s="7"/>
      <c r="CGA916" s="7"/>
      <c r="CGB916" s="7"/>
      <c r="CGC916" s="7"/>
      <c r="CGD916" s="7"/>
      <c r="CGE916" s="7"/>
      <c r="CGF916" s="7"/>
      <c r="CGG916" s="7"/>
      <c r="CGH916" s="7"/>
      <c r="CGI916" s="7"/>
      <c r="CGJ916" s="7"/>
      <c r="CGK916" s="7"/>
      <c r="CGL916" s="7"/>
      <c r="CGM916" s="7"/>
      <c r="CGN916" s="7"/>
      <c r="CGO916" s="7"/>
      <c r="CGP916" s="7"/>
      <c r="CGQ916" s="7"/>
      <c r="CGR916" s="7"/>
      <c r="CGS916" s="7"/>
      <c r="CGT916" s="7"/>
      <c r="CGU916" s="7"/>
      <c r="CGV916" s="7"/>
      <c r="CGW916" s="7"/>
      <c r="CGX916" s="7"/>
      <c r="CGY916" s="7"/>
      <c r="CGZ916" s="7"/>
      <c r="CHA916" s="7"/>
      <c r="CHB916" s="7"/>
      <c r="CHC916" s="7"/>
      <c r="CHD916" s="7"/>
      <c r="CHE916" s="7"/>
      <c r="CHF916" s="7"/>
      <c r="CHG916" s="7"/>
      <c r="CHH916" s="7"/>
      <c r="CHI916" s="7"/>
      <c r="CHJ916" s="7"/>
      <c r="CHK916" s="7"/>
      <c r="CHL916" s="7"/>
      <c r="CHM916" s="7"/>
      <c r="CHN916" s="7"/>
      <c r="CHO916" s="7"/>
      <c r="CHP916" s="7"/>
      <c r="CHQ916" s="7"/>
      <c r="CHR916" s="7"/>
      <c r="CHS916" s="7"/>
      <c r="CHT916" s="7"/>
      <c r="CHU916" s="7"/>
      <c r="CHV916" s="7"/>
      <c r="CHW916" s="7"/>
      <c r="CHX916" s="7"/>
      <c r="CHY916" s="7"/>
      <c r="CHZ916" s="7"/>
      <c r="CIA916" s="7"/>
      <c r="CIB916" s="7"/>
      <c r="CIC916" s="7"/>
      <c r="CID916" s="7"/>
      <c r="CIE916" s="7"/>
      <c r="CIF916" s="7"/>
      <c r="CIG916" s="7"/>
      <c r="CIH916" s="7"/>
      <c r="CII916" s="7"/>
      <c r="CIJ916" s="7"/>
      <c r="CIK916" s="7"/>
      <c r="CIL916" s="7"/>
      <c r="CIM916" s="7"/>
      <c r="CIN916" s="7"/>
      <c r="CIO916" s="7"/>
      <c r="CIP916" s="7"/>
      <c r="CIQ916" s="7"/>
      <c r="CIR916" s="7"/>
      <c r="CIS916" s="7"/>
      <c r="CIT916" s="7"/>
      <c r="CIU916" s="7"/>
      <c r="CIV916" s="7"/>
      <c r="CIW916" s="7"/>
      <c r="CIX916" s="7"/>
      <c r="CIY916" s="7"/>
      <c r="CIZ916" s="7"/>
      <c r="CJA916" s="7"/>
      <c r="CJB916" s="7"/>
      <c r="CJC916" s="7"/>
      <c r="CJD916" s="7"/>
      <c r="CJE916" s="7"/>
      <c r="CJF916" s="7"/>
      <c r="CJG916" s="7"/>
      <c r="CJH916" s="7"/>
      <c r="CJI916" s="7"/>
      <c r="CJJ916" s="7"/>
      <c r="CJK916" s="7"/>
      <c r="CJL916" s="7"/>
      <c r="CJM916" s="7"/>
      <c r="CJN916" s="7"/>
      <c r="CJO916" s="7"/>
      <c r="CJP916" s="7"/>
      <c r="CJQ916" s="7"/>
      <c r="CJR916" s="7"/>
      <c r="CJS916" s="7"/>
      <c r="CJT916" s="7"/>
      <c r="CJU916" s="7"/>
      <c r="CJV916" s="7"/>
      <c r="CJW916" s="7"/>
      <c r="CJX916" s="7"/>
      <c r="CJY916" s="7"/>
      <c r="CJZ916" s="7"/>
      <c r="CKA916" s="7"/>
      <c r="CKB916" s="7"/>
      <c r="CKC916" s="7"/>
      <c r="CKD916" s="7"/>
      <c r="CKE916" s="7"/>
      <c r="CKF916" s="7"/>
      <c r="CKG916" s="7"/>
      <c r="CKH916" s="7"/>
      <c r="CKI916" s="7"/>
      <c r="CKJ916" s="7"/>
      <c r="CKK916" s="7"/>
      <c r="CKL916" s="7"/>
      <c r="CKM916" s="7"/>
      <c r="CKN916" s="7"/>
      <c r="CKO916" s="7"/>
      <c r="CKP916" s="7"/>
      <c r="CKQ916" s="7"/>
      <c r="CKR916" s="7"/>
      <c r="CKS916" s="7"/>
      <c r="CKT916" s="7"/>
      <c r="CKU916" s="7"/>
      <c r="CKV916" s="7"/>
      <c r="CKW916" s="7"/>
      <c r="CKX916" s="7"/>
      <c r="CKY916" s="7"/>
      <c r="CKZ916" s="7"/>
      <c r="CLA916" s="7"/>
      <c r="CLB916" s="7"/>
      <c r="CLC916" s="7"/>
      <c r="CLD916" s="7"/>
      <c r="CLE916" s="7"/>
      <c r="CLF916" s="7"/>
      <c r="CLG916" s="7"/>
      <c r="CLH916" s="7"/>
      <c r="CLI916" s="7"/>
      <c r="CLJ916" s="7"/>
      <c r="CLK916" s="7"/>
      <c r="CLL916" s="7"/>
      <c r="CLM916" s="7"/>
      <c r="CLN916" s="7"/>
      <c r="CLO916" s="7"/>
      <c r="CLP916" s="7"/>
      <c r="CLQ916" s="7"/>
      <c r="CLR916" s="7"/>
      <c r="CLS916" s="7"/>
      <c r="CLT916" s="7"/>
      <c r="CLU916" s="7"/>
      <c r="CLV916" s="7"/>
      <c r="CLW916" s="7"/>
      <c r="CLX916" s="7"/>
      <c r="CLY916" s="7"/>
      <c r="CLZ916" s="7"/>
      <c r="CMA916" s="7"/>
      <c r="CMB916" s="7"/>
      <c r="CMC916" s="7"/>
      <c r="CMD916" s="7"/>
      <c r="CME916" s="7"/>
      <c r="CMF916" s="7"/>
      <c r="CMG916" s="7"/>
      <c r="CMH916" s="7"/>
      <c r="CMI916" s="7"/>
      <c r="CMJ916" s="7"/>
      <c r="CMK916" s="7"/>
      <c r="CML916" s="7"/>
      <c r="CMM916" s="7"/>
      <c r="CMN916" s="7"/>
      <c r="CMO916" s="7"/>
      <c r="CMP916" s="7"/>
      <c r="CMQ916" s="7"/>
      <c r="CMR916" s="7"/>
      <c r="CMS916" s="7"/>
      <c r="CMT916" s="7"/>
      <c r="CMU916" s="7"/>
      <c r="CMV916" s="7"/>
      <c r="CMW916" s="7"/>
      <c r="CMX916" s="7"/>
      <c r="CMY916" s="7"/>
      <c r="CMZ916" s="7"/>
      <c r="CNA916" s="7"/>
      <c r="CNB916" s="7"/>
      <c r="CNC916" s="7"/>
      <c r="CND916" s="7"/>
      <c r="CNE916" s="7"/>
      <c r="CNF916" s="7"/>
      <c r="CNG916" s="7"/>
      <c r="CNH916" s="7"/>
      <c r="CNI916" s="7"/>
      <c r="CNJ916" s="7"/>
      <c r="CNK916" s="7"/>
      <c r="CNL916" s="7"/>
      <c r="CNM916" s="7"/>
      <c r="CNN916" s="7"/>
      <c r="CNO916" s="7"/>
      <c r="CNP916" s="7"/>
      <c r="CNQ916" s="7"/>
      <c r="CNR916" s="7"/>
      <c r="CNS916" s="7"/>
      <c r="CNT916" s="7"/>
      <c r="CNU916" s="7"/>
      <c r="CNV916" s="7"/>
      <c r="CNW916" s="7"/>
      <c r="CNX916" s="7"/>
      <c r="CNY916" s="7"/>
      <c r="CNZ916" s="7"/>
      <c r="COA916" s="7"/>
      <c r="COB916" s="7"/>
      <c r="COC916" s="7"/>
      <c r="COD916" s="7"/>
      <c r="COE916" s="7"/>
      <c r="COF916" s="7"/>
      <c r="COG916" s="7"/>
      <c r="COH916" s="7"/>
      <c r="COI916" s="7"/>
      <c r="COJ916" s="7"/>
      <c r="COK916" s="7"/>
      <c r="COL916" s="7"/>
      <c r="COM916" s="7"/>
      <c r="CON916" s="7"/>
      <c r="COO916" s="7"/>
      <c r="COP916" s="7"/>
      <c r="COQ916" s="7"/>
      <c r="COR916" s="7"/>
      <c r="COS916" s="7"/>
      <c r="COT916" s="7"/>
      <c r="COU916" s="7"/>
      <c r="COV916" s="7"/>
      <c r="COW916" s="7"/>
      <c r="COX916" s="7"/>
      <c r="COY916" s="7"/>
      <c r="COZ916" s="7"/>
      <c r="CPA916" s="7"/>
      <c r="CPB916" s="7"/>
      <c r="CPC916" s="7"/>
      <c r="CPD916" s="7"/>
      <c r="CPE916" s="7"/>
      <c r="CPF916" s="7"/>
      <c r="CPG916" s="7"/>
      <c r="CPH916" s="7"/>
      <c r="CPI916" s="7"/>
      <c r="CPJ916" s="7"/>
      <c r="CPK916" s="7"/>
      <c r="CPL916" s="7"/>
      <c r="CPM916" s="7"/>
      <c r="CPN916" s="7"/>
      <c r="CPO916" s="7"/>
      <c r="CPP916" s="7"/>
      <c r="CPQ916" s="7"/>
      <c r="CPR916" s="7"/>
      <c r="CPS916" s="7"/>
      <c r="CPT916" s="7"/>
      <c r="CPU916" s="7"/>
      <c r="CPV916" s="7"/>
      <c r="CPW916" s="7"/>
      <c r="CPX916" s="7"/>
      <c r="CPY916" s="7"/>
      <c r="CPZ916" s="7"/>
      <c r="CQA916" s="7"/>
      <c r="CQB916" s="7"/>
      <c r="CQC916" s="7"/>
      <c r="CQD916" s="7"/>
      <c r="CQE916" s="7"/>
      <c r="CQF916" s="7"/>
      <c r="CQG916" s="7"/>
      <c r="CQH916" s="7"/>
      <c r="CQI916" s="7"/>
      <c r="CQJ916" s="7"/>
      <c r="CQK916" s="7"/>
      <c r="CQL916" s="7"/>
      <c r="CQM916" s="7"/>
      <c r="CQN916" s="7"/>
      <c r="CQO916" s="7"/>
      <c r="CQP916" s="7"/>
      <c r="CQQ916" s="7"/>
      <c r="CQR916" s="7"/>
      <c r="CQS916" s="7"/>
      <c r="CQT916" s="7"/>
      <c r="CQU916" s="7"/>
      <c r="CQV916" s="7"/>
      <c r="CQW916" s="7"/>
      <c r="CQX916" s="7"/>
      <c r="CQY916" s="7"/>
      <c r="CQZ916" s="7"/>
      <c r="CRA916" s="7"/>
      <c r="CRB916" s="7"/>
      <c r="CRC916" s="7"/>
      <c r="CRD916" s="7"/>
      <c r="CRE916" s="7"/>
      <c r="CRF916" s="7"/>
      <c r="CRG916" s="7"/>
      <c r="CRH916" s="7"/>
      <c r="CRI916" s="7"/>
      <c r="CRJ916" s="7"/>
      <c r="CRK916" s="7"/>
      <c r="CRL916" s="7"/>
      <c r="CRM916" s="7"/>
      <c r="CRN916" s="7"/>
      <c r="CRO916" s="7"/>
      <c r="CRP916" s="7"/>
      <c r="CRQ916" s="7"/>
      <c r="CRR916" s="7"/>
      <c r="CRS916" s="7"/>
      <c r="CRT916" s="7"/>
      <c r="CRU916" s="7"/>
      <c r="CRV916" s="7"/>
      <c r="CRW916" s="7"/>
      <c r="CRX916" s="7"/>
      <c r="CRY916" s="7"/>
      <c r="CRZ916" s="7"/>
      <c r="CSA916" s="7"/>
      <c r="CSB916" s="7"/>
      <c r="CSC916" s="7"/>
      <c r="CSD916" s="7"/>
      <c r="CSE916" s="7"/>
      <c r="CSF916" s="7"/>
      <c r="CSG916" s="7"/>
      <c r="CSH916" s="7"/>
      <c r="CSI916" s="7"/>
      <c r="CSJ916" s="7"/>
      <c r="CSK916" s="7"/>
      <c r="CSL916" s="7"/>
      <c r="CSM916" s="7"/>
      <c r="CSN916" s="7"/>
      <c r="CSO916" s="7"/>
      <c r="CSP916" s="7"/>
      <c r="CSQ916" s="7"/>
      <c r="CSR916" s="7"/>
      <c r="CSS916" s="7"/>
      <c r="CST916" s="7"/>
      <c r="CSU916" s="7"/>
      <c r="CSV916" s="7"/>
      <c r="CSW916" s="7"/>
      <c r="CSX916" s="7"/>
      <c r="CSY916" s="7"/>
      <c r="CSZ916" s="7"/>
      <c r="CTA916" s="7"/>
      <c r="CTB916" s="7"/>
      <c r="CTC916" s="7"/>
      <c r="CTD916" s="7"/>
      <c r="CTE916" s="7"/>
      <c r="CTF916" s="7"/>
      <c r="CTG916" s="7"/>
      <c r="CTH916" s="7"/>
      <c r="CTI916" s="7"/>
      <c r="CTJ916" s="7"/>
      <c r="CTK916" s="7"/>
      <c r="CTL916" s="7"/>
      <c r="CTM916" s="7"/>
      <c r="CTN916" s="7"/>
      <c r="CTO916" s="7"/>
      <c r="CTP916" s="7"/>
      <c r="CTQ916" s="7"/>
      <c r="CTR916" s="7"/>
      <c r="CTS916" s="7"/>
      <c r="CTT916" s="7"/>
      <c r="CTU916" s="7"/>
      <c r="CTV916" s="7"/>
      <c r="CTW916" s="7"/>
      <c r="CTX916" s="7"/>
      <c r="CTY916" s="7"/>
      <c r="CTZ916" s="7"/>
      <c r="CUA916" s="7"/>
      <c r="CUB916" s="7"/>
      <c r="CUC916" s="7"/>
      <c r="CUD916" s="7"/>
      <c r="CUE916" s="7"/>
      <c r="CUF916" s="7"/>
      <c r="CUG916" s="7"/>
      <c r="CUH916" s="7"/>
      <c r="CUI916" s="7"/>
      <c r="CUJ916" s="7"/>
      <c r="CUK916" s="7"/>
      <c r="CUL916" s="7"/>
      <c r="CUM916" s="7"/>
      <c r="CUN916" s="7"/>
      <c r="CUO916" s="7"/>
      <c r="CUP916" s="7"/>
      <c r="CUQ916" s="7"/>
      <c r="CUR916" s="7"/>
      <c r="CUS916" s="7"/>
      <c r="CUT916" s="7"/>
      <c r="CUU916" s="7"/>
      <c r="CUV916" s="7"/>
      <c r="CUW916" s="7"/>
      <c r="CUX916" s="7"/>
      <c r="CUY916" s="7"/>
      <c r="CUZ916" s="7"/>
      <c r="CVA916" s="7"/>
      <c r="CVB916" s="7"/>
      <c r="CVC916" s="7"/>
      <c r="CVD916" s="7"/>
      <c r="CVE916" s="7"/>
      <c r="CVF916" s="7"/>
      <c r="CVG916" s="7"/>
      <c r="CVH916" s="7"/>
      <c r="CVI916" s="7"/>
      <c r="CVJ916" s="7"/>
      <c r="CVK916" s="7"/>
      <c r="CVL916" s="7"/>
      <c r="CVM916" s="7"/>
      <c r="CVN916" s="7"/>
      <c r="CVO916" s="7"/>
      <c r="CVP916" s="7"/>
      <c r="CVQ916" s="7"/>
      <c r="CVR916" s="7"/>
      <c r="CVS916" s="7"/>
      <c r="CVT916" s="7"/>
      <c r="CVU916" s="7"/>
      <c r="CVV916" s="7"/>
      <c r="CVW916" s="7"/>
      <c r="CVX916" s="7"/>
      <c r="CVY916" s="7"/>
      <c r="CVZ916" s="7"/>
      <c r="CWA916" s="7"/>
      <c r="CWB916" s="7"/>
      <c r="CWC916" s="7"/>
      <c r="CWD916" s="7"/>
      <c r="CWE916" s="7"/>
      <c r="CWF916" s="7"/>
      <c r="CWG916" s="7"/>
      <c r="CWH916" s="7"/>
      <c r="CWI916" s="7"/>
      <c r="CWJ916" s="7"/>
      <c r="CWK916" s="7"/>
      <c r="CWL916" s="7"/>
      <c r="CWM916" s="7"/>
      <c r="CWN916" s="7"/>
      <c r="CWO916" s="7"/>
      <c r="CWP916" s="7"/>
      <c r="CWQ916" s="7"/>
      <c r="CWR916" s="7"/>
      <c r="CWS916" s="7"/>
      <c r="CWT916" s="7"/>
      <c r="CWU916" s="7"/>
      <c r="CWV916" s="7"/>
      <c r="CWW916" s="7"/>
      <c r="CWX916" s="7"/>
      <c r="CWY916" s="7"/>
      <c r="CWZ916" s="7"/>
      <c r="CXA916" s="7"/>
      <c r="CXB916" s="7"/>
      <c r="CXC916" s="7"/>
      <c r="CXD916" s="7"/>
      <c r="CXE916" s="7"/>
      <c r="CXF916" s="7"/>
      <c r="CXG916" s="7"/>
      <c r="CXH916" s="7"/>
      <c r="CXI916" s="7"/>
      <c r="CXJ916" s="7"/>
      <c r="CXK916" s="7"/>
      <c r="CXL916" s="7"/>
      <c r="CXM916" s="7"/>
      <c r="CXN916" s="7"/>
      <c r="CXO916" s="7"/>
      <c r="CXP916" s="7"/>
      <c r="CXQ916" s="7"/>
      <c r="CXR916" s="7"/>
      <c r="CXS916" s="7"/>
      <c r="CXT916" s="7"/>
      <c r="CXU916" s="7"/>
      <c r="CXV916" s="7"/>
      <c r="CXW916" s="7"/>
      <c r="CXX916" s="7"/>
      <c r="CXY916" s="7"/>
      <c r="CXZ916" s="7"/>
      <c r="CYA916" s="7"/>
      <c r="CYB916" s="7"/>
      <c r="CYC916" s="7"/>
      <c r="CYD916" s="7"/>
      <c r="CYE916" s="7"/>
      <c r="CYF916" s="7"/>
      <c r="CYG916" s="7"/>
      <c r="CYH916" s="7"/>
      <c r="CYI916" s="7"/>
      <c r="CYJ916" s="7"/>
      <c r="CYK916" s="7"/>
      <c r="CYL916" s="7"/>
      <c r="CYM916" s="7"/>
      <c r="CYN916" s="7"/>
      <c r="CYO916" s="7"/>
      <c r="CYP916" s="7"/>
      <c r="CYQ916" s="7"/>
      <c r="CYR916" s="7"/>
      <c r="CYS916" s="7"/>
      <c r="CYT916" s="7"/>
      <c r="CYU916" s="7"/>
      <c r="CYV916" s="7"/>
      <c r="CYW916" s="7"/>
      <c r="CYX916" s="7"/>
      <c r="CYY916" s="7"/>
      <c r="CYZ916" s="7"/>
      <c r="CZA916" s="7"/>
      <c r="CZB916" s="7"/>
      <c r="CZC916" s="7"/>
      <c r="CZD916" s="7"/>
      <c r="CZE916" s="7"/>
      <c r="CZF916" s="7"/>
      <c r="CZG916" s="7"/>
      <c r="CZH916" s="7"/>
      <c r="CZI916" s="7"/>
      <c r="CZJ916" s="7"/>
      <c r="CZK916" s="7"/>
      <c r="CZL916" s="7"/>
      <c r="CZM916" s="7"/>
      <c r="CZN916" s="7"/>
      <c r="CZO916" s="7"/>
      <c r="CZP916" s="7"/>
      <c r="CZQ916" s="7"/>
      <c r="CZR916" s="7"/>
      <c r="CZS916" s="7"/>
      <c r="CZT916" s="7"/>
      <c r="CZU916" s="7"/>
      <c r="CZV916" s="7"/>
      <c r="CZW916" s="7"/>
      <c r="CZX916" s="7"/>
      <c r="CZY916" s="7"/>
      <c r="CZZ916" s="7"/>
      <c r="DAA916" s="7"/>
      <c r="DAB916" s="7"/>
      <c r="DAC916" s="7"/>
      <c r="DAD916" s="7"/>
      <c r="DAE916" s="7"/>
      <c r="DAF916" s="7"/>
      <c r="DAG916" s="7"/>
      <c r="DAH916" s="7"/>
      <c r="DAI916" s="7"/>
      <c r="DAJ916" s="7"/>
      <c r="DAK916" s="7"/>
      <c r="DAL916" s="7"/>
      <c r="DAM916" s="7"/>
      <c r="DAN916" s="7"/>
      <c r="DAO916" s="7"/>
      <c r="DAP916" s="7"/>
      <c r="DAQ916" s="7"/>
      <c r="DAR916" s="7"/>
      <c r="DAS916" s="7"/>
      <c r="DAT916" s="7"/>
      <c r="DAU916" s="7"/>
      <c r="DAV916" s="7"/>
      <c r="DAW916" s="7"/>
      <c r="DAX916" s="7"/>
      <c r="DAY916" s="7"/>
      <c r="DAZ916" s="7"/>
      <c r="DBA916" s="7"/>
      <c r="DBB916" s="7"/>
      <c r="DBC916" s="7"/>
      <c r="DBD916" s="7"/>
      <c r="DBE916" s="7"/>
      <c r="DBF916" s="7"/>
      <c r="DBG916" s="7"/>
      <c r="DBH916" s="7"/>
      <c r="DBI916" s="7"/>
      <c r="DBJ916" s="7"/>
      <c r="DBK916" s="7"/>
      <c r="DBL916" s="7"/>
      <c r="DBM916" s="7"/>
      <c r="DBN916" s="7"/>
      <c r="DBO916" s="7"/>
      <c r="DBP916" s="7"/>
      <c r="DBQ916" s="7"/>
      <c r="DBR916" s="7"/>
      <c r="DBS916" s="7"/>
      <c r="DBT916" s="7"/>
      <c r="DBU916" s="7"/>
      <c r="DBV916" s="7"/>
      <c r="DBW916" s="7"/>
      <c r="DBX916" s="7"/>
      <c r="DBY916" s="7"/>
      <c r="DBZ916" s="7"/>
      <c r="DCA916" s="7"/>
      <c r="DCB916" s="7"/>
      <c r="DCC916" s="7"/>
      <c r="DCD916" s="7"/>
      <c r="DCE916" s="7"/>
      <c r="DCF916" s="7"/>
      <c r="DCG916" s="7"/>
      <c r="DCH916" s="7"/>
      <c r="DCI916" s="7"/>
      <c r="DCJ916" s="7"/>
      <c r="DCK916" s="7"/>
      <c r="DCL916" s="7"/>
      <c r="DCM916" s="7"/>
      <c r="DCN916" s="7"/>
      <c r="DCO916" s="7"/>
      <c r="DCP916" s="7"/>
      <c r="DCQ916" s="7"/>
      <c r="DCR916" s="7"/>
      <c r="DCS916" s="7"/>
      <c r="DCT916" s="7"/>
      <c r="DCU916" s="7"/>
      <c r="DCV916" s="7"/>
      <c r="DCW916" s="7"/>
      <c r="DCX916" s="7"/>
      <c r="DCY916" s="7"/>
      <c r="DCZ916" s="7"/>
      <c r="DDA916" s="7"/>
      <c r="DDB916" s="7"/>
      <c r="DDC916" s="7"/>
      <c r="DDD916" s="7"/>
      <c r="DDE916" s="7"/>
      <c r="DDF916" s="7"/>
      <c r="DDG916" s="7"/>
      <c r="DDH916" s="7"/>
      <c r="DDI916" s="7"/>
      <c r="DDJ916" s="7"/>
      <c r="DDK916" s="7"/>
      <c r="DDL916" s="7"/>
      <c r="DDM916" s="7"/>
      <c r="DDN916" s="7"/>
      <c r="DDO916" s="7"/>
      <c r="DDP916" s="7"/>
      <c r="DDQ916" s="7"/>
      <c r="DDR916" s="7"/>
      <c r="DDS916" s="7"/>
      <c r="DDT916" s="7"/>
      <c r="DDU916" s="7"/>
      <c r="DDV916" s="7"/>
      <c r="DDW916" s="7"/>
      <c r="DDX916" s="7"/>
      <c r="DDY916" s="7"/>
      <c r="DDZ916" s="7"/>
      <c r="DEA916" s="7"/>
      <c r="DEB916" s="7"/>
      <c r="DEC916" s="7"/>
      <c r="DED916" s="7"/>
      <c r="DEE916" s="7"/>
      <c r="DEF916" s="7"/>
      <c r="DEG916" s="7"/>
      <c r="DEH916" s="7"/>
      <c r="DEI916" s="7"/>
      <c r="DEJ916" s="7"/>
      <c r="DEK916" s="7"/>
      <c r="DEL916" s="7"/>
      <c r="DEM916" s="7"/>
      <c r="DEN916" s="7"/>
      <c r="DEO916" s="7"/>
      <c r="DEP916" s="7"/>
      <c r="DEQ916" s="7"/>
      <c r="DER916" s="7"/>
      <c r="DES916" s="7"/>
      <c r="DET916" s="7"/>
      <c r="DEU916" s="7"/>
      <c r="DEV916" s="7"/>
      <c r="DEW916" s="7"/>
      <c r="DEX916" s="7"/>
      <c r="DEY916" s="7"/>
      <c r="DEZ916" s="7"/>
      <c r="DFA916" s="7"/>
      <c r="DFB916" s="7"/>
      <c r="DFC916" s="7"/>
      <c r="DFD916" s="7"/>
      <c r="DFE916" s="7"/>
      <c r="DFF916" s="7"/>
      <c r="DFG916" s="7"/>
      <c r="DFH916" s="7"/>
      <c r="DFI916" s="7"/>
      <c r="DFJ916" s="7"/>
      <c r="DFK916" s="7"/>
      <c r="DFL916" s="7"/>
      <c r="DFM916" s="7"/>
      <c r="DFN916" s="7"/>
      <c r="DFO916" s="7"/>
      <c r="DFP916" s="7"/>
      <c r="DFQ916" s="7"/>
      <c r="DFR916" s="7"/>
      <c r="DFS916" s="7"/>
      <c r="DFT916" s="7"/>
      <c r="DFU916" s="7"/>
      <c r="DFV916" s="7"/>
      <c r="DFW916" s="7"/>
      <c r="DFX916" s="7"/>
      <c r="DFY916" s="7"/>
      <c r="DFZ916" s="7"/>
      <c r="DGA916" s="7"/>
      <c r="DGB916" s="7"/>
      <c r="DGC916" s="7"/>
      <c r="DGD916" s="7"/>
      <c r="DGE916" s="7"/>
      <c r="DGF916" s="7"/>
      <c r="DGG916" s="7"/>
      <c r="DGH916" s="7"/>
      <c r="DGI916" s="7"/>
      <c r="DGJ916" s="7"/>
      <c r="DGK916" s="7"/>
      <c r="DGL916" s="7"/>
      <c r="DGM916" s="7"/>
      <c r="DGN916" s="7"/>
      <c r="DGO916" s="7"/>
      <c r="DGP916" s="7"/>
      <c r="DGQ916" s="7"/>
      <c r="DGR916" s="7"/>
      <c r="DGS916" s="7"/>
      <c r="DGT916" s="7"/>
      <c r="DGU916" s="7"/>
      <c r="DGV916" s="7"/>
      <c r="DGW916" s="7"/>
      <c r="DGX916" s="7"/>
      <c r="DGY916" s="7"/>
      <c r="DGZ916" s="7"/>
      <c r="DHA916" s="7"/>
      <c r="DHB916" s="7"/>
      <c r="DHC916" s="7"/>
      <c r="DHD916" s="7"/>
      <c r="DHE916" s="7"/>
      <c r="DHF916" s="7"/>
      <c r="DHG916" s="7"/>
      <c r="DHH916" s="7"/>
      <c r="DHI916" s="7"/>
      <c r="DHJ916" s="7"/>
      <c r="DHK916" s="7"/>
      <c r="DHL916" s="7"/>
      <c r="DHM916" s="7"/>
      <c r="DHN916" s="7"/>
      <c r="DHO916" s="7"/>
      <c r="DHP916" s="7"/>
      <c r="DHQ916" s="7"/>
      <c r="DHR916" s="7"/>
      <c r="DHS916" s="7"/>
      <c r="DHT916" s="7"/>
      <c r="DHU916" s="7"/>
      <c r="DHV916" s="7"/>
      <c r="DHW916" s="7"/>
      <c r="DHX916" s="7"/>
      <c r="DHY916" s="7"/>
      <c r="DHZ916" s="7"/>
      <c r="DIA916" s="7"/>
      <c r="DIB916" s="7"/>
      <c r="DIC916" s="7"/>
      <c r="DID916" s="7"/>
      <c r="DIE916" s="7"/>
      <c r="DIF916" s="7"/>
      <c r="DIG916" s="7"/>
      <c r="DIH916" s="7"/>
      <c r="DII916" s="7"/>
      <c r="DIJ916" s="7"/>
      <c r="DIK916" s="7"/>
      <c r="DIL916" s="7"/>
      <c r="DIM916" s="7"/>
      <c r="DIN916" s="7"/>
      <c r="DIO916" s="7"/>
      <c r="DIP916" s="7"/>
      <c r="DIQ916" s="7"/>
      <c r="DIR916" s="7"/>
      <c r="DIS916" s="7"/>
      <c r="DIT916" s="7"/>
      <c r="DIU916" s="7"/>
      <c r="DIV916" s="7"/>
      <c r="DIW916" s="7"/>
      <c r="DIX916" s="7"/>
      <c r="DIY916" s="7"/>
      <c r="DIZ916" s="7"/>
      <c r="DJA916" s="7"/>
      <c r="DJB916" s="7"/>
      <c r="DJC916" s="7"/>
      <c r="DJD916" s="7"/>
      <c r="DJE916" s="7"/>
      <c r="DJF916" s="7"/>
      <c r="DJG916" s="7"/>
      <c r="DJH916" s="7"/>
      <c r="DJI916" s="7"/>
      <c r="DJJ916" s="7"/>
      <c r="DJK916" s="7"/>
      <c r="DJL916" s="7"/>
      <c r="DJM916" s="7"/>
      <c r="DJN916" s="7"/>
      <c r="DJO916" s="7"/>
      <c r="DJP916" s="7"/>
      <c r="DJQ916" s="7"/>
      <c r="DJR916" s="7"/>
      <c r="DJS916" s="7"/>
      <c r="DJT916" s="7"/>
      <c r="DJU916" s="7"/>
      <c r="DJV916" s="7"/>
      <c r="DJW916" s="7"/>
      <c r="DJX916" s="7"/>
      <c r="DJY916" s="7"/>
      <c r="DJZ916" s="7"/>
      <c r="DKA916" s="7"/>
      <c r="DKB916" s="7"/>
      <c r="DKC916" s="7"/>
      <c r="DKD916" s="7"/>
      <c r="DKE916" s="7"/>
      <c r="DKF916" s="7"/>
      <c r="DKG916" s="7"/>
      <c r="DKH916" s="7"/>
      <c r="DKI916" s="7"/>
      <c r="DKJ916" s="7"/>
      <c r="DKK916" s="7"/>
      <c r="DKL916" s="7"/>
      <c r="DKM916" s="7"/>
      <c r="DKN916" s="7"/>
      <c r="DKO916" s="7"/>
      <c r="DKP916" s="7"/>
      <c r="DKQ916" s="7"/>
      <c r="DKR916" s="7"/>
      <c r="DKS916" s="7"/>
      <c r="DKT916" s="7"/>
      <c r="DKU916" s="7"/>
      <c r="DKV916" s="7"/>
      <c r="DKW916" s="7"/>
      <c r="DKX916" s="7"/>
      <c r="DKY916" s="7"/>
      <c r="DKZ916" s="7"/>
      <c r="DLA916" s="7"/>
      <c r="DLB916" s="7"/>
      <c r="DLC916" s="7"/>
      <c r="DLD916" s="7"/>
      <c r="DLE916" s="7"/>
      <c r="DLF916" s="7"/>
      <c r="DLG916" s="7"/>
      <c r="DLH916" s="7"/>
      <c r="DLI916" s="7"/>
      <c r="DLJ916" s="7"/>
      <c r="DLK916" s="7"/>
      <c r="DLL916" s="7"/>
      <c r="DLM916" s="7"/>
      <c r="DLN916" s="7"/>
      <c r="DLO916" s="7"/>
      <c r="DLP916" s="7"/>
      <c r="DLQ916" s="7"/>
      <c r="DLR916" s="7"/>
      <c r="DLS916" s="7"/>
      <c r="DLT916" s="7"/>
      <c r="DLU916" s="7"/>
      <c r="DLV916" s="7"/>
      <c r="DLW916" s="7"/>
      <c r="DLX916" s="7"/>
      <c r="DLY916" s="7"/>
      <c r="DLZ916" s="7"/>
      <c r="DMA916" s="7"/>
      <c r="DMB916" s="7"/>
      <c r="DMC916" s="7"/>
      <c r="DMD916" s="7"/>
      <c r="DME916" s="7"/>
      <c r="DMF916" s="7"/>
      <c r="DMG916" s="7"/>
      <c r="DMH916" s="7"/>
      <c r="DMI916" s="7"/>
      <c r="DMJ916" s="7"/>
      <c r="DMK916" s="7"/>
      <c r="DML916" s="7"/>
      <c r="DMM916" s="7"/>
      <c r="DMN916" s="7"/>
      <c r="DMO916" s="7"/>
      <c r="DMP916" s="7"/>
      <c r="DMQ916" s="7"/>
      <c r="DMR916" s="7"/>
      <c r="DMS916" s="7"/>
      <c r="DMT916" s="7"/>
      <c r="DMU916" s="7"/>
      <c r="DMV916" s="7"/>
      <c r="DMW916" s="7"/>
      <c r="DMX916" s="7"/>
      <c r="DMY916" s="7"/>
      <c r="DMZ916" s="7"/>
      <c r="DNA916" s="7"/>
      <c r="DNB916" s="7"/>
      <c r="DNC916" s="7"/>
      <c r="DND916" s="7"/>
      <c r="DNE916" s="7"/>
      <c r="DNF916" s="7"/>
      <c r="DNG916" s="7"/>
      <c r="DNH916" s="7"/>
      <c r="DNI916" s="7"/>
      <c r="DNJ916" s="7"/>
      <c r="DNK916" s="7"/>
      <c r="DNL916" s="7"/>
      <c r="DNM916" s="7"/>
      <c r="DNN916" s="7"/>
      <c r="DNO916" s="7"/>
      <c r="DNP916" s="7"/>
      <c r="DNQ916" s="7"/>
      <c r="DNR916" s="7"/>
      <c r="DNS916" s="7"/>
      <c r="DNT916" s="7"/>
      <c r="DNU916" s="7"/>
      <c r="DNV916" s="7"/>
      <c r="DNW916" s="7"/>
      <c r="DNX916" s="7"/>
      <c r="DNY916" s="7"/>
      <c r="DNZ916" s="7"/>
      <c r="DOA916" s="7"/>
      <c r="DOB916" s="7"/>
      <c r="DOC916" s="7"/>
      <c r="DOD916" s="7"/>
      <c r="DOE916" s="7"/>
      <c r="DOF916" s="7"/>
      <c r="DOG916" s="7"/>
      <c r="DOH916" s="7"/>
      <c r="DOI916" s="7"/>
      <c r="DOJ916" s="7"/>
      <c r="DOK916" s="7"/>
      <c r="DOL916" s="7"/>
      <c r="DOM916" s="7"/>
      <c r="DON916" s="7"/>
      <c r="DOO916" s="7"/>
      <c r="DOP916" s="7"/>
      <c r="DOQ916" s="7"/>
      <c r="DOR916" s="7"/>
      <c r="DOS916" s="7"/>
      <c r="DOT916" s="7"/>
      <c r="DOU916" s="7"/>
      <c r="DOV916" s="7"/>
      <c r="DOW916" s="7"/>
      <c r="DOX916" s="7"/>
      <c r="DOY916" s="7"/>
      <c r="DOZ916" s="7"/>
      <c r="DPA916" s="7"/>
      <c r="DPB916" s="7"/>
      <c r="DPC916" s="7"/>
      <c r="DPD916" s="7"/>
      <c r="DPE916" s="7"/>
      <c r="DPF916" s="7"/>
      <c r="DPG916" s="7"/>
      <c r="DPH916" s="7"/>
      <c r="DPI916" s="7"/>
      <c r="DPJ916" s="7"/>
      <c r="DPK916" s="7"/>
      <c r="DPL916" s="7"/>
      <c r="DPM916" s="7"/>
      <c r="DPN916" s="7"/>
      <c r="DPO916" s="7"/>
      <c r="DPP916" s="7"/>
      <c r="DPQ916" s="7"/>
      <c r="DPR916" s="7"/>
      <c r="DPS916" s="7"/>
      <c r="DPT916" s="7"/>
      <c r="DPU916" s="7"/>
      <c r="DPV916" s="7"/>
      <c r="DPW916" s="7"/>
      <c r="DPX916" s="7"/>
      <c r="DPY916" s="7"/>
      <c r="DPZ916" s="7"/>
      <c r="DQA916" s="7"/>
      <c r="DQB916" s="7"/>
      <c r="DQC916" s="7"/>
      <c r="DQD916" s="7"/>
      <c r="DQE916" s="7"/>
      <c r="DQF916" s="7"/>
      <c r="DQG916" s="7"/>
      <c r="DQH916" s="7"/>
      <c r="DQI916" s="7"/>
      <c r="DQJ916" s="7"/>
      <c r="DQK916" s="7"/>
      <c r="DQL916" s="7"/>
      <c r="DQM916" s="7"/>
      <c r="DQN916" s="7"/>
      <c r="DQO916" s="7"/>
      <c r="DQP916" s="7"/>
      <c r="DQQ916" s="7"/>
      <c r="DQR916" s="7"/>
      <c r="DQS916" s="7"/>
      <c r="DQT916" s="7"/>
      <c r="DQU916" s="7"/>
      <c r="DQV916" s="7"/>
      <c r="DQW916" s="7"/>
      <c r="DQX916" s="7"/>
      <c r="DQY916" s="7"/>
      <c r="DQZ916" s="7"/>
      <c r="DRA916" s="7"/>
      <c r="DRB916" s="7"/>
      <c r="DRC916" s="7"/>
      <c r="DRD916" s="7"/>
      <c r="DRE916" s="7"/>
      <c r="DRF916" s="7"/>
      <c r="DRG916" s="7"/>
      <c r="DRH916" s="7"/>
      <c r="DRI916" s="7"/>
      <c r="DRJ916" s="7"/>
      <c r="DRK916" s="7"/>
      <c r="DRL916" s="7"/>
      <c r="DRM916" s="7"/>
      <c r="DRN916" s="7"/>
      <c r="DRO916" s="7"/>
      <c r="DRP916" s="7"/>
      <c r="DRQ916" s="7"/>
      <c r="DRR916" s="7"/>
      <c r="DRS916" s="7"/>
      <c r="DRT916" s="7"/>
      <c r="DRU916" s="7"/>
      <c r="DRV916" s="7"/>
      <c r="DRW916" s="7"/>
      <c r="DRX916" s="7"/>
      <c r="DRY916" s="7"/>
      <c r="DRZ916" s="7"/>
      <c r="DSA916" s="7"/>
      <c r="DSB916" s="7"/>
      <c r="DSC916" s="7"/>
      <c r="DSD916" s="7"/>
      <c r="DSE916" s="7"/>
      <c r="DSF916" s="7"/>
      <c r="DSG916" s="7"/>
      <c r="DSH916" s="7"/>
      <c r="DSI916" s="7"/>
      <c r="DSJ916" s="7"/>
      <c r="DSK916" s="7"/>
      <c r="DSL916" s="7"/>
      <c r="DSM916" s="7"/>
      <c r="DSN916" s="7"/>
      <c r="DSO916" s="7"/>
      <c r="DSP916" s="7"/>
      <c r="DSQ916" s="7"/>
      <c r="DSR916" s="7"/>
      <c r="DSS916" s="7"/>
      <c r="DST916" s="7"/>
      <c r="DSU916" s="7"/>
      <c r="DSV916" s="7"/>
      <c r="DSW916" s="7"/>
      <c r="DSX916" s="7"/>
      <c r="DSY916" s="7"/>
      <c r="DSZ916" s="7"/>
      <c r="DTA916" s="7"/>
      <c r="DTB916" s="7"/>
      <c r="DTC916" s="7"/>
      <c r="DTD916" s="7"/>
      <c r="DTE916" s="7"/>
      <c r="DTF916" s="7"/>
      <c r="DTG916" s="7"/>
      <c r="DTH916" s="7"/>
      <c r="DTI916" s="7"/>
      <c r="DTJ916" s="7"/>
      <c r="DTK916" s="7"/>
      <c r="DTL916" s="7"/>
      <c r="DTM916" s="7"/>
      <c r="DTN916" s="7"/>
      <c r="DTO916" s="7"/>
      <c r="DTP916" s="7"/>
      <c r="DTQ916" s="7"/>
      <c r="DTR916" s="7"/>
      <c r="DTS916" s="7"/>
      <c r="DTT916" s="7"/>
      <c r="DTU916" s="7"/>
      <c r="DTV916" s="7"/>
      <c r="DTW916" s="7"/>
      <c r="DTX916" s="7"/>
      <c r="DTY916" s="7"/>
      <c r="DTZ916" s="7"/>
      <c r="DUA916" s="7"/>
      <c r="DUB916" s="7"/>
      <c r="DUC916" s="7"/>
      <c r="DUD916" s="7"/>
      <c r="DUE916" s="7"/>
      <c r="DUF916" s="7"/>
      <c r="DUG916" s="7"/>
      <c r="DUH916" s="7"/>
      <c r="DUI916" s="7"/>
      <c r="DUJ916" s="7"/>
      <c r="DUK916" s="7"/>
      <c r="DUL916" s="7"/>
      <c r="DUM916" s="7"/>
      <c r="DUN916" s="7"/>
      <c r="DUO916" s="7"/>
      <c r="DUP916" s="7"/>
      <c r="DUQ916" s="7"/>
      <c r="DUR916" s="7"/>
      <c r="DUS916" s="7"/>
      <c r="DUT916" s="7"/>
      <c r="DUU916" s="7"/>
      <c r="DUV916" s="7"/>
      <c r="DUW916" s="7"/>
      <c r="DUX916" s="7"/>
      <c r="DUY916" s="7"/>
      <c r="DUZ916" s="7"/>
      <c r="DVA916" s="7"/>
      <c r="DVB916" s="7"/>
      <c r="DVC916" s="7"/>
      <c r="DVD916" s="7"/>
      <c r="DVE916" s="7"/>
      <c r="DVF916" s="7"/>
      <c r="DVG916" s="7"/>
      <c r="DVH916" s="7"/>
      <c r="DVI916" s="7"/>
      <c r="DVJ916" s="7"/>
      <c r="DVK916" s="7"/>
      <c r="DVL916" s="7"/>
      <c r="DVM916" s="7"/>
      <c r="DVN916" s="7"/>
      <c r="DVO916" s="7"/>
      <c r="DVP916" s="7"/>
      <c r="DVQ916" s="7"/>
      <c r="DVR916" s="7"/>
      <c r="DVS916" s="7"/>
      <c r="DVT916" s="7"/>
      <c r="DVU916" s="7"/>
      <c r="DVV916" s="7"/>
      <c r="DVW916" s="7"/>
      <c r="DVX916" s="7"/>
      <c r="DVY916" s="7"/>
      <c r="DVZ916" s="7"/>
      <c r="DWA916" s="7"/>
      <c r="DWB916" s="7"/>
      <c r="DWC916" s="7"/>
      <c r="DWD916" s="7"/>
      <c r="DWE916" s="7"/>
      <c r="DWF916" s="7"/>
      <c r="DWG916" s="7"/>
      <c r="DWH916" s="7"/>
      <c r="DWI916" s="7"/>
      <c r="DWJ916" s="7"/>
      <c r="DWK916" s="7"/>
      <c r="DWL916" s="7"/>
      <c r="DWM916" s="7"/>
      <c r="DWN916" s="7"/>
      <c r="DWO916" s="7"/>
      <c r="DWP916" s="7"/>
      <c r="DWQ916" s="7"/>
      <c r="DWR916" s="7"/>
      <c r="DWS916" s="7"/>
      <c r="DWT916" s="7"/>
      <c r="DWU916" s="7"/>
      <c r="DWV916" s="7"/>
      <c r="DWW916" s="7"/>
      <c r="DWX916" s="7"/>
      <c r="DWY916" s="7"/>
      <c r="DWZ916" s="7"/>
      <c r="DXA916" s="7"/>
      <c r="DXB916" s="7"/>
      <c r="DXC916" s="7"/>
      <c r="DXD916" s="7"/>
      <c r="DXE916" s="7"/>
      <c r="DXF916" s="7"/>
      <c r="DXG916" s="7"/>
      <c r="DXH916" s="7"/>
      <c r="DXI916" s="7"/>
      <c r="DXJ916" s="7"/>
      <c r="DXK916" s="7"/>
      <c r="DXL916" s="7"/>
      <c r="DXM916" s="7"/>
      <c r="DXN916" s="7"/>
      <c r="DXO916" s="7"/>
      <c r="DXP916" s="7"/>
      <c r="DXQ916" s="7"/>
      <c r="DXR916" s="7"/>
      <c r="DXS916" s="7"/>
      <c r="DXT916" s="7"/>
      <c r="DXU916" s="7"/>
      <c r="DXV916" s="7"/>
      <c r="DXW916" s="7"/>
      <c r="DXX916" s="7"/>
      <c r="DXY916" s="7"/>
      <c r="DXZ916" s="7"/>
      <c r="DYA916" s="7"/>
      <c r="DYB916" s="7"/>
      <c r="DYC916" s="7"/>
      <c r="DYD916" s="7"/>
      <c r="DYE916" s="7"/>
      <c r="DYF916" s="7"/>
      <c r="DYG916" s="7"/>
      <c r="DYH916" s="7"/>
      <c r="DYI916" s="7"/>
      <c r="DYJ916" s="7"/>
      <c r="DYK916" s="7"/>
      <c r="DYL916" s="7"/>
      <c r="DYM916" s="7"/>
      <c r="DYN916" s="7"/>
      <c r="DYO916" s="7"/>
      <c r="DYP916" s="7"/>
      <c r="DYQ916" s="7"/>
      <c r="DYR916" s="7"/>
      <c r="DYS916" s="7"/>
      <c r="DYT916" s="7"/>
      <c r="DYU916" s="7"/>
      <c r="DYV916" s="7"/>
      <c r="DYW916" s="7"/>
      <c r="DYX916" s="7"/>
      <c r="DYY916" s="7"/>
      <c r="DYZ916" s="7"/>
      <c r="DZA916" s="7"/>
      <c r="DZB916" s="7"/>
      <c r="DZC916" s="7"/>
      <c r="DZD916" s="7"/>
      <c r="DZE916" s="7"/>
      <c r="DZF916" s="7"/>
      <c r="DZG916" s="7"/>
      <c r="DZH916" s="7"/>
      <c r="DZI916" s="7"/>
      <c r="DZJ916" s="7"/>
      <c r="DZK916" s="7"/>
      <c r="DZL916" s="7"/>
      <c r="DZM916" s="7"/>
      <c r="DZN916" s="7"/>
      <c r="DZO916" s="7"/>
      <c r="DZP916" s="7"/>
      <c r="DZQ916" s="7"/>
      <c r="DZR916" s="7"/>
      <c r="DZS916" s="7"/>
      <c r="DZT916" s="7"/>
      <c r="DZU916" s="7"/>
      <c r="DZV916" s="7"/>
      <c r="DZW916" s="7"/>
      <c r="DZX916" s="7"/>
      <c r="DZY916" s="7"/>
      <c r="DZZ916" s="7"/>
      <c r="EAA916" s="7"/>
      <c r="EAB916" s="7"/>
      <c r="EAC916" s="7"/>
      <c r="EAD916" s="7"/>
      <c r="EAE916" s="7"/>
      <c r="EAF916" s="7"/>
      <c r="EAG916" s="7"/>
      <c r="EAH916" s="7"/>
      <c r="EAI916" s="7"/>
      <c r="EAJ916" s="7"/>
      <c r="EAK916" s="7"/>
      <c r="EAL916" s="7"/>
      <c r="EAM916" s="7"/>
      <c r="EAN916" s="7"/>
      <c r="EAO916" s="7"/>
      <c r="EAP916" s="7"/>
      <c r="EAQ916" s="7"/>
      <c r="EAR916" s="7"/>
      <c r="EAS916" s="7"/>
      <c r="EAT916" s="7"/>
      <c r="EAU916" s="7"/>
      <c r="EAV916" s="7"/>
      <c r="EAW916" s="7"/>
      <c r="EAX916" s="7"/>
      <c r="EAY916" s="7"/>
      <c r="EAZ916" s="7"/>
      <c r="EBA916" s="7"/>
      <c r="EBB916" s="7"/>
      <c r="EBC916" s="7"/>
      <c r="EBD916" s="7"/>
      <c r="EBE916" s="7"/>
      <c r="EBF916" s="7"/>
      <c r="EBG916" s="7"/>
      <c r="EBH916" s="7"/>
      <c r="EBI916" s="7"/>
      <c r="EBJ916" s="7"/>
      <c r="EBK916" s="7"/>
      <c r="EBL916" s="7"/>
      <c r="EBM916" s="7"/>
      <c r="EBN916" s="7"/>
      <c r="EBO916" s="7"/>
      <c r="EBP916" s="7"/>
      <c r="EBQ916" s="7"/>
      <c r="EBR916" s="7"/>
      <c r="EBS916" s="7"/>
      <c r="EBT916" s="7"/>
      <c r="EBU916" s="7"/>
      <c r="EBV916" s="7"/>
      <c r="EBW916" s="7"/>
      <c r="EBX916" s="7"/>
      <c r="EBY916" s="7"/>
      <c r="EBZ916" s="7"/>
      <c r="ECA916" s="7"/>
      <c r="ECB916" s="7"/>
      <c r="ECC916" s="7"/>
      <c r="ECD916" s="7"/>
      <c r="ECE916" s="7"/>
      <c r="ECF916" s="7"/>
      <c r="ECG916" s="7"/>
      <c r="ECH916" s="7"/>
      <c r="ECI916" s="7"/>
      <c r="ECJ916" s="7"/>
      <c r="ECK916" s="7"/>
      <c r="ECL916" s="7"/>
      <c r="ECM916" s="7"/>
      <c r="ECN916" s="7"/>
      <c r="ECO916" s="7"/>
      <c r="ECP916" s="7"/>
      <c r="ECQ916" s="7"/>
      <c r="ECR916" s="7"/>
      <c r="ECS916" s="7"/>
      <c r="ECT916" s="7"/>
      <c r="ECU916" s="7"/>
      <c r="ECV916" s="7"/>
      <c r="ECW916" s="7"/>
      <c r="ECX916" s="7"/>
      <c r="ECY916" s="7"/>
      <c r="ECZ916" s="7"/>
      <c r="EDA916" s="7"/>
      <c r="EDB916" s="7"/>
      <c r="EDC916" s="7"/>
      <c r="EDD916" s="7"/>
      <c r="EDE916" s="7"/>
      <c r="EDF916" s="7"/>
      <c r="EDG916" s="7"/>
      <c r="EDH916" s="7"/>
      <c r="EDI916" s="7"/>
      <c r="EDJ916" s="7"/>
      <c r="EDK916" s="7"/>
      <c r="EDL916" s="7"/>
      <c r="EDM916" s="7"/>
      <c r="EDN916" s="7"/>
      <c r="EDO916" s="7"/>
      <c r="EDP916" s="7"/>
      <c r="EDQ916" s="7"/>
      <c r="EDR916" s="7"/>
      <c r="EDS916" s="7"/>
      <c r="EDT916" s="7"/>
      <c r="EDU916" s="7"/>
      <c r="EDV916" s="7"/>
      <c r="EDW916" s="7"/>
      <c r="EDX916" s="7"/>
      <c r="EDY916" s="7"/>
      <c r="EDZ916" s="7"/>
      <c r="EEA916" s="7"/>
      <c r="EEB916" s="7"/>
      <c r="EEC916" s="7"/>
      <c r="EED916" s="7"/>
      <c r="EEE916" s="7"/>
      <c r="EEF916" s="7"/>
      <c r="EEG916" s="7"/>
      <c r="EEH916" s="7"/>
      <c r="EEI916" s="7"/>
      <c r="EEJ916" s="7"/>
      <c r="EEK916" s="7"/>
      <c r="EEL916" s="7"/>
      <c r="EEM916" s="7"/>
      <c r="EEN916" s="7"/>
      <c r="EEO916" s="7"/>
      <c r="EEP916" s="7"/>
      <c r="EEQ916" s="7"/>
      <c r="EER916" s="7"/>
      <c r="EES916" s="7"/>
      <c r="EET916" s="7"/>
      <c r="EEU916" s="7"/>
      <c r="EEV916" s="7"/>
      <c r="EEW916" s="7"/>
      <c r="EEX916" s="7"/>
      <c r="EEY916" s="7"/>
      <c r="EEZ916" s="7"/>
      <c r="EFA916" s="7"/>
      <c r="EFB916" s="7"/>
      <c r="EFC916" s="7"/>
      <c r="EFD916" s="7"/>
      <c r="EFE916" s="7"/>
      <c r="EFF916" s="7"/>
      <c r="EFG916" s="7"/>
      <c r="EFH916" s="7"/>
      <c r="EFI916" s="7"/>
      <c r="EFJ916" s="7"/>
      <c r="EFK916" s="7"/>
      <c r="EFL916" s="7"/>
      <c r="EFM916" s="7"/>
      <c r="EFN916" s="7"/>
      <c r="EFO916" s="7"/>
      <c r="EFP916" s="7"/>
      <c r="EFQ916" s="7"/>
      <c r="EFR916" s="7"/>
      <c r="EFS916" s="7"/>
      <c r="EFT916" s="7"/>
      <c r="EFU916" s="7"/>
      <c r="EFV916" s="7"/>
      <c r="EFW916" s="7"/>
      <c r="EFX916" s="7"/>
      <c r="EFY916" s="7"/>
      <c r="EFZ916" s="7"/>
      <c r="EGA916" s="7"/>
      <c r="EGB916" s="7"/>
      <c r="EGC916" s="7"/>
      <c r="EGD916" s="7"/>
      <c r="EGE916" s="7"/>
      <c r="EGF916" s="7"/>
      <c r="EGG916" s="7"/>
      <c r="EGH916" s="7"/>
      <c r="EGI916" s="7"/>
      <c r="EGJ916" s="7"/>
      <c r="EGK916" s="7"/>
      <c r="EGL916" s="7"/>
      <c r="EGM916" s="7"/>
      <c r="EGN916" s="7"/>
      <c r="EGO916" s="7"/>
      <c r="EGP916" s="7"/>
      <c r="EGQ916" s="7"/>
      <c r="EGR916" s="7"/>
      <c r="EGS916" s="7"/>
      <c r="EGT916" s="7"/>
      <c r="EGU916" s="7"/>
      <c r="EGV916" s="7"/>
      <c r="EGW916" s="7"/>
      <c r="EGX916" s="7"/>
      <c r="EGY916" s="7"/>
      <c r="EGZ916" s="7"/>
      <c r="EHA916" s="7"/>
      <c r="EHB916" s="7"/>
      <c r="EHC916" s="7"/>
      <c r="EHD916" s="7"/>
      <c r="EHE916" s="7"/>
      <c r="EHF916" s="7"/>
      <c r="EHG916" s="7"/>
      <c r="EHH916" s="7"/>
      <c r="EHI916" s="7"/>
      <c r="EHJ916" s="7"/>
      <c r="EHK916" s="7"/>
      <c r="EHL916" s="7"/>
      <c r="EHM916" s="7"/>
      <c r="EHN916" s="7"/>
      <c r="EHO916" s="7"/>
      <c r="EHP916" s="7"/>
      <c r="EHQ916" s="7"/>
      <c r="EHR916" s="7"/>
      <c r="EHS916" s="7"/>
      <c r="EHT916" s="7"/>
      <c r="EHU916" s="7"/>
      <c r="EHV916" s="7"/>
      <c r="EHW916" s="7"/>
      <c r="EHX916" s="7"/>
      <c r="EHY916" s="7"/>
      <c r="EHZ916" s="7"/>
      <c r="EIA916" s="7"/>
      <c r="EIB916" s="7"/>
      <c r="EIC916" s="7"/>
      <c r="EID916" s="7"/>
      <c r="EIE916" s="7"/>
      <c r="EIF916" s="7"/>
      <c r="EIG916" s="7"/>
      <c r="EIH916" s="7"/>
      <c r="EII916" s="7"/>
      <c r="EIJ916" s="7"/>
      <c r="EIK916" s="7"/>
      <c r="EIL916" s="7"/>
      <c r="EIM916" s="7"/>
      <c r="EIN916" s="7"/>
      <c r="EIO916" s="7"/>
      <c r="EIP916" s="7"/>
      <c r="EIQ916" s="7"/>
      <c r="EIR916" s="7"/>
      <c r="EIS916" s="7"/>
      <c r="EIT916" s="7"/>
      <c r="EIU916" s="7"/>
      <c r="EIV916" s="7"/>
      <c r="EIW916" s="7"/>
      <c r="EIX916" s="7"/>
      <c r="EIY916" s="7"/>
      <c r="EIZ916" s="7"/>
      <c r="EJA916" s="7"/>
      <c r="EJB916" s="7"/>
      <c r="EJC916" s="7"/>
      <c r="EJD916" s="7"/>
      <c r="EJE916" s="7"/>
      <c r="EJF916" s="7"/>
      <c r="EJG916" s="7"/>
      <c r="EJH916" s="7"/>
      <c r="EJI916" s="7"/>
      <c r="EJJ916" s="7"/>
      <c r="EJK916" s="7"/>
      <c r="EJL916" s="7"/>
      <c r="EJM916" s="7"/>
      <c r="EJN916" s="7"/>
      <c r="EJO916" s="7"/>
      <c r="EJP916" s="7"/>
      <c r="EJQ916" s="7"/>
      <c r="EJR916" s="7"/>
      <c r="EJS916" s="7"/>
      <c r="EJT916" s="7"/>
      <c r="EJU916" s="7"/>
      <c r="EJV916" s="7"/>
      <c r="EJW916" s="7"/>
      <c r="EJX916" s="7"/>
      <c r="EJY916" s="7"/>
      <c r="EJZ916" s="7"/>
      <c r="EKA916" s="7"/>
      <c r="EKB916" s="7"/>
      <c r="EKC916" s="7"/>
      <c r="EKD916" s="7"/>
      <c r="EKE916" s="7"/>
      <c r="EKF916" s="7"/>
      <c r="EKG916" s="7"/>
      <c r="EKH916" s="7"/>
      <c r="EKI916" s="7"/>
      <c r="EKJ916" s="7"/>
      <c r="EKK916" s="7"/>
      <c r="EKL916" s="7"/>
      <c r="EKM916" s="7"/>
      <c r="EKN916" s="7"/>
      <c r="EKO916" s="7"/>
      <c r="EKP916" s="7"/>
      <c r="EKQ916" s="7"/>
      <c r="EKR916" s="7"/>
      <c r="EKS916" s="7"/>
      <c r="EKT916" s="7"/>
      <c r="EKU916" s="7"/>
      <c r="EKV916" s="7"/>
      <c r="EKW916" s="7"/>
      <c r="EKX916" s="7"/>
      <c r="EKY916" s="7"/>
      <c r="EKZ916" s="7"/>
      <c r="ELA916" s="7"/>
      <c r="ELB916" s="7"/>
      <c r="ELC916" s="7"/>
      <c r="ELD916" s="7"/>
      <c r="ELE916" s="7"/>
      <c r="ELF916" s="7"/>
      <c r="ELG916" s="7"/>
      <c r="ELH916" s="7"/>
      <c r="ELI916" s="7"/>
      <c r="ELJ916" s="7"/>
      <c r="ELK916" s="7"/>
      <c r="ELL916" s="7"/>
      <c r="ELM916" s="7"/>
      <c r="ELN916" s="7"/>
      <c r="ELO916" s="7"/>
      <c r="ELP916" s="7"/>
      <c r="ELQ916" s="7"/>
      <c r="ELR916" s="7"/>
      <c r="ELS916" s="7"/>
      <c r="ELT916" s="7"/>
      <c r="ELU916" s="7"/>
      <c r="ELV916" s="7"/>
      <c r="ELW916" s="7"/>
      <c r="ELX916" s="7"/>
      <c r="ELY916" s="7"/>
      <c r="ELZ916" s="7"/>
      <c r="EMA916" s="7"/>
      <c r="EMB916" s="7"/>
      <c r="EMC916" s="7"/>
      <c r="EMD916" s="7"/>
      <c r="EME916" s="7"/>
      <c r="EMF916" s="7"/>
      <c r="EMG916" s="7"/>
      <c r="EMH916" s="7"/>
      <c r="EMI916" s="7"/>
      <c r="EMJ916" s="7"/>
      <c r="EMK916" s="7"/>
      <c r="EML916" s="7"/>
      <c r="EMM916" s="7"/>
      <c r="EMN916" s="7"/>
      <c r="EMO916" s="7"/>
      <c r="EMP916" s="7"/>
      <c r="EMQ916" s="7"/>
      <c r="EMR916" s="7"/>
      <c r="EMS916" s="7"/>
      <c r="EMT916" s="7"/>
      <c r="EMU916" s="7"/>
      <c r="EMV916" s="7"/>
      <c r="EMW916" s="7"/>
      <c r="EMX916" s="7"/>
      <c r="EMY916" s="7"/>
      <c r="EMZ916" s="7"/>
      <c r="ENA916" s="7"/>
      <c r="ENB916" s="7"/>
      <c r="ENC916" s="7"/>
      <c r="END916" s="7"/>
      <c r="ENE916" s="7"/>
      <c r="ENF916" s="7"/>
      <c r="ENG916" s="7"/>
      <c r="ENH916" s="7"/>
      <c r="ENI916" s="7"/>
      <c r="ENJ916" s="7"/>
      <c r="ENK916" s="7"/>
      <c r="ENL916" s="7"/>
      <c r="ENM916" s="7"/>
      <c r="ENN916" s="7"/>
      <c r="ENO916" s="7"/>
      <c r="ENP916" s="7"/>
      <c r="ENQ916" s="7"/>
      <c r="ENR916" s="7"/>
      <c r="ENS916" s="7"/>
      <c r="ENT916" s="7"/>
      <c r="ENU916" s="7"/>
      <c r="ENV916" s="7"/>
      <c r="ENW916" s="7"/>
      <c r="ENX916" s="7"/>
      <c r="ENY916" s="7"/>
      <c r="ENZ916" s="7"/>
      <c r="EOA916" s="7"/>
      <c r="EOB916" s="7"/>
      <c r="EOC916" s="7"/>
      <c r="EOD916" s="7"/>
      <c r="EOE916" s="7"/>
      <c r="EOF916" s="7"/>
      <c r="EOG916" s="7"/>
      <c r="EOH916" s="7"/>
      <c r="EOI916" s="7"/>
      <c r="EOJ916" s="7"/>
      <c r="EOK916" s="7"/>
      <c r="EOL916" s="7"/>
      <c r="EOM916" s="7"/>
      <c r="EON916" s="7"/>
      <c r="EOO916" s="7"/>
      <c r="EOP916" s="7"/>
      <c r="EOQ916" s="7"/>
      <c r="EOR916" s="7"/>
      <c r="EOS916" s="7"/>
      <c r="EOT916" s="7"/>
      <c r="EOU916" s="7"/>
      <c r="EOV916" s="7"/>
      <c r="EOW916" s="7"/>
      <c r="EOX916" s="7"/>
      <c r="EOY916" s="7"/>
      <c r="EOZ916" s="7"/>
      <c r="EPA916" s="7"/>
      <c r="EPB916" s="7"/>
      <c r="EPC916" s="7"/>
      <c r="EPD916" s="7"/>
      <c r="EPE916" s="7"/>
      <c r="EPF916" s="7"/>
      <c r="EPG916" s="7"/>
      <c r="EPH916" s="7"/>
      <c r="EPI916" s="7"/>
      <c r="EPJ916" s="7"/>
      <c r="EPK916" s="7"/>
      <c r="EPL916" s="7"/>
      <c r="EPM916" s="7"/>
      <c r="EPN916" s="7"/>
      <c r="EPO916" s="7"/>
      <c r="EPP916" s="7"/>
      <c r="EPQ916" s="7"/>
      <c r="EPR916" s="7"/>
      <c r="EPS916" s="7"/>
      <c r="EPT916" s="7"/>
      <c r="EPU916" s="7"/>
      <c r="EPV916" s="7"/>
      <c r="EPW916" s="7"/>
      <c r="EPX916" s="7"/>
      <c r="EPY916" s="7"/>
      <c r="EPZ916" s="7"/>
      <c r="EQA916" s="7"/>
      <c r="EQB916" s="7"/>
      <c r="EQC916" s="7"/>
      <c r="EQD916" s="7"/>
      <c r="EQE916" s="7"/>
      <c r="EQF916" s="7"/>
      <c r="EQG916" s="7"/>
      <c r="EQH916" s="7"/>
      <c r="EQI916" s="7"/>
      <c r="EQJ916" s="7"/>
      <c r="EQK916" s="7"/>
      <c r="EQL916" s="7"/>
      <c r="EQM916" s="7"/>
      <c r="EQN916" s="7"/>
      <c r="EQO916" s="7"/>
      <c r="EQP916" s="7"/>
      <c r="EQQ916" s="7"/>
      <c r="EQR916" s="7"/>
      <c r="EQS916" s="7"/>
      <c r="EQT916" s="7"/>
      <c r="EQU916" s="7"/>
      <c r="EQV916" s="7"/>
      <c r="EQW916" s="7"/>
      <c r="EQX916" s="7"/>
      <c r="EQY916" s="7"/>
      <c r="EQZ916" s="7"/>
      <c r="ERA916" s="7"/>
      <c r="ERB916" s="7"/>
      <c r="ERC916" s="7"/>
      <c r="ERD916" s="7"/>
      <c r="ERE916" s="7"/>
      <c r="ERF916" s="7"/>
      <c r="ERG916" s="7"/>
      <c r="ERH916" s="7"/>
      <c r="ERI916" s="7"/>
      <c r="ERJ916" s="7"/>
      <c r="ERK916" s="7"/>
      <c r="ERL916" s="7"/>
      <c r="ERM916" s="7"/>
      <c r="ERN916" s="7"/>
      <c r="ERO916" s="7"/>
      <c r="ERP916" s="7"/>
      <c r="ERQ916" s="7"/>
      <c r="ERR916" s="7"/>
      <c r="ERS916" s="7"/>
      <c r="ERT916" s="7"/>
      <c r="ERU916" s="7"/>
      <c r="ERV916" s="7"/>
      <c r="ERW916" s="7"/>
      <c r="ERX916" s="7"/>
      <c r="ERY916" s="7"/>
      <c r="ERZ916" s="7"/>
      <c r="ESA916" s="7"/>
      <c r="ESB916" s="7"/>
      <c r="ESC916" s="7"/>
      <c r="ESD916" s="7"/>
      <c r="ESE916" s="7"/>
      <c r="ESF916" s="7"/>
      <c r="ESG916" s="7"/>
      <c r="ESH916" s="7"/>
      <c r="ESI916" s="7"/>
      <c r="ESJ916" s="7"/>
      <c r="ESK916" s="7"/>
      <c r="ESL916" s="7"/>
      <c r="ESM916" s="7"/>
      <c r="ESN916" s="7"/>
      <c r="ESO916" s="7"/>
      <c r="ESP916" s="7"/>
      <c r="ESQ916" s="7"/>
      <c r="ESR916" s="7"/>
      <c r="ESS916" s="7"/>
      <c r="EST916" s="7"/>
      <c r="ESU916" s="7"/>
      <c r="ESV916" s="7"/>
      <c r="ESW916" s="7"/>
      <c r="ESX916" s="7"/>
      <c r="ESY916" s="7"/>
      <c r="ESZ916" s="7"/>
      <c r="ETA916" s="7"/>
      <c r="ETB916" s="7"/>
      <c r="ETC916" s="7"/>
      <c r="ETD916" s="7"/>
      <c r="ETE916" s="7"/>
      <c r="ETF916" s="7"/>
      <c r="ETG916" s="7"/>
      <c r="ETH916" s="7"/>
      <c r="ETI916" s="7"/>
      <c r="ETJ916" s="7"/>
      <c r="ETK916" s="7"/>
      <c r="ETL916" s="7"/>
      <c r="ETM916" s="7"/>
      <c r="ETN916" s="7"/>
      <c r="ETO916" s="7"/>
      <c r="ETP916" s="7"/>
      <c r="ETQ916" s="7"/>
      <c r="ETR916" s="7"/>
      <c r="ETS916" s="7"/>
      <c r="ETT916" s="7"/>
      <c r="ETU916" s="7"/>
      <c r="ETV916" s="7"/>
      <c r="ETW916" s="7"/>
      <c r="ETX916" s="7"/>
      <c r="ETY916" s="7"/>
      <c r="ETZ916" s="7"/>
      <c r="EUA916" s="7"/>
      <c r="EUB916" s="7"/>
      <c r="EUC916" s="7"/>
      <c r="EUD916" s="7"/>
      <c r="EUE916" s="7"/>
      <c r="EUF916" s="7"/>
      <c r="EUG916" s="7"/>
      <c r="EUH916" s="7"/>
      <c r="EUI916" s="7"/>
      <c r="EUJ916" s="7"/>
      <c r="EUK916" s="7"/>
      <c r="EUL916" s="7"/>
      <c r="EUM916" s="7"/>
      <c r="EUN916" s="7"/>
      <c r="EUO916" s="7"/>
      <c r="EUP916" s="7"/>
      <c r="EUQ916" s="7"/>
      <c r="EUR916" s="7"/>
      <c r="EUS916" s="7"/>
      <c r="EUT916" s="7"/>
      <c r="EUU916" s="7"/>
      <c r="EUV916" s="7"/>
      <c r="EUW916" s="7"/>
      <c r="EUX916" s="7"/>
      <c r="EUY916" s="7"/>
      <c r="EUZ916" s="7"/>
      <c r="EVA916" s="7"/>
      <c r="EVB916" s="7"/>
      <c r="EVC916" s="7"/>
      <c r="EVD916" s="7"/>
      <c r="EVE916" s="7"/>
      <c r="EVF916" s="7"/>
      <c r="EVG916" s="7"/>
      <c r="EVH916" s="7"/>
      <c r="EVI916" s="7"/>
      <c r="EVJ916" s="7"/>
      <c r="EVK916" s="7"/>
      <c r="EVL916" s="7"/>
      <c r="EVM916" s="7"/>
      <c r="EVN916" s="7"/>
      <c r="EVO916" s="7"/>
      <c r="EVP916" s="7"/>
      <c r="EVQ916" s="7"/>
      <c r="EVR916" s="7"/>
      <c r="EVS916" s="7"/>
      <c r="EVT916" s="7"/>
      <c r="EVU916" s="7"/>
      <c r="EVV916" s="7"/>
      <c r="EVW916" s="7"/>
      <c r="EVX916" s="7"/>
      <c r="EVY916" s="7"/>
      <c r="EVZ916" s="7"/>
      <c r="EWA916" s="7"/>
      <c r="EWB916" s="7"/>
      <c r="EWC916" s="7"/>
      <c r="EWD916" s="7"/>
      <c r="EWE916" s="7"/>
      <c r="EWF916" s="7"/>
      <c r="EWG916" s="7"/>
      <c r="EWH916" s="7"/>
      <c r="EWI916" s="7"/>
      <c r="EWJ916" s="7"/>
      <c r="EWK916" s="7"/>
      <c r="EWL916" s="7"/>
      <c r="EWM916" s="7"/>
      <c r="EWN916" s="7"/>
      <c r="EWO916" s="7"/>
      <c r="EWP916" s="7"/>
      <c r="EWQ916" s="7"/>
      <c r="EWR916" s="7"/>
      <c r="EWS916" s="7"/>
      <c r="EWT916" s="7"/>
      <c r="EWU916" s="7"/>
      <c r="EWV916" s="7"/>
      <c r="EWW916" s="7"/>
      <c r="EWX916" s="7"/>
      <c r="EWY916" s="7"/>
      <c r="EWZ916" s="7"/>
      <c r="EXA916" s="7"/>
      <c r="EXB916" s="7"/>
      <c r="EXC916" s="7"/>
      <c r="EXD916" s="7"/>
      <c r="EXE916" s="7"/>
      <c r="EXF916" s="7"/>
      <c r="EXG916" s="7"/>
      <c r="EXH916" s="7"/>
      <c r="EXI916" s="7"/>
      <c r="EXJ916" s="7"/>
      <c r="EXK916" s="7"/>
      <c r="EXL916" s="7"/>
      <c r="EXM916" s="7"/>
      <c r="EXN916" s="7"/>
      <c r="EXO916" s="7"/>
      <c r="EXP916" s="7"/>
      <c r="EXQ916" s="7"/>
      <c r="EXR916" s="7"/>
      <c r="EXS916" s="7"/>
      <c r="EXT916" s="7"/>
      <c r="EXU916" s="7"/>
      <c r="EXV916" s="7"/>
      <c r="EXW916" s="7"/>
      <c r="EXX916" s="7"/>
      <c r="EXY916" s="7"/>
      <c r="EXZ916" s="7"/>
      <c r="EYA916" s="7"/>
      <c r="EYB916" s="7"/>
      <c r="EYC916" s="7"/>
      <c r="EYD916" s="7"/>
      <c r="EYE916" s="7"/>
      <c r="EYF916" s="7"/>
      <c r="EYG916" s="7"/>
      <c r="EYH916" s="7"/>
      <c r="EYI916" s="7"/>
      <c r="EYJ916" s="7"/>
      <c r="EYK916" s="7"/>
      <c r="EYL916" s="7"/>
      <c r="EYM916" s="7"/>
      <c r="EYN916" s="7"/>
      <c r="EYO916" s="7"/>
      <c r="EYP916" s="7"/>
      <c r="EYQ916" s="7"/>
      <c r="EYR916" s="7"/>
      <c r="EYS916" s="7"/>
      <c r="EYT916" s="7"/>
      <c r="EYU916" s="7"/>
      <c r="EYV916" s="7"/>
      <c r="EYW916" s="7"/>
      <c r="EYX916" s="7"/>
      <c r="EYY916" s="7"/>
      <c r="EYZ916" s="7"/>
      <c r="EZA916" s="7"/>
      <c r="EZB916" s="7"/>
      <c r="EZC916" s="7"/>
      <c r="EZD916" s="7"/>
      <c r="EZE916" s="7"/>
      <c r="EZF916" s="7"/>
      <c r="EZG916" s="7"/>
      <c r="EZH916" s="7"/>
      <c r="EZI916" s="7"/>
      <c r="EZJ916" s="7"/>
      <c r="EZK916" s="7"/>
      <c r="EZL916" s="7"/>
      <c r="EZM916" s="7"/>
      <c r="EZN916" s="7"/>
      <c r="EZO916" s="7"/>
      <c r="EZP916" s="7"/>
      <c r="EZQ916" s="7"/>
      <c r="EZR916" s="7"/>
      <c r="EZS916" s="7"/>
      <c r="EZT916" s="7"/>
      <c r="EZU916" s="7"/>
      <c r="EZV916" s="7"/>
      <c r="EZW916" s="7"/>
      <c r="EZX916" s="7"/>
      <c r="EZY916" s="7"/>
      <c r="EZZ916" s="7"/>
      <c r="FAA916" s="7"/>
      <c r="FAB916" s="7"/>
      <c r="FAC916" s="7"/>
      <c r="FAD916" s="7"/>
      <c r="FAE916" s="7"/>
      <c r="FAF916" s="7"/>
      <c r="FAG916" s="7"/>
      <c r="FAH916" s="7"/>
      <c r="FAI916" s="7"/>
      <c r="FAJ916" s="7"/>
      <c r="FAK916" s="7"/>
      <c r="FAL916" s="7"/>
      <c r="FAM916" s="7"/>
      <c r="FAN916" s="7"/>
      <c r="FAO916" s="7"/>
      <c r="FAP916" s="7"/>
      <c r="FAQ916" s="7"/>
      <c r="FAR916" s="7"/>
      <c r="FAS916" s="7"/>
      <c r="FAT916" s="7"/>
      <c r="FAU916" s="7"/>
      <c r="FAV916" s="7"/>
      <c r="FAW916" s="7"/>
      <c r="FAX916" s="7"/>
      <c r="FAY916" s="7"/>
      <c r="FAZ916" s="7"/>
      <c r="FBA916" s="7"/>
      <c r="FBB916" s="7"/>
      <c r="FBC916" s="7"/>
      <c r="FBD916" s="7"/>
      <c r="FBE916" s="7"/>
      <c r="FBF916" s="7"/>
      <c r="FBG916" s="7"/>
      <c r="FBH916" s="7"/>
      <c r="FBI916" s="7"/>
      <c r="FBJ916" s="7"/>
      <c r="FBK916" s="7"/>
      <c r="FBL916" s="7"/>
      <c r="FBM916" s="7"/>
      <c r="FBN916" s="7"/>
      <c r="FBO916" s="7"/>
      <c r="FBP916" s="7"/>
      <c r="FBQ916" s="7"/>
      <c r="FBR916" s="7"/>
      <c r="FBS916" s="7"/>
      <c r="FBT916" s="7"/>
      <c r="FBU916" s="7"/>
      <c r="FBV916" s="7"/>
      <c r="FBW916" s="7"/>
      <c r="FBX916" s="7"/>
      <c r="FBY916" s="7"/>
      <c r="FBZ916" s="7"/>
      <c r="FCA916" s="7"/>
      <c r="FCB916" s="7"/>
      <c r="FCC916" s="7"/>
      <c r="FCD916" s="7"/>
      <c r="FCE916" s="7"/>
      <c r="FCF916" s="7"/>
      <c r="FCG916" s="7"/>
      <c r="FCH916" s="7"/>
      <c r="FCI916" s="7"/>
      <c r="FCJ916" s="7"/>
      <c r="FCK916" s="7"/>
      <c r="FCL916" s="7"/>
      <c r="FCM916" s="7"/>
      <c r="FCN916" s="7"/>
      <c r="FCO916" s="7"/>
      <c r="FCP916" s="7"/>
      <c r="FCQ916" s="7"/>
      <c r="FCR916" s="7"/>
      <c r="FCS916" s="7"/>
      <c r="FCT916" s="7"/>
      <c r="FCU916" s="7"/>
      <c r="FCV916" s="7"/>
      <c r="FCW916" s="7"/>
      <c r="FCX916" s="7"/>
      <c r="FCY916" s="7"/>
      <c r="FCZ916" s="7"/>
      <c r="FDA916" s="7"/>
      <c r="FDB916" s="7"/>
      <c r="FDC916" s="7"/>
      <c r="FDD916" s="7"/>
      <c r="FDE916" s="7"/>
      <c r="FDF916" s="7"/>
      <c r="FDG916" s="7"/>
      <c r="FDH916" s="7"/>
      <c r="FDI916" s="7"/>
      <c r="FDJ916" s="7"/>
      <c r="FDK916" s="7"/>
      <c r="FDL916" s="7"/>
      <c r="FDM916" s="7"/>
      <c r="FDN916" s="7"/>
      <c r="FDO916" s="7"/>
      <c r="FDP916" s="7"/>
      <c r="FDQ916" s="7"/>
      <c r="FDR916" s="7"/>
      <c r="FDS916" s="7"/>
      <c r="FDT916" s="7"/>
      <c r="FDU916" s="7"/>
      <c r="FDV916" s="7"/>
      <c r="FDW916" s="7"/>
      <c r="FDX916" s="7"/>
      <c r="FDY916" s="7"/>
      <c r="FDZ916" s="7"/>
      <c r="FEA916" s="7"/>
      <c r="FEB916" s="7"/>
      <c r="FEC916" s="7"/>
      <c r="FED916" s="7"/>
      <c r="FEE916" s="7"/>
      <c r="FEF916" s="7"/>
      <c r="FEG916" s="7"/>
      <c r="FEH916" s="7"/>
      <c r="FEI916" s="7"/>
      <c r="FEJ916" s="7"/>
      <c r="FEK916" s="7"/>
      <c r="FEL916" s="7"/>
      <c r="FEM916" s="7"/>
      <c r="FEN916" s="7"/>
      <c r="FEO916" s="7"/>
      <c r="FEP916" s="7"/>
      <c r="FEQ916" s="7"/>
      <c r="FER916" s="7"/>
      <c r="FES916" s="7"/>
      <c r="FET916" s="7"/>
      <c r="FEU916" s="7"/>
      <c r="FEV916" s="7"/>
      <c r="FEW916" s="7"/>
      <c r="FEX916" s="7"/>
      <c r="FEY916" s="7"/>
      <c r="FEZ916" s="7"/>
      <c r="FFA916" s="7"/>
      <c r="FFB916" s="7"/>
      <c r="FFC916" s="7"/>
      <c r="FFD916" s="7"/>
      <c r="FFE916" s="7"/>
      <c r="FFF916" s="7"/>
      <c r="FFG916" s="7"/>
      <c r="FFH916" s="7"/>
      <c r="FFI916" s="7"/>
      <c r="FFJ916" s="7"/>
      <c r="FFK916" s="7"/>
      <c r="FFL916" s="7"/>
      <c r="FFM916" s="7"/>
      <c r="FFN916" s="7"/>
      <c r="FFO916" s="7"/>
      <c r="FFP916" s="7"/>
      <c r="FFQ916" s="7"/>
      <c r="FFR916" s="7"/>
      <c r="FFS916" s="7"/>
      <c r="FFT916" s="7"/>
      <c r="FFU916" s="7"/>
      <c r="FFV916" s="7"/>
      <c r="FFW916" s="7"/>
      <c r="FFX916" s="7"/>
      <c r="FFY916" s="7"/>
      <c r="FFZ916" s="7"/>
      <c r="FGA916" s="7"/>
      <c r="FGB916" s="7"/>
      <c r="FGC916" s="7"/>
      <c r="FGD916" s="7"/>
      <c r="FGE916" s="7"/>
      <c r="FGF916" s="7"/>
      <c r="FGG916" s="7"/>
      <c r="FGH916" s="7"/>
      <c r="FGI916" s="7"/>
      <c r="FGJ916" s="7"/>
      <c r="FGK916" s="7"/>
      <c r="FGL916" s="7"/>
      <c r="FGM916" s="7"/>
      <c r="FGN916" s="7"/>
      <c r="FGO916" s="7"/>
      <c r="FGP916" s="7"/>
      <c r="FGQ916" s="7"/>
      <c r="FGR916" s="7"/>
      <c r="FGS916" s="7"/>
      <c r="FGT916" s="7"/>
      <c r="FGU916" s="7"/>
      <c r="FGV916" s="7"/>
      <c r="FGW916" s="7"/>
      <c r="FGX916" s="7"/>
      <c r="FGY916" s="7"/>
      <c r="FGZ916" s="7"/>
      <c r="FHA916" s="7"/>
      <c r="FHB916" s="7"/>
      <c r="FHC916" s="7"/>
      <c r="FHD916" s="7"/>
      <c r="FHE916" s="7"/>
      <c r="FHF916" s="7"/>
      <c r="FHG916" s="7"/>
      <c r="FHH916" s="7"/>
      <c r="FHI916" s="7"/>
      <c r="FHJ916" s="7"/>
      <c r="FHK916" s="7"/>
      <c r="FHL916" s="7"/>
      <c r="FHM916" s="7"/>
      <c r="FHN916" s="7"/>
      <c r="FHO916" s="7"/>
      <c r="FHP916" s="7"/>
      <c r="FHQ916" s="7"/>
      <c r="FHR916" s="7"/>
      <c r="FHS916" s="7"/>
      <c r="FHT916" s="7"/>
      <c r="FHU916" s="7"/>
      <c r="FHV916" s="7"/>
      <c r="FHW916" s="7"/>
      <c r="FHX916" s="7"/>
      <c r="FHY916" s="7"/>
      <c r="FHZ916" s="7"/>
      <c r="FIA916" s="7"/>
      <c r="FIB916" s="7"/>
      <c r="FIC916" s="7"/>
      <c r="FID916" s="7"/>
      <c r="FIE916" s="7"/>
      <c r="FIF916" s="7"/>
      <c r="FIG916" s="7"/>
      <c r="FIH916" s="7"/>
      <c r="FII916" s="7"/>
      <c r="FIJ916" s="7"/>
      <c r="FIK916" s="7"/>
      <c r="FIL916" s="7"/>
      <c r="FIM916" s="7"/>
      <c r="FIN916" s="7"/>
      <c r="FIO916" s="7"/>
      <c r="FIP916" s="7"/>
      <c r="FIQ916" s="7"/>
      <c r="FIR916" s="7"/>
      <c r="FIS916" s="7"/>
      <c r="FIT916" s="7"/>
      <c r="FIU916" s="7"/>
      <c r="FIV916" s="7"/>
      <c r="FIW916" s="7"/>
      <c r="FIX916" s="7"/>
      <c r="FIY916" s="7"/>
      <c r="FIZ916" s="7"/>
      <c r="FJA916" s="7"/>
      <c r="FJB916" s="7"/>
      <c r="FJC916" s="7"/>
      <c r="FJD916" s="7"/>
      <c r="FJE916" s="7"/>
      <c r="FJF916" s="7"/>
      <c r="FJG916" s="7"/>
      <c r="FJH916" s="7"/>
      <c r="FJI916" s="7"/>
      <c r="FJJ916" s="7"/>
      <c r="FJK916" s="7"/>
      <c r="FJL916" s="7"/>
      <c r="FJM916" s="7"/>
      <c r="FJN916" s="7"/>
      <c r="FJO916" s="7"/>
      <c r="FJP916" s="7"/>
      <c r="FJQ916" s="7"/>
      <c r="FJR916" s="7"/>
      <c r="FJS916" s="7"/>
      <c r="FJT916" s="7"/>
      <c r="FJU916" s="7"/>
      <c r="FJV916" s="7"/>
      <c r="FJW916" s="7"/>
      <c r="FJX916" s="7"/>
      <c r="FJY916" s="7"/>
      <c r="FJZ916" s="7"/>
      <c r="FKA916" s="7"/>
      <c r="FKB916" s="7"/>
      <c r="FKC916" s="7"/>
      <c r="FKD916" s="7"/>
      <c r="FKE916" s="7"/>
      <c r="FKF916" s="7"/>
      <c r="FKG916" s="7"/>
      <c r="FKH916" s="7"/>
      <c r="FKI916" s="7"/>
      <c r="FKJ916" s="7"/>
      <c r="FKK916" s="7"/>
      <c r="FKL916" s="7"/>
      <c r="FKM916" s="7"/>
      <c r="FKN916" s="7"/>
      <c r="FKO916" s="7"/>
      <c r="FKP916" s="7"/>
      <c r="FKQ916" s="7"/>
      <c r="FKR916" s="7"/>
      <c r="FKS916" s="7"/>
      <c r="FKT916" s="7"/>
      <c r="FKU916" s="7"/>
      <c r="FKV916" s="7"/>
      <c r="FKW916" s="7"/>
      <c r="FKX916" s="7"/>
      <c r="FKY916" s="7"/>
      <c r="FKZ916" s="7"/>
      <c r="FLA916" s="7"/>
      <c r="FLB916" s="7"/>
      <c r="FLC916" s="7"/>
      <c r="FLD916" s="7"/>
      <c r="FLE916" s="7"/>
      <c r="FLF916" s="7"/>
      <c r="FLG916" s="7"/>
      <c r="FLH916" s="7"/>
      <c r="FLI916" s="7"/>
      <c r="FLJ916" s="7"/>
      <c r="FLK916" s="7"/>
      <c r="FLL916" s="7"/>
      <c r="FLM916" s="7"/>
      <c r="FLN916" s="7"/>
      <c r="FLO916" s="7"/>
      <c r="FLP916" s="7"/>
      <c r="FLQ916" s="7"/>
      <c r="FLR916" s="7"/>
      <c r="FLS916" s="7"/>
      <c r="FLT916" s="7"/>
      <c r="FLU916" s="7"/>
      <c r="FLV916" s="7"/>
      <c r="FLW916" s="7"/>
      <c r="FLX916" s="7"/>
      <c r="FLY916" s="7"/>
      <c r="FLZ916" s="7"/>
      <c r="FMA916" s="7"/>
      <c r="FMB916" s="7"/>
      <c r="FMC916" s="7"/>
      <c r="FMD916" s="7"/>
      <c r="FME916" s="7"/>
      <c r="FMF916" s="7"/>
      <c r="FMG916" s="7"/>
      <c r="FMH916" s="7"/>
      <c r="FMI916" s="7"/>
      <c r="FMJ916" s="7"/>
      <c r="FMK916" s="7"/>
      <c r="FML916" s="7"/>
      <c r="FMM916" s="7"/>
      <c r="FMN916" s="7"/>
      <c r="FMO916" s="7"/>
      <c r="FMP916" s="7"/>
      <c r="FMQ916" s="7"/>
      <c r="FMR916" s="7"/>
      <c r="FMS916" s="7"/>
      <c r="FMT916" s="7"/>
      <c r="FMU916" s="7"/>
      <c r="FMV916" s="7"/>
      <c r="FMW916" s="7"/>
      <c r="FMX916" s="7"/>
      <c r="FMY916" s="7"/>
      <c r="FMZ916" s="7"/>
      <c r="FNA916" s="7"/>
      <c r="FNB916" s="7"/>
      <c r="FNC916" s="7"/>
      <c r="FND916" s="7"/>
      <c r="FNE916" s="7"/>
      <c r="FNF916" s="7"/>
      <c r="FNG916" s="7"/>
      <c r="FNH916" s="7"/>
      <c r="FNI916" s="7"/>
      <c r="FNJ916" s="7"/>
      <c r="FNK916" s="7"/>
      <c r="FNL916" s="7"/>
      <c r="FNM916" s="7"/>
      <c r="FNN916" s="7"/>
      <c r="FNO916" s="7"/>
      <c r="FNP916" s="7"/>
      <c r="FNQ916" s="7"/>
      <c r="FNR916" s="7"/>
      <c r="FNS916" s="7"/>
      <c r="FNT916" s="7"/>
      <c r="FNU916" s="7"/>
      <c r="FNV916" s="7"/>
      <c r="FNW916" s="7"/>
      <c r="FNX916" s="7"/>
      <c r="FNY916" s="7"/>
      <c r="FNZ916" s="7"/>
      <c r="FOA916" s="7"/>
      <c r="FOB916" s="7"/>
      <c r="FOC916" s="7"/>
      <c r="FOD916" s="7"/>
      <c r="FOE916" s="7"/>
      <c r="FOF916" s="7"/>
      <c r="FOG916" s="7"/>
      <c r="FOH916" s="7"/>
      <c r="FOI916" s="7"/>
      <c r="FOJ916" s="7"/>
      <c r="FOK916" s="7"/>
      <c r="FOL916" s="7"/>
      <c r="FOM916" s="7"/>
      <c r="FON916" s="7"/>
      <c r="FOO916" s="7"/>
      <c r="FOP916" s="7"/>
      <c r="FOQ916" s="7"/>
      <c r="FOR916" s="7"/>
      <c r="FOS916" s="7"/>
      <c r="FOT916" s="7"/>
      <c r="FOU916" s="7"/>
      <c r="FOV916" s="7"/>
      <c r="FOW916" s="7"/>
      <c r="FOX916" s="7"/>
      <c r="FOY916" s="7"/>
      <c r="FOZ916" s="7"/>
      <c r="FPA916" s="7"/>
      <c r="FPB916" s="7"/>
      <c r="FPC916" s="7"/>
      <c r="FPD916" s="7"/>
      <c r="FPE916" s="7"/>
      <c r="FPF916" s="7"/>
      <c r="FPG916" s="7"/>
      <c r="FPH916" s="7"/>
      <c r="FPI916" s="7"/>
      <c r="FPJ916" s="7"/>
      <c r="FPK916" s="7"/>
      <c r="FPL916" s="7"/>
      <c r="FPM916" s="7"/>
      <c r="FPN916" s="7"/>
      <c r="FPO916" s="7"/>
      <c r="FPP916" s="7"/>
      <c r="FPQ916" s="7"/>
      <c r="FPR916" s="7"/>
      <c r="FPS916" s="7"/>
      <c r="FPT916" s="7"/>
      <c r="FPU916" s="7"/>
      <c r="FPV916" s="7"/>
      <c r="FPW916" s="7"/>
      <c r="FPX916" s="7"/>
      <c r="FPY916" s="7"/>
      <c r="FPZ916" s="7"/>
      <c r="FQA916" s="7"/>
      <c r="FQB916" s="7"/>
      <c r="FQC916" s="7"/>
      <c r="FQD916" s="7"/>
      <c r="FQE916" s="7"/>
      <c r="FQF916" s="7"/>
      <c r="FQG916" s="7"/>
      <c r="FQH916" s="7"/>
      <c r="FQI916" s="7"/>
      <c r="FQJ916" s="7"/>
      <c r="FQK916" s="7"/>
      <c r="FQL916" s="7"/>
      <c r="FQM916" s="7"/>
      <c r="FQN916" s="7"/>
      <c r="FQO916" s="7"/>
      <c r="FQP916" s="7"/>
      <c r="FQQ916" s="7"/>
      <c r="FQR916" s="7"/>
      <c r="FQS916" s="7"/>
      <c r="FQT916" s="7"/>
      <c r="FQU916" s="7"/>
      <c r="FQV916" s="7"/>
      <c r="FQW916" s="7"/>
      <c r="FQX916" s="7"/>
      <c r="FQY916" s="7"/>
      <c r="FQZ916" s="7"/>
      <c r="FRA916" s="7"/>
      <c r="FRB916" s="7"/>
      <c r="FRC916" s="7"/>
      <c r="FRD916" s="7"/>
      <c r="FRE916" s="7"/>
      <c r="FRF916" s="7"/>
      <c r="FRG916" s="7"/>
      <c r="FRH916" s="7"/>
      <c r="FRI916" s="7"/>
      <c r="FRJ916" s="7"/>
      <c r="FRK916" s="7"/>
      <c r="FRL916" s="7"/>
      <c r="FRM916" s="7"/>
      <c r="FRN916" s="7"/>
      <c r="FRO916" s="7"/>
      <c r="FRP916" s="7"/>
      <c r="FRQ916" s="7"/>
      <c r="FRR916" s="7"/>
      <c r="FRS916" s="7"/>
      <c r="FRT916" s="7"/>
      <c r="FRU916" s="7"/>
      <c r="FRV916" s="7"/>
      <c r="FRW916" s="7"/>
      <c r="FRX916" s="7"/>
      <c r="FRY916" s="7"/>
      <c r="FRZ916" s="7"/>
      <c r="FSA916" s="7"/>
      <c r="FSB916" s="7"/>
      <c r="FSC916" s="7"/>
      <c r="FSD916" s="7"/>
      <c r="FSE916" s="7"/>
      <c r="FSF916" s="7"/>
      <c r="FSG916" s="7"/>
      <c r="FSH916" s="7"/>
      <c r="FSI916" s="7"/>
      <c r="FSJ916" s="7"/>
      <c r="FSK916" s="7"/>
      <c r="FSL916" s="7"/>
      <c r="FSM916" s="7"/>
      <c r="FSN916" s="7"/>
      <c r="FSO916" s="7"/>
      <c r="FSP916" s="7"/>
      <c r="FSQ916" s="7"/>
      <c r="FSR916" s="7"/>
      <c r="FSS916" s="7"/>
      <c r="FST916" s="7"/>
      <c r="FSU916" s="7"/>
      <c r="FSV916" s="7"/>
      <c r="FSW916" s="7"/>
      <c r="FSX916" s="7"/>
      <c r="FSY916" s="7"/>
      <c r="FSZ916" s="7"/>
      <c r="FTA916" s="7"/>
      <c r="FTB916" s="7"/>
      <c r="FTC916" s="7"/>
      <c r="FTD916" s="7"/>
      <c r="FTE916" s="7"/>
      <c r="FTF916" s="7"/>
      <c r="FTG916" s="7"/>
      <c r="FTH916" s="7"/>
      <c r="FTI916" s="7"/>
      <c r="FTJ916" s="7"/>
      <c r="FTK916" s="7"/>
      <c r="FTL916" s="7"/>
      <c r="FTM916" s="7"/>
      <c r="FTN916" s="7"/>
      <c r="FTO916" s="7"/>
      <c r="FTP916" s="7"/>
      <c r="FTQ916" s="7"/>
      <c r="FTR916" s="7"/>
      <c r="FTS916" s="7"/>
      <c r="FTT916" s="7"/>
      <c r="FTU916" s="7"/>
      <c r="FTV916" s="7"/>
      <c r="FTW916" s="7"/>
      <c r="FTX916" s="7"/>
      <c r="FTY916" s="7"/>
      <c r="FTZ916" s="7"/>
      <c r="FUA916" s="7"/>
      <c r="FUB916" s="7"/>
      <c r="FUC916" s="7"/>
      <c r="FUD916" s="7"/>
      <c r="FUE916" s="7"/>
      <c r="FUF916" s="7"/>
      <c r="FUG916" s="7"/>
      <c r="FUH916" s="7"/>
      <c r="FUI916" s="7"/>
      <c r="FUJ916" s="7"/>
      <c r="FUK916" s="7"/>
      <c r="FUL916" s="7"/>
      <c r="FUM916" s="7"/>
      <c r="FUN916" s="7"/>
      <c r="FUO916" s="7"/>
      <c r="FUP916" s="7"/>
      <c r="FUQ916" s="7"/>
      <c r="FUR916" s="7"/>
      <c r="FUS916" s="7"/>
      <c r="FUT916" s="7"/>
      <c r="FUU916" s="7"/>
      <c r="FUV916" s="7"/>
      <c r="FUW916" s="7"/>
      <c r="FUX916" s="7"/>
      <c r="FUY916" s="7"/>
      <c r="FUZ916" s="7"/>
      <c r="FVA916" s="7"/>
      <c r="FVB916" s="7"/>
      <c r="FVC916" s="7"/>
      <c r="FVD916" s="7"/>
      <c r="FVE916" s="7"/>
      <c r="FVF916" s="7"/>
      <c r="FVG916" s="7"/>
      <c r="FVH916" s="7"/>
      <c r="FVI916" s="7"/>
      <c r="FVJ916" s="7"/>
      <c r="FVK916" s="7"/>
      <c r="FVL916" s="7"/>
      <c r="FVM916" s="7"/>
      <c r="FVN916" s="7"/>
      <c r="FVO916" s="7"/>
      <c r="FVP916" s="7"/>
      <c r="FVQ916" s="7"/>
      <c r="FVR916" s="7"/>
      <c r="FVS916" s="7"/>
      <c r="FVT916" s="7"/>
      <c r="FVU916" s="7"/>
      <c r="FVV916" s="7"/>
      <c r="FVW916" s="7"/>
      <c r="FVX916" s="7"/>
      <c r="FVY916" s="7"/>
      <c r="FVZ916" s="7"/>
      <c r="FWA916" s="7"/>
      <c r="FWB916" s="7"/>
      <c r="FWC916" s="7"/>
      <c r="FWD916" s="7"/>
      <c r="FWE916" s="7"/>
      <c r="FWF916" s="7"/>
      <c r="FWG916" s="7"/>
      <c r="FWH916" s="7"/>
      <c r="FWI916" s="7"/>
      <c r="FWJ916" s="7"/>
      <c r="FWK916" s="7"/>
      <c r="FWL916" s="7"/>
      <c r="FWM916" s="7"/>
      <c r="FWN916" s="7"/>
      <c r="FWO916" s="7"/>
      <c r="FWP916" s="7"/>
      <c r="FWQ916" s="7"/>
      <c r="FWR916" s="7"/>
      <c r="FWS916" s="7"/>
      <c r="FWT916" s="7"/>
      <c r="FWU916" s="7"/>
      <c r="FWV916" s="7"/>
      <c r="FWW916" s="7"/>
      <c r="FWX916" s="7"/>
      <c r="FWY916" s="7"/>
      <c r="FWZ916" s="7"/>
      <c r="FXA916" s="7"/>
      <c r="FXB916" s="7"/>
      <c r="FXC916" s="7"/>
      <c r="FXD916" s="7"/>
      <c r="FXE916" s="7"/>
      <c r="FXF916" s="7"/>
      <c r="FXG916" s="7"/>
      <c r="FXH916" s="7"/>
      <c r="FXI916" s="7"/>
      <c r="FXJ916" s="7"/>
      <c r="FXK916" s="7"/>
      <c r="FXL916" s="7"/>
      <c r="FXM916" s="7"/>
      <c r="FXN916" s="7"/>
      <c r="FXO916" s="7"/>
      <c r="FXP916" s="7"/>
      <c r="FXQ916" s="7"/>
      <c r="FXR916" s="7"/>
      <c r="FXS916" s="7"/>
      <c r="FXT916" s="7"/>
      <c r="FXU916" s="7"/>
      <c r="FXV916" s="7"/>
      <c r="FXW916" s="7"/>
      <c r="FXX916" s="7"/>
      <c r="FXY916" s="7"/>
      <c r="FXZ916" s="7"/>
      <c r="FYA916" s="7"/>
      <c r="FYB916" s="7"/>
      <c r="FYC916" s="7"/>
      <c r="FYD916" s="7"/>
      <c r="FYE916" s="7"/>
      <c r="FYF916" s="7"/>
      <c r="FYG916" s="7"/>
      <c r="FYH916" s="7"/>
      <c r="FYI916" s="7"/>
      <c r="FYJ916" s="7"/>
      <c r="FYK916" s="7"/>
      <c r="FYL916" s="7"/>
      <c r="FYM916" s="7"/>
      <c r="FYN916" s="7"/>
      <c r="FYO916" s="7"/>
      <c r="FYP916" s="7"/>
      <c r="FYQ916" s="7"/>
      <c r="FYR916" s="7"/>
      <c r="FYS916" s="7"/>
      <c r="FYT916" s="7"/>
      <c r="FYU916" s="7"/>
      <c r="FYV916" s="7"/>
      <c r="FYW916" s="7"/>
      <c r="FYX916" s="7"/>
      <c r="FYY916" s="7"/>
      <c r="FYZ916" s="7"/>
      <c r="FZA916" s="7"/>
      <c r="FZB916" s="7"/>
      <c r="FZC916" s="7"/>
      <c r="FZD916" s="7"/>
      <c r="FZE916" s="7"/>
      <c r="FZF916" s="7"/>
      <c r="FZG916" s="7"/>
      <c r="FZH916" s="7"/>
      <c r="FZI916" s="7"/>
      <c r="FZJ916" s="7"/>
      <c r="FZK916" s="7"/>
      <c r="FZL916" s="7"/>
      <c r="FZM916" s="7"/>
      <c r="FZN916" s="7"/>
      <c r="FZO916" s="7"/>
      <c r="FZP916" s="7"/>
      <c r="FZQ916" s="7"/>
      <c r="FZR916" s="7"/>
      <c r="FZS916" s="7"/>
      <c r="FZT916" s="7"/>
      <c r="FZU916" s="7"/>
      <c r="FZV916" s="7"/>
      <c r="FZW916" s="7"/>
      <c r="FZX916" s="7"/>
      <c r="FZY916" s="7"/>
      <c r="FZZ916" s="7"/>
      <c r="GAA916" s="7"/>
      <c r="GAB916" s="7"/>
      <c r="GAC916" s="7"/>
      <c r="GAD916" s="7"/>
      <c r="GAE916" s="7"/>
      <c r="GAF916" s="7"/>
      <c r="GAG916" s="7"/>
      <c r="GAH916" s="7"/>
      <c r="GAI916" s="7"/>
      <c r="GAJ916" s="7"/>
      <c r="GAK916" s="7"/>
      <c r="GAL916" s="7"/>
      <c r="GAM916" s="7"/>
      <c r="GAN916" s="7"/>
      <c r="GAO916" s="7"/>
      <c r="GAP916" s="7"/>
      <c r="GAQ916" s="7"/>
      <c r="GAR916" s="7"/>
      <c r="GAS916" s="7"/>
      <c r="GAT916" s="7"/>
      <c r="GAU916" s="7"/>
      <c r="GAV916" s="7"/>
      <c r="GAW916" s="7"/>
      <c r="GAX916" s="7"/>
      <c r="GAY916" s="7"/>
      <c r="GAZ916" s="7"/>
      <c r="GBA916" s="7"/>
      <c r="GBB916" s="7"/>
      <c r="GBC916" s="7"/>
      <c r="GBD916" s="7"/>
      <c r="GBE916" s="7"/>
      <c r="GBF916" s="7"/>
      <c r="GBG916" s="7"/>
      <c r="GBH916" s="7"/>
      <c r="GBI916" s="7"/>
      <c r="GBJ916" s="7"/>
      <c r="GBK916" s="7"/>
      <c r="GBL916" s="7"/>
      <c r="GBM916" s="7"/>
      <c r="GBN916" s="7"/>
      <c r="GBO916" s="7"/>
      <c r="GBP916" s="7"/>
      <c r="GBQ916" s="7"/>
      <c r="GBR916" s="7"/>
      <c r="GBS916" s="7"/>
      <c r="GBT916" s="7"/>
      <c r="GBU916" s="7"/>
      <c r="GBV916" s="7"/>
      <c r="GBW916" s="7"/>
      <c r="GBX916" s="7"/>
      <c r="GBY916" s="7"/>
      <c r="GBZ916" s="7"/>
      <c r="GCA916" s="7"/>
      <c r="GCB916" s="7"/>
      <c r="GCC916" s="7"/>
      <c r="GCD916" s="7"/>
      <c r="GCE916" s="7"/>
      <c r="GCF916" s="7"/>
      <c r="GCG916" s="7"/>
      <c r="GCH916" s="7"/>
      <c r="GCI916" s="7"/>
      <c r="GCJ916" s="7"/>
      <c r="GCK916" s="7"/>
      <c r="GCL916" s="7"/>
      <c r="GCM916" s="7"/>
      <c r="GCN916" s="7"/>
      <c r="GCO916" s="7"/>
      <c r="GCP916" s="7"/>
      <c r="GCQ916" s="7"/>
      <c r="GCR916" s="7"/>
      <c r="GCS916" s="7"/>
      <c r="GCT916" s="7"/>
      <c r="GCU916" s="7"/>
      <c r="GCV916" s="7"/>
      <c r="GCW916" s="7"/>
      <c r="GCX916" s="7"/>
      <c r="GCY916" s="7"/>
      <c r="GCZ916" s="7"/>
      <c r="GDA916" s="7"/>
      <c r="GDB916" s="7"/>
      <c r="GDC916" s="7"/>
      <c r="GDD916" s="7"/>
      <c r="GDE916" s="7"/>
      <c r="GDF916" s="7"/>
      <c r="GDG916" s="7"/>
      <c r="GDH916" s="7"/>
      <c r="GDI916" s="7"/>
      <c r="GDJ916" s="7"/>
      <c r="GDK916" s="7"/>
      <c r="GDL916" s="7"/>
      <c r="GDM916" s="7"/>
      <c r="GDN916" s="7"/>
      <c r="GDO916" s="7"/>
      <c r="GDP916" s="7"/>
      <c r="GDQ916" s="7"/>
      <c r="GDR916" s="7"/>
      <c r="GDS916" s="7"/>
      <c r="GDT916" s="7"/>
      <c r="GDU916" s="7"/>
      <c r="GDV916" s="7"/>
      <c r="GDW916" s="7"/>
      <c r="GDX916" s="7"/>
      <c r="GDY916" s="7"/>
      <c r="GDZ916" s="7"/>
      <c r="GEA916" s="7"/>
      <c r="GEB916" s="7"/>
      <c r="GEC916" s="7"/>
      <c r="GED916" s="7"/>
      <c r="GEE916" s="7"/>
      <c r="GEF916" s="7"/>
      <c r="GEG916" s="7"/>
      <c r="GEH916" s="7"/>
      <c r="GEI916" s="7"/>
      <c r="GEJ916" s="7"/>
      <c r="GEK916" s="7"/>
      <c r="GEL916" s="7"/>
      <c r="GEM916" s="7"/>
      <c r="GEN916" s="7"/>
      <c r="GEO916" s="7"/>
      <c r="GEP916" s="7"/>
      <c r="GEQ916" s="7"/>
      <c r="GER916" s="7"/>
      <c r="GES916" s="7"/>
      <c r="GET916" s="7"/>
      <c r="GEU916" s="7"/>
      <c r="GEV916" s="7"/>
      <c r="GEW916" s="7"/>
      <c r="GEX916" s="7"/>
      <c r="GEY916" s="7"/>
      <c r="GEZ916" s="7"/>
      <c r="GFA916" s="7"/>
      <c r="GFB916" s="7"/>
      <c r="GFC916" s="7"/>
      <c r="GFD916" s="7"/>
      <c r="GFE916" s="7"/>
      <c r="GFF916" s="7"/>
      <c r="GFG916" s="7"/>
      <c r="GFH916" s="7"/>
      <c r="GFI916" s="7"/>
      <c r="GFJ916" s="7"/>
      <c r="GFK916" s="7"/>
      <c r="GFL916" s="7"/>
      <c r="GFM916" s="7"/>
      <c r="GFN916" s="7"/>
      <c r="GFO916" s="7"/>
      <c r="GFP916" s="7"/>
      <c r="GFQ916" s="7"/>
      <c r="GFR916" s="7"/>
      <c r="GFS916" s="7"/>
      <c r="GFT916" s="7"/>
      <c r="GFU916" s="7"/>
      <c r="GFV916" s="7"/>
      <c r="GFW916" s="7"/>
      <c r="GFX916" s="7"/>
      <c r="GFY916" s="7"/>
      <c r="GFZ916" s="7"/>
      <c r="GGA916" s="7"/>
      <c r="GGB916" s="7"/>
      <c r="GGC916" s="7"/>
      <c r="GGD916" s="7"/>
      <c r="GGE916" s="7"/>
      <c r="GGF916" s="7"/>
      <c r="GGG916" s="7"/>
      <c r="GGH916" s="7"/>
      <c r="GGI916" s="7"/>
      <c r="GGJ916" s="7"/>
      <c r="GGK916" s="7"/>
      <c r="GGL916" s="7"/>
      <c r="GGM916" s="7"/>
      <c r="GGN916" s="7"/>
      <c r="GGO916" s="7"/>
      <c r="GGP916" s="7"/>
      <c r="GGQ916" s="7"/>
      <c r="GGR916" s="7"/>
      <c r="GGS916" s="7"/>
      <c r="GGT916" s="7"/>
      <c r="GGU916" s="7"/>
      <c r="GGV916" s="7"/>
      <c r="GGW916" s="7"/>
      <c r="GGX916" s="7"/>
      <c r="GGY916" s="7"/>
      <c r="GGZ916" s="7"/>
      <c r="GHA916" s="7"/>
      <c r="GHB916" s="7"/>
      <c r="GHC916" s="7"/>
      <c r="GHD916" s="7"/>
      <c r="GHE916" s="7"/>
      <c r="GHF916" s="7"/>
      <c r="GHG916" s="7"/>
      <c r="GHH916" s="7"/>
      <c r="GHI916" s="7"/>
      <c r="GHJ916" s="7"/>
      <c r="GHK916" s="7"/>
      <c r="GHL916" s="7"/>
      <c r="GHM916" s="7"/>
      <c r="GHN916" s="7"/>
      <c r="GHO916" s="7"/>
      <c r="GHP916" s="7"/>
      <c r="GHQ916" s="7"/>
      <c r="GHR916" s="7"/>
      <c r="GHS916" s="7"/>
      <c r="GHT916" s="7"/>
      <c r="GHU916" s="7"/>
      <c r="GHV916" s="7"/>
      <c r="GHW916" s="7"/>
      <c r="GHX916" s="7"/>
      <c r="GHY916" s="7"/>
      <c r="GHZ916" s="7"/>
      <c r="GIA916" s="7"/>
      <c r="GIB916" s="7"/>
      <c r="GIC916" s="7"/>
      <c r="GID916" s="7"/>
      <c r="GIE916" s="7"/>
      <c r="GIF916" s="7"/>
      <c r="GIG916" s="7"/>
      <c r="GIH916" s="7"/>
      <c r="GII916" s="7"/>
      <c r="GIJ916" s="7"/>
      <c r="GIK916" s="7"/>
      <c r="GIL916" s="7"/>
      <c r="GIM916" s="7"/>
      <c r="GIN916" s="7"/>
      <c r="GIO916" s="7"/>
      <c r="GIP916" s="7"/>
      <c r="GIQ916" s="7"/>
      <c r="GIR916" s="7"/>
      <c r="GIS916" s="7"/>
      <c r="GIT916" s="7"/>
      <c r="GIU916" s="7"/>
      <c r="GIV916" s="7"/>
      <c r="GIW916" s="7"/>
      <c r="GIX916" s="7"/>
      <c r="GIY916" s="7"/>
      <c r="GIZ916" s="7"/>
      <c r="GJA916" s="7"/>
      <c r="GJB916" s="7"/>
      <c r="GJC916" s="7"/>
      <c r="GJD916" s="7"/>
      <c r="GJE916" s="7"/>
      <c r="GJF916" s="7"/>
      <c r="GJG916" s="7"/>
      <c r="GJH916" s="7"/>
      <c r="GJI916" s="7"/>
      <c r="GJJ916" s="7"/>
      <c r="GJK916" s="7"/>
      <c r="GJL916" s="7"/>
      <c r="GJM916" s="7"/>
      <c r="GJN916" s="7"/>
      <c r="GJO916" s="7"/>
      <c r="GJP916" s="7"/>
      <c r="GJQ916" s="7"/>
      <c r="GJR916" s="7"/>
      <c r="GJS916" s="7"/>
      <c r="GJT916" s="7"/>
      <c r="GJU916" s="7"/>
      <c r="GJV916" s="7"/>
      <c r="GJW916" s="7"/>
      <c r="GJX916" s="7"/>
      <c r="GJY916" s="7"/>
      <c r="GJZ916" s="7"/>
      <c r="GKA916" s="7"/>
      <c r="GKB916" s="7"/>
      <c r="GKC916" s="7"/>
      <c r="GKD916" s="7"/>
      <c r="GKE916" s="7"/>
      <c r="GKF916" s="7"/>
      <c r="GKG916" s="7"/>
      <c r="GKH916" s="7"/>
      <c r="GKI916" s="7"/>
      <c r="GKJ916" s="7"/>
      <c r="GKK916" s="7"/>
      <c r="GKL916" s="7"/>
      <c r="GKM916" s="7"/>
      <c r="GKN916" s="7"/>
      <c r="GKO916" s="7"/>
      <c r="GKP916" s="7"/>
      <c r="GKQ916" s="7"/>
      <c r="GKR916" s="7"/>
      <c r="GKS916" s="7"/>
      <c r="GKT916" s="7"/>
      <c r="GKU916" s="7"/>
      <c r="GKV916" s="7"/>
      <c r="GKW916" s="7"/>
      <c r="GKX916" s="7"/>
      <c r="GKY916" s="7"/>
      <c r="GKZ916" s="7"/>
      <c r="GLA916" s="7"/>
      <c r="GLB916" s="7"/>
      <c r="GLC916" s="7"/>
      <c r="GLD916" s="7"/>
      <c r="GLE916" s="7"/>
      <c r="GLF916" s="7"/>
      <c r="GLG916" s="7"/>
      <c r="GLH916" s="7"/>
      <c r="GLI916" s="7"/>
      <c r="GLJ916" s="7"/>
      <c r="GLK916" s="7"/>
      <c r="GLL916" s="7"/>
      <c r="GLM916" s="7"/>
      <c r="GLN916" s="7"/>
      <c r="GLO916" s="7"/>
      <c r="GLP916" s="7"/>
      <c r="GLQ916" s="7"/>
      <c r="GLR916" s="7"/>
      <c r="GLS916" s="7"/>
      <c r="GLT916" s="7"/>
      <c r="GLU916" s="7"/>
      <c r="GLV916" s="7"/>
      <c r="GLW916" s="7"/>
      <c r="GLX916" s="7"/>
      <c r="GLY916" s="7"/>
      <c r="GLZ916" s="7"/>
      <c r="GMA916" s="7"/>
      <c r="GMB916" s="7"/>
      <c r="GMC916" s="7"/>
      <c r="GMD916" s="7"/>
      <c r="GME916" s="7"/>
      <c r="GMF916" s="7"/>
      <c r="GMG916" s="7"/>
      <c r="GMH916" s="7"/>
      <c r="GMI916" s="7"/>
      <c r="GMJ916" s="7"/>
      <c r="GMK916" s="7"/>
      <c r="GML916" s="7"/>
      <c r="GMM916" s="7"/>
      <c r="GMN916" s="7"/>
      <c r="GMO916" s="7"/>
      <c r="GMP916" s="7"/>
      <c r="GMQ916" s="7"/>
      <c r="GMR916" s="7"/>
      <c r="GMS916" s="7"/>
      <c r="GMT916" s="7"/>
      <c r="GMU916" s="7"/>
      <c r="GMV916" s="7"/>
      <c r="GMW916" s="7"/>
      <c r="GMX916" s="7"/>
      <c r="GMY916" s="7"/>
      <c r="GMZ916" s="7"/>
      <c r="GNA916" s="7"/>
      <c r="GNB916" s="7"/>
      <c r="GNC916" s="7"/>
      <c r="GND916" s="7"/>
      <c r="GNE916" s="7"/>
      <c r="GNF916" s="7"/>
      <c r="GNG916" s="7"/>
      <c r="GNH916" s="7"/>
      <c r="GNI916" s="7"/>
      <c r="GNJ916" s="7"/>
      <c r="GNK916" s="7"/>
      <c r="GNL916" s="7"/>
      <c r="GNM916" s="7"/>
      <c r="GNN916" s="7"/>
      <c r="GNO916" s="7"/>
      <c r="GNP916" s="7"/>
      <c r="GNQ916" s="7"/>
      <c r="GNR916" s="7"/>
      <c r="GNS916" s="7"/>
      <c r="GNT916" s="7"/>
      <c r="GNU916" s="7"/>
      <c r="GNV916" s="7"/>
      <c r="GNW916" s="7"/>
      <c r="GNX916" s="7"/>
      <c r="GNY916" s="7"/>
      <c r="GNZ916" s="7"/>
      <c r="GOA916" s="7"/>
      <c r="GOB916" s="7"/>
      <c r="GOC916" s="7"/>
      <c r="GOD916" s="7"/>
      <c r="GOE916" s="7"/>
      <c r="GOF916" s="7"/>
      <c r="GOG916" s="7"/>
      <c r="GOH916" s="7"/>
      <c r="GOI916" s="7"/>
      <c r="GOJ916" s="7"/>
      <c r="GOK916" s="7"/>
      <c r="GOL916" s="7"/>
      <c r="GOM916" s="7"/>
      <c r="GON916" s="7"/>
      <c r="GOO916" s="7"/>
      <c r="GOP916" s="7"/>
      <c r="GOQ916" s="7"/>
      <c r="GOR916" s="7"/>
      <c r="GOS916" s="7"/>
      <c r="GOT916" s="7"/>
      <c r="GOU916" s="7"/>
      <c r="GOV916" s="7"/>
      <c r="GOW916" s="7"/>
      <c r="GOX916" s="7"/>
      <c r="GOY916" s="7"/>
      <c r="GOZ916" s="7"/>
      <c r="GPA916" s="7"/>
      <c r="GPB916" s="7"/>
      <c r="GPC916" s="7"/>
      <c r="GPD916" s="7"/>
      <c r="GPE916" s="7"/>
      <c r="GPF916" s="7"/>
      <c r="GPG916" s="7"/>
      <c r="GPH916" s="7"/>
      <c r="GPI916" s="7"/>
      <c r="GPJ916" s="7"/>
      <c r="GPK916" s="7"/>
      <c r="GPL916" s="7"/>
      <c r="GPM916" s="7"/>
      <c r="GPN916" s="7"/>
      <c r="GPO916" s="7"/>
      <c r="GPP916" s="7"/>
      <c r="GPQ916" s="7"/>
      <c r="GPR916" s="7"/>
      <c r="GPS916" s="7"/>
      <c r="GPT916" s="7"/>
      <c r="GPU916" s="7"/>
      <c r="GPV916" s="7"/>
      <c r="GPW916" s="7"/>
      <c r="GPX916" s="7"/>
      <c r="GPY916" s="7"/>
      <c r="GPZ916" s="7"/>
      <c r="GQA916" s="7"/>
      <c r="GQB916" s="7"/>
      <c r="GQC916" s="7"/>
      <c r="GQD916" s="7"/>
      <c r="GQE916" s="7"/>
      <c r="GQF916" s="7"/>
      <c r="GQG916" s="7"/>
      <c r="GQH916" s="7"/>
      <c r="GQI916" s="7"/>
      <c r="GQJ916" s="7"/>
      <c r="GQK916" s="7"/>
      <c r="GQL916" s="7"/>
      <c r="GQM916" s="7"/>
      <c r="GQN916" s="7"/>
      <c r="GQO916" s="7"/>
      <c r="GQP916" s="7"/>
      <c r="GQQ916" s="7"/>
      <c r="GQR916" s="7"/>
      <c r="GQS916" s="7"/>
      <c r="GQT916" s="7"/>
      <c r="GQU916" s="7"/>
      <c r="GQV916" s="7"/>
      <c r="GQW916" s="7"/>
      <c r="GQX916" s="7"/>
      <c r="GQY916" s="7"/>
      <c r="GQZ916" s="7"/>
      <c r="GRA916" s="7"/>
      <c r="GRB916" s="7"/>
      <c r="GRC916" s="7"/>
      <c r="GRD916" s="7"/>
      <c r="GRE916" s="7"/>
      <c r="GRF916" s="7"/>
      <c r="GRG916" s="7"/>
      <c r="GRH916" s="7"/>
      <c r="GRI916" s="7"/>
      <c r="GRJ916" s="7"/>
      <c r="GRK916" s="7"/>
      <c r="GRL916" s="7"/>
      <c r="GRM916" s="7"/>
      <c r="GRN916" s="7"/>
      <c r="GRO916" s="7"/>
      <c r="GRP916" s="7"/>
      <c r="GRQ916" s="7"/>
      <c r="GRR916" s="7"/>
      <c r="GRS916" s="7"/>
      <c r="GRT916" s="7"/>
      <c r="GRU916" s="7"/>
      <c r="GRV916" s="7"/>
      <c r="GRW916" s="7"/>
      <c r="GRX916" s="7"/>
      <c r="GRY916" s="7"/>
      <c r="GRZ916" s="7"/>
      <c r="GSA916" s="7"/>
      <c r="GSB916" s="7"/>
      <c r="GSC916" s="7"/>
      <c r="GSD916" s="7"/>
      <c r="GSE916" s="7"/>
      <c r="GSF916" s="7"/>
      <c r="GSG916" s="7"/>
      <c r="GSH916" s="7"/>
      <c r="GSI916" s="7"/>
      <c r="GSJ916" s="7"/>
      <c r="GSK916" s="7"/>
      <c r="GSL916" s="7"/>
      <c r="GSM916" s="7"/>
      <c r="GSN916" s="7"/>
      <c r="GSO916" s="7"/>
      <c r="GSP916" s="7"/>
      <c r="GSQ916" s="7"/>
      <c r="GSR916" s="7"/>
      <c r="GSS916" s="7"/>
      <c r="GST916" s="7"/>
      <c r="GSU916" s="7"/>
      <c r="GSV916" s="7"/>
      <c r="GSW916" s="7"/>
      <c r="GSX916" s="7"/>
      <c r="GSY916" s="7"/>
      <c r="GSZ916" s="7"/>
      <c r="GTA916" s="7"/>
      <c r="GTB916" s="7"/>
      <c r="GTC916" s="7"/>
      <c r="GTD916" s="7"/>
      <c r="GTE916" s="7"/>
      <c r="GTF916" s="7"/>
      <c r="GTG916" s="7"/>
      <c r="GTH916" s="7"/>
      <c r="GTI916" s="7"/>
      <c r="GTJ916" s="7"/>
      <c r="GTK916" s="7"/>
      <c r="GTL916" s="7"/>
      <c r="GTM916" s="7"/>
      <c r="GTN916" s="7"/>
      <c r="GTO916" s="7"/>
      <c r="GTP916" s="7"/>
      <c r="GTQ916" s="7"/>
      <c r="GTR916" s="7"/>
      <c r="GTS916" s="7"/>
      <c r="GTT916" s="7"/>
      <c r="GTU916" s="7"/>
      <c r="GTV916" s="7"/>
      <c r="GTW916" s="7"/>
      <c r="GTX916" s="7"/>
      <c r="GTY916" s="7"/>
      <c r="GTZ916" s="7"/>
      <c r="GUA916" s="7"/>
      <c r="GUB916" s="7"/>
      <c r="GUC916" s="7"/>
      <c r="GUD916" s="7"/>
      <c r="GUE916" s="7"/>
      <c r="GUF916" s="7"/>
      <c r="GUG916" s="7"/>
      <c r="GUH916" s="7"/>
      <c r="GUI916" s="7"/>
      <c r="GUJ916" s="7"/>
      <c r="GUK916" s="7"/>
      <c r="GUL916" s="7"/>
      <c r="GUM916" s="7"/>
      <c r="GUN916" s="7"/>
      <c r="GUO916" s="7"/>
      <c r="GUP916" s="7"/>
      <c r="GUQ916" s="7"/>
      <c r="GUR916" s="7"/>
      <c r="GUS916" s="7"/>
      <c r="GUT916" s="7"/>
      <c r="GUU916" s="7"/>
      <c r="GUV916" s="7"/>
      <c r="GUW916" s="7"/>
      <c r="GUX916" s="7"/>
      <c r="GUY916" s="7"/>
      <c r="GUZ916" s="7"/>
      <c r="GVA916" s="7"/>
      <c r="GVB916" s="7"/>
      <c r="GVC916" s="7"/>
      <c r="GVD916" s="7"/>
      <c r="GVE916" s="7"/>
      <c r="GVF916" s="7"/>
      <c r="GVG916" s="7"/>
      <c r="GVH916" s="7"/>
      <c r="GVI916" s="7"/>
      <c r="GVJ916" s="7"/>
      <c r="GVK916" s="7"/>
      <c r="GVL916" s="7"/>
      <c r="GVM916" s="7"/>
      <c r="GVN916" s="7"/>
      <c r="GVO916" s="7"/>
      <c r="GVP916" s="7"/>
      <c r="GVQ916" s="7"/>
      <c r="GVR916" s="7"/>
      <c r="GVS916" s="7"/>
      <c r="GVT916" s="7"/>
      <c r="GVU916" s="7"/>
      <c r="GVV916" s="7"/>
      <c r="GVW916" s="7"/>
      <c r="GVX916" s="7"/>
      <c r="GVY916" s="7"/>
      <c r="GVZ916" s="7"/>
      <c r="GWA916" s="7"/>
      <c r="GWB916" s="7"/>
      <c r="GWC916" s="7"/>
      <c r="GWD916" s="7"/>
      <c r="GWE916" s="7"/>
      <c r="GWF916" s="7"/>
      <c r="GWG916" s="7"/>
      <c r="GWH916" s="7"/>
      <c r="GWI916" s="7"/>
      <c r="GWJ916" s="7"/>
      <c r="GWK916" s="7"/>
      <c r="GWL916" s="7"/>
      <c r="GWM916" s="7"/>
      <c r="GWN916" s="7"/>
      <c r="GWO916" s="7"/>
      <c r="GWP916" s="7"/>
      <c r="GWQ916" s="7"/>
      <c r="GWR916" s="7"/>
      <c r="GWS916" s="7"/>
      <c r="GWT916" s="7"/>
      <c r="GWU916" s="7"/>
      <c r="GWV916" s="7"/>
      <c r="GWW916" s="7"/>
      <c r="GWX916" s="7"/>
      <c r="GWY916" s="7"/>
      <c r="GWZ916" s="7"/>
      <c r="GXA916" s="7"/>
      <c r="GXB916" s="7"/>
      <c r="GXC916" s="7"/>
      <c r="GXD916" s="7"/>
      <c r="GXE916" s="7"/>
      <c r="GXF916" s="7"/>
      <c r="GXG916" s="7"/>
      <c r="GXH916" s="7"/>
      <c r="GXI916" s="7"/>
      <c r="GXJ916" s="7"/>
      <c r="GXK916" s="7"/>
      <c r="GXL916" s="7"/>
      <c r="GXM916" s="7"/>
      <c r="GXN916" s="7"/>
      <c r="GXO916" s="7"/>
      <c r="GXP916" s="7"/>
      <c r="GXQ916" s="7"/>
      <c r="GXR916" s="7"/>
      <c r="GXS916" s="7"/>
      <c r="GXT916" s="7"/>
      <c r="GXU916" s="7"/>
      <c r="GXV916" s="7"/>
      <c r="GXW916" s="7"/>
      <c r="GXX916" s="7"/>
      <c r="GXY916" s="7"/>
      <c r="GXZ916" s="7"/>
      <c r="GYA916" s="7"/>
      <c r="GYB916" s="7"/>
      <c r="GYC916" s="7"/>
      <c r="GYD916" s="7"/>
      <c r="GYE916" s="7"/>
      <c r="GYF916" s="7"/>
      <c r="GYG916" s="7"/>
      <c r="GYH916" s="7"/>
      <c r="GYI916" s="7"/>
      <c r="GYJ916" s="7"/>
      <c r="GYK916" s="7"/>
      <c r="GYL916" s="7"/>
      <c r="GYM916" s="7"/>
      <c r="GYN916" s="7"/>
      <c r="GYO916" s="7"/>
      <c r="GYP916" s="7"/>
      <c r="GYQ916" s="7"/>
      <c r="GYR916" s="7"/>
      <c r="GYS916" s="7"/>
      <c r="GYT916" s="7"/>
      <c r="GYU916" s="7"/>
      <c r="GYV916" s="7"/>
      <c r="GYW916" s="7"/>
      <c r="GYX916" s="7"/>
      <c r="GYY916" s="7"/>
      <c r="GYZ916" s="7"/>
      <c r="GZA916" s="7"/>
      <c r="GZB916" s="7"/>
      <c r="GZC916" s="7"/>
      <c r="GZD916" s="7"/>
      <c r="GZE916" s="7"/>
      <c r="GZF916" s="7"/>
      <c r="GZG916" s="7"/>
      <c r="GZH916" s="7"/>
      <c r="GZI916" s="7"/>
      <c r="GZJ916" s="7"/>
      <c r="GZK916" s="7"/>
      <c r="GZL916" s="7"/>
      <c r="GZM916" s="7"/>
      <c r="GZN916" s="7"/>
      <c r="GZO916" s="7"/>
      <c r="GZP916" s="7"/>
      <c r="GZQ916" s="7"/>
      <c r="GZR916" s="7"/>
      <c r="GZS916" s="7"/>
      <c r="GZT916" s="7"/>
      <c r="GZU916" s="7"/>
      <c r="GZV916" s="7"/>
      <c r="GZW916" s="7"/>
      <c r="GZX916" s="7"/>
      <c r="GZY916" s="7"/>
      <c r="GZZ916" s="7"/>
      <c r="HAA916" s="7"/>
      <c r="HAB916" s="7"/>
      <c r="HAC916" s="7"/>
      <c r="HAD916" s="7"/>
      <c r="HAE916" s="7"/>
      <c r="HAF916" s="7"/>
      <c r="HAG916" s="7"/>
      <c r="HAH916" s="7"/>
      <c r="HAI916" s="7"/>
      <c r="HAJ916" s="7"/>
      <c r="HAK916" s="7"/>
      <c r="HAL916" s="7"/>
      <c r="HAM916" s="7"/>
      <c r="HAN916" s="7"/>
      <c r="HAO916" s="7"/>
      <c r="HAP916" s="7"/>
      <c r="HAQ916" s="7"/>
      <c r="HAR916" s="7"/>
      <c r="HAS916" s="7"/>
      <c r="HAT916" s="7"/>
      <c r="HAU916" s="7"/>
      <c r="HAV916" s="7"/>
      <c r="HAW916" s="7"/>
      <c r="HAX916" s="7"/>
      <c r="HAY916" s="7"/>
      <c r="HAZ916" s="7"/>
      <c r="HBA916" s="7"/>
      <c r="HBB916" s="7"/>
      <c r="HBC916" s="7"/>
      <c r="HBD916" s="7"/>
      <c r="HBE916" s="7"/>
      <c r="HBF916" s="7"/>
      <c r="HBG916" s="7"/>
      <c r="HBH916" s="7"/>
      <c r="HBI916" s="7"/>
      <c r="HBJ916" s="7"/>
      <c r="HBK916" s="7"/>
      <c r="HBL916" s="7"/>
      <c r="HBM916" s="7"/>
      <c r="HBN916" s="7"/>
      <c r="HBO916" s="7"/>
      <c r="HBP916" s="7"/>
      <c r="HBQ916" s="7"/>
      <c r="HBR916" s="7"/>
      <c r="HBS916" s="7"/>
      <c r="HBT916" s="7"/>
      <c r="HBU916" s="7"/>
      <c r="HBV916" s="7"/>
      <c r="HBW916" s="7"/>
      <c r="HBX916" s="7"/>
      <c r="HBY916" s="7"/>
      <c r="HBZ916" s="7"/>
      <c r="HCA916" s="7"/>
      <c r="HCB916" s="7"/>
      <c r="HCC916" s="7"/>
      <c r="HCD916" s="7"/>
      <c r="HCE916" s="7"/>
      <c r="HCF916" s="7"/>
      <c r="HCG916" s="7"/>
      <c r="HCH916" s="7"/>
      <c r="HCI916" s="7"/>
      <c r="HCJ916" s="7"/>
      <c r="HCK916" s="7"/>
      <c r="HCL916" s="7"/>
      <c r="HCM916" s="7"/>
      <c r="HCN916" s="7"/>
      <c r="HCO916" s="7"/>
      <c r="HCP916" s="7"/>
      <c r="HCQ916" s="7"/>
      <c r="HCR916" s="7"/>
      <c r="HCS916" s="7"/>
      <c r="HCT916" s="7"/>
      <c r="HCU916" s="7"/>
      <c r="HCV916" s="7"/>
      <c r="HCW916" s="7"/>
      <c r="HCX916" s="7"/>
      <c r="HCY916" s="7"/>
      <c r="HCZ916" s="7"/>
      <c r="HDA916" s="7"/>
      <c r="HDB916" s="7"/>
      <c r="HDC916" s="7"/>
      <c r="HDD916" s="7"/>
      <c r="HDE916" s="7"/>
      <c r="HDF916" s="7"/>
      <c r="HDG916" s="7"/>
      <c r="HDH916" s="7"/>
      <c r="HDI916" s="7"/>
      <c r="HDJ916" s="7"/>
      <c r="HDK916" s="7"/>
      <c r="HDL916" s="7"/>
      <c r="HDM916" s="7"/>
      <c r="HDN916" s="7"/>
      <c r="HDO916" s="7"/>
      <c r="HDP916" s="7"/>
      <c r="HDQ916" s="7"/>
      <c r="HDR916" s="7"/>
      <c r="HDS916" s="7"/>
      <c r="HDT916" s="7"/>
      <c r="HDU916" s="7"/>
      <c r="HDV916" s="7"/>
      <c r="HDW916" s="7"/>
      <c r="HDX916" s="7"/>
      <c r="HDY916" s="7"/>
      <c r="HDZ916" s="7"/>
      <c r="HEA916" s="7"/>
      <c r="HEB916" s="7"/>
      <c r="HEC916" s="7"/>
      <c r="HED916" s="7"/>
      <c r="HEE916" s="7"/>
      <c r="HEF916" s="7"/>
      <c r="HEG916" s="7"/>
      <c r="HEH916" s="7"/>
      <c r="HEI916" s="7"/>
      <c r="HEJ916" s="7"/>
      <c r="HEK916" s="7"/>
      <c r="HEL916" s="7"/>
      <c r="HEM916" s="7"/>
      <c r="HEN916" s="7"/>
      <c r="HEO916" s="7"/>
      <c r="HEP916" s="7"/>
      <c r="HEQ916" s="7"/>
      <c r="HER916" s="7"/>
      <c r="HES916" s="7"/>
      <c r="HET916" s="7"/>
      <c r="HEU916" s="7"/>
      <c r="HEV916" s="7"/>
      <c r="HEW916" s="7"/>
      <c r="HEX916" s="7"/>
      <c r="HEY916" s="7"/>
      <c r="HEZ916" s="7"/>
      <c r="HFA916" s="7"/>
      <c r="HFB916" s="7"/>
      <c r="HFC916" s="7"/>
      <c r="HFD916" s="7"/>
      <c r="HFE916" s="7"/>
      <c r="HFF916" s="7"/>
      <c r="HFG916" s="7"/>
      <c r="HFH916" s="7"/>
      <c r="HFI916" s="7"/>
      <c r="HFJ916" s="7"/>
      <c r="HFK916" s="7"/>
      <c r="HFL916" s="7"/>
      <c r="HFM916" s="7"/>
      <c r="HFN916" s="7"/>
      <c r="HFO916" s="7"/>
      <c r="HFP916" s="7"/>
      <c r="HFQ916" s="7"/>
      <c r="HFR916" s="7"/>
      <c r="HFS916" s="7"/>
      <c r="HFT916" s="7"/>
      <c r="HFU916" s="7"/>
      <c r="HFV916" s="7"/>
      <c r="HFW916" s="7"/>
      <c r="HFX916" s="7"/>
      <c r="HFY916" s="7"/>
      <c r="HFZ916" s="7"/>
      <c r="HGA916" s="7"/>
      <c r="HGB916" s="7"/>
      <c r="HGC916" s="7"/>
      <c r="HGD916" s="7"/>
      <c r="HGE916" s="7"/>
      <c r="HGF916" s="7"/>
      <c r="HGG916" s="7"/>
      <c r="HGH916" s="7"/>
      <c r="HGI916" s="7"/>
      <c r="HGJ916" s="7"/>
      <c r="HGK916" s="7"/>
      <c r="HGL916" s="7"/>
      <c r="HGM916" s="7"/>
      <c r="HGN916" s="7"/>
      <c r="HGO916" s="7"/>
      <c r="HGP916" s="7"/>
      <c r="HGQ916" s="7"/>
      <c r="HGR916" s="7"/>
      <c r="HGS916" s="7"/>
      <c r="HGT916" s="7"/>
      <c r="HGU916" s="7"/>
      <c r="HGV916" s="7"/>
      <c r="HGW916" s="7"/>
      <c r="HGX916" s="7"/>
      <c r="HGY916" s="7"/>
      <c r="HGZ916" s="7"/>
      <c r="HHA916" s="7"/>
      <c r="HHB916" s="7"/>
      <c r="HHC916" s="7"/>
      <c r="HHD916" s="7"/>
      <c r="HHE916" s="7"/>
      <c r="HHF916" s="7"/>
      <c r="HHG916" s="7"/>
      <c r="HHH916" s="7"/>
      <c r="HHI916" s="7"/>
      <c r="HHJ916" s="7"/>
      <c r="HHK916" s="7"/>
      <c r="HHL916" s="7"/>
      <c r="HHM916" s="7"/>
      <c r="HHN916" s="7"/>
      <c r="HHO916" s="7"/>
      <c r="HHP916" s="7"/>
      <c r="HHQ916" s="7"/>
      <c r="HHR916" s="7"/>
      <c r="HHS916" s="7"/>
      <c r="HHT916" s="7"/>
      <c r="HHU916" s="7"/>
      <c r="HHV916" s="7"/>
      <c r="HHW916" s="7"/>
      <c r="HHX916" s="7"/>
      <c r="HHY916" s="7"/>
      <c r="HHZ916" s="7"/>
      <c r="HIA916" s="7"/>
      <c r="HIB916" s="7"/>
      <c r="HIC916" s="7"/>
      <c r="HID916" s="7"/>
      <c r="HIE916" s="7"/>
      <c r="HIF916" s="7"/>
      <c r="HIG916" s="7"/>
      <c r="HIH916" s="7"/>
      <c r="HII916" s="7"/>
      <c r="HIJ916" s="7"/>
      <c r="HIK916" s="7"/>
      <c r="HIL916" s="7"/>
      <c r="HIM916" s="7"/>
      <c r="HIN916" s="7"/>
      <c r="HIO916" s="7"/>
      <c r="HIP916" s="7"/>
      <c r="HIQ916" s="7"/>
      <c r="HIR916" s="7"/>
      <c r="HIS916" s="7"/>
      <c r="HIT916" s="7"/>
      <c r="HIU916" s="7"/>
      <c r="HIV916" s="7"/>
      <c r="HIW916" s="7"/>
      <c r="HIX916" s="7"/>
      <c r="HIY916" s="7"/>
      <c r="HIZ916" s="7"/>
      <c r="HJA916" s="7"/>
      <c r="HJB916" s="7"/>
      <c r="HJC916" s="7"/>
      <c r="HJD916" s="7"/>
      <c r="HJE916" s="7"/>
      <c r="HJF916" s="7"/>
      <c r="HJG916" s="7"/>
      <c r="HJH916" s="7"/>
      <c r="HJI916" s="7"/>
      <c r="HJJ916" s="7"/>
      <c r="HJK916" s="7"/>
      <c r="HJL916" s="7"/>
      <c r="HJM916" s="7"/>
      <c r="HJN916" s="7"/>
      <c r="HJO916" s="7"/>
      <c r="HJP916" s="7"/>
      <c r="HJQ916" s="7"/>
      <c r="HJR916" s="7"/>
      <c r="HJS916" s="7"/>
      <c r="HJT916" s="7"/>
      <c r="HJU916" s="7"/>
      <c r="HJV916" s="7"/>
      <c r="HJW916" s="7"/>
      <c r="HJX916" s="7"/>
      <c r="HJY916" s="7"/>
      <c r="HJZ916" s="7"/>
      <c r="HKA916" s="7"/>
      <c r="HKB916" s="7"/>
      <c r="HKC916" s="7"/>
      <c r="HKD916" s="7"/>
      <c r="HKE916" s="7"/>
      <c r="HKF916" s="7"/>
      <c r="HKG916" s="7"/>
      <c r="HKH916" s="7"/>
      <c r="HKI916" s="7"/>
      <c r="HKJ916" s="7"/>
      <c r="HKK916" s="7"/>
      <c r="HKL916" s="7"/>
      <c r="HKM916" s="7"/>
      <c r="HKN916" s="7"/>
      <c r="HKO916" s="7"/>
      <c r="HKP916" s="7"/>
      <c r="HKQ916" s="7"/>
      <c r="HKR916" s="7"/>
      <c r="HKS916" s="7"/>
      <c r="HKT916" s="7"/>
      <c r="HKU916" s="7"/>
      <c r="HKV916" s="7"/>
      <c r="HKW916" s="7"/>
      <c r="HKX916" s="7"/>
      <c r="HKY916" s="7"/>
      <c r="HKZ916" s="7"/>
      <c r="HLA916" s="7"/>
      <c r="HLB916" s="7"/>
      <c r="HLC916" s="7"/>
      <c r="HLD916" s="7"/>
      <c r="HLE916" s="7"/>
      <c r="HLF916" s="7"/>
      <c r="HLG916" s="7"/>
      <c r="HLH916" s="7"/>
      <c r="HLI916" s="7"/>
      <c r="HLJ916" s="7"/>
      <c r="HLK916" s="7"/>
      <c r="HLL916" s="7"/>
      <c r="HLM916" s="7"/>
      <c r="HLN916" s="7"/>
      <c r="HLO916" s="7"/>
      <c r="HLP916" s="7"/>
      <c r="HLQ916" s="7"/>
      <c r="HLR916" s="7"/>
      <c r="HLS916" s="7"/>
      <c r="HLT916" s="7"/>
      <c r="HLU916" s="7"/>
      <c r="HLV916" s="7"/>
      <c r="HLW916" s="7"/>
      <c r="HLX916" s="7"/>
      <c r="HLY916" s="7"/>
      <c r="HLZ916" s="7"/>
      <c r="HMA916" s="7"/>
      <c r="HMB916" s="7"/>
      <c r="HMC916" s="7"/>
      <c r="HMD916" s="7"/>
      <c r="HME916" s="7"/>
      <c r="HMF916" s="7"/>
      <c r="HMG916" s="7"/>
      <c r="HMH916" s="7"/>
      <c r="HMI916" s="7"/>
      <c r="HMJ916" s="7"/>
      <c r="HMK916" s="7"/>
      <c r="HML916" s="7"/>
      <c r="HMM916" s="7"/>
      <c r="HMN916" s="7"/>
      <c r="HMO916" s="7"/>
      <c r="HMP916" s="7"/>
      <c r="HMQ916" s="7"/>
      <c r="HMR916" s="7"/>
      <c r="HMS916" s="7"/>
      <c r="HMT916" s="7"/>
      <c r="HMU916" s="7"/>
      <c r="HMV916" s="7"/>
      <c r="HMW916" s="7"/>
      <c r="HMX916" s="7"/>
      <c r="HMY916" s="7"/>
      <c r="HMZ916" s="7"/>
      <c r="HNA916" s="7"/>
      <c r="HNB916" s="7"/>
      <c r="HNC916" s="7"/>
      <c r="HND916" s="7"/>
      <c r="HNE916" s="7"/>
      <c r="HNF916" s="7"/>
      <c r="HNG916" s="7"/>
      <c r="HNH916" s="7"/>
      <c r="HNI916" s="7"/>
      <c r="HNJ916" s="7"/>
      <c r="HNK916" s="7"/>
      <c r="HNL916" s="7"/>
      <c r="HNM916" s="7"/>
      <c r="HNN916" s="7"/>
      <c r="HNO916" s="7"/>
      <c r="HNP916" s="7"/>
      <c r="HNQ916" s="7"/>
      <c r="HNR916" s="7"/>
      <c r="HNS916" s="7"/>
      <c r="HNT916" s="7"/>
      <c r="HNU916" s="7"/>
      <c r="HNV916" s="7"/>
      <c r="HNW916" s="7"/>
      <c r="HNX916" s="7"/>
      <c r="HNY916" s="7"/>
      <c r="HNZ916" s="7"/>
      <c r="HOA916" s="7"/>
      <c r="HOB916" s="7"/>
      <c r="HOC916" s="7"/>
      <c r="HOD916" s="7"/>
      <c r="HOE916" s="7"/>
      <c r="HOF916" s="7"/>
      <c r="HOG916" s="7"/>
      <c r="HOH916" s="7"/>
      <c r="HOI916" s="7"/>
      <c r="HOJ916" s="7"/>
      <c r="HOK916" s="7"/>
      <c r="HOL916" s="7"/>
      <c r="HOM916" s="7"/>
      <c r="HON916" s="7"/>
      <c r="HOO916" s="7"/>
      <c r="HOP916" s="7"/>
      <c r="HOQ916" s="7"/>
      <c r="HOR916" s="7"/>
      <c r="HOS916" s="7"/>
      <c r="HOT916" s="7"/>
      <c r="HOU916" s="7"/>
      <c r="HOV916" s="7"/>
      <c r="HOW916" s="7"/>
      <c r="HOX916" s="7"/>
      <c r="HOY916" s="7"/>
      <c r="HOZ916" s="7"/>
      <c r="HPA916" s="7"/>
      <c r="HPB916" s="7"/>
      <c r="HPC916" s="7"/>
      <c r="HPD916" s="7"/>
      <c r="HPE916" s="7"/>
      <c r="HPF916" s="7"/>
      <c r="HPG916" s="7"/>
      <c r="HPH916" s="7"/>
      <c r="HPI916" s="7"/>
      <c r="HPJ916" s="7"/>
      <c r="HPK916" s="7"/>
      <c r="HPL916" s="7"/>
      <c r="HPM916" s="7"/>
      <c r="HPN916" s="7"/>
      <c r="HPO916" s="7"/>
      <c r="HPP916" s="7"/>
      <c r="HPQ916" s="7"/>
      <c r="HPR916" s="7"/>
      <c r="HPS916" s="7"/>
      <c r="HPT916" s="7"/>
      <c r="HPU916" s="7"/>
      <c r="HPV916" s="7"/>
      <c r="HPW916" s="7"/>
      <c r="HPX916" s="7"/>
      <c r="HPY916" s="7"/>
      <c r="HPZ916" s="7"/>
      <c r="HQA916" s="7"/>
      <c r="HQB916" s="7"/>
      <c r="HQC916" s="7"/>
      <c r="HQD916" s="7"/>
      <c r="HQE916" s="7"/>
      <c r="HQF916" s="7"/>
      <c r="HQG916" s="7"/>
      <c r="HQH916" s="7"/>
      <c r="HQI916" s="7"/>
      <c r="HQJ916" s="7"/>
      <c r="HQK916" s="7"/>
      <c r="HQL916" s="7"/>
      <c r="HQM916" s="7"/>
      <c r="HQN916" s="7"/>
      <c r="HQO916" s="7"/>
      <c r="HQP916" s="7"/>
      <c r="HQQ916" s="7"/>
      <c r="HQR916" s="7"/>
      <c r="HQS916" s="7"/>
      <c r="HQT916" s="7"/>
      <c r="HQU916" s="7"/>
      <c r="HQV916" s="7"/>
      <c r="HQW916" s="7"/>
      <c r="HQX916" s="7"/>
      <c r="HQY916" s="7"/>
      <c r="HQZ916" s="7"/>
      <c r="HRA916" s="7"/>
      <c r="HRB916" s="7"/>
      <c r="HRC916" s="7"/>
      <c r="HRD916" s="7"/>
      <c r="HRE916" s="7"/>
      <c r="HRF916" s="7"/>
      <c r="HRG916" s="7"/>
      <c r="HRH916" s="7"/>
      <c r="HRI916" s="7"/>
      <c r="HRJ916" s="7"/>
      <c r="HRK916" s="7"/>
      <c r="HRL916" s="7"/>
      <c r="HRM916" s="7"/>
      <c r="HRN916" s="7"/>
      <c r="HRO916" s="7"/>
      <c r="HRP916" s="7"/>
      <c r="HRQ916" s="7"/>
      <c r="HRR916" s="7"/>
      <c r="HRS916" s="7"/>
      <c r="HRT916" s="7"/>
      <c r="HRU916" s="7"/>
      <c r="HRV916" s="7"/>
      <c r="HRW916" s="7"/>
      <c r="HRX916" s="7"/>
      <c r="HRY916" s="7"/>
      <c r="HRZ916" s="7"/>
      <c r="HSA916" s="7"/>
      <c r="HSB916" s="7"/>
      <c r="HSC916" s="7"/>
      <c r="HSD916" s="7"/>
      <c r="HSE916" s="7"/>
      <c r="HSF916" s="7"/>
      <c r="HSG916" s="7"/>
      <c r="HSH916" s="7"/>
      <c r="HSI916" s="7"/>
      <c r="HSJ916" s="7"/>
      <c r="HSK916" s="7"/>
      <c r="HSL916" s="7"/>
      <c r="HSM916" s="7"/>
      <c r="HSN916" s="7"/>
      <c r="HSO916" s="7"/>
      <c r="HSP916" s="7"/>
      <c r="HSQ916" s="7"/>
      <c r="HSR916" s="7"/>
      <c r="HSS916" s="7"/>
      <c r="HST916" s="7"/>
      <c r="HSU916" s="7"/>
      <c r="HSV916" s="7"/>
      <c r="HSW916" s="7"/>
      <c r="HSX916" s="7"/>
      <c r="HSY916" s="7"/>
      <c r="HSZ916" s="7"/>
      <c r="HTA916" s="7"/>
      <c r="HTB916" s="7"/>
      <c r="HTC916" s="7"/>
      <c r="HTD916" s="7"/>
      <c r="HTE916" s="7"/>
      <c r="HTF916" s="7"/>
      <c r="HTG916" s="7"/>
      <c r="HTH916" s="7"/>
      <c r="HTI916" s="7"/>
      <c r="HTJ916" s="7"/>
      <c r="HTK916" s="7"/>
      <c r="HTL916" s="7"/>
      <c r="HTM916" s="7"/>
      <c r="HTN916" s="7"/>
      <c r="HTO916" s="7"/>
      <c r="HTP916" s="7"/>
      <c r="HTQ916" s="7"/>
      <c r="HTR916" s="7"/>
      <c r="HTS916" s="7"/>
      <c r="HTT916" s="7"/>
      <c r="HTU916" s="7"/>
      <c r="HTV916" s="7"/>
      <c r="HTW916" s="7"/>
      <c r="HTX916" s="7"/>
      <c r="HTY916" s="7"/>
      <c r="HTZ916" s="7"/>
      <c r="HUA916" s="7"/>
      <c r="HUB916" s="7"/>
      <c r="HUC916" s="7"/>
      <c r="HUD916" s="7"/>
      <c r="HUE916" s="7"/>
      <c r="HUF916" s="7"/>
      <c r="HUG916" s="7"/>
      <c r="HUH916" s="7"/>
      <c r="HUI916" s="7"/>
      <c r="HUJ916" s="7"/>
      <c r="HUK916" s="7"/>
      <c r="HUL916" s="7"/>
      <c r="HUM916" s="7"/>
      <c r="HUN916" s="7"/>
      <c r="HUO916" s="7"/>
      <c r="HUP916" s="7"/>
      <c r="HUQ916" s="7"/>
      <c r="HUR916" s="7"/>
      <c r="HUS916" s="7"/>
      <c r="HUT916" s="7"/>
      <c r="HUU916" s="7"/>
      <c r="HUV916" s="7"/>
      <c r="HUW916" s="7"/>
      <c r="HUX916" s="7"/>
      <c r="HUY916" s="7"/>
      <c r="HUZ916" s="7"/>
      <c r="HVA916" s="7"/>
      <c r="HVB916" s="7"/>
      <c r="HVC916" s="7"/>
      <c r="HVD916" s="7"/>
      <c r="HVE916" s="7"/>
      <c r="HVF916" s="7"/>
      <c r="HVG916" s="7"/>
      <c r="HVH916" s="7"/>
      <c r="HVI916" s="7"/>
      <c r="HVJ916" s="7"/>
      <c r="HVK916" s="7"/>
      <c r="HVL916" s="7"/>
      <c r="HVM916" s="7"/>
      <c r="HVN916" s="7"/>
      <c r="HVO916" s="7"/>
      <c r="HVP916" s="7"/>
      <c r="HVQ916" s="7"/>
      <c r="HVR916" s="7"/>
      <c r="HVS916" s="7"/>
      <c r="HVT916" s="7"/>
      <c r="HVU916" s="7"/>
      <c r="HVV916" s="7"/>
      <c r="HVW916" s="7"/>
      <c r="HVX916" s="7"/>
      <c r="HVY916" s="7"/>
      <c r="HVZ916" s="7"/>
      <c r="HWA916" s="7"/>
      <c r="HWB916" s="7"/>
      <c r="HWC916" s="7"/>
      <c r="HWD916" s="7"/>
      <c r="HWE916" s="7"/>
      <c r="HWF916" s="7"/>
      <c r="HWG916" s="7"/>
      <c r="HWH916" s="7"/>
      <c r="HWI916" s="7"/>
      <c r="HWJ916" s="7"/>
      <c r="HWK916" s="7"/>
      <c r="HWL916" s="7"/>
      <c r="HWM916" s="7"/>
      <c r="HWN916" s="7"/>
      <c r="HWO916" s="7"/>
      <c r="HWP916" s="7"/>
      <c r="HWQ916" s="7"/>
      <c r="HWR916" s="7"/>
      <c r="HWS916" s="7"/>
      <c r="HWT916" s="7"/>
      <c r="HWU916" s="7"/>
      <c r="HWV916" s="7"/>
      <c r="HWW916" s="7"/>
      <c r="HWX916" s="7"/>
      <c r="HWY916" s="7"/>
      <c r="HWZ916" s="7"/>
      <c r="HXA916" s="7"/>
      <c r="HXB916" s="7"/>
      <c r="HXC916" s="7"/>
      <c r="HXD916" s="7"/>
      <c r="HXE916" s="7"/>
      <c r="HXF916" s="7"/>
      <c r="HXG916" s="7"/>
      <c r="HXH916" s="7"/>
      <c r="HXI916" s="7"/>
      <c r="HXJ916" s="7"/>
      <c r="HXK916" s="7"/>
      <c r="HXL916" s="7"/>
      <c r="HXM916" s="7"/>
      <c r="HXN916" s="7"/>
      <c r="HXO916" s="7"/>
      <c r="HXP916" s="7"/>
      <c r="HXQ916" s="7"/>
      <c r="HXR916" s="7"/>
      <c r="HXS916" s="7"/>
      <c r="HXT916" s="7"/>
      <c r="HXU916" s="7"/>
      <c r="HXV916" s="7"/>
      <c r="HXW916" s="7"/>
      <c r="HXX916" s="7"/>
      <c r="HXY916" s="7"/>
      <c r="HXZ916" s="7"/>
      <c r="HYA916" s="7"/>
      <c r="HYB916" s="7"/>
      <c r="HYC916" s="7"/>
      <c r="HYD916" s="7"/>
      <c r="HYE916" s="7"/>
      <c r="HYF916" s="7"/>
      <c r="HYG916" s="7"/>
      <c r="HYH916" s="7"/>
      <c r="HYI916" s="7"/>
      <c r="HYJ916" s="7"/>
      <c r="HYK916" s="7"/>
      <c r="HYL916" s="7"/>
      <c r="HYM916" s="7"/>
      <c r="HYN916" s="7"/>
      <c r="HYO916" s="7"/>
      <c r="HYP916" s="7"/>
      <c r="HYQ916" s="7"/>
      <c r="HYR916" s="7"/>
      <c r="HYS916" s="7"/>
      <c r="HYT916" s="7"/>
      <c r="HYU916" s="7"/>
      <c r="HYV916" s="7"/>
      <c r="HYW916" s="7"/>
      <c r="HYX916" s="7"/>
      <c r="HYY916" s="7"/>
      <c r="HYZ916" s="7"/>
      <c r="HZA916" s="7"/>
      <c r="HZB916" s="7"/>
      <c r="HZC916" s="7"/>
      <c r="HZD916" s="7"/>
      <c r="HZE916" s="7"/>
      <c r="HZF916" s="7"/>
      <c r="HZG916" s="7"/>
      <c r="HZH916" s="7"/>
      <c r="HZI916" s="7"/>
      <c r="HZJ916" s="7"/>
      <c r="HZK916" s="7"/>
      <c r="HZL916" s="7"/>
      <c r="HZM916" s="7"/>
      <c r="HZN916" s="7"/>
      <c r="HZO916" s="7"/>
      <c r="HZP916" s="7"/>
      <c r="HZQ916" s="7"/>
      <c r="HZR916" s="7"/>
      <c r="HZS916" s="7"/>
      <c r="HZT916" s="7"/>
      <c r="HZU916" s="7"/>
      <c r="HZV916" s="7"/>
      <c r="HZW916" s="7"/>
      <c r="HZX916" s="7"/>
      <c r="HZY916" s="7"/>
      <c r="HZZ916" s="7"/>
      <c r="IAA916" s="7"/>
      <c r="IAB916" s="7"/>
      <c r="IAC916" s="7"/>
      <c r="IAD916" s="7"/>
      <c r="IAE916" s="7"/>
      <c r="IAF916" s="7"/>
      <c r="IAG916" s="7"/>
      <c r="IAH916" s="7"/>
      <c r="IAI916" s="7"/>
      <c r="IAJ916" s="7"/>
      <c r="IAK916" s="7"/>
      <c r="IAL916" s="7"/>
      <c r="IAM916" s="7"/>
      <c r="IAN916" s="7"/>
      <c r="IAO916" s="7"/>
      <c r="IAP916" s="7"/>
      <c r="IAQ916" s="7"/>
      <c r="IAR916" s="7"/>
      <c r="IAS916" s="7"/>
      <c r="IAT916" s="7"/>
      <c r="IAU916" s="7"/>
      <c r="IAV916" s="7"/>
      <c r="IAW916" s="7"/>
      <c r="IAX916" s="7"/>
      <c r="IAY916" s="7"/>
      <c r="IAZ916" s="7"/>
      <c r="IBA916" s="7"/>
      <c r="IBB916" s="7"/>
      <c r="IBC916" s="7"/>
      <c r="IBD916" s="7"/>
      <c r="IBE916" s="7"/>
      <c r="IBF916" s="7"/>
      <c r="IBG916" s="7"/>
      <c r="IBH916" s="7"/>
      <c r="IBI916" s="7"/>
      <c r="IBJ916" s="7"/>
      <c r="IBK916" s="7"/>
      <c r="IBL916" s="7"/>
      <c r="IBM916" s="7"/>
      <c r="IBN916" s="7"/>
      <c r="IBO916" s="7"/>
      <c r="IBP916" s="7"/>
      <c r="IBQ916" s="7"/>
      <c r="IBR916" s="7"/>
      <c r="IBS916" s="7"/>
      <c r="IBT916" s="7"/>
      <c r="IBU916" s="7"/>
      <c r="IBV916" s="7"/>
      <c r="IBW916" s="7"/>
      <c r="IBX916" s="7"/>
      <c r="IBY916" s="7"/>
      <c r="IBZ916" s="7"/>
      <c r="ICA916" s="7"/>
      <c r="ICB916" s="7"/>
      <c r="ICC916" s="7"/>
      <c r="ICD916" s="7"/>
      <c r="ICE916" s="7"/>
      <c r="ICF916" s="7"/>
      <c r="ICG916" s="7"/>
      <c r="ICH916" s="7"/>
      <c r="ICI916" s="7"/>
      <c r="ICJ916" s="7"/>
      <c r="ICK916" s="7"/>
      <c r="ICL916" s="7"/>
      <c r="ICM916" s="7"/>
      <c r="ICN916" s="7"/>
      <c r="ICO916" s="7"/>
      <c r="ICP916" s="7"/>
      <c r="ICQ916" s="7"/>
      <c r="ICR916" s="7"/>
      <c r="ICS916" s="7"/>
      <c r="ICT916" s="7"/>
      <c r="ICU916" s="7"/>
      <c r="ICV916" s="7"/>
      <c r="ICW916" s="7"/>
      <c r="ICX916" s="7"/>
      <c r="ICY916" s="7"/>
      <c r="ICZ916" s="7"/>
      <c r="IDA916" s="7"/>
      <c r="IDB916" s="7"/>
      <c r="IDC916" s="7"/>
      <c r="IDD916" s="7"/>
      <c r="IDE916" s="7"/>
      <c r="IDF916" s="7"/>
      <c r="IDG916" s="7"/>
      <c r="IDH916" s="7"/>
      <c r="IDI916" s="7"/>
      <c r="IDJ916" s="7"/>
      <c r="IDK916" s="7"/>
      <c r="IDL916" s="7"/>
      <c r="IDM916" s="7"/>
      <c r="IDN916" s="7"/>
      <c r="IDO916" s="7"/>
      <c r="IDP916" s="7"/>
      <c r="IDQ916" s="7"/>
      <c r="IDR916" s="7"/>
      <c r="IDS916" s="7"/>
      <c r="IDT916" s="7"/>
      <c r="IDU916" s="7"/>
      <c r="IDV916" s="7"/>
      <c r="IDW916" s="7"/>
      <c r="IDX916" s="7"/>
      <c r="IDY916" s="7"/>
      <c r="IDZ916" s="7"/>
      <c r="IEA916" s="7"/>
      <c r="IEB916" s="7"/>
      <c r="IEC916" s="7"/>
      <c r="IED916" s="7"/>
      <c r="IEE916" s="7"/>
      <c r="IEF916" s="7"/>
      <c r="IEG916" s="7"/>
      <c r="IEH916" s="7"/>
      <c r="IEI916" s="7"/>
      <c r="IEJ916" s="7"/>
      <c r="IEK916" s="7"/>
      <c r="IEL916" s="7"/>
      <c r="IEM916" s="7"/>
      <c r="IEN916" s="7"/>
      <c r="IEO916" s="7"/>
      <c r="IEP916" s="7"/>
      <c r="IEQ916" s="7"/>
      <c r="IER916" s="7"/>
      <c r="IES916" s="7"/>
      <c r="IET916" s="7"/>
      <c r="IEU916" s="7"/>
      <c r="IEV916" s="7"/>
      <c r="IEW916" s="7"/>
      <c r="IEX916" s="7"/>
      <c r="IEY916" s="7"/>
      <c r="IEZ916" s="7"/>
      <c r="IFA916" s="7"/>
      <c r="IFB916" s="7"/>
      <c r="IFC916" s="7"/>
      <c r="IFD916" s="7"/>
      <c r="IFE916" s="7"/>
      <c r="IFF916" s="7"/>
      <c r="IFG916" s="7"/>
      <c r="IFH916" s="7"/>
      <c r="IFI916" s="7"/>
      <c r="IFJ916" s="7"/>
      <c r="IFK916" s="7"/>
      <c r="IFL916" s="7"/>
      <c r="IFM916" s="7"/>
      <c r="IFN916" s="7"/>
      <c r="IFO916" s="7"/>
      <c r="IFP916" s="7"/>
      <c r="IFQ916" s="7"/>
      <c r="IFR916" s="7"/>
      <c r="IFS916" s="7"/>
      <c r="IFT916" s="7"/>
      <c r="IFU916" s="7"/>
      <c r="IFV916" s="7"/>
      <c r="IFW916" s="7"/>
      <c r="IFX916" s="7"/>
      <c r="IFY916" s="7"/>
      <c r="IFZ916" s="7"/>
      <c r="IGA916" s="7"/>
      <c r="IGB916" s="7"/>
      <c r="IGC916" s="7"/>
      <c r="IGD916" s="7"/>
      <c r="IGE916" s="7"/>
      <c r="IGF916" s="7"/>
      <c r="IGG916" s="7"/>
      <c r="IGH916" s="7"/>
      <c r="IGI916" s="7"/>
      <c r="IGJ916" s="7"/>
      <c r="IGK916" s="7"/>
      <c r="IGL916" s="7"/>
      <c r="IGM916" s="7"/>
      <c r="IGN916" s="7"/>
      <c r="IGO916" s="7"/>
      <c r="IGP916" s="7"/>
      <c r="IGQ916" s="7"/>
      <c r="IGR916" s="7"/>
      <c r="IGS916" s="7"/>
      <c r="IGT916" s="7"/>
      <c r="IGU916" s="7"/>
      <c r="IGV916" s="7"/>
      <c r="IGW916" s="7"/>
      <c r="IGX916" s="7"/>
      <c r="IGY916" s="7"/>
      <c r="IGZ916" s="7"/>
      <c r="IHA916" s="7"/>
      <c r="IHB916" s="7"/>
      <c r="IHC916" s="7"/>
      <c r="IHD916" s="7"/>
      <c r="IHE916" s="7"/>
      <c r="IHF916" s="7"/>
      <c r="IHG916" s="7"/>
      <c r="IHH916" s="7"/>
      <c r="IHI916" s="7"/>
      <c r="IHJ916" s="7"/>
      <c r="IHK916" s="7"/>
      <c r="IHL916" s="7"/>
      <c r="IHM916" s="7"/>
      <c r="IHN916" s="7"/>
      <c r="IHO916" s="7"/>
      <c r="IHP916" s="7"/>
      <c r="IHQ916" s="7"/>
      <c r="IHR916" s="7"/>
      <c r="IHS916" s="7"/>
      <c r="IHT916" s="7"/>
      <c r="IHU916" s="7"/>
      <c r="IHV916" s="7"/>
      <c r="IHW916" s="7"/>
      <c r="IHX916" s="7"/>
      <c r="IHY916" s="7"/>
      <c r="IHZ916" s="7"/>
      <c r="IIA916" s="7"/>
      <c r="IIB916" s="7"/>
      <c r="IIC916" s="7"/>
      <c r="IID916" s="7"/>
      <c r="IIE916" s="7"/>
      <c r="IIF916" s="7"/>
      <c r="IIG916" s="7"/>
      <c r="IIH916" s="7"/>
      <c r="III916" s="7"/>
      <c r="IIJ916" s="7"/>
      <c r="IIK916" s="7"/>
      <c r="IIL916" s="7"/>
      <c r="IIM916" s="7"/>
      <c r="IIN916" s="7"/>
      <c r="IIO916" s="7"/>
      <c r="IIP916" s="7"/>
      <c r="IIQ916" s="7"/>
      <c r="IIR916" s="7"/>
      <c r="IIS916" s="7"/>
      <c r="IIT916" s="7"/>
      <c r="IIU916" s="7"/>
      <c r="IIV916" s="7"/>
      <c r="IIW916" s="7"/>
      <c r="IIX916" s="7"/>
      <c r="IIY916" s="7"/>
      <c r="IIZ916" s="7"/>
      <c r="IJA916" s="7"/>
      <c r="IJB916" s="7"/>
      <c r="IJC916" s="7"/>
      <c r="IJD916" s="7"/>
      <c r="IJE916" s="7"/>
      <c r="IJF916" s="7"/>
      <c r="IJG916" s="7"/>
      <c r="IJH916" s="7"/>
      <c r="IJI916" s="7"/>
      <c r="IJJ916" s="7"/>
      <c r="IJK916" s="7"/>
      <c r="IJL916" s="7"/>
      <c r="IJM916" s="7"/>
      <c r="IJN916" s="7"/>
      <c r="IJO916" s="7"/>
      <c r="IJP916" s="7"/>
      <c r="IJQ916" s="7"/>
      <c r="IJR916" s="7"/>
      <c r="IJS916" s="7"/>
      <c r="IJT916" s="7"/>
      <c r="IJU916" s="7"/>
      <c r="IJV916" s="7"/>
      <c r="IJW916" s="7"/>
      <c r="IJX916" s="7"/>
      <c r="IJY916" s="7"/>
      <c r="IJZ916" s="7"/>
      <c r="IKA916" s="7"/>
      <c r="IKB916" s="7"/>
      <c r="IKC916" s="7"/>
      <c r="IKD916" s="7"/>
      <c r="IKE916" s="7"/>
      <c r="IKF916" s="7"/>
      <c r="IKG916" s="7"/>
      <c r="IKH916" s="7"/>
      <c r="IKI916" s="7"/>
      <c r="IKJ916" s="7"/>
      <c r="IKK916" s="7"/>
      <c r="IKL916" s="7"/>
      <c r="IKM916" s="7"/>
      <c r="IKN916" s="7"/>
      <c r="IKO916" s="7"/>
      <c r="IKP916" s="7"/>
      <c r="IKQ916" s="7"/>
      <c r="IKR916" s="7"/>
      <c r="IKS916" s="7"/>
      <c r="IKT916" s="7"/>
      <c r="IKU916" s="7"/>
      <c r="IKV916" s="7"/>
      <c r="IKW916" s="7"/>
      <c r="IKX916" s="7"/>
      <c r="IKY916" s="7"/>
      <c r="IKZ916" s="7"/>
      <c r="ILA916" s="7"/>
      <c r="ILB916" s="7"/>
      <c r="ILC916" s="7"/>
      <c r="ILD916" s="7"/>
      <c r="ILE916" s="7"/>
      <c r="ILF916" s="7"/>
      <c r="ILG916" s="7"/>
      <c r="ILH916" s="7"/>
      <c r="ILI916" s="7"/>
      <c r="ILJ916" s="7"/>
      <c r="ILK916" s="7"/>
      <c r="ILL916" s="7"/>
      <c r="ILM916" s="7"/>
      <c r="ILN916" s="7"/>
      <c r="ILO916" s="7"/>
      <c r="ILP916" s="7"/>
      <c r="ILQ916" s="7"/>
      <c r="ILR916" s="7"/>
      <c r="ILS916" s="7"/>
      <c r="ILT916" s="7"/>
      <c r="ILU916" s="7"/>
      <c r="ILV916" s="7"/>
      <c r="ILW916" s="7"/>
      <c r="ILX916" s="7"/>
      <c r="ILY916" s="7"/>
      <c r="ILZ916" s="7"/>
      <c r="IMA916" s="7"/>
      <c r="IMB916" s="7"/>
      <c r="IMC916" s="7"/>
      <c r="IMD916" s="7"/>
      <c r="IME916" s="7"/>
      <c r="IMF916" s="7"/>
      <c r="IMG916" s="7"/>
      <c r="IMH916" s="7"/>
      <c r="IMI916" s="7"/>
      <c r="IMJ916" s="7"/>
      <c r="IMK916" s="7"/>
      <c r="IML916" s="7"/>
      <c r="IMM916" s="7"/>
      <c r="IMN916" s="7"/>
      <c r="IMO916" s="7"/>
      <c r="IMP916" s="7"/>
      <c r="IMQ916" s="7"/>
      <c r="IMR916" s="7"/>
      <c r="IMS916" s="7"/>
      <c r="IMT916" s="7"/>
      <c r="IMU916" s="7"/>
      <c r="IMV916" s="7"/>
      <c r="IMW916" s="7"/>
      <c r="IMX916" s="7"/>
      <c r="IMY916" s="7"/>
      <c r="IMZ916" s="7"/>
      <c r="INA916" s="7"/>
      <c r="INB916" s="7"/>
      <c r="INC916" s="7"/>
      <c r="IND916" s="7"/>
      <c r="INE916" s="7"/>
      <c r="INF916" s="7"/>
      <c r="ING916" s="7"/>
      <c r="INH916" s="7"/>
      <c r="INI916" s="7"/>
      <c r="INJ916" s="7"/>
      <c r="INK916" s="7"/>
      <c r="INL916" s="7"/>
      <c r="INM916" s="7"/>
      <c r="INN916" s="7"/>
      <c r="INO916" s="7"/>
      <c r="INP916" s="7"/>
      <c r="INQ916" s="7"/>
      <c r="INR916" s="7"/>
      <c r="INS916" s="7"/>
      <c r="INT916" s="7"/>
      <c r="INU916" s="7"/>
      <c r="INV916" s="7"/>
      <c r="INW916" s="7"/>
      <c r="INX916" s="7"/>
      <c r="INY916" s="7"/>
      <c r="INZ916" s="7"/>
      <c r="IOA916" s="7"/>
      <c r="IOB916" s="7"/>
      <c r="IOC916" s="7"/>
      <c r="IOD916" s="7"/>
      <c r="IOE916" s="7"/>
      <c r="IOF916" s="7"/>
      <c r="IOG916" s="7"/>
      <c r="IOH916" s="7"/>
      <c r="IOI916" s="7"/>
      <c r="IOJ916" s="7"/>
      <c r="IOK916" s="7"/>
      <c r="IOL916" s="7"/>
      <c r="IOM916" s="7"/>
      <c r="ION916" s="7"/>
      <c r="IOO916" s="7"/>
      <c r="IOP916" s="7"/>
      <c r="IOQ916" s="7"/>
      <c r="IOR916" s="7"/>
      <c r="IOS916" s="7"/>
      <c r="IOT916" s="7"/>
      <c r="IOU916" s="7"/>
      <c r="IOV916" s="7"/>
      <c r="IOW916" s="7"/>
      <c r="IOX916" s="7"/>
      <c r="IOY916" s="7"/>
      <c r="IOZ916" s="7"/>
      <c r="IPA916" s="7"/>
      <c r="IPB916" s="7"/>
      <c r="IPC916" s="7"/>
      <c r="IPD916" s="7"/>
      <c r="IPE916" s="7"/>
      <c r="IPF916" s="7"/>
      <c r="IPG916" s="7"/>
      <c r="IPH916" s="7"/>
      <c r="IPI916" s="7"/>
      <c r="IPJ916" s="7"/>
      <c r="IPK916" s="7"/>
      <c r="IPL916" s="7"/>
      <c r="IPM916" s="7"/>
      <c r="IPN916" s="7"/>
      <c r="IPO916" s="7"/>
      <c r="IPP916" s="7"/>
      <c r="IPQ916" s="7"/>
      <c r="IPR916" s="7"/>
      <c r="IPS916" s="7"/>
      <c r="IPT916" s="7"/>
      <c r="IPU916" s="7"/>
      <c r="IPV916" s="7"/>
      <c r="IPW916" s="7"/>
      <c r="IPX916" s="7"/>
      <c r="IPY916" s="7"/>
      <c r="IPZ916" s="7"/>
      <c r="IQA916" s="7"/>
      <c r="IQB916" s="7"/>
      <c r="IQC916" s="7"/>
      <c r="IQD916" s="7"/>
      <c r="IQE916" s="7"/>
      <c r="IQF916" s="7"/>
      <c r="IQG916" s="7"/>
      <c r="IQH916" s="7"/>
      <c r="IQI916" s="7"/>
      <c r="IQJ916" s="7"/>
      <c r="IQK916" s="7"/>
      <c r="IQL916" s="7"/>
      <c r="IQM916" s="7"/>
      <c r="IQN916" s="7"/>
      <c r="IQO916" s="7"/>
      <c r="IQP916" s="7"/>
      <c r="IQQ916" s="7"/>
      <c r="IQR916" s="7"/>
      <c r="IQS916" s="7"/>
      <c r="IQT916" s="7"/>
      <c r="IQU916" s="7"/>
      <c r="IQV916" s="7"/>
      <c r="IQW916" s="7"/>
      <c r="IQX916" s="7"/>
      <c r="IQY916" s="7"/>
      <c r="IQZ916" s="7"/>
      <c r="IRA916" s="7"/>
      <c r="IRB916" s="7"/>
      <c r="IRC916" s="7"/>
      <c r="IRD916" s="7"/>
      <c r="IRE916" s="7"/>
      <c r="IRF916" s="7"/>
      <c r="IRG916" s="7"/>
      <c r="IRH916" s="7"/>
      <c r="IRI916" s="7"/>
      <c r="IRJ916" s="7"/>
      <c r="IRK916" s="7"/>
      <c r="IRL916" s="7"/>
      <c r="IRM916" s="7"/>
      <c r="IRN916" s="7"/>
      <c r="IRO916" s="7"/>
      <c r="IRP916" s="7"/>
      <c r="IRQ916" s="7"/>
      <c r="IRR916" s="7"/>
      <c r="IRS916" s="7"/>
      <c r="IRT916" s="7"/>
      <c r="IRU916" s="7"/>
      <c r="IRV916" s="7"/>
      <c r="IRW916" s="7"/>
      <c r="IRX916" s="7"/>
      <c r="IRY916" s="7"/>
      <c r="IRZ916" s="7"/>
      <c r="ISA916" s="7"/>
      <c r="ISB916" s="7"/>
      <c r="ISC916" s="7"/>
      <c r="ISD916" s="7"/>
      <c r="ISE916" s="7"/>
      <c r="ISF916" s="7"/>
      <c r="ISG916" s="7"/>
      <c r="ISH916" s="7"/>
      <c r="ISI916" s="7"/>
      <c r="ISJ916" s="7"/>
      <c r="ISK916" s="7"/>
      <c r="ISL916" s="7"/>
      <c r="ISM916" s="7"/>
      <c r="ISN916" s="7"/>
      <c r="ISO916" s="7"/>
      <c r="ISP916" s="7"/>
      <c r="ISQ916" s="7"/>
      <c r="ISR916" s="7"/>
      <c r="ISS916" s="7"/>
      <c r="IST916" s="7"/>
      <c r="ISU916" s="7"/>
      <c r="ISV916" s="7"/>
      <c r="ISW916" s="7"/>
      <c r="ISX916" s="7"/>
      <c r="ISY916" s="7"/>
      <c r="ISZ916" s="7"/>
      <c r="ITA916" s="7"/>
      <c r="ITB916" s="7"/>
      <c r="ITC916" s="7"/>
      <c r="ITD916" s="7"/>
      <c r="ITE916" s="7"/>
      <c r="ITF916" s="7"/>
      <c r="ITG916" s="7"/>
      <c r="ITH916" s="7"/>
      <c r="ITI916" s="7"/>
      <c r="ITJ916" s="7"/>
      <c r="ITK916" s="7"/>
      <c r="ITL916" s="7"/>
      <c r="ITM916" s="7"/>
      <c r="ITN916" s="7"/>
      <c r="ITO916" s="7"/>
      <c r="ITP916" s="7"/>
      <c r="ITQ916" s="7"/>
      <c r="ITR916" s="7"/>
      <c r="ITS916" s="7"/>
      <c r="ITT916" s="7"/>
      <c r="ITU916" s="7"/>
      <c r="ITV916" s="7"/>
      <c r="ITW916" s="7"/>
      <c r="ITX916" s="7"/>
      <c r="ITY916" s="7"/>
      <c r="ITZ916" s="7"/>
      <c r="IUA916" s="7"/>
      <c r="IUB916" s="7"/>
      <c r="IUC916" s="7"/>
      <c r="IUD916" s="7"/>
      <c r="IUE916" s="7"/>
      <c r="IUF916" s="7"/>
      <c r="IUG916" s="7"/>
      <c r="IUH916" s="7"/>
      <c r="IUI916" s="7"/>
      <c r="IUJ916" s="7"/>
      <c r="IUK916" s="7"/>
      <c r="IUL916" s="7"/>
      <c r="IUM916" s="7"/>
      <c r="IUN916" s="7"/>
      <c r="IUO916" s="7"/>
      <c r="IUP916" s="7"/>
      <c r="IUQ916" s="7"/>
      <c r="IUR916" s="7"/>
      <c r="IUS916" s="7"/>
      <c r="IUT916" s="7"/>
      <c r="IUU916" s="7"/>
      <c r="IUV916" s="7"/>
      <c r="IUW916" s="7"/>
      <c r="IUX916" s="7"/>
      <c r="IUY916" s="7"/>
      <c r="IUZ916" s="7"/>
      <c r="IVA916" s="7"/>
      <c r="IVB916" s="7"/>
      <c r="IVC916" s="7"/>
      <c r="IVD916" s="7"/>
      <c r="IVE916" s="7"/>
      <c r="IVF916" s="7"/>
      <c r="IVG916" s="7"/>
      <c r="IVH916" s="7"/>
      <c r="IVI916" s="7"/>
      <c r="IVJ916" s="7"/>
      <c r="IVK916" s="7"/>
      <c r="IVL916" s="7"/>
      <c r="IVM916" s="7"/>
      <c r="IVN916" s="7"/>
      <c r="IVO916" s="7"/>
      <c r="IVP916" s="7"/>
      <c r="IVQ916" s="7"/>
      <c r="IVR916" s="7"/>
      <c r="IVS916" s="7"/>
      <c r="IVT916" s="7"/>
      <c r="IVU916" s="7"/>
      <c r="IVV916" s="7"/>
      <c r="IVW916" s="7"/>
      <c r="IVX916" s="7"/>
      <c r="IVY916" s="7"/>
      <c r="IVZ916" s="7"/>
      <c r="IWA916" s="7"/>
      <c r="IWB916" s="7"/>
      <c r="IWC916" s="7"/>
      <c r="IWD916" s="7"/>
      <c r="IWE916" s="7"/>
      <c r="IWF916" s="7"/>
      <c r="IWG916" s="7"/>
      <c r="IWH916" s="7"/>
      <c r="IWI916" s="7"/>
      <c r="IWJ916" s="7"/>
      <c r="IWK916" s="7"/>
      <c r="IWL916" s="7"/>
      <c r="IWM916" s="7"/>
      <c r="IWN916" s="7"/>
      <c r="IWO916" s="7"/>
      <c r="IWP916" s="7"/>
      <c r="IWQ916" s="7"/>
      <c r="IWR916" s="7"/>
      <c r="IWS916" s="7"/>
      <c r="IWT916" s="7"/>
      <c r="IWU916" s="7"/>
      <c r="IWV916" s="7"/>
      <c r="IWW916" s="7"/>
      <c r="IWX916" s="7"/>
      <c r="IWY916" s="7"/>
      <c r="IWZ916" s="7"/>
      <c r="IXA916" s="7"/>
      <c r="IXB916" s="7"/>
      <c r="IXC916" s="7"/>
      <c r="IXD916" s="7"/>
      <c r="IXE916" s="7"/>
      <c r="IXF916" s="7"/>
      <c r="IXG916" s="7"/>
      <c r="IXH916" s="7"/>
      <c r="IXI916" s="7"/>
      <c r="IXJ916" s="7"/>
      <c r="IXK916" s="7"/>
      <c r="IXL916" s="7"/>
      <c r="IXM916" s="7"/>
      <c r="IXN916" s="7"/>
      <c r="IXO916" s="7"/>
      <c r="IXP916" s="7"/>
      <c r="IXQ916" s="7"/>
      <c r="IXR916" s="7"/>
      <c r="IXS916" s="7"/>
      <c r="IXT916" s="7"/>
      <c r="IXU916" s="7"/>
      <c r="IXV916" s="7"/>
      <c r="IXW916" s="7"/>
      <c r="IXX916" s="7"/>
      <c r="IXY916" s="7"/>
      <c r="IXZ916" s="7"/>
      <c r="IYA916" s="7"/>
      <c r="IYB916" s="7"/>
      <c r="IYC916" s="7"/>
      <c r="IYD916" s="7"/>
      <c r="IYE916" s="7"/>
      <c r="IYF916" s="7"/>
      <c r="IYG916" s="7"/>
      <c r="IYH916" s="7"/>
      <c r="IYI916" s="7"/>
      <c r="IYJ916" s="7"/>
      <c r="IYK916" s="7"/>
      <c r="IYL916" s="7"/>
      <c r="IYM916" s="7"/>
      <c r="IYN916" s="7"/>
      <c r="IYO916" s="7"/>
      <c r="IYP916" s="7"/>
      <c r="IYQ916" s="7"/>
      <c r="IYR916" s="7"/>
      <c r="IYS916" s="7"/>
      <c r="IYT916" s="7"/>
      <c r="IYU916" s="7"/>
      <c r="IYV916" s="7"/>
      <c r="IYW916" s="7"/>
      <c r="IYX916" s="7"/>
      <c r="IYY916" s="7"/>
      <c r="IYZ916" s="7"/>
      <c r="IZA916" s="7"/>
      <c r="IZB916" s="7"/>
      <c r="IZC916" s="7"/>
      <c r="IZD916" s="7"/>
      <c r="IZE916" s="7"/>
      <c r="IZF916" s="7"/>
      <c r="IZG916" s="7"/>
      <c r="IZH916" s="7"/>
      <c r="IZI916" s="7"/>
      <c r="IZJ916" s="7"/>
      <c r="IZK916" s="7"/>
      <c r="IZL916" s="7"/>
      <c r="IZM916" s="7"/>
      <c r="IZN916" s="7"/>
      <c r="IZO916" s="7"/>
      <c r="IZP916" s="7"/>
      <c r="IZQ916" s="7"/>
      <c r="IZR916" s="7"/>
      <c r="IZS916" s="7"/>
      <c r="IZT916" s="7"/>
      <c r="IZU916" s="7"/>
      <c r="IZV916" s="7"/>
      <c r="IZW916" s="7"/>
      <c r="IZX916" s="7"/>
      <c r="IZY916" s="7"/>
      <c r="IZZ916" s="7"/>
      <c r="JAA916" s="7"/>
      <c r="JAB916" s="7"/>
      <c r="JAC916" s="7"/>
      <c r="JAD916" s="7"/>
      <c r="JAE916" s="7"/>
      <c r="JAF916" s="7"/>
      <c r="JAG916" s="7"/>
      <c r="JAH916" s="7"/>
      <c r="JAI916" s="7"/>
      <c r="JAJ916" s="7"/>
      <c r="JAK916" s="7"/>
      <c r="JAL916" s="7"/>
      <c r="JAM916" s="7"/>
      <c r="JAN916" s="7"/>
      <c r="JAO916" s="7"/>
      <c r="JAP916" s="7"/>
      <c r="JAQ916" s="7"/>
      <c r="JAR916" s="7"/>
      <c r="JAS916" s="7"/>
      <c r="JAT916" s="7"/>
      <c r="JAU916" s="7"/>
      <c r="JAV916" s="7"/>
      <c r="JAW916" s="7"/>
      <c r="JAX916" s="7"/>
      <c r="JAY916" s="7"/>
      <c r="JAZ916" s="7"/>
      <c r="JBA916" s="7"/>
      <c r="JBB916" s="7"/>
      <c r="JBC916" s="7"/>
      <c r="JBD916" s="7"/>
      <c r="JBE916" s="7"/>
      <c r="JBF916" s="7"/>
      <c r="JBG916" s="7"/>
      <c r="JBH916" s="7"/>
      <c r="JBI916" s="7"/>
      <c r="JBJ916" s="7"/>
      <c r="JBK916" s="7"/>
      <c r="JBL916" s="7"/>
      <c r="JBM916" s="7"/>
      <c r="JBN916" s="7"/>
      <c r="JBO916" s="7"/>
      <c r="JBP916" s="7"/>
      <c r="JBQ916" s="7"/>
      <c r="JBR916" s="7"/>
      <c r="JBS916" s="7"/>
      <c r="JBT916" s="7"/>
      <c r="JBU916" s="7"/>
      <c r="JBV916" s="7"/>
      <c r="JBW916" s="7"/>
      <c r="JBX916" s="7"/>
      <c r="JBY916" s="7"/>
      <c r="JBZ916" s="7"/>
      <c r="JCA916" s="7"/>
      <c r="JCB916" s="7"/>
      <c r="JCC916" s="7"/>
      <c r="JCD916" s="7"/>
      <c r="JCE916" s="7"/>
      <c r="JCF916" s="7"/>
      <c r="JCG916" s="7"/>
      <c r="JCH916" s="7"/>
      <c r="JCI916" s="7"/>
      <c r="JCJ916" s="7"/>
      <c r="JCK916" s="7"/>
      <c r="JCL916" s="7"/>
      <c r="JCM916" s="7"/>
      <c r="JCN916" s="7"/>
      <c r="JCO916" s="7"/>
      <c r="JCP916" s="7"/>
      <c r="JCQ916" s="7"/>
      <c r="JCR916" s="7"/>
      <c r="JCS916" s="7"/>
      <c r="JCT916" s="7"/>
      <c r="JCU916" s="7"/>
      <c r="JCV916" s="7"/>
      <c r="JCW916" s="7"/>
      <c r="JCX916" s="7"/>
      <c r="JCY916" s="7"/>
      <c r="JCZ916" s="7"/>
      <c r="JDA916" s="7"/>
      <c r="JDB916" s="7"/>
      <c r="JDC916" s="7"/>
      <c r="JDD916" s="7"/>
      <c r="JDE916" s="7"/>
      <c r="JDF916" s="7"/>
      <c r="JDG916" s="7"/>
      <c r="JDH916" s="7"/>
      <c r="JDI916" s="7"/>
      <c r="JDJ916" s="7"/>
      <c r="JDK916" s="7"/>
      <c r="JDL916" s="7"/>
      <c r="JDM916" s="7"/>
      <c r="JDN916" s="7"/>
      <c r="JDO916" s="7"/>
      <c r="JDP916" s="7"/>
      <c r="JDQ916" s="7"/>
      <c r="JDR916" s="7"/>
      <c r="JDS916" s="7"/>
      <c r="JDT916" s="7"/>
      <c r="JDU916" s="7"/>
      <c r="JDV916" s="7"/>
      <c r="JDW916" s="7"/>
      <c r="JDX916" s="7"/>
      <c r="JDY916" s="7"/>
      <c r="JDZ916" s="7"/>
      <c r="JEA916" s="7"/>
      <c r="JEB916" s="7"/>
      <c r="JEC916" s="7"/>
      <c r="JED916" s="7"/>
      <c r="JEE916" s="7"/>
      <c r="JEF916" s="7"/>
      <c r="JEG916" s="7"/>
      <c r="JEH916" s="7"/>
      <c r="JEI916" s="7"/>
      <c r="JEJ916" s="7"/>
      <c r="JEK916" s="7"/>
      <c r="JEL916" s="7"/>
      <c r="JEM916" s="7"/>
      <c r="JEN916" s="7"/>
      <c r="JEO916" s="7"/>
      <c r="JEP916" s="7"/>
      <c r="JEQ916" s="7"/>
      <c r="JER916" s="7"/>
      <c r="JES916" s="7"/>
      <c r="JET916" s="7"/>
      <c r="JEU916" s="7"/>
      <c r="JEV916" s="7"/>
      <c r="JEW916" s="7"/>
      <c r="JEX916" s="7"/>
      <c r="JEY916" s="7"/>
      <c r="JEZ916" s="7"/>
      <c r="JFA916" s="7"/>
      <c r="JFB916" s="7"/>
      <c r="JFC916" s="7"/>
      <c r="JFD916" s="7"/>
      <c r="JFE916" s="7"/>
      <c r="JFF916" s="7"/>
      <c r="JFG916" s="7"/>
      <c r="JFH916" s="7"/>
      <c r="JFI916" s="7"/>
      <c r="JFJ916" s="7"/>
      <c r="JFK916" s="7"/>
      <c r="JFL916" s="7"/>
      <c r="JFM916" s="7"/>
      <c r="JFN916" s="7"/>
      <c r="JFO916" s="7"/>
      <c r="JFP916" s="7"/>
      <c r="JFQ916" s="7"/>
      <c r="JFR916" s="7"/>
      <c r="JFS916" s="7"/>
      <c r="JFT916" s="7"/>
      <c r="JFU916" s="7"/>
      <c r="JFV916" s="7"/>
      <c r="JFW916" s="7"/>
      <c r="JFX916" s="7"/>
      <c r="JFY916" s="7"/>
      <c r="JFZ916" s="7"/>
      <c r="JGA916" s="7"/>
      <c r="JGB916" s="7"/>
      <c r="JGC916" s="7"/>
      <c r="JGD916" s="7"/>
      <c r="JGE916" s="7"/>
      <c r="JGF916" s="7"/>
      <c r="JGG916" s="7"/>
      <c r="JGH916" s="7"/>
      <c r="JGI916" s="7"/>
      <c r="JGJ916" s="7"/>
      <c r="JGK916" s="7"/>
      <c r="JGL916" s="7"/>
      <c r="JGM916" s="7"/>
      <c r="JGN916" s="7"/>
      <c r="JGO916" s="7"/>
      <c r="JGP916" s="7"/>
      <c r="JGQ916" s="7"/>
      <c r="JGR916" s="7"/>
      <c r="JGS916" s="7"/>
      <c r="JGT916" s="7"/>
      <c r="JGU916" s="7"/>
      <c r="JGV916" s="7"/>
      <c r="JGW916" s="7"/>
      <c r="JGX916" s="7"/>
      <c r="JGY916" s="7"/>
      <c r="JGZ916" s="7"/>
      <c r="JHA916" s="7"/>
      <c r="JHB916" s="7"/>
      <c r="JHC916" s="7"/>
      <c r="JHD916" s="7"/>
      <c r="JHE916" s="7"/>
      <c r="JHF916" s="7"/>
      <c r="JHG916" s="7"/>
      <c r="JHH916" s="7"/>
      <c r="JHI916" s="7"/>
      <c r="JHJ916" s="7"/>
      <c r="JHK916" s="7"/>
      <c r="JHL916" s="7"/>
      <c r="JHM916" s="7"/>
      <c r="JHN916" s="7"/>
      <c r="JHO916" s="7"/>
      <c r="JHP916" s="7"/>
      <c r="JHQ916" s="7"/>
      <c r="JHR916" s="7"/>
      <c r="JHS916" s="7"/>
      <c r="JHT916" s="7"/>
      <c r="JHU916" s="7"/>
      <c r="JHV916" s="7"/>
      <c r="JHW916" s="7"/>
      <c r="JHX916" s="7"/>
      <c r="JHY916" s="7"/>
      <c r="JHZ916" s="7"/>
      <c r="JIA916" s="7"/>
      <c r="JIB916" s="7"/>
      <c r="JIC916" s="7"/>
      <c r="JID916" s="7"/>
      <c r="JIE916" s="7"/>
      <c r="JIF916" s="7"/>
      <c r="JIG916" s="7"/>
      <c r="JIH916" s="7"/>
      <c r="JII916" s="7"/>
      <c r="JIJ916" s="7"/>
      <c r="JIK916" s="7"/>
      <c r="JIL916" s="7"/>
      <c r="JIM916" s="7"/>
      <c r="JIN916" s="7"/>
      <c r="JIO916" s="7"/>
      <c r="JIP916" s="7"/>
      <c r="JIQ916" s="7"/>
      <c r="JIR916" s="7"/>
      <c r="JIS916" s="7"/>
      <c r="JIT916" s="7"/>
      <c r="JIU916" s="7"/>
      <c r="JIV916" s="7"/>
      <c r="JIW916" s="7"/>
      <c r="JIX916" s="7"/>
      <c r="JIY916" s="7"/>
      <c r="JIZ916" s="7"/>
      <c r="JJA916" s="7"/>
      <c r="JJB916" s="7"/>
      <c r="JJC916" s="7"/>
      <c r="JJD916" s="7"/>
      <c r="JJE916" s="7"/>
      <c r="JJF916" s="7"/>
      <c r="JJG916" s="7"/>
      <c r="JJH916" s="7"/>
      <c r="JJI916" s="7"/>
      <c r="JJJ916" s="7"/>
      <c r="JJK916" s="7"/>
      <c r="JJL916" s="7"/>
      <c r="JJM916" s="7"/>
      <c r="JJN916" s="7"/>
      <c r="JJO916" s="7"/>
      <c r="JJP916" s="7"/>
      <c r="JJQ916" s="7"/>
      <c r="JJR916" s="7"/>
      <c r="JJS916" s="7"/>
      <c r="JJT916" s="7"/>
      <c r="JJU916" s="7"/>
      <c r="JJV916" s="7"/>
      <c r="JJW916" s="7"/>
      <c r="JJX916" s="7"/>
      <c r="JJY916" s="7"/>
      <c r="JJZ916" s="7"/>
      <c r="JKA916" s="7"/>
      <c r="JKB916" s="7"/>
      <c r="JKC916" s="7"/>
      <c r="JKD916" s="7"/>
      <c r="JKE916" s="7"/>
      <c r="JKF916" s="7"/>
      <c r="JKG916" s="7"/>
      <c r="JKH916" s="7"/>
      <c r="JKI916" s="7"/>
      <c r="JKJ916" s="7"/>
      <c r="JKK916" s="7"/>
      <c r="JKL916" s="7"/>
      <c r="JKM916" s="7"/>
      <c r="JKN916" s="7"/>
      <c r="JKO916" s="7"/>
      <c r="JKP916" s="7"/>
      <c r="JKQ916" s="7"/>
      <c r="JKR916" s="7"/>
      <c r="JKS916" s="7"/>
      <c r="JKT916" s="7"/>
      <c r="JKU916" s="7"/>
      <c r="JKV916" s="7"/>
      <c r="JKW916" s="7"/>
      <c r="JKX916" s="7"/>
      <c r="JKY916" s="7"/>
      <c r="JKZ916" s="7"/>
      <c r="JLA916" s="7"/>
      <c r="JLB916" s="7"/>
      <c r="JLC916" s="7"/>
      <c r="JLD916" s="7"/>
      <c r="JLE916" s="7"/>
      <c r="JLF916" s="7"/>
      <c r="JLG916" s="7"/>
      <c r="JLH916" s="7"/>
      <c r="JLI916" s="7"/>
      <c r="JLJ916" s="7"/>
      <c r="JLK916" s="7"/>
      <c r="JLL916" s="7"/>
      <c r="JLM916" s="7"/>
      <c r="JLN916" s="7"/>
      <c r="JLO916" s="7"/>
      <c r="JLP916" s="7"/>
      <c r="JLQ916" s="7"/>
      <c r="JLR916" s="7"/>
      <c r="JLS916" s="7"/>
      <c r="JLT916" s="7"/>
      <c r="JLU916" s="7"/>
      <c r="JLV916" s="7"/>
      <c r="JLW916" s="7"/>
      <c r="JLX916" s="7"/>
      <c r="JLY916" s="7"/>
      <c r="JLZ916" s="7"/>
      <c r="JMA916" s="7"/>
      <c r="JMB916" s="7"/>
      <c r="JMC916" s="7"/>
      <c r="JMD916" s="7"/>
      <c r="JME916" s="7"/>
      <c r="JMF916" s="7"/>
      <c r="JMG916" s="7"/>
      <c r="JMH916" s="7"/>
      <c r="JMI916" s="7"/>
      <c r="JMJ916" s="7"/>
      <c r="JMK916" s="7"/>
      <c r="JML916" s="7"/>
      <c r="JMM916" s="7"/>
      <c r="JMN916" s="7"/>
      <c r="JMO916" s="7"/>
      <c r="JMP916" s="7"/>
      <c r="JMQ916" s="7"/>
      <c r="JMR916" s="7"/>
      <c r="JMS916" s="7"/>
      <c r="JMT916" s="7"/>
      <c r="JMU916" s="7"/>
      <c r="JMV916" s="7"/>
      <c r="JMW916" s="7"/>
      <c r="JMX916" s="7"/>
      <c r="JMY916" s="7"/>
      <c r="JMZ916" s="7"/>
      <c r="JNA916" s="7"/>
      <c r="JNB916" s="7"/>
      <c r="JNC916" s="7"/>
      <c r="JND916" s="7"/>
      <c r="JNE916" s="7"/>
      <c r="JNF916" s="7"/>
      <c r="JNG916" s="7"/>
      <c r="JNH916" s="7"/>
      <c r="JNI916" s="7"/>
      <c r="JNJ916" s="7"/>
      <c r="JNK916" s="7"/>
      <c r="JNL916" s="7"/>
      <c r="JNM916" s="7"/>
      <c r="JNN916" s="7"/>
      <c r="JNO916" s="7"/>
      <c r="JNP916" s="7"/>
      <c r="JNQ916" s="7"/>
      <c r="JNR916" s="7"/>
      <c r="JNS916" s="7"/>
      <c r="JNT916" s="7"/>
      <c r="JNU916" s="7"/>
      <c r="JNV916" s="7"/>
      <c r="JNW916" s="7"/>
      <c r="JNX916" s="7"/>
      <c r="JNY916" s="7"/>
      <c r="JNZ916" s="7"/>
      <c r="JOA916" s="7"/>
      <c r="JOB916" s="7"/>
      <c r="JOC916" s="7"/>
      <c r="JOD916" s="7"/>
      <c r="JOE916" s="7"/>
      <c r="JOF916" s="7"/>
      <c r="JOG916" s="7"/>
      <c r="JOH916" s="7"/>
      <c r="JOI916" s="7"/>
      <c r="JOJ916" s="7"/>
      <c r="JOK916" s="7"/>
      <c r="JOL916" s="7"/>
      <c r="JOM916" s="7"/>
      <c r="JON916" s="7"/>
      <c r="JOO916" s="7"/>
      <c r="JOP916" s="7"/>
      <c r="JOQ916" s="7"/>
      <c r="JOR916" s="7"/>
      <c r="JOS916" s="7"/>
      <c r="JOT916" s="7"/>
      <c r="JOU916" s="7"/>
      <c r="JOV916" s="7"/>
      <c r="JOW916" s="7"/>
      <c r="JOX916" s="7"/>
      <c r="JOY916" s="7"/>
      <c r="JOZ916" s="7"/>
      <c r="JPA916" s="7"/>
      <c r="JPB916" s="7"/>
      <c r="JPC916" s="7"/>
      <c r="JPD916" s="7"/>
      <c r="JPE916" s="7"/>
      <c r="JPF916" s="7"/>
      <c r="JPG916" s="7"/>
      <c r="JPH916" s="7"/>
      <c r="JPI916" s="7"/>
      <c r="JPJ916" s="7"/>
      <c r="JPK916" s="7"/>
      <c r="JPL916" s="7"/>
      <c r="JPM916" s="7"/>
      <c r="JPN916" s="7"/>
      <c r="JPO916" s="7"/>
      <c r="JPP916" s="7"/>
      <c r="JPQ916" s="7"/>
      <c r="JPR916" s="7"/>
      <c r="JPS916" s="7"/>
      <c r="JPT916" s="7"/>
      <c r="JPU916" s="7"/>
      <c r="JPV916" s="7"/>
      <c r="JPW916" s="7"/>
      <c r="JPX916" s="7"/>
      <c r="JPY916" s="7"/>
      <c r="JPZ916" s="7"/>
      <c r="JQA916" s="7"/>
      <c r="JQB916" s="7"/>
      <c r="JQC916" s="7"/>
      <c r="JQD916" s="7"/>
      <c r="JQE916" s="7"/>
      <c r="JQF916" s="7"/>
      <c r="JQG916" s="7"/>
      <c r="JQH916" s="7"/>
      <c r="JQI916" s="7"/>
      <c r="JQJ916" s="7"/>
      <c r="JQK916" s="7"/>
      <c r="JQL916" s="7"/>
      <c r="JQM916" s="7"/>
      <c r="JQN916" s="7"/>
      <c r="JQO916" s="7"/>
      <c r="JQP916" s="7"/>
      <c r="JQQ916" s="7"/>
      <c r="JQR916" s="7"/>
      <c r="JQS916" s="7"/>
      <c r="JQT916" s="7"/>
      <c r="JQU916" s="7"/>
      <c r="JQV916" s="7"/>
      <c r="JQW916" s="7"/>
      <c r="JQX916" s="7"/>
      <c r="JQY916" s="7"/>
      <c r="JQZ916" s="7"/>
      <c r="JRA916" s="7"/>
      <c r="JRB916" s="7"/>
      <c r="JRC916" s="7"/>
      <c r="JRD916" s="7"/>
      <c r="JRE916" s="7"/>
      <c r="JRF916" s="7"/>
      <c r="JRG916" s="7"/>
      <c r="JRH916" s="7"/>
      <c r="JRI916" s="7"/>
      <c r="JRJ916" s="7"/>
      <c r="JRK916" s="7"/>
      <c r="JRL916" s="7"/>
      <c r="JRM916" s="7"/>
      <c r="JRN916" s="7"/>
      <c r="JRO916" s="7"/>
      <c r="JRP916" s="7"/>
      <c r="JRQ916" s="7"/>
      <c r="JRR916" s="7"/>
      <c r="JRS916" s="7"/>
      <c r="JRT916" s="7"/>
      <c r="JRU916" s="7"/>
      <c r="JRV916" s="7"/>
      <c r="JRW916" s="7"/>
      <c r="JRX916" s="7"/>
      <c r="JRY916" s="7"/>
      <c r="JRZ916" s="7"/>
      <c r="JSA916" s="7"/>
      <c r="JSB916" s="7"/>
      <c r="JSC916" s="7"/>
      <c r="JSD916" s="7"/>
      <c r="JSE916" s="7"/>
      <c r="JSF916" s="7"/>
      <c r="JSG916" s="7"/>
      <c r="JSH916" s="7"/>
      <c r="JSI916" s="7"/>
      <c r="JSJ916" s="7"/>
      <c r="JSK916" s="7"/>
      <c r="JSL916" s="7"/>
      <c r="JSM916" s="7"/>
      <c r="JSN916" s="7"/>
      <c r="JSO916" s="7"/>
      <c r="JSP916" s="7"/>
      <c r="JSQ916" s="7"/>
      <c r="JSR916" s="7"/>
      <c r="JSS916" s="7"/>
      <c r="JST916" s="7"/>
      <c r="JSU916" s="7"/>
      <c r="JSV916" s="7"/>
      <c r="JSW916" s="7"/>
      <c r="JSX916" s="7"/>
      <c r="JSY916" s="7"/>
      <c r="JSZ916" s="7"/>
      <c r="JTA916" s="7"/>
      <c r="JTB916" s="7"/>
      <c r="JTC916" s="7"/>
      <c r="JTD916" s="7"/>
      <c r="JTE916" s="7"/>
      <c r="JTF916" s="7"/>
      <c r="JTG916" s="7"/>
      <c r="JTH916" s="7"/>
      <c r="JTI916" s="7"/>
      <c r="JTJ916" s="7"/>
      <c r="JTK916" s="7"/>
      <c r="JTL916" s="7"/>
      <c r="JTM916" s="7"/>
      <c r="JTN916" s="7"/>
      <c r="JTO916" s="7"/>
      <c r="JTP916" s="7"/>
      <c r="JTQ916" s="7"/>
      <c r="JTR916" s="7"/>
      <c r="JTS916" s="7"/>
      <c r="JTT916" s="7"/>
      <c r="JTU916" s="7"/>
      <c r="JTV916" s="7"/>
      <c r="JTW916" s="7"/>
      <c r="JTX916" s="7"/>
      <c r="JTY916" s="7"/>
      <c r="JTZ916" s="7"/>
      <c r="JUA916" s="7"/>
      <c r="JUB916" s="7"/>
      <c r="JUC916" s="7"/>
      <c r="JUD916" s="7"/>
      <c r="JUE916" s="7"/>
      <c r="JUF916" s="7"/>
      <c r="JUG916" s="7"/>
      <c r="JUH916" s="7"/>
      <c r="JUI916" s="7"/>
      <c r="JUJ916" s="7"/>
      <c r="JUK916" s="7"/>
      <c r="JUL916" s="7"/>
      <c r="JUM916" s="7"/>
      <c r="JUN916" s="7"/>
      <c r="JUO916" s="7"/>
      <c r="JUP916" s="7"/>
      <c r="JUQ916" s="7"/>
      <c r="JUR916" s="7"/>
      <c r="JUS916" s="7"/>
      <c r="JUT916" s="7"/>
      <c r="JUU916" s="7"/>
      <c r="JUV916" s="7"/>
      <c r="JUW916" s="7"/>
      <c r="JUX916" s="7"/>
      <c r="JUY916" s="7"/>
      <c r="JUZ916" s="7"/>
      <c r="JVA916" s="7"/>
      <c r="JVB916" s="7"/>
      <c r="JVC916" s="7"/>
      <c r="JVD916" s="7"/>
      <c r="JVE916" s="7"/>
      <c r="JVF916" s="7"/>
      <c r="JVG916" s="7"/>
      <c r="JVH916" s="7"/>
      <c r="JVI916" s="7"/>
      <c r="JVJ916" s="7"/>
      <c r="JVK916" s="7"/>
      <c r="JVL916" s="7"/>
      <c r="JVM916" s="7"/>
      <c r="JVN916" s="7"/>
      <c r="JVO916" s="7"/>
      <c r="JVP916" s="7"/>
      <c r="JVQ916" s="7"/>
      <c r="JVR916" s="7"/>
      <c r="JVS916" s="7"/>
      <c r="JVT916" s="7"/>
      <c r="JVU916" s="7"/>
      <c r="JVV916" s="7"/>
      <c r="JVW916" s="7"/>
      <c r="JVX916" s="7"/>
      <c r="JVY916" s="7"/>
      <c r="JVZ916" s="7"/>
      <c r="JWA916" s="7"/>
      <c r="JWB916" s="7"/>
      <c r="JWC916" s="7"/>
      <c r="JWD916" s="7"/>
      <c r="JWE916" s="7"/>
      <c r="JWF916" s="7"/>
      <c r="JWG916" s="7"/>
      <c r="JWH916" s="7"/>
      <c r="JWI916" s="7"/>
      <c r="JWJ916" s="7"/>
      <c r="JWK916" s="7"/>
      <c r="JWL916" s="7"/>
      <c r="JWM916" s="7"/>
      <c r="JWN916" s="7"/>
      <c r="JWO916" s="7"/>
      <c r="JWP916" s="7"/>
      <c r="JWQ916" s="7"/>
      <c r="JWR916" s="7"/>
      <c r="JWS916" s="7"/>
      <c r="JWT916" s="7"/>
      <c r="JWU916" s="7"/>
      <c r="JWV916" s="7"/>
      <c r="JWW916" s="7"/>
      <c r="JWX916" s="7"/>
      <c r="JWY916" s="7"/>
      <c r="JWZ916" s="7"/>
      <c r="JXA916" s="7"/>
      <c r="JXB916" s="7"/>
      <c r="JXC916" s="7"/>
      <c r="JXD916" s="7"/>
      <c r="JXE916" s="7"/>
      <c r="JXF916" s="7"/>
      <c r="JXG916" s="7"/>
      <c r="JXH916" s="7"/>
      <c r="JXI916" s="7"/>
      <c r="JXJ916" s="7"/>
      <c r="JXK916" s="7"/>
      <c r="JXL916" s="7"/>
      <c r="JXM916" s="7"/>
      <c r="JXN916" s="7"/>
      <c r="JXO916" s="7"/>
      <c r="JXP916" s="7"/>
      <c r="JXQ916" s="7"/>
      <c r="JXR916" s="7"/>
      <c r="JXS916" s="7"/>
      <c r="JXT916" s="7"/>
      <c r="JXU916" s="7"/>
      <c r="JXV916" s="7"/>
      <c r="JXW916" s="7"/>
      <c r="JXX916" s="7"/>
      <c r="JXY916" s="7"/>
      <c r="JXZ916" s="7"/>
      <c r="JYA916" s="7"/>
      <c r="JYB916" s="7"/>
      <c r="JYC916" s="7"/>
      <c r="JYD916" s="7"/>
      <c r="JYE916" s="7"/>
      <c r="JYF916" s="7"/>
      <c r="JYG916" s="7"/>
      <c r="JYH916" s="7"/>
      <c r="JYI916" s="7"/>
      <c r="JYJ916" s="7"/>
      <c r="JYK916" s="7"/>
      <c r="JYL916" s="7"/>
      <c r="JYM916" s="7"/>
      <c r="JYN916" s="7"/>
      <c r="JYO916" s="7"/>
      <c r="JYP916" s="7"/>
      <c r="JYQ916" s="7"/>
      <c r="JYR916" s="7"/>
      <c r="JYS916" s="7"/>
      <c r="JYT916" s="7"/>
      <c r="JYU916" s="7"/>
      <c r="JYV916" s="7"/>
      <c r="JYW916" s="7"/>
      <c r="JYX916" s="7"/>
      <c r="JYY916" s="7"/>
      <c r="JYZ916" s="7"/>
      <c r="JZA916" s="7"/>
      <c r="JZB916" s="7"/>
      <c r="JZC916" s="7"/>
      <c r="JZD916" s="7"/>
      <c r="JZE916" s="7"/>
      <c r="JZF916" s="7"/>
      <c r="JZG916" s="7"/>
      <c r="JZH916" s="7"/>
      <c r="JZI916" s="7"/>
      <c r="JZJ916" s="7"/>
      <c r="JZK916" s="7"/>
      <c r="JZL916" s="7"/>
      <c r="JZM916" s="7"/>
      <c r="JZN916" s="7"/>
      <c r="JZO916" s="7"/>
      <c r="JZP916" s="7"/>
      <c r="JZQ916" s="7"/>
      <c r="JZR916" s="7"/>
      <c r="JZS916" s="7"/>
      <c r="JZT916" s="7"/>
      <c r="JZU916" s="7"/>
      <c r="JZV916" s="7"/>
      <c r="JZW916" s="7"/>
      <c r="JZX916" s="7"/>
      <c r="JZY916" s="7"/>
      <c r="JZZ916" s="7"/>
      <c r="KAA916" s="7"/>
      <c r="KAB916" s="7"/>
      <c r="KAC916" s="7"/>
      <c r="KAD916" s="7"/>
      <c r="KAE916" s="7"/>
      <c r="KAF916" s="7"/>
      <c r="KAG916" s="7"/>
      <c r="KAH916" s="7"/>
      <c r="KAI916" s="7"/>
      <c r="KAJ916" s="7"/>
      <c r="KAK916" s="7"/>
      <c r="KAL916" s="7"/>
      <c r="KAM916" s="7"/>
      <c r="KAN916" s="7"/>
      <c r="KAO916" s="7"/>
      <c r="KAP916" s="7"/>
      <c r="KAQ916" s="7"/>
      <c r="KAR916" s="7"/>
      <c r="KAS916" s="7"/>
      <c r="KAT916" s="7"/>
      <c r="KAU916" s="7"/>
      <c r="KAV916" s="7"/>
      <c r="KAW916" s="7"/>
      <c r="KAX916" s="7"/>
      <c r="KAY916" s="7"/>
      <c r="KAZ916" s="7"/>
      <c r="KBA916" s="7"/>
      <c r="KBB916" s="7"/>
      <c r="KBC916" s="7"/>
      <c r="KBD916" s="7"/>
      <c r="KBE916" s="7"/>
      <c r="KBF916" s="7"/>
      <c r="KBG916" s="7"/>
      <c r="KBH916" s="7"/>
      <c r="KBI916" s="7"/>
      <c r="KBJ916" s="7"/>
      <c r="KBK916" s="7"/>
      <c r="KBL916" s="7"/>
      <c r="KBM916" s="7"/>
      <c r="KBN916" s="7"/>
      <c r="KBO916" s="7"/>
      <c r="KBP916" s="7"/>
      <c r="KBQ916" s="7"/>
      <c r="KBR916" s="7"/>
      <c r="KBS916" s="7"/>
      <c r="KBT916" s="7"/>
      <c r="KBU916" s="7"/>
      <c r="KBV916" s="7"/>
      <c r="KBW916" s="7"/>
      <c r="KBX916" s="7"/>
      <c r="KBY916" s="7"/>
      <c r="KBZ916" s="7"/>
      <c r="KCA916" s="7"/>
      <c r="KCB916" s="7"/>
      <c r="KCC916" s="7"/>
      <c r="KCD916" s="7"/>
      <c r="KCE916" s="7"/>
      <c r="KCF916" s="7"/>
      <c r="KCG916" s="7"/>
      <c r="KCH916" s="7"/>
      <c r="KCI916" s="7"/>
      <c r="KCJ916" s="7"/>
      <c r="KCK916" s="7"/>
      <c r="KCL916" s="7"/>
      <c r="KCM916" s="7"/>
      <c r="KCN916" s="7"/>
      <c r="KCO916" s="7"/>
      <c r="KCP916" s="7"/>
      <c r="KCQ916" s="7"/>
      <c r="KCR916" s="7"/>
      <c r="KCS916" s="7"/>
      <c r="KCT916" s="7"/>
      <c r="KCU916" s="7"/>
      <c r="KCV916" s="7"/>
      <c r="KCW916" s="7"/>
      <c r="KCX916" s="7"/>
      <c r="KCY916" s="7"/>
      <c r="KCZ916" s="7"/>
      <c r="KDA916" s="7"/>
      <c r="KDB916" s="7"/>
      <c r="KDC916" s="7"/>
      <c r="KDD916" s="7"/>
      <c r="KDE916" s="7"/>
      <c r="KDF916" s="7"/>
      <c r="KDG916" s="7"/>
      <c r="KDH916" s="7"/>
      <c r="KDI916" s="7"/>
      <c r="KDJ916" s="7"/>
      <c r="KDK916" s="7"/>
      <c r="KDL916" s="7"/>
      <c r="KDM916" s="7"/>
      <c r="KDN916" s="7"/>
      <c r="KDO916" s="7"/>
      <c r="KDP916" s="7"/>
      <c r="KDQ916" s="7"/>
      <c r="KDR916" s="7"/>
      <c r="KDS916" s="7"/>
      <c r="KDT916" s="7"/>
      <c r="KDU916" s="7"/>
      <c r="KDV916" s="7"/>
      <c r="KDW916" s="7"/>
      <c r="KDX916" s="7"/>
      <c r="KDY916" s="7"/>
      <c r="KDZ916" s="7"/>
      <c r="KEA916" s="7"/>
      <c r="KEB916" s="7"/>
      <c r="KEC916" s="7"/>
      <c r="KED916" s="7"/>
      <c r="KEE916" s="7"/>
      <c r="KEF916" s="7"/>
      <c r="KEG916" s="7"/>
      <c r="KEH916" s="7"/>
      <c r="KEI916" s="7"/>
      <c r="KEJ916" s="7"/>
      <c r="KEK916" s="7"/>
      <c r="KEL916" s="7"/>
      <c r="KEM916" s="7"/>
      <c r="KEN916" s="7"/>
      <c r="KEO916" s="7"/>
      <c r="KEP916" s="7"/>
      <c r="KEQ916" s="7"/>
      <c r="KER916" s="7"/>
      <c r="KES916" s="7"/>
      <c r="KET916" s="7"/>
      <c r="KEU916" s="7"/>
      <c r="KEV916" s="7"/>
      <c r="KEW916" s="7"/>
      <c r="KEX916" s="7"/>
      <c r="KEY916" s="7"/>
      <c r="KEZ916" s="7"/>
      <c r="KFA916" s="7"/>
      <c r="KFB916" s="7"/>
      <c r="KFC916" s="7"/>
      <c r="KFD916" s="7"/>
      <c r="KFE916" s="7"/>
      <c r="KFF916" s="7"/>
      <c r="KFG916" s="7"/>
      <c r="KFH916" s="7"/>
      <c r="KFI916" s="7"/>
      <c r="KFJ916" s="7"/>
      <c r="KFK916" s="7"/>
      <c r="KFL916" s="7"/>
      <c r="KFM916" s="7"/>
      <c r="KFN916" s="7"/>
      <c r="KFO916" s="7"/>
      <c r="KFP916" s="7"/>
      <c r="KFQ916" s="7"/>
      <c r="KFR916" s="7"/>
      <c r="KFS916" s="7"/>
      <c r="KFT916" s="7"/>
      <c r="KFU916" s="7"/>
      <c r="KFV916" s="7"/>
      <c r="KFW916" s="7"/>
      <c r="KFX916" s="7"/>
      <c r="KFY916" s="7"/>
      <c r="KFZ916" s="7"/>
      <c r="KGA916" s="7"/>
      <c r="KGB916" s="7"/>
      <c r="KGC916" s="7"/>
      <c r="KGD916" s="7"/>
      <c r="KGE916" s="7"/>
      <c r="KGF916" s="7"/>
      <c r="KGG916" s="7"/>
      <c r="KGH916" s="7"/>
      <c r="KGI916" s="7"/>
      <c r="KGJ916" s="7"/>
      <c r="KGK916" s="7"/>
      <c r="KGL916" s="7"/>
      <c r="KGM916" s="7"/>
      <c r="KGN916" s="7"/>
      <c r="KGO916" s="7"/>
      <c r="KGP916" s="7"/>
      <c r="KGQ916" s="7"/>
      <c r="KGR916" s="7"/>
      <c r="KGS916" s="7"/>
      <c r="KGT916" s="7"/>
      <c r="KGU916" s="7"/>
      <c r="KGV916" s="7"/>
      <c r="KGW916" s="7"/>
      <c r="KGX916" s="7"/>
      <c r="KGY916" s="7"/>
      <c r="KGZ916" s="7"/>
      <c r="KHA916" s="7"/>
      <c r="KHB916" s="7"/>
      <c r="KHC916" s="7"/>
      <c r="KHD916" s="7"/>
      <c r="KHE916" s="7"/>
      <c r="KHF916" s="7"/>
      <c r="KHG916" s="7"/>
      <c r="KHH916" s="7"/>
      <c r="KHI916" s="7"/>
      <c r="KHJ916" s="7"/>
      <c r="KHK916" s="7"/>
      <c r="KHL916" s="7"/>
      <c r="KHM916" s="7"/>
      <c r="KHN916" s="7"/>
      <c r="KHO916" s="7"/>
      <c r="KHP916" s="7"/>
      <c r="KHQ916" s="7"/>
      <c r="KHR916" s="7"/>
      <c r="KHS916" s="7"/>
      <c r="KHT916" s="7"/>
      <c r="KHU916" s="7"/>
      <c r="KHV916" s="7"/>
      <c r="KHW916" s="7"/>
      <c r="KHX916" s="7"/>
      <c r="KHY916" s="7"/>
      <c r="KHZ916" s="7"/>
      <c r="KIA916" s="7"/>
      <c r="KIB916" s="7"/>
      <c r="KIC916" s="7"/>
      <c r="KID916" s="7"/>
      <c r="KIE916" s="7"/>
      <c r="KIF916" s="7"/>
      <c r="KIG916" s="7"/>
      <c r="KIH916" s="7"/>
      <c r="KII916" s="7"/>
      <c r="KIJ916" s="7"/>
      <c r="KIK916" s="7"/>
      <c r="KIL916" s="7"/>
      <c r="KIM916" s="7"/>
      <c r="KIN916" s="7"/>
      <c r="KIO916" s="7"/>
      <c r="KIP916" s="7"/>
      <c r="KIQ916" s="7"/>
      <c r="KIR916" s="7"/>
      <c r="KIS916" s="7"/>
      <c r="KIT916" s="7"/>
      <c r="KIU916" s="7"/>
      <c r="KIV916" s="7"/>
      <c r="KIW916" s="7"/>
      <c r="KIX916" s="7"/>
      <c r="KIY916" s="7"/>
      <c r="KIZ916" s="7"/>
      <c r="KJA916" s="7"/>
      <c r="KJB916" s="7"/>
      <c r="KJC916" s="7"/>
      <c r="KJD916" s="7"/>
      <c r="KJE916" s="7"/>
      <c r="KJF916" s="7"/>
      <c r="KJG916" s="7"/>
      <c r="KJH916" s="7"/>
      <c r="KJI916" s="7"/>
      <c r="KJJ916" s="7"/>
      <c r="KJK916" s="7"/>
      <c r="KJL916" s="7"/>
      <c r="KJM916" s="7"/>
      <c r="KJN916" s="7"/>
      <c r="KJO916" s="7"/>
      <c r="KJP916" s="7"/>
      <c r="KJQ916" s="7"/>
      <c r="KJR916" s="7"/>
      <c r="KJS916" s="7"/>
      <c r="KJT916" s="7"/>
      <c r="KJU916" s="7"/>
      <c r="KJV916" s="7"/>
      <c r="KJW916" s="7"/>
      <c r="KJX916" s="7"/>
      <c r="KJY916" s="7"/>
      <c r="KJZ916" s="7"/>
      <c r="KKA916" s="7"/>
      <c r="KKB916" s="7"/>
      <c r="KKC916" s="7"/>
      <c r="KKD916" s="7"/>
      <c r="KKE916" s="7"/>
      <c r="KKF916" s="7"/>
      <c r="KKG916" s="7"/>
      <c r="KKH916" s="7"/>
      <c r="KKI916" s="7"/>
      <c r="KKJ916" s="7"/>
      <c r="KKK916" s="7"/>
      <c r="KKL916" s="7"/>
      <c r="KKM916" s="7"/>
      <c r="KKN916" s="7"/>
      <c r="KKO916" s="7"/>
      <c r="KKP916" s="7"/>
      <c r="KKQ916" s="7"/>
      <c r="KKR916" s="7"/>
      <c r="KKS916" s="7"/>
      <c r="KKT916" s="7"/>
      <c r="KKU916" s="7"/>
      <c r="KKV916" s="7"/>
      <c r="KKW916" s="7"/>
      <c r="KKX916" s="7"/>
      <c r="KKY916" s="7"/>
      <c r="KKZ916" s="7"/>
      <c r="KLA916" s="7"/>
      <c r="KLB916" s="7"/>
      <c r="KLC916" s="7"/>
      <c r="KLD916" s="7"/>
      <c r="KLE916" s="7"/>
      <c r="KLF916" s="7"/>
      <c r="KLG916" s="7"/>
      <c r="KLH916" s="7"/>
      <c r="KLI916" s="7"/>
      <c r="KLJ916" s="7"/>
      <c r="KLK916" s="7"/>
      <c r="KLL916" s="7"/>
      <c r="KLM916" s="7"/>
      <c r="KLN916" s="7"/>
      <c r="KLO916" s="7"/>
      <c r="KLP916" s="7"/>
      <c r="KLQ916" s="7"/>
      <c r="KLR916" s="7"/>
      <c r="KLS916" s="7"/>
      <c r="KLT916" s="7"/>
      <c r="KLU916" s="7"/>
      <c r="KLV916" s="7"/>
      <c r="KLW916" s="7"/>
      <c r="KLX916" s="7"/>
      <c r="KLY916" s="7"/>
      <c r="KLZ916" s="7"/>
      <c r="KMA916" s="7"/>
      <c r="KMB916" s="7"/>
      <c r="KMC916" s="7"/>
      <c r="KMD916" s="7"/>
      <c r="KME916" s="7"/>
      <c r="KMF916" s="7"/>
      <c r="KMG916" s="7"/>
      <c r="KMH916" s="7"/>
      <c r="KMI916" s="7"/>
      <c r="KMJ916" s="7"/>
      <c r="KMK916" s="7"/>
      <c r="KML916" s="7"/>
      <c r="KMM916" s="7"/>
      <c r="KMN916" s="7"/>
      <c r="KMO916" s="7"/>
      <c r="KMP916" s="7"/>
      <c r="KMQ916" s="7"/>
      <c r="KMR916" s="7"/>
      <c r="KMS916" s="7"/>
      <c r="KMT916" s="7"/>
      <c r="KMU916" s="7"/>
      <c r="KMV916" s="7"/>
      <c r="KMW916" s="7"/>
      <c r="KMX916" s="7"/>
      <c r="KMY916" s="7"/>
      <c r="KMZ916" s="7"/>
      <c r="KNA916" s="7"/>
      <c r="KNB916" s="7"/>
      <c r="KNC916" s="7"/>
      <c r="KND916" s="7"/>
      <c r="KNE916" s="7"/>
      <c r="KNF916" s="7"/>
      <c r="KNG916" s="7"/>
      <c r="KNH916" s="7"/>
      <c r="KNI916" s="7"/>
      <c r="KNJ916" s="7"/>
      <c r="KNK916" s="7"/>
      <c r="KNL916" s="7"/>
      <c r="KNM916" s="7"/>
      <c r="KNN916" s="7"/>
      <c r="KNO916" s="7"/>
      <c r="KNP916" s="7"/>
      <c r="KNQ916" s="7"/>
      <c r="KNR916" s="7"/>
      <c r="KNS916" s="7"/>
      <c r="KNT916" s="7"/>
      <c r="KNU916" s="7"/>
      <c r="KNV916" s="7"/>
      <c r="KNW916" s="7"/>
      <c r="KNX916" s="7"/>
      <c r="KNY916" s="7"/>
      <c r="KNZ916" s="7"/>
      <c r="KOA916" s="7"/>
      <c r="KOB916" s="7"/>
      <c r="KOC916" s="7"/>
      <c r="KOD916" s="7"/>
      <c r="KOE916" s="7"/>
      <c r="KOF916" s="7"/>
      <c r="KOG916" s="7"/>
      <c r="KOH916" s="7"/>
      <c r="KOI916" s="7"/>
      <c r="KOJ916" s="7"/>
      <c r="KOK916" s="7"/>
      <c r="KOL916" s="7"/>
      <c r="KOM916" s="7"/>
      <c r="KON916" s="7"/>
      <c r="KOO916" s="7"/>
      <c r="KOP916" s="7"/>
      <c r="KOQ916" s="7"/>
      <c r="KOR916" s="7"/>
      <c r="KOS916" s="7"/>
      <c r="KOT916" s="7"/>
      <c r="KOU916" s="7"/>
      <c r="KOV916" s="7"/>
      <c r="KOW916" s="7"/>
      <c r="KOX916" s="7"/>
      <c r="KOY916" s="7"/>
      <c r="KOZ916" s="7"/>
      <c r="KPA916" s="7"/>
      <c r="KPB916" s="7"/>
      <c r="KPC916" s="7"/>
      <c r="KPD916" s="7"/>
      <c r="KPE916" s="7"/>
      <c r="KPF916" s="7"/>
      <c r="KPG916" s="7"/>
      <c r="KPH916" s="7"/>
      <c r="KPI916" s="7"/>
      <c r="KPJ916" s="7"/>
      <c r="KPK916" s="7"/>
      <c r="KPL916" s="7"/>
      <c r="KPM916" s="7"/>
      <c r="KPN916" s="7"/>
      <c r="KPO916" s="7"/>
      <c r="KPP916" s="7"/>
      <c r="KPQ916" s="7"/>
      <c r="KPR916" s="7"/>
      <c r="KPS916" s="7"/>
      <c r="KPT916" s="7"/>
      <c r="KPU916" s="7"/>
      <c r="KPV916" s="7"/>
      <c r="KPW916" s="7"/>
      <c r="KPX916" s="7"/>
      <c r="KPY916" s="7"/>
      <c r="KPZ916" s="7"/>
      <c r="KQA916" s="7"/>
      <c r="KQB916" s="7"/>
      <c r="KQC916" s="7"/>
      <c r="KQD916" s="7"/>
      <c r="KQE916" s="7"/>
      <c r="KQF916" s="7"/>
      <c r="KQG916" s="7"/>
      <c r="KQH916" s="7"/>
      <c r="KQI916" s="7"/>
      <c r="KQJ916" s="7"/>
      <c r="KQK916" s="7"/>
      <c r="KQL916" s="7"/>
      <c r="KQM916" s="7"/>
      <c r="KQN916" s="7"/>
      <c r="KQO916" s="7"/>
      <c r="KQP916" s="7"/>
      <c r="KQQ916" s="7"/>
      <c r="KQR916" s="7"/>
      <c r="KQS916" s="7"/>
      <c r="KQT916" s="7"/>
      <c r="KQU916" s="7"/>
      <c r="KQV916" s="7"/>
      <c r="KQW916" s="7"/>
      <c r="KQX916" s="7"/>
      <c r="KQY916" s="7"/>
      <c r="KQZ916" s="7"/>
      <c r="KRA916" s="7"/>
      <c r="KRB916" s="7"/>
      <c r="KRC916" s="7"/>
      <c r="KRD916" s="7"/>
      <c r="KRE916" s="7"/>
      <c r="KRF916" s="7"/>
      <c r="KRG916" s="7"/>
      <c r="KRH916" s="7"/>
      <c r="KRI916" s="7"/>
      <c r="KRJ916" s="7"/>
      <c r="KRK916" s="7"/>
      <c r="KRL916" s="7"/>
      <c r="KRM916" s="7"/>
      <c r="KRN916" s="7"/>
      <c r="KRO916" s="7"/>
      <c r="KRP916" s="7"/>
      <c r="KRQ916" s="7"/>
      <c r="KRR916" s="7"/>
      <c r="KRS916" s="7"/>
      <c r="KRT916" s="7"/>
      <c r="KRU916" s="7"/>
      <c r="KRV916" s="7"/>
      <c r="KRW916" s="7"/>
      <c r="KRX916" s="7"/>
      <c r="KRY916" s="7"/>
      <c r="KRZ916" s="7"/>
      <c r="KSA916" s="7"/>
      <c r="KSB916" s="7"/>
      <c r="KSC916" s="7"/>
      <c r="KSD916" s="7"/>
      <c r="KSE916" s="7"/>
      <c r="KSF916" s="7"/>
      <c r="KSG916" s="7"/>
      <c r="KSH916" s="7"/>
      <c r="KSI916" s="7"/>
      <c r="KSJ916" s="7"/>
      <c r="KSK916" s="7"/>
      <c r="KSL916" s="7"/>
      <c r="KSM916" s="7"/>
      <c r="KSN916" s="7"/>
      <c r="KSO916" s="7"/>
      <c r="KSP916" s="7"/>
      <c r="KSQ916" s="7"/>
      <c r="KSR916" s="7"/>
      <c r="KSS916" s="7"/>
      <c r="KST916" s="7"/>
      <c r="KSU916" s="7"/>
      <c r="KSV916" s="7"/>
      <c r="KSW916" s="7"/>
      <c r="KSX916" s="7"/>
      <c r="KSY916" s="7"/>
      <c r="KSZ916" s="7"/>
      <c r="KTA916" s="7"/>
      <c r="KTB916" s="7"/>
      <c r="KTC916" s="7"/>
      <c r="KTD916" s="7"/>
      <c r="KTE916" s="7"/>
      <c r="KTF916" s="7"/>
      <c r="KTG916" s="7"/>
      <c r="KTH916" s="7"/>
      <c r="KTI916" s="7"/>
      <c r="KTJ916" s="7"/>
      <c r="KTK916" s="7"/>
      <c r="KTL916" s="7"/>
      <c r="KTM916" s="7"/>
      <c r="KTN916" s="7"/>
      <c r="KTO916" s="7"/>
      <c r="KTP916" s="7"/>
      <c r="KTQ916" s="7"/>
      <c r="KTR916" s="7"/>
      <c r="KTS916" s="7"/>
      <c r="KTT916" s="7"/>
      <c r="KTU916" s="7"/>
      <c r="KTV916" s="7"/>
      <c r="KTW916" s="7"/>
      <c r="KTX916" s="7"/>
      <c r="KTY916" s="7"/>
      <c r="KTZ916" s="7"/>
      <c r="KUA916" s="7"/>
      <c r="KUB916" s="7"/>
      <c r="KUC916" s="7"/>
      <c r="KUD916" s="7"/>
      <c r="KUE916" s="7"/>
      <c r="KUF916" s="7"/>
      <c r="KUG916" s="7"/>
      <c r="KUH916" s="7"/>
      <c r="KUI916" s="7"/>
      <c r="KUJ916" s="7"/>
      <c r="KUK916" s="7"/>
      <c r="KUL916" s="7"/>
      <c r="KUM916" s="7"/>
      <c r="KUN916" s="7"/>
      <c r="KUO916" s="7"/>
      <c r="KUP916" s="7"/>
      <c r="KUQ916" s="7"/>
      <c r="KUR916" s="7"/>
      <c r="KUS916" s="7"/>
      <c r="KUT916" s="7"/>
      <c r="KUU916" s="7"/>
      <c r="KUV916" s="7"/>
      <c r="KUW916" s="7"/>
      <c r="KUX916" s="7"/>
      <c r="KUY916" s="7"/>
      <c r="KUZ916" s="7"/>
      <c r="KVA916" s="7"/>
      <c r="KVB916" s="7"/>
      <c r="KVC916" s="7"/>
      <c r="KVD916" s="7"/>
      <c r="KVE916" s="7"/>
      <c r="KVF916" s="7"/>
      <c r="KVG916" s="7"/>
      <c r="KVH916" s="7"/>
      <c r="KVI916" s="7"/>
      <c r="KVJ916" s="7"/>
      <c r="KVK916" s="7"/>
      <c r="KVL916" s="7"/>
      <c r="KVM916" s="7"/>
      <c r="KVN916" s="7"/>
      <c r="KVO916" s="7"/>
      <c r="KVP916" s="7"/>
      <c r="KVQ916" s="7"/>
      <c r="KVR916" s="7"/>
      <c r="KVS916" s="7"/>
      <c r="KVT916" s="7"/>
      <c r="KVU916" s="7"/>
      <c r="KVV916" s="7"/>
      <c r="KVW916" s="7"/>
      <c r="KVX916" s="7"/>
      <c r="KVY916" s="7"/>
      <c r="KVZ916" s="7"/>
      <c r="KWA916" s="7"/>
      <c r="KWB916" s="7"/>
      <c r="KWC916" s="7"/>
      <c r="KWD916" s="7"/>
      <c r="KWE916" s="7"/>
      <c r="KWF916" s="7"/>
      <c r="KWG916" s="7"/>
      <c r="KWH916" s="7"/>
      <c r="KWI916" s="7"/>
      <c r="KWJ916" s="7"/>
      <c r="KWK916" s="7"/>
      <c r="KWL916" s="7"/>
      <c r="KWM916" s="7"/>
      <c r="KWN916" s="7"/>
      <c r="KWO916" s="7"/>
      <c r="KWP916" s="7"/>
      <c r="KWQ916" s="7"/>
      <c r="KWR916" s="7"/>
      <c r="KWS916" s="7"/>
      <c r="KWT916" s="7"/>
      <c r="KWU916" s="7"/>
      <c r="KWV916" s="7"/>
      <c r="KWW916" s="7"/>
      <c r="KWX916" s="7"/>
      <c r="KWY916" s="7"/>
      <c r="KWZ916" s="7"/>
      <c r="KXA916" s="7"/>
      <c r="KXB916" s="7"/>
      <c r="KXC916" s="7"/>
      <c r="KXD916" s="7"/>
      <c r="KXE916" s="7"/>
      <c r="KXF916" s="7"/>
      <c r="KXG916" s="7"/>
      <c r="KXH916" s="7"/>
      <c r="KXI916" s="7"/>
      <c r="KXJ916" s="7"/>
      <c r="KXK916" s="7"/>
      <c r="KXL916" s="7"/>
      <c r="KXM916" s="7"/>
      <c r="KXN916" s="7"/>
      <c r="KXO916" s="7"/>
      <c r="KXP916" s="7"/>
      <c r="KXQ916" s="7"/>
      <c r="KXR916" s="7"/>
      <c r="KXS916" s="7"/>
      <c r="KXT916" s="7"/>
      <c r="KXU916" s="7"/>
      <c r="KXV916" s="7"/>
      <c r="KXW916" s="7"/>
      <c r="KXX916" s="7"/>
      <c r="KXY916" s="7"/>
      <c r="KXZ916" s="7"/>
      <c r="KYA916" s="7"/>
      <c r="KYB916" s="7"/>
      <c r="KYC916" s="7"/>
      <c r="KYD916" s="7"/>
      <c r="KYE916" s="7"/>
      <c r="KYF916" s="7"/>
      <c r="KYG916" s="7"/>
      <c r="KYH916" s="7"/>
      <c r="KYI916" s="7"/>
      <c r="KYJ916" s="7"/>
      <c r="KYK916" s="7"/>
      <c r="KYL916" s="7"/>
      <c r="KYM916" s="7"/>
      <c r="KYN916" s="7"/>
      <c r="KYO916" s="7"/>
      <c r="KYP916" s="7"/>
      <c r="KYQ916" s="7"/>
      <c r="KYR916" s="7"/>
      <c r="KYS916" s="7"/>
      <c r="KYT916" s="7"/>
      <c r="KYU916" s="7"/>
      <c r="KYV916" s="7"/>
      <c r="KYW916" s="7"/>
      <c r="KYX916" s="7"/>
      <c r="KYY916" s="7"/>
      <c r="KYZ916" s="7"/>
      <c r="KZA916" s="7"/>
      <c r="KZB916" s="7"/>
      <c r="KZC916" s="7"/>
      <c r="KZD916" s="7"/>
      <c r="KZE916" s="7"/>
      <c r="KZF916" s="7"/>
      <c r="KZG916" s="7"/>
      <c r="KZH916" s="7"/>
      <c r="KZI916" s="7"/>
      <c r="KZJ916" s="7"/>
      <c r="KZK916" s="7"/>
      <c r="KZL916" s="7"/>
      <c r="KZM916" s="7"/>
      <c r="KZN916" s="7"/>
      <c r="KZO916" s="7"/>
      <c r="KZP916" s="7"/>
      <c r="KZQ916" s="7"/>
      <c r="KZR916" s="7"/>
      <c r="KZS916" s="7"/>
      <c r="KZT916" s="7"/>
      <c r="KZU916" s="7"/>
      <c r="KZV916" s="7"/>
      <c r="KZW916" s="7"/>
      <c r="KZX916" s="7"/>
      <c r="KZY916" s="7"/>
      <c r="KZZ916" s="7"/>
      <c r="LAA916" s="7"/>
      <c r="LAB916" s="7"/>
      <c r="LAC916" s="7"/>
      <c r="LAD916" s="7"/>
      <c r="LAE916" s="7"/>
      <c r="LAF916" s="7"/>
      <c r="LAG916" s="7"/>
      <c r="LAH916" s="7"/>
      <c r="LAI916" s="7"/>
      <c r="LAJ916" s="7"/>
      <c r="LAK916" s="7"/>
      <c r="LAL916" s="7"/>
      <c r="LAM916" s="7"/>
      <c r="LAN916" s="7"/>
      <c r="LAO916" s="7"/>
      <c r="LAP916" s="7"/>
      <c r="LAQ916" s="7"/>
      <c r="LAR916" s="7"/>
      <c r="LAS916" s="7"/>
      <c r="LAT916" s="7"/>
      <c r="LAU916" s="7"/>
      <c r="LAV916" s="7"/>
      <c r="LAW916" s="7"/>
      <c r="LAX916" s="7"/>
      <c r="LAY916" s="7"/>
      <c r="LAZ916" s="7"/>
      <c r="LBA916" s="7"/>
      <c r="LBB916" s="7"/>
      <c r="LBC916" s="7"/>
      <c r="LBD916" s="7"/>
      <c r="LBE916" s="7"/>
      <c r="LBF916" s="7"/>
      <c r="LBG916" s="7"/>
      <c r="LBH916" s="7"/>
      <c r="LBI916" s="7"/>
      <c r="LBJ916" s="7"/>
      <c r="LBK916" s="7"/>
      <c r="LBL916" s="7"/>
      <c r="LBM916" s="7"/>
      <c r="LBN916" s="7"/>
      <c r="LBO916" s="7"/>
      <c r="LBP916" s="7"/>
      <c r="LBQ916" s="7"/>
      <c r="LBR916" s="7"/>
      <c r="LBS916" s="7"/>
      <c r="LBT916" s="7"/>
      <c r="LBU916" s="7"/>
      <c r="LBV916" s="7"/>
      <c r="LBW916" s="7"/>
      <c r="LBX916" s="7"/>
      <c r="LBY916" s="7"/>
      <c r="LBZ916" s="7"/>
      <c r="LCA916" s="7"/>
      <c r="LCB916" s="7"/>
      <c r="LCC916" s="7"/>
      <c r="LCD916" s="7"/>
      <c r="LCE916" s="7"/>
      <c r="LCF916" s="7"/>
      <c r="LCG916" s="7"/>
      <c r="LCH916" s="7"/>
      <c r="LCI916" s="7"/>
      <c r="LCJ916" s="7"/>
      <c r="LCK916" s="7"/>
      <c r="LCL916" s="7"/>
      <c r="LCM916" s="7"/>
      <c r="LCN916" s="7"/>
      <c r="LCO916" s="7"/>
      <c r="LCP916" s="7"/>
      <c r="LCQ916" s="7"/>
      <c r="LCR916" s="7"/>
      <c r="LCS916" s="7"/>
      <c r="LCT916" s="7"/>
      <c r="LCU916" s="7"/>
      <c r="LCV916" s="7"/>
      <c r="LCW916" s="7"/>
      <c r="LCX916" s="7"/>
      <c r="LCY916" s="7"/>
      <c r="LCZ916" s="7"/>
      <c r="LDA916" s="7"/>
      <c r="LDB916" s="7"/>
      <c r="LDC916" s="7"/>
      <c r="LDD916" s="7"/>
      <c r="LDE916" s="7"/>
      <c r="LDF916" s="7"/>
      <c r="LDG916" s="7"/>
      <c r="LDH916" s="7"/>
      <c r="LDI916" s="7"/>
      <c r="LDJ916" s="7"/>
      <c r="LDK916" s="7"/>
      <c r="LDL916" s="7"/>
      <c r="LDM916" s="7"/>
      <c r="LDN916" s="7"/>
      <c r="LDO916" s="7"/>
      <c r="LDP916" s="7"/>
      <c r="LDQ916" s="7"/>
      <c r="LDR916" s="7"/>
      <c r="LDS916" s="7"/>
      <c r="LDT916" s="7"/>
      <c r="LDU916" s="7"/>
      <c r="LDV916" s="7"/>
      <c r="LDW916" s="7"/>
      <c r="LDX916" s="7"/>
      <c r="LDY916" s="7"/>
      <c r="LDZ916" s="7"/>
      <c r="LEA916" s="7"/>
      <c r="LEB916" s="7"/>
      <c r="LEC916" s="7"/>
      <c r="LED916" s="7"/>
      <c r="LEE916" s="7"/>
      <c r="LEF916" s="7"/>
      <c r="LEG916" s="7"/>
      <c r="LEH916" s="7"/>
      <c r="LEI916" s="7"/>
      <c r="LEJ916" s="7"/>
      <c r="LEK916" s="7"/>
      <c r="LEL916" s="7"/>
      <c r="LEM916" s="7"/>
      <c r="LEN916" s="7"/>
      <c r="LEO916" s="7"/>
      <c r="LEP916" s="7"/>
      <c r="LEQ916" s="7"/>
      <c r="LER916" s="7"/>
      <c r="LES916" s="7"/>
      <c r="LET916" s="7"/>
      <c r="LEU916" s="7"/>
      <c r="LEV916" s="7"/>
      <c r="LEW916" s="7"/>
      <c r="LEX916" s="7"/>
      <c r="LEY916" s="7"/>
      <c r="LEZ916" s="7"/>
      <c r="LFA916" s="7"/>
      <c r="LFB916" s="7"/>
      <c r="LFC916" s="7"/>
      <c r="LFD916" s="7"/>
      <c r="LFE916" s="7"/>
      <c r="LFF916" s="7"/>
      <c r="LFG916" s="7"/>
      <c r="LFH916" s="7"/>
      <c r="LFI916" s="7"/>
      <c r="LFJ916" s="7"/>
      <c r="LFK916" s="7"/>
      <c r="LFL916" s="7"/>
      <c r="LFM916" s="7"/>
      <c r="LFN916" s="7"/>
      <c r="LFO916" s="7"/>
      <c r="LFP916" s="7"/>
      <c r="LFQ916" s="7"/>
      <c r="LFR916" s="7"/>
      <c r="LFS916" s="7"/>
      <c r="LFT916" s="7"/>
      <c r="LFU916" s="7"/>
      <c r="LFV916" s="7"/>
      <c r="LFW916" s="7"/>
      <c r="LFX916" s="7"/>
      <c r="LFY916" s="7"/>
      <c r="LFZ916" s="7"/>
      <c r="LGA916" s="7"/>
      <c r="LGB916" s="7"/>
      <c r="LGC916" s="7"/>
      <c r="LGD916" s="7"/>
      <c r="LGE916" s="7"/>
      <c r="LGF916" s="7"/>
      <c r="LGG916" s="7"/>
      <c r="LGH916" s="7"/>
      <c r="LGI916" s="7"/>
      <c r="LGJ916" s="7"/>
      <c r="LGK916" s="7"/>
      <c r="LGL916" s="7"/>
      <c r="LGM916" s="7"/>
      <c r="LGN916" s="7"/>
      <c r="LGO916" s="7"/>
      <c r="LGP916" s="7"/>
      <c r="LGQ916" s="7"/>
      <c r="LGR916" s="7"/>
      <c r="LGS916" s="7"/>
      <c r="LGT916" s="7"/>
      <c r="LGU916" s="7"/>
      <c r="LGV916" s="7"/>
      <c r="LGW916" s="7"/>
      <c r="LGX916" s="7"/>
      <c r="LGY916" s="7"/>
      <c r="LGZ916" s="7"/>
      <c r="LHA916" s="7"/>
      <c r="LHB916" s="7"/>
      <c r="LHC916" s="7"/>
      <c r="LHD916" s="7"/>
      <c r="LHE916" s="7"/>
      <c r="LHF916" s="7"/>
      <c r="LHG916" s="7"/>
      <c r="LHH916" s="7"/>
      <c r="LHI916" s="7"/>
      <c r="LHJ916" s="7"/>
      <c r="LHK916" s="7"/>
      <c r="LHL916" s="7"/>
      <c r="LHM916" s="7"/>
      <c r="LHN916" s="7"/>
      <c r="LHO916" s="7"/>
      <c r="LHP916" s="7"/>
      <c r="LHQ916" s="7"/>
      <c r="LHR916" s="7"/>
      <c r="LHS916" s="7"/>
      <c r="LHT916" s="7"/>
      <c r="LHU916" s="7"/>
      <c r="LHV916" s="7"/>
      <c r="LHW916" s="7"/>
      <c r="LHX916" s="7"/>
      <c r="LHY916" s="7"/>
      <c r="LHZ916" s="7"/>
      <c r="LIA916" s="7"/>
      <c r="LIB916" s="7"/>
      <c r="LIC916" s="7"/>
      <c r="LID916" s="7"/>
      <c r="LIE916" s="7"/>
      <c r="LIF916" s="7"/>
      <c r="LIG916" s="7"/>
      <c r="LIH916" s="7"/>
      <c r="LII916" s="7"/>
      <c r="LIJ916" s="7"/>
      <c r="LIK916" s="7"/>
      <c r="LIL916" s="7"/>
      <c r="LIM916" s="7"/>
      <c r="LIN916" s="7"/>
      <c r="LIO916" s="7"/>
      <c r="LIP916" s="7"/>
      <c r="LIQ916" s="7"/>
      <c r="LIR916" s="7"/>
      <c r="LIS916" s="7"/>
      <c r="LIT916" s="7"/>
      <c r="LIU916" s="7"/>
      <c r="LIV916" s="7"/>
      <c r="LIW916" s="7"/>
      <c r="LIX916" s="7"/>
      <c r="LIY916" s="7"/>
      <c r="LIZ916" s="7"/>
      <c r="LJA916" s="7"/>
      <c r="LJB916" s="7"/>
      <c r="LJC916" s="7"/>
      <c r="LJD916" s="7"/>
      <c r="LJE916" s="7"/>
      <c r="LJF916" s="7"/>
      <c r="LJG916" s="7"/>
      <c r="LJH916" s="7"/>
      <c r="LJI916" s="7"/>
      <c r="LJJ916" s="7"/>
      <c r="LJK916" s="7"/>
      <c r="LJL916" s="7"/>
      <c r="LJM916" s="7"/>
      <c r="LJN916" s="7"/>
      <c r="LJO916" s="7"/>
      <c r="LJP916" s="7"/>
      <c r="LJQ916" s="7"/>
      <c r="LJR916" s="7"/>
      <c r="LJS916" s="7"/>
      <c r="LJT916" s="7"/>
      <c r="LJU916" s="7"/>
      <c r="LJV916" s="7"/>
      <c r="LJW916" s="7"/>
      <c r="LJX916" s="7"/>
      <c r="LJY916" s="7"/>
      <c r="LJZ916" s="7"/>
      <c r="LKA916" s="7"/>
      <c r="LKB916" s="7"/>
      <c r="LKC916" s="7"/>
      <c r="LKD916" s="7"/>
      <c r="LKE916" s="7"/>
      <c r="LKF916" s="7"/>
      <c r="LKG916" s="7"/>
      <c r="LKH916" s="7"/>
      <c r="LKI916" s="7"/>
      <c r="LKJ916" s="7"/>
      <c r="LKK916" s="7"/>
      <c r="LKL916" s="7"/>
      <c r="LKM916" s="7"/>
      <c r="LKN916" s="7"/>
      <c r="LKO916" s="7"/>
      <c r="LKP916" s="7"/>
      <c r="LKQ916" s="7"/>
      <c r="LKR916" s="7"/>
      <c r="LKS916" s="7"/>
      <c r="LKT916" s="7"/>
      <c r="LKU916" s="7"/>
      <c r="LKV916" s="7"/>
      <c r="LKW916" s="7"/>
      <c r="LKX916" s="7"/>
      <c r="LKY916" s="7"/>
      <c r="LKZ916" s="7"/>
      <c r="LLA916" s="7"/>
      <c r="LLB916" s="7"/>
      <c r="LLC916" s="7"/>
      <c r="LLD916" s="7"/>
      <c r="LLE916" s="7"/>
      <c r="LLF916" s="7"/>
      <c r="LLG916" s="7"/>
      <c r="LLH916" s="7"/>
      <c r="LLI916" s="7"/>
      <c r="LLJ916" s="7"/>
      <c r="LLK916" s="7"/>
      <c r="LLL916" s="7"/>
      <c r="LLM916" s="7"/>
      <c r="LLN916" s="7"/>
      <c r="LLO916" s="7"/>
      <c r="LLP916" s="7"/>
      <c r="LLQ916" s="7"/>
      <c r="LLR916" s="7"/>
      <c r="LLS916" s="7"/>
      <c r="LLT916" s="7"/>
      <c r="LLU916" s="7"/>
      <c r="LLV916" s="7"/>
      <c r="LLW916" s="7"/>
      <c r="LLX916" s="7"/>
      <c r="LLY916" s="7"/>
      <c r="LLZ916" s="7"/>
      <c r="LMA916" s="7"/>
      <c r="LMB916" s="7"/>
      <c r="LMC916" s="7"/>
      <c r="LMD916" s="7"/>
      <c r="LME916" s="7"/>
      <c r="LMF916" s="7"/>
      <c r="LMG916" s="7"/>
      <c r="LMH916" s="7"/>
      <c r="LMI916" s="7"/>
      <c r="LMJ916" s="7"/>
      <c r="LMK916" s="7"/>
      <c r="LML916" s="7"/>
      <c r="LMM916" s="7"/>
      <c r="LMN916" s="7"/>
      <c r="LMO916" s="7"/>
      <c r="LMP916" s="7"/>
      <c r="LMQ916" s="7"/>
      <c r="LMR916" s="7"/>
      <c r="LMS916" s="7"/>
      <c r="LMT916" s="7"/>
      <c r="LMU916" s="7"/>
      <c r="LMV916" s="7"/>
      <c r="LMW916" s="7"/>
      <c r="LMX916" s="7"/>
      <c r="LMY916" s="7"/>
      <c r="LMZ916" s="7"/>
      <c r="LNA916" s="7"/>
      <c r="LNB916" s="7"/>
      <c r="LNC916" s="7"/>
      <c r="LND916" s="7"/>
      <c r="LNE916" s="7"/>
      <c r="LNF916" s="7"/>
      <c r="LNG916" s="7"/>
      <c r="LNH916" s="7"/>
      <c r="LNI916" s="7"/>
      <c r="LNJ916" s="7"/>
      <c r="LNK916" s="7"/>
      <c r="LNL916" s="7"/>
      <c r="LNM916" s="7"/>
      <c r="LNN916" s="7"/>
      <c r="LNO916" s="7"/>
      <c r="LNP916" s="7"/>
      <c r="LNQ916" s="7"/>
      <c r="LNR916" s="7"/>
      <c r="LNS916" s="7"/>
      <c r="LNT916" s="7"/>
      <c r="LNU916" s="7"/>
      <c r="LNV916" s="7"/>
      <c r="LNW916" s="7"/>
      <c r="LNX916" s="7"/>
      <c r="LNY916" s="7"/>
      <c r="LNZ916" s="7"/>
      <c r="LOA916" s="7"/>
      <c r="LOB916" s="7"/>
      <c r="LOC916" s="7"/>
      <c r="LOD916" s="7"/>
      <c r="LOE916" s="7"/>
      <c r="LOF916" s="7"/>
      <c r="LOG916" s="7"/>
      <c r="LOH916" s="7"/>
      <c r="LOI916" s="7"/>
      <c r="LOJ916" s="7"/>
      <c r="LOK916" s="7"/>
      <c r="LOL916" s="7"/>
      <c r="LOM916" s="7"/>
      <c r="LON916" s="7"/>
      <c r="LOO916" s="7"/>
      <c r="LOP916" s="7"/>
      <c r="LOQ916" s="7"/>
      <c r="LOR916" s="7"/>
      <c r="LOS916" s="7"/>
      <c r="LOT916" s="7"/>
      <c r="LOU916" s="7"/>
      <c r="LOV916" s="7"/>
      <c r="LOW916" s="7"/>
      <c r="LOX916" s="7"/>
      <c r="LOY916" s="7"/>
      <c r="LOZ916" s="7"/>
      <c r="LPA916" s="7"/>
      <c r="LPB916" s="7"/>
      <c r="LPC916" s="7"/>
      <c r="LPD916" s="7"/>
      <c r="LPE916" s="7"/>
      <c r="LPF916" s="7"/>
      <c r="LPG916" s="7"/>
      <c r="LPH916" s="7"/>
      <c r="LPI916" s="7"/>
      <c r="LPJ916" s="7"/>
      <c r="LPK916" s="7"/>
      <c r="LPL916" s="7"/>
      <c r="LPM916" s="7"/>
      <c r="LPN916" s="7"/>
      <c r="LPO916" s="7"/>
      <c r="LPP916" s="7"/>
      <c r="LPQ916" s="7"/>
      <c r="LPR916" s="7"/>
      <c r="LPS916" s="7"/>
      <c r="LPT916" s="7"/>
      <c r="LPU916" s="7"/>
      <c r="LPV916" s="7"/>
      <c r="LPW916" s="7"/>
      <c r="LPX916" s="7"/>
      <c r="LPY916" s="7"/>
      <c r="LPZ916" s="7"/>
      <c r="LQA916" s="7"/>
      <c r="LQB916" s="7"/>
      <c r="LQC916" s="7"/>
      <c r="LQD916" s="7"/>
      <c r="LQE916" s="7"/>
      <c r="LQF916" s="7"/>
      <c r="LQG916" s="7"/>
      <c r="LQH916" s="7"/>
      <c r="LQI916" s="7"/>
      <c r="LQJ916" s="7"/>
      <c r="LQK916" s="7"/>
      <c r="LQL916" s="7"/>
      <c r="LQM916" s="7"/>
      <c r="LQN916" s="7"/>
      <c r="LQO916" s="7"/>
      <c r="LQP916" s="7"/>
      <c r="LQQ916" s="7"/>
      <c r="LQR916" s="7"/>
      <c r="LQS916" s="7"/>
      <c r="LQT916" s="7"/>
      <c r="LQU916" s="7"/>
      <c r="LQV916" s="7"/>
      <c r="LQW916" s="7"/>
      <c r="LQX916" s="7"/>
      <c r="LQY916" s="7"/>
      <c r="LQZ916" s="7"/>
      <c r="LRA916" s="7"/>
      <c r="LRB916" s="7"/>
      <c r="LRC916" s="7"/>
      <c r="LRD916" s="7"/>
      <c r="LRE916" s="7"/>
      <c r="LRF916" s="7"/>
      <c r="LRG916" s="7"/>
      <c r="LRH916" s="7"/>
      <c r="LRI916" s="7"/>
      <c r="LRJ916" s="7"/>
      <c r="LRK916" s="7"/>
      <c r="LRL916" s="7"/>
      <c r="LRM916" s="7"/>
      <c r="LRN916" s="7"/>
      <c r="LRO916" s="7"/>
      <c r="LRP916" s="7"/>
      <c r="LRQ916" s="7"/>
      <c r="LRR916" s="7"/>
      <c r="LRS916" s="7"/>
      <c r="LRT916" s="7"/>
      <c r="LRU916" s="7"/>
      <c r="LRV916" s="7"/>
      <c r="LRW916" s="7"/>
      <c r="LRX916" s="7"/>
      <c r="LRY916" s="7"/>
      <c r="LRZ916" s="7"/>
      <c r="LSA916" s="7"/>
      <c r="LSB916" s="7"/>
      <c r="LSC916" s="7"/>
      <c r="LSD916" s="7"/>
      <c r="LSE916" s="7"/>
      <c r="LSF916" s="7"/>
      <c r="LSG916" s="7"/>
      <c r="LSH916" s="7"/>
      <c r="LSI916" s="7"/>
      <c r="LSJ916" s="7"/>
      <c r="LSK916" s="7"/>
      <c r="LSL916" s="7"/>
      <c r="LSM916" s="7"/>
      <c r="LSN916" s="7"/>
      <c r="LSO916" s="7"/>
      <c r="LSP916" s="7"/>
      <c r="LSQ916" s="7"/>
      <c r="LSR916" s="7"/>
      <c r="LSS916" s="7"/>
      <c r="LST916" s="7"/>
      <c r="LSU916" s="7"/>
      <c r="LSV916" s="7"/>
      <c r="LSW916" s="7"/>
      <c r="LSX916" s="7"/>
      <c r="LSY916" s="7"/>
      <c r="LSZ916" s="7"/>
      <c r="LTA916" s="7"/>
      <c r="LTB916" s="7"/>
      <c r="LTC916" s="7"/>
      <c r="LTD916" s="7"/>
      <c r="LTE916" s="7"/>
      <c r="LTF916" s="7"/>
      <c r="LTG916" s="7"/>
      <c r="LTH916" s="7"/>
      <c r="LTI916" s="7"/>
      <c r="LTJ916" s="7"/>
      <c r="LTK916" s="7"/>
      <c r="LTL916" s="7"/>
      <c r="LTM916" s="7"/>
      <c r="LTN916" s="7"/>
      <c r="LTO916" s="7"/>
      <c r="LTP916" s="7"/>
      <c r="LTQ916" s="7"/>
      <c r="LTR916" s="7"/>
      <c r="LTS916" s="7"/>
      <c r="LTT916" s="7"/>
      <c r="LTU916" s="7"/>
      <c r="LTV916" s="7"/>
      <c r="LTW916" s="7"/>
      <c r="LTX916" s="7"/>
      <c r="LTY916" s="7"/>
      <c r="LTZ916" s="7"/>
      <c r="LUA916" s="7"/>
      <c r="LUB916" s="7"/>
      <c r="LUC916" s="7"/>
      <c r="LUD916" s="7"/>
      <c r="LUE916" s="7"/>
      <c r="LUF916" s="7"/>
      <c r="LUG916" s="7"/>
      <c r="LUH916" s="7"/>
      <c r="LUI916" s="7"/>
      <c r="LUJ916" s="7"/>
      <c r="LUK916" s="7"/>
      <c r="LUL916" s="7"/>
      <c r="LUM916" s="7"/>
      <c r="LUN916" s="7"/>
      <c r="LUO916" s="7"/>
      <c r="LUP916" s="7"/>
      <c r="LUQ916" s="7"/>
      <c r="LUR916" s="7"/>
      <c r="LUS916" s="7"/>
      <c r="LUT916" s="7"/>
      <c r="LUU916" s="7"/>
      <c r="LUV916" s="7"/>
      <c r="LUW916" s="7"/>
      <c r="LUX916" s="7"/>
      <c r="LUY916" s="7"/>
      <c r="LUZ916" s="7"/>
      <c r="LVA916" s="7"/>
      <c r="LVB916" s="7"/>
      <c r="LVC916" s="7"/>
      <c r="LVD916" s="7"/>
      <c r="LVE916" s="7"/>
      <c r="LVF916" s="7"/>
      <c r="LVG916" s="7"/>
      <c r="LVH916" s="7"/>
      <c r="LVI916" s="7"/>
      <c r="LVJ916" s="7"/>
      <c r="LVK916" s="7"/>
      <c r="LVL916" s="7"/>
      <c r="LVM916" s="7"/>
      <c r="LVN916" s="7"/>
      <c r="LVO916" s="7"/>
      <c r="LVP916" s="7"/>
      <c r="LVQ916" s="7"/>
      <c r="LVR916" s="7"/>
      <c r="LVS916" s="7"/>
      <c r="LVT916" s="7"/>
      <c r="LVU916" s="7"/>
      <c r="LVV916" s="7"/>
      <c r="LVW916" s="7"/>
      <c r="LVX916" s="7"/>
      <c r="LVY916" s="7"/>
      <c r="LVZ916" s="7"/>
      <c r="LWA916" s="7"/>
      <c r="LWB916" s="7"/>
      <c r="LWC916" s="7"/>
      <c r="LWD916" s="7"/>
      <c r="LWE916" s="7"/>
      <c r="LWF916" s="7"/>
      <c r="LWG916" s="7"/>
      <c r="LWH916" s="7"/>
      <c r="LWI916" s="7"/>
      <c r="LWJ916" s="7"/>
      <c r="LWK916" s="7"/>
      <c r="LWL916" s="7"/>
      <c r="LWM916" s="7"/>
      <c r="LWN916" s="7"/>
      <c r="LWO916" s="7"/>
      <c r="LWP916" s="7"/>
      <c r="LWQ916" s="7"/>
      <c r="LWR916" s="7"/>
      <c r="LWS916" s="7"/>
      <c r="LWT916" s="7"/>
      <c r="LWU916" s="7"/>
      <c r="LWV916" s="7"/>
      <c r="LWW916" s="7"/>
      <c r="LWX916" s="7"/>
      <c r="LWY916" s="7"/>
      <c r="LWZ916" s="7"/>
      <c r="LXA916" s="7"/>
      <c r="LXB916" s="7"/>
      <c r="LXC916" s="7"/>
      <c r="LXD916" s="7"/>
      <c r="LXE916" s="7"/>
      <c r="LXF916" s="7"/>
      <c r="LXG916" s="7"/>
      <c r="LXH916" s="7"/>
      <c r="LXI916" s="7"/>
      <c r="LXJ916" s="7"/>
      <c r="LXK916" s="7"/>
      <c r="LXL916" s="7"/>
      <c r="LXM916" s="7"/>
      <c r="LXN916" s="7"/>
      <c r="LXO916" s="7"/>
      <c r="LXP916" s="7"/>
      <c r="LXQ916" s="7"/>
      <c r="LXR916" s="7"/>
      <c r="LXS916" s="7"/>
      <c r="LXT916" s="7"/>
      <c r="LXU916" s="7"/>
      <c r="LXV916" s="7"/>
      <c r="LXW916" s="7"/>
      <c r="LXX916" s="7"/>
      <c r="LXY916" s="7"/>
      <c r="LXZ916" s="7"/>
      <c r="LYA916" s="7"/>
      <c r="LYB916" s="7"/>
      <c r="LYC916" s="7"/>
      <c r="LYD916" s="7"/>
      <c r="LYE916" s="7"/>
      <c r="LYF916" s="7"/>
      <c r="LYG916" s="7"/>
      <c r="LYH916" s="7"/>
      <c r="LYI916" s="7"/>
      <c r="LYJ916" s="7"/>
      <c r="LYK916" s="7"/>
      <c r="LYL916" s="7"/>
      <c r="LYM916" s="7"/>
      <c r="LYN916" s="7"/>
      <c r="LYO916" s="7"/>
      <c r="LYP916" s="7"/>
      <c r="LYQ916" s="7"/>
      <c r="LYR916" s="7"/>
      <c r="LYS916" s="7"/>
      <c r="LYT916" s="7"/>
      <c r="LYU916" s="7"/>
      <c r="LYV916" s="7"/>
      <c r="LYW916" s="7"/>
      <c r="LYX916" s="7"/>
      <c r="LYY916" s="7"/>
      <c r="LYZ916" s="7"/>
      <c r="LZA916" s="7"/>
      <c r="LZB916" s="7"/>
      <c r="LZC916" s="7"/>
      <c r="LZD916" s="7"/>
      <c r="LZE916" s="7"/>
      <c r="LZF916" s="7"/>
      <c r="LZG916" s="7"/>
      <c r="LZH916" s="7"/>
      <c r="LZI916" s="7"/>
      <c r="LZJ916" s="7"/>
      <c r="LZK916" s="7"/>
      <c r="LZL916" s="7"/>
      <c r="LZM916" s="7"/>
      <c r="LZN916" s="7"/>
      <c r="LZO916" s="7"/>
      <c r="LZP916" s="7"/>
      <c r="LZQ916" s="7"/>
      <c r="LZR916" s="7"/>
      <c r="LZS916" s="7"/>
      <c r="LZT916" s="7"/>
      <c r="LZU916" s="7"/>
      <c r="LZV916" s="7"/>
      <c r="LZW916" s="7"/>
      <c r="LZX916" s="7"/>
      <c r="LZY916" s="7"/>
      <c r="LZZ916" s="7"/>
      <c r="MAA916" s="7"/>
      <c r="MAB916" s="7"/>
      <c r="MAC916" s="7"/>
      <c r="MAD916" s="7"/>
      <c r="MAE916" s="7"/>
      <c r="MAF916" s="7"/>
      <c r="MAG916" s="7"/>
      <c r="MAH916" s="7"/>
      <c r="MAI916" s="7"/>
      <c r="MAJ916" s="7"/>
      <c r="MAK916" s="7"/>
      <c r="MAL916" s="7"/>
      <c r="MAM916" s="7"/>
      <c r="MAN916" s="7"/>
      <c r="MAO916" s="7"/>
      <c r="MAP916" s="7"/>
      <c r="MAQ916" s="7"/>
      <c r="MAR916" s="7"/>
      <c r="MAS916" s="7"/>
      <c r="MAT916" s="7"/>
      <c r="MAU916" s="7"/>
      <c r="MAV916" s="7"/>
      <c r="MAW916" s="7"/>
      <c r="MAX916" s="7"/>
      <c r="MAY916" s="7"/>
      <c r="MAZ916" s="7"/>
      <c r="MBA916" s="7"/>
      <c r="MBB916" s="7"/>
      <c r="MBC916" s="7"/>
      <c r="MBD916" s="7"/>
      <c r="MBE916" s="7"/>
      <c r="MBF916" s="7"/>
      <c r="MBG916" s="7"/>
      <c r="MBH916" s="7"/>
      <c r="MBI916" s="7"/>
      <c r="MBJ916" s="7"/>
      <c r="MBK916" s="7"/>
      <c r="MBL916" s="7"/>
      <c r="MBM916" s="7"/>
      <c r="MBN916" s="7"/>
      <c r="MBO916" s="7"/>
      <c r="MBP916" s="7"/>
      <c r="MBQ916" s="7"/>
      <c r="MBR916" s="7"/>
      <c r="MBS916" s="7"/>
      <c r="MBT916" s="7"/>
      <c r="MBU916" s="7"/>
      <c r="MBV916" s="7"/>
      <c r="MBW916" s="7"/>
      <c r="MBX916" s="7"/>
      <c r="MBY916" s="7"/>
      <c r="MBZ916" s="7"/>
      <c r="MCA916" s="7"/>
      <c r="MCB916" s="7"/>
      <c r="MCC916" s="7"/>
      <c r="MCD916" s="7"/>
      <c r="MCE916" s="7"/>
      <c r="MCF916" s="7"/>
      <c r="MCG916" s="7"/>
      <c r="MCH916" s="7"/>
      <c r="MCI916" s="7"/>
      <c r="MCJ916" s="7"/>
      <c r="MCK916" s="7"/>
      <c r="MCL916" s="7"/>
      <c r="MCM916" s="7"/>
      <c r="MCN916" s="7"/>
      <c r="MCO916" s="7"/>
      <c r="MCP916" s="7"/>
      <c r="MCQ916" s="7"/>
      <c r="MCR916" s="7"/>
      <c r="MCS916" s="7"/>
      <c r="MCT916" s="7"/>
      <c r="MCU916" s="7"/>
      <c r="MCV916" s="7"/>
      <c r="MCW916" s="7"/>
      <c r="MCX916" s="7"/>
      <c r="MCY916" s="7"/>
      <c r="MCZ916" s="7"/>
      <c r="MDA916" s="7"/>
      <c r="MDB916" s="7"/>
      <c r="MDC916" s="7"/>
      <c r="MDD916" s="7"/>
      <c r="MDE916" s="7"/>
      <c r="MDF916" s="7"/>
      <c r="MDG916" s="7"/>
      <c r="MDH916" s="7"/>
      <c r="MDI916" s="7"/>
      <c r="MDJ916" s="7"/>
      <c r="MDK916" s="7"/>
      <c r="MDL916" s="7"/>
      <c r="MDM916" s="7"/>
      <c r="MDN916" s="7"/>
      <c r="MDO916" s="7"/>
      <c r="MDP916" s="7"/>
      <c r="MDQ916" s="7"/>
      <c r="MDR916" s="7"/>
      <c r="MDS916" s="7"/>
      <c r="MDT916" s="7"/>
      <c r="MDU916" s="7"/>
      <c r="MDV916" s="7"/>
      <c r="MDW916" s="7"/>
      <c r="MDX916" s="7"/>
      <c r="MDY916" s="7"/>
      <c r="MDZ916" s="7"/>
      <c r="MEA916" s="7"/>
      <c r="MEB916" s="7"/>
      <c r="MEC916" s="7"/>
      <c r="MED916" s="7"/>
      <c r="MEE916" s="7"/>
      <c r="MEF916" s="7"/>
      <c r="MEG916" s="7"/>
      <c r="MEH916" s="7"/>
      <c r="MEI916" s="7"/>
      <c r="MEJ916" s="7"/>
      <c r="MEK916" s="7"/>
      <c r="MEL916" s="7"/>
      <c r="MEM916" s="7"/>
      <c r="MEN916" s="7"/>
      <c r="MEO916" s="7"/>
      <c r="MEP916" s="7"/>
      <c r="MEQ916" s="7"/>
      <c r="MER916" s="7"/>
      <c r="MES916" s="7"/>
      <c r="MET916" s="7"/>
      <c r="MEU916" s="7"/>
      <c r="MEV916" s="7"/>
      <c r="MEW916" s="7"/>
      <c r="MEX916" s="7"/>
      <c r="MEY916" s="7"/>
      <c r="MEZ916" s="7"/>
      <c r="MFA916" s="7"/>
      <c r="MFB916" s="7"/>
      <c r="MFC916" s="7"/>
      <c r="MFD916" s="7"/>
      <c r="MFE916" s="7"/>
      <c r="MFF916" s="7"/>
      <c r="MFG916" s="7"/>
      <c r="MFH916" s="7"/>
      <c r="MFI916" s="7"/>
      <c r="MFJ916" s="7"/>
      <c r="MFK916" s="7"/>
      <c r="MFL916" s="7"/>
      <c r="MFM916" s="7"/>
      <c r="MFN916" s="7"/>
      <c r="MFO916" s="7"/>
      <c r="MFP916" s="7"/>
      <c r="MFQ916" s="7"/>
      <c r="MFR916" s="7"/>
      <c r="MFS916" s="7"/>
      <c r="MFT916" s="7"/>
      <c r="MFU916" s="7"/>
      <c r="MFV916" s="7"/>
      <c r="MFW916" s="7"/>
      <c r="MFX916" s="7"/>
      <c r="MFY916" s="7"/>
      <c r="MFZ916" s="7"/>
      <c r="MGA916" s="7"/>
      <c r="MGB916" s="7"/>
      <c r="MGC916" s="7"/>
      <c r="MGD916" s="7"/>
      <c r="MGE916" s="7"/>
      <c r="MGF916" s="7"/>
      <c r="MGG916" s="7"/>
      <c r="MGH916" s="7"/>
      <c r="MGI916" s="7"/>
      <c r="MGJ916" s="7"/>
      <c r="MGK916" s="7"/>
      <c r="MGL916" s="7"/>
      <c r="MGM916" s="7"/>
      <c r="MGN916" s="7"/>
      <c r="MGO916" s="7"/>
      <c r="MGP916" s="7"/>
      <c r="MGQ916" s="7"/>
      <c r="MGR916" s="7"/>
      <c r="MGS916" s="7"/>
      <c r="MGT916" s="7"/>
      <c r="MGU916" s="7"/>
      <c r="MGV916" s="7"/>
      <c r="MGW916" s="7"/>
      <c r="MGX916" s="7"/>
      <c r="MGY916" s="7"/>
      <c r="MGZ916" s="7"/>
      <c r="MHA916" s="7"/>
      <c r="MHB916" s="7"/>
      <c r="MHC916" s="7"/>
      <c r="MHD916" s="7"/>
      <c r="MHE916" s="7"/>
      <c r="MHF916" s="7"/>
      <c r="MHG916" s="7"/>
      <c r="MHH916" s="7"/>
      <c r="MHI916" s="7"/>
      <c r="MHJ916" s="7"/>
      <c r="MHK916" s="7"/>
      <c r="MHL916" s="7"/>
      <c r="MHM916" s="7"/>
      <c r="MHN916" s="7"/>
      <c r="MHO916" s="7"/>
      <c r="MHP916" s="7"/>
      <c r="MHQ916" s="7"/>
      <c r="MHR916" s="7"/>
      <c r="MHS916" s="7"/>
      <c r="MHT916" s="7"/>
      <c r="MHU916" s="7"/>
      <c r="MHV916" s="7"/>
      <c r="MHW916" s="7"/>
      <c r="MHX916" s="7"/>
      <c r="MHY916" s="7"/>
      <c r="MHZ916" s="7"/>
      <c r="MIA916" s="7"/>
      <c r="MIB916" s="7"/>
      <c r="MIC916" s="7"/>
      <c r="MID916" s="7"/>
      <c r="MIE916" s="7"/>
      <c r="MIF916" s="7"/>
      <c r="MIG916" s="7"/>
      <c r="MIH916" s="7"/>
      <c r="MII916" s="7"/>
      <c r="MIJ916" s="7"/>
      <c r="MIK916" s="7"/>
      <c r="MIL916" s="7"/>
      <c r="MIM916" s="7"/>
      <c r="MIN916" s="7"/>
      <c r="MIO916" s="7"/>
      <c r="MIP916" s="7"/>
      <c r="MIQ916" s="7"/>
      <c r="MIR916" s="7"/>
      <c r="MIS916" s="7"/>
      <c r="MIT916" s="7"/>
      <c r="MIU916" s="7"/>
      <c r="MIV916" s="7"/>
      <c r="MIW916" s="7"/>
      <c r="MIX916" s="7"/>
      <c r="MIY916" s="7"/>
      <c r="MIZ916" s="7"/>
      <c r="MJA916" s="7"/>
      <c r="MJB916" s="7"/>
      <c r="MJC916" s="7"/>
      <c r="MJD916" s="7"/>
      <c r="MJE916" s="7"/>
      <c r="MJF916" s="7"/>
      <c r="MJG916" s="7"/>
      <c r="MJH916" s="7"/>
      <c r="MJI916" s="7"/>
      <c r="MJJ916" s="7"/>
      <c r="MJK916" s="7"/>
      <c r="MJL916" s="7"/>
      <c r="MJM916" s="7"/>
      <c r="MJN916" s="7"/>
      <c r="MJO916" s="7"/>
      <c r="MJP916" s="7"/>
      <c r="MJQ916" s="7"/>
      <c r="MJR916" s="7"/>
      <c r="MJS916" s="7"/>
      <c r="MJT916" s="7"/>
      <c r="MJU916" s="7"/>
      <c r="MJV916" s="7"/>
      <c r="MJW916" s="7"/>
      <c r="MJX916" s="7"/>
      <c r="MJY916" s="7"/>
      <c r="MJZ916" s="7"/>
      <c r="MKA916" s="7"/>
      <c r="MKB916" s="7"/>
      <c r="MKC916" s="7"/>
      <c r="MKD916" s="7"/>
      <c r="MKE916" s="7"/>
      <c r="MKF916" s="7"/>
      <c r="MKG916" s="7"/>
      <c r="MKH916" s="7"/>
      <c r="MKI916" s="7"/>
      <c r="MKJ916" s="7"/>
      <c r="MKK916" s="7"/>
      <c r="MKL916" s="7"/>
      <c r="MKM916" s="7"/>
      <c r="MKN916" s="7"/>
      <c r="MKO916" s="7"/>
      <c r="MKP916" s="7"/>
      <c r="MKQ916" s="7"/>
      <c r="MKR916" s="7"/>
      <c r="MKS916" s="7"/>
      <c r="MKT916" s="7"/>
      <c r="MKU916" s="7"/>
      <c r="MKV916" s="7"/>
      <c r="MKW916" s="7"/>
      <c r="MKX916" s="7"/>
      <c r="MKY916" s="7"/>
      <c r="MKZ916" s="7"/>
      <c r="MLA916" s="7"/>
      <c r="MLB916" s="7"/>
      <c r="MLC916" s="7"/>
      <c r="MLD916" s="7"/>
      <c r="MLE916" s="7"/>
      <c r="MLF916" s="7"/>
      <c r="MLG916" s="7"/>
      <c r="MLH916" s="7"/>
      <c r="MLI916" s="7"/>
      <c r="MLJ916" s="7"/>
      <c r="MLK916" s="7"/>
      <c r="MLL916" s="7"/>
      <c r="MLM916" s="7"/>
      <c r="MLN916" s="7"/>
      <c r="MLO916" s="7"/>
      <c r="MLP916" s="7"/>
      <c r="MLQ916" s="7"/>
      <c r="MLR916" s="7"/>
      <c r="MLS916" s="7"/>
      <c r="MLT916" s="7"/>
      <c r="MLU916" s="7"/>
      <c r="MLV916" s="7"/>
      <c r="MLW916" s="7"/>
      <c r="MLX916" s="7"/>
      <c r="MLY916" s="7"/>
      <c r="MLZ916" s="7"/>
      <c r="MMA916" s="7"/>
      <c r="MMB916" s="7"/>
      <c r="MMC916" s="7"/>
      <c r="MMD916" s="7"/>
      <c r="MME916" s="7"/>
      <c r="MMF916" s="7"/>
      <c r="MMG916" s="7"/>
      <c r="MMH916" s="7"/>
      <c r="MMI916" s="7"/>
      <c r="MMJ916" s="7"/>
      <c r="MMK916" s="7"/>
      <c r="MML916" s="7"/>
      <c r="MMM916" s="7"/>
      <c r="MMN916" s="7"/>
      <c r="MMO916" s="7"/>
      <c r="MMP916" s="7"/>
      <c r="MMQ916" s="7"/>
      <c r="MMR916" s="7"/>
      <c r="MMS916" s="7"/>
      <c r="MMT916" s="7"/>
      <c r="MMU916" s="7"/>
      <c r="MMV916" s="7"/>
      <c r="MMW916" s="7"/>
      <c r="MMX916" s="7"/>
      <c r="MMY916" s="7"/>
      <c r="MMZ916" s="7"/>
      <c r="MNA916" s="7"/>
      <c r="MNB916" s="7"/>
      <c r="MNC916" s="7"/>
      <c r="MND916" s="7"/>
      <c r="MNE916" s="7"/>
      <c r="MNF916" s="7"/>
      <c r="MNG916" s="7"/>
      <c r="MNH916" s="7"/>
      <c r="MNI916" s="7"/>
      <c r="MNJ916" s="7"/>
      <c r="MNK916" s="7"/>
      <c r="MNL916" s="7"/>
      <c r="MNM916" s="7"/>
      <c r="MNN916" s="7"/>
      <c r="MNO916" s="7"/>
      <c r="MNP916" s="7"/>
      <c r="MNQ916" s="7"/>
      <c r="MNR916" s="7"/>
      <c r="MNS916" s="7"/>
      <c r="MNT916" s="7"/>
      <c r="MNU916" s="7"/>
      <c r="MNV916" s="7"/>
      <c r="MNW916" s="7"/>
      <c r="MNX916" s="7"/>
      <c r="MNY916" s="7"/>
      <c r="MNZ916" s="7"/>
      <c r="MOA916" s="7"/>
      <c r="MOB916" s="7"/>
      <c r="MOC916" s="7"/>
      <c r="MOD916" s="7"/>
      <c r="MOE916" s="7"/>
      <c r="MOF916" s="7"/>
      <c r="MOG916" s="7"/>
      <c r="MOH916" s="7"/>
      <c r="MOI916" s="7"/>
      <c r="MOJ916" s="7"/>
      <c r="MOK916" s="7"/>
      <c r="MOL916" s="7"/>
      <c r="MOM916" s="7"/>
      <c r="MON916" s="7"/>
      <c r="MOO916" s="7"/>
      <c r="MOP916" s="7"/>
      <c r="MOQ916" s="7"/>
      <c r="MOR916" s="7"/>
      <c r="MOS916" s="7"/>
      <c r="MOT916" s="7"/>
      <c r="MOU916" s="7"/>
      <c r="MOV916" s="7"/>
      <c r="MOW916" s="7"/>
      <c r="MOX916" s="7"/>
      <c r="MOY916" s="7"/>
      <c r="MOZ916" s="7"/>
      <c r="MPA916" s="7"/>
      <c r="MPB916" s="7"/>
      <c r="MPC916" s="7"/>
      <c r="MPD916" s="7"/>
      <c r="MPE916" s="7"/>
      <c r="MPF916" s="7"/>
      <c r="MPG916" s="7"/>
      <c r="MPH916" s="7"/>
      <c r="MPI916" s="7"/>
      <c r="MPJ916" s="7"/>
      <c r="MPK916" s="7"/>
      <c r="MPL916" s="7"/>
      <c r="MPM916" s="7"/>
      <c r="MPN916" s="7"/>
      <c r="MPO916" s="7"/>
      <c r="MPP916" s="7"/>
      <c r="MPQ916" s="7"/>
      <c r="MPR916" s="7"/>
      <c r="MPS916" s="7"/>
      <c r="MPT916" s="7"/>
      <c r="MPU916" s="7"/>
      <c r="MPV916" s="7"/>
      <c r="MPW916" s="7"/>
      <c r="MPX916" s="7"/>
      <c r="MPY916" s="7"/>
      <c r="MPZ916" s="7"/>
      <c r="MQA916" s="7"/>
      <c r="MQB916" s="7"/>
      <c r="MQC916" s="7"/>
      <c r="MQD916" s="7"/>
      <c r="MQE916" s="7"/>
      <c r="MQF916" s="7"/>
      <c r="MQG916" s="7"/>
      <c r="MQH916" s="7"/>
      <c r="MQI916" s="7"/>
      <c r="MQJ916" s="7"/>
      <c r="MQK916" s="7"/>
      <c r="MQL916" s="7"/>
      <c r="MQM916" s="7"/>
      <c r="MQN916" s="7"/>
      <c r="MQO916" s="7"/>
      <c r="MQP916" s="7"/>
      <c r="MQQ916" s="7"/>
      <c r="MQR916" s="7"/>
      <c r="MQS916" s="7"/>
      <c r="MQT916" s="7"/>
      <c r="MQU916" s="7"/>
      <c r="MQV916" s="7"/>
      <c r="MQW916" s="7"/>
      <c r="MQX916" s="7"/>
      <c r="MQY916" s="7"/>
      <c r="MQZ916" s="7"/>
      <c r="MRA916" s="7"/>
      <c r="MRB916" s="7"/>
      <c r="MRC916" s="7"/>
      <c r="MRD916" s="7"/>
      <c r="MRE916" s="7"/>
      <c r="MRF916" s="7"/>
      <c r="MRG916" s="7"/>
      <c r="MRH916" s="7"/>
      <c r="MRI916" s="7"/>
      <c r="MRJ916" s="7"/>
      <c r="MRK916" s="7"/>
      <c r="MRL916" s="7"/>
      <c r="MRM916" s="7"/>
      <c r="MRN916" s="7"/>
      <c r="MRO916" s="7"/>
      <c r="MRP916" s="7"/>
      <c r="MRQ916" s="7"/>
      <c r="MRR916" s="7"/>
      <c r="MRS916" s="7"/>
      <c r="MRT916" s="7"/>
      <c r="MRU916" s="7"/>
      <c r="MRV916" s="7"/>
      <c r="MRW916" s="7"/>
      <c r="MRX916" s="7"/>
      <c r="MRY916" s="7"/>
      <c r="MRZ916" s="7"/>
      <c r="MSA916" s="7"/>
      <c r="MSB916" s="7"/>
      <c r="MSC916" s="7"/>
      <c r="MSD916" s="7"/>
      <c r="MSE916" s="7"/>
      <c r="MSF916" s="7"/>
      <c r="MSG916" s="7"/>
      <c r="MSH916" s="7"/>
      <c r="MSI916" s="7"/>
      <c r="MSJ916" s="7"/>
      <c r="MSK916" s="7"/>
      <c r="MSL916" s="7"/>
      <c r="MSM916" s="7"/>
      <c r="MSN916" s="7"/>
      <c r="MSO916" s="7"/>
      <c r="MSP916" s="7"/>
      <c r="MSQ916" s="7"/>
      <c r="MSR916" s="7"/>
      <c r="MSS916" s="7"/>
      <c r="MST916" s="7"/>
      <c r="MSU916" s="7"/>
      <c r="MSV916" s="7"/>
      <c r="MSW916" s="7"/>
      <c r="MSX916" s="7"/>
      <c r="MSY916" s="7"/>
      <c r="MSZ916" s="7"/>
      <c r="MTA916" s="7"/>
      <c r="MTB916" s="7"/>
      <c r="MTC916" s="7"/>
      <c r="MTD916" s="7"/>
      <c r="MTE916" s="7"/>
      <c r="MTF916" s="7"/>
      <c r="MTG916" s="7"/>
      <c r="MTH916" s="7"/>
      <c r="MTI916" s="7"/>
      <c r="MTJ916" s="7"/>
      <c r="MTK916" s="7"/>
      <c r="MTL916" s="7"/>
      <c r="MTM916" s="7"/>
      <c r="MTN916" s="7"/>
      <c r="MTO916" s="7"/>
      <c r="MTP916" s="7"/>
      <c r="MTQ916" s="7"/>
      <c r="MTR916" s="7"/>
      <c r="MTS916" s="7"/>
      <c r="MTT916" s="7"/>
      <c r="MTU916" s="7"/>
      <c r="MTV916" s="7"/>
      <c r="MTW916" s="7"/>
      <c r="MTX916" s="7"/>
      <c r="MTY916" s="7"/>
      <c r="MTZ916" s="7"/>
      <c r="MUA916" s="7"/>
      <c r="MUB916" s="7"/>
      <c r="MUC916" s="7"/>
      <c r="MUD916" s="7"/>
      <c r="MUE916" s="7"/>
      <c r="MUF916" s="7"/>
      <c r="MUG916" s="7"/>
      <c r="MUH916" s="7"/>
      <c r="MUI916" s="7"/>
      <c r="MUJ916" s="7"/>
      <c r="MUK916" s="7"/>
      <c r="MUL916" s="7"/>
      <c r="MUM916" s="7"/>
      <c r="MUN916" s="7"/>
      <c r="MUO916" s="7"/>
      <c r="MUP916" s="7"/>
      <c r="MUQ916" s="7"/>
      <c r="MUR916" s="7"/>
      <c r="MUS916" s="7"/>
      <c r="MUT916" s="7"/>
      <c r="MUU916" s="7"/>
      <c r="MUV916" s="7"/>
      <c r="MUW916" s="7"/>
      <c r="MUX916" s="7"/>
      <c r="MUY916" s="7"/>
      <c r="MUZ916" s="7"/>
      <c r="MVA916" s="7"/>
      <c r="MVB916" s="7"/>
      <c r="MVC916" s="7"/>
      <c r="MVD916" s="7"/>
      <c r="MVE916" s="7"/>
      <c r="MVF916" s="7"/>
      <c r="MVG916" s="7"/>
      <c r="MVH916" s="7"/>
      <c r="MVI916" s="7"/>
      <c r="MVJ916" s="7"/>
      <c r="MVK916" s="7"/>
      <c r="MVL916" s="7"/>
      <c r="MVM916" s="7"/>
      <c r="MVN916" s="7"/>
      <c r="MVO916" s="7"/>
      <c r="MVP916" s="7"/>
      <c r="MVQ916" s="7"/>
      <c r="MVR916" s="7"/>
      <c r="MVS916" s="7"/>
      <c r="MVT916" s="7"/>
      <c r="MVU916" s="7"/>
      <c r="MVV916" s="7"/>
      <c r="MVW916" s="7"/>
      <c r="MVX916" s="7"/>
      <c r="MVY916" s="7"/>
      <c r="MVZ916" s="7"/>
      <c r="MWA916" s="7"/>
      <c r="MWB916" s="7"/>
      <c r="MWC916" s="7"/>
      <c r="MWD916" s="7"/>
      <c r="MWE916" s="7"/>
      <c r="MWF916" s="7"/>
      <c r="MWG916" s="7"/>
      <c r="MWH916" s="7"/>
      <c r="MWI916" s="7"/>
      <c r="MWJ916" s="7"/>
      <c r="MWK916" s="7"/>
      <c r="MWL916" s="7"/>
      <c r="MWM916" s="7"/>
      <c r="MWN916" s="7"/>
      <c r="MWO916" s="7"/>
      <c r="MWP916" s="7"/>
      <c r="MWQ916" s="7"/>
      <c r="MWR916" s="7"/>
      <c r="MWS916" s="7"/>
      <c r="MWT916" s="7"/>
      <c r="MWU916" s="7"/>
      <c r="MWV916" s="7"/>
      <c r="MWW916" s="7"/>
      <c r="MWX916" s="7"/>
      <c r="MWY916" s="7"/>
      <c r="MWZ916" s="7"/>
      <c r="MXA916" s="7"/>
      <c r="MXB916" s="7"/>
      <c r="MXC916" s="7"/>
      <c r="MXD916" s="7"/>
      <c r="MXE916" s="7"/>
      <c r="MXF916" s="7"/>
      <c r="MXG916" s="7"/>
      <c r="MXH916" s="7"/>
      <c r="MXI916" s="7"/>
      <c r="MXJ916" s="7"/>
      <c r="MXK916" s="7"/>
      <c r="MXL916" s="7"/>
      <c r="MXM916" s="7"/>
      <c r="MXN916" s="7"/>
      <c r="MXO916" s="7"/>
      <c r="MXP916" s="7"/>
      <c r="MXQ916" s="7"/>
      <c r="MXR916" s="7"/>
      <c r="MXS916" s="7"/>
      <c r="MXT916" s="7"/>
      <c r="MXU916" s="7"/>
      <c r="MXV916" s="7"/>
      <c r="MXW916" s="7"/>
      <c r="MXX916" s="7"/>
      <c r="MXY916" s="7"/>
      <c r="MXZ916" s="7"/>
      <c r="MYA916" s="7"/>
      <c r="MYB916" s="7"/>
      <c r="MYC916" s="7"/>
      <c r="MYD916" s="7"/>
      <c r="MYE916" s="7"/>
      <c r="MYF916" s="7"/>
      <c r="MYG916" s="7"/>
      <c r="MYH916" s="7"/>
      <c r="MYI916" s="7"/>
      <c r="MYJ916" s="7"/>
      <c r="MYK916" s="7"/>
      <c r="MYL916" s="7"/>
      <c r="MYM916" s="7"/>
      <c r="MYN916" s="7"/>
      <c r="MYO916" s="7"/>
      <c r="MYP916" s="7"/>
      <c r="MYQ916" s="7"/>
      <c r="MYR916" s="7"/>
      <c r="MYS916" s="7"/>
      <c r="MYT916" s="7"/>
      <c r="MYU916" s="7"/>
      <c r="MYV916" s="7"/>
      <c r="MYW916" s="7"/>
      <c r="MYX916" s="7"/>
      <c r="MYY916" s="7"/>
      <c r="MYZ916" s="7"/>
      <c r="MZA916" s="7"/>
      <c r="MZB916" s="7"/>
      <c r="MZC916" s="7"/>
      <c r="MZD916" s="7"/>
      <c r="MZE916" s="7"/>
      <c r="MZF916" s="7"/>
      <c r="MZG916" s="7"/>
      <c r="MZH916" s="7"/>
      <c r="MZI916" s="7"/>
      <c r="MZJ916" s="7"/>
      <c r="MZK916" s="7"/>
      <c r="MZL916" s="7"/>
      <c r="MZM916" s="7"/>
      <c r="MZN916" s="7"/>
      <c r="MZO916" s="7"/>
      <c r="MZP916" s="7"/>
      <c r="MZQ916" s="7"/>
      <c r="MZR916" s="7"/>
      <c r="MZS916" s="7"/>
      <c r="MZT916" s="7"/>
      <c r="MZU916" s="7"/>
      <c r="MZV916" s="7"/>
      <c r="MZW916" s="7"/>
      <c r="MZX916" s="7"/>
      <c r="MZY916" s="7"/>
      <c r="MZZ916" s="7"/>
      <c r="NAA916" s="7"/>
      <c r="NAB916" s="7"/>
      <c r="NAC916" s="7"/>
      <c r="NAD916" s="7"/>
      <c r="NAE916" s="7"/>
      <c r="NAF916" s="7"/>
      <c r="NAG916" s="7"/>
      <c r="NAH916" s="7"/>
      <c r="NAI916" s="7"/>
      <c r="NAJ916" s="7"/>
      <c r="NAK916" s="7"/>
      <c r="NAL916" s="7"/>
      <c r="NAM916" s="7"/>
      <c r="NAN916" s="7"/>
      <c r="NAO916" s="7"/>
      <c r="NAP916" s="7"/>
      <c r="NAQ916" s="7"/>
      <c r="NAR916" s="7"/>
      <c r="NAS916" s="7"/>
      <c r="NAT916" s="7"/>
      <c r="NAU916" s="7"/>
      <c r="NAV916" s="7"/>
      <c r="NAW916" s="7"/>
      <c r="NAX916" s="7"/>
      <c r="NAY916" s="7"/>
      <c r="NAZ916" s="7"/>
      <c r="NBA916" s="7"/>
      <c r="NBB916" s="7"/>
      <c r="NBC916" s="7"/>
      <c r="NBD916" s="7"/>
      <c r="NBE916" s="7"/>
      <c r="NBF916" s="7"/>
      <c r="NBG916" s="7"/>
      <c r="NBH916" s="7"/>
      <c r="NBI916" s="7"/>
      <c r="NBJ916" s="7"/>
      <c r="NBK916" s="7"/>
      <c r="NBL916" s="7"/>
      <c r="NBM916" s="7"/>
      <c r="NBN916" s="7"/>
      <c r="NBO916" s="7"/>
      <c r="NBP916" s="7"/>
      <c r="NBQ916" s="7"/>
      <c r="NBR916" s="7"/>
      <c r="NBS916" s="7"/>
      <c r="NBT916" s="7"/>
      <c r="NBU916" s="7"/>
      <c r="NBV916" s="7"/>
      <c r="NBW916" s="7"/>
      <c r="NBX916" s="7"/>
      <c r="NBY916" s="7"/>
      <c r="NBZ916" s="7"/>
      <c r="NCA916" s="7"/>
      <c r="NCB916" s="7"/>
      <c r="NCC916" s="7"/>
      <c r="NCD916" s="7"/>
      <c r="NCE916" s="7"/>
      <c r="NCF916" s="7"/>
      <c r="NCG916" s="7"/>
      <c r="NCH916" s="7"/>
      <c r="NCI916" s="7"/>
      <c r="NCJ916" s="7"/>
      <c r="NCK916" s="7"/>
      <c r="NCL916" s="7"/>
      <c r="NCM916" s="7"/>
      <c r="NCN916" s="7"/>
      <c r="NCO916" s="7"/>
      <c r="NCP916" s="7"/>
      <c r="NCQ916" s="7"/>
      <c r="NCR916" s="7"/>
      <c r="NCS916" s="7"/>
      <c r="NCT916" s="7"/>
      <c r="NCU916" s="7"/>
      <c r="NCV916" s="7"/>
      <c r="NCW916" s="7"/>
      <c r="NCX916" s="7"/>
      <c r="NCY916" s="7"/>
      <c r="NCZ916" s="7"/>
      <c r="NDA916" s="7"/>
      <c r="NDB916" s="7"/>
      <c r="NDC916" s="7"/>
      <c r="NDD916" s="7"/>
      <c r="NDE916" s="7"/>
      <c r="NDF916" s="7"/>
      <c r="NDG916" s="7"/>
      <c r="NDH916" s="7"/>
      <c r="NDI916" s="7"/>
      <c r="NDJ916" s="7"/>
      <c r="NDK916" s="7"/>
      <c r="NDL916" s="7"/>
      <c r="NDM916" s="7"/>
      <c r="NDN916" s="7"/>
      <c r="NDO916" s="7"/>
      <c r="NDP916" s="7"/>
      <c r="NDQ916" s="7"/>
      <c r="NDR916" s="7"/>
      <c r="NDS916" s="7"/>
      <c r="NDT916" s="7"/>
      <c r="NDU916" s="7"/>
      <c r="NDV916" s="7"/>
      <c r="NDW916" s="7"/>
      <c r="NDX916" s="7"/>
      <c r="NDY916" s="7"/>
      <c r="NDZ916" s="7"/>
      <c r="NEA916" s="7"/>
      <c r="NEB916" s="7"/>
      <c r="NEC916" s="7"/>
      <c r="NED916" s="7"/>
      <c r="NEE916" s="7"/>
      <c r="NEF916" s="7"/>
      <c r="NEG916" s="7"/>
      <c r="NEH916" s="7"/>
      <c r="NEI916" s="7"/>
      <c r="NEJ916" s="7"/>
      <c r="NEK916" s="7"/>
      <c r="NEL916" s="7"/>
      <c r="NEM916" s="7"/>
      <c r="NEN916" s="7"/>
      <c r="NEO916" s="7"/>
      <c r="NEP916" s="7"/>
      <c r="NEQ916" s="7"/>
      <c r="NER916" s="7"/>
      <c r="NES916" s="7"/>
      <c r="NET916" s="7"/>
      <c r="NEU916" s="7"/>
      <c r="NEV916" s="7"/>
      <c r="NEW916" s="7"/>
      <c r="NEX916" s="7"/>
      <c r="NEY916" s="7"/>
      <c r="NEZ916" s="7"/>
      <c r="NFA916" s="7"/>
      <c r="NFB916" s="7"/>
      <c r="NFC916" s="7"/>
      <c r="NFD916" s="7"/>
      <c r="NFE916" s="7"/>
      <c r="NFF916" s="7"/>
      <c r="NFG916" s="7"/>
      <c r="NFH916" s="7"/>
      <c r="NFI916" s="7"/>
      <c r="NFJ916" s="7"/>
      <c r="NFK916" s="7"/>
      <c r="NFL916" s="7"/>
      <c r="NFM916" s="7"/>
      <c r="NFN916" s="7"/>
      <c r="NFO916" s="7"/>
      <c r="NFP916" s="7"/>
      <c r="NFQ916" s="7"/>
      <c r="NFR916" s="7"/>
      <c r="NFS916" s="7"/>
      <c r="NFT916" s="7"/>
      <c r="NFU916" s="7"/>
      <c r="NFV916" s="7"/>
      <c r="NFW916" s="7"/>
      <c r="NFX916" s="7"/>
      <c r="NFY916" s="7"/>
      <c r="NFZ916" s="7"/>
      <c r="NGA916" s="7"/>
      <c r="NGB916" s="7"/>
      <c r="NGC916" s="7"/>
      <c r="NGD916" s="7"/>
      <c r="NGE916" s="7"/>
      <c r="NGF916" s="7"/>
      <c r="NGG916" s="7"/>
      <c r="NGH916" s="7"/>
      <c r="NGI916" s="7"/>
      <c r="NGJ916" s="7"/>
      <c r="NGK916" s="7"/>
      <c r="NGL916" s="7"/>
      <c r="NGM916" s="7"/>
      <c r="NGN916" s="7"/>
      <c r="NGO916" s="7"/>
      <c r="NGP916" s="7"/>
      <c r="NGQ916" s="7"/>
      <c r="NGR916" s="7"/>
      <c r="NGS916" s="7"/>
      <c r="NGT916" s="7"/>
      <c r="NGU916" s="7"/>
      <c r="NGV916" s="7"/>
      <c r="NGW916" s="7"/>
      <c r="NGX916" s="7"/>
      <c r="NGY916" s="7"/>
      <c r="NGZ916" s="7"/>
      <c r="NHA916" s="7"/>
      <c r="NHB916" s="7"/>
      <c r="NHC916" s="7"/>
      <c r="NHD916" s="7"/>
      <c r="NHE916" s="7"/>
      <c r="NHF916" s="7"/>
      <c r="NHG916" s="7"/>
      <c r="NHH916" s="7"/>
      <c r="NHI916" s="7"/>
      <c r="NHJ916" s="7"/>
      <c r="NHK916" s="7"/>
      <c r="NHL916" s="7"/>
      <c r="NHM916" s="7"/>
      <c r="NHN916" s="7"/>
      <c r="NHO916" s="7"/>
      <c r="NHP916" s="7"/>
      <c r="NHQ916" s="7"/>
      <c r="NHR916" s="7"/>
      <c r="NHS916" s="7"/>
      <c r="NHT916" s="7"/>
      <c r="NHU916" s="7"/>
      <c r="NHV916" s="7"/>
      <c r="NHW916" s="7"/>
      <c r="NHX916" s="7"/>
      <c r="NHY916" s="7"/>
      <c r="NHZ916" s="7"/>
      <c r="NIA916" s="7"/>
      <c r="NIB916" s="7"/>
      <c r="NIC916" s="7"/>
      <c r="NID916" s="7"/>
      <c r="NIE916" s="7"/>
      <c r="NIF916" s="7"/>
      <c r="NIG916" s="7"/>
      <c r="NIH916" s="7"/>
      <c r="NII916" s="7"/>
      <c r="NIJ916" s="7"/>
      <c r="NIK916" s="7"/>
      <c r="NIL916" s="7"/>
      <c r="NIM916" s="7"/>
      <c r="NIN916" s="7"/>
      <c r="NIO916" s="7"/>
      <c r="NIP916" s="7"/>
      <c r="NIQ916" s="7"/>
      <c r="NIR916" s="7"/>
      <c r="NIS916" s="7"/>
      <c r="NIT916" s="7"/>
      <c r="NIU916" s="7"/>
      <c r="NIV916" s="7"/>
      <c r="NIW916" s="7"/>
      <c r="NIX916" s="7"/>
      <c r="NIY916" s="7"/>
      <c r="NIZ916" s="7"/>
      <c r="NJA916" s="7"/>
      <c r="NJB916" s="7"/>
      <c r="NJC916" s="7"/>
      <c r="NJD916" s="7"/>
      <c r="NJE916" s="7"/>
      <c r="NJF916" s="7"/>
      <c r="NJG916" s="7"/>
      <c r="NJH916" s="7"/>
      <c r="NJI916" s="7"/>
      <c r="NJJ916" s="7"/>
      <c r="NJK916" s="7"/>
      <c r="NJL916" s="7"/>
      <c r="NJM916" s="7"/>
      <c r="NJN916" s="7"/>
      <c r="NJO916" s="7"/>
      <c r="NJP916" s="7"/>
      <c r="NJQ916" s="7"/>
      <c r="NJR916" s="7"/>
      <c r="NJS916" s="7"/>
      <c r="NJT916" s="7"/>
      <c r="NJU916" s="7"/>
      <c r="NJV916" s="7"/>
      <c r="NJW916" s="7"/>
      <c r="NJX916" s="7"/>
      <c r="NJY916" s="7"/>
      <c r="NJZ916" s="7"/>
      <c r="NKA916" s="7"/>
      <c r="NKB916" s="7"/>
      <c r="NKC916" s="7"/>
      <c r="NKD916" s="7"/>
      <c r="NKE916" s="7"/>
      <c r="NKF916" s="7"/>
      <c r="NKG916" s="7"/>
      <c r="NKH916" s="7"/>
      <c r="NKI916" s="7"/>
      <c r="NKJ916" s="7"/>
      <c r="NKK916" s="7"/>
      <c r="NKL916" s="7"/>
      <c r="NKM916" s="7"/>
      <c r="NKN916" s="7"/>
      <c r="NKO916" s="7"/>
      <c r="NKP916" s="7"/>
      <c r="NKQ916" s="7"/>
      <c r="NKR916" s="7"/>
      <c r="NKS916" s="7"/>
      <c r="NKT916" s="7"/>
      <c r="NKU916" s="7"/>
      <c r="NKV916" s="7"/>
      <c r="NKW916" s="7"/>
      <c r="NKX916" s="7"/>
      <c r="NKY916" s="7"/>
      <c r="NKZ916" s="7"/>
      <c r="NLA916" s="7"/>
      <c r="NLB916" s="7"/>
      <c r="NLC916" s="7"/>
      <c r="NLD916" s="7"/>
      <c r="NLE916" s="7"/>
      <c r="NLF916" s="7"/>
      <c r="NLG916" s="7"/>
      <c r="NLH916" s="7"/>
      <c r="NLI916" s="7"/>
      <c r="NLJ916" s="7"/>
      <c r="NLK916" s="7"/>
      <c r="NLL916" s="7"/>
      <c r="NLM916" s="7"/>
      <c r="NLN916" s="7"/>
      <c r="NLO916" s="7"/>
      <c r="NLP916" s="7"/>
      <c r="NLQ916" s="7"/>
      <c r="NLR916" s="7"/>
      <c r="NLS916" s="7"/>
      <c r="NLT916" s="7"/>
      <c r="NLU916" s="7"/>
      <c r="NLV916" s="7"/>
      <c r="NLW916" s="7"/>
      <c r="NLX916" s="7"/>
      <c r="NLY916" s="7"/>
      <c r="NLZ916" s="7"/>
      <c r="NMA916" s="7"/>
      <c r="NMB916" s="7"/>
      <c r="NMC916" s="7"/>
      <c r="NMD916" s="7"/>
      <c r="NME916" s="7"/>
      <c r="NMF916" s="7"/>
      <c r="NMG916" s="7"/>
      <c r="NMH916" s="7"/>
      <c r="NMI916" s="7"/>
      <c r="NMJ916" s="7"/>
      <c r="NMK916" s="7"/>
      <c r="NML916" s="7"/>
      <c r="NMM916" s="7"/>
      <c r="NMN916" s="7"/>
      <c r="NMO916" s="7"/>
      <c r="NMP916" s="7"/>
      <c r="NMQ916" s="7"/>
      <c r="NMR916" s="7"/>
      <c r="NMS916" s="7"/>
      <c r="NMT916" s="7"/>
      <c r="NMU916" s="7"/>
      <c r="NMV916" s="7"/>
      <c r="NMW916" s="7"/>
      <c r="NMX916" s="7"/>
      <c r="NMY916" s="7"/>
      <c r="NMZ916" s="7"/>
      <c r="NNA916" s="7"/>
      <c r="NNB916" s="7"/>
      <c r="NNC916" s="7"/>
      <c r="NND916" s="7"/>
      <c r="NNE916" s="7"/>
      <c r="NNF916" s="7"/>
      <c r="NNG916" s="7"/>
      <c r="NNH916" s="7"/>
      <c r="NNI916" s="7"/>
      <c r="NNJ916" s="7"/>
      <c r="NNK916" s="7"/>
      <c r="NNL916" s="7"/>
      <c r="NNM916" s="7"/>
      <c r="NNN916" s="7"/>
      <c r="NNO916" s="7"/>
      <c r="NNP916" s="7"/>
      <c r="NNQ916" s="7"/>
      <c r="NNR916" s="7"/>
      <c r="NNS916" s="7"/>
      <c r="NNT916" s="7"/>
      <c r="NNU916" s="7"/>
      <c r="NNV916" s="7"/>
      <c r="NNW916" s="7"/>
      <c r="NNX916" s="7"/>
      <c r="NNY916" s="7"/>
      <c r="NNZ916" s="7"/>
      <c r="NOA916" s="7"/>
      <c r="NOB916" s="7"/>
      <c r="NOC916" s="7"/>
      <c r="NOD916" s="7"/>
      <c r="NOE916" s="7"/>
      <c r="NOF916" s="7"/>
      <c r="NOG916" s="7"/>
      <c r="NOH916" s="7"/>
      <c r="NOI916" s="7"/>
      <c r="NOJ916" s="7"/>
      <c r="NOK916" s="7"/>
      <c r="NOL916" s="7"/>
      <c r="NOM916" s="7"/>
      <c r="NON916" s="7"/>
      <c r="NOO916" s="7"/>
      <c r="NOP916" s="7"/>
      <c r="NOQ916" s="7"/>
      <c r="NOR916" s="7"/>
      <c r="NOS916" s="7"/>
      <c r="NOT916" s="7"/>
      <c r="NOU916" s="7"/>
      <c r="NOV916" s="7"/>
      <c r="NOW916" s="7"/>
      <c r="NOX916" s="7"/>
      <c r="NOY916" s="7"/>
      <c r="NOZ916" s="7"/>
      <c r="NPA916" s="7"/>
      <c r="NPB916" s="7"/>
      <c r="NPC916" s="7"/>
      <c r="NPD916" s="7"/>
      <c r="NPE916" s="7"/>
      <c r="NPF916" s="7"/>
      <c r="NPG916" s="7"/>
      <c r="NPH916" s="7"/>
      <c r="NPI916" s="7"/>
      <c r="NPJ916" s="7"/>
      <c r="NPK916" s="7"/>
      <c r="NPL916" s="7"/>
      <c r="NPM916" s="7"/>
      <c r="NPN916" s="7"/>
      <c r="NPO916" s="7"/>
      <c r="NPP916" s="7"/>
      <c r="NPQ916" s="7"/>
      <c r="NPR916" s="7"/>
      <c r="NPS916" s="7"/>
      <c r="NPT916" s="7"/>
      <c r="NPU916" s="7"/>
      <c r="NPV916" s="7"/>
      <c r="NPW916" s="7"/>
      <c r="NPX916" s="7"/>
      <c r="NPY916" s="7"/>
      <c r="NPZ916" s="7"/>
      <c r="NQA916" s="7"/>
      <c r="NQB916" s="7"/>
      <c r="NQC916" s="7"/>
      <c r="NQD916" s="7"/>
      <c r="NQE916" s="7"/>
      <c r="NQF916" s="7"/>
      <c r="NQG916" s="7"/>
      <c r="NQH916" s="7"/>
      <c r="NQI916" s="7"/>
      <c r="NQJ916" s="7"/>
      <c r="NQK916" s="7"/>
      <c r="NQL916" s="7"/>
      <c r="NQM916" s="7"/>
      <c r="NQN916" s="7"/>
      <c r="NQO916" s="7"/>
      <c r="NQP916" s="7"/>
      <c r="NQQ916" s="7"/>
      <c r="NQR916" s="7"/>
      <c r="NQS916" s="7"/>
      <c r="NQT916" s="7"/>
      <c r="NQU916" s="7"/>
      <c r="NQV916" s="7"/>
      <c r="NQW916" s="7"/>
      <c r="NQX916" s="7"/>
      <c r="NQY916" s="7"/>
      <c r="NQZ916" s="7"/>
      <c r="NRA916" s="7"/>
      <c r="NRB916" s="7"/>
      <c r="NRC916" s="7"/>
      <c r="NRD916" s="7"/>
      <c r="NRE916" s="7"/>
      <c r="NRF916" s="7"/>
      <c r="NRG916" s="7"/>
      <c r="NRH916" s="7"/>
      <c r="NRI916" s="7"/>
      <c r="NRJ916" s="7"/>
      <c r="NRK916" s="7"/>
      <c r="NRL916" s="7"/>
      <c r="NRM916" s="7"/>
      <c r="NRN916" s="7"/>
      <c r="NRO916" s="7"/>
      <c r="NRP916" s="7"/>
      <c r="NRQ916" s="7"/>
      <c r="NRR916" s="7"/>
      <c r="NRS916" s="7"/>
      <c r="NRT916" s="7"/>
      <c r="NRU916" s="7"/>
      <c r="NRV916" s="7"/>
      <c r="NRW916" s="7"/>
      <c r="NRX916" s="7"/>
      <c r="NRY916" s="7"/>
      <c r="NRZ916" s="7"/>
      <c r="NSA916" s="7"/>
      <c r="NSB916" s="7"/>
      <c r="NSC916" s="7"/>
      <c r="NSD916" s="7"/>
      <c r="NSE916" s="7"/>
      <c r="NSF916" s="7"/>
      <c r="NSG916" s="7"/>
      <c r="NSH916" s="7"/>
      <c r="NSI916" s="7"/>
      <c r="NSJ916" s="7"/>
      <c r="NSK916" s="7"/>
      <c r="NSL916" s="7"/>
      <c r="NSM916" s="7"/>
      <c r="NSN916" s="7"/>
      <c r="NSO916" s="7"/>
      <c r="NSP916" s="7"/>
      <c r="NSQ916" s="7"/>
      <c r="NSR916" s="7"/>
      <c r="NSS916" s="7"/>
      <c r="NST916" s="7"/>
      <c r="NSU916" s="7"/>
      <c r="NSV916" s="7"/>
      <c r="NSW916" s="7"/>
      <c r="NSX916" s="7"/>
      <c r="NSY916" s="7"/>
      <c r="NSZ916" s="7"/>
      <c r="NTA916" s="7"/>
      <c r="NTB916" s="7"/>
      <c r="NTC916" s="7"/>
      <c r="NTD916" s="7"/>
      <c r="NTE916" s="7"/>
      <c r="NTF916" s="7"/>
      <c r="NTG916" s="7"/>
      <c r="NTH916" s="7"/>
      <c r="NTI916" s="7"/>
      <c r="NTJ916" s="7"/>
      <c r="NTK916" s="7"/>
      <c r="NTL916" s="7"/>
      <c r="NTM916" s="7"/>
      <c r="NTN916" s="7"/>
      <c r="NTO916" s="7"/>
      <c r="NTP916" s="7"/>
      <c r="NTQ916" s="7"/>
      <c r="NTR916" s="7"/>
      <c r="NTS916" s="7"/>
      <c r="NTT916" s="7"/>
      <c r="NTU916" s="7"/>
      <c r="NTV916" s="7"/>
      <c r="NTW916" s="7"/>
      <c r="NTX916" s="7"/>
      <c r="NTY916" s="7"/>
      <c r="NTZ916" s="7"/>
      <c r="NUA916" s="7"/>
      <c r="NUB916" s="7"/>
      <c r="NUC916" s="7"/>
      <c r="NUD916" s="7"/>
      <c r="NUE916" s="7"/>
      <c r="NUF916" s="7"/>
      <c r="NUG916" s="7"/>
      <c r="NUH916" s="7"/>
      <c r="NUI916" s="7"/>
      <c r="NUJ916" s="7"/>
      <c r="NUK916" s="7"/>
      <c r="NUL916" s="7"/>
      <c r="NUM916" s="7"/>
      <c r="NUN916" s="7"/>
      <c r="NUO916" s="7"/>
      <c r="NUP916" s="7"/>
      <c r="NUQ916" s="7"/>
      <c r="NUR916" s="7"/>
      <c r="NUS916" s="7"/>
      <c r="NUT916" s="7"/>
      <c r="NUU916" s="7"/>
      <c r="NUV916" s="7"/>
      <c r="NUW916" s="7"/>
      <c r="NUX916" s="7"/>
      <c r="NUY916" s="7"/>
      <c r="NUZ916" s="7"/>
      <c r="NVA916" s="7"/>
      <c r="NVB916" s="7"/>
      <c r="NVC916" s="7"/>
      <c r="NVD916" s="7"/>
      <c r="NVE916" s="7"/>
      <c r="NVF916" s="7"/>
      <c r="NVG916" s="7"/>
      <c r="NVH916" s="7"/>
      <c r="NVI916" s="7"/>
      <c r="NVJ916" s="7"/>
      <c r="NVK916" s="7"/>
      <c r="NVL916" s="7"/>
      <c r="NVM916" s="7"/>
      <c r="NVN916" s="7"/>
      <c r="NVO916" s="7"/>
      <c r="NVP916" s="7"/>
      <c r="NVQ916" s="7"/>
      <c r="NVR916" s="7"/>
      <c r="NVS916" s="7"/>
      <c r="NVT916" s="7"/>
      <c r="NVU916" s="7"/>
      <c r="NVV916" s="7"/>
      <c r="NVW916" s="7"/>
      <c r="NVX916" s="7"/>
      <c r="NVY916" s="7"/>
      <c r="NVZ916" s="7"/>
      <c r="NWA916" s="7"/>
      <c r="NWB916" s="7"/>
      <c r="NWC916" s="7"/>
      <c r="NWD916" s="7"/>
      <c r="NWE916" s="7"/>
      <c r="NWF916" s="7"/>
      <c r="NWG916" s="7"/>
      <c r="NWH916" s="7"/>
      <c r="NWI916" s="7"/>
      <c r="NWJ916" s="7"/>
      <c r="NWK916" s="7"/>
      <c r="NWL916" s="7"/>
      <c r="NWM916" s="7"/>
      <c r="NWN916" s="7"/>
      <c r="NWO916" s="7"/>
      <c r="NWP916" s="7"/>
      <c r="NWQ916" s="7"/>
      <c r="NWR916" s="7"/>
      <c r="NWS916" s="7"/>
      <c r="NWT916" s="7"/>
      <c r="NWU916" s="7"/>
      <c r="NWV916" s="7"/>
      <c r="NWW916" s="7"/>
      <c r="NWX916" s="7"/>
      <c r="NWY916" s="7"/>
      <c r="NWZ916" s="7"/>
      <c r="NXA916" s="7"/>
      <c r="NXB916" s="7"/>
      <c r="NXC916" s="7"/>
      <c r="NXD916" s="7"/>
      <c r="NXE916" s="7"/>
      <c r="NXF916" s="7"/>
      <c r="NXG916" s="7"/>
      <c r="NXH916" s="7"/>
      <c r="NXI916" s="7"/>
      <c r="NXJ916" s="7"/>
      <c r="NXK916" s="7"/>
      <c r="NXL916" s="7"/>
      <c r="NXM916" s="7"/>
      <c r="NXN916" s="7"/>
      <c r="NXO916" s="7"/>
      <c r="NXP916" s="7"/>
      <c r="NXQ916" s="7"/>
      <c r="NXR916" s="7"/>
      <c r="NXS916" s="7"/>
      <c r="NXT916" s="7"/>
      <c r="NXU916" s="7"/>
      <c r="NXV916" s="7"/>
      <c r="NXW916" s="7"/>
      <c r="NXX916" s="7"/>
      <c r="NXY916" s="7"/>
      <c r="NXZ916" s="7"/>
      <c r="NYA916" s="7"/>
      <c r="NYB916" s="7"/>
      <c r="NYC916" s="7"/>
      <c r="NYD916" s="7"/>
      <c r="NYE916" s="7"/>
      <c r="NYF916" s="7"/>
      <c r="NYG916" s="7"/>
      <c r="NYH916" s="7"/>
      <c r="NYI916" s="7"/>
      <c r="NYJ916" s="7"/>
      <c r="NYK916" s="7"/>
      <c r="NYL916" s="7"/>
      <c r="NYM916" s="7"/>
      <c r="NYN916" s="7"/>
      <c r="NYO916" s="7"/>
      <c r="NYP916" s="7"/>
      <c r="NYQ916" s="7"/>
      <c r="NYR916" s="7"/>
      <c r="NYS916" s="7"/>
      <c r="NYT916" s="7"/>
      <c r="NYU916" s="7"/>
      <c r="NYV916" s="7"/>
      <c r="NYW916" s="7"/>
      <c r="NYX916" s="7"/>
      <c r="NYY916" s="7"/>
      <c r="NYZ916" s="7"/>
      <c r="NZA916" s="7"/>
      <c r="NZB916" s="7"/>
      <c r="NZC916" s="7"/>
      <c r="NZD916" s="7"/>
      <c r="NZE916" s="7"/>
      <c r="NZF916" s="7"/>
      <c r="NZG916" s="7"/>
      <c r="NZH916" s="7"/>
      <c r="NZI916" s="7"/>
      <c r="NZJ916" s="7"/>
      <c r="NZK916" s="7"/>
      <c r="NZL916" s="7"/>
      <c r="NZM916" s="7"/>
      <c r="NZN916" s="7"/>
      <c r="NZO916" s="7"/>
      <c r="NZP916" s="7"/>
      <c r="NZQ916" s="7"/>
      <c r="NZR916" s="7"/>
      <c r="NZS916" s="7"/>
      <c r="NZT916" s="7"/>
      <c r="NZU916" s="7"/>
      <c r="NZV916" s="7"/>
      <c r="NZW916" s="7"/>
      <c r="NZX916" s="7"/>
      <c r="NZY916" s="7"/>
      <c r="NZZ916" s="7"/>
      <c r="OAA916" s="7"/>
      <c r="OAB916" s="7"/>
      <c r="OAC916" s="7"/>
      <c r="OAD916" s="7"/>
      <c r="OAE916" s="7"/>
      <c r="OAF916" s="7"/>
      <c r="OAG916" s="7"/>
      <c r="OAH916" s="7"/>
      <c r="OAI916" s="7"/>
      <c r="OAJ916" s="7"/>
      <c r="OAK916" s="7"/>
      <c r="OAL916" s="7"/>
      <c r="OAM916" s="7"/>
      <c r="OAN916" s="7"/>
      <c r="OAO916" s="7"/>
      <c r="OAP916" s="7"/>
      <c r="OAQ916" s="7"/>
      <c r="OAR916" s="7"/>
      <c r="OAS916" s="7"/>
      <c r="OAT916" s="7"/>
      <c r="OAU916" s="7"/>
      <c r="OAV916" s="7"/>
      <c r="OAW916" s="7"/>
      <c r="OAX916" s="7"/>
      <c r="OAY916" s="7"/>
      <c r="OAZ916" s="7"/>
      <c r="OBA916" s="7"/>
      <c r="OBB916" s="7"/>
      <c r="OBC916" s="7"/>
      <c r="OBD916" s="7"/>
      <c r="OBE916" s="7"/>
      <c r="OBF916" s="7"/>
      <c r="OBG916" s="7"/>
      <c r="OBH916" s="7"/>
      <c r="OBI916" s="7"/>
      <c r="OBJ916" s="7"/>
      <c r="OBK916" s="7"/>
      <c r="OBL916" s="7"/>
      <c r="OBM916" s="7"/>
      <c r="OBN916" s="7"/>
      <c r="OBO916" s="7"/>
      <c r="OBP916" s="7"/>
      <c r="OBQ916" s="7"/>
      <c r="OBR916" s="7"/>
      <c r="OBS916" s="7"/>
      <c r="OBT916" s="7"/>
      <c r="OBU916" s="7"/>
      <c r="OBV916" s="7"/>
      <c r="OBW916" s="7"/>
      <c r="OBX916" s="7"/>
      <c r="OBY916" s="7"/>
      <c r="OBZ916" s="7"/>
      <c r="OCA916" s="7"/>
      <c r="OCB916" s="7"/>
      <c r="OCC916" s="7"/>
      <c r="OCD916" s="7"/>
      <c r="OCE916" s="7"/>
      <c r="OCF916" s="7"/>
      <c r="OCG916" s="7"/>
      <c r="OCH916" s="7"/>
      <c r="OCI916" s="7"/>
      <c r="OCJ916" s="7"/>
      <c r="OCK916" s="7"/>
      <c r="OCL916" s="7"/>
      <c r="OCM916" s="7"/>
      <c r="OCN916" s="7"/>
      <c r="OCO916" s="7"/>
      <c r="OCP916" s="7"/>
      <c r="OCQ916" s="7"/>
      <c r="OCR916" s="7"/>
      <c r="OCS916" s="7"/>
      <c r="OCT916" s="7"/>
      <c r="OCU916" s="7"/>
      <c r="OCV916" s="7"/>
      <c r="OCW916" s="7"/>
      <c r="OCX916" s="7"/>
      <c r="OCY916" s="7"/>
      <c r="OCZ916" s="7"/>
      <c r="ODA916" s="7"/>
      <c r="ODB916" s="7"/>
      <c r="ODC916" s="7"/>
      <c r="ODD916" s="7"/>
      <c r="ODE916" s="7"/>
      <c r="ODF916" s="7"/>
      <c r="ODG916" s="7"/>
      <c r="ODH916" s="7"/>
      <c r="ODI916" s="7"/>
      <c r="ODJ916" s="7"/>
      <c r="ODK916" s="7"/>
      <c r="ODL916" s="7"/>
      <c r="ODM916" s="7"/>
      <c r="ODN916" s="7"/>
      <c r="ODO916" s="7"/>
      <c r="ODP916" s="7"/>
      <c r="ODQ916" s="7"/>
      <c r="ODR916" s="7"/>
      <c r="ODS916" s="7"/>
      <c r="ODT916" s="7"/>
      <c r="ODU916" s="7"/>
      <c r="ODV916" s="7"/>
      <c r="ODW916" s="7"/>
      <c r="ODX916" s="7"/>
      <c r="ODY916" s="7"/>
      <c r="ODZ916" s="7"/>
      <c r="OEA916" s="7"/>
      <c r="OEB916" s="7"/>
      <c r="OEC916" s="7"/>
      <c r="OED916" s="7"/>
      <c r="OEE916" s="7"/>
      <c r="OEF916" s="7"/>
      <c r="OEG916" s="7"/>
      <c r="OEH916" s="7"/>
      <c r="OEI916" s="7"/>
      <c r="OEJ916" s="7"/>
      <c r="OEK916" s="7"/>
      <c r="OEL916" s="7"/>
      <c r="OEM916" s="7"/>
      <c r="OEN916" s="7"/>
      <c r="OEO916" s="7"/>
      <c r="OEP916" s="7"/>
      <c r="OEQ916" s="7"/>
      <c r="OER916" s="7"/>
      <c r="OES916" s="7"/>
      <c r="OET916" s="7"/>
      <c r="OEU916" s="7"/>
      <c r="OEV916" s="7"/>
      <c r="OEW916" s="7"/>
      <c r="OEX916" s="7"/>
      <c r="OEY916" s="7"/>
      <c r="OEZ916" s="7"/>
      <c r="OFA916" s="7"/>
      <c r="OFB916" s="7"/>
      <c r="OFC916" s="7"/>
      <c r="OFD916" s="7"/>
      <c r="OFE916" s="7"/>
      <c r="OFF916" s="7"/>
      <c r="OFG916" s="7"/>
      <c r="OFH916" s="7"/>
      <c r="OFI916" s="7"/>
      <c r="OFJ916" s="7"/>
      <c r="OFK916" s="7"/>
      <c r="OFL916" s="7"/>
      <c r="OFM916" s="7"/>
      <c r="OFN916" s="7"/>
      <c r="OFO916" s="7"/>
      <c r="OFP916" s="7"/>
      <c r="OFQ916" s="7"/>
      <c r="OFR916" s="7"/>
      <c r="OFS916" s="7"/>
      <c r="OFT916" s="7"/>
      <c r="OFU916" s="7"/>
      <c r="OFV916" s="7"/>
      <c r="OFW916" s="7"/>
      <c r="OFX916" s="7"/>
      <c r="OFY916" s="7"/>
      <c r="OFZ916" s="7"/>
      <c r="OGA916" s="7"/>
      <c r="OGB916" s="7"/>
      <c r="OGC916" s="7"/>
      <c r="OGD916" s="7"/>
      <c r="OGE916" s="7"/>
      <c r="OGF916" s="7"/>
      <c r="OGG916" s="7"/>
      <c r="OGH916" s="7"/>
      <c r="OGI916" s="7"/>
      <c r="OGJ916" s="7"/>
      <c r="OGK916" s="7"/>
      <c r="OGL916" s="7"/>
      <c r="OGM916" s="7"/>
      <c r="OGN916" s="7"/>
      <c r="OGO916" s="7"/>
      <c r="OGP916" s="7"/>
      <c r="OGQ916" s="7"/>
      <c r="OGR916" s="7"/>
      <c r="OGS916" s="7"/>
      <c r="OGT916" s="7"/>
      <c r="OGU916" s="7"/>
      <c r="OGV916" s="7"/>
      <c r="OGW916" s="7"/>
      <c r="OGX916" s="7"/>
      <c r="OGY916" s="7"/>
      <c r="OGZ916" s="7"/>
      <c r="OHA916" s="7"/>
      <c r="OHB916" s="7"/>
      <c r="OHC916" s="7"/>
      <c r="OHD916" s="7"/>
      <c r="OHE916" s="7"/>
      <c r="OHF916" s="7"/>
      <c r="OHG916" s="7"/>
      <c r="OHH916" s="7"/>
      <c r="OHI916" s="7"/>
      <c r="OHJ916" s="7"/>
      <c r="OHK916" s="7"/>
      <c r="OHL916" s="7"/>
      <c r="OHM916" s="7"/>
      <c r="OHN916" s="7"/>
      <c r="OHO916" s="7"/>
      <c r="OHP916" s="7"/>
      <c r="OHQ916" s="7"/>
      <c r="OHR916" s="7"/>
      <c r="OHS916" s="7"/>
      <c r="OHT916" s="7"/>
      <c r="OHU916" s="7"/>
      <c r="OHV916" s="7"/>
      <c r="OHW916" s="7"/>
      <c r="OHX916" s="7"/>
      <c r="OHY916" s="7"/>
      <c r="OHZ916" s="7"/>
      <c r="OIA916" s="7"/>
      <c r="OIB916" s="7"/>
      <c r="OIC916" s="7"/>
      <c r="OID916" s="7"/>
      <c r="OIE916" s="7"/>
      <c r="OIF916" s="7"/>
      <c r="OIG916" s="7"/>
      <c r="OIH916" s="7"/>
      <c r="OII916" s="7"/>
      <c r="OIJ916" s="7"/>
      <c r="OIK916" s="7"/>
      <c r="OIL916" s="7"/>
      <c r="OIM916" s="7"/>
      <c r="OIN916" s="7"/>
      <c r="OIO916" s="7"/>
      <c r="OIP916" s="7"/>
      <c r="OIQ916" s="7"/>
      <c r="OIR916" s="7"/>
      <c r="OIS916" s="7"/>
      <c r="OIT916" s="7"/>
      <c r="OIU916" s="7"/>
      <c r="OIV916" s="7"/>
      <c r="OIW916" s="7"/>
      <c r="OIX916" s="7"/>
      <c r="OIY916" s="7"/>
      <c r="OIZ916" s="7"/>
      <c r="OJA916" s="7"/>
      <c r="OJB916" s="7"/>
      <c r="OJC916" s="7"/>
      <c r="OJD916" s="7"/>
      <c r="OJE916" s="7"/>
      <c r="OJF916" s="7"/>
      <c r="OJG916" s="7"/>
      <c r="OJH916" s="7"/>
      <c r="OJI916" s="7"/>
      <c r="OJJ916" s="7"/>
      <c r="OJK916" s="7"/>
      <c r="OJL916" s="7"/>
      <c r="OJM916" s="7"/>
      <c r="OJN916" s="7"/>
      <c r="OJO916" s="7"/>
      <c r="OJP916" s="7"/>
      <c r="OJQ916" s="7"/>
      <c r="OJR916" s="7"/>
      <c r="OJS916" s="7"/>
      <c r="OJT916" s="7"/>
      <c r="OJU916" s="7"/>
      <c r="OJV916" s="7"/>
      <c r="OJW916" s="7"/>
      <c r="OJX916" s="7"/>
      <c r="OJY916" s="7"/>
      <c r="OJZ916" s="7"/>
      <c r="OKA916" s="7"/>
      <c r="OKB916" s="7"/>
      <c r="OKC916" s="7"/>
      <c r="OKD916" s="7"/>
      <c r="OKE916" s="7"/>
      <c r="OKF916" s="7"/>
      <c r="OKG916" s="7"/>
      <c r="OKH916" s="7"/>
      <c r="OKI916" s="7"/>
      <c r="OKJ916" s="7"/>
      <c r="OKK916" s="7"/>
      <c r="OKL916" s="7"/>
      <c r="OKM916" s="7"/>
      <c r="OKN916" s="7"/>
      <c r="OKO916" s="7"/>
      <c r="OKP916" s="7"/>
      <c r="OKQ916" s="7"/>
      <c r="OKR916" s="7"/>
      <c r="OKS916" s="7"/>
      <c r="OKT916" s="7"/>
      <c r="OKU916" s="7"/>
      <c r="OKV916" s="7"/>
      <c r="OKW916" s="7"/>
      <c r="OKX916" s="7"/>
      <c r="OKY916" s="7"/>
      <c r="OKZ916" s="7"/>
      <c r="OLA916" s="7"/>
      <c r="OLB916" s="7"/>
      <c r="OLC916" s="7"/>
      <c r="OLD916" s="7"/>
      <c r="OLE916" s="7"/>
      <c r="OLF916" s="7"/>
      <c r="OLG916" s="7"/>
      <c r="OLH916" s="7"/>
      <c r="OLI916" s="7"/>
      <c r="OLJ916" s="7"/>
      <c r="OLK916" s="7"/>
      <c r="OLL916" s="7"/>
      <c r="OLM916" s="7"/>
      <c r="OLN916" s="7"/>
      <c r="OLO916" s="7"/>
      <c r="OLP916" s="7"/>
      <c r="OLQ916" s="7"/>
      <c r="OLR916" s="7"/>
      <c r="OLS916" s="7"/>
      <c r="OLT916" s="7"/>
      <c r="OLU916" s="7"/>
      <c r="OLV916" s="7"/>
      <c r="OLW916" s="7"/>
      <c r="OLX916" s="7"/>
      <c r="OLY916" s="7"/>
      <c r="OLZ916" s="7"/>
      <c r="OMA916" s="7"/>
      <c r="OMB916" s="7"/>
      <c r="OMC916" s="7"/>
      <c r="OMD916" s="7"/>
      <c r="OME916" s="7"/>
      <c r="OMF916" s="7"/>
      <c r="OMG916" s="7"/>
      <c r="OMH916" s="7"/>
      <c r="OMI916" s="7"/>
      <c r="OMJ916" s="7"/>
      <c r="OMK916" s="7"/>
      <c r="OML916" s="7"/>
      <c r="OMM916" s="7"/>
      <c r="OMN916" s="7"/>
      <c r="OMO916" s="7"/>
      <c r="OMP916" s="7"/>
      <c r="OMQ916" s="7"/>
      <c r="OMR916" s="7"/>
      <c r="OMS916" s="7"/>
      <c r="OMT916" s="7"/>
      <c r="OMU916" s="7"/>
      <c r="OMV916" s="7"/>
      <c r="OMW916" s="7"/>
      <c r="OMX916" s="7"/>
      <c r="OMY916" s="7"/>
      <c r="OMZ916" s="7"/>
      <c r="ONA916" s="7"/>
      <c r="ONB916" s="7"/>
      <c r="ONC916" s="7"/>
      <c r="OND916" s="7"/>
      <c r="ONE916" s="7"/>
      <c r="ONF916" s="7"/>
      <c r="ONG916" s="7"/>
      <c r="ONH916" s="7"/>
      <c r="ONI916" s="7"/>
      <c r="ONJ916" s="7"/>
      <c r="ONK916" s="7"/>
      <c r="ONL916" s="7"/>
      <c r="ONM916" s="7"/>
      <c r="ONN916" s="7"/>
      <c r="ONO916" s="7"/>
      <c r="ONP916" s="7"/>
      <c r="ONQ916" s="7"/>
      <c r="ONR916" s="7"/>
      <c r="ONS916" s="7"/>
      <c r="ONT916" s="7"/>
      <c r="ONU916" s="7"/>
      <c r="ONV916" s="7"/>
      <c r="ONW916" s="7"/>
      <c r="ONX916" s="7"/>
      <c r="ONY916" s="7"/>
      <c r="ONZ916" s="7"/>
      <c r="OOA916" s="7"/>
      <c r="OOB916" s="7"/>
      <c r="OOC916" s="7"/>
      <c r="OOD916" s="7"/>
      <c r="OOE916" s="7"/>
      <c r="OOF916" s="7"/>
      <c r="OOG916" s="7"/>
      <c r="OOH916" s="7"/>
      <c r="OOI916" s="7"/>
      <c r="OOJ916" s="7"/>
      <c r="OOK916" s="7"/>
      <c r="OOL916" s="7"/>
      <c r="OOM916" s="7"/>
      <c r="OON916" s="7"/>
      <c r="OOO916" s="7"/>
      <c r="OOP916" s="7"/>
      <c r="OOQ916" s="7"/>
      <c r="OOR916" s="7"/>
      <c r="OOS916" s="7"/>
      <c r="OOT916" s="7"/>
      <c r="OOU916" s="7"/>
      <c r="OOV916" s="7"/>
      <c r="OOW916" s="7"/>
      <c r="OOX916" s="7"/>
      <c r="OOY916" s="7"/>
      <c r="OOZ916" s="7"/>
      <c r="OPA916" s="7"/>
      <c r="OPB916" s="7"/>
      <c r="OPC916" s="7"/>
      <c r="OPD916" s="7"/>
      <c r="OPE916" s="7"/>
      <c r="OPF916" s="7"/>
      <c r="OPG916" s="7"/>
      <c r="OPH916" s="7"/>
      <c r="OPI916" s="7"/>
      <c r="OPJ916" s="7"/>
      <c r="OPK916" s="7"/>
      <c r="OPL916" s="7"/>
      <c r="OPM916" s="7"/>
      <c r="OPN916" s="7"/>
      <c r="OPO916" s="7"/>
      <c r="OPP916" s="7"/>
      <c r="OPQ916" s="7"/>
      <c r="OPR916" s="7"/>
      <c r="OPS916" s="7"/>
      <c r="OPT916" s="7"/>
      <c r="OPU916" s="7"/>
      <c r="OPV916" s="7"/>
      <c r="OPW916" s="7"/>
      <c r="OPX916" s="7"/>
      <c r="OPY916" s="7"/>
      <c r="OPZ916" s="7"/>
      <c r="OQA916" s="7"/>
      <c r="OQB916" s="7"/>
      <c r="OQC916" s="7"/>
      <c r="OQD916" s="7"/>
      <c r="OQE916" s="7"/>
      <c r="OQF916" s="7"/>
      <c r="OQG916" s="7"/>
      <c r="OQH916" s="7"/>
      <c r="OQI916" s="7"/>
      <c r="OQJ916" s="7"/>
      <c r="OQK916" s="7"/>
      <c r="OQL916" s="7"/>
      <c r="OQM916" s="7"/>
      <c r="OQN916" s="7"/>
      <c r="OQO916" s="7"/>
      <c r="OQP916" s="7"/>
      <c r="OQQ916" s="7"/>
      <c r="OQR916" s="7"/>
      <c r="OQS916" s="7"/>
      <c r="OQT916" s="7"/>
      <c r="OQU916" s="7"/>
      <c r="OQV916" s="7"/>
      <c r="OQW916" s="7"/>
      <c r="OQX916" s="7"/>
      <c r="OQY916" s="7"/>
      <c r="OQZ916" s="7"/>
      <c r="ORA916" s="7"/>
      <c r="ORB916" s="7"/>
      <c r="ORC916" s="7"/>
      <c r="ORD916" s="7"/>
      <c r="ORE916" s="7"/>
      <c r="ORF916" s="7"/>
      <c r="ORG916" s="7"/>
      <c r="ORH916" s="7"/>
      <c r="ORI916" s="7"/>
      <c r="ORJ916" s="7"/>
      <c r="ORK916" s="7"/>
      <c r="ORL916" s="7"/>
      <c r="ORM916" s="7"/>
      <c r="ORN916" s="7"/>
      <c r="ORO916" s="7"/>
      <c r="ORP916" s="7"/>
      <c r="ORQ916" s="7"/>
      <c r="ORR916" s="7"/>
      <c r="ORS916" s="7"/>
      <c r="ORT916" s="7"/>
      <c r="ORU916" s="7"/>
      <c r="ORV916" s="7"/>
      <c r="ORW916" s="7"/>
      <c r="ORX916" s="7"/>
      <c r="ORY916" s="7"/>
      <c r="ORZ916" s="7"/>
      <c r="OSA916" s="7"/>
      <c r="OSB916" s="7"/>
      <c r="OSC916" s="7"/>
      <c r="OSD916" s="7"/>
      <c r="OSE916" s="7"/>
      <c r="OSF916" s="7"/>
      <c r="OSG916" s="7"/>
      <c r="OSH916" s="7"/>
      <c r="OSI916" s="7"/>
      <c r="OSJ916" s="7"/>
      <c r="OSK916" s="7"/>
      <c r="OSL916" s="7"/>
      <c r="OSM916" s="7"/>
      <c r="OSN916" s="7"/>
      <c r="OSO916" s="7"/>
      <c r="OSP916" s="7"/>
      <c r="OSQ916" s="7"/>
      <c r="OSR916" s="7"/>
      <c r="OSS916" s="7"/>
      <c r="OST916" s="7"/>
      <c r="OSU916" s="7"/>
      <c r="OSV916" s="7"/>
      <c r="OSW916" s="7"/>
      <c r="OSX916" s="7"/>
      <c r="OSY916" s="7"/>
      <c r="OSZ916" s="7"/>
      <c r="OTA916" s="7"/>
      <c r="OTB916" s="7"/>
      <c r="OTC916" s="7"/>
      <c r="OTD916" s="7"/>
      <c r="OTE916" s="7"/>
      <c r="OTF916" s="7"/>
      <c r="OTG916" s="7"/>
      <c r="OTH916" s="7"/>
      <c r="OTI916" s="7"/>
      <c r="OTJ916" s="7"/>
      <c r="OTK916" s="7"/>
      <c r="OTL916" s="7"/>
      <c r="OTM916" s="7"/>
      <c r="OTN916" s="7"/>
      <c r="OTO916" s="7"/>
      <c r="OTP916" s="7"/>
      <c r="OTQ916" s="7"/>
      <c r="OTR916" s="7"/>
      <c r="OTS916" s="7"/>
      <c r="OTT916" s="7"/>
      <c r="OTU916" s="7"/>
      <c r="OTV916" s="7"/>
      <c r="OTW916" s="7"/>
      <c r="OTX916" s="7"/>
      <c r="OTY916" s="7"/>
      <c r="OTZ916" s="7"/>
      <c r="OUA916" s="7"/>
      <c r="OUB916" s="7"/>
      <c r="OUC916" s="7"/>
      <c r="OUD916" s="7"/>
      <c r="OUE916" s="7"/>
      <c r="OUF916" s="7"/>
      <c r="OUG916" s="7"/>
      <c r="OUH916" s="7"/>
      <c r="OUI916" s="7"/>
      <c r="OUJ916" s="7"/>
      <c r="OUK916" s="7"/>
      <c r="OUL916" s="7"/>
      <c r="OUM916" s="7"/>
      <c r="OUN916" s="7"/>
      <c r="OUO916" s="7"/>
      <c r="OUP916" s="7"/>
      <c r="OUQ916" s="7"/>
      <c r="OUR916" s="7"/>
      <c r="OUS916" s="7"/>
      <c r="OUT916" s="7"/>
      <c r="OUU916" s="7"/>
      <c r="OUV916" s="7"/>
      <c r="OUW916" s="7"/>
      <c r="OUX916" s="7"/>
      <c r="OUY916" s="7"/>
      <c r="OUZ916" s="7"/>
      <c r="OVA916" s="7"/>
      <c r="OVB916" s="7"/>
      <c r="OVC916" s="7"/>
      <c r="OVD916" s="7"/>
      <c r="OVE916" s="7"/>
      <c r="OVF916" s="7"/>
      <c r="OVG916" s="7"/>
      <c r="OVH916" s="7"/>
      <c r="OVI916" s="7"/>
      <c r="OVJ916" s="7"/>
      <c r="OVK916" s="7"/>
      <c r="OVL916" s="7"/>
      <c r="OVM916" s="7"/>
      <c r="OVN916" s="7"/>
      <c r="OVO916" s="7"/>
      <c r="OVP916" s="7"/>
      <c r="OVQ916" s="7"/>
      <c r="OVR916" s="7"/>
      <c r="OVS916" s="7"/>
      <c r="OVT916" s="7"/>
      <c r="OVU916" s="7"/>
      <c r="OVV916" s="7"/>
      <c r="OVW916" s="7"/>
      <c r="OVX916" s="7"/>
      <c r="OVY916" s="7"/>
      <c r="OVZ916" s="7"/>
      <c r="OWA916" s="7"/>
      <c r="OWB916" s="7"/>
      <c r="OWC916" s="7"/>
      <c r="OWD916" s="7"/>
      <c r="OWE916" s="7"/>
      <c r="OWF916" s="7"/>
      <c r="OWG916" s="7"/>
      <c r="OWH916" s="7"/>
      <c r="OWI916" s="7"/>
      <c r="OWJ916" s="7"/>
      <c r="OWK916" s="7"/>
      <c r="OWL916" s="7"/>
      <c r="OWM916" s="7"/>
      <c r="OWN916" s="7"/>
      <c r="OWO916" s="7"/>
      <c r="OWP916" s="7"/>
      <c r="OWQ916" s="7"/>
      <c r="OWR916" s="7"/>
      <c r="OWS916" s="7"/>
      <c r="OWT916" s="7"/>
      <c r="OWU916" s="7"/>
      <c r="OWV916" s="7"/>
      <c r="OWW916" s="7"/>
      <c r="OWX916" s="7"/>
      <c r="OWY916" s="7"/>
      <c r="OWZ916" s="7"/>
      <c r="OXA916" s="7"/>
      <c r="OXB916" s="7"/>
      <c r="OXC916" s="7"/>
      <c r="OXD916" s="7"/>
      <c r="OXE916" s="7"/>
      <c r="OXF916" s="7"/>
      <c r="OXG916" s="7"/>
      <c r="OXH916" s="7"/>
      <c r="OXI916" s="7"/>
      <c r="OXJ916" s="7"/>
      <c r="OXK916" s="7"/>
      <c r="OXL916" s="7"/>
      <c r="OXM916" s="7"/>
      <c r="OXN916" s="7"/>
      <c r="OXO916" s="7"/>
      <c r="OXP916" s="7"/>
      <c r="OXQ916" s="7"/>
      <c r="OXR916" s="7"/>
      <c r="OXS916" s="7"/>
      <c r="OXT916" s="7"/>
      <c r="OXU916" s="7"/>
      <c r="OXV916" s="7"/>
      <c r="OXW916" s="7"/>
      <c r="OXX916" s="7"/>
      <c r="OXY916" s="7"/>
      <c r="OXZ916" s="7"/>
      <c r="OYA916" s="7"/>
      <c r="OYB916" s="7"/>
      <c r="OYC916" s="7"/>
      <c r="OYD916" s="7"/>
      <c r="OYE916" s="7"/>
      <c r="OYF916" s="7"/>
      <c r="OYG916" s="7"/>
      <c r="OYH916" s="7"/>
      <c r="OYI916" s="7"/>
      <c r="OYJ916" s="7"/>
      <c r="OYK916" s="7"/>
      <c r="OYL916" s="7"/>
      <c r="OYM916" s="7"/>
      <c r="OYN916" s="7"/>
      <c r="OYO916" s="7"/>
      <c r="OYP916" s="7"/>
      <c r="OYQ916" s="7"/>
      <c r="OYR916" s="7"/>
      <c r="OYS916" s="7"/>
      <c r="OYT916" s="7"/>
      <c r="OYU916" s="7"/>
      <c r="OYV916" s="7"/>
      <c r="OYW916" s="7"/>
      <c r="OYX916" s="7"/>
      <c r="OYY916" s="7"/>
      <c r="OYZ916" s="7"/>
      <c r="OZA916" s="7"/>
      <c r="OZB916" s="7"/>
      <c r="OZC916" s="7"/>
      <c r="OZD916" s="7"/>
      <c r="OZE916" s="7"/>
      <c r="OZF916" s="7"/>
      <c r="OZG916" s="7"/>
      <c r="OZH916" s="7"/>
      <c r="OZI916" s="7"/>
      <c r="OZJ916" s="7"/>
      <c r="OZK916" s="7"/>
      <c r="OZL916" s="7"/>
      <c r="OZM916" s="7"/>
      <c r="OZN916" s="7"/>
      <c r="OZO916" s="7"/>
      <c r="OZP916" s="7"/>
      <c r="OZQ916" s="7"/>
      <c r="OZR916" s="7"/>
      <c r="OZS916" s="7"/>
      <c r="OZT916" s="7"/>
      <c r="OZU916" s="7"/>
      <c r="OZV916" s="7"/>
      <c r="OZW916" s="7"/>
      <c r="OZX916" s="7"/>
      <c r="OZY916" s="7"/>
      <c r="OZZ916" s="7"/>
      <c r="PAA916" s="7"/>
      <c r="PAB916" s="7"/>
      <c r="PAC916" s="7"/>
      <c r="PAD916" s="7"/>
      <c r="PAE916" s="7"/>
      <c r="PAF916" s="7"/>
      <c r="PAG916" s="7"/>
      <c r="PAH916" s="7"/>
      <c r="PAI916" s="7"/>
      <c r="PAJ916" s="7"/>
      <c r="PAK916" s="7"/>
      <c r="PAL916" s="7"/>
      <c r="PAM916" s="7"/>
      <c r="PAN916" s="7"/>
      <c r="PAO916" s="7"/>
      <c r="PAP916" s="7"/>
      <c r="PAQ916" s="7"/>
      <c r="PAR916" s="7"/>
      <c r="PAS916" s="7"/>
      <c r="PAT916" s="7"/>
      <c r="PAU916" s="7"/>
      <c r="PAV916" s="7"/>
      <c r="PAW916" s="7"/>
      <c r="PAX916" s="7"/>
      <c r="PAY916" s="7"/>
      <c r="PAZ916" s="7"/>
      <c r="PBA916" s="7"/>
      <c r="PBB916" s="7"/>
      <c r="PBC916" s="7"/>
      <c r="PBD916" s="7"/>
      <c r="PBE916" s="7"/>
      <c r="PBF916" s="7"/>
      <c r="PBG916" s="7"/>
      <c r="PBH916" s="7"/>
      <c r="PBI916" s="7"/>
      <c r="PBJ916" s="7"/>
      <c r="PBK916" s="7"/>
      <c r="PBL916" s="7"/>
      <c r="PBM916" s="7"/>
      <c r="PBN916" s="7"/>
      <c r="PBO916" s="7"/>
      <c r="PBP916" s="7"/>
      <c r="PBQ916" s="7"/>
      <c r="PBR916" s="7"/>
      <c r="PBS916" s="7"/>
      <c r="PBT916" s="7"/>
      <c r="PBU916" s="7"/>
      <c r="PBV916" s="7"/>
      <c r="PBW916" s="7"/>
      <c r="PBX916" s="7"/>
      <c r="PBY916" s="7"/>
      <c r="PBZ916" s="7"/>
      <c r="PCA916" s="7"/>
      <c r="PCB916" s="7"/>
      <c r="PCC916" s="7"/>
      <c r="PCD916" s="7"/>
      <c r="PCE916" s="7"/>
      <c r="PCF916" s="7"/>
      <c r="PCG916" s="7"/>
      <c r="PCH916" s="7"/>
      <c r="PCI916" s="7"/>
      <c r="PCJ916" s="7"/>
      <c r="PCK916" s="7"/>
      <c r="PCL916" s="7"/>
      <c r="PCM916" s="7"/>
      <c r="PCN916" s="7"/>
      <c r="PCO916" s="7"/>
      <c r="PCP916" s="7"/>
      <c r="PCQ916" s="7"/>
      <c r="PCR916" s="7"/>
      <c r="PCS916" s="7"/>
      <c r="PCT916" s="7"/>
      <c r="PCU916" s="7"/>
      <c r="PCV916" s="7"/>
      <c r="PCW916" s="7"/>
      <c r="PCX916" s="7"/>
      <c r="PCY916" s="7"/>
      <c r="PCZ916" s="7"/>
      <c r="PDA916" s="7"/>
      <c r="PDB916" s="7"/>
      <c r="PDC916" s="7"/>
      <c r="PDD916" s="7"/>
      <c r="PDE916" s="7"/>
      <c r="PDF916" s="7"/>
      <c r="PDG916" s="7"/>
      <c r="PDH916" s="7"/>
      <c r="PDI916" s="7"/>
      <c r="PDJ916" s="7"/>
      <c r="PDK916" s="7"/>
      <c r="PDL916" s="7"/>
      <c r="PDM916" s="7"/>
      <c r="PDN916" s="7"/>
      <c r="PDO916" s="7"/>
      <c r="PDP916" s="7"/>
      <c r="PDQ916" s="7"/>
      <c r="PDR916" s="7"/>
      <c r="PDS916" s="7"/>
      <c r="PDT916" s="7"/>
      <c r="PDU916" s="7"/>
      <c r="PDV916" s="7"/>
      <c r="PDW916" s="7"/>
      <c r="PDX916" s="7"/>
      <c r="PDY916" s="7"/>
      <c r="PDZ916" s="7"/>
      <c r="PEA916" s="7"/>
      <c r="PEB916" s="7"/>
      <c r="PEC916" s="7"/>
      <c r="PED916" s="7"/>
      <c r="PEE916" s="7"/>
      <c r="PEF916" s="7"/>
      <c r="PEG916" s="7"/>
      <c r="PEH916" s="7"/>
      <c r="PEI916" s="7"/>
      <c r="PEJ916" s="7"/>
      <c r="PEK916" s="7"/>
      <c r="PEL916" s="7"/>
      <c r="PEM916" s="7"/>
      <c r="PEN916" s="7"/>
      <c r="PEO916" s="7"/>
      <c r="PEP916" s="7"/>
      <c r="PEQ916" s="7"/>
      <c r="PER916" s="7"/>
      <c r="PES916" s="7"/>
      <c r="PET916" s="7"/>
      <c r="PEU916" s="7"/>
      <c r="PEV916" s="7"/>
      <c r="PEW916" s="7"/>
      <c r="PEX916" s="7"/>
      <c r="PEY916" s="7"/>
      <c r="PEZ916" s="7"/>
      <c r="PFA916" s="7"/>
      <c r="PFB916" s="7"/>
      <c r="PFC916" s="7"/>
      <c r="PFD916" s="7"/>
      <c r="PFE916" s="7"/>
      <c r="PFF916" s="7"/>
      <c r="PFG916" s="7"/>
      <c r="PFH916" s="7"/>
      <c r="PFI916" s="7"/>
      <c r="PFJ916" s="7"/>
      <c r="PFK916" s="7"/>
      <c r="PFL916" s="7"/>
      <c r="PFM916" s="7"/>
      <c r="PFN916" s="7"/>
      <c r="PFO916" s="7"/>
      <c r="PFP916" s="7"/>
      <c r="PFQ916" s="7"/>
      <c r="PFR916" s="7"/>
      <c r="PFS916" s="7"/>
      <c r="PFT916" s="7"/>
      <c r="PFU916" s="7"/>
      <c r="PFV916" s="7"/>
      <c r="PFW916" s="7"/>
      <c r="PFX916" s="7"/>
      <c r="PFY916" s="7"/>
      <c r="PFZ916" s="7"/>
      <c r="PGA916" s="7"/>
      <c r="PGB916" s="7"/>
      <c r="PGC916" s="7"/>
      <c r="PGD916" s="7"/>
      <c r="PGE916" s="7"/>
      <c r="PGF916" s="7"/>
      <c r="PGG916" s="7"/>
      <c r="PGH916" s="7"/>
      <c r="PGI916" s="7"/>
      <c r="PGJ916" s="7"/>
      <c r="PGK916" s="7"/>
      <c r="PGL916" s="7"/>
      <c r="PGM916" s="7"/>
      <c r="PGN916" s="7"/>
      <c r="PGO916" s="7"/>
      <c r="PGP916" s="7"/>
      <c r="PGQ916" s="7"/>
      <c r="PGR916" s="7"/>
      <c r="PGS916" s="7"/>
      <c r="PGT916" s="7"/>
      <c r="PGU916" s="7"/>
      <c r="PGV916" s="7"/>
      <c r="PGW916" s="7"/>
      <c r="PGX916" s="7"/>
      <c r="PGY916" s="7"/>
      <c r="PGZ916" s="7"/>
      <c r="PHA916" s="7"/>
      <c r="PHB916" s="7"/>
      <c r="PHC916" s="7"/>
      <c r="PHD916" s="7"/>
      <c r="PHE916" s="7"/>
      <c r="PHF916" s="7"/>
      <c r="PHG916" s="7"/>
      <c r="PHH916" s="7"/>
      <c r="PHI916" s="7"/>
      <c r="PHJ916" s="7"/>
      <c r="PHK916" s="7"/>
      <c r="PHL916" s="7"/>
      <c r="PHM916" s="7"/>
      <c r="PHN916" s="7"/>
      <c r="PHO916" s="7"/>
      <c r="PHP916" s="7"/>
      <c r="PHQ916" s="7"/>
      <c r="PHR916" s="7"/>
      <c r="PHS916" s="7"/>
      <c r="PHT916" s="7"/>
      <c r="PHU916" s="7"/>
      <c r="PHV916" s="7"/>
      <c r="PHW916" s="7"/>
      <c r="PHX916" s="7"/>
      <c r="PHY916" s="7"/>
      <c r="PHZ916" s="7"/>
      <c r="PIA916" s="7"/>
      <c r="PIB916" s="7"/>
      <c r="PIC916" s="7"/>
      <c r="PID916" s="7"/>
      <c r="PIE916" s="7"/>
      <c r="PIF916" s="7"/>
      <c r="PIG916" s="7"/>
      <c r="PIH916" s="7"/>
      <c r="PII916" s="7"/>
      <c r="PIJ916" s="7"/>
      <c r="PIK916" s="7"/>
      <c r="PIL916" s="7"/>
      <c r="PIM916" s="7"/>
      <c r="PIN916" s="7"/>
      <c r="PIO916" s="7"/>
      <c r="PIP916" s="7"/>
      <c r="PIQ916" s="7"/>
      <c r="PIR916" s="7"/>
      <c r="PIS916" s="7"/>
      <c r="PIT916" s="7"/>
      <c r="PIU916" s="7"/>
      <c r="PIV916" s="7"/>
      <c r="PIW916" s="7"/>
      <c r="PIX916" s="7"/>
      <c r="PIY916" s="7"/>
      <c r="PIZ916" s="7"/>
      <c r="PJA916" s="7"/>
      <c r="PJB916" s="7"/>
      <c r="PJC916" s="7"/>
      <c r="PJD916" s="7"/>
      <c r="PJE916" s="7"/>
      <c r="PJF916" s="7"/>
      <c r="PJG916" s="7"/>
      <c r="PJH916" s="7"/>
      <c r="PJI916" s="7"/>
      <c r="PJJ916" s="7"/>
      <c r="PJK916" s="7"/>
      <c r="PJL916" s="7"/>
      <c r="PJM916" s="7"/>
      <c r="PJN916" s="7"/>
      <c r="PJO916" s="7"/>
      <c r="PJP916" s="7"/>
      <c r="PJQ916" s="7"/>
      <c r="PJR916" s="7"/>
      <c r="PJS916" s="7"/>
      <c r="PJT916" s="7"/>
      <c r="PJU916" s="7"/>
      <c r="PJV916" s="7"/>
      <c r="PJW916" s="7"/>
      <c r="PJX916" s="7"/>
      <c r="PJY916" s="7"/>
      <c r="PJZ916" s="7"/>
      <c r="PKA916" s="7"/>
      <c r="PKB916" s="7"/>
      <c r="PKC916" s="7"/>
      <c r="PKD916" s="7"/>
      <c r="PKE916" s="7"/>
      <c r="PKF916" s="7"/>
      <c r="PKG916" s="7"/>
      <c r="PKH916" s="7"/>
      <c r="PKI916" s="7"/>
      <c r="PKJ916" s="7"/>
      <c r="PKK916" s="7"/>
      <c r="PKL916" s="7"/>
      <c r="PKM916" s="7"/>
      <c r="PKN916" s="7"/>
      <c r="PKO916" s="7"/>
      <c r="PKP916" s="7"/>
      <c r="PKQ916" s="7"/>
      <c r="PKR916" s="7"/>
      <c r="PKS916" s="7"/>
      <c r="PKT916" s="7"/>
      <c r="PKU916" s="7"/>
      <c r="PKV916" s="7"/>
      <c r="PKW916" s="7"/>
      <c r="PKX916" s="7"/>
      <c r="PKY916" s="7"/>
      <c r="PKZ916" s="7"/>
      <c r="PLA916" s="7"/>
      <c r="PLB916" s="7"/>
      <c r="PLC916" s="7"/>
      <c r="PLD916" s="7"/>
      <c r="PLE916" s="7"/>
      <c r="PLF916" s="7"/>
      <c r="PLG916" s="7"/>
      <c r="PLH916" s="7"/>
      <c r="PLI916" s="7"/>
      <c r="PLJ916" s="7"/>
      <c r="PLK916" s="7"/>
      <c r="PLL916" s="7"/>
      <c r="PLM916" s="7"/>
      <c r="PLN916" s="7"/>
      <c r="PLO916" s="7"/>
      <c r="PLP916" s="7"/>
      <c r="PLQ916" s="7"/>
      <c r="PLR916" s="7"/>
      <c r="PLS916" s="7"/>
      <c r="PLT916" s="7"/>
      <c r="PLU916" s="7"/>
      <c r="PLV916" s="7"/>
      <c r="PLW916" s="7"/>
      <c r="PLX916" s="7"/>
      <c r="PLY916" s="7"/>
      <c r="PLZ916" s="7"/>
      <c r="PMA916" s="7"/>
      <c r="PMB916" s="7"/>
      <c r="PMC916" s="7"/>
      <c r="PMD916" s="7"/>
      <c r="PME916" s="7"/>
      <c r="PMF916" s="7"/>
      <c r="PMG916" s="7"/>
      <c r="PMH916" s="7"/>
      <c r="PMI916" s="7"/>
      <c r="PMJ916" s="7"/>
      <c r="PMK916" s="7"/>
      <c r="PML916" s="7"/>
      <c r="PMM916" s="7"/>
      <c r="PMN916" s="7"/>
      <c r="PMO916" s="7"/>
      <c r="PMP916" s="7"/>
      <c r="PMQ916" s="7"/>
      <c r="PMR916" s="7"/>
      <c r="PMS916" s="7"/>
      <c r="PMT916" s="7"/>
      <c r="PMU916" s="7"/>
      <c r="PMV916" s="7"/>
      <c r="PMW916" s="7"/>
      <c r="PMX916" s="7"/>
      <c r="PMY916" s="7"/>
      <c r="PMZ916" s="7"/>
      <c r="PNA916" s="7"/>
      <c r="PNB916" s="7"/>
      <c r="PNC916" s="7"/>
      <c r="PND916" s="7"/>
      <c r="PNE916" s="7"/>
      <c r="PNF916" s="7"/>
      <c r="PNG916" s="7"/>
      <c r="PNH916" s="7"/>
      <c r="PNI916" s="7"/>
      <c r="PNJ916" s="7"/>
      <c r="PNK916" s="7"/>
      <c r="PNL916" s="7"/>
      <c r="PNM916" s="7"/>
      <c r="PNN916" s="7"/>
      <c r="PNO916" s="7"/>
      <c r="PNP916" s="7"/>
      <c r="PNQ916" s="7"/>
      <c r="PNR916" s="7"/>
      <c r="PNS916" s="7"/>
      <c r="PNT916" s="7"/>
      <c r="PNU916" s="7"/>
      <c r="PNV916" s="7"/>
      <c r="PNW916" s="7"/>
      <c r="PNX916" s="7"/>
      <c r="PNY916" s="7"/>
      <c r="PNZ916" s="7"/>
      <c r="POA916" s="7"/>
      <c r="POB916" s="7"/>
      <c r="POC916" s="7"/>
      <c r="POD916" s="7"/>
      <c r="POE916" s="7"/>
      <c r="POF916" s="7"/>
      <c r="POG916" s="7"/>
      <c r="POH916" s="7"/>
      <c r="POI916" s="7"/>
      <c r="POJ916" s="7"/>
      <c r="POK916" s="7"/>
      <c r="POL916" s="7"/>
      <c r="POM916" s="7"/>
      <c r="PON916" s="7"/>
      <c r="POO916" s="7"/>
      <c r="POP916" s="7"/>
      <c r="POQ916" s="7"/>
      <c r="POR916" s="7"/>
      <c r="POS916" s="7"/>
      <c r="POT916" s="7"/>
      <c r="POU916" s="7"/>
      <c r="POV916" s="7"/>
      <c r="POW916" s="7"/>
      <c r="POX916" s="7"/>
      <c r="POY916" s="7"/>
      <c r="POZ916" s="7"/>
      <c r="PPA916" s="7"/>
      <c r="PPB916" s="7"/>
      <c r="PPC916" s="7"/>
      <c r="PPD916" s="7"/>
      <c r="PPE916" s="7"/>
      <c r="PPF916" s="7"/>
      <c r="PPG916" s="7"/>
      <c r="PPH916" s="7"/>
      <c r="PPI916" s="7"/>
      <c r="PPJ916" s="7"/>
      <c r="PPK916" s="7"/>
      <c r="PPL916" s="7"/>
      <c r="PPM916" s="7"/>
      <c r="PPN916" s="7"/>
      <c r="PPO916" s="7"/>
      <c r="PPP916" s="7"/>
      <c r="PPQ916" s="7"/>
      <c r="PPR916" s="7"/>
      <c r="PPS916" s="7"/>
      <c r="PPT916" s="7"/>
      <c r="PPU916" s="7"/>
      <c r="PPV916" s="7"/>
      <c r="PPW916" s="7"/>
      <c r="PPX916" s="7"/>
      <c r="PPY916" s="7"/>
      <c r="PPZ916" s="7"/>
      <c r="PQA916" s="7"/>
      <c r="PQB916" s="7"/>
      <c r="PQC916" s="7"/>
      <c r="PQD916" s="7"/>
      <c r="PQE916" s="7"/>
      <c r="PQF916" s="7"/>
      <c r="PQG916" s="7"/>
      <c r="PQH916" s="7"/>
      <c r="PQI916" s="7"/>
      <c r="PQJ916" s="7"/>
      <c r="PQK916" s="7"/>
      <c r="PQL916" s="7"/>
      <c r="PQM916" s="7"/>
      <c r="PQN916" s="7"/>
      <c r="PQO916" s="7"/>
      <c r="PQP916" s="7"/>
      <c r="PQQ916" s="7"/>
      <c r="PQR916" s="7"/>
      <c r="PQS916" s="7"/>
      <c r="PQT916" s="7"/>
      <c r="PQU916" s="7"/>
      <c r="PQV916" s="7"/>
      <c r="PQW916" s="7"/>
      <c r="PQX916" s="7"/>
      <c r="PQY916" s="7"/>
      <c r="PQZ916" s="7"/>
      <c r="PRA916" s="7"/>
      <c r="PRB916" s="7"/>
      <c r="PRC916" s="7"/>
      <c r="PRD916" s="7"/>
      <c r="PRE916" s="7"/>
      <c r="PRF916" s="7"/>
      <c r="PRG916" s="7"/>
      <c r="PRH916" s="7"/>
      <c r="PRI916" s="7"/>
      <c r="PRJ916" s="7"/>
      <c r="PRK916" s="7"/>
      <c r="PRL916" s="7"/>
      <c r="PRM916" s="7"/>
      <c r="PRN916" s="7"/>
      <c r="PRO916" s="7"/>
      <c r="PRP916" s="7"/>
      <c r="PRQ916" s="7"/>
      <c r="PRR916" s="7"/>
      <c r="PRS916" s="7"/>
      <c r="PRT916" s="7"/>
      <c r="PRU916" s="7"/>
      <c r="PRV916" s="7"/>
      <c r="PRW916" s="7"/>
      <c r="PRX916" s="7"/>
      <c r="PRY916" s="7"/>
      <c r="PRZ916" s="7"/>
      <c r="PSA916" s="7"/>
      <c r="PSB916" s="7"/>
      <c r="PSC916" s="7"/>
      <c r="PSD916" s="7"/>
      <c r="PSE916" s="7"/>
      <c r="PSF916" s="7"/>
      <c r="PSG916" s="7"/>
      <c r="PSH916" s="7"/>
      <c r="PSI916" s="7"/>
      <c r="PSJ916" s="7"/>
      <c r="PSK916" s="7"/>
      <c r="PSL916" s="7"/>
      <c r="PSM916" s="7"/>
      <c r="PSN916" s="7"/>
      <c r="PSO916" s="7"/>
      <c r="PSP916" s="7"/>
      <c r="PSQ916" s="7"/>
      <c r="PSR916" s="7"/>
      <c r="PSS916" s="7"/>
      <c r="PST916" s="7"/>
      <c r="PSU916" s="7"/>
      <c r="PSV916" s="7"/>
      <c r="PSW916" s="7"/>
      <c r="PSX916" s="7"/>
      <c r="PSY916" s="7"/>
      <c r="PSZ916" s="7"/>
      <c r="PTA916" s="7"/>
      <c r="PTB916" s="7"/>
      <c r="PTC916" s="7"/>
      <c r="PTD916" s="7"/>
      <c r="PTE916" s="7"/>
      <c r="PTF916" s="7"/>
      <c r="PTG916" s="7"/>
      <c r="PTH916" s="7"/>
      <c r="PTI916" s="7"/>
      <c r="PTJ916" s="7"/>
      <c r="PTK916" s="7"/>
      <c r="PTL916" s="7"/>
      <c r="PTM916" s="7"/>
      <c r="PTN916" s="7"/>
      <c r="PTO916" s="7"/>
      <c r="PTP916" s="7"/>
      <c r="PTQ916" s="7"/>
      <c r="PTR916" s="7"/>
      <c r="PTS916" s="7"/>
      <c r="PTT916" s="7"/>
      <c r="PTU916" s="7"/>
      <c r="PTV916" s="7"/>
      <c r="PTW916" s="7"/>
      <c r="PTX916" s="7"/>
      <c r="PTY916" s="7"/>
      <c r="PTZ916" s="7"/>
      <c r="PUA916" s="7"/>
      <c r="PUB916" s="7"/>
      <c r="PUC916" s="7"/>
      <c r="PUD916" s="7"/>
      <c r="PUE916" s="7"/>
      <c r="PUF916" s="7"/>
      <c r="PUG916" s="7"/>
      <c r="PUH916" s="7"/>
      <c r="PUI916" s="7"/>
      <c r="PUJ916" s="7"/>
      <c r="PUK916" s="7"/>
      <c r="PUL916" s="7"/>
      <c r="PUM916" s="7"/>
      <c r="PUN916" s="7"/>
      <c r="PUO916" s="7"/>
      <c r="PUP916" s="7"/>
      <c r="PUQ916" s="7"/>
      <c r="PUR916" s="7"/>
      <c r="PUS916" s="7"/>
      <c r="PUT916" s="7"/>
      <c r="PUU916" s="7"/>
      <c r="PUV916" s="7"/>
      <c r="PUW916" s="7"/>
      <c r="PUX916" s="7"/>
      <c r="PUY916" s="7"/>
      <c r="PUZ916" s="7"/>
      <c r="PVA916" s="7"/>
      <c r="PVB916" s="7"/>
      <c r="PVC916" s="7"/>
      <c r="PVD916" s="7"/>
      <c r="PVE916" s="7"/>
      <c r="PVF916" s="7"/>
      <c r="PVG916" s="7"/>
      <c r="PVH916" s="7"/>
      <c r="PVI916" s="7"/>
      <c r="PVJ916" s="7"/>
      <c r="PVK916" s="7"/>
      <c r="PVL916" s="7"/>
      <c r="PVM916" s="7"/>
      <c r="PVN916" s="7"/>
      <c r="PVO916" s="7"/>
      <c r="PVP916" s="7"/>
      <c r="PVQ916" s="7"/>
      <c r="PVR916" s="7"/>
      <c r="PVS916" s="7"/>
      <c r="PVT916" s="7"/>
      <c r="PVU916" s="7"/>
      <c r="PVV916" s="7"/>
      <c r="PVW916" s="7"/>
      <c r="PVX916" s="7"/>
      <c r="PVY916" s="7"/>
      <c r="PVZ916" s="7"/>
      <c r="PWA916" s="7"/>
      <c r="PWB916" s="7"/>
      <c r="PWC916" s="7"/>
      <c r="PWD916" s="7"/>
      <c r="PWE916" s="7"/>
      <c r="PWF916" s="7"/>
      <c r="PWG916" s="7"/>
      <c r="PWH916" s="7"/>
      <c r="PWI916" s="7"/>
      <c r="PWJ916" s="7"/>
      <c r="PWK916" s="7"/>
      <c r="PWL916" s="7"/>
      <c r="PWM916" s="7"/>
      <c r="PWN916" s="7"/>
      <c r="PWO916" s="7"/>
      <c r="PWP916" s="7"/>
      <c r="PWQ916" s="7"/>
      <c r="PWR916" s="7"/>
      <c r="PWS916" s="7"/>
      <c r="PWT916" s="7"/>
      <c r="PWU916" s="7"/>
      <c r="PWV916" s="7"/>
      <c r="PWW916" s="7"/>
      <c r="PWX916" s="7"/>
      <c r="PWY916" s="7"/>
      <c r="PWZ916" s="7"/>
      <c r="PXA916" s="7"/>
      <c r="PXB916" s="7"/>
      <c r="PXC916" s="7"/>
      <c r="PXD916" s="7"/>
      <c r="PXE916" s="7"/>
      <c r="PXF916" s="7"/>
      <c r="PXG916" s="7"/>
      <c r="PXH916" s="7"/>
      <c r="PXI916" s="7"/>
      <c r="PXJ916" s="7"/>
      <c r="PXK916" s="7"/>
      <c r="PXL916" s="7"/>
      <c r="PXM916" s="7"/>
      <c r="PXN916" s="7"/>
      <c r="PXO916" s="7"/>
      <c r="PXP916" s="7"/>
      <c r="PXQ916" s="7"/>
      <c r="PXR916" s="7"/>
      <c r="PXS916" s="7"/>
      <c r="PXT916" s="7"/>
      <c r="PXU916" s="7"/>
      <c r="PXV916" s="7"/>
      <c r="PXW916" s="7"/>
      <c r="PXX916" s="7"/>
      <c r="PXY916" s="7"/>
      <c r="PXZ916" s="7"/>
      <c r="PYA916" s="7"/>
      <c r="PYB916" s="7"/>
      <c r="PYC916" s="7"/>
      <c r="PYD916" s="7"/>
      <c r="PYE916" s="7"/>
      <c r="PYF916" s="7"/>
      <c r="PYG916" s="7"/>
      <c r="PYH916" s="7"/>
      <c r="PYI916" s="7"/>
      <c r="PYJ916" s="7"/>
      <c r="PYK916" s="7"/>
      <c r="PYL916" s="7"/>
      <c r="PYM916" s="7"/>
      <c r="PYN916" s="7"/>
      <c r="PYO916" s="7"/>
      <c r="PYP916" s="7"/>
      <c r="PYQ916" s="7"/>
      <c r="PYR916" s="7"/>
      <c r="PYS916" s="7"/>
      <c r="PYT916" s="7"/>
      <c r="PYU916" s="7"/>
      <c r="PYV916" s="7"/>
      <c r="PYW916" s="7"/>
      <c r="PYX916" s="7"/>
      <c r="PYY916" s="7"/>
      <c r="PYZ916" s="7"/>
      <c r="PZA916" s="7"/>
      <c r="PZB916" s="7"/>
      <c r="PZC916" s="7"/>
      <c r="PZD916" s="7"/>
      <c r="PZE916" s="7"/>
      <c r="PZF916" s="7"/>
      <c r="PZG916" s="7"/>
      <c r="PZH916" s="7"/>
      <c r="PZI916" s="7"/>
      <c r="PZJ916" s="7"/>
      <c r="PZK916" s="7"/>
      <c r="PZL916" s="7"/>
      <c r="PZM916" s="7"/>
      <c r="PZN916" s="7"/>
      <c r="PZO916" s="7"/>
      <c r="PZP916" s="7"/>
      <c r="PZQ916" s="7"/>
      <c r="PZR916" s="7"/>
      <c r="PZS916" s="7"/>
      <c r="PZT916" s="7"/>
      <c r="PZU916" s="7"/>
      <c r="PZV916" s="7"/>
      <c r="PZW916" s="7"/>
      <c r="PZX916" s="7"/>
      <c r="PZY916" s="7"/>
      <c r="PZZ916" s="7"/>
      <c r="QAA916" s="7"/>
      <c r="QAB916" s="7"/>
      <c r="QAC916" s="7"/>
      <c r="QAD916" s="7"/>
      <c r="QAE916" s="7"/>
      <c r="QAF916" s="7"/>
      <c r="QAG916" s="7"/>
      <c r="QAH916" s="7"/>
      <c r="QAI916" s="7"/>
      <c r="QAJ916" s="7"/>
      <c r="QAK916" s="7"/>
      <c r="QAL916" s="7"/>
      <c r="QAM916" s="7"/>
      <c r="QAN916" s="7"/>
      <c r="QAO916" s="7"/>
      <c r="QAP916" s="7"/>
      <c r="QAQ916" s="7"/>
      <c r="QAR916" s="7"/>
      <c r="QAS916" s="7"/>
      <c r="QAT916" s="7"/>
      <c r="QAU916" s="7"/>
      <c r="QAV916" s="7"/>
      <c r="QAW916" s="7"/>
      <c r="QAX916" s="7"/>
      <c r="QAY916" s="7"/>
      <c r="QAZ916" s="7"/>
      <c r="QBA916" s="7"/>
      <c r="QBB916" s="7"/>
      <c r="QBC916" s="7"/>
      <c r="QBD916" s="7"/>
      <c r="QBE916" s="7"/>
      <c r="QBF916" s="7"/>
      <c r="QBG916" s="7"/>
      <c r="QBH916" s="7"/>
      <c r="QBI916" s="7"/>
      <c r="QBJ916" s="7"/>
      <c r="QBK916" s="7"/>
      <c r="QBL916" s="7"/>
      <c r="QBM916" s="7"/>
      <c r="QBN916" s="7"/>
      <c r="QBO916" s="7"/>
      <c r="QBP916" s="7"/>
      <c r="QBQ916" s="7"/>
      <c r="QBR916" s="7"/>
      <c r="QBS916" s="7"/>
      <c r="QBT916" s="7"/>
      <c r="QBU916" s="7"/>
      <c r="QBV916" s="7"/>
      <c r="QBW916" s="7"/>
      <c r="QBX916" s="7"/>
      <c r="QBY916" s="7"/>
      <c r="QBZ916" s="7"/>
      <c r="QCA916" s="7"/>
      <c r="QCB916" s="7"/>
      <c r="QCC916" s="7"/>
      <c r="QCD916" s="7"/>
      <c r="QCE916" s="7"/>
      <c r="QCF916" s="7"/>
      <c r="QCG916" s="7"/>
      <c r="QCH916" s="7"/>
      <c r="QCI916" s="7"/>
      <c r="QCJ916" s="7"/>
      <c r="QCK916" s="7"/>
      <c r="QCL916" s="7"/>
      <c r="QCM916" s="7"/>
      <c r="QCN916" s="7"/>
      <c r="QCO916" s="7"/>
      <c r="QCP916" s="7"/>
      <c r="QCQ916" s="7"/>
      <c r="QCR916" s="7"/>
      <c r="QCS916" s="7"/>
      <c r="QCT916" s="7"/>
      <c r="QCU916" s="7"/>
      <c r="QCV916" s="7"/>
      <c r="QCW916" s="7"/>
      <c r="QCX916" s="7"/>
      <c r="QCY916" s="7"/>
      <c r="QCZ916" s="7"/>
      <c r="QDA916" s="7"/>
      <c r="QDB916" s="7"/>
      <c r="QDC916" s="7"/>
      <c r="QDD916" s="7"/>
      <c r="QDE916" s="7"/>
      <c r="QDF916" s="7"/>
      <c r="QDG916" s="7"/>
      <c r="QDH916" s="7"/>
      <c r="QDI916" s="7"/>
      <c r="QDJ916" s="7"/>
      <c r="QDK916" s="7"/>
      <c r="QDL916" s="7"/>
      <c r="QDM916" s="7"/>
      <c r="QDN916" s="7"/>
      <c r="QDO916" s="7"/>
      <c r="QDP916" s="7"/>
      <c r="QDQ916" s="7"/>
      <c r="QDR916" s="7"/>
      <c r="QDS916" s="7"/>
      <c r="QDT916" s="7"/>
      <c r="QDU916" s="7"/>
      <c r="QDV916" s="7"/>
      <c r="QDW916" s="7"/>
      <c r="QDX916" s="7"/>
      <c r="QDY916" s="7"/>
      <c r="QDZ916" s="7"/>
      <c r="QEA916" s="7"/>
      <c r="QEB916" s="7"/>
      <c r="QEC916" s="7"/>
      <c r="QED916" s="7"/>
      <c r="QEE916" s="7"/>
      <c r="QEF916" s="7"/>
      <c r="QEG916" s="7"/>
      <c r="QEH916" s="7"/>
      <c r="QEI916" s="7"/>
      <c r="QEJ916" s="7"/>
      <c r="QEK916" s="7"/>
      <c r="QEL916" s="7"/>
      <c r="QEM916" s="7"/>
      <c r="QEN916" s="7"/>
      <c r="QEO916" s="7"/>
      <c r="QEP916" s="7"/>
      <c r="QEQ916" s="7"/>
      <c r="QER916" s="7"/>
      <c r="QES916" s="7"/>
      <c r="QET916" s="7"/>
      <c r="QEU916" s="7"/>
      <c r="QEV916" s="7"/>
      <c r="QEW916" s="7"/>
      <c r="QEX916" s="7"/>
      <c r="QEY916" s="7"/>
      <c r="QEZ916" s="7"/>
      <c r="QFA916" s="7"/>
      <c r="QFB916" s="7"/>
      <c r="QFC916" s="7"/>
      <c r="QFD916" s="7"/>
      <c r="QFE916" s="7"/>
      <c r="QFF916" s="7"/>
      <c r="QFG916" s="7"/>
      <c r="QFH916" s="7"/>
      <c r="QFI916" s="7"/>
      <c r="QFJ916" s="7"/>
      <c r="QFK916" s="7"/>
      <c r="QFL916" s="7"/>
      <c r="QFM916" s="7"/>
      <c r="QFN916" s="7"/>
      <c r="QFO916" s="7"/>
      <c r="QFP916" s="7"/>
      <c r="QFQ916" s="7"/>
      <c r="QFR916" s="7"/>
      <c r="QFS916" s="7"/>
      <c r="QFT916" s="7"/>
      <c r="QFU916" s="7"/>
      <c r="QFV916" s="7"/>
      <c r="QFW916" s="7"/>
      <c r="QFX916" s="7"/>
      <c r="QFY916" s="7"/>
      <c r="QFZ916" s="7"/>
      <c r="QGA916" s="7"/>
      <c r="QGB916" s="7"/>
      <c r="QGC916" s="7"/>
      <c r="QGD916" s="7"/>
      <c r="QGE916" s="7"/>
      <c r="QGF916" s="7"/>
      <c r="QGG916" s="7"/>
      <c r="QGH916" s="7"/>
      <c r="QGI916" s="7"/>
      <c r="QGJ916" s="7"/>
      <c r="QGK916" s="7"/>
      <c r="QGL916" s="7"/>
      <c r="QGM916" s="7"/>
      <c r="QGN916" s="7"/>
      <c r="QGO916" s="7"/>
      <c r="QGP916" s="7"/>
      <c r="QGQ916" s="7"/>
      <c r="QGR916" s="7"/>
      <c r="QGS916" s="7"/>
      <c r="QGT916" s="7"/>
      <c r="QGU916" s="7"/>
      <c r="QGV916" s="7"/>
      <c r="QGW916" s="7"/>
      <c r="QGX916" s="7"/>
      <c r="QGY916" s="7"/>
      <c r="QGZ916" s="7"/>
      <c r="QHA916" s="7"/>
      <c r="QHB916" s="7"/>
      <c r="QHC916" s="7"/>
      <c r="QHD916" s="7"/>
      <c r="QHE916" s="7"/>
      <c r="QHF916" s="7"/>
      <c r="QHG916" s="7"/>
      <c r="QHH916" s="7"/>
      <c r="QHI916" s="7"/>
      <c r="QHJ916" s="7"/>
      <c r="QHK916" s="7"/>
      <c r="QHL916" s="7"/>
      <c r="QHM916" s="7"/>
      <c r="QHN916" s="7"/>
      <c r="QHO916" s="7"/>
      <c r="QHP916" s="7"/>
      <c r="QHQ916" s="7"/>
      <c r="QHR916" s="7"/>
      <c r="QHS916" s="7"/>
      <c r="QHT916" s="7"/>
      <c r="QHU916" s="7"/>
      <c r="QHV916" s="7"/>
      <c r="QHW916" s="7"/>
      <c r="QHX916" s="7"/>
      <c r="QHY916" s="7"/>
      <c r="QHZ916" s="7"/>
      <c r="QIA916" s="7"/>
      <c r="QIB916" s="7"/>
      <c r="QIC916" s="7"/>
      <c r="QID916" s="7"/>
      <c r="QIE916" s="7"/>
      <c r="QIF916" s="7"/>
      <c r="QIG916" s="7"/>
      <c r="QIH916" s="7"/>
      <c r="QII916" s="7"/>
      <c r="QIJ916" s="7"/>
      <c r="QIK916" s="7"/>
      <c r="QIL916" s="7"/>
      <c r="QIM916" s="7"/>
      <c r="QIN916" s="7"/>
      <c r="QIO916" s="7"/>
      <c r="QIP916" s="7"/>
      <c r="QIQ916" s="7"/>
      <c r="QIR916" s="7"/>
      <c r="QIS916" s="7"/>
      <c r="QIT916" s="7"/>
      <c r="QIU916" s="7"/>
      <c r="QIV916" s="7"/>
      <c r="QIW916" s="7"/>
      <c r="QIX916" s="7"/>
      <c r="QIY916" s="7"/>
      <c r="QIZ916" s="7"/>
      <c r="QJA916" s="7"/>
      <c r="QJB916" s="7"/>
      <c r="QJC916" s="7"/>
      <c r="QJD916" s="7"/>
      <c r="QJE916" s="7"/>
      <c r="QJF916" s="7"/>
      <c r="QJG916" s="7"/>
      <c r="QJH916" s="7"/>
      <c r="QJI916" s="7"/>
      <c r="QJJ916" s="7"/>
      <c r="QJK916" s="7"/>
      <c r="QJL916" s="7"/>
      <c r="QJM916" s="7"/>
      <c r="QJN916" s="7"/>
      <c r="QJO916" s="7"/>
      <c r="QJP916" s="7"/>
      <c r="QJQ916" s="7"/>
      <c r="QJR916" s="7"/>
      <c r="QJS916" s="7"/>
      <c r="QJT916" s="7"/>
      <c r="QJU916" s="7"/>
      <c r="QJV916" s="7"/>
      <c r="QJW916" s="7"/>
      <c r="QJX916" s="7"/>
      <c r="QJY916" s="7"/>
      <c r="QJZ916" s="7"/>
      <c r="QKA916" s="7"/>
      <c r="QKB916" s="7"/>
      <c r="QKC916" s="7"/>
      <c r="QKD916" s="7"/>
      <c r="QKE916" s="7"/>
      <c r="QKF916" s="7"/>
      <c r="QKG916" s="7"/>
      <c r="QKH916" s="7"/>
      <c r="QKI916" s="7"/>
      <c r="QKJ916" s="7"/>
      <c r="QKK916" s="7"/>
      <c r="QKL916" s="7"/>
      <c r="QKM916" s="7"/>
      <c r="QKN916" s="7"/>
      <c r="QKO916" s="7"/>
      <c r="QKP916" s="7"/>
      <c r="QKQ916" s="7"/>
      <c r="QKR916" s="7"/>
      <c r="QKS916" s="7"/>
      <c r="QKT916" s="7"/>
      <c r="QKU916" s="7"/>
      <c r="QKV916" s="7"/>
      <c r="QKW916" s="7"/>
      <c r="QKX916" s="7"/>
      <c r="QKY916" s="7"/>
      <c r="QKZ916" s="7"/>
      <c r="QLA916" s="7"/>
      <c r="QLB916" s="7"/>
      <c r="QLC916" s="7"/>
      <c r="QLD916" s="7"/>
      <c r="QLE916" s="7"/>
      <c r="QLF916" s="7"/>
      <c r="QLG916" s="7"/>
      <c r="QLH916" s="7"/>
      <c r="QLI916" s="7"/>
      <c r="QLJ916" s="7"/>
      <c r="QLK916" s="7"/>
      <c r="QLL916" s="7"/>
      <c r="QLM916" s="7"/>
      <c r="QLN916" s="7"/>
      <c r="QLO916" s="7"/>
      <c r="QLP916" s="7"/>
      <c r="QLQ916" s="7"/>
      <c r="QLR916" s="7"/>
      <c r="QLS916" s="7"/>
      <c r="QLT916" s="7"/>
      <c r="QLU916" s="7"/>
      <c r="QLV916" s="7"/>
      <c r="QLW916" s="7"/>
      <c r="QLX916" s="7"/>
      <c r="QLY916" s="7"/>
      <c r="QLZ916" s="7"/>
      <c r="QMA916" s="7"/>
      <c r="QMB916" s="7"/>
      <c r="QMC916" s="7"/>
      <c r="QMD916" s="7"/>
      <c r="QME916" s="7"/>
      <c r="QMF916" s="7"/>
      <c r="QMG916" s="7"/>
      <c r="QMH916" s="7"/>
      <c r="QMI916" s="7"/>
      <c r="QMJ916" s="7"/>
      <c r="QMK916" s="7"/>
      <c r="QML916" s="7"/>
      <c r="QMM916" s="7"/>
      <c r="QMN916" s="7"/>
      <c r="QMO916" s="7"/>
      <c r="QMP916" s="7"/>
      <c r="QMQ916" s="7"/>
      <c r="QMR916" s="7"/>
      <c r="QMS916" s="7"/>
      <c r="QMT916" s="7"/>
      <c r="QMU916" s="7"/>
      <c r="QMV916" s="7"/>
      <c r="QMW916" s="7"/>
      <c r="QMX916" s="7"/>
      <c r="QMY916" s="7"/>
      <c r="QMZ916" s="7"/>
      <c r="QNA916" s="7"/>
      <c r="QNB916" s="7"/>
      <c r="QNC916" s="7"/>
      <c r="QND916" s="7"/>
      <c r="QNE916" s="7"/>
      <c r="QNF916" s="7"/>
      <c r="QNG916" s="7"/>
      <c r="QNH916" s="7"/>
      <c r="QNI916" s="7"/>
      <c r="QNJ916" s="7"/>
      <c r="QNK916" s="7"/>
      <c r="QNL916" s="7"/>
      <c r="QNM916" s="7"/>
      <c r="QNN916" s="7"/>
      <c r="QNO916" s="7"/>
      <c r="QNP916" s="7"/>
      <c r="QNQ916" s="7"/>
      <c r="QNR916" s="7"/>
      <c r="QNS916" s="7"/>
      <c r="QNT916" s="7"/>
      <c r="QNU916" s="7"/>
      <c r="QNV916" s="7"/>
      <c r="QNW916" s="7"/>
      <c r="QNX916" s="7"/>
      <c r="QNY916" s="7"/>
      <c r="QNZ916" s="7"/>
      <c r="QOA916" s="7"/>
      <c r="QOB916" s="7"/>
      <c r="QOC916" s="7"/>
      <c r="QOD916" s="7"/>
      <c r="QOE916" s="7"/>
      <c r="QOF916" s="7"/>
      <c r="QOG916" s="7"/>
      <c r="QOH916" s="7"/>
      <c r="QOI916" s="7"/>
      <c r="QOJ916" s="7"/>
      <c r="QOK916" s="7"/>
      <c r="QOL916" s="7"/>
      <c r="QOM916" s="7"/>
      <c r="QON916" s="7"/>
      <c r="QOO916" s="7"/>
      <c r="QOP916" s="7"/>
      <c r="QOQ916" s="7"/>
      <c r="QOR916" s="7"/>
      <c r="QOS916" s="7"/>
      <c r="QOT916" s="7"/>
      <c r="QOU916" s="7"/>
      <c r="QOV916" s="7"/>
      <c r="QOW916" s="7"/>
      <c r="QOX916" s="7"/>
      <c r="QOY916" s="7"/>
      <c r="QOZ916" s="7"/>
      <c r="QPA916" s="7"/>
      <c r="QPB916" s="7"/>
      <c r="QPC916" s="7"/>
      <c r="QPD916" s="7"/>
      <c r="QPE916" s="7"/>
      <c r="QPF916" s="7"/>
      <c r="QPG916" s="7"/>
      <c r="QPH916" s="7"/>
      <c r="QPI916" s="7"/>
      <c r="QPJ916" s="7"/>
      <c r="QPK916" s="7"/>
      <c r="QPL916" s="7"/>
      <c r="QPM916" s="7"/>
      <c r="QPN916" s="7"/>
      <c r="QPO916" s="7"/>
      <c r="QPP916" s="7"/>
      <c r="QPQ916" s="7"/>
      <c r="QPR916" s="7"/>
      <c r="QPS916" s="7"/>
      <c r="QPT916" s="7"/>
      <c r="QPU916" s="7"/>
      <c r="QPV916" s="7"/>
      <c r="QPW916" s="7"/>
      <c r="QPX916" s="7"/>
      <c r="QPY916" s="7"/>
      <c r="QPZ916" s="7"/>
      <c r="QQA916" s="7"/>
      <c r="QQB916" s="7"/>
      <c r="QQC916" s="7"/>
      <c r="QQD916" s="7"/>
      <c r="QQE916" s="7"/>
      <c r="QQF916" s="7"/>
      <c r="QQG916" s="7"/>
      <c r="QQH916" s="7"/>
      <c r="QQI916" s="7"/>
      <c r="QQJ916" s="7"/>
      <c r="QQK916" s="7"/>
      <c r="QQL916" s="7"/>
      <c r="QQM916" s="7"/>
      <c r="QQN916" s="7"/>
      <c r="QQO916" s="7"/>
      <c r="QQP916" s="7"/>
      <c r="QQQ916" s="7"/>
      <c r="QQR916" s="7"/>
      <c r="QQS916" s="7"/>
      <c r="QQT916" s="7"/>
      <c r="QQU916" s="7"/>
      <c r="QQV916" s="7"/>
      <c r="QQW916" s="7"/>
      <c r="QQX916" s="7"/>
      <c r="QQY916" s="7"/>
      <c r="QQZ916" s="7"/>
      <c r="QRA916" s="7"/>
      <c r="QRB916" s="7"/>
      <c r="QRC916" s="7"/>
      <c r="QRD916" s="7"/>
      <c r="QRE916" s="7"/>
      <c r="QRF916" s="7"/>
      <c r="QRG916" s="7"/>
      <c r="QRH916" s="7"/>
      <c r="QRI916" s="7"/>
      <c r="QRJ916" s="7"/>
      <c r="QRK916" s="7"/>
      <c r="QRL916" s="7"/>
      <c r="QRM916" s="7"/>
      <c r="QRN916" s="7"/>
      <c r="QRO916" s="7"/>
      <c r="QRP916" s="7"/>
      <c r="QRQ916" s="7"/>
      <c r="QRR916" s="7"/>
      <c r="QRS916" s="7"/>
      <c r="QRT916" s="7"/>
      <c r="QRU916" s="7"/>
      <c r="QRV916" s="7"/>
      <c r="QRW916" s="7"/>
      <c r="QRX916" s="7"/>
      <c r="QRY916" s="7"/>
      <c r="QRZ916" s="7"/>
      <c r="QSA916" s="7"/>
      <c r="QSB916" s="7"/>
      <c r="QSC916" s="7"/>
      <c r="QSD916" s="7"/>
      <c r="QSE916" s="7"/>
      <c r="QSF916" s="7"/>
      <c r="QSG916" s="7"/>
      <c r="QSH916" s="7"/>
      <c r="QSI916" s="7"/>
      <c r="QSJ916" s="7"/>
      <c r="QSK916" s="7"/>
      <c r="QSL916" s="7"/>
      <c r="QSM916" s="7"/>
      <c r="QSN916" s="7"/>
      <c r="QSO916" s="7"/>
      <c r="QSP916" s="7"/>
      <c r="QSQ916" s="7"/>
      <c r="QSR916" s="7"/>
      <c r="QSS916" s="7"/>
      <c r="QST916" s="7"/>
      <c r="QSU916" s="7"/>
      <c r="QSV916" s="7"/>
      <c r="QSW916" s="7"/>
      <c r="QSX916" s="7"/>
      <c r="QSY916" s="7"/>
      <c r="QSZ916" s="7"/>
      <c r="QTA916" s="7"/>
      <c r="QTB916" s="7"/>
      <c r="QTC916" s="7"/>
      <c r="QTD916" s="7"/>
      <c r="QTE916" s="7"/>
      <c r="QTF916" s="7"/>
      <c r="QTG916" s="7"/>
      <c r="QTH916" s="7"/>
      <c r="QTI916" s="7"/>
      <c r="QTJ916" s="7"/>
      <c r="QTK916" s="7"/>
      <c r="QTL916" s="7"/>
      <c r="QTM916" s="7"/>
      <c r="QTN916" s="7"/>
      <c r="QTO916" s="7"/>
      <c r="QTP916" s="7"/>
      <c r="QTQ916" s="7"/>
      <c r="QTR916" s="7"/>
      <c r="QTS916" s="7"/>
      <c r="QTT916" s="7"/>
      <c r="QTU916" s="7"/>
      <c r="QTV916" s="7"/>
      <c r="QTW916" s="7"/>
      <c r="QTX916" s="7"/>
      <c r="QTY916" s="7"/>
      <c r="QTZ916" s="7"/>
      <c r="QUA916" s="7"/>
      <c r="QUB916" s="7"/>
      <c r="QUC916" s="7"/>
      <c r="QUD916" s="7"/>
      <c r="QUE916" s="7"/>
      <c r="QUF916" s="7"/>
      <c r="QUG916" s="7"/>
      <c r="QUH916" s="7"/>
      <c r="QUI916" s="7"/>
      <c r="QUJ916" s="7"/>
      <c r="QUK916" s="7"/>
      <c r="QUL916" s="7"/>
      <c r="QUM916" s="7"/>
      <c r="QUN916" s="7"/>
      <c r="QUO916" s="7"/>
      <c r="QUP916" s="7"/>
      <c r="QUQ916" s="7"/>
      <c r="QUR916" s="7"/>
      <c r="QUS916" s="7"/>
      <c r="QUT916" s="7"/>
      <c r="QUU916" s="7"/>
      <c r="QUV916" s="7"/>
      <c r="QUW916" s="7"/>
      <c r="QUX916" s="7"/>
      <c r="QUY916" s="7"/>
      <c r="QUZ916" s="7"/>
      <c r="QVA916" s="7"/>
      <c r="QVB916" s="7"/>
      <c r="QVC916" s="7"/>
      <c r="QVD916" s="7"/>
      <c r="QVE916" s="7"/>
      <c r="QVF916" s="7"/>
      <c r="QVG916" s="7"/>
      <c r="QVH916" s="7"/>
      <c r="QVI916" s="7"/>
      <c r="QVJ916" s="7"/>
      <c r="QVK916" s="7"/>
      <c r="QVL916" s="7"/>
      <c r="QVM916" s="7"/>
      <c r="QVN916" s="7"/>
      <c r="QVO916" s="7"/>
      <c r="QVP916" s="7"/>
      <c r="QVQ916" s="7"/>
      <c r="QVR916" s="7"/>
      <c r="QVS916" s="7"/>
      <c r="QVT916" s="7"/>
      <c r="QVU916" s="7"/>
      <c r="QVV916" s="7"/>
      <c r="QVW916" s="7"/>
      <c r="QVX916" s="7"/>
      <c r="QVY916" s="7"/>
      <c r="QVZ916" s="7"/>
      <c r="QWA916" s="7"/>
      <c r="QWB916" s="7"/>
      <c r="QWC916" s="7"/>
      <c r="QWD916" s="7"/>
      <c r="QWE916" s="7"/>
      <c r="QWF916" s="7"/>
      <c r="QWG916" s="7"/>
      <c r="QWH916" s="7"/>
      <c r="QWI916" s="7"/>
      <c r="QWJ916" s="7"/>
      <c r="QWK916" s="7"/>
      <c r="QWL916" s="7"/>
      <c r="QWM916" s="7"/>
      <c r="QWN916" s="7"/>
      <c r="QWO916" s="7"/>
      <c r="QWP916" s="7"/>
      <c r="QWQ916" s="7"/>
      <c r="QWR916" s="7"/>
      <c r="QWS916" s="7"/>
      <c r="QWT916" s="7"/>
      <c r="QWU916" s="7"/>
      <c r="QWV916" s="7"/>
      <c r="QWW916" s="7"/>
      <c r="QWX916" s="7"/>
      <c r="QWY916" s="7"/>
      <c r="QWZ916" s="7"/>
      <c r="QXA916" s="7"/>
      <c r="QXB916" s="7"/>
      <c r="QXC916" s="7"/>
      <c r="QXD916" s="7"/>
      <c r="QXE916" s="7"/>
      <c r="QXF916" s="7"/>
      <c r="QXG916" s="7"/>
      <c r="QXH916" s="7"/>
      <c r="QXI916" s="7"/>
      <c r="QXJ916" s="7"/>
      <c r="QXK916" s="7"/>
      <c r="QXL916" s="7"/>
      <c r="QXM916" s="7"/>
      <c r="QXN916" s="7"/>
      <c r="QXO916" s="7"/>
      <c r="QXP916" s="7"/>
      <c r="QXQ916" s="7"/>
      <c r="QXR916" s="7"/>
      <c r="QXS916" s="7"/>
      <c r="QXT916" s="7"/>
      <c r="QXU916" s="7"/>
      <c r="QXV916" s="7"/>
      <c r="QXW916" s="7"/>
      <c r="QXX916" s="7"/>
      <c r="QXY916" s="7"/>
      <c r="QXZ916" s="7"/>
      <c r="QYA916" s="7"/>
      <c r="QYB916" s="7"/>
      <c r="QYC916" s="7"/>
      <c r="QYD916" s="7"/>
      <c r="QYE916" s="7"/>
      <c r="QYF916" s="7"/>
      <c r="QYG916" s="7"/>
      <c r="QYH916" s="7"/>
      <c r="QYI916" s="7"/>
      <c r="QYJ916" s="7"/>
      <c r="QYK916" s="7"/>
      <c r="QYL916" s="7"/>
      <c r="QYM916" s="7"/>
      <c r="QYN916" s="7"/>
      <c r="QYO916" s="7"/>
      <c r="QYP916" s="7"/>
      <c r="QYQ916" s="7"/>
      <c r="QYR916" s="7"/>
      <c r="QYS916" s="7"/>
      <c r="QYT916" s="7"/>
      <c r="QYU916" s="7"/>
      <c r="QYV916" s="7"/>
      <c r="QYW916" s="7"/>
      <c r="QYX916" s="7"/>
      <c r="QYY916" s="7"/>
      <c r="QYZ916" s="7"/>
      <c r="QZA916" s="7"/>
      <c r="QZB916" s="7"/>
      <c r="QZC916" s="7"/>
      <c r="QZD916" s="7"/>
      <c r="QZE916" s="7"/>
      <c r="QZF916" s="7"/>
      <c r="QZG916" s="7"/>
      <c r="QZH916" s="7"/>
      <c r="QZI916" s="7"/>
      <c r="QZJ916" s="7"/>
      <c r="QZK916" s="7"/>
      <c r="QZL916" s="7"/>
      <c r="QZM916" s="7"/>
      <c r="QZN916" s="7"/>
      <c r="QZO916" s="7"/>
      <c r="QZP916" s="7"/>
      <c r="QZQ916" s="7"/>
      <c r="QZR916" s="7"/>
      <c r="QZS916" s="7"/>
      <c r="QZT916" s="7"/>
      <c r="QZU916" s="7"/>
      <c r="QZV916" s="7"/>
      <c r="QZW916" s="7"/>
      <c r="QZX916" s="7"/>
      <c r="QZY916" s="7"/>
      <c r="QZZ916" s="7"/>
      <c r="RAA916" s="7"/>
      <c r="RAB916" s="7"/>
      <c r="RAC916" s="7"/>
      <c r="RAD916" s="7"/>
      <c r="RAE916" s="7"/>
      <c r="RAF916" s="7"/>
      <c r="RAG916" s="7"/>
      <c r="RAH916" s="7"/>
      <c r="RAI916" s="7"/>
      <c r="RAJ916" s="7"/>
      <c r="RAK916" s="7"/>
      <c r="RAL916" s="7"/>
      <c r="RAM916" s="7"/>
      <c r="RAN916" s="7"/>
      <c r="RAO916" s="7"/>
      <c r="RAP916" s="7"/>
      <c r="RAQ916" s="7"/>
      <c r="RAR916" s="7"/>
      <c r="RAS916" s="7"/>
      <c r="RAT916" s="7"/>
      <c r="RAU916" s="7"/>
      <c r="RAV916" s="7"/>
      <c r="RAW916" s="7"/>
      <c r="RAX916" s="7"/>
      <c r="RAY916" s="7"/>
      <c r="RAZ916" s="7"/>
      <c r="RBA916" s="7"/>
      <c r="RBB916" s="7"/>
      <c r="RBC916" s="7"/>
      <c r="RBD916" s="7"/>
      <c r="RBE916" s="7"/>
      <c r="RBF916" s="7"/>
      <c r="RBG916" s="7"/>
      <c r="RBH916" s="7"/>
      <c r="RBI916" s="7"/>
      <c r="RBJ916" s="7"/>
      <c r="RBK916" s="7"/>
      <c r="RBL916" s="7"/>
      <c r="RBM916" s="7"/>
      <c r="RBN916" s="7"/>
      <c r="RBO916" s="7"/>
      <c r="RBP916" s="7"/>
      <c r="RBQ916" s="7"/>
      <c r="RBR916" s="7"/>
      <c r="RBS916" s="7"/>
      <c r="RBT916" s="7"/>
      <c r="RBU916" s="7"/>
      <c r="RBV916" s="7"/>
      <c r="RBW916" s="7"/>
      <c r="RBX916" s="7"/>
      <c r="RBY916" s="7"/>
      <c r="RBZ916" s="7"/>
      <c r="RCA916" s="7"/>
      <c r="RCB916" s="7"/>
      <c r="RCC916" s="7"/>
      <c r="RCD916" s="7"/>
      <c r="RCE916" s="7"/>
      <c r="RCF916" s="7"/>
      <c r="RCG916" s="7"/>
      <c r="RCH916" s="7"/>
      <c r="RCI916" s="7"/>
      <c r="RCJ916" s="7"/>
      <c r="RCK916" s="7"/>
      <c r="RCL916" s="7"/>
      <c r="RCM916" s="7"/>
      <c r="RCN916" s="7"/>
      <c r="RCO916" s="7"/>
      <c r="RCP916" s="7"/>
      <c r="RCQ916" s="7"/>
      <c r="RCR916" s="7"/>
      <c r="RCS916" s="7"/>
      <c r="RCT916" s="7"/>
      <c r="RCU916" s="7"/>
      <c r="RCV916" s="7"/>
      <c r="RCW916" s="7"/>
      <c r="RCX916" s="7"/>
      <c r="RCY916" s="7"/>
      <c r="RCZ916" s="7"/>
      <c r="RDA916" s="7"/>
      <c r="RDB916" s="7"/>
      <c r="RDC916" s="7"/>
      <c r="RDD916" s="7"/>
      <c r="RDE916" s="7"/>
      <c r="RDF916" s="7"/>
      <c r="RDG916" s="7"/>
      <c r="RDH916" s="7"/>
      <c r="RDI916" s="7"/>
      <c r="RDJ916" s="7"/>
      <c r="RDK916" s="7"/>
      <c r="RDL916" s="7"/>
      <c r="RDM916" s="7"/>
      <c r="RDN916" s="7"/>
      <c r="RDO916" s="7"/>
      <c r="RDP916" s="7"/>
      <c r="RDQ916" s="7"/>
      <c r="RDR916" s="7"/>
      <c r="RDS916" s="7"/>
      <c r="RDT916" s="7"/>
      <c r="RDU916" s="7"/>
      <c r="RDV916" s="7"/>
      <c r="RDW916" s="7"/>
      <c r="RDX916" s="7"/>
      <c r="RDY916" s="7"/>
      <c r="RDZ916" s="7"/>
      <c r="REA916" s="7"/>
      <c r="REB916" s="7"/>
      <c r="REC916" s="7"/>
      <c r="RED916" s="7"/>
      <c r="REE916" s="7"/>
      <c r="REF916" s="7"/>
      <c r="REG916" s="7"/>
      <c r="REH916" s="7"/>
      <c r="REI916" s="7"/>
      <c r="REJ916" s="7"/>
      <c r="REK916" s="7"/>
      <c r="REL916" s="7"/>
      <c r="REM916" s="7"/>
      <c r="REN916" s="7"/>
      <c r="REO916" s="7"/>
      <c r="REP916" s="7"/>
      <c r="REQ916" s="7"/>
      <c r="RER916" s="7"/>
      <c r="RES916" s="7"/>
      <c r="RET916" s="7"/>
      <c r="REU916" s="7"/>
      <c r="REV916" s="7"/>
      <c r="REW916" s="7"/>
      <c r="REX916" s="7"/>
      <c r="REY916" s="7"/>
      <c r="REZ916" s="7"/>
      <c r="RFA916" s="7"/>
      <c r="RFB916" s="7"/>
      <c r="RFC916" s="7"/>
      <c r="RFD916" s="7"/>
      <c r="RFE916" s="7"/>
      <c r="RFF916" s="7"/>
      <c r="RFG916" s="7"/>
      <c r="RFH916" s="7"/>
      <c r="RFI916" s="7"/>
      <c r="RFJ916" s="7"/>
      <c r="RFK916" s="7"/>
      <c r="RFL916" s="7"/>
      <c r="RFM916" s="7"/>
      <c r="RFN916" s="7"/>
      <c r="RFO916" s="7"/>
      <c r="RFP916" s="7"/>
      <c r="RFQ916" s="7"/>
      <c r="RFR916" s="7"/>
      <c r="RFS916" s="7"/>
      <c r="RFT916" s="7"/>
      <c r="RFU916" s="7"/>
      <c r="RFV916" s="7"/>
      <c r="RFW916" s="7"/>
      <c r="RFX916" s="7"/>
      <c r="RFY916" s="7"/>
      <c r="RFZ916" s="7"/>
      <c r="RGA916" s="7"/>
      <c r="RGB916" s="7"/>
      <c r="RGC916" s="7"/>
      <c r="RGD916" s="7"/>
      <c r="RGE916" s="7"/>
      <c r="RGF916" s="7"/>
      <c r="RGG916" s="7"/>
      <c r="RGH916" s="7"/>
      <c r="RGI916" s="7"/>
      <c r="RGJ916" s="7"/>
      <c r="RGK916" s="7"/>
      <c r="RGL916" s="7"/>
      <c r="RGM916" s="7"/>
      <c r="RGN916" s="7"/>
      <c r="RGO916" s="7"/>
      <c r="RGP916" s="7"/>
      <c r="RGQ916" s="7"/>
      <c r="RGR916" s="7"/>
      <c r="RGS916" s="7"/>
      <c r="RGT916" s="7"/>
      <c r="RGU916" s="7"/>
      <c r="RGV916" s="7"/>
      <c r="RGW916" s="7"/>
      <c r="RGX916" s="7"/>
      <c r="RGY916" s="7"/>
      <c r="RGZ916" s="7"/>
      <c r="RHA916" s="7"/>
      <c r="RHB916" s="7"/>
      <c r="RHC916" s="7"/>
      <c r="RHD916" s="7"/>
      <c r="RHE916" s="7"/>
      <c r="RHF916" s="7"/>
      <c r="RHG916" s="7"/>
      <c r="RHH916" s="7"/>
      <c r="RHI916" s="7"/>
      <c r="RHJ916" s="7"/>
      <c r="RHK916" s="7"/>
      <c r="RHL916" s="7"/>
      <c r="RHM916" s="7"/>
      <c r="RHN916" s="7"/>
      <c r="RHO916" s="7"/>
      <c r="RHP916" s="7"/>
      <c r="RHQ916" s="7"/>
      <c r="RHR916" s="7"/>
      <c r="RHS916" s="7"/>
      <c r="RHT916" s="7"/>
      <c r="RHU916" s="7"/>
      <c r="RHV916" s="7"/>
      <c r="RHW916" s="7"/>
      <c r="RHX916" s="7"/>
      <c r="RHY916" s="7"/>
      <c r="RHZ916" s="7"/>
      <c r="RIA916" s="7"/>
      <c r="RIB916" s="7"/>
      <c r="RIC916" s="7"/>
      <c r="RID916" s="7"/>
      <c r="RIE916" s="7"/>
      <c r="RIF916" s="7"/>
      <c r="RIG916" s="7"/>
      <c r="RIH916" s="7"/>
      <c r="RII916" s="7"/>
      <c r="RIJ916" s="7"/>
      <c r="RIK916" s="7"/>
      <c r="RIL916" s="7"/>
      <c r="RIM916" s="7"/>
      <c r="RIN916" s="7"/>
      <c r="RIO916" s="7"/>
      <c r="RIP916" s="7"/>
      <c r="RIQ916" s="7"/>
      <c r="RIR916" s="7"/>
      <c r="RIS916" s="7"/>
      <c r="RIT916" s="7"/>
      <c r="RIU916" s="7"/>
      <c r="RIV916" s="7"/>
      <c r="RIW916" s="7"/>
      <c r="RIX916" s="7"/>
      <c r="RIY916" s="7"/>
      <c r="RIZ916" s="7"/>
      <c r="RJA916" s="7"/>
      <c r="RJB916" s="7"/>
      <c r="RJC916" s="7"/>
      <c r="RJD916" s="7"/>
      <c r="RJE916" s="7"/>
      <c r="RJF916" s="7"/>
      <c r="RJG916" s="7"/>
      <c r="RJH916" s="7"/>
      <c r="RJI916" s="7"/>
      <c r="RJJ916" s="7"/>
      <c r="RJK916" s="7"/>
      <c r="RJL916" s="7"/>
      <c r="RJM916" s="7"/>
      <c r="RJN916" s="7"/>
      <c r="RJO916" s="7"/>
      <c r="RJP916" s="7"/>
      <c r="RJQ916" s="7"/>
      <c r="RJR916" s="7"/>
      <c r="RJS916" s="7"/>
      <c r="RJT916" s="7"/>
      <c r="RJU916" s="7"/>
      <c r="RJV916" s="7"/>
      <c r="RJW916" s="7"/>
      <c r="RJX916" s="7"/>
      <c r="RJY916" s="7"/>
      <c r="RJZ916" s="7"/>
      <c r="RKA916" s="7"/>
      <c r="RKB916" s="7"/>
      <c r="RKC916" s="7"/>
      <c r="RKD916" s="7"/>
      <c r="RKE916" s="7"/>
      <c r="RKF916" s="7"/>
      <c r="RKG916" s="7"/>
      <c r="RKH916" s="7"/>
      <c r="RKI916" s="7"/>
      <c r="RKJ916" s="7"/>
      <c r="RKK916" s="7"/>
      <c r="RKL916" s="7"/>
      <c r="RKM916" s="7"/>
      <c r="RKN916" s="7"/>
      <c r="RKO916" s="7"/>
      <c r="RKP916" s="7"/>
      <c r="RKQ916" s="7"/>
      <c r="RKR916" s="7"/>
      <c r="RKS916" s="7"/>
      <c r="RKT916" s="7"/>
      <c r="RKU916" s="7"/>
      <c r="RKV916" s="7"/>
      <c r="RKW916" s="7"/>
      <c r="RKX916" s="7"/>
      <c r="RKY916" s="7"/>
      <c r="RKZ916" s="7"/>
      <c r="RLA916" s="7"/>
      <c r="RLB916" s="7"/>
      <c r="RLC916" s="7"/>
      <c r="RLD916" s="7"/>
      <c r="RLE916" s="7"/>
      <c r="RLF916" s="7"/>
      <c r="RLG916" s="7"/>
      <c r="RLH916" s="7"/>
      <c r="RLI916" s="7"/>
      <c r="RLJ916" s="7"/>
      <c r="RLK916" s="7"/>
      <c r="RLL916" s="7"/>
      <c r="RLM916" s="7"/>
      <c r="RLN916" s="7"/>
      <c r="RLO916" s="7"/>
      <c r="RLP916" s="7"/>
      <c r="RLQ916" s="7"/>
      <c r="RLR916" s="7"/>
      <c r="RLS916" s="7"/>
      <c r="RLT916" s="7"/>
      <c r="RLU916" s="7"/>
      <c r="RLV916" s="7"/>
      <c r="RLW916" s="7"/>
      <c r="RLX916" s="7"/>
      <c r="RLY916" s="7"/>
      <c r="RLZ916" s="7"/>
      <c r="RMA916" s="7"/>
      <c r="RMB916" s="7"/>
      <c r="RMC916" s="7"/>
      <c r="RMD916" s="7"/>
      <c r="RME916" s="7"/>
      <c r="RMF916" s="7"/>
      <c r="RMG916" s="7"/>
      <c r="RMH916" s="7"/>
      <c r="RMI916" s="7"/>
      <c r="RMJ916" s="7"/>
      <c r="RMK916" s="7"/>
      <c r="RML916" s="7"/>
      <c r="RMM916" s="7"/>
      <c r="RMN916" s="7"/>
      <c r="RMO916" s="7"/>
      <c r="RMP916" s="7"/>
      <c r="RMQ916" s="7"/>
      <c r="RMR916" s="7"/>
      <c r="RMS916" s="7"/>
      <c r="RMT916" s="7"/>
      <c r="RMU916" s="7"/>
      <c r="RMV916" s="7"/>
      <c r="RMW916" s="7"/>
      <c r="RMX916" s="7"/>
      <c r="RMY916" s="7"/>
      <c r="RMZ916" s="7"/>
      <c r="RNA916" s="7"/>
      <c r="RNB916" s="7"/>
      <c r="RNC916" s="7"/>
      <c r="RND916" s="7"/>
      <c r="RNE916" s="7"/>
      <c r="RNF916" s="7"/>
      <c r="RNG916" s="7"/>
      <c r="RNH916" s="7"/>
      <c r="RNI916" s="7"/>
      <c r="RNJ916" s="7"/>
      <c r="RNK916" s="7"/>
      <c r="RNL916" s="7"/>
      <c r="RNM916" s="7"/>
      <c r="RNN916" s="7"/>
      <c r="RNO916" s="7"/>
      <c r="RNP916" s="7"/>
      <c r="RNQ916" s="7"/>
      <c r="RNR916" s="7"/>
      <c r="RNS916" s="7"/>
      <c r="RNT916" s="7"/>
      <c r="RNU916" s="7"/>
      <c r="RNV916" s="7"/>
      <c r="RNW916" s="7"/>
      <c r="RNX916" s="7"/>
      <c r="RNY916" s="7"/>
      <c r="RNZ916" s="7"/>
      <c r="ROA916" s="7"/>
      <c r="ROB916" s="7"/>
      <c r="ROC916" s="7"/>
      <c r="ROD916" s="7"/>
      <c r="ROE916" s="7"/>
      <c r="ROF916" s="7"/>
      <c r="ROG916" s="7"/>
      <c r="ROH916" s="7"/>
      <c r="ROI916" s="7"/>
      <c r="ROJ916" s="7"/>
      <c r="ROK916" s="7"/>
      <c r="ROL916" s="7"/>
      <c r="ROM916" s="7"/>
      <c r="RON916" s="7"/>
      <c r="ROO916" s="7"/>
      <c r="ROP916" s="7"/>
      <c r="ROQ916" s="7"/>
      <c r="ROR916" s="7"/>
      <c r="ROS916" s="7"/>
      <c r="ROT916" s="7"/>
      <c r="ROU916" s="7"/>
      <c r="ROV916" s="7"/>
      <c r="ROW916" s="7"/>
      <c r="ROX916" s="7"/>
      <c r="ROY916" s="7"/>
      <c r="ROZ916" s="7"/>
      <c r="RPA916" s="7"/>
      <c r="RPB916" s="7"/>
      <c r="RPC916" s="7"/>
      <c r="RPD916" s="7"/>
      <c r="RPE916" s="7"/>
      <c r="RPF916" s="7"/>
      <c r="RPG916" s="7"/>
      <c r="RPH916" s="7"/>
      <c r="RPI916" s="7"/>
      <c r="RPJ916" s="7"/>
      <c r="RPK916" s="7"/>
      <c r="RPL916" s="7"/>
      <c r="RPM916" s="7"/>
      <c r="RPN916" s="7"/>
      <c r="RPO916" s="7"/>
      <c r="RPP916" s="7"/>
      <c r="RPQ916" s="7"/>
      <c r="RPR916" s="7"/>
      <c r="RPS916" s="7"/>
      <c r="RPT916" s="7"/>
      <c r="RPU916" s="7"/>
      <c r="RPV916" s="7"/>
      <c r="RPW916" s="7"/>
      <c r="RPX916" s="7"/>
      <c r="RPY916" s="7"/>
      <c r="RPZ916" s="7"/>
      <c r="RQA916" s="7"/>
      <c r="RQB916" s="7"/>
      <c r="RQC916" s="7"/>
      <c r="RQD916" s="7"/>
      <c r="RQE916" s="7"/>
      <c r="RQF916" s="7"/>
      <c r="RQG916" s="7"/>
      <c r="RQH916" s="7"/>
      <c r="RQI916" s="7"/>
      <c r="RQJ916" s="7"/>
      <c r="RQK916" s="7"/>
      <c r="RQL916" s="7"/>
      <c r="RQM916" s="7"/>
      <c r="RQN916" s="7"/>
      <c r="RQO916" s="7"/>
      <c r="RQP916" s="7"/>
      <c r="RQQ916" s="7"/>
      <c r="RQR916" s="7"/>
      <c r="RQS916" s="7"/>
      <c r="RQT916" s="7"/>
      <c r="RQU916" s="7"/>
      <c r="RQV916" s="7"/>
      <c r="RQW916" s="7"/>
      <c r="RQX916" s="7"/>
      <c r="RQY916" s="7"/>
      <c r="RQZ916" s="7"/>
      <c r="RRA916" s="7"/>
      <c r="RRB916" s="7"/>
      <c r="RRC916" s="7"/>
      <c r="RRD916" s="7"/>
      <c r="RRE916" s="7"/>
      <c r="RRF916" s="7"/>
      <c r="RRG916" s="7"/>
      <c r="RRH916" s="7"/>
      <c r="RRI916" s="7"/>
      <c r="RRJ916" s="7"/>
      <c r="RRK916" s="7"/>
      <c r="RRL916" s="7"/>
      <c r="RRM916" s="7"/>
      <c r="RRN916" s="7"/>
      <c r="RRO916" s="7"/>
      <c r="RRP916" s="7"/>
      <c r="RRQ916" s="7"/>
      <c r="RRR916" s="7"/>
      <c r="RRS916" s="7"/>
      <c r="RRT916" s="7"/>
      <c r="RRU916" s="7"/>
      <c r="RRV916" s="7"/>
      <c r="RRW916" s="7"/>
      <c r="RRX916" s="7"/>
      <c r="RRY916" s="7"/>
      <c r="RRZ916" s="7"/>
      <c r="RSA916" s="7"/>
      <c r="RSB916" s="7"/>
      <c r="RSC916" s="7"/>
      <c r="RSD916" s="7"/>
      <c r="RSE916" s="7"/>
      <c r="RSF916" s="7"/>
      <c r="RSG916" s="7"/>
      <c r="RSH916" s="7"/>
      <c r="RSI916" s="7"/>
      <c r="RSJ916" s="7"/>
      <c r="RSK916" s="7"/>
      <c r="RSL916" s="7"/>
      <c r="RSM916" s="7"/>
      <c r="RSN916" s="7"/>
      <c r="RSO916" s="7"/>
      <c r="RSP916" s="7"/>
      <c r="RSQ916" s="7"/>
      <c r="RSR916" s="7"/>
      <c r="RSS916" s="7"/>
      <c r="RST916" s="7"/>
      <c r="RSU916" s="7"/>
      <c r="RSV916" s="7"/>
      <c r="RSW916" s="7"/>
      <c r="RSX916" s="7"/>
      <c r="RSY916" s="7"/>
      <c r="RSZ916" s="7"/>
      <c r="RTA916" s="7"/>
      <c r="RTB916" s="7"/>
      <c r="RTC916" s="7"/>
      <c r="RTD916" s="7"/>
      <c r="RTE916" s="7"/>
      <c r="RTF916" s="7"/>
      <c r="RTG916" s="7"/>
      <c r="RTH916" s="7"/>
      <c r="RTI916" s="7"/>
      <c r="RTJ916" s="7"/>
      <c r="RTK916" s="7"/>
      <c r="RTL916" s="7"/>
      <c r="RTM916" s="7"/>
      <c r="RTN916" s="7"/>
      <c r="RTO916" s="7"/>
      <c r="RTP916" s="7"/>
      <c r="RTQ916" s="7"/>
      <c r="RTR916" s="7"/>
      <c r="RTS916" s="7"/>
      <c r="RTT916" s="7"/>
      <c r="RTU916" s="7"/>
      <c r="RTV916" s="7"/>
      <c r="RTW916" s="7"/>
      <c r="RTX916" s="7"/>
      <c r="RTY916" s="7"/>
      <c r="RTZ916" s="7"/>
      <c r="RUA916" s="7"/>
      <c r="RUB916" s="7"/>
      <c r="RUC916" s="7"/>
      <c r="RUD916" s="7"/>
      <c r="RUE916" s="7"/>
      <c r="RUF916" s="7"/>
      <c r="RUG916" s="7"/>
      <c r="RUH916" s="7"/>
      <c r="RUI916" s="7"/>
      <c r="RUJ916" s="7"/>
      <c r="RUK916" s="7"/>
      <c r="RUL916" s="7"/>
      <c r="RUM916" s="7"/>
      <c r="RUN916" s="7"/>
      <c r="RUO916" s="7"/>
      <c r="RUP916" s="7"/>
      <c r="RUQ916" s="7"/>
      <c r="RUR916" s="7"/>
      <c r="RUS916" s="7"/>
      <c r="RUT916" s="7"/>
      <c r="RUU916" s="7"/>
      <c r="RUV916" s="7"/>
      <c r="RUW916" s="7"/>
      <c r="RUX916" s="7"/>
      <c r="RUY916" s="7"/>
      <c r="RUZ916" s="7"/>
      <c r="RVA916" s="7"/>
      <c r="RVB916" s="7"/>
      <c r="RVC916" s="7"/>
      <c r="RVD916" s="7"/>
      <c r="RVE916" s="7"/>
      <c r="RVF916" s="7"/>
      <c r="RVG916" s="7"/>
      <c r="RVH916" s="7"/>
      <c r="RVI916" s="7"/>
      <c r="RVJ916" s="7"/>
      <c r="RVK916" s="7"/>
      <c r="RVL916" s="7"/>
      <c r="RVM916" s="7"/>
      <c r="RVN916" s="7"/>
      <c r="RVO916" s="7"/>
      <c r="RVP916" s="7"/>
      <c r="RVQ916" s="7"/>
      <c r="RVR916" s="7"/>
      <c r="RVS916" s="7"/>
      <c r="RVT916" s="7"/>
      <c r="RVU916" s="7"/>
      <c r="RVV916" s="7"/>
      <c r="RVW916" s="7"/>
      <c r="RVX916" s="7"/>
      <c r="RVY916" s="7"/>
      <c r="RVZ916" s="7"/>
      <c r="RWA916" s="7"/>
      <c r="RWB916" s="7"/>
      <c r="RWC916" s="7"/>
      <c r="RWD916" s="7"/>
      <c r="RWE916" s="7"/>
      <c r="RWF916" s="7"/>
      <c r="RWG916" s="7"/>
      <c r="RWH916" s="7"/>
      <c r="RWI916" s="7"/>
      <c r="RWJ916" s="7"/>
      <c r="RWK916" s="7"/>
      <c r="RWL916" s="7"/>
      <c r="RWM916" s="7"/>
      <c r="RWN916" s="7"/>
      <c r="RWO916" s="7"/>
      <c r="RWP916" s="7"/>
      <c r="RWQ916" s="7"/>
      <c r="RWR916" s="7"/>
      <c r="RWS916" s="7"/>
      <c r="RWT916" s="7"/>
      <c r="RWU916" s="7"/>
      <c r="RWV916" s="7"/>
      <c r="RWW916" s="7"/>
      <c r="RWX916" s="7"/>
      <c r="RWY916" s="7"/>
      <c r="RWZ916" s="7"/>
      <c r="RXA916" s="7"/>
      <c r="RXB916" s="7"/>
      <c r="RXC916" s="7"/>
      <c r="RXD916" s="7"/>
      <c r="RXE916" s="7"/>
      <c r="RXF916" s="7"/>
      <c r="RXG916" s="7"/>
      <c r="RXH916" s="7"/>
      <c r="RXI916" s="7"/>
      <c r="RXJ916" s="7"/>
      <c r="RXK916" s="7"/>
      <c r="RXL916" s="7"/>
      <c r="RXM916" s="7"/>
      <c r="RXN916" s="7"/>
      <c r="RXO916" s="7"/>
      <c r="RXP916" s="7"/>
      <c r="RXQ916" s="7"/>
      <c r="RXR916" s="7"/>
      <c r="RXS916" s="7"/>
      <c r="RXT916" s="7"/>
      <c r="RXU916" s="7"/>
      <c r="RXV916" s="7"/>
      <c r="RXW916" s="7"/>
      <c r="RXX916" s="7"/>
      <c r="RXY916" s="7"/>
      <c r="RXZ916" s="7"/>
      <c r="RYA916" s="7"/>
      <c r="RYB916" s="7"/>
      <c r="RYC916" s="7"/>
      <c r="RYD916" s="7"/>
      <c r="RYE916" s="7"/>
      <c r="RYF916" s="7"/>
      <c r="RYG916" s="7"/>
      <c r="RYH916" s="7"/>
      <c r="RYI916" s="7"/>
      <c r="RYJ916" s="7"/>
      <c r="RYK916" s="7"/>
      <c r="RYL916" s="7"/>
      <c r="RYM916" s="7"/>
      <c r="RYN916" s="7"/>
      <c r="RYO916" s="7"/>
      <c r="RYP916" s="7"/>
      <c r="RYQ916" s="7"/>
      <c r="RYR916" s="7"/>
      <c r="RYS916" s="7"/>
      <c r="RYT916" s="7"/>
      <c r="RYU916" s="7"/>
      <c r="RYV916" s="7"/>
      <c r="RYW916" s="7"/>
      <c r="RYX916" s="7"/>
      <c r="RYY916" s="7"/>
      <c r="RYZ916" s="7"/>
      <c r="RZA916" s="7"/>
      <c r="RZB916" s="7"/>
      <c r="RZC916" s="7"/>
      <c r="RZD916" s="7"/>
      <c r="RZE916" s="7"/>
      <c r="RZF916" s="7"/>
      <c r="RZG916" s="7"/>
      <c r="RZH916" s="7"/>
      <c r="RZI916" s="7"/>
      <c r="RZJ916" s="7"/>
      <c r="RZK916" s="7"/>
      <c r="RZL916" s="7"/>
      <c r="RZM916" s="7"/>
      <c r="RZN916" s="7"/>
      <c r="RZO916" s="7"/>
      <c r="RZP916" s="7"/>
      <c r="RZQ916" s="7"/>
      <c r="RZR916" s="7"/>
      <c r="RZS916" s="7"/>
      <c r="RZT916" s="7"/>
      <c r="RZU916" s="7"/>
      <c r="RZV916" s="7"/>
      <c r="RZW916" s="7"/>
      <c r="RZX916" s="7"/>
      <c r="RZY916" s="7"/>
      <c r="RZZ916" s="7"/>
      <c r="SAA916" s="7"/>
      <c r="SAB916" s="7"/>
      <c r="SAC916" s="7"/>
      <c r="SAD916" s="7"/>
      <c r="SAE916" s="7"/>
      <c r="SAF916" s="7"/>
      <c r="SAG916" s="7"/>
      <c r="SAH916" s="7"/>
      <c r="SAI916" s="7"/>
      <c r="SAJ916" s="7"/>
      <c r="SAK916" s="7"/>
      <c r="SAL916" s="7"/>
      <c r="SAM916" s="7"/>
      <c r="SAN916" s="7"/>
      <c r="SAO916" s="7"/>
      <c r="SAP916" s="7"/>
      <c r="SAQ916" s="7"/>
      <c r="SAR916" s="7"/>
      <c r="SAS916" s="7"/>
      <c r="SAT916" s="7"/>
      <c r="SAU916" s="7"/>
      <c r="SAV916" s="7"/>
      <c r="SAW916" s="7"/>
      <c r="SAX916" s="7"/>
      <c r="SAY916" s="7"/>
      <c r="SAZ916" s="7"/>
      <c r="SBA916" s="7"/>
      <c r="SBB916" s="7"/>
      <c r="SBC916" s="7"/>
      <c r="SBD916" s="7"/>
      <c r="SBE916" s="7"/>
      <c r="SBF916" s="7"/>
      <c r="SBG916" s="7"/>
      <c r="SBH916" s="7"/>
      <c r="SBI916" s="7"/>
      <c r="SBJ916" s="7"/>
      <c r="SBK916" s="7"/>
      <c r="SBL916" s="7"/>
      <c r="SBM916" s="7"/>
      <c r="SBN916" s="7"/>
      <c r="SBO916" s="7"/>
      <c r="SBP916" s="7"/>
      <c r="SBQ916" s="7"/>
      <c r="SBR916" s="7"/>
      <c r="SBS916" s="7"/>
      <c r="SBT916" s="7"/>
      <c r="SBU916" s="7"/>
      <c r="SBV916" s="7"/>
      <c r="SBW916" s="7"/>
      <c r="SBX916" s="7"/>
      <c r="SBY916" s="7"/>
      <c r="SBZ916" s="7"/>
      <c r="SCA916" s="7"/>
      <c r="SCB916" s="7"/>
      <c r="SCC916" s="7"/>
      <c r="SCD916" s="7"/>
      <c r="SCE916" s="7"/>
      <c r="SCF916" s="7"/>
      <c r="SCG916" s="7"/>
      <c r="SCH916" s="7"/>
      <c r="SCI916" s="7"/>
      <c r="SCJ916" s="7"/>
      <c r="SCK916" s="7"/>
      <c r="SCL916" s="7"/>
      <c r="SCM916" s="7"/>
      <c r="SCN916" s="7"/>
      <c r="SCO916" s="7"/>
      <c r="SCP916" s="7"/>
      <c r="SCQ916" s="7"/>
      <c r="SCR916" s="7"/>
      <c r="SCS916" s="7"/>
      <c r="SCT916" s="7"/>
      <c r="SCU916" s="7"/>
      <c r="SCV916" s="7"/>
      <c r="SCW916" s="7"/>
      <c r="SCX916" s="7"/>
      <c r="SCY916" s="7"/>
      <c r="SCZ916" s="7"/>
      <c r="SDA916" s="7"/>
      <c r="SDB916" s="7"/>
      <c r="SDC916" s="7"/>
      <c r="SDD916" s="7"/>
      <c r="SDE916" s="7"/>
      <c r="SDF916" s="7"/>
      <c r="SDG916" s="7"/>
      <c r="SDH916" s="7"/>
      <c r="SDI916" s="7"/>
      <c r="SDJ916" s="7"/>
      <c r="SDK916" s="7"/>
      <c r="SDL916" s="7"/>
      <c r="SDM916" s="7"/>
      <c r="SDN916" s="7"/>
      <c r="SDO916" s="7"/>
      <c r="SDP916" s="7"/>
      <c r="SDQ916" s="7"/>
      <c r="SDR916" s="7"/>
      <c r="SDS916" s="7"/>
      <c r="SDT916" s="7"/>
      <c r="SDU916" s="7"/>
      <c r="SDV916" s="7"/>
      <c r="SDW916" s="7"/>
      <c r="SDX916" s="7"/>
      <c r="SDY916" s="7"/>
      <c r="SDZ916" s="7"/>
      <c r="SEA916" s="7"/>
      <c r="SEB916" s="7"/>
      <c r="SEC916" s="7"/>
      <c r="SED916" s="7"/>
      <c r="SEE916" s="7"/>
      <c r="SEF916" s="7"/>
      <c r="SEG916" s="7"/>
      <c r="SEH916" s="7"/>
      <c r="SEI916" s="7"/>
      <c r="SEJ916" s="7"/>
      <c r="SEK916" s="7"/>
      <c r="SEL916" s="7"/>
      <c r="SEM916" s="7"/>
      <c r="SEN916" s="7"/>
      <c r="SEO916" s="7"/>
      <c r="SEP916" s="7"/>
      <c r="SEQ916" s="7"/>
      <c r="SER916" s="7"/>
      <c r="SES916" s="7"/>
      <c r="SET916" s="7"/>
      <c r="SEU916" s="7"/>
      <c r="SEV916" s="7"/>
      <c r="SEW916" s="7"/>
      <c r="SEX916" s="7"/>
      <c r="SEY916" s="7"/>
      <c r="SEZ916" s="7"/>
      <c r="SFA916" s="7"/>
      <c r="SFB916" s="7"/>
      <c r="SFC916" s="7"/>
      <c r="SFD916" s="7"/>
      <c r="SFE916" s="7"/>
      <c r="SFF916" s="7"/>
      <c r="SFG916" s="7"/>
      <c r="SFH916" s="7"/>
      <c r="SFI916" s="7"/>
      <c r="SFJ916" s="7"/>
      <c r="SFK916" s="7"/>
      <c r="SFL916" s="7"/>
      <c r="SFM916" s="7"/>
      <c r="SFN916" s="7"/>
      <c r="SFO916" s="7"/>
      <c r="SFP916" s="7"/>
      <c r="SFQ916" s="7"/>
      <c r="SFR916" s="7"/>
      <c r="SFS916" s="7"/>
      <c r="SFT916" s="7"/>
      <c r="SFU916" s="7"/>
      <c r="SFV916" s="7"/>
      <c r="SFW916" s="7"/>
      <c r="SFX916" s="7"/>
      <c r="SFY916" s="7"/>
      <c r="SFZ916" s="7"/>
      <c r="SGA916" s="7"/>
      <c r="SGB916" s="7"/>
      <c r="SGC916" s="7"/>
      <c r="SGD916" s="7"/>
      <c r="SGE916" s="7"/>
      <c r="SGF916" s="7"/>
      <c r="SGG916" s="7"/>
      <c r="SGH916" s="7"/>
      <c r="SGI916" s="7"/>
      <c r="SGJ916" s="7"/>
      <c r="SGK916" s="7"/>
      <c r="SGL916" s="7"/>
      <c r="SGM916" s="7"/>
      <c r="SGN916" s="7"/>
      <c r="SGO916" s="7"/>
      <c r="SGP916" s="7"/>
      <c r="SGQ916" s="7"/>
      <c r="SGR916" s="7"/>
      <c r="SGS916" s="7"/>
      <c r="SGT916" s="7"/>
      <c r="SGU916" s="7"/>
      <c r="SGV916" s="7"/>
      <c r="SGW916" s="7"/>
      <c r="SGX916" s="7"/>
      <c r="SGY916" s="7"/>
      <c r="SGZ916" s="7"/>
      <c r="SHA916" s="7"/>
      <c r="SHB916" s="7"/>
      <c r="SHC916" s="7"/>
      <c r="SHD916" s="7"/>
      <c r="SHE916" s="7"/>
      <c r="SHF916" s="7"/>
      <c r="SHG916" s="7"/>
      <c r="SHH916" s="7"/>
      <c r="SHI916" s="7"/>
      <c r="SHJ916" s="7"/>
      <c r="SHK916" s="7"/>
      <c r="SHL916" s="7"/>
      <c r="SHM916" s="7"/>
      <c r="SHN916" s="7"/>
      <c r="SHO916" s="7"/>
      <c r="SHP916" s="7"/>
      <c r="SHQ916" s="7"/>
      <c r="SHR916" s="7"/>
      <c r="SHS916" s="7"/>
      <c r="SHT916" s="7"/>
      <c r="SHU916" s="7"/>
      <c r="SHV916" s="7"/>
      <c r="SHW916" s="7"/>
      <c r="SHX916" s="7"/>
      <c r="SHY916" s="7"/>
      <c r="SHZ916" s="7"/>
      <c r="SIA916" s="7"/>
      <c r="SIB916" s="7"/>
      <c r="SIC916" s="7"/>
      <c r="SID916" s="7"/>
      <c r="SIE916" s="7"/>
      <c r="SIF916" s="7"/>
      <c r="SIG916" s="7"/>
      <c r="SIH916" s="7"/>
      <c r="SII916" s="7"/>
      <c r="SIJ916" s="7"/>
      <c r="SIK916" s="7"/>
      <c r="SIL916" s="7"/>
      <c r="SIM916" s="7"/>
      <c r="SIN916" s="7"/>
      <c r="SIO916" s="7"/>
      <c r="SIP916" s="7"/>
      <c r="SIQ916" s="7"/>
      <c r="SIR916" s="7"/>
      <c r="SIS916" s="7"/>
      <c r="SIT916" s="7"/>
      <c r="SIU916" s="7"/>
      <c r="SIV916" s="7"/>
      <c r="SIW916" s="7"/>
      <c r="SIX916" s="7"/>
      <c r="SIY916" s="7"/>
      <c r="SIZ916" s="7"/>
      <c r="SJA916" s="7"/>
      <c r="SJB916" s="7"/>
      <c r="SJC916" s="7"/>
      <c r="SJD916" s="7"/>
      <c r="SJE916" s="7"/>
      <c r="SJF916" s="7"/>
      <c r="SJG916" s="7"/>
      <c r="SJH916" s="7"/>
      <c r="SJI916" s="7"/>
      <c r="SJJ916" s="7"/>
      <c r="SJK916" s="7"/>
      <c r="SJL916" s="7"/>
      <c r="SJM916" s="7"/>
      <c r="SJN916" s="7"/>
      <c r="SJO916" s="7"/>
      <c r="SJP916" s="7"/>
      <c r="SJQ916" s="7"/>
      <c r="SJR916" s="7"/>
      <c r="SJS916" s="7"/>
      <c r="SJT916" s="7"/>
      <c r="SJU916" s="7"/>
      <c r="SJV916" s="7"/>
      <c r="SJW916" s="7"/>
      <c r="SJX916" s="7"/>
      <c r="SJY916" s="7"/>
      <c r="SJZ916" s="7"/>
      <c r="SKA916" s="7"/>
      <c r="SKB916" s="7"/>
      <c r="SKC916" s="7"/>
      <c r="SKD916" s="7"/>
      <c r="SKE916" s="7"/>
      <c r="SKF916" s="7"/>
      <c r="SKG916" s="7"/>
      <c r="SKH916" s="7"/>
      <c r="SKI916" s="7"/>
      <c r="SKJ916" s="7"/>
      <c r="SKK916" s="7"/>
      <c r="SKL916" s="7"/>
      <c r="SKM916" s="7"/>
      <c r="SKN916" s="7"/>
      <c r="SKO916" s="7"/>
      <c r="SKP916" s="7"/>
      <c r="SKQ916" s="7"/>
      <c r="SKR916" s="7"/>
      <c r="SKS916" s="7"/>
      <c r="SKT916" s="7"/>
      <c r="SKU916" s="7"/>
      <c r="SKV916" s="7"/>
      <c r="SKW916" s="7"/>
      <c r="SKX916" s="7"/>
      <c r="SKY916" s="7"/>
      <c r="SKZ916" s="7"/>
      <c r="SLA916" s="7"/>
      <c r="SLB916" s="7"/>
      <c r="SLC916" s="7"/>
      <c r="SLD916" s="7"/>
      <c r="SLE916" s="7"/>
      <c r="SLF916" s="7"/>
      <c r="SLG916" s="7"/>
      <c r="SLH916" s="7"/>
      <c r="SLI916" s="7"/>
      <c r="SLJ916" s="7"/>
      <c r="SLK916" s="7"/>
      <c r="SLL916" s="7"/>
      <c r="SLM916" s="7"/>
      <c r="SLN916" s="7"/>
      <c r="SLO916" s="7"/>
      <c r="SLP916" s="7"/>
      <c r="SLQ916" s="7"/>
      <c r="SLR916" s="7"/>
      <c r="SLS916" s="7"/>
      <c r="SLT916" s="7"/>
      <c r="SLU916" s="7"/>
      <c r="SLV916" s="7"/>
      <c r="SLW916" s="7"/>
      <c r="SLX916" s="7"/>
      <c r="SLY916" s="7"/>
      <c r="SLZ916" s="7"/>
      <c r="SMA916" s="7"/>
      <c r="SMB916" s="7"/>
      <c r="SMC916" s="7"/>
      <c r="SMD916" s="7"/>
      <c r="SME916" s="7"/>
      <c r="SMF916" s="7"/>
      <c r="SMG916" s="7"/>
      <c r="SMH916" s="7"/>
      <c r="SMI916" s="7"/>
      <c r="SMJ916" s="7"/>
      <c r="SMK916" s="7"/>
      <c r="SML916" s="7"/>
      <c r="SMM916" s="7"/>
      <c r="SMN916" s="7"/>
      <c r="SMO916" s="7"/>
      <c r="SMP916" s="7"/>
      <c r="SMQ916" s="7"/>
      <c r="SMR916" s="7"/>
      <c r="SMS916" s="7"/>
      <c r="SMT916" s="7"/>
      <c r="SMU916" s="7"/>
      <c r="SMV916" s="7"/>
      <c r="SMW916" s="7"/>
      <c r="SMX916" s="7"/>
      <c r="SMY916" s="7"/>
      <c r="SMZ916" s="7"/>
      <c r="SNA916" s="7"/>
      <c r="SNB916" s="7"/>
      <c r="SNC916" s="7"/>
      <c r="SND916" s="7"/>
      <c r="SNE916" s="7"/>
      <c r="SNF916" s="7"/>
      <c r="SNG916" s="7"/>
      <c r="SNH916" s="7"/>
      <c r="SNI916" s="7"/>
      <c r="SNJ916" s="7"/>
      <c r="SNK916" s="7"/>
      <c r="SNL916" s="7"/>
      <c r="SNM916" s="7"/>
      <c r="SNN916" s="7"/>
      <c r="SNO916" s="7"/>
      <c r="SNP916" s="7"/>
      <c r="SNQ916" s="7"/>
      <c r="SNR916" s="7"/>
      <c r="SNS916" s="7"/>
      <c r="SNT916" s="7"/>
      <c r="SNU916" s="7"/>
      <c r="SNV916" s="7"/>
      <c r="SNW916" s="7"/>
      <c r="SNX916" s="7"/>
      <c r="SNY916" s="7"/>
      <c r="SNZ916" s="7"/>
      <c r="SOA916" s="7"/>
      <c r="SOB916" s="7"/>
      <c r="SOC916" s="7"/>
      <c r="SOD916" s="7"/>
      <c r="SOE916" s="7"/>
      <c r="SOF916" s="7"/>
      <c r="SOG916" s="7"/>
      <c r="SOH916" s="7"/>
      <c r="SOI916" s="7"/>
      <c r="SOJ916" s="7"/>
      <c r="SOK916" s="7"/>
      <c r="SOL916" s="7"/>
      <c r="SOM916" s="7"/>
      <c r="SON916" s="7"/>
      <c r="SOO916" s="7"/>
      <c r="SOP916" s="7"/>
      <c r="SOQ916" s="7"/>
      <c r="SOR916" s="7"/>
      <c r="SOS916" s="7"/>
      <c r="SOT916" s="7"/>
      <c r="SOU916" s="7"/>
      <c r="SOV916" s="7"/>
      <c r="SOW916" s="7"/>
      <c r="SOX916" s="7"/>
      <c r="SOY916" s="7"/>
      <c r="SOZ916" s="7"/>
      <c r="SPA916" s="7"/>
      <c r="SPB916" s="7"/>
      <c r="SPC916" s="7"/>
      <c r="SPD916" s="7"/>
      <c r="SPE916" s="7"/>
      <c r="SPF916" s="7"/>
      <c r="SPG916" s="7"/>
      <c r="SPH916" s="7"/>
      <c r="SPI916" s="7"/>
      <c r="SPJ916" s="7"/>
      <c r="SPK916" s="7"/>
      <c r="SPL916" s="7"/>
      <c r="SPM916" s="7"/>
      <c r="SPN916" s="7"/>
      <c r="SPO916" s="7"/>
      <c r="SPP916" s="7"/>
      <c r="SPQ916" s="7"/>
      <c r="SPR916" s="7"/>
      <c r="SPS916" s="7"/>
      <c r="SPT916" s="7"/>
      <c r="SPU916" s="7"/>
      <c r="SPV916" s="7"/>
      <c r="SPW916" s="7"/>
      <c r="SPX916" s="7"/>
      <c r="SPY916" s="7"/>
      <c r="SPZ916" s="7"/>
      <c r="SQA916" s="7"/>
      <c r="SQB916" s="7"/>
      <c r="SQC916" s="7"/>
      <c r="SQD916" s="7"/>
      <c r="SQE916" s="7"/>
      <c r="SQF916" s="7"/>
      <c r="SQG916" s="7"/>
      <c r="SQH916" s="7"/>
      <c r="SQI916" s="7"/>
      <c r="SQJ916" s="7"/>
      <c r="SQK916" s="7"/>
      <c r="SQL916" s="7"/>
      <c r="SQM916" s="7"/>
      <c r="SQN916" s="7"/>
      <c r="SQO916" s="7"/>
      <c r="SQP916" s="7"/>
      <c r="SQQ916" s="7"/>
      <c r="SQR916" s="7"/>
      <c r="SQS916" s="7"/>
      <c r="SQT916" s="7"/>
      <c r="SQU916" s="7"/>
      <c r="SQV916" s="7"/>
      <c r="SQW916" s="7"/>
      <c r="SQX916" s="7"/>
      <c r="SQY916" s="7"/>
      <c r="SQZ916" s="7"/>
      <c r="SRA916" s="7"/>
      <c r="SRB916" s="7"/>
      <c r="SRC916" s="7"/>
      <c r="SRD916" s="7"/>
      <c r="SRE916" s="7"/>
      <c r="SRF916" s="7"/>
      <c r="SRG916" s="7"/>
      <c r="SRH916" s="7"/>
      <c r="SRI916" s="7"/>
      <c r="SRJ916" s="7"/>
      <c r="SRK916" s="7"/>
      <c r="SRL916" s="7"/>
      <c r="SRM916" s="7"/>
      <c r="SRN916" s="7"/>
      <c r="SRO916" s="7"/>
      <c r="SRP916" s="7"/>
      <c r="SRQ916" s="7"/>
      <c r="SRR916" s="7"/>
      <c r="SRS916" s="7"/>
      <c r="SRT916" s="7"/>
      <c r="SRU916" s="7"/>
      <c r="SRV916" s="7"/>
      <c r="SRW916" s="7"/>
      <c r="SRX916" s="7"/>
      <c r="SRY916" s="7"/>
      <c r="SRZ916" s="7"/>
      <c r="SSA916" s="7"/>
      <c r="SSB916" s="7"/>
      <c r="SSC916" s="7"/>
      <c r="SSD916" s="7"/>
      <c r="SSE916" s="7"/>
      <c r="SSF916" s="7"/>
      <c r="SSG916" s="7"/>
      <c r="SSH916" s="7"/>
      <c r="SSI916" s="7"/>
      <c r="SSJ916" s="7"/>
      <c r="SSK916" s="7"/>
      <c r="SSL916" s="7"/>
      <c r="SSM916" s="7"/>
      <c r="SSN916" s="7"/>
      <c r="SSO916" s="7"/>
      <c r="SSP916" s="7"/>
      <c r="SSQ916" s="7"/>
      <c r="SSR916" s="7"/>
      <c r="SSS916" s="7"/>
      <c r="SST916" s="7"/>
      <c r="SSU916" s="7"/>
      <c r="SSV916" s="7"/>
      <c r="SSW916" s="7"/>
      <c r="SSX916" s="7"/>
      <c r="SSY916" s="7"/>
      <c r="SSZ916" s="7"/>
      <c r="STA916" s="7"/>
      <c r="STB916" s="7"/>
      <c r="STC916" s="7"/>
      <c r="STD916" s="7"/>
      <c r="STE916" s="7"/>
      <c r="STF916" s="7"/>
      <c r="STG916" s="7"/>
      <c r="STH916" s="7"/>
      <c r="STI916" s="7"/>
      <c r="STJ916" s="7"/>
      <c r="STK916" s="7"/>
      <c r="STL916" s="7"/>
      <c r="STM916" s="7"/>
      <c r="STN916" s="7"/>
      <c r="STO916" s="7"/>
      <c r="STP916" s="7"/>
      <c r="STQ916" s="7"/>
      <c r="STR916" s="7"/>
      <c r="STS916" s="7"/>
      <c r="STT916" s="7"/>
      <c r="STU916" s="7"/>
      <c r="STV916" s="7"/>
      <c r="STW916" s="7"/>
      <c r="STX916" s="7"/>
      <c r="STY916" s="7"/>
      <c r="STZ916" s="7"/>
      <c r="SUA916" s="7"/>
      <c r="SUB916" s="7"/>
      <c r="SUC916" s="7"/>
      <c r="SUD916" s="7"/>
      <c r="SUE916" s="7"/>
      <c r="SUF916" s="7"/>
      <c r="SUG916" s="7"/>
      <c r="SUH916" s="7"/>
      <c r="SUI916" s="7"/>
      <c r="SUJ916" s="7"/>
      <c r="SUK916" s="7"/>
      <c r="SUL916" s="7"/>
      <c r="SUM916" s="7"/>
      <c r="SUN916" s="7"/>
      <c r="SUO916" s="7"/>
      <c r="SUP916" s="7"/>
      <c r="SUQ916" s="7"/>
      <c r="SUR916" s="7"/>
      <c r="SUS916" s="7"/>
      <c r="SUT916" s="7"/>
      <c r="SUU916" s="7"/>
      <c r="SUV916" s="7"/>
      <c r="SUW916" s="7"/>
      <c r="SUX916" s="7"/>
      <c r="SUY916" s="7"/>
      <c r="SUZ916" s="7"/>
      <c r="SVA916" s="7"/>
      <c r="SVB916" s="7"/>
      <c r="SVC916" s="7"/>
      <c r="SVD916" s="7"/>
      <c r="SVE916" s="7"/>
      <c r="SVF916" s="7"/>
      <c r="SVG916" s="7"/>
      <c r="SVH916" s="7"/>
      <c r="SVI916" s="7"/>
      <c r="SVJ916" s="7"/>
      <c r="SVK916" s="7"/>
      <c r="SVL916" s="7"/>
      <c r="SVM916" s="7"/>
      <c r="SVN916" s="7"/>
      <c r="SVO916" s="7"/>
      <c r="SVP916" s="7"/>
      <c r="SVQ916" s="7"/>
      <c r="SVR916" s="7"/>
      <c r="SVS916" s="7"/>
      <c r="SVT916" s="7"/>
      <c r="SVU916" s="7"/>
      <c r="SVV916" s="7"/>
      <c r="SVW916" s="7"/>
      <c r="SVX916" s="7"/>
      <c r="SVY916" s="7"/>
      <c r="SVZ916" s="7"/>
      <c r="SWA916" s="7"/>
      <c r="SWB916" s="7"/>
      <c r="SWC916" s="7"/>
      <c r="SWD916" s="7"/>
      <c r="SWE916" s="7"/>
      <c r="SWF916" s="7"/>
      <c r="SWG916" s="7"/>
      <c r="SWH916" s="7"/>
      <c r="SWI916" s="7"/>
      <c r="SWJ916" s="7"/>
      <c r="SWK916" s="7"/>
      <c r="SWL916" s="7"/>
      <c r="SWM916" s="7"/>
      <c r="SWN916" s="7"/>
      <c r="SWO916" s="7"/>
      <c r="SWP916" s="7"/>
      <c r="SWQ916" s="7"/>
      <c r="SWR916" s="7"/>
      <c r="SWS916" s="7"/>
      <c r="SWT916" s="7"/>
      <c r="SWU916" s="7"/>
      <c r="SWV916" s="7"/>
      <c r="SWW916" s="7"/>
      <c r="SWX916" s="7"/>
      <c r="SWY916" s="7"/>
      <c r="SWZ916" s="7"/>
      <c r="SXA916" s="7"/>
      <c r="SXB916" s="7"/>
      <c r="SXC916" s="7"/>
      <c r="SXD916" s="7"/>
      <c r="SXE916" s="7"/>
      <c r="SXF916" s="7"/>
      <c r="SXG916" s="7"/>
      <c r="SXH916" s="7"/>
      <c r="SXI916" s="7"/>
      <c r="SXJ916" s="7"/>
      <c r="SXK916" s="7"/>
      <c r="SXL916" s="7"/>
      <c r="SXM916" s="7"/>
      <c r="SXN916" s="7"/>
      <c r="SXO916" s="7"/>
      <c r="SXP916" s="7"/>
      <c r="SXQ916" s="7"/>
      <c r="SXR916" s="7"/>
      <c r="SXS916" s="7"/>
      <c r="SXT916" s="7"/>
      <c r="SXU916" s="7"/>
      <c r="SXV916" s="7"/>
      <c r="SXW916" s="7"/>
      <c r="SXX916" s="7"/>
      <c r="SXY916" s="7"/>
      <c r="SXZ916" s="7"/>
      <c r="SYA916" s="7"/>
      <c r="SYB916" s="7"/>
      <c r="SYC916" s="7"/>
      <c r="SYD916" s="7"/>
      <c r="SYE916" s="7"/>
      <c r="SYF916" s="7"/>
      <c r="SYG916" s="7"/>
      <c r="SYH916" s="7"/>
      <c r="SYI916" s="7"/>
      <c r="SYJ916" s="7"/>
      <c r="SYK916" s="7"/>
      <c r="SYL916" s="7"/>
      <c r="SYM916" s="7"/>
      <c r="SYN916" s="7"/>
      <c r="SYO916" s="7"/>
      <c r="SYP916" s="7"/>
      <c r="SYQ916" s="7"/>
      <c r="SYR916" s="7"/>
      <c r="SYS916" s="7"/>
      <c r="SYT916" s="7"/>
      <c r="SYU916" s="7"/>
      <c r="SYV916" s="7"/>
      <c r="SYW916" s="7"/>
      <c r="SYX916" s="7"/>
      <c r="SYY916" s="7"/>
      <c r="SYZ916" s="7"/>
      <c r="SZA916" s="7"/>
      <c r="SZB916" s="7"/>
      <c r="SZC916" s="7"/>
      <c r="SZD916" s="7"/>
      <c r="SZE916" s="7"/>
      <c r="SZF916" s="7"/>
      <c r="SZG916" s="7"/>
      <c r="SZH916" s="7"/>
      <c r="SZI916" s="7"/>
      <c r="SZJ916" s="7"/>
      <c r="SZK916" s="7"/>
      <c r="SZL916" s="7"/>
      <c r="SZM916" s="7"/>
      <c r="SZN916" s="7"/>
      <c r="SZO916" s="7"/>
      <c r="SZP916" s="7"/>
      <c r="SZQ916" s="7"/>
      <c r="SZR916" s="7"/>
      <c r="SZS916" s="7"/>
      <c r="SZT916" s="7"/>
      <c r="SZU916" s="7"/>
      <c r="SZV916" s="7"/>
      <c r="SZW916" s="7"/>
      <c r="SZX916" s="7"/>
      <c r="SZY916" s="7"/>
      <c r="SZZ916" s="7"/>
      <c r="TAA916" s="7"/>
      <c r="TAB916" s="7"/>
      <c r="TAC916" s="7"/>
      <c r="TAD916" s="7"/>
      <c r="TAE916" s="7"/>
      <c r="TAF916" s="7"/>
      <c r="TAG916" s="7"/>
      <c r="TAH916" s="7"/>
      <c r="TAI916" s="7"/>
      <c r="TAJ916" s="7"/>
      <c r="TAK916" s="7"/>
      <c r="TAL916" s="7"/>
      <c r="TAM916" s="7"/>
      <c r="TAN916" s="7"/>
      <c r="TAO916" s="7"/>
      <c r="TAP916" s="7"/>
      <c r="TAQ916" s="7"/>
      <c r="TAR916" s="7"/>
      <c r="TAS916" s="7"/>
      <c r="TAT916" s="7"/>
      <c r="TAU916" s="7"/>
      <c r="TAV916" s="7"/>
      <c r="TAW916" s="7"/>
      <c r="TAX916" s="7"/>
      <c r="TAY916" s="7"/>
      <c r="TAZ916" s="7"/>
      <c r="TBA916" s="7"/>
      <c r="TBB916" s="7"/>
      <c r="TBC916" s="7"/>
      <c r="TBD916" s="7"/>
      <c r="TBE916" s="7"/>
      <c r="TBF916" s="7"/>
      <c r="TBG916" s="7"/>
      <c r="TBH916" s="7"/>
      <c r="TBI916" s="7"/>
      <c r="TBJ916" s="7"/>
      <c r="TBK916" s="7"/>
      <c r="TBL916" s="7"/>
      <c r="TBM916" s="7"/>
      <c r="TBN916" s="7"/>
      <c r="TBO916" s="7"/>
      <c r="TBP916" s="7"/>
      <c r="TBQ916" s="7"/>
      <c r="TBR916" s="7"/>
      <c r="TBS916" s="7"/>
      <c r="TBT916" s="7"/>
      <c r="TBU916" s="7"/>
      <c r="TBV916" s="7"/>
      <c r="TBW916" s="7"/>
      <c r="TBX916" s="7"/>
      <c r="TBY916" s="7"/>
      <c r="TBZ916" s="7"/>
      <c r="TCA916" s="7"/>
      <c r="TCB916" s="7"/>
      <c r="TCC916" s="7"/>
      <c r="TCD916" s="7"/>
      <c r="TCE916" s="7"/>
      <c r="TCF916" s="7"/>
      <c r="TCG916" s="7"/>
      <c r="TCH916" s="7"/>
      <c r="TCI916" s="7"/>
      <c r="TCJ916" s="7"/>
      <c r="TCK916" s="7"/>
      <c r="TCL916" s="7"/>
      <c r="TCM916" s="7"/>
      <c r="TCN916" s="7"/>
      <c r="TCO916" s="7"/>
      <c r="TCP916" s="7"/>
      <c r="TCQ916" s="7"/>
      <c r="TCR916" s="7"/>
      <c r="TCS916" s="7"/>
      <c r="TCT916" s="7"/>
      <c r="TCU916" s="7"/>
      <c r="TCV916" s="7"/>
      <c r="TCW916" s="7"/>
      <c r="TCX916" s="7"/>
      <c r="TCY916" s="7"/>
      <c r="TCZ916" s="7"/>
      <c r="TDA916" s="7"/>
      <c r="TDB916" s="7"/>
      <c r="TDC916" s="7"/>
      <c r="TDD916" s="7"/>
      <c r="TDE916" s="7"/>
      <c r="TDF916" s="7"/>
      <c r="TDG916" s="7"/>
      <c r="TDH916" s="7"/>
      <c r="TDI916" s="7"/>
      <c r="TDJ916" s="7"/>
      <c r="TDK916" s="7"/>
      <c r="TDL916" s="7"/>
      <c r="TDM916" s="7"/>
      <c r="TDN916" s="7"/>
      <c r="TDO916" s="7"/>
      <c r="TDP916" s="7"/>
      <c r="TDQ916" s="7"/>
      <c r="TDR916" s="7"/>
      <c r="TDS916" s="7"/>
      <c r="TDT916" s="7"/>
      <c r="TDU916" s="7"/>
      <c r="TDV916" s="7"/>
      <c r="TDW916" s="7"/>
      <c r="TDX916" s="7"/>
      <c r="TDY916" s="7"/>
      <c r="TDZ916" s="7"/>
      <c r="TEA916" s="7"/>
      <c r="TEB916" s="7"/>
      <c r="TEC916" s="7"/>
      <c r="TED916" s="7"/>
      <c r="TEE916" s="7"/>
      <c r="TEF916" s="7"/>
      <c r="TEG916" s="7"/>
      <c r="TEH916" s="7"/>
      <c r="TEI916" s="7"/>
      <c r="TEJ916" s="7"/>
      <c r="TEK916" s="7"/>
      <c r="TEL916" s="7"/>
      <c r="TEM916" s="7"/>
      <c r="TEN916" s="7"/>
      <c r="TEO916" s="7"/>
      <c r="TEP916" s="7"/>
      <c r="TEQ916" s="7"/>
      <c r="TER916" s="7"/>
      <c r="TES916" s="7"/>
      <c r="TET916" s="7"/>
      <c r="TEU916" s="7"/>
      <c r="TEV916" s="7"/>
      <c r="TEW916" s="7"/>
      <c r="TEX916" s="7"/>
      <c r="TEY916" s="7"/>
      <c r="TEZ916" s="7"/>
      <c r="TFA916" s="7"/>
      <c r="TFB916" s="7"/>
      <c r="TFC916" s="7"/>
      <c r="TFD916" s="7"/>
      <c r="TFE916" s="7"/>
      <c r="TFF916" s="7"/>
      <c r="TFG916" s="7"/>
      <c r="TFH916" s="7"/>
      <c r="TFI916" s="7"/>
      <c r="TFJ916" s="7"/>
      <c r="TFK916" s="7"/>
      <c r="TFL916" s="7"/>
      <c r="TFM916" s="7"/>
      <c r="TFN916" s="7"/>
      <c r="TFO916" s="7"/>
      <c r="TFP916" s="7"/>
      <c r="TFQ916" s="7"/>
      <c r="TFR916" s="7"/>
      <c r="TFS916" s="7"/>
      <c r="TFT916" s="7"/>
      <c r="TFU916" s="7"/>
      <c r="TFV916" s="7"/>
      <c r="TFW916" s="7"/>
      <c r="TFX916" s="7"/>
      <c r="TFY916" s="7"/>
      <c r="TFZ916" s="7"/>
      <c r="TGA916" s="7"/>
      <c r="TGB916" s="7"/>
      <c r="TGC916" s="7"/>
      <c r="TGD916" s="7"/>
      <c r="TGE916" s="7"/>
      <c r="TGF916" s="7"/>
      <c r="TGG916" s="7"/>
      <c r="TGH916" s="7"/>
      <c r="TGI916" s="7"/>
      <c r="TGJ916" s="7"/>
      <c r="TGK916" s="7"/>
      <c r="TGL916" s="7"/>
      <c r="TGM916" s="7"/>
      <c r="TGN916" s="7"/>
      <c r="TGO916" s="7"/>
      <c r="TGP916" s="7"/>
      <c r="TGQ916" s="7"/>
      <c r="TGR916" s="7"/>
      <c r="TGS916" s="7"/>
      <c r="TGT916" s="7"/>
      <c r="TGU916" s="7"/>
      <c r="TGV916" s="7"/>
      <c r="TGW916" s="7"/>
      <c r="TGX916" s="7"/>
      <c r="TGY916" s="7"/>
      <c r="TGZ916" s="7"/>
      <c r="THA916" s="7"/>
      <c r="THB916" s="7"/>
      <c r="THC916" s="7"/>
      <c r="THD916" s="7"/>
      <c r="THE916" s="7"/>
      <c r="THF916" s="7"/>
      <c r="THG916" s="7"/>
      <c r="THH916" s="7"/>
      <c r="THI916" s="7"/>
      <c r="THJ916" s="7"/>
      <c r="THK916" s="7"/>
      <c r="THL916" s="7"/>
      <c r="THM916" s="7"/>
      <c r="THN916" s="7"/>
      <c r="THO916" s="7"/>
      <c r="THP916" s="7"/>
      <c r="THQ916" s="7"/>
      <c r="THR916" s="7"/>
      <c r="THS916" s="7"/>
      <c r="THT916" s="7"/>
      <c r="THU916" s="7"/>
      <c r="THV916" s="7"/>
      <c r="THW916" s="7"/>
      <c r="THX916" s="7"/>
      <c r="THY916" s="7"/>
      <c r="THZ916" s="7"/>
      <c r="TIA916" s="7"/>
      <c r="TIB916" s="7"/>
      <c r="TIC916" s="7"/>
      <c r="TID916" s="7"/>
      <c r="TIE916" s="7"/>
      <c r="TIF916" s="7"/>
      <c r="TIG916" s="7"/>
      <c r="TIH916" s="7"/>
      <c r="TII916" s="7"/>
      <c r="TIJ916" s="7"/>
      <c r="TIK916" s="7"/>
      <c r="TIL916" s="7"/>
      <c r="TIM916" s="7"/>
      <c r="TIN916" s="7"/>
      <c r="TIO916" s="7"/>
      <c r="TIP916" s="7"/>
      <c r="TIQ916" s="7"/>
      <c r="TIR916" s="7"/>
      <c r="TIS916" s="7"/>
      <c r="TIT916" s="7"/>
      <c r="TIU916" s="7"/>
      <c r="TIV916" s="7"/>
      <c r="TIW916" s="7"/>
      <c r="TIX916" s="7"/>
      <c r="TIY916" s="7"/>
      <c r="TIZ916" s="7"/>
      <c r="TJA916" s="7"/>
      <c r="TJB916" s="7"/>
      <c r="TJC916" s="7"/>
      <c r="TJD916" s="7"/>
      <c r="TJE916" s="7"/>
      <c r="TJF916" s="7"/>
      <c r="TJG916" s="7"/>
      <c r="TJH916" s="7"/>
      <c r="TJI916" s="7"/>
      <c r="TJJ916" s="7"/>
      <c r="TJK916" s="7"/>
      <c r="TJL916" s="7"/>
      <c r="TJM916" s="7"/>
      <c r="TJN916" s="7"/>
      <c r="TJO916" s="7"/>
      <c r="TJP916" s="7"/>
      <c r="TJQ916" s="7"/>
      <c r="TJR916" s="7"/>
      <c r="TJS916" s="7"/>
      <c r="TJT916" s="7"/>
      <c r="TJU916" s="7"/>
      <c r="TJV916" s="7"/>
      <c r="TJW916" s="7"/>
      <c r="TJX916" s="7"/>
      <c r="TJY916" s="7"/>
      <c r="TJZ916" s="7"/>
      <c r="TKA916" s="7"/>
      <c r="TKB916" s="7"/>
      <c r="TKC916" s="7"/>
      <c r="TKD916" s="7"/>
      <c r="TKE916" s="7"/>
      <c r="TKF916" s="7"/>
      <c r="TKG916" s="7"/>
      <c r="TKH916" s="7"/>
      <c r="TKI916" s="7"/>
      <c r="TKJ916" s="7"/>
      <c r="TKK916" s="7"/>
      <c r="TKL916" s="7"/>
      <c r="TKM916" s="7"/>
      <c r="TKN916" s="7"/>
      <c r="TKO916" s="7"/>
      <c r="TKP916" s="7"/>
      <c r="TKQ916" s="7"/>
      <c r="TKR916" s="7"/>
      <c r="TKS916" s="7"/>
      <c r="TKT916" s="7"/>
      <c r="TKU916" s="7"/>
      <c r="TKV916" s="7"/>
      <c r="TKW916" s="7"/>
      <c r="TKX916" s="7"/>
      <c r="TKY916" s="7"/>
      <c r="TKZ916" s="7"/>
      <c r="TLA916" s="7"/>
      <c r="TLB916" s="7"/>
      <c r="TLC916" s="7"/>
      <c r="TLD916" s="7"/>
      <c r="TLE916" s="7"/>
      <c r="TLF916" s="7"/>
      <c r="TLG916" s="7"/>
      <c r="TLH916" s="7"/>
      <c r="TLI916" s="7"/>
      <c r="TLJ916" s="7"/>
      <c r="TLK916" s="7"/>
      <c r="TLL916" s="7"/>
      <c r="TLM916" s="7"/>
      <c r="TLN916" s="7"/>
      <c r="TLO916" s="7"/>
      <c r="TLP916" s="7"/>
      <c r="TLQ916" s="7"/>
      <c r="TLR916" s="7"/>
      <c r="TLS916" s="7"/>
      <c r="TLT916" s="7"/>
      <c r="TLU916" s="7"/>
      <c r="TLV916" s="7"/>
      <c r="TLW916" s="7"/>
      <c r="TLX916" s="7"/>
      <c r="TLY916" s="7"/>
      <c r="TLZ916" s="7"/>
      <c r="TMA916" s="7"/>
      <c r="TMB916" s="7"/>
      <c r="TMC916" s="7"/>
      <c r="TMD916" s="7"/>
      <c r="TME916" s="7"/>
      <c r="TMF916" s="7"/>
      <c r="TMG916" s="7"/>
      <c r="TMH916" s="7"/>
      <c r="TMI916" s="7"/>
      <c r="TMJ916" s="7"/>
      <c r="TMK916" s="7"/>
      <c r="TML916" s="7"/>
      <c r="TMM916" s="7"/>
      <c r="TMN916" s="7"/>
      <c r="TMO916" s="7"/>
      <c r="TMP916" s="7"/>
      <c r="TMQ916" s="7"/>
      <c r="TMR916" s="7"/>
      <c r="TMS916" s="7"/>
      <c r="TMT916" s="7"/>
      <c r="TMU916" s="7"/>
      <c r="TMV916" s="7"/>
      <c r="TMW916" s="7"/>
      <c r="TMX916" s="7"/>
      <c r="TMY916" s="7"/>
      <c r="TMZ916" s="7"/>
      <c r="TNA916" s="7"/>
      <c r="TNB916" s="7"/>
      <c r="TNC916" s="7"/>
      <c r="TND916" s="7"/>
      <c r="TNE916" s="7"/>
      <c r="TNF916" s="7"/>
      <c r="TNG916" s="7"/>
      <c r="TNH916" s="7"/>
      <c r="TNI916" s="7"/>
      <c r="TNJ916" s="7"/>
      <c r="TNK916" s="7"/>
      <c r="TNL916" s="7"/>
      <c r="TNM916" s="7"/>
      <c r="TNN916" s="7"/>
      <c r="TNO916" s="7"/>
      <c r="TNP916" s="7"/>
      <c r="TNQ916" s="7"/>
      <c r="TNR916" s="7"/>
      <c r="TNS916" s="7"/>
      <c r="TNT916" s="7"/>
      <c r="TNU916" s="7"/>
      <c r="TNV916" s="7"/>
      <c r="TNW916" s="7"/>
      <c r="TNX916" s="7"/>
      <c r="TNY916" s="7"/>
      <c r="TNZ916" s="7"/>
      <c r="TOA916" s="7"/>
      <c r="TOB916" s="7"/>
      <c r="TOC916" s="7"/>
      <c r="TOD916" s="7"/>
      <c r="TOE916" s="7"/>
      <c r="TOF916" s="7"/>
      <c r="TOG916" s="7"/>
      <c r="TOH916" s="7"/>
      <c r="TOI916" s="7"/>
      <c r="TOJ916" s="7"/>
      <c r="TOK916" s="7"/>
      <c r="TOL916" s="7"/>
      <c r="TOM916" s="7"/>
      <c r="TON916" s="7"/>
      <c r="TOO916" s="7"/>
      <c r="TOP916" s="7"/>
      <c r="TOQ916" s="7"/>
      <c r="TOR916" s="7"/>
      <c r="TOS916" s="7"/>
      <c r="TOT916" s="7"/>
      <c r="TOU916" s="7"/>
      <c r="TOV916" s="7"/>
      <c r="TOW916" s="7"/>
      <c r="TOX916" s="7"/>
      <c r="TOY916" s="7"/>
      <c r="TOZ916" s="7"/>
      <c r="TPA916" s="7"/>
      <c r="TPB916" s="7"/>
      <c r="TPC916" s="7"/>
      <c r="TPD916" s="7"/>
      <c r="TPE916" s="7"/>
      <c r="TPF916" s="7"/>
      <c r="TPG916" s="7"/>
      <c r="TPH916" s="7"/>
      <c r="TPI916" s="7"/>
      <c r="TPJ916" s="7"/>
      <c r="TPK916" s="7"/>
      <c r="TPL916" s="7"/>
      <c r="TPM916" s="7"/>
      <c r="TPN916" s="7"/>
      <c r="TPO916" s="7"/>
      <c r="TPP916" s="7"/>
      <c r="TPQ916" s="7"/>
      <c r="TPR916" s="7"/>
      <c r="TPS916" s="7"/>
      <c r="TPT916" s="7"/>
      <c r="TPU916" s="7"/>
      <c r="TPV916" s="7"/>
      <c r="TPW916" s="7"/>
      <c r="TPX916" s="7"/>
      <c r="TPY916" s="7"/>
      <c r="TPZ916" s="7"/>
      <c r="TQA916" s="7"/>
      <c r="TQB916" s="7"/>
      <c r="TQC916" s="7"/>
      <c r="TQD916" s="7"/>
      <c r="TQE916" s="7"/>
      <c r="TQF916" s="7"/>
      <c r="TQG916" s="7"/>
      <c r="TQH916" s="7"/>
      <c r="TQI916" s="7"/>
      <c r="TQJ916" s="7"/>
      <c r="TQK916" s="7"/>
      <c r="TQL916" s="7"/>
      <c r="TQM916" s="7"/>
      <c r="TQN916" s="7"/>
      <c r="TQO916" s="7"/>
      <c r="TQP916" s="7"/>
      <c r="TQQ916" s="7"/>
      <c r="TQR916" s="7"/>
      <c r="TQS916" s="7"/>
      <c r="TQT916" s="7"/>
      <c r="TQU916" s="7"/>
      <c r="TQV916" s="7"/>
      <c r="TQW916" s="7"/>
      <c r="TQX916" s="7"/>
      <c r="TQY916" s="7"/>
      <c r="TQZ916" s="7"/>
      <c r="TRA916" s="7"/>
      <c r="TRB916" s="7"/>
      <c r="TRC916" s="7"/>
      <c r="TRD916" s="7"/>
      <c r="TRE916" s="7"/>
      <c r="TRF916" s="7"/>
      <c r="TRG916" s="7"/>
      <c r="TRH916" s="7"/>
      <c r="TRI916" s="7"/>
      <c r="TRJ916" s="7"/>
      <c r="TRK916" s="7"/>
      <c r="TRL916" s="7"/>
      <c r="TRM916" s="7"/>
      <c r="TRN916" s="7"/>
      <c r="TRO916" s="7"/>
      <c r="TRP916" s="7"/>
      <c r="TRQ916" s="7"/>
      <c r="TRR916" s="7"/>
      <c r="TRS916" s="7"/>
      <c r="TRT916" s="7"/>
      <c r="TRU916" s="7"/>
      <c r="TRV916" s="7"/>
      <c r="TRW916" s="7"/>
      <c r="TRX916" s="7"/>
      <c r="TRY916" s="7"/>
      <c r="TRZ916" s="7"/>
      <c r="TSA916" s="7"/>
      <c r="TSB916" s="7"/>
      <c r="TSC916" s="7"/>
      <c r="TSD916" s="7"/>
      <c r="TSE916" s="7"/>
      <c r="TSF916" s="7"/>
      <c r="TSG916" s="7"/>
      <c r="TSH916" s="7"/>
      <c r="TSI916" s="7"/>
      <c r="TSJ916" s="7"/>
      <c r="TSK916" s="7"/>
      <c r="TSL916" s="7"/>
      <c r="TSM916" s="7"/>
      <c r="TSN916" s="7"/>
      <c r="TSO916" s="7"/>
      <c r="TSP916" s="7"/>
      <c r="TSQ916" s="7"/>
      <c r="TSR916" s="7"/>
      <c r="TSS916" s="7"/>
      <c r="TST916" s="7"/>
      <c r="TSU916" s="7"/>
      <c r="TSV916" s="7"/>
      <c r="TSW916" s="7"/>
      <c r="TSX916" s="7"/>
      <c r="TSY916" s="7"/>
      <c r="TSZ916" s="7"/>
      <c r="TTA916" s="7"/>
      <c r="TTB916" s="7"/>
      <c r="TTC916" s="7"/>
      <c r="TTD916" s="7"/>
      <c r="TTE916" s="7"/>
      <c r="TTF916" s="7"/>
      <c r="TTG916" s="7"/>
      <c r="TTH916" s="7"/>
      <c r="TTI916" s="7"/>
      <c r="TTJ916" s="7"/>
      <c r="TTK916" s="7"/>
      <c r="TTL916" s="7"/>
      <c r="TTM916" s="7"/>
      <c r="TTN916" s="7"/>
      <c r="TTO916" s="7"/>
      <c r="TTP916" s="7"/>
      <c r="TTQ916" s="7"/>
      <c r="TTR916" s="7"/>
      <c r="TTS916" s="7"/>
      <c r="TTT916" s="7"/>
      <c r="TTU916" s="7"/>
      <c r="TTV916" s="7"/>
      <c r="TTW916" s="7"/>
      <c r="TTX916" s="7"/>
      <c r="TTY916" s="7"/>
      <c r="TTZ916" s="7"/>
      <c r="TUA916" s="7"/>
      <c r="TUB916" s="7"/>
      <c r="TUC916" s="7"/>
      <c r="TUD916" s="7"/>
      <c r="TUE916" s="7"/>
      <c r="TUF916" s="7"/>
      <c r="TUG916" s="7"/>
      <c r="TUH916" s="7"/>
      <c r="TUI916" s="7"/>
      <c r="TUJ916" s="7"/>
      <c r="TUK916" s="7"/>
      <c r="TUL916" s="7"/>
      <c r="TUM916" s="7"/>
      <c r="TUN916" s="7"/>
      <c r="TUO916" s="7"/>
      <c r="TUP916" s="7"/>
      <c r="TUQ916" s="7"/>
      <c r="TUR916" s="7"/>
      <c r="TUS916" s="7"/>
      <c r="TUT916" s="7"/>
      <c r="TUU916" s="7"/>
      <c r="TUV916" s="7"/>
      <c r="TUW916" s="7"/>
      <c r="TUX916" s="7"/>
      <c r="TUY916" s="7"/>
      <c r="TUZ916" s="7"/>
      <c r="TVA916" s="7"/>
      <c r="TVB916" s="7"/>
      <c r="TVC916" s="7"/>
      <c r="TVD916" s="7"/>
      <c r="TVE916" s="7"/>
      <c r="TVF916" s="7"/>
      <c r="TVG916" s="7"/>
      <c r="TVH916" s="7"/>
      <c r="TVI916" s="7"/>
      <c r="TVJ916" s="7"/>
      <c r="TVK916" s="7"/>
      <c r="TVL916" s="7"/>
      <c r="TVM916" s="7"/>
      <c r="TVN916" s="7"/>
      <c r="TVO916" s="7"/>
      <c r="TVP916" s="7"/>
      <c r="TVQ916" s="7"/>
      <c r="TVR916" s="7"/>
      <c r="TVS916" s="7"/>
      <c r="TVT916" s="7"/>
      <c r="TVU916" s="7"/>
      <c r="TVV916" s="7"/>
      <c r="TVW916" s="7"/>
      <c r="TVX916" s="7"/>
      <c r="TVY916" s="7"/>
      <c r="TVZ916" s="7"/>
      <c r="TWA916" s="7"/>
      <c r="TWB916" s="7"/>
      <c r="TWC916" s="7"/>
      <c r="TWD916" s="7"/>
      <c r="TWE916" s="7"/>
      <c r="TWF916" s="7"/>
      <c r="TWG916" s="7"/>
      <c r="TWH916" s="7"/>
      <c r="TWI916" s="7"/>
      <c r="TWJ916" s="7"/>
      <c r="TWK916" s="7"/>
      <c r="TWL916" s="7"/>
      <c r="TWM916" s="7"/>
      <c r="TWN916" s="7"/>
      <c r="TWO916" s="7"/>
      <c r="TWP916" s="7"/>
      <c r="TWQ916" s="7"/>
      <c r="TWR916" s="7"/>
      <c r="TWS916" s="7"/>
      <c r="TWT916" s="7"/>
      <c r="TWU916" s="7"/>
      <c r="TWV916" s="7"/>
      <c r="TWW916" s="7"/>
      <c r="TWX916" s="7"/>
      <c r="TWY916" s="7"/>
      <c r="TWZ916" s="7"/>
      <c r="TXA916" s="7"/>
      <c r="TXB916" s="7"/>
      <c r="TXC916" s="7"/>
      <c r="TXD916" s="7"/>
      <c r="TXE916" s="7"/>
      <c r="TXF916" s="7"/>
      <c r="TXG916" s="7"/>
      <c r="TXH916" s="7"/>
      <c r="TXI916" s="7"/>
      <c r="TXJ916" s="7"/>
      <c r="TXK916" s="7"/>
      <c r="TXL916" s="7"/>
      <c r="TXM916" s="7"/>
      <c r="TXN916" s="7"/>
      <c r="TXO916" s="7"/>
      <c r="TXP916" s="7"/>
      <c r="TXQ916" s="7"/>
      <c r="TXR916" s="7"/>
      <c r="TXS916" s="7"/>
      <c r="TXT916" s="7"/>
      <c r="TXU916" s="7"/>
      <c r="TXV916" s="7"/>
      <c r="TXW916" s="7"/>
      <c r="TXX916" s="7"/>
      <c r="TXY916" s="7"/>
      <c r="TXZ916" s="7"/>
      <c r="TYA916" s="7"/>
      <c r="TYB916" s="7"/>
      <c r="TYC916" s="7"/>
      <c r="TYD916" s="7"/>
      <c r="TYE916" s="7"/>
      <c r="TYF916" s="7"/>
      <c r="TYG916" s="7"/>
      <c r="TYH916" s="7"/>
      <c r="TYI916" s="7"/>
      <c r="TYJ916" s="7"/>
      <c r="TYK916" s="7"/>
      <c r="TYL916" s="7"/>
      <c r="TYM916" s="7"/>
      <c r="TYN916" s="7"/>
      <c r="TYO916" s="7"/>
      <c r="TYP916" s="7"/>
      <c r="TYQ916" s="7"/>
      <c r="TYR916" s="7"/>
      <c r="TYS916" s="7"/>
      <c r="TYT916" s="7"/>
      <c r="TYU916" s="7"/>
      <c r="TYV916" s="7"/>
      <c r="TYW916" s="7"/>
      <c r="TYX916" s="7"/>
      <c r="TYY916" s="7"/>
      <c r="TYZ916" s="7"/>
      <c r="TZA916" s="7"/>
      <c r="TZB916" s="7"/>
      <c r="TZC916" s="7"/>
      <c r="TZD916" s="7"/>
      <c r="TZE916" s="7"/>
      <c r="TZF916" s="7"/>
      <c r="TZG916" s="7"/>
      <c r="TZH916" s="7"/>
      <c r="TZI916" s="7"/>
      <c r="TZJ916" s="7"/>
      <c r="TZK916" s="7"/>
      <c r="TZL916" s="7"/>
      <c r="TZM916" s="7"/>
      <c r="TZN916" s="7"/>
      <c r="TZO916" s="7"/>
      <c r="TZP916" s="7"/>
      <c r="TZQ916" s="7"/>
      <c r="TZR916" s="7"/>
      <c r="TZS916" s="7"/>
      <c r="TZT916" s="7"/>
      <c r="TZU916" s="7"/>
      <c r="TZV916" s="7"/>
      <c r="TZW916" s="7"/>
      <c r="TZX916" s="7"/>
      <c r="TZY916" s="7"/>
      <c r="TZZ916" s="7"/>
      <c r="UAA916" s="7"/>
      <c r="UAB916" s="7"/>
      <c r="UAC916" s="7"/>
      <c r="UAD916" s="7"/>
      <c r="UAE916" s="7"/>
      <c r="UAF916" s="7"/>
      <c r="UAG916" s="7"/>
      <c r="UAH916" s="7"/>
      <c r="UAI916" s="7"/>
      <c r="UAJ916" s="7"/>
      <c r="UAK916" s="7"/>
      <c r="UAL916" s="7"/>
      <c r="UAM916" s="7"/>
      <c r="UAN916" s="7"/>
      <c r="UAO916" s="7"/>
      <c r="UAP916" s="7"/>
      <c r="UAQ916" s="7"/>
      <c r="UAR916" s="7"/>
      <c r="UAS916" s="7"/>
      <c r="UAT916" s="7"/>
      <c r="UAU916" s="7"/>
      <c r="UAV916" s="7"/>
      <c r="UAW916" s="7"/>
      <c r="UAX916" s="7"/>
      <c r="UAY916" s="7"/>
      <c r="UAZ916" s="7"/>
      <c r="UBA916" s="7"/>
      <c r="UBB916" s="7"/>
      <c r="UBC916" s="7"/>
      <c r="UBD916" s="7"/>
      <c r="UBE916" s="7"/>
      <c r="UBF916" s="7"/>
      <c r="UBG916" s="7"/>
      <c r="UBH916" s="7"/>
      <c r="UBI916" s="7"/>
      <c r="UBJ916" s="7"/>
      <c r="UBK916" s="7"/>
      <c r="UBL916" s="7"/>
      <c r="UBM916" s="7"/>
      <c r="UBN916" s="7"/>
      <c r="UBO916" s="7"/>
      <c r="UBP916" s="7"/>
      <c r="UBQ916" s="7"/>
      <c r="UBR916" s="7"/>
      <c r="UBS916" s="7"/>
      <c r="UBT916" s="7"/>
      <c r="UBU916" s="7"/>
      <c r="UBV916" s="7"/>
      <c r="UBW916" s="7"/>
      <c r="UBX916" s="7"/>
      <c r="UBY916" s="7"/>
      <c r="UBZ916" s="7"/>
      <c r="UCA916" s="7"/>
      <c r="UCB916" s="7"/>
      <c r="UCC916" s="7"/>
      <c r="UCD916" s="7"/>
      <c r="UCE916" s="7"/>
      <c r="UCF916" s="7"/>
      <c r="UCG916" s="7"/>
      <c r="UCH916" s="7"/>
      <c r="UCI916" s="7"/>
      <c r="UCJ916" s="7"/>
      <c r="UCK916" s="7"/>
      <c r="UCL916" s="7"/>
      <c r="UCM916" s="7"/>
      <c r="UCN916" s="7"/>
      <c r="UCO916" s="7"/>
      <c r="UCP916" s="7"/>
      <c r="UCQ916" s="7"/>
      <c r="UCR916" s="7"/>
      <c r="UCS916" s="7"/>
      <c r="UCT916" s="7"/>
      <c r="UCU916" s="7"/>
      <c r="UCV916" s="7"/>
      <c r="UCW916" s="7"/>
      <c r="UCX916" s="7"/>
      <c r="UCY916" s="7"/>
      <c r="UCZ916" s="7"/>
      <c r="UDA916" s="7"/>
      <c r="UDB916" s="7"/>
      <c r="UDC916" s="7"/>
      <c r="UDD916" s="7"/>
      <c r="UDE916" s="7"/>
      <c r="UDF916" s="7"/>
      <c r="UDG916" s="7"/>
      <c r="UDH916" s="7"/>
      <c r="UDI916" s="7"/>
      <c r="UDJ916" s="7"/>
      <c r="UDK916" s="7"/>
      <c r="UDL916" s="7"/>
      <c r="UDM916" s="7"/>
      <c r="UDN916" s="7"/>
      <c r="UDO916" s="7"/>
      <c r="UDP916" s="7"/>
      <c r="UDQ916" s="7"/>
      <c r="UDR916" s="7"/>
      <c r="UDS916" s="7"/>
      <c r="UDT916" s="7"/>
      <c r="UDU916" s="7"/>
      <c r="UDV916" s="7"/>
      <c r="UDW916" s="7"/>
      <c r="UDX916" s="7"/>
      <c r="UDY916" s="7"/>
      <c r="UDZ916" s="7"/>
      <c r="UEA916" s="7"/>
      <c r="UEB916" s="7"/>
      <c r="UEC916" s="7"/>
      <c r="UED916" s="7"/>
      <c r="UEE916" s="7"/>
      <c r="UEF916" s="7"/>
      <c r="UEG916" s="7"/>
      <c r="UEH916" s="7"/>
      <c r="UEI916" s="7"/>
      <c r="UEJ916" s="7"/>
      <c r="UEK916" s="7"/>
      <c r="UEL916" s="7"/>
      <c r="UEM916" s="7"/>
      <c r="UEN916" s="7"/>
      <c r="UEO916" s="7"/>
      <c r="UEP916" s="7"/>
      <c r="UEQ916" s="7"/>
      <c r="UER916" s="7"/>
      <c r="UES916" s="7"/>
      <c r="UET916" s="7"/>
      <c r="UEU916" s="7"/>
      <c r="UEV916" s="7"/>
      <c r="UEW916" s="7"/>
      <c r="UEX916" s="7"/>
      <c r="UEY916" s="7"/>
      <c r="UEZ916" s="7"/>
      <c r="UFA916" s="7"/>
      <c r="UFB916" s="7"/>
      <c r="UFC916" s="7"/>
      <c r="UFD916" s="7"/>
      <c r="UFE916" s="7"/>
      <c r="UFF916" s="7"/>
      <c r="UFG916" s="7"/>
      <c r="UFH916" s="7"/>
      <c r="UFI916" s="7"/>
      <c r="UFJ916" s="7"/>
      <c r="UFK916" s="7"/>
      <c r="UFL916" s="7"/>
      <c r="UFM916" s="7"/>
      <c r="UFN916" s="7"/>
      <c r="UFO916" s="7"/>
      <c r="UFP916" s="7"/>
      <c r="UFQ916" s="7"/>
      <c r="UFR916" s="7"/>
      <c r="UFS916" s="7"/>
      <c r="UFT916" s="7"/>
      <c r="UFU916" s="7"/>
      <c r="UFV916" s="7"/>
      <c r="UFW916" s="7"/>
      <c r="UFX916" s="7"/>
      <c r="UFY916" s="7"/>
      <c r="UFZ916" s="7"/>
      <c r="UGA916" s="7"/>
      <c r="UGB916" s="7"/>
      <c r="UGC916" s="7"/>
      <c r="UGD916" s="7"/>
      <c r="UGE916" s="7"/>
      <c r="UGF916" s="7"/>
      <c r="UGG916" s="7"/>
      <c r="UGH916" s="7"/>
      <c r="UGI916" s="7"/>
      <c r="UGJ916" s="7"/>
      <c r="UGK916" s="7"/>
      <c r="UGL916" s="7"/>
      <c r="UGM916" s="7"/>
      <c r="UGN916" s="7"/>
      <c r="UGO916" s="7"/>
      <c r="UGP916" s="7"/>
      <c r="UGQ916" s="7"/>
      <c r="UGR916" s="7"/>
      <c r="UGS916" s="7"/>
      <c r="UGT916" s="7"/>
      <c r="UGU916" s="7"/>
      <c r="UGV916" s="7"/>
      <c r="UGW916" s="7"/>
      <c r="UGX916" s="7"/>
      <c r="UGY916" s="7"/>
      <c r="UGZ916" s="7"/>
      <c r="UHA916" s="7"/>
      <c r="UHB916" s="7"/>
      <c r="UHC916" s="7"/>
      <c r="UHD916" s="7"/>
      <c r="UHE916" s="7"/>
      <c r="UHF916" s="7"/>
      <c r="UHG916" s="7"/>
      <c r="UHH916" s="7"/>
      <c r="UHI916" s="7"/>
      <c r="UHJ916" s="7"/>
      <c r="UHK916" s="7"/>
      <c r="UHL916" s="7"/>
      <c r="UHM916" s="7"/>
      <c r="UHN916" s="7"/>
      <c r="UHO916" s="7"/>
      <c r="UHP916" s="7"/>
      <c r="UHQ916" s="7"/>
      <c r="UHR916" s="7"/>
      <c r="UHS916" s="7"/>
      <c r="UHT916" s="7"/>
      <c r="UHU916" s="7"/>
      <c r="UHV916" s="7"/>
      <c r="UHW916" s="7"/>
      <c r="UHX916" s="7"/>
      <c r="UHY916" s="7"/>
      <c r="UHZ916" s="7"/>
      <c r="UIA916" s="7"/>
      <c r="UIB916" s="7"/>
      <c r="UIC916" s="7"/>
      <c r="UID916" s="7"/>
      <c r="UIE916" s="7"/>
      <c r="UIF916" s="7"/>
      <c r="UIG916" s="7"/>
      <c r="UIH916" s="7"/>
      <c r="UII916" s="7"/>
      <c r="UIJ916" s="7"/>
      <c r="UIK916" s="7"/>
      <c r="UIL916" s="7"/>
      <c r="UIM916" s="7"/>
      <c r="UIN916" s="7"/>
      <c r="UIO916" s="7"/>
      <c r="UIP916" s="7"/>
      <c r="UIQ916" s="7"/>
      <c r="UIR916" s="7"/>
      <c r="UIS916" s="7"/>
      <c r="UIT916" s="7"/>
      <c r="UIU916" s="7"/>
      <c r="UIV916" s="7"/>
      <c r="UIW916" s="7"/>
      <c r="UIX916" s="7"/>
      <c r="UIY916" s="7"/>
      <c r="UIZ916" s="7"/>
      <c r="UJA916" s="7"/>
      <c r="UJB916" s="7"/>
      <c r="UJC916" s="7"/>
      <c r="UJD916" s="7"/>
      <c r="UJE916" s="7"/>
      <c r="UJF916" s="7"/>
      <c r="UJG916" s="7"/>
      <c r="UJH916" s="7"/>
      <c r="UJI916" s="7"/>
      <c r="UJJ916" s="7"/>
      <c r="UJK916" s="7"/>
      <c r="UJL916" s="7"/>
      <c r="UJM916" s="7"/>
      <c r="UJN916" s="7"/>
      <c r="UJO916" s="7"/>
      <c r="UJP916" s="7"/>
      <c r="UJQ916" s="7"/>
      <c r="UJR916" s="7"/>
      <c r="UJS916" s="7"/>
      <c r="UJT916" s="7"/>
      <c r="UJU916" s="7"/>
      <c r="UJV916" s="7"/>
      <c r="UJW916" s="7"/>
      <c r="UJX916" s="7"/>
      <c r="UJY916" s="7"/>
      <c r="UJZ916" s="7"/>
      <c r="UKA916" s="7"/>
      <c r="UKB916" s="7"/>
      <c r="UKC916" s="7"/>
      <c r="UKD916" s="7"/>
      <c r="UKE916" s="7"/>
      <c r="UKF916" s="7"/>
      <c r="UKG916" s="7"/>
      <c r="UKH916" s="7"/>
      <c r="UKI916" s="7"/>
      <c r="UKJ916" s="7"/>
      <c r="UKK916" s="7"/>
      <c r="UKL916" s="7"/>
      <c r="UKM916" s="7"/>
      <c r="UKN916" s="7"/>
      <c r="UKO916" s="7"/>
      <c r="UKP916" s="7"/>
      <c r="UKQ916" s="7"/>
      <c r="UKR916" s="7"/>
      <c r="UKS916" s="7"/>
      <c r="UKT916" s="7"/>
      <c r="UKU916" s="7"/>
      <c r="UKV916" s="7"/>
      <c r="UKW916" s="7"/>
      <c r="UKX916" s="7"/>
      <c r="UKY916" s="7"/>
      <c r="UKZ916" s="7"/>
      <c r="ULA916" s="7"/>
      <c r="ULB916" s="7"/>
      <c r="ULC916" s="7"/>
      <c r="ULD916" s="7"/>
      <c r="ULE916" s="7"/>
      <c r="ULF916" s="7"/>
      <c r="ULG916" s="7"/>
      <c r="ULH916" s="7"/>
      <c r="ULI916" s="7"/>
      <c r="ULJ916" s="7"/>
      <c r="ULK916" s="7"/>
      <c r="ULL916" s="7"/>
      <c r="ULM916" s="7"/>
      <c r="ULN916" s="7"/>
      <c r="ULO916" s="7"/>
      <c r="ULP916" s="7"/>
      <c r="ULQ916" s="7"/>
      <c r="ULR916" s="7"/>
      <c r="ULS916" s="7"/>
      <c r="ULT916" s="7"/>
      <c r="ULU916" s="7"/>
      <c r="ULV916" s="7"/>
      <c r="ULW916" s="7"/>
      <c r="ULX916" s="7"/>
      <c r="ULY916" s="7"/>
      <c r="ULZ916" s="7"/>
      <c r="UMA916" s="7"/>
      <c r="UMB916" s="7"/>
      <c r="UMC916" s="7"/>
      <c r="UMD916" s="7"/>
      <c r="UME916" s="7"/>
      <c r="UMF916" s="7"/>
      <c r="UMG916" s="7"/>
      <c r="UMH916" s="7"/>
      <c r="UMI916" s="7"/>
      <c r="UMJ916" s="7"/>
      <c r="UMK916" s="7"/>
      <c r="UML916" s="7"/>
      <c r="UMM916" s="7"/>
      <c r="UMN916" s="7"/>
      <c r="UMO916" s="7"/>
      <c r="UMP916" s="7"/>
      <c r="UMQ916" s="7"/>
      <c r="UMR916" s="7"/>
      <c r="UMS916" s="7"/>
      <c r="UMT916" s="7"/>
      <c r="UMU916" s="7"/>
      <c r="UMV916" s="7"/>
      <c r="UMW916" s="7"/>
      <c r="UMX916" s="7"/>
      <c r="UMY916" s="7"/>
      <c r="UMZ916" s="7"/>
      <c r="UNA916" s="7"/>
      <c r="UNB916" s="7"/>
      <c r="UNC916" s="7"/>
      <c r="UND916" s="7"/>
      <c r="UNE916" s="7"/>
      <c r="UNF916" s="7"/>
      <c r="UNG916" s="7"/>
      <c r="UNH916" s="7"/>
      <c r="UNI916" s="7"/>
      <c r="UNJ916" s="7"/>
      <c r="UNK916" s="7"/>
      <c r="UNL916" s="7"/>
      <c r="UNM916" s="7"/>
      <c r="UNN916" s="7"/>
      <c r="UNO916" s="7"/>
      <c r="UNP916" s="7"/>
      <c r="UNQ916" s="7"/>
      <c r="UNR916" s="7"/>
      <c r="UNS916" s="7"/>
      <c r="UNT916" s="7"/>
      <c r="UNU916" s="7"/>
      <c r="UNV916" s="7"/>
      <c r="UNW916" s="7"/>
      <c r="UNX916" s="7"/>
      <c r="UNY916" s="7"/>
      <c r="UNZ916" s="7"/>
      <c r="UOA916" s="7"/>
      <c r="UOB916" s="7"/>
      <c r="UOC916" s="7"/>
      <c r="UOD916" s="7"/>
      <c r="UOE916" s="7"/>
      <c r="UOF916" s="7"/>
      <c r="UOG916" s="7"/>
      <c r="UOH916" s="7"/>
      <c r="UOI916" s="7"/>
      <c r="UOJ916" s="7"/>
      <c r="UOK916" s="7"/>
      <c r="UOL916" s="7"/>
      <c r="UOM916" s="7"/>
      <c r="UON916" s="7"/>
      <c r="UOO916" s="7"/>
      <c r="UOP916" s="7"/>
      <c r="UOQ916" s="7"/>
      <c r="UOR916" s="7"/>
      <c r="UOS916" s="7"/>
      <c r="UOT916" s="7"/>
      <c r="UOU916" s="7"/>
      <c r="UOV916" s="7"/>
      <c r="UOW916" s="7"/>
      <c r="UOX916" s="7"/>
      <c r="UOY916" s="7"/>
      <c r="UOZ916" s="7"/>
      <c r="UPA916" s="7"/>
      <c r="UPB916" s="7"/>
      <c r="UPC916" s="7"/>
      <c r="UPD916" s="7"/>
      <c r="UPE916" s="7"/>
      <c r="UPF916" s="7"/>
      <c r="UPG916" s="7"/>
      <c r="UPH916" s="7"/>
      <c r="UPI916" s="7"/>
      <c r="UPJ916" s="7"/>
      <c r="UPK916" s="7"/>
      <c r="UPL916" s="7"/>
      <c r="UPM916" s="7"/>
      <c r="UPN916" s="7"/>
      <c r="UPO916" s="7"/>
      <c r="UPP916" s="7"/>
      <c r="UPQ916" s="7"/>
      <c r="UPR916" s="7"/>
      <c r="UPS916" s="7"/>
      <c r="UPT916" s="7"/>
      <c r="UPU916" s="7"/>
      <c r="UPV916" s="7"/>
      <c r="UPW916" s="7"/>
      <c r="UPX916" s="7"/>
      <c r="UPY916" s="7"/>
      <c r="UPZ916" s="7"/>
      <c r="UQA916" s="7"/>
      <c r="UQB916" s="7"/>
      <c r="UQC916" s="7"/>
      <c r="UQD916" s="7"/>
      <c r="UQE916" s="7"/>
      <c r="UQF916" s="7"/>
      <c r="UQG916" s="7"/>
      <c r="UQH916" s="7"/>
      <c r="UQI916" s="7"/>
      <c r="UQJ916" s="7"/>
      <c r="UQK916" s="7"/>
      <c r="UQL916" s="7"/>
      <c r="UQM916" s="7"/>
      <c r="UQN916" s="7"/>
      <c r="UQO916" s="7"/>
      <c r="UQP916" s="7"/>
      <c r="UQQ916" s="7"/>
      <c r="UQR916" s="7"/>
      <c r="UQS916" s="7"/>
      <c r="UQT916" s="7"/>
      <c r="UQU916" s="7"/>
      <c r="UQV916" s="7"/>
      <c r="UQW916" s="7"/>
      <c r="UQX916" s="7"/>
      <c r="UQY916" s="7"/>
      <c r="UQZ916" s="7"/>
      <c r="URA916" s="7"/>
      <c r="URB916" s="7"/>
      <c r="URC916" s="7"/>
      <c r="URD916" s="7"/>
      <c r="URE916" s="7"/>
      <c r="URF916" s="7"/>
      <c r="URG916" s="7"/>
      <c r="URH916" s="7"/>
      <c r="URI916" s="7"/>
      <c r="URJ916" s="7"/>
      <c r="URK916" s="7"/>
      <c r="URL916" s="7"/>
      <c r="URM916" s="7"/>
      <c r="URN916" s="7"/>
      <c r="URO916" s="7"/>
      <c r="URP916" s="7"/>
      <c r="URQ916" s="7"/>
      <c r="URR916" s="7"/>
      <c r="URS916" s="7"/>
      <c r="URT916" s="7"/>
      <c r="URU916" s="7"/>
      <c r="URV916" s="7"/>
      <c r="URW916" s="7"/>
      <c r="URX916" s="7"/>
      <c r="URY916" s="7"/>
      <c r="URZ916" s="7"/>
      <c r="USA916" s="7"/>
      <c r="USB916" s="7"/>
      <c r="USC916" s="7"/>
      <c r="USD916" s="7"/>
      <c r="USE916" s="7"/>
      <c r="USF916" s="7"/>
      <c r="USG916" s="7"/>
      <c r="USH916" s="7"/>
      <c r="USI916" s="7"/>
      <c r="USJ916" s="7"/>
      <c r="USK916" s="7"/>
      <c r="USL916" s="7"/>
      <c r="USM916" s="7"/>
      <c r="USN916" s="7"/>
      <c r="USO916" s="7"/>
      <c r="USP916" s="7"/>
      <c r="USQ916" s="7"/>
      <c r="USR916" s="7"/>
      <c r="USS916" s="7"/>
      <c r="UST916" s="7"/>
      <c r="USU916" s="7"/>
      <c r="USV916" s="7"/>
      <c r="USW916" s="7"/>
      <c r="USX916" s="7"/>
      <c r="USY916" s="7"/>
      <c r="USZ916" s="7"/>
      <c r="UTA916" s="7"/>
      <c r="UTB916" s="7"/>
      <c r="UTC916" s="7"/>
      <c r="UTD916" s="7"/>
      <c r="UTE916" s="7"/>
      <c r="UTF916" s="7"/>
      <c r="UTG916" s="7"/>
      <c r="UTH916" s="7"/>
      <c r="UTI916" s="7"/>
      <c r="UTJ916" s="7"/>
      <c r="UTK916" s="7"/>
      <c r="UTL916" s="7"/>
      <c r="UTM916" s="7"/>
      <c r="UTN916" s="7"/>
      <c r="UTO916" s="7"/>
      <c r="UTP916" s="7"/>
      <c r="UTQ916" s="7"/>
      <c r="UTR916" s="7"/>
      <c r="UTS916" s="7"/>
      <c r="UTT916" s="7"/>
      <c r="UTU916" s="7"/>
      <c r="UTV916" s="7"/>
      <c r="UTW916" s="7"/>
      <c r="UTX916" s="7"/>
      <c r="UTY916" s="7"/>
      <c r="UTZ916" s="7"/>
      <c r="UUA916" s="7"/>
      <c r="UUB916" s="7"/>
      <c r="UUC916" s="7"/>
      <c r="UUD916" s="7"/>
      <c r="UUE916" s="7"/>
      <c r="UUF916" s="7"/>
      <c r="UUG916" s="7"/>
      <c r="UUH916" s="7"/>
      <c r="UUI916" s="7"/>
      <c r="UUJ916" s="7"/>
      <c r="UUK916" s="7"/>
      <c r="UUL916" s="7"/>
      <c r="UUM916" s="7"/>
      <c r="UUN916" s="7"/>
      <c r="UUO916" s="7"/>
      <c r="UUP916" s="7"/>
      <c r="UUQ916" s="7"/>
      <c r="UUR916" s="7"/>
      <c r="UUS916" s="7"/>
      <c r="UUT916" s="7"/>
      <c r="UUU916" s="7"/>
      <c r="UUV916" s="7"/>
      <c r="UUW916" s="7"/>
      <c r="UUX916" s="7"/>
      <c r="UUY916" s="7"/>
      <c r="UUZ916" s="7"/>
      <c r="UVA916" s="7"/>
      <c r="UVB916" s="7"/>
      <c r="UVC916" s="7"/>
      <c r="UVD916" s="7"/>
      <c r="UVE916" s="7"/>
      <c r="UVF916" s="7"/>
      <c r="UVG916" s="7"/>
      <c r="UVH916" s="7"/>
      <c r="UVI916" s="7"/>
      <c r="UVJ916" s="7"/>
      <c r="UVK916" s="7"/>
      <c r="UVL916" s="7"/>
      <c r="UVM916" s="7"/>
      <c r="UVN916" s="7"/>
      <c r="UVO916" s="7"/>
      <c r="UVP916" s="7"/>
      <c r="UVQ916" s="7"/>
      <c r="UVR916" s="7"/>
      <c r="UVS916" s="7"/>
      <c r="UVT916" s="7"/>
      <c r="UVU916" s="7"/>
      <c r="UVV916" s="7"/>
      <c r="UVW916" s="7"/>
      <c r="UVX916" s="7"/>
      <c r="UVY916" s="7"/>
      <c r="UVZ916" s="7"/>
      <c r="UWA916" s="7"/>
      <c r="UWB916" s="7"/>
      <c r="UWC916" s="7"/>
      <c r="UWD916" s="7"/>
      <c r="UWE916" s="7"/>
      <c r="UWF916" s="7"/>
      <c r="UWG916" s="7"/>
      <c r="UWH916" s="7"/>
      <c r="UWI916" s="7"/>
      <c r="UWJ916" s="7"/>
      <c r="UWK916" s="7"/>
      <c r="UWL916" s="7"/>
      <c r="UWM916" s="7"/>
      <c r="UWN916" s="7"/>
      <c r="UWO916" s="7"/>
      <c r="UWP916" s="7"/>
      <c r="UWQ916" s="7"/>
      <c r="UWR916" s="7"/>
      <c r="UWS916" s="7"/>
      <c r="UWT916" s="7"/>
      <c r="UWU916" s="7"/>
      <c r="UWV916" s="7"/>
      <c r="UWW916" s="7"/>
      <c r="UWX916" s="7"/>
      <c r="UWY916" s="7"/>
      <c r="UWZ916" s="7"/>
      <c r="UXA916" s="7"/>
      <c r="UXB916" s="7"/>
      <c r="UXC916" s="7"/>
      <c r="UXD916" s="7"/>
      <c r="UXE916" s="7"/>
      <c r="UXF916" s="7"/>
      <c r="UXG916" s="7"/>
      <c r="UXH916" s="7"/>
      <c r="UXI916" s="7"/>
      <c r="UXJ916" s="7"/>
      <c r="UXK916" s="7"/>
      <c r="UXL916" s="7"/>
      <c r="UXM916" s="7"/>
      <c r="UXN916" s="7"/>
      <c r="UXO916" s="7"/>
      <c r="UXP916" s="7"/>
      <c r="UXQ916" s="7"/>
      <c r="UXR916" s="7"/>
      <c r="UXS916" s="7"/>
      <c r="UXT916" s="7"/>
      <c r="UXU916" s="7"/>
      <c r="UXV916" s="7"/>
      <c r="UXW916" s="7"/>
      <c r="UXX916" s="7"/>
      <c r="UXY916" s="7"/>
      <c r="UXZ916" s="7"/>
      <c r="UYA916" s="7"/>
      <c r="UYB916" s="7"/>
      <c r="UYC916" s="7"/>
      <c r="UYD916" s="7"/>
      <c r="UYE916" s="7"/>
      <c r="UYF916" s="7"/>
      <c r="UYG916" s="7"/>
      <c r="UYH916" s="7"/>
      <c r="UYI916" s="7"/>
      <c r="UYJ916" s="7"/>
      <c r="UYK916" s="7"/>
      <c r="UYL916" s="7"/>
      <c r="UYM916" s="7"/>
      <c r="UYN916" s="7"/>
      <c r="UYO916" s="7"/>
      <c r="UYP916" s="7"/>
      <c r="UYQ916" s="7"/>
      <c r="UYR916" s="7"/>
      <c r="UYS916" s="7"/>
      <c r="UYT916" s="7"/>
      <c r="UYU916" s="7"/>
      <c r="UYV916" s="7"/>
      <c r="UYW916" s="7"/>
      <c r="UYX916" s="7"/>
      <c r="UYY916" s="7"/>
      <c r="UYZ916" s="7"/>
      <c r="UZA916" s="7"/>
      <c r="UZB916" s="7"/>
      <c r="UZC916" s="7"/>
      <c r="UZD916" s="7"/>
      <c r="UZE916" s="7"/>
      <c r="UZF916" s="7"/>
      <c r="UZG916" s="7"/>
      <c r="UZH916" s="7"/>
      <c r="UZI916" s="7"/>
      <c r="UZJ916" s="7"/>
      <c r="UZK916" s="7"/>
      <c r="UZL916" s="7"/>
      <c r="UZM916" s="7"/>
      <c r="UZN916" s="7"/>
      <c r="UZO916" s="7"/>
      <c r="UZP916" s="7"/>
      <c r="UZQ916" s="7"/>
      <c r="UZR916" s="7"/>
      <c r="UZS916" s="7"/>
      <c r="UZT916" s="7"/>
      <c r="UZU916" s="7"/>
      <c r="UZV916" s="7"/>
      <c r="UZW916" s="7"/>
      <c r="UZX916" s="7"/>
      <c r="UZY916" s="7"/>
      <c r="UZZ916" s="7"/>
      <c r="VAA916" s="7"/>
      <c r="VAB916" s="7"/>
      <c r="VAC916" s="7"/>
      <c r="VAD916" s="7"/>
      <c r="VAE916" s="7"/>
      <c r="VAF916" s="7"/>
      <c r="VAG916" s="7"/>
      <c r="VAH916" s="7"/>
      <c r="VAI916" s="7"/>
      <c r="VAJ916" s="7"/>
      <c r="VAK916" s="7"/>
      <c r="VAL916" s="7"/>
      <c r="VAM916" s="7"/>
      <c r="VAN916" s="7"/>
      <c r="VAO916" s="7"/>
      <c r="VAP916" s="7"/>
      <c r="VAQ916" s="7"/>
      <c r="VAR916" s="7"/>
      <c r="VAS916" s="7"/>
      <c r="VAT916" s="7"/>
      <c r="VAU916" s="7"/>
      <c r="VAV916" s="7"/>
      <c r="VAW916" s="7"/>
      <c r="VAX916" s="7"/>
      <c r="VAY916" s="7"/>
      <c r="VAZ916" s="7"/>
      <c r="VBA916" s="7"/>
      <c r="VBB916" s="7"/>
      <c r="VBC916" s="7"/>
      <c r="VBD916" s="7"/>
      <c r="VBE916" s="7"/>
      <c r="VBF916" s="7"/>
      <c r="VBG916" s="7"/>
      <c r="VBH916" s="7"/>
      <c r="VBI916" s="7"/>
      <c r="VBJ916" s="7"/>
      <c r="VBK916" s="7"/>
      <c r="VBL916" s="7"/>
      <c r="VBM916" s="7"/>
      <c r="VBN916" s="7"/>
      <c r="VBO916" s="7"/>
      <c r="VBP916" s="7"/>
      <c r="VBQ916" s="7"/>
      <c r="VBR916" s="7"/>
      <c r="VBS916" s="7"/>
      <c r="VBT916" s="7"/>
      <c r="VBU916" s="7"/>
      <c r="VBV916" s="7"/>
      <c r="VBW916" s="7"/>
      <c r="VBX916" s="7"/>
      <c r="VBY916" s="7"/>
      <c r="VBZ916" s="7"/>
      <c r="VCA916" s="7"/>
      <c r="VCB916" s="7"/>
      <c r="VCC916" s="7"/>
      <c r="VCD916" s="7"/>
      <c r="VCE916" s="7"/>
      <c r="VCF916" s="7"/>
      <c r="VCG916" s="7"/>
      <c r="VCH916" s="7"/>
      <c r="VCI916" s="7"/>
      <c r="VCJ916" s="7"/>
      <c r="VCK916" s="7"/>
      <c r="VCL916" s="7"/>
      <c r="VCM916" s="7"/>
      <c r="VCN916" s="7"/>
      <c r="VCO916" s="7"/>
      <c r="VCP916" s="7"/>
      <c r="VCQ916" s="7"/>
      <c r="VCR916" s="7"/>
      <c r="VCS916" s="7"/>
      <c r="VCT916" s="7"/>
      <c r="VCU916" s="7"/>
      <c r="VCV916" s="7"/>
      <c r="VCW916" s="7"/>
      <c r="VCX916" s="7"/>
      <c r="VCY916" s="7"/>
      <c r="VCZ916" s="7"/>
      <c r="VDA916" s="7"/>
      <c r="VDB916" s="7"/>
      <c r="VDC916" s="7"/>
      <c r="VDD916" s="7"/>
      <c r="VDE916" s="7"/>
      <c r="VDF916" s="7"/>
      <c r="VDG916" s="7"/>
      <c r="VDH916" s="7"/>
      <c r="VDI916" s="7"/>
      <c r="VDJ916" s="7"/>
      <c r="VDK916" s="7"/>
      <c r="VDL916" s="7"/>
      <c r="VDM916" s="7"/>
      <c r="VDN916" s="7"/>
      <c r="VDO916" s="7"/>
      <c r="VDP916" s="7"/>
      <c r="VDQ916" s="7"/>
      <c r="VDR916" s="7"/>
      <c r="VDS916" s="7"/>
      <c r="VDT916" s="7"/>
      <c r="VDU916" s="7"/>
      <c r="VDV916" s="7"/>
      <c r="VDW916" s="7"/>
      <c r="VDX916" s="7"/>
      <c r="VDY916" s="7"/>
      <c r="VDZ916" s="7"/>
      <c r="VEA916" s="7"/>
      <c r="VEB916" s="7"/>
      <c r="VEC916" s="7"/>
      <c r="VED916" s="7"/>
      <c r="VEE916" s="7"/>
      <c r="VEF916" s="7"/>
      <c r="VEG916" s="7"/>
      <c r="VEH916" s="7"/>
      <c r="VEI916" s="7"/>
      <c r="VEJ916" s="7"/>
      <c r="VEK916" s="7"/>
      <c r="VEL916" s="7"/>
      <c r="VEM916" s="7"/>
      <c r="VEN916" s="7"/>
      <c r="VEO916" s="7"/>
      <c r="VEP916" s="7"/>
      <c r="VEQ916" s="7"/>
      <c r="VER916" s="7"/>
      <c r="VES916" s="7"/>
      <c r="VET916" s="7"/>
      <c r="VEU916" s="7"/>
      <c r="VEV916" s="7"/>
      <c r="VEW916" s="7"/>
      <c r="VEX916" s="7"/>
      <c r="VEY916" s="7"/>
      <c r="VEZ916" s="7"/>
      <c r="VFA916" s="7"/>
      <c r="VFB916" s="7"/>
      <c r="VFC916" s="7"/>
      <c r="VFD916" s="7"/>
      <c r="VFE916" s="7"/>
      <c r="VFF916" s="7"/>
      <c r="VFG916" s="7"/>
      <c r="VFH916" s="7"/>
      <c r="VFI916" s="7"/>
      <c r="VFJ916" s="7"/>
      <c r="VFK916" s="7"/>
      <c r="VFL916" s="7"/>
      <c r="VFM916" s="7"/>
      <c r="VFN916" s="7"/>
      <c r="VFO916" s="7"/>
      <c r="VFP916" s="7"/>
      <c r="VFQ916" s="7"/>
      <c r="VFR916" s="7"/>
      <c r="VFS916" s="7"/>
      <c r="VFT916" s="7"/>
      <c r="VFU916" s="7"/>
      <c r="VFV916" s="7"/>
      <c r="VFW916" s="7"/>
      <c r="VFX916" s="7"/>
      <c r="VFY916" s="7"/>
      <c r="VFZ916" s="7"/>
      <c r="VGA916" s="7"/>
      <c r="VGB916" s="7"/>
      <c r="VGC916" s="7"/>
      <c r="VGD916" s="7"/>
      <c r="VGE916" s="7"/>
      <c r="VGF916" s="7"/>
      <c r="VGG916" s="7"/>
      <c r="VGH916" s="7"/>
      <c r="VGI916" s="7"/>
      <c r="VGJ916" s="7"/>
      <c r="VGK916" s="7"/>
      <c r="VGL916" s="7"/>
      <c r="VGM916" s="7"/>
      <c r="VGN916" s="7"/>
      <c r="VGO916" s="7"/>
      <c r="VGP916" s="7"/>
      <c r="VGQ916" s="7"/>
      <c r="VGR916" s="7"/>
      <c r="VGS916" s="7"/>
      <c r="VGT916" s="7"/>
      <c r="VGU916" s="7"/>
      <c r="VGV916" s="7"/>
      <c r="VGW916" s="7"/>
      <c r="VGX916" s="7"/>
      <c r="VGY916" s="7"/>
      <c r="VGZ916" s="7"/>
      <c r="VHA916" s="7"/>
      <c r="VHB916" s="7"/>
      <c r="VHC916" s="7"/>
      <c r="VHD916" s="7"/>
      <c r="VHE916" s="7"/>
      <c r="VHF916" s="7"/>
      <c r="VHG916" s="7"/>
      <c r="VHH916" s="7"/>
      <c r="VHI916" s="7"/>
      <c r="VHJ916" s="7"/>
      <c r="VHK916" s="7"/>
      <c r="VHL916" s="7"/>
      <c r="VHM916" s="7"/>
      <c r="VHN916" s="7"/>
      <c r="VHO916" s="7"/>
      <c r="VHP916" s="7"/>
      <c r="VHQ916" s="7"/>
      <c r="VHR916" s="7"/>
      <c r="VHS916" s="7"/>
      <c r="VHT916" s="7"/>
      <c r="VHU916" s="7"/>
      <c r="VHV916" s="7"/>
      <c r="VHW916" s="7"/>
      <c r="VHX916" s="7"/>
      <c r="VHY916" s="7"/>
      <c r="VHZ916" s="7"/>
      <c r="VIA916" s="7"/>
      <c r="VIB916" s="7"/>
      <c r="VIC916" s="7"/>
      <c r="VID916" s="7"/>
      <c r="VIE916" s="7"/>
      <c r="VIF916" s="7"/>
      <c r="VIG916" s="7"/>
      <c r="VIH916" s="7"/>
      <c r="VII916" s="7"/>
      <c r="VIJ916" s="7"/>
      <c r="VIK916" s="7"/>
      <c r="VIL916" s="7"/>
      <c r="VIM916" s="7"/>
      <c r="VIN916" s="7"/>
      <c r="VIO916" s="7"/>
      <c r="VIP916" s="7"/>
      <c r="VIQ916" s="7"/>
      <c r="VIR916" s="7"/>
      <c r="VIS916" s="7"/>
      <c r="VIT916" s="7"/>
      <c r="VIU916" s="7"/>
      <c r="VIV916" s="7"/>
      <c r="VIW916" s="7"/>
      <c r="VIX916" s="7"/>
      <c r="VIY916" s="7"/>
      <c r="VIZ916" s="7"/>
      <c r="VJA916" s="7"/>
      <c r="VJB916" s="7"/>
      <c r="VJC916" s="7"/>
      <c r="VJD916" s="7"/>
      <c r="VJE916" s="7"/>
      <c r="VJF916" s="7"/>
      <c r="VJG916" s="7"/>
      <c r="VJH916" s="7"/>
      <c r="VJI916" s="7"/>
      <c r="VJJ916" s="7"/>
      <c r="VJK916" s="7"/>
      <c r="VJL916" s="7"/>
      <c r="VJM916" s="7"/>
      <c r="VJN916" s="7"/>
      <c r="VJO916" s="7"/>
      <c r="VJP916" s="7"/>
      <c r="VJQ916" s="7"/>
      <c r="VJR916" s="7"/>
      <c r="VJS916" s="7"/>
      <c r="VJT916" s="7"/>
      <c r="VJU916" s="7"/>
      <c r="VJV916" s="7"/>
      <c r="VJW916" s="7"/>
      <c r="VJX916" s="7"/>
      <c r="VJY916" s="7"/>
      <c r="VJZ916" s="7"/>
      <c r="VKA916" s="7"/>
      <c r="VKB916" s="7"/>
      <c r="VKC916" s="7"/>
      <c r="VKD916" s="7"/>
      <c r="VKE916" s="7"/>
      <c r="VKF916" s="7"/>
      <c r="VKG916" s="7"/>
      <c r="VKH916" s="7"/>
      <c r="VKI916" s="7"/>
      <c r="VKJ916" s="7"/>
      <c r="VKK916" s="7"/>
      <c r="VKL916" s="7"/>
      <c r="VKM916" s="7"/>
      <c r="VKN916" s="7"/>
      <c r="VKO916" s="7"/>
      <c r="VKP916" s="7"/>
      <c r="VKQ916" s="7"/>
      <c r="VKR916" s="7"/>
      <c r="VKS916" s="7"/>
      <c r="VKT916" s="7"/>
      <c r="VKU916" s="7"/>
      <c r="VKV916" s="7"/>
      <c r="VKW916" s="7"/>
      <c r="VKX916" s="7"/>
      <c r="VKY916" s="7"/>
      <c r="VKZ916" s="7"/>
      <c r="VLA916" s="7"/>
      <c r="VLB916" s="7"/>
      <c r="VLC916" s="7"/>
      <c r="VLD916" s="7"/>
      <c r="VLE916" s="7"/>
      <c r="VLF916" s="7"/>
      <c r="VLG916" s="7"/>
      <c r="VLH916" s="7"/>
      <c r="VLI916" s="7"/>
      <c r="VLJ916" s="7"/>
      <c r="VLK916" s="7"/>
      <c r="VLL916" s="7"/>
      <c r="VLM916" s="7"/>
      <c r="VLN916" s="7"/>
      <c r="VLO916" s="7"/>
      <c r="VLP916" s="7"/>
      <c r="VLQ916" s="7"/>
      <c r="VLR916" s="7"/>
      <c r="VLS916" s="7"/>
      <c r="VLT916" s="7"/>
      <c r="VLU916" s="7"/>
      <c r="VLV916" s="7"/>
      <c r="VLW916" s="7"/>
      <c r="VLX916" s="7"/>
      <c r="VLY916" s="7"/>
      <c r="VLZ916" s="7"/>
      <c r="VMA916" s="7"/>
      <c r="VMB916" s="7"/>
      <c r="VMC916" s="7"/>
      <c r="VMD916" s="7"/>
      <c r="VME916" s="7"/>
      <c r="VMF916" s="7"/>
      <c r="VMG916" s="7"/>
      <c r="VMH916" s="7"/>
      <c r="VMI916" s="7"/>
      <c r="VMJ916" s="7"/>
      <c r="VMK916" s="7"/>
      <c r="VML916" s="7"/>
      <c r="VMM916" s="7"/>
      <c r="VMN916" s="7"/>
      <c r="VMO916" s="7"/>
      <c r="VMP916" s="7"/>
      <c r="VMQ916" s="7"/>
      <c r="VMR916" s="7"/>
      <c r="VMS916" s="7"/>
      <c r="VMT916" s="7"/>
      <c r="VMU916" s="7"/>
      <c r="VMV916" s="7"/>
      <c r="VMW916" s="7"/>
      <c r="VMX916" s="7"/>
      <c r="VMY916" s="7"/>
      <c r="VMZ916" s="7"/>
      <c r="VNA916" s="7"/>
      <c r="VNB916" s="7"/>
      <c r="VNC916" s="7"/>
      <c r="VND916" s="7"/>
      <c r="VNE916" s="7"/>
      <c r="VNF916" s="7"/>
      <c r="VNG916" s="7"/>
      <c r="VNH916" s="7"/>
      <c r="VNI916" s="7"/>
      <c r="VNJ916" s="7"/>
      <c r="VNK916" s="7"/>
      <c r="VNL916" s="7"/>
      <c r="VNM916" s="7"/>
      <c r="VNN916" s="7"/>
      <c r="VNO916" s="7"/>
      <c r="VNP916" s="7"/>
      <c r="VNQ916" s="7"/>
      <c r="VNR916" s="7"/>
      <c r="VNS916" s="7"/>
      <c r="VNT916" s="7"/>
      <c r="VNU916" s="7"/>
      <c r="VNV916" s="7"/>
      <c r="VNW916" s="7"/>
      <c r="VNX916" s="7"/>
      <c r="VNY916" s="7"/>
      <c r="VNZ916" s="7"/>
      <c r="VOA916" s="7"/>
      <c r="VOB916" s="7"/>
      <c r="VOC916" s="7"/>
      <c r="VOD916" s="7"/>
      <c r="VOE916" s="7"/>
      <c r="VOF916" s="7"/>
      <c r="VOG916" s="7"/>
      <c r="VOH916" s="7"/>
      <c r="VOI916" s="7"/>
      <c r="VOJ916" s="7"/>
      <c r="VOK916" s="7"/>
      <c r="VOL916" s="7"/>
      <c r="VOM916" s="7"/>
      <c r="VON916" s="7"/>
      <c r="VOO916" s="7"/>
      <c r="VOP916" s="7"/>
      <c r="VOQ916" s="7"/>
      <c r="VOR916" s="7"/>
      <c r="VOS916" s="7"/>
      <c r="VOT916" s="7"/>
      <c r="VOU916" s="7"/>
      <c r="VOV916" s="7"/>
      <c r="VOW916" s="7"/>
      <c r="VOX916" s="7"/>
      <c r="VOY916" s="7"/>
      <c r="VOZ916" s="7"/>
      <c r="VPA916" s="7"/>
      <c r="VPB916" s="7"/>
      <c r="VPC916" s="7"/>
      <c r="VPD916" s="7"/>
      <c r="VPE916" s="7"/>
      <c r="VPF916" s="7"/>
      <c r="VPG916" s="7"/>
      <c r="VPH916" s="7"/>
      <c r="VPI916" s="7"/>
      <c r="VPJ916" s="7"/>
      <c r="VPK916" s="7"/>
      <c r="VPL916" s="7"/>
      <c r="VPM916" s="7"/>
      <c r="VPN916" s="7"/>
      <c r="VPO916" s="7"/>
      <c r="VPP916" s="7"/>
      <c r="VPQ916" s="7"/>
      <c r="VPR916" s="7"/>
      <c r="VPS916" s="7"/>
      <c r="VPT916" s="7"/>
      <c r="VPU916" s="7"/>
      <c r="VPV916" s="7"/>
      <c r="VPW916" s="7"/>
      <c r="VPX916" s="7"/>
      <c r="VPY916" s="7"/>
      <c r="VPZ916" s="7"/>
      <c r="VQA916" s="7"/>
      <c r="VQB916" s="7"/>
      <c r="VQC916" s="7"/>
      <c r="VQD916" s="7"/>
      <c r="VQE916" s="7"/>
      <c r="VQF916" s="7"/>
      <c r="VQG916" s="7"/>
      <c r="VQH916" s="7"/>
      <c r="VQI916" s="7"/>
      <c r="VQJ916" s="7"/>
      <c r="VQK916" s="7"/>
      <c r="VQL916" s="7"/>
      <c r="VQM916" s="7"/>
      <c r="VQN916" s="7"/>
      <c r="VQO916" s="7"/>
      <c r="VQP916" s="7"/>
      <c r="VQQ916" s="7"/>
      <c r="VQR916" s="7"/>
      <c r="VQS916" s="7"/>
      <c r="VQT916" s="7"/>
      <c r="VQU916" s="7"/>
      <c r="VQV916" s="7"/>
      <c r="VQW916" s="7"/>
      <c r="VQX916" s="7"/>
      <c r="VQY916" s="7"/>
      <c r="VQZ916" s="7"/>
      <c r="VRA916" s="7"/>
      <c r="VRB916" s="7"/>
      <c r="VRC916" s="7"/>
      <c r="VRD916" s="7"/>
      <c r="VRE916" s="7"/>
      <c r="VRF916" s="7"/>
      <c r="VRG916" s="7"/>
      <c r="VRH916" s="7"/>
      <c r="VRI916" s="7"/>
      <c r="VRJ916" s="7"/>
      <c r="VRK916" s="7"/>
      <c r="VRL916" s="7"/>
      <c r="VRM916" s="7"/>
      <c r="VRN916" s="7"/>
      <c r="VRO916" s="7"/>
      <c r="VRP916" s="7"/>
      <c r="VRQ916" s="7"/>
      <c r="VRR916" s="7"/>
      <c r="VRS916" s="7"/>
      <c r="VRT916" s="7"/>
      <c r="VRU916" s="7"/>
      <c r="VRV916" s="7"/>
      <c r="VRW916" s="7"/>
      <c r="VRX916" s="7"/>
      <c r="VRY916" s="7"/>
      <c r="VRZ916" s="7"/>
      <c r="VSA916" s="7"/>
      <c r="VSB916" s="7"/>
      <c r="VSC916" s="7"/>
      <c r="VSD916" s="7"/>
      <c r="VSE916" s="7"/>
      <c r="VSF916" s="7"/>
      <c r="VSG916" s="7"/>
      <c r="VSH916" s="7"/>
      <c r="VSI916" s="7"/>
      <c r="VSJ916" s="7"/>
      <c r="VSK916" s="7"/>
      <c r="VSL916" s="7"/>
      <c r="VSM916" s="7"/>
      <c r="VSN916" s="7"/>
      <c r="VSO916" s="7"/>
      <c r="VSP916" s="7"/>
      <c r="VSQ916" s="7"/>
      <c r="VSR916" s="7"/>
      <c r="VSS916" s="7"/>
      <c r="VST916" s="7"/>
      <c r="VSU916" s="7"/>
      <c r="VSV916" s="7"/>
      <c r="VSW916" s="7"/>
      <c r="VSX916" s="7"/>
      <c r="VSY916" s="7"/>
      <c r="VSZ916" s="7"/>
      <c r="VTA916" s="7"/>
      <c r="VTB916" s="7"/>
      <c r="VTC916" s="7"/>
      <c r="VTD916" s="7"/>
      <c r="VTE916" s="7"/>
      <c r="VTF916" s="7"/>
      <c r="VTG916" s="7"/>
      <c r="VTH916" s="7"/>
      <c r="VTI916" s="7"/>
      <c r="VTJ916" s="7"/>
      <c r="VTK916" s="7"/>
      <c r="VTL916" s="7"/>
      <c r="VTM916" s="7"/>
      <c r="VTN916" s="7"/>
      <c r="VTO916" s="7"/>
      <c r="VTP916" s="7"/>
      <c r="VTQ916" s="7"/>
      <c r="VTR916" s="7"/>
      <c r="VTS916" s="7"/>
      <c r="VTT916" s="7"/>
      <c r="VTU916" s="7"/>
      <c r="VTV916" s="7"/>
      <c r="VTW916" s="7"/>
      <c r="VTX916" s="7"/>
      <c r="VTY916" s="7"/>
      <c r="VTZ916" s="7"/>
      <c r="VUA916" s="7"/>
      <c r="VUB916" s="7"/>
      <c r="VUC916" s="7"/>
      <c r="VUD916" s="7"/>
      <c r="VUE916" s="7"/>
      <c r="VUF916" s="7"/>
      <c r="VUG916" s="7"/>
      <c r="VUH916" s="7"/>
      <c r="VUI916" s="7"/>
      <c r="VUJ916" s="7"/>
      <c r="VUK916" s="7"/>
      <c r="VUL916" s="7"/>
      <c r="VUM916" s="7"/>
      <c r="VUN916" s="7"/>
      <c r="VUO916" s="7"/>
      <c r="VUP916" s="7"/>
      <c r="VUQ916" s="7"/>
      <c r="VUR916" s="7"/>
      <c r="VUS916" s="7"/>
      <c r="VUT916" s="7"/>
      <c r="VUU916" s="7"/>
      <c r="VUV916" s="7"/>
      <c r="VUW916" s="7"/>
      <c r="VUX916" s="7"/>
      <c r="VUY916" s="7"/>
      <c r="VUZ916" s="7"/>
      <c r="VVA916" s="7"/>
      <c r="VVB916" s="7"/>
      <c r="VVC916" s="7"/>
      <c r="VVD916" s="7"/>
      <c r="VVE916" s="7"/>
      <c r="VVF916" s="7"/>
      <c r="VVG916" s="7"/>
      <c r="VVH916" s="7"/>
      <c r="VVI916" s="7"/>
      <c r="VVJ916" s="7"/>
      <c r="VVK916" s="7"/>
      <c r="VVL916" s="7"/>
      <c r="VVM916" s="7"/>
      <c r="VVN916" s="7"/>
      <c r="VVO916" s="7"/>
      <c r="VVP916" s="7"/>
      <c r="VVQ916" s="7"/>
      <c r="VVR916" s="7"/>
      <c r="VVS916" s="7"/>
      <c r="VVT916" s="7"/>
      <c r="VVU916" s="7"/>
      <c r="VVV916" s="7"/>
      <c r="VVW916" s="7"/>
      <c r="VVX916" s="7"/>
      <c r="VVY916" s="7"/>
      <c r="VVZ916" s="7"/>
      <c r="VWA916" s="7"/>
      <c r="VWB916" s="7"/>
      <c r="VWC916" s="7"/>
      <c r="VWD916" s="7"/>
      <c r="VWE916" s="7"/>
      <c r="VWF916" s="7"/>
      <c r="VWG916" s="7"/>
      <c r="VWH916" s="7"/>
      <c r="VWI916" s="7"/>
      <c r="VWJ916" s="7"/>
      <c r="VWK916" s="7"/>
      <c r="VWL916" s="7"/>
      <c r="VWM916" s="7"/>
      <c r="VWN916" s="7"/>
      <c r="VWO916" s="7"/>
      <c r="VWP916" s="7"/>
      <c r="VWQ916" s="7"/>
      <c r="VWR916" s="7"/>
      <c r="VWS916" s="7"/>
      <c r="VWT916" s="7"/>
      <c r="VWU916" s="7"/>
      <c r="VWV916" s="7"/>
      <c r="VWW916" s="7"/>
      <c r="VWX916" s="7"/>
      <c r="VWY916" s="7"/>
      <c r="VWZ916" s="7"/>
      <c r="VXA916" s="7"/>
      <c r="VXB916" s="7"/>
      <c r="VXC916" s="7"/>
      <c r="VXD916" s="7"/>
      <c r="VXE916" s="7"/>
      <c r="VXF916" s="7"/>
      <c r="VXG916" s="7"/>
      <c r="VXH916" s="7"/>
      <c r="VXI916" s="7"/>
      <c r="VXJ916" s="7"/>
      <c r="VXK916" s="7"/>
      <c r="VXL916" s="7"/>
      <c r="VXM916" s="7"/>
      <c r="VXN916" s="7"/>
      <c r="VXO916" s="7"/>
      <c r="VXP916" s="7"/>
      <c r="VXQ916" s="7"/>
      <c r="VXR916" s="7"/>
      <c r="VXS916" s="7"/>
      <c r="VXT916" s="7"/>
      <c r="VXU916" s="7"/>
      <c r="VXV916" s="7"/>
      <c r="VXW916" s="7"/>
      <c r="VXX916" s="7"/>
      <c r="VXY916" s="7"/>
      <c r="VXZ916" s="7"/>
      <c r="VYA916" s="7"/>
      <c r="VYB916" s="7"/>
      <c r="VYC916" s="7"/>
      <c r="VYD916" s="7"/>
      <c r="VYE916" s="7"/>
      <c r="VYF916" s="7"/>
      <c r="VYG916" s="7"/>
      <c r="VYH916" s="7"/>
      <c r="VYI916" s="7"/>
      <c r="VYJ916" s="7"/>
      <c r="VYK916" s="7"/>
      <c r="VYL916" s="7"/>
      <c r="VYM916" s="7"/>
      <c r="VYN916" s="7"/>
      <c r="VYO916" s="7"/>
      <c r="VYP916" s="7"/>
      <c r="VYQ916" s="7"/>
      <c r="VYR916" s="7"/>
      <c r="VYS916" s="7"/>
      <c r="VYT916" s="7"/>
      <c r="VYU916" s="7"/>
      <c r="VYV916" s="7"/>
      <c r="VYW916" s="7"/>
      <c r="VYX916" s="7"/>
      <c r="VYY916" s="7"/>
      <c r="VYZ916" s="7"/>
      <c r="VZA916" s="7"/>
      <c r="VZB916" s="7"/>
      <c r="VZC916" s="7"/>
      <c r="VZD916" s="7"/>
      <c r="VZE916" s="7"/>
      <c r="VZF916" s="7"/>
      <c r="VZG916" s="7"/>
      <c r="VZH916" s="7"/>
      <c r="VZI916" s="7"/>
      <c r="VZJ916" s="7"/>
      <c r="VZK916" s="7"/>
      <c r="VZL916" s="7"/>
      <c r="VZM916" s="7"/>
      <c r="VZN916" s="7"/>
      <c r="VZO916" s="7"/>
      <c r="VZP916" s="7"/>
      <c r="VZQ916" s="7"/>
      <c r="VZR916" s="7"/>
      <c r="VZS916" s="7"/>
      <c r="VZT916" s="7"/>
      <c r="VZU916" s="7"/>
      <c r="VZV916" s="7"/>
      <c r="VZW916" s="7"/>
      <c r="VZX916" s="7"/>
      <c r="VZY916" s="7"/>
      <c r="VZZ916" s="7"/>
      <c r="WAA916" s="7"/>
      <c r="WAB916" s="7"/>
      <c r="WAC916" s="7"/>
      <c r="WAD916" s="7"/>
      <c r="WAE916" s="7"/>
      <c r="WAF916" s="7"/>
      <c r="WAG916" s="7"/>
      <c r="WAH916" s="7"/>
      <c r="WAI916" s="7"/>
      <c r="WAJ916" s="7"/>
      <c r="WAK916" s="7"/>
      <c r="WAL916" s="7"/>
      <c r="WAM916" s="7"/>
      <c r="WAN916" s="7"/>
      <c r="WAO916" s="7"/>
      <c r="WAP916" s="7"/>
      <c r="WAQ916" s="7"/>
      <c r="WAR916" s="7"/>
      <c r="WAS916" s="7"/>
      <c r="WAT916" s="7"/>
      <c r="WAU916" s="7"/>
      <c r="WAV916" s="7"/>
      <c r="WAW916" s="7"/>
      <c r="WAX916" s="7"/>
      <c r="WAY916" s="7"/>
      <c r="WAZ916" s="7"/>
      <c r="WBA916" s="7"/>
      <c r="WBB916" s="7"/>
      <c r="WBC916" s="7"/>
      <c r="WBD916" s="7"/>
      <c r="WBE916" s="7"/>
      <c r="WBF916" s="7"/>
      <c r="WBG916" s="7"/>
      <c r="WBH916" s="7"/>
      <c r="WBI916" s="7"/>
      <c r="WBJ916" s="7"/>
      <c r="WBK916" s="7"/>
      <c r="WBL916" s="7"/>
      <c r="WBM916" s="7"/>
      <c r="WBN916" s="7"/>
      <c r="WBO916" s="7"/>
      <c r="WBP916" s="7"/>
      <c r="WBQ916" s="7"/>
      <c r="WBR916" s="7"/>
      <c r="WBS916" s="7"/>
      <c r="WBT916" s="7"/>
      <c r="WBU916" s="7"/>
      <c r="WBV916" s="7"/>
      <c r="WBW916" s="7"/>
      <c r="WBX916" s="7"/>
      <c r="WBY916" s="7"/>
      <c r="WBZ916" s="7"/>
      <c r="WCA916" s="7"/>
      <c r="WCB916" s="7"/>
      <c r="WCC916" s="7"/>
      <c r="WCD916" s="7"/>
      <c r="WCE916" s="7"/>
      <c r="WCF916" s="7"/>
      <c r="WCG916" s="7"/>
      <c r="WCH916" s="7"/>
      <c r="WCI916" s="7"/>
      <c r="WCJ916" s="7"/>
      <c r="WCK916" s="7"/>
      <c r="WCL916" s="7"/>
      <c r="WCM916" s="7"/>
      <c r="WCN916" s="7"/>
      <c r="WCO916" s="7"/>
      <c r="WCP916" s="7"/>
      <c r="WCQ916" s="7"/>
      <c r="WCR916" s="7"/>
      <c r="WCS916" s="7"/>
      <c r="WCT916" s="7"/>
      <c r="WCU916" s="7"/>
      <c r="WCV916" s="7"/>
      <c r="WCW916" s="7"/>
      <c r="WCX916" s="7"/>
      <c r="WCY916" s="7"/>
      <c r="WCZ916" s="7"/>
      <c r="WDA916" s="7"/>
      <c r="WDB916" s="7"/>
      <c r="WDC916" s="7"/>
      <c r="WDD916" s="7"/>
      <c r="WDE916" s="7"/>
      <c r="WDF916" s="7"/>
      <c r="WDG916" s="7"/>
      <c r="WDH916" s="7"/>
      <c r="WDI916" s="7"/>
      <c r="WDJ916" s="7"/>
      <c r="WDK916" s="7"/>
      <c r="WDL916" s="7"/>
      <c r="WDM916" s="7"/>
      <c r="WDN916" s="7"/>
      <c r="WDO916" s="7"/>
      <c r="WDP916" s="7"/>
      <c r="WDQ916" s="7"/>
      <c r="WDR916" s="7"/>
      <c r="WDS916" s="7"/>
      <c r="WDT916" s="7"/>
      <c r="WDU916" s="7"/>
      <c r="WDV916" s="7"/>
      <c r="WDW916" s="7"/>
      <c r="WDX916" s="7"/>
      <c r="WDY916" s="7"/>
      <c r="WDZ916" s="7"/>
      <c r="WEA916" s="7"/>
      <c r="WEB916" s="7"/>
      <c r="WEC916" s="7"/>
      <c r="WED916" s="7"/>
      <c r="WEE916" s="7"/>
      <c r="WEF916" s="7"/>
      <c r="WEG916" s="7"/>
      <c r="WEH916" s="7"/>
      <c r="WEI916" s="7"/>
      <c r="WEJ916" s="7"/>
      <c r="WEK916" s="7"/>
      <c r="WEL916" s="7"/>
      <c r="WEM916" s="7"/>
      <c r="WEN916" s="7"/>
      <c r="WEO916" s="7"/>
      <c r="WEP916" s="7"/>
      <c r="WEQ916" s="7"/>
      <c r="WER916" s="7"/>
      <c r="WES916" s="7"/>
      <c r="WET916" s="7"/>
      <c r="WEU916" s="7"/>
      <c r="WEV916" s="7"/>
      <c r="WEW916" s="7"/>
      <c r="WEX916" s="7"/>
      <c r="WEY916" s="7"/>
      <c r="WEZ916" s="7"/>
      <c r="WFA916" s="7"/>
      <c r="WFB916" s="7"/>
      <c r="WFC916" s="7"/>
      <c r="WFD916" s="7"/>
      <c r="WFE916" s="7"/>
      <c r="WFF916" s="7"/>
      <c r="WFG916" s="7"/>
      <c r="WFH916" s="7"/>
      <c r="WFI916" s="7"/>
      <c r="WFJ916" s="7"/>
      <c r="WFK916" s="7"/>
      <c r="WFL916" s="7"/>
      <c r="WFM916" s="7"/>
      <c r="WFN916" s="7"/>
      <c r="WFO916" s="7"/>
      <c r="WFP916" s="7"/>
      <c r="WFQ916" s="7"/>
      <c r="WFR916" s="7"/>
      <c r="WFS916" s="7"/>
      <c r="WFT916" s="7"/>
      <c r="WFU916" s="7"/>
      <c r="WFV916" s="7"/>
      <c r="WFW916" s="7"/>
      <c r="WFX916" s="7"/>
      <c r="WFY916" s="7"/>
      <c r="WFZ916" s="7"/>
      <c r="WGA916" s="7"/>
      <c r="WGB916" s="7"/>
      <c r="WGC916" s="7"/>
      <c r="WGD916" s="7"/>
      <c r="WGE916" s="7"/>
      <c r="WGF916" s="7"/>
      <c r="WGG916" s="7"/>
      <c r="WGH916" s="7"/>
      <c r="WGI916" s="7"/>
      <c r="WGJ916" s="7"/>
      <c r="WGK916" s="7"/>
      <c r="WGL916" s="7"/>
      <c r="WGM916" s="7"/>
      <c r="WGN916" s="7"/>
      <c r="WGO916" s="7"/>
      <c r="WGP916" s="7"/>
      <c r="WGQ916" s="7"/>
      <c r="WGR916" s="7"/>
      <c r="WGS916" s="7"/>
      <c r="WGT916" s="7"/>
      <c r="WGU916" s="7"/>
      <c r="WGV916" s="7"/>
      <c r="WGW916" s="7"/>
      <c r="WGX916" s="7"/>
      <c r="WGY916" s="7"/>
      <c r="WGZ916" s="7"/>
      <c r="WHA916" s="7"/>
      <c r="WHB916" s="7"/>
      <c r="WHC916" s="7"/>
      <c r="WHD916" s="7"/>
      <c r="WHE916" s="7"/>
      <c r="WHF916" s="7"/>
      <c r="WHG916" s="7"/>
      <c r="WHH916" s="7"/>
      <c r="WHI916" s="7"/>
      <c r="WHJ916" s="7"/>
      <c r="WHK916" s="7"/>
      <c r="WHL916" s="7"/>
      <c r="WHM916" s="7"/>
      <c r="WHN916" s="7"/>
      <c r="WHO916" s="7"/>
      <c r="WHP916" s="7"/>
      <c r="WHQ916" s="7"/>
      <c r="WHR916" s="7"/>
      <c r="WHS916" s="7"/>
      <c r="WHT916" s="7"/>
      <c r="WHU916" s="7"/>
      <c r="WHV916" s="7"/>
      <c r="WHW916" s="7"/>
      <c r="WHX916" s="7"/>
      <c r="WHY916" s="7"/>
      <c r="WHZ916" s="7"/>
      <c r="WIA916" s="7"/>
      <c r="WIB916" s="7"/>
      <c r="WIC916" s="7"/>
      <c r="WID916" s="7"/>
      <c r="WIE916" s="7"/>
      <c r="WIF916" s="7"/>
      <c r="WIG916" s="7"/>
      <c r="WIH916" s="7"/>
      <c r="WII916" s="7"/>
      <c r="WIJ916" s="7"/>
      <c r="WIK916" s="7"/>
      <c r="WIL916" s="7"/>
      <c r="WIM916" s="7"/>
      <c r="WIN916" s="7"/>
      <c r="WIO916" s="7"/>
      <c r="WIP916" s="7"/>
      <c r="WIQ916" s="7"/>
      <c r="WIR916" s="7"/>
      <c r="WIS916" s="7"/>
      <c r="WIT916" s="7"/>
      <c r="WIU916" s="7"/>
      <c r="WIV916" s="7"/>
      <c r="WIW916" s="7"/>
      <c r="WIX916" s="7"/>
      <c r="WIY916" s="7"/>
      <c r="WIZ916" s="7"/>
      <c r="WJA916" s="7"/>
      <c r="WJB916" s="7"/>
      <c r="WJC916" s="7"/>
      <c r="WJD916" s="7"/>
      <c r="WJE916" s="7"/>
      <c r="WJF916" s="7"/>
      <c r="WJG916" s="7"/>
      <c r="WJH916" s="7"/>
      <c r="WJI916" s="7"/>
      <c r="WJJ916" s="7"/>
      <c r="WJK916" s="7"/>
      <c r="WJL916" s="7"/>
      <c r="WJM916" s="7"/>
      <c r="WJN916" s="7"/>
      <c r="WJO916" s="7"/>
      <c r="WJP916" s="7"/>
      <c r="WJQ916" s="7"/>
      <c r="WJR916" s="7"/>
      <c r="WJS916" s="7"/>
      <c r="WJT916" s="7"/>
      <c r="WJU916" s="7"/>
      <c r="WJV916" s="7"/>
      <c r="WJW916" s="7"/>
      <c r="WJX916" s="7"/>
      <c r="WJY916" s="7"/>
      <c r="WJZ916" s="7"/>
      <c r="WKA916" s="7"/>
      <c r="WKB916" s="7"/>
      <c r="WKC916" s="7"/>
      <c r="WKD916" s="7"/>
      <c r="WKE916" s="7"/>
      <c r="WKF916" s="7"/>
      <c r="WKG916" s="7"/>
      <c r="WKH916" s="7"/>
      <c r="WKI916" s="7"/>
      <c r="WKJ916" s="7"/>
      <c r="WKK916" s="7"/>
      <c r="WKL916" s="7"/>
      <c r="WKM916" s="7"/>
      <c r="WKN916" s="7"/>
      <c r="WKO916" s="7"/>
      <c r="WKP916" s="7"/>
      <c r="WKQ916" s="7"/>
      <c r="WKR916" s="7"/>
      <c r="WKS916" s="7"/>
      <c r="WKT916" s="7"/>
      <c r="WKU916" s="7"/>
      <c r="WKV916" s="7"/>
      <c r="WKW916" s="7"/>
      <c r="WKX916" s="7"/>
      <c r="WKY916" s="7"/>
      <c r="WKZ916" s="7"/>
      <c r="WLA916" s="7"/>
      <c r="WLB916" s="7"/>
      <c r="WLC916" s="7"/>
      <c r="WLD916" s="7"/>
      <c r="WLE916" s="7"/>
      <c r="WLF916" s="7"/>
      <c r="WLG916" s="7"/>
      <c r="WLH916" s="7"/>
      <c r="WLI916" s="7"/>
      <c r="WLJ916" s="7"/>
      <c r="WLK916" s="7"/>
      <c r="WLL916" s="7"/>
      <c r="WLM916" s="7"/>
      <c r="WLN916" s="7"/>
      <c r="WLO916" s="7"/>
      <c r="WLP916" s="7"/>
      <c r="WLQ916" s="7"/>
      <c r="WLR916" s="7"/>
      <c r="WLS916" s="7"/>
      <c r="WLT916" s="7"/>
      <c r="WLU916" s="7"/>
      <c r="WLV916" s="7"/>
      <c r="WLW916" s="7"/>
      <c r="WLX916" s="7"/>
      <c r="WLY916" s="7"/>
      <c r="WLZ916" s="7"/>
      <c r="WMA916" s="7"/>
      <c r="WMB916" s="7"/>
      <c r="WMC916" s="7"/>
      <c r="WMD916" s="7"/>
      <c r="WME916" s="7"/>
      <c r="WMF916" s="7"/>
      <c r="WMG916" s="7"/>
      <c r="WMH916" s="7"/>
      <c r="WMI916" s="7"/>
      <c r="WMJ916" s="7"/>
      <c r="WMK916" s="7"/>
      <c r="WML916" s="7"/>
      <c r="WMM916" s="7"/>
      <c r="WMN916" s="7"/>
      <c r="WMO916" s="7"/>
      <c r="WMP916" s="7"/>
      <c r="WMQ916" s="7"/>
      <c r="WMR916" s="7"/>
      <c r="WMS916" s="7"/>
      <c r="WMT916" s="7"/>
      <c r="WMU916" s="7"/>
      <c r="WMV916" s="7"/>
      <c r="WMW916" s="7"/>
      <c r="WMX916" s="7"/>
      <c r="WMY916" s="7"/>
      <c r="WMZ916" s="7"/>
      <c r="WNA916" s="7"/>
      <c r="WNB916" s="7"/>
      <c r="WNC916" s="7"/>
      <c r="WND916" s="7"/>
      <c r="WNE916" s="7"/>
      <c r="WNF916" s="7"/>
      <c r="WNG916" s="7"/>
      <c r="WNH916" s="7"/>
      <c r="WNI916" s="7"/>
      <c r="WNJ916" s="7"/>
      <c r="WNK916" s="7"/>
      <c r="WNL916" s="7"/>
      <c r="WNM916" s="7"/>
      <c r="WNN916" s="7"/>
      <c r="WNO916" s="7"/>
      <c r="WNP916" s="7"/>
      <c r="WNQ916" s="7"/>
      <c r="WNR916" s="7"/>
      <c r="WNS916" s="7"/>
      <c r="WNT916" s="7"/>
      <c r="WNU916" s="7"/>
      <c r="WNV916" s="7"/>
      <c r="WNW916" s="7"/>
      <c r="WNX916" s="7"/>
      <c r="WNY916" s="7"/>
      <c r="WNZ916" s="7"/>
      <c r="WOA916" s="7"/>
      <c r="WOB916" s="7"/>
      <c r="WOC916" s="7"/>
      <c r="WOD916" s="7"/>
      <c r="WOE916" s="7"/>
      <c r="WOF916" s="7"/>
      <c r="WOG916" s="7"/>
      <c r="WOH916" s="7"/>
      <c r="WOI916" s="7"/>
      <c r="WOJ916" s="7"/>
      <c r="WOK916" s="7"/>
      <c r="WOL916" s="7"/>
      <c r="WOM916" s="7"/>
      <c r="WON916" s="7"/>
      <c r="WOO916" s="7"/>
      <c r="WOP916" s="7"/>
      <c r="WOQ916" s="7"/>
      <c r="WOR916" s="7"/>
      <c r="WOS916" s="7"/>
      <c r="WOT916" s="7"/>
      <c r="WOU916" s="7"/>
      <c r="WOV916" s="7"/>
      <c r="WOW916" s="7"/>
      <c r="WOX916" s="7"/>
      <c r="WOY916" s="7"/>
      <c r="WOZ916" s="7"/>
      <c r="WPA916" s="7"/>
      <c r="WPB916" s="7"/>
      <c r="WPC916" s="7"/>
      <c r="WPD916" s="7"/>
      <c r="WPE916" s="7"/>
      <c r="WPF916" s="7"/>
      <c r="WPG916" s="7"/>
      <c r="WPH916" s="7"/>
      <c r="WPI916" s="7"/>
      <c r="WPJ916" s="7"/>
      <c r="WPK916" s="7"/>
      <c r="WPL916" s="7"/>
      <c r="WPM916" s="7"/>
      <c r="WPN916" s="7"/>
      <c r="WPO916" s="7"/>
      <c r="WPP916" s="7"/>
      <c r="WPQ916" s="7"/>
      <c r="WPR916" s="7"/>
      <c r="WPS916" s="7"/>
      <c r="WPT916" s="7"/>
      <c r="WPU916" s="7"/>
      <c r="WPV916" s="7"/>
      <c r="WPW916" s="7"/>
      <c r="WPX916" s="7"/>
      <c r="WPY916" s="7"/>
      <c r="WPZ916" s="7"/>
      <c r="WQA916" s="7"/>
      <c r="WQB916" s="7"/>
      <c r="WQC916" s="7"/>
      <c r="WQD916" s="7"/>
      <c r="WQE916" s="7"/>
      <c r="WQF916" s="7"/>
      <c r="WQG916" s="7"/>
      <c r="WQH916" s="7"/>
      <c r="WQI916" s="7"/>
      <c r="WQJ916" s="7"/>
      <c r="WQK916" s="7"/>
      <c r="WQL916" s="7"/>
      <c r="WQM916" s="7"/>
      <c r="WQN916" s="7"/>
      <c r="WQO916" s="7"/>
      <c r="WQP916" s="7"/>
      <c r="WQQ916" s="7"/>
      <c r="WQR916" s="7"/>
      <c r="WQS916" s="7"/>
      <c r="WQT916" s="7"/>
      <c r="WQU916" s="7"/>
      <c r="WQV916" s="7"/>
      <c r="WQW916" s="7"/>
      <c r="WQX916" s="7"/>
      <c r="WQY916" s="7"/>
      <c r="WQZ916" s="7"/>
      <c r="WRA916" s="7"/>
      <c r="WRB916" s="7"/>
      <c r="WRC916" s="7"/>
      <c r="WRD916" s="7"/>
      <c r="WRE916" s="7"/>
      <c r="WRF916" s="7"/>
      <c r="WRG916" s="7"/>
      <c r="WRH916" s="7"/>
      <c r="WRI916" s="7"/>
      <c r="WRJ916" s="7"/>
      <c r="WRK916" s="7"/>
      <c r="WRL916" s="7"/>
      <c r="WRM916" s="7"/>
      <c r="WRN916" s="7"/>
      <c r="WRO916" s="7"/>
      <c r="WRP916" s="7"/>
      <c r="WRQ916" s="7"/>
      <c r="WRR916" s="7"/>
      <c r="WRS916" s="7"/>
      <c r="WRT916" s="7"/>
      <c r="WRU916" s="7"/>
      <c r="WRV916" s="7"/>
      <c r="WRW916" s="7"/>
      <c r="WRX916" s="7"/>
      <c r="WRY916" s="7"/>
      <c r="WRZ916" s="7"/>
      <c r="WSA916" s="7"/>
      <c r="WSB916" s="7"/>
      <c r="WSC916" s="7"/>
      <c r="WSD916" s="7"/>
      <c r="WSE916" s="7"/>
      <c r="WSF916" s="7"/>
      <c r="WSG916" s="7"/>
      <c r="WSH916" s="7"/>
      <c r="WSI916" s="7"/>
      <c r="WSJ916" s="7"/>
      <c r="WSK916" s="7"/>
      <c r="WSL916" s="7"/>
      <c r="WSM916" s="7"/>
      <c r="WSN916" s="7"/>
      <c r="WSO916" s="7"/>
      <c r="WSP916" s="7"/>
      <c r="WSQ916" s="7"/>
      <c r="WSR916" s="7"/>
      <c r="WSS916" s="7"/>
      <c r="WST916" s="7"/>
      <c r="WSU916" s="7"/>
      <c r="WSV916" s="7"/>
      <c r="WSW916" s="7"/>
      <c r="WSX916" s="7"/>
      <c r="WSY916" s="7"/>
      <c r="WSZ916" s="7"/>
      <c r="WTA916" s="7"/>
      <c r="WTB916" s="7"/>
      <c r="WTC916" s="7"/>
      <c r="WTD916" s="7"/>
      <c r="WTE916" s="7"/>
      <c r="WTF916" s="7"/>
      <c r="WTG916" s="7"/>
      <c r="WTH916" s="7"/>
      <c r="WTI916" s="7"/>
      <c r="WTJ916" s="7"/>
      <c r="WTK916" s="7"/>
      <c r="WTL916" s="7"/>
      <c r="WTM916" s="7"/>
      <c r="WTN916" s="7"/>
      <c r="WTO916" s="7"/>
      <c r="WTP916" s="7"/>
      <c r="WTQ916" s="7"/>
      <c r="WTR916" s="7"/>
      <c r="WTS916" s="7"/>
      <c r="WTT916" s="7"/>
      <c r="WTU916" s="7"/>
      <c r="WTV916" s="7"/>
      <c r="WTW916" s="7"/>
      <c r="WTX916" s="7"/>
      <c r="WTY916" s="7"/>
      <c r="WTZ916" s="7"/>
      <c r="WUA916" s="7"/>
      <c r="WUB916" s="7"/>
      <c r="WUC916" s="7"/>
      <c r="WUD916" s="7"/>
      <c r="WUE916" s="7"/>
      <c r="WUF916" s="7"/>
      <c r="WUG916" s="7"/>
      <c r="WUH916" s="7"/>
      <c r="WUI916" s="7"/>
      <c r="WUJ916" s="7"/>
      <c r="WUK916" s="7"/>
      <c r="WUL916" s="7"/>
      <c r="WUM916" s="7"/>
      <c r="WUN916" s="7"/>
      <c r="WUO916" s="7"/>
      <c r="WUP916" s="7"/>
      <c r="WUQ916" s="7"/>
      <c r="WUR916" s="7"/>
      <c r="WUS916" s="7"/>
      <c r="WUT916" s="7"/>
      <c r="WUU916" s="7"/>
      <c r="WUV916" s="7"/>
      <c r="WUW916" s="7"/>
      <c r="WUX916" s="7"/>
      <c r="WUY916" s="7"/>
      <c r="WUZ916" s="7"/>
      <c r="WVA916" s="7"/>
      <c r="WVB916" s="7"/>
      <c r="WVC916" s="7"/>
      <c r="WVD916" s="7"/>
      <c r="WVE916" s="7"/>
      <c r="WVF916" s="7"/>
      <c r="WVG916" s="7"/>
      <c r="WVH916" s="7"/>
      <c r="WVI916" s="7"/>
      <c r="WVJ916" s="7"/>
      <c r="WVK916" s="7"/>
      <c r="WVL916" s="7"/>
      <c r="WVM916" s="7"/>
      <c r="WVN916" s="7"/>
      <c r="WVO916" s="7"/>
      <c r="WVP916" s="7"/>
      <c r="WVQ916" s="7"/>
      <c r="WVR916" s="7"/>
      <c r="WVS916" s="7"/>
      <c r="WVT916" s="7"/>
      <c r="WVU916" s="7"/>
      <c r="WVV916" s="7"/>
      <c r="WVW916" s="7"/>
      <c r="WVX916" s="7"/>
      <c r="WVY916" s="7"/>
      <c r="WVZ916" s="7"/>
      <c r="WWA916" s="7"/>
      <c r="WWB916" s="7"/>
      <c r="WWC916" s="7"/>
      <c r="WWD916" s="7"/>
      <c r="WWE916" s="7"/>
      <c r="WWF916" s="7"/>
      <c r="WWG916" s="7"/>
      <c r="WWH916" s="7"/>
      <c r="WWI916" s="7"/>
      <c r="WWJ916" s="7"/>
      <c r="WWK916" s="7"/>
      <c r="WWL916" s="7"/>
      <c r="WWM916" s="7"/>
      <c r="WWN916" s="7"/>
      <c r="WWO916" s="7"/>
      <c r="WWP916" s="7"/>
      <c r="WWQ916" s="7"/>
      <c r="WWR916" s="7"/>
      <c r="WWS916" s="7"/>
      <c r="WWT916" s="7"/>
      <c r="WWU916" s="7"/>
      <c r="WWV916" s="7"/>
      <c r="WWW916" s="7"/>
      <c r="WWX916" s="7"/>
      <c r="WWY916" s="7"/>
      <c r="WWZ916" s="7"/>
      <c r="WXA916" s="7"/>
      <c r="WXB916" s="7"/>
      <c r="WXC916" s="7"/>
      <c r="WXD916" s="7"/>
      <c r="WXE916" s="7"/>
      <c r="WXF916" s="7"/>
      <c r="WXG916" s="7"/>
      <c r="WXH916" s="7"/>
      <c r="WXI916" s="7"/>
      <c r="WXJ916" s="7"/>
      <c r="WXK916" s="7"/>
      <c r="WXL916" s="7"/>
      <c r="WXM916" s="7"/>
      <c r="WXN916" s="7"/>
      <c r="WXO916" s="7"/>
      <c r="WXP916" s="7"/>
      <c r="WXQ916" s="7"/>
      <c r="WXR916" s="7"/>
      <c r="WXS916" s="7"/>
      <c r="WXT916" s="7"/>
      <c r="WXU916" s="7"/>
      <c r="WXV916" s="7"/>
      <c r="WXW916" s="7"/>
      <c r="WXX916" s="7"/>
      <c r="WXY916" s="7"/>
      <c r="WXZ916" s="7"/>
      <c r="WYA916" s="7"/>
    </row>
    <row r="917" spans="1:16199" ht="61.5" x14ac:dyDescent="0.85">
      <c r="B917" s="160" t="s">
        <v>818</v>
      </c>
      <c r="C917" s="160"/>
      <c r="D917" s="177">
        <f t="shared" ref="D917:AE917" si="134">D918</f>
        <v>3520710.77</v>
      </c>
      <c r="E917" s="60">
        <f t="shared" si="134"/>
        <v>0</v>
      </c>
      <c r="F917" s="60">
        <f t="shared" si="134"/>
        <v>0</v>
      </c>
      <c r="G917" s="60">
        <f t="shared" si="134"/>
        <v>0</v>
      </c>
      <c r="H917" s="60">
        <f t="shared" si="134"/>
        <v>0</v>
      </c>
      <c r="I917" s="60">
        <f t="shared" si="134"/>
        <v>0</v>
      </c>
      <c r="J917" s="60">
        <f t="shared" si="134"/>
        <v>0</v>
      </c>
      <c r="K917" s="168">
        <f t="shared" si="134"/>
        <v>0</v>
      </c>
      <c r="L917" s="60">
        <f t="shared" si="134"/>
        <v>0</v>
      </c>
      <c r="M917" s="60">
        <f t="shared" si="134"/>
        <v>550.73</v>
      </c>
      <c r="N917" s="60">
        <f t="shared" si="134"/>
        <v>3401020</v>
      </c>
      <c r="O917" s="60">
        <f t="shared" si="134"/>
        <v>0</v>
      </c>
      <c r="P917" s="60">
        <f t="shared" si="134"/>
        <v>0</v>
      </c>
      <c r="Q917" s="60">
        <f t="shared" si="134"/>
        <v>0</v>
      </c>
      <c r="R917" s="60">
        <f t="shared" si="134"/>
        <v>0</v>
      </c>
      <c r="S917" s="60">
        <f t="shared" si="134"/>
        <v>0</v>
      </c>
      <c r="T917" s="60">
        <f t="shared" si="134"/>
        <v>0</v>
      </c>
      <c r="U917" s="60">
        <f t="shared" si="134"/>
        <v>0</v>
      </c>
      <c r="V917" s="60">
        <f t="shared" si="134"/>
        <v>0</v>
      </c>
      <c r="W917" s="60">
        <f t="shared" si="134"/>
        <v>0</v>
      </c>
      <c r="X917" s="60">
        <f t="shared" si="134"/>
        <v>0</v>
      </c>
      <c r="Y917" s="60">
        <f t="shared" si="134"/>
        <v>0</v>
      </c>
      <c r="Z917" s="60">
        <f t="shared" si="134"/>
        <v>0</v>
      </c>
      <c r="AA917" s="60">
        <f t="shared" si="134"/>
        <v>0</v>
      </c>
      <c r="AB917" s="60">
        <f t="shared" si="134"/>
        <v>0</v>
      </c>
      <c r="AC917" s="60">
        <f t="shared" si="134"/>
        <v>35455.629999999997</v>
      </c>
      <c r="AD917" s="60">
        <f t="shared" si="134"/>
        <v>84235.14</v>
      </c>
      <c r="AE917" s="60">
        <f t="shared" si="134"/>
        <v>0</v>
      </c>
      <c r="AF917" s="54" t="s">
        <v>701</v>
      </c>
      <c r="AG917" s="54" t="s">
        <v>701</v>
      </c>
      <c r="AH917" s="55" t="s">
        <v>701</v>
      </c>
    </row>
    <row r="918" spans="1:16199" ht="61.5" x14ac:dyDescent="0.85">
      <c r="A918" s="7">
        <v>1</v>
      </c>
      <c r="B918" s="59">
        <f>SUBTOTAL(103,$A$558:A918)</f>
        <v>330</v>
      </c>
      <c r="C918" s="160" t="s">
        <v>81</v>
      </c>
      <c r="D918" s="60">
        <f>E918+F918+G918+H918+I918+J918+L918+N918+P918+R918+T918+U918+V918+W918+X918+Y918+Z918+AA918+AB918+AC918+AD918+AE918</f>
        <v>3520710.77</v>
      </c>
      <c r="E918" s="60">
        <v>0</v>
      </c>
      <c r="F918" s="60">
        <v>0</v>
      </c>
      <c r="G918" s="60">
        <v>0</v>
      </c>
      <c r="H918" s="60">
        <v>0</v>
      </c>
      <c r="I918" s="60">
        <v>0</v>
      </c>
      <c r="J918" s="60">
        <v>0</v>
      </c>
      <c r="K918" s="168">
        <v>0</v>
      </c>
      <c r="L918" s="60">
        <v>0</v>
      </c>
      <c r="M918" s="60">
        <v>550.73</v>
      </c>
      <c r="N918" s="60">
        <v>3401020</v>
      </c>
      <c r="O918" s="60">
        <v>0</v>
      </c>
      <c r="P918" s="60">
        <v>0</v>
      </c>
      <c r="Q918" s="60">
        <v>0</v>
      </c>
      <c r="R918" s="60">
        <v>0</v>
      </c>
      <c r="S918" s="60">
        <v>0</v>
      </c>
      <c r="T918" s="60">
        <v>0</v>
      </c>
      <c r="U918" s="60">
        <v>0</v>
      </c>
      <c r="V918" s="60">
        <v>0</v>
      </c>
      <c r="W918" s="60">
        <v>0</v>
      </c>
      <c r="X918" s="60">
        <v>0</v>
      </c>
      <c r="Y918" s="60">
        <v>0</v>
      </c>
      <c r="Z918" s="60">
        <v>0</v>
      </c>
      <c r="AA918" s="60">
        <v>0</v>
      </c>
      <c r="AB918" s="60">
        <v>0</v>
      </c>
      <c r="AC918" s="62">
        <v>35455.629999999997</v>
      </c>
      <c r="AD918" s="60">
        <v>84235.14</v>
      </c>
      <c r="AE918" s="60">
        <v>0</v>
      </c>
      <c r="AF918" s="170">
        <v>2021</v>
      </c>
      <c r="AG918" s="170">
        <v>2021</v>
      </c>
      <c r="AH918" s="63">
        <v>2021</v>
      </c>
    </row>
    <row r="919" spans="1:16199" ht="61.5" x14ac:dyDescent="0.85">
      <c r="B919" s="160" t="s">
        <v>785</v>
      </c>
      <c r="C919" s="176"/>
      <c r="D919" s="177">
        <f t="shared" ref="D919:AE919" si="135">SUM(D920:D922)</f>
        <v>4927013.3100000005</v>
      </c>
      <c r="E919" s="60">
        <f t="shared" si="135"/>
        <v>0</v>
      </c>
      <c r="F919" s="60">
        <f t="shared" si="135"/>
        <v>0</v>
      </c>
      <c r="G919" s="60">
        <f t="shared" si="135"/>
        <v>0</v>
      </c>
      <c r="H919" s="60">
        <f t="shared" si="135"/>
        <v>0</v>
      </c>
      <c r="I919" s="60">
        <f t="shared" si="135"/>
        <v>0</v>
      </c>
      <c r="J919" s="60">
        <f t="shared" si="135"/>
        <v>0</v>
      </c>
      <c r="K919" s="168">
        <f t="shared" si="135"/>
        <v>0</v>
      </c>
      <c r="L919" s="60">
        <f t="shared" si="135"/>
        <v>0</v>
      </c>
      <c r="M919" s="60">
        <f t="shared" si="135"/>
        <v>0</v>
      </c>
      <c r="N919" s="60">
        <f t="shared" si="135"/>
        <v>0</v>
      </c>
      <c r="O919" s="60">
        <f t="shared" si="135"/>
        <v>0</v>
      </c>
      <c r="P919" s="60">
        <f t="shared" si="135"/>
        <v>0</v>
      </c>
      <c r="Q919" s="60">
        <f t="shared" si="135"/>
        <v>0</v>
      </c>
      <c r="R919" s="60">
        <f t="shared" si="135"/>
        <v>0</v>
      </c>
      <c r="S919" s="60">
        <f t="shared" si="135"/>
        <v>0</v>
      </c>
      <c r="T919" s="60">
        <f t="shared" si="135"/>
        <v>0</v>
      </c>
      <c r="U919" s="60">
        <f t="shared" si="135"/>
        <v>4730250.49</v>
      </c>
      <c r="V919" s="60">
        <f t="shared" si="135"/>
        <v>0</v>
      </c>
      <c r="W919" s="60">
        <f t="shared" si="135"/>
        <v>0</v>
      </c>
      <c r="X919" s="60">
        <f t="shared" si="135"/>
        <v>0</v>
      </c>
      <c r="Y919" s="60">
        <f t="shared" si="135"/>
        <v>0</v>
      </c>
      <c r="Z919" s="60">
        <f t="shared" si="135"/>
        <v>0</v>
      </c>
      <c r="AA919" s="60">
        <f t="shared" si="135"/>
        <v>0</v>
      </c>
      <c r="AB919" s="60">
        <f t="shared" si="135"/>
        <v>0</v>
      </c>
      <c r="AC919" s="60">
        <f t="shared" si="135"/>
        <v>26252.89</v>
      </c>
      <c r="AD919" s="60">
        <f t="shared" si="135"/>
        <v>170509.93</v>
      </c>
      <c r="AE919" s="60">
        <f t="shared" si="135"/>
        <v>0</v>
      </c>
      <c r="AF919" s="54" t="s">
        <v>701</v>
      </c>
      <c r="AG919" s="54" t="s">
        <v>701</v>
      </c>
      <c r="AH919" s="55" t="s">
        <v>701</v>
      </c>
    </row>
    <row r="920" spans="1:16199" ht="61.5" x14ac:dyDescent="0.85">
      <c r="A920" s="7">
        <v>1</v>
      </c>
      <c r="B920" s="59">
        <f>SUBTOTAL(103,$A$558:A920)</f>
        <v>331</v>
      </c>
      <c r="C920" s="160" t="s">
        <v>104</v>
      </c>
      <c r="D920" s="60">
        <f>E920+F920+G920+H920+I920+J920+L920+N920+P920+R920+T920+U920+V920+W920+X920+Y920+Z920+AA920+AB920+AC920+AD920+AE920</f>
        <v>79698.36</v>
      </c>
      <c r="E920" s="60">
        <v>0</v>
      </c>
      <c r="F920" s="60">
        <v>0</v>
      </c>
      <c r="G920" s="60">
        <v>0</v>
      </c>
      <c r="H920" s="60">
        <v>0</v>
      </c>
      <c r="I920" s="60">
        <v>0</v>
      </c>
      <c r="J920" s="60">
        <v>0</v>
      </c>
      <c r="K920" s="168">
        <v>0</v>
      </c>
      <c r="L920" s="60">
        <v>0</v>
      </c>
      <c r="M920" s="60">
        <v>0</v>
      </c>
      <c r="N920" s="60">
        <v>0</v>
      </c>
      <c r="O920" s="60">
        <v>0</v>
      </c>
      <c r="P920" s="60">
        <v>0</v>
      </c>
      <c r="Q920" s="60">
        <v>0</v>
      </c>
      <c r="R920" s="60">
        <v>0</v>
      </c>
      <c r="S920" s="60">
        <v>0</v>
      </c>
      <c r="T920" s="60">
        <v>0</v>
      </c>
      <c r="U920" s="60">
        <v>0</v>
      </c>
      <c r="V920" s="60">
        <v>0</v>
      </c>
      <c r="W920" s="60">
        <v>0</v>
      </c>
      <c r="X920" s="60">
        <v>0</v>
      </c>
      <c r="Y920" s="60">
        <v>0</v>
      </c>
      <c r="Z920" s="60">
        <v>0</v>
      </c>
      <c r="AA920" s="60">
        <v>0</v>
      </c>
      <c r="AB920" s="60">
        <v>0</v>
      </c>
      <c r="AC920" s="60">
        <v>0</v>
      </c>
      <c r="AD920" s="60">
        <v>79698.36</v>
      </c>
      <c r="AE920" s="60">
        <v>0</v>
      </c>
      <c r="AF920" s="170">
        <v>2021</v>
      </c>
      <c r="AG920" s="170" t="s">
        <v>257</v>
      </c>
      <c r="AH920" s="170" t="s">
        <v>257</v>
      </c>
    </row>
    <row r="921" spans="1:16199" ht="61.5" x14ac:dyDescent="0.85">
      <c r="A921" s="7">
        <v>1</v>
      </c>
      <c r="B921" s="59">
        <f>SUBTOTAL(103,$A$558:A921)</f>
        <v>332</v>
      </c>
      <c r="C921" s="160" t="s">
        <v>1161</v>
      </c>
      <c r="D921" s="60">
        <f>E921+F921+G921+H921+I921+J921+L921+N921+P921+R921+T921+U921+V921+W921+X921+Y921+Z921+AA921+AB921+AC921+AD921+AE921</f>
        <v>4756503.38</v>
      </c>
      <c r="E921" s="60">
        <v>0</v>
      </c>
      <c r="F921" s="60">
        <v>0</v>
      </c>
      <c r="G921" s="60">
        <v>0</v>
      </c>
      <c r="H921" s="60">
        <v>0</v>
      </c>
      <c r="I921" s="60">
        <v>0</v>
      </c>
      <c r="J921" s="60">
        <v>0</v>
      </c>
      <c r="K921" s="168">
        <v>0</v>
      </c>
      <c r="L921" s="60">
        <v>0</v>
      </c>
      <c r="M921" s="60">
        <v>0</v>
      </c>
      <c r="N921" s="60">
        <v>0</v>
      </c>
      <c r="O921" s="60">
        <v>0</v>
      </c>
      <c r="P921" s="60">
        <v>0</v>
      </c>
      <c r="Q921" s="60">
        <v>0</v>
      </c>
      <c r="R921" s="60">
        <v>0</v>
      </c>
      <c r="S921" s="60">
        <v>0</v>
      </c>
      <c r="T921" s="60">
        <v>0</v>
      </c>
      <c r="U921" s="62">
        <v>4730250.49</v>
      </c>
      <c r="V921" s="60">
        <v>0</v>
      </c>
      <c r="W921" s="60">
        <v>0</v>
      </c>
      <c r="X921" s="60">
        <v>0</v>
      </c>
      <c r="Y921" s="60">
        <v>0</v>
      </c>
      <c r="Z921" s="60">
        <v>0</v>
      </c>
      <c r="AA921" s="60">
        <v>0</v>
      </c>
      <c r="AB921" s="60">
        <v>0</v>
      </c>
      <c r="AC921" s="62">
        <v>26252.89</v>
      </c>
      <c r="AD921" s="60">
        <v>0</v>
      </c>
      <c r="AE921" s="60">
        <v>0</v>
      </c>
      <c r="AF921" s="170" t="s">
        <v>257</v>
      </c>
      <c r="AG921" s="170">
        <v>2021</v>
      </c>
      <c r="AH921" s="170">
        <v>2021</v>
      </c>
    </row>
    <row r="922" spans="1:16199" ht="61.5" x14ac:dyDescent="0.85">
      <c r="A922" s="7">
        <v>1</v>
      </c>
      <c r="B922" s="59">
        <f>SUBTOTAL(103,$A$558:A922)</f>
        <v>333</v>
      </c>
      <c r="C922" s="160" t="s">
        <v>2168</v>
      </c>
      <c r="D922" s="60">
        <f>E922+F922+G922+H922+I922+J922+L922+N922+P922+R922+T922+U922+V922+W922+X922+Y922+Z922+AA922+AB922+AC922+AD922+AE922</f>
        <v>90811.57</v>
      </c>
      <c r="E922" s="180">
        <v>0</v>
      </c>
      <c r="F922" s="180">
        <v>0</v>
      </c>
      <c r="G922" s="180">
        <v>0</v>
      </c>
      <c r="H922" s="180">
        <v>0</v>
      </c>
      <c r="I922" s="180">
        <v>0</v>
      </c>
      <c r="J922" s="180">
        <v>0</v>
      </c>
      <c r="K922" s="168">
        <v>0</v>
      </c>
      <c r="L922" s="60">
        <v>0</v>
      </c>
      <c r="M922" s="60">
        <v>0</v>
      </c>
      <c r="N922" s="60">
        <v>0</v>
      </c>
      <c r="O922" s="60">
        <v>0</v>
      </c>
      <c r="P922" s="60">
        <v>0</v>
      </c>
      <c r="Q922" s="60">
        <v>0</v>
      </c>
      <c r="R922" s="60">
        <v>0</v>
      </c>
      <c r="S922" s="60">
        <v>0</v>
      </c>
      <c r="T922" s="60">
        <v>0</v>
      </c>
      <c r="U922" s="60">
        <v>0</v>
      </c>
      <c r="V922" s="60">
        <v>0</v>
      </c>
      <c r="W922" s="60">
        <v>0</v>
      </c>
      <c r="X922" s="60">
        <v>0</v>
      </c>
      <c r="Y922" s="60">
        <v>0</v>
      </c>
      <c r="Z922" s="60">
        <v>0</v>
      </c>
      <c r="AA922" s="60">
        <v>0</v>
      </c>
      <c r="AB922" s="60">
        <v>0</v>
      </c>
      <c r="AC922" s="60">
        <v>0</v>
      </c>
      <c r="AD922" s="60">
        <v>90811.57</v>
      </c>
      <c r="AE922" s="60">
        <v>0</v>
      </c>
      <c r="AF922" s="170">
        <v>2021</v>
      </c>
      <c r="AG922" s="170" t="s">
        <v>257</v>
      </c>
      <c r="AH922" s="170" t="s">
        <v>257</v>
      </c>
    </row>
    <row r="923" spans="1:16199" ht="61.5" x14ac:dyDescent="0.85">
      <c r="B923" s="160" t="s">
        <v>2165</v>
      </c>
      <c r="C923" s="160"/>
      <c r="D923" s="177">
        <f t="shared" ref="D923:AE923" si="136">D924</f>
        <v>52057.33</v>
      </c>
      <c r="E923" s="60">
        <f t="shared" si="136"/>
        <v>0</v>
      </c>
      <c r="F923" s="60">
        <f t="shared" si="136"/>
        <v>0</v>
      </c>
      <c r="G923" s="60">
        <f t="shared" si="136"/>
        <v>0</v>
      </c>
      <c r="H923" s="60">
        <f t="shared" si="136"/>
        <v>0</v>
      </c>
      <c r="I923" s="60">
        <f t="shared" si="136"/>
        <v>0</v>
      </c>
      <c r="J923" s="60">
        <f t="shared" si="136"/>
        <v>0</v>
      </c>
      <c r="K923" s="168">
        <f t="shared" si="136"/>
        <v>0</v>
      </c>
      <c r="L923" s="60">
        <f t="shared" si="136"/>
        <v>0</v>
      </c>
      <c r="M923" s="60">
        <f t="shared" si="136"/>
        <v>0</v>
      </c>
      <c r="N923" s="60">
        <f t="shared" si="136"/>
        <v>0</v>
      </c>
      <c r="O923" s="60">
        <f t="shared" si="136"/>
        <v>0</v>
      </c>
      <c r="P923" s="60">
        <f t="shared" si="136"/>
        <v>0</v>
      </c>
      <c r="Q923" s="60">
        <f t="shared" si="136"/>
        <v>0</v>
      </c>
      <c r="R923" s="60">
        <f t="shared" si="136"/>
        <v>0</v>
      </c>
      <c r="S923" s="60">
        <f t="shared" si="136"/>
        <v>0</v>
      </c>
      <c r="T923" s="60">
        <f t="shared" si="136"/>
        <v>0</v>
      </c>
      <c r="U923" s="60">
        <f t="shared" si="136"/>
        <v>0</v>
      </c>
      <c r="V923" s="60">
        <f t="shared" si="136"/>
        <v>0</v>
      </c>
      <c r="W923" s="60">
        <f t="shared" si="136"/>
        <v>0</v>
      </c>
      <c r="X923" s="60">
        <f t="shared" si="136"/>
        <v>0</v>
      </c>
      <c r="Y923" s="60">
        <f t="shared" si="136"/>
        <v>0</v>
      </c>
      <c r="Z923" s="60">
        <f t="shared" si="136"/>
        <v>0</v>
      </c>
      <c r="AA923" s="60">
        <f t="shared" si="136"/>
        <v>0</v>
      </c>
      <c r="AB923" s="60">
        <f t="shared" si="136"/>
        <v>0</v>
      </c>
      <c r="AC923" s="60">
        <f t="shared" si="136"/>
        <v>0</v>
      </c>
      <c r="AD923" s="60">
        <f t="shared" si="136"/>
        <v>52057.33</v>
      </c>
      <c r="AE923" s="60">
        <f t="shared" si="136"/>
        <v>0</v>
      </c>
      <c r="AF923" s="54" t="s">
        <v>701</v>
      </c>
      <c r="AG923" s="54" t="s">
        <v>701</v>
      </c>
      <c r="AH923" s="55" t="s">
        <v>701</v>
      </c>
    </row>
    <row r="924" spans="1:16199" ht="61.5" x14ac:dyDescent="0.85">
      <c r="A924" s="7">
        <v>1</v>
      </c>
      <c r="B924" s="59">
        <f>SUBTOTAL(103,$A$558:A924)</f>
        <v>334</v>
      </c>
      <c r="C924" s="160" t="s">
        <v>2166</v>
      </c>
      <c r="D924" s="60">
        <f>E924+F924+G924+H924+I924+J924+L924+N924+P924+R924+T924+U924+V924+W924+X924+Y924+Z924+AA924+AB924+AC924+AD924+AE924</f>
        <v>52057.33</v>
      </c>
      <c r="E924" s="60">
        <v>0</v>
      </c>
      <c r="F924" s="60">
        <v>0</v>
      </c>
      <c r="G924" s="60">
        <v>0</v>
      </c>
      <c r="H924" s="60">
        <v>0</v>
      </c>
      <c r="I924" s="60">
        <v>0</v>
      </c>
      <c r="J924" s="60">
        <v>0</v>
      </c>
      <c r="K924" s="168">
        <v>0</v>
      </c>
      <c r="L924" s="60">
        <v>0</v>
      </c>
      <c r="M924" s="60">
        <v>0</v>
      </c>
      <c r="N924" s="60">
        <v>0</v>
      </c>
      <c r="O924" s="60">
        <v>0</v>
      </c>
      <c r="P924" s="60">
        <v>0</v>
      </c>
      <c r="Q924" s="60">
        <v>0</v>
      </c>
      <c r="R924" s="60">
        <v>0</v>
      </c>
      <c r="S924" s="60">
        <v>0</v>
      </c>
      <c r="T924" s="60">
        <v>0</v>
      </c>
      <c r="U924" s="60">
        <v>0</v>
      </c>
      <c r="V924" s="60">
        <v>0</v>
      </c>
      <c r="W924" s="60">
        <v>0</v>
      </c>
      <c r="X924" s="60">
        <v>0</v>
      </c>
      <c r="Y924" s="60">
        <v>0</v>
      </c>
      <c r="Z924" s="60">
        <v>0</v>
      </c>
      <c r="AA924" s="60">
        <v>0</v>
      </c>
      <c r="AB924" s="60">
        <v>0</v>
      </c>
      <c r="AC924" s="60">
        <f>ROUND(N924*1.5%,2)</f>
        <v>0</v>
      </c>
      <c r="AD924" s="60">
        <v>52057.33</v>
      </c>
      <c r="AE924" s="60">
        <v>0</v>
      </c>
      <c r="AF924" s="170">
        <v>2021</v>
      </c>
      <c r="AG924" s="170" t="s">
        <v>257</v>
      </c>
      <c r="AH924" s="170" t="s">
        <v>257</v>
      </c>
    </row>
    <row r="925" spans="1:16199" ht="61.5" x14ac:dyDescent="0.85">
      <c r="B925" s="160" t="s">
        <v>819</v>
      </c>
      <c r="C925" s="160"/>
      <c r="D925" s="177">
        <f t="shared" ref="D925:AE925" si="137">D926</f>
        <v>3760087.36</v>
      </c>
      <c r="E925" s="60">
        <f t="shared" si="137"/>
        <v>0</v>
      </c>
      <c r="F925" s="60">
        <f t="shared" si="137"/>
        <v>0</v>
      </c>
      <c r="G925" s="60">
        <f t="shared" si="137"/>
        <v>0</v>
      </c>
      <c r="H925" s="60">
        <f t="shared" si="137"/>
        <v>0</v>
      </c>
      <c r="I925" s="60">
        <f t="shared" si="137"/>
        <v>0</v>
      </c>
      <c r="J925" s="60">
        <f t="shared" si="137"/>
        <v>0</v>
      </c>
      <c r="K925" s="168">
        <f t="shared" si="137"/>
        <v>0</v>
      </c>
      <c r="L925" s="60">
        <f t="shared" si="137"/>
        <v>0</v>
      </c>
      <c r="M925" s="60">
        <f t="shared" si="137"/>
        <v>838.06</v>
      </c>
      <c r="N925" s="60">
        <f t="shared" si="137"/>
        <v>3635096.33</v>
      </c>
      <c r="O925" s="60">
        <f t="shared" si="137"/>
        <v>0</v>
      </c>
      <c r="P925" s="60">
        <f t="shared" si="137"/>
        <v>0</v>
      </c>
      <c r="Q925" s="60">
        <f t="shared" si="137"/>
        <v>0</v>
      </c>
      <c r="R925" s="60">
        <f t="shared" si="137"/>
        <v>0</v>
      </c>
      <c r="S925" s="60">
        <f t="shared" si="137"/>
        <v>0</v>
      </c>
      <c r="T925" s="60">
        <f t="shared" si="137"/>
        <v>0</v>
      </c>
      <c r="U925" s="60">
        <f t="shared" si="137"/>
        <v>0</v>
      </c>
      <c r="V925" s="60">
        <f t="shared" si="137"/>
        <v>0</v>
      </c>
      <c r="W925" s="60">
        <f t="shared" si="137"/>
        <v>0</v>
      </c>
      <c r="X925" s="60">
        <f t="shared" si="137"/>
        <v>0</v>
      </c>
      <c r="Y925" s="60">
        <f t="shared" si="137"/>
        <v>0</v>
      </c>
      <c r="Z925" s="60">
        <f t="shared" si="137"/>
        <v>0</v>
      </c>
      <c r="AA925" s="60">
        <f t="shared" si="137"/>
        <v>0</v>
      </c>
      <c r="AB925" s="60">
        <f t="shared" si="137"/>
        <v>0</v>
      </c>
      <c r="AC925" s="60">
        <f t="shared" si="137"/>
        <v>37623.25</v>
      </c>
      <c r="AD925" s="60">
        <f t="shared" si="137"/>
        <v>87367.78</v>
      </c>
      <c r="AE925" s="60">
        <f t="shared" si="137"/>
        <v>0</v>
      </c>
      <c r="AF925" s="54" t="s">
        <v>701</v>
      </c>
      <c r="AG925" s="54" t="s">
        <v>701</v>
      </c>
      <c r="AH925" s="55" t="s">
        <v>701</v>
      </c>
    </row>
    <row r="926" spans="1:16199" ht="61.5" x14ac:dyDescent="0.85">
      <c r="A926" s="7">
        <v>1</v>
      </c>
      <c r="B926" s="59">
        <f>SUBTOTAL(103,$A$558:A926)</f>
        <v>335</v>
      </c>
      <c r="C926" s="160" t="s">
        <v>110</v>
      </c>
      <c r="D926" s="60">
        <f>E926+F926+G926+H926+I926+J926+L926+N926+P926+R926+T926+U926+V926+W926+X926+Y926+Z926+AA926+AB926+AC926+AD926+AE926</f>
        <v>3760087.36</v>
      </c>
      <c r="E926" s="60">
        <v>0</v>
      </c>
      <c r="F926" s="60">
        <v>0</v>
      </c>
      <c r="G926" s="60">
        <v>0</v>
      </c>
      <c r="H926" s="60">
        <v>0</v>
      </c>
      <c r="I926" s="60">
        <v>0</v>
      </c>
      <c r="J926" s="60">
        <v>0</v>
      </c>
      <c r="K926" s="168">
        <v>0</v>
      </c>
      <c r="L926" s="60">
        <v>0</v>
      </c>
      <c r="M926" s="60">
        <v>838.06</v>
      </c>
      <c r="N926" s="60">
        <v>3635096.33</v>
      </c>
      <c r="O926" s="60">
        <v>0</v>
      </c>
      <c r="P926" s="60">
        <v>0</v>
      </c>
      <c r="Q926" s="60">
        <v>0</v>
      </c>
      <c r="R926" s="60">
        <v>0</v>
      </c>
      <c r="S926" s="60">
        <v>0</v>
      </c>
      <c r="T926" s="60">
        <v>0</v>
      </c>
      <c r="U926" s="60">
        <v>0</v>
      </c>
      <c r="V926" s="60">
        <v>0</v>
      </c>
      <c r="W926" s="60">
        <v>0</v>
      </c>
      <c r="X926" s="60">
        <v>0</v>
      </c>
      <c r="Y926" s="60">
        <v>0</v>
      </c>
      <c r="Z926" s="60">
        <v>0</v>
      </c>
      <c r="AA926" s="60">
        <v>0</v>
      </c>
      <c r="AB926" s="60">
        <v>0</v>
      </c>
      <c r="AC926" s="62">
        <v>37623.25</v>
      </c>
      <c r="AD926" s="60">
        <v>87367.78</v>
      </c>
      <c r="AE926" s="60">
        <v>0</v>
      </c>
      <c r="AF926" s="170">
        <v>2021</v>
      </c>
      <c r="AG926" s="170">
        <v>2021</v>
      </c>
      <c r="AH926" s="63">
        <v>2021</v>
      </c>
    </row>
    <row r="927" spans="1:16199" ht="61.5" x14ac:dyDescent="0.85">
      <c r="B927" s="160" t="s">
        <v>820</v>
      </c>
      <c r="C927" s="160"/>
      <c r="D927" s="177">
        <f t="shared" ref="D927:AE927" si="138">D928</f>
        <v>2964091.65</v>
      </c>
      <c r="E927" s="60">
        <f t="shared" si="138"/>
        <v>0</v>
      </c>
      <c r="F927" s="60">
        <f t="shared" si="138"/>
        <v>0</v>
      </c>
      <c r="G927" s="60">
        <f t="shared" si="138"/>
        <v>0</v>
      </c>
      <c r="H927" s="60">
        <f t="shared" si="138"/>
        <v>0</v>
      </c>
      <c r="I927" s="60">
        <f t="shared" si="138"/>
        <v>0</v>
      </c>
      <c r="J927" s="60">
        <f t="shared" si="138"/>
        <v>0</v>
      </c>
      <c r="K927" s="168">
        <f t="shared" si="138"/>
        <v>0</v>
      </c>
      <c r="L927" s="60">
        <f t="shared" si="138"/>
        <v>0</v>
      </c>
      <c r="M927" s="60">
        <f t="shared" si="138"/>
        <v>641.02</v>
      </c>
      <c r="N927" s="60">
        <f t="shared" si="138"/>
        <v>2848618.86</v>
      </c>
      <c r="O927" s="60">
        <f t="shared" si="138"/>
        <v>0</v>
      </c>
      <c r="P927" s="60">
        <f t="shared" si="138"/>
        <v>0</v>
      </c>
      <c r="Q927" s="60">
        <f t="shared" si="138"/>
        <v>0</v>
      </c>
      <c r="R927" s="60">
        <f t="shared" si="138"/>
        <v>0</v>
      </c>
      <c r="S927" s="60">
        <f t="shared" si="138"/>
        <v>0</v>
      </c>
      <c r="T927" s="60">
        <f t="shared" si="138"/>
        <v>0</v>
      </c>
      <c r="U927" s="60">
        <f t="shared" si="138"/>
        <v>0</v>
      </c>
      <c r="V927" s="60">
        <f t="shared" si="138"/>
        <v>0</v>
      </c>
      <c r="W927" s="60">
        <f t="shared" si="138"/>
        <v>0</v>
      </c>
      <c r="X927" s="60">
        <f t="shared" si="138"/>
        <v>0</v>
      </c>
      <c r="Y927" s="60">
        <f t="shared" si="138"/>
        <v>0</v>
      </c>
      <c r="Z927" s="60">
        <f t="shared" si="138"/>
        <v>0</v>
      </c>
      <c r="AA927" s="60">
        <f t="shared" si="138"/>
        <v>0</v>
      </c>
      <c r="AB927" s="60">
        <f t="shared" si="138"/>
        <v>0</v>
      </c>
      <c r="AC927" s="60">
        <f t="shared" si="138"/>
        <v>29483.21</v>
      </c>
      <c r="AD927" s="60">
        <f t="shared" si="138"/>
        <v>85989.58</v>
      </c>
      <c r="AE927" s="60">
        <f t="shared" si="138"/>
        <v>0</v>
      </c>
      <c r="AF927" s="54" t="s">
        <v>701</v>
      </c>
      <c r="AG927" s="54" t="s">
        <v>701</v>
      </c>
      <c r="AH927" s="55" t="s">
        <v>701</v>
      </c>
    </row>
    <row r="928" spans="1:16199" ht="61.5" x14ac:dyDescent="0.85">
      <c r="A928" s="7">
        <v>1</v>
      </c>
      <c r="B928" s="59">
        <f>SUBTOTAL(103,$A$558:A928)</f>
        <v>336</v>
      </c>
      <c r="C928" s="160" t="s">
        <v>109</v>
      </c>
      <c r="D928" s="60">
        <f>E928+F928+G928+H928+I928+J928+L928+N928+P928+R928+T928+U928+V928+W928+X928+Y928+Z928+AA928+AB928+AC928+AD928+AE928</f>
        <v>2964091.65</v>
      </c>
      <c r="E928" s="60">
        <v>0</v>
      </c>
      <c r="F928" s="60">
        <v>0</v>
      </c>
      <c r="G928" s="60">
        <v>0</v>
      </c>
      <c r="H928" s="60">
        <v>0</v>
      </c>
      <c r="I928" s="60">
        <v>0</v>
      </c>
      <c r="J928" s="60">
        <v>0</v>
      </c>
      <c r="K928" s="168">
        <v>0</v>
      </c>
      <c r="L928" s="60">
        <v>0</v>
      </c>
      <c r="M928" s="60">
        <v>641.02</v>
      </c>
      <c r="N928" s="60">
        <v>2848618.86</v>
      </c>
      <c r="O928" s="60">
        <v>0</v>
      </c>
      <c r="P928" s="60">
        <v>0</v>
      </c>
      <c r="Q928" s="60">
        <v>0</v>
      </c>
      <c r="R928" s="60">
        <v>0</v>
      </c>
      <c r="S928" s="60">
        <v>0</v>
      </c>
      <c r="T928" s="60">
        <v>0</v>
      </c>
      <c r="U928" s="60">
        <v>0</v>
      </c>
      <c r="V928" s="60">
        <v>0</v>
      </c>
      <c r="W928" s="60">
        <v>0</v>
      </c>
      <c r="X928" s="60">
        <v>0</v>
      </c>
      <c r="Y928" s="60">
        <v>0</v>
      </c>
      <c r="Z928" s="60">
        <v>0</v>
      </c>
      <c r="AA928" s="60">
        <v>0</v>
      </c>
      <c r="AB928" s="60">
        <v>0</v>
      </c>
      <c r="AC928" s="62">
        <v>29483.21</v>
      </c>
      <c r="AD928" s="60">
        <v>85989.58</v>
      </c>
      <c r="AE928" s="60">
        <v>0</v>
      </c>
      <c r="AF928" s="170">
        <v>2021</v>
      </c>
      <c r="AG928" s="170">
        <v>2021</v>
      </c>
      <c r="AH928" s="63">
        <v>2021</v>
      </c>
    </row>
    <row r="929" spans="1:34" ht="61.5" x14ac:dyDescent="0.85">
      <c r="B929" s="160" t="s">
        <v>787</v>
      </c>
      <c r="C929" s="160"/>
      <c r="D929" s="177">
        <f t="shared" ref="D929:AE929" si="139">SUM(D930:D932)</f>
        <v>11207892.280000001</v>
      </c>
      <c r="E929" s="60">
        <f t="shared" si="139"/>
        <v>0</v>
      </c>
      <c r="F929" s="60">
        <f t="shared" si="139"/>
        <v>0</v>
      </c>
      <c r="G929" s="60">
        <f t="shared" si="139"/>
        <v>0</v>
      </c>
      <c r="H929" s="60">
        <f t="shared" si="139"/>
        <v>0</v>
      </c>
      <c r="I929" s="60">
        <f t="shared" si="139"/>
        <v>0</v>
      </c>
      <c r="J929" s="60">
        <f t="shared" si="139"/>
        <v>0</v>
      </c>
      <c r="K929" s="168">
        <f t="shared" si="139"/>
        <v>0</v>
      </c>
      <c r="L929" s="60">
        <f t="shared" si="139"/>
        <v>0</v>
      </c>
      <c r="M929" s="60">
        <f t="shared" si="139"/>
        <v>2660.5</v>
      </c>
      <c r="N929" s="60">
        <f t="shared" si="139"/>
        <v>10878972.210000001</v>
      </c>
      <c r="O929" s="60">
        <f t="shared" si="139"/>
        <v>0</v>
      </c>
      <c r="P929" s="60">
        <f t="shared" si="139"/>
        <v>0</v>
      </c>
      <c r="Q929" s="60">
        <f t="shared" si="139"/>
        <v>0</v>
      </c>
      <c r="R929" s="60">
        <f t="shared" si="139"/>
        <v>0</v>
      </c>
      <c r="S929" s="60">
        <f t="shared" si="139"/>
        <v>0</v>
      </c>
      <c r="T929" s="60">
        <f t="shared" si="139"/>
        <v>0</v>
      </c>
      <c r="U929" s="60">
        <f t="shared" si="139"/>
        <v>0</v>
      </c>
      <c r="V929" s="60">
        <f t="shared" si="139"/>
        <v>0</v>
      </c>
      <c r="W929" s="60">
        <f t="shared" si="139"/>
        <v>0</v>
      </c>
      <c r="X929" s="60">
        <f t="shared" si="139"/>
        <v>0</v>
      </c>
      <c r="Y929" s="60">
        <f t="shared" si="139"/>
        <v>0</v>
      </c>
      <c r="Z929" s="60">
        <f t="shared" si="139"/>
        <v>0</v>
      </c>
      <c r="AA929" s="60">
        <f t="shared" si="139"/>
        <v>0</v>
      </c>
      <c r="AB929" s="60">
        <f t="shared" si="139"/>
        <v>0</v>
      </c>
      <c r="AC929" s="60">
        <f t="shared" si="139"/>
        <v>152577.58000000002</v>
      </c>
      <c r="AD929" s="60">
        <f t="shared" si="139"/>
        <v>176342.49</v>
      </c>
      <c r="AE929" s="60">
        <f t="shared" si="139"/>
        <v>0</v>
      </c>
      <c r="AF929" s="54" t="s">
        <v>701</v>
      </c>
      <c r="AG929" s="54" t="s">
        <v>701</v>
      </c>
      <c r="AH929" s="55" t="s">
        <v>701</v>
      </c>
    </row>
    <row r="930" spans="1:34" ht="61.5" x14ac:dyDescent="0.85">
      <c r="A930" s="7">
        <v>1</v>
      </c>
      <c r="B930" s="59">
        <f>SUBTOTAL(103,$A$558:A930)</f>
        <v>337</v>
      </c>
      <c r="C930" s="160" t="s">
        <v>41</v>
      </c>
      <c r="D930" s="60">
        <f>E930+F930+G930+H930+I930+J930+L930+N930+P930+R930+T930+U930+V930+W930+X930+Y930+Z930+AA930+AB930+AC930+AD930+AE930</f>
        <v>176342.49</v>
      </c>
      <c r="E930" s="60">
        <v>0</v>
      </c>
      <c r="F930" s="60">
        <v>0</v>
      </c>
      <c r="G930" s="60">
        <v>0</v>
      </c>
      <c r="H930" s="60">
        <v>0</v>
      </c>
      <c r="I930" s="60">
        <v>0</v>
      </c>
      <c r="J930" s="60">
        <v>0</v>
      </c>
      <c r="K930" s="168">
        <v>0</v>
      </c>
      <c r="L930" s="60">
        <v>0</v>
      </c>
      <c r="M930" s="60">
        <v>0</v>
      </c>
      <c r="N930" s="60">
        <v>0</v>
      </c>
      <c r="O930" s="60">
        <v>0</v>
      </c>
      <c r="P930" s="60">
        <v>0</v>
      </c>
      <c r="Q930" s="60">
        <v>0</v>
      </c>
      <c r="R930" s="60">
        <v>0</v>
      </c>
      <c r="S930" s="60">
        <v>0</v>
      </c>
      <c r="T930" s="60">
        <v>0</v>
      </c>
      <c r="U930" s="60">
        <v>0</v>
      </c>
      <c r="V930" s="60">
        <v>0</v>
      </c>
      <c r="W930" s="60">
        <v>0</v>
      </c>
      <c r="X930" s="60">
        <v>0</v>
      </c>
      <c r="Y930" s="60">
        <v>0</v>
      </c>
      <c r="Z930" s="60">
        <v>0</v>
      </c>
      <c r="AA930" s="60">
        <v>0</v>
      </c>
      <c r="AB930" s="60">
        <v>0</v>
      </c>
      <c r="AC930" s="60">
        <v>0</v>
      </c>
      <c r="AD930" s="60">
        <v>176342.49</v>
      </c>
      <c r="AE930" s="60">
        <v>0</v>
      </c>
      <c r="AF930" s="170">
        <v>2021</v>
      </c>
      <c r="AG930" s="170" t="s">
        <v>257</v>
      </c>
      <c r="AH930" s="170" t="s">
        <v>257</v>
      </c>
    </row>
    <row r="931" spans="1:34" ht="61.5" x14ac:dyDescent="0.85">
      <c r="A931" s="7">
        <v>1</v>
      </c>
      <c r="B931" s="59">
        <f>SUBTOTAL(103,$A$558:A931)</f>
        <v>338</v>
      </c>
      <c r="C931" s="160" t="s">
        <v>63</v>
      </c>
      <c r="D931" s="60">
        <f>E931+F931+G931+H931+I931+J931+L931+N931+P931+R931+T931+U931+V931+W931+X931+Y931+Z931+AA931+AB931+AC931+AD931+AE931</f>
        <v>7536748.7000000002</v>
      </c>
      <c r="E931" s="60">
        <v>0</v>
      </c>
      <c r="F931" s="60">
        <v>0</v>
      </c>
      <c r="G931" s="60">
        <v>0</v>
      </c>
      <c r="H931" s="60">
        <v>0</v>
      </c>
      <c r="I931" s="60">
        <v>0</v>
      </c>
      <c r="J931" s="60">
        <v>0</v>
      </c>
      <c r="K931" s="168">
        <v>0</v>
      </c>
      <c r="L931" s="60">
        <v>0</v>
      </c>
      <c r="M931" s="62">
        <v>1262.2</v>
      </c>
      <c r="N931" s="62">
        <v>7432507.7800000003</v>
      </c>
      <c r="O931" s="60">
        <v>0</v>
      </c>
      <c r="P931" s="60">
        <v>0</v>
      </c>
      <c r="Q931" s="60">
        <v>0</v>
      </c>
      <c r="R931" s="60">
        <v>0</v>
      </c>
      <c r="S931" s="60">
        <v>0</v>
      </c>
      <c r="T931" s="60">
        <v>0</v>
      </c>
      <c r="U931" s="60">
        <v>0</v>
      </c>
      <c r="V931" s="60">
        <v>0</v>
      </c>
      <c r="W931" s="60">
        <v>0</v>
      </c>
      <c r="X931" s="60">
        <v>0</v>
      </c>
      <c r="Y931" s="60">
        <v>0</v>
      </c>
      <c r="Z931" s="60">
        <v>0</v>
      </c>
      <c r="AA931" s="60">
        <v>0</v>
      </c>
      <c r="AB931" s="60">
        <v>0</v>
      </c>
      <c r="AC931" s="60">
        <v>104240.92</v>
      </c>
      <c r="AD931" s="60">
        <v>0</v>
      </c>
      <c r="AE931" s="60">
        <v>0</v>
      </c>
      <c r="AF931" s="170" t="s">
        <v>257</v>
      </c>
      <c r="AG931" s="170">
        <v>2021</v>
      </c>
      <c r="AH931" s="170">
        <v>2021</v>
      </c>
    </row>
    <row r="932" spans="1:34" ht="61.5" x14ac:dyDescent="0.85">
      <c r="A932" s="7">
        <v>1</v>
      </c>
      <c r="B932" s="59">
        <f>SUBTOTAL(103,$A$558:A932)</f>
        <v>339</v>
      </c>
      <c r="C932" s="160" t="s">
        <v>52</v>
      </c>
      <c r="D932" s="60">
        <f>E932+F932+G932+H932+I932+J932+L932+N932+P932+R932+T932+U932+V932+W932+X932+Y932+Z932+AA932+AB932+AC932+AD932+AE932</f>
        <v>3494801.0900000003</v>
      </c>
      <c r="E932" s="60">
        <v>0</v>
      </c>
      <c r="F932" s="60">
        <v>0</v>
      </c>
      <c r="G932" s="60">
        <v>0</v>
      </c>
      <c r="H932" s="60">
        <v>0</v>
      </c>
      <c r="I932" s="60">
        <v>0</v>
      </c>
      <c r="J932" s="60">
        <v>0</v>
      </c>
      <c r="K932" s="168">
        <v>0</v>
      </c>
      <c r="L932" s="60">
        <v>0</v>
      </c>
      <c r="M932" s="62">
        <v>1398.3</v>
      </c>
      <c r="N932" s="62">
        <v>3446464.43</v>
      </c>
      <c r="O932" s="60">
        <v>0</v>
      </c>
      <c r="P932" s="60">
        <v>0</v>
      </c>
      <c r="Q932" s="60">
        <v>0</v>
      </c>
      <c r="R932" s="60">
        <v>0</v>
      </c>
      <c r="S932" s="60">
        <v>0</v>
      </c>
      <c r="T932" s="60">
        <v>0</v>
      </c>
      <c r="U932" s="60">
        <v>0</v>
      </c>
      <c r="V932" s="60">
        <v>0</v>
      </c>
      <c r="W932" s="60">
        <v>0</v>
      </c>
      <c r="X932" s="60">
        <v>0</v>
      </c>
      <c r="Y932" s="60">
        <v>0</v>
      </c>
      <c r="Z932" s="60">
        <v>0</v>
      </c>
      <c r="AA932" s="60">
        <v>0</v>
      </c>
      <c r="AB932" s="60">
        <v>0</v>
      </c>
      <c r="AC932" s="62">
        <v>48336.66</v>
      </c>
      <c r="AD932" s="60">
        <v>0</v>
      </c>
      <c r="AE932" s="60">
        <v>0</v>
      </c>
      <c r="AF932" s="170" t="s">
        <v>257</v>
      </c>
      <c r="AG932" s="170">
        <v>2021</v>
      </c>
      <c r="AH932" s="170">
        <v>2021</v>
      </c>
    </row>
    <row r="933" spans="1:34" ht="61.5" x14ac:dyDescent="0.85">
      <c r="B933" s="160" t="s">
        <v>788</v>
      </c>
      <c r="C933" s="160"/>
      <c r="D933" s="177">
        <f t="shared" ref="D933:AE933" si="140">SUM(D934:D938)</f>
        <v>20102541.969999999</v>
      </c>
      <c r="E933" s="60">
        <f t="shared" si="140"/>
        <v>743426.02</v>
      </c>
      <c r="F933" s="60">
        <f t="shared" si="140"/>
        <v>1897766</v>
      </c>
      <c r="G933" s="60">
        <f t="shared" si="140"/>
        <v>4618830.8100000005</v>
      </c>
      <c r="H933" s="60">
        <f t="shared" si="140"/>
        <v>776570.65</v>
      </c>
      <c r="I933" s="60">
        <f t="shared" si="140"/>
        <v>2070220.51</v>
      </c>
      <c r="J933" s="60">
        <f t="shared" si="140"/>
        <v>0</v>
      </c>
      <c r="K933" s="168">
        <f t="shared" si="140"/>
        <v>0</v>
      </c>
      <c r="L933" s="60">
        <f t="shared" si="140"/>
        <v>0</v>
      </c>
      <c r="M933" s="60">
        <f t="shared" si="140"/>
        <v>1803.25</v>
      </c>
      <c r="N933" s="60">
        <f t="shared" si="140"/>
        <v>9462274</v>
      </c>
      <c r="O933" s="60">
        <f t="shared" si="140"/>
        <v>0</v>
      </c>
      <c r="P933" s="60">
        <f t="shared" si="140"/>
        <v>0</v>
      </c>
      <c r="Q933" s="60">
        <f t="shared" si="140"/>
        <v>0</v>
      </c>
      <c r="R933" s="60">
        <f t="shared" si="140"/>
        <v>0</v>
      </c>
      <c r="S933" s="60">
        <f t="shared" si="140"/>
        <v>0</v>
      </c>
      <c r="T933" s="60">
        <f t="shared" si="140"/>
        <v>0</v>
      </c>
      <c r="U933" s="60">
        <f t="shared" si="140"/>
        <v>0</v>
      </c>
      <c r="V933" s="60">
        <f t="shared" si="140"/>
        <v>0</v>
      </c>
      <c r="W933" s="60">
        <f t="shared" si="140"/>
        <v>0</v>
      </c>
      <c r="X933" s="60">
        <f t="shared" si="140"/>
        <v>0</v>
      </c>
      <c r="Y933" s="60">
        <f t="shared" si="140"/>
        <v>0</v>
      </c>
      <c r="Z933" s="60">
        <f t="shared" si="140"/>
        <v>0</v>
      </c>
      <c r="AA933" s="60">
        <f t="shared" si="140"/>
        <v>0</v>
      </c>
      <c r="AB933" s="60">
        <f t="shared" si="140"/>
        <v>0</v>
      </c>
      <c r="AC933" s="60">
        <f t="shared" si="140"/>
        <v>164866.97</v>
      </c>
      <c r="AD933" s="60">
        <f t="shared" si="140"/>
        <v>368587.01</v>
      </c>
      <c r="AE933" s="60">
        <f t="shared" si="140"/>
        <v>0</v>
      </c>
      <c r="AF933" s="54" t="s">
        <v>701</v>
      </c>
      <c r="AG933" s="54" t="s">
        <v>701</v>
      </c>
      <c r="AH933" s="55" t="s">
        <v>701</v>
      </c>
    </row>
    <row r="934" spans="1:34" ht="61.5" x14ac:dyDescent="0.85">
      <c r="A934" s="7">
        <v>1</v>
      </c>
      <c r="B934" s="59">
        <f>SUBTOTAL(103,$A$558:A934)</f>
        <v>340</v>
      </c>
      <c r="C934" s="160" t="s">
        <v>56</v>
      </c>
      <c r="D934" s="60">
        <f>E934+F934+G934+H934+I934+J934+L934+N934+P934+R934+T934+U934+V934+W934+X934+Y934+Z934+AA934+AB934+AC934+AD934+AE934</f>
        <v>3715287.42</v>
      </c>
      <c r="E934" s="60">
        <v>0</v>
      </c>
      <c r="F934" s="60">
        <v>0</v>
      </c>
      <c r="G934" s="60">
        <v>3000205</v>
      </c>
      <c r="H934" s="60">
        <v>463817</v>
      </c>
      <c r="I934" s="60">
        <v>0</v>
      </c>
      <c r="J934" s="60">
        <v>0</v>
      </c>
      <c r="K934" s="168">
        <v>0</v>
      </c>
      <c r="L934" s="60">
        <v>0</v>
      </c>
      <c r="M934" s="60">
        <v>0</v>
      </c>
      <c r="N934" s="60">
        <v>0</v>
      </c>
      <c r="O934" s="60">
        <v>0</v>
      </c>
      <c r="P934" s="60">
        <v>0</v>
      </c>
      <c r="Q934" s="60">
        <v>0</v>
      </c>
      <c r="R934" s="60">
        <v>0</v>
      </c>
      <c r="S934" s="60">
        <v>0</v>
      </c>
      <c r="T934" s="60">
        <v>0</v>
      </c>
      <c r="U934" s="60">
        <v>0</v>
      </c>
      <c r="V934" s="60">
        <v>0</v>
      </c>
      <c r="W934" s="60">
        <v>0</v>
      </c>
      <c r="X934" s="60">
        <v>0</v>
      </c>
      <c r="Y934" s="60">
        <v>0</v>
      </c>
      <c r="Z934" s="60">
        <v>0</v>
      </c>
      <c r="AA934" s="60">
        <v>0</v>
      </c>
      <c r="AB934" s="60">
        <v>0</v>
      </c>
      <c r="AC934" s="62">
        <v>30916.400000000001</v>
      </c>
      <c r="AD934" s="60">
        <v>220349.02</v>
      </c>
      <c r="AE934" s="60">
        <v>0</v>
      </c>
      <c r="AF934" s="170">
        <v>2021</v>
      </c>
      <c r="AG934" s="170">
        <v>2021</v>
      </c>
      <c r="AH934" s="63">
        <v>2021</v>
      </c>
    </row>
    <row r="935" spans="1:34" ht="61.5" x14ac:dyDescent="0.85">
      <c r="A935" s="7">
        <v>1</v>
      </c>
      <c r="B935" s="59">
        <f>SUBTOTAL(103,$A$558:A935)</f>
        <v>341</v>
      </c>
      <c r="C935" s="160" t="s">
        <v>46</v>
      </c>
      <c r="D935" s="60">
        <f>E935+F935+G935+H935+I935+J935+L935+N935+P935+R935+T935+U935+V935+W935+X935+Y935+Z935+AA935+AB935+AC935+AD935+AE935</f>
        <v>3174297.4299999997</v>
      </c>
      <c r="E935" s="60">
        <v>0</v>
      </c>
      <c r="F935" s="60">
        <v>0</v>
      </c>
      <c r="G935" s="60">
        <v>0</v>
      </c>
      <c r="H935" s="60">
        <v>0</v>
      </c>
      <c r="I935" s="60">
        <v>0</v>
      </c>
      <c r="J935" s="60">
        <v>0</v>
      </c>
      <c r="K935" s="168">
        <v>0</v>
      </c>
      <c r="L935" s="60">
        <v>0</v>
      </c>
      <c r="M935" s="60">
        <v>645.04999999999995</v>
      </c>
      <c r="N935" s="60">
        <v>3069198</v>
      </c>
      <c r="O935" s="60">
        <v>0</v>
      </c>
      <c r="P935" s="60">
        <v>0</v>
      </c>
      <c r="Q935" s="60">
        <v>0</v>
      </c>
      <c r="R935" s="60">
        <v>0</v>
      </c>
      <c r="S935" s="60">
        <v>0</v>
      </c>
      <c r="T935" s="60">
        <v>0</v>
      </c>
      <c r="U935" s="60">
        <v>0</v>
      </c>
      <c r="V935" s="60">
        <v>0</v>
      </c>
      <c r="W935" s="60">
        <v>0</v>
      </c>
      <c r="X935" s="60">
        <v>0</v>
      </c>
      <c r="Y935" s="60">
        <v>0</v>
      </c>
      <c r="Z935" s="60">
        <v>0</v>
      </c>
      <c r="AA935" s="60">
        <v>0</v>
      </c>
      <c r="AB935" s="60">
        <v>0</v>
      </c>
      <c r="AC935" s="62">
        <v>27392.59</v>
      </c>
      <c r="AD935" s="60">
        <v>77706.84</v>
      </c>
      <c r="AE935" s="60">
        <v>0</v>
      </c>
      <c r="AF935" s="170">
        <v>2021</v>
      </c>
      <c r="AG935" s="170">
        <v>2021</v>
      </c>
      <c r="AH935" s="63">
        <v>2021</v>
      </c>
    </row>
    <row r="936" spans="1:34" ht="61.5" x14ac:dyDescent="0.85">
      <c r="A936" s="7">
        <v>1</v>
      </c>
      <c r="B936" s="59">
        <f>SUBTOTAL(103,$A$558:A936)</f>
        <v>342</v>
      </c>
      <c r="C936" s="160" t="s">
        <v>1501</v>
      </c>
      <c r="D936" s="60">
        <f>E936+F936+G936+H936+I936+J936+L936+N936+P936+R936+T936+U936+V936+W936+X936+Y936+Z936+AA936+AB936+AC936+AD936+AE936</f>
        <v>2627345.86</v>
      </c>
      <c r="E936" s="60">
        <v>0</v>
      </c>
      <c r="F936" s="60">
        <v>0</v>
      </c>
      <c r="G936" s="60">
        <v>0</v>
      </c>
      <c r="H936" s="60">
        <v>0</v>
      </c>
      <c r="I936" s="60">
        <v>0</v>
      </c>
      <c r="J936" s="60">
        <v>0</v>
      </c>
      <c r="K936" s="168">
        <v>0</v>
      </c>
      <c r="L936" s="60">
        <v>0</v>
      </c>
      <c r="M936" s="60">
        <v>568.70000000000005</v>
      </c>
      <c r="N936" s="60">
        <v>2534197</v>
      </c>
      <c r="O936" s="60">
        <v>0</v>
      </c>
      <c r="P936" s="60">
        <v>0</v>
      </c>
      <c r="Q936" s="60">
        <v>0</v>
      </c>
      <c r="R936" s="60">
        <v>0</v>
      </c>
      <c r="S936" s="60">
        <v>0</v>
      </c>
      <c r="T936" s="60">
        <v>0</v>
      </c>
      <c r="U936" s="60">
        <v>0</v>
      </c>
      <c r="V936" s="60">
        <v>0</v>
      </c>
      <c r="W936" s="60">
        <v>0</v>
      </c>
      <c r="X936" s="60">
        <v>0</v>
      </c>
      <c r="Y936" s="60">
        <v>0</v>
      </c>
      <c r="Z936" s="60">
        <v>0</v>
      </c>
      <c r="AA936" s="60">
        <v>0</v>
      </c>
      <c r="AB936" s="60">
        <v>0</v>
      </c>
      <c r="AC936" s="62">
        <v>22617.71</v>
      </c>
      <c r="AD936" s="60">
        <v>70531.149999999994</v>
      </c>
      <c r="AE936" s="60">
        <v>0</v>
      </c>
      <c r="AF936" s="170">
        <v>2021</v>
      </c>
      <c r="AG936" s="170">
        <v>2021</v>
      </c>
      <c r="AH936" s="63">
        <v>2021</v>
      </c>
    </row>
    <row r="937" spans="1:34" ht="61.5" x14ac:dyDescent="0.85">
      <c r="A937" s="7">
        <v>1</v>
      </c>
      <c r="B937" s="59">
        <f>SUBTOTAL(103,$A$558:A937)</f>
        <v>343</v>
      </c>
      <c r="C937" s="160" t="s">
        <v>47</v>
      </c>
      <c r="D937" s="60">
        <f>E937+F937+G937+H937+I937+J937+L937+N937+P937+R937+T937+U937+V937+W937+X937+Y937+Z937+AA937+AB937+AC937+AD937+AE937</f>
        <v>3912999.78</v>
      </c>
      <c r="E937" s="60">
        <v>0</v>
      </c>
      <c r="F937" s="60">
        <v>0</v>
      </c>
      <c r="G937" s="60">
        <v>0</v>
      </c>
      <c r="H937" s="60">
        <v>0</v>
      </c>
      <c r="I937" s="60">
        <v>0</v>
      </c>
      <c r="J937" s="60">
        <v>0</v>
      </c>
      <c r="K937" s="168">
        <v>0</v>
      </c>
      <c r="L937" s="60">
        <v>0</v>
      </c>
      <c r="M937" s="62">
        <v>589.5</v>
      </c>
      <c r="N937" s="62">
        <v>3858879</v>
      </c>
      <c r="O937" s="60">
        <v>0</v>
      </c>
      <c r="P937" s="60">
        <v>0</v>
      </c>
      <c r="Q937" s="60">
        <v>0</v>
      </c>
      <c r="R937" s="60">
        <v>0</v>
      </c>
      <c r="S937" s="60">
        <v>0</v>
      </c>
      <c r="T937" s="60">
        <v>0</v>
      </c>
      <c r="U937" s="60">
        <v>0</v>
      </c>
      <c r="V937" s="60">
        <v>0</v>
      </c>
      <c r="W937" s="60">
        <v>0</v>
      </c>
      <c r="X937" s="60">
        <v>0</v>
      </c>
      <c r="Y937" s="60">
        <v>0</v>
      </c>
      <c r="Z937" s="60">
        <v>0</v>
      </c>
      <c r="AA937" s="60">
        <v>0</v>
      </c>
      <c r="AB937" s="60">
        <v>0</v>
      </c>
      <c r="AC937" s="62">
        <v>54120.78</v>
      </c>
      <c r="AD937" s="60">
        <v>0</v>
      </c>
      <c r="AE937" s="60">
        <v>0</v>
      </c>
      <c r="AF937" s="170" t="s">
        <v>257</v>
      </c>
      <c r="AG937" s="170">
        <v>2021</v>
      </c>
      <c r="AH937" s="63">
        <v>2021</v>
      </c>
    </row>
    <row r="938" spans="1:34" ht="61.5" x14ac:dyDescent="0.85">
      <c r="A938" s="7">
        <v>1</v>
      </c>
      <c r="B938" s="59">
        <f>SUBTOTAL(103,$A$558:A938)</f>
        <v>344</v>
      </c>
      <c r="C938" s="160" t="s">
        <v>1165</v>
      </c>
      <c r="D938" s="60">
        <f>E938+F938+G938+H938+I938+J938+L938+N938+P938+R938+T938+U938+V938+W938+X938+Y938+Z938+AA938+AB938+AC938+AD938+AE938</f>
        <v>6672611.4800000004</v>
      </c>
      <c r="E938" s="62">
        <v>743426.02</v>
      </c>
      <c r="F938" s="62">
        <v>1897766</v>
      </c>
      <c r="G938" s="62">
        <v>1618625.81</v>
      </c>
      <c r="H938" s="62">
        <v>312753.65000000002</v>
      </c>
      <c r="I938" s="62">
        <v>2070220.51</v>
      </c>
      <c r="J938" s="60">
        <v>0</v>
      </c>
      <c r="K938" s="168">
        <v>0</v>
      </c>
      <c r="L938" s="60">
        <v>0</v>
      </c>
      <c r="M938" s="60">
        <v>0</v>
      </c>
      <c r="N938" s="60">
        <v>0</v>
      </c>
      <c r="O938" s="60">
        <v>0</v>
      </c>
      <c r="P938" s="60">
        <v>0</v>
      </c>
      <c r="Q938" s="60">
        <v>0</v>
      </c>
      <c r="R938" s="60">
        <v>0</v>
      </c>
      <c r="S938" s="60">
        <v>0</v>
      </c>
      <c r="T938" s="60">
        <v>0</v>
      </c>
      <c r="U938" s="60">
        <v>0</v>
      </c>
      <c r="V938" s="60">
        <v>0</v>
      </c>
      <c r="W938" s="60">
        <v>0</v>
      </c>
      <c r="X938" s="60">
        <v>0</v>
      </c>
      <c r="Y938" s="60">
        <v>0</v>
      </c>
      <c r="Z938" s="60">
        <v>0</v>
      </c>
      <c r="AA938" s="60">
        <v>0</v>
      </c>
      <c r="AB938" s="60">
        <v>0</v>
      </c>
      <c r="AC938" s="62">
        <v>29819.489999999998</v>
      </c>
      <c r="AD938" s="60">
        <v>0</v>
      </c>
      <c r="AE938" s="60">
        <v>0</v>
      </c>
      <c r="AF938" s="170" t="s">
        <v>257</v>
      </c>
      <c r="AG938" s="170">
        <v>2021</v>
      </c>
      <c r="AH938" s="63">
        <v>2021</v>
      </c>
    </row>
    <row r="939" spans="1:34" ht="61.5" x14ac:dyDescent="0.85">
      <c r="B939" s="160" t="s">
        <v>789</v>
      </c>
      <c r="C939" s="160"/>
      <c r="D939" s="177">
        <f t="shared" ref="D939:AE939" si="141">SUM(D940:D942)</f>
        <v>462525.75</v>
      </c>
      <c r="E939" s="60">
        <f t="shared" si="141"/>
        <v>0</v>
      </c>
      <c r="F939" s="60">
        <f t="shared" si="141"/>
        <v>0</v>
      </c>
      <c r="G939" s="60">
        <f t="shared" si="141"/>
        <v>0</v>
      </c>
      <c r="H939" s="60">
        <f t="shared" si="141"/>
        <v>200000</v>
      </c>
      <c r="I939" s="60">
        <f t="shared" si="141"/>
        <v>0</v>
      </c>
      <c r="J939" s="60">
        <f t="shared" si="141"/>
        <v>0</v>
      </c>
      <c r="K939" s="168">
        <f t="shared" si="141"/>
        <v>0</v>
      </c>
      <c r="L939" s="60">
        <f t="shared" si="141"/>
        <v>0</v>
      </c>
      <c r="M939" s="60">
        <f t="shared" si="141"/>
        <v>0</v>
      </c>
      <c r="N939" s="60">
        <f t="shared" si="141"/>
        <v>0</v>
      </c>
      <c r="O939" s="60">
        <f t="shared" si="141"/>
        <v>0</v>
      </c>
      <c r="P939" s="60">
        <f t="shared" si="141"/>
        <v>0</v>
      </c>
      <c r="Q939" s="60">
        <f t="shared" si="141"/>
        <v>0</v>
      </c>
      <c r="R939" s="60">
        <f t="shared" si="141"/>
        <v>0</v>
      </c>
      <c r="S939" s="60">
        <f t="shared" si="141"/>
        <v>0</v>
      </c>
      <c r="T939" s="60">
        <f t="shared" si="141"/>
        <v>0</v>
      </c>
      <c r="U939" s="60">
        <f t="shared" si="141"/>
        <v>0</v>
      </c>
      <c r="V939" s="60">
        <f t="shared" si="141"/>
        <v>0</v>
      </c>
      <c r="W939" s="60">
        <f t="shared" si="141"/>
        <v>0</v>
      </c>
      <c r="X939" s="60">
        <f t="shared" si="141"/>
        <v>0</v>
      </c>
      <c r="Y939" s="60">
        <f t="shared" si="141"/>
        <v>0</v>
      </c>
      <c r="Z939" s="60">
        <f t="shared" si="141"/>
        <v>0</v>
      </c>
      <c r="AA939" s="60">
        <f t="shared" si="141"/>
        <v>0</v>
      </c>
      <c r="AB939" s="60">
        <f t="shared" si="141"/>
        <v>0</v>
      </c>
      <c r="AC939" s="60">
        <f t="shared" si="141"/>
        <v>3000</v>
      </c>
      <c r="AD939" s="60">
        <f t="shared" si="141"/>
        <v>259525.75</v>
      </c>
      <c r="AE939" s="60">
        <f t="shared" si="141"/>
        <v>0</v>
      </c>
      <c r="AF939" s="54" t="s">
        <v>701</v>
      </c>
      <c r="AG939" s="54" t="s">
        <v>701</v>
      </c>
      <c r="AH939" s="55" t="s">
        <v>701</v>
      </c>
    </row>
    <row r="940" spans="1:34" ht="61.5" x14ac:dyDescent="0.85">
      <c r="A940" s="7">
        <v>1</v>
      </c>
      <c r="B940" s="59">
        <f>SUBTOTAL(103,$A$558:A940)</f>
        <v>345</v>
      </c>
      <c r="C940" s="160" t="s">
        <v>1577</v>
      </c>
      <c r="D940" s="60">
        <f>E940+F940+G940+H940+I940+J940+L940+N940+P940+R940+T940+U940+V940+W940+X940+Y940+Z940+AA940+AB940+AC940+AD940+AE940</f>
        <v>83194.759999999995</v>
      </c>
      <c r="E940" s="60">
        <v>0</v>
      </c>
      <c r="F940" s="60">
        <v>0</v>
      </c>
      <c r="G940" s="60">
        <v>0</v>
      </c>
      <c r="H940" s="60">
        <v>0</v>
      </c>
      <c r="I940" s="60">
        <v>0</v>
      </c>
      <c r="J940" s="60">
        <v>0</v>
      </c>
      <c r="K940" s="168">
        <v>0</v>
      </c>
      <c r="L940" s="60">
        <v>0</v>
      </c>
      <c r="M940" s="60">
        <v>0</v>
      </c>
      <c r="N940" s="60">
        <v>0</v>
      </c>
      <c r="O940" s="60">
        <v>0</v>
      </c>
      <c r="P940" s="60">
        <v>0</v>
      </c>
      <c r="Q940" s="60">
        <v>0</v>
      </c>
      <c r="R940" s="60">
        <v>0</v>
      </c>
      <c r="S940" s="60">
        <v>0</v>
      </c>
      <c r="T940" s="60">
        <v>0</v>
      </c>
      <c r="U940" s="60">
        <v>0</v>
      </c>
      <c r="V940" s="60">
        <v>0</v>
      </c>
      <c r="W940" s="60">
        <v>0</v>
      </c>
      <c r="X940" s="60">
        <v>0</v>
      </c>
      <c r="Y940" s="60">
        <v>0</v>
      </c>
      <c r="Z940" s="60">
        <v>0</v>
      </c>
      <c r="AA940" s="60">
        <v>0</v>
      </c>
      <c r="AB940" s="60">
        <v>0</v>
      </c>
      <c r="AC940" s="60">
        <f>ROUND(N940*1.5%,2)</f>
        <v>0</v>
      </c>
      <c r="AD940" s="62">
        <v>83194.759999999995</v>
      </c>
      <c r="AE940" s="60">
        <v>0</v>
      </c>
      <c r="AF940" s="170">
        <v>2021</v>
      </c>
      <c r="AG940" s="170" t="s">
        <v>257</v>
      </c>
      <c r="AH940" s="170" t="s">
        <v>257</v>
      </c>
    </row>
    <row r="941" spans="1:34" ht="61.5" x14ac:dyDescent="0.85">
      <c r="A941" s="7">
        <v>1</v>
      </c>
      <c r="B941" s="59">
        <f>SUBTOTAL(103,$A$558:A941)</f>
        <v>346</v>
      </c>
      <c r="C941" s="160" t="s">
        <v>54</v>
      </c>
      <c r="D941" s="60">
        <f>E941+F941+G941+H941+I941+J941+L941+N941+P941+R941+T941+U941+V941+W941+X941+Y941+Z941+AA941+AB941+AC941+AD941+AE941</f>
        <v>176330.99</v>
      </c>
      <c r="E941" s="60">
        <v>0</v>
      </c>
      <c r="F941" s="60">
        <v>0</v>
      </c>
      <c r="G941" s="60">
        <v>0</v>
      </c>
      <c r="H941" s="60">
        <v>0</v>
      </c>
      <c r="I941" s="60">
        <v>0</v>
      </c>
      <c r="J941" s="60">
        <v>0</v>
      </c>
      <c r="K941" s="168">
        <v>0</v>
      </c>
      <c r="L941" s="60">
        <v>0</v>
      </c>
      <c r="M941" s="60">
        <v>0</v>
      </c>
      <c r="N941" s="60">
        <v>0</v>
      </c>
      <c r="O941" s="60">
        <v>0</v>
      </c>
      <c r="P941" s="60">
        <v>0</v>
      </c>
      <c r="Q941" s="60">
        <v>0</v>
      </c>
      <c r="R941" s="60">
        <v>0</v>
      </c>
      <c r="S941" s="60">
        <v>0</v>
      </c>
      <c r="T941" s="60">
        <v>0</v>
      </c>
      <c r="U941" s="60">
        <v>0</v>
      </c>
      <c r="V941" s="60">
        <v>0</v>
      </c>
      <c r="W941" s="60">
        <v>0</v>
      </c>
      <c r="X941" s="60">
        <v>0</v>
      </c>
      <c r="Y941" s="60">
        <v>0</v>
      </c>
      <c r="Z941" s="60">
        <v>0</v>
      </c>
      <c r="AA941" s="60">
        <v>0</v>
      </c>
      <c r="AB941" s="60">
        <v>0</v>
      </c>
      <c r="AC941" s="60">
        <f>ROUND(N941*1.5%,2)</f>
        <v>0</v>
      </c>
      <c r="AD941" s="62">
        <v>176330.99</v>
      </c>
      <c r="AE941" s="60">
        <v>0</v>
      </c>
      <c r="AF941" s="170">
        <v>2021</v>
      </c>
      <c r="AG941" s="170" t="s">
        <v>257</v>
      </c>
      <c r="AH941" s="170" t="s">
        <v>257</v>
      </c>
    </row>
    <row r="942" spans="1:34" ht="61.5" x14ac:dyDescent="0.85">
      <c r="A942" s="7">
        <v>1</v>
      </c>
      <c r="B942" s="59">
        <f>SUBTOTAL(103,$A$558:A942)</f>
        <v>347</v>
      </c>
      <c r="C942" s="160" t="s">
        <v>1171</v>
      </c>
      <c r="D942" s="60">
        <f>E942+F942+G942+H942+I942+J942+L942+N942+P942+R942+T942+U942+V942+W942+X942+Y942+Z942+AA942+AB942+AC942+AD942+AE942</f>
        <v>203000</v>
      </c>
      <c r="E942" s="60">
        <v>0</v>
      </c>
      <c r="F942" s="60">
        <v>0</v>
      </c>
      <c r="G942" s="62">
        <v>0</v>
      </c>
      <c r="H942" s="60">
        <v>200000</v>
      </c>
      <c r="I942" s="60">
        <v>0</v>
      </c>
      <c r="J942" s="60">
        <v>0</v>
      </c>
      <c r="K942" s="168">
        <v>0</v>
      </c>
      <c r="L942" s="60">
        <v>0</v>
      </c>
      <c r="M942" s="62">
        <v>0</v>
      </c>
      <c r="N942" s="62">
        <v>0</v>
      </c>
      <c r="O942" s="60">
        <v>0</v>
      </c>
      <c r="P942" s="60">
        <v>0</v>
      </c>
      <c r="Q942" s="60">
        <v>0</v>
      </c>
      <c r="R942" s="60">
        <v>0</v>
      </c>
      <c r="S942" s="60">
        <v>0</v>
      </c>
      <c r="T942" s="60">
        <v>0</v>
      </c>
      <c r="U942" s="60">
        <v>0</v>
      </c>
      <c r="V942" s="60">
        <v>0</v>
      </c>
      <c r="W942" s="60">
        <v>0</v>
      </c>
      <c r="X942" s="60">
        <v>0</v>
      </c>
      <c r="Y942" s="60">
        <v>0</v>
      </c>
      <c r="Z942" s="60">
        <v>0</v>
      </c>
      <c r="AA942" s="60">
        <v>0</v>
      </c>
      <c r="AB942" s="60">
        <v>0</v>
      </c>
      <c r="AC942" s="60">
        <f>ROUND((E942+F942+G942+H942+I942+J942)*1.5%,2)</f>
        <v>3000</v>
      </c>
      <c r="AD942" s="60">
        <v>0</v>
      </c>
      <c r="AE942" s="60">
        <v>0</v>
      </c>
      <c r="AF942" s="170" t="s">
        <v>257</v>
      </c>
      <c r="AG942" s="170">
        <v>2021</v>
      </c>
      <c r="AH942" s="63">
        <v>2021</v>
      </c>
    </row>
    <row r="943" spans="1:34" ht="61.5" x14ac:dyDescent="0.85">
      <c r="B943" s="160" t="s">
        <v>790</v>
      </c>
      <c r="C943" s="160"/>
      <c r="D943" s="177">
        <f t="shared" ref="D943:AE943" si="142">D944</f>
        <v>2077656.16</v>
      </c>
      <c r="E943" s="60">
        <f t="shared" si="142"/>
        <v>0</v>
      </c>
      <c r="F943" s="60">
        <f t="shared" si="142"/>
        <v>0</v>
      </c>
      <c r="G943" s="60">
        <f t="shared" si="142"/>
        <v>0</v>
      </c>
      <c r="H943" s="60">
        <f t="shared" si="142"/>
        <v>0</v>
      </c>
      <c r="I943" s="60">
        <f t="shared" si="142"/>
        <v>0</v>
      </c>
      <c r="J943" s="60">
        <f t="shared" si="142"/>
        <v>0</v>
      </c>
      <c r="K943" s="168">
        <f t="shared" si="142"/>
        <v>0</v>
      </c>
      <c r="L943" s="60">
        <f t="shared" si="142"/>
        <v>0</v>
      </c>
      <c r="M943" s="60">
        <f t="shared" si="142"/>
        <v>433.81</v>
      </c>
      <c r="N943" s="60">
        <f t="shared" si="142"/>
        <v>1998394</v>
      </c>
      <c r="O943" s="60">
        <f t="shared" si="142"/>
        <v>0</v>
      </c>
      <c r="P943" s="60">
        <f t="shared" si="142"/>
        <v>0</v>
      </c>
      <c r="Q943" s="60">
        <f t="shared" si="142"/>
        <v>0</v>
      </c>
      <c r="R943" s="60">
        <f t="shared" si="142"/>
        <v>0</v>
      </c>
      <c r="S943" s="60">
        <f t="shared" si="142"/>
        <v>0</v>
      </c>
      <c r="T943" s="60">
        <f t="shared" si="142"/>
        <v>0</v>
      </c>
      <c r="U943" s="60">
        <f t="shared" si="142"/>
        <v>0</v>
      </c>
      <c r="V943" s="60">
        <f t="shared" si="142"/>
        <v>0</v>
      </c>
      <c r="W943" s="60">
        <f t="shared" si="142"/>
        <v>0</v>
      </c>
      <c r="X943" s="60">
        <f t="shared" si="142"/>
        <v>0</v>
      </c>
      <c r="Y943" s="60">
        <f t="shared" si="142"/>
        <v>0</v>
      </c>
      <c r="Z943" s="60">
        <f t="shared" si="142"/>
        <v>0</v>
      </c>
      <c r="AA943" s="60">
        <f t="shared" si="142"/>
        <v>0</v>
      </c>
      <c r="AB943" s="60">
        <f t="shared" si="142"/>
        <v>0</v>
      </c>
      <c r="AC943" s="60">
        <f t="shared" si="142"/>
        <v>17835.669999999998</v>
      </c>
      <c r="AD943" s="60">
        <f t="shared" si="142"/>
        <v>61426.49</v>
      </c>
      <c r="AE943" s="60">
        <f t="shared" si="142"/>
        <v>0</v>
      </c>
      <c r="AF943" s="54" t="s">
        <v>701</v>
      </c>
      <c r="AG943" s="54" t="s">
        <v>701</v>
      </c>
      <c r="AH943" s="55" t="s">
        <v>701</v>
      </c>
    </row>
    <row r="944" spans="1:34" ht="61.5" x14ac:dyDescent="0.85">
      <c r="A944" s="7">
        <v>1</v>
      </c>
      <c r="B944" s="59">
        <f>SUBTOTAL(103,$A$558:A944)</f>
        <v>348</v>
      </c>
      <c r="C944" s="160" t="s">
        <v>53</v>
      </c>
      <c r="D944" s="60">
        <f>E944+F944+G944+H944+I944+J944+L944+N944+P944+R944+T944+U944+V944+W944+X944+Y944+Z944+AA944+AB944+AC944+AD944+AE944</f>
        <v>2077656.16</v>
      </c>
      <c r="E944" s="60">
        <v>0</v>
      </c>
      <c r="F944" s="60">
        <v>0</v>
      </c>
      <c r="G944" s="60">
        <v>0</v>
      </c>
      <c r="H944" s="60">
        <v>0</v>
      </c>
      <c r="I944" s="60">
        <v>0</v>
      </c>
      <c r="J944" s="60">
        <v>0</v>
      </c>
      <c r="K944" s="168">
        <v>0</v>
      </c>
      <c r="L944" s="60">
        <v>0</v>
      </c>
      <c r="M944" s="60">
        <v>433.81</v>
      </c>
      <c r="N944" s="60">
        <v>1998394</v>
      </c>
      <c r="O944" s="60">
        <v>0</v>
      </c>
      <c r="P944" s="60">
        <v>0</v>
      </c>
      <c r="Q944" s="60">
        <v>0</v>
      </c>
      <c r="R944" s="60">
        <v>0</v>
      </c>
      <c r="S944" s="60">
        <v>0</v>
      </c>
      <c r="T944" s="60">
        <v>0</v>
      </c>
      <c r="U944" s="60">
        <v>0</v>
      </c>
      <c r="V944" s="60">
        <v>0</v>
      </c>
      <c r="W944" s="60">
        <v>0</v>
      </c>
      <c r="X944" s="60">
        <v>0</v>
      </c>
      <c r="Y944" s="60">
        <v>0</v>
      </c>
      <c r="Z944" s="60">
        <v>0</v>
      </c>
      <c r="AA944" s="60">
        <v>0</v>
      </c>
      <c r="AB944" s="60">
        <v>0</v>
      </c>
      <c r="AC944" s="62">
        <v>17835.669999999998</v>
      </c>
      <c r="AD944" s="60">
        <v>61426.49</v>
      </c>
      <c r="AE944" s="60">
        <v>0</v>
      </c>
      <c r="AF944" s="170">
        <v>2021</v>
      </c>
      <c r="AG944" s="170">
        <v>2021</v>
      </c>
      <c r="AH944" s="63">
        <v>2021</v>
      </c>
    </row>
    <row r="945" spans="1:34" ht="61.5" x14ac:dyDescent="0.85">
      <c r="B945" s="160" t="s">
        <v>791</v>
      </c>
      <c r="C945" s="160"/>
      <c r="D945" s="177">
        <f t="shared" ref="D945:AE945" si="143">SUM(D946:D951)</f>
        <v>20595957.049999997</v>
      </c>
      <c r="E945" s="60">
        <f t="shared" si="143"/>
        <v>0</v>
      </c>
      <c r="F945" s="60">
        <f t="shared" si="143"/>
        <v>0</v>
      </c>
      <c r="G945" s="60">
        <f t="shared" si="143"/>
        <v>0</v>
      </c>
      <c r="H945" s="60">
        <f t="shared" si="143"/>
        <v>0</v>
      </c>
      <c r="I945" s="60">
        <f t="shared" si="143"/>
        <v>0</v>
      </c>
      <c r="J945" s="60">
        <f t="shared" si="143"/>
        <v>0</v>
      </c>
      <c r="K945" s="168">
        <f t="shared" si="143"/>
        <v>0</v>
      </c>
      <c r="L945" s="60">
        <f t="shared" si="143"/>
        <v>0</v>
      </c>
      <c r="M945" s="60">
        <f t="shared" si="143"/>
        <v>3887.68</v>
      </c>
      <c r="N945" s="60">
        <f t="shared" si="143"/>
        <v>20144768</v>
      </c>
      <c r="O945" s="60">
        <f t="shared" si="143"/>
        <v>0</v>
      </c>
      <c r="P945" s="60">
        <f t="shared" si="143"/>
        <v>0</v>
      </c>
      <c r="Q945" s="60">
        <f t="shared" si="143"/>
        <v>0</v>
      </c>
      <c r="R945" s="60">
        <f t="shared" si="143"/>
        <v>0</v>
      </c>
      <c r="S945" s="60">
        <f t="shared" si="143"/>
        <v>0</v>
      </c>
      <c r="T945" s="60">
        <f t="shared" si="143"/>
        <v>0</v>
      </c>
      <c r="U945" s="60">
        <f t="shared" si="143"/>
        <v>0</v>
      </c>
      <c r="V945" s="60">
        <f t="shared" si="143"/>
        <v>0</v>
      </c>
      <c r="W945" s="60">
        <f t="shared" si="143"/>
        <v>0</v>
      </c>
      <c r="X945" s="60">
        <f t="shared" si="143"/>
        <v>0</v>
      </c>
      <c r="Y945" s="60">
        <f t="shared" si="143"/>
        <v>0</v>
      </c>
      <c r="Z945" s="60">
        <f t="shared" si="143"/>
        <v>0</v>
      </c>
      <c r="AA945" s="60">
        <f t="shared" si="143"/>
        <v>0</v>
      </c>
      <c r="AB945" s="60">
        <f t="shared" si="143"/>
        <v>0</v>
      </c>
      <c r="AC945" s="60">
        <f t="shared" si="143"/>
        <v>201410.96</v>
      </c>
      <c r="AD945" s="60">
        <f t="shared" si="143"/>
        <v>249778.09</v>
      </c>
      <c r="AE945" s="60">
        <f t="shared" si="143"/>
        <v>0</v>
      </c>
      <c r="AF945" s="54" t="s">
        <v>701</v>
      </c>
      <c r="AG945" s="54" t="s">
        <v>701</v>
      </c>
      <c r="AH945" s="55" t="s">
        <v>701</v>
      </c>
    </row>
    <row r="946" spans="1:34" ht="61.5" x14ac:dyDescent="0.85">
      <c r="A946" s="7">
        <v>1</v>
      </c>
      <c r="B946" s="59">
        <f>SUBTOTAL(103,$A$558:A946)</f>
        <v>349</v>
      </c>
      <c r="C946" s="160" t="s">
        <v>60</v>
      </c>
      <c r="D946" s="60">
        <f t="shared" ref="D946:D951" si="144">E946+F946+G946+H946+I946+J946+L946+N946+P946+R946+T946+U946+V946+W946+X946+Y946+Z946+AA946+AB946+AC946+AD946+AE946</f>
        <v>4272225.54</v>
      </c>
      <c r="E946" s="60">
        <v>0</v>
      </c>
      <c r="F946" s="60">
        <v>0</v>
      </c>
      <c r="G946" s="60">
        <v>0</v>
      </c>
      <c r="H946" s="60">
        <v>0</v>
      </c>
      <c r="I946" s="60">
        <v>0</v>
      </c>
      <c r="J946" s="60">
        <v>0</v>
      </c>
      <c r="K946" s="168">
        <v>0</v>
      </c>
      <c r="L946" s="60">
        <v>0</v>
      </c>
      <c r="M946" s="60">
        <v>568.79999999999995</v>
      </c>
      <c r="N946" s="60">
        <v>4129648</v>
      </c>
      <c r="O946" s="60">
        <v>0</v>
      </c>
      <c r="P946" s="60">
        <v>0</v>
      </c>
      <c r="Q946" s="60">
        <v>0</v>
      </c>
      <c r="R946" s="60">
        <v>0</v>
      </c>
      <c r="S946" s="60">
        <v>0</v>
      </c>
      <c r="T946" s="60">
        <v>0</v>
      </c>
      <c r="U946" s="60">
        <v>0</v>
      </c>
      <c r="V946" s="60">
        <v>0</v>
      </c>
      <c r="W946" s="60">
        <v>0</v>
      </c>
      <c r="X946" s="60">
        <v>0</v>
      </c>
      <c r="Y946" s="60">
        <v>0</v>
      </c>
      <c r="Z946" s="60">
        <v>0</v>
      </c>
      <c r="AA946" s="60">
        <v>0</v>
      </c>
      <c r="AB946" s="60">
        <v>0</v>
      </c>
      <c r="AC946" s="62">
        <v>36857.11</v>
      </c>
      <c r="AD946" s="62">
        <v>105720.43</v>
      </c>
      <c r="AE946" s="60">
        <v>0</v>
      </c>
      <c r="AF946" s="170">
        <v>2021</v>
      </c>
      <c r="AG946" s="170">
        <v>2021</v>
      </c>
      <c r="AH946" s="63">
        <v>2021</v>
      </c>
    </row>
    <row r="947" spans="1:34" ht="61.5" x14ac:dyDescent="0.85">
      <c r="A947" s="7">
        <v>1</v>
      </c>
      <c r="B947" s="59">
        <f>SUBTOTAL(103,$A$558:A947)</f>
        <v>350</v>
      </c>
      <c r="C947" s="160" t="s">
        <v>61</v>
      </c>
      <c r="D947" s="60">
        <f t="shared" si="144"/>
        <v>3672377.8499999996</v>
      </c>
      <c r="E947" s="60">
        <v>0</v>
      </c>
      <c r="F947" s="60">
        <v>0</v>
      </c>
      <c r="G947" s="60">
        <v>0</v>
      </c>
      <c r="H947" s="60">
        <v>0</v>
      </c>
      <c r="I947" s="60">
        <v>0</v>
      </c>
      <c r="J947" s="60">
        <v>0</v>
      </c>
      <c r="K947" s="168">
        <v>0</v>
      </c>
      <c r="L947" s="60">
        <v>0</v>
      </c>
      <c r="M947" s="60">
        <v>612</v>
      </c>
      <c r="N947" s="60">
        <v>3563166</v>
      </c>
      <c r="O947" s="60">
        <v>0</v>
      </c>
      <c r="P947" s="60">
        <v>0</v>
      </c>
      <c r="Q947" s="60">
        <v>0</v>
      </c>
      <c r="R947" s="60">
        <v>0</v>
      </c>
      <c r="S947" s="60">
        <v>0</v>
      </c>
      <c r="T947" s="60">
        <v>0</v>
      </c>
      <c r="U947" s="60">
        <v>0</v>
      </c>
      <c r="V947" s="60">
        <v>0</v>
      </c>
      <c r="W947" s="60">
        <v>0</v>
      </c>
      <c r="X947" s="60">
        <v>0</v>
      </c>
      <c r="Y947" s="60">
        <v>0</v>
      </c>
      <c r="Z947" s="60">
        <v>0</v>
      </c>
      <c r="AA947" s="60">
        <v>0</v>
      </c>
      <c r="AB947" s="60">
        <v>0</v>
      </c>
      <c r="AC947" s="62">
        <v>31801.26</v>
      </c>
      <c r="AD947" s="60">
        <v>77410.59</v>
      </c>
      <c r="AE947" s="60">
        <v>0</v>
      </c>
      <c r="AF947" s="170">
        <v>2021</v>
      </c>
      <c r="AG947" s="170">
        <v>2021</v>
      </c>
      <c r="AH947" s="63">
        <v>2021</v>
      </c>
    </row>
    <row r="948" spans="1:34" ht="61.5" x14ac:dyDescent="0.85">
      <c r="A948" s="7">
        <v>1</v>
      </c>
      <c r="B948" s="59">
        <f>SUBTOTAL(103,$A$558:A948)</f>
        <v>351</v>
      </c>
      <c r="C948" s="160" t="s">
        <v>59</v>
      </c>
      <c r="D948" s="60">
        <f t="shared" si="144"/>
        <v>2799677.08</v>
      </c>
      <c r="E948" s="60">
        <v>0</v>
      </c>
      <c r="F948" s="60">
        <v>0</v>
      </c>
      <c r="G948" s="60">
        <v>0</v>
      </c>
      <c r="H948" s="60">
        <v>0</v>
      </c>
      <c r="I948" s="60">
        <v>0</v>
      </c>
      <c r="J948" s="60">
        <v>0</v>
      </c>
      <c r="K948" s="168">
        <v>0</v>
      </c>
      <c r="L948" s="60">
        <v>0</v>
      </c>
      <c r="M948" s="60">
        <v>602.27</v>
      </c>
      <c r="N948" s="60">
        <v>2774911</v>
      </c>
      <c r="O948" s="60">
        <v>0</v>
      </c>
      <c r="P948" s="60">
        <v>0</v>
      </c>
      <c r="Q948" s="60">
        <v>0</v>
      </c>
      <c r="R948" s="60">
        <v>0</v>
      </c>
      <c r="S948" s="60">
        <v>0</v>
      </c>
      <c r="T948" s="60">
        <v>0</v>
      </c>
      <c r="U948" s="60">
        <v>0</v>
      </c>
      <c r="V948" s="60">
        <v>0</v>
      </c>
      <c r="W948" s="60">
        <v>0</v>
      </c>
      <c r="X948" s="60">
        <v>0</v>
      </c>
      <c r="Y948" s="60">
        <v>0</v>
      </c>
      <c r="Z948" s="60">
        <v>0</v>
      </c>
      <c r="AA948" s="60">
        <v>0</v>
      </c>
      <c r="AB948" s="60">
        <v>0</v>
      </c>
      <c r="AC948" s="62">
        <v>24766.080000000002</v>
      </c>
      <c r="AD948" s="60">
        <v>0</v>
      </c>
      <c r="AE948" s="60">
        <v>0</v>
      </c>
      <c r="AF948" s="170" t="s">
        <v>257</v>
      </c>
      <c r="AG948" s="170">
        <v>2021</v>
      </c>
      <c r="AH948" s="63">
        <v>2021</v>
      </c>
    </row>
    <row r="949" spans="1:34" ht="61.5" x14ac:dyDescent="0.85">
      <c r="A949" s="7">
        <v>1</v>
      </c>
      <c r="B949" s="59">
        <f>SUBTOTAL(103,$A$558:A949)</f>
        <v>352</v>
      </c>
      <c r="C949" s="160" t="s">
        <v>62</v>
      </c>
      <c r="D949" s="60">
        <f t="shared" si="144"/>
        <v>2844503.1199999996</v>
      </c>
      <c r="E949" s="60">
        <v>0</v>
      </c>
      <c r="F949" s="60">
        <v>0</v>
      </c>
      <c r="G949" s="60">
        <v>0</v>
      </c>
      <c r="H949" s="60">
        <v>0</v>
      </c>
      <c r="I949" s="60">
        <v>0</v>
      </c>
      <c r="J949" s="60">
        <v>0</v>
      </c>
      <c r="K949" s="168">
        <v>0</v>
      </c>
      <c r="L949" s="60">
        <v>0</v>
      </c>
      <c r="M949" s="60">
        <v>552.78</v>
      </c>
      <c r="N949" s="62">
        <v>2753283</v>
      </c>
      <c r="O949" s="60">
        <v>0</v>
      </c>
      <c r="P949" s="60">
        <v>0</v>
      </c>
      <c r="Q949" s="60">
        <v>0</v>
      </c>
      <c r="R949" s="60">
        <v>0</v>
      </c>
      <c r="S949" s="60">
        <v>0</v>
      </c>
      <c r="T949" s="60">
        <v>0</v>
      </c>
      <c r="U949" s="60">
        <v>0</v>
      </c>
      <c r="V949" s="60">
        <v>0</v>
      </c>
      <c r="W949" s="60">
        <v>0</v>
      </c>
      <c r="X949" s="60">
        <v>0</v>
      </c>
      <c r="Y949" s="60">
        <v>0</v>
      </c>
      <c r="Z949" s="60">
        <v>0</v>
      </c>
      <c r="AA949" s="60">
        <v>0</v>
      </c>
      <c r="AB949" s="60">
        <v>0</v>
      </c>
      <c r="AC949" s="62">
        <v>24573.05</v>
      </c>
      <c r="AD949" s="60">
        <v>66647.070000000007</v>
      </c>
      <c r="AE949" s="60">
        <v>0</v>
      </c>
      <c r="AF949" s="170">
        <v>2021</v>
      </c>
      <c r="AG949" s="170">
        <v>2021</v>
      </c>
      <c r="AH949" s="63">
        <v>2021</v>
      </c>
    </row>
    <row r="950" spans="1:34" ht="61.5" x14ac:dyDescent="0.85">
      <c r="A950" s="7">
        <v>1</v>
      </c>
      <c r="B950" s="59">
        <f>SUBTOTAL(103,$A$558:A950)</f>
        <v>353</v>
      </c>
      <c r="C950" s="160" t="s">
        <v>58</v>
      </c>
      <c r="D950" s="60">
        <f t="shared" si="144"/>
        <v>2708720.47</v>
      </c>
      <c r="E950" s="60">
        <v>0</v>
      </c>
      <c r="F950" s="60">
        <v>0</v>
      </c>
      <c r="G950" s="60">
        <v>0</v>
      </c>
      <c r="H950" s="60">
        <v>0</v>
      </c>
      <c r="I950" s="60">
        <v>0</v>
      </c>
      <c r="J950" s="60">
        <v>0</v>
      </c>
      <c r="K950" s="168">
        <v>0</v>
      </c>
      <c r="L950" s="60">
        <v>0</v>
      </c>
      <c r="M950" s="60">
        <v>638</v>
      </c>
      <c r="N950" s="60">
        <v>2684759</v>
      </c>
      <c r="O950" s="60">
        <v>0</v>
      </c>
      <c r="P950" s="60">
        <v>0</v>
      </c>
      <c r="Q950" s="60">
        <v>0</v>
      </c>
      <c r="R950" s="60">
        <v>0</v>
      </c>
      <c r="S950" s="60">
        <v>0</v>
      </c>
      <c r="T950" s="60">
        <v>0</v>
      </c>
      <c r="U950" s="60">
        <v>0</v>
      </c>
      <c r="V950" s="60">
        <v>0</v>
      </c>
      <c r="W950" s="60">
        <v>0</v>
      </c>
      <c r="X950" s="60">
        <v>0</v>
      </c>
      <c r="Y950" s="60">
        <v>0</v>
      </c>
      <c r="Z950" s="60">
        <v>0</v>
      </c>
      <c r="AA950" s="60">
        <v>0</v>
      </c>
      <c r="AB950" s="60">
        <v>0</v>
      </c>
      <c r="AC950" s="62">
        <v>23961.47</v>
      </c>
      <c r="AD950" s="60">
        <v>0</v>
      </c>
      <c r="AE950" s="60">
        <v>0</v>
      </c>
      <c r="AF950" s="170" t="s">
        <v>257</v>
      </c>
      <c r="AG950" s="170">
        <v>2021</v>
      </c>
      <c r="AH950" s="63">
        <v>2021</v>
      </c>
    </row>
    <row r="951" spans="1:34" ht="61.5" x14ac:dyDescent="0.85">
      <c r="A951" s="7">
        <v>1</v>
      </c>
      <c r="B951" s="59">
        <f>SUBTOTAL(103,$A$558:A951)</f>
        <v>354</v>
      </c>
      <c r="C951" s="160" t="s">
        <v>49</v>
      </c>
      <c r="D951" s="60">
        <f t="shared" si="144"/>
        <v>4298452.99</v>
      </c>
      <c r="E951" s="60">
        <v>0</v>
      </c>
      <c r="F951" s="60">
        <v>0</v>
      </c>
      <c r="G951" s="60">
        <v>0</v>
      </c>
      <c r="H951" s="60">
        <v>0</v>
      </c>
      <c r="I951" s="60">
        <v>0</v>
      </c>
      <c r="J951" s="60">
        <v>0</v>
      </c>
      <c r="K951" s="168">
        <v>0</v>
      </c>
      <c r="L951" s="60">
        <v>0</v>
      </c>
      <c r="M951" s="62">
        <v>913.83</v>
      </c>
      <c r="N951" s="62">
        <v>4239001</v>
      </c>
      <c r="O951" s="60">
        <v>0</v>
      </c>
      <c r="P951" s="60">
        <v>0</v>
      </c>
      <c r="Q951" s="60">
        <v>0</v>
      </c>
      <c r="R951" s="60">
        <v>0</v>
      </c>
      <c r="S951" s="60">
        <v>0</v>
      </c>
      <c r="T951" s="60">
        <v>0</v>
      </c>
      <c r="U951" s="60">
        <v>0</v>
      </c>
      <c r="V951" s="60">
        <v>0</v>
      </c>
      <c r="W951" s="60">
        <v>0</v>
      </c>
      <c r="X951" s="60">
        <v>0</v>
      </c>
      <c r="Y951" s="60">
        <v>0</v>
      </c>
      <c r="Z951" s="60">
        <v>0</v>
      </c>
      <c r="AA951" s="60">
        <v>0</v>
      </c>
      <c r="AB951" s="60">
        <v>0</v>
      </c>
      <c r="AC951" s="62">
        <v>59451.99</v>
      </c>
      <c r="AD951" s="60">
        <v>0</v>
      </c>
      <c r="AE951" s="60">
        <v>0</v>
      </c>
      <c r="AF951" s="170" t="s">
        <v>257</v>
      </c>
      <c r="AG951" s="170">
        <v>2021</v>
      </c>
      <c r="AH951" s="63">
        <v>2021</v>
      </c>
    </row>
    <row r="952" spans="1:34" ht="61.5" x14ac:dyDescent="0.85">
      <c r="B952" s="160" t="s">
        <v>786</v>
      </c>
      <c r="C952" s="160"/>
      <c r="D952" s="177">
        <f t="shared" ref="D952:AE952" si="145">SUM(D953:D954)</f>
        <v>166016.51999999999</v>
      </c>
      <c r="E952" s="60">
        <f t="shared" si="145"/>
        <v>0</v>
      </c>
      <c r="F952" s="60">
        <f t="shared" si="145"/>
        <v>0</v>
      </c>
      <c r="G952" s="60">
        <f t="shared" si="145"/>
        <v>0</v>
      </c>
      <c r="H952" s="60">
        <f t="shared" si="145"/>
        <v>0</v>
      </c>
      <c r="I952" s="60">
        <f t="shared" si="145"/>
        <v>0</v>
      </c>
      <c r="J952" s="60">
        <f t="shared" si="145"/>
        <v>0</v>
      </c>
      <c r="K952" s="168">
        <f t="shared" si="145"/>
        <v>0</v>
      </c>
      <c r="L952" s="60">
        <f t="shared" si="145"/>
        <v>0</v>
      </c>
      <c r="M952" s="60">
        <f t="shared" si="145"/>
        <v>0</v>
      </c>
      <c r="N952" s="60">
        <f t="shared" si="145"/>
        <v>0</v>
      </c>
      <c r="O952" s="60">
        <f t="shared" si="145"/>
        <v>0</v>
      </c>
      <c r="P952" s="60">
        <f t="shared" si="145"/>
        <v>0</v>
      </c>
      <c r="Q952" s="60">
        <f t="shared" si="145"/>
        <v>0</v>
      </c>
      <c r="R952" s="60">
        <f t="shared" si="145"/>
        <v>0</v>
      </c>
      <c r="S952" s="60">
        <f t="shared" si="145"/>
        <v>0</v>
      </c>
      <c r="T952" s="60">
        <f t="shared" si="145"/>
        <v>0</v>
      </c>
      <c r="U952" s="60">
        <f t="shared" si="145"/>
        <v>0</v>
      </c>
      <c r="V952" s="60">
        <f t="shared" si="145"/>
        <v>0</v>
      </c>
      <c r="W952" s="60">
        <f t="shared" si="145"/>
        <v>0</v>
      </c>
      <c r="X952" s="60">
        <f t="shared" si="145"/>
        <v>0</v>
      </c>
      <c r="Y952" s="60">
        <f t="shared" si="145"/>
        <v>0</v>
      </c>
      <c r="Z952" s="60">
        <f t="shared" si="145"/>
        <v>0</v>
      </c>
      <c r="AA952" s="60">
        <f t="shared" si="145"/>
        <v>0</v>
      </c>
      <c r="AB952" s="60">
        <f t="shared" si="145"/>
        <v>0</v>
      </c>
      <c r="AC952" s="60">
        <f t="shared" si="145"/>
        <v>0</v>
      </c>
      <c r="AD952" s="60">
        <f t="shared" si="145"/>
        <v>166016.51999999999</v>
      </c>
      <c r="AE952" s="60">
        <f t="shared" si="145"/>
        <v>0</v>
      </c>
      <c r="AF952" s="54" t="s">
        <v>701</v>
      </c>
      <c r="AG952" s="54" t="s">
        <v>701</v>
      </c>
      <c r="AH952" s="55" t="s">
        <v>701</v>
      </c>
    </row>
    <row r="953" spans="1:34" ht="61.5" x14ac:dyDescent="0.85">
      <c r="A953" s="7">
        <v>1</v>
      </c>
      <c r="B953" s="59">
        <f>SUBTOTAL(103,$A$558:A953)</f>
        <v>355</v>
      </c>
      <c r="C953" s="186" t="s">
        <v>66</v>
      </c>
      <c r="D953" s="60">
        <f>E953+F953+G953+H953+I953+J953+L953+N953+P953+R953+T953+U953+V953+W953+X953+Y953+Z953+AA953+AB953+AC953+AD953+AE953</f>
        <v>75494.62</v>
      </c>
      <c r="E953" s="60">
        <v>0</v>
      </c>
      <c r="F953" s="60">
        <v>0</v>
      </c>
      <c r="G953" s="60">
        <v>0</v>
      </c>
      <c r="H953" s="60">
        <v>0</v>
      </c>
      <c r="I953" s="60">
        <v>0</v>
      </c>
      <c r="J953" s="60">
        <v>0</v>
      </c>
      <c r="K953" s="168">
        <v>0</v>
      </c>
      <c r="L953" s="60">
        <v>0</v>
      </c>
      <c r="M953" s="60">
        <v>0</v>
      </c>
      <c r="N953" s="60">
        <v>0</v>
      </c>
      <c r="O953" s="60">
        <v>0</v>
      </c>
      <c r="P953" s="60">
        <v>0</v>
      </c>
      <c r="Q953" s="60">
        <v>0</v>
      </c>
      <c r="R953" s="60">
        <v>0</v>
      </c>
      <c r="S953" s="60">
        <v>0</v>
      </c>
      <c r="T953" s="60">
        <v>0</v>
      </c>
      <c r="U953" s="60">
        <v>0</v>
      </c>
      <c r="V953" s="60">
        <v>0</v>
      </c>
      <c r="W953" s="60">
        <v>0</v>
      </c>
      <c r="X953" s="60">
        <v>0</v>
      </c>
      <c r="Y953" s="60">
        <v>0</v>
      </c>
      <c r="Z953" s="60">
        <v>0</v>
      </c>
      <c r="AA953" s="60">
        <v>0</v>
      </c>
      <c r="AB953" s="60">
        <v>0</v>
      </c>
      <c r="AC953" s="60">
        <f>ROUND(R953*1.5%,2)</f>
        <v>0</v>
      </c>
      <c r="AD953" s="60">
        <v>75494.62</v>
      </c>
      <c r="AE953" s="60">
        <v>0</v>
      </c>
      <c r="AF953" s="170">
        <v>2021</v>
      </c>
      <c r="AG953" s="170" t="s">
        <v>257</v>
      </c>
      <c r="AH953" s="63" t="s">
        <v>257</v>
      </c>
    </row>
    <row r="954" spans="1:34" ht="61.5" x14ac:dyDescent="0.85">
      <c r="A954" s="7">
        <v>1</v>
      </c>
      <c r="B954" s="59">
        <f>SUBTOTAL(103,$A$558:A954)</f>
        <v>356</v>
      </c>
      <c r="C954" s="160" t="s">
        <v>57</v>
      </c>
      <c r="D954" s="60">
        <f>E954+F954+G954+H954+I954+J954+L954+N954+P954+R954+T954+U954+V954+W954+X954+Y954+Z954+AA954+AB954+AC954+AD954+AE954</f>
        <v>90521.9</v>
      </c>
      <c r="E954" s="60">
        <v>0</v>
      </c>
      <c r="F954" s="60">
        <v>0</v>
      </c>
      <c r="G954" s="60">
        <v>0</v>
      </c>
      <c r="H954" s="60">
        <v>0</v>
      </c>
      <c r="I954" s="60">
        <v>0</v>
      </c>
      <c r="J954" s="60">
        <v>0</v>
      </c>
      <c r="K954" s="168">
        <v>0</v>
      </c>
      <c r="L954" s="60">
        <v>0</v>
      </c>
      <c r="M954" s="60">
        <v>0</v>
      </c>
      <c r="N954" s="60">
        <v>0</v>
      </c>
      <c r="O954" s="60">
        <v>0</v>
      </c>
      <c r="P954" s="60">
        <v>0</v>
      </c>
      <c r="Q954" s="60">
        <v>0</v>
      </c>
      <c r="R954" s="60">
        <v>0</v>
      </c>
      <c r="S954" s="60">
        <v>0</v>
      </c>
      <c r="T954" s="60">
        <v>0</v>
      </c>
      <c r="U954" s="60">
        <v>0</v>
      </c>
      <c r="V954" s="60">
        <v>0</v>
      </c>
      <c r="W954" s="60">
        <v>0</v>
      </c>
      <c r="X954" s="60">
        <v>0</v>
      </c>
      <c r="Y954" s="60">
        <v>0</v>
      </c>
      <c r="Z954" s="60">
        <v>0</v>
      </c>
      <c r="AA954" s="60">
        <v>0</v>
      </c>
      <c r="AB954" s="60">
        <v>0</v>
      </c>
      <c r="AC954" s="60">
        <f>ROUND(N954*1.5%,2)</f>
        <v>0</v>
      </c>
      <c r="AD954" s="62">
        <v>90521.9</v>
      </c>
      <c r="AE954" s="60">
        <v>0</v>
      </c>
      <c r="AF954" s="170">
        <v>2021</v>
      </c>
      <c r="AG954" s="170" t="s">
        <v>257</v>
      </c>
      <c r="AH954" s="63" t="s">
        <v>257</v>
      </c>
    </row>
    <row r="955" spans="1:34" ht="61.5" x14ac:dyDescent="0.85">
      <c r="B955" s="160" t="s">
        <v>821</v>
      </c>
      <c r="C955" s="160"/>
      <c r="D955" s="177">
        <f t="shared" ref="D955:AE955" si="146">SUM(D956)</f>
        <v>79976.490000000005</v>
      </c>
      <c r="E955" s="60">
        <f t="shared" si="146"/>
        <v>0</v>
      </c>
      <c r="F955" s="60">
        <f t="shared" si="146"/>
        <v>0</v>
      </c>
      <c r="G955" s="60">
        <f t="shared" si="146"/>
        <v>0</v>
      </c>
      <c r="H955" s="60">
        <f t="shared" si="146"/>
        <v>0</v>
      </c>
      <c r="I955" s="60">
        <f t="shared" si="146"/>
        <v>0</v>
      </c>
      <c r="J955" s="60">
        <f t="shared" si="146"/>
        <v>0</v>
      </c>
      <c r="K955" s="168">
        <f t="shared" si="146"/>
        <v>0</v>
      </c>
      <c r="L955" s="60">
        <f t="shared" si="146"/>
        <v>0</v>
      </c>
      <c r="M955" s="60">
        <f t="shared" si="146"/>
        <v>0</v>
      </c>
      <c r="N955" s="60">
        <f t="shared" si="146"/>
        <v>0</v>
      </c>
      <c r="O955" s="60">
        <f t="shared" si="146"/>
        <v>0</v>
      </c>
      <c r="P955" s="60">
        <f t="shared" si="146"/>
        <v>0</v>
      </c>
      <c r="Q955" s="60">
        <f t="shared" si="146"/>
        <v>0</v>
      </c>
      <c r="R955" s="60">
        <f t="shared" si="146"/>
        <v>0</v>
      </c>
      <c r="S955" s="60">
        <f t="shared" si="146"/>
        <v>0</v>
      </c>
      <c r="T955" s="60">
        <f t="shared" si="146"/>
        <v>0</v>
      </c>
      <c r="U955" s="60">
        <f t="shared" si="146"/>
        <v>0</v>
      </c>
      <c r="V955" s="60">
        <f t="shared" si="146"/>
        <v>0</v>
      </c>
      <c r="W955" s="60">
        <f t="shared" si="146"/>
        <v>0</v>
      </c>
      <c r="X955" s="60">
        <f t="shared" si="146"/>
        <v>0</v>
      </c>
      <c r="Y955" s="60">
        <f t="shared" si="146"/>
        <v>0</v>
      </c>
      <c r="Z955" s="60">
        <f t="shared" si="146"/>
        <v>0</v>
      </c>
      <c r="AA955" s="60">
        <f t="shared" si="146"/>
        <v>0</v>
      </c>
      <c r="AB955" s="60">
        <f t="shared" si="146"/>
        <v>0</v>
      </c>
      <c r="AC955" s="60">
        <f t="shared" si="146"/>
        <v>0</v>
      </c>
      <c r="AD955" s="60">
        <f t="shared" si="146"/>
        <v>79976.490000000005</v>
      </c>
      <c r="AE955" s="60">
        <f t="shared" si="146"/>
        <v>0</v>
      </c>
      <c r="AF955" s="54" t="s">
        <v>701</v>
      </c>
      <c r="AG955" s="54" t="s">
        <v>701</v>
      </c>
      <c r="AH955" s="55" t="s">
        <v>701</v>
      </c>
    </row>
    <row r="956" spans="1:34" ht="61.5" x14ac:dyDescent="0.85">
      <c r="A956" s="7">
        <v>1</v>
      </c>
      <c r="B956" s="59">
        <f>SUBTOTAL(103,$A$558:A956)</f>
        <v>357</v>
      </c>
      <c r="C956" s="160" t="s">
        <v>55</v>
      </c>
      <c r="D956" s="60">
        <f>E956+F956+G956+H956+I956+J956+L956+N956+P956+R956+T956+U956+V956+W956+X956+Y956+Z956+AA956+AB956+AC956+AD956+AE956</f>
        <v>79976.490000000005</v>
      </c>
      <c r="E956" s="60">
        <v>0</v>
      </c>
      <c r="F956" s="60">
        <v>0</v>
      </c>
      <c r="G956" s="60">
        <v>0</v>
      </c>
      <c r="H956" s="60">
        <v>0</v>
      </c>
      <c r="I956" s="60">
        <v>0</v>
      </c>
      <c r="J956" s="60">
        <v>0</v>
      </c>
      <c r="K956" s="168">
        <v>0</v>
      </c>
      <c r="L956" s="60">
        <v>0</v>
      </c>
      <c r="M956" s="60">
        <v>0</v>
      </c>
      <c r="N956" s="60">
        <v>0</v>
      </c>
      <c r="O956" s="60">
        <v>0</v>
      </c>
      <c r="P956" s="60">
        <v>0</v>
      </c>
      <c r="Q956" s="60">
        <v>0</v>
      </c>
      <c r="R956" s="60">
        <v>0</v>
      </c>
      <c r="S956" s="60">
        <v>0</v>
      </c>
      <c r="T956" s="60">
        <v>0</v>
      </c>
      <c r="U956" s="60">
        <v>0</v>
      </c>
      <c r="V956" s="60">
        <v>0</v>
      </c>
      <c r="W956" s="60">
        <v>0</v>
      </c>
      <c r="X956" s="60">
        <v>0</v>
      </c>
      <c r="Y956" s="60">
        <v>0</v>
      </c>
      <c r="Z956" s="60">
        <v>0</v>
      </c>
      <c r="AA956" s="60">
        <v>0</v>
      </c>
      <c r="AB956" s="60">
        <v>0</v>
      </c>
      <c r="AC956" s="60">
        <f>ROUND(N956*1.5%,2)</f>
        <v>0</v>
      </c>
      <c r="AD956" s="62">
        <v>79976.490000000005</v>
      </c>
      <c r="AE956" s="60">
        <v>0</v>
      </c>
      <c r="AF956" s="170">
        <v>2021</v>
      </c>
      <c r="AG956" s="170" t="s">
        <v>257</v>
      </c>
      <c r="AH956" s="63" t="s">
        <v>257</v>
      </c>
    </row>
    <row r="957" spans="1:34" ht="61.5" x14ac:dyDescent="0.85">
      <c r="B957" s="160" t="s">
        <v>792</v>
      </c>
      <c r="C957" s="176"/>
      <c r="D957" s="177">
        <f t="shared" ref="D957:AE957" si="147">SUM(D958:D960)</f>
        <v>4904419.7699999996</v>
      </c>
      <c r="E957" s="60">
        <f t="shared" si="147"/>
        <v>0</v>
      </c>
      <c r="F957" s="60">
        <f t="shared" si="147"/>
        <v>0</v>
      </c>
      <c r="G957" s="60">
        <f t="shared" si="147"/>
        <v>0</v>
      </c>
      <c r="H957" s="60">
        <f t="shared" si="147"/>
        <v>0</v>
      </c>
      <c r="I957" s="60">
        <f t="shared" si="147"/>
        <v>0</v>
      </c>
      <c r="J957" s="60">
        <f t="shared" si="147"/>
        <v>0</v>
      </c>
      <c r="K957" s="168">
        <f t="shared" si="147"/>
        <v>0</v>
      </c>
      <c r="L957" s="60">
        <f t="shared" si="147"/>
        <v>0</v>
      </c>
      <c r="M957" s="60">
        <f t="shared" si="147"/>
        <v>1178.23</v>
      </c>
      <c r="N957" s="60">
        <f t="shared" si="147"/>
        <v>4616400.0600000005</v>
      </c>
      <c r="O957" s="60">
        <f t="shared" si="147"/>
        <v>0</v>
      </c>
      <c r="P957" s="60">
        <f t="shared" si="147"/>
        <v>0</v>
      </c>
      <c r="Q957" s="60">
        <f t="shared" si="147"/>
        <v>0</v>
      </c>
      <c r="R957" s="60">
        <f t="shared" si="147"/>
        <v>0</v>
      </c>
      <c r="S957" s="60">
        <f t="shared" si="147"/>
        <v>0</v>
      </c>
      <c r="T957" s="60">
        <f t="shared" si="147"/>
        <v>0</v>
      </c>
      <c r="U957" s="60">
        <f t="shared" si="147"/>
        <v>0</v>
      </c>
      <c r="V957" s="60">
        <f t="shared" si="147"/>
        <v>0</v>
      </c>
      <c r="W957" s="60">
        <f t="shared" si="147"/>
        <v>0</v>
      </c>
      <c r="X957" s="60">
        <f t="shared" si="147"/>
        <v>0</v>
      </c>
      <c r="Y957" s="60">
        <f t="shared" si="147"/>
        <v>0</v>
      </c>
      <c r="Z957" s="60">
        <f t="shared" si="147"/>
        <v>0</v>
      </c>
      <c r="AA957" s="60">
        <f t="shared" si="147"/>
        <v>0</v>
      </c>
      <c r="AB957" s="60">
        <f t="shared" si="147"/>
        <v>0</v>
      </c>
      <c r="AC957" s="60">
        <f t="shared" si="147"/>
        <v>58166.65</v>
      </c>
      <c r="AD957" s="60">
        <f t="shared" si="147"/>
        <v>229853.06</v>
      </c>
      <c r="AE957" s="60">
        <f t="shared" si="147"/>
        <v>0</v>
      </c>
      <c r="AF957" s="54" t="s">
        <v>701</v>
      </c>
      <c r="AG957" s="54" t="s">
        <v>701</v>
      </c>
      <c r="AH957" s="55" t="s">
        <v>701</v>
      </c>
    </row>
    <row r="958" spans="1:34" ht="61.5" x14ac:dyDescent="0.85">
      <c r="A958" s="7">
        <v>1</v>
      </c>
      <c r="B958" s="59">
        <f>SUBTOTAL(103,$A$558:A958)</f>
        <v>358</v>
      </c>
      <c r="C958" s="160" t="s">
        <v>218</v>
      </c>
      <c r="D958" s="60">
        <f>E958+F958+G958+H958+I958+J958+L958+N958+P958+R958+T958+U958+V958+W958+X958+Y958+Z958+AA958+AB958+AC958+AD958+AE958</f>
        <v>3453753.26</v>
      </c>
      <c r="E958" s="60">
        <v>0</v>
      </c>
      <c r="F958" s="60">
        <v>0</v>
      </c>
      <c r="G958" s="60">
        <v>0</v>
      </c>
      <c r="H958" s="60">
        <v>0</v>
      </c>
      <c r="I958" s="60">
        <v>0</v>
      </c>
      <c r="J958" s="60">
        <v>0</v>
      </c>
      <c r="K958" s="168">
        <v>0</v>
      </c>
      <c r="L958" s="60">
        <v>0</v>
      </c>
      <c r="M958" s="60">
        <v>847.02</v>
      </c>
      <c r="N958" s="60">
        <v>3306825</v>
      </c>
      <c r="O958" s="60">
        <v>0</v>
      </c>
      <c r="P958" s="60">
        <v>0</v>
      </c>
      <c r="Q958" s="60">
        <v>0</v>
      </c>
      <c r="R958" s="60">
        <v>0</v>
      </c>
      <c r="S958" s="60">
        <v>0</v>
      </c>
      <c r="T958" s="60">
        <v>0</v>
      </c>
      <c r="U958" s="60">
        <v>0</v>
      </c>
      <c r="V958" s="60">
        <v>0</v>
      </c>
      <c r="W958" s="60">
        <v>0</v>
      </c>
      <c r="X958" s="60">
        <v>0</v>
      </c>
      <c r="Y958" s="60">
        <v>0</v>
      </c>
      <c r="Z958" s="60">
        <v>0</v>
      </c>
      <c r="AA958" s="60">
        <v>0</v>
      </c>
      <c r="AB958" s="60">
        <v>0</v>
      </c>
      <c r="AC958" s="62">
        <v>41666</v>
      </c>
      <c r="AD958" s="60">
        <v>105262.26</v>
      </c>
      <c r="AE958" s="60">
        <v>0</v>
      </c>
      <c r="AF958" s="170">
        <v>2021</v>
      </c>
      <c r="AG958" s="170">
        <v>2021</v>
      </c>
      <c r="AH958" s="63">
        <v>2021</v>
      </c>
    </row>
    <row r="959" spans="1:34" ht="61.5" x14ac:dyDescent="0.85">
      <c r="A959" s="7">
        <v>1</v>
      </c>
      <c r="B959" s="59">
        <f>SUBTOTAL(103,$A$558:A959)</f>
        <v>359</v>
      </c>
      <c r="C959" s="160" t="s">
        <v>217</v>
      </c>
      <c r="D959" s="60">
        <f>E959+F959+G959+H959+I959+J959+L959+N959+P959+R959+T959+U959+V959+W959+X959+Y959+Z959+AA959+AB959+AC959+AD959+AE959</f>
        <v>1378909.68</v>
      </c>
      <c r="E959" s="60">
        <v>0</v>
      </c>
      <c r="F959" s="60">
        <v>0</v>
      </c>
      <c r="G959" s="60">
        <v>0</v>
      </c>
      <c r="H959" s="60">
        <v>0</v>
      </c>
      <c r="I959" s="60">
        <v>0</v>
      </c>
      <c r="J959" s="60">
        <v>0</v>
      </c>
      <c r="K959" s="168">
        <v>0</v>
      </c>
      <c r="L959" s="60">
        <v>0</v>
      </c>
      <c r="M959" s="60">
        <v>331.21</v>
      </c>
      <c r="N959" s="62">
        <v>1309575.06</v>
      </c>
      <c r="O959" s="60">
        <v>0</v>
      </c>
      <c r="P959" s="60">
        <v>0</v>
      </c>
      <c r="Q959" s="60">
        <v>0</v>
      </c>
      <c r="R959" s="60">
        <v>0</v>
      </c>
      <c r="S959" s="60">
        <v>0</v>
      </c>
      <c r="T959" s="60">
        <v>0</v>
      </c>
      <c r="U959" s="60">
        <v>0</v>
      </c>
      <c r="V959" s="60">
        <v>0</v>
      </c>
      <c r="W959" s="60">
        <v>0</v>
      </c>
      <c r="X959" s="60">
        <v>0</v>
      </c>
      <c r="Y959" s="60">
        <v>0</v>
      </c>
      <c r="Z959" s="60">
        <v>0</v>
      </c>
      <c r="AA959" s="60">
        <v>0</v>
      </c>
      <c r="AB959" s="60">
        <v>0</v>
      </c>
      <c r="AC959" s="62">
        <v>16500.650000000001</v>
      </c>
      <c r="AD959" s="60">
        <v>52833.97</v>
      </c>
      <c r="AE959" s="60">
        <v>0</v>
      </c>
      <c r="AF959" s="170">
        <v>2021</v>
      </c>
      <c r="AG959" s="170">
        <v>2021</v>
      </c>
      <c r="AH959" s="63">
        <v>2021</v>
      </c>
    </row>
    <row r="960" spans="1:34" ht="61.5" x14ac:dyDescent="0.85">
      <c r="A960" s="7">
        <v>1</v>
      </c>
      <c r="B960" s="59">
        <f>SUBTOTAL(103,$A$558:A960)</f>
        <v>360</v>
      </c>
      <c r="C960" s="160" t="s">
        <v>1786</v>
      </c>
      <c r="D960" s="60">
        <f>E960+F960+G960+H960+I960+J960+L960+N960+P960+R960+T960+U960+V960+W960+X960+Y960+Z960+AA960+AB960+AC960+AD960+AE960</f>
        <v>71756.83</v>
      </c>
      <c r="E960" s="60">
        <v>0</v>
      </c>
      <c r="F960" s="60">
        <v>0</v>
      </c>
      <c r="G960" s="60">
        <v>0</v>
      </c>
      <c r="H960" s="60">
        <v>0</v>
      </c>
      <c r="I960" s="60">
        <v>0</v>
      </c>
      <c r="J960" s="60">
        <v>0</v>
      </c>
      <c r="K960" s="168">
        <v>0</v>
      </c>
      <c r="L960" s="60">
        <v>0</v>
      </c>
      <c r="M960" s="60">
        <v>0</v>
      </c>
      <c r="N960" s="60">
        <v>0</v>
      </c>
      <c r="O960" s="60">
        <v>0</v>
      </c>
      <c r="P960" s="60">
        <v>0</v>
      </c>
      <c r="Q960" s="60">
        <v>0</v>
      </c>
      <c r="R960" s="60">
        <v>0</v>
      </c>
      <c r="S960" s="60">
        <v>0</v>
      </c>
      <c r="T960" s="60">
        <v>0</v>
      </c>
      <c r="U960" s="60">
        <v>0</v>
      </c>
      <c r="V960" s="60">
        <v>0</v>
      </c>
      <c r="W960" s="60">
        <v>0</v>
      </c>
      <c r="X960" s="60">
        <v>0</v>
      </c>
      <c r="Y960" s="60">
        <v>0</v>
      </c>
      <c r="Z960" s="60">
        <v>0</v>
      </c>
      <c r="AA960" s="60">
        <v>0</v>
      </c>
      <c r="AB960" s="60">
        <v>0</v>
      </c>
      <c r="AC960" s="60">
        <v>0</v>
      </c>
      <c r="AD960" s="62">
        <v>71756.83</v>
      </c>
      <c r="AE960" s="60">
        <v>0</v>
      </c>
      <c r="AF960" s="170">
        <v>2021</v>
      </c>
      <c r="AG960" s="170" t="s">
        <v>257</v>
      </c>
      <c r="AH960" s="63" t="s">
        <v>257</v>
      </c>
    </row>
    <row r="961" spans="1:34" ht="61.5" x14ac:dyDescent="0.85">
      <c r="B961" s="160" t="s">
        <v>1211</v>
      </c>
      <c r="C961" s="176"/>
      <c r="D961" s="177">
        <f t="shared" ref="D961:AE961" si="148">D962</f>
        <v>3567998.53</v>
      </c>
      <c r="E961" s="60">
        <f t="shared" si="148"/>
        <v>0</v>
      </c>
      <c r="F961" s="60">
        <f t="shared" si="148"/>
        <v>0</v>
      </c>
      <c r="G961" s="60">
        <f t="shared" si="148"/>
        <v>0</v>
      </c>
      <c r="H961" s="60">
        <f t="shared" si="148"/>
        <v>0</v>
      </c>
      <c r="I961" s="60">
        <f t="shared" si="148"/>
        <v>0</v>
      </c>
      <c r="J961" s="60">
        <f t="shared" si="148"/>
        <v>0</v>
      </c>
      <c r="K961" s="168">
        <f t="shared" si="148"/>
        <v>0</v>
      </c>
      <c r="L961" s="60">
        <f t="shared" si="148"/>
        <v>0</v>
      </c>
      <c r="M961" s="60">
        <f t="shared" si="148"/>
        <v>770</v>
      </c>
      <c r="N961" s="60">
        <f t="shared" si="148"/>
        <v>3532234.65</v>
      </c>
      <c r="O961" s="60">
        <f t="shared" si="148"/>
        <v>0</v>
      </c>
      <c r="P961" s="60">
        <f t="shared" si="148"/>
        <v>0</v>
      </c>
      <c r="Q961" s="60">
        <f t="shared" si="148"/>
        <v>0</v>
      </c>
      <c r="R961" s="60">
        <f t="shared" si="148"/>
        <v>0</v>
      </c>
      <c r="S961" s="60">
        <f t="shared" si="148"/>
        <v>0</v>
      </c>
      <c r="T961" s="60">
        <f t="shared" si="148"/>
        <v>0</v>
      </c>
      <c r="U961" s="60">
        <f t="shared" si="148"/>
        <v>0</v>
      </c>
      <c r="V961" s="60">
        <f t="shared" si="148"/>
        <v>0</v>
      </c>
      <c r="W961" s="60">
        <f t="shared" si="148"/>
        <v>0</v>
      </c>
      <c r="X961" s="60">
        <f t="shared" si="148"/>
        <v>0</v>
      </c>
      <c r="Y961" s="60">
        <f t="shared" si="148"/>
        <v>0</v>
      </c>
      <c r="Z961" s="60">
        <f t="shared" si="148"/>
        <v>0</v>
      </c>
      <c r="AA961" s="60">
        <f t="shared" si="148"/>
        <v>0</v>
      </c>
      <c r="AB961" s="60">
        <f t="shared" si="148"/>
        <v>0</v>
      </c>
      <c r="AC961" s="60">
        <f t="shared" si="148"/>
        <v>35763.879999999997</v>
      </c>
      <c r="AD961" s="60">
        <f t="shared" si="148"/>
        <v>0</v>
      </c>
      <c r="AE961" s="60">
        <f t="shared" si="148"/>
        <v>0</v>
      </c>
      <c r="AF961" s="54" t="s">
        <v>701</v>
      </c>
      <c r="AG961" s="54" t="s">
        <v>701</v>
      </c>
      <c r="AH961" s="55" t="s">
        <v>701</v>
      </c>
    </row>
    <row r="962" spans="1:34" ht="61.5" x14ac:dyDescent="0.85">
      <c r="A962" s="7">
        <v>1</v>
      </c>
      <c r="B962" s="59">
        <f>SUBTOTAL(103,$A$558:A962)</f>
        <v>361</v>
      </c>
      <c r="C962" s="160" t="s">
        <v>1212</v>
      </c>
      <c r="D962" s="60">
        <f>E962+F962+G962+H962+I962+J962+L962+N962+P962+R962+T962+U962+V962+W962+X962+Y962+Z962+AA962+AB962+AC962+AD962+AE962</f>
        <v>3567998.53</v>
      </c>
      <c r="E962" s="60">
        <v>0</v>
      </c>
      <c r="F962" s="60">
        <v>0</v>
      </c>
      <c r="G962" s="60">
        <v>0</v>
      </c>
      <c r="H962" s="60">
        <v>0</v>
      </c>
      <c r="I962" s="60">
        <v>0</v>
      </c>
      <c r="J962" s="60">
        <v>0</v>
      </c>
      <c r="K962" s="168">
        <v>0</v>
      </c>
      <c r="L962" s="60">
        <v>0</v>
      </c>
      <c r="M962" s="62">
        <v>770</v>
      </c>
      <c r="N962" s="62">
        <v>3532234.65</v>
      </c>
      <c r="O962" s="60">
        <v>0</v>
      </c>
      <c r="P962" s="60">
        <v>0</v>
      </c>
      <c r="Q962" s="60">
        <v>0</v>
      </c>
      <c r="R962" s="60">
        <v>0</v>
      </c>
      <c r="S962" s="60">
        <v>0</v>
      </c>
      <c r="T962" s="60">
        <v>0</v>
      </c>
      <c r="U962" s="60">
        <v>0</v>
      </c>
      <c r="V962" s="60">
        <v>0</v>
      </c>
      <c r="W962" s="60">
        <v>0</v>
      </c>
      <c r="X962" s="60">
        <v>0</v>
      </c>
      <c r="Y962" s="60">
        <v>0</v>
      </c>
      <c r="Z962" s="60">
        <v>0</v>
      </c>
      <c r="AA962" s="60">
        <v>0</v>
      </c>
      <c r="AB962" s="60">
        <v>0</v>
      </c>
      <c r="AC962" s="62">
        <v>35763.879999999997</v>
      </c>
      <c r="AD962" s="60">
        <v>0</v>
      </c>
      <c r="AE962" s="60">
        <v>0</v>
      </c>
      <c r="AF962" s="170" t="s">
        <v>257</v>
      </c>
      <c r="AG962" s="170">
        <v>2021</v>
      </c>
      <c r="AH962" s="63">
        <v>2021</v>
      </c>
    </row>
    <row r="963" spans="1:34" ht="61.5" x14ac:dyDescent="0.85">
      <c r="B963" s="160" t="s">
        <v>794</v>
      </c>
      <c r="C963" s="176"/>
      <c r="D963" s="177">
        <f t="shared" ref="D963:AE963" si="149">SUM(D964:D964)</f>
        <v>3892974.33</v>
      </c>
      <c r="E963" s="60">
        <f t="shared" si="149"/>
        <v>0</v>
      </c>
      <c r="F963" s="60">
        <f t="shared" si="149"/>
        <v>0</v>
      </c>
      <c r="G963" s="60">
        <f t="shared" si="149"/>
        <v>0</v>
      </c>
      <c r="H963" s="60">
        <f t="shared" si="149"/>
        <v>0</v>
      </c>
      <c r="I963" s="60">
        <f t="shared" si="149"/>
        <v>0</v>
      </c>
      <c r="J963" s="60">
        <f t="shared" si="149"/>
        <v>0</v>
      </c>
      <c r="K963" s="168">
        <f t="shared" si="149"/>
        <v>0</v>
      </c>
      <c r="L963" s="60">
        <f t="shared" si="149"/>
        <v>0</v>
      </c>
      <c r="M963" s="60">
        <f t="shared" si="149"/>
        <v>1031.8399999999999</v>
      </c>
      <c r="N963" s="60">
        <f t="shared" si="149"/>
        <v>3839130.52</v>
      </c>
      <c r="O963" s="60">
        <f t="shared" si="149"/>
        <v>0</v>
      </c>
      <c r="P963" s="60">
        <f t="shared" si="149"/>
        <v>0</v>
      </c>
      <c r="Q963" s="60">
        <f t="shared" si="149"/>
        <v>0</v>
      </c>
      <c r="R963" s="60">
        <f t="shared" si="149"/>
        <v>0</v>
      </c>
      <c r="S963" s="60">
        <f t="shared" si="149"/>
        <v>0</v>
      </c>
      <c r="T963" s="60">
        <f t="shared" si="149"/>
        <v>0</v>
      </c>
      <c r="U963" s="60">
        <f t="shared" si="149"/>
        <v>0</v>
      </c>
      <c r="V963" s="60">
        <f t="shared" si="149"/>
        <v>0</v>
      </c>
      <c r="W963" s="60">
        <f t="shared" si="149"/>
        <v>0</v>
      </c>
      <c r="X963" s="60">
        <f t="shared" si="149"/>
        <v>0</v>
      </c>
      <c r="Y963" s="60">
        <f t="shared" si="149"/>
        <v>0</v>
      </c>
      <c r="Z963" s="60">
        <f t="shared" si="149"/>
        <v>0</v>
      </c>
      <c r="AA963" s="60">
        <f t="shared" si="149"/>
        <v>0</v>
      </c>
      <c r="AB963" s="60">
        <f t="shared" si="149"/>
        <v>0</v>
      </c>
      <c r="AC963" s="60">
        <f t="shared" si="149"/>
        <v>53843.81</v>
      </c>
      <c r="AD963" s="60">
        <f t="shared" si="149"/>
        <v>0</v>
      </c>
      <c r="AE963" s="60">
        <f t="shared" si="149"/>
        <v>0</v>
      </c>
      <c r="AF963" s="54" t="s">
        <v>701</v>
      </c>
      <c r="AG963" s="54" t="s">
        <v>701</v>
      </c>
      <c r="AH963" s="55" t="s">
        <v>701</v>
      </c>
    </row>
    <row r="964" spans="1:34" ht="61.5" x14ac:dyDescent="0.85">
      <c r="A964" s="7">
        <v>1</v>
      </c>
      <c r="B964" s="59">
        <f>SUBTOTAL(103,$A$558:A964)</f>
        <v>362</v>
      </c>
      <c r="C964" s="160" t="s">
        <v>135</v>
      </c>
      <c r="D964" s="60">
        <f>E964+F964+G964+H964+I964+J964+L964+N964+P964+R964+T964+U964+V964+W964+X964+Y964+Z964+AA964+AB964+AC964+AD964+AE964</f>
        <v>3892974.33</v>
      </c>
      <c r="E964" s="60">
        <v>0</v>
      </c>
      <c r="F964" s="60">
        <v>0</v>
      </c>
      <c r="G964" s="60">
        <v>0</v>
      </c>
      <c r="H964" s="60">
        <v>0</v>
      </c>
      <c r="I964" s="60">
        <v>0</v>
      </c>
      <c r="J964" s="60">
        <v>0</v>
      </c>
      <c r="K964" s="168">
        <v>0</v>
      </c>
      <c r="L964" s="60">
        <v>0</v>
      </c>
      <c r="M964" s="62">
        <v>1031.8399999999999</v>
      </c>
      <c r="N964" s="62">
        <v>3839130.52</v>
      </c>
      <c r="O964" s="60">
        <v>0</v>
      </c>
      <c r="P964" s="60">
        <v>0</v>
      </c>
      <c r="Q964" s="60">
        <v>0</v>
      </c>
      <c r="R964" s="60">
        <v>0</v>
      </c>
      <c r="S964" s="60">
        <v>0</v>
      </c>
      <c r="T964" s="60">
        <v>0</v>
      </c>
      <c r="U964" s="60">
        <v>0</v>
      </c>
      <c r="V964" s="60">
        <v>0</v>
      </c>
      <c r="W964" s="60">
        <v>0</v>
      </c>
      <c r="X964" s="60">
        <v>0</v>
      </c>
      <c r="Y964" s="60">
        <v>0</v>
      </c>
      <c r="Z964" s="60">
        <v>0</v>
      </c>
      <c r="AA964" s="60">
        <v>0</v>
      </c>
      <c r="AB964" s="60">
        <v>0</v>
      </c>
      <c r="AC964" s="62">
        <v>53843.81</v>
      </c>
      <c r="AD964" s="60">
        <v>0</v>
      </c>
      <c r="AE964" s="60">
        <v>0</v>
      </c>
      <c r="AF964" s="170" t="s">
        <v>257</v>
      </c>
      <c r="AG964" s="170">
        <v>2021</v>
      </c>
      <c r="AH964" s="63">
        <v>2021</v>
      </c>
    </row>
    <row r="965" spans="1:34" ht="61.5" x14ac:dyDescent="0.85">
      <c r="B965" s="160" t="s">
        <v>827</v>
      </c>
      <c r="C965" s="160"/>
      <c r="D965" s="177">
        <f t="shared" ref="D965:AE965" si="150">D966</f>
        <v>7815780.1500000004</v>
      </c>
      <c r="E965" s="60">
        <f t="shared" si="150"/>
        <v>0</v>
      </c>
      <c r="F965" s="60">
        <f t="shared" si="150"/>
        <v>0</v>
      </c>
      <c r="G965" s="60">
        <f t="shared" si="150"/>
        <v>0</v>
      </c>
      <c r="H965" s="60">
        <f t="shared" si="150"/>
        <v>0</v>
      </c>
      <c r="I965" s="60">
        <f t="shared" si="150"/>
        <v>0</v>
      </c>
      <c r="J965" s="60">
        <f t="shared" si="150"/>
        <v>0</v>
      </c>
      <c r="K965" s="168">
        <f t="shared" si="150"/>
        <v>0</v>
      </c>
      <c r="L965" s="60">
        <f t="shared" si="150"/>
        <v>0</v>
      </c>
      <c r="M965" s="60">
        <f t="shared" si="150"/>
        <v>1374</v>
      </c>
      <c r="N965" s="60">
        <f t="shared" si="150"/>
        <v>7706668</v>
      </c>
      <c r="O965" s="60">
        <f t="shared" si="150"/>
        <v>0</v>
      </c>
      <c r="P965" s="60">
        <f t="shared" si="150"/>
        <v>0</v>
      </c>
      <c r="Q965" s="60">
        <f t="shared" si="150"/>
        <v>0</v>
      </c>
      <c r="R965" s="60">
        <f t="shared" si="150"/>
        <v>0</v>
      </c>
      <c r="S965" s="60">
        <f t="shared" si="150"/>
        <v>0</v>
      </c>
      <c r="T965" s="60">
        <f t="shared" si="150"/>
        <v>0</v>
      </c>
      <c r="U965" s="60">
        <f t="shared" si="150"/>
        <v>0</v>
      </c>
      <c r="V965" s="60">
        <f t="shared" si="150"/>
        <v>0</v>
      </c>
      <c r="W965" s="60">
        <f t="shared" si="150"/>
        <v>0</v>
      </c>
      <c r="X965" s="60">
        <f t="shared" si="150"/>
        <v>0</v>
      </c>
      <c r="Y965" s="60">
        <f t="shared" si="150"/>
        <v>0</v>
      </c>
      <c r="Z965" s="60">
        <f t="shared" si="150"/>
        <v>0</v>
      </c>
      <c r="AA965" s="60">
        <f t="shared" si="150"/>
        <v>0</v>
      </c>
      <c r="AB965" s="60">
        <f t="shared" si="150"/>
        <v>0</v>
      </c>
      <c r="AC965" s="60">
        <f t="shared" si="150"/>
        <v>0</v>
      </c>
      <c r="AD965" s="60">
        <f t="shared" si="150"/>
        <v>109112.15</v>
      </c>
      <c r="AE965" s="60">
        <f t="shared" si="150"/>
        <v>0</v>
      </c>
      <c r="AF965" s="54" t="s">
        <v>701</v>
      </c>
      <c r="AG965" s="54" t="s">
        <v>701</v>
      </c>
      <c r="AH965" s="55" t="s">
        <v>701</v>
      </c>
    </row>
    <row r="966" spans="1:34" ht="61.5" x14ac:dyDescent="0.85">
      <c r="A966" s="7">
        <v>1</v>
      </c>
      <c r="B966" s="59">
        <f>SUBTOTAL(103,$A$558:A966)</f>
        <v>363</v>
      </c>
      <c r="C966" s="186" t="s">
        <v>154</v>
      </c>
      <c r="D966" s="60">
        <f>E966+F966+G966+H966+I966+J966+L966+N966+P966+R966+T966+U966+V966+W966+X966+Y966+Z966+AA966+AB966+AC966+AD966+AE966</f>
        <v>7815780.1500000004</v>
      </c>
      <c r="E966" s="60">
        <v>0</v>
      </c>
      <c r="F966" s="60">
        <v>0</v>
      </c>
      <c r="G966" s="60">
        <v>0</v>
      </c>
      <c r="H966" s="60">
        <v>0</v>
      </c>
      <c r="I966" s="60">
        <v>0</v>
      </c>
      <c r="J966" s="60">
        <v>0</v>
      </c>
      <c r="K966" s="168">
        <v>0</v>
      </c>
      <c r="L966" s="60">
        <v>0</v>
      </c>
      <c r="M966" s="60">
        <v>1374</v>
      </c>
      <c r="N966" s="62">
        <v>7706668</v>
      </c>
      <c r="O966" s="60">
        <v>0</v>
      </c>
      <c r="P966" s="60">
        <v>0</v>
      </c>
      <c r="Q966" s="60">
        <v>0</v>
      </c>
      <c r="R966" s="60">
        <v>0</v>
      </c>
      <c r="S966" s="60">
        <v>0</v>
      </c>
      <c r="T966" s="60">
        <v>0</v>
      </c>
      <c r="U966" s="60">
        <v>0</v>
      </c>
      <c r="V966" s="60">
        <v>0</v>
      </c>
      <c r="W966" s="60">
        <v>0</v>
      </c>
      <c r="X966" s="60">
        <v>0</v>
      </c>
      <c r="Y966" s="60">
        <v>0</v>
      </c>
      <c r="Z966" s="60">
        <v>0</v>
      </c>
      <c r="AA966" s="60">
        <v>0</v>
      </c>
      <c r="AB966" s="60">
        <v>0</v>
      </c>
      <c r="AC966" s="60">
        <v>0</v>
      </c>
      <c r="AD966" s="60">
        <v>109112.15</v>
      </c>
      <c r="AE966" s="60">
        <v>0</v>
      </c>
      <c r="AF966" s="170">
        <v>2021</v>
      </c>
      <c r="AG966" s="170">
        <v>2021</v>
      </c>
      <c r="AH966" s="170" t="s">
        <v>257</v>
      </c>
    </row>
    <row r="967" spans="1:34" ht="61.5" x14ac:dyDescent="0.85">
      <c r="B967" s="160" t="s">
        <v>822</v>
      </c>
      <c r="C967" s="160"/>
      <c r="D967" s="177">
        <f t="shared" ref="D967:AE967" si="151">D968</f>
        <v>4539478.7399999993</v>
      </c>
      <c r="E967" s="60">
        <f t="shared" si="151"/>
        <v>0</v>
      </c>
      <c r="F967" s="60">
        <f t="shared" si="151"/>
        <v>0</v>
      </c>
      <c r="G967" s="60">
        <f t="shared" si="151"/>
        <v>0</v>
      </c>
      <c r="H967" s="60">
        <f t="shared" si="151"/>
        <v>0</v>
      </c>
      <c r="I967" s="60">
        <f t="shared" si="151"/>
        <v>0</v>
      </c>
      <c r="J967" s="60">
        <f t="shared" si="151"/>
        <v>0</v>
      </c>
      <c r="K967" s="168">
        <f t="shared" si="151"/>
        <v>0</v>
      </c>
      <c r="L967" s="60">
        <f t="shared" si="151"/>
        <v>0</v>
      </c>
      <c r="M967" s="60">
        <f t="shared" si="151"/>
        <v>843.09</v>
      </c>
      <c r="N967" s="60">
        <f t="shared" si="151"/>
        <v>4394477.1899999995</v>
      </c>
      <c r="O967" s="60">
        <f t="shared" si="151"/>
        <v>0</v>
      </c>
      <c r="P967" s="60">
        <f t="shared" si="151"/>
        <v>0</v>
      </c>
      <c r="Q967" s="60">
        <f t="shared" si="151"/>
        <v>0</v>
      </c>
      <c r="R967" s="60">
        <f t="shared" si="151"/>
        <v>0</v>
      </c>
      <c r="S967" s="60">
        <f t="shared" si="151"/>
        <v>0</v>
      </c>
      <c r="T967" s="60">
        <f t="shared" si="151"/>
        <v>0</v>
      </c>
      <c r="U967" s="60">
        <f t="shared" si="151"/>
        <v>0</v>
      </c>
      <c r="V967" s="60">
        <f t="shared" si="151"/>
        <v>0</v>
      </c>
      <c r="W967" s="60">
        <f t="shared" si="151"/>
        <v>0</v>
      </c>
      <c r="X967" s="60">
        <f t="shared" si="151"/>
        <v>0</v>
      </c>
      <c r="Y967" s="60">
        <f t="shared" si="151"/>
        <v>0</v>
      </c>
      <c r="Z967" s="60">
        <f t="shared" si="151"/>
        <v>0</v>
      </c>
      <c r="AA967" s="60">
        <f t="shared" si="151"/>
        <v>0</v>
      </c>
      <c r="AB967" s="60">
        <f t="shared" si="151"/>
        <v>0</v>
      </c>
      <c r="AC967" s="60">
        <f t="shared" si="151"/>
        <v>39220.71</v>
      </c>
      <c r="AD967" s="60">
        <f t="shared" si="151"/>
        <v>105780.84</v>
      </c>
      <c r="AE967" s="60">
        <f t="shared" si="151"/>
        <v>0</v>
      </c>
      <c r="AF967" s="54" t="s">
        <v>701</v>
      </c>
      <c r="AG967" s="54" t="s">
        <v>701</v>
      </c>
      <c r="AH967" s="55" t="s">
        <v>701</v>
      </c>
    </row>
    <row r="968" spans="1:34" ht="61.5" x14ac:dyDescent="0.85">
      <c r="A968" s="7">
        <v>1</v>
      </c>
      <c r="B968" s="59">
        <f>SUBTOTAL(103,$A$558:A968)</f>
        <v>364</v>
      </c>
      <c r="C968" s="160" t="s">
        <v>146</v>
      </c>
      <c r="D968" s="60">
        <f>E968+F968+G968+H968+I968+J968+L968+N968+P968+R968+T968+U968+V968+W968+X968+Y968+Z968+AA968+AB968+AC968+AD968+AE968</f>
        <v>4539478.7399999993</v>
      </c>
      <c r="E968" s="60">
        <v>0</v>
      </c>
      <c r="F968" s="60">
        <v>0</v>
      </c>
      <c r="G968" s="60">
        <v>0</v>
      </c>
      <c r="H968" s="60">
        <v>0</v>
      </c>
      <c r="I968" s="60">
        <v>0</v>
      </c>
      <c r="J968" s="60">
        <v>0</v>
      </c>
      <c r="K968" s="168">
        <v>0</v>
      </c>
      <c r="L968" s="60">
        <v>0</v>
      </c>
      <c r="M968" s="60">
        <v>843.09</v>
      </c>
      <c r="N968" s="60">
        <v>4394477.1899999995</v>
      </c>
      <c r="O968" s="60">
        <v>0</v>
      </c>
      <c r="P968" s="60">
        <v>0</v>
      </c>
      <c r="Q968" s="60">
        <v>0</v>
      </c>
      <c r="R968" s="60">
        <v>0</v>
      </c>
      <c r="S968" s="60">
        <v>0</v>
      </c>
      <c r="T968" s="60">
        <v>0</v>
      </c>
      <c r="U968" s="60">
        <v>0</v>
      </c>
      <c r="V968" s="60">
        <v>0</v>
      </c>
      <c r="W968" s="60">
        <v>0</v>
      </c>
      <c r="X968" s="60">
        <v>0</v>
      </c>
      <c r="Y968" s="60">
        <v>0</v>
      </c>
      <c r="Z968" s="60">
        <v>0</v>
      </c>
      <c r="AA968" s="60">
        <v>0</v>
      </c>
      <c r="AB968" s="60">
        <v>0</v>
      </c>
      <c r="AC968" s="62">
        <v>39220.71</v>
      </c>
      <c r="AD968" s="60">
        <v>105780.84</v>
      </c>
      <c r="AE968" s="60">
        <v>0</v>
      </c>
      <c r="AF968" s="170">
        <v>2021</v>
      </c>
      <c r="AG968" s="170">
        <v>2021</v>
      </c>
      <c r="AH968" s="63">
        <v>2021</v>
      </c>
    </row>
    <row r="969" spans="1:34" ht="61.5" x14ac:dyDescent="0.85">
      <c r="B969" s="160" t="s">
        <v>823</v>
      </c>
      <c r="C969" s="160"/>
      <c r="D969" s="177">
        <f t="shared" ref="D969:AE969" si="152">SUM(D970:D971)</f>
        <v>147928.20000000001</v>
      </c>
      <c r="E969" s="60">
        <f t="shared" si="152"/>
        <v>0</v>
      </c>
      <c r="F969" s="60">
        <f t="shared" si="152"/>
        <v>0</v>
      </c>
      <c r="G969" s="60">
        <f t="shared" si="152"/>
        <v>0</v>
      </c>
      <c r="H969" s="60">
        <f t="shared" si="152"/>
        <v>0</v>
      </c>
      <c r="I969" s="60">
        <f t="shared" si="152"/>
        <v>0</v>
      </c>
      <c r="J969" s="60">
        <f t="shared" si="152"/>
        <v>0</v>
      </c>
      <c r="K969" s="168">
        <f t="shared" si="152"/>
        <v>0</v>
      </c>
      <c r="L969" s="60">
        <f t="shared" si="152"/>
        <v>0</v>
      </c>
      <c r="M969" s="60">
        <f t="shared" si="152"/>
        <v>0</v>
      </c>
      <c r="N969" s="60">
        <f t="shared" si="152"/>
        <v>0</v>
      </c>
      <c r="O969" s="60">
        <f t="shared" si="152"/>
        <v>0</v>
      </c>
      <c r="P969" s="60">
        <f t="shared" si="152"/>
        <v>0</v>
      </c>
      <c r="Q969" s="60">
        <f t="shared" si="152"/>
        <v>0</v>
      </c>
      <c r="R969" s="60">
        <f t="shared" si="152"/>
        <v>0</v>
      </c>
      <c r="S969" s="60">
        <f t="shared" si="152"/>
        <v>0</v>
      </c>
      <c r="T969" s="60">
        <f t="shared" si="152"/>
        <v>0</v>
      </c>
      <c r="U969" s="60">
        <f t="shared" si="152"/>
        <v>0</v>
      </c>
      <c r="V969" s="60">
        <f t="shared" si="152"/>
        <v>0</v>
      </c>
      <c r="W969" s="60">
        <f t="shared" si="152"/>
        <v>0</v>
      </c>
      <c r="X969" s="60">
        <f t="shared" si="152"/>
        <v>0</v>
      </c>
      <c r="Y969" s="60">
        <f t="shared" si="152"/>
        <v>0</v>
      </c>
      <c r="Z969" s="60">
        <f t="shared" si="152"/>
        <v>0</v>
      </c>
      <c r="AA969" s="60">
        <f t="shared" si="152"/>
        <v>0</v>
      </c>
      <c r="AB969" s="60">
        <f t="shared" si="152"/>
        <v>0</v>
      </c>
      <c r="AC969" s="60">
        <f t="shared" si="152"/>
        <v>0</v>
      </c>
      <c r="AD969" s="60">
        <f t="shared" si="152"/>
        <v>147928.20000000001</v>
      </c>
      <c r="AE969" s="60">
        <f t="shared" si="152"/>
        <v>0</v>
      </c>
      <c r="AF969" s="54" t="s">
        <v>701</v>
      </c>
      <c r="AG969" s="54" t="s">
        <v>701</v>
      </c>
      <c r="AH969" s="55" t="s">
        <v>701</v>
      </c>
    </row>
    <row r="970" spans="1:34" ht="61.5" x14ac:dyDescent="0.85">
      <c r="A970" s="7">
        <v>1</v>
      </c>
      <c r="B970" s="59">
        <f>SUBTOTAL(103,$A$558:A970)</f>
        <v>365</v>
      </c>
      <c r="C970" s="186" t="s">
        <v>158</v>
      </c>
      <c r="D970" s="60">
        <f>E970+F970+G970+H970+I970+J970+L970+N970+P970+R970+T970+U970+V970+W970+X970+Y970+Z970+AA970+AB970+AC970+AD970+AE970</f>
        <v>75076.479999999996</v>
      </c>
      <c r="E970" s="60">
        <v>0</v>
      </c>
      <c r="F970" s="60">
        <v>0</v>
      </c>
      <c r="G970" s="60">
        <v>0</v>
      </c>
      <c r="H970" s="60">
        <v>0</v>
      </c>
      <c r="I970" s="60">
        <v>0</v>
      </c>
      <c r="J970" s="60">
        <v>0</v>
      </c>
      <c r="K970" s="168">
        <v>0</v>
      </c>
      <c r="L970" s="60">
        <v>0</v>
      </c>
      <c r="M970" s="60">
        <v>0</v>
      </c>
      <c r="N970" s="60">
        <v>0</v>
      </c>
      <c r="O970" s="60">
        <v>0</v>
      </c>
      <c r="P970" s="60">
        <v>0</v>
      </c>
      <c r="Q970" s="60">
        <v>0</v>
      </c>
      <c r="R970" s="60">
        <v>0</v>
      </c>
      <c r="S970" s="60">
        <v>0</v>
      </c>
      <c r="T970" s="60">
        <v>0</v>
      </c>
      <c r="U970" s="60">
        <v>0</v>
      </c>
      <c r="V970" s="60">
        <v>0</v>
      </c>
      <c r="W970" s="60">
        <v>0</v>
      </c>
      <c r="X970" s="60">
        <v>0</v>
      </c>
      <c r="Y970" s="60">
        <v>0</v>
      </c>
      <c r="Z970" s="60">
        <v>0</v>
      </c>
      <c r="AA970" s="60">
        <v>0</v>
      </c>
      <c r="AB970" s="60">
        <v>0</v>
      </c>
      <c r="AC970" s="60">
        <f>ROUND(R970*1.5%,2)</f>
        <v>0</v>
      </c>
      <c r="AD970" s="60">
        <v>75076.479999999996</v>
      </c>
      <c r="AE970" s="60">
        <v>0</v>
      </c>
      <c r="AF970" s="170">
        <v>2021</v>
      </c>
      <c r="AG970" s="170" t="s">
        <v>257</v>
      </c>
      <c r="AH970" s="170" t="s">
        <v>257</v>
      </c>
    </row>
    <row r="971" spans="1:34" ht="61.5" x14ac:dyDescent="0.85">
      <c r="A971" s="7">
        <v>1</v>
      </c>
      <c r="B971" s="59">
        <f>SUBTOTAL(103,$A$558:A971)</f>
        <v>366</v>
      </c>
      <c r="C971" s="160" t="s">
        <v>151</v>
      </c>
      <c r="D971" s="60">
        <f>E971+F971+G971+H971+I971+J971+L971+N971+P971+R971+T971+U971+V971+W971+X971+Y971+Z971+AA971+AB971+AC971+AD971+AE971</f>
        <v>72851.72</v>
      </c>
      <c r="E971" s="60">
        <v>0</v>
      </c>
      <c r="F971" s="60">
        <v>0</v>
      </c>
      <c r="G971" s="60">
        <v>0</v>
      </c>
      <c r="H971" s="60">
        <v>0</v>
      </c>
      <c r="I971" s="60">
        <v>0</v>
      </c>
      <c r="J971" s="60">
        <v>0</v>
      </c>
      <c r="K971" s="168">
        <v>0</v>
      </c>
      <c r="L971" s="60">
        <v>0</v>
      </c>
      <c r="M971" s="60">
        <v>0</v>
      </c>
      <c r="N971" s="60">
        <v>0</v>
      </c>
      <c r="O971" s="60">
        <v>0</v>
      </c>
      <c r="P971" s="60">
        <v>0</v>
      </c>
      <c r="Q971" s="60">
        <v>0</v>
      </c>
      <c r="R971" s="60">
        <v>0</v>
      </c>
      <c r="S971" s="60">
        <v>0</v>
      </c>
      <c r="T971" s="60">
        <v>0</v>
      </c>
      <c r="U971" s="60">
        <v>0</v>
      </c>
      <c r="V971" s="60">
        <v>0</v>
      </c>
      <c r="W971" s="60">
        <v>0</v>
      </c>
      <c r="X971" s="60">
        <v>0</v>
      </c>
      <c r="Y971" s="60">
        <v>0</v>
      </c>
      <c r="Z971" s="60">
        <v>0</v>
      </c>
      <c r="AA971" s="60">
        <v>0</v>
      </c>
      <c r="AB971" s="60">
        <v>0</v>
      </c>
      <c r="AC971" s="60">
        <f>ROUND(N971*1.5%,2)</f>
        <v>0</v>
      </c>
      <c r="AD971" s="60">
        <v>72851.72</v>
      </c>
      <c r="AE971" s="60">
        <v>0</v>
      </c>
      <c r="AF971" s="170">
        <v>2021</v>
      </c>
      <c r="AG971" s="170" t="s">
        <v>257</v>
      </c>
      <c r="AH971" s="170" t="s">
        <v>257</v>
      </c>
    </row>
    <row r="972" spans="1:34" ht="61.5" x14ac:dyDescent="0.85">
      <c r="B972" s="160" t="s">
        <v>795</v>
      </c>
      <c r="C972" s="160"/>
      <c r="D972" s="177">
        <f t="shared" ref="D972:AE972" si="153">D973</f>
        <v>2352260.79</v>
      </c>
      <c r="E972" s="60">
        <f t="shared" si="153"/>
        <v>0</v>
      </c>
      <c r="F972" s="60">
        <f t="shared" si="153"/>
        <v>0</v>
      </c>
      <c r="G972" s="60">
        <f t="shared" si="153"/>
        <v>0</v>
      </c>
      <c r="H972" s="60">
        <f t="shared" si="153"/>
        <v>0</v>
      </c>
      <c r="I972" s="60">
        <f t="shared" si="153"/>
        <v>0</v>
      </c>
      <c r="J972" s="60">
        <f t="shared" si="153"/>
        <v>0</v>
      </c>
      <c r="K972" s="168">
        <f t="shared" si="153"/>
        <v>0</v>
      </c>
      <c r="L972" s="60">
        <f t="shared" si="153"/>
        <v>0</v>
      </c>
      <c r="M972" s="60">
        <f t="shared" si="153"/>
        <v>557.37</v>
      </c>
      <c r="N972" s="60">
        <f t="shared" si="153"/>
        <v>2319726.62</v>
      </c>
      <c r="O972" s="60">
        <f t="shared" si="153"/>
        <v>0</v>
      </c>
      <c r="P972" s="60">
        <f t="shared" si="153"/>
        <v>0</v>
      </c>
      <c r="Q972" s="60">
        <f t="shared" si="153"/>
        <v>0</v>
      </c>
      <c r="R972" s="60">
        <f t="shared" si="153"/>
        <v>0</v>
      </c>
      <c r="S972" s="60">
        <f t="shared" si="153"/>
        <v>0</v>
      </c>
      <c r="T972" s="60">
        <f t="shared" si="153"/>
        <v>0</v>
      </c>
      <c r="U972" s="60">
        <f t="shared" si="153"/>
        <v>0</v>
      </c>
      <c r="V972" s="60">
        <f t="shared" si="153"/>
        <v>0</v>
      </c>
      <c r="W972" s="60">
        <f t="shared" si="153"/>
        <v>0</v>
      </c>
      <c r="X972" s="60">
        <f t="shared" si="153"/>
        <v>0</v>
      </c>
      <c r="Y972" s="60">
        <f t="shared" si="153"/>
        <v>0</v>
      </c>
      <c r="Z972" s="60">
        <f t="shared" si="153"/>
        <v>0</v>
      </c>
      <c r="AA972" s="60">
        <f t="shared" si="153"/>
        <v>0</v>
      </c>
      <c r="AB972" s="60">
        <f t="shared" si="153"/>
        <v>0</v>
      </c>
      <c r="AC972" s="60">
        <f t="shared" si="153"/>
        <v>32534.17</v>
      </c>
      <c r="AD972" s="60">
        <f t="shared" si="153"/>
        <v>0</v>
      </c>
      <c r="AE972" s="60">
        <f t="shared" si="153"/>
        <v>0</v>
      </c>
      <c r="AF972" s="54" t="s">
        <v>701</v>
      </c>
      <c r="AG972" s="54" t="s">
        <v>701</v>
      </c>
      <c r="AH972" s="55" t="s">
        <v>701</v>
      </c>
    </row>
    <row r="973" spans="1:34" ht="61.5" x14ac:dyDescent="0.85">
      <c r="A973" s="7">
        <v>1</v>
      </c>
      <c r="B973" s="59">
        <f>SUBTOTAL(103,$A$558:A973)</f>
        <v>367</v>
      </c>
      <c r="C973" s="160" t="s">
        <v>140</v>
      </c>
      <c r="D973" s="60">
        <f>E973+F973+G973+H973+I973+J973+L973+N973+P973+R973+T973+U973+V973+W973+X973+Y973+Z973+AA973+AB973+AC973+AD973+AE973</f>
        <v>2352260.79</v>
      </c>
      <c r="E973" s="60">
        <v>0</v>
      </c>
      <c r="F973" s="60">
        <v>0</v>
      </c>
      <c r="G973" s="60">
        <v>0</v>
      </c>
      <c r="H973" s="60">
        <v>0</v>
      </c>
      <c r="I973" s="60">
        <v>0</v>
      </c>
      <c r="J973" s="60">
        <v>0</v>
      </c>
      <c r="K973" s="168">
        <v>0</v>
      </c>
      <c r="L973" s="60">
        <v>0</v>
      </c>
      <c r="M973" s="62">
        <v>557.37</v>
      </c>
      <c r="N973" s="62">
        <v>2319726.62</v>
      </c>
      <c r="O973" s="60">
        <v>0</v>
      </c>
      <c r="P973" s="60">
        <v>0</v>
      </c>
      <c r="Q973" s="60">
        <v>0</v>
      </c>
      <c r="R973" s="60">
        <v>0</v>
      </c>
      <c r="S973" s="60">
        <v>0</v>
      </c>
      <c r="T973" s="60">
        <v>0</v>
      </c>
      <c r="U973" s="60">
        <v>0</v>
      </c>
      <c r="V973" s="60">
        <v>0</v>
      </c>
      <c r="W973" s="60">
        <v>0</v>
      </c>
      <c r="X973" s="60">
        <v>0</v>
      </c>
      <c r="Y973" s="60">
        <v>0</v>
      </c>
      <c r="Z973" s="60">
        <v>0</v>
      </c>
      <c r="AA973" s="60">
        <v>0</v>
      </c>
      <c r="AB973" s="60">
        <v>0</v>
      </c>
      <c r="AC973" s="62">
        <v>32534.17</v>
      </c>
      <c r="AD973" s="60">
        <v>0</v>
      </c>
      <c r="AE973" s="60">
        <v>0</v>
      </c>
      <c r="AF973" s="170" t="s">
        <v>257</v>
      </c>
      <c r="AG973" s="170">
        <v>2021</v>
      </c>
      <c r="AH973" s="63">
        <v>2021</v>
      </c>
    </row>
    <row r="974" spans="1:34" ht="61.5" x14ac:dyDescent="0.85">
      <c r="B974" s="160" t="s">
        <v>796</v>
      </c>
      <c r="C974" s="160"/>
      <c r="D974" s="177">
        <f t="shared" ref="D974:AE974" si="154">SUM(D975:D977)</f>
        <v>2721719.48</v>
      </c>
      <c r="E974" s="60">
        <f t="shared" si="154"/>
        <v>0</v>
      </c>
      <c r="F974" s="60">
        <f t="shared" si="154"/>
        <v>0</v>
      </c>
      <c r="G974" s="60">
        <f t="shared" si="154"/>
        <v>0</v>
      </c>
      <c r="H974" s="60">
        <f t="shared" si="154"/>
        <v>0</v>
      </c>
      <c r="I974" s="60">
        <f t="shared" si="154"/>
        <v>0</v>
      </c>
      <c r="J974" s="60">
        <f t="shared" si="154"/>
        <v>0</v>
      </c>
      <c r="K974" s="168">
        <f t="shared" si="154"/>
        <v>0</v>
      </c>
      <c r="L974" s="60">
        <f t="shared" si="154"/>
        <v>0</v>
      </c>
      <c r="M974" s="60">
        <f t="shared" si="154"/>
        <v>669.62</v>
      </c>
      <c r="N974" s="60">
        <f t="shared" si="154"/>
        <v>2452131</v>
      </c>
      <c r="O974" s="60">
        <f t="shared" si="154"/>
        <v>0</v>
      </c>
      <c r="P974" s="60">
        <f t="shared" si="154"/>
        <v>0</v>
      </c>
      <c r="Q974" s="60">
        <f t="shared" si="154"/>
        <v>0</v>
      </c>
      <c r="R974" s="60">
        <f t="shared" si="154"/>
        <v>0</v>
      </c>
      <c r="S974" s="60">
        <f t="shared" si="154"/>
        <v>0</v>
      </c>
      <c r="T974" s="60">
        <f t="shared" si="154"/>
        <v>0</v>
      </c>
      <c r="U974" s="60">
        <f t="shared" si="154"/>
        <v>0</v>
      </c>
      <c r="V974" s="60">
        <f t="shared" si="154"/>
        <v>0</v>
      </c>
      <c r="W974" s="60">
        <f t="shared" si="154"/>
        <v>0</v>
      </c>
      <c r="X974" s="60">
        <f t="shared" si="154"/>
        <v>0</v>
      </c>
      <c r="Y974" s="60">
        <f t="shared" si="154"/>
        <v>0</v>
      </c>
      <c r="Z974" s="60">
        <f t="shared" si="154"/>
        <v>0</v>
      </c>
      <c r="AA974" s="60">
        <f t="shared" si="154"/>
        <v>0</v>
      </c>
      <c r="AB974" s="60">
        <f t="shared" si="154"/>
        <v>0</v>
      </c>
      <c r="AC974" s="60">
        <f t="shared" si="154"/>
        <v>34391.14</v>
      </c>
      <c r="AD974" s="60">
        <f t="shared" si="154"/>
        <v>235197.34</v>
      </c>
      <c r="AE974" s="60">
        <f t="shared" si="154"/>
        <v>0</v>
      </c>
      <c r="AF974" s="54" t="s">
        <v>701</v>
      </c>
      <c r="AG974" s="54" t="s">
        <v>701</v>
      </c>
      <c r="AH974" s="55" t="s">
        <v>701</v>
      </c>
    </row>
    <row r="975" spans="1:34" ht="61.5" x14ac:dyDescent="0.85">
      <c r="A975" s="7">
        <v>1</v>
      </c>
      <c r="B975" s="59">
        <f>SUBTOTAL(103,$A$558:A975)</f>
        <v>368</v>
      </c>
      <c r="C975" s="160" t="s">
        <v>150</v>
      </c>
      <c r="D975" s="60">
        <f>E975+F975+G975+H975+I975+J975+L975+N975+P975+R975+T975+U975+V975+W975+X975+Y975+Z975+AA975+AB975+AC975+AD975+AE975</f>
        <v>105919.15</v>
      </c>
      <c r="E975" s="60">
        <v>0</v>
      </c>
      <c r="F975" s="60">
        <v>0</v>
      </c>
      <c r="G975" s="60">
        <v>0</v>
      </c>
      <c r="H975" s="60">
        <v>0</v>
      </c>
      <c r="I975" s="60">
        <v>0</v>
      </c>
      <c r="J975" s="60">
        <v>0</v>
      </c>
      <c r="K975" s="168">
        <v>0</v>
      </c>
      <c r="L975" s="60">
        <v>0</v>
      </c>
      <c r="M975" s="60">
        <v>0</v>
      </c>
      <c r="N975" s="60">
        <v>0</v>
      </c>
      <c r="O975" s="60">
        <v>0</v>
      </c>
      <c r="P975" s="60">
        <v>0</v>
      </c>
      <c r="Q975" s="60">
        <v>0</v>
      </c>
      <c r="R975" s="60">
        <v>0</v>
      </c>
      <c r="S975" s="60">
        <v>0</v>
      </c>
      <c r="T975" s="60">
        <v>0</v>
      </c>
      <c r="U975" s="60">
        <v>0</v>
      </c>
      <c r="V975" s="60">
        <v>0</v>
      </c>
      <c r="W975" s="60">
        <v>0</v>
      </c>
      <c r="X975" s="60">
        <v>0</v>
      </c>
      <c r="Y975" s="60">
        <v>0</v>
      </c>
      <c r="Z975" s="60">
        <v>0</v>
      </c>
      <c r="AA975" s="60">
        <v>0</v>
      </c>
      <c r="AB975" s="60">
        <v>0</v>
      </c>
      <c r="AC975" s="60">
        <f>ROUND(N975*1.5%,2)</f>
        <v>0</v>
      </c>
      <c r="AD975" s="60">
        <v>105919.15</v>
      </c>
      <c r="AE975" s="60">
        <v>0</v>
      </c>
      <c r="AF975" s="170">
        <v>2021</v>
      </c>
      <c r="AG975" s="170" t="s">
        <v>257</v>
      </c>
      <c r="AH975" s="170" t="s">
        <v>257</v>
      </c>
    </row>
    <row r="976" spans="1:34" ht="61.5" x14ac:dyDescent="0.85">
      <c r="A976" s="7">
        <v>1</v>
      </c>
      <c r="B976" s="59">
        <f>SUBTOTAL(103,$A$558:A976)</f>
        <v>369</v>
      </c>
      <c r="C976" s="186" t="s">
        <v>1813</v>
      </c>
      <c r="D976" s="60">
        <f>E976+F976+G976+H976+I976+J976+L976+N976+P976+R976+T976+U976+V976+W976+X976+Y976+Z976+AA976+AB976+AC976+AD976+AE976</f>
        <v>129278.19</v>
      </c>
      <c r="E976" s="60">
        <v>0</v>
      </c>
      <c r="F976" s="60">
        <v>0</v>
      </c>
      <c r="G976" s="60">
        <v>0</v>
      </c>
      <c r="H976" s="60">
        <v>0</v>
      </c>
      <c r="I976" s="60">
        <v>0</v>
      </c>
      <c r="J976" s="60">
        <v>0</v>
      </c>
      <c r="K976" s="168">
        <v>0</v>
      </c>
      <c r="L976" s="60">
        <v>0</v>
      </c>
      <c r="M976" s="60">
        <v>0</v>
      </c>
      <c r="N976" s="60">
        <v>0</v>
      </c>
      <c r="O976" s="60">
        <v>0</v>
      </c>
      <c r="P976" s="60">
        <v>0</v>
      </c>
      <c r="Q976" s="60">
        <v>0</v>
      </c>
      <c r="R976" s="60">
        <v>0</v>
      </c>
      <c r="S976" s="60">
        <v>0</v>
      </c>
      <c r="T976" s="60">
        <v>0</v>
      </c>
      <c r="U976" s="60">
        <v>0</v>
      </c>
      <c r="V976" s="60">
        <v>0</v>
      </c>
      <c r="W976" s="60">
        <v>0</v>
      </c>
      <c r="X976" s="60">
        <v>0</v>
      </c>
      <c r="Y976" s="60">
        <v>0</v>
      </c>
      <c r="Z976" s="60">
        <v>0</v>
      </c>
      <c r="AA976" s="60">
        <v>0</v>
      </c>
      <c r="AB976" s="60">
        <v>0</v>
      </c>
      <c r="AC976" s="60">
        <f>ROUND(N976*1.5%,2)</f>
        <v>0</v>
      </c>
      <c r="AD976" s="60">
        <v>129278.19</v>
      </c>
      <c r="AE976" s="60">
        <v>0</v>
      </c>
      <c r="AF976" s="170">
        <v>2021</v>
      </c>
      <c r="AG976" s="170" t="s">
        <v>257</v>
      </c>
      <c r="AH976" s="170" t="s">
        <v>257</v>
      </c>
    </row>
    <row r="977" spans="1:34" ht="61.5" x14ac:dyDescent="0.85">
      <c r="A977" s="7">
        <v>1</v>
      </c>
      <c r="B977" s="59">
        <f>SUBTOTAL(103,$A$558:A977)</f>
        <v>370</v>
      </c>
      <c r="C977" s="160" t="s">
        <v>1218</v>
      </c>
      <c r="D977" s="60">
        <f>E977+F977+G977+H977+I977+J977+L977+N977+P977+R977+T977+U977+V977+W977+X977+Y977+Z977+AA977+AB977+AC977+AD977+AE977</f>
        <v>2486522.14</v>
      </c>
      <c r="E977" s="60">
        <v>0</v>
      </c>
      <c r="F977" s="60">
        <v>0</v>
      </c>
      <c r="G977" s="60">
        <v>0</v>
      </c>
      <c r="H977" s="60">
        <v>0</v>
      </c>
      <c r="I977" s="60">
        <v>0</v>
      </c>
      <c r="J977" s="60">
        <v>0</v>
      </c>
      <c r="K977" s="168">
        <v>0</v>
      </c>
      <c r="L977" s="60">
        <v>0</v>
      </c>
      <c r="M977" s="62">
        <v>669.62</v>
      </c>
      <c r="N977" s="62">
        <v>2452131</v>
      </c>
      <c r="O977" s="60">
        <v>0</v>
      </c>
      <c r="P977" s="60">
        <v>0</v>
      </c>
      <c r="Q977" s="60">
        <v>0</v>
      </c>
      <c r="R977" s="60">
        <v>0</v>
      </c>
      <c r="S977" s="60">
        <v>0</v>
      </c>
      <c r="T977" s="60">
        <v>0</v>
      </c>
      <c r="U977" s="60">
        <v>0</v>
      </c>
      <c r="V977" s="60">
        <v>0</v>
      </c>
      <c r="W977" s="60">
        <v>0</v>
      </c>
      <c r="X977" s="60">
        <v>0</v>
      </c>
      <c r="Y977" s="60">
        <v>0</v>
      </c>
      <c r="Z977" s="60">
        <v>0</v>
      </c>
      <c r="AA977" s="60">
        <v>0</v>
      </c>
      <c r="AB977" s="60">
        <v>0</v>
      </c>
      <c r="AC977" s="62">
        <v>34391.14</v>
      </c>
      <c r="AD977" s="60">
        <v>0</v>
      </c>
      <c r="AE977" s="60">
        <v>0</v>
      </c>
      <c r="AF977" s="170" t="s">
        <v>257</v>
      </c>
      <c r="AG977" s="170">
        <v>2021</v>
      </c>
      <c r="AH977" s="63">
        <v>2021</v>
      </c>
    </row>
    <row r="978" spans="1:34" ht="61.5" x14ac:dyDescent="0.85">
      <c r="B978" s="160" t="s">
        <v>797</v>
      </c>
      <c r="C978" s="160"/>
      <c r="D978" s="177">
        <f t="shared" ref="D978:AE978" si="155">SUM(D979:D982)</f>
        <v>8302059.419999999</v>
      </c>
      <c r="E978" s="60">
        <f t="shared" si="155"/>
        <v>0</v>
      </c>
      <c r="F978" s="60">
        <f t="shared" si="155"/>
        <v>0</v>
      </c>
      <c r="G978" s="60">
        <f t="shared" si="155"/>
        <v>0</v>
      </c>
      <c r="H978" s="60">
        <f t="shared" si="155"/>
        <v>0</v>
      </c>
      <c r="I978" s="60">
        <f t="shared" si="155"/>
        <v>0</v>
      </c>
      <c r="J978" s="60">
        <f t="shared" si="155"/>
        <v>0</v>
      </c>
      <c r="K978" s="168">
        <f t="shared" si="155"/>
        <v>0</v>
      </c>
      <c r="L978" s="60">
        <f t="shared" si="155"/>
        <v>0</v>
      </c>
      <c r="M978" s="60">
        <f t="shared" si="155"/>
        <v>1418.6999999999998</v>
      </c>
      <c r="N978" s="60">
        <f t="shared" si="155"/>
        <v>7875050</v>
      </c>
      <c r="O978" s="60">
        <f t="shared" si="155"/>
        <v>0</v>
      </c>
      <c r="P978" s="60">
        <f t="shared" si="155"/>
        <v>0</v>
      </c>
      <c r="Q978" s="60">
        <f t="shared" si="155"/>
        <v>0</v>
      </c>
      <c r="R978" s="60">
        <f t="shared" si="155"/>
        <v>0</v>
      </c>
      <c r="S978" s="60">
        <f t="shared" si="155"/>
        <v>0</v>
      </c>
      <c r="T978" s="60">
        <f t="shared" si="155"/>
        <v>0</v>
      </c>
      <c r="U978" s="60">
        <f t="shared" si="155"/>
        <v>0</v>
      </c>
      <c r="V978" s="60">
        <f t="shared" si="155"/>
        <v>0</v>
      </c>
      <c r="W978" s="60">
        <f t="shared" si="155"/>
        <v>0</v>
      </c>
      <c r="X978" s="60">
        <f t="shared" si="155"/>
        <v>0</v>
      </c>
      <c r="Y978" s="60">
        <f t="shared" si="155"/>
        <v>0</v>
      </c>
      <c r="Z978" s="60">
        <f t="shared" si="155"/>
        <v>0</v>
      </c>
      <c r="AA978" s="60">
        <f t="shared" si="155"/>
        <v>0</v>
      </c>
      <c r="AB978" s="60">
        <f t="shared" si="155"/>
        <v>0</v>
      </c>
      <c r="AC978" s="60">
        <f t="shared" si="155"/>
        <v>40989.339999999997</v>
      </c>
      <c r="AD978" s="60">
        <f t="shared" si="155"/>
        <v>386020.07999999996</v>
      </c>
      <c r="AE978" s="60">
        <f t="shared" si="155"/>
        <v>0</v>
      </c>
      <c r="AF978" s="54" t="s">
        <v>701</v>
      </c>
      <c r="AG978" s="54" t="s">
        <v>701</v>
      </c>
      <c r="AH978" s="55" t="s">
        <v>701</v>
      </c>
    </row>
    <row r="979" spans="1:34" ht="61.5" x14ac:dyDescent="0.85">
      <c r="A979" s="7">
        <v>1</v>
      </c>
      <c r="B979" s="59">
        <f>SUBTOTAL(103,$A$558:A979)</f>
        <v>371</v>
      </c>
      <c r="C979" s="160" t="s">
        <v>149</v>
      </c>
      <c r="D979" s="60">
        <f>E979+F979+G979+H979+I979+J979+L979+N979+P979+R979+T979+U979+V979+W979+X979+Y979+Z979+AA979+AB979+AC979+AD979+AE979</f>
        <v>4714362.1499999994</v>
      </c>
      <c r="E979" s="60">
        <v>0</v>
      </c>
      <c r="F979" s="60">
        <v>0</v>
      </c>
      <c r="G979" s="60">
        <v>0</v>
      </c>
      <c r="H979" s="60">
        <v>0</v>
      </c>
      <c r="I979" s="60">
        <v>0</v>
      </c>
      <c r="J979" s="60">
        <v>0</v>
      </c>
      <c r="K979" s="168">
        <v>0</v>
      </c>
      <c r="L979" s="60">
        <v>0</v>
      </c>
      <c r="M979" s="60">
        <v>658.9</v>
      </c>
      <c r="N979" s="62">
        <v>4592643</v>
      </c>
      <c r="O979" s="60">
        <v>0</v>
      </c>
      <c r="P979" s="60">
        <v>0</v>
      </c>
      <c r="Q979" s="60">
        <v>0</v>
      </c>
      <c r="R979" s="60">
        <v>0</v>
      </c>
      <c r="S979" s="60">
        <v>0</v>
      </c>
      <c r="T979" s="60">
        <v>0</v>
      </c>
      <c r="U979" s="60">
        <v>0</v>
      </c>
      <c r="V979" s="60">
        <v>0</v>
      </c>
      <c r="W979" s="60">
        <v>0</v>
      </c>
      <c r="X979" s="60">
        <v>0</v>
      </c>
      <c r="Y979" s="60">
        <v>0</v>
      </c>
      <c r="Z979" s="60">
        <v>0</v>
      </c>
      <c r="AA979" s="60">
        <v>0</v>
      </c>
      <c r="AB979" s="60">
        <v>0</v>
      </c>
      <c r="AC979" s="62">
        <v>40989.339999999997</v>
      </c>
      <c r="AD979" s="60">
        <v>80729.81</v>
      </c>
      <c r="AE979" s="60">
        <v>0</v>
      </c>
      <c r="AF979" s="170">
        <v>2021</v>
      </c>
      <c r="AG979" s="170">
        <v>2021</v>
      </c>
      <c r="AH979" s="63">
        <v>2021</v>
      </c>
    </row>
    <row r="980" spans="1:34" ht="61.5" x14ac:dyDescent="0.85">
      <c r="A980" s="7">
        <v>1</v>
      </c>
      <c r="B980" s="59">
        <f>SUBTOTAL(103,$A$558:A980)</f>
        <v>372</v>
      </c>
      <c r="C980" s="160" t="s">
        <v>1176</v>
      </c>
      <c r="D980" s="60">
        <f>E980+F980+G980+H980+I980+J980+L980+N980+P980+R980+T980+U980+V980+W980+X980+Y980+Z980+AA980+AB980+AC980+AD980+AE980</f>
        <v>23660.13</v>
      </c>
      <c r="E980" s="60">
        <v>0</v>
      </c>
      <c r="F980" s="60">
        <v>0</v>
      </c>
      <c r="G980" s="60">
        <v>0</v>
      </c>
      <c r="H980" s="60">
        <v>0</v>
      </c>
      <c r="I980" s="60">
        <v>0</v>
      </c>
      <c r="J980" s="60">
        <v>0</v>
      </c>
      <c r="K980" s="168">
        <v>0</v>
      </c>
      <c r="L980" s="60">
        <v>0</v>
      </c>
      <c r="M980" s="60">
        <v>0</v>
      </c>
      <c r="N980" s="60">
        <v>0</v>
      </c>
      <c r="O980" s="60">
        <v>0</v>
      </c>
      <c r="P980" s="60">
        <v>0</v>
      </c>
      <c r="Q980" s="60">
        <v>0</v>
      </c>
      <c r="R980" s="60">
        <v>0</v>
      </c>
      <c r="S980" s="60">
        <v>0</v>
      </c>
      <c r="T980" s="60">
        <v>0</v>
      </c>
      <c r="U980" s="60">
        <v>0</v>
      </c>
      <c r="V980" s="60">
        <v>0</v>
      </c>
      <c r="W980" s="60">
        <v>0</v>
      </c>
      <c r="X980" s="60">
        <v>0</v>
      </c>
      <c r="Y980" s="60">
        <v>0</v>
      </c>
      <c r="Z980" s="60">
        <v>0</v>
      </c>
      <c r="AA980" s="60">
        <v>0</v>
      </c>
      <c r="AB980" s="60">
        <v>0</v>
      </c>
      <c r="AC980" s="60">
        <v>0</v>
      </c>
      <c r="AD980" s="58">
        <v>23660.13</v>
      </c>
      <c r="AE980" s="60">
        <v>0</v>
      </c>
      <c r="AF980" s="170">
        <v>2021</v>
      </c>
      <c r="AG980" s="170" t="s">
        <v>257</v>
      </c>
      <c r="AH980" s="170" t="s">
        <v>257</v>
      </c>
    </row>
    <row r="981" spans="1:34" ht="61.5" x14ac:dyDescent="0.85">
      <c r="A981" s="7">
        <v>1</v>
      </c>
      <c r="B981" s="59">
        <f>SUBTOTAL(103,$A$558:A981)</f>
        <v>373</v>
      </c>
      <c r="C981" s="186" t="s">
        <v>156</v>
      </c>
      <c r="D981" s="60">
        <f>E981+F981+G981+H981+I981+J981+L981+N981+P981+R981+T981+U981+V981+W981+X981+Y981+Z981+AA981+AB981+AC981+AD981+AE981</f>
        <v>3412382.8</v>
      </c>
      <c r="E981" s="60">
        <v>0</v>
      </c>
      <c r="F981" s="60">
        <v>0</v>
      </c>
      <c r="G981" s="60">
        <v>0</v>
      </c>
      <c r="H981" s="60">
        <v>0</v>
      </c>
      <c r="I981" s="60">
        <v>0</v>
      </c>
      <c r="J981" s="60">
        <v>0</v>
      </c>
      <c r="K981" s="168">
        <v>0</v>
      </c>
      <c r="L981" s="60">
        <v>0</v>
      </c>
      <c r="M981" s="60">
        <v>759.8</v>
      </c>
      <c r="N981" s="60">
        <v>3282407</v>
      </c>
      <c r="O981" s="60">
        <v>0</v>
      </c>
      <c r="P981" s="60">
        <v>0</v>
      </c>
      <c r="Q981" s="60">
        <v>0</v>
      </c>
      <c r="R981" s="60">
        <v>0</v>
      </c>
      <c r="S981" s="60">
        <v>0</v>
      </c>
      <c r="T981" s="60">
        <v>0</v>
      </c>
      <c r="U981" s="60">
        <v>0</v>
      </c>
      <c r="V981" s="60">
        <v>0</v>
      </c>
      <c r="W981" s="60">
        <v>0</v>
      </c>
      <c r="X981" s="60">
        <v>0</v>
      </c>
      <c r="Y981" s="60">
        <v>0</v>
      </c>
      <c r="Z981" s="60">
        <v>0</v>
      </c>
      <c r="AA981" s="60">
        <v>0</v>
      </c>
      <c r="AB981" s="60">
        <v>0</v>
      </c>
      <c r="AC981" s="60">
        <v>0</v>
      </c>
      <c r="AD981" s="60">
        <v>129975.8</v>
      </c>
      <c r="AE981" s="60">
        <v>0</v>
      </c>
      <c r="AF981" s="170">
        <v>2021</v>
      </c>
      <c r="AG981" s="170">
        <v>2021</v>
      </c>
      <c r="AH981" s="170" t="s">
        <v>257</v>
      </c>
    </row>
    <row r="982" spans="1:34" ht="61.5" x14ac:dyDescent="0.85">
      <c r="A982" s="7">
        <v>1</v>
      </c>
      <c r="B982" s="59">
        <f>SUBTOTAL(103,$A$558:A982)</f>
        <v>374</v>
      </c>
      <c r="C982" s="186" t="s">
        <v>155</v>
      </c>
      <c r="D982" s="60">
        <f>E982+F982+G982+H982+I982+J982+L982+N982+P982+R982+T982+U982+V982+W982+X982+Y982+Z982+AA982+AB982+AC982+AD982+AE982</f>
        <v>151654.34</v>
      </c>
      <c r="E982" s="60">
        <v>0</v>
      </c>
      <c r="F982" s="60">
        <v>0</v>
      </c>
      <c r="G982" s="60">
        <v>0</v>
      </c>
      <c r="H982" s="60">
        <v>0</v>
      </c>
      <c r="I982" s="60">
        <v>0</v>
      </c>
      <c r="J982" s="60">
        <v>0</v>
      </c>
      <c r="K982" s="168">
        <v>0</v>
      </c>
      <c r="L982" s="60">
        <v>0</v>
      </c>
      <c r="M982" s="60">
        <v>0</v>
      </c>
      <c r="N982" s="60">
        <v>0</v>
      </c>
      <c r="O982" s="60">
        <v>0</v>
      </c>
      <c r="P982" s="60">
        <v>0</v>
      </c>
      <c r="Q982" s="60">
        <v>0</v>
      </c>
      <c r="R982" s="60">
        <v>0</v>
      </c>
      <c r="S982" s="60">
        <v>0</v>
      </c>
      <c r="T982" s="60">
        <v>0</v>
      </c>
      <c r="U982" s="60">
        <v>0</v>
      </c>
      <c r="V982" s="60">
        <v>0</v>
      </c>
      <c r="W982" s="60">
        <v>0</v>
      </c>
      <c r="X982" s="60">
        <v>0</v>
      </c>
      <c r="Y982" s="60">
        <v>0</v>
      </c>
      <c r="Z982" s="60">
        <v>0</v>
      </c>
      <c r="AA982" s="60">
        <v>0</v>
      </c>
      <c r="AB982" s="60">
        <v>0</v>
      </c>
      <c r="AC982" s="60">
        <v>0</v>
      </c>
      <c r="AD982" s="60">
        <v>151654.34</v>
      </c>
      <c r="AE982" s="60">
        <v>0</v>
      </c>
      <c r="AF982" s="170">
        <v>2021</v>
      </c>
      <c r="AG982" s="170" t="s">
        <v>257</v>
      </c>
      <c r="AH982" s="170" t="s">
        <v>257</v>
      </c>
    </row>
    <row r="983" spans="1:34" ht="61.5" x14ac:dyDescent="0.85">
      <c r="B983" s="160" t="s">
        <v>798</v>
      </c>
      <c r="C983" s="160"/>
      <c r="D983" s="177">
        <f t="shared" ref="D983:AE983" si="156">SUM(D984:D990)</f>
        <v>26351691.239999998</v>
      </c>
      <c r="E983" s="60">
        <f t="shared" si="156"/>
        <v>0</v>
      </c>
      <c r="F983" s="60">
        <f t="shared" si="156"/>
        <v>0</v>
      </c>
      <c r="G983" s="60">
        <f t="shared" si="156"/>
        <v>0</v>
      </c>
      <c r="H983" s="60">
        <f t="shared" si="156"/>
        <v>0</v>
      </c>
      <c r="I983" s="60">
        <f t="shared" si="156"/>
        <v>0</v>
      </c>
      <c r="J983" s="60">
        <f t="shared" si="156"/>
        <v>0</v>
      </c>
      <c r="K983" s="168">
        <f t="shared" si="156"/>
        <v>0</v>
      </c>
      <c r="L983" s="60">
        <f t="shared" si="156"/>
        <v>0</v>
      </c>
      <c r="M983" s="60">
        <f t="shared" si="156"/>
        <v>5523.26</v>
      </c>
      <c r="N983" s="60">
        <f t="shared" si="156"/>
        <v>25376050.240000002</v>
      </c>
      <c r="O983" s="60">
        <f t="shared" si="156"/>
        <v>0</v>
      </c>
      <c r="P983" s="60">
        <f t="shared" si="156"/>
        <v>0</v>
      </c>
      <c r="Q983" s="60">
        <f t="shared" si="156"/>
        <v>0</v>
      </c>
      <c r="R983" s="60">
        <f t="shared" si="156"/>
        <v>0</v>
      </c>
      <c r="S983" s="60">
        <f t="shared" si="156"/>
        <v>0</v>
      </c>
      <c r="T983" s="60">
        <f t="shared" si="156"/>
        <v>0</v>
      </c>
      <c r="U983" s="60">
        <f t="shared" si="156"/>
        <v>0</v>
      </c>
      <c r="V983" s="60">
        <f t="shared" si="156"/>
        <v>0</v>
      </c>
      <c r="W983" s="60">
        <f t="shared" si="156"/>
        <v>0</v>
      </c>
      <c r="X983" s="60">
        <f t="shared" si="156"/>
        <v>0</v>
      </c>
      <c r="Y983" s="60">
        <f t="shared" si="156"/>
        <v>0</v>
      </c>
      <c r="Z983" s="60">
        <f t="shared" si="156"/>
        <v>0</v>
      </c>
      <c r="AA983" s="60">
        <f t="shared" si="156"/>
        <v>0</v>
      </c>
      <c r="AB983" s="60">
        <f t="shared" si="156"/>
        <v>0</v>
      </c>
      <c r="AC983" s="60">
        <f t="shared" si="156"/>
        <v>204309.43</v>
      </c>
      <c r="AD983" s="60">
        <f t="shared" si="156"/>
        <v>651331.56999999995</v>
      </c>
      <c r="AE983" s="60">
        <f t="shared" si="156"/>
        <v>120000</v>
      </c>
      <c r="AF983" s="54" t="s">
        <v>701</v>
      </c>
      <c r="AG983" s="54" t="s">
        <v>701</v>
      </c>
      <c r="AH983" s="55" t="s">
        <v>701</v>
      </c>
    </row>
    <row r="984" spans="1:34" ht="61.5" x14ac:dyDescent="0.85">
      <c r="A984" s="7">
        <v>1</v>
      </c>
      <c r="B984" s="59">
        <f>SUBTOTAL(103,$A$558:A984)</f>
        <v>375</v>
      </c>
      <c r="C984" s="160" t="s">
        <v>142</v>
      </c>
      <c r="D984" s="60">
        <f t="shared" ref="D984:D990" si="157">E984+F984+G984+H984+I984+J984+L984+N984+P984+R984+T984+U984+V984+W984+X984+Y984+Z984+AA984+AB984+AC984+AD984+AE984</f>
        <v>3146708.2800000003</v>
      </c>
      <c r="E984" s="60">
        <v>0</v>
      </c>
      <c r="F984" s="60">
        <v>0</v>
      </c>
      <c r="G984" s="60">
        <v>0</v>
      </c>
      <c r="H984" s="60">
        <v>0</v>
      </c>
      <c r="I984" s="60">
        <v>0</v>
      </c>
      <c r="J984" s="60">
        <v>0</v>
      </c>
      <c r="K984" s="168">
        <v>0</v>
      </c>
      <c r="L984" s="60">
        <v>0</v>
      </c>
      <c r="M984" s="60">
        <v>975</v>
      </c>
      <c r="N984" s="62">
        <v>3013810.1</v>
      </c>
      <c r="O984" s="60">
        <v>0</v>
      </c>
      <c r="P984" s="60">
        <v>0</v>
      </c>
      <c r="Q984" s="60">
        <v>0</v>
      </c>
      <c r="R984" s="60">
        <v>0</v>
      </c>
      <c r="S984" s="60">
        <v>0</v>
      </c>
      <c r="T984" s="60">
        <v>0</v>
      </c>
      <c r="U984" s="60">
        <v>0</v>
      </c>
      <c r="V984" s="60">
        <v>0</v>
      </c>
      <c r="W984" s="60">
        <v>0</v>
      </c>
      <c r="X984" s="60">
        <v>0</v>
      </c>
      <c r="Y984" s="60">
        <v>0</v>
      </c>
      <c r="Z984" s="60">
        <v>0</v>
      </c>
      <c r="AA984" s="60">
        <v>0</v>
      </c>
      <c r="AB984" s="60">
        <v>0</v>
      </c>
      <c r="AC984" s="62">
        <v>26898.25</v>
      </c>
      <c r="AD984" s="60">
        <v>105999.93</v>
      </c>
      <c r="AE984" s="60">
        <v>0</v>
      </c>
      <c r="AF984" s="170">
        <v>2021</v>
      </c>
      <c r="AG984" s="170">
        <v>2021</v>
      </c>
      <c r="AH984" s="63">
        <v>2021</v>
      </c>
    </row>
    <row r="985" spans="1:34" ht="61.5" x14ac:dyDescent="0.85">
      <c r="A985" s="7">
        <v>1</v>
      </c>
      <c r="B985" s="59">
        <f>SUBTOTAL(103,$A$558:A985)</f>
        <v>376</v>
      </c>
      <c r="C985" s="160" t="s">
        <v>152</v>
      </c>
      <c r="D985" s="60">
        <f t="shared" si="157"/>
        <v>7292390.2700000005</v>
      </c>
      <c r="E985" s="60">
        <v>0</v>
      </c>
      <c r="F985" s="60">
        <v>0</v>
      </c>
      <c r="G985" s="60">
        <v>0</v>
      </c>
      <c r="H985" s="60">
        <v>0</v>
      </c>
      <c r="I985" s="60">
        <v>0</v>
      </c>
      <c r="J985" s="60">
        <v>0</v>
      </c>
      <c r="K985" s="168">
        <v>0</v>
      </c>
      <c r="L985" s="60">
        <v>0</v>
      </c>
      <c r="M985" s="60">
        <v>1473.5</v>
      </c>
      <c r="N985" s="60">
        <v>7122895.1500000004</v>
      </c>
      <c r="O985" s="60">
        <v>0</v>
      </c>
      <c r="P985" s="60">
        <v>0</v>
      </c>
      <c r="Q985" s="60">
        <v>0</v>
      </c>
      <c r="R985" s="60">
        <v>0</v>
      </c>
      <c r="S985" s="60">
        <v>0</v>
      </c>
      <c r="T985" s="60">
        <v>0</v>
      </c>
      <c r="U985" s="60">
        <v>0</v>
      </c>
      <c r="V985" s="60">
        <v>0</v>
      </c>
      <c r="W985" s="60">
        <v>0</v>
      </c>
      <c r="X985" s="60">
        <v>0</v>
      </c>
      <c r="Y985" s="60">
        <v>0</v>
      </c>
      <c r="Z985" s="60">
        <v>0</v>
      </c>
      <c r="AA985" s="60">
        <v>0</v>
      </c>
      <c r="AB985" s="60">
        <v>0</v>
      </c>
      <c r="AC985" s="62">
        <v>63571.839999999997</v>
      </c>
      <c r="AD985" s="60">
        <v>105923.28</v>
      </c>
      <c r="AE985" s="60">
        <v>0</v>
      </c>
      <c r="AF985" s="170">
        <v>2021</v>
      </c>
      <c r="AG985" s="170">
        <v>2021</v>
      </c>
      <c r="AH985" s="63">
        <v>2021</v>
      </c>
    </row>
    <row r="986" spans="1:34" ht="61.5" x14ac:dyDescent="0.85">
      <c r="A986" s="7">
        <v>1</v>
      </c>
      <c r="B986" s="59">
        <f>SUBTOTAL(103,$A$558:A986)</f>
        <v>377</v>
      </c>
      <c r="C986" s="186" t="s">
        <v>153</v>
      </c>
      <c r="D986" s="60">
        <f t="shared" si="157"/>
        <v>4803024.51</v>
      </c>
      <c r="E986" s="60">
        <v>0</v>
      </c>
      <c r="F986" s="60">
        <v>0</v>
      </c>
      <c r="G986" s="60">
        <v>0</v>
      </c>
      <c r="H986" s="60">
        <v>0</v>
      </c>
      <c r="I986" s="60">
        <v>0</v>
      </c>
      <c r="J986" s="60">
        <v>0</v>
      </c>
      <c r="K986" s="168">
        <v>0</v>
      </c>
      <c r="L986" s="60">
        <v>0</v>
      </c>
      <c r="M986" s="60">
        <v>805.58</v>
      </c>
      <c r="N986" s="62">
        <v>4674007</v>
      </c>
      <c r="O986" s="60">
        <v>0</v>
      </c>
      <c r="P986" s="60">
        <v>0</v>
      </c>
      <c r="Q986" s="60">
        <v>0</v>
      </c>
      <c r="R986" s="60">
        <v>0</v>
      </c>
      <c r="S986" s="60">
        <v>0</v>
      </c>
      <c r="T986" s="60">
        <v>0</v>
      </c>
      <c r="U986" s="60">
        <v>0</v>
      </c>
      <c r="V986" s="60">
        <v>0</v>
      </c>
      <c r="W986" s="60">
        <v>0</v>
      </c>
      <c r="X986" s="60">
        <v>0</v>
      </c>
      <c r="Y986" s="60">
        <v>0</v>
      </c>
      <c r="Z986" s="60">
        <v>0</v>
      </c>
      <c r="AA986" s="60">
        <v>0</v>
      </c>
      <c r="AB986" s="60">
        <v>0</v>
      </c>
      <c r="AC986" s="62">
        <v>41715.51</v>
      </c>
      <c r="AD986" s="60">
        <v>87302</v>
      </c>
      <c r="AE986" s="60">
        <v>0</v>
      </c>
      <c r="AF986" s="170">
        <v>2021</v>
      </c>
      <c r="AG986" s="170">
        <v>2021</v>
      </c>
      <c r="AH986" s="63">
        <v>2021</v>
      </c>
    </row>
    <row r="987" spans="1:34" ht="61.5" x14ac:dyDescent="0.85">
      <c r="A987" s="7">
        <v>1</v>
      </c>
      <c r="B987" s="59">
        <f>SUBTOTAL(103,$A$558:A987)</f>
        <v>378</v>
      </c>
      <c r="C987" s="160" t="s">
        <v>1179</v>
      </c>
      <c r="D987" s="60">
        <f t="shared" si="157"/>
        <v>5140591.66</v>
      </c>
      <c r="E987" s="60">
        <v>0</v>
      </c>
      <c r="F987" s="60">
        <v>0</v>
      </c>
      <c r="G987" s="60">
        <v>0</v>
      </c>
      <c r="H987" s="60">
        <v>0</v>
      </c>
      <c r="I987" s="60">
        <v>0</v>
      </c>
      <c r="J987" s="60">
        <v>0</v>
      </c>
      <c r="K987" s="168">
        <v>0</v>
      </c>
      <c r="L987" s="60">
        <v>0</v>
      </c>
      <c r="M987" s="62">
        <v>1035.96</v>
      </c>
      <c r="N987" s="172">
        <v>4998154.9400000004</v>
      </c>
      <c r="O987" s="60">
        <v>0</v>
      </c>
      <c r="P987" s="60">
        <v>0</v>
      </c>
      <c r="Q987" s="60">
        <v>0</v>
      </c>
      <c r="R987" s="60">
        <v>0</v>
      </c>
      <c r="S987" s="60">
        <v>0</v>
      </c>
      <c r="T987" s="60">
        <v>0</v>
      </c>
      <c r="U987" s="60">
        <v>0</v>
      </c>
      <c r="V987" s="60">
        <v>0</v>
      </c>
      <c r="W987" s="60">
        <v>0</v>
      </c>
      <c r="X987" s="60">
        <v>0</v>
      </c>
      <c r="Y987" s="60">
        <v>0</v>
      </c>
      <c r="Z987" s="60">
        <v>0</v>
      </c>
      <c r="AA987" s="60">
        <v>0</v>
      </c>
      <c r="AB987" s="60">
        <v>0</v>
      </c>
      <c r="AC987" s="172">
        <v>22436.720000000001</v>
      </c>
      <c r="AD987" s="62">
        <v>0</v>
      </c>
      <c r="AE987" s="60">
        <v>120000</v>
      </c>
      <c r="AF987" s="170" t="s">
        <v>257</v>
      </c>
      <c r="AG987" s="170">
        <v>2021</v>
      </c>
      <c r="AH987" s="63">
        <v>2021</v>
      </c>
    </row>
    <row r="988" spans="1:34" ht="61.5" x14ac:dyDescent="0.85">
      <c r="A988" s="7">
        <v>1</v>
      </c>
      <c r="B988" s="59">
        <f>SUBTOTAL(103,$A$558:A988)</f>
        <v>379</v>
      </c>
      <c r="C988" s="186" t="s">
        <v>1818</v>
      </c>
      <c r="D988" s="60">
        <f t="shared" si="157"/>
        <v>5748598.1299999999</v>
      </c>
      <c r="E988" s="60">
        <v>0</v>
      </c>
      <c r="F988" s="60">
        <v>0</v>
      </c>
      <c r="G988" s="60">
        <v>0</v>
      </c>
      <c r="H988" s="60">
        <v>0</v>
      </c>
      <c r="I988" s="60">
        <v>0</v>
      </c>
      <c r="J988" s="60">
        <v>0</v>
      </c>
      <c r="K988" s="168">
        <v>0</v>
      </c>
      <c r="L988" s="60">
        <v>0</v>
      </c>
      <c r="M988" s="60">
        <v>1233.22</v>
      </c>
      <c r="N988" s="62">
        <v>5567183.0499999998</v>
      </c>
      <c r="O988" s="60">
        <v>0</v>
      </c>
      <c r="P988" s="60">
        <v>0</v>
      </c>
      <c r="Q988" s="60">
        <v>0</v>
      </c>
      <c r="R988" s="60">
        <v>0</v>
      </c>
      <c r="S988" s="60">
        <v>0</v>
      </c>
      <c r="T988" s="60">
        <v>0</v>
      </c>
      <c r="U988" s="60">
        <v>0</v>
      </c>
      <c r="V988" s="60">
        <v>0</v>
      </c>
      <c r="W988" s="60">
        <v>0</v>
      </c>
      <c r="X988" s="60">
        <v>0</v>
      </c>
      <c r="Y988" s="60">
        <v>0</v>
      </c>
      <c r="Z988" s="60">
        <v>0</v>
      </c>
      <c r="AA988" s="60">
        <v>0</v>
      </c>
      <c r="AB988" s="60">
        <v>0</v>
      </c>
      <c r="AC988" s="62">
        <v>49687.11</v>
      </c>
      <c r="AD988" s="58">
        <v>131727.97</v>
      </c>
      <c r="AE988" s="60">
        <v>0</v>
      </c>
      <c r="AF988" s="170">
        <v>2021</v>
      </c>
      <c r="AG988" s="170">
        <v>2021</v>
      </c>
      <c r="AH988" s="63">
        <v>2021</v>
      </c>
    </row>
    <row r="989" spans="1:34" ht="61.5" x14ac:dyDescent="0.85">
      <c r="A989" s="7">
        <v>1</v>
      </c>
      <c r="B989" s="59">
        <f>SUBTOTAL(103,$A$558:A989)</f>
        <v>380</v>
      </c>
      <c r="C989" s="160" t="s">
        <v>2164</v>
      </c>
      <c r="D989" s="60">
        <f t="shared" si="157"/>
        <v>70859.63</v>
      </c>
      <c r="E989" s="180">
        <v>0</v>
      </c>
      <c r="F989" s="180">
        <v>0</v>
      </c>
      <c r="G989" s="180">
        <v>0</v>
      </c>
      <c r="H989" s="180">
        <v>0</v>
      </c>
      <c r="I989" s="180">
        <v>0</v>
      </c>
      <c r="J989" s="180">
        <v>0</v>
      </c>
      <c r="K989" s="168">
        <v>0</v>
      </c>
      <c r="L989" s="60">
        <v>0</v>
      </c>
      <c r="M989" s="60">
        <v>0</v>
      </c>
      <c r="N989" s="60">
        <v>0</v>
      </c>
      <c r="O989" s="60">
        <v>0</v>
      </c>
      <c r="P989" s="60">
        <v>0</v>
      </c>
      <c r="Q989" s="60">
        <v>0</v>
      </c>
      <c r="R989" s="60">
        <v>0</v>
      </c>
      <c r="S989" s="60">
        <v>0</v>
      </c>
      <c r="T989" s="60">
        <v>0</v>
      </c>
      <c r="U989" s="60">
        <v>0</v>
      </c>
      <c r="V989" s="60">
        <v>0</v>
      </c>
      <c r="W989" s="60">
        <v>0</v>
      </c>
      <c r="X989" s="60">
        <v>0</v>
      </c>
      <c r="Y989" s="60">
        <v>0</v>
      </c>
      <c r="Z989" s="60">
        <v>0</v>
      </c>
      <c r="AA989" s="60">
        <v>0</v>
      </c>
      <c r="AB989" s="60">
        <v>0</v>
      </c>
      <c r="AC989" s="60">
        <v>0</v>
      </c>
      <c r="AD989" s="62">
        <v>70859.63</v>
      </c>
      <c r="AE989" s="60">
        <v>0</v>
      </c>
      <c r="AF989" s="170">
        <v>2021</v>
      </c>
      <c r="AG989" s="170" t="s">
        <v>257</v>
      </c>
      <c r="AH989" s="170" t="s">
        <v>257</v>
      </c>
    </row>
    <row r="990" spans="1:34" ht="61.5" x14ac:dyDescent="0.85">
      <c r="A990" s="7">
        <v>1</v>
      </c>
      <c r="B990" s="59">
        <f>SUBTOTAL(103,$A$558:A990)</f>
        <v>381</v>
      </c>
      <c r="C990" s="160" t="s">
        <v>144</v>
      </c>
      <c r="D990" s="60">
        <f t="shared" si="157"/>
        <v>149518.76</v>
      </c>
      <c r="E990" s="60">
        <v>0</v>
      </c>
      <c r="F990" s="60">
        <v>0</v>
      </c>
      <c r="G990" s="60">
        <v>0</v>
      </c>
      <c r="H990" s="60">
        <v>0</v>
      </c>
      <c r="I990" s="60">
        <v>0</v>
      </c>
      <c r="J990" s="60">
        <v>0</v>
      </c>
      <c r="K990" s="168">
        <v>0</v>
      </c>
      <c r="L990" s="60">
        <v>0</v>
      </c>
      <c r="M990" s="60">
        <v>0</v>
      </c>
      <c r="N990" s="60">
        <v>0</v>
      </c>
      <c r="O990" s="60">
        <v>0</v>
      </c>
      <c r="P990" s="60">
        <v>0</v>
      </c>
      <c r="Q990" s="60">
        <v>0</v>
      </c>
      <c r="R990" s="60">
        <v>0</v>
      </c>
      <c r="S990" s="60">
        <v>0</v>
      </c>
      <c r="T990" s="60">
        <v>0</v>
      </c>
      <c r="U990" s="60">
        <v>0</v>
      </c>
      <c r="V990" s="60">
        <v>0</v>
      </c>
      <c r="W990" s="60">
        <v>0</v>
      </c>
      <c r="X990" s="60">
        <v>0</v>
      </c>
      <c r="Y990" s="60">
        <v>0</v>
      </c>
      <c r="Z990" s="60">
        <v>0</v>
      </c>
      <c r="AA990" s="60">
        <v>0</v>
      </c>
      <c r="AB990" s="60">
        <v>0</v>
      </c>
      <c r="AC990" s="60">
        <v>0</v>
      </c>
      <c r="AD990" s="60">
        <v>149518.76</v>
      </c>
      <c r="AE990" s="60">
        <v>0</v>
      </c>
      <c r="AF990" s="170">
        <v>2021</v>
      </c>
      <c r="AG990" s="170" t="s">
        <v>257</v>
      </c>
      <c r="AH990" s="170" t="s">
        <v>257</v>
      </c>
    </row>
    <row r="991" spans="1:34" ht="61.5" x14ac:dyDescent="0.85">
      <c r="B991" s="160" t="s">
        <v>799</v>
      </c>
      <c r="C991" s="176"/>
      <c r="D991" s="177">
        <f t="shared" ref="D991:AE991" si="158">SUM(D992:D994)</f>
        <v>2052551.4100000001</v>
      </c>
      <c r="E991" s="60">
        <f t="shared" si="158"/>
        <v>0</v>
      </c>
      <c r="F991" s="60">
        <f t="shared" si="158"/>
        <v>0</v>
      </c>
      <c r="G991" s="60">
        <f t="shared" si="158"/>
        <v>0</v>
      </c>
      <c r="H991" s="60">
        <f t="shared" si="158"/>
        <v>0</v>
      </c>
      <c r="I991" s="60">
        <f t="shared" si="158"/>
        <v>0</v>
      </c>
      <c r="J991" s="60">
        <f t="shared" si="158"/>
        <v>0</v>
      </c>
      <c r="K991" s="168">
        <f t="shared" si="158"/>
        <v>0</v>
      </c>
      <c r="L991" s="60">
        <f t="shared" si="158"/>
        <v>0</v>
      </c>
      <c r="M991" s="60">
        <f t="shared" si="158"/>
        <v>0</v>
      </c>
      <c r="N991" s="60">
        <f t="shared" si="158"/>
        <v>0</v>
      </c>
      <c r="O991" s="60">
        <f t="shared" si="158"/>
        <v>0</v>
      </c>
      <c r="P991" s="60">
        <f t="shared" si="158"/>
        <v>0</v>
      </c>
      <c r="Q991" s="60">
        <f t="shared" si="158"/>
        <v>441</v>
      </c>
      <c r="R991" s="60">
        <f t="shared" si="158"/>
        <v>1722150.93</v>
      </c>
      <c r="S991" s="60">
        <f t="shared" si="158"/>
        <v>0</v>
      </c>
      <c r="T991" s="60">
        <f t="shared" si="158"/>
        <v>0</v>
      </c>
      <c r="U991" s="60">
        <f t="shared" si="158"/>
        <v>0</v>
      </c>
      <c r="V991" s="60">
        <f t="shared" si="158"/>
        <v>0</v>
      </c>
      <c r="W991" s="60">
        <f t="shared" si="158"/>
        <v>0</v>
      </c>
      <c r="X991" s="60">
        <f t="shared" si="158"/>
        <v>0</v>
      </c>
      <c r="Y991" s="60">
        <f t="shared" si="158"/>
        <v>0</v>
      </c>
      <c r="Z991" s="60">
        <f t="shared" si="158"/>
        <v>0</v>
      </c>
      <c r="AA991" s="60">
        <f t="shared" si="158"/>
        <v>0</v>
      </c>
      <c r="AB991" s="60">
        <f t="shared" si="158"/>
        <v>0</v>
      </c>
      <c r="AC991" s="60">
        <f t="shared" si="158"/>
        <v>9361.61</v>
      </c>
      <c r="AD991" s="60">
        <f t="shared" si="158"/>
        <v>201038.87</v>
      </c>
      <c r="AE991" s="60">
        <f t="shared" si="158"/>
        <v>120000</v>
      </c>
      <c r="AF991" s="54" t="s">
        <v>701</v>
      </c>
      <c r="AG991" s="54" t="s">
        <v>701</v>
      </c>
      <c r="AH991" s="55" t="s">
        <v>701</v>
      </c>
    </row>
    <row r="992" spans="1:34" ht="61.5" x14ac:dyDescent="0.85">
      <c r="A992" s="7">
        <v>1</v>
      </c>
      <c r="B992" s="59">
        <f>SUBTOTAL(103,$A$558:A992)</f>
        <v>382</v>
      </c>
      <c r="C992" s="160" t="s">
        <v>94</v>
      </c>
      <c r="D992" s="60">
        <f>E992+F992+G992+H992+I992+J992+L992+N992+P992+R992+T992+U992+V992+W992+X992+Y992+Z992+AA992+AB992+AC992+AD992+AE992</f>
        <v>95382.85</v>
      </c>
      <c r="E992" s="60">
        <v>0</v>
      </c>
      <c r="F992" s="60">
        <v>0</v>
      </c>
      <c r="G992" s="60">
        <v>0</v>
      </c>
      <c r="H992" s="60">
        <v>0</v>
      </c>
      <c r="I992" s="60">
        <v>0</v>
      </c>
      <c r="J992" s="60">
        <v>0</v>
      </c>
      <c r="K992" s="168">
        <v>0</v>
      </c>
      <c r="L992" s="60">
        <v>0</v>
      </c>
      <c r="M992" s="60">
        <v>0</v>
      </c>
      <c r="N992" s="163">
        <v>0</v>
      </c>
      <c r="O992" s="60">
        <v>0</v>
      </c>
      <c r="P992" s="60">
        <v>0</v>
      </c>
      <c r="Q992" s="60">
        <v>0</v>
      </c>
      <c r="R992" s="60">
        <v>0</v>
      </c>
      <c r="S992" s="60">
        <v>0</v>
      </c>
      <c r="T992" s="60">
        <v>0</v>
      </c>
      <c r="U992" s="60">
        <v>0</v>
      </c>
      <c r="V992" s="60">
        <v>0</v>
      </c>
      <c r="W992" s="60">
        <v>0</v>
      </c>
      <c r="X992" s="60">
        <v>0</v>
      </c>
      <c r="Y992" s="60">
        <v>0</v>
      </c>
      <c r="Z992" s="60">
        <v>0</v>
      </c>
      <c r="AA992" s="60">
        <v>0</v>
      </c>
      <c r="AB992" s="60">
        <v>0</v>
      </c>
      <c r="AC992" s="60">
        <v>0</v>
      </c>
      <c r="AD992" s="62">
        <v>95382.85</v>
      </c>
      <c r="AE992" s="60">
        <v>0</v>
      </c>
      <c r="AF992" s="170">
        <v>2021</v>
      </c>
      <c r="AG992" s="170" t="s">
        <v>257</v>
      </c>
      <c r="AH992" s="170" t="s">
        <v>257</v>
      </c>
    </row>
    <row r="993" spans="1:34" ht="61.5" x14ac:dyDescent="0.85">
      <c r="A993" s="7">
        <v>1</v>
      </c>
      <c r="B993" s="59">
        <f>SUBTOTAL(103,$A$558:A993)</f>
        <v>383</v>
      </c>
      <c r="C993" s="160" t="s">
        <v>93</v>
      </c>
      <c r="D993" s="60">
        <f>E993+F993+G993+H993+I993+J993+L993+N993+P993+R993+T993+U993+V993+W993+X993+Y993+Z993+AA993+AB993+AC993+AD993+AE993</f>
        <v>105656.02</v>
      </c>
      <c r="E993" s="60">
        <v>0</v>
      </c>
      <c r="F993" s="60">
        <v>0</v>
      </c>
      <c r="G993" s="60">
        <v>0</v>
      </c>
      <c r="H993" s="60">
        <v>0</v>
      </c>
      <c r="I993" s="60">
        <v>0</v>
      </c>
      <c r="J993" s="60">
        <v>0</v>
      </c>
      <c r="K993" s="168">
        <v>0</v>
      </c>
      <c r="L993" s="60">
        <v>0</v>
      </c>
      <c r="M993" s="60">
        <v>0</v>
      </c>
      <c r="N993" s="163">
        <v>0</v>
      </c>
      <c r="O993" s="60">
        <v>0</v>
      </c>
      <c r="P993" s="60">
        <v>0</v>
      </c>
      <c r="Q993" s="60">
        <v>0</v>
      </c>
      <c r="R993" s="60">
        <v>0</v>
      </c>
      <c r="S993" s="60">
        <v>0</v>
      </c>
      <c r="T993" s="60">
        <v>0</v>
      </c>
      <c r="U993" s="60">
        <v>0</v>
      </c>
      <c r="V993" s="60">
        <v>0</v>
      </c>
      <c r="W993" s="60">
        <v>0</v>
      </c>
      <c r="X993" s="60">
        <v>0</v>
      </c>
      <c r="Y993" s="60">
        <v>0</v>
      </c>
      <c r="Z993" s="60">
        <v>0</v>
      </c>
      <c r="AA993" s="60">
        <v>0</v>
      </c>
      <c r="AB993" s="60">
        <v>0</v>
      </c>
      <c r="AC993" s="60">
        <v>0</v>
      </c>
      <c r="AD993" s="60">
        <v>105656.02</v>
      </c>
      <c r="AE993" s="60">
        <v>0</v>
      </c>
      <c r="AF993" s="170">
        <v>2021</v>
      </c>
      <c r="AG993" s="170" t="s">
        <v>257</v>
      </c>
      <c r="AH993" s="170" t="s">
        <v>257</v>
      </c>
    </row>
    <row r="994" spans="1:34" ht="61.5" x14ac:dyDescent="0.85">
      <c r="A994" s="7">
        <v>1</v>
      </c>
      <c r="B994" s="59">
        <f>SUBTOTAL(103,$A$558:A994)</f>
        <v>384</v>
      </c>
      <c r="C994" s="160" t="s">
        <v>1185</v>
      </c>
      <c r="D994" s="60">
        <f>E994+F994+G994+H994+I994+J994+L994+N994+P994+R994+T994+U994+V994+W994+X994+Y994+Z994+AA994+AB994+AC994+AD994+AE994</f>
        <v>1851512.54</v>
      </c>
      <c r="E994" s="60">
        <v>0</v>
      </c>
      <c r="F994" s="60">
        <v>0</v>
      </c>
      <c r="G994" s="60">
        <v>0</v>
      </c>
      <c r="H994" s="60">
        <v>0</v>
      </c>
      <c r="I994" s="60">
        <v>0</v>
      </c>
      <c r="J994" s="60">
        <v>0</v>
      </c>
      <c r="K994" s="168">
        <v>0</v>
      </c>
      <c r="L994" s="60">
        <v>0</v>
      </c>
      <c r="M994" s="60">
        <v>0</v>
      </c>
      <c r="N994" s="60">
        <v>0</v>
      </c>
      <c r="O994" s="60">
        <v>0</v>
      </c>
      <c r="P994" s="60">
        <v>0</v>
      </c>
      <c r="Q994" s="62">
        <v>441</v>
      </c>
      <c r="R994" s="62">
        <v>1722150.93</v>
      </c>
      <c r="S994" s="60">
        <v>0</v>
      </c>
      <c r="T994" s="60">
        <v>0</v>
      </c>
      <c r="U994" s="60">
        <v>0</v>
      </c>
      <c r="V994" s="60">
        <v>0</v>
      </c>
      <c r="W994" s="60">
        <v>0</v>
      </c>
      <c r="X994" s="60">
        <v>0</v>
      </c>
      <c r="Y994" s="60">
        <v>0</v>
      </c>
      <c r="Z994" s="60">
        <v>0</v>
      </c>
      <c r="AA994" s="60">
        <v>0</v>
      </c>
      <c r="AB994" s="60">
        <v>0</v>
      </c>
      <c r="AC994" s="62">
        <v>9361.61</v>
      </c>
      <c r="AD994" s="60">
        <v>0</v>
      </c>
      <c r="AE994" s="60">
        <v>120000</v>
      </c>
      <c r="AF994" s="170" t="s">
        <v>257</v>
      </c>
      <c r="AG994" s="170">
        <v>2021</v>
      </c>
      <c r="AH994" s="63">
        <v>2021</v>
      </c>
    </row>
    <row r="995" spans="1:34" ht="61.5" x14ac:dyDescent="0.85">
      <c r="B995" s="160" t="s">
        <v>800</v>
      </c>
      <c r="C995" s="160"/>
      <c r="D995" s="177">
        <f t="shared" ref="D995:AE995" si="159">D996</f>
        <v>3784795.35</v>
      </c>
      <c r="E995" s="60">
        <f t="shared" si="159"/>
        <v>0</v>
      </c>
      <c r="F995" s="60">
        <f t="shared" si="159"/>
        <v>0</v>
      </c>
      <c r="G995" s="60">
        <f t="shared" si="159"/>
        <v>0</v>
      </c>
      <c r="H995" s="60">
        <f t="shared" si="159"/>
        <v>0</v>
      </c>
      <c r="I995" s="60">
        <f t="shared" si="159"/>
        <v>0</v>
      </c>
      <c r="J995" s="60">
        <f t="shared" si="159"/>
        <v>0</v>
      </c>
      <c r="K995" s="168">
        <f t="shared" si="159"/>
        <v>0</v>
      </c>
      <c r="L995" s="60">
        <f t="shared" si="159"/>
        <v>0</v>
      </c>
      <c r="M995" s="60">
        <f t="shared" si="159"/>
        <v>617.20000000000005</v>
      </c>
      <c r="N995" s="60">
        <f t="shared" si="159"/>
        <v>3746024</v>
      </c>
      <c r="O995" s="60">
        <f t="shared" si="159"/>
        <v>0</v>
      </c>
      <c r="P995" s="60">
        <f t="shared" si="159"/>
        <v>0</v>
      </c>
      <c r="Q995" s="60">
        <f t="shared" si="159"/>
        <v>0</v>
      </c>
      <c r="R995" s="60">
        <f t="shared" si="159"/>
        <v>0</v>
      </c>
      <c r="S995" s="60">
        <f t="shared" si="159"/>
        <v>0</v>
      </c>
      <c r="T995" s="60">
        <f t="shared" si="159"/>
        <v>0</v>
      </c>
      <c r="U995" s="60">
        <f t="shared" si="159"/>
        <v>0</v>
      </c>
      <c r="V995" s="60">
        <f t="shared" si="159"/>
        <v>0</v>
      </c>
      <c r="W995" s="60">
        <f t="shared" si="159"/>
        <v>0</v>
      </c>
      <c r="X995" s="60">
        <f t="shared" si="159"/>
        <v>0</v>
      </c>
      <c r="Y995" s="60">
        <f t="shared" si="159"/>
        <v>0</v>
      </c>
      <c r="Z995" s="60">
        <f t="shared" si="159"/>
        <v>0</v>
      </c>
      <c r="AA995" s="60">
        <f t="shared" si="159"/>
        <v>0</v>
      </c>
      <c r="AB995" s="60">
        <f t="shared" si="159"/>
        <v>0</v>
      </c>
      <c r="AC995" s="60">
        <f t="shared" si="159"/>
        <v>38771.35</v>
      </c>
      <c r="AD995" s="60">
        <f t="shared" si="159"/>
        <v>0</v>
      </c>
      <c r="AE995" s="60">
        <f t="shared" si="159"/>
        <v>0</v>
      </c>
      <c r="AF995" s="54" t="s">
        <v>701</v>
      </c>
      <c r="AG995" s="54" t="s">
        <v>701</v>
      </c>
      <c r="AH995" s="55" t="s">
        <v>701</v>
      </c>
    </row>
    <row r="996" spans="1:34" ht="61.5" x14ac:dyDescent="0.85">
      <c r="A996" s="7">
        <v>1</v>
      </c>
      <c r="B996" s="59">
        <f>SUBTOTAL(103,$A$558:A996)</f>
        <v>385</v>
      </c>
      <c r="C996" s="160" t="s">
        <v>95</v>
      </c>
      <c r="D996" s="60">
        <f>E996+F996+G996+H996+I996+J996+L996+N996+P996+R996+T996+U996+V996+W996+X996+Y996+Z996+AA996+AB996+AC996+AD996+AE996</f>
        <v>3784795.35</v>
      </c>
      <c r="E996" s="60">
        <v>0</v>
      </c>
      <c r="F996" s="60">
        <v>0</v>
      </c>
      <c r="G996" s="60">
        <v>0</v>
      </c>
      <c r="H996" s="60">
        <v>0</v>
      </c>
      <c r="I996" s="60">
        <v>0</v>
      </c>
      <c r="J996" s="60">
        <v>0</v>
      </c>
      <c r="K996" s="168">
        <v>0</v>
      </c>
      <c r="L996" s="60">
        <v>0</v>
      </c>
      <c r="M996" s="60">
        <v>617.20000000000005</v>
      </c>
      <c r="N996" s="60">
        <v>3746024</v>
      </c>
      <c r="O996" s="60">
        <v>0</v>
      </c>
      <c r="P996" s="60">
        <v>0</v>
      </c>
      <c r="Q996" s="60">
        <v>0</v>
      </c>
      <c r="R996" s="60">
        <v>0</v>
      </c>
      <c r="S996" s="60">
        <v>0</v>
      </c>
      <c r="T996" s="60">
        <v>0</v>
      </c>
      <c r="U996" s="60">
        <v>0</v>
      </c>
      <c r="V996" s="60">
        <v>0</v>
      </c>
      <c r="W996" s="60">
        <v>0</v>
      </c>
      <c r="X996" s="60">
        <v>0</v>
      </c>
      <c r="Y996" s="60">
        <v>0</v>
      </c>
      <c r="Z996" s="60">
        <v>0</v>
      </c>
      <c r="AA996" s="60">
        <v>0</v>
      </c>
      <c r="AB996" s="60">
        <v>0</v>
      </c>
      <c r="AC996" s="62">
        <v>38771.35</v>
      </c>
      <c r="AD996" s="60">
        <v>0</v>
      </c>
      <c r="AE996" s="60">
        <v>0</v>
      </c>
      <c r="AF996" s="170" t="s">
        <v>257</v>
      </c>
      <c r="AG996" s="170">
        <v>2021</v>
      </c>
      <c r="AH996" s="63">
        <v>2021</v>
      </c>
    </row>
    <row r="997" spans="1:34" ht="61.5" x14ac:dyDescent="0.85">
      <c r="B997" s="160" t="s">
        <v>824</v>
      </c>
      <c r="C997" s="160"/>
      <c r="D997" s="177">
        <f t="shared" ref="D997:AE997" si="160">D998</f>
        <v>3354785.3899999997</v>
      </c>
      <c r="E997" s="60">
        <f t="shared" si="160"/>
        <v>0</v>
      </c>
      <c r="F997" s="60">
        <f t="shared" si="160"/>
        <v>0</v>
      </c>
      <c r="G997" s="60">
        <f t="shared" si="160"/>
        <v>0</v>
      </c>
      <c r="H997" s="60">
        <f t="shared" si="160"/>
        <v>0</v>
      </c>
      <c r="I997" s="60">
        <f t="shared" si="160"/>
        <v>0</v>
      </c>
      <c r="J997" s="60">
        <f t="shared" si="160"/>
        <v>0</v>
      </c>
      <c r="K997" s="168">
        <f t="shared" si="160"/>
        <v>0</v>
      </c>
      <c r="L997" s="60">
        <f t="shared" si="160"/>
        <v>0</v>
      </c>
      <c r="M997" s="60">
        <f t="shared" si="160"/>
        <v>662.2</v>
      </c>
      <c r="N997" s="60">
        <f t="shared" si="160"/>
        <v>3320419.05</v>
      </c>
      <c r="O997" s="60">
        <f t="shared" si="160"/>
        <v>0</v>
      </c>
      <c r="P997" s="60">
        <f t="shared" si="160"/>
        <v>0</v>
      </c>
      <c r="Q997" s="60">
        <f t="shared" si="160"/>
        <v>0</v>
      </c>
      <c r="R997" s="60">
        <f t="shared" si="160"/>
        <v>0</v>
      </c>
      <c r="S997" s="60">
        <f t="shared" si="160"/>
        <v>0</v>
      </c>
      <c r="T997" s="60">
        <f t="shared" si="160"/>
        <v>0</v>
      </c>
      <c r="U997" s="60">
        <f t="shared" si="160"/>
        <v>0</v>
      </c>
      <c r="V997" s="60">
        <f t="shared" si="160"/>
        <v>0</v>
      </c>
      <c r="W997" s="60">
        <f t="shared" si="160"/>
        <v>0</v>
      </c>
      <c r="X997" s="60">
        <f t="shared" si="160"/>
        <v>0</v>
      </c>
      <c r="Y997" s="60">
        <f t="shared" si="160"/>
        <v>0</v>
      </c>
      <c r="Z997" s="60">
        <f t="shared" si="160"/>
        <v>0</v>
      </c>
      <c r="AA997" s="60">
        <f t="shared" si="160"/>
        <v>0</v>
      </c>
      <c r="AB997" s="60">
        <f t="shared" si="160"/>
        <v>0</v>
      </c>
      <c r="AC997" s="60">
        <f t="shared" si="160"/>
        <v>34366.339999999997</v>
      </c>
      <c r="AD997" s="60">
        <f t="shared" si="160"/>
        <v>0</v>
      </c>
      <c r="AE997" s="60">
        <f t="shared" si="160"/>
        <v>0</v>
      </c>
      <c r="AF997" s="54" t="s">
        <v>701</v>
      </c>
      <c r="AG997" s="54" t="s">
        <v>701</v>
      </c>
      <c r="AH997" s="55" t="s">
        <v>701</v>
      </c>
    </row>
    <row r="998" spans="1:34" ht="61.5" x14ac:dyDescent="0.85">
      <c r="A998" s="7">
        <v>1</v>
      </c>
      <c r="B998" s="59">
        <f>SUBTOTAL(103,$A$558:A998)</f>
        <v>386</v>
      </c>
      <c r="C998" s="160" t="s">
        <v>96</v>
      </c>
      <c r="D998" s="60">
        <f>E998+F998+G998+H998+I998+J998+L998+N998+P998+R998+T998+U998+V998+W998+X998+Y998+Z998+AA998+AB998+AC998+AD998+AE998</f>
        <v>3354785.3899999997</v>
      </c>
      <c r="E998" s="60">
        <v>0</v>
      </c>
      <c r="F998" s="60">
        <v>0</v>
      </c>
      <c r="G998" s="60">
        <v>0</v>
      </c>
      <c r="H998" s="60">
        <v>0</v>
      </c>
      <c r="I998" s="60">
        <v>0</v>
      </c>
      <c r="J998" s="60">
        <v>0</v>
      </c>
      <c r="K998" s="168">
        <v>0</v>
      </c>
      <c r="L998" s="60">
        <v>0</v>
      </c>
      <c r="M998" s="60">
        <v>662.2</v>
      </c>
      <c r="N998" s="62">
        <v>3320419.05</v>
      </c>
      <c r="O998" s="60">
        <v>0</v>
      </c>
      <c r="P998" s="60">
        <v>0</v>
      </c>
      <c r="Q998" s="60">
        <v>0</v>
      </c>
      <c r="R998" s="60">
        <v>0</v>
      </c>
      <c r="S998" s="60">
        <v>0</v>
      </c>
      <c r="T998" s="60">
        <v>0</v>
      </c>
      <c r="U998" s="60">
        <v>0</v>
      </c>
      <c r="V998" s="60">
        <v>0</v>
      </c>
      <c r="W998" s="60">
        <v>0</v>
      </c>
      <c r="X998" s="60">
        <v>0</v>
      </c>
      <c r="Y998" s="60">
        <v>0</v>
      </c>
      <c r="Z998" s="60">
        <v>0</v>
      </c>
      <c r="AA998" s="60">
        <v>0</v>
      </c>
      <c r="AB998" s="60">
        <v>0</v>
      </c>
      <c r="AC998" s="62">
        <v>34366.339999999997</v>
      </c>
      <c r="AD998" s="60">
        <v>0</v>
      </c>
      <c r="AE998" s="60">
        <v>0</v>
      </c>
      <c r="AF998" s="170" t="s">
        <v>257</v>
      </c>
      <c r="AG998" s="170">
        <v>2021</v>
      </c>
      <c r="AH998" s="63">
        <v>2021</v>
      </c>
    </row>
    <row r="999" spans="1:34" ht="61.5" x14ac:dyDescent="0.85">
      <c r="B999" s="160" t="s">
        <v>801</v>
      </c>
      <c r="C999" s="160"/>
      <c r="D999" s="177">
        <f t="shared" ref="D999:AE999" si="161">D1000</f>
        <v>163805.13999999998</v>
      </c>
      <c r="E999" s="60">
        <f t="shared" si="161"/>
        <v>0</v>
      </c>
      <c r="F999" s="60">
        <f t="shared" si="161"/>
        <v>0</v>
      </c>
      <c r="G999" s="60">
        <f t="shared" si="161"/>
        <v>0</v>
      </c>
      <c r="H999" s="60">
        <f t="shared" si="161"/>
        <v>162755.37</v>
      </c>
      <c r="I999" s="60">
        <f t="shared" si="161"/>
        <v>0</v>
      </c>
      <c r="J999" s="60">
        <f t="shared" si="161"/>
        <v>0</v>
      </c>
      <c r="K999" s="168">
        <f t="shared" si="161"/>
        <v>0</v>
      </c>
      <c r="L999" s="60">
        <f t="shared" si="161"/>
        <v>0</v>
      </c>
      <c r="M999" s="60">
        <f t="shared" si="161"/>
        <v>0</v>
      </c>
      <c r="N999" s="60">
        <f t="shared" si="161"/>
        <v>0</v>
      </c>
      <c r="O999" s="60">
        <f t="shared" si="161"/>
        <v>0</v>
      </c>
      <c r="P999" s="60">
        <f t="shared" si="161"/>
        <v>0</v>
      </c>
      <c r="Q999" s="60">
        <f t="shared" si="161"/>
        <v>0</v>
      </c>
      <c r="R999" s="60">
        <f t="shared" si="161"/>
        <v>0</v>
      </c>
      <c r="S999" s="60">
        <f t="shared" si="161"/>
        <v>0</v>
      </c>
      <c r="T999" s="60">
        <f t="shared" si="161"/>
        <v>0</v>
      </c>
      <c r="U999" s="60">
        <f t="shared" si="161"/>
        <v>0</v>
      </c>
      <c r="V999" s="60">
        <f t="shared" si="161"/>
        <v>0</v>
      </c>
      <c r="W999" s="60">
        <f t="shared" si="161"/>
        <v>0</v>
      </c>
      <c r="X999" s="60">
        <f t="shared" si="161"/>
        <v>0</v>
      </c>
      <c r="Y999" s="60">
        <f t="shared" si="161"/>
        <v>0</v>
      </c>
      <c r="Z999" s="60">
        <f t="shared" si="161"/>
        <v>0</v>
      </c>
      <c r="AA999" s="60">
        <f t="shared" si="161"/>
        <v>0</v>
      </c>
      <c r="AB999" s="60">
        <f t="shared" si="161"/>
        <v>0</v>
      </c>
      <c r="AC999" s="60">
        <f t="shared" si="161"/>
        <v>1049.77</v>
      </c>
      <c r="AD999" s="60">
        <f t="shared" si="161"/>
        <v>0</v>
      </c>
      <c r="AE999" s="60">
        <f t="shared" si="161"/>
        <v>0</v>
      </c>
      <c r="AF999" s="54" t="s">
        <v>701</v>
      </c>
      <c r="AG999" s="54" t="s">
        <v>701</v>
      </c>
      <c r="AH999" s="55" t="s">
        <v>701</v>
      </c>
    </row>
    <row r="1000" spans="1:34" ht="61.5" x14ac:dyDescent="0.85">
      <c r="A1000" s="7">
        <v>1</v>
      </c>
      <c r="B1000" s="59">
        <f>SUBTOTAL(103,$A$558:A1000)</f>
        <v>387</v>
      </c>
      <c r="C1000" s="160" t="s">
        <v>1511</v>
      </c>
      <c r="D1000" s="60">
        <f>E1000+F1000+G1000+H1000+I1000+J1000+L1000+N1000+P1000+R1000+T1000+U1000+V1000+W1000+X1000+Y1000+Z1000+AA1000+AB1000+AC1000+AD1000+AE1000</f>
        <v>163805.13999999998</v>
      </c>
      <c r="E1000" s="60">
        <v>0</v>
      </c>
      <c r="F1000" s="60">
        <v>0</v>
      </c>
      <c r="G1000" s="60">
        <v>0</v>
      </c>
      <c r="H1000" s="62">
        <v>162755.37</v>
      </c>
      <c r="I1000" s="60">
        <v>0</v>
      </c>
      <c r="J1000" s="60">
        <v>0</v>
      </c>
      <c r="K1000" s="168">
        <v>0</v>
      </c>
      <c r="L1000" s="60">
        <v>0</v>
      </c>
      <c r="M1000" s="60">
        <v>0</v>
      </c>
      <c r="N1000" s="60">
        <v>0</v>
      </c>
      <c r="O1000" s="60">
        <v>0</v>
      </c>
      <c r="P1000" s="60">
        <v>0</v>
      </c>
      <c r="Q1000" s="60">
        <v>0</v>
      </c>
      <c r="R1000" s="60">
        <v>0</v>
      </c>
      <c r="S1000" s="60">
        <v>0</v>
      </c>
      <c r="T1000" s="60">
        <v>0</v>
      </c>
      <c r="U1000" s="60">
        <v>0</v>
      </c>
      <c r="V1000" s="60">
        <v>0</v>
      </c>
      <c r="W1000" s="60">
        <v>0</v>
      </c>
      <c r="X1000" s="60">
        <v>0</v>
      </c>
      <c r="Y1000" s="60">
        <v>0</v>
      </c>
      <c r="Z1000" s="60">
        <v>0</v>
      </c>
      <c r="AA1000" s="60">
        <v>0</v>
      </c>
      <c r="AB1000" s="60">
        <v>0</v>
      </c>
      <c r="AC1000" s="62">
        <v>1049.77</v>
      </c>
      <c r="AD1000" s="60">
        <v>0</v>
      </c>
      <c r="AE1000" s="60">
        <v>0</v>
      </c>
      <c r="AF1000" s="170" t="s">
        <v>257</v>
      </c>
      <c r="AG1000" s="170">
        <v>2021</v>
      </c>
      <c r="AH1000" s="63">
        <v>2021</v>
      </c>
    </row>
    <row r="1001" spans="1:34" ht="61.5" x14ac:dyDescent="0.85">
      <c r="B1001" s="160" t="s">
        <v>802</v>
      </c>
      <c r="C1001" s="160"/>
      <c r="D1001" s="177">
        <f t="shared" ref="D1001:AE1001" si="162">D1002</f>
        <v>2903691.31</v>
      </c>
      <c r="E1001" s="60">
        <f t="shared" si="162"/>
        <v>0</v>
      </c>
      <c r="F1001" s="60">
        <f t="shared" si="162"/>
        <v>0</v>
      </c>
      <c r="G1001" s="60">
        <f t="shared" si="162"/>
        <v>0</v>
      </c>
      <c r="H1001" s="60">
        <f t="shared" si="162"/>
        <v>0</v>
      </c>
      <c r="I1001" s="60">
        <f t="shared" si="162"/>
        <v>0</v>
      </c>
      <c r="J1001" s="60">
        <f t="shared" si="162"/>
        <v>0</v>
      </c>
      <c r="K1001" s="168">
        <f t="shared" si="162"/>
        <v>0</v>
      </c>
      <c r="L1001" s="60">
        <f t="shared" si="162"/>
        <v>0</v>
      </c>
      <c r="M1001" s="60">
        <f t="shared" si="162"/>
        <v>657</v>
      </c>
      <c r="N1001" s="60">
        <f t="shared" si="162"/>
        <v>2801221.52</v>
      </c>
      <c r="O1001" s="60">
        <f t="shared" si="162"/>
        <v>0</v>
      </c>
      <c r="P1001" s="60">
        <f t="shared" si="162"/>
        <v>0</v>
      </c>
      <c r="Q1001" s="60">
        <f t="shared" si="162"/>
        <v>0</v>
      </c>
      <c r="R1001" s="60">
        <f t="shared" si="162"/>
        <v>0</v>
      </c>
      <c r="S1001" s="60">
        <f t="shared" si="162"/>
        <v>0</v>
      </c>
      <c r="T1001" s="60">
        <f t="shared" si="162"/>
        <v>0</v>
      </c>
      <c r="U1001" s="60">
        <f t="shared" si="162"/>
        <v>0</v>
      </c>
      <c r="V1001" s="60">
        <f t="shared" si="162"/>
        <v>0</v>
      </c>
      <c r="W1001" s="60">
        <f t="shared" si="162"/>
        <v>0</v>
      </c>
      <c r="X1001" s="60">
        <f t="shared" si="162"/>
        <v>0</v>
      </c>
      <c r="Y1001" s="60">
        <f t="shared" si="162"/>
        <v>0</v>
      </c>
      <c r="Z1001" s="60">
        <f t="shared" si="162"/>
        <v>0</v>
      </c>
      <c r="AA1001" s="60">
        <f t="shared" si="162"/>
        <v>0</v>
      </c>
      <c r="AB1001" s="60">
        <f t="shared" si="162"/>
        <v>0</v>
      </c>
      <c r="AC1001" s="60">
        <f t="shared" si="162"/>
        <v>28992.639999999999</v>
      </c>
      <c r="AD1001" s="60">
        <f t="shared" si="162"/>
        <v>73477.149999999994</v>
      </c>
      <c r="AE1001" s="60">
        <f t="shared" si="162"/>
        <v>0</v>
      </c>
      <c r="AF1001" s="54" t="s">
        <v>701</v>
      </c>
      <c r="AG1001" s="54" t="s">
        <v>701</v>
      </c>
      <c r="AH1001" s="55" t="s">
        <v>701</v>
      </c>
    </row>
    <row r="1002" spans="1:34" ht="61.5" x14ac:dyDescent="0.85">
      <c r="A1002" s="7">
        <v>1</v>
      </c>
      <c r="B1002" s="59">
        <f>SUBTOTAL(103,$A$558:A1002)</f>
        <v>388</v>
      </c>
      <c r="C1002" s="160" t="s">
        <v>97</v>
      </c>
      <c r="D1002" s="60">
        <f>E1002+F1002+G1002+H1002+I1002+J1002+L1002+N1002+P1002+R1002+T1002+U1002+V1002+W1002+X1002+Y1002+Z1002+AA1002+AB1002+AC1002+AD1002+AE1002</f>
        <v>2903691.31</v>
      </c>
      <c r="E1002" s="60">
        <v>0</v>
      </c>
      <c r="F1002" s="60">
        <v>0</v>
      </c>
      <c r="G1002" s="60">
        <v>0</v>
      </c>
      <c r="H1002" s="60">
        <v>0</v>
      </c>
      <c r="I1002" s="60">
        <v>0</v>
      </c>
      <c r="J1002" s="60">
        <v>0</v>
      </c>
      <c r="K1002" s="168">
        <v>0</v>
      </c>
      <c r="L1002" s="60">
        <v>0</v>
      </c>
      <c r="M1002" s="60">
        <v>657</v>
      </c>
      <c r="N1002" s="60">
        <v>2801221.52</v>
      </c>
      <c r="O1002" s="60">
        <v>0</v>
      </c>
      <c r="P1002" s="60">
        <v>0</v>
      </c>
      <c r="Q1002" s="60">
        <v>0</v>
      </c>
      <c r="R1002" s="60">
        <v>0</v>
      </c>
      <c r="S1002" s="60">
        <v>0</v>
      </c>
      <c r="T1002" s="60">
        <v>0</v>
      </c>
      <c r="U1002" s="60">
        <v>0</v>
      </c>
      <c r="V1002" s="60">
        <v>0</v>
      </c>
      <c r="W1002" s="60">
        <v>0</v>
      </c>
      <c r="X1002" s="60">
        <v>0</v>
      </c>
      <c r="Y1002" s="60">
        <v>0</v>
      </c>
      <c r="Z1002" s="60">
        <v>0</v>
      </c>
      <c r="AA1002" s="60">
        <v>0</v>
      </c>
      <c r="AB1002" s="60">
        <v>0</v>
      </c>
      <c r="AC1002" s="62">
        <v>28992.639999999999</v>
      </c>
      <c r="AD1002" s="62">
        <v>73477.149999999994</v>
      </c>
      <c r="AE1002" s="60">
        <v>0</v>
      </c>
      <c r="AF1002" s="170">
        <v>2021</v>
      </c>
      <c r="AG1002" s="170">
        <v>2021</v>
      </c>
      <c r="AH1002" s="63">
        <v>2021</v>
      </c>
    </row>
    <row r="1003" spans="1:34" ht="61.5" x14ac:dyDescent="0.85">
      <c r="B1003" s="160" t="s">
        <v>803</v>
      </c>
      <c r="C1003" s="176"/>
      <c r="D1003" s="177">
        <f t="shared" ref="D1003:AE1003" si="163">SUM(D1004:D1008)</f>
        <v>5215743.3599999994</v>
      </c>
      <c r="E1003" s="60">
        <f t="shared" si="163"/>
        <v>0</v>
      </c>
      <c r="F1003" s="60">
        <f t="shared" si="163"/>
        <v>0</v>
      </c>
      <c r="G1003" s="60">
        <f t="shared" si="163"/>
        <v>0</v>
      </c>
      <c r="H1003" s="60">
        <f t="shared" si="163"/>
        <v>0</v>
      </c>
      <c r="I1003" s="60">
        <f t="shared" si="163"/>
        <v>632620</v>
      </c>
      <c r="J1003" s="60">
        <f t="shared" si="163"/>
        <v>0</v>
      </c>
      <c r="K1003" s="168">
        <f t="shared" si="163"/>
        <v>0</v>
      </c>
      <c r="L1003" s="60">
        <f t="shared" si="163"/>
        <v>0</v>
      </c>
      <c r="M1003" s="60">
        <f t="shared" si="163"/>
        <v>586.55999999999995</v>
      </c>
      <c r="N1003" s="60">
        <f t="shared" si="163"/>
        <v>2337142.35</v>
      </c>
      <c r="O1003" s="60">
        <f t="shared" si="163"/>
        <v>0</v>
      </c>
      <c r="P1003" s="60">
        <f t="shared" si="163"/>
        <v>0</v>
      </c>
      <c r="Q1003" s="60">
        <f t="shared" si="163"/>
        <v>623.35</v>
      </c>
      <c r="R1003" s="60">
        <f t="shared" si="163"/>
        <v>1933497.22</v>
      </c>
      <c r="S1003" s="60">
        <f t="shared" si="163"/>
        <v>0</v>
      </c>
      <c r="T1003" s="60">
        <f t="shared" si="163"/>
        <v>0</v>
      </c>
      <c r="U1003" s="60">
        <f t="shared" si="163"/>
        <v>0</v>
      </c>
      <c r="V1003" s="60">
        <f t="shared" si="163"/>
        <v>0</v>
      </c>
      <c r="W1003" s="60">
        <f t="shared" si="163"/>
        <v>0</v>
      </c>
      <c r="X1003" s="60">
        <f t="shared" si="163"/>
        <v>0</v>
      </c>
      <c r="Y1003" s="60">
        <f t="shared" si="163"/>
        <v>0</v>
      </c>
      <c r="Z1003" s="60">
        <f t="shared" si="163"/>
        <v>0</v>
      </c>
      <c r="AA1003" s="60">
        <f t="shared" si="163"/>
        <v>0</v>
      </c>
      <c r="AB1003" s="60">
        <f t="shared" si="163"/>
        <v>0</v>
      </c>
      <c r="AC1003" s="60">
        <f t="shared" si="163"/>
        <v>62315.08</v>
      </c>
      <c r="AD1003" s="60">
        <f t="shared" si="163"/>
        <v>250168.71</v>
      </c>
      <c r="AE1003" s="60">
        <f t="shared" si="163"/>
        <v>0</v>
      </c>
      <c r="AF1003" s="54" t="s">
        <v>701</v>
      </c>
      <c r="AG1003" s="54" t="s">
        <v>701</v>
      </c>
      <c r="AH1003" s="55" t="s">
        <v>701</v>
      </c>
    </row>
    <row r="1004" spans="1:34" ht="61.5" x14ac:dyDescent="0.85">
      <c r="A1004" s="7">
        <v>1</v>
      </c>
      <c r="B1004" s="59">
        <f>SUBTOTAL(103,$A$558:A1004)</f>
        <v>389</v>
      </c>
      <c r="C1004" s="160" t="s">
        <v>180</v>
      </c>
      <c r="D1004" s="60">
        <f>E1004+F1004+G1004+H1004+I1004+J1004+L1004+N1004+P1004+R1004+T1004+U1004+V1004+W1004+X1004+Y1004+Z1004+AA1004+AB1004+AC1004+AD1004+AE1004</f>
        <v>2426773.7500000005</v>
      </c>
      <c r="E1004" s="60">
        <v>0</v>
      </c>
      <c r="F1004" s="60">
        <v>0</v>
      </c>
      <c r="G1004" s="60">
        <v>0</v>
      </c>
      <c r="H1004" s="60">
        <v>0</v>
      </c>
      <c r="I1004" s="60">
        <v>0</v>
      </c>
      <c r="J1004" s="60">
        <v>0</v>
      </c>
      <c r="K1004" s="168">
        <v>0</v>
      </c>
      <c r="L1004" s="60">
        <v>0</v>
      </c>
      <c r="M1004" s="60">
        <v>586.55999999999995</v>
      </c>
      <c r="N1004" s="62">
        <v>2337142.35</v>
      </c>
      <c r="O1004" s="60">
        <v>0</v>
      </c>
      <c r="P1004" s="60">
        <v>0</v>
      </c>
      <c r="Q1004" s="60">
        <v>0</v>
      </c>
      <c r="R1004" s="60">
        <v>0</v>
      </c>
      <c r="S1004" s="60">
        <v>0</v>
      </c>
      <c r="T1004" s="60">
        <v>0</v>
      </c>
      <c r="U1004" s="60">
        <v>0</v>
      </c>
      <c r="V1004" s="60">
        <v>0</v>
      </c>
      <c r="W1004" s="60">
        <v>0</v>
      </c>
      <c r="X1004" s="60">
        <v>0</v>
      </c>
      <c r="Y1004" s="60">
        <v>0</v>
      </c>
      <c r="Z1004" s="60">
        <v>0</v>
      </c>
      <c r="AA1004" s="60">
        <v>0</v>
      </c>
      <c r="AB1004" s="60">
        <v>0</v>
      </c>
      <c r="AC1004" s="62">
        <v>30674.99</v>
      </c>
      <c r="AD1004" s="62">
        <v>58956.41</v>
      </c>
      <c r="AE1004" s="60">
        <v>0</v>
      </c>
      <c r="AF1004" s="170">
        <v>2021</v>
      </c>
      <c r="AG1004" s="170">
        <v>2021</v>
      </c>
      <c r="AH1004" s="63">
        <v>2021</v>
      </c>
    </row>
    <row r="1005" spans="1:34" ht="61.5" x14ac:dyDescent="0.85">
      <c r="A1005" s="7">
        <v>1</v>
      </c>
      <c r="B1005" s="59">
        <f>SUBTOTAL(103,$A$558:A1005)</f>
        <v>390</v>
      </c>
      <c r="C1005" s="160" t="s">
        <v>182</v>
      </c>
      <c r="D1005" s="60">
        <f>E1005+F1005+G1005+H1005+I1005+J1005+L1005+N1005+P1005+R1005+T1005+U1005+V1005+W1005+X1005+Y1005+Z1005+AA1005+AB1005+AC1005+AD1005+AE1005</f>
        <v>2025661.5499999998</v>
      </c>
      <c r="E1005" s="60">
        <v>0</v>
      </c>
      <c r="F1005" s="60">
        <v>0</v>
      </c>
      <c r="G1005" s="60">
        <v>0</v>
      </c>
      <c r="H1005" s="60">
        <v>0</v>
      </c>
      <c r="I1005" s="60">
        <v>0</v>
      </c>
      <c r="J1005" s="60">
        <v>0</v>
      </c>
      <c r="K1005" s="168">
        <v>0</v>
      </c>
      <c r="L1005" s="60">
        <v>0</v>
      </c>
      <c r="M1005" s="60">
        <v>0</v>
      </c>
      <c r="N1005" s="60">
        <v>0</v>
      </c>
      <c r="O1005" s="60">
        <v>0</v>
      </c>
      <c r="P1005" s="60">
        <v>0</v>
      </c>
      <c r="Q1005" s="60">
        <v>623.35</v>
      </c>
      <c r="R1005" s="62">
        <v>1933497.22</v>
      </c>
      <c r="S1005" s="60">
        <v>0</v>
      </c>
      <c r="T1005" s="60">
        <v>0</v>
      </c>
      <c r="U1005" s="60">
        <v>0</v>
      </c>
      <c r="V1005" s="60">
        <v>0</v>
      </c>
      <c r="W1005" s="60">
        <v>0</v>
      </c>
      <c r="X1005" s="60">
        <v>0</v>
      </c>
      <c r="Y1005" s="60">
        <v>0</v>
      </c>
      <c r="Z1005" s="60">
        <v>0</v>
      </c>
      <c r="AA1005" s="60">
        <v>0</v>
      </c>
      <c r="AB1005" s="60">
        <v>0</v>
      </c>
      <c r="AC1005" s="62">
        <v>25377.15</v>
      </c>
      <c r="AD1005" s="62">
        <v>66787.179999999993</v>
      </c>
      <c r="AE1005" s="60">
        <v>0</v>
      </c>
      <c r="AF1005" s="170">
        <v>2021</v>
      </c>
      <c r="AG1005" s="170">
        <v>2021</v>
      </c>
      <c r="AH1005" s="63">
        <v>2021</v>
      </c>
    </row>
    <row r="1006" spans="1:34" ht="61.5" x14ac:dyDescent="0.85">
      <c r="A1006" s="7">
        <v>1</v>
      </c>
      <c r="B1006" s="59">
        <f>SUBTOTAL(103,$A$558:A1006)</f>
        <v>391</v>
      </c>
      <c r="C1006" s="160" t="s">
        <v>1192</v>
      </c>
      <c r="D1006" s="60">
        <f>E1006+F1006+G1006+H1006+I1006+J1006+L1006+N1006+P1006+R1006+T1006+U1006+V1006+W1006+X1006+Y1006+Z1006+AA1006+AB1006+AC1006+AD1006+AE1006</f>
        <v>638882.93999999994</v>
      </c>
      <c r="E1006" s="60">
        <v>0</v>
      </c>
      <c r="F1006" s="60">
        <v>0</v>
      </c>
      <c r="G1006" s="60">
        <v>0</v>
      </c>
      <c r="H1006" s="60">
        <v>0</v>
      </c>
      <c r="I1006" s="172">
        <v>632620</v>
      </c>
      <c r="J1006" s="60">
        <v>0</v>
      </c>
      <c r="K1006" s="168">
        <v>0</v>
      </c>
      <c r="L1006" s="60">
        <v>0</v>
      </c>
      <c r="M1006" s="60">
        <v>0</v>
      </c>
      <c r="N1006" s="60">
        <v>0</v>
      </c>
      <c r="O1006" s="60">
        <v>0</v>
      </c>
      <c r="P1006" s="60">
        <v>0</v>
      </c>
      <c r="Q1006" s="60">
        <v>0</v>
      </c>
      <c r="R1006" s="60">
        <v>0</v>
      </c>
      <c r="S1006" s="60">
        <v>0</v>
      </c>
      <c r="T1006" s="60">
        <v>0</v>
      </c>
      <c r="U1006" s="60">
        <v>0</v>
      </c>
      <c r="V1006" s="60">
        <v>0</v>
      </c>
      <c r="W1006" s="60">
        <v>0</v>
      </c>
      <c r="X1006" s="60">
        <v>0</v>
      </c>
      <c r="Y1006" s="60">
        <v>0</v>
      </c>
      <c r="Z1006" s="60">
        <v>0</v>
      </c>
      <c r="AA1006" s="60">
        <v>0</v>
      </c>
      <c r="AB1006" s="60">
        <v>0</v>
      </c>
      <c r="AC1006" s="62">
        <v>6262.94</v>
      </c>
      <c r="AD1006" s="60">
        <v>0</v>
      </c>
      <c r="AE1006" s="60">
        <v>0</v>
      </c>
      <c r="AF1006" s="170" t="s">
        <v>257</v>
      </c>
      <c r="AG1006" s="170">
        <v>2021</v>
      </c>
      <c r="AH1006" s="63">
        <v>2021</v>
      </c>
    </row>
    <row r="1007" spans="1:34" ht="61.5" x14ac:dyDescent="0.85">
      <c r="A1007" s="7">
        <v>1</v>
      </c>
      <c r="B1007" s="59">
        <f>SUBTOTAL(103,$A$558:A1007)</f>
        <v>392</v>
      </c>
      <c r="C1007" s="186" t="s">
        <v>186</v>
      </c>
      <c r="D1007" s="60">
        <f>E1007+F1007+G1007+H1007+I1007+J1007+L1007+N1007+P1007+R1007+T1007+U1007+V1007+W1007+X1007+Y1007+Z1007+AA1007+AB1007+AC1007+AD1007+AE1007</f>
        <v>58730.77</v>
      </c>
      <c r="E1007" s="60">
        <v>0</v>
      </c>
      <c r="F1007" s="60">
        <v>0</v>
      </c>
      <c r="G1007" s="60">
        <v>0</v>
      </c>
      <c r="H1007" s="60">
        <v>0</v>
      </c>
      <c r="I1007" s="60">
        <v>0</v>
      </c>
      <c r="J1007" s="60">
        <v>0</v>
      </c>
      <c r="K1007" s="168">
        <v>0</v>
      </c>
      <c r="L1007" s="60">
        <v>0</v>
      </c>
      <c r="M1007" s="60">
        <v>0</v>
      </c>
      <c r="N1007" s="60">
        <v>0</v>
      </c>
      <c r="O1007" s="60">
        <v>0</v>
      </c>
      <c r="P1007" s="60">
        <v>0</v>
      </c>
      <c r="Q1007" s="60">
        <v>0</v>
      </c>
      <c r="R1007" s="60">
        <v>0</v>
      </c>
      <c r="S1007" s="60">
        <v>0</v>
      </c>
      <c r="T1007" s="60">
        <v>0</v>
      </c>
      <c r="U1007" s="60">
        <v>0</v>
      </c>
      <c r="V1007" s="60">
        <v>0</v>
      </c>
      <c r="W1007" s="60">
        <v>0</v>
      </c>
      <c r="X1007" s="60">
        <v>0</v>
      </c>
      <c r="Y1007" s="60">
        <v>0</v>
      </c>
      <c r="Z1007" s="60">
        <v>0</v>
      </c>
      <c r="AA1007" s="60">
        <v>0</v>
      </c>
      <c r="AB1007" s="60">
        <v>0</v>
      </c>
      <c r="AC1007" s="60">
        <v>0</v>
      </c>
      <c r="AD1007" s="60">
        <v>58730.77</v>
      </c>
      <c r="AE1007" s="60">
        <v>0</v>
      </c>
      <c r="AF1007" s="170">
        <v>2021</v>
      </c>
      <c r="AG1007" s="170" t="s">
        <v>257</v>
      </c>
      <c r="AH1007" s="170" t="s">
        <v>257</v>
      </c>
    </row>
    <row r="1008" spans="1:34" ht="61.5" x14ac:dyDescent="0.85">
      <c r="A1008" s="7">
        <v>1</v>
      </c>
      <c r="B1008" s="59">
        <f>SUBTOTAL(103,$A$558:A1008)</f>
        <v>393</v>
      </c>
      <c r="C1008" s="186" t="s">
        <v>187</v>
      </c>
      <c r="D1008" s="60">
        <f>E1008+F1008+G1008+H1008+I1008+J1008+L1008+N1008+P1008+R1008+T1008+U1008+V1008+W1008+X1008+Y1008+Z1008+AA1008+AB1008+AC1008+AD1008+AE1008</f>
        <v>65694.350000000006</v>
      </c>
      <c r="E1008" s="60">
        <v>0</v>
      </c>
      <c r="F1008" s="60">
        <v>0</v>
      </c>
      <c r="G1008" s="60">
        <v>0</v>
      </c>
      <c r="H1008" s="60">
        <v>0</v>
      </c>
      <c r="I1008" s="60">
        <v>0</v>
      </c>
      <c r="J1008" s="60">
        <v>0</v>
      </c>
      <c r="K1008" s="168">
        <v>0</v>
      </c>
      <c r="L1008" s="60">
        <v>0</v>
      </c>
      <c r="M1008" s="60">
        <v>0</v>
      </c>
      <c r="N1008" s="60">
        <v>0</v>
      </c>
      <c r="O1008" s="60">
        <v>0</v>
      </c>
      <c r="P1008" s="60">
        <v>0</v>
      </c>
      <c r="Q1008" s="60">
        <v>0</v>
      </c>
      <c r="R1008" s="60">
        <v>0</v>
      </c>
      <c r="S1008" s="60">
        <v>0</v>
      </c>
      <c r="T1008" s="60">
        <v>0</v>
      </c>
      <c r="U1008" s="60">
        <v>0</v>
      </c>
      <c r="V1008" s="60">
        <v>0</v>
      </c>
      <c r="W1008" s="60">
        <v>0</v>
      </c>
      <c r="X1008" s="60">
        <v>0</v>
      </c>
      <c r="Y1008" s="60">
        <v>0</v>
      </c>
      <c r="Z1008" s="60">
        <v>0</v>
      </c>
      <c r="AA1008" s="60">
        <v>0</v>
      </c>
      <c r="AB1008" s="60">
        <v>0</v>
      </c>
      <c r="AC1008" s="60">
        <v>0</v>
      </c>
      <c r="AD1008" s="60">
        <v>65694.350000000006</v>
      </c>
      <c r="AE1008" s="60">
        <v>0</v>
      </c>
      <c r="AF1008" s="170">
        <v>2021</v>
      </c>
      <c r="AG1008" s="170" t="s">
        <v>257</v>
      </c>
      <c r="AH1008" s="170" t="s">
        <v>257</v>
      </c>
    </row>
    <row r="1009" spans="1:34" ht="61.5" x14ac:dyDescent="0.85">
      <c r="B1009" s="160" t="s">
        <v>804</v>
      </c>
      <c r="C1009" s="160"/>
      <c r="D1009" s="177">
        <f t="shared" ref="D1009:AE1009" si="164">D1010</f>
        <v>68452.92</v>
      </c>
      <c r="E1009" s="60">
        <f t="shared" si="164"/>
        <v>0</v>
      </c>
      <c r="F1009" s="60">
        <f t="shared" si="164"/>
        <v>0</v>
      </c>
      <c r="G1009" s="60">
        <f t="shared" si="164"/>
        <v>0</v>
      </c>
      <c r="H1009" s="60">
        <f t="shared" si="164"/>
        <v>0</v>
      </c>
      <c r="I1009" s="60">
        <f t="shared" si="164"/>
        <v>0</v>
      </c>
      <c r="J1009" s="60">
        <f t="shared" si="164"/>
        <v>0</v>
      </c>
      <c r="K1009" s="168">
        <f t="shared" si="164"/>
        <v>0</v>
      </c>
      <c r="L1009" s="60">
        <f t="shared" si="164"/>
        <v>0</v>
      </c>
      <c r="M1009" s="60">
        <f t="shared" si="164"/>
        <v>0</v>
      </c>
      <c r="N1009" s="60">
        <f t="shared" si="164"/>
        <v>0</v>
      </c>
      <c r="O1009" s="60">
        <f t="shared" si="164"/>
        <v>0</v>
      </c>
      <c r="P1009" s="60">
        <f t="shared" si="164"/>
        <v>0</v>
      </c>
      <c r="Q1009" s="60">
        <f t="shared" si="164"/>
        <v>0</v>
      </c>
      <c r="R1009" s="60">
        <f t="shared" si="164"/>
        <v>0</v>
      </c>
      <c r="S1009" s="60">
        <f t="shared" si="164"/>
        <v>0</v>
      </c>
      <c r="T1009" s="60">
        <f t="shared" si="164"/>
        <v>0</v>
      </c>
      <c r="U1009" s="60">
        <f t="shared" si="164"/>
        <v>0</v>
      </c>
      <c r="V1009" s="60">
        <f t="shared" si="164"/>
        <v>0</v>
      </c>
      <c r="W1009" s="60">
        <f t="shared" si="164"/>
        <v>0</v>
      </c>
      <c r="X1009" s="60">
        <f t="shared" si="164"/>
        <v>0</v>
      </c>
      <c r="Y1009" s="60">
        <f t="shared" si="164"/>
        <v>0</v>
      </c>
      <c r="Z1009" s="60">
        <f t="shared" si="164"/>
        <v>0</v>
      </c>
      <c r="AA1009" s="60">
        <f t="shared" si="164"/>
        <v>0</v>
      </c>
      <c r="AB1009" s="60">
        <f t="shared" si="164"/>
        <v>0</v>
      </c>
      <c r="AC1009" s="60">
        <f t="shared" si="164"/>
        <v>0</v>
      </c>
      <c r="AD1009" s="60">
        <f t="shared" si="164"/>
        <v>68452.92</v>
      </c>
      <c r="AE1009" s="60">
        <f t="shared" si="164"/>
        <v>0</v>
      </c>
      <c r="AF1009" s="54" t="s">
        <v>701</v>
      </c>
      <c r="AG1009" s="54" t="s">
        <v>701</v>
      </c>
      <c r="AH1009" s="55" t="s">
        <v>701</v>
      </c>
    </row>
    <row r="1010" spans="1:34" ht="61.5" x14ac:dyDescent="0.85">
      <c r="A1010" s="7">
        <v>1</v>
      </c>
      <c r="B1010" s="59">
        <f>SUBTOTAL(103,$A$558:A1010)</f>
        <v>394</v>
      </c>
      <c r="C1010" s="160" t="s">
        <v>2153</v>
      </c>
      <c r="D1010" s="60">
        <f>E1010+F1010+G1010+H1010+I1010+J1010+L1010+N1010+P1010+R1010+T1010+U1010+V1010+W1010+X1010+Y1010+Z1010+AA1010+AB1010+AC1010+AD1010+AE1010</f>
        <v>68452.92</v>
      </c>
      <c r="E1010" s="60">
        <v>0</v>
      </c>
      <c r="F1010" s="60">
        <v>0</v>
      </c>
      <c r="G1010" s="60">
        <v>0</v>
      </c>
      <c r="H1010" s="60">
        <v>0</v>
      </c>
      <c r="I1010" s="60">
        <v>0</v>
      </c>
      <c r="J1010" s="60">
        <v>0</v>
      </c>
      <c r="K1010" s="168">
        <v>0</v>
      </c>
      <c r="L1010" s="60">
        <v>0</v>
      </c>
      <c r="M1010" s="60">
        <v>0</v>
      </c>
      <c r="N1010" s="60">
        <v>0</v>
      </c>
      <c r="O1010" s="60">
        <v>0</v>
      </c>
      <c r="P1010" s="60">
        <v>0</v>
      </c>
      <c r="Q1010" s="60">
        <v>0</v>
      </c>
      <c r="R1010" s="60">
        <v>0</v>
      </c>
      <c r="S1010" s="60">
        <v>0</v>
      </c>
      <c r="T1010" s="60">
        <v>0</v>
      </c>
      <c r="U1010" s="60">
        <v>0</v>
      </c>
      <c r="V1010" s="60">
        <v>0</v>
      </c>
      <c r="W1010" s="60">
        <v>0</v>
      </c>
      <c r="X1010" s="60">
        <v>0</v>
      </c>
      <c r="Y1010" s="60">
        <v>0</v>
      </c>
      <c r="Z1010" s="60">
        <v>0</v>
      </c>
      <c r="AA1010" s="60">
        <v>0</v>
      </c>
      <c r="AB1010" s="60">
        <v>0</v>
      </c>
      <c r="AC1010" s="60">
        <f>ROUND(N1010*1.5%,2)</f>
        <v>0</v>
      </c>
      <c r="AD1010" s="62">
        <v>68452.92</v>
      </c>
      <c r="AE1010" s="60">
        <v>0</v>
      </c>
      <c r="AF1010" s="170">
        <v>2021</v>
      </c>
      <c r="AG1010" s="170" t="s">
        <v>257</v>
      </c>
      <c r="AH1010" s="170" t="s">
        <v>257</v>
      </c>
    </row>
    <row r="1011" spans="1:34" ht="61.5" x14ac:dyDescent="0.85">
      <c r="B1011" s="160" t="s">
        <v>805</v>
      </c>
      <c r="C1011" s="160"/>
      <c r="D1011" s="177">
        <f t="shared" ref="D1011:AE1011" si="165">D1012</f>
        <v>3897762.39</v>
      </c>
      <c r="E1011" s="60">
        <f t="shared" si="165"/>
        <v>0</v>
      </c>
      <c r="F1011" s="60">
        <f t="shared" si="165"/>
        <v>0</v>
      </c>
      <c r="G1011" s="60">
        <f t="shared" si="165"/>
        <v>0</v>
      </c>
      <c r="H1011" s="60">
        <f t="shared" si="165"/>
        <v>0</v>
      </c>
      <c r="I1011" s="60">
        <f t="shared" si="165"/>
        <v>0</v>
      </c>
      <c r="J1011" s="60">
        <f t="shared" si="165"/>
        <v>0</v>
      </c>
      <c r="K1011" s="168">
        <f t="shared" si="165"/>
        <v>0</v>
      </c>
      <c r="L1011" s="60">
        <f t="shared" si="165"/>
        <v>0</v>
      </c>
      <c r="M1011" s="60">
        <f t="shared" si="165"/>
        <v>817.7</v>
      </c>
      <c r="N1011" s="60">
        <f t="shared" si="165"/>
        <v>3772353.64</v>
      </c>
      <c r="O1011" s="60">
        <f t="shared" si="165"/>
        <v>0</v>
      </c>
      <c r="P1011" s="60">
        <f t="shared" si="165"/>
        <v>0</v>
      </c>
      <c r="Q1011" s="60">
        <f t="shared" si="165"/>
        <v>0</v>
      </c>
      <c r="R1011" s="60">
        <f t="shared" si="165"/>
        <v>0</v>
      </c>
      <c r="S1011" s="60">
        <f t="shared" si="165"/>
        <v>0</v>
      </c>
      <c r="T1011" s="60">
        <f t="shared" si="165"/>
        <v>0</v>
      </c>
      <c r="U1011" s="60">
        <f t="shared" si="165"/>
        <v>0</v>
      </c>
      <c r="V1011" s="60">
        <f t="shared" si="165"/>
        <v>0</v>
      </c>
      <c r="W1011" s="60">
        <f t="shared" si="165"/>
        <v>0</v>
      </c>
      <c r="X1011" s="60">
        <f t="shared" si="165"/>
        <v>0</v>
      </c>
      <c r="Y1011" s="60">
        <f t="shared" si="165"/>
        <v>0</v>
      </c>
      <c r="Z1011" s="60">
        <f t="shared" si="165"/>
        <v>0</v>
      </c>
      <c r="AA1011" s="60">
        <f t="shared" si="165"/>
        <v>0</v>
      </c>
      <c r="AB1011" s="60">
        <f t="shared" si="165"/>
        <v>0</v>
      </c>
      <c r="AC1011" s="60">
        <f t="shared" si="165"/>
        <v>49512.14</v>
      </c>
      <c r="AD1011" s="60">
        <f t="shared" si="165"/>
        <v>75896.61</v>
      </c>
      <c r="AE1011" s="60">
        <f t="shared" si="165"/>
        <v>0</v>
      </c>
      <c r="AF1011" s="54" t="s">
        <v>701</v>
      </c>
      <c r="AG1011" s="54" t="s">
        <v>701</v>
      </c>
      <c r="AH1011" s="55" t="s">
        <v>701</v>
      </c>
    </row>
    <row r="1012" spans="1:34" ht="61.5" x14ac:dyDescent="0.85">
      <c r="A1012" s="7">
        <v>1</v>
      </c>
      <c r="B1012" s="59">
        <f>SUBTOTAL(103,$A$558:A1012)</f>
        <v>395</v>
      </c>
      <c r="C1012" s="160" t="s">
        <v>184</v>
      </c>
      <c r="D1012" s="60">
        <f>E1012+F1012+G1012+H1012+I1012+J1012+L1012+N1012+P1012+R1012+T1012+U1012+V1012+W1012+X1012+Y1012+Z1012+AA1012+AB1012+AC1012+AD1012+AE1012</f>
        <v>3897762.39</v>
      </c>
      <c r="E1012" s="60">
        <v>0</v>
      </c>
      <c r="F1012" s="60">
        <v>0</v>
      </c>
      <c r="G1012" s="60">
        <v>0</v>
      </c>
      <c r="H1012" s="60">
        <v>0</v>
      </c>
      <c r="I1012" s="60">
        <v>0</v>
      </c>
      <c r="J1012" s="60">
        <v>0</v>
      </c>
      <c r="K1012" s="168">
        <v>0</v>
      </c>
      <c r="L1012" s="60">
        <v>0</v>
      </c>
      <c r="M1012" s="60">
        <v>817.7</v>
      </c>
      <c r="N1012" s="62">
        <v>3772353.64</v>
      </c>
      <c r="O1012" s="60">
        <v>0</v>
      </c>
      <c r="P1012" s="60">
        <v>0</v>
      </c>
      <c r="Q1012" s="60">
        <v>0</v>
      </c>
      <c r="R1012" s="60">
        <v>0</v>
      </c>
      <c r="S1012" s="60">
        <v>0</v>
      </c>
      <c r="T1012" s="60">
        <v>0</v>
      </c>
      <c r="U1012" s="60">
        <v>0</v>
      </c>
      <c r="V1012" s="60">
        <v>0</v>
      </c>
      <c r="W1012" s="60">
        <v>0</v>
      </c>
      <c r="X1012" s="60">
        <v>0</v>
      </c>
      <c r="Y1012" s="60">
        <v>0</v>
      </c>
      <c r="Z1012" s="60">
        <v>0</v>
      </c>
      <c r="AA1012" s="60">
        <v>0</v>
      </c>
      <c r="AB1012" s="60">
        <v>0</v>
      </c>
      <c r="AC1012" s="62">
        <v>49512.14</v>
      </c>
      <c r="AD1012" s="62">
        <v>75896.61</v>
      </c>
      <c r="AE1012" s="60">
        <v>0</v>
      </c>
      <c r="AF1012" s="170">
        <v>2021</v>
      </c>
      <c r="AG1012" s="170">
        <v>2021</v>
      </c>
      <c r="AH1012" s="63">
        <v>2021</v>
      </c>
    </row>
    <row r="1013" spans="1:34" ht="61.5" x14ac:dyDescent="0.85">
      <c r="B1013" s="160" t="s">
        <v>806</v>
      </c>
      <c r="C1013" s="160"/>
      <c r="D1013" s="177">
        <f t="shared" ref="D1013:AE1013" si="166">D1014</f>
        <v>2331009.67</v>
      </c>
      <c r="E1013" s="60">
        <f t="shared" si="166"/>
        <v>0</v>
      </c>
      <c r="F1013" s="60">
        <f t="shared" si="166"/>
        <v>0</v>
      </c>
      <c r="G1013" s="60">
        <f t="shared" si="166"/>
        <v>0</v>
      </c>
      <c r="H1013" s="60">
        <f t="shared" si="166"/>
        <v>0</v>
      </c>
      <c r="I1013" s="60">
        <f t="shared" si="166"/>
        <v>0</v>
      </c>
      <c r="J1013" s="60">
        <f t="shared" si="166"/>
        <v>0</v>
      </c>
      <c r="K1013" s="168">
        <f t="shared" si="166"/>
        <v>0</v>
      </c>
      <c r="L1013" s="60">
        <f t="shared" si="166"/>
        <v>0</v>
      </c>
      <c r="M1013" s="60">
        <f t="shared" si="166"/>
        <v>299.88</v>
      </c>
      <c r="N1013" s="60">
        <f t="shared" si="166"/>
        <v>2208298</v>
      </c>
      <c r="O1013" s="60">
        <f t="shared" si="166"/>
        <v>0</v>
      </c>
      <c r="P1013" s="60">
        <f t="shared" si="166"/>
        <v>0</v>
      </c>
      <c r="Q1013" s="60">
        <f t="shared" si="166"/>
        <v>0</v>
      </c>
      <c r="R1013" s="60">
        <f t="shared" si="166"/>
        <v>0</v>
      </c>
      <c r="S1013" s="60">
        <f t="shared" si="166"/>
        <v>0</v>
      </c>
      <c r="T1013" s="60">
        <f t="shared" si="166"/>
        <v>0</v>
      </c>
      <c r="U1013" s="60">
        <f t="shared" si="166"/>
        <v>0</v>
      </c>
      <c r="V1013" s="60">
        <f t="shared" si="166"/>
        <v>0</v>
      </c>
      <c r="W1013" s="60">
        <f t="shared" si="166"/>
        <v>0</v>
      </c>
      <c r="X1013" s="60">
        <f t="shared" si="166"/>
        <v>0</v>
      </c>
      <c r="Y1013" s="60">
        <f t="shared" si="166"/>
        <v>0</v>
      </c>
      <c r="Z1013" s="60">
        <f t="shared" si="166"/>
        <v>0</v>
      </c>
      <c r="AA1013" s="60">
        <f t="shared" si="166"/>
        <v>0</v>
      </c>
      <c r="AB1013" s="60">
        <f t="shared" si="166"/>
        <v>0</v>
      </c>
      <c r="AC1013" s="60">
        <f t="shared" si="166"/>
        <v>28983.91</v>
      </c>
      <c r="AD1013" s="60">
        <f t="shared" si="166"/>
        <v>93727.76</v>
      </c>
      <c r="AE1013" s="60">
        <f t="shared" si="166"/>
        <v>0</v>
      </c>
      <c r="AF1013" s="54" t="s">
        <v>701</v>
      </c>
      <c r="AG1013" s="54" t="s">
        <v>701</v>
      </c>
      <c r="AH1013" s="55" t="s">
        <v>701</v>
      </c>
    </row>
    <row r="1014" spans="1:34" ht="61.5" x14ac:dyDescent="0.85">
      <c r="A1014" s="7">
        <v>1</v>
      </c>
      <c r="B1014" s="59">
        <f>SUBTOTAL(103,$A$558:A1014)</f>
        <v>396</v>
      </c>
      <c r="C1014" s="160" t="s">
        <v>740</v>
      </c>
      <c r="D1014" s="60">
        <f>E1014+F1014+G1014+H1014+I1014+J1014+L1014+N1014+P1014+R1014+T1014+U1014+V1014+W1014+X1014+Y1014+Z1014+AA1014+AB1014+AC1014+AD1014+AE1014</f>
        <v>2331009.67</v>
      </c>
      <c r="E1014" s="60">
        <v>0</v>
      </c>
      <c r="F1014" s="60">
        <v>0</v>
      </c>
      <c r="G1014" s="60">
        <v>0</v>
      </c>
      <c r="H1014" s="60">
        <v>0</v>
      </c>
      <c r="I1014" s="60">
        <v>0</v>
      </c>
      <c r="J1014" s="60">
        <v>0</v>
      </c>
      <c r="K1014" s="168">
        <v>0</v>
      </c>
      <c r="L1014" s="60">
        <v>0</v>
      </c>
      <c r="M1014" s="60">
        <v>299.88</v>
      </c>
      <c r="N1014" s="60">
        <v>2208298</v>
      </c>
      <c r="O1014" s="60">
        <v>0</v>
      </c>
      <c r="P1014" s="60">
        <v>0</v>
      </c>
      <c r="Q1014" s="60">
        <v>0</v>
      </c>
      <c r="R1014" s="60">
        <v>0</v>
      </c>
      <c r="S1014" s="60">
        <v>0</v>
      </c>
      <c r="T1014" s="60">
        <v>0</v>
      </c>
      <c r="U1014" s="60">
        <v>0</v>
      </c>
      <c r="V1014" s="60">
        <v>0</v>
      </c>
      <c r="W1014" s="60">
        <v>0</v>
      </c>
      <c r="X1014" s="60">
        <v>0</v>
      </c>
      <c r="Y1014" s="60">
        <v>0</v>
      </c>
      <c r="Z1014" s="60">
        <v>0</v>
      </c>
      <c r="AA1014" s="60">
        <v>0</v>
      </c>
      <c r="AB1014" s="60">
        <v>0</v>
      </c>
      <c r="AC1014" s="62">
        <v>28983.91</v>
      </c>
      <c r="AD1014" s="60">
        <v>93727.76</v>
      </c>
      <c r="AE1014" s="60">
        <v>0</v>
      </c>
      <c r="AF1014" s="170">
        <v>2021</v>
      </c>
      <c r="AG1014" s="170">
        <v>2021</v>
      </c>
      <c r="AH1014" s="63">
        <v>2021</v>
      </c>
    </row>
    <row r="1015" spans="1:34" ht="61.5" x14ac:dyDescent="0.85">
      <c r="B1015" s="160" t="s">
        <v>807</v>
      </c>
      <c r="C1015" s="176"/>
      <c r="D1015" s="177">
        <f t="shared" ref="D1015:AE1015" si="167">SUM(D1016:D1021)</f>
        <v>6143252.4500000002</v>
      </c>
      <c r="E1015" s="60">
        <f t="shared" si="167"/>
        <v>0</v>
      </c>
      <c r="F1015" s="60">
        <f t="shared" si="167"/>
        <v>0</v>
      </c>
      <c r="G1015" s="60">
        <f t="shared" si="167"/>
        <v>3299254.1399999997</v>
      </c>
      <c r="H1015" s="60">
        <f t="shared" si="167"/>
        <v>0</v>
      </c>
      <c r="I1015" s="60">
        <f t="shared" si="167"/>
        <v>0</v>
      </c>
      <c r="J1015" s="60">
        <f t="shared" si="167"/>
        <v>0</v>
      </c>
      <c r="K1015" s="168">
        <f t="shared" si="167"/>
        <v>0</v>
      </c>
      <c r="L1015" s="60">
        <f t="shared" si="167"/>
        <v>0</v>
      </c>
      <c r="M1015" s="60">
        <f t="shared" si="167"/>
        <v>606.16999999999996</v>
      </c>
      <c r="N1015" s="60">
        <f t="shared" si="167"/>
        <v>2679473.61</v>
      </c>
      <c r="O1015" s="60">
        <f t="shared" si="167"/>
        <v>0</v>
      </c>
      <c r="P1015" s="60">
        <f t="shared" si="167"/>
        <v>0</v>
      </c>
      <c r="Q1015" s="60">
        <f t="shared" si="167"/>
        <v>0</v>
      </c>
      <c r="R1015" s="60">
        <f t="shared" si="167"/>
        <v>0</v>
      </c>
      <c r="S1015" s="60">
        <f t="shared" si="167"/>
        <v>0</v>
      </c>
      <c r="T1015" s="60">
        <f t="shared" si="167"/>
        <v>0</v>
      </c>
      <c r="U1015" s="60">
        <f t="shared" si="167"/>
        <v>0</v>
      </c>
      <c r="V1015" s="60">
        <f t="shared" si="167"/>
        <v>0</v>
      </c>
      <c r="W1015" s="60">
        <f t="shared" si="167"/>
        <v>0</v>
      </c>
      <c r="X1015" s="60">
        <f t="shared" si="167"/>
        <v>0</v>
      </c>
      <c r="Y1015" s="60">
        <f t="shared" si="167"/>
        <v>0</v>
      </c>
      <c r="Z1015" s="60">
        <f t="shared" si="167"/>
        <v>0</v>
      </c>
      <c r="AA1015" s="60">
        <f t="shared" si="167"/>
        <v>0</v>
      </c>
      <c r="AB1015" s="60">
        <f t="shared" si="167"/>
        <v>0</v>
      </c>
      <c r="AC1015" s="60">
        <f t="shared" si="167"/>
        <v>71829.62</v>
      </c>
      <c r="AD1015" s="60">
        <f t="shared" si="167"/>
        <v>92695.08</v>
      </c>
      <c r="AE1015" s="60">
        <f t="shared" si="167"/>
        <v>0</v>
      </c>
      <c r="AF1015" s="54" t="s">
        <v>701</v>
      </c>
      <c r="AG1015" s="54" t="s">
        <v>701</v>
      </c>
      <c r="AH1015" s="55" t="s">
        <v>701</v>
      </c>
    </row>
    <row r="1016" spans="1:34" ht="61.5" x14ac:dyDescent="0.85">
      <c r="A1016" s="7">
        <v>1</v>
      </c>
      <c r="B1016" s="59">
        <f>SUBTOTAL(103,$A$558:A1016)</f>
        <v>397</v>
      </c>
      <c r="C1016" s="160" t="s">
        <v>201</v>
      </c>
      <c r="D1016" s="60">
        <f t="shared" ref="D1016:D1021" si="168">E1016+F1016+G1016+H1016+I1016+J1016+L1016+N1016+P1016+R1016+T1016+U1016+V1016+W1016+X1016+Y1016+Z1016+AA1016+AB1016+AC1016+AD1016+AE1016</f>
        <v>2703387.9099999997</v>
      </c>
      <c r="E1016" s="60">
        <v>0</v>
      </c>
      <c r="F1016" s="60">
        <v>0</v>
      </c>
      <c r="G1016" s="60">
        <v>0</v>
      </c>
      <c r="H1016" s="60">
        <v>0</v>
      </c>
      <c r="I1016" s="60">
        <v>0</v>
      </c>
      <c r="J1016" s="60">
        <v>0</v>
      </c>
      <c r="K1016" s="168">
        <v>0</v>
      </c>
      <c r="L1016" s="60">
        <v>0</v>
      </c>
      <c r="M1016" s="60">
        <v>606.16999999999996</v>
      </c>
      <c r="N1016" s="60">
        <v>2679473.61</v>
      </c>
      <c r="O1016" s="60">
        <v>0</v>
      </c>
      <c r="P1016" s="60">
        <v>0</v>
      </c>
      <c r="Q1016" s="60">
        <v>0</v>
      </c>
      <c r="R1016" s="60">
        <v>0</v>
      </c>
      <c r="S1016" s="60">
        <v>0</v>
      </c>
      <c r="T1016" s="60">
        <v>0</v>
      </c>
      <c r="U1016" s="60">
        <v>0</v>
      </c>
      <c r="V1016" s="60">
        <v>0</v>
      </c>
      <c r="W1016" s="60">
        <v>0</v>
      </c>
      <c r="X1016" s="60">
        <v>0</v>
      </c>
      <c r="Y1016" s="60">
        <v>0</v>
      </c>
      <c r="Z1016" s="60">
        <v>0</v>
      </c>
      <c r="AA1016" s="60">
        <v>0</v>
      </c>
      <c r="AB1016" s="60">
        <v>0</v>
      </c>
      <c r="AC1016" s="62">
        <v>23914.3</v>
      </c>
      <c r="AD1016" s="60">
        <v>0</v>
      </c>
      <c r="AE1016" s="60">
        <v>0</v>
      </c>
      <c r="AF1016" s="170" t="s">
        <v>257</v>
      </c>
      <c r="AG1016" s="170">
        <v>2021</v>
      </c>
      <c r="AH1016" s="63">
        <v>2021</v>
      </c>
    </row>
    <row r="1017" spans="1:34" ht="61.5" x14ac:dyDescent="0.85">
      <c r="A1017" s="7">
        <v>1</v>
      </c>
      <c r="B1017" s="59">
        <f>SUBTOTAL(103,$A$558:A1017)</f>
        <v>398</v>
      </c>
      <c r="C1017" s="160" t="s">
        <v>206</v>
      </c>
      <c r="D1017" s="60">
        <f t="shared" si="168"/>
        <v>355250</v>
      </c>
      <c r="E1017" s="60">
        <v>0</v>
      </c>
      <c r="F1017" s="60">
        <v>0</v>
      </c>
      <c r="G1017" s="60">
        <v>350000</v>
      </c>
      <c r="H1017" s="60">
        <v>0</v>
      </c>
      <c r="I1017" s="60">
        <v>0</v>
      </c>
      <c r="J1017" s="60">
        <v>0</v>
      </c>
      <c r="K1017" s="168">
        <v>0</v>
      </c>
      <c r="L1017" s="60">
        <v>0</v>
      </c>
      <c r="M1017" s="60">
        <v>0</v>
      </c>
      <c r="N1017" s="60">
        <v>0</v>
      </c>
      <c r="O1017" s="60">
        <v>0</v>
      </c>
      <c r="P1017" s="60">
        <v>0</v>
      </c>
      <c r="Q1017" s="60">
        <v>0</v>
      </c>
      <c r="R1017" s="60">
        <v>0</v>
      </c>
      <c r="S1017" s="60">
        <v>0</v>
      </c>
      <c r="T1017" s="60">
        <v>0</v>
      </c>
      <c r="U1017" s="60">
        <v>0</v>
      </c>
      <c r="V1017" s="60">
        <v>0</v>
      </c>
      <c r="W1017" s="60">
        <v>0</v>
      </c>
      <c r="X1017" s="60">
        <v>0</v>
      </c>
      <c r="Y1017" s="60">
        <v>0</v>
      </c>
      <c r="Z1017" s="60">
        <v>0</v>
      </c>
      <c r="AA1017" s="60">
        <v>0</v>
      </c>
      <c r="AB1017" s="60">
        <v>0</v>
      </c>
      <c r="AC1017" s="60">
        <v>5250</v>
      </c>
      <c r="AD1017" s="60">
        <v>0</v>
      </c>
      <c r="AE1017" s="60">
        <v>0</v>
      </c>
      <c r="AF1017" s="170" t="s">
        <v>257</v>
      </c>
      <c r="AG1017" s="170">
        <v>2021</v>
      </c>
      <c r="AH1017" s="170">
        <v>2021</v>
      </c>
    </row>
    <row r="1018" spans="1:34" ht="61.5" x14ac:dyDescent="0.85">
      <c r="A1018" s="7">
        <v>1</v>
      </c>
      <c r="B1018" s="59">
        <f>SUBTOTAL(103,$A$558:A1018)</f>
        <v>399</v>
      </c>
      <c r="C1018" s="160" t="s">
        <v>1465</v>
      </c>
      <c r="D1018" s="60">
        <f t="shared" si="168"/>
        <v>683859.98</v>
      </c>
      <c r="E1018" s="60">
        <v>0</v>
      </c>
      <c r="F1018" s="60">
        <v>0</v>
      </c>
      <c r="G1018" s="62">
        <v>674401.5</v>
      </c>
      <c r="H1018" s="60">
        <v>0</v>
      </c>
      <c r="I1018" s="60">
        <v>0</v>
      </c>
      <c r="J1018" s="60">
        <v>0</v>
      </c>
      <c r="K1018" s="168">
        <v>0</v>
      </c>
      <c r="L1018" s="60">
        <v>0</v>
      </c>
      <c r="M1018" s="60">
        <v>0</v>
      </c>
      <c r="N1018" s="60">
        <v>0</v>
      </c>
      <c r="O1018" s="60">
        <v>0</v>
      </c>
      <c r="P1018" s="60">
        <v>0</v>
      </c>
      <c r="Q1018" s="60">
        <v>0</v>
      </c>
      <c r="R1018" s="60">
        <v>0</v>
      </c>
      <c r="S1018" s="60">
        <v>0</v>
      </c>
      <c r="T1018" s="60">
        <v>0</v>
      </c>
      <c r="U1018" s="60">
        <v>0</v>
      </c>
      <c r="V1018" s="60">
        <v>0</v>
      </c>
      <c r="W1018" s="60">
        <v>0</v>
      </c>
      <c r="X1018" s="60">
        <v>0</v>
      </c>
      <c r="Y1018" s="60">
        <v>0</v>
      </c>
      <c r="Z1018" s="60">
        <v>0</v>
      </c>
      <c r="AA1018" s="60">
        <v>0</v>
      </c>
      <c r="AB1018" s="60">
        <v>0</v>
      </c>
      <c r="AC1018" s="62">
        <v>9458.48</v>
      </c>
      <c r="AD1018" s="60">
        <v>0</v>
      </c>
      <c r="AE1018" s="60">
        <v>0</v>
      </c>
      <c r="AF1018" s="170" t="s">
        <v>257</v>
      </c>
      <c r="AG1018" s="170">
        <v>2021</v>
      </c>
      <c r="AH1018" s="170">
        <v>2021</v>
      </c>
    </row>
    <row r="1019" spans="1:34" ht="61.5" x14ac:dyDescent="0.85">
      <c r="A1019" s="7">
        <v>1</v>
      </c>
      <c r="B1019" s="59">
        <f>SUBTOTAL(103,$A$558:A1019)</f>
        <v>400</v>
      </c>
      <c r="C1019" s="160" t="s">
        <v>1466</v>
      </c>
      <c r="D1019" s="60">
        <f t="shared" si="168"/>
        <v>839768.86</v>
      </c>
      <c r="E1019" s="60">
        <v>0</v>
      </c>
      <c r="F1019" s="60">
        <v>0</v>
      </c>
      <c r="G1019" s="62">
        <v>828154</v>
      </c>
      <c r="H1019" s="60">
        <v>0</v>
      </c>
      <c r="I1019" s="60">
        <v>0</v>
      </c>
      <c r="J1019" s="60">
        <v>0</v>
      </c>
      <c r="K1019" s="168">
        <v>0</v>
      </c>
      <c r="L1019" s="60">
        <v>0</v>
      </c>
      <c r="M1019" s="60">
        <v>0</v>
      </c>
      <c r="N1019" s="60">
        <v>0</v>
      </c>
      <c r="O1019" s="60">
        <v>0</v>
      </c>
      <c r="P1019" s="60">
        <v>0</v>
      </c>
      <c r="Q1019" s="60">
        <v>0</v>
      </c>
      <c r="R1019" s="60">
        <v>0</v>
      </c>
      <c r="S1019" s="60">
        <v>0</v>
      </c>
      <c r="T1019" s="60">
        <v>0</v>
      </c>
      <c r="U1019" s="60">
        <v>0</v>
      </c>
      <c r="V1019" s="60">
        <v>0</v>
      </c>
      <c r="W1019" s="60">
        <v>0</v>
      </c>
      <c r="X1019" s="60">
        <v>0</v>
      </c>
      <c r="Y1019" s="60">
        <v>0</v>
      </c>
      <c r="Z1019" s="60">
        <v>0</v>
      </c>
      <c r="AA1019" s="60">
        <v>0</v>
      </c>
      <c r="AB1019" s="60">
        <v>0</v>
      </c>
      <c r="AC1019" s="62">
        <v>11614.86</v>
      </c>
      <c r="AD1019" s="60">
        <v>0</v>
      </c>
      <c r="AE1019" s="60">
        <v>0</v>
      </c>
      <c r="AF1019" s="170" t="s">
        <v>257</v>
      </c>
      <c r="AG1019" s="170">
        <v>2021</v>
      </c>
      <c r="AH1019" s="170">
        <v>2021</v>
      </c>
    </row>
    <row r="1020" spans="1:34" ht="61.5" x14ac:dyDescent="0.85">
      <c r="A1020" s="7">
        <v>1</v>
      </c>
      <c r="B1020" s="59">
        <f>SUBTOTAL(103,$A$558:A1020)</f>
        <v>401</v>
      </c>
      <c r="C1020" s="160" t="s">
        <v>1196</v>
      </c>
      <c r="D1020" s="60">
        <f t="shared" si="168"/>
        <v>1468290.6199999999</v>
      </c>
      <c r="E1020" s="60">
        <v>0</v>
      </c>
      <c r="F1020" s="60">
        <v>0</v>
      </c>
      <c r="G1020" s="172">
        <v>1446698.64</v>
      </c>
      <c r="H1020" s="60">
        <v>0</v>
      </c>
      <c r="I1020" s="60">
        <v>0</v>
      </c>
      <c r="J1020" s="60">
        <v>0</v>
      </c>
      <c r="K1020" s="168">
        <v>0</v>
      </c>
      <c r="L1020" s="60">
        <v>0</v>
      </c>
      <c r="M1020" s="60">
        <v>0</v>
      </c>
      <c r="N1020" s="60">
        <v>0</v>
      </c>
      <c r="O1020" s="60">
        <v>0</v>
      </c>
      <c r="P1020" s="60">
        <v>0</v>
      </c>
      <c r="Q1020" s="60">
        <v>0</v>
      </c>
      <c r="R1020" s="60">
        <v>0</v>
      </c>
      <c r="S1020" s="60">
        <v>0</v>
      </c>
      <c r="T1020" s="60">
        <v>0</v>
      </c>
      <c r="U1020" s="60">
        <v>0</v>
      </c>
      <c r="V1020" s="60">
        <v>0</v>
      </c>
      <c r="W1020" s="60">
        <v>0</v>
      </c>
      <c r="X1020" s="60">
        <v>0</v>
      </c>
      <c r="Y1020" s="60">
        <v>0</v>
      </c>
      <c r="Z1020" s="60">
        <v>0</v>
      </c>
      <c r="AA1020" s="60">
        <v>0</v>
      </c>
      <c r="AB1020" s="60">
        <v>0</v>
      </c>
      <c r="AC1020" s="62">
        <v>21591.98</v>
      </c>
      <c r="AD1020" s="60">
        <v>0</v>
      </c>
      <c r="AE1020" s="60">
        <v>0</v>
      </c>
      <c r="AF1020" s="170" t="s">
        <v>257</v>
      </c>
      <c r="AG1020" s="170">
        <v>2021</v>
      </c>
      <c r="AH1020" s="170">
        <v>2021</v>
      </c>
    </row>
    <row r="1021" spans="1:34" ht="61.5" x14ac:dyDescent="0.85">
      <c r="A1021" s="7">
        <v>1</v>
      </c>
      <c r="B1021" s="59">
        <f>SUBTOTAL(103,$A$558:A1021)</f>
        <v>402</v>
      </c>
      <c r="C1021" s="160" t="s">
        <v>2301</v>
      </c>
      <c r="D1021" s="60">
        <f t="shared" si="168"/>
        <v>92695.08</v>
      </c>
      <c r="E1021" s="180">
        <v>0</v>
      </c>
      <c r="F1021" s="180">
        <v>0</v>
      </c>
      <c r="G1021" s="180">
        <v>0</v>
      </c>
      <c r="H1021" s="180">
        <v>0</v>
      </c>
      <c r="I1021" s="180">
        <v>0</v>
      </c>
      <c r="J1021" s="180">
        <v>0</v>
      </c>
      <c r="K1021" s="168">
        <v>0</v>
      </c>
      <c r="L1021" s="60">
        <v>0</v>
      </c>
      <c r="M1021" s="60">
        <v>0</v>
      </c>
      <c r="N1021" s="60">
        <v>0</v>
      </c>
      <c r="O1021" s="60">
        <v>0</v>
      </c>
      <c r="P1021" s="60">
        <v>0</v>
      </c>
      <c r="Q1021" s="60">
        <v>0</v>
      </c>
      <c r="R1021" s="60">
        <v>0</v>
      </c>
      <c r="S1021" s="60">
        <v>0</v>
      </c>
      <c r="T1021" s="60">
        <v>0</v>
      </c>
      <c r="U1021" s="60">
        <v>0</v>
      </c>
      <c r="V1021" s="60">
        <v>0</v>
      </c>
      <c r="W1021" s="60">
        <v>0</v>
      </c>
      <c r="X1021" s="60">
        <v>0</v>
      </c>
      <c r="Y1021" s="60">
        <v>0</v>
      </c>
      <c r="Z1021" s="60">
        <v>0</v>
      </c>
      <c r="AA1021" s="60">
        <v>0</v>
      </c>
      <c r="AB1021" s="60">
        <v>0</v>
      </c>
      <c r="AC1021" s="60">
        <v>0</v>
      </c>
      <c r="AD1021" s="60">
        <v>92695.08</v>
      </c>
      <c r="AE1021" s="60">
        <v>0</v>
      </c>
      <c r="AF1021" s="170">
        <v>2021</v>
      </c>
      <c r="AG1021" s="170" t="s">
        <v>257</v>
      </c>
      <c r="AH1021" s="170" t="s">
        <v>257</v>
      </c>
    </row>
    <row r="1022" spans="1:34" ht="61.5" x14ac:dyDescent="0.85">
      <c r="B1022" s="160" t="s">
        <v>808</v>
      </c>
      <c r="C1022" s="160"/>
      <c r="D1022" s="177">
        <f t="shared" ref="D1022:AE1022" si="169">SUM(D1023:D1025)</f>
        <v>3501111.27</v>
      </c>
      <c r="E1022" s="60">
        <f t="shared" si="169"/>
        <v>0</v>
      </c>
      <c r="F1022" s="60">
        <f t="shared" si="169"/>
        <v>0</v>
      </c>
      <c r="G1022" s="60">
        <f t="shared" si="169"/>
        <v>0</v>
      </c>
      <c r="H1022" s="60">
        <f t="shared" si="169"/>
        <v>357686.98</v>
      </c>
      <c r="I1022" s="60">
        <f t="shared" si="169"/>
        <v>0</v>
      </c>
      <c r="J1022" s="60">
        <f t="shared" si="169"/>
        <v>0</v>
      </c>
      <c r="K1022" s="168">
        <f t="shared" si="169"/>
        <v>0</v>
      </c>
      <c r="L1022" s="60">
        <f t="shared" si="169"/>
        <v>0</v>
      </c>
      <c r="M1022" s="60">
        <f t="shared" si="169"/>
        <v>653.73</v>
      </c>
      <c r="N1022" s="60">
        <f t="shared" si="169"/>
        <v>3110520.06</v>
      </c>
      <c r="O1022" s="60">
        <f t="shared" si="169"/>
        <v>0</v>
      </c>
      <c r="P1022" s="60">
        <f t="shared" si="169"/>
        <v>0</v>
      </c>
      <c r="Q1022" s="60">
        <f t="shared" si="169"/>
        <v>0</v>
      </c>
      <c r="R1022" s="60">
        <f t="shared" si="169"/>
        <v>0</v>
      </c>
      <c r="S1022" s="60">
        <f t="shared" si="169"/>
        <v>0</v>
      </c>
      <c r="T1022" s="60">
        <f t="shared" si="169"/>
        <v>0</v>
      </c>
      <c r="U1022" s="60">
        <f t="shared" si="169"/>
        <v>0</v>
      </c>
      <c r="V1022" s="60">
        <f t="shared" si="169"/>
        <v>0</v>
      </c>
      <c r="W1022" s="60">
        <f t="shared" si="169"/>
        <v>0</v>
      </c>
      <c r="X1022" s="60">
        <f t="shared" si="169"/>
        <v>0</v>
      </c>
      <c r="Y1022" s="60">
        <f t="shared" si="169"/>
        <v>0</v>
      </c>
      <c r="Z1022" s="60">
        <f t="shared" si="169"/>
        <v>0</v>
      </c>
      <c r="AA1022" s="60">
        <f t="shared" si="169"/>
        <v>0</v>
      </c>
      <c r="AB1022" s="60">
        <f t="shared" si="169"/>
        <v>0</v>
      </c>
      <c r="AC1022" s="60">
        <f t="shared" si="169"/>
        <v>32904.230000000003</v>
      </c>
      <c r="AD1022" s="60">
        <f t="shared" si="169"/>
        <v>0</v>
      </c>
      <c r="AE1022" s="60">
        <f t="shared" si="169"/>
        <v>0</v>
      </c>
      <c r="AF1022" s="54" t="s">
        <v>701</v>
      </c>
      <c r="AG1022" s="54" t="s">
        <v>701</v>
      </c>
      <c r="AH1022" s="55" t="s">
        <v>701</v>
      </c>
    </row>
    <row r="1023" spans="1:34" ht="61.5" x14ac:dyDescent="0.85">
      <c r="A1023" s="7">
        <v>1</v>
      </c>
      <c r="B1023" s="59">
        <f>SUBTOTAL(103,$A$558:A1023)</f>
        <v>403</v>
      </c>
      <c r="C1023" s="160" t="s">
        <v>213</v>
      </c>
      <c r="D1023" s="60">
        <f>E1023+F1023+G1023+H1023+I1023+J1023+L1023+N1023+P1023+R1023+T1023+U1023+V1023+W1023+X1023+Y1023+Z1023+AA1023+AB1023+AC1023+AD1023+AE1023</f>
        <v>3138281.45</v>
      </c>
      <c r="E1023" s="60">
        <v>0</v>
      </c>
      <c r="F1023" s="60">
        <v>0</v>
      </c>
      <c r="G1023" s="60">
        <v>0</v>
      </c>
      <c r="H1023" s="60">
        <v>0</v>
      </c>
      <c r="I1023" s="60">
        <v>0</v>
      </c>
      <c r="J1023" s="60">
        <v>0</v>
      </c>
      <c r="K1023" s="168">
        <v>0</v>
      </c>
      <c r="L1023" s="60">
        <v>0</v>
      </c>
      <c r="M1023" s="60">
        <v>653.73</v>
      </c>
      <c r="N1023" s="60">
        <v>3110520.06</v>
      </c>
      <c r="O1023" s="60">
        <v>0</v>
      </c>
      <c r="P1023" s="60">
        <v>0</v>
      </c>
      <c r="Q1023" s="60">
        <v>0</v>
      </c>
      <c r="R1023" s="60">
        <v>0</v>
      </c>
      <c r="S1023" s="60">
        <v>0</v>
      </c>
      <c r="T1023" s="60">
        <v>0</v>
      </c>
      <c r="U1023" s="60">
        <v>0</v>
      </c>
      <c r="V1023" s="60">
        <v>0</v>
      </c>
      <c r="W1023" s="60">
        <v>0</v>
      </c>
      <c r="X1023" s="60">
        <v>0</v>
      </c>
      <c r="Y1023" s="60">
        <v>0</v>
      </c>
      <c r="Z1023" s="60">
        <v>0</v>
      </c>
      <c r="AA1023" s="60">
        <v>0</v>
      </c>
      <c r="AB1023" s="60">
        <v>0</v>
      </c>
      <c r="AC1023" s="62">
        <v>27761.39</v>
      </c>
      <c r="AD1023" s="60">
        <v>0</v>
      </c>
      <c r="AE1023" s="60">
        <v>0</v>
      </c>
      <c r="AF1023" s="170" t="s">
        <v>257</v>
      </c>
      <c r="AG1023" s="170">
        <v>2021</v>
      </c>
      <c r="AH1023" s="63">
        <v>2021</v>
      </c>
    </row>
    <row r="1024" spans="1:34" ht="61.5" x14ac:dyDescent="0.85">
      <c r="A1024" s="7">
        <v>1</v>
      </c>
      <c r="B1024" s="59">
        <f>SUBTOTAL(103,$A$558:A1024)</f>
        <v>404</v>
      </c>
      <c r="C1024" s="160" t="s">
        <v>208</v>
      </c>
      <c r="D1024" s="60">
        <f>E1024+F1024+G1024+H1024+I1024+J1024+L1024+N1024+P1024+R1024+T1024+U1024+V1024+W1024+X1024+Y1024+Z1024+AA1024+AB1024+AC1024+AD1024+AE1024</f>
        <v>241809.67</v>
      </c>
      <c r="E1024" s="60">
        <v>0</v>
      </c>
      <c r="F1024" s="60">
        <v>0</v>
      </c>
      <c r="G1024" s="60">
        <v>0</v>
      </c>
      <c r="H1024" s="62">
        <v>238465.2</v>
      </c>
      <c r="I1024" s="60">
        <v>0</v>
      </c>
      <c r="J1024" s="60">
        <v>0</v>
      </c>
      <c r="K1024" s="168">
        <v>0</v>
      </c>
      <c r="L1024" s="60">
        <v>0</v>
      </c>
      <c r="M1024" s="60">
        <v>0</v>
      </c>
      <c r="N1024" s="60">
        <v>0</v>
      </c>
      <c r="O1024" s="60">
        <v>0</v>
      </c>
      <c r="P1024" s="60">
        <v>0</v>
      </c>
      <c r="Q1024" s="60">
        <v>0</v>
      </c>
      <c r="R1024" s="60">
        <v>0</v>
      </c>
      <c r="S1024" s="60">
        <v>0</v>
      </c>
      <c r="T1024" s="60">
        <v>0</v>
      </c>
      <c r="U1024" s="60">
        <v>0</v>
      </c>
      <c r="V1024" s="60">
        <v>0</v>
      </c>
      <c r="W1024" s="60">
        <v>0</v>
      </c>
      <c r="X1024" s="60">
        <v>0</v>
      </c>
      <c r="Y1024" s="60">
        <v>0</v>
      </c>
      <c r="Z1024" s="60">
        <v>0</v>
      </c>
      <c r="AA1024" s="60">
        <v>0</v>
      </c>
      <c r="AB1024" s="60">
        <v>0</v>
      </c>
      <c r="AC1024" s="62">
        <v>3344.47</v>
      </c>
      <c r="AD1024" s="60">
        <v>0</v>
      </c>
      <c r="AE1024" s="60">
        <v>0</v>
      </c>
      <c r="AF1024" s="170" t="s">
        <v>257</v>
      </c>
      <c r="AG1024" s="170">
        <v>2021</v>
      </c>
      <c r="AH1024" s="63">
        <v>2021</v>
      </c>
    </row>
    <row r="1025" spans="1:34" ht="61.5" x14ac:dyDescent="0.85">
      <c r="A1025" s="7">
        <v>1</v>
      </c>
      <c r="B1025" s="59">
        <f>SUBTOTAL(103,$A$558:A1025)</f>
        <v>405</v>
      </c>
      <c r="C1025" s="160" t="s">
        <v>1197</v>
      </c>
      <c r="D1025" s="60">
        <f>E1025+F1025+G1025+H1025+I1025+J1025+L1025+N1025+P1025+R1025+T1025+U1025+V1025+W1025+X1025+Y1025+Z1025+AA1025+AB1025+AC1025+AD1025+AE1025</f>
        <v>121020.15</v>
      </c>
      <c r="E1025" s="60">
        <v>0</v>
      </c>
      <c r="F1025" s="60">
        <v>0</v>
      </c>
      <c r="G1025" s="60">
        <v>0</v>
      </c>
      <c r="H1025" s="62">
        <f>120493.78-1272</f>
        <v>119221.78</v>
      </c>
      <c r="I1025" s="60">
        <v>0</v>
      </c>
      <c r="J1025" s="60">
        <v>0</v>
      </c>
      <c r="K1025" s="168">
        <v>0</v>
      </c>
      <c r="L1025" s="60">
        <v>0</v>
      </c>
      <c r="M1025" s="60">
        <v>0</v>
      </c>
      <c r="N1025" s="60">
        <v>0</v>
      </c>
      <c r="O1025" s="60">
        <v>0</v>
      </c>
      <c r="P1025" s="60">
        <v>0</v>
      </c>
      <c r="Q1025" s="60">
        <v>0</v>
      </c>
      <c r="R1025" s="60">
        <v>0</v>
      </c>
      <c r="S1025" s="60">
        <v>0</v>
      </c>
      <c r="T1025" s="60">
        <v>0</v>
      </c>
      <c r="U1025" s="60">
        <v>0</v>
      </c>
      <c r="V1025" s="60">
        <v>0</v>
      </c>
      <c r="W1025" s="60">
        <v>0</v>
      </c>
      <c r="X1025" s="60">
        <v>0</v>
      </c>
      <c r="Y1025" s="60">
        <v>0</v>
      </c>
      <c r="Z1025" s="60">
        <v>0</v>
      </c>
      <c r="AA1025" s="60">
        <v>0</v>
      </c>
      <c r="AB1025" s="60">
        <v>0</v>
      </c>
      <c r="AC1025" s="62">
        <v>1798.37</v>
      </c>
      <c r="AD1025" s="60">
        <v>0</v>
      </c>
      <c r="AE1025" s="60">
        <v>0</v>
      </c>
      <c r="AF1025" s="170" t="s">
        <v>257</v>
      </c>
      <c r="AG1025" s="170">
        <v>2021</v>
      </c>
      <c r="AH1025" s="63">
        <v>2021</v>
      </c>
    </row>
    <row r="1026" spans="1:34" ht="61.5" x14ac:dyDescent="0.85">
      <c r="B1026" s="160" t="s">
        <v>810</v>
      </c>
      <c r="C1026" s="160"/>
      <c r="D1026" s="177">
        <f t="shared" ref="D1026:AE1026" si="170">D1027</f>
        <v>2772593.48</v>
      </c>
      <c r="E1026" s="60">
        <f t="shared" si="170"/>
        <v>0</v>
      </c>
      <c r="F1026" s="60">
        <f t="shared" si="170"/>
        <v>0</v>
      </c>
      <c r="G1026" s="60">
        <f t="shared" si="170"/>
        <v>0</v>
      </c>
      <c r="H1026" s="60">
        <f t="shared" si="170"/>
        <v>0</v>
      </c>
      <c r="I1026" s="60">
        <f t="shared" si="170"/>
        <v>0</v>
      </c>
      <c r="J1026" s="60">
        <f t="shared" si="170"/>
        <v>0</v>
      </c>
      <c r="K1026" s="168">
        <f t="shared" si="170"/>
        <v>0</v>
      </c>
      <c r="L1026" s="60">
        <f t="shared" si="170"/>
        <v>0</v>
      </c>
      <c r="M1026" s="60">
        <f t="shared" si="170"/>
        <v>633.74</v>
      </c>
      <c r="N1026" s="60">
        <f t="shared" si="170"/>
        <v>2748066.98</v>
      </c>
      <c r="O1026" s="60">
        <f t="shared" si="170"/>
        <v>0</v>
      </c>
      <c r="P1026" s="60">
        <f t="shared" si="170"/>
        <v>0</v>
      </c>
      <c r="Q1026" s="60">
        <f t="shared" si="170"/>
        <v>0</v>
      </c>
      <c r="R1026" s="60">
        <f t="shared" si="170"/>
        <v>0</v>
      </c>
      <c r="S1026" s="60">
        <f t="shared" si="170"/>
        <v>0</v>
      </c>
      <c r="T1026" s="60">
        <f t="shared" si="170"/>
        <v>0</v>
      </c>
      <c r="U1026" s="60">
        <f t="shared" si="170"/>
        <v>0</v>
      </c>
      <c r="V1026" s="60">
        <f t="shared" si="170"/>
        <v>0</v>
      </c>
      <c r="W1026" s="60">
        <f t="shared" si="170"/>
        <v>0</v>
      </c>
      <c r="X1026" s="60">
        <f t="shared" si="170"/>
        <v>0</v>
      </c>
      <c r="Y1026" s="60">
        <f t="shared" si="170"/>
        <v>0</v>
      </c>
      <c r="Z1026" s="60">
        <f t="shared" si="170"/>
        <v>0</v>
      </c>
      <c r="AA1026" s="60">
        <f t="shared" si="170"/>
        <v>0</v>
      </c>
      <c r="AB1026" s="60">
        <f t="shared" si="170"/>
        <v>0</v>
      </c>
      <c r="AC1026" s="60">
        <f t="shared" si="170"/>
        <v>24526.5</v>
      </c>
      <c r="AD1026" s="60">
        <f t="shared" si="170"/>
        <v>0</v>
      </c>
      <c r="AE1026" s="60">
        <f t="shared" si="170"/>
        <v>0</v>
      </c>
      <c r="AF1026" s="54" t="s">
        <v>701</v>
      </c>
      <c r="AG1026" s="54" t="s">
        <v>701</v>
      </c>
      <c r="AH1026" s="55" t="s">
        <v>701</v>
      </c>
    </row>
    <row r="1027" spans="1:34" ht="61.5" x14ac:dyDescent="0.85">
      <c r="A1027" s="7">
        <v>1</v>
      </c>
      <c r="B1027" s="59">
        <f>SUBTOTAL(103,$A$558:A1027)</f>
        <v>406</v>
      </c>
      <c r="C1027" s="160" t="s">
        <v>207</v>
      </c>
      <c r="D1027" s="60">
        <f>E1027+F1027+G1027+H1027+I1027+J1027+L1027+N1027+P1027+R1027+T1027+U1027+V1027+W1027+X1027+Y1027+Z1027+AA1027+AB1027+AC1027+AD1027+AE1027</f>
        <v>2772593.48</v>
      </c>
      <c r="E1027" s="60">
        <v>0</v>
      </c>
      <c r="F1027" s="60">
        <v>0</v>
      </c>
      <c r="G1027" s="60">
        <v>0</v>
      </c>
      <c r="H1027" s="60">
        <v>0</v>
      </c>
      <c r="I1027" s="60">
        <v>0</v>
      </c>
      <c r="J1027" s="60">
        <v>0</v>
      </c>
      <c r="K1027" s="168">
        <v>0</v>
      </c>
      <c r="L1027" s="60">
        <v>0</v>
      </c>
      <c r="M1027" s="60">
        <v>633.74</v>
      </c>
      <c r="N1027" s="60">
        <v>2748066.98</v>
      </c>
      <c r="O1027" s="60">
        <v>0</v>
      </c>
      <c r="P1027" s="60">
        <v>0</v>
      </c>
      <c r="Q1027" s="60">
        <v>0</v>
      </c>
      <c r="R1027" s="60">
        <v>0</v>
      </c>
      <c r="S1027" s="60">
        <v>0</v>
      </c>
      <c r="T1027" s="60">
        <v>0</v>
      </c>
      <c r="U1027" s="60">
        <v>0</v>
      </c>
      <c r="V1027" s="60">
        <v>0</v>
      </c>
      <c r="W1027" s="60">
        <v>0</v>
      </c>
      <c r="X1027" s="60">
        <v>0</v>
      </c>
      <c r="Y1027" s="60">
        <v>0</v>
      </c>
      <c r="Z1027" s="60">
        <v>0</v>
      </c>
      <c r="AA1027" s="60">
        <v>0</v>
      </c>
      <c r="AB1027" s="60">
        <v>0</v>
      </c>
      <c r="AC1027" s="62">
        <v>24526.5</v>
      </c>
      <c r="AD1027" s="60">
        <v>0</v>
      </c>
      <c r="AE1027" s="60">
        <v>0</v>
      </c>
      <c r="AF1027" s="170" t="s">
        <v>257</v>
      </c>
      <c r="AG1027" s="170">
        <v>2021</v>
      </c>
      <c r="AH1027" s="63">
        <v>2021</v>
      </c>
    </row>
    <row r="1028" spans="1:34" ht="61.5" x14ac:dyDescent="0.85">
      <c r="B1028" s="160" t="s">
        <v>809</v>
      </c>
      <c r="C1028" s="160"/>
      <c r="D1028" s="177">
        <f t="shared" ref="D1028:AE1028" si="171">D1029</f>
        <v>47652.14</v>
      </c>
      <c r="E1028" s="60">
        <f t="shared" si="171"/>
        <v>0</v>
      </c>
      <c r="F1028" s="60">
        <f t="shared" si="171"/>
        <v>0</v>
      </c>
      <c r="G1028" s="60">
        <f t="shared" si="171"/>
        <v>0</v>
      </c>
      <c r="H1028" s="60">
        <f t="shared" si="171"/>
        <v>0</v>
      </c>
      <c r="I1028" s="60">
        <f t="shared" si="171"/>
        <v>0</v>
      </c>
      <c r="J1028" s="60">
        <f t="shared" si="171"/>
        <v>0</v>
      </c>
      <c r="K1028" s="168">
        <f t="shared" si="171"/>
        <v>0</v>
      </c>
      <c r="L1028" s="60">
        <f t="shared" si="171"/>
        <v>0</v>
      </c>
      <c r="M1028" s="60">
        <f t="shared" si="171"/>
        <v>0</v>
      </c>
      <c r="N1028" s="60">
        <f t="shared" si="171"/>
        <v>0</v>
      </c>
      <c r="O1028" s="60">
        <f t="shared" si="171"/>
        <v>0</v>
      </c>
      <c r="P1028" s="60">
        <f t="shared" si="171"/>
        <v>0</v>
      </c>
      <c r="Q1028" s="60">
        <f t="shared" si="171"/>
        <v>0</v>
      </c>
      <c r="R1028" s="60">
        <f t="shared" si="171"/>
        <v>0</v>
      </c>
      <c r="S1028" s="60">
        <f t="shared" si="171"/>
        <v>0</v>
      </c>
      <c r="T1028" s="60">
        <f t="shared" si="171"/>
        <v>0</v>
      </c>
      <c r="U1028" s="60">
        <f t="shared" si="171"/>
        <v>0</v>
      </c>
      <c r="V1028" s="60">
        <f t="shared" si="171"/>
        <v>0</v>
      </c>
      <c r="W1028" s="60">
        <f t="shared" si="171"/>
        <v>0</v>
      </c>
      <c r="X1028" s="60">
        <f t="shared" si="171"/>
        <v>0</v>
      </c>
      <c r="Y1028" s="60">
        <f t="shared" si="171"/>
        <v>0</v>
      </c>
      <c r="Z1028" s="60">
        <f t="shared" si="171"/>
        <v>0</v>
      </c>
      <c r="AA1028" s="60">
        <f t="shared" si="171"/>
        <v>0</v>
      </c>
      <c r="AB1028" s="60">
        <f t="shared" si="171"/>
        <v>0</v>
      </c>
      <c r="AC1028" s="60">
        <f t="shared" si="171"/>
        <v>0</v>
      </c>
      <c r="AD1028" s="60">
        <f t="shared" si="171"/>
        <v>47652.14</v>
      </c>
      <c r="AE1028" s="60">
        <f t="shared" si="171"/>
        <v>0</v>
      </c>
      <c r="AF1028" s="54" t="s">
        <v>701</v>
      </c>
      <c r="AG1028" s="54" t="s">
        <v>701</v>
      </c>
      <c r="AH1028" s="55" t="s">
        <v>701</v>
      </c>
    </row>
    <row r="1029" spans="1:34" ht="61.5" x14ac:dyDescent="0.85">
      <c r="A1029" s="7">
        <v>1</v>
      </c>
      <c r="B1029" s="59">
        <f>SUBTOTAL(103,$A$558:A1029)</f>
        <v>407</v>
      </c>
      <c r="C1029" s="160" t="s">
        <v>212</v>
      </c>
      <c r="D1029" s="60">
        <f>E1029+F1029+G1029+H1029+I1029+J1029+L1029+N1029+P1029+R1029+T1029+U1029+V1029+W1029+X1029+Y1029+Z1029+AA1029+AB1029+AC1029+AD1029+AE1029</f>
        <v>47652.14</v>
      </c>
      <c r="E1029" s="60">
        <v>0</v>
      </c>
      <c r="F1029" s="60">
        <v>0</v>
      </c>
      <c r="G1029" s="60">
        <v>0</v>
      </c>
      <c r="H1029" s="60">
        <v>0</v>
      </c>
      <c r="I1029" s="60">
        <v>0</v>
      </c>
      <c r="J1029" s="60">
        <v>0</v>
      </c>
      <c r="K1029" s="168">
        <v>0</v>
      </c>
      <c r="L1029" s="60">
        <v>0</v>
      </c>
      <c r="M1029" s="60">
        <v>0</v>
      </c>
      <c r="N1029" s="60">
        <v>0</v>
      </c>
      <c r="O1029" s="60">
        <v>0</v>
      </c>
      <c r="P1029" s="60">
        <v>0</v>
      </c>
      <c r="Q1029" s="60">
        <v>0</v>
      </c>
      <c r="R1029" s="60">
        <v>0</v>
      </c>
      <c r="S1029" s="60">
        <v>0</v>
      </c>
      <c r="T1029" s="60">
        <v>0</v>
      </c>
      <c r="U1029" s="60">
        <v>0</v>
      </c>
      <c r="V1029" s="60">
        <v>0</v>
      </c>
      <c r="W1029" s="60">
        <v>0</v>
      </c>
      <c r="X1029" s="60">
        <v>0</v>
      </c>
      <c r="Y1029" s="60">
        <v>0</v>
      </c>
      <c r="Z1029" s="60">
        <v>0</v>
      </c>
      <c r="AA1029" s="60">
        <v>0</v>
      </c>
      <c r="AB1029" s="60">
        <v>0</v>
      </c>
      <c r="AC1029" s="60">
        <f>ROUND((E1029+F1029+G1029+H1029+I1029+J1029)*1.5%,2)</f>
        <v>0</v>
      </c>
      <c r="AD1029" s="62">
        <v>47652.14</v>
      </c>
      <c r="AE1029" s="60">
        <v>0</v>
      </c>
      <c r="AF1029" s="170">
        <v>2021</v>
      </c>
      <c r="AG1029" s="170" t="s">
        <v>257</v>
      </c>
      <c r="AH1029" s="170" t="s">
        <v>257</v>
      </c>
    </row>
    <row r="1030" spans="1:34" ht="61.5" x14ac:dyDescent="0.85">
      <c r="B1030" s="160" t="s">
        <v>705</v>
      </c>
      <c r="C1030" s="161"/>
      <c r="D1030" s="177">
        <f>D1401+D1031+D1111+D1132+D1181+D1218+D1230+D1251+D1257+D1264+D1268+D1270+D1274+D1277+D1280+D1295+D1301+D1304+D1310+D1316+D1319+D1324+D1331+D1336+D1341+D1359+D1364+D1369+D1371+D1378+D1380+D1382+D1386+D1388+D1390+D1392+D1396+D1399+D1403+D1408+D1411+D1415+D1419+D1424+D1428+D1431+D1434+D1436+D1438+D1441+D1446+D1450+D1452+D1454+D1308+D1327+D1460+D1413+D1312+D1314+D1338+D1293+D1362+D1357+D1334</f>
        <v>1849135283.1183748</v>
      </c>
      <c r="E1030" s="60">
        <f t="shared" ref="E1030:AE1030" si="172">E1401+E1031+E1111+E1132+E1181+E1218+E1230+E1251+E1257+E1264+E1268+E1270+E1274+E1277+E1280+E1295+E1301+E1304+E1310+E1316+E1319+E1324+E1331+E1336+E1341+E1359+E1364+E1369+E1371+E1378+E1380+E1382+E1386+E1388+E1390+E1392+E1396+E1399+E1403+E1408+E1411+E1415+E1419+E1424+E1428+E1431+E1434+E1436+E1438+E1441+E1446+E1450+E1452+E1454+E1308+E1327+E1460+E1413+E1312+E1314+E1338+E1293+E1362+E1357+E1334</f>
        <v>883331.07</v>
      </c>
      <c r="F1030" s="60">
        <f t="shared" si="172"/>
        <v>0</v>
      </c>
      <c r="G1030" s="60">
        <f t="shared" si="172"/>
        <v>31505156.399999999</v>
      </c>
      <c r="H1030" s="60">
        <f t="shared" si="172"/>
        <v>1324029.97</v>
      </c>
      <c r="I1030" s="60">
        <f t="shared" si="172"/>
        <v>894949</v>
      </c>
      <c r="J1030" s="60">
        <f t="shared" si="172"/>
        <v>0</v>
      </c>
      <c r="K1030" s="168">
        <f t="shared" si="172"/>
        <v>136</v>
      </c>
      <c r="L1030" s="60">
        <f t="shared" si="172"/>
        <v>387616025.50999999</v>
      </c>
      <c r="M1030" s="60">
        <f t="shared" si="172"/>
        <v>163346.44500000001</v>
      </c>
      <c r="N1030" s="60">
        <f t="shared" si="172"/>
        <v>1132787568.25</v>
      </c>
      <c r="O1030" s="60">
        <f t="shared" si="172"/>
        <v>0</v>
      </c>
      <c r="P1030" s="60">
        <f t="shared" si="172"/>
        <v>0</v>
      </c>
      <c r="Q1030" s="60">
        <f t="shared" si="172"/>
        <v>41691.43</v>
      </c>
      <c r="R1030" s="60">
        <f t="shared" si="172"/>
        <v>201632181.49999997</v>
      </c>
      <c r="S1030" s="60">
        <f t="shared" si="172"/>
        <v>36.47</v>
      </c>
      <c r="T1030" s="60">
        <f t="shared" si="172"/>
        <v>764466.55</v>
      </c>
      <c r="U1030" s="60">
        <f t="shared" si="172"/>
        <v>17172276.18</v>
      </c>
      <c r="V1030" s="60">
        <f t="shared" si="172"/>
        <v>320233</v>
      </c>
      <c r="W1030" s="60">
        <f t="shared" si="172"/>
        <v>0</v>
      </c>
      <c r="X1030" s="60">
        <f t="shared" si="172"/>
        <v>0</v>
      </c>
      <c r="Y1030" s="60">
        <f t="shared" si="172"/>
        <v>0</v>
      </c>
      <c r="Z1030" s="60">
        <f t="shared" si="172"/>
        <v>0</v>
      </c>
      <c r="AA1030" s="60">
        <f t="shared" si="172"/>
        <v>261153.49</v>
      </c>
      <c r="AB1030" s="60">
        <f t="shared" si="172"/>
        <v>20967730.350000001</v>
      </c>
      <c r="AC1030" s="60">
        <f t="shared" si="172"/>
        <v>21412358.088374991</v>
      </c>
      <c r="AD1030" s="60">
        <f t="shared" si="172"/>
        <v>31593823.760000009</v>
      </c>
      <c r="AE1030" s="60">
        <f t="shared" si="172"/>
        <v>0</v>
      </c>
      <c r="AF1030" s="54" t="s">
        <v>701</v>
      </c>
      <c r="AG1030" s="54" t="s">
        <v>701</v>
      </c>
      <c r="AH1030" s="55" t="s">
        <v>701</v>
      </c>
    </row>
    <row r="1031" spans="1:34" ht="61.5" x14ac:dyDescent="0.85">
      <c r="B1031" s="160" t="s">
        <v>1027</v>
      </c>
      <c r="C1031" s="160"/>
      <c r="D1031" s="177">
        <f t="shared" ref="D1031:AE1031" si="173">SUM(D1032:D1110)</f>
        <v>408360563.59999985</v>
      </c>
      <c r="E1031" s="60">
        <f t="shared" si="173"/>
        <v>0</v>
      </c>
      <c r="F1031" s="60">
        <f t="shared" si="173"/>
        <v>0</v>
      </c>
      <c r="G1031" s="60">
        <f t="shared" si="173"/>
        <v>0</v>
      </c>
      <c r="H1031" s="60">
        <f t="shared" si="173"/>
        <v>0</v>
      </c>
      <c r="I1031" s="60">
        <f t="shared" si="173"/>
        <v>0</v>
      </c>
      <c r="J1031" s="60">
        <f t="shared" si="173"/>
        <v>0</v>
      </c>
      <c r="K1031" s="168">
        <f t="shared" si="173"/>
        <v>11</v>
      </c>
      <c r="L1031" s="60">
        <f t="shared" si="173"/>
        <v>29817744.440000001</v>
      </c>
      <c r="M1031" s="60">
        <f t="shared" si="173"/>
        <v>49360.644999999997</v>
      </c>
      <c r="N1031" s="60">
        <f t="shared" si="173"/>
        <v>293801445.06999999</v>
      </c>
      <c r="O1031" s="60">
        <f t="shared" si="173"/>
        <v>0</v>
      </c>
      <c r="P1031" s="60">
        <f t="shared" si="173"/>
        <v>0</v>
      </c>
      <c r="Q1031" s="60">
        <f t="shared" si="173"/>
        <v>11498.279999999999</v>
      </c>
      <c r="R1031" s="60">
        <f t="shared" si="173"/>
        <v>64163419.969999999</v>
      </c>
      <c r="S1031" s="60">
        <f t="shared" si="173"/>
        <v>0</v>
      </c>
      <c r="T1031" s="60">
        <f t="shared" si="173"/>
        <v>0</v>
      </c>
      <c r="U1031" s="60">
        <f t="shared" si="173"/>
        <v>0</v>
      </c>
      <c r="V1031" s="60">
        <f t="shared" si="173"/>
        <v>0</v>
      </c>
      <c r="W1031" s="60">
        <f t="shared" si="173"/>
        <v>0</v>
      </c>
      <c r="X1031" s="60">
        <f t="shared" si="173"/>
        <v>0</v>
      </c>
      <c r="Y1031" s="60">
        <f t="shared" si="173"/>
        <v>0</v>
      </c>
      <c r="Z1031" s="60">
        <f t="shared" si="173"/>
        <v>0</v>
      </c>
      <c r="AA1031" s="60">
        <f t="shared" si="173"/>
        <v>261153.49</v>
      </c>
      <c r="AB1031" s="60">
        <f t="shared" si="173"/>
        <v>7065236.2400000002</v>
      </c>
      <c r="AC1031" s="60">
        <f t="shared" si="173"/>
        <v>6800018.299999998</v>
      </c>
      <c r="AD1031" s="60">
        <f t="shared" si="173"/>
        <v>6451546.0899999989</v>
      </c>
      <c r="AE1031" s="60">
        <f t="shared" si="173"/>
        <v>0</v>
      </c>
      <c r="AF1031" s="54" t="s">
        <v>701</v>
      </c>
      <c r="AG1031" s="54" t="s">
        <v>701</v>
      </c>
      <c r="AH1031" s="55" t="s">
        <v>701</v>
      </c>
    </row>
    <row r="1032" spans="1:34" ht="61.5" x14ac:dyDescent="0.85">
      <c r="A1032" s="7">
        <v>1</v>
      </c>
      <c r="B1032" s="59">
        <f>SUBTOTAL(103,$A$1032:A1032)</f>
        <v>1</v>
      </c>
      <c r="C1032" s="160" t="s">
        <v>1005</v>
      </c>
      <c r="D1032" s="60">
        <f t="shared" ref="D1032:D1058" si="174">E1032+F1032+G1032+H1032+I1032+J1032+L1032+N1032+P1032+R1032+T1032+U1032+V1032+W1032+X1032+Y1032+Z1032+AA1032+AB1032+AC1032+AD1032+AE1032</f>
        <v>106635.74</v>
      </c>
      <c r="E1032" s="60">
        <v>0</v>
      </c>
      <c r="F1032" s="60">
        <v>0</v>
      </c>
      <c r="G1032" s="60">
        <v>0</v>
      </c>
      <c r="H1032" s="60">
        <v>0</v>
      </c>
      <c r="I1032" s="60">
        <v>0</v>
      </c>
      <c r="J1032" s="60">
        <v>0</v>
      </c>
      <c r="K1032" s="168">
        <v>0</v>
      </c>
      <c r="L1032" s="60">
        <v>0</v>
      </c>
      <c r="M1032" s="60">
        <v>0</v>
      </c>
      <c r="N1032" s="60">
        <v>0</v>
      </c>
      <c r="O1032" s="60">
        <v>0</v>
      </c>
      <c r="P1032" s="60">
        <v>0</v>
      </c>
      <c r="Q1032" s="60">
        <v>0</v>
      </c>
      <c r="R1032" s="60">
        <v>0</v>
      </c>
      <c r="S1032" s="60">
        <v>0</v>
      </c>
      <c r="T1032" s="60">
        <v>0</v>
      </c>
      <c r="U1032" s="60">
        <v>0</v>
      </c>
      <c r="V1032" s="60">
        <v>0</v>
      </c>
      <c r="W1032" s="60">
        <v>0</v>
      </c>
      <c r="X1032" s="60">
        <v>0</v>
      </c>
      <c r="Y1032" s="60">
        <v>0</v>
      </c>
      <c r="Z1032" s="60">
        <v>0</v>
      </c>
      <c r="AA1032" s="60">
        <v>0</v>
      </c>
      <c r="AB1032" s="60">
        <v>0</v>
      </c>
      <c r="AC1032" s="60">
        <v>0</v>
      </c>
      <c r="AD1032" s="60">
        <v>106635.74</v>
      </c>
      <c r="AE1032" s="60">
        <v>0</v>
      </c>
      <c r="AF1032" s="170">
        <v>2022</v>
      </c>
      <c r="AG1032" s="170" t="s">
        <v>257</v>
      </c>
      <c r="AH1032" s="63" t="s">
        <v>257</v>
      </c>
    </row>
    <row r="1033" spans="1:34" ht="61.5" x14ac:dyDescent="0.85">
      <c r="A1033" s="7">
        <v>1</v>
      </c>
      <c r="B1033" s="59">
        <f>SUBTOTAL(103,$A$1032:A1033)</f>
        <v>2</v>
      </c>
      <c r="C1033" s="160" t="s">
        <v>539</v>
      </c>
      <c r="D1033" s="60">
        <f t="shared" si="174"/>
        <v>5344964.5</v>
      </c>
      <c r="E1033" s="60">
        <v>0</v>
      </c>
      <c r="F1033" s="60">
        <v>0</v>
      </c>
      <c r="G1033" s="60">
        <v>0</v>
      </c>
      <c r="H1033" s="60">
        <v>0</v>
      </c>
      <c r="I1033" s="60">
        <v>0</v>
      </c>
      <c r="J1033" s="60">
        <v>0</v>
      </c>
      <c r="K1033" s="168">
        <v>0</v>
      </c>
      <c r="L1033" s="60">
        <v>0</v>
      </c>
      <c r="M1033" s="60">
        <v>722.85500000000002</v>
      </c>
      <c r="N1033" s="60">
        <v>5149815</v>
      </c>
      <c r="O1033" s="60">
        <v>0</v>
      </c>
      <c r="P1033" s="60">
        <v>0</v>
      </c>
      <c r="Q1033" s="60">
        <v>0</v>
      </c>
      <c r="R1033" s="60">
        <v>0</v>
      </c>
      <c r="S1033" s="60">
        <v>0</v>
      </c>
      <c r="T1033" s="60">
        <v>0</v>
      </c>
      <c r="U1033" s="60">
        <v>0</v>
      </c>
      <c r="V1033" s="60">
        <v>0</v>
      </c>
      <c r="W1033" s="60">
        <v>0</v>
      </c>
      <c r="X1033" s="60">
        <v>0</v>
      </c>
      <c r="Y1033" s="60">
        <v>0</v>
      </c>
      <c r="Z1033" s="60">
        <v>0</v>
      </c>
      <c r="AA1033" s="60">
        <v>0</v>
      </c>
      <c r="AB1033" s="60">
        <v>0</v>
      </c>
      <c r="AC1033" s="60">
        <v>106899.86</v>
      </c>
      <c r="AD1033" s="60">
        <v>88249.64</v>
      </c>
      <c r="AE1033" s="60">
        <v>0</v>
      </c>
      <c r="AF1033" s="170">
        <v>2022</v>
      </c>
      <c r="AG1033" s="170">
        <v>2022</v>
      </c>
      <c r="AH1033" s="63">
        <v>2022</v>
      </c>
    </row>
    <row r="1034" spans="1:34" ht="61.5" x14ac:dyDescent="0.85">
      <c r="A1034" s="7">
        <v>1</v>
      </c>
      <c r="B1034" s="59">
        <f>SUBTOTAL(103,$A$1032:A1034)</f>
        <v>3</v>
      </c>
      <c r="C1034" s="160" t="s">
        <v>2698</v>
      </c>
      <c r="D1034" s="60">
        <f t="shared" si="174"/>
        <v>4911514.4400000004</v>
      </c>
      <c r="E1034" s="60">
        <v>0</v>
      </c>
      <c r="F1034" s="60">
        <v>0</v>
      </c>
      <c r="G1034" s="60">
        <v>0</v>
      </c>
      <c r="H1034" s="60">
        <v>0</v>
      </c>
      <c r="I1034" s="60">
        <v>0</v>
      </c>
      <c r="J1034" s="60">
        <v>0</v>
      </c>
      <c r="K1034" s="168">
        <v>0</v>
      </c>
      <c r="L1034" s="60">
        <v>0</v>
      </c>
      <c r="M1034" s="60">
        <v>782.8</v>
      </c>
      <c r="N1034" s="60">
        <v>4678771</v>
      </c>
      <c r="O1034" s="60">
        <v>0</v>
      </c>
      <c r="P1034" s="60">
        <v>0</v>
      </c>
      <c r="Q1034" s="60">
        <v>0</v>
      </c>
      <c r="R1034" s="60">
        <v>0</v>
      </c>
      <c r="S1034" s="60">
        <v>0</v>
      </c>
      <c r="T1034" s="60">
        <v>0</v>
      </c>
      <c r="U1034" s="60">
        <v>0</v>
      </c>
      <c r="V1034" s="60">
        <v>0</v>
      </c>
      <c r="W1034" s="60">
        <v>0</v>
      </c>
      <c r="X1034" s="60">
        <v>0</v>
      </c>
      <c r="Y1034" s="60">
        <v>0</v>
      </c>
      <c r="Z1034" s="60">
        <v>0</v>
      </c>
      <c r="AA1034" s="60">
        <v>0</v>
      </c>
      <c r="AB1034" s="60">
        <v>0</v>
      </c>
      <c r="AC1034" s="60">
        <f>ROUND(N1034*2.14%,2)+ROUND(E1034*2.14%,2)+ROUND(F1034*2.14%,2)+ROUND(G1034*2.14%,2)+ROUND(H1034*2.14%,2)+ROUND(I1034*2.14%,2)+ROUND(J1034*2.14%,2)+ROUND(L1034*2.14%,2)+ROUND(P1034*2.14%,2)+ROUND(R1034*2.14%,2)+ROUND(T1034*2.14%,2)+ROUND(U1034*2.14%,2)+ROUND(V1034*2.14%,2)+ROUND(W1034*2.14%,2)+ROUND(X1034*2.14%,2)+ROUND(Y1034*2.14%,2)+ROUND(Z1034*2.14%,2)+ROUND(AA1034*2.14%,2)+ROUND(AB1034*2.14%,2)</f>
        <v>100125.7</v>
      </c>
      <c r="AD1034" s="60">
        <v>132617.74</v>
      </c>
      <c r="AE1034" s="60">
        <v>0</v>
      </c>
      <c r="AF1034" s="170">
        <v>2022</v>
      </c>
      <c r="AG1034" s="170">
        <v>2022</v>
      </c>
      <c r="AH1034" s="63">
        <v>2022</v>
      </c>
    </row>
    <row r="1035" spans="1:34" ht="61.5" x14ac:dyDescent="0.85">
      <c r="A1035" s="7">
        <v>1</v>
      </c>
      <c r="B1035" s="59">
        <f>SUBTOTAL(103,$A$1032:A1035)</f>
        <v>4</v>
      </c>
      <c r="C1035" s="160" t="s">
        <v>540</v>
      </c>
      <c r="D1035" s="60">
        <f t="shared" si="174"/>
        <v>4015583.8299999996</v>
      </c>
      <c r="E1035" s="60">
        <v>0</v>
      </c>
      <c r="F1035" s="60">
        <v>0</v>
      </c>
      <c r="G1035" s="60">
        <v>0</v>
      </c>
      <c r="H1035" s="60">
        <v>0</v>
      </c>
      <c r="I1035" s="60">
        <v>0</v>
      </c>
      <c r="J1035" s="60">
        <v>0</v>
      </c>
      <c r="K1035" s="168">
        <v>0</v>
      </c>
      <c r="L1035" s="60">
        <v>0</v>
      </c>
      <c r="M1035" s="60">
        <v>545.47</v>
      </c>
      <c r="N1035" s="60">
        <v>3847470</v>
      </c>
      <c r="O1035" s="60">
        <v>0</v>
      </c>
      <c r="P1035" s="60">
        <v>0</v>
      </c>
      <c r="Q1035" s="60">
        <v>0</v>
      </c>
      <c r="R1035" s="60">
        <v>0</v>
      </c>
      <c r="S1035" s="60">
        <v>0</v>
      </c>
      <c r="T1035" s="60">
        <v>0</v>
      </c>
      <c r="U1035" s="60">
        <v>0</v>
      </c>
      <c r="V1035" s="60">
        <v>0</v>
      </c>
      <c r="W1035" s="60">
        <v>0</v>
      </c>
      <c r="X1035" s="60">
        <v>0</v>
      </c>
      <c r="Y1035" s="60">
        <v>0</v>
      </c>
      <c r="Z1035" s="60">
        <v>0</v>
      </c>
      <c r="AA1035" s="60">
        <v>0</v>
      </c>
      <c r="AB1035" s="60">
        <v>0</v>
      </c>
      <c r="AC1035" s="60">
        <v>79865.78</v>
      </c>
      <c r="AD1035" s="60">
        <v>88248.05</v>
      </c>
      <c r="AE1035" s="60">
        <v>0</v>
      </c>
      <c r="AF1035" s="170">
        <v>2022</v>
      </c>
      <c r="AG1035" s="170">
        <v>2022</v>
      </c>
      <c r="AH1035" s="63">
        <v>2022</v>
      </c>
    </row>
    <row r="1036" spans="1:34" ht="61.5" x14ac:dyDescent="0.85">
      <c r="A1036" s="7">
        <v>1</v>
      </c>
      <c r="B1036" s="59">
        <f>SUBTOTAL(103,$A$1032:A1036)</f>
        <v>5</v>
      </c>
      <c r="C1036" s="160" t="s">
        <v>1530</v>
      </c>
      <c r="D1036" s="60">
        <f t="shared" si="174"/>
        <v>3691296.54</v>
      </c>
      <c r="E1036" s="60">
        <v>0</v>
      </c>
      <c r="F1036" s="60">
        <v>0</v>
      </c>
      <c r="G1036" s="60">
        <v>0</v>
      </c>
      <c r="H1036" s="60">
        <v>0</v>
      </c>
      <c r="I1036" s="60">
        <v>0</v>
      </c>
      <c r="J1036" s="60">
        <v>0</v>
      </c>
      <c r="K1036" s="168">
        <v>0</v>
      </c>
      <c r="L1036" s="60">
        <v>0</v>
      </c>
      <c r="M1036" s="60">
        <v>542.70000000000005</v>
      </c>
      <c r="N1036" s="60">
        <v>3529781.67</v>
      </c>
      <c r="O1036" s="60">
        <v>0</v>
      </c>
      <c r="P1036" s="60">
        <v>0</v>
      </c>
      <c r="Q1036" s="60">
        <v>0</v>
      </c>
      <c r="R1036" s="60">
        <v>0</v>
      </c>
      <c r="S1036" s="60">
        <v>0</v>
      </c>
      <c r="T1036" s="60">
        <v>0</v>
      </c>
      <c r="U1036" s="60">
        <v>0</v>
      </c>
      <c r="V1036" s="60">
        <v>0</v>
      </c>
      <c r="W1036" s="60">
        <v>0</v>
      </c>
      <c r="X1036" s="60">
        <v>0</v>
      </c>
      <c r="Y1036" s="60">
        <v>0</v>
      </c>
      <c r="Z1036" s="60">
        <v>0</v>
      </c>
      <c r="AA1036" s="60">
        <v>0</v>
      </c>
      <c r="AB1036" s="60">
        <v>0</v>
      </c>
      <c r="AC1036" s="60">
        <v>73271.210000000006</v>
      </c>
      <c r="AD1036" s="60">
        <v>88243.66</v>
      </c>
      <c r="AE1036" s="60">
        <v>0</v>
      </c>
      <c r="AF1036" s="170">
        <v>2022</v>
      </c>
      <c r="AG1036" s="170">
        <v>2022</v>
      </c>
      <c r="AH1036" s="63">
        <v>2022</v>
      </c>
    </row>
    <row r="1037" spans="1:34" ht="61.5" x14ac:dyDescent="0.85">
      <c r="A1037" s="7">
        <v>1</v>
      </c>
      <c r="B1037" s="59">
        <f>SUBTOTAL(103,$A$1032:A1037)</f>
        <v>6</v>
      </c>
      <c r="C1037" s="160" t="s">
        <v>541</v>
      </c>
      <c r="D1037" s="60">
        <f t="shared" si="174"/>
        <v>3957228.27</v>
      </c>
      <c r="E1037" s="60">
        <v>0</v>
      </c>
      <c r="F1037" s="60">
        <v>0</v>
      </c>
      <c r="G1037" s="60">
        <v>0</v>
      </c>
      <c r="H1037" s="60">
        <v>0</v>
      </c>
      <c r="I1037" s="60">
        <v>0</v>
      </c>
      <c r="J1037" s="60">
        <v>0</v>
      </c>
      <c r="K1037" s="168">
        <v>0</v>
      </c>
      <c r="L1037" s="60">
        <v>0</v>
      </c>
      <c r="M1037" s="60">
        <v>733.66</v>
      </c>
      <c r="N1037" s="60">
        <v>3787923</v>
      </c>
      <c r="O1037" s="60">
        <v>0</v>
      </c>
      <c r="P1037" s="60">
        <v>0</v>
      </c>
      <c r="Q1037" s="60">
        <v>0</v>
      </c>
      <c r="R1037" s="60">
        <v>0</v>
      </c>
      <c r="S1037" s="60">
        <v>0</v>
      </c>
      <c r="T1037" s="60">
        <v>0</v>
      </c>
      <c r="U1037" s="60">
        <v>0</v>
      </c>
      <c r="V1037" s="60">
        <v>0</v>
      </c>
      <c r="W1037" s="60">
        <v>0</v>
      </c>
      <c r="X1037" s="60">
        <v>0</v>
      </c>
      <c r="Y1037" s="60">
        <v>0</v>
      </c>
      <c r="Z1037" s="60">
        <v>0</v>
      </c>
      <c r="AA1037" s="60">
        <v>0</v>
      </c>
      <c r="AB1037" s="60">
        <v>0</v>
      </c>
      <c r="AC1037" s="60">
        <f>ROUND(N1037*2.14%,2)+ROUND(E1037*2.14%,2)+ROUND(F1037*2.14%,2)+ROUND(G1037*2.14%,2)+ROUND(H1037*2.14%,2)+ROUND(I1037*2.14%,2)+ROUND(J1037*2.14%,2)+ROUND(L1037*2.14%,2)+ROUND(P1037*2.14%,2)+ROUND(R1037*2.14%,2)+ROUND(T1037*2.14%,2)+ROUND(U1037*2.14%,2)+ROUND(V1037*2.14%,2)+ROUND(W1037*2.14%,2)+ROUND(X1037*2.14%,2)+ROUND(Y1037*2.14%,2)+ROUND(Z1037*2.14%,2)+ROUND(AA1037*2.14%,2)+ROUND(AB1037*2.14%,2)</f>
        <v>81061.55</v>
      </c>
      <c r="AD1037" s="60">
        <v>88243.72</v>
      </c>
      <c r="AE1037" s="60">
        <v>0</v>
      </c>
      <c r="AF1037" s="170">
        <v>2022</v>
      </c>
      <c r="AG1037" s="170">
        <v>2022</v>
      </c>
      <c r="AH1037" s="63">
        <v>2022</v>
      </c>
    </row>
    <row r="1038" spans="1:34" ht="61.5" x14ac:dyDescent="0.85">
      <c r="A1038" s="7">
        <v>1</v>
      </c>
      <c r="B1038" s="59">
        <f>SUBTOTAL(103,$A$1032:A1038)</f>
        <v>7</v>
      </c>
      <c r="C1038" s="160" t="s">
        <v>1531</v>
      </c>
      <c r="D1038" s="60">
        <f t="shared" si="174"/>
        <v>88144.87</v>
      </c>
      <c r="E1038" s="60">
        <v>0</v>
      </c>
      <c r="F1038" s="60">
        <v>0</v>
      </c>
      <c r="G1038" s="60">
        <v>0</v>
      </c>
      <c r="H1038" s="60">
        <v>0</v>
      </c>
      <c r="I1038" s="60">
        <v>0</v>
      </c>
      <c r="J1038" s="60">
        <v>0</v>
      </c>
      <c r="K1038" s="168">
        <v>0</v>
      </c>
      <c r="L1038" s="60">
        <v>0</v>
      </c>
      <c r="M1038" s="60">
        <v>0</v>
      </c>
      <c r="N1038" s="60">
        <v>0</v>
      </c>
      <c r="O1038" s="60">
        <v>0</v>
      </c>
      <c r="P1038" s="60">
        <v>0</v>
      </c>
      <c r="Q1038" s="60">
        <v>0</v>
      </c>
      <c r="R1038" s="60">
        <v>0</v>
      </c>
      <c r="S1038" s="60">
        <v>0</v>
      </c>
      <c r="T1038" s="60">
        <v>0</v>
      </c>
      <c r="U1038" s="60">
        <v>0</v>
      </c>
      <c r="V1038" s="60">
        <v>0</v>
      </c>
      <c r="W1038" s="60">
        <v>0</v>
      </c>
      <c r="X1038" s="60">
        <v>0</v>
      </c>
      <c r="Y1038" s="60">
        <v>0</v>
      </c>
      <c r="Z1038" s="60">
        <v>0</v>
      </c>
      <c r="AA1038" s="60">
        <v>0</v>
      </c>
      <c r="AB1038" s="60">
        <v>0</v>
      </c>
      <c r="AC1038" s="60">
        <v>0</v>
      </c>
      <c r="AD1038" s="60">
        <v>88144.87</v>
      </c>
      <c r="AE1038" s="60">
        <v>0</v>
      </c>
      <c r="AF1038" s="170">
        <v>2022</v>
      </c>
      <c r="AG1038" s="170" t="s">
        <v>257</v>
      </c>
      <c r="AH1038" s="63" t="s">
        <v>257</v>
      </c>
    </row>
    <row r="1039" spans="1:34" ht="61.5" x14ac:dyDescent="0.85">
      <c r="A1039" s="7">
        <v>1</v>
      </c>
      <c r="B1039" s="59">
        <f>SUBTOTAL(103,$A$1032:A1039)</f>
        <v>8</v>
      </c>
      <c r="C1039" s="160" t="s">
        <v>543</v>
      </c>
      <c r="D1039" s="60">
        <f t="shared" si="174"/>
        <v>10036108.140000001</v>
      </c>
      <c r="E1039" s="60">
        <v>0</v>
      </c>
      <c r="F1039" s="60">
        <v>0</v>
      </c>
      <c r="G1039" s="60">
        <v>0</v>
      </c>
      <c r="H1039" s="60">
        <v>0</v>
      </c>
      <c r="I1039" s="60">
        <v>0</v>
      </c>
      <c r="J1039" s="60">
        <v>0</v>
      </c>
      <c r="K1039" s="168">
        <v>0</v>
      </c>
      <c r="L1039" s="60">
        <v>0</v>
      </c>
      <c r="M1039" s="60">
        <v>1567</v>
      </c>
      <c r="N1039" s="62">
        <v>9732568</v>
      </c>
      <c r="O1039" s="60">
        <v>0</v>
      </c>
      <c r="P1039" s="60">
        <v>0</v>
      </c>
      <c r="Q1039" s="60">
        <v>0</v>
      </c>
      <c r="R1039" s="60">
        <v>0</v>
      </c>
      <c r="S1039" s="60">
        <v>0</v>
      </c>
      <c r="T1039" s="60">
        <v>0</v>
      </c>
      <c r="U1039" s="60">
        <v>0</v>
      </c>
      <c r="V1039" s="60">
        <v>0</v>
      </c>
      <c r="W1039" s="60">
        <v>0</v>
      </c>
      <c r="X1039" s="60">
        <v>0</v>
      </c>
      <c r="Y1039" s="60">
        <v>0</v>
      </c>
      <c r="Z1039" s="60">
        <v>0</v>
      </c>
      <c r="AA1039" s="60">
        <v>0</v>
      </c>
      <c r="AB1039" s="60">
        <v>0</v>
      </c>
      <c r="AC1039" s="60">
        <v>202028.65</v>
      </c>
      <c r="AD1039" s="60">
        <v>101511.49</v>
      </c>
      <c r="AE1039" s="60">
        <v>0</v>
      </c>
      <c r="AF1039" s="170">
        <v>2022</v>
      </c>
      <c r="AG1039" s="170">
        <v>2022</v>
      </c>
      <c r="AH1039" s="63">
        <v>2022</v>
      </c>
    </row>
    <row r="1040" spans="1:34" ht="61.5" x14ac:dyDescent="0.85">
      <c r="A1040" s="7">
        <v>1</v>
      </c>
      <c r="B1040" s="59">
        <f>SUBTOTAL(103,$A$1032:A1040)</f>
        <v>9</v>
      </c>
      <c r="C1040" s="160" t="s">
        <v>544</v>
      </c>
      <c r="D1040" s="60">
        <f t="shared" si="174"/>
        <v>5714386.5</v>
      </c>
      <c r="E1040" s="60">
        <v>0</v>
      </c>
      <c r="F1040" s="60">
        <v>0</v>
      </c>
      <c r="G1040" s="60">
        <v>0</v>
      </c>
      <c r="H1040" s="60">
        <v>0</v>
      </c>
      <c r="I1040" s="60">
        <v>0</v>
      </c>
      <c r="J1040" s="60">
        <v>0</v>
      </c>
      <c r="K1040" s="168">
        <v>0</v>
      </c>
      <c r="L1040" s="60">
        <v>0</v>
      </c>
      <c r="M1040" s="60">
        <v>1125.45</v>
      </c>
      <c r="N1040" s="60">
        <v>5511735</v>
      </c>
      <c r="O1040" s="60">
        <v>0</v>
      </c>
      <c r="P1040" s="60">
        <v>0</v>
      </c>
      <c r="Q1040" s="60">
        <v>0</v>
      </c>
      <c r="R1040" s="60">
        <v>0</v>
      </c>
      <c r="S1040" s="60">
        <v>0</v>
      </c>
      <c r="T1040" s="60">
        <v>0</v>
      </c>
      <c r="U1040" s="60">
        <v>0</v>
      </c>
      <c r="V1040" s="60">
        <v>0</v>
      </c>
      <c r="W1040" s="60">
        <v>0</v>
      </c>
      <c r="X1040" s="60">
        <v>0</v>
      </c>
      <c r="Y1040" s="60">
        <v>0</v>
      </c>
      <c r="Z1040" s="60">
        <v>0</v>
      </c>
      <c r="AA1040" s="60">
        <v>0</v>
      </c>
      <c r="AB1040" s="60">
        <v>0</v>
      </c>
      <c r="AC1040" s="60">
        <v>114412.6</v>
      </c>
      <c r="AD1040" s="60">
        <v>88238.9</v>
      </c>
      <c r="AE1040" s="60">
        <v>0</v>
      </c>
      <c r="AF1040" s="170">
        <v>2022</v>
      </c>
      <c r="AG1040" s="170">
        <v>2022</v>
      </c>
      <c r="AH1040" s="63">
        <v>2022</v>
      </c>
    </row>
    <row r="1041" spans="1:34" ht="61.5" x14ac:dyDescent="0.85">
      <c r="A1041" s="7">
        <v>1</v>
      </c>
      <c r="B1041" s="59">
        <f>SUBTOTAL(103,$A$1032:A1041)</f>
        <v>10</v>
      </c>
      <c r="C1041" s="160" t="s">
        <v>545</v>
      </c>
      <c r="D1041" s="60">
        <f t="shared" si="174"/>
        <v>3241043.41</v>
      </c>
      <c r="E1041" s="60">
        <v>0</v>
      </c>
      <c r="F1041" s="60">
        <v>0</v>
      </c>
      <c r="G1041" s="60">
        <v>0</v>
      </c>
      <c r="H1041" s="60">
        <v>0</v>
      </c>
      <c r="I1041" s="60">
        <v>0</v>
      </c>
      <c r="J1041" s="60">
        <v>0</v>
      </c>
      <c r="K1041" s="168">
        <v>0</v>
      </c>
      <c r="L1041" s="60">
        <v>0</v>
      </c>
      <c r="M1041" s="60">
        <v>450</v>
      </c>
      <c r="N1041" s="60">
        <v>3088687</v>
      </c>
      <c r="O1041" s="60">
        <v>0</v>
      </c>
      <c r="P1041" s="60">
        <v>0</v>
      </c>
      <c r="Q1041" s="60">
        <v>0</v>
      </c>
      <c r="R1041" s="60">
        <v>0</v>
      </c>
      <c r="S1041" s="60">
        <v>0</v>
      </c>
      <c r="T1041" s="60">
        <v>0</v>
      </c>
      <c r="U1041" s="60">
        <v>0</v>
      </c>
      <c r="V1041" s="60">
        <v>0</v>
      </c>
      <c r="W1041" s="60">
        <v>0</v>
      </c>
      <c r="X1041" s="60">
        <v>0</v>
      </c>
      <c r="Y1041" s="60">
        <v>0</v>
      </c>
      <c r="Z1041" s="60">
        <v>0</v>
      </c>
      <c r="AA1041" s="60">
        <v>0</v>
      </c>
      <c r="AB1041" s="60">
        <v>0</v>
      </c>
      <c r="AC1041" s="60">
        <v>64114.96</v>
      </c>
      <c r="AD1041" s="60">
        <v>88241.45</v>
      </c>
      <c r="AE1041" s="60">
        <v>0</v>
      </c>
      <c r="AF1041" s="170">
        <v>2022</v>
      </c>
      <c r="AG1041" s="170">
        <v>2022</v>
      </c>
      <c r="AH1041" s="63">
        <v>2022</v>
      </c>
    </row>
    <row r="1042" spans="1:34" ht="61.5" x14ac:dyDescent="0.85">
      <c r="A1042" s="7">
        <v>1</v>
      </c>
      <c r="B1042" s="59">
        <f>SUBTOTAL(103,$A$1032:A1042)</f>
        <v>11</v>
      </c>
      <c r="C1042" s="160" t="s">
        <v>548</v>
      </c>
      <c r="D1042" s="60">
        <f t="shared" si="174"/>
        <v>1851333.0499999998</v>
      </c>
      <c r="E1042" s="60">
        <v>0</v>
      </c>
      <c r="F1042" s="60">
        <v>0</v>
      </c>
      <c r="G1042" s="60">
        <v>0</v>
      </c>
      <c r="H1042" s="60">
        <v>0</v>
      </c>
      <c r="I1042" s="60">
        <v>0</v>
      </c>
      <c r="J1042" s="60">
        <v>0</v>
      </c>
      <c r="K1042" s="168">
        <v>0</v>
      </c>
      <c r="L1042" s="60">
        <v>0</v>
      </c>
      <c r="M1042" s="60">
        <v>220.61</v>
      </c>
      <c r="N1042" s="60">
        <v>1726140</v>
      </c>
      <c r="O1042" s="60">
        <v>0</v>
      </c>
      <c r="P1042" s="60">
        <v>0</v>
      </c>
      <c r="Q1042" s="60">
        <v>0</v>
      </c>
      <c r="R1042" s="60">
        <v>0</v>
      </c>
      <c r="S1042" s="60">
        <v>0</v>
      </c>
      <c r="T1042" s="60">
        <v>0</v>
      </c>
      <c r="U1042" s="60">
        <v>0</v>
      </c>
      <c r="V1042" s="60">
        <v>0</v>
      </c>
      <c r="W1042" s="60">
        <v>0</v>
      </c>
      <c r="X1042" s="60">
        <v>0</v>
      </c>
      <c r="Y1042" s="60">
        <v>0</v>
      </c>
      <c r="Z1042" s="60">
        <v>0</v>
      </c>
      <c r="AA1042" s="60">
        <v>0</v>
      </c>
      <c r="AB1042" s="60">
        <v>0</v>
      </c>
      <c r="AC1042" s="60">
        <f>ROUND(N1042*2.14%,2)+ROUND(E1042*2.14%,2)+ROUND(F1042*2.14%,2)+ROUND(G1042*2.14%,2)+ROUND(H1042*2.14%,2)+ROUND(I1042*2.14%,2)+ROUND(J1042*2.14%,2)+ROUND(L1042*2.14%,2)+ROUND(P1042*2.14%,2)+ROUND(R1042*2.14%,2)+ROUND(T1042*2.14%,2)+ROUND(U1042*2.14%,2)+ROUND(V1042*2.14%,2)+ROUND(W1042*2.14%,2)+ROUND(X1042*2.14%,2)+ROUND(Y1042*2.14%,2)+ROUND(Z1042*2.14%,2)+ROUND(AA1042*2.14%,2)+ROUND(AB1042*2.14%,2)</f>
        <v>36939.4</v>
      </c>
      <c r="AD1042" s="60">
        <v>88253.65</v>
      </c>
      <c r="AE1042" s="60">
        <v>0</v>
      </c>
      <c r="AF1042" s="170">
        <v>2022</v>
      </c>
      <c r="AG1042" s="170">
        <v>2022</v>
      </c>
      <c r="AH1042" s="63">
        <v>2022</v>
      </c>
    </row>
    <row r="1043" spans="1:34" ht="61.5" x14ac:dyDescent="0.85">
      <c r="A1043" s="7">
        <v>1</v>
      </c>
      <c r="B1043" s="59">
        <f>SUBTOTAL(103,$A$1032:A1043)</f>
        <v>12</v>
      </c>
      <c r="C1043" s="160" t="s">
        <v>549</v>
      </c>
      <c r="D1043" s="60">
        <f t="shared" si="174"/>
        <v>4200614.99</v>
      </c>
      <c r="E1043" s="60">
        <v>0</v>
      </c>
      <c r="F1043" s="60">
        <v>0</v>
      </c>
      <c r="G1043" s="60">
        <v>0</v>
      </c>
      <c r="H1043" s="60">
        <v>0</v>
      </c>
      <c r="I1043" s="60">
        <v>0</v>
      </c>
      <c r="J1043" s="60">
        <v>0</v>
      </c>
      <c r="K1043" s="168">
        <v>0</v>
      </c>
      <c r="L1043" s="60">
        <v>0</v>
      </c>
      <c r="M1043" s="60">
        <v>585</v>
      </c>
      <c r="N1043" s="60">
        <v>4028741</v>
      </c>
      <c r="O1043" s="60">
        <v>0</v>
      </c>
      <c r="P1043" s="60">
        <v>0</v>
      </c>
      <c r="Q1043" s="60">
        <v>0</v>
      </c>
      <c r="R1043" s="60">
        <v>0</v>
      </c>
      <c r="S1043" s="60">
        <v>0</v>
      </c>
      <c r="T1043" s="60">
        <v>0</v>
      </c>
      <c r="U1043" s="60">
        <v>0</v>
      </c>
      <c r="V1043" s="60">
        <v>0</v>
      </c>
      <c r="W1043" s="60">
        <v>0</v>
      </c>
      <c r="X1043" s="60">
        <v>0</v>
      </c>
      <c r="Y1043" s="60">
        <v>0</v>
      </c>
      <c r="Z1043" s="60">
        <v>0</v>
      </c>
      <c r="AA1043" s="60">
        <v>0</v>
      </c>
      <c r="AB1043" s="60">
        <v>0</v>
      </c>
      <c r="AC1043" s="60">
        <v>83628.61</v>
      </c>
      <c r="AD1043" s="60">
        <v>88245.38</v>
      </c>
      <c r="AE1043" s="60">
        <v>0</v>
      </c>
      <c r="AF1043" s="170">
        <v>2022</v>
      </c>
      <c r="AG1043" s="170">
        <v>2022</v>
      </c>
      <c r="AH1043" s="63">
        <v>2022</v>
      </c>
    </row>
    <row r="1044" spans="1:34" ht="61.5" x14ac:dyDescent="0.85">
      <c r="A1044" s="7">
        <v>1</v>
      </c>
      <c r="B1044" s="59">
        <f>SUBTOTAL(103,$A$1032:A1044)</f>
        <v>13</v>
      </c>
      <c r="C1044" s="160" t="s">
        <v>550</v>
      </c>
      <c r="D1044" s="60">
        <f t="shared" si="174"/>
        <v>2821206.23</v>
      </c>
      <c r="E1044" s="60">
        <v>0</v>
      </c>
      <c r="F1044" s="60">
        <v>0</v>
      </c>
      <c r="G1044" s="60">
        <v>0</v>
      </c>
      <c r="H1044" s="60">
        <v>0</v>
      </c>
      <c r="I1044" s="60">
        <v>0</v>
      </c>
      <c r="J1044" s="60">
        <v>0</v>
      </c>
      <c r="K1044" s="168">
        <v>0</v>
      </c>
      <c r="L1044" s="60">
        <v>0</v>
      </c>
      <c r="M1044" s="60">
        <v>638</v>
      </c>
      <c r="N1044" s="60">
        <v>2777052</v>
      </c>
      <c r="O1044" s="60">
        <v>0</v>
      </c>
      <c r="P1044" s="60">
        <v>0</v>
      </c>
      <c r="Q1044" s="60">
        <v>0</v>
      </c>
      <c r="R1044" s="60">
        <v>0</v>
      </c>
      <c r="S1044" s="60">
        <v>0</v>
      </c>
      <c r="T1044" s="60">
        <v>0</v>
      </c>
      <c r="U1044" s="60">
        <v>0</v>
      </c>
      <c r="V1044" s="60">
        <v>0</v>
      </c>
      <c r="W1044" s="60">
        <v>0</v>
      </c>
      <c r="X1044" s="60">
        <v>0</v>
      </c>
      <c r="Y1044" s="60">
        <v>0</v>
      </c>
      <c r="Z1044" s="60">
        <v>0</v>
      </c>
      <c r="AA1044" s="60">
        <v>0</v>
      </c>
      <c r="AB1044" s="60">
        <v>0</v>
      </c>
      <c r="AC1044" s="60">
        <v>0</v>
      </c>
      <c r="AD1044" s="60">
        <v>44154.23</v>
      </c>
      <c r="AE1044" s="60">
        <v>0</v>
      </c>
      <c r="AF1044" s="170">
        <v>2022</v>
      </c>
      <c r="AG1044" s="170">
        <v>2022</v>
      </c>
      <c r="AH1044" s="63" t="s">
        <v>257</v>
      </c>
    </row>
    <row r="1045" spans="1:34" ht="61.5" x14ac:dyDescent="0.85">
      <c r="A1045" s="7">
        <v>1</v>
      </c>
      <c r="B1045" s="59">
        <f>SUBTOTAL(103,$A$1032:A1045)</f>
        <v>14</v>
      </c>
      <c r="C1045" s="160" t="s">
        <v>551</v>
      </c>
      <c r="D1045" s="60">
        <f t="shared" si="174"/>
        <v>4775363.16</v>
      </c>
      <c r="E1045" s="60">
        <v>0</v>
      </c>
      <c r="F1045" s="60">
        <v>0</v>
      </c>
      <c r="G1045" s="60">
        <v>0</v>
      </c>
      <c r="H1045" s="60">
        <v>0</v>
      </c>
      <c r="I1045" s="60">
        <v>0</v>
      </c>
      <c r="J1045" s="60">
        <v>0</v>
      </c>
      <c r="K1045" s="168">
        <v>0</v>
      </c>
      <c r="L1045" s="60">
        <v>0</v>
      </c>
      <c r="M1045" s="60">
        <v>955</v>
      </c>
      <c r="N1045" s="60">
        <v>4678252</v>
      </c>
      <c r="O1045" s="60">
        <v>0</v>
      </c>
      <c r="P1045" s="60">
        <v>0</v>
      </c>
      <c r="Q1045" s="60">
        <v>0</v>
      </c>
      <c r="R1045" s="60">
        <v>0</v>
      </c>
      <c r="S1045" s="60">
        <v>0</v>
      </c>
      <c r="T1045" s="60">
        <v>0</v>
      </c>
      <c r="U1045" s="60">
        <v>0</v>
      </c>
      <c r="V1045" s="60">
        <v>0</v>
      </c>
      <c r="W1045" s="60">
        <v>0</v>
      </c>
      <c r="X1045" s="60">
        <v>0</v>
      </c>
      <c r="Y1045" s="60">
        <v>0</v>
      </c>
      <c r="Z1045" s="60">
        <v>0</v>
      </c>
      <c r="AA1045" s="60">
        <v>0</v>
      </c>
      <c r="AB1045" s="60">
        <v>0</v>
      </c>
      <c r="AC1045" s="60">
        <v>97111.16</v>
      </c>
      <c r="AD1045" s="60">
        <v>0</v>
      </c>
      <c r="AE1045" s="60">
        <v>0</v>
      </c>
      <c r="AF1045" s="170" t="s">
        <v>257</v>
      </c>
      <c r="AG1045" s="170">
        <v>2022</v>
      </c>
      <c r="AH1045" s="63">
        <v>2022</v>
      </c>
    </row>
    <row r="1046" spans="1:34" ht="61.5" x14ac:dyDescent="0.85">
      <c r="A1046" s="7">
        <v>1</v>
      </c>
      <c r="B1046" s="59">
        <f>SUBTOTAL(103,$A$1032:A1046)</f>
        <v>15</v>
      </c>
      <c r="C1046" s="160" t="s">
        <v>553</v>
      </c>
      <c r="D1046" s="60">
        <f t="shared" si="174"/>
        <v>6535844</v>
      </c>
      <c r="E1046" s="60">
        <v>0</v>
      </c>
      <c r="F1046" s="60">
        <v>0</v>
      </c>
      <c r="G1046" s="60">
        <v>0</v>
      </c>
      <c r="H1046" s="60">
        <v>0</v>
      </c>
      <c r="I1046" s="60">
        <v>0</v>
      </c>
      <c r="J1046" s="60">
        <v>0</v>
      </c>
      <c r="K1046" s="168">
        <v>0</v>
      </c>
      <c r="L1046" s="60">
        <v>0</v>
      </c>
      <c r="M1046" s="60">
        <v>1020</v>
      </c>
      <c r="N1046" s="60">
        <v>6535844</v>
      </c>
      <c r="O1046" s="60">
        <v>0</v>
      </c>
      <c r="P1046" s="60">
        <v>0</v>
      </c>
      <c r="Q1046" s="60">
        <v>0</v>
      </c>
      <c r="R1046" s="60">
        <v>0</v>
      </c>
      <c r="S1046" s="60">
        <v>0</v>
      </c>
      <c r="T1046" s="60">
        <v>0</v>
      </c>
      <c r="U1046" s="60">
        <v>0</v>
      </c>
      <c r="V1046" s="60">
        <v>0</v>
      </c>
      <c r="W1046" s="60">
        <v>0</v>
      </c>
      <c r="X1046" s="60">
        <v>0</v>
      </c>
      <c r="Y1046" s="60">
        <v>0</v>
      </c>
      <c r="Z1046" s="60">
        <v>0</v>
      </c>
      <c r="AA1046" s="60">
        <v>0</v>
      </c>
      <c r="AB1046" s="60">
        <v>0</v>
      </c>
      <c r="AC1046" s="60">
        <v>0</v>
      </c>
      <c r="AD1046" s="60">
        <v>0</v>
      </c>
      <c r="AE1046" s="60">
        <v>0</v>
      </c>
      <c r="AF1046" s="170" t="s">
        <v>257</v>
      </c>
      <c r="AG1046" s="170">
        <v>2022</v>
      </c>
      <c r="AH1046" s="63" t="s">
        <v>257</v>
      </c>
    </row>
    <row r="1047" spans="1:34" ht="61.5" x14ac:dyDescent="0.85">
      <c r="A1047" s="7">
        <v>1</v>
      </c>
      <c r="B1047" s="59">
        <f>SUBTOTAL(103,$A$1032:A1047)</f>
        <v>16</v>
      </c>
      <c r="C1047" s="160" t="s">
        <v>1532</v>
      </c>
      <c r="D1047" s="60">
        <f t="shared" si="174"/>
        <v>5096758.1500000004</v>
      </c>
      <c r="E1047" s="60">
        <v>0</v>
      </c>
      <c r="F1047" s="60">
        <v>0</v>
      </c>
      <c r="G1047" s="60">
        <v>0</v>
      </c>
      <c r="H1047" s="60">
        <v>0</v>
      </c>
      <c r="I1047" s="60">
        <v>0</v>
      </c>
      <c r="J1047" s="60">
        <v>0</v>
      </c>
      <c r="K1047" s="168">
        <v>0</v>
      </c>
      <c r="L1047" s="60">
        <v>0</v>
      </c>
      <c r="M1047" s="60">
        <v>848</v>
      </c>
      <c r="N1047" s="60">
        <v>4993111.1500000004</v>
      </c>
      <c r="O1047" s="60">
        <v>0</v>
      </c>
      <c r="P1047" s="60">
        <v>0</v>
      </c>
      <c r="Q1047" s="60">
        <v>0</v>
      </c>
      <c r="R1047" s="60">
        <v>0</v>
      </c>
      <c r="S1047" s="60">
        <v>0</v>
      </c>
      <c r="T1047" s="60">
        <v>0</v>
      </c>
      <c r="U1047" s="60">
        <v>0</v>
      </c>
      <c r="V1047" s="60">
        <v>0</v>
      </c>
      <c r="W1047" s="60">
        <v>0</v>
      </c>
      <c r="X1047" s="60">
        <v>0</v>
      </c>
      <c r="Y1047" s="60">
        <v>0</v>
      </c>
      <c r="Z1047" s="60">
        <v>0</v>
      </c>
      <c r="AA1047" s="60">
        <v>0</v>
      </c>
      <c r="AB1047" s="60">
        <v>0</v>
      </c>
      <c r="AC1047" s="60">
        <v>103647</v>
      </c>
      <c r="AD1047" s="60">
        <v>0</v>
      </c>
      <c r="AE1047" s="60">
        <v>0</v>
      </c>
      <c r="AF1047" s="170" t="s">
        <v>257</v>
      </c>
      <c r="AG1047" s="170">
        <v>2022</v>
      </c>
      <c r="AH1047" s="63">
        <v>2022</v>
      </c>
    </row>
    <row r="1048" spans="1:34" ht="61.5" x14ac:dyDescent="0.85">
      <c r="A1048" s="7">
        <v>1</v>
      </c>
      <c r="B1048" s="59">
        <f>SUBTOTAL(103,$A$1032:A1048)</f>
        <v>17</v>
      </c>
      <c r="C1048" s="160" t="s">
        <v>554</v>
      </c>
      <c r="D1048" s="60">
        <f t="shared" si="174"/>
        <v>5478843.0599999996</v>
      </c>
      <c r="E1048" s="60">
        <v>0</v>
      </c>
      <c r="F1048" s="60">
        <v>0</v>
      </c>
      <c r="G1048" s="60">
        <v>0</v>
      </c>
      <c r="H1048" s="60">
        <v>0</v>
      </c>
      <c r="I1048" s="60">
        <v>0</v>
      </c>
      <c r="J1048" s="60">
        <v>0</v>
      </c>
      <c r="K1048" s="168">
        <v>0</v>
      </c>
      <c r="L1048" s="60">
        <v>0</v>
      </c>
      <c r="M1048" s="60">
        <v>799.38</v>
      </c>
      <c r="N1048" s="60">
        <v>5280972</v>
      </c>
      <c r="O1048" s="60">
        <v>0</v>
      </c>
      <c r="P1048" s="60">
        <v>0</v>
      </c>
      <c r="Q1048" s="60">
        <v>0</v>
      </c>
      <c r="R1048" s="60">
        <v>0</v>
      </c>
      <c r="S1048" s="60">
        <v>0</v>
      </c>
      <c r="T1048" s="60">
        <v>0</v>
      </c>
      <c r="U1048" s="60">
        <v>0</v>
      </c>
      <c r="V1048" s="60">
        <v>0</v>
      </c>
      <c r="W1048" s="60">
        <v>0</v>
      </c>
      <c r="X1048" s="60">
        <v>0</v>
      </c>
      <c r="Y1048" s="60">
        <v>0</v>
      </c>
      <c r="Z1048" s="60">
        <v>0</v>
      </c>
      <c r="AA1048" s="60">
        <v>0</v>
      </c>
      <c r="AB1048" s="60">
        <v>0</v>
      </c>
      <c r="AC1048" s="60">
        <v>109622.42</v>
      </c>
      <c r="AD1048" s="60">
        <v>88248.639999999999</v>
      </c>
      <c r="AE1048" s="60">
        <v>0</v>
      </c>
      <c r="AF1048" s="170">
        <v>2022</v>
      </c>
      <c r="AG1048" s="170">
        <v>2022</v>
      </c>
      <c r="AH1048" s="63">
        <v>2022</v>
      </c>
    </row>
    <row r="1049" spans="1:34" ht="61.5" x14ac:dyDescent="0.85">
      <c r="A1049" s="7">
        <v>1</v>
      </c>
      <c r="B1049" s="59">
        <f>SUBTOTAL(103,$A$1032:A1049)</f>
        <v>18</v>
      </c>
      <c r="C1049" s="160" t="s">
        <v>1589</v>
      </c>
      <c r="D1049" s="60">
        <f t="shared" si="174"/>
        <v>5431231.8099999996</v>
      </c>
      <c r="E1049" s="60">
        <v>0</v>
      </c>
      <c r="F1049" s="60">
        <v>0</v>
      </c>
      <c r="G1049" s="60">
        <v>0</v>
      </c>
      <c r="H1049" s="60">
        <v>0</v>
      </c>
      <c r="I1049" s="60">
        <v>0</v>
      </c>
      <c r="J1049" s="60">
        <v>0</v>
      </c>
      <c r="K1049" s="168">
        <v>0</v>
      </c>
      <c r="L1049" s="60">
        <v>0</v>
      </c>
      <c r="M1049" s="60">
        <v>900.54</v>
      </c>
      <c r="N1049" s="60">
        <v>5231046</v>
      </c>
      <c r="O1049" s="60">
        <v>0</v>
      </c>
      <c r="P1049" s="60">
        <v>0</v>
      </c>
      <c r="Q1049" s="60">
        <v>0</v>
      </c>
      <c r="R1049" s="60">
        <v>0</v>
      </c>
      <c r="S1049" s="60">
        <v>0</v>
      </c>
      <c r="T1049" s="60">
        <v>0</v>
      </c>
      <c r="U1049" s="60">
        <v>0</v>
      </c>
      <c r="V1049" s="60">
        <v>0</v>
      </c>
      <c r="W1049" s="60">
        <v>0</v>
      </c>
      <c r="X1049" s="60">
        <v>0</v>
      </c>
      <c r="Y1049" s="60">
        <v>0</v>
      </c>
      <c r="Z1049" s="60">
        <v>0</v>
      </c>
      <c r="AA1049" s="60">
        <v>0</v>
      </c>
      <c r="AB1049" s="60">
        <v>0</v>
      </c>
      <c r="AC1049" s="60">
        <f>ROUND(N1049*2.14%,2)+ROUND(E1049*2.14%,2)+ROUND(F1049*2.14%,2)+ROUND(G1049*2.14%,2)+ROUND(H1049*2.14%,2)+ROUND(I1049*2.14%,2)+ROUND(J1049*2.14%,2)+ROUND(L1049*2.14%,2)+ROUND(P1049*2.14%,2)+ROUND(R1049*2.14%,2)+ROUND(T1049*2.14%,2)+ROUND(U1049*2.14%,2)+ROUND(V1049*2.14%,2)+ROUND(W1049*2.14%,2)+ROUND(X1049*2.14%,2)+ROUND(Y1049*2.14%,2)+ROUND(Z1049*2.14%,2)+ROUND(AA1049*2.14%,2)+ROUND(AB1049*2.14%,2)</f>
        <v>111944.38</v>
      </c>
      <c r="AD1049" s="60">
        <v>88241.43</v>
      </c>
      <c r="AE1049" s="60">
        <v>0</v>
      </c>
      <c r="AF1049" s="170">
        <v>2022</v>
      </c>
      <c r="AG1049" s="170">
        <v>2022</v>
      </c>
      <c r="AH1049" s="63">
        <v>2022</v>
      </c>
    </row>
    <row r="1050" spans="1:34" ht="61.5" x14ac:dyDescent="0.85">
      <c r="A1050" s="7">
        <v>1</v>
      </c>
      <c r="B1050" s="59">
        <f>SUBTOTAL(103,$A$1032:A1050)</f>
        <v>19</v>
      </c>
      <c r="C1050" s="160" t="s">
        <v>1529</v>
      </c>
      <c r="D1050" s="60">
        <f t="shared" si="174"/>
        <v>2163955.4500000002</v>
      </c>
      <c r="E1050" s="60">
        <v>0</v>
      </c>
      <c r="F1050" s="60">
        <v>0</v>
      </c>
      <c r="G1050" s="60">
        <v>0</v>
      </c>
      <c r="H1050" s="60">
        <v>0</v>
      </c>
      <c r="I1050" s="60">
        <v>0</v>
      </c>
      <c r="J1050" s="60">
        <v>0</v>
      </c>
      <c r="K1050" s="168">
        <v>0</v>
      </c>
      <c r="L1050" s="60">
        <v>0</v>
      </c>
      <c r="M1050" s="60">
        <v>489</v>
      </c>
      <c r="N1050" s="60">
        <v>2132606.14</v>
      </c>
      <c r="O1050" s="60">
        <v>0</v>
      </c>
      <c r="P1050" s="60">
        <v>0</v>
      </c>
      <c r="Q1050" s="60">
        <v>0</v>
      </c>
      <c r="R1050" s="60">
        <v>0</v>
      </c>
      <c r="S1050" s="60">
        <v>0</v>
      </c>
      <c r="T1050" s="60">
        <v>0</v>
      </c>
      <c r="U1050" s="60">
        <v>0</v>
      </c>
      <c r="V1050" s="60">
        <v>0</v>
      </c>
      <c r="W1050" s="60">
        <v>0</v>
      </c>
      <c r="X1050" s="60">
        <v>0</v>
      </c>
      <c r="Y1050" s="60">
        <v>0</v>
      </c>
      <c r="Z1050" s="60">
        <v>0</v>
      </c>
      <c r="AA1050" s="60">
        <v>0</v>
      </c>
      <c r="AB1050" s="60">
        <v>0</v>
      </c>
      <c r="AC1050" s="60">
        <v>31349.31</v>
      </c>
      <c r="AD1050" s="60">
        <v>0</v>
      </c>
      <c r="AE1050" s="60">
        <v>0</v>
      </c>
      <c r="AF1050" s="170" t="s">
        <v>257</v>
      </c>
      <c r="AG1050" s="170">
        <v>2022</v>
      </c>
      <c r="AH1050" s="170">
        <v>2022</v>
      </c>
    </row>
    <row r="1051" spans="1:34" ht="61.5" x14ac:dyDescent="0.85">
      <c r="A1051" s="7">
        <v>1</v>
      </c>
      <c r="B1051" s="59">
        <f>SUBTOTAL(103,$A$1032:A1051)</f>
        <v>20</v>
      </c>
      <c r="C1051" s="160" t="s">
        <v>560</v>
      </c>
      <c r="D1051" s="60">
        <f t="shared" si="174"/>
        <v>88250.57</v>
      </c>
      <c r="E1051" s="60">
        <v>0</v>
      </c>
      <c r="F1051" s="60">
        <v>0</v>
      </c>
      <c r="G1051" s="60">
        <v>0</v>
      </c>
      <c r="H1051" s="60">
        <v>0</v>
      </c>
      <c r="I1051" s="60">
        <v>0</v>
      </c>
      <c r="J1051" s="60">
        <v>0</v>
      </c>
      <c r="K1051" s="168">
        <v>0</v>
      </c>
      <c r="L1051" s="60">
        <v>0</v>
      </c>
      <c r="M1051" s="60">
        <v>0</v>
      </c>
      <c r="N1051" s="60">
        <v>0</v>
      </c>
      <c r="O1051" s="60">
        <v>0</v>
      </c>
      <c r="P1051" s="60">
        <v>0</v>
      </c>
      <c r="Q1051" s="60">
        <v>0</v>
      </c>
      <c r="R1051" s="60">
        <v>0</v>
      </c>
      <c r="S1051" s="60">
        <v>0</v>
      </c>
      <c r="T1051" s="60">
        <v>0</v>
      </c>
      <c r="U1051" s="60">
        <v>0</v>
      </c>
      <c r="V1051" s="60">
        <v>0</v>
      </c>
      <c r="W1051" s="60">
        <v>0</v>
      </c>
      <c r="X1051" s="60">
        <v>0</v>
      </c>
      <c r="Y1051" s="60">
        <v>0</v>
      </c>
      <c r="Z1051" s="60">
        <v>0</v>
      </c>
      <c r="AA1051" s="60">
        <v>0</v>
      </c>
      <c r="AB1051" s="60">
        <v>0</v>
      </c>
      <c r="AC1051" s="60">
        <f t="shared" ref="AC1051:AC1055" si="175">ROUND(N1051*2.14%,2)+ROUND(E1051*2.14%,2)+ROUND(F1051*2.14%,2)+ROUND(G1051*2.14%,2)+ROUND(H1051*2.14%,2)+ROUND(I1051*2.14%,2)+ROUND(J1051*2.14%,2)+ROUND(L1051*2.14%,2)+ROUND(P1051*2.14%,2)+ROUND(R1051*2.14%,2)+ROUND(T1051*2.14%,2)+ROUND(U1051*2.14%,2)+ROUND(V1051*2.14%,2)+ROUND(W1051*2.14%,2)+ROUND(X1051*2.14%,2)+ROUND(Y1051*2.14%,2)+ROUND(Z1051*2.14%,2)+ROUND(AA1051*2.14%,2)+ROUND(AB1051*2.14%,2)</f>
        <v>0</v>
      </c>
      <c r="AD1051" s="60">
        <v>88250.57</v>
      </c>
      <c r="AE1051" s="60">
        <v>0</v>
      </c>
      <c r="AF1051" s="170">
        <v>2022</v>
      </c>
      <c r="AG1051" s="170" t="s">
        <v>257</v>
      </c>
      <c r="AH1051" s="63" t="s">
        <v>257</v>
      </c>
    </row>
    <row r="1052" spans="1:34" ht="61.5" x14ac:dyDescent="0.85">
      <c r="A1052" s="7">
        <v>1</v>
      </c>
      <c r="B1052" s="59">
        <f>SUBTOTAL(103,$A$1032:A1052)</f>
        <v>21</v>
      </c>
      <c r="C1052" s="160" t="s">
        <v>562</v>
      </c>
      <c r="D1052" s="60">
        <f t="shared" si="174"/>
        <v>88247.65</v>
      </c>
      <c r="E1052" s="60">
        <v>0</v>
      </c>
      <c r="F1052" s="60">
        <v>0</v>
      </c>
      <c r="G1052" s="60">
        <v>0</v>
      </c>
      <c r="H1052" s="60">
        <v>0</v>
      </c>
      <c r="I1052" s="60">
        <v>0</v>
      </c>
      <c r="J1052" s="60">
        <v>0</v>
      </c>
      <c r="K1052" s="168">
        <v>0</v>
      </c>
      <c r="L1052" s="60">
        <v>0</v>
      </c>
      <c r="M1052" s="60">
        <v>0</v>
      </c>
      <c r="N1052" s="60">
        <v>0</v>
      </c>
      <c r="O1052" s="60">
        <v>0</v>
      </c>
      <c r="P1052" s="60">
        <v>0</v>
      </c>
      <c r="Q1052" s="60">
        <v>0</v>
      </c>
      <c r="R1052" s="60">
        <v>0</v>
      </c>
      <c r="S1052" s="60">
        <v>0</v>
      </c>
      <c r="T1052" s="60">
        <v>0</v>
      </c>
      <c r="U1052" s="60">
        <v>0</v>
      </c>
      <c r="V1052" s="60">
        <v>0</v>
      </c>
      <c r="W1052" s="60">
        <v>0</v>
      </c>
      <c r="X1052" s="60">
        <v>0</v>
      </c>
      <c r="Y1052" s="60">
        <v>0</v>
      </c>
      <c r="Z1052" s="60">
        <v>0</v>
      </c>
      <c r="AA1052" s="60">
        <v>0</v>
      </c>
      <c r="AB1052" s="60">
        <v>0</v>
      </c>
      <c r="AC1052" s="60">
        <f t="shared" si="175"/>
        <v>0</v>
      </c>
      <c r="AD1052" s="60">
        <v>88247.65</v>
      </c>
      <c r="AE1052" s="60">
        <v>0</v>
      </c>
      <c r="AF1052" s="170">
        <v>2022</v>
      </c>
      <c r="AG1052" s="170" t="s">
        <v>257</v>
      </c>
      <c r="AH1052" s="63" t="s">
        <v>257</v>
      </c>
    </row>
    <row r="1053" spans="1:34" ht="61.5" x14ac:dyDescent="0.85">
      <c r="A1053" s="7">
        <v>1</v>
      </c>
      <c r="B1053" s="59">
        <f>SUBTOTAL(103,$A$1032:A1053)</f>
        <v>22</v>
      </c>
      <c r="C1053" s="160" t="s">
        <v>563</v>
      </c>
      <c r="D1053" s="60">
        <f t="shared" si="174"/>
        <v>5160784.71</v>
      </c>
      <c r="E1053" s="60">
        <v>0</v>
      </c>
      <c r="F1053" s="60">
        <v>0</v>
      </c>
      <c r="G1053" s="60">
        <v>0</v>
      </c>
      <c r="H1053" s="60">
        <v>0</v>
      </c>
      <c r="I1053" s="60">
        <v>0</v>
      </c>
      <c r="J1053" s="60">
        <v>0</v>
      </c>
      <c r="K1053" s="168">
        <v>0</v>
      </c>
      <c r="L1053" s="60">
        <v>0</v>
      </c>
      <c r="M1053" s="60">
        <v>803.52</v>
      </c>
      <c r="N1053" s="60">
        <v>4974202.38</v>
      </c>
      <c r="O1053" s="60">
        <v>0</v>
      </c>
      <c r="P1053" s="60">
        <v>0</v>
      </c>
      <c r="Q1053" s="60">
        <v>0</v>
      </c>
      <c r="R1053" s="60">
        <v>0</v>
      </c>
      <c r="S1053" s="60">
        <v>0</v>
      </c>
      <c r="T1053" s="60">
        <v>0</v>
      </c>
      <c r="U1053" s="60">
        <v>0</v>
      </c>
      <c r="V1053" s="60">
        <v>0</v>
      </c>
      <c r="W1053" s="60">
        <v>0</v>
      </c>
      <c r="X1053" s="60">
        <v>0</v>
      </c>
      <c r="Y1053" s="60">
        <v>0</v>
      </c>
      <c r="Z1053" s="60">
        <v>0</v>
      </c>
      <c r="AA1053" s="60">
        <v>0</v>
      </c>
      <c r="AB1053" s="60">
        <v>0</v>
      </c>
      <c r="AC1053" s="60">
        <v>103254.49</v>
      </c>
      <c r="AD1053" s="60">
        <v>83327.839999999997</v>
      </c>
      <c r="AE1053" s="60">
        <v>0</v>
      </c>
      <c r="AF1053" s="170">
        <v>2022</v>
      </c>
      <c r="AG1053" s="170">
        <v>2022</v>
      </c>
      <c r="AH1053" s="63">
        <v>2022</v>
      </c>
    </row>
    <row r="1054" spans="1:34" ht="61.5" x14ac:dyDescent="0.85">
      <c r="A1054" s="7">
        <v>1</v>
      </c>
      <c r="B1054" s="59">
        <f>SUBTOTAL(103,$A$1032:A1054)</f>
        <v>23</v>
      </c>
      <c r="C1054" s="160" t="s">
        <v>1533</v>
      </c>
      <c r="D1054" s="60">
        <f t="shared" si="174"/>
        <v>9555035.5499999989</v>
      </c>
      <c r="E1054" s="60">
        <v>0</v>
      </c>
      <c r="F1054" s="60">
        <v>0</v>
      </c>
      <c r="G1054" s="60">
        <v>0</v>
      </c>
      <c r="H1054" s="60">
        <v>0</v>
      </c>
      <c r="I1054" s="60">
        <v>0</v>
      </c>
      <c r="J1054" s="60">
        <v>0</v>
      </c>
      <c r="K1054" s="168">
        <v>0</v>
      </c>
      <c r="L1054" s="60">
        <v>0</v>
      </c>
      <c r="M1054" s="60">
        <v>1554.64</v>
      </c>
      <c r="N1054" s="60">
        <v>9360725.6099999994</v>
      </c>
      <c r="O1054" s="60">
        <v>0</v>
      </c>
      <c r="P1054" s="60">
        <v>0</v>
      </c>
      <c r="Q1054" s="60">
        <v>0</v>
      </c>
      <c r="R1054" s="60">
        <v>0</v>
      </c>
      <c r="S1054" s="60">
        <v>0</v>
      </c>
      <c r="T1054" s="60">
        <v>0</v>
      </c>
      <c r="U1054" s="60">
        <v>0</v>
      </c>
      <c r="V1054" s="60">
        <v>0</v>
      </c>
      <c r="W1054" s="60">
        <v>0</v>
      </c>
      <c r="X1054" s="60">
        <v>0</v>
      </c>
      <c r="Y1054" s="60">
        <v>0</v>
      </c>
      <c r="Z1054" s="60">
        <v>0</v>
      </c>
      <c r="AA1054" s="60">
        <v>0</v>
      </c>
      <c r="AB1054" s="60">
        <v>0</v>
      </c>
      <c r="AC1054" s="60">
        <v>194309.94</v>
      </c>
      <c r="AD1054" s="60">
        <v>0</v>
      </c>
      <c r="AE1054" s="60">
        <v>0</v>
      </c>
      <c r="AF1054" s="170" t="s">
        <v>257</v>
      </c>
      <c r="AG1054" s="170">
        <v>2022</v>
      </c>
      <c r="AH1054" s="63">
        <v>2022</v>
      </c>
    </row>
    <row r="1055" spans="1:34" ht="61.5" x14ac:dyDescent="0.85">
      <c r="A1055" s="7">
        <v>1</v>
      </c>
      <c r="B1055" s="59">
        <f>SUBTOTAL(103,$A$1032:A1055)</f>
        <v>24</v>
      </c>
      <c r="C1055" s="160" t="s">
        <v>565</v>
      </c>
      <c r="D1055" s="60">
        <f t="shared" si="174"/>
        <v>6477040.1400000006</v>
      </c>
      <c r="E1055" s="60">
        <v>0</v>
      </c>
      <c r="F1055" s="60">
        <v>0</v>
      </c>
      <c r="G1055" s="60">
        <v>0</v>
      </c>
      <c r="H1055" s="60">
        <v>0</v>
      </c>
      <c r="I1055" s="60">
        <v>0</v>
      </c>
      <c r="J1055" s="60">
        <v>0</v>
      </c>
      <c r="K1055" s="168">
        <v>0</v>
      </c>
      <c r="L1055" s="60">
        <v>0</v>
      </c>
      <c r="M1055" s="60">
        <v>835.19</v>
      </c>
      <c r="N1055" s="60">
        <v>6256166</v>
      </c>
      <c r="O1055" s="60">
        <v>0</v>
      </c>
      <c r="P1055" s="60">
        <v>0</v>
      </c>
      <c r="Q1055" s="60">
        <v>0</v>
      </c>
      <c r="R1055" s="60">
        <v>0</v>
      </c>
      <c r="S1055" s="60">
        <v>0</v>
      </c>
      <c r="T1055" s="60">
        <v>0</v>
      </c>
      <c r="U1055" s="60">
        <v>0</v>
      </c>
      <c r="V1055" s="60">
        <v>0</v>
      </c>
      <c r="W1055" s="60">
        <v>0</v>
      </c>
      <c r="X1055" s="60">
        <v>0</v>
      </c>
      <c r="Y1055" s="60">
        <v>0</v>
      </c>
      <c r="Z1055" s="60">
        <v>0</v>
      </c>
      <c r="AA1055" s="60">
        <v>0</v>
      </c>
      <c r="AB1055" s="60">
        <v>0</v>
      </c>
      <c r="AC1055" s="60">
        <f t="shared" si="175"/>
        <v>133881.95000000001</v>
      </c>
      <c r="AD1055" s="60">
        <v>86992.19</v>
      </c>
      <c r="AE1055" s="60">
        <v>0</v>
      </c>
      <c r="AF1055" s="170">
        <v>2022</v>
      </c>
      <c r="AG1055" s="170">
        <v>2022</v>
      </c>
      <c r="AH1055" s="63">
        <v>2022</v>
      </c>
    </row>
    <row r="1056" spans="1:34" ht="61.5" x14ac:dyDescent="0.85">
      <c r="A1056" s="7">
        <v>1</v>
      </c>
      <c r="B1056" s="59">
        <f>SUBTOTAL(103,$A$1032:A1056)</f>
        <v>25</v>
      </c>
      <c r="C1056" s="160" t="s">
        <v>566</v>
      </c>
      <c r="D1056" s="60">
        <f t="shared" si="174"/>
        <v>4590224.1900000004</v>
      </c>
      <c r="E1056" s="60">
        <v>0</v>
      </c>
      <c r="F1056" s="60">
        <v>0</v>
      </c>
      <c r="G1056" s="60">
        <v>0</v>
      </c>
      <c r="H1056" s="60">
        <v>0</v>
      </c>
      <c r="I1056" s="60">
        <v>0</v>
      </c>
      <c r="J1056" s="60">
        <v>0</v>
      </c>
      <c r="K1056" s="168">
        <v>0</v>
      </c>
      <c r="L1056" s="60">
        <v>0</v>
      </c>
      <c r="M1056" s="60">
        <v>922</v>
      </c>
      <c r="N1056" s="60">
        <v>4496878</v>
      </c>
      <c r="O1056" s="60">
        <v>0</v>
      </c>
      <c r="P1056" s="60">
        <v>0</v>
      </c>
      <c r="Q1056" s="60">
        <v>0</v>
      </c>
      <c r="R1056" s="60">
        <v>0</v>
      </c>
      <c r="S1056" s="60">
        <v>0</v>
      </c>
      <c r="T1056" s="60">
        <v>0</v>
      </c>
      <c r="U1056" s="60">
        <v>0</v>
      </c>
      <c r="V1056" s="60">
        <v>0</v>
      </c>
      <c r="W1056" s="60">
        <v>0</v>
      </c>
      <c r="X1056" s="60">
        <v>0</v>
      </c>
      <c r="Y1056" s="60">
        <v>0</v>
      </c>
      <c r="Z1056" s="60">
        <v>0</v>
      </c>
      <c r="AA1056" s="60">
        <v>0</v>
      </c>
      <c r="AB1056" s="60">
        <v>0</v>
      </c>
      <c r="AC1056" s="60">
        <v>93346.19</v>
      </c>
      <c r="AD1056" s="60">
        <v>0</v>
      </c>
      <c r="AE1056" s="60">
        <v>0</v>
      </c>
      <c r="AF1056" s="170" t="s">
        <v>257</v>
      </c>
      <c r="AG1056" s="170">
        <v>2022</v>
      </c>
      <c r="AH1056" s="63">
        <v>2022</v>
      </c>
    </row>
    <row r="1057" spans="1:34" ht="61.5" x14ac:dyDescent="0.85">
      <c r="A1057" s="7">
        <v>1</v>
      </c>
      <c r="B1057" s="59">
        <f>SUBTOTAL(103,$A$1032:A1057)</f>
        <v>26</v>
      </c>
      <c r="C1057" s="160" t="s">
        <v>1006</v>
      </c>
      <c r="D1057" s="60">
        <f t="shared" si="174"/>
        <v>5542713</v>
      </c>
      <c r="E1057" s="60">
        <v>0</v>
      </c>
      <c r="F1057" s="60">
        <v>0</v>
      </c>
      <c r="G1057" s="60">
        <v>0</v>
      </c>
      <c r="H1057" s="60">
        <v>0</v>
      </c>
      <c r="I1057" s="60">
        <v>0</v>
      </c>
      <c r="J1057" s="60">
        <v>0</v>
      </c>
      <c r="K1057" s="168">
        <v>3</v>
      </c>
      <c r="L1057" s="60">
        <v>5542713</v>
      </c>
      <c r="M1057" s="60">
        <v>0</v>
      </c>
      <c r="N1057" s="60">
        <v>0</v>
      </c>
      <c r="O1057" s="60">
        <v>0</v>
      </c>
      <c r="P1057" s="60">
        <v>0</v>
      </c>
      <c r="Q1057" s="60">
        <v>0</v>
      </c>
      <c r="R1057" s="60">
        <v>0</v>
      </c>
      <c r="S1057" s="60">
        <v>0</v>
      </c>
      <c r="T1057" s="60">
        <v>0</v>
      </c>
      <c r="U1057" s="60">
        <v>0</v>
      </c>
      <c r="V1057" s="60">
        <v>0</v>
      </c>
      <c r="W1057" s="60">
        <v>0</v>
      </c>
      <c r="X1057" s="60">
        <v>0</v>
      </c>
      <c r="Y1057" s="60">
        <v>0</v>
      </c>
      <c r="Z1057" s="60">
        <v>0</v>
      </c>
      <c r="AA1057" s="60">
        <v>0</v>
      </c>
      <c r="AB1057" s="60">
        <v>0</v>
      </c>
      <c r="AC1057" s="60">
        <f>ROUND(N1057*1.5%,2)</f>
        <v>0</v>
      </c>
      <c r="AD1057" s="60">
        <v>0</v>
      </c>
      <c r="AE1057" s="60">
        <v>0</v>
      </c>
      <c r="AF1057" s="170" t="s">
        <v>257</v>
      </c>
      <c r="AG1057" s="170">
        <v>2022</v>
      </c>
      <c r="AH1057" s="63" t="s">
        <v>257</v>
      </c>
    </row>
    <row r="1058" spans="1:34" ht="61.5" x14ac:dyDescent="0.85">
      <c r="A1058" s="7">
        <v>1</v>
      </c>
      <c r="B1058" s="59">
        <f>SUBTOTAL(103,$A$1032:A1058)</f>
        <v>27</v>
      </c>
      <c r="C1058" s="160" t="s">
        <v>515</v>
      </c>
      <c r="D1058" s="60">
        <f t="shared" si="174"/>
        <v>2502121.0499999998</v>
      </c>
      <c r="E1058" s="60">
        <v>0</v>
      </c>
      <c r="F1058" s="60">
        <v>0</v>
      </c>
      <c r="G1058" s="60">
        <v>0</v>
      </c>
      <c r="H1058" s="60">
        <v>0</v>
      </c>
      <c r="I1058" s="60">
        <v>0</v>
      </c>
      <c r="J1058" s="60">
        <v>0</v>
      </c>
      <c r="K1058" s="168">
        <v>0</v>
      </c>
      <c r="L1058" s="60">
        <v>0</v>
      </c>
      <c r="M1058" s="60">
        <v>580.74</v>
      </c>
      <c r="N1058" s="60">
        <v>2364787</v>
      </c>
      <c r="O1058" s="60">
        <v>0</v>
      </c>
      <c r="P1058" s="60">
        <v>0</v>
      </c>
      <c r="Q1058" s="60">
        <v>0</v>
      </c>
      <c r="R1058" s="60">
        <v>0</v>
      </c>
      <c r="S1058" s="60">
        <v>0</v>
      </c>
      <c r="T1058" s="60">
        <v>0</v>
      </c>
      <c r="U1058" s="60">
        <v>0</v>
      </c>
      <c r="V1058" s="60">
        <v>0</v>
      </c>
      <c r="W1058" s="60">
        <v>0</v>
      </c>
      <c r="X1058" s="60">
        <v>0</v>
      </c>
      <c r="Y1058" s="60">
        <v>0</v>
      </c>
      <c r="Z1058" s="60">
        <v>0</v>
      </c>
      <c r="AA1058" s="60">
        <v>0</v>
      </c>
      <c r="AB1058" s="60">
        <v>0</v>
      </c>
      <c r="AC1058" s="60">
        <v>49088.25</v>
      </c>
      <c r="AD1058" s="60">
        <v>88245.8</v>
      </c>
      <c r="AE1058" s="60">
        <v>0</v>
      </c>
      <c r="AF1058" s="170">
        <v>2022</v>
      </c>
      <c r="AG1058" s="170">
        <v>2022</v>
      </c>
      <c r="AH1058" s="63">
        <v>2022</v>
      </c>
    </row>
    <row r="1059" spans="1:34" ht="61.5" x14ac:dyDescent="0.85">
      <c r="A1059" s="7">
        <v>1</v>
      </c>
      <c r="B1059" s="59">
        <f>SUBTOTAL(103,$A$1032:A1059)</f>
        <v>28</v>
      </c>
      <c r="C1059" s="160" t="s">
        <v>503</v>
      </c>
      <c r="D1059" s="60">
        <f t="shared" ref="D1059:D1086" si="176">E1059+F1059+G1059+H1059+I1059+J1059+L1059+N1059+P1059+R1059+T1059+U1059+V1059+W1059+X1059+Y1059+Z1059+AA1059+AB1059+AC1059+AD1059+AE1059</f>
        <v>5483469.1499999994</v>
      </c>
      <c r="E1059" s="60">
        <v>0</v>
      </c>
      <c r="F1059" s="60">
        <v>0</v>
      </c>
      <c r="G1059" s="60">
        <v>0</v>
      </c>
      <c r="H1059" s="60">
        <v>0</v>
      </c>
      <c r="I1059" s="60">
        <v>0</v>
      </c>
      <c r="J1059" s="60">
        <v>0</v>
      </c>
      <c r="K1059" s="168">
        <v>0</v>
      </c>
      <c r="L1059" s="60">
        <v>0</v>
      </c>
      <c r="M1059" s="60">
        <v>830</v>
      </c>
      <c r="N1059" s="60">
        <v>5285503</v>
      </c>
      <c r="O1059" s="60">
        <v>0</v>
      </c>
      <c r="P1059" s="60">
        <v>0</v>
      </c>
      <c r="Q1059" s="60">
        <v>0</v>
      </c>
      <c r="R1059" s="60">
        <v>0</v>
      </c>
      <c r="S1059" s="60">
        <v>0</v>
      </c>
      <c r="T1059" s="60">
        <v>0</v>
      </c>
      <c r="U1059" s="60">
        <v>0</v>
      </c>
      <c r="V1059" s="60">
        <v>0</v>
      </c>
      <c r="W1059" s="60">
        <v>0</v>
      </c>
      <c r="X1059" s="60">
        <v>0</v>
      </c>
      <c r="Y1059" s="60">
        <v>0</v>
      </c>
      <c r="Z1059" s="60">
        <v>0</v>
      </c>
      <c r="AA1059" s="60">
        <v>0</v>
      </c>
      <c r="AB1059" s="60">
        <v>0</v>
      </c>
      <c r="AC1059" s="60">
        <v>109716.47</v>
      </c>
      <c r="AD1059" s="60">
        <v>88249.68</v>
      </c>
      <c r="AE1059" s="60">
        <v>0</v>
      </c>
      <c r="AF1059" s="170">
        <v>2022</v>
      </c>
      <c r="AG1059" s="170">
        <v>2022</v>
      </c>
      <c r="AH1059" s="63">
        <v>2022</v>
      </c>
    </row>
    <row r="1060" spans="1:34" ht="61.5" x14ac:dyDescent="0.85">
      <c r="A1060" s="7">
        <v>1</v>
      </c>
      <c r="B1060" s="59">
        <f>SUBTOTAL(103,$A$1032:A1060)</f>
        <v>29</v>
      </c>
      <c r="C1060" s="160" t="s">
        <v>460</v>
      </c>
      <c r="D1060" s="60">
        <f t="shared" si="176"/>
        <v>6461336.8399999999</v>
      </c>
      <c r="E1060" s="60">
        <v>0</v>
      </c>
      <c r="F1060" s="60">
        <v>0</v>
      </c>
      <c r="G1060" s="60">
        <v>0</v>
      </c>
      <c r="H1060" s="60">
        <v>0</v>
      </c>
      <c r="I1060" s="60">
        <v>0</v>
      </c>
      <c r="J1060" s="60">
        <v>0</v>
      </c>
      <c r="K1060" s="168">
        <v>0</v>
      </c>
      <c r="L1060" s="60">
        <v>0</v>
      </c>
      <c r="M1060" s="60">
        <v>1076.6300000000001</v>
      </c>
      <c r="N1060" s="60">
        <v>6329939.9500000002</v>
      </c>
      <c r="O1060" s="60">
        <v>0</v>
      </c>
      <c r="P1060" s="60">
        <v>0</v>
      </c>
      <c r="Q1060" s="60">
        <v>0</v>
      </c>
      <c r="R1060" s="60">
        <v>0</v>
      </c>
      <c r="S1060" s="60">
        <v>0</v>
      </c>
      <c r="T1060" s="60">
        <v>0</v>
      </c>
      <c r="U1060" s="60">
        <v>0</v>
      </c>
      <c r="V1060" s="60">
        <v>0</v>
      </c>
      <c r="W1060" s="60">
        <v>0</v>
      </c>
      <c r="X1060" s="60">
        <v>0</v>
      </c>
      <c r="Y1060" s="60">
        <v>0</v>
      </c>
      <c r="Z1060" s="60">
        <v>0</v>
      </c>
      <c r="AA1060" s="60">
        <v>0</v>
      </c>
      <c r="AB1060" s="60">
        <v>0</v>
      </c>
      <c r="AC1060" s="60">
        <v>131396.89000000001</v>
      </c>
      <c r="AD1060" s="60">
        <v>0</v>
      </c>
      <c r="AE1060" s="60">
        <v>0</v>
      </c>
      <c r="AF1060" s="170" t="s">
        <v>257</v>
      </c>
      <c r="AG1060" s="170">
        <v>2022</v>
      </c>
      <c r="AH1060" s="63">
        <v>2022</v>
      </c>
    </row>
    <row r="1061" spans="1:34" ht="61.5" x14ac:dyDescent="0.85">
      <c r="A1061" s="7">
        <v>1</v>
      </c>
      <c r="B1061" s="59">
        <f>SUBTOTAL(103,$A$1032:A1061)</f>
        <v>30</v>
      </c>
      <c r="C1061" s="160" t="s">
        <v>1054</v>
      </c>
      <c r="D1061" s="60">
        <f t="shared" si="176"/>
        <v>199991.42</v>
      </c>
      <c r="E1061" s="60">
        <v>0</v>
      </c>
      <c r="F1061" s="60">
        <v>0</v>
      </c>
      <c r="G1061" s="60">
        <v>0</v>
      </c>
      <c r="H1061" s="60">
        <v>0</v>
      </c>
      <c r="I1061" s="60">
        <v>0</v>
      </c>
      <c r="J1061" s="60">
        <v>0</v>
      </c>
      <c r="K1061" s="168">
        <v>0</v>
      </c>
      <c r="L1061" s="60">
        <v>0</v>
      </c>
      <c r="M1061" s="60">
        <v>0</v>
      </c>
      <c r="N1061" s="60">
        <v>0</v>
      </c>
      <c r="O1061" s="60">
        <v>0</v>
      </c>
      <c r="P1061" s="60">
        <v>0</v>
      </c>
      <c r="Q1061" s="60">
        <v>0</v>
      </c>
      <c r="R1061" s="60">
        <v>0</v>
      </c>
      <c r="S1061" s="60">
        <v>0</v>
      </c>
      <c r="T1061" s="60">
        <v>0</v>
      </c>
      <c r="U1061" s="60">
        <v>0</v>
      </c>
      <c r="V1061" s="60">
        <v>0</v>
      </c>
      <c r="W1061" s="60">
        <v>0</v>
      </c>
      <c r="X1061" s="60">
        <v>0</v>
      </c>
      <c r="Y1061" s="60">
        <v>0</v>
      </c>
      <c r="Z1061" s="60">
        <v>0</v>
      </c>
      <c r="AA1061" s="60">
        <v>0</v>
      </c>
      <c r="AB1061" s="60">
        <v>0</v>
      </c>
      <c r="AC1061" s="60">
        <f>ROUND(N1061*2.14%,2)+ROUND(E1061*2.14%,2)+ROUND(F1061*2.14%,2)+ROUND(G1061*2.14%,2)+ROUND(H1061*2.14%,2)+ROUND(I1061*2.14%,2)+ROUND(J1061*2.14%,2)+ROUND(L1061*2.14%,2)+ROUND(P1061*2.14%,2)+ROUND(R1061*2.14%,2)+ROUND(T1061*2.14%,2)+ROUND(U1061*2.14%,2)+ROUND(V1061*2.14%,2)+ROUND(W1061*2.14%,2)+ROUND(X1061*2.14%,2)+ROUND(Y1061*2.14%,2)+ROUND(Z1061*2.14%,2)+ROUND(AA1061*2.14%,2)+ROUND(AB1061*2.14%,2)</f>
        <v>0</v>
      </c>
      <c r="AD1061" s="60">
        <v>199991.42</v>
      </c>
      <c r="AE1061" s="60">
        <v>0</v>
      </c>
      <c r="AF1061" s="170">
        <v>2022</v>
      </c>
      <c r="AG1061" s="170" t="s">
        <v>257</v>
      </c>
      <c r="AH1061" s="63" t="s">
        <v>257</v>
      </c>
    </row>
    <row r="1062" spans="1:34" ht="61.5" x14ac:dyDescent="0.85">
      <c r="A1062" s="7">
        <v>1</v>
      </c>
      <c r="B1062" s="59">
        <f>SUBTOTAL(103,$A$1032:A1062)</f>
        <v>31</v>
      </c>
      <c r="C1062" s="160" t="s">
        <v>2145</v>
      </c>
      <c r="D1062" s="60">
        <f t="shared" si="176"/>
        <v>3073917.76</v>
      </c>
      <c r="E1062" s="60">
        <v>0</v>
      </c>
      <c r="F1062" s="60">
        <v>0</v>
      </c>
      <c r="G1062" s="60">
        <v>0</v>
      </c>
      <c r="H1062" s="60">
        <v>0</v>
      </c>
      <c r="I1062" s="60">
        <v>0</v>
      </c>
      <c r="J1062" s="60">
        <v>0</v>
      </c>
      <c r="K1062" s="168">
        <v>0</v>
      </c>
      <c r="L1062" s="60">
        <v>0</v>
      </c>
      <c r="M1062" s="60">
        <v>454.03</v>
      </c>
      <c r="N1062" s="60">
        <v>2954346</v>
      </c>
      <c r="O1062" s="60">
        <v>0</v>
      </c>
      <c r="P1062" s="60">
        <v>0</v>
      </c>
      <c r="Q1062" s="60">
        <v>0</v>
      </c>
      <c r="R1062" s="60">
        <v>0</v>
      </c>
      <c r="S1062" s="60">
        <v>0</v>
      </c>
      <c r="T1062" s="60">
        <v>0</v>
      </c>
      <c r="U1062" s="60">
        <v>0</v>
      </c>
      <c r="V1062" s="60">
        <v>0</v>
      </c>
      <c r="W1062" s="60">
        <v>0</v>
      </c>
      <c r="X1062" s="60">
        <v>0</v>
      </c>
      <c r="Y1062" s="60">
        <v>0</v>
      </c>
      <c r="Z1062" s="60">
        <v>0</v>
      </c>
      <c r="AA1062" s="60">
        <v>0</v>
      </c>
      <c r="AB1062" s="60">
        <v>0</v>
      </c>
      <c r="AC1062" s="60">
        <f>ROUND(N1062*2.14%,2)+ROUND(E1062*2.14%,2)+ROUND(F1062*2.14%,2)+ROUND(G1062*2.14%,2)+ROUND(H1062*2.14%,2)+ROUND(I1062*2.14%,2)+ROUND(J1062*2.14%,2)+ROUND(L1062*2.14%,2)+ROUND(P1062*2.14%,2)+ROUND(R1062*2.14%,2)+ROUND(T1062*2.14%,2)+ROUND(U1062*2.14%,2)+ROUND(V1062*2.14%,2)+ROUND(W1062*2.14%,2)+ROUND(X1062*2.14%,2)+ROUND(Y1062*2.14%,2)+ROUND(Z1062*2.14%,2)+ROUND(AA1062*2.14%,2)+ROUND(AB1062*2.14%,2)</f>
        <v>63223</v>
      </c>
      <c r="AD1062" s="60">
        <v>56348.76</v>
      </c>
      <c r="AE1062" s="60">
        <v>0</v>
      </c>
      <c r="AF1062" s="170">
        <v>2022</v>
      </c>
      <c r="AG1062" s="170">
        <v>2022</v>
      </c>
      <c r="AH1062" s="63">
        <v>2022</v>
      </c>
    </row>
    <row r="1063" spans="1:34" ht="61.5" x14ac:dyDescent="0.85">
      <c r="A1063" s="7">
        <v>1</v>
      </c>
      <c r="B1063" s="59">
        <f>SUBTOTAL(103,$A$1032:A1063)</f>
        <v>32</v>
      </c>
      <c r="C1063" s="160" t="s">
        <v>2148</v>
      </c>
      <c r="D1063" s="60">
        <f t="shared" si="176"/>
        <v>3881918.58</v>
      </c>
      <c r="E1063" s="60">
        <v>0</v>
      </c>
      <c r="F1063" s="60">
        <v>0</v>
      </c>
      <c r="G1063" s="60">
        <v>0</v>
      </c>
      <c r="H1063" s="60">
        <v>0</v>
      </c>
      <c r="I1063" s="60">
        <v>0</v>
      </c>
      <c r="J1063" s="60">
        <v>0</v>
      </c>
      <c r="K1063" s="168">
        <v>0</v>
      </c>
      <c r="L1063" s="60">
        <v>0</v>
      </c>
      <c r="M1063" s="60">
        <v>0</v>
      </c>
      <c r="N1063" s="60">
        <v>0</v>
      </c>
      <c r="O1063" s="60">
        <v>0</v>
      </c>
      <c r="P1063" s="60">
        <v>0</v>
      </c>
      <c r="Q1063" s="60">
        <v>919.6</v>
      </c>
      <c r="R1063" s="60">
        <v>3802976.4</v>
      </c>
      <c r="S1063" s="60">
        <v>0</v>
      </c>
      <c r="T1063" s="60">
        <v>0</v>
      </c>
      <c r="U1063" s="60">
        <v>0</v>
      </c>
      <c r="V1063" s="60">
        <v>0</v>
      </c>
      <c r="W1063" s="60">
        <v>0</v>
      </c>
      <c r="X1063" s="60">
        <v>0</v>
      </c>
      <c r="Y1063" s="60">
        <v>0</v>
      </c>
      <c r="Z1063" s="60">
        <v>0</v>
      </c>
      <c r="AA1063" s="60">
        <v>0</v>
      </c>
      <c r="AB1063" s="60">
        <v>0</v>
      </c>
      <c r="AC1063" s="60">
        <v>78942.179999999993</v>
      </c>
      <c r="AD1063" s="60">
        <v>0</v>
      </c>
      <c r="AE1063" s="60">
        <v>0</v>
      </c>
      <c r="AF1063" s="170" t="s">
        <v>257</v>
      </c>
      <c r="AG1063" s="170">
        <v>2022</v>
      </c>
      <c r="AH1063" s="63">
        <v>2022</v>
      </c>
    </row>
    <row r="1064" spans="1:34" ht="61.5" x14ac:dyDescent="0.85">
      <c r="A1064" s="7">
        <v>1</v>
      </c>
      <c r="B1064" s="59">
        <f>SUBTOTAL(103,$A$1032:A1064)</f>
        <v>33</v>
      </c>
      <c r="C1064" s="160" t="s">
        <v>2149</v>
      </c>
      <c r="D1064" s="60">
        <f t="shared" si="176"/>
        <v>4571398.28</v>
      </c>
      <c r="E1064" s="60">
        <v>0</v>
      </c>
      <c r="F1064" s="60">
        <v>0</v>
      </c>
      <c r="G1064" s="60">
        <v>0</v>
      </c>
      <c r="H1064" s="60">
        <v>0</v>
      </c>
      <c r="I1064" s="60">
        <v>0</v>
      </c>
      <c r="J1064" s="60">
        <v>0</v>
      </c>
      <c r="K1064" s="168">
        <v>0</v>
      </c>
      <c r="L1064" s="60">
        <v>0</v>
      </c>
      <c r="M1064" s="60">
        <v>792</v>
      </c>
      <c r="N1064" s="60">
        <v>4392087</v>
      </c>
      <c r="O1064" s="60">
        <v>0</v>
      </c>
      <c r="P1064" s="60">
        <v>0</v>
      </c>
      <c r="Q1064" s="60">
        <v>0</v>
      </c>
      <c r="R1064" s="60">
        <v>0</v>
      </c>
      <c r="S1064" s="60">
        <v>0</v>
      </c>
      <c r="T1064" s="60">
        <v>0</v>
      </c>
      <c r="U1064" s="60">
        <v>0</v>
      </c>
      <c r="V1064" s="60">
        <v>0</v>
      </c>
      <c r="W1064" s="60">
        <v>0</v>
      </c>
      <c r="X1064" s="60">
        <v>0</v>
      </c>
      <c r="Y1064" s="60">
        <v>0</v>
      </c>
      <c r="Z1064" s="60">
        <v>0</v>
      </c>
      <c r="AA1064" s="60">
        <v>0</v>
      </c>
      <c r="AB1064" s="60">
        <v>0</v>
      </c>
      <c r="AC1064" s="60">
        <v>91170.94</v>
      </c>
      <c r="AD1064" s="60">
        <v>88140.34</v>
      </c>
      <c r="AE1064" s="60">
        <v>0</v>
      </c>
      <c r="AF1064" s="170">
        <v>2022</v>
      </c>
      <c r="AG1064" s="170">
        <v>2022</v>
      </c>
      <c r="AH1064" s="63">
        <v>2022</v>
      </c>
    </row>
    <row r="1065" spans="1:34" ht="61.5" x14ac:dyDescent="0.85">
      <c r="A1065" s="7">
        <v>1</v>
      </c>
      <c r="B1065" s="59">
        <f>SUBTOTAL(103,$A$1032:A1065)</f>
        <v>34</v>
      </c>
      <c r="C1065" s="160" t="s">
        <v>2150</v>
      </c>
      <c r="D1065" s="60">
        <f t="shared" si="176"/>
        <v>227428.61</v>
      </c>
      <c r="E1065" s="60">
        <v>0</v>
      </c>
      <c r="F1065" s="60">
        <v>0</v>
      </c>
      <c r="G1065" s="60">
        <v>0</v>
      </c>
      <c r="H1065" s="60">
        <v>0</v>
      </c>
      <c r="I1065" s="60">
        <v>0</v>
      </c>
      <c r="J1065" s="60">
        <v>0</v>
      </c>
      <c r="K1065" s="168">
        <v>0</v>
      </c>
      <c r="L1065" s="60">
        <v>0</v>
      </c>
      <c r="M1065" s="60">
        <v>0</v>
      </c>
      <c r="N1065" s="60">
        <v>0</v>
      </c>
      <c r="O1065" s="60">
        <v>0</v>
      </c>
      <c r="P1065" s="60">
        <v>0</v>
      </c>
      <c r="Q1065" s="60">
        <v>0</v>
      </c>
      <c r="R1065" s="60">
        <v>0</v>
      </c>
      <c r="S1065" s="60">
        <v>0</v>
      </c>
      <c r="T1065" s="60">
        <v>0</v>
      </c>
      <c r="U1065" s="60">
        <v>0</v>
      </c>
      <c r="V1065" s="60">
        <v>0</v>
      </c>
      <c r="W1065" s="60">
        <v>0</v>
      </c>
      <c r="X1065" s="60">
        <v>0</v>
      </c>
      <c r="Y1065" s="60">
        <v>0</v>
      </c>
      <c r="Z1065" s="60">
        <v>0</v>
      </c>
      <c r="AA1065" s="60">
        <v>0</v>
      </c>
      <c r="AB1065" s="60">
        <v>0</v>
      </c>
      <c r="AC1065" s="60">
        <f>ROUND(N1065*2.14%,2)+ROUND(E1065*2.14%,2)+ROUND(F1065*2.14%,2)+ROUND(G1065*2.14%,2)+ROUND(H1065*2.14%,2)+ROUND(I1065*2.14%,2)+ROUND(J1065*2.14%,2)+ROUND(L1065*2.14%,2)+ROUND(P1065*2.14%,2)+ROUND(R1065*2.14%,2)+ROUND(T1065*2.14%,2)+ROUND(U1065*2.14%,2)+ROUND(V1065*2.14%,2)+ROUND(W1065*2.14%,2)+ROUND(X1065*2.14%,2)+ROUND(Y1065*2.14%,2)+ROUND(Z1065*2.14%,2)+ROUND(AA1065*2.14%,2)+ROUND(AB1065*2.14%,2)</f>
        <v>0</v>
      </c>
      <c r="AD1065" s="60">
        <v>227428.61</v>
      </c>
      <c r="AE1065" s="60">
        <v>0</v>
      </c>
      <c r="AF1065" s="170">
        <v>2022</v>
      </c>
      <c r="AG1065" s="170" t="s">
        <v>257</v>
      </c>
      <c r="AH1065" s="63" t="s">
        <v>257</v>
      </c>
    </row>
    <row r="1066" spans="1:34" ht="61.5" x14ac:dyDescent="0.85">
      <c r="A1066" s="7">
        <v>1</v>
      </c>
      <c r="B1066" s="59">
        <f>SUBTOTAL(103,$A$1032:A1066)</f>
        <v>35</v>
      </c>
      <c r="C1066" s="160" t="s">
        <v>2151</v>
      </c>
      <c r="D1066" s="60">
        <f t="shared" si="176"/>
        <v>8300644.2100000009</v>
      </c>
      <c r="E1066" s="60">
        <v>0</v>
      </c>
      <c r="F1066" s="60">
        <v>0</v>
      </c>
      <c r="G1066" s="60">
        <v>0</v>
      </c>
      <c r="H1066" s="60">
        <v>0</v>
      </c>
      <c r="I1066" s="60">
        <v>0</v>
      </c>
      <c r="J1066" s="60">
        <v>0</v>
      </c>
      <c r="K1066" s="168">
        <v>0</v>
      </c>
      <c r="L1066" s="60">
        <v>0</v>
      </c>
      <c r="M1066" s="60">
        <v>1086</v>
      </c>
      <c r="N1066" s="60">
        <v>8045391</v>
      </c>
      <c r="O1066" s="60">
        <v>0</v>
      </c>
      <c r="P1066" s="60">
        <v>0</v>
      </c>
      <c r="Q1066" s="60">
        <v>0</v>
      </c>
      <c r="R1066" s="60">
        <v>0</v>
      </c>
      <c r="S1066" s="60">
        <v>0</v>
      </c>
      <c r="T1066" s="60">
        <v>0</v>
      </c>
      <c r="U1066" s="60">
        <v>0</v>
      </c>
      <c r="V1066" s="60">
        <v>0</v>
      </c>
      <c r="W1066" s="60">
        <v>0</v>
      </c>
      <c r="X1066" s="60">
        <v>0</v>
      </c>
      <c r="Y1066" s="60">
        <v>0</v>
      </c>
      <c r="Z1066" s="60">
        <v>0</v>
      </c>
      <c r="AA1066" s="60">
        <v>0</v>
      </c>
      <c r="AB1066" s="60">
        <v>0</v>
      </c>
      <c r="AC1066" s="60">
        <v>167006.23000000001</v>
      </c>
      <c r="AD1066" s="60">
        <v>88246.98</v>
      </c>
      <c r="AE1066" s="60">
        <v>0</v>
      </c>
      <c r="AF1066" s="170">
        <v>2022</v>
      </c>
      <c r="AG1066" s="170">
        <v>2022</v>
      </c>
      <c r="AH1066" s="63">
        <v>2022</v>
      </c>
    </row>
    <row r="1067" spans="1:34" ht="61.5" x14ac:dyDescent="0.85">
      <c r="A1067" s="7">
        <v>1</v>
      </c>
      <c r="B1067" s="59">
        <f>SUBTOTAL(103,$A$1032:A1067)</f>
        <v>36</v>
      </c>
      <c r="C1067" s="160" t="s">
        <v>2308</v>
      </c>
      <c r="D1067" s="60">
        <f t="shared" si="176"/>
        <v>2794958.12</v>
      </c>
      <c r="E1067" s="60">
        <v>0</v>
      </c>
      <c r="F1067" s="60">
        <v>0</v>
      </c>
      <c r="G1067" s="60">
        <v>0</v>
      </c>
      <c r="H1067" s="60">
        <v>0</v>
      </c>
      <c r="I1067" s="60">
        <v>0</v>
      </c>
      <c r="J1067" s="60">
        <v>0</v>
      </c>
      <c r="K1067" s="168">
        <v>0</v>
      </c>
      <c r="L1067" s="60">
        <v>0</v>
      </c>
      <c r="M1067" s="60">
        <v>474.62</v>
      </c>
      <c r="N1067" s="60">
        <v>2656328</v>
      </c>
      <c r="O1067" s="60">
        <v>0</v>
      </c>
      <c r="P1067" s="60">
        <v>0</v>
      </c>
      <c r="Q1067" s="60">
        <v>0</v>
      </c>
      <c r="R1067" s="60">
        <v>0</v>
      </c>
      <c r="S1067" s="60">
        <v>0</v>
      </c>
      <c r="T1067" s="60">
        <v>0</v>
      </c>
      <c r="U1067" s="60">
        <v>0</v>
      </c>
      <c r="V1067" s="60">
        <v>0</v>
      </c>
      <c r="W1067" s="60">
        <v>0</v>
      </c>
      <c r="X1067" s="60">
        <v>0</v>
      </c>
      <c r="Y1067" s="60">
        <v>0</v>
      </c>
      <c r="Z1067" s="60">
        <v>0</v>
      </c>
      <c r="AA1067" s="60">
        <v>0</v>
      </c>
      <c r="AB1067" s="60">
        <v>0</v>
      </c>
      <c r="AC1067" s="60">
        <v>55140.06</v>
      </c>
      <c r="AD1067" s="60">
        <v>83490.06</v>
      </c>
      <c r="AE1067" s="60">
        <v>0</v>
      </c>
      <c r="AF1067" s="170">
        <v>2022</v>
      </c>
      <c r="AG1067" s="170">
        <v>2022</v>
      </c>
      <c r="AH1067" s="63">
        <v>2022</v>
      </c>
    </row>
    <row r="1068" spans="1:34" ht="61.5" x14ac:dyDescent="0.85">
      <c r="A1068" s="7">
        <v>1</v>
      </c>
      <c r="B1068" s="59">
        <f>SUBTOTAL(103,$A$1032:A1068)</f>
        <v>37</v>
      </c>
      <c r="C1068" s="160" t="s">
        <v>2309</v>
      </c>
      <c r="D1068" s="60">
        <f t="shared" si="176"/>
        <v>1654261.91</v>
      </c>
      <c r="E1068" s="60">
        <v>0</v>
      </c>
      <c r="F1068" s="60">
        <v>0</v>
      </c>
      <c r="G1068" s="60">
        <v>0</v>
      </c>
      <c r="H1068" s="60">
        <v>0</v>
      </c>
      <c r="I1068" s="60">
        <v>0</v>
      </c>
      <c r="J1068" s="60">
        <v>0</v>
      </c>
      <c r="K1068" s="168">
        <v>0</v>
      </c>
      <c r="L1068" s="60">
        <v>0</v>
      </c>
      <c r="M1068" s="60">
        <v>434</v>
      </c>
      <c r="N1068" s="60">
        <v>1594081.4</v>
      </c>
      <c r="O1068" s="60">
        <v>0</v>
      </c>
      <c r="P1068" s="60">
        <v>0</v>
      </c>
      <c r="Q1068" s="60">
        <v>0</v>
      </c>
      <c r="R1068" s="60">
        <v>0</v>
      </c>
      <c r="S1068" s="60">
        <v>0</v>
      </c>
      <c r="T1068" s="60">
        <v>0</v>
      </c>
      <c r="U1068" s="60">
        <v>0</v>
      </c>
      <c r="V1068" s="60">
        <v>0</v>
      </c>
      <c r="W1068" s="60">
        <v>0</v>
      </c>
      <c r="X1068" s="60">
        <v>0</v>
      </c>
      <c r="Y1068" s="60">
        <v>0</v>
      </c>
      <c r="Z1068" s="60">
        <v>0</v>
      </c>
      <c r="AA1068" s="60">
        <v>0</v>
      </c>
      <c r="AB1068" s="60">
        <v>0</v>
      </c>
      <c r="AC1068" s="60">
        <v>0</v>
      </c>
      <c r="AD1068" s="60">
        <v>60180.51</v>
      </c>
      <c r="AE1068" s="60">
        <v>0</v>
      </c>
      <c r="AF1068" s="170">
        <v>2022</v>
      </c>
      <c r="AG1068" s="170">
        <v>2022</v>
      </c>
      <c r="AH1068" s="63" t="s">
        <v>257</v>
      </c>
    </row>
    <row r="1069" spans="1:34" ht="61.5" x14ac:dyDescent="0.85">
      <c r="A1069" s="7">
        <v>1</v>
      </c>
      <c r="B1069" s="59">
        <f>SUBTOTAL(103,$A$1032:A1069)</f>
        <v>38</v>
      </c>
      <c r="C1069" s="160" t="s">
        <v>2310</v>
      </c>
      <c r="D1069" s="60">
        <f t="shared" si="176"/>
        <v>9933195.0500000007</v>
      </c>
      <c r="E1069" s="60">
        <v>0</v>
      </c>
      <c r="F1069" s="60">
        <v>0</v>
      </c>
      <c r="G1069" s="60">
        <v>0</v>
      </c>
      <c r="H1069" s="60">
        <v>0</v>
      </c>
      <c r="I1069" s="60">
        <v>0</v>
      </c>
      <c r="J1069" s="60">
        <v>0</v>
      </c>
      <c r="K1069" s="168">
        <v>0</v>
      </c>
      <c r="L1069" s="60">
        <v>0</v>
      </c>
      <c r="M1069" s="60">
        <v>1547.66</v>
      </c>
      <c r="N1069" s="60">
        <v>9633059.1300000008</v>
      </c>
      <c r="O1069" s="60">
        <v>0</v>
      </c>
      <c r="P1069" s="60">
        <v>0</v>
      </c>
      <c r="Q1069" s="60">
        <v>0</v>
      </c>
      <c r="R1069" s="60">
        <v>0</v>
      </c>
      <c r="S1069" s="60">
        <v>0</v>
      </c>
      <c r="T1069" s="60">
        <v>0</v>
      </c>
      <c r="U1069" s="60">
        <v>0</v>
      </c>
      <c r="V1069" s="60">
        <v>0</v>
      </c>
      <c r="W1069" s="60">
        <v>0</v>
      </c>
      <c r="X1069" s="60">
        <v>0</v>
      </c>
      <c r="Y1069" s="60">
        <v>0</v>
      </c>
      <c r="Z1069" s="60">
        <v>0</v>
      </c>
      <c r="AA1069" s="60">
        <v>0</v>
      </c>
      <c r="AB1069" s="60">
        <v>0</v>
      </c>
      <c r="AC1069" s="60">
        <v>199963.04</v>
      </c>
      <c r="AD1069" s="60">
        <v>100172.88</v>
      </c>
      <c r="AE1069" s="60">
        <v>0</v>
      </c>
      <c r="AF1069" s="170">
        <v>2022</v>
      </c>
      <c r="AG1069" s="170">
        <v>2022</v>
      </c>
      <c r="AH1069" s="63">
        <v>2022</v>
      </c>
    </row>
    <row r="1070" spans="1:34" ht="61.5" x14ac:dyDescent="0.85">
      <c r="A1070" s="7">
        <v>1</v>
      </c>
      <c r="B1070" s="59">
        <f>SUBTOTAL(103,$A$1032:A1070)</f>
        <v>39</v>
      </c>
      <c r="C1070" s="160" t="s">
        <v>2311</v>
      </c>
      <c r="D1070" s="60">
        <f t="shared" si="176"/>
        <v>8897815.5099999998</v>
      </c>
      <c r="E1070" s="60">
        <v>0</v>
      </c>
      <c r="F1070" s="60">
        <v>0</v>
      </c>
      <c r="G1070" s="60">
        <v>0</v>
      </c>
      <c r="H1070" s="60">
        <v>0</v>
      </c>
      <c r="I1070" s="60">
        <v>0</v>
      </c>
      <c r="J1070" s="60">
        <v>0</v>
      </c>
      <c r="K1070" s="168">
        <v>0</v>
      </c>
      <c r="L1070" s="60">
        <v>0</v>
      </c>
      <c r="M1070" s="60">
        <v>1495</v>
      </c>
      <c r="N1070" s="60">
        <v>8613275</v>
      </c>
      <c r="O1070" s="60">
        <v>0</v>
      </c>
      <c r="P1070" s="60">
        <v>0</v>
      </c>
      <c r="Q1070" s="60">
        <v>0</v>
      </c>
      <c r="R1070" s="60">
        <v>0</v>
      </c>
      <c r="S1070" s="60">
        <v>0</v>
      </c>
      <c r="T1070" s="60">
        <v>0</v>
      </c>
      <c r="U1070" s="60">
        <v>0</v>
      </c>
      <c r="V1070" s="60">
        <v>0</v>
      </c>
      <c r="W1070" s="60">
        <v>0</v>
      </c>
      <c r="X1070" s="60">
        <v>0</v>
      </c>
      <c r="Y1070" s="60">
        <v>0</v>
      </c>
      <c r="Z1070" s="60">
        <v>0</v>
      </c>
      <c r="AA1070" s="60">
        <v>0</v>
      </c>
      <c r="AB1070" s="60">
        <v>0</v>
      </c>
      <c r="AC1070" s="60">
        <v>178794.36</v>
      </c>
      <c r="AD1070" s="60">
        <v>105746.15</v>
      </c>
      <c r="AE1070" s="60">
        <v>0</v>
      </c>
      <c r="AF1070" s="170">
        <v>2022</v>
      </c>
      <c r="AG1070" s="170">
        <v>2022</v>
      </c>
      <c r="AH1070" s="63">
        <v>2022</v>
      </c>
    </row>
    <row r="1071" spans="1:34" ht="61.5" x14ac:dyDescent="0.85">
      <c r="A1071" s="7">
        <v>1</v>
      </c>
      <c r="B1071" s="59">
        <f>SUBTOTAL(103,$A$1032:A1071)</f>
        <v>40</v>
      </c>
      <c r="C1071" s="160" t="s">
        <v>2313</v>
      </c>
      <c r="D1071" s="60">
        <f t="shared" si="176"/>
        <v>8329339.1400000006</v>
      </c>
      <c r="E1071" s="60">
        <v>0</v>
      </c>
      <c r="F1071" s="60">
        <v>0</v>
      </c>
      <c r="G1071" s="60">
        <v>0</v>
      </c>
      <c r="H1071" s="60">
        <v>0</v>
      </c>
      <c r="I1071" s="60">
        <v>0</v>
      </c>
      <c r="J1071" s="60">
        <v>0</v>
      </c>
      <c r="K1071" s="168">
        <v>0</v>
      </c>
      <c r="L1071" s="60">
        <v>0</v>
      </c>
      <c r="M1071" s="60">
        <v>1330</v>
      </c>
      <c r="N1071" s="60">
        <v>8074692.4000000004</v>
      </c>
      <c r="O1071" s="60">
        <v>0</v>
      </c>
      <c r="P1071" s="60">
        <v>0</v>
      </c>
      <c r="Q1071" s="60">
        <v>0</v>
      </c>
      <c r="R1071" s="60">
        <v>0</v>
      </c>
      <c r="S1071" s="60">
        <v>0</v>
      </c>
      <c r="T1071" s="60">
        <v>0</v>
      </c>
      <c r="U1071" s="60">
        <v>0</v>
      </c>
      <c r="V1071" s="60">
        <v>0</v>
      </c>
      <c r="W1071" s="60">
        <v>0</v>
      </c>
      <c r="X1071" s="60">
        <v>0</v>
      </c>
      <c r="Y1071" s="60">
        <v>0</v>
      </c>
      <c r="Z1071" s="60">
        <v>0</v>
      </c>
      <c r="AA1071" s="60">
        <v>0</v>
      </c>
      <c r="AB1071" s="60">
        <v>0</v>
      </c>
      <c r="AC1071" s="60">
        <v>167614.46</v>
      </c>
      <c r="AD1071" s="60">
        <v>87032.28</v>
      </c>
      <c r="AE1071" s="60">
        <v>0</v>
      </c>
      <c r="AF1071" s="170">
        <v>2022</v>
      </c>
      <c r="AG1071" s="170">
        <v>2022</v>
      </c>
      <c r="AH1071" s="63">
        <v>2022</v>
      </c>
    </row>
    <row r="1072" spans="1:34" ht="61.5" x14ac:dyDescent="0.85">
      <c r="A1072" s="7">
        <v>1</v>
      </c>
      <c r="B1072" s="59">
        <f>SUBTOTAL(103,$A$1032:A1072)</f>
        <v>41</v>
      </c>
      <c r="C1072" s="160" t="s">
        <v>2314</v>
      </c>
      <c r="D1072" s="60">
        <f t="shared" si="176"/>
        <v>4609885.78</v>
      </c>
      <c r="E1072" s="60">
        <v>0</v>
      </c>
      <c r="F1072" s="60">
        <v>0</v>
      </c>
      <c r="G1072" s="60">
        <v>0</v>
      </c>
      <c r="H1072" s="60">
        <v>0</v>
      </c>
      <c r="I1072" s="60">
        <v>0</v>
      </c>
      <c r="J1072" s="60">
        <v>0</v>
      </c>
      <c r="K1072" s="168">
        <v>0</v>
      </c>
      <c r="L1072" s="60">
        <v>0</v>
      </c>
      <c r="M1072" s="60">
        <v>1030.2</v>
      </c>
      <c r="N1072" s="60">
        <v>4456798</v>
      </c>
      <c r="O1072" s="60">
        <v>0</v>
      </c>
      <c r="P1072" s="60">
        <v>0</v>
      </c>
      <c r="Q1072" s="60">
        <v>0</v>
      </c>
      <c r="R1072" s="60">
        <v>0</v>
      </c>
      <c r="S1072" s="60">
        <v>0</v>
      </c>
      <c r="T1072" s="60">
        <v>0</v>
      </c>
      <c r="U1072" s="60">
        <v>0</v>
      </c>
      <c r="V1072" s="60">
        <v>0</v>
      </c>
      <c r="W1072" s="60">
        <v>0</v>
      </c>
      <c r="X1072" s="60">
        <v>0</v>
      </c>
      <c r="Y1072" s="60">
        <v>0</v>
      </c>
      <c r="Z1072" s="60">
        <v>0</v>
      </c>
      <c r="AA1072" s="60">
        <v>0</v>
      </c>
      <c r="AB1072" s="60">
        <v>0</v>
      </c>
      <c r="AC1072" s="60">
        <v>92514.21</v>
      </c>
      <c r="AD1072" s="60">
        <v>60573.57</v>
      </c>
      <c r="AE1072" s="60">
        <v>0</v>
      </c>
      <c r="AF1072" s="170">
        <v>2022</v>
      </c>
      <c r="AG1072" s="170">
        <v>2022</v>
      </c>
      <c r="AH1072" s="63">
        <v>2022</v>
      </c>
    </row>
    <row r="1073" spans="1:16199" customFormat="1" ht="61.5" x14ac:dyDescent="0.85">
      <c r="A1073" s="7">
        <v>1</v>
      </c>
      <c r="B1073" s="59">
        <f>SUBTOTAL(103,$A$1032:A1073)</f>
        <v>42</v>
      </c>
      <c r="C1073" s="160" t="s">
        <v>542</v>
      </c>
      <c r="D1073" s="60">
        <f t="shared" si="176"/>
        <v>5205529.72</v>
      </c>
      <c r="E1073" s="60">
        <v>0</v>
      </c>
      <c r="F1073" s="60">
        <v>0</v>
      </c>
      <c r="G1073" s="60">
        <v>0</v>
      </c>
      <c r="H1073" s="60">
        <v>0</v>
      </c>
      <c r="I1073" s="60">
        <v>0</v>
      </c>
      <c r="J1073" s="60">
        <v>0</v>
      </c>
      <c r="K1073" s="168">
        <v>0</v>
      </c>
      <c r="L1073" s="60">
        <v>0</v>
      </c>
      <c r="M1073" s="60">
        <v>741.2</v>
      </c>
      <c r="N1073" s="60">
        <v>5130117</v>
      </c>
      <c r="O1073" s="60">
        <v>0</v>
      </c>
      <c r="P1073" s="60">
        <v>0</v>
      </c>
      <c r="Q1073" s="60">
        <v>0</v>
      </c>
      <c r="R1073" s="60">
        <v>0</v>
      </c>
      <c r="S1073" s="60">
        <v>0</v>
      </c>
      <c r="T1073" s="60">
        <v>0</v>
      </c>
      <c r="U1073" s="60">
        <v>0</v>
      </c>
      <c r="V1073" s="60">
        <v>0</v>
      </c>
      <c r="W1073" s="60">
        <v>0</v>
      </c>
      <c r="X1073" s="60">
        <v>0</v>
      </c>
      <c r="Y1073" s="60">
        <v>0</v>
      </c>
      <c r="Z1073" s="60">
        <v>0</v>
      </c>
      <c r="AA1073" s="60">
        <v>0</v>
      </c>
      <c r="AB1073" s="60">
        <v>0</v>
      </c>
      <c r="AC1073" s="60">
        <v>75412.72</v>
      </c>
      <c r="AD1073" s="60">
        <v>0</v>
      </c>
      <c r="AE1073" s="60">
        <v>0</v>
      </c>
      <c r="AF1073" s="170" t="s">
        <v>257</v>
      </c>
      <c r="AG1073" s="170">
        <v>2022</v>
      </c>
      <c r="AH1073" s="63">
        <v>2022</v>
      </c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  <c r="CE1073" s="7"/>
      <c r="CF1073" s="7"/>
      <c r="CG1073" s="7"/>
      <c r="CH1073" s="7"/>
      <c r="CI1073" s="7"/>
      <c r="CJ1073" s="7"/>
      <c r="CK1073" s="7"/>
      <c r="CL1073" s="7"/>
      <c r="CM1073" s="7"/>
      <c r="CN1073" s="7"/>
      <c r="CO1073" s="7"/>
      <c r="CP1073" s="7"/>
      <c r="CQ1073" s="7"/>
      <c r="CR1073" s="7"/>
      <c r="CS1073" s="7"/>
      <c r="CT1073" s="7"/>
      <c r="CU1073" s="7"/>
      <c r="CV1073" s="7"/>
      <c r="CW1073" s="7"/>
      <c r="CX1073" s="7"/>
      <c r="CY1073" s="7"/>
      <c r="CZ1073" s="7"/>
      <c r="DA1073" s="7"/>
      <c r="DB1073" s="7"/>
      <c r="DC1073" s="7"/>
      <c r="DD1073" s="7"/>
      <c r="DE1073" s="7"/>
      <c r="DF1073" s="7"/>
      <c r="DG1073" s="7"/>
      <c r="DH1073" s="7"/>
      <c r="DI1073" s="7"/>
      <c r="DJ1073" s="7"/>
      <c r="DK1073" s="7"/>
      <c r="DL1073" s="7"/>
      <c r="DM1073" s="7"/>
      <c r="DN1073" s="7"/>
      <c r="DO1073" s="7"/>
      <c r="DP1073" s="7"/>
      <c r="DQ1073" s="7"/>
      <c r="DR1073" s="7"/>
      <c r="DS1073" s="7"/>
      <c r="DT1073" s="7"/>
      <c r="DU1073" s="7"/>
      <c r="DV1073" s="7"/>
      <c r="DW1073" s="7"/>
      <c r="DX1073" s="7"/>
      <c r="DY1073" s="7"/>
      <c r="DZ1073" s="7"/>
      <c r="EA1073" s="7"/>
      <c r="EB1073" s="7"/>
      <c r="EC1073" s="7"/>
      <c r="ED1073" s="7"/>
      <c r="EE1073" s="7"/>
      <c r="EF1073" s="7"/>
      <c r="EG1073" s="7"/>
      <c r="EH1073" s="7"/>
      <c r="EI1073" s="7"/>
      <c r="EJ1073" s="7"/>
      <c r="EK1073" s="7"/>
      <c r="EL1073" s="7"/>
      <c r="EM1073" s="7"/>
      <c r="EN1073" s="7"/>
      <c r="EO1073" s="7"/>
      <c r="EP1073" s="7"/>
      <c r="EQ1073" s="7"/>
      <c r="ER1073" s="7"/>
      <c r="ES1073" s="7"/>
      <c r="ET1073" s="7"/>
      <c r="EU1073" s="7"/>
      <c r="EV1073" s="7"/>
      <c r="EW1073" s="7"/>
      <c r="EX1073" s="7"/>
      <c r="EY1073" s="7"/>
      <c r="EZ1073" s="7"/>
      <c r="FA1073" s="7"/>
      <c r="FB1073" s="7"/>
      <c r="FC1073" s="7"/>
      <c r="FD1073" s="7"/>
      <c r="FE1073" s="7"/>
      <c r="FF1073" s="7"/>
      <c r="FG1073" s="7"/>
      <c r="FH1073" s="7"/>
      <c r="FI1073" s="7"/>
      <c r="FJ1073" s="7"/>
      <c r="FK1073" s="7"/>
      <c r="FL1073" s="7"/>
      <c r="FM1073" s="7"/>
      <c r="FN1073" s="7"/>
      <c r="FO1073" s="7"/>
      <c r="FP1073" s="7"/>
      <c r="FQ1073" s="7"/>
      <c r="FR1073" s="7"/>
      <c r="FS1073" s="7"/>
      <c r="FT1073" s="7"/>
      <c r="FU1073" s="7"/>
      <c r="FV1073" s="7"/>
      <c r="FW1073" s="7"/>
      <c r="FX1073" s="7"/>
      <c r="FY1073" s="7"/>
      <c r="FZ1073" s="7"/>
      <c r="GA1073" s="7"/>
      <c r="GB1073" s="7"/>
      <c r="GC1073" s="7"/>
      <c r="GD1073" s="7"/>
      <c r="GE1073" s="7"/>
      <c r="GF1073" s="7"/>
      <c r="GG1073" s="7"/>
      <c r="GH1073" s="7"/>
      <c r="GI1073" s="7"/>
      <c r="GJ1073" s="7"/>
      <c r="GK1073" s="7"/>
      <c r="GL1073" s="7"/>
      <c r="GM1073" s="7"/>
      <c r="GN1073" s="7"/>
      <c r="GO1073" s="7"/>
      <c r="GP1073" s="7"/>
      <c r="GQ1073" s="7"/>
      <c r="GR1073" s="7"/>
      <c r="GS1073" s="7"/>
      <c r="GT1073" s="7"/>
      <c r="GU1073" s="7"/>
      <c r="GV1073" s="7"/>
      <c r="GW1073" s="7"/>
      <c r="GX1073" s="7"/>
      <c r="GY1073" s="7"/>
      <c r="GZ1073" s="7"/>
      <c r="HA1073" s="7"/>
      <c r="HB1073" s="7"/>
      <c r="HC1073" s="7"/>
      <c r="HD1073" s="7"/>
      <c r="HE1073" s="7"/>
      <c r="HF1073" s="7"/>
      <c r="HG1073" s="7"/>
      <c r="HH1073" s="7"/>
      <c r="HI1073" s="7"/>
      <c r="HJ1073" s="7"/>
      <c r="HK1073" s="7"/>
      <c r="HL1073" s="7"/>
      <c r="HM1073" s="7"/>
      <c r="HN1073" s="7"/>
      <c r="HO1073" s="7"/>
      <c r="HP1073" s="7"/>
      <c r="HQ1073" s="7"/>
      <c r="HR1073" s="7"/>
      <c r="HS1073" s="7"/>
      <c r="HT1073" s="7"/>
      <c r="HU1073" s="7"/>
      <c r="HV1073" s="7"/>
      <c r="HW1073" s="7"/>
      <c r="HX1073" s="7"/>
      <c r="HY1073" s="7"/>
      <c r="HZ1073" s="7"/>
      <c r="IA1073" s="7"/>
      <c r="IB1073" s="7"/>
      <c r="IC1073" s="7"/>
      <c r="ID1073" s="7"/>
      <c r="IE1073" s="7"/>
      <c r="IF1073" s="7"/>
      <c r="IG1073" s="7"/>
      <c r="IH1073" s="7"/>
      <c r="II1073" s="7"/>
      <c r="IJ1073" s="7"/>
      <c r="IK1073" s="7"/>
      <c r="IL1073" s="7"/>
      <c r="IM1073" s="7"/>
      <c r="IN1073" s="7"/>
      <c r="IO1073" s="7"/>
      <c r="IP1073" s="7"/>
      <c r="IQ1073" s="7"/>
      <c r="IR1073" s="7"/>
      <c r="IS1073" s="7"/>
      <c r="IT1073" s="7"/>
      <c r="IU1073" s="7"/>
      <c r="IV1073" s="7"/>
      <c r="IW1073" s="7"/>
      <c r="IX1073" s="7"/>
      <c r="IY1073" s="7"/>
      <c r="IZ1073" s="7"/>
      <c r="JA1073" s="7"/>
      <c r="JB1073" s="7"/>
      <c r="JC1073" s="7"/>
      <c r="JD1073" s="7"/>
      <c r="JE1073" s="7"/>
      <c r="JF1073" s="7"/>
      <c r="JG1073" s="7"/>
      <c r="JH1073" s="7"/>
      <c r="JI1073" s="7"/>
      <c r="JJ1073" s="7"/>
      <c r="JK1073" s="7"/>
      <c r="JL1073" s="7"/>
      <c r="JM1073" s="7"/>
      <c r="JN1073" s="7"/>
      <c r="JO1073" s="7"/>
      <c r="JP1073" s="7"/>
      <c r="JQ1073" s="7"/>
      <c r="JR1073" s="7"/>
      <c r="JS1073" s="7"/>
      <c r="JT1073" s="7"/>
      <c r="JU1073" s="7"/>
      <c r="JV1073" s="7"/>
      <c r="JW1073" s="7"/>
      <c r="JX1073" s="7"/>
      <c r="JY1073" s="7"/>
      <c r="JZ1073" s="7"/>
      <c r="KA1073" s="7"/>
      <c r="KB1073" s="7"/>
      <c r="KC1073" s="7"/>
      <c r="KD1073" s="7"/>
      <c r="KE1073" s="7"/>
      <c r="KF1073" s="7"/>
      <c r="KG1073" s="7"/>
      <c r="KH1073" s="7"/>
      <c r="KI1073" s="7"/>
      <c r="KJ1073" s="7"/>
      <c r="KK1073" s="7"/>
      <c r="KL1073" s="7"/>
      <c r="KM1073" s="7"/>
      <c r="KN1073" s="7"/>
      <c r="KO1073" s="7"/>
      <c r="KP1073" s="7"/>
      <c r="KQ1073" s="7"/>
      <c r="KR1073" s="7"/>
      <c r="KS1073" s="7"/>
      <c r="KT1073" s="7"/>
      <c r="KU1073" s="7"/>
      <c r="KV1073" s="7"/>
      <c r="KW1073" s="7"/>
      <c r="KX1073" s="7"/>
      <c r="KY1073" s="7"/>
      <c r="KZ1073" s="7"/>
      <c r="LA1073" s="7"/>
      <c r="LB1073" s="7"/>
      <c r="LC1073" s="7"/>
      <c r="LD1073" s="7"/>
      <c r="LE1073" s="7"/>
      <c r="LF1073" s="7"/>
      <c r="LG1073" s="7"/>
      <c r="LH1073" s="7"/>
      <c r="LI1073" s="7"/>
      <c r="LJ1073" s="7"/>
      <c r="LK1073" s="7"/>
      <c r="LL1073" s="7"/>
      <c r="LM1073" s="7"/>
      <c r="LN1073" s="7"/>
      <c r="LO1073" s="7"/>
      <c r="LP1073" s="7"/>
      <c r="LQ1073" s="7"/>
      <c r="LR1073" s="7"/>
      <c r="LS1073" s="7"/>
      <c r="LT1073" s="7"/>
      <c r="LU1073" s="7"/>
      <c r="LV1073" s="7"/>
      <c r="LW1073" s="7"/>
      <c r="LX1073" s="7"/>
      <c r="LY1073" s="7"/>
      <c r="LZ1073" s="7"/>
      <c r="MA1073" s="7"/>
      <c r="MB1073" s="7"/>
      <c r="MC1073" s="7"/>
      <c r="MD1073" s="7"/>
      <c r="ME1073" s="7"/>
      <c r="MF1073" s="7"/>
      <c r="MG1073" s="7"/>
      <c r="MH1073" s="7"/>
      <c r="MI1073" s="7"/>
      <c r="MJ1073" s="7"/>
      <c r="MK1073" s="7"/>
      <c r="ML1073" s="7"/>
      <c r="MM1073" s="7"/>
      <c r="MN1073" s="7"/>
      <c r="MO1073" s="7"/>
      <c r="MP1073" s="7"/>
      <c r="MQ1073" s="7"/>
      <c r="MR1073" s="7"/>
      <c r="MS1073" s="7"/>
      <c r="MT1073" s="7"/>
      <c r="MU1073" s="7"/>
      <c r="MV1073" s="7"/>
      <c r="MW1073" s="7"/>
      <c r="MX1073" s="7"/>
      <c r="MY1073" s="7"/>
      <c r="MZ1073" s="7"/>
      <c r="NA1073" s="7"/>
      <c r="NB1073" s="7"/>
      <c r="NC1073" s="7"/>
      <c r="ND1073" s="7"/>
      <c r="NE1073" s="7"/>
      <c r="NF1073" s="7"/>
      <c r="NG1073" s="7"/>
      <c r="NH1073" s="7"/>
      <c r="NI1073" s="7"/>
      <c r="NJ1073" s="7"/>
      <c r="NK1073" s="7"/>
      <c r="NL1073" s="7"/>
      <c r="NM1073" s="7"/>
      <c r="NN1073" s="7"/>
      <c r="NO1073" s="7"/>
      <c r="NP1073" s="7"/>
      <c r="NQ1073" s="7"/>
      <c r="NR1073" s="7"/>
      <c r="NS1073" s="7"/>
      <c r="NT1073" s="7"/>
      <c r="NU1073" s="7"/>
      <c r="NV1073" s="7"/>
      <c r="NW1073" s="7"/>
      <c r="NX1073" s="7"/>
      <c r="NY1073" s="7"/>
      <c r="NZ1073" s="7"/>
      <c r="OA1073" s="7"/>
      <c r="OB1073" s="7"/>
      <c r="OC1073" s="7"/>
      <c r="OD1073" s="7"/>
      <c r="OE1073" s="7"/>
      <c r="OF1073" s="7"/>
      <c r="OG1073" s="7"/>
      <c r="OH1073" s="7"/>
      <c r="OI1073" s="7"/>
      <c r="OJ1073" s="7"/>
      <c r="OK1073" s="7"/>
      <c r="OL1073" s="7"/>
      <c r="OM1073" s="7"/>
      <c r="ON1073" s="7"/>
      <c r="OO1073" s="7"/>
      <c r="OP1073" s="7"/>
      <c r="OQ1073" s="7"/>
      <c r="OR1073" s="7"/>
      <c r="OS1073" s="7"/>
      <c r="OT1073" s="7"/>
      <c r="OU1073" s="7"/>
      <c r="OV1073" s="7"/>
      <c r="OW1073" s="7"/>
      <c r="OX1073" s="7"/>
      <c r="OY1073" s="7"/>
      <c r="OZ1073" s="7"/>
      <c r="PA1073" s="7"/>
      <c r="PB1073" s="7"/>
      <c r="PC1073" s="7"/>
      <c r="PD1073" s="7"/>
      <c r="PE1073" s="7"/>
      <c r="PF1073" s="7"/>
      <c r="PG1073" s="7"/>
      <c r="PH1073" s="7"/>
      <c r="PI1073" s="7"/>
      <c r="PJ1073" s="7"/>
      <c r="PK1073" s="7"/>
      <c r="PL1073" s="7"/>
      <c r="PM1073" s="7"/>
      <c r="PN1073" s="7"/>
      <c r="PO1073" s="7"/>
      <c r="PP1073" s="7"/>
      <c r="PQ1073" s="7"/>
      <c r="PR1073" s="7"/>
      <c r="PS1073" s="7"/>
      <c r="PT1073" s="7"/>
      <c r="PU1073" s="7"/>
      <c r="PV1073" s="7"/>
      <c r="PW1073" s="7"/>
      <c r="PX1073" s="7"/>
      <c r="PY1073" s="7"/>
      <c r="PZ1073" s="7"/>
      <c r="QA1073" s="7"/>
      <c r="QB1073" s="7"/>
      <c r="QC1073" s="7"/>
      <c r="QD1073" s="7"/>
      <c r="QE1073" s="7"/>
      <c r="QF1073" s="7"/>
      <c r="QG1073" s="7"/>
      <c r="QH1073" s="7"/>
      <c r="QI1073" s="7"/>
      <c r="QJ1073" s="7"/>
      <c r="QK1073" s="7"/>
      <c r="QL1073" s="7"/>
      <c r="QM1073" s="7"/>
      <c r="QN1073" s="7"/>
      <c r="QO1073" s="7"/>
      <c r="QP1073" s="7"/>
      <c r="QQ1073" s="7"/>
      <c r="QR1073" s="7"/>
      <c r="QS1073" s="7"/>
      <c r="QT1073" s="7"/>
      <c r="QU1073" s="7"/>
      <c r="QV1073" s="7"/>
      <c r="QW1073" s="7"/>
      <c r="QX1073" s="7"/>
      <c r="QY1073" s="7"/>
      <c r="QZ1073" s="7"/>
      <c r="RA1073" s="7"/>
      <c r="RB1073" s="7"/>
      <c r="RC1073" s="7"/>
      <c r="RD1073" s="7"/>
      <c r="RE1073" s="7"/>
      <c r="RF1073" s="7"/>
      <c r="RG1073" s="7"/>
      <c r="RH1073" s="7"/>
      <c r="RI1073" s="7"/>
      <c r="RJ1073" s="7"/>
      <c r="RK1073" s="7"/>
      <c r="RL1073" s="7"/>
      <c r="RM1073" s="7"/>
      <c r="RN1073" s="7"/>
      <c r="RO1073" s="7"/>
      <c r="RP1073" s="7"/>
      <c r="RQ1073" s="7"/>
      <c r="RR1073" s="7"/>
      <c r="RS1073" s="7"/>
      <c r="RT1073" s="7"/>
      <c r="RU1073" s="7"/>
      <c r="RV1073" s="7"/>
      <c r="RW1073" s="7"/>
      <c r="RX1073" s="7"/>
      <c r="RY1073" s="7"/>
      <c r="RZ1073" s="7"/>
      <c r="SA1073" s="7"/>
      <c r="SB1073" s="7"/>
      <c r="SC1073" s="7"/>
      <c r="SD1073" s="7"/>
      <c r="SE1073" s="7"/>
      <c r="SF1073" s="7"/>
      <c r="SG1073" s="7"/>
      <c r="SH1073" s="7"/>
      <c r="SI1073" s="7"/>
      <c r="SJ1073" s="7"/>
      <c r="SK1073" s="7"/>
      <c r="SL1073" s="7"/>
      <c r="SM1073" s="7"/>
      <c r="SN1073" s="7"/>
      <c r="SO1073" s="7"/>
      <c r="SP1073" s="7"/>
      <c r="SQ1073" s="7"/>
      <c r="SR1073" s="7"/>
      <c r="SS1073" s="7"/>
      <c r="ST1073" s="7"/>
      <c r="SU1073" s="7"/>
      <c r="SV1073" s="7"/>
      <c r="SW1073" s="7"/>
      <c r="SX1073" s="7"/>
      <c r="SY1073" s="7"/>
      <c r="SZ1073" s="7"/>
      <c r="TA1073" s="7"/>
      <c r="TB1073" s="7"/>
      <c r="TC1073" s="7"/>
      <c r="TD1073" s="7"/>
      <c r="TE1073" s="7"/>
      <c r="TF1073" s="7"/>
      <c r="TG1073" s="7"/>
      <c r="TH1073" s="7"/>
      <c r="TI1073" s="7"/>
      <c r="TJ1073" s="7"/>
      <c r="TK1073" s="7"/>
      <c r="TL1073" s="7"/>
      <c r="TM1073" s="7"/>
      <c r="TN1073" s="7"/>
      <c r="TO1073" s="7"/>
      <c r="TP1073" s="7"/>
      <c r="TQ1073" s="7"/>
      <c r="TR1073" s="7"/>
      <c r="TS1073" s="7"/>
      <c r="TT1073" s="7"/>
      <c r="TU1073" s="7"/>
      <c r="TV1073" s="7"/>
      <c r="TW1073" s="7"/>
      <c r="TX1073" s="7"/>
      <c r="TY1073" s="7"/>
      <c r="TZ1073" s="7"/>
      <c r="UA1073" s="7"/>
      <c r="UB1073" s="7"/>
      <c r="UC1073" s="7"/>
      <c r="UD1073" s="7"/>
      <c r="UE1073" s="7"/>
      <c r="UF1073" s="7"/>
      <c r="UG1073" s="7"/>
      <c r="UH1073" s="7"/>
      <c r="UI1073" s="7"/>
      <c r="UJ1073" s="7"/>
      <c r="UK1073" s="7"/>
      <c r="UL1073" s="7"/>
      <c r="UM1073" s="7"/>
      <c r="UN1073" s="7"/>
      <c r="UO1073" s="7"/>
      <c r="UP1073" s="7"/>
      <c r="UQ1073" s="7"/>
      <c r="UR1073" s="7"/>
      <c r="US1073" s="7"/>
      <c r="UT1073" s="7"/>
      <c r="UU1073" s="7"/>
      <c r="UV1073" s="7"/>
      <c r="UW1073" s="7"/>
      <c r="UX1073" s="7"/>
      <c r="UY1073" s="7"/>
      <c r="UZ1073" s="7"/>
      <c r="VA1073" s="7"/>
      <c r="VB1073" s="7"/>
      <c r="VC1073" s="7"/>
      <c r="VD1073" s="7"/>
      <c r="VE1073" s="7"/>
      <c r="VF1073" s="7"/>
      <c r="VG1073" s="7"/>
      <c r="VH1073" s="7"/>
      <c r="VI1073" s="7"/>
      <c r="VJ1073" s="7"/>
      <c r="VK1073" s="7"/>
      <c r="VL1073" s="7"/>
      <c r="VM1073" s="7"/>
      <c r="VN1073" s="7"/>
      <c r="VO1073" s="7"/>
      <c r="VP1073" s="7"/>
      <c r="VQ1073" s="7"/>
      <c r="VR1073" s="7"/>
      <c r="VS1073" s="7"/>
      <c r="VT1073" s="7"/>
      <c r="VU1073" s="7"/>
      <c r="VV1073" s="7"/>
      <c r="VW1073" s="7"/>
      <c r="VX1073" s="7"/>
      <c r="VY1073" s="7"/>
      <c r="VZ1073" s="7"/>
      <c r="WA1073" s="7"/>
      <c r="WB1073" s="7"/>
      <c r="WC1073" s="7"/>
      <c r="WD1073" s="7"/>
      <c r="WE1073" s="7"/>
      <c r="WF1073" s="7"/>
      <c r="WG1073" s="7"/>
      <c r="WH1073" s="7"/>
      <c r="WI1073" s="7"/>
      <c r="WJ1073" s="7"/>
      <c r="WK1073" s="7"/>
      <c r="WL1073" s="7"/>
      <c r="WM1073" s="7"/>
      <c r="WN1073" s="7"/>
      <c r="WO1073" s="7"/>
      <c r="WP1073" s="7"/>
      <c r="WQ1073" s="7"/>
      <c r="WR1073" s="7"/>
      <c r="WS1073" s="7"/>
      <c r="WT1073" s="7"/>
      <c r="WU1073" s="7"/>
      <c r="WV1073" s="7"/>
      <c r="WW1073" s="7"/>
      <c r="WX1073" s="7"/>
      <c r="WY1073" s="7"/>
      <c r="WZ1073" s="7"/>
      <c r="XA1073" s="7"/>
      <c r="XB1073" s="7"/>
      <c r="XC1073" s="7"/>
      <c r="XD1073" s="7"/>
      <c r="XE1073" s="7"/>
      <c r="XF1073" s="7"/>
      <c r="XG1073" s="7"/>
      <c r="XH1073" s="7"/>
      <c r="XI1073" s="7"/>
      <c r="XJ1073" s="7"/>
      <c r="XK1073" s="7"/>
      <c r="XL1073" s="7"/>
      <c r="XM1073" s="7"/>
      <c r="XN1073" s="7"/>
      <c r="XO1073" s="7"/>
      <c r="XP1073" s="7"/>
      <c r="XQ1073" s="7"/>
      <c r="XR1073" s="7"/>
      <c r="XS1073" s="7"/>
      <c r="XT1073" s="7"/>
      <c r="XU1073" s="7"/>
      <c r="XV1073" s="7"/>
      <c r="XW1073" s="7"/>
      <c r="XX1073" s="7"/>
      <c r="XY1073" s="7"/>
      <c r="XZ1073" s="7"/>
      <c r="YA1073" s="7"/>
      <c r="YB1073" s="7"/>
      <c r="YC1073" s="7"/>
      <c r="YD1073" s="7"/>
      <c r="YE1073" s="7"/>
      <c r="YF1073" s="7"/>
      <c r="YG1073" s="7"/>
      <c r="YH1073" s="7"/>
      <c r="YI1073" s="7"/>
      <c r="YJ1073" s="7"/>
      <c r="YK1073" s="7"/>
      <c r="YL1073" s="7"/>
      <c r="YM1073" s="7"/>
      <c r="YN1073" s="7"/>
      <c r="YO1073" s="7"/>
      <c r="YP1073" s="7"/>
      <c r="YQ1073" s="7"/>
      <c r="YR1073" s="7"/>
      <c r="YS1073" s="7"/>
      <c r="YT1073" s="7"/>
      <c r="YU1073" s="7"/>
      <c r="YV1073" s="7"/>
      <c r="YW1073" s="7"/>
      <c r="YX1073" s="7"/>
      <c r="YY1073" s="7"/>
      <c r="YZ1073" s="7"/>
      <c r="ZA1073" s="7"/>
      <c r="ZB1073" s="7"/>
      <c r="ZC1073" s="7"/>
      <c r="ZD1073" s="7"/>
      <c r="ZE1073" s="7"/>
      <c r="ZF1073" s="7"/>
      <c r="ZG1073" s="7"/>
      <c r="ZH1073" s="7"/>
      <c r="ZI1073" s="7"/>
      <c r="ZJ1073" s="7"/>
      <c r="ZK1073" s="7"/>
      <c r="ZL1073" s="7"/>
      <c r="ZM1073" s="7"/>
      <c r="ZN1073" s="7"/>
      <c r="ZO1073" s="7"/>
      <c r="ZP1073" s="7"/>
      <c r="ZQ1073" s="7"/>
      <c r="ZR1073" s="7"/>
      <c r="ZS1073" s="7"/>
      <c r="ZT1073" s="7"/>
      <c r="ZU1073" s="7"/>
      <c r="ZV1073" s="7"/>
      <c r="ZW1073" s="7"/>
      <c r="ZX1073" s="7"/>
      <c r="ZY1073" s="7"/>
      <c r="ZZ1073" s="7"/>
      <c r="AAA1073" s="7"/>
      <c r="AAB1073" s="7"/>
      <c r="AAC1073" s="7"/>
      <c r="AAD1073" s="7"/>
      <c r="AAE1073" s="7"/>
      <c r="AAF1073" s="7"/>
      <c r="AAG1073" s="7"/>
      <c r="AAH1073" s="7"/>
      <c r="AAI1073" s="7"/>
      <c r="AAJ1073" s="7"/>
      <c r="AAK1073" s="7"/>
      <c r="AAL1073" s="7"/>
      <c r="AAM1073" s="7"/>
      <c r="AAN1073" s="7"/>
      <c r="AAO1073" s="7"/>
      <c r="AAP1073" s="7"/>
      <c r="AAQ1073" s="7"/>
      <c r="AAR1073" s="7"/>
      <c r="AAS1073" s="7"/>
      <c r="AAT1073" s="7"/>
      <c r="AAU1073" s="7"/>
      <c r="AAV1073" s="7"/>
      <c r="AAW1073" s="7"/>
      <c r="AAX1073" s="7"/>
      <c r="AAY1073" s="7"/>
      <c r="AAZ1073" s="7"/>
      <c r="ABA1073" s="7"/>
      <c r="ABB1073" s="7"/>
      <c r="ABC1073" s="7"/>
      <c r="ABD1073" s="7"/>
      <c r="ABE1073" s="7"/>
      <c r="ABF1073" s="7"/>
      <c r="ABG1073" s="7"/>
      <c r="ABH1073" s="7"/>
      <c r="ABI1073" s="7"/>
      <c r="ABJ1073" s="7"/>
      <c r="ABK1073" s="7"/>
      <c r="ABL1073" s="7"/>
      <c r="ABM1073" s="7"/>
      <c r="ABN1073" s="7"/>
      <c r="ABO1073" s="7"/>
      <c r="ABP1073" s="7"/>
      <c r="ABQ1073" s="7"/>
      <c r="ABR1073" s="7"/>
      <c r="ABS1073" s="7"/>
      <c r="ABT1073" s="7"/>
      <c r="ABU1073" s="7"/>
      <c r="ABV1073" s="7"/>
      <c r="ABW1073" s="7"/>
      <c r="ABX1073" s="7"/>
      <c r="ABY1073" s="7"/>
      <c r="ABZ1073" s="7"/>
      <c r="ACA1073" s="7"/>
      <c r="ACB1073" s="7"/>
      <c r="ACC1073" s="7"/>
      <c r="ACD1073" s="7"/>
      <c r="ACE1073" s="7"/>
      <c r="ACF1073" s="7"/>
      <c r="ACG1073" s="7"/>
      <c r="ACH1073" s="7"/>
      <c r="ACI1073" s="7"/>
      <c r="ACJ1073" s="7"/>
      <c r="ACK1073" s="7"/>
      <c r="ACL1073" s="7"/>
      <c r="ACM1073" s="7"/>
      <c r="ACN1073" s="7"/>
      <c r="ACO1073" s="7"/>
      <c r="ACP1073" s="7"/>
      <c r="ACQ1073" s="7"/>
      <c r="ACR1073" s="7"/>
      <c r="ACS1073" s="7"/>
      <c r="ACT1073" s="7"/>
      <c r="ACU1073" s="7"/>
      <c r="ACV1073" s="7"/>
      <c r="ACW1073" s="7"/>
      <c r="ACX1073" s="7"/>
      <c r="ACY1073" s="7"/>
      <c r="ACZ1073" s="7"/>
      <c r="ADA1073" s="7"/>
      <c r="ADB1073" s="7"/>
      <c r="ADC1073" s="7"/>
      <c r="ADD1073" s="7"/>
      <c r="ADE1073" s="7"/>
      <c r="ADF1073" s="7"/>
      <c r="ADG1073" s="7"/>
      <c r="ADH1073" s="7"/>
      <c r="ADI1073" s="7"/>
      <c r="ADJ1073" s="7"/>
      <c r="ADK1073" s="7"/>
      <c r="ADL1073" s="7"/>
      <c r="ADM1073" s="7"/>
      <c r="ADN1073" s="7"/>
      <c r="ADO1073" s="7"/>
      <c r="ADP1073" s="7"/>
      <c r="ADQ1073" s="7"/>
      <c r="ADR1073" s="7"/>
      <c r="ADS1073" s="7"/>
      <c r="ADT1073" s="7"/>
      <c r="ADU1073" s="7"/>
      <c r="ADV1073" s="7"/>
      <c r="ADW1073" s="7"/>
      <c r="ADX1073" s="7"/>
      <c r="ADY1073" s="7"/>
      <c r="ADZ1073" s="7"/>
      <c r="AEA1073" s="7"/>
      <c r="AEB1073" s="7"/>
      <c r="AEC1073" s="7"/>
      <c r="AED1073" s="7"/>
      <c r="AEE1073" s="7"/>
      <c r="AEF1073" s="7"/>
      <c r="AEG1073" s="7"/>
      <c r="AEH1073" s="7"/>
      <c r="AEI1073" s="7"/>
      <c r="AEJ1073" s="7"/>
      <c r="AEK1073" s="7"/>
      <c r="AEL1073" s="7"/>
      <c r="AEM1073" s="7"/>
      <c r="AEN1073" s="7"/>
      <c r="AEO1073" s="7"/>
      <c r="AEP1073" s="7"/>
      <c r="AEQ1073" s="7"/>
      <c r="AER1073" s="7"/>
      <c r="AES1073" s="7"/>
      <c r="AET1073" s="7"/>
      <c r="AEU1073" s="7"/>
      <c r="AEV1073" s="7"/>
      <c r="AEW1073" s="7"/>
      <c r="AEX1073" s="7"/>
      <c r="AEY1073" s="7"/>
      <c r="AEZ1073" s="7"/>
      <c r="AFA1073" s="7"/>
      <c r="AFB1073" s="7"/>
      <c r="AFC1073" s="7"/>
      <c r="AFD1073" s="7"/>
      <c r="AFE1073" s="7"/>
      <c r="AFF1073" s="7"/>
      <c r="AFG1073" s="7"/>
      <c r="AFH1073" s="7"/>
      <c r="AFI1073" s="7"/>
      <c r="AFJ1073" s="7"/>
      <c r="AFK1073" s="7"/>
      <c r="AFL1073" s="7"/>
      <c r="AFM1073" s="7"/>
      <c r="AFN1073" s="7"/>
      <c r="AFO1073" s="7"/>
      <c r="AFP1073" s="7"/>
      <c r="AFQ1073" s="7"/>
      <c r="AFR1073" s="7"/>
      <c r="AFS1073" s="7"/>
      <c r="AFT1073" s="7"/>
      <c r="AFU1073" s="7"/>
      <c r="AFV1073" s="7"/>
      <c r="AFW1073" s="7"/>
      <c r="AFX1073" s="7"/>
      <c r="AFY1073" s="7"/>
      <c r="AFZ1073" s="7"/>
      <c r="AGA1073" s="7"/>
      <c r="AGB1073" s="7"/>
      <c r="AGC1073" s="7"/>
      <c r="AGD1073" s="7"/>
      <c r="AGE1073" s="7"/>
      <c r="AGF1073" s="7"/>
      <c r="AGG1073" s="7"/>
      <c r="AGH1073" s="7"/>
      <c r="AGI1073" s="7"/>
      <c r="AGJ1073" s="7"/>
      <c r="AGK1073" s="7"/>
      <c r="AGL1073" s="7"/>
      <c r="AGM1073" s="7"/>
      <c r="AGN1073" s="7"/>
      <c r="AGO1073" s="7"/>
      <c r="AGP1073" s="7"/>
      <c r="AGQ1073" s="7"/>
      <c r="AGR1073" s="7"/>
      <c r="AGS1073" s="7"/>
      <c r="AGT1073" s="7"/>
      <c r="AGU1073" s="7"/>
      <c r="AGV1073" s="7"/>
      <c r="AGW1073" s="7"/>
      <c r="AGX1073" s="7"/>
      <c r="AGY1073" s="7"/>
      <c r="AGZ1073" s="7"/>
      <c r="AHA1073" s="7"/>
      <c r="AHB1073" s="7"/>
      <c r="AHC1073" s="7"/>
      <c r="AHD1073" s="7"/>
      <c r="AHE1073" s="7"/>
      <c r="AHF1073" s="7"/>
      <c r="AHG1073" s="7"/>
      <c r="AHH1073" s="7"/>
      <c r="AHI1073" s="7"/>
      <c r="AHJ1073" s="7"/>
      <c r="AHK1073" s="7"/>
      <c r="AHL1073" s="7"/>
      <c r="AHM1073" s="7"/>
      <c r="AHN1073" s="7"/>
      <c r="AHO1073" s="7"/>
      <c r="AHP1073" s="7"/>
      <c r="AHQ1073" s="7"/>
      <c r="AHR1073" s="7"/>
      <c r="AHS1073" s="7"/>
      <c r="AHT1073" s="7"/>
      <c r="AHU1073" s="7"/>
      <c r="AHV1073" s="7"/>
      <c r="AHW1073" s="7"/>
      <c r="AHX1073" s="7"/>
      <c r="AHY1073" s="7"/>
      <c r="AHZ1073" s="7"/>
      <c r="AIA1073" s="7"/>
      <c r="AIB1073" s="7"/>
      <c r="AIC1073" s="7"/>
      <c r="AID1073" s="7"/>
      <c r="AIE1073" s="7"/>
      <c r="AIF1073" s="7"/>
      <c r="AIG1073" s="7"/>
      <c r="AIH1073" s="7"/>
      <c r="AII1073" s="7"/>
      <c r="AIJ1073" s="7"/>
      <c r="AIK1073" s="7"/>
      <c r="AIL1073" s="7"/>
      <c r="AIM1073" s="7"/>
      <c r="AIN1073" s="7"/>
      <c r="AIO1073" s="7"/>
      <c r="AIP1073" s="7"/>
      <c r="AIQ1073" s="7"/>
      <c r="AIR1073" s="7"/>
      <c r="AIS1073" s="7"/>
      <c r="AIT1073" s="7"/>
      <c r="AIU1073" s="7"/>
      <c r="AIV1073" s="7"/>
      <c r="AIW1073" s="7"/>
      <c r="AIX1073" s="7"/>
      <c r="AIY1073" s="7"/>
      <c r="AIZ1073" s="7"/>
      <c r="AJA1073" s="7"/>
      <c r="AJB1073" s="7"/>
      <c r="AJC1073" s="7"/>
      <c r="AJD1073" s="7"/>
      <c r="AJE1073" s="7"/>
      <c r="AJF1073" s="7"/>
      <c r="AJG1073" s="7"/>
      <c r="AJH1073" s="7"/>
      <c r="AJI1073" s="7"/>
      <c r="AJJ1073" s="7"/>
      <c r="AJK1073" s="7"/>
      <c r="AJL1073" s="7"/>
      <c r="AJM1073" s="7"/>
      <c r="AJN1073" s="7"/>
      <c r="AJO1073" s="7"/>
      <c r="AJP1073" s="7"/>
      <c r="AJQ1073" s="7"/>
      <c r="AJR1073" s="7"/>
      <c r="AJS1073" s="7"/>
      <c r="AJT1073" s="7"/>
      <c r="AJU1073" s="7"/>
      <c r="AJV1073" s="7"/>
      <c r="AJW1073" s="7"/>
      <c r="AJX1073" s="7"/>
      <c r="AJY1073" s="7"/>
      <c r="AJZ1073" s="7"/>
      <c r="AKA1073" s="7"/>
      <c r="AKB1073" s="7"/>
      <c r="AKC1073" s="7"/>
      <c r="AKD1073" s="7"/>
      <c r="AKE1073" s="7"/>
      <c r="AKF1073" s="7"/>
      <c r="AKG1073" s="7"/>
      <c r="AKH1073" s="7"/>
      <c r="AKI1073" s="7"/>
      <c r="AKJ1073" s="7"/>
      <c r="AKK1073" s="7"/>
      <c r="AKL1073" s="7"/>
      <c r="AKM1073" s="7"/>
      <c r="AKN1073" s="7"/>
      <c r="AKO1073" s="7"/>
      <c r="AKP1073" s="7"/>
      <c r="AKQ1073" s="7"/>
      <c r="AKR1073" s="7"/>
      <c r="AKS1073" s="7"/>
      <c r="AKT1073" s="7"/>
      <c r="AKU1073" s="7"/>
      <c r="AKV1073" s="7"/>
      <c r="AKW1073" s="7"/>
      <c r="AKX1073" s="7"/>
      <c r="AKY1073" s="7"/>
      <c r="AKZ1073" s="7"/>
      <c r="ALA1073" s="7"/>
      <c r="ALB1073" s="7"/>
      <c r="ALC1073" s="7"/>
      <c r="ALD1073" s="7"/>
      <c r="ALE1073" s="7"/>
      <c r="ALF1073" s="7"/>
      <c r="ALG1073" s="7"/>
      <c r="ALH1073" s="7"/>
      <c r="ALI1073" s="7"/>
      <c r="ALJ1073" s="7"/>
      <c r="ALK1073" s="7"/>
      <c r="ALL1073" s="7"/>
      <c r="ALM1073" s="7"/>
      <c r="ALN1073" s="7"/>
      <c r="ALO1073" s="7"/>
      <c r="ALP1073" s="7"/>
      <c r="ALQ1073" s="7"/>
      <c r="ALR1073" s="7"/>
      <c r="ALS1073" s="7"/>
      <c r="ALT1073" s="7"/>
      <c r="ALU1073" s="7"/>
      <c r="ALV1073" s="7"/>
      <c r="ALW1073" s="7"/>
      <c r="ALX1073" s="7"/>
      <c r="ALY1073" s="7"/>
      <c r="ALZ1073" s="7"/>
      <c r="AMA1073" s="7"/>
      <c r="AMB1073" s="7"/>
      <c r="AMC1073" s="7"/>
      <c r="AMD1073" s="7"/>
      <c r="AME1073" s="7"/>
      <c r="AMF1073" s="7"/>
      <c r="AMG1073" s="7"/>
      <c r="AMH1073" s="7"/>
      <c r="AMI1073" s="7"/>
      <c r="AMJ1073" s="7"/>
      <c r="AMK1073" s="7"/>
      <c r="AML1073" s="7"/>
      <c r="AMM1073" s="7"/>
      <c r="AMN1073" s="7"/>
      <c r="AMO1073" s="7"/>
      <c r="AMP1073" s="7"/>
      <c r="AMQ1073" s="7"/>
      <c r="AMR1073" s="7"/>
      <c r="AMS1073" s="7"/>
      <c r="AMT1073" s="7"/>
      <c r="AMU1073" s="7"/>
      <c r="AMV1073" s="7"/>
      <c r="AMW1073" s="7"/>
      <c r="AMX1073" s="7"/>
      <c r="AMY1073" s="7"/>
      <c r="AMZ1073" s="7"/>
      <c r="ANA1073" s="7"/>
      <c r="ANB1073" s="7"/>
      <c r="ANC1073" s="7"/>
      <c r="AND1073" s="7"/>
      <c r="ANE1073" s="7"/>
      <c r="ANF1073" s="7"/>
      <c r="ANG1073" s="7"/>
      <c r="ANH1073" s="7"/>
      <c r="ANI1073" s="7"/>
      <c r="ANJ1073" s="7"/>
      <c r="ANK1073" s="7"/>
      <c r="ANL1073" s="7"/>
      <c r="ANM1073" s="7"/>
      <c r="ANN1073" s="7"/>
      <c r="ANO1073" s="7"/>
      <c r="ANP1073" s="7"/>
      <c r="ANQ1073" s="7"/>
      <c r="ANR1073" s="7"/>
      <c r="ANS1073" s="7"/>
      <c r="ANT1073" s="7"/>
      <c r="ANU1073" s="7"/>
      <c r="ANV1073" s="7"/>
      <c r="ANW1073" s="7"/>
      <c r="ANX1073" s="7"/>
      <c r="ANY1073" s="7"/>
      <c r="ANZ1073" s="7"/>
      <c r="AOA1073" s="7"/>
      <c r="AOB1073" s="7"/>
      <c r="AOC1073" s="7"/>
      <c r="AOD1073" s="7"/>
      <c r="AOE1073" s="7"/>
      <c r="AOF1073" s="7"/>
      <c r="AOG1073" s="7"/>
      <c r="AOH1073" s="7"/>
      <c r="AOI1073" s="7"/>
      <c r="AOJ1073" s="7"/>
      <c r="AOK1073" s="7"/>
      <c r="AOL1073" s="7"/>
      <c r="AOM1073" s="7"/>
      <c r="AON1073" s="7"/>
      <c r="AOO1073" s="7"/>
      <c r="AOP1073" s="7"/>
      <c r="AOQ1073" s="7"/>
      <c r="AOR1073" s="7"/>
      <c r="AOS1073" s="7"/>
      <c r="AOT1073" s="7"/>
      <c r="AOU1073" s="7"/>
      <c r="AOV1073" s="7"/>
      <c r="AOW1073" s="7"/>
      <c r="AOX1073" s="7"/>
      <c r="AOY1073" s="7"/>
      <c r="AOZ1073" s="7"/>
      <c r="APA1073" s="7"/>
      <c r="APB1073" s="7"/>
      <c r="APC1073" s="7"/>
      <c r="APD1073" s="7"/>
      <c r="APE1073" s="7"/>
      <c r="APF1073" s="7"/>
      <c r="APG1073" s="7"/>
      <c r="APH1073" s="7"/>
      <c r="API1073" s="7"/>
      <c r="APJ1073" s="7"/>
      <c r="APK1073" s="7"/>
      <c r="APL1073" s="7"/>
      <c r="APM1073" s="7"/>
      <c r="APN1073" s="7"/>
      <c r="APO1073" s="7"/>
      <c r="APP1073" s="7"/>
      <c r="APQ1073" s="7"/>
      <c r="APR1073" s="7"/>
      <c r="APS1073" s="7"/>
      <c r="APT1073" s="7"/>
      <c r="APU1073" s="7"/>
      <c r="APV1073" s="7"/>
      <c r="APW1073" s="7"/>
      <c r="APX1073" s="7"/>
      <c r="APY1073" s="7"/>
      <c r="APZ1073" s="7"/>
      <c r="AQA1073" s="7"/>
      <c r="AQB1073" s="7"/>
      <c r="AQC1073" s="7"/>
      <c r="AQD1073" s="7"/>
      <c r="AQE1073" s="7"/>
      <c r="AQF1073" s="7"/>
      <c r="AQG1073" s="7"/>
      <c r="AQH1073" s="7"/>
      <c r="AQI1073" s="7"/>
      <c r="AQJ1073" s="7"/>
      <c r="AQK1073" s="7"/>
      <c r="AQL1073" s="7"/>
      <c r="AQM1073" s="7"/>
      <c r="AQN1073" s="7"/>
      <c r="AQO1073" s="7"/>
      <c r="AQP1073" s="7"/>
      <c r="AQQ1073" s="7"/>
      <c r="AQR1073" s="7"/>
      <c r="AQS1073" s="7"/>
      <c r="AQT1073" s="7"/>
      <c r="AQU1073" s="7"/>
      <c r="AQV1073" s="7"/>
      <c r="AQW1073" s="7"/>
      <c r="AQX1073" s="7"/>
      <c r="AQY1073" s="7"/>
      <c r="AQZ1073" s="7"/>
      <c r="ARA1073" s="7"/>
      <c r="ARB1073" s="7"/>
      <c r="ARC1073" s="7"/>
      <c r="ARD1073" s="7"/>
      <c r="ARE1073" s="7"/>
      <c r="ARF1073" s="7"/>
      <c r="ARG1073" s="7"/>
      <c r="ARH1073" s="7"/>
      <c r="ARI1073" s="7"/>
      <c r="ARJ1073" s="7"/>
      <c r="ARK1073" s="7"/>
      <c r="ARL1073" s="7"/>
      <c r="ARM1073" s="7"/>
      <c r="ARN1073" s="7"/>
      <c r="ARO1073" s="7"/>
      <c r="ARP1073" s="7"/>
      <c r="ARQ1073" s="7"/>
      <c r="ARR1073" s="7"/>
      <c r="ARS1073" s="7"/>
      <c r="ART1073" s="7"/>
      <c r="ARU1073" s="7"/>
      <c r="ARV1073" s="7"/>
      <c r="ARW1073" s="7"/>
      <c r="ARX1073" s="7"/>
      <c r="ARY1073" s="7"/>
      <c r="ARZ1073" s="7"/>
      <c r="ASA1073" s="7"/>
      <c r="ASB1073" s="7"/>
      <c r="ASC1073" s="7"/>
      <c r="ASD1073" s="7"/>
      <c r="ASE1073" s="7"/>
      <c r="ASF1073" s="7"/>
      <c r="ASG1073" s="7"/>
      <c r="ASH1073" s="7"/>
      <c r="ASI1073" s="7"/>
      <c r="ASJ1073" s="7"/>
      <c r="ASK1073" s="7"/>
      <c r="ASL1073" s="7"/>
      <c r="ASM1073" s="7"/>
      <c r="ASN1073" s="7"/>
      <c r="ASO1073" s="7"/>
      <c r="ASP1073" s="7"/>
      <c r="ASQ1073" s="7"/>
      <c r="ASR1073" s="7"/>
      <c r="ASS1073" s="7"/>
      <c r="AST1073" s="7"/>
      <c r="ASU1073" s="7"/>
      <c r="ASV1073" s="7"/>
      <c r="ASW1073" s="7"/>
      <c r="ASX1073" s="7"/>
      <c r="ASY1073" s="7"/>
      <c r="ASZ1073" s="7"/>
      <c r="ATA1073" s="7"/>
      <c r="ATB1073" s="7"/>
      <c r="ATC1073" s="7"/>
      <c r="ATD1073" s="7"/>
      <c r="ATE1073" s="7"/>
      <c r="ATF1073" s="7"/>
      <c r="ATG1073" s="7"/>
      <c r="ATH1073" s="7"/>
      <c r="ATI1073" s="7"/>
      <c r="ATJ1073" s="7"/>
      <c r="ATK1073" s="7"/>
      <c r="ATL1073" s="7"/>
      <c r="ATM1073" s="7"/>
      <c r="ATN1073" s="7"/>
      <c r="ATO1073" s="7"/>
      <c r="ATP1073" s="7"/>
      <c r="ATQ1073" s="7"/>
      <c r="ATR1073" s="7"/>
      <c r="ATS1073" s="7"/>
      <c r="ATT1073" s="7"/>
      <c r="ATU1073" s="7"/>
      <c r="ATV1073" s="7"/>
      <c r="ATW1073" s="7"/>
      <c r="ATX1073" s="7"/>
      <c r="ATY1073" s="7"/>
      <c r="ATZ1073" s="7"/>
      <c r="AUA1073" s="7"/>
      <c r="AUB1073" s="7"/>
      <c r="AUC1073" s="7"/>
      <c r="AUD1073" s="7"/>
      <c r="AUE1073" s="7"/>
      <c r="AUF1073" s="7"/>
      <c r="AUG1073" s="7"/>
      <c r="AUH1073" s="7"/>
      <c r="AUI1073" s="7"/>
      <c r="AUJ1073" s="7"/>
      <c r="AUK1073" s="7"/>
      <c r="AUL1073" s="7"/>
      <c r="AUM1073" s="7"/>
      <c r="AUN1073" s="7"/>
      <c r="AUO1073" s="7"/>
      <c r="AUP1073" s="7"/>
      <c r="AUQ1073" s="7"/>
      <c r="AUR1073" s="7"/>
      <c r="AUS1073" s="7"/>
      <c r="AUT1073" s="7"/>
      <c r="AUU1073" s="7"/>
      <c r="AUV1073" s="7"/>
      <c r="AUW1073" s="7"/>
      <c r="AUX1073" s="7"/>
      <c r="AUY1073" s="7"/>
      <c r="AUZ1073" s="7"/>
      <c r="AVA1073" s="7"/>
      <c r="AVB1073" s="7"/>
      <c r="AVC1073" s="7"/>
      <c r="AVD1073" s="7"/>
      <c r="AVE1073" s="7"/>
      <c r="AVF1073" s="7"/>
      <c r="AVG1073" s="7"/>
      <c r="AVH1073" s="7"/>
      <c r="AVI1073" s="7"/>
      <c r="AVJ1073" s="7"/>
      <c r="AVK1073" s="7"/>
      <c r="AVL1073" s="7"/>
      <c r="AVM1073" s="7"/>
      <c r="AVN1073" s="7"/>
      <c r="AVO1073" s="7"/>
      <c r="AVP1073" s="7"/>
      <c r="AVQ1073" s="7"/>
      <c r="AVR1073" s="7"/>
      <c r="AVS1073" s="7"/>
      <c r="AVT1073" s="7"/>
      <c r="AVU1073" s="7"/>
      <c r="AVV1073" s="7"/>
      <c r="AVW1073" s="7"/>
      <c r="AVX1073" s="7"/>
      <c r="AVY1073" s="7"/>
      <c r="AVZ1073" s="7"/>
      <c r="AWA1073" s="7"/>
      <c r="AWB1073" s="7"/>
      <c r="AWC1073" s="7"/>
      <c r="AWD1073" s="7"/>
      <c r="AWE1073" s="7"/>
      <c r="AWF1073" s="7"/>
      <c r="AWG1073" s="7"/>
      <c r="AWH1073" s="7"/>
      <c r="AWI1073" s="7"/>
      <c r="AWJ1073" s="7"/>
      <c r="AWK1073" s="7"/>
      <c r="AWL1073" s="7"/>
      <c r="AWM1073" s="7"/>
      <c r="AWN1073" s="7"/>
      <c r="AWO1073" s="7"/>
      <c r="AWP1073" s="7"/>
      <c r="AWQ1073" s="7"/>
      <c r="AWR1073" s="7"/>
      <c r="AWS1073" s="7"/>
      <c r="AWT1073" s="7"/>
      <c r="AWU1073" s="7"/>
      <c r="AWV1073" s="7"/>
      <c r="AWW1073" s="7"/>
      <c r="AWX1073" s="7"/>
      <c r="AWY1073" s="7"/>
      <c r="AWZ1073" s="7"/>
      <c r="AXA1073" s="7"/>
      <c r="AXB1073" s="7"/>
      <c r="AXC1073" s="7"/>
      <c r="AXD1073" s="7"/>
      <c r="AXE1073" s="7"/>
      <c r="AXF1073" s="7"/>
      <c r="AXG1073" s="7"/>
      <c r="AXH1073" s="7"/>
      <c r="AXI1073" s="7"/>
      <c r="AXJ1073" s="7"/>
      <c r="AXK1073" s="7"/>
      <c r="AXL1073" s="7"/>
      <c r="AXM1073" s="7"/>
      <c r="AXN1073" s="7"/>
      <c r="AXO1073" s="7"/>
      <c r="AXP1073" s="7"/>
      <c r="AXQ1073" s="7"/>
      <c r="AXR1073" s="7"/>
      <c r="AXS1073" s="7"/>
      <c r="AXT1073" s="7"/>
      <c r="AXU1073" s="7"/>
      <c r="AXV1073" s="7"/>
      <c r="AXW1073" s="7"/>
      <c r="AXX1073" s="7"/>
      <c r="AXY1073" s="7"/>
      <c r="AXZ1073" s="7"/>
      <c r="AYA1073" s="7"/>
      <c r="AYB1073" s="7"/>
      <c r="AYC1073" s="7"/>
      <c r="AYD1073" s="7"/>
      <c r="AYE1073" s="7"/>
      <c r="AYF1073" s="7"/>
      <c r="AYG1073" s="7"/>
      <c r="AYH1073" s="7"/>
      <c r="AYI1073" s="7"/>
      <c r="AYJ1073" s="7"/>
      <c r="AYK1073" s="7"/>
      <c r="AYL1073" s="7"/>
      <c r="AYM1073" s="7"/>
      <c r="AYN1073" s="7"/>
      <c r="AYO1073" s="7"/>
      <c r="AYP1073" s="7"/>
      <c r="AYQ1073" s="7"/>
      <c r="AYR1073" s="7"/>
      <c r="AYS1073" s="7"/>
      <c r="AYT1073" s="7"/>
      <c r="AYU1073" s="7"/>
      <c r="AYV1073" s="7"/>
      <c r="AYW1073" s="7"/>
      <c r="AYX1073" s="7"/>
      <c r="AYY1073" s="7"/>
      <c r="AYZ1073" s="7"/>
      <c r="AZA1073" s="7"/>
      <c r="AZB1073" s="7"/>
      <c r="AZC1073" s="7"/>
      <c r="AZD1073" s="7"/>
      <c r="AZE1073" s="7"/>
      <c r="AZF1073" s="7"/>
      <c r="AZG1073" s="7"/>
      <c r="AZH1073" s="7"/>
      <c r="AZI1073" s="7"/>
      <c r="AZJ1073" s="7"/>
      <c r="AZK1073" s="7"/>
      <c r="AZL1073" s="7"/>
      <c r="AZM1073" s="7"/>
      <c r="AZN1073" s="7"/>
      <c r="AZO1073" s="7"/>
      <c r="AZP1073" s="7"/>
      <c r="AZQ1073" s="7"/>
      <c r="AZR1073" s="7"/>
      <c r="AZS1073" s="7"/>
      <c r="AZT1073" s="7"/>
      <c r="AZU1073" s="7"/>
      <c r="AZV1073" s="7"/>
      <c r="AZW1073" s="7"/>
      <c r="AZX1073" s="7"/>
      <c r="AZY1073" s="7"/>
      <c r="AZZ1073" s="7"/>
      <c r="BAA1073" s="7"/>
      <c r="BAB1073" s="7"/>
      <c r="BAC1073" s="7"/>
      <c r="BAD1073" s="7"/>
      <c r="BAE1073" s="7"/>
      <c r="BAF1073" s="7"/>
      <c r="BAG1073" s="7"/>
      <c r="BAH1073" s="7"/>
      <c r="BAI1073" s="7"/>
      <c r="BAJ1073" s="7"/>
      <c r="BAK1073" s="7"/>
      <c r="BAL1073" s="7"/>
      <c r="BAM1073" s="7"/>
      <c r="BAN1073" s="7"/>
      <c r="BAO1073" s="7"/>
      <c r="BAP1073" s="7"/>
      <c r="BAQ1073" s="7"/>
      <c r="BAR1073" s="7"/>
      <c r="BAS1073" s="7"/>
      <c r="BAT1073" s="7"/>
      <c r="BAU1073" s="7"/>
      <c r="BAV1073" s="7"/>
      <c r="BAW1073" s="7"/>
      <c r="BAX1073" s="7"/>
      <c r="BAY1073" s="7"/>
      <c r="BAZ1073" s="7"/>
      <c r="BBA1073" s="7"/>
      <c r="BBB1073" s="7"/>
      <c r="BBC1073" s="7"/>
      <c r="BBD1073" s="7"/>
      <c r="BBE1073" s="7"/>
      <c r="BBF1073" s="7"/>
      <c r="BBG1073" s="7"/>
      <c r="BBH1073" s="7"/>
      <c r="BBI1073" s="7"/>
      <c r="BBJ1073" s="7"/>
      <c r="BBK1073" s="7"/>
      <c r="BBL1073" s="7"/>
      <c r="BBM1073" s="7"/>
      <c r="BBN1073" s="7"/>
      <c r="BBO1073" s="7"/>
      <c r="BBP1073" s="7"/>
      <c r="BBQ1073" s="7"/>
      <c r="BBR1073" s="7"/>
      <c r="BBS1073" s="7"/>
      <c r="BBT1073" s="7"/>
      <c r="BBU1073" s="7"/>
      <c r="BBV1073" s="7"/>
      <c r="BBW1073" s="7"/>
      <c r="BBX1073" s="7"/>
      <c r="BBY1073" s="7"/>
      <c r="BBZ1073" s="7"/>
      <c r="BCA1073" s="7"/>
      <c r="BCB1073" s="7"/>
      <c r="BCC1073" s="7"/>
      <c r="BCD1073" s="7"/>
      <c r="BCE1073" s="7"/>
      <c r="BCF1073" s="7"/>
      <c r="BCG1073" s="7"/>
      <c r="BCH1073" s="7"/>
      <c r="BCI1073" s="7"/>
      <c r="BCJ1073" s="7"/>
      <c r="BCK1073" s="7"/>
      <c r="BCL1073" s="7"/>
      <c r="BCM1073" s="7"/>
      <c r="BCN1073" s="7"/>
      <c r="BCO1073" s="7"/>
      <c r="BCP1073" s="7"/>
      <c r="BCQ1073" s="7"/>
      <c r="BCR1073" s="7"/>
      <c r="BCS1073" s="7"/>
      <c r="BCT1073" s="7"/>
      <c r="BCU1073" s="7"/>
      <c r="BCV1073" s="7"/>
      <c r="BCW1073" s="7"/>
      <c r="BCX1073" s="7"/>
      <c r="BCY1073" s="7"/>
      <c r="BCZ1073" s="7"/>
      <c r="BDA1073" s="7"/>
      <c r="BDB1073" s="7"/>
      <c r="BDC1073" s="7"/>
      <c r="BDD1073" s="7"/>
      <c r="BDE1073" s="7"/>
      <c r="BDF1073" s="7"/>
      <c r="BDG1073" s="7"/>
      <c r="BDH1073" s="7"/>
      <c r="BDI1073" s="7"/>
      <c r="BDJ1073" s="7"/>
      <c r="BDK1073" s="7"/>
      <c r="BDL1073" s="7"/>
      <c r="BDM1073" s="7"/>
      <c r="BDN1073" s="7"/>
      <c r="BDO1073" s="7"/>
      <c r="BDP1073" s="7"/>
      <c r="BDQ1073" s="7"/>
      <c r="BDR1073" s="7"/>
      <c r="BDS1073" s="7"/>
      <c r="BDT1073" s="7"/>
      <c r="BDU1073" s="7"/>
      <c r="BDV1073" s="7"/>
      <c r="BDW1073" s="7"/>
      <c r="BDX1073" s="7"/>
      <c r="BDY1073" s="7"/>
      <c r="BDZ1073" s="7"/>
      <c r="BEA1073" s="7"/>
      <c r="BEB1073" s="7"/>
      <c r="BEC1073" s="7"/>
      <c r="BED1073" s="7"/>
      <c r="BEE1073" s="7"/>
      <c r="BEF1073" s="7"/>
      <c r="BEG1073" s="7"/>
      <c r="BEH1073" s="7"/>
      <c r="BEI1073" s="7"/>
      <c r="BEJ1073" s="7"/>
      <c r="BEK1073" s="7"/>
      <c r="BEL1073" s="7"/>
      <c r="BEM1073" s="7"/>
      <c r="BEN1073" s="7"/>
      <c r="BEO1073" s="7"/>
      <c r="BEP1073" s="7"/>
      <c r="BEQ1073" s="7"/>
      <c r="BER1073" s="7"/>
      <c r="BES1073" s="7"/>
      <c r="BET1073" s="7"/>
      <c r="BEU1073" s="7"/>
      <c r="BEV1073" s="7"/>
      <c r="BEW1073" s="7"/>
      <c r="BEX1073" s="7"/>
      <c r="BEY1073" s="7"/>
      <c r="BEZ1073" s="7"/>
      <c r="BFA1073" s="7"/>
      <c r="BFB1073" s="7"/>
      <c r="BFC1073" s="7"/>
      <c r="BFD1073" s="7"/>
      <c r="BFE1073" s="7"/>
      <c r="BFF1073" s="7"/>
      <c r="BFG1073" s="7"/>
      <c r="BFH1073" s="7"/>
      <c r="BFI1073" s="7"/>
      <c r="BFJ1073" s="7"/>
      <c r="BFK1073" s="7"/>
      <c r="BFL1073" s="7"/>
      <c r="BFM1073" s="7"/>
      <c r="BFN1073" s="7"/>
      <c r="BFO1073" s="7"/>
      <c r="BFP1073" s="7"/>
      <c r="BFQ1073" s="7"/>
      <c r="BFR1073" s="7"/>
      <c r="BFS1073" s="7"/>
      <c r="BFT1073" s="7"/>
      <c r="BFU1073" s="7"/>
      <c r="BFV1073" s="7"/>
      <c r="BFW1073" s="7"/>
      <c r="BFX1073" s="7"/>
      <c r="BFY1073" s="7"/>
      <c r="BFZ1073" s="7"/>
      <c r="BGA1073" s="7"/>
      <c r="BGB1073" s="7"/>
      <c r="BGC1073" s="7"/>
      <c r="BGD1073" s="7"/>
      <c r="BGE1073" s="7"/>
      <c r="BGF1073" s="7"/>
      <c r="BGG1073" s="7"/>
      <c r="BGH1073" s="7"/>
      <c r="BGI1073" s="7"/>
      <c r="BGJ1073" s="7"/>
      <c r="BGK1073" s="7"/>
      <c r="BGL1073" s="7"/>
      <c r="BGM1073" s="7"/>
      <c r="BGN1073" s="7"/>
      <c r="BGO1073" s="7"/>
      <c r="BGP1073" s="7"/>
      <c r="BGQ1073" s="7"/>
      <c r="BGR1073" s="7"/>
      <c r="BGS1073" s="7"/>
      <c r="BGT1073" s="7"/>
      <c r="BGU1073" s="7"/>
      <c r="BGV1073" s="7"/>
      <c r="BGW1073" s="7"/>
      <c r="BGX1073" s="7"/>
      <c r="BGY1073" s="7"/>
      <c r="BGZ1073" s="7"/>
      <c r="BHA1073" s="7"/>
      <c r="BHB1073" s="7"/>
      <c r="BHC1073" s="7"/>
      <c r="BHD1073" s="7"/>
      <c r="BHE1073" s="7"/>
      <c r="BHF1073" s="7"/>
      <c r="BHG1073" s="7"/>
      <c r="BHH1073" s="7"/>
      <c r="BHI1073" s="7"/>
      <c r="BHJ1073" s="7"/>
      <c r="BHK1073" s="7"/>
      <c r="BHL1073" s="7"/>
      <c r="BHM1073" s="7"/>
      <c r="BHN1073" s="7"/>
      <c r="BHO1073" s="7"/>
      <c r="BHP1073" s="7"/>
      <c r="BHQ1073" s="7"/>
      <c r="BHR1073" s="7"/>
      <c r="BHS1073" s="7"/>
      <c r="BHT1073" s="7"/>
      <c r="BHU1073" s="7"/>
      <c r="BHV1073" s="7"/>
      <c r="BHW1073" s="7"/>
      <c r="BHX1073" s="7"/>
      <c r="BHY1073" s="7"/>
      <c r="BHZ1073" s="7"/>
      <c r="BIA1073" s="7"/>
      <c r="BIB1073" s="7"/>
      <c r="BIC1073" s="7"/>
      <c r="BID1073" s="7"/>
      <c r="BIE1073" s="7"/>
      <c r="BIF1073" s="7"/>
      <c r="BIG1073" s="7"/>
      <c r="BIH1073" s="7"/>
      <c r="BII1073" s="7"/>
      <c r="BIJ1073" s="7"/>
      <c r="BIK1073" s="7"/>
      <c r="BIL1073" s="7"/>
      <c r="BIM1073" s="7"/>
      <c r="BIN1073" s="7"/>
      <c r="BIO1073" s="7"/>
      <c r="BIP1073" s="7"/>
      <c r="BIQ1073" s="7"/>
      <c r="BIR1073" s="7"/>
      <c r="BIS1073" s="7"/>
      <c r="BIT1073" s="7"/>
      <c r="BIU1073" s="7"/>
      <c r="BIV1073" s="7"/>
      <c r="BIW1073" s="7"/>
      <c r="BIX1073" s="7"/>
      <c r="BIY1073" s="7"/>
      <c r="BIZ1073" s="7"/>
      <c r="BJA1073" s="7"/>
      <c r="BJB1073" s="7"/>
      <c r="BJC1073" s="7"/>
      <c r="BJD1073" s="7"/>
      <c r="BJE1073" s="7"/>
      <c r="BJF1073" s="7"/>
      <c r="BJG1073" s="7"/>
      <c r="BJH1073" s="7"/>
      <c r="BJI1073" s="7"/>
      <c r="BJJ1073" s="7"/>
      <c r="BJK1073" s="7"/>
      <c r="BJL1073" s="7"/>
      <c r="BJM1073" s="7"/>
      <c r="BJN1073" s="7"/>
      <c r="BJO1073" s="7"/>
      <c r="BJP1073" s="7"/>
      <c r="BJQ1073" s="7"/>
      <c r="BJR1073" s="7"/>
      <c r="BJS1073" s="7"/>
      <c r="BJT1073" s="7"/>
      <c r="BJU1073" s="7"/>
      <c r="BJV1073" s="7"/>
      <c r="BJW1073" s="7"/>
      <c r="BJX1073" s="7"/>
      <c r="BJY1073" s="7"/>
      <c r="BJZ1073" s="7"/>
      <c r="BKA1073" s="7"/>
      <c r="BKB1073" s="7"/>
      <c r="BKC1073" s="7"/>
      <c r="BKD1073" s="7"/>
      <c r="BKE1073" s="7"/>
      <c r="BKF1073" s="7"/>
      <c r="BKG1073" s="7"/>
      <c r="BKH1073" s="7"/>
      <c r="BKI1073" s="7"/>
      <c r="BKJ1073" s="7"/>
      <c r="BKK1073" s="7"/>
      <c r="BKL1073" s="7"/>
      <c r="BKM1073" s="7"/>
      <c r="BKN1073" s="7"/>
      <c r="BKO1073" s="7"/>
      <c r="BKP1073" s="7"/>
      <c r="BKQ1073" s="7"/>
      <c r="BKR1073" s="7"/>
      <c r="BKS1073" s="7"/>
      <c r="BKT1073" s="7"/>
      <c r="BKU1073" s="7"/>
      <c r="BKV1073" s="7"/>
      <c r="BKW1073" s="7"/>
      <c r="BKX1073" s="7"/>
      <c r="BKY1073" s="7"/>
      <c r="BKZ1073" s="7"/>
      <c r="BLA1073" s="7"/>
      <c r="BLB1073" s="7"/>
      <c r="BLC1073" s="7"/>
      <c r="BLD1073" s="7"/>
      <c r="BLE1073" s="7"/>
      <c r="BLF1073" s="7"/>
      <c r="BLG1073" s="7"/>
      <c r="BLH1073" s="7"/>
      <c r="BLI1073" s="7"/>
      <c r="BLJ1073" s="7"/>
      <c r="BLK1073" s="7"/>
      <c r="BLL1073" s="7"/>
      <c r="BLM1073" s="7"/>
      <c r="BLN1073" s="7"/>
      <c r="BLO1073" s="7"/>
      <c r="BLP1073" s="7"/>
      <c r="BLQ1073" s="7"/>
      <c r="BLR1073" s="7"/>
      <c r="BLS1073" s="7"/>
      <c r="BLT1073" s="7"/>
      <c r="BLU1073" s="7"/>
      <c r="BLV1073" s="7"/>
      <c r="BLW1073" s="7"/>
      <c r="BLX1073" s="7"/>
      <c r="BLY1073" s="7"/>
      <c r="BLZ1073" s="7"/>
      <c r="BMA1073" s="7"/>
      <c r="BMB1073" s="7"/>
      <c r="BMC1073" s="7"/>
      <c r="BMD1073" s="7"/>
      <c r="BME1073" s="7"/>
      <c r="BMF1073" s="7"/>
      <c r="BMG1073" s="7"/>
      <c r="BMH1073" s="7"/>
      <c r="BMI1073" s="7"/>
      <c r="BMJ1073" s="7"/>
      <c r="BMK1073" s="7"/>
      <c r="BML1073" s="7"/>
      <c r="BMM1073" s="7"/>
      <c r="BMN1073" s="7"/>
      <c r="BMO1073" s="7"/>
      <c r="BMP1073" s="7"/>
      <c r="BMQ1073" s="7"/>
      <c r="BMR1073" s="7"/>
      <c r="BMS1073" s="7"/>
      <c r="BMT1073" s="7"/>
      <c r="BMU1073" s="7"/>
      <c r="BMV1073" s="7"/>
      <c r="BMW1073" s="7"/>
      <c r="BMX1073" s="7"/>
      <c r="BMY1073" s="7"/>
      <c r="BMZ1073" s="7"/>
      <c r="BNA1073" s="7"/>
      <c r="BNB1073" s="7"/>
      <c r="BNC1073" s="7"/>
      <c r="BND1073" s="7"/>
      <c r="BNE1073" s="7"/>
      <c r="BNF1073" s="7"/>
      <c r="BNG1073" s="7"/>
      <c r="BNH1073" s="7"/>
      <c r="BNI1073" s="7"/>
      <c r="BNJ1073" s="7"/>
      <c r="BNK1073" s="7"/>
      <c r="BNL1073" s="7"/>
      <c r="BNM1073" s="7"/>
      <c r="BNN1073" s="7"/>
      <c r="BNO1073" s="7"/>
      <c r="BNP1073" s="7"/>
      <c r="BNQ1073" s="7"/>
      <c r="BNR1073" s="7"/>
      <c r="BNS1073" s="7"/>
      <c r="BNT1073" s="7"/>
      <c r="BNU1073" s="7"/>
      <c r="BNV1073" s="7"/>
      <c r="BNW1073" s="7"/>
      <c r="BNX1073" s="7"/>
      <c r="BNY1073" s="7"/>
      <c r="BNZ1073" s="7"/>
      <c r="BOA1073" s="7"/>
      <c r="BOB1073" s="7"/>
      <c r="BOC1073" s="7"/>
      <c r="BOD1073" s="7"/>
      <c r="BOE1073" s="7"/>
      <c r="BOF1073" s="7"/>
      <c r="BOG1073" s="7"/>
      <c r="BOH1073" s="7"/>
      <c r="BOI1073" s="7"/>
      <c r="BOJ1073" s="7"/>
      <c r="BOK1073" s="7"/>
      <c r="BOL1073" s="7"/>
      <c r="BOM1073" s="7"/>
      <c r="BON1073" s="7"/>
      <c r="BOO1073" s="7"/>
      <c r="BOP1073" s="7"/>
      <c r="BOQ1073" s="7"/>
      <c r="BOR1073" s="7"/>
      <c r="BOS1073" s="7"/>
      <c r="BOT1073" s="7"/>
      <c r="BOU1073" s="7"/>
      <c r="BOV1073" s="7"/>
      <c r="BOW1073" s="7"/>
      <c r="BOX1073" s="7"/>
      <c r="BOY1073" s="7"/>
      <c r="BOZ1073" s="7"/>
      <c r="BPA1073" s="7"/>
      <c r="BPB1073" s="7"/>
      <c r="BPC1073" s="7"/>
      <c r="BPD1073" s="7"/>
      <c r="BPE1073" s="7"/>
      <c r="BPF1073" s="7"/>
      <c r="BPG1073" s="7"/>
      <c r="BPH1073" s="7"/>
      <c r="BPI1073" s="7"/>
      <c r="BPJ1073" s="7"/>
      <c r="BPK1073" s="7"/>
      <c r="BPL1073" s="7"/>
      <c r="BPM1073" s="7"/>
      <c r="BPN1073" s="7"/>
      <c r="BPO1073" s="7"/>
      <c r="BPP1073" s="7"/>
      <c r="BPQ1073" s="7"/>
      <c r="BPR1073" s="7"/>
      <c r="BPS1073" s="7"/>
      <c r="BPT1073" s="7"/>
      <c r="BPU1073" s="7"/>
      <c r="BPV1073" s="7"/>
      <c r="BPW1073" s="7"/>
      <c r="BPX1073" s="7"/>
      <c r="BPY1073" s="7"/>
      <c r="BPZ1073" s="7"/>
      <c r="BQA1073" s="7"/>
      <c r="BQB1073" s="7"/>
      <c r="BQC1073" s="7"/>
      <c r="BQD1073" s="7"/>
      <c r="BQE1073" s="7"/>
      <c r="BQF1073" s="7"/>
      <c r="BQG1073" s="7"/>
      <c r="BQH1073" s="7"/>
      <c r="BQI1073" s="7"/>
      <c r="BQJ1073" s="7"/>
      <c r="BQK1073" s="7"/>
      <c r="BQL1073" s="7"/>
      <c r="BQM1073" s="7"/>
      <c r="BQN1073" s="7"/>
      <c r="BQO1073" s="7"/>
      <c r="BQP1073" s="7"/>
      <c r="BQQ1073" s="7"/>
      <c r="BQR1073" s="7"/>
      <c r="BQS1073" s="7"/>
      <c r="BQT1073" s="7"/>
      <c r="BQU1073" s="7"/>
      <c r="BQV1073" s="7"/>
      <c r="BQW1073" s="7"/>
      <c r="BQX1073" s="7"/>
      <c r="BQY1073" s="7"/>
      <c r="BQZ1073" s="7"/>
      <c r="BRA1073" s="7"/>
      <c r="BRB1073" s="7"/>
      <c r="BRC1073" s="7"/>
      <c r="BRD1073" s="7"/>
      <c r="BRE1073" s="7"/>
      <c r="BRF1073" s="7"/>
      <c r="BRG1073" s="7"/>
      <c r="BRH1073" s="7"/>
      <c r="BRI1073" s="7"/>
      <c r="BRJ1073" s="7"/>
      <c r="BRK1073" s="7"/>
      <c r="BRL1073" s="7"/>
      <c r="BRM1073" s="7"/>
      <c r="BRN1073" s="7"/>
      <c r="BRO1073" s="7"/>
      <c r="BRP1073" s="7"/>
      <c r="BRQ1073" s="7"/>
      <c r="BRR1073" s="7"/>
      <c r="BRS1073" s="7"/>
      <c r="BRT1073" s="7"/>
      <c r="BRU1073" s="7"/>
      <c r="BRV1073" s="7"/>
      <c r="BRW1073" s="7"/>
      <c r="BRX1073" s="7"/>
      <c r="BRY1073" s="7"/>
      <c r="BRZ1073" s="7"/>
      <c r="BSA1073" s="7"/>
      <c r="BSB1073" s="7"/>
      <c r="BSC1073" s="7"/>
      <c r="BSD1073" s="7"/>
      <c r="BSE1073" s="7"/>
      <c r="BSF1073" s="7"/>
      <c r="BSG1073" s="7"/>
      <c r="BSH1073" s="7"/>
      <c r="BSI1073" s="7"/>
      <c r="BSJ1073" s="7"/>
      <c r="BSK1073" s="7"/>
      <c r="BSL1073" s="7"/>
      <c r="BSM1073" s="7"/>
      <c r="BSN1073" s="7"/>
      <c r="BSO1073" s="7"/>
      <c r="BSP1073" s="7"/>
      <c r="BSQ1073" s="7"/>
      <c r="BSR1073" s="7"/>
      <c r="BSS1073" s="7"/>
      <c r="BST1073" s="7"/>
      <c r="BSU1073" s="7"/>
      <c r="BSV1073" s="7"/>
      <c r="BSW1073" s="7"/>
      <c r="BSX1073" s="7"/>
      <c r="BSY1073" s="7"/>
      <c r="BSZ1073" s="7"/>
      <c r="BTA1073" s="7"/>
      <c r="BTB1073" s="7"/>
      <c r="BTC1073" s="7"/>
      <c r="BTD1073" s="7"/>
      <c r="BTE1073" s="7"/>
      <c r="BTF1073" s="7"/>
      <c r="BTG1073" s="7"/>
      <c r="BTH1073" s="7"/>
      <c r="BTI1073" s="7"/>
      <c r="BTJ1073" s="7"/>
      <c r="BTK1073" s="7"/>
      <c r="BTL1073" s="7"/>
      <c r="BTM1073" s="7"/>
      <c r="BTN1073" s="7"/>
      <c r="BTO1073" s="7"/>
      <c r="BTP1073" s="7"/>
      <c r="BTQ1073" s="7"/>
      <c r="BTR1073" s="7"/>
      <c r="BTS1073" s="7"/>
      <c r="BTT1073" s="7"/>
      <c r="BTU1073" s="7"/>
      <c r="BTV1073" s="7"/>
      <c r="BTW1073" s="7"/>
      <c r="BTX1073" s="7"/>
      <c r="BTY1073" s="7"/>
      <c r="BTZ1073" s="7"/>
      <c r="BUA1073" s="7"/>
      <c r="BUB1073" s="7"/>
      <c r="BUC1073" s="7"/>
      <c r="BUD1073" s="7"/>
      <c r="BUE1073" s="7"/>
      <c r="BUF1073" s="7"/>
      <c r="BUG1073" s="7"/>
      <c r="BUH1073" s="7"/>
      <c r="BUI1073" s="7"/>
      <c r="BUJ1073" s="7"/>
      <c r="BUK1073" s="7"/>
      <c r="BUL1073" s="7"/>
      <c r="BUM1073" s="7"/>
      <c r="BUN1073" s="7"/>
      <c r="BUO1073" s="7"/>
      <c r="BUP1073" s="7"/>
      <c r="BUQ1073" s="7"/>
      <c r="BUR1073" s="7"/>
      <c r="BUS1073" s="7"/>
      <c r="BUT1073" s="7"/>
      <c r="BUU1073" s="7"/>
      <c r="BUV1073" s="7"/>
      <c r="BUW1073" s="7"/>
      <c r="BUX1073" s="7"/>
      <c r="BUY1073" s="7"/>
      <c r="BUZ1073" s="7"/>
      <c r="BVA1073" s="7"/>
      <c r="BVB1073" s="7"/>
      <c r="BVC1073" s="7"/>
      <c r="BVD1073" s="7"/>
      <c r="BVE1073" s="7"/>
      <c r="BVF1073" s="7"/>
      <c r="BVG1073" s="7"/>
      <c r="BVH1073" s="7"/>
      <c r="BVI1073" s="7"/>
      <c r="BVJ1073" s="7"/>
      <c r="BVK1073" s="7"/>
      <c r="BVL1073" s="7"/>
      <c r="BVM1073" s="7"/>
      <c r="BVN1073" s="7"/>
      <c r="BVO1073" s="7"/>
      <c r="BVP1073" s="7"/>
      <c r="BVQ1073" s="7"/>
      <c r="BVR1073" s="7"/>
      <c r="BVS1073" s="7"/>
      <c r="BVT1073" s="7"/>
      <c r="BVU1073" s="7"/>
      <c r="BVV1073" s="7"/>
      <c r="BVW1073" s="7"/>
      <c r="BVX1073" s="7"/>
      <c r="BVY1073" s="7"/>
      <c r="BVZ1073" s="7"/>
      <c r="BWA1073" s="7"/>
      <c r="BWB1073" s="7"/>
      <c r="BWC1073" s="7"/>
      <c r="BWD1073" s="7"/>
      <c r="BWE1073" s="7"/>
      <c r="BWF1073" s="7"/>
      <c r="BWG1073" s="7"/>
      <c r="BWH1073" s="7"/>
      <c r="BWI1073" s="7"/>
      <c r="BWJ1073" s="7"/>
      <c r="BWK1073" s="7"/>
      <c r="BWL1073" s="7"/>
      <c r="BWM1073" s="7"/>
      <c r="BWN1073" s="7"/>
      <c r="BWO1073" s="7"/>
      <c r="BWP1073" s="7"/>
      <c r="BWQ1073" s="7"/>
      <c r="BWR1073" s="7"/>
      <c r="BWS1073" s="7"/>
      <c r="BWT1073" s="7"/>
      <c r="BWU1073" s="7"/>
      <c r="BWV1073" s="7"/>
      <c r="BWW1073" s="7"/>
      <c r="BWX1073" s="7"/>
      <c r="BWY1073" s="7"/>
      <c r="BWZ1073" s="7"/>
      <c r="BXA1073" s="7"/>
      <c r="BXB1073" s="7"/>
      <c r="BXC1073" s="7"/>
      <c r="BXD1073" s="7"/>
      <c r="BXE1073" s="7"/>
      <c r="BXF1073" s="7"/>
      <c r="BXG1073" s="7"/>
      <c r="BXH1073" s="7"/>
      <c r="BXI1073" s="7"/>
      <c r="BXJ1073" s="7"/>
      <c r="BXK1073" s="7"/>
      <c r="BXL1073" s="7"/>
      <c r="BXM1073" s="7"/>
      <c r="BXN1073" s="7"/>
      <c r="BXO1073" s="7"/>
      <c r="BXP1073" s="7"/>
      <c r="BXQ1073" s="7"/>
      <c r="BXR1073" s="7"/>
      <c r="BXS1073" s="7"/>
      <c r="BXT1073" s="7"/>
      <c r="BXU1073" s="7"/>
      <c r="BXV1073" s="7"/>
      <c r="BXW1073" s="7"/>
      <c r="BXX1073" s="7"/>
      <c r="BXY1073" s="7"/>
      <c r="BXZ1073" s="7"/>
      <c r="BYA1073" s="7"/>
      <c r="BYB1073" s="7"/>
      <c r="BYC1073" s="7"/>
      <c r="BYD1073" s="7"/>
      <c r="BYE1073" s="7"/>
      <c r="BYF1073" s="7"/>
      <c r="BYG1073" s="7"/>
      <c r="BYH1073" s="7"/>
      <c r="BYI1073" s="7"/>
      <c r="BYJ1073" s="7"/>
      <c r="BYK1073" s="7"/>
      <c r="BYL1073" s="7"/>
      <c r="BYM1073" s="7"/>
      <c r="BYN1073" s="7"/>
      <c r="BYO1073" s="7"/>
      <c r="BYP1073" s="7"/>
      <c r="BYQ1073" s="7"/>
      <c r="BYR1073" s="7"/>
      <c r="BYS1073" s="7"/>
      <c r="BYT1073" s="7"/>
      <c r="BYU1073" s="7"/>
      <c r="BYV1073" s="7"/>
      <c r="BYW1073" s="7"/>
      <c r="BYX1073" s="7"/>
      <c r="BYY1073" s="7"/>
      <c r="BYZ1073" s="7"/>
      <c r="BZA1073" s="7"/>
      <c r="BZB1073" s="7"/>
      <c r="BZC1073" s="7"/>
      <c r="BZD1073" s="7"/>
      <c r="BZE1073" s="7"/>
      <c r="BZF1073" s="7"/>
      <c r="BZG1073" s="7"/>
      <c r="BZH1073" s="7"/>
      <c r="BZI1073" s="7"/>
      <c r="BZJ1073" s="7"/>
      <c r="BZK1073" s="7"/>
      <c r="BZL1073" s="7"/>
      <c r="BZM1073" s="7"/>
      <c r="BZN1073" s="7"/>
      <c r="BZO1073" s="7"/>
      <c r="BZP1073" s="7"/>
      <c r="BZQ1073" s="7"/>
      <c r="BZR1073" s="7"/>
      <c r="BZS1073" s="7"/>
      <c r="BZT1073" s="7"/>
      <c r="BZU1073" s="7"/>
      <c r="BZV1073" s="7"/>
      <c r="BZW1073" s="7"/>
      <c r="BZX1073" s="7"/>
      <c r="BZY1073" s="7"/>
      <c r="BZZ1073" s="7"/>
      <c r="CAA1073" s="7"/>
      <c r="CAB1073" s="7"/>
      <c r="CAC1073" s="7"/>
      <c r="CAD1073" s="7"/>
      <c r="CAE1073" s="7"/>
      <c r="CAF1073" s="7"/>
      <c r="CAG1073" s="7"/>
      <c r="CAH1073" s="7"/>
      <c r="CAI1073" s="7"/>
      <c r="CAJ1073" s="7"/>
      <c r="CAK1073" s="7"/>
      <c r="CAL1073" s="7"/>
      <c r="CAM1073" s="7"/>
      <c r="CAN1073" s="7"/>
      <c r="CAO1073" s="7"/>
      <c r="CAP1073" s="7"/>
      <c r="CAQ1073" s="7"/>
      <c r="CAR1073" s="7"/>
      <c r="CAS1073" s="7"/>
      <c r="CAT1073" s="7"/>
      <c r="CAU1073" s="7"/>
      <c r="CAV1073" s="7"/>
      <c r="CAW1073" s="7"/>
      <c r="CAX1073" s="7"/>
      <c r="CAY1073" s="7"/>
      <c r="CAZ1073" s="7"/>
      <c r="CBA1073" s="7"/>
      <c r="CBB1073" s="7"/>
      <c r="CBC1073" s="7"/>
      <c r="CBD1073" s="7"/>
      <c r="CBE1073" s="7"/>
      <c r="CBF1073" s="7"/>
      <c r="CBG1073" s="7"/>
      <c r="CBH1073" s="7"/>
      <c r="CBI1073" s="7"/>
      <c r="CBJ1073" s="7"/>
      <c r="CBK1073" s="7"/>
      <c r="CBL1073" s="7"/>
      <c r="CBM1073" s="7"/>
      <c r="CBN1073" s="7"/>
      <c r="CBO1073" s="7"/>
      <c r="CBP1073" s="7"/>
      <c r="CBQ1073" s="7"/>
      <c r="CBR1073" s="7"/>
      <c r="CBS1073" s="7"/>
      <c r="CBT1073" s="7"/>
      <c r="CBU1073" s="7"/>
      <c r="CBV1073" s="7"/>
      <c r="CBW1073" s="7"/>
      <c r="CBX1073" s="7"/>
      <c r="CBY1073" s="7"/>
      <c r="CBZ1073" s="7"/>
      <c r="CCA1073" s="7"/>
      <c r="CCB1073" s="7"/>
      <c r="CCC1073" s="7"/>
      <c r="CCD1073" s="7"/>
      <c r="CCE1073" s="7"/>
      <c r="CCF1073" s="7"/>
      <c r="CCG1073" s="7"/>
      <c r="CCH1073" s="7"/>
      <c r="CCI1073" s="7"/>
      <c r="CCJ1073" s="7"/>
      <c r="CCK1073" s="7"/>
      <c r="CCL1073" s="7"/>
      <c r="CCM1073" s="7"/>
      <c r="CCN1073" s="7"/>
      <c r="CCO1073" s="7"/>
      <c r="CCP1073" s="7"/>
      <c r="CCQ1073" s="7"/>
      <c r="CCR1073" s="7"/>
      <c r="CCS1073" s="7"/>
      <c r="CCT1073" s="7"/>
      <c r="CCU1073" s="7"/>
      <c r="CCV1073" s="7"/>
      <c r="CCW1073" s="7"/>
      <c r="CCX1073" s="7"/>
      <c r="CCY1073" s="7"/>
      <c r="CCZ1073" s="7"/>
      <c r="CDA1073" s="7"/>
      <c r="CDB1073" s="7"/>
      <c r="CDC1073" s="7"/>
      <c r="CDD1073" s="7"/>
      <c r="CDE1073" s="7"/>
      <c r="CDF1073" s="7"/>
      <c r="CDG1073" s="7"/>
      <c r="CDH1073" s="7"/>
      <c r="CDI1073" s="7"/>
      <c r="CDJ1073" s="7"/>
      <c r="CDK1073" s="7"/>
      <c r="CDL1073" s="7"/>
      <c r="CDM1073" s="7"/>
      <c r="CDN1073" s="7"/>
      <c r="CDO1073" s="7"/>
      <c r="CDP1073" s="7"/>
      <c r="CDQ1073" s="7"/>
      <c r="CDR1073" s="7"/>
      <c r="CDS1073" s="7"/>
      <c r="CDT1073" s="7"/>
      <c r="CDU1073" s="7"/>
      <c r="CDV1073" s="7"/>
      <c r="CDW1073" s="7"/>
      <c r="CDX1073" s="7"/>
      <c r="CDY1073" s="7"/>
      <c r="CDZ1073" s="7"/>
      <c r="CEA1073" s="7"/>
      <c r="CEB1073" s="7"/>
      <c r="CEC1073" s="7"/>
      <c r="CED1073" s="7"/>
      <c r="CEE1073" s="7"/>
      <c r="CEF1073" s="7"/>
      <c r="CEG1073" s="7"/>
      <c r="CEH1073" s="7"/>
      <c r="CEI1073" s="7"/>
      <c r="CEJ1073" s="7"/>
      <c r="CEK1073" s="7"/>
      <c r="CEL1073" s="7"/>
      <c r="CEM1073" s="7"/>
      <c r="CEN1073" s="7"/>
      <c r="CEO1073" s="7"/>
      <c r="CEP1073" s="7"/>
      <c r="CEQ1073" s="7"/>
      <c r="CER1073" s="7"/>
      <c r="CES1073" s="7"/>
      <c r="CET1073" s="7"/>
      <c r="CEU1073" s="7"/>
      <c r="CEV1073" s="7"/>
      <c r="CEW1073" s="7"/>
      <c r="CEX1073" s="7"/>
      <c r="CEY1073" s="7"/>
      <c r="CEZ1073" s="7"/>
      <c r="CFA1073" s="7"/>
      <c r="CFB1073" s="7"/>
      <c r="CFC1073" s="7"/>
      <c r="CFD1073" s="7"/>
      <c r="CFE1073" s="7"/>
      <c r="CFF1073" s="7"/>
      <c r="CFG1073" s="7"/>
      <c r="CFH1073" s="7"/>
      <c r="CFI1073" s="7"/>
      <c r="CFJ1073" s="7"/>
      <c r="CFK1073" s="7"/>
      <c r="CFL1073" s="7"/>
      <c r="CFM1073" s="7"/>
      <c r="CFN1073" s="7"/>
      <c r="CFO1073" s="7"/>
      <c r="CFP1073" s="7"/>
      <c r="CFQ1073" s="7"/>
      <c r="CFR1073" s="7"/>
      <c r="CFS1073" s="7"/>
      <c r="CFT1073" s="7"/>
      <c r="CFU1073" s="7"/>
      <c r="CFV1073" s="7"/>
      <c r="CFW1073" s="7"/>
      <c r="CFX1073" s="7"/>
      <c r="CFY1073" s="7"/>
      <c r="CFZ1073" s="7"/>
      <c r="CGA1073" s="7"/>
      <c r="CGB1073" s="7"/>
      <c r="CGC1073" s="7"/>
      <c r="CGD1073" s="7"/>
      <c r="CGE1073" s="7"/>
      <c r="CGF1073" s="7"/>
      <c r="CGG1073" s="7"/>
      <c r="CGH1073" s="7"/>
      <c r="CGI1073" s="7"/>
      <c r="CGJ1073" s="7"/>
      <c r="CGK1073" s="7"/>
      <c r="CGL1073" s="7"/>
      <c r="CGM1073" s="7"/>
      <c r="CGN1073" s="7"/>
      <c r="CGO1073" s="7"/>
      <c r="CGP1073" s="7"/>
      <c r="CGQ1073" s="7"/>
      <c r="CGR1073" s="7"/>
      <c r="CGS1073" s="7"/>
      <c r="CGT1073" s="7"/>
      <c r="CGU1073" s="7"/>
      <c r="CGV1073" s="7"/>
      <c r="CGW1073" s="7"/>
      <c r="CGX1073" s="7"/>
      <c r="CGY1073" s="7"/>
      <c r="CGZ1073" s="7"/>
      <c r="CHA1073" s="7"/>
      <c r="CHB1073" s="7"/>
      <c r="CHC1073" s="7"/>
      <c r="CHD1073" s="7"/>
      <c r="CHE1073" s="7"/>
      <c r="CHF1073" s="7"/>
      <c r="CHG1073" s="7"/>
      <c r="CHH1073" s="7"/>
      <c r="CHI1073" s="7"/>
      <c r="CHJ1073" s="7"/>
      <c r="CHK1073" s="7"/>
      <c r="CHL1073" s="7"/>
      <c r="CHM1073" s="7"/>
      <c r="CHN1073" s="7"/>
      <c r="CHO1073" s="7"/>
      <c r="CHP1073" s="7"/>
      <c r="CHQ1073" s="7"/>
      <c r="CHR1073" s="7"/>
      <c r="CHS1073" s="7"/>
      <c r="CHT1073" s="7"/>
      <c r="CHU1073" s="7"/>
      <c r="CHV1073" s="7"/>
      <c r="CHW1073" s="7"/>
      <c r="CHX1073" s="7"/>
      <c r="CHY1073" s="7"/>
      <c r="CHZ1073" s="7"/>
      <c r="CIA1073" s="7"/>
      <c r="CIB1073" s="7"/>
      <c r="CIC1073" s="7"/>
      <c r="CID1073" s="7"/>
      <c r="CIE1073" s="7"/>
      <c r="CIF1073" s="7"/>
      <c r="CIG1073" s="7"/>
      <c r="CIH1073" s="7"/>
      <c r="CII1073" s="7"/>
      <c r="CIJ1073" s="7"/>
      <c r="CIK1073" s="7"/>
      <c r="CIL1073" s="7"/>
      <c r="CIM1073" s="7"/>
      <c r="CIN1073" s="7"/>
      <c r="CIO1073" s="7"/>
      <c r="CIP1073" s="7"/>
      <c r="CIQ1073" s="7"/>
      <c r="CIR1073" s="7"/>
      <c r="CIS1073" s="7"/>
      <c r="CIT1073" s="7"/>
      <c r="CIU1073" s="7"/>
      <c r="CIV1073" s="7"/>
      <c r="CIW1073" s="7"/>
      <c r="CIX1073" s="7"/>
      <c r="CIY1073" s="7"/>
      <c r="CIZ1073" s="7"/>
      <c r="CJA1073" s="7"/>
      <c r="CJB1073" s="7"/>
      <c r="CJC1073" s="7"/>
      <c r="CJD1073" s="7"/>
      <c r="CJE1073" s="7"/>
      <c r="CJF1073" s="7"/>
      <c r="CJG1073" s="7"/>
      <c r="CJH1073" s="7"/>
      <c r="CJI1073" s="7"/>
      <c r="CJJ1073" s="7"/>
      <c r="CJK1073" s="7"/>
      <c r="CJL1073" s="7"/>
      <c r="CJM1073" s="7"/>
      <c r="CJN1073" s="7"/>
      <c r="CJO1073" s="7"/>
      <c r="CJP1073" s="7"/>
      <c r="CJQ1073" s="7"/>
      <c r="CJR1073" s="7"/>
      <c r="CJS1073" s="7"/>
      <c r="CJT1073" s="7"/>
      <c r="CJU1073" s="7"/>
      <c r="CJV1073" s="7"/>
      <c r="CJW1073" s="7"/>
      <c r="CJX1073" s="7"/>
      <c r="CJY1073" s="7"/>
      <c r="CJZ1073" s="7"/>
      <c r="CKA1073" s="7"/>
      <c r="CKB1073" s="7"/>
      <c r="CKC1073" s="7"/>
      <c r="CKD1073" s="7"/>
      <c r="CKE1073" s="7"/>
      <c r="CKF1073" s="7"/>
      <c r="CKG1073" s="7"/>
      <c r="CKH1073" s="7"/>
      <c r="CKI1073" s="7"/>
      <c r="CKJ1073" s="7"/>
      <c r="CKK1073" s="7"/>
      <c r="CKL1073" s="7"/>
      <c r="CKM1073" s="7"/>
      <c r="CKN1073" s="7"/>
      <c r="CKO1073" s="7"/>
      <c r="CKP1073" s="7"/>
      <c r="CKQ1073" s="7"/>
      <c r="CKR1073" s="7"/>
      <c r="CKS1073" s="7"/>
      <c r="CKT1073" s="7"/>
      <c r="CKU1073" s="7"/>
      <c r="CKV1073" s="7"/>
      <c r="CKW1073" s="7"/>
      <c r="CKX1073" s="7"/>
      <c r="CKY1073" s="7"/>
      <c r="CKZ1073" s="7"/>
      <c r="CLA1073" s="7"/>
      <c r="CLB1073" s="7"/>
      <c r="CLC1073" s="7"/>
      <c r="CLD1073" s="7"/>
      <c r="CLE1073" s="7"/>
      <c r="CLF1073" s="7"/>
      <c r="CLG1073" s="7"/>
      <c r="CLH1073" s="7"/>
      <c r="CLI1073" s="7"/>
      <c r="CLJ1073" s="7"/>
      <c r="CLK1073" s="7"/>
      <c r="CLL1073" s="7"/>
      <c r="CLM1073" s="7"/>
      <c r="CLN1073" s="7"/>
      <c r="CLO1073" s="7"/>
      <c r="CLP1073" s="7"/>
      <c r="CLQ1073" s="7"/>
      <c r="CLR1073" s="7"/>
      <c r="CLS1073" s="7"/>
      <c r="CLT1073" s="7"/>
      <c r="CLU1073" s="7"/>
      <c r="CLV1073" s="7"/>
      <c r="CLW1073" s="7"/>
      <c r="CLX1073" s="7"/>
      <c r="CLY1073" s="7"/>
      <c r="CLZ1073" s="7"/>
      <c r="CMA1073" s="7"/>
      <c r="CMB1073" s="7"/>
      <c r="CMC1073" s="7"/>
      <c r="CMD1073" s="7"/>
      <c r="CME1073" s="7"/>
      <c r="CMF1073" s="7"/>
      <c r="CMG1073" s="7"/>
      <c r="CMH1073" s="7"/>
      <c r="CMI1073" s="7"/>
      <c r="CMJ1073" s="7"/>
      <c r="CMK1073" s="7"/>
      <c r="CML1073" s="7"/>
      <c r="CMM1073" s="7"/>
      <c r="CMN1073" s="7"/>
      <c r="CMO1073" s="7"/>
      <c r="CMP1073" s="7"/>
      <c r="CMQ1073" s="7"/>
      <c r="CMR1073" s="7"/>
      <c r="CMS1073" s="7"/>
      <c r="CMT1073" s="7"/>
      <c r="CMU1073" s="7"/>
      <c r="CMV1073" s="7"/>
      <c r="CMW1073" s="7"/>
      <c r="CMX1073" s="7"/>
      <c r="CMY1073" s="7"/>
      <c r="CMZ1073" s="7"/>
      <c r="CNA1073" s="7"/>
      <c r="CNB1073" s="7"/>
      <c r="CNC1073" s="7"/>
      <c r="CND1073" s="7"/>
      <c r="CNE1073" s="7"/>
      <c r="CNF1073" s="7"/>
      <c r="CNG1073" s="7"/>
      <c r="CNH1073" s="7"/>
      <c r="CNI1073" s="7"/>
      <c r="CNJ1073" s="7"/>
      <c r="CNK1073" s="7"/>
      <c r="CNL1073" s="7"/>
      <c r="CNM1073" s="7"/>
      <c r="CNN1073" s="7"/>
      <c r="CNO1073" s="7"/>
      <c r="CNP1073" s="7"/>
      <c r="CNQ1073" s="7"/>
      <c r="CNR1073" s="7"/>
      <c r="CNS1073" s="7"/>
      <c r="CNT1073" s="7"/>
      <c r="CNU1073" s="7"/>
      <c r="CNV1073" s="7"/>
      <c r="CNW1073" s="7"/>
      <c r="CNX1073" s="7"/>
      <c r="CNY1073" s="7"/>
      <c r="CNZ1073" s="7"/>
      <c r="COA1073" s="7"/>
      <c r="COB1073" s="7"/>
      <c r="COC1073" s="7"/>
      <c r="COD1073" s="7"/>
      <c r="COE1073" s="7"/>
      <c r="COF1073" s="7"/>
      <c r="COG1073" s="7"/>
      <c r="COH1073" s="7"/>
      <c r="COI1073" s="7"/>
      <c r="COJ1073" s="7"/>
      <c r="COK1073" s="7"/>
      <c r="COL1073" s="7"/>
      <c r="COM1073" s="7"/>
      <c r="CON1073" s="7"/>
      <c r="COO1073" s="7"/>
      <c r="COP1073" s="7"/>
      <c r="COQ1073" s="7"/>
      <c r="COR1073" s="7"/>
      <c r="COS1073" s="7"/>
      <c r="COT1073" s="7"/>
      <c r="COU1073" s="7"/>
      <c r="COV1073" s="7"/>
      <c r="COW1073" s="7"/>
      <c r="COX1073" s="7"/>
      <c r="COY1073" s="7"/>
      <c r="COZ1073" s="7"/>
      <c r="CPA1073" s="7"/>
      <c r="CPB1073" s="7"/>
      <c r="CPC1073" s="7"/>
      <c r="CPD1073" s="7"/>
      <c r="CPE1073" s="7"/>
      <c r="CPF1073" s="7"/>
      <c r="CPG1073" s="7"/>
      <c r="CPH1073" s="7"/>
      <c r="CPI1073" s="7"/>
      <c r="CPJ1073" s="7"/>
      <c r="CPK1073" s="7"/>
      <c r="CPL1073" s="7"/>
      <c r="CPM1073" s="7"/>
      <c r="CPN1073" s="7"/>
      <c r="CPO1073" s="7"/>
      <c r="CPP1073" s="7"/>
      <c r="CPQ1073" s="7"/>
      <c r="CPR1073" s="7"/>
      <c r="CPS1073" s="7"/>
      <c r="CPT1073" s="7"/>
      <c r="CPU1073" s="7"/>
      <c r="CPV1073" s="7"/>
      <c r="CPW1073" s="7"/>
      <c r="CPX1073" s="7"/>
      <c r="CPY1073" s="7"/>
      <c r="CPZ1073" s="7"/>
      <c r="CQA1073" s="7"/>
      <c r="CQB1073" s="7"/>
      <c r="CQC1073" s="7"/>
      <c r="CQD1073" s="7"/>
      <c r="CQE1073" s="7"/>
      <c r="CQF1073" s="7"/>
      <c r="CQG1073" s="7"/>
      <c r="CQH1073" s="7"/>
      <c r="CQI1073" s="7"/>
      <c r="CQJ1073" s="7"/>
      <c r="CQK1073" s="7"/>
      <c r="CQL1073" s="7"/>
      <c r="CQM1073" s="7"/>
      <c r="CQN1073" s="7"/>
      <c r="CQO1073" s="7"/>
      <c r="CQP1073" s="7"/>
      <c r="CQQ1073" s="7"/>
      <c r="CQR1073" s="7"/>
      <c r="CQS1073" s="7"/>
      <c r="CQT1073" s="7"/>
      <c r="CQU1073" s="7"/>
      <c r="CQV1073" s="7"/>
      <c r="CQW1073" s="7"/>
      <c r="CQX1073" s="7"/>
      <c r="CQY1073" s="7"/>
      <c r="CQZ1073" s="7"/>
      <c r="CRA1073" s="7"/>
      <c r="CRB1073" s="7"/>
      <c r="CRC1073" s="7"/>
      <c r="CRD1073" s="7"/>
      <c r="CRE1073" s="7"/>
      <c r="CRF1073" s="7"/>
      <c r="CRG1073" s="7"/>
      <c r="CRH1073" s="7"/>
      <c r="CRI1073" s="7"/>
      <c r="CRJ1073" s="7"/>
      <c r="CRK1073" s="7"/>
      <c r="CRL1073" s="7"/>
      <c r="CRM1073" s="7"/>
      <c r="CRN1073" s="7"/>
      <c r="CRO1073" s="7"/>
      <c r="CRP1073" s="7"/>
      <c r="CRQ1073" s="7"/>
      <c r="CRR1073" s="7"/>
      <c r="CRS1073" s="7"/>
      <c r="CRT1073" s="7"/>
      <c r="CRU1073" s="7"/>
      <c r="CRV1073" s="7"/>
      <c r="CRW1073" s="7"/>
      <c r="CRX1073" s="7"/>
      <c r="CRY1073" s="7"/>
      <c r="CRZ1073" s="7"/>
      <c r="CSA1073" s="7"/>
      <c r="CSB1073" s="7"/>
      <c r="CSC1073" s="7"/>
      <c r="CSD1073" s="7"/>
      <c r="CSE1073" s="7"/>
      <c r="CSF1073" s="7"/>
      <c r="CSG1073" s="7"/>
      <c r="CSH1073" s="7"/>
      <c r="CSI1073" s="7"/>
      <c r="CSJ1073" s="7"/>
      <c r="CSK1073" s="7"/>
      <c r="CSL1073" s="7"/>
      <c r="CSM1073" s="7"/>
      <c r="CSN1073" s="7"/>
      <c r="CSO1073" s="7"/>
      <c r="CSP1073" s="7"/>
      <c r="CSQ1073" s="7"/>
      <c r="CSR1073" s="7"/>
      <c r="CSS1073" s="7"/>
      <c r="CST1073" s="7"/>
      <c r="CSU1073" s="7"/>
      <c r="CSV1073" s="7"/>
      <c r="CSW1073" s="7"/>
      <c r="CSX1073" s="7"/>
      <c r="CSY1073" s="7"/>
      <c r="CSZ1073" s="7"/>
      <c r="CTA1073" s="7"/>
      <c r="CTB1073" s="7"/>
      <c r="CTC1073" s="7"/>
      <c r="CTD1073" s="7"/>
      <c r="CTE1073" s="7"/>
      <c r="CTF1073" s="7"/>
      <c r="CTG1073" s="7"/>
      <c r="CTH1073" s="7"/>
      <c r="CTI1073" s="7"/>
      <c r="CTJ1073" s="7"/>
      <c r="CTK1073" s="7"/>
      <c r="CTL1073" s="7"/>
      <c r="CTM1073" s="7"/>
      <c r="CTN1073" s="7"/>
      <c r="CTO1073" s="7"/>
      <c r="CTP1073" s="7"/>
      <c r="CTQ1073" s="7"/>
      <c r="CTR1073" s="7"/>
      <c r="CTS1073" s="7"/>
      <c r="CTT1073" s="7"/>
      <c r="CTU1073" s="7"/>
      <c r="CTV1073" s="7"/>
      <c r="CTW1073" s="7"/>
      <c r="CTX1073" s="7"/>
      <c r="CTY1073" s="7"/>
      <c r="CTZ1073" s="7"/>
      <c r="CUA1073" s="7"/>
      <c r="CUB1073" s="7"/>
      <c r="CUC1073" s="7"/>
      <c r="CUD1073" s="7"/>
      <c r="CUE1073" s="7"/>
      <c r="CUF1073" s="7"/>
      <c r="CUG1073" s="7"/>
      <c r="CUH1073" s="7"/>
      <c r="CUI1073" s="7"/>
      <c r="CUJ1073" s="7"/>
      <c r="CUK1073" s="7"/>
      <c r="CUL1073" s="7"/>
      <c r="CUM1073" s="7"/>
      <c r="CUN1073" s="7"/>
      <c r="CUO1073" s="7"/>
      <c r="CUP1073" s="7"/>
      <c r="CUQ1073" s="7"/>
      <c r="CUR1073" s="7"/>
      <c r="CUS1073" s="7"/>
      <c r="CUT1073" s="7"/>
      <c r="CUU1073" s="7"/>
      <c r="CUV1073" s="7"/>
      <c r="CUW1073" s="7"/>
      <c r="CUX1073" s="7"/>
      <c r="CUY1073" s="7"/>
      <c r="CUZ1073" s="7"/>
      <c r="CVA1073" s="7"/>
      <c r="CVB1073" s="7"/>
      <c r="CVC1073" s="7"/>
      <c r="CVD1073" s="7"/>
      <c r="CVE1073" s="7"/>
      <c r="CVF1073" s="7"/>
      <c r="CVG1073" s="7"/>
      <c r="CVH1073" s="7"/>
      <c r="CVI1073" s="7"/>
      <c r="CVJ1073" s="7"/>
      <c r="CVK1073" s="7"/>
      <c r="CVL1073" s="7"/>
      <c r="CVM1073" s="7"/>
      <c r="CVN1073" s="7"/>
      <c r="CVO1073" s="7"/>
      <c r="CVP1073" s="7"/>
      <c r="CVQ1073" s="7"/>
      <c r="CVR1073" s="7"/>
      <c r="CVS1073" s="7"/>
      <c r="CVT1073" s="7"/>
      <c r="CVU1073" s="7"/>
      <c r="CVV1073" s="7"/>
      <c r="CVW1073" s="7"/>
      <c r="CVX1073" s="7"/>
      <c r="CVY1073" s="7"/>
      <c r="CVZ1073" s="7"/>
      <c r="CWA1073" s="7"/>
      <c r="CWB1073" s="7"/>
      <c r="CWC1073" s="7"/>
      <c r="CWD1073" s="7"/>
      <c r="CWE1073" s="7"/>
      <c r="CWF1073" s="7"/>
      <c r="CWG1073" s="7"/>
      <c r="CWH1073" s="7"/>
      <c r="CWI1073" s="7"/>
      <c r="CWJ1073" s="7"/>
      <c r="CWK1073" s="7"/>
      <c r="CWL1073" s="7"/>
      <c r="CWM1073" s="7"/>
      <c r="CWN1073" s="7"/>
      <c r="CWO1073" s="7"/>
      <c r="CWP1073" s="7"/>
      <c r="CWQ1073" s="7"/>
      <c r="CWR1073" s="7"/>
      <c r="CWS1073" s="7"/>
      <c r="CWT1073" s="7"/>
      <c r="CWU1073" s="7"/>
      <c r="CWV1073" s="7"/>
      <c r="CWW1073" s="7"/>
      <c r="CWX1073" s="7"/>
      <c r="CWY1073" s="7"/>
      <c r="CWZ1073" s="7"/>
      <c r="CXA1073" s="7"/>
      <c r="CXB1073" s="7"/>
      <c r="CXC1073" s="7"/>
      <c r="CXD1073" s="7"/>
      <c r="CXE1073" s="7"/>
      <c r="CXF1073" s="7"/>
      <c r="CXG1073" s="7"/>
      <c r="CXH1073" s="7"/>
      <c r="CXI1073" s="7"/>
      <c r="CXJ1073" s="7"/>
      <c r="CXK1073" s="7"/>
      <c r="CXL1073" s="7"/>
      <c r="CXM1073" s="7"/>
      <c r="CXN1073" s="7"/>
      <c r="CXO1073" s="7"/>
      <c r="CXP1073" s="7"/>
      <c r="CXQ1073" s="7"/>
      <c r="CXR1073" s="7"/>
      <c r="CXS1073" s="7"/>
      <c r="CXT1073" s="7"/>
      <c r="CXU1073" s="7"/>
      <c r="CXV1073" s="7"/>
      <c r="CXW1073" s="7"/>
      <c r="CXX1073" s="7"/>
      <c r="CXY1073" s="7"/>
      <c r="CXZ1073" s="7"/>
      <c r="CYA1073" s="7"/>
      <c r="CYB1073" s="7"/>
      <c r="CYC1073" s="7"/>
      <c r="CYD1073" s="7"/>
      <c r="CYE1073" s="7"/>
      <c r="CYF1073" s="7"/>
      <c r="CYG1073" s="7"/>
      <c r="CYH1073" s="7"/>
      <c r="CYI1073" s="7"/>
      <c r="CYJ1073" s="7"/>
      <c r="CYK1073" s="7"/>
      <c r="CYL1073" s="7"/>
      <c r="CYM1073" s="7"/>
      <c r="CYN1073" s="7"/>
      <c r="CYO1073" s="7"/>
      <c r="CYP1073" s="7"/>
      <c r="CYQ1073" s="7"/>
      <c r="CYR1073" s="7"/>
      <c r="CYS1073" s="7"/>
      <c r="CYT1073" s="7"/>
      <c r="CYU1073" s="7"/>
      <c r="CYV1073" s="7"/>
      <c r="CYW1073" s="7"/>
      <c r="CYX1073" s="7"/>
      <c r="CYY1073" s="7"/>
      <c r="CYZ1073" s="7"/>
      <c r="CZA1073" s="7"/>
      <c r="CZB1073" s="7"/>
      <c r="CZC1073" s="7"/>
      <c r="CZD1073" s="7"/>
      <c r="CZE1073" s="7"/>
      <c r="CZF1073" s="7"/>
      <c r="CZG1073" s="7"/>
      <c r="CZH1073" s="7"/>
      <c r="CZI1073" s="7"/>
      <c r="CZJ1073" s="7"/>
      <c r="CZK1073" s="7"/>
      <c r="CZL1073" s="7"/>
      <c r="CZM1073" s="7"/>
      <c r="CZN1073" s="7"/>
      <c r="CZO1073" s="7"/>
      <c r="CZP1073" s="7"/>
      <c r="CZQ1073" s="7"/>
      <c r="CZR1073" s="7"/>
      <c r="CZS1073" s="7"/>
      <c r="CZT1073" s="7"/>
      <c r="CZU1073" s="7"/>
      <c r="CZV1073" s="7"/>
      <c r="CZW1073" s="7"/>
      <c r="CZX1073" s="7"/>
      <c r="CZY1073" s="7"/>
      <c r="CZZ1073" s="7"/>
      <c r="DAA1073" s="7"/>
      <c r="DAB1073" s="7"/>
      <c r="DAC1073" s="7"/>
      <c r="DAD1073" s="7"/>
      <c r="DAE1073" s="7"/>
      <c r="DAF1073" s="7"/>
      <c r="DAG1073" s="7"/>
      <c r="DAH1073" s="7"/>
      <c r="DAI1073" s="7"/>
      <c r="DAJ1073" s="7"/>
      <c r="DAK1073" s="7"/>
      <c r="DAL1073" s="7"/>
      <c r="DAM1073" s="7"/>
      <c r="DAN1073" s="7"/>
      <c r="DAO1073" s="7"/>
      <c r="DAP1073" s="7"/>
      <c r="DAQ1073" s="7"/>
      <c r="DAR1073" s="7"/>
      <c r="DAS1073" s="7"/>
      <c r="DAT1073" s="7"/>
      <c r="DAU1073" s="7"/>
      <c r="DAV1073" s="7"/>
      <c r="DAW1073" s="7"/>
      <c r="DAX1073" s="7"/>
      <c r="DAY1073" s="7"/>
      <c r="DAZ1073" s="7"/>
      <c r="DBA1073" s="7"/>
      <c r="DBB1073" s="7"/>
      <c r="DBC1073" s="7"/>
      <c r="DBD1073" s="7"/>
      <c r="DBE1073" s="7"/>
      <c r="DBF1073" s="7"/>
      <c r="DBG1073" s="7"/>
      <c r="DBH1073" s="7"/>
      <c r="DBI1073" s="7"/>
      <c r="DBJ1073" s="7"/>
      <c r="DBK1073" s="7"/>
      <c r="DBL1073" s="7"/>
      <c r="DBM1073" s="7"/>
      <c r="DBN1073" s="7"/>
      <c r="DBO1073" s="7"/>
      <c r="DBP1073" s="7"/>
      <c r="DBQ1073" s="7"/>
      <c r="DBR1073" s="7"/>
      <c r="DBS1073" s="7"/>
      <c r="DBT1073" s="7"/>
      <c r="DBU1073" s="7"/>
      <c r="DBV1073" s="7"/>
      <c r="DBW1073" s="7"/>
      <c r="DBX1073" s="7"/>
      <c r="DBY1073" s="7"/>
      <c r="DBZ1073" s="7"/>
      <c r="DCA1073" s="7"/>
      <c r="DCB1073" s="7"/>
      <c r="DCC1073" s="7"/>
      <c r="DCD1073" s="7"/>
      <c r="DCE1073" s="7"/>
      <c r="DCF1073" s="7"/>
      <c r="DCG1073" s="7"/>
      <c r="DCH1073" s="7"/>
      <c r="DCI1073" s="7"/>
      <c r="DCJ1073" s="7"/>
      <c r="DCK1073" s="7"/>
      <c r="DCL1073" s="7"/>
      <c r="DCM1073" s="7"/>
      <c r="DCN1073" s="7"/>
      <c r="DCO1073" s="7"/>
      <c r="DCP1073" s="7"/>
      <c r="DCQ1073" s="7"/>
      <c r="DCR1073" s="7"/>
      <c r="DCS1073" s="7"/>
      <c r="DCT1073" s="7"/>
      <c r="DCU1073" s="7"/>
      <c r="DCV1073" s="7"/>
      <c r="DCW1073" s="7"/>
      <c r="DCX1073" s="7"/>
      <c r="DCY1073" s="7"/>
      <c r="DCZ1073" s="7"/>
      <c r="DDA1073" s="7"/>
      <c r="DDB1073" s="7"/>
      <c r="DDC1073" s="7"/>
      <c r="DDD1073" s="7"/>
      <c r="DDE1073" s="7"/>
      <c r="DDF1073" s="7"/>
      <c r="DDG1073" s="7"/>
      <c r="DDH1073" s="7"/>
      <c r="DDI1073" s="7"/>
      <c r="DDJ1073" s="7"/>
      <c r="DDK1073" s="7"/>
      <c r="DDL1073" s="7"/>
      <c r="DDM1073" s="7"/>
      <c r="DDN1073" s="7"/>
      <c r="DDO1073" s="7"/>
      <c r="DDP1073" s="7"/>
      <c r="DDQ1073" s="7"/>
      <c r="DDR1073" s="7"/>
      <c r="DDS1073" s="7"/>
      <c r="DDT1073" s="7"/>
      <c r="DDU1073" s="7"/>
      <c r="DDV1073" s="7"/>
      <c r="DDW1073" s="7"/>
      <c r="DDX1073" s="7"/>
      <c r="DDY1073" s="7"/>
      <c r="DDZ1073" s="7"/>
      <c r="DEA1073" s="7"/>
      <c r="DEB1073" s="7"/>
      <c r="DEC1073" s="7"/>
      <c r="DED1073" s="7"/>
      <c r="DEE1073" s="7"/>
      <c r="DEF1073" s="7"/>
      <c r="DEG1073" s="7"/>
      <c r="DEH1073" s="7"/>
      <c r="DEI1073" s="7"/>
      <c r="DEJ1073" s="7"/>
      <c r="DEK1073" s="7"/>
      <c r="DEL1073" s="7"/>
      <c r="DEM1073" s="7"/>
      <c r="DEN1073" s="7"/>
      <c r="DEO1073" s="7"/>
      <c r="DEP1073" s="7"/>
      <c r="DEQ1073" s="7"/>
      <c r="DER1073" s="7"/>
      <c r="DES1073" s="7"/>
      <c r="DET1073" s="7"/>
      <c r="DEU1073" s="7"/>
      <c r="DEV1073" s="7"/>
      <c r="DEW1073" s="7"/>
      <c r="DEX1073" s="7"/>
      <c r="DEY1073" s="7"/>
      <c r="DEZ1073" s="7"/>
      <c r="DFA1073" s="7"/>
      <c r="DFB1073" s="7"/>
      <c r="DFC1073" s="7"/>
      <c r="DFD1073" s="7"/>
      <c r="DFE1073" s="7"/>
      <c r="DFF1073" s="7"/>
      <c r="DFG1073" s="7"/>
      <c r="DFH1073" s="7"/>
      <c r="DFI1073" s="7"/>
      <c r="DFJ1073" s="7"/>
      <c r="DFK1073" s="7"/>
      <c r="DFL1073" s="7"/>
      <c r="DFM1073" s="7"/>
      <c r="DFN1073" s="7"/>
      <c r="DFO1073" s="7"/>
      <c r="DFP1073" s="7"/>
      <c r="DFQ1073" s="7"/>
      <c r="DFR1073" s="7"/>
      <c r="DFS1073" s="7"/>
      <c r="DFT1073" s="7"/>
      <c r="DFU1073" s="7"/>
      <c r="DFV1073" s="7"/>
      <c r="DFW1073" s="7"/>
      <c r="DFX1073" s="7"/>
      <c r="DFY1073" s="7"/>
      <c r="DFZ1073" s="7"/>
      <c r="DGA1073" s="7"/>
      <c r="DGB1073" s="7"/>
      <c r="DGC1073" s="7"/>
      <c r="DGD1073" s="7"/>
      <c r="DGE1073" s="7"/>
      <c r="DGF1073" s="7"/>
      <c r="DGG1073" s="7"/>
      <c r="DGH1073" s="7"/>
      <c r="DGI1073" s="7"/>
      <c r="DGJ1073" s="7"/>
      <c r="DGK1073" s="7"/>
      <c r="DGL1073" s="7"/>
      <c r="DGM1073" s="7"/>
      <c r="DGN1073" s="7"/>
      <c r="DGO1073" s="7"/>
      <c r="DGP1073" s="7"/>
      <c r="DGQ1073" s="7"/>
      <c r="DGR1073" s="7"/>
      <c r="DGS1073" s="7"/>
      <c r="DGT1073" s="7"/>
      <c r="DGU1073" s="7"/>
      <c r="DGV1073" s="7"/>
      <c r="DGW1073" s="7"/>
      <c r="DGX1073" s="7"/>
      <c r="DGY1073" s="7"/>
      <c r="DGZ1073" s="7"/>
      <c r="DHA1073" s="7"/>
      <c r="DHB1073" s="7"/>
      <c r="DHC1073" s="7"/>
      <c r="DHD1073" s="7"/>
      <c r="DHE1073" s="7"/>
      <c r="DHF1073" s="7"/>
      <c r="DHG1073" s="7"/>
      <c r="DHH1073" s="7"/>
      <c r="DHI1073" s="7"/>
      <c r="DHJ1073" s="7"/>
      <c r="DHK1073" s="7"/>
      <c r="DHL1073" s="7"/>
      <c r="DHM1073" s="7"/>
      <c r="DHN1073" s="7"/>
      <c r="DHO1073" s="7"/>
      <c r="DHP1073" s="7"/>
      <c r="DHQ1073" s="7"/>
      <c r="DHR1073" s="7"/>
      <c r="DHS1073" s="7"/>
      <c r="DHT1073" s="7"/>
      <c r="DHU1073" s="7"/>
      <c r="DHV1073" s="7"/>
      <c r="DHW1073" s="7"/>
      <c r="DHX1073" s="7"/>
      <c r="DHY1073" s="7"/>
      <c r="DHZ1073" s="7"/>
      <c r="DIA1073" s="7"/>
      <c r="DIB1073" s="7"/>
      <c r="DIC1073" s="7"/>
      <c r="DID1073" s="7"/>
      <c r="DIE1073" s="7"/>
      <c r="DIF1073" s="7"/>
      <c r="DIG1073" s="7"/>
      <c r="DIH1073" s="7"/>
      <c r="DII1073" s="7"/>
      <c r="DIJ1073" s="7"/>
      <c r="DIK1073" s="7"/>
      <c r="DIL1073" s="7"/>
      <c r="DIM1073" s="7"/>
      <c r="DIN1073" s="7"/>
      <c r="DIO1073" s="7"/>
      <c r="DIP1073" s="7"/>
      <c r="DIQ1073" s="7"/>
      <c r="DIR1073" s="7"/>
      <c r="DIS1073" s="7"/>
      <c r="DIT1073" s="7"/>
      <c r="DIU1073" s="7"/>
      <c r="DIV1073" s="7"/>
      <c r="DIW1073" s="7"/>
      <c r="DIX1073" s="7"/>
      <c r="DIY1073" s="7"/>
      <c r="DIZ1073" s="7"/>
      <c r="DJA1073" s="7"/>
      <c r="DJB1073" s="7"/>
      <c r="DJC1073" s="7"/>
      <c r="DJD1073" s="7"/>
      <c r="DJE1073" s="7"/>
      <c r="DJF1073" s="7"/>
      <c r="DJG1073" s="7"/>
      <c r="DJH1073" s="7"/>
      <c r="DJI1073" s="7"/>
      <c r="DJJ1073" s="7"/>
      <c r="DJK1073" s="7"/>
      <c r="DJL1073" s="7"/>
      <c r="DJM1073" s="7"/>
      <c r="DJN1073" s="7"/>
      <c r="DJO1073" s="7"/>
      <c r="DJP1073" s="7"/>
      <c r="DJQ1073" s="7"/>
      <c r="DJR1073" s="7"/>
      <c r="DJS1073" s="7"/>
      <c r="DJT1073" s="7"/>
      <c r="DJU1073" s="7"/>
      <c r="DJV1073" s="7"/>
      <c r="DJW1073" s="7"/>
      <c r="DJX1073" s="7"/>
      <c r="DJY1073" s="7"/>
      <c r="DJZ1073" s="7"/>
      <c r="DKA1073" s="7"/>
      <c r="DKB1073" s="7"/>
      <c r="DKC1073" s="7"/>
      <c r="DKD1073" s="7"/>
      <c r="DKE1073" s="7"/>
      <c r="DKF1073" s="7"/>
      <c r="DKG1073" s="7"/>
      <c r="DKH1073" s="7"/>
      <c r="DKI1073" s="7"/>
      <c r="DKJ1073" s="7"/>
      <c r="DKK1073" s="7"/>
      <c r="DKL1073" s="7"/>
      <c r="DKM1073" s="7"/>
      <c r="DKN1073" s="7"/>
      <c r="DKO1073" s="7"/>
      <c r="DKP1073" s="7"/>
      <c r="DKQ1073" s="7"/>
      <c r="DKR1073" s="7"/>
      <c r="DKS1073" s="7"/>
      <c r="DKT1073" s="7"/>
      <c r="DKU1073" s="7"/>
      <c r="DKV1073" s="7"/>
      <c r="DKW1073" s="7"/>
      <c r="DKX1073" s="7"/>
      <c r="DKY1073" s="7"/>
      <c r="DKZ1073" s="7"/>
      <c r="DLA1073" s="7"/>
      <c r="DLB1073" s="7"/>
      <c r="DLC1073" s="7"/>
      <c r="DLD1073" s="7"/>
      <c r="DLE1073" s="7"/>
      <c r="DLF1073" s="7"/>
      <c r="DLG1073" s="7"/>
      <c r="DLH1073" s="7"/>
      <c r="DLI1073" s="7"/>
      <c r="DLJ1073" s="7"/>
      <c r="DLK1073" s="7"/>
      <c r="DLL1073" s="7"/>
      <c r="DLM1073" s="7"/>
      <c r="DLN1073" s="7"/>
      <c r="DLO1073" s="7"/>
      <c r="DLP1073" s="7"/>
      <c r="DLQ1073" s="7"/>
      <c r="DLR1073" s="7"/>
      <c r="DLS1073" s="7"/>
      <c r="DLT1073" s="7"/>
      <c r="DLU1073" s="7"/>
      <c r="DLV1073" s="7"/>
      <c r="DLW1073" s="7"/>
      <c r="DLX1073" s="7"/>
      <c r="DLY1073" s="7"/>
      <c r="DLZ1073" s="7"/>
      <c r="DMA1073" s="7"/>
      <c r="DMB1073" s="7"/>
      <c r="DMC1073" s="7"/>
      <c r="DMD1073" s="7"/>
      <c r="DME1073" s="7"/>
      <c r="DMF1073" s="7"/>
      <c r="DMG1073" s="7"/>
      <c r="DMH1073" s="7"/>
      <c r="DMI1073" s="7"/>
      <c r="DMJ1073" s="7"/>
      <c r="DMK1073" s="7"/>
      <c r="DML1073" s="7"/>
      <c r="DMM1073" s="7"/>
      <c r="DMN1073" s="7"/>
      <c r="DMO1073" s="7"/>
      <c r="DMP1073" s="7"/>
      <c r="DMQ1073" s="7"/>
      <c r="DMR1073" s="7"/>
      <c r="DMS1073" s="7"/>
      <c r="DMT1073" s="7"/>
      <c r="DMU1073" s="7"/>
      <c r="DMV1073" s="7"/>
      <c r="DMW1073" s="7"/>
      <c r="DMX1073" s="7"/>
      <c r="DMY1073" s="7"/>
      <c r="DMZ1073" s="7"/>
      <c r="DNA1073" s="7"/>
      <c r="DNB1073" s="7"/>
      <c r="DNC1073" s="7"/>
      <c r="DND1073" s="7"/>
      <c r="DNE1073" s="7"/>
      <c r="DNF1073" s="7"/>
      <c r="DNG1073" s="7"/>
      <c r="DNH1073" s="7"/>
      <c r="DNI1073" s="7"/>
      <c r="DNJ1073" s="7"/>
      <c r="DNK1073" s="7"/>
      <c r="DNL1073" s="7"/>
      <c r="DNM1073" s="7"/>
      <c r="DNN1073" s="7"/>
      <c r="DNO1073" s="7"/>
      <c r="DNP1073" s="7"/>
      <c r="DNQ1073" s="7"/>
      <c r="DNR1073" s="7"/>
      <c r="DNS1073" s="7"/>
      <c r="DNT1073" s="7"/>
      <c r="DNU1073" s="7"/>
      <c r="DNV1073" s="7"/>
      <c r="DNW1073" s="7"/>
      <c r="DNX1073" s="7"/>
      <c r="DNY1073" s="7"/>
      <c r="DNZ1073" s="7"/>
      <c r="DOA1073" s="7"/>
      <c r="DOB1073" s="7"/>
      <c r="DOC1073" s="7"/>
      <c r="DOD1073" s="7"/>
      <c r="DOE1073" s="7"/>
      <c r="DOF1073" s="7"/>
      <c r="DOG1073" s="7"/>
      <c r="DOH1073" s="7"/>
      <c r="DOI1073" s="7"/>
      <c r="DOJ1073" s="7"/>
      <c r="DOK1073" s="7"/>
      <c r="DOL1073" s="7"/>
      <c r="DOM1073" s="7"/>
      <c r="DON1073" s="7"/>
      <c r="DOO1073" s="7"/>
      <c r="DOP1073" s="7"/>
      <c r="DOQ1073" s="7"/>
      <c r="DOR1073" s="7"/>
      <c r="DOS1073" s="7"/>
      <c r="DOT1073" s="7"/>
      <c r="DOU1073" s="7"/>
      <c r="DOV1073" s="7"/>
      <c r="DOW1073" s="7"/>
      <c r="DOX1073" s="7"/>
      <c r="DOY1073" s="7"/>
      <c r="DOZ1073" s="7"/>
      <c r="DPA1073" s="7"/>
      <c r="DPB1073" s="7"/>
      <c r="DPC1073" s="7"/>
      <c r="DPD1073" s="7"/>
      <c r="DPE1073" s="7"/>
      <c r="DPF1073" s="7"/>
      <c r="DPG1073" s="7"/>
      <c r="DPH1073" s="7"/>
      <c r="DPI1073" s="7"/>
      <c r="DPJ1073" s="7"/>
      <c r="DPK1073" s="7"/>
      <c r="DPL1073" s="7"/>
      <c r="DPM1073" s="7"/>
      <c r="DPN1073" s="7"/>
      <c r="DPO1073" s="7"/>
      <c r="DPP1073" s="7"/>
      <c r="DPQ1073" s="7"/>
      <c r="DPR1073" s="7"/>
      <c r="DPS1073" s="7"/>
      <c r="DPT1073" s="7"/>
      <c r="DPU1073" s="7"/>
      <c r="DPV1073" s="7"/>
      <c r="DPW1073" s="7"/>
      <c r="DPX1073" s="7"/>
      <c r="DPY1073" s="7"/>
      <c r="DPZ1073" s="7"/>
      <c r="DQA1073" s="7"/>
      <c r="DQB1073" s="7"/>
      <c r="DQC1073" s="7"/>
      <c r="DQD1073" s="7"/>
      <c r="DQE1073" s="7"/>
      <c r="DQF1073" s="7"/>
      <c r="DQG1073" s="7"/>
      <c r="DQH1073" s="7"/>
      <c r="DQI1073" s="7"/>
      <c r="DQJ1073" s="7"/>
      <c r="DQK1073" s="7"/>
      <c r="DQL1073" s="7"/>
      <c r="DQM1073" s="7"/>
      <c r="DQN1073" s="7"/>
      <c r="DQO1073" s="7"/>
      <c r="DQP1073" s="7"/>
      <c r="DQQ1073" s="7"/>
      <c r="DQR1073" s="7"/>
      <c r="DQS1073" s="7"/>
      <c r="DQT1073" s="7"/>
      <c r="DQU1073" s="7"/>
      <c r="DQV1073" s="7"/>
      <c r="DQW1073" s="7"/>
      <c r="DQX1073" s="7"/>
      <c r="DQY1073" s="7"/>
      <c r="DQZ1073" s="7"/>
      <c r="DRA1073" s="7"/>
      <c r="DRB1073" s="7"/>
      <c r="DRC1073" s="7"/>
      <c r="DRD1073" s="7"/>
      <c r="DRE1073" s="7"/>
      <c r="DRF1073" s="7"/>
      <c r="DRG1073" s="7"/>
      <c r="DRH1073" s="7"/>
      <c r="DRI1073" s="7"/>
      <c r="DRJ1073" s="7"/>
      <c r="DRK1073" s="7"/>
      <c r="DRL1073" s="7"/>
      <c r="DRM1073" s="7"/>
      <c r="DRN1073" s="7"/>
      <c r="DRO1073" s="7"/>
      <c r="DRP1073" s="7"/>
      <c r="DRQ1073" s="7"/>
      <c r="DRR1073" s="7"/>
      <c r="DRS1073" s="7"/>
      <c r="DRT1073" s="7"/>
      <c r="DRU1073" s="7"/>
      <c r="DRV1073" s="7"/>
      <c r="DRW1073" s="7"/>
      <c r="DRX1073" s="7"/>
      <c r="DRY1073" s="7"/>
      <c r="DRZ1073" s="7"/>
      <c r="DSA1073" s="7"/>
      <c r="DSB1073" s="7"/>
      <c r="DSC1073" s="7"/>
      <c r="DSD1073" s="7"/>
      <c r="DSE1073" s="7"/>
      <c r="DSF1073" s="7"/>
      <c r="DSG1073" s="7"/>
      <c r="DSH1073" s="7"/>
      <c r="DSI1073" s="7"/>
      <c r="DSJ1073" s="7"/>
      <c r="DSK1073" s="7"/>
      <c r="DSL1073" s="7"/>
      <c r="DSM1073" s="7"/>
      <c r="DSN1073" s="7"/>
      <c r="DSO1073" s="7"/>
      <c r="DSP1073" s="7"/>
      <c r="DSQ1073" s="7"/>
      <c r="DSR1073" s="7"/>
      <c r="DSS1073" s="7"/>
      <c r="DST1073" s="7"/>
      <c r="DSU1073" s="7"/>
      <c r="DSV1073" s="7"/>
      <c r="DSW1073" s="7"/>
      <c r="DSX1073" s="7"/>
      <c r="DSY1073" s="7"/>
      <c r="DSZ1073" s="7"/>
      <c r="DTA1073" s="7"/>
      <c r="DTB1073" s="7"/>
      <c r="DTC1073" s="7"/>
      <c r="DTD1073" s="7"/>
      <c r="DTE1073" s="7"/>
      <c r="DTF1073" s="7"/>
      <c r="DTG1073" s="7"/>
      <c r="DTH1073" s="7"/>
      <c r="DTI1073" s="7"/>
      <c r="DTJ1073" s="7"/>
      <c r="DTK1073" s="7"/>
      <c r="DTL1073" s="7"/>
      <c r="DTM1073" s="7"/>
      <c r="DTN1073" s="7"/>
      <c r="DTO1073" s="7"/>
      <c r="DTP1073" s="7"/>
      <c r="DTQ1073" s="7"/>
      <c r="DTR1073" s="7"/>
      <c r="DTS1073" s="7"/>
      <c r="DTT1073" s="7"/>
      <c r="DTU1073" s="7"/>
      <c r="DTV1073" s="7"/>
      <c r="DTW1073" s="7"/>
      <c r="DTX1073" s="7"/>
      <c r="DTY1073" s="7"/>
      <c r="DTZ1073" s="7"/>
      <c r="DUA1073" s="7"/>
      <c r="DUB1073" s="7"/>
      <c r="DUC1073" s="7"/>
      <c r="DUD1073" s="7"/>
      <c r="DUE1073" s="7"/>
      <c r="DUF1073" s="7"/>
      <c r="DUG1073" s="7"/>
      <c r="DUH1073" s="7"/>
      <c r="DUI1073" s="7"/>
      <c r="DUJ1073" s="7"/>
      <c r="DUK1073" s="7"/>
      <c r="DUL1073" s="7"/>
      <c r="DUM1073" s="7"/>
      <c r="DUN1073" s="7"/>
      <c r="DUO1073" s="7"/>
      <c r="DUP1073" s="7"/>
      <c r="DUQ1073" s="7"/>
      <c r="DUR1073" s="7"/>
      <c r="DUS1073" s="7"/>
      <c r="DUT1073" s="7"/>
      <c r="DUU1073" s="7"/>
      <c r="DUV1073" s="7"/>
      <c r="DUW1073" s="7"/>
      <c r="DUX1073" s="7"/>
      <c r="DUY1073" s="7"/>
      <c r="DUZ1073" s="7"/>
      <c r="DVA1073" s="7"/>
      <c r="DVB1073" s="7"/>
      <c r="DVC1073" s="7"/>
      <c r="DVD1073" s="7"/>
      <c r="DVE1073" s="7"/>
      <c r="DVF1073" s="7"/>
      <c r="DVG1073" s="7"/>
      <c r="DVH1073" s="7"/>
      <c r="DVI1073" s="7"/>
      <c r="DVJ1073" s="7"/>
      <c r="DVK1073" s="7"/>
      <c r="DVL1073" s="7"/>
      <c r="DVM1073" s="7"/>
      <c r="DVN1073" s="7"/>
      <c r="DVO1073" s="7"/>
      <c r="DVP1073" s="7"/>
      <c r="DVQ1073" s="7"/>
      <c r="DVR1073" s="7"/>
      <c r="DVS1073" s="7"/>
      <c r="DVT1073" s="7"/>
      <c r="DVU1073" s="7"/>
      <c r="DVV1073" s="7"/>
      <c r="DVW1073" s="7"/>
      <c r="DVX1073" s="7"/>
      <c r="DVY1073" s="7"/>
      <c r="DVZ1073" s="7"/>
      <c r="DWA1073" s="7"/>
      <c r="DWB1073" s="7"/>
      <c r="DWC1073" s="7"/>
      <c r="DWD1073" s="7"/>
      <c r="DWE1073" s="7"/>
      <c r="DWF1073" s="7"/>
      <c r="DWG1073" s="7"/>
      <c r="DWH1073" s="7"/>
      <c r="DWI1073" s="7"/>
      <c r="DWJ1073" s="7"/>
      <c r="DWK1073" s="7"/>
      <c r="DWL1073" s="7"/>
      <c r="DWM1073" s="7"/>
      <c r="DWN1073" s="7"/>
      <c r="DWO1073" s="7"/>
      <c r="DWP1073" s="7"/>
      <c r="DWQ1073" s="7"/>
      <c r="DWR1073" s="7"/>
      <c r="DWS1073" s="7"/>
      <c r="DWT1073" s="7"/>
      <c r="DWU1073" s="7"/>
      <c r="DWV1073" s="7"/>
      <c r="DWW1073" s="7"/>
      <c r="DWX1073" s="7"/>
      <c r="DWY1073" s="7"/>
      <c r="DWZ1073" s="7"/>
      <c r="DXA1073" s="7"/>
      <c r="DXB1073" s="7"/>
      <c r="DXC1073" s="7"/>
      <c r="DXD1073" s="7"/>
      <c r="DXE1073" s="7"/>
      <c r="DXF1073" s="7"/>
      <c r="DXG1073" s="7"/>
      <c r="DXH1073" s="7"/>
      <c r="DXI1073" s="7"/>
      <c r="DXJ1073" s="7"/>
      <c r="DXK1073" s="7"/>
      <c r="DXL1073" s="7"/>
      <c r="DXM1073" s="7"/>
      <c r="DXN1073" s="7"/>
      <c r="DXO1073" s="7"/>
      <c r="DXP1073" s="7"/>
      <c r="DXQ1073" s="7"/>
      <c r="DXR1073" s="7"/>
      <c r="DXS1073" s="7"/>
      <c r="DXT1073" s="7"/>
      <c r="DXU1073" s="7"/>
      <c r="DXV1073" s="7"/>
      <c r="DXW1073" s="7"/>
      <c r="DXX1073" s="7"/>
      <c r="DXY1073" s="7"/>
      <c r="DXZ1073" s="7"/>
      <c r="DYA1073" s="7"/>
      <c r="DYB1073" s="7"/>
      <c r="DYC1073" s="7"/>
      <c r="DYD1073" s="7"/>
      <c r="DYE1073" s="7"/>
      <c r="DYF1073" s="7"/>
      <c r="DYG1073" s="7"/>
      <c r="DYH1073" s="7"/>
      <c r="DYI1073" s="7"/>
      <c r="DYJ1073" s="7"/>
      <c r="DYK1073" s="7"/>
      <c r="DYL1073" s="7"/>
      <c r="DYM1073" s="7"/>
      <c r="DYN1073" s="7"/>
      <c r="DYO1073" s="7"/>
      <c r="DYP1073" s="7"/>
      <c r="DYQ1073" s="7"/>
      <c r="DYR1073" s="7"/>
      <c r="DYS1073" s="7"/>
      <c r="DYT1073" s="7"/>
      <c r="DYU1073" s="7"/>
      <c r="DYV1073" s="7"/>
      <c r="DYW1073" s="7"/>
      <c r="DYX1073" s="7"/>
      <c r="DYY1073" s="7"/>
      <c r="DYZ1073" s="7"/>
      <c r="DZA1073" s="7"/>
      <c r="DZB1073" s="7"/>
      <c r="DZC1073" s="7"/>
      <c r="DZD1073" s="7"/>
      <c r="DZE1073" s="7"/>
      <c r="DZF1073" s="7"/>
      <c r="DZG1073" s="7"/>
      <c r="DZH1073" s="7"/>
      <c r="DZI1073" s="7"/>
      <c r="DZJ1073" s="7"/>
      <c r="DZK1073" s="7"/>
      <c r="DZL1073" s="7"/>
      <c r="DZM1073" s="7"/>
      <c r="DZN1073" s="7"/>
      <c r="DZO1073" s="7"/>
      <c r="DZP1073" s="7"/>
      <c r="DZQ1073" s="7"/>
      <c r="DZR1073" s="7"/>
      <c r="DZS1073" s="7"/>
      <c r="DZT1073" s="7"/>
      <c r="DZU1073" s="7"/>
      <c r="DZV1073" s="7"/>
      <c r="DZW1073" s="7"/>
      <c r="DZX1073" s="7"/>
      <c r="DZY1073" s="7"/>
      <c r="DZZ1073" s="7"/>
      <c r="EAA1073" s="7"/>
      <c r="EAB1073" s="7"/>
      <c r="EAC1073" s="7"/>
      <c r="EAD1073" s="7"/>
      <c r="EAE1073" s="7"/>
      <c r="EAF1073" s="7"/>
      <c r="EAG1073" s="7"/>
      <c r="EAH1073" s="7"/>
      <c r="EAI1073" s="7"/>
      <c r="EAJ1073" s="7"/>
      <c r="EAK1073" s="7"/>
      <c r="EAL1073" s="7"/>
      <c r="EAM1073" s="7"/>
      <c r="EAN1073" s="7"/>
      <c r="EAO1073" s="7"/>
      <c r="EAP1073" s="7"/>
      <c r="EAQ1073" s="7"/>
      <c r="EAR1073" s="7"/>
      <c r="EAS1073" s="7"/>
      <c r="EAT1073" s="7"/>
      <c r="EAU1073" s="7"/>
      <c r="EAV1073" s="7"/>
      <c r="EAW1073" s="7"/>
      <c r="EAX1073" s="7"/>
      <c r="EAY1073" s="7"/>
      <c r="EAZ1073" s="7"/>
      <c r="EBA1073" s="7"/>
      <c r="EBB1073" s="7"/>
      <c r="EBC1073" s="7"/>
      <c r="EBD1073" s="7"/>
      <c r="EBE1073" s="7"/>
      <c r="EBF1073" s="7"/>
      <c r="EBG1073" s="7"/>
      <c r="EBH1073" s="7"/>
      <c r="EBI1073" s="7"/>
      <c r="EBJ1073" s="7"/>
      <c r="EBK1073" s="7"/>
      <c r="EBL1073" s="7"/>
      <c r="EBM1073" s="7"/>
      <c r="EBN1073" s="7"/>
      <c r="EBO1073" s="7"/>
      <c r="EBP1073" s="7"/>
      <c r="EBQ1073" s="7"/>
      <c r="EBR1073" s="7"/>
      <c r="EBS1073" s="7"/>
      <c r="EBT1073" s="7"/>
      <c r="EBU1073" s="7"/>
      <c r="EBV1073" s="7"/>
      <c r="EBW1073" s="7"/>
      <c r="EBX1073" s="7"/>
      <c r="EBY1073" s="7"/>
      <c r="EBZ1073" s="7"/>
      <c r="ECA1073" s="7"/>
      <c r="ECB1073" s="7"/>
      <c r="ECC1073" s="7"/>
      <c r="ECD1073" s="7"/>
      <c r="ECE1073" s="7"/>
      <c r="ECF1073" s="7"/>
      <c r="ECG1073" s="7"/>
      <c r="ECH1073" s="7"/>
      <c r="ECI1073" s="7"/>
      <c r="ECJ1073" s="7"/>
      <c r="ECK1073" s="7"/>
      <c r="ECL1073" s="7"/>
      <c r="ECM1073" s="7"/>
      <c r="ECN1073" s="7"/>
      <c r="ECO1073" s="7"/>
      <c r="ECP1073" s="7"/>
      <c r="ECQ1073" s="7"/>
      <c r="ECR1073" s="7"/>
      <c r="ECS1073" s="7"/>
      <c r="ECT1073" s="7"/>
      <c r="ECU1073" s="7"/>
      <c r="ECV1073" s="7"/>
      <c r="ECW1073" s="7"/>
      <c r="ECX1073" s="7"/>
      <c r="ECY1073" s="7"/>
      <c r="ECZ1073" s="7"/>
      <c r="EDA1073" s="7"/>
      <c r="EDB1073" s="7"/>
      <c r="EDC1073" s="7"/>
      <c r="EDD1073" s="7"/>
      <c r="EDE1073" s="7"/>
      <c r="EDF1073" s="7"/>
      <c r="EDG1073" s="7"/>
      <c r="EDH1073" s="7"/>
      <c r="EDI1073" s="7"/>
      <c r="EDJ1073" s="7"/>
      <c r="EDK1073" s="7"/>
      <c r="EDL1073" s="7"/>
      <c r="EDM1073" s="7"/>
      <c r="EDN1073" s="7"/>
      <c r="EDO1073" s="7"/>
      <c r="EDP1073" s="7"/>
      <c r="EDQ1073" s="7"/>
      <c r="EDR1073" s="7"/>
      <c r="EDS1073" s="7"/>
      <c r="EDT1073" s="7"/>
      <c r="EDU1073" s="7"/>
      <c r="EDV1073" s="7"/>
      <c r="EDW1073" s="7"/>
      <c r="EDX1073" s="7"/>
      <c r="EDY1073" s="7"/>
      <c r="EDZ1073" s="7"/>
      <c r="EEA1073" s="7"/>
      <c r="EEB1073" s="7"/>
      <c r="EEC1073" s="7"/>
      <c r="EED1073" s="7"/>
      <c r="EEE1073" s="7"/>
      <c r="EEF1073" s="7"/>
      <c r="EEG1073" s="7"/>
      <c r="EEH1073" s="7"/>
      <c r="EEI1073" s="7"/>
      <c r="EEJ1073" s="7"/>
      <c r="EEK1073" s="7"/>
      <c r="EEL1073" s="7"/>
      <c r="EEM1073" s="7"/>
      <c r="EEN1073" s="7"/>
      <c r="EEO1073" s="7"/>
      <c r="EEP1073" s="7"/>
      <c r="EEQ1073" s="7"/>
      <c r="EER1073" s="7"/>
      <c r="EES1073" s="7"/>
      <c r="EET1073" s="7"/>
      <c r="EEU1073" s="7"/>
      <c r="EEV1073" s="7"/>
      <c r="EEW1073" s="7"/>
      <c r="EEX1073" s="7"/>
      <c r="EEY1073" s="7"/>
      <c r="EEZ1073" s="7"/>
      <c r="EFA1073" s="7"/>
      <c r="EFB1073" s="7"/>
      <c r="EFC1073" s="7"/>
      <c r="EFD1073" s="7"/>
      <c r="EFE1073" s="7"/>
      <c r="EFF1073" s="7"/>
      <c r="EFG1073" s="7"/>
      <c r="EFH1073" s="7"/>
      <c r="EFI1073" s="7"/>
      <c r="EFJ1073" s="7"/>
      <c r="EFK1073" s="7"/>
      <c r="EFL1073" s="7"/>
      <c r="EFM1073" s="7"/>
      <c r="EFN1073" s="7"/>
      <c r="EFO1073" s="7"/>
      <c r="EFP1073" s="7"/>
      <c r="EFQ1073" s="7"/>
      <c r="EFR1073" s="7"/>
      <c r="EFS1073" s="7"/>
      <c r="EFT1073" s="7"/>
      <c r="EFU1073" s="7"/>
      <c r="EFV1073" s="7"/>
      <c r="EFW1073" s="7"/>
      <c r="EFX1073" s="7"/>
      <c r="EFY1073" s="7"/>
      <c r="EFZ1073" s="7"/>
      <c r="EGA1073" s="7"/>
      <c r="EGB1073" s="7"/>
      <c r="EGC1073" s="7"/>
      <c r="EGD1073" s="7"/>
      <c r="EGE1073" s="7"/>
      <c r="EGF1073" s="7"/>
      <c r="EGG1073" s="7"/>
      <c r="EGH1073" s="7"/>
      <c r="EGI1073" s="7"/>
      <c r="EGJ1073" s="7"/>
      <c r="EGK1073" s="7"/>
      <c r="EGL1073" s="7"/>
      <c r="EGM1073" s="7"/>
      <c r="EGN1073" s="7"/>
      <c r="EGO1073" s="7"/>
      <c r="EGP1073" s="7"/>
      <c r="EGQ1073" s="7"/>
      <c r="EGR1073" s="7"/>
      <c r="EGS1073" s="7"/>
      <c r="EGT1073" s="7"/>
      <c r="EGU1073" s="7"/>
      <c r="EGV1073" s="7"/>
      <c r="EGW1073" s="7"/>
      <c r="EGX1073" s="7"/>
      <c r="EGY1073" s="7"/>
      <c r="EGZ1073" s="7"/>
      <c r="EHA1073" s="7"/>
      <c r="EHB1073" s="7"/>
      <c r="EHC1073" s="7"/>
      <c r="EHD1073" s="7"/>
      <c r="EHE1073" s="7"/>
      <c r="EHF1073" s="7"/>
      <c r="EHG1073" s="7"/>
      <c r="EHH1073" s="7"/>
      <c r="EHI1073" s="7"/>
      <c r="EHJ1073" s="7"/>
      <c r="EHK1073" s="7"/>
      <c r="EHL1073" s="7"/>
      <c r="EHM1073" s="7"/>
      <c r="EHN1073" s="7"/>
      <c r="EHO1073" s="7"/>
      <c r="EHP1073" s="7"/>
      <c r="EHQ1073" s="7"/>
      <c r="EHR1073" s="7"/>
      <c r="EHS1073" s="7"/>
      <c r="EHT1073" s="7"/>
      <c r="EHU1073" s="7"/>
      <c r="EHV1073" s="7"/>
      <c r="EHW1073" s="7"/>
      <c r="EHX1073" s="7"/>
      <c r="EHY1073" s="7"/>
      <c r="EHZ1073" s="7"/>
      <c r="EIA1073" s="7"/>
      <c r="EIB1073" s="7"/>
      <c r="EIC1073" s="7"/>
      <c r="EID1073" s="7"/>
      <c r="EIE1073" s="7"/>
      <c r="EIF1073" s="7"/>
      <c r="EIG1073" s="7"/>
      <c r="EIH1073" s="7"/>
      <c r="EII1073" s="7"/>
      <c r="EIJ1073" s="7"/>
      <c r="EIK1073" s="7"/>
      <c r="EIL1073" s="7"/>
      <c r="EIM1073" s="7"/>
      <c r="EIN1073" s="7"/>
      <c r="EIO1073" s="7"/>
      <c r="EIP1073" s="7"/>
      <c r="EIQ1073" s="7"/>
      <c r="EIR1073" s="7"/>
      <c r="EIS1073" s="7"/>
      <c r="EIT1073" s="7"/>
      <c r="EIU1073" s="7"/>
      <c r="EIV1073" s="7"/>
      <c r="EIW1073" s="7"/>
      <c r="EIX1073" s="7"/>
      <c r="EIY1073" s="7"/>
      <c r="EIZ1073" s="7"/>
      <c r="EJA1073" s="7"/>
      <c r="EJB1073" s="7"/>
      <c r="EJC1073" s="7"/>
      <c r="EJD1073" s="7"/>
      <c r="EJE1073" s="7"/>
      <c r="EJF1073" s="7"/>
      <c r="EJG1073" s="7"/>
      <c r="EJH1073" s="7"/>
      <c r="EJI1073" s="7"/>
      <c r="EJJ1073" s="7"/>
      <c r="EJK1073" s="7"/>
      <c r="EJL1073" s="7"/>
      <c r="EJM1073" s="7"/>
      <c r="EJN1073" s="7"/>
      <c r="EJO1073" s="7"/>
      <c r="EJP1073" s="7"/>
      <c r="EJQ1073" s="7"/>
      <c r="EJR1073" s="7"/>
      <c r="EJS1073" s="7"/>
      <c r="EJT1073" s="7"/>
      <c r="EJU1073" s="7"/>
      <c r="EJV1073" s="7"/>
      <c r="EJW1073" s="7"/>
      <c r="EJX1073" s="7"/>
      <c r="EJY1073" s="7"/>
      <c r="EJZ1073" s="7"/>
      <c r="EKA1073" s="7"/>
      <c r="EKB1073" s="7"/>
      <c r="EKC1073" s="7"/>
      <c r="EKD1073" s="7"/>
      <c r="EKE1073" s="7"/>
      <c r="EKF1073" s="7"/>
      <c r="EKG1073" s="7"/>
      <c r="EKH1073" s="7"/>
      <c r="EKI1073" s="7"/>
      <c r="EKJ1073" s="7"/>
      <c r="EKK1073" s="7"/>
      <c r="EKL1073" s="7"/>
      <c r="EKM1073" s="7"/>
      <c r="EKN1073" s="7"/>
      <c r="EKO1073" s="7"/>
      <c r="EKP1073" s="7"/>
      <c r="EKQ1073" s="7"/>
      <c r="EKR1073" s="7"/>
      <c r="EKS1073" s="7"/>
      <c r="EKT1073" s="7"/>
      <c r="EKU1073" s="7"/>
      <c r="EKV1073" s="7"/>
      <c r="EKW1073" s="7"/>
      <c r="EKX1073" s="7"/>
      <c r="EKY1073" s="7"/>
      <c r="EKZ1073" s="7"/>
      <c r="ELA1073" s="7"/>
      <c r="ELB1073" s="7"/>
      <c r="ELC1073" s="7"/>
      <c r="ELD1073" s="7"/>
      <c r="ELE1073" s="7"/>
      <c r="ELF1073" s="7"/>
      <c r="ELG1073" s="7"/>
      <c r="ELH1073" s="7"/>
      <c r="ELI1073" s="7"/>
      <c r="ELJ1073" s="7"/>
      <c r="ELK1073" s="7"/>
      <c r="ELL1073" s="7"/>
      <c r="ELM1073" s="7"/>
      <c r="ELN1073" s="7"/>
      <c r="ELO1073" s="7"/>
      <c r="ELP1073" s="7"/>
      <c r="ELQ1073" s="7"/>
      <c r="ELR1073" s="7"/>
      <c r="ELS1073" s="7"/>
      <c r="ELT1073" s="7"/>
      <c r="ELU1073" s="7"/>
      <c r="ELV1073" s="7"/>
      <c r="ELW1073" s="7"/>
      <c r="ELX1073" s="7"/>
      <c r="ELY1073" s="7"/>
      <c r="ELZ1073" s="7"/>
      <c r="EMA1073" s="7"/>
      <c r="EMB1073" s="7"/>
      <c r="EMC1073" s="7"/>
      <c r="EMD1073" s="7"/>
      <c r="EME1073" s="7"/>
      <c r="EMF1073" s="7"/>
      <c r="EMG1073" s="7"/>
      <c r="EMH1073" s="7"/>
      <c r="EMI1073" s="7"/>
      <c r="EMJ1073" s="7"/>
      <c r="EMK1073" s="7"/>
      <c r="EML1073" s="7"/>
      <c r="EMM1073" s="7"/>
      <c r="EMN1073" s="7"/>
      <c r="EMO1073" s="7"/>
      <c r="EMP1073" s="7"/>
      <c r="EMQ1073" s="7"/>
      <c r="EMR1073" s="7"/>
      <c r="EMS1073" s="7"/>
      <c r="EMT1073" s="7"/>
      <c r="EMU1073" s="7"/>
      <c r="EMV1073" s="7"/>
      <c r="EMW1073" s="7"/>
      <c r="EMX1073" s="7"/>
      <c r="EMY1073" s="7"/>
      <c r="EMZ1073" s="7"/>
      <c r="ENA1073" s="7"/>
      <c r="ENB1073" s="7"/>
      <c r="ENC1073" s="7"/>
      <c r="END1073" s="7"/>
      <c r="ENE1073" s="7"/>
      <c r="ENF1073" s="7"/>
      <c r="ENG1073" s="7"/>
      <c r="ENH1073" s="7"/>
      <c r="ENI1073" s="7"/>
      <c r="ENJ1073" s="7"/>
      <c r="ENK1073" s="7"/>
      <c r="ENL1073" s="7"/>
      <c r="ENM1073" s="7"/>
      <c r="ENN1073" s="7"/>
      <c r="ENO1073" s="7"/>
      <c r="ENP1073" s="7"/>
      <c r="ENQ1073" s="7"/>
      <c r="ENR1073" s="7"/>
      <c r="ENS1073" s="7"/>
      <c r="ENT1073" s="7"/>
      <c r="ENU1073" s="7"/>
      <c r="ENV1073" s="7"/>
      <c r="ENW1073" s="7"/>
      <c r="ENX1073" s="7"/>
      <c r="ENY1073" s="7"/>
      <c r="ENZ1073" s="7"/>
      <c r="EOA1073" s="7"/>
      <c r="EOB1073" s="7"/>
      <c r="EOC1073" s="7"/>
      <c r="EOD1073" s="7"/>
      <c r="EOE1073" s="7"/>
      <c r="EOF1073" s="7"/>
      <c r="EOG1073" s="7"/>
      <c r="EOH1073" s="7"/>
      <c r="EOI1073" s="7"/>
      <c r="EOJ1073" s="7"/>
      <c r="EOK1073" s="7"/>
      <c r="EOL1073" s="7"/>
      <c r="EOM1073" s="7"/>
      <c r="EON1073" s="7"/>
      <c r="EOO1073" s="7"/>
      <c r="EOP1073" s="7"/>
      <c r="EOQ1073" s="7"/>
      <c r="EOR1073" s="7"/>
      <c r="EOS1073" s="7"/>
      <c r="EOT1073" s="7"/>
      <c r="EOU1073" s="7"/>
      <c r="EOV1073" s="7"/>
      <c r="EOW1073" s="7"/>
      <c r="EOX1073" s="7"/>
      <c r="EOY1073" s="7"/>
      <c r="EOZ1073" s="7"/>
      <c r="EPA1073" s="7"/>
      <c r="EPB1073" s="7"/>
      <c r="EPC1073" s="7"/>
      <c r="EPD1073" s="7"/>
      <c r="EPE1073" s="7"/>
      <c r="EPF1073" s="7"/>
      <c r="EPG1073" s="7"/>
      <c r="EPH1073" s="7"/>
      <c r="EPI1073" s="7"/>
      <c r="EPJ1073" s="7"/>
      <c r="EPK1073" s="7"/>
      <c r="EPL1073" s="7"/>
      <c r="EPM1073" s="7"/>
      <c r="EPN1073" s="7"/>
      <c r="EPO1073" s="7"/>
      <c r="EPP1073" s="7"/>
      <c r="EPQ1073" s="7"/>
      <c r="EPR1073" s="7"/>
      <c r="EPS1073" s="7"/>
      <c r="EPT1073" s="7"/>
      <c r="EPU1073" s="7"/>
      <c r="EPV1073" s="7"/>
      <c r="EPW1073" s="7"/>
      <c r="EPX1073" s="7"/>
      <c r="EPY1073" s="7"/>
      <c r="EPZ1073" s="7"/>
      <c r="EQA1073" s="7"/>
      <c r="EQB1073" s="7"/>
      <c r="EQC1073" s="7"/>
      <c r="EQD1073" s="7"/>
      <c r="EQE1073" s="7"/>
      <c r="EQF1073" s="7"/>
      <c r="EQG1073" s="7"/>
      <c r="EQH1073" s="7"/>
      <c r="EQI1073" s="7"/>
      <c r="EQJ1073" s="7"/>
      <c r="EQK1073" s="7"/>
      <c r="EQL1073" s="7"/>
      <c r="EQM1073" s="7"/>
      <c r="EQN1073" s="7"/>
      <c r="EQO1073" s="7"/>
      <c r="EQP1073" s="7"/>
      <c r="EQQ1073" s="7"/>
      <c r="EQR1073" s="7"/>
      <c r="EQS1073" s="7"/>
      <c r="EQT1073" s="7"/>
      <c r="EQU1073" s="7"/>
      <c r="EQV1073" s="7"/>
      <c r="EQW1073" s="7"/>
      <c r="EQX1073" s="7"/>
      <c r="EQY1073" s="7"/>
      <c r="EQZ1073" s="7"/>
      <c r="ERA1073" s="7"/>
      <c r="ERB1073" s="7"/>
      <c r="ERC1073" s="7"/>
      <c r="ERD1073" s="7"/>
      <c r="ERE1073" s="7"/>
      <c r="ERF1073" s="7"/>
      <c r="ERG1073" s="7"/>
      <c r="ERH1073" s="7"/>
      <c r="ERI1073" s="7"/>
      <c r="ERJ1073" s="7"/>
      <c r="ERK1073" s="7"/>
      <c r="ERL1073" s="7"/>
      <c r="ERM1073" s="7"/>
      <c r="ERN1073" s="7"/>
      <c r="ERO1073" s="7"/>
      <c r="ERP1073" s="7"/>
      <c r="ERQ1073" s="7"/>
      <c r="ERR1073" s="7"/>
      <c r="ERS1073" s="7"/>
      <c r="ERT1073" s="7"/>
      <c r="ERU1073" s="7"/>
      <c r="ERV1073" s="7"/>
      <c r="ERW1073" s="7"/>
      <c r="ERX1073" s="7"/>
      <c r="ERY1073" s="7"/>
      <c r="ERZ1073" s="7"/>
      <c r="ESA1073" s="7"/>
      <c r="ESB1073" s="7"/>
      <c r="ESC1073" s="7"/>
      <c r="ESD1073" s="7"/>
      <c r="ESE1073" s="7"/>
      <c r="ESF1073" s="7"/>
      <c r="ESG1073" s="7"/>
      <c r="ESH1073" s="7"/>
      <c r="ESI1073" s="7"/>
      <c r="ESJ1073" s="7"/>
      <c r="ESK1073" s="7"/>
      <c r="ESL1073" s="7"/>
      <c r="ESM1073" s="7"/>
      <c r="ESN1073" s="7"/>
      <c r="ESO1073" s="7"/>
      <c r="ESP1073" s="7"/>
      <c r="ESQ1073" s="7"/>
      <c r="ESR1073" s="7"/>
      <c r="ESS1073" s="7"/>
      <c r="EST1073" s="7"/>
      <c r="ESU1073" s="7"/>
      <c r="ESV1073" s="7"/>
      <c r="ESW1073" s="7"/>
      <c r="ESX1073" s="7"/>
      <c r="ESY1073" s="7"/>
      <c r="ESZ1073" s="7"/>
      <c r="ETA1073" s="7"/>
      <c r="ETB1073" s="7"/>
      <c r="ETC1073" s="7"/>
      <c r="ETD1073" s="7"/>
      <c r="ETE1073" s="7"/>
      <c r="ETF1073" s="7"/>
      <c r="ETG1073" s="7"/>
      <c r="ETH1073" s="7"/>
      <c r="ETI1073" s="7"/>
      <c r="ETJ1073" s="7"/>
      <c r="ETK1073" s="7"/>
      <c r="ETL1073" s="7"/>
      <c r="ETM1073" s="7"/>
      <c r="ETN1073" s="7"/>
      <c r="ETO1073" s="7"/>
      <c r="ETP1073" s="7"/>
      <c r="ETQ1073" s="7"/>
      <c r="ETR1073" s="7"/>
      <c r="ETS1073" s="7"/>
      <c r="ETT1073" s="7"/>
      <c r="ETU1073" s="7"/>
      <c r="ETV1073" s="7"/>
      <c r="ETW1073" s="7"/>
      <c r="ETX1073" s="7"/>
      <c r="ETY1073" s="7"/>
      <c r="ETZ1073" s="7"/>
      <c r="EUA1073" s="7"/>
      <c r="EUB1073" s="7"/>
      <c r="EUC1073" s="7"/>
      <c r="EUD1073" s="7"/>
      <c r="EUE1073" s="7"/>
      <c r="EUF1073" s="7"/>
      <c r="EUG1073" s="7"/>
      <c r="EUH1073" s="7"/>
      <c r="EUI1073" s="7"/>
      <c r="EUJ1073" s="7"/>
      <c r="EUK1073" s="7"/>
      <c r="EUL1073" s="7"/>
      <c r="EUM1073" s="7"/>
      <c r="EUN1073" s="7"/>
      <c r="EUO1073" s="7"/>
      <c r="EUP1073" s="7"/>
      <c r="EUQ1073" s="7"/>
      <c r="EUR1073" s="7"/>
      <c r="EUS1073" s="7"/>
      <c r="EUT1073" s="7"/>
      <c r="EUU1073" s="7"/>
      <c r="EUV1073" s="7"/>
      <c r="EUW1073" s="7"/>
      <c r="EUX1073" s="7"/>
      <c r="EUY1073" s="7"/>
      <c r="EUZ1073" s="7"/>
      <c r="EVA1073" s="7"/>
      <c r="EVB1073" s="7"/>
      <c r="EVC1073" s="7"/>
      <c r="EVD1073" s="7"/>
      <c r="EVE1073" s="7"/>
      <c r="EVF1073" s="7"/>
      <c r="EVG1073" s="7"/>
      <c r="EVH1073" s="7"/>
      <c r="EVI1073" s="7"/>
      <c r="EVJ1073" s="7"/>
      <c r="EVK1073" s="7"/>
      <c r="EVL1073" s="7"/>
      <c r="EVM1073" s="7"/>
      <c r="EVN1073" s="7"/>
      <c r="EVO1073" s="7"/>
      <c r="EVP1073" s="7"/>
      <c r="EVQ1073" s="7"/>
      <c r="EVR1073" s="7"/>
      <c r="EVS1073" s="7"/>
      <c r="EVT1073" s="7"/>
      <c r="EVU1073" s="7"/>
      <c r="EVV1073" s="7"/>
      <c r="EVW1073" s="7"/>
      <c r="EVX1073" s="7"/>
      <c r="EVY1073" s="7"/>
      <c r="EVZ1073" s="7"/>
      <c r="EWA1073" s="7"/>
      <c r="EWB1073" s="7"/>
      <c r="EWC1073" s="7"/>
      <c r="EWD1073" s="7"/>
      <c r="EWE1073" s="7"/>
      <c r="EWF1073" s="7"/>
      <c r="EWG1073" s="7"/>
      <c r="EWH1073" s="7"/>
      <c r="EWI1073" s="7"/>
      <c r="EWJ1073" s="7"/>
      <c r="EWK1073" s="7"/>
      <c r="EWL1073" s="7"/>
      <c r="EWM1073" s="7"/>
      <c r="EWN1073" s="7"/>
      <c r="EWO1073" s="7"/>
      <c r="EWP1073" s="7"/>
      <c r="EWQ1073" s="7"/>
      <c r="EWR1073" s="7"/>
      <c r="EWS1073" s="7"/>
      <c r="EWT1073" s="7"/>
      <c r="EWU1073" s="7"/>
      <c r="EWV1073" s="7"/>
      <c r="EWW1073" s="7"/>
      <c r="EWX1073" s="7"/>
      <c r="EWY1073" s="7"/>
      <c r="EWZ1073" s="7"/>
      <c r="EXA1073" s="7"/>
      <c r="EXB1073" s="7"/>
      <c r="EXC1073" s="7"/>
      <c r="EXD1073" s="7"/>
      <c r="EXE1073" s="7"/>
      <c r="EXF1073" s="7"/>
      <c r="EXG1073" s="7"/>
      <c r="EXH1073" s="7"/>
      <c r="EXI1073" s="7"/>
      <c r="EXJ1073" s="7"/>
      <c r="EXK1073" s="7"/>
      <c r="EXL1073" s="7"/>
      <c r="EXM1073" s="7"/>
      <c r="EXN1073" s="7"/>
      <c r="EXO1073" s="7"/>
      <c r="EXP1073" s="7"/>
      <c r="EXQ1073" s="7"/>
      <c r="EXR1073" s="7"/>
      <c r="EXS1073" s="7"/>
      <c r="EXT1073" s="7"/>
      <c r="EXU1073" s="7"/>
      <c r="EXV1073" s="7"/>
      <c r="EXW1073" s="7"/>
      <c r="EXX1073" s="7"/>
      <c r="EXY1073" s="7"/>
      <c r="EXZ1073" s="7"/>
      <c r="EYA1073" s="7"/>
      <c r="EYB1073" s="7"/>
      <c r="EYC1073" s="7"/>
      <c r="EYD1073" s="7"/>
      <c r="EYE1073" s="7"/>
      <c r="EYF1073" s="7"/>
      <c r="EYG1073" s="7"/>
      <c r="EYH1073" s="7"/>
      <c r="EYI1073" s="7"/>
      <c r="EYJ1073" s="7"/>
      <c r="EYK1073" s="7"/>
      <c r="EYL1073" s="7"/>
      <c r="EYM1073" s="7"/>
      <c r="EYN1073" s="7"/>
      <c r="EYO1073" s="7"/>
      <c r="EYP1073" s="7"/>
      <c r="EYQ1073" s="7"/>
      <c r="EYR1073" s="7"/>
      <c r="EYS1073" s="7"/>
      <c r="EYT1073" s="7"/>
      <c r="EYU1073" s="7"/>
      <c r="EYV1073" s="7"/>
      <c r="EYW1073" s="7"/>
      <c r="EYX1073" s="7"/>
      <c r="EYY1073" s="7"/>
      <c r="EYZ1073" s="7"/>
      <c r="EZA1073" s="7"/>
      <c r="EZB1073" s="7"/>
      <c r="EZC1073" s="7"/>
      <c r="EZD1073" s="7"/>
      <c r="EZE1073" s="7"/>
      <c r="EZF1073" s="7"/>
      <c r="EZG1073" s="7"/>
      <c r="EZH1073" s="7"/>
      <c r="EZI1073" s="7"/>
      <c r="EZJ1073" s="7"/>
      <c r="EZK1073" s="7"/>
      <c r="EZL1073" s="7"/>
      <c r="EZM1073" s="7"/>
      <c r="EZN1073" s="7"/>
      <c r="EZO1073" s="7"/>
      <c r="EZP1073" s="7"/>
      <c r="EZQ1073" s="7"/>
      <c r="EZR1073" s="7"/>
      <c r="EZS1073" s="7"/>
      <c r="EZT1073" s="7"/>
      <c r="EZU1073" s="7"/>
      <c r="EZV1073" s="7"/>
      <c r="EZW1073" s="7"/>
      <c r="EZX1073" s="7"/>
      <c r="EZY1073" s="7"/>
      <c r="EZZ1073" s="7"/>
      <c r="FAA1073" s="7"/>
      <c r="FAB1073" s="7"/>
      <c r="FAC1073" s="7"/>
      <c r="FAD1073" s="7"/>
      <c r="FAE1073" s="7"/>
      <c r="FAF1073" s="7"/>
      <c r="FAG1073" s="7"/>
      <c r="FAH1073" s="7"/>
      <c r="FAI1073" s="7"/>
      <c r="FAJ1073" s="7"/>
      <c r="FAK1073" s="7"/>
      <c r="FAL1073" s="7"/>
      <c r="FAM1073" s="7"/>
      <c r="FAN1073" s="7"/>
      <c r="FAO1073" s="7"/>
      <c r="FAP1073" s="7"/>
      <c r="FAQ1073" s="7"/>
      <c r="FAR1073" s="7"/>
      <c r="FAS1073" s="7"/>
      <c r="FAT1073" s="7"/>
      <c r="FAU1073" s="7"/>
      <c r="FAV1073" s="7"/>
      <c r="FAW1073" s="7"/>
      <c r="FAX1073" s="7"/>
      <c r="FAY1073" s="7"/>
      <c r="FAZ1073" s="7"/>
      <c r="FBA1073" s="7"/>
      <c r="FBB1073" s="7"/>
      <c r="FBC1073" s="7"/>
      <c r="FBD1073" s="7"/>
      <c r="FBE1073" s="7"/>
      <c r="FBF1073" s="7"/>
      <c r="FBG1073" s="7"/>
      <c r="FBH1073" s="7"/>
      <c r="FBI1073" s="7"/>
      <c r="FBJ1073" s="7"/>
      <c r="FBK1073" s="7"/>
      <c r="FBL1073" s="7"/>
      <c r="FBM1073" s="7"/>
      <c r="FBN1073" s="7"/>
      <c r="FBO1073" s="7"/>
      <c r="FBP1073" s="7"/>
      <c r="FBQ1073" s="7"/>
      <c r="FBR1073" s="7"/>
      <c r="FBS1073" s="7"/>
      <c r="FBT1073" s="7"/>
      <c r="FBU1073" s="7"/>
      <c r="FBV1073" s="7"/>
      <c r="FBW1073" s="7"/>
      <c r="FBX1073" s="7"/>
      <c r="FBY1073" s="7"/>
      <c r="FBZ1073" s="7"/>
      <c r="FCA1073" s="7"/>
      <c r="FCB1073" s="7"/>
      <c r="FCC1073" s="7"/>
      <c r="FCD1073" s="7"/>
      <c r="FCE1073" s="7"/>
      <c r="FCF1073" s="7"/>
      <c r="FCG1073" s="7"/>
      <c r="FCH1073" s="7"/>
      <c r="FCI1073" s="7"/>
      <c r="FCJ1073" s="7"/>
      <c r="FCK1073" s="7"/>
      <c r="FCL1073" s="7"/>
      <c r="FCM1073" s="7"/>
      <c r="FCN1073" s="7"/>
      <c r="FCO1073" s="7"/>
      <c r="FCP1073" s="7"/>
      <c r="FCQ1073" s="7"/>
      <c r="FCR1073" s="7"/>
      <c r="FCS1073" s="7"/>
      <c r="FCT1073" s="7"/>
      <c r="FCU1073" s="7"/>
      <c r="FCV1073" s="7"/>
      <c r="FCW1073" s="7"/>
      <c r="FCX1073" s="7"/>
      <c r="FCY1073" s="7"/>
      <c r="FCZ1073" s="7"/>
      <c r="FDA1073" s="7"/>
      <c r="FDB1073" s="7"/>
      <c r="FDC1073" s="7"/>
      <c r="FDD1073" s="7"/>
      <c r="FDE1073" s="7"/>
      <c r="FDF1073" s="7"/>
      <c r="FDG1073" s="7"/>
      <c r="FDH1073" s="7"/>
      <c r="FDI1073" s="7"/>
      <c r="FDJ1073" s="7"/>
      <c r="FDK1073" s="7"/>
      <c r="FDL1073" s="7"/>
      <c r="FDM1073" s="7"/>
      <c r="FDN1073" s="7"/>
      <c r="FDO1073" s="7"/>
      <c r="FDP1073" s="7"/>
      <c r="FDQ1073" s="7"/>
      <c r="FDR1073" s="7"/>
      <c r="FDS1073" s="7"/>
      <c r="FDT1073" s="7"/>
      <c r="FDU1073" s="7"/>
      <c r="FDV1073" s="7"/>
      <c r="FDW1073" s="7"/>
      <c r="FDX1073" s="7"/>
      <c r="FDY1073" s="7"/>
      <c r="FDZ1073" s="7"/>
      <c r="FEA1073" s="7"/>
      <c r="FEB1073" s="7"/>
      <c r="FEC1073" s="7"/>
      <c r="FED1073" s="7"/>
      <c r="FEE1073" s="7"/>
      <c r="FEF1073" s="7"/>
      <c r="FEG1073" s="7"/>
      <c r="FEH1073" s="7"/>
      <c r="FEI1073" s="7"/>
      <c r="FEJ1073" s="7"/>
      <c r="FEK1073" s="7"/>
      <c r="FEL1073" s="7"/>
      <c r="FEM1073" s="7"/>
      <c r="FEN1073" s="7"/>
      <c r="FEO1073" s="7"/>
      <c r="FEP1073" s="7"/>
      <c r="FEQ1073" s="7"/>
      <c r="FER1073" s="7"/>
      <c r="FES1073" s="7"/>
      <c r="FET1073" s="7"/>
      <c r="FEU1073" s="7"/>
      <c r="FEV1073" s="7"/>
      <c r="FEW1073" s="7"/>
      <c r="FEX1073" s="7"/>
      <c r="FEY1073" s="7"/>
      <c r="FEZ1073" s="7"/>
      <c r="FFA1073" s="7"/>
      <c r="FFB1073" s="7"/>
      <c r="FFC1073" s="7"/>
      <c r="FFD1073" s="7"/>
      <c r="FFE1073" s="7"/>
      <c r="FFF1073" s="7"/>
      <c r="FFG1073" s="7"/>
      <c r="FFH1073" s="7"/>
      <c r="FFI1073" s="7"/>
      <c r="FFJ1073" s="7"/>
      <c r="FFK1073" s="7"/>
      <c r="FFL1073" s="7"/>
      <c r="FFM1073" s="7"/>
      <c r="FFN1073" s="7"/>
      <c r="FFO1073" s="7"/>
      <c r="FFP1073" s="7"/>
      <c r="FFQ1073" s="7"/>
      <c r="FFR1073" s="7"/>
      <c r="FFS1073" s="7"/>
      <c r="FFT1073" s="7"/>
      <c r="FFU1073" s="7"/>
      <c r="FFV1073" s="7"/>
      <c r="FFW1073" s="7"/>
      <c r="FFX1073" s="7"/>
      <c r="FFY1073" s="7"/>
      <c r="FFZ1073" s="7"/>
      <c r="FGA1073" s="7"/>
      <c r="FGB1073" s="7"/>
      <c r="FGC1073" s="7"/>
      <c r="FGD1073" s="7"/>
      <c r="FGE1073" s="7"/>
      <c r="FGF1073" s="7"/>
      <c r="FGG1073" s="7"/>
      <c r="FGH1073" s="7"/>
      <c r="FGI1073" s="7"/>
      <c r="FGJ1073" s="7"/>
      <c r="FGK1073" s="7"/>
      <c r="FGL1073" s="7"/>
      <c r="FGM1073" s="7"/>
      <c r="FGN1073" s="7"/>
      <c r="FGO1073" s="7"/>
      <c r="FGP1073" s="7"/>
      <c r="FGQ1073" s="7"/>
      <c r="FGR1073" s="7"/>
      <c r="FGS1073" s="7"/>
      <c r="FGT1073" s="7"/>
      <c r="FGU1073" s="7"/>
      <c r="FGV1073" s="7"/>
      <c r="FGW1073" s="7"/>
      <c r="FGX1073" s="7"/>
      <c r="FGY1073" s="7"/>
      <c r="FGZ1073" s="7"/>
      <c r="FHA1073" s="7"/>
      <c r="FHB1073" s="7"/>
      <c r="FHC1073" s="7"/>
      <c r="FHD1073" s="7"/>
      <c r="FHE1073" s="7"/>
      <c r="FHF1073" s="7"/>
      <c r="FHG1073" s="7"/>
      <c r="FHH1073" s="7"/>
      <c r="FHI1073" s="7"/>
      <c r="FHJ1073" s="7"/>
      <c r="FHK1073" s="7"/>
      <c r="FHL1073" s="7"/>
      <c r="FHM1073" s="7"/>
      <c r="FHN1073" s="7"/>
      <c r="FHO1073" s="7"/>
      <c r="FHP1073" s="7"/>
      <c r="FHQ1073" s="7"/>
      <c r="FHR1073" s="7"/>
      <c r="FHS1073" s="7"/>
      <c r="FHT1073" s="7"/>
      <c r="FHU1073" s="7"/>
      <c r="FHV1073" s="7"/>
      <c r="FHW1073" s="7"/>
      <c r="FHX1073" s="7"/>
      <c r="FHY1073" s="7"/>
      <c r="FHZ1073" s="7"/>
      <c r="FIA1073" s="7"/>
      <c r="FIB1073" s="7"/>
      <c r="FIC1073" s="7"/>
      <c r="FID1073" s="7"/>
      <c r="FIE1073" s="7"/>
      <c r="FIF1073" s="7"/>
      <c r="FIG1073" s="7"/>
      <c r="FIH1073" s="7"/>
      <c r="FII1073" s="7"/>
      <c r="FIJ1073" s="7"/>
      <c r="FIK1073" s="7"/>
      <c r="FIL1073" s="7"/>
      <c r="FIM1073" s="7"/>
      <c r="FIN1073" s="7"/>
      <c r="FIO1073" s="7"/>
      <c r="FIP1073" s="7"/>
      <c r="FIQ1073" s="7"/>
      <c r="FIR1073" s="7"/>
      <c r="FIS1073" s="7"/>
      <c r="FIT1073" s="7"/>
      <c r="FIU1073" s="7"/>
      <c r="FIV1073" s="7"/>
      <c r="FIW1073" s="7"/>
      <c r="FIX1073" s="7"/>
      <c r="FIY1073" s="7"/>
      <c r="FIZ1073" s="7"/>
      <c r="FJA1073" s="7"/>
      <c r="FJB1073" s="7"/>
      <c r="FJC1073" s="7"/>
      <c r="FJD1073" s="7"/>
      <c r="FJE1073" s="7"/>
      <c r="FJF1073" s="7"/>
      <c r="FJG1073" s="7"/>
      <c r="FJH1073" s="7"/>
      <c r="FJI1073" s="7"/>
      <c r="FJJ1073" s="7"/>
      <c r="FJK1073" s="7"/>
      <c r="FJL1073" s="7"/>
      <c r="FJM1073" s="7"/>
      <c r="FJN1073" s="7"/>
      <c r="FJO1073" s="7"/>
      <c r="FJP1073" s="7"/>
      <c r="FJQ1073" s="7"/>
      <c r="FJR1073" s="7"/>
      <c r="FJS1073" s="7"/>
      <c r="FJT1073" s="7"/>
      <c r="FJU1073" s="7"/>
      <c r="FJV1073" s="7"/>
      <c r="FJW1073" s="7"/>
      <c r="FJX1073" s="7"/>
      <c r="FJY1073" s="7"/>
      <c r="FJZ1073" s="7"/>
      <c r="FKA1073" s="7"/>
      <c r="FKB1073" s="7"/>
      <c r="FKC1073" s="7"/>
      <c r="FKD1073" s="7"/>
      <c r="FKE1073" s="7"/>
      <c r="FKF1073" s="7"/>
      <c r="FKG1073" s="7"/>
      <c r="FKH1073" s="7"/>
      <c r="FKI1073" s="7"/>
      <c r="FKJ1073" s="7"/>
      <c r="FKK1073" s="7"/>
      <c r="FKL1073" s="7"/>
      <c r="FKM1073" s="7"/>
      <c r="FKN1073" s="7"/>
      <c r="FKO1073" s="7"/>
      <c r="FKP1073" s="7"/>
      <c r="FKQ1073" s="7"/>
      <c r="FKR1073" s="7"/>
      <c r="FKS1073" s="7"/>
      <c r="FKT1073" s="7"/>
      <c r="FKU1073" s="7"/>
      <c r="FKV1073" s="7"/>
      <c r="FKW1073" s="7"/>
      <c r="FKX1073" s="7"/>
      <c r="FKY1073" s="7"/>
      <c r="FKZ1073" s="7"/>
      <c r="FLA1073" s="7"/>
      <c r="FLB1073" s="7"/>
      <c r="FLC1073" s="7"/>
      <c r="FLD1073" s="7"/>
      <c r="FLE1073" s="7"/>
      <c r="FLF1073" s="7"/>
      <c r="FLG1073" s="7"/>
      <c r="FLH1073" s="7"/>
      <c r="FLI1073" s="7"/>
      <c r="FLJ1073" s="7"/>
      <c r="FLK1073" s="7"/>
      <c r="FLL1073" s="7"/>
      <c r="FLM1073" s="7"/>
      <c r="FLN1073" s="7"/>
      <c r="FLO1073" s="7"/>
      <c r="FLP1073" s="7"/>
      <c r="FLQ1073" s="7"/>
      <c r="FLR1073" s="7"/>
      <c r="FLS1073" s="7"/>
      <c r="FLT1073" s="7"/>
      <c r="FLU1073" s="7"/>
      <c r="FLV1073" s="7"/>
      <c r="FLW1073" s="7"/>
      <c r="FLX1073" s="7"/>
      <c r="FLY1073" s="7"/>
      <c r="FLZ1073" s="7"/>
      <c r="FMA1073" s="7"/>
      <c r="FMB1073" s="7"/>
      <c r="FMC1073" s="7"/>
      <c r="FMD1073" s="7"/>
      <c r="FME1073" s="7"/>
      <c r="FMF1073" s="7"/>
      <c r="FMG1073" s="7"/>
      <c r="FMH1073" s="7"/>
      <c r="FMI1073" s="7"/>
      <c r="FMJ1073" s="7"/>
      <c r="FMK1073" s="7"/>
      <c r="FML1073" s="7"/>
      <c r="FMM1073" s="7"/>
      <c r="FMN1073" s="7"/>
      <c r="FMO1073" s="7"/>
      <c r="FMP1073" s="7"/>
      <c r="FMQ1073" s="7"/>
      <c r="FMR1073" s="7"/>
      <c r="FMS1073" s="7"/>
      <c r="FMT1073" s="7"/>
      <c r="FMU1073" s="7"/>
      <c r="FMV1073" s="7"/>
      <c r="FMW1073" s="7"/>
      <c r="FMX1073" s="7"/>
      <c r="FMY1073" s="7"/>
      <c r="FMZ1073" s="7"/>
      <c r="FNA1073" s="7"/>
      <c r="FNB1073" s="7"/>
      <c r="FNC1073" s="7"/>
      <c r="FND1073" s="7"/>
      <c r="FNE1073" s="7"/>
      <c r="FNF1073" s="7"/>
      <c r="FNG1073" s="7"/>
      <c r="FNH1073" s="7"/>
      <c r="FNI1073" s="7"/>
      <c r="FNJ1073" s="7"/>
      <c r="FNK1073" s="7"/>
      <c r="FNL1073" s="7"/>
      <c r="FNM1073" s="7"/>
      <c r="FNN1073" s="7"/>
      <c r="FNO1073" s="7"/>
      <c r="FNP1073" s="7"/>
      <c r="FNQ1073" s="7"/>
      <c r="FNR1073" s="7"/>
      <c r="FNS1073" s="7"/>
      <c r="FNT1073" s="7"/>
      <c r="FNU1073" s="7"/>
      <c r="FNV1073" s="7"/>
      <c r="FNW1073" s="7"/>
      <c r="FNX1073" s="7"/>
      <c r="FNY1073" s="7"/>
      <c r="FNZ1073" s="7"/>
      <c r="FOA1073" s="7"/>
      <c r="FOB1073" s="7"/>
      <c r="FOC1073" s="7"/>
      <c r="FOD1073" s="7"/>
      <c r="FOE1073" s="7"/>
      <c r="FOF1073" s="7"/>
      <c r="FOG1073" s="7"/>
      <c r="FOH1073" s="7"/>
      <c r="FOI1073" s="7"/>
      <c r="FOJ1073" s="7"/>
      <c r="FOK1073" s="7"/>
      <c r="FOL1073" s="7"/>
      <c r="FOM1073" s="7"/>
      <c r="FON1073" s="7"/>
      <c r="FOO1073" s="7"/>
      <c r="FOP1073" s="7"/>
      <c r="FOQ1073" s="7"/>
      <c r="FOR1073" s="7"/>
      <c r="FOS1073" s="7"/>
      <c r="FOT1073" s="7"/>
      <c r="FOU1073" s="7"/>
      <c r="FOV1073" s="7"/>
      <c r="FOW1073" s="7"/>
      <c r="FOX1073" s="7"/>
      <c r="FOY1073" s="7"/>
      <c r="FOZ1073" s="7"/>
      <c r="FPA1073" s="7"/>
      <c r="FPB1073" s="7"/>
      <c r="FPC1073" s="7"/>
      <c r="FPD1073" s="7"/>
      <c r="FPE1073" s="7"/>
      <c r="FPF1073" s="7"/>
      <c r="FPG1073" s="7"/>
      <c r="FPH1073" s="7"/>
      <c r="FPI1073" s="7"/>
      <c r="FPJ1073" s="7"/>
      <c r="FPK1073" s="7"/>
      <c r="FPL1073" s="7"/>
      <c r="FPM1073" s="7"/>
      <c r="FPN1073" s="7"/>
      <c r="FPO1073" s="7"/>
      <c r="FPP1073" s="7"/>
      <c r="FPQ1073" s="7"/>
      <c r="FPR1073" s="7"/>
      <c r="FPS1073" s="7"/>
      <c r="FPT1073" s="7"/>
      <c r="FPU1073" s="7"/>
      <c r="FPV1073" s="7"/>
      <c r="FPW1073" s="7"/>
      <c r="FPX1073" s="7"/>
      <c r="FPY1073" s="7"/>
      <c r="FPZ1073" s="7"/>
      <c r="FQA1073" s="7"/>
      <c r="FQB1073" s="7"/>
      <c r="FQC1073" s="7"/>
      <c r="FQD1073" s="7"/>
      <c r="FQE1073" s="7"/>
      <c r="FQF1073" s="7"/>
      <c r="FQG1073" s="7"/>
      <c r="FQH1073" s="7"/>
      <c r="FQI1073" s="7"/>
      <c r="FQJ1073" s="7"/>
      <c r="FQK1073" s="7"/>
      <c r="FQL1073" s="7"/>
      <c r="FQM1073" s="7"/>
      <c r="FQN1073" s="7"/>
      <c r="FQO1073" s="7"/>
      <c r="FQP1073" s="7"/>
      <c r="FQQ1073" s="7"/>
      <c r="FQR1073" s="7"/>
      <c r="FQS1073" s="7"/>
      <c r="FQT1073" s="7"/>
      <c r="FQU1073" s="7"/>
      <c r="FQV1073" s="7"/>
      <c r="FQW1073" s="7"/>
      <c r="FQX1073" s="7"/>
      <c r="FQY1073" s="7"/>
      <c r="FQZ1073" s="7"/>
      <c r="FRA1073" s="7"/>
      <c r="FRB1073" s="7"/>
      <c r="FRC1073" s="7"/>
      <c r="FRD1073" s="7"/>
      <c r="FRE1073" s="7"/>
      <c r="FRF1073" s="7"/>
      <c r="FRG1073" s="7"/>
      <c r="FRH1073" s="7"/>
      <c r="FRI1073" s="7"/>
      <c r="FRJ1073" s="7"/>
      <c r="FRK1073" s="7"/>
      <c r="FRL1073" s="7"/>
      <c r="FRM1073" s="7"/>
      <c r="FRN1073" s="7"/>
      <c r="FRO1073" s="7"/>
      <c r="FRP1073" s="7"/>
      <c r="FRQ1073" s="7"/>
      <c r="FRR1073" s="7"/>
      <c r="FRS1073" s="7"/>
      <c r="FRT1073" s="7"/>
      <c r="FRU1073" s="7"/>
      <c r="FRV1073" s="7"/>
      <c r="FRW1073" s="7"/>
      <c r="FRX1073" s="7"/>
      <c r="FRY1073" s="7"/>
      <c r="FRZ1073" s="7"/>
      <c r="FSA1073" s="7"/>
      <c r="FSB1073" s="7"/>
      <c r="FSC1073" s="7"/>
      <c r="FSD1073" s="7"/>
      <c r="FSE1073" s="7"/>
      <c r="FSF1073" s="7"/>
      <c r="FSG1073" s="7"/>
      <c r="FSH1073" s="7"/>
      <c r="FSI1073" s="7"/>
      <c r="FSJ1073" s="7"/>
      <c r="FSK1073" s="7"/>
      <c r="FSL1073" s="7"/>
      <c r="FSM1073" s="7"/>
      <c r="FSN1073" s="7"/>
      <c r="FSO1073" s="7"/>
      <c r="FSP1073" s="7"/>
      <c r="FSQ1073" s="7"/>
      <c r="FSR1073" s="7"/>
      <c r="FSS1073" s="7"/>
      <c r="FST1073" s="7"/>
      <c r="FSU1073" s="7"/>
      <c r="FSV1073" s="7"/>
      <c r="FSW1073" s="7"/>
      <c r="FSX1073" s="7"/>
      <c r="FSY1073" s="7"/>
      <c r="FSZ1073" s="7"/>
      <c r="FTA1073" s="7"/>
      <c r="FTB1073" s="7"/>
      <c r="FTC1073" s="7"/>
      <c r="FTD1073" s="7"/>
      <c r="FTE1073" s="7"/>
      <c r="FTF1073" s="7"/>
      <c r="FTG1073" s="7"/>
      <c r="FTH1073" s="7"/>
      <c r="FTI1073" s="7"/>
      <c r="FTJ1073" s="7"/>
      <c r="FTK1073" s="7"/>
      <c r="FTL1073" s="7"/>
      <c r="FTM1073" s="7"/>
      <c r="FTN1073" s="7"/>
      <c r="FTO1073" s="7"/>
      <c r="FTP1073" s="7"/>
      <c r="FTQ1073" s="7"/>
      <c r="FTR1073" s="7"/>
      <c r="FTS1073" s="7"/>
      <c r="FTT1073" s="7"/>
      <c r="FTU1073" s="7"/>
      <c r="FTV1073" s="7"/>
      <c r="FTW1073" s="7"/>
      <c r="FTX1073" s="7"/>
      <c r="FTY1073" s="7"/>
      <c r="FTZ1073" s="7"/>
      <c r="FUA1073" s="7"/>
      <c r="FUB1073" s="7"/>
      <c r="FUC1073" s="7"/>
      <c r="FUD1073" s="7"/>
      <c r="FUE1073" s="7"/>
      <c r="FUF1073" s="7"/>
      <c r="FUG1073" s="7"/>
      <c r="FUH1073" s="7"/>
      <c r="FUI1073" s="7"/>
      <c r="FUJ1073" s="7"/>
      <c r="FUK1073" s="7"/>
      <c r="FUL1073" s="7"/>
      <c r="FUM1073" s="7"/>
      <c r="FUN1073" s="7"/>
      <c r="FUO1073" s="7"/>
      <c r="FUP1073" s="7"/>
      <c r="FUQ1073" s="7"/>
      <c r="FUR1073" s="7"/>
      <c r="FUS1073" s="7"/>
      <c r="FUT1073" s="7"/>
      <c r="FUU1073" s="7"/>
      <c r="FUV1073" s="7"/>
      <c r="FUW1073" s="7"/>
      <c r="FUX1073" s="7"/>
      <c r="FUY1073" s="7"/>
      <c r="FUZ1073" s="7"/>
      <c r="FVA1073" s="7"/>
      <c r="FVB1073" s="7"/>
      <c r="FVC1073" s="7"/>
      <c r="FVD1073" s="7"/>
      <c r="FVE1073" s="7"/>
      <c r="FVF1073" s="7"/>
      <c r="FVG1073" s="7"/>
      <c r="FVH1073" s="7"/>
      <c r="FVI1073" s="7"/>
      <c r="FVJ1073" s="7"/>
      <c r="FVK1073" s="7"/>
      <c r="FVL1073" s="7"/>
      <c r="FVM1073" s="7"/>
      <c r="FVN1073" s="7"/>
      <c r="FVO1073" s="7"/>
      <c r="FVP1073" s="7"/>
      <c r="FVQ1073" s="7"/>
      <c r="FVR1073" s="7"/>
      <c r="FVS1073" s="7"/>
      <c r="FVT1073" s="7"/>
      <c r="FVU1073" s="7"/>
      <c r="FVV1073" s="7"/>
      <c r="FVW1073" s="7"/>
      <c r="FVX1073" s="7"/>
      <c r="FVY1073" s="7"/>
      <c r="FVZ1073" s="7"/>
      <c r="FWA1073" s="7"/>
      <c r="FWB1073" s="7"/>
      <c r="FWC1073" s="7"/>
      <c r="FWD1073" s="7"/>
      <c r="FWE1073" s="7"/>
      <c r="FWF1073" s="7"/>
      <c r="FWG1073" s="7"/>
      <c r="FWH1073" s="7"/>
      <c r="FWI1073" s="7"/>
      <c r="FWJ1073" s="7"/>
      <c r="FWK1073" s="7"/>
      <c r="FWL1073" s="7"/>
      <c r="FWM1073" s="7"/>
      <c r="FWN1073" s="7"/>
      <c r="FWO1073" s="7"/>
      <c r="FWP1073" s="7"/>
      <c r="FWQ1073" s="7"/>
      <c r="FWR1073" s="7"/>
      <c r="FWS1073" s="7"/>
      <c r="FWT1073" s="7"/>
      <c r="FWU1073" s="7"/>
      <c r="FWV1073" s="7"/>
      <c r="FWW1073" s="7"/>
      <c r="FWX1073" s="7"/>
      <c r="FWY1073" s="7"/>
      <c r="FWZ1073" s="7"/>
      <c r="FXA1073" s="7"/>
      <c r="FXB1073" s="7"/>
      <c r="FXC1073" s="7"/>
      <c r="FXD1073" s="7"/>
      <c r="FXE1073" s="7"/>
      <c r="FXF1073" s="7"/>
      <c r="FXG1073" s="7"/>
      <c r="FXH1073" s="7"/>
      <c r="FXI1073" s="7"/>
      <c r="FXJ1073" s="7"/>
      <c r="FXK1073" s="7"/>
      <c r="FXL1073" s="7"/>
      <c r="FXM1073" s="7"/>
      <c r="FXN1073" s="7"/>
      <c r="FXO1073" s="7"/>
      <c r="FXP1073" s="7"/>
      <c r="FXQ1073" s="7"/>
      <c r="FXR1073" s="7"/>
      <c r="FXS1073" s="7"/>
      <c r="FXT1073" s="7"/>
      <c r="FXU1073" s="7"/>
      <c r="FXV1073" s="7"/>
      <c r="FXW1073" s="7"/>
      <c r="FXX1073" s="7"/>
      <c r="FXY1073" s="7"/>
      <c r="FXZ1073" s="7"/>
      <c r="FYA1073" s="7"/>
      <c r="FYB1073" s="7"/>
      <c r="FYC1073" s="7"/>
      <c r="FYD1073" s="7"/>
      <c r="FYE1073" s="7"/>
      <c r="FYF1073" s="7"/>
      <c r="FYG1073" s="7"/>
      <c r="FYH1073" s="7"/>
      <c r="FYI1073" s="7"/>
      <c r="FYJ1073" s="7"/>
      <c r="FYK1073" s="7"/>
      <c r="FYL1073" s="7"/>
      <c r="FYM1073" s="7"/>
      <c r="FYN1073" s="7"/>
      <c r="FYO1073" s="7"/>
      <c r="FYP1073" s="7"/>
      <c r="FYQ1073" s="7"/>
      <c r="FYR1073" s="7"/>
      <c r="FYS1073" s="7"/>
      <c r="FYT1073" s="7"/>
      <c r="FYU1073" s="7"/>
      <c r="FYV1073" s="7"/>
      <c r="FYW1073" s="7"/>
      <c r="FYX1073" s="7"/>
      <c r="FYY1073" s="7"/>
      <c r="FYZ1073" s="7"/>
      <c r="FZA1073" s="7"/>
      <c r="FZB1073" s="7"/>
      <c r="FZC1073" s="7"/>
      <c r="FZD1073" s="7"/>
      <c r="FZE1073" s="7"/>
      <c r="FZF1073" s="7"/>
      <c r="FZG1073" s="7"/>
      <c r="FZH1073" s="7"/>
      <c r="FZI1073" s="7"/>
      <c r="FZJ1073" s="7"/>
      <c r="FZK1073" s="7"/>
      <c r="FZL1073" s="7"/>
      <c r="FZM1073" s="7"/>
      <c r="FZN1073" s="7"/>
      <c r="FZO1073" s="7"/>
      <c r="FZP1073" s="7"/>
      <c r="FZQ1073" s="7"/>
      <c r="FZR1073" s="7"/>
      <c r="FZS1073" s="7"/>
      <c r="FZT1073" s="7"/>
      <c r="FZU1073" s="7"/>
      <c r="FZV1073" s="7"/>
      <c r="FZW1073" s="7"/>
      <c r="FZX1073" s="7"/>
      <c r="FZY1073" s="7"/>
      <c r="FZZ1073" s="7"/>
      <c r="GAA1073" s="7"/>
      <c r="GAB1073" s="7"/>
      <c r="GAC1073" s="7"/>
      <c r="GAD1073" s="7"/>
      <c r="GAE1073" s="7"/>
      <c r="GAF1073" s="7"/>
      <c r="GAG1073" s="7"/>
      <c r="GAH1073" s="7"/>
      <c r="GAI1073" s="7"/>
      <c r="GAJ1073" s="7"/>
      <c r="GAK1073" s="7"/>
      <c r="GAL1073" s="7"/>
      <c r="GAM1073" s="7"/>
      <c r="GAN1073" s="7"/>
      <c r="GAO1073" s="7"/>
      <c r="GAP1073" s="7"/>
      <c r="GAQ1073" s="7"/>
      <c r="GAR1073" s="7"/>
      <c r="GAS1073" s="7"/>
      <c r="GAT1073" s="7"/>
      <c r="GAU1073" s="7"/>
      <c r="GAV1073" s="7"/>
      <c r="GAW1073" s="7"/>
      <c r="GAX1073" s="7"/>
      <c r="GAY1073" s="7"/>
      <c r="GAZ1073" s="7"/>
      <c r="GBA1073" s="7"/>
      <c r="GBB1073" s="7"/>
      <c r="GBC1073" s="7"/>
      <c r="GBD1073" s="7"/>
      <c r="GBE1073" s="7"/>
      <c r="GBF1073" s="7"/>
      <c r="GBG1073" s="7"/>
      <c r="GBH1073" s="7"/>
      <c r="GBI1073" s="7"/>
      <c r="GBJ1073" s="7"/>
      <c r="GBK1073" s="7"/>
      <c r="GBL1073" s="7"/>
      <c r="GBM1073" s="7"/>
      <c r="GBN1073" s="7"/>
      <c r="GBO1073" s="7"/>
      <c r="GBP1073" s="7"/>
      <c r="GBQ1073" s="7"/>
      <c r="GBR1073" s="7"/>
      <c r="GBS1073" s="7"/>
      <c r="GBT1073" s="7"/>
      <c r="GBU1073" s="7"/>
      <c r="GBV1073" s="7"/>
      <c r="GBW1073" s="7"/>
      <c r="GBX1073" s="7"/>
      <c r="GBY1073" s="7"/>
      <c r="GBZ1073" s="7"/>
      <c r="GCA1073" s="7"/>
      <c r="GCB1073" s="7"/>
      <c r="GCC1073" s="7"/>
      <c r="GCD1073" s="7"/>
      <c r="GCE1073" s="7"/>
      <c r="GCF1073" s="7"/>
      <c r="GCG1073" s="7"/>
      <c r="GCH1073" s="7"/>
      <c r="GCI1073" s="7"/>
      <c r="GCJ1073" s="7"/>
      <c r="GCK1073" s="7"/>
      <c r="GCL1073" s="7"/>
      <c r="GCM1073" s="7"/>
      <c r="GCN1073" s="7"/>
      <c r="GCO1073" s="7"/>
      <c r="GCP1073" s="7"/>
      <c r="GCQ1073" s="7"/>
      <c r="GCR1073" s="7"/>
      <c r="GCS1073" s="7"/>
      <c r="GCT1073" s="7"/>
      <c r="GCU1073" s="7"/>
      <c r="GCV1073" s="7"/>
      <c r="GCW1073" s="7"/>
      <c r="GCX1073" s="7"/>
      <c r="GCY1073" s="7"/>
      <c r="GCZ1073" s="7"/>
      <c r="GDA1073" s="7"/>
      <c r="GDB1073" s="7"/>
      <c r="GDC1073" s="7"/>
      <c r="GDD1073" s="7"/>
      <c r="GDE1073" s="7"/>
      <c r="GDF1073" s="7"/>
      <c r="GDG1073" s="7"/>
      <c r="GDH1073" s="7"/>
      <c r="GDI1073" s="7"/>
      <c r="GDJ1073" s="7"/>
      <c r="GDK1073" s="7"/>
      <c r="GDL1073" s="7"/>
      <c r="GDM1073" s="7"/>
      <c r="GDN1073" s="7"/>
      <c r="GDO1073" s="7"/>
      <c r="GDP1073" s="7"/>
      <c r="GDQ1073" s="7"/>
      <c r="GDR1073" s="7"/>
      <c r="GDS1073" s="7"/>
      <c r="GDT1073" s="7"/>
      <c r="GDU1073" s="7"/>
      <c r="GDV1073" s="7"/>
      <c r="GDW1073" s="7"/>
      <c r="GDX1073" s="7"/>
      <c r="GDY1073" s="7"/>
      <c r="GDZ1073" s="7"/>
      <c r="GEA1073" s="7"/>
      <c r="GEB1073" s="7"/>
      <c r="GEC1073" s="7"/>
      <c r="GED1073" s="7"/>
      <c r="GEE1073" s="7"/>
      <c r="GEF1073" s="7"/>
      <c r="GEG1073" s="7"/>
      <c r="GEH1073" s="7"/>
      <c r="GEI1073" s="7"/>
      <c r="GEJ1073" s="7"/>
      <c r="GEK1073" s="7"/>
      <c r="GEL1073" s="7"/>
      <c r="GEM1073" s="7"/>
      <c r="GEN1073" s="7"/>
      <c r="GEO1073" s="7"/>
      <c r="GEP1073" s="7"/>
      <c r="GEQ1073" s="7"/>
      <c r="GER1073" s="7"/>
      <c r="GES1073" s="7"/>
      <c r="GET1073" s="7"/>
      <c r="GEU1073" s="7"/>
      <c r="GEV1073" s="7"/>
      <c r="GEW1073" s="7"/>
      <c r="GEX1073" s="7"/>
      <c r="GEY1073" s="7"/>
      <c r="GEZ1073" s="7"/>
      <c r="GFA1073" s="7"/>
      <c r="GFB1073" s="7"/>
      <c r="GFC1073" s="7"/>
      <c r="GFD1073" s="7"/>
      <c r="GFE1073" s="7"/>
      <c r="GFF1073" s="7"/>
      <c r="GFG1073" s="7"/>
      <c r="GFH1073" s="7"/>
      <c r="GFI1073" s="7"/>
      <c r="GFJ1073" s="7"/>
      <c r="GFK1073" s="7"/>
      <c r="GFL1073" s="7"/>
      <c r="GFM1073" s="7"/>
      <c r="GFN1073" s="7"/>
      <c r="GFO1073" s="7"/>
      <c r="GFP1073" s="7"/>
      <c r="GFQ1073" s="7"/>
      <c r="GFR1073" s="7"/>
      <c r="GFS1073" s="7"/>
      <c r="GFT1073" s="7"/>
      <c r="GFU1073" s="7"/>
      <c r="GFV1073" s="7"/>
      <c r="GFW1073" s="7"/>
      <c r="GFX1073" s="7"/>
      <c r="GFY1073" s="7"/>
      <c r="GFZ1073" s="7"/>
      <c r="GGA1073" s="7"/>
      <c r="GGB1073" s="7"/>
      <c r="GGC1073" s="7"/>
      <c r="GGD1073" s="7"/>
      <c r="GGE1073" s="7"/>
      <c r="GGF1073" s="7"/>
      <c r="GGG1073" s="7"/>
      <c r="GGH1073" s="7"/>
      <c r="GGI1073" s="7"/>
      <c r="GGJ1073" s="7"/>
      <c r="GGK1073" s="7"/>
      <c r="GGL1073" s="7"/>
      <c r="GGM1073" s="7"/>
      <c r="GGN1073" s="7"/>
      <c r="GGO1073" s="7"/>
      <c r="GGP1073" s="7"/>
      <c r="GGQ1073" s="7"/>
      <c r="GGR1073" s="7"/>
      <c r="GGS1073" s="7"/>
      <c r="GGT1073" s="7"/>
      <c r="GGU1073" s="7"/>
      <c r="GGV1073" s="7"/>
      <c r="GGW1073" s="7"/>
      <c r="GGX1073" s="7"/>
      <c r="GGY1073" s="7"/>
      <c r="GGZ1073" s="7"/>
      <c r="GHA1073" s="7"/>
      <c r="GHB1073" s="7"/>
      <c r="GHC1073" s="7"/>
      <c r="GHD1073" s="7"/>
      <c r="GHE1073" s="7"/>
      <c r="GHF1073" s="7"/>
      <c r="GHG1073" s="7"/>
      <c r="GHH1073" s="7"/>
      <c r="GHI1073" s="7"/>
      <c r="GHJ1073" s="7"/>
      <c r="GHK1073" s="7"/>
      <c r="GHL1073" s="7"/>
      <c r="GHM1073" s="7"/>
      <c r="GHN1073" s="7"/>
      <c r="GHO1073" s="7"/>
      <c r="GHP1073" s="7"/>
      <c r="GHQ1073" s="7"/>
      <c r="GHR1073" s="7"/>
      <c r="GHS1073" s="7"/>
      <c r="GHT1073" s="7"/>
      <c r="GHU1073" s="7"/>
      <c r="GHV1073" s="7"/>
      <c r="GHW1073" s="7"/>
      <c r="GHX1073" s="7"/>
      <c r="GHY1073" s="7"/>
      <c r="GHZ1073" s="7"/>
      <c r="GIA1073" s="7"/>
      <c r="GIB1073" s="7"/>
      <c r="GIC1073" s="7"/>
      <c r="GID1073" s="7"/>
      <c r="GIE1073" s="7"/>
      <c r="GIF1073" s="7"/>
      <c r="GIG1073" s="7"/>
      <c r="GIH1073" s="7"/>
      <c r="GII1073" s="7"/>
      <c r="GIJ1073" s="7"/>
      <c r="GIK1073" s="7"/>
      <c r="GIL1073" s="7"/>
      <c r="GIM1073" s="7"/>
      <c r="GIN1073" s="7"/>
      <c r="GIO1073" s="7"/>
      <c r="GIP1073" s="7"/>
      <c r="GIQ1073" s="7"/>
      <c r="GIR1073" s="7"/>
      <c r="GIS1073" s="7"/>
      <c r="GIT1073" s="7"/>
      <c r="GIU1073" s="7"/>
      <c r="GIV1073" s="7"/>
      <c r="GIW1073" s="7"/>
      <c r="GIX1073" s="7"/>
      <c r="GIY1073" s="7"/>
      <c r="GIZ1073" s="7"/>
      <c r="GJA1073" s="7"/>
      <c r="GJB1073" s="7"/>
      <c r="GJC1073" s="7"/>
      <c r="GJD1073" s="7"/>
      <c r="GJE1073" s="7"/>
      <c r="GJF1073" s="7"/>
      <c r="GJG1073" s="7"/>
      <c r="GJH1073" s="7"/>
      <c r="GJI1073" s="7"/>
      <c r="GJJ1073" s="7"/>
      <c r="GJK1073" s="7"/>
      <c r="GJL1073" s="7"/>
      <c r="GJM1073" s="7"/>
      <c r="GJN1073" s="7"/>
      <c r="GJO1073" s="7"/>
      <c r="GJP1073" s="7"/>
      <c r="GJQ1073" s="7"/>
      <c r="GJR1073" s="7"/>
      <c r="GJS1073" s="7"/>
      <c r="GJT1073" s="7"/>
      <c r="GJU1073" s="7"/>
      <c r="GJV1073" s="7"/>
      <c r="GJW1073" s="7"/>
      <c r="GJX1073" s="7"/>
      <c r="GJY1073" s="7"/>
      <c r="GJZ1073" s="7"/>
      <c r="GKA1073" s="7"/>
      <c r="GKB1073" s="7"/>
      <c r="GKC1073" s="7"/>
      <c r="GKD1073" s="7"/>
      <c r="GKE1073" s="7"/>
      <c r="GKF1073" s="7"/>
      <c r="GKG1073" s="7"/>
      <c r="GKH1073" s="7"/>
      <c r="GKI1073" s="7"/>
      <c r="GKJ1073" s="7"/>
      <c r="GKK1073" s="7"/>
      <c r="GKL1073" s="7"/>
      <c r="GKM1073" s="7"/>
      <c r="GKN1073" s="7"/>
      <c r="GKO1073" s="7"/>
      <c r="GKP1073" s="7"/>
      <c r="GKQ1073" s="7"/>
      <c r="GKR1073" s="7"/>
      <c r="GKS1073" s="7"/>
      <c r="GKT1073" s="7"/>
      <c r="GKU1073" s="7"/>
      <c r="GKV1073" s="7"/>
      <c r="GKW1073" s="7"/>
      <c r="GKX1073" s="7"/>
      <c r="GKY1073" s="7"/>
      <c r="GKZ1073" s="7"/>
      <c r="GLA1073" s="7"/>
      <c r="GLB1073" s="7"/>
      <c r="GLC1073" s="7"/>
      <c r="GLD1073" s="7"/>
      <c r="GLE1073" s="7"/>
      <c r="GLF1073" s="7"/>
      <c r="GLG1073" s="7"/>
      <c r="GLH1073" s="7"/>
      <c r="GLI1073" s="7"/>
      <c r="GLJ1073" s="7"/>
      <c r="GLK1073" s="7"/>
      <c r="GLL1073" s="7"/>
      <c r="GLM1073" s="7"/>
      <c r="GLN1073" s="7"/>
      <c r="GLO1073" s="7"/>
      <c r="GLP1073" s="7"/>
      <c r="GLQ1073" s="7"/>
      <c r="GLR1073" s="7"/>
      <c r="GLS1073" s="7"/>
      <c r="GLT1073" s="7"/>
      <c r="GLU1073" s="7"/>
      <c r="GLV1073" s="7"/>
      <c r="GLW1073" s="7"/>
      <c r="GLX1073" s="7"/>
      <c r="GLY1073" s="7"/>
      <c r="GLZ1073" s="7"/>
      <c r="GMA1073" s="7"/>
      <c r="GMB1073" s="7"/>
      <c r="GMC1073" s="7"/>
      <c r="GMD1073" s="7"/>
      <c r="GME1073" s="7"/>
      <c r="GMF1073" s="7"/>
      <c r="GMG1073" s="7"/>
      <c r="GMH1073" s="7"/>
      <c r="GMI1073" s="7"/>
      <c r="GMJ1073" s="7"/>
      <c r="GMK1073" s="7"/>
      <c r="GML1073" s="7"/>
      <c r="GMM1073" s="7"/>
      <c r="GMN1073" s="7"/>
      <c r="GMO1073" s="7"/>
      <c r="GMP1073" s="7"/>
      <c r="GMQ1073" s="7"/>
      <c r="GMR1073" s="7"/>
      <c r="GMS1073" s="7"/>
      <c r="GMT1073" s="7"/>
      <c r="GMU1073" s="7"/>
      <c r="GMV1073" s="7"/>
      <c r="GMW1073" s="7"/>
      <c r="GMX1073" s="7"/>
      <c r="GMY1073" s="7"/>
      <c r="GMZ1073" s="7"/>
      <c r="GNA1073" s="7"/>
      <c r="GNB1073" s="7"/>
      <c r="GNC1073" s="7"/>
      <c r="GND1073" s="7"/>
      <c r="GNE1073" s="7"/>
      <c r="GNF1073" s="7"/>
      <c r="GNG1073" s="7"/>
      <c r="GNH1073" s="7"/>
      <c r="GNI1073" s="7"/>
      <c r="GNJ1073" s="7"/>
      <c r="GNK1073" s="7"/>
      <c r="GNL1073" s="7"/>
      <c r="GNM1073" s="7"/>
      <c r="GNN1073" s="7"/>
      <c r="GNO1073" s="7"/>
      <c r="GNP1073" s="7"/>
      <c r="GNQ1073" s="7"/>
      <c r="GNR1073" s="7"/>
      <c r="GNS1073" s="7"/>
      <c r="GNT1073" s="7"/>
      <c r="GNU1073" s="7"/>
      <c r="GNV1073" s="7"/>
      <c r="GNW1073" s="7"/>
      <c r="GNX1073" s="7"/>
      <c r="GNY1073" s="7"/>
      <c r="GNZ1073" s="7"/>
      <c r="GOA1073" s="7"/>
      <c r="GOB1073" s="7"/>
      <c r="GOC1073" s="7"/>
      <c r="GOD1073" s="7"/>
      <c r="GOE1073" s="7"/>
      <c r="GOF1073" s="7"/>
      <c r="GOG1073" s="7"/>
      <c r="GOH1073" s="7"/>
      <c r="GOI1073" s="7"/>
      <c r="GOJ1073" s="7"/>
      <c r="GOK1073" s="7"/>
      <c r="GOL1073" s="7"/>
      <c r="GOM1073" s="7"/>
      <c r="GON1073" s="7"/>
      <c r="GOO1073" s="7"/>
      <c r="GOP1073" s="7"/>
      <c r="GOQ1073" s="7"/>
      <c r="GOR1073" s="7"/>
      <c r="GOS1073" s="7"/>
      <c r="GOT1073" s="7"/>
      <c r="GOU1073" s="7"/>
      <c r="GOV1073" s="7"/>
      <c r="GOW1073" s="7"/>
      <c r="GOX1073" s="7"/>
      <c r="GOY1073" s="7"/>
      <c r="GOZ1073" s="7"/>
      <c r="GPA1073" s="7"/>
      <c r="GPB1073" s="7"/>
      <c r="GPC1073" s="7"/>
      <c r="GPD1073" s="7"/>
      <c r="GPE1073" s="7"/>
      <c r="GPF1073" s="7"/>
      <c r="GPG1073" s="7"/>
      <c r="GPH1073" s="7"/>
      <c r="GPI1073" s="7"/>
      <c r="GPJ1073" s="7"/>
      <c r="GPK1073" s="7"/>
      <c r="GPL1073" s="7"/>
      <c r="GPM1073" s="7"/>
      <c r="GPN1073" s="7"/>
      <c r="GPO1073" s="7"/>
      <c r="GPP1073" s="7"/>
      <c r="GPQ1073" s="7"/>
      <c r="GPR1073" s="7"/>
      <c r="GPS1073" s="7"/>
      <c r="GPT1073" s="7"/>
      <c r="GPU1073" s="7"/>
      <c r="GPV1073" s="7"/>
      <c r="GPW1073" s="7"/>
      <c r="GPX1073" s="7"/>
      <c r="GPY1073" s="7"/>
      <c r="GPZ1073" s="7"/>
      <c r="GQA1073" s="7"/>
      <c r="GQB1073" s="7"/>
      <c r="GQC1073" s="7"/>
      <c r="GQD1073" s="7"/>
      <c r="GQE1073" s="7"/>
      <c r="GQF1073" s="7"/>
      <c r="GQG1073" s="7"/>
      <c r="GQH1073" s="7"/>
      <c r="GQI1073" s="7"/>
      <c r="GQJ1073" s="7"/>
      <c r="GQK1073" s="7"/>
      <c r="GQL1073" s="7"/>
      <c r="GQM1073" s="7"/>
      <c r="GQN1073" s="7"/>
      <c r="GQO1073" s="7"/>
      <c r="GQP1073" s="7"/>
      <c r="GQQ1073" s="7"/>
      <c r="GQR1073" s="7"/>
      <c r="GQS1073" s="7"/>
      <c r="GQT1073" s="7"/>
      <c r="GQU1073" s="7"/>
      <c r="GQV1073" s="7"/>
      <c r="GQW1073" s="7"/>
      <c r="GQX1073" s="7"/>
      <c r="GQY1073" s="7"/>
      <c r="GQZ1073" s="7"/>
      <c r="GRA1073" s="7"/>
      <c r="GRB1073" s="7"/>
      <c r="GRC1073" s="7"/>
      <c r="GRD1073" s="7"/>
      <c r="GRE1073" s="7"/>
      <c r="GRF1073" s="7"/>
      <c r="GRG1073" s="7"/>
      <c r="GRH1073" s="7"/>
      <c r="GRI1073" s="7"/>
      <c r="GRJ1073" s="7"/>
      <c r="GRK1073" s="7"/>
      <c r="GRL1073" s="7"/>
      <c r="GRM1073" s="7"/>
      <c r="GRN1073" s="7"/>
      <c r="GRO1073" s="7"/>
      <c r="GRP1073" s="7"/>
      <c r="GRQ1073" s="7"/>
      <c r="GRR1073" s="7"/>
      <c r="GRS1073" s="7"/>
      <c r="GRT1073" s="7"/>
      <c r="GRU1073" s="7"/>
      <c r="GRV1073" s="7"/>
      <c r="GRW1073" s="7"/>
      <c r="GRX1073" s="7"/>
      <c r="GRY1073" s="7"/>
      <c r="GRZ1073" s="7"/>
      <c r="GSA1073" s="7"/>
      <c r="GSB1073" s="7"/>
      <c r="GSC1073" s="7"/>
      <c r="GSD1073" s="7"/>
      <c r="GSE1073" s="7"/>
      <c r="GSF1073" s="7"/>
      <c r="GSG1073" s="7"/>
      <c r="GSH1073" s="7"/>
      <c r="GSI1073" s="7"/>
      <c r="GSJ1073" s="7"/>
      <c r="GSK1073" s="7"/>
      <c r="GSL1073" s="7"/>
      <c r="GSM1073" s="7"/>
      <c r="GSN1073" s="7"/>
      <c r="GSO1073" s="7"/>
      <c r="GSP1073" s="7"/>
      <c r="GSQ1073" s="7"/>
      <c r="GSR1073" s="7"/>
      <c r="GSS1073" s="7"/>
      <c r="GST1073" s="7"/>
      <c r="GSU1073" s="7"/>
      <c r="GSV1073" s="7"/>
      <c r="GSW1073" s="7"/>
      <c r="GSX1073" s="7"/>
      <c r="GSY1073" s="7"/>
      <c r="GSZ1073" s="7"/>
      <c r="GTA1073" s="7"/>
      <c r="GTB1073" s="7"/>
      <c r="GTC1073" s="7"/>
      <c r="GTD1073" s="7"/>
      <c r="GTE1073" s="7"/>
      <c r="GTF1073" s="7"/>
      <c r="GTG1073" s="7"/>
      <c r="GTH1073" s="7"/>
      <c r="GTI1073" s="7"/>
      <c r="GTJ1073" s="7"/>
      <c r="GTK1073" s="7"/>
      <c r="GTL1073" s="7"/>
      <c r="GTM1073" s="7"/>
      <c r="GTN1073" s="7"/>
      <c r="GTO1073" s="7"/>
      <c r="GTP1073" s="7"/>
      <c r="GTQ1073" s="7"/>
      <c r="GTR1073" s="7"/>
      <c r="GTS1073" s="7"/>
      <c r="GTT1073" s="7"/>
      <c r="GTU1073" s="7"/>
      <c r="GTV1073" s="7"/>
      <c r="GTW1073" s="7"/>
      <c r="GTX1073" s="7"/>
      <c r="GTY1073" s="7"/>
      <c r="GTZ1073" s="7"/>
      <c r="GUA1073" s="7"/>
      <c r="GUB1073" s="7"/>
      <c r="GUC1073" s="7"/>
      <c r="GUD1073" s="7"/>
      <c r="GUE1073" s="7"/>
      <c r="GUF1073" s="7"/>
      <c r="GUG1073" s="7"/>
      <c r="GUH1073" s="7"/>
      <c r="GUI1073" s="7"/>
      <c r="GUJ1073" s="7"/>
      <c r="GUK1073" s="7"/>
      <c r="GUL1073" s="7"/>
      <c r="GUM1073" s="7"/>
      <c r="GUN1073" s="7"/>
      <c r="GUO1073" s="7"/>
      <c r="GUP1073" s="7"/>
      <c r="GUQ1073" s="7"/>
      <c r="GUR1073" s="7"/>
      <c r="GUS1073" s="7"/>
      <c r="GUT1073" s="7"/>
      <c r="GUU1073" s="7"/>
      <c r="GUV1073" s="7"/>
      <c r="GUW1073" s="7"/>
      <c r="GUX1073" s="7"/>
      <c r="GUY1073" s="7"/>
      <c r="GUZ1073" s="7"/>
      <c r="GVA1073" s="7"/>
      <c r="GVB1073" s="7"/>
      <c r="GVC1073" s="7"/>
      <c r="GVD1073" s="7"/>
      <c r="GVE1073" s="7"/>
      <c r="GVF1073" s="7"/>
      <c r="GVG1073" s="7"/>
      <c r="GVH1073" s="7"/>
      <c r="GVI1073" s="7"/>
      <c r="GVJ1073" s="7"/>
      <c r="GVK1073" s="7"/>
      <c r="GVL1073" s="7"/>
      <c r="GVM1073" s="7"/>
      <c r="GVN1073" s="7"/>
      <c r="GVO1073" s="7"/>
      <c r="GVP1073" s="7"/>
      <c r="GVQ1073" s="7"/>
      <c r="GVR1073" s="7"/>
      <c r="GVS1073" s="7"/>
      <c r="GVT1073" s="7"/>
      <c r="GVU1073" s="7"/>
      <c r="GVV1073" s="7"/>
      <c r="GVW1073" s="7"/>
      <c r="GVX1073" s="7"/>
      <c r="GVY1073" s="7"/>
      <c r="GVZ1073" s="7"/>
      <c r="GWA1073" s="7"/>
      <c r="GWB1073" s="7"/>
      <c r="GWC1073" s="7"/>
      <c r="GWD1073" s="7"/>
      <c r="GWE1073" s="7"/>
      <c r="GWF1073" s="7"/>
      <c r="GWG1073" s="7"/>
      <c r="GWH1073" s="7"/>
      <c r="GWI1073" s="7"/>
      <c r="GWJ1073" s="7"/>
      <c r="GWK1073" s="7"/>
      <c r="GWL1073" s="7"/>
      <c r="GWM1073" s="7"/>
      <c r="GWN1073" s="7"/>
      <c r="GWO1073" s="7"/>
      <c r="GWP1073" s="7"/>
      <c r="GWQ1073" s="7"/>
      <c r="GWR1073" s="7"/>
      <c r="GWS1073" s="7"/>
      <c r="GWT1073" s="7"/>
      <c r="GWU1073" s="7"/>
      <c r="GWV1073" s="7"/>
      <c r="GWW1073" s="7"/>
      <c r="GWX1073" s="7"/>
      <c r="GWY1073" s="7"/>
      <c r="GWZ1073" s="7"/>
      <c r="GXA1073" s="7"/>
      <c r="GXB1073" s="7"/>
      <c r="GXC1073" s="7"/>
      <c r="GXD1073" s="7"/>
      <c r="GXE1073" s="7"/>
      <c r="GXF1073" s="7"/>
      <c r="GXG1073" s="7"/>
      <c r="GXH1073" s="7"/>
      <c r="GXI1073" s="7"/>
      <c r="GXJ1073" s="7"/>
      <c r="GXK1073" s="7"/>
      <c r="GXL1073" s="7"/>
      <c r="GXM1073" s="7"/>
      <c r="GXN1073" s="7"/>
      <c r="GXO1073" s="7"/>
      <c r="GXP1073" s="7"/>
      <c r="GXQ1073" s="7"/>
      <c r="GXR1073" s="7"/>
      <c r="GXS1073" s="7"/>
      <c r="GXT1073" s="7"/>
      <c r="GXU1073" s="7"/>
      <c r="GXV1073" s="7"/>
      <c r="GXW1073" s="7"/>
      <c r="GXX1073" s="7"/>
      <c r="GXY1073" s="7"/>
      <c r="GXZ1073" s="7"/>
      <c r="GYA1073" s="7"/>
      <c r="GYB1073" s="7"/>
      <c r="GYC1073" s="7"/>
      <c r="GYD1073" s="7"/>
      <c r="GYE1073" s="7"/>
      <c r="GYF1073" s="7"/>
      <c r="GYG1073" s="7"/>
      <c r="GYH1073" s="7"/>
      <c r="GYI1073" s="7"/>
      <c r="GYJ1073" s="7"/>
      <c r="GYK1073" s="7"/>
      <c r="GYL1073" s="7"/>
      <c r="GYM1073" s="7"/>
      <c r="GYN1073" s="7"/>
      <c r="GYO1073" s="7"/>
      <c r="GYP1073" s="7"/>
      <c r="GYQ1073" s="7"/>
      <c r="GYR1073" s="7"/>
      <c r="GYS1073" s="7"/>
      <c r="GYT1073" s="7"/>
      <c r="GYU1073" s="7"/>
      <c r="GYV1073" s="7"/>
      <c r="GYW1073" s="7"/>
      <c r="GYX1073" s="7"/>
      <c r="GYY1073" s="7"/>
      <c r="GYZ1073" s="7"/>
      <c r="GZA1073" s="7"/>
      <c r="GZB1073" s="7"/>
      <c r="GZC1073" s="7"/>
      <c r="GZD1073" s="7"/>
      <c r="GZE1073" s="7"/>
      <c r="GZF1073" s="7"/>
      <c r="GZG1073" s="7"/>
      <c r="GZH1073" s="7"/>
      <c r="GZI1073" s="7"/>
      <c r="GZJ1073" s="7"/>
      <c r="GZK1073" s="7"/>
      <c r="GZL1073" s="7"/>
      <c r="GZM1073" s="7"/>
      <c r="GZN1073" s="7"/>
      <c r="GZO1073" s="7"/>
      <c r="GZP1073" s="7"/>
      <c r="GZQ1073" s="7"/>
      <c r="GZR1073" s="7"/>
      <c r="GZS1073" s="7"/>
      <c r="GZT1073" s="7"/>
      <c r="GZU1073" s="7"/>
      <c r="GZV1073" s="7"/>
      <c r="GZW1073" s="7"/>
      <c r="GZX1073" s="7"/>
      <c r="GZY1073" s="7"/>
      <c r="GZZ1073" s="7"/>
      <c r="HAA1073" s="7"/>
      <c r="HAB1073" s="7"/>
      <c r="HAC1073" s="7"/>
      <c r="HAD1073" s="7"/>
      <c r="HAE1073" s="7"/>
      <c r="HAF1073" s="7"/>
      <c r="HAG1073" s="7"/>
      <c r="HAH1073" s="7"/>
      <c r="HAI1073" s="7"/>
      <c r="HAJ1073" s="7"/>
      <c r="HAK1073" s="7"/>
      <c r="HAL1073" s="7"/>
      <c r="HAM1073" s="7"/>
      <c r="HAN1073" s="7"/>
      <c r="HAO1073" s="7"/>
      <c r="HAP1073" s="7"/>
      <c r="HAQ1073" s="7"/>
      <c r="HAR1073" s="7"/>
      <c r="HAS1073" s="7"/>
      <c r="HAT1073" s="7"/>
      <c r="HAU1073" s="7"/>
      <c r="HAV1073" s="7"/>
      <c r="HAW1073" s="7"/>
      <c r="HAX1073" s="7"/>
      <c r="HAY1073" s="7"/>
      <c r="HAZ1073" s="7"/>
      <c r="HBA1073" s="7"/>
      <c r="HBB1073" s="7"/>
      <c r="HBC1073" s="7"/>
      <c r="HBD1073" s="7"/>
      <c r="HBE1073" s="7"/>
      <c r="HBF1073" s="7"/>
      <c r="HBG1073" s="7"/>
      <c r="HBH1073" s="7"/>
      <c r="HBI1073" s="7"/>
      <c r="HBJ1073" s="7"/>
      <c r="HBK1073" s="7"/>
      <c r="HBL1073" s="7"/>
      <c r="HBM1073" s="7"/>
      <c r="HBN1073" s="7"/>
      <c r="HBO1073" s="7"/>
      <c r="HBP1073" s="7"/>
      <c r="HBQ1073" s="7"/>
      <c r="HBR1073" s="7"/>
      <c r="HBS1073" s="7"/>
      <c r="HBT1073" s="7"/>
      <c r="HBU1073" s="7"/>
      <c r="HBV1073" s="7"/>
      <c r="HBW1073" s="7"/>
      <c r="HBX1073" s="7"/>
      <c r="HBY1073" s="7"/>
      <c r="HBZ1073" s="7"/>
      <c r="HCA1073" s="7"/>
      <c r="HCB1073" s="7"/>
      <c r="HCC1073" s="7"/>
      <c r="HCD1073" s="7"/>
      <c r="HCE1073" s="7"/>
      <c r="HCF1073" s="7"/>
      <c r="HCG1073" s="7"/>
      <c r="HCH1073" s="7"/>
      <c r="HCI1073" s="7"/>
      <c r="HCJ1073" s="7"/>
      <c r="HCK1073" s="7"/>
      <c r="HCL1073" s="7"/>
      <c r="HCM1073" s="7"/>
      <c r="HCN1073" s="7"/>
      <c r="HCO1073" s="7"/>
      <c r="HCP1073" s="7"/>
      <c r="HCQ1073" s="7"/>
      <c r="HCR1073" s="7"/>
      <c r="HCS1073" s="7"/>
      <c r="HCT1073" s="7"/>
      <c r="HCU1073" s="7"/>
      <c r="HCV1073" s="7"/>
      <c r="HCW1073" s="7"/>
      <c r="HCX1073" s="7"/>
      <c r="HCY1073" s="7"/>
      <c r="HCZ1073" s="7"/>
      <c r="HDA1073" s="7"/>
      <c r="HDB1073" s="7"/>
      <c r="HDC1073" s="7"/>
      <c r="HDD1073" s="7"/>
      <c r="HDE1073" s="7"/>
      <c r="HDF1073" s="7"/>
      <c r="HDG1073" s="7"/>
      <c r="HDH1073" s="7"/>
      <c r="HDI1073" s="7"/>
      <c r="HDJ1073" s="7"/>
      <c r="HDK1073" s="7"/>
      <c r="HDL1073" s="7"/>
      <c r="HDM1073" s="7"/>
      <c r="HDN1073" s="7"/>
      <c r="HDO1073" s="7"/>
      <c r="HDP1073" s="7"/>
      <c r="HDQ1073" s="7"/>
      <c r="HDR1073" s="7"/>
      <c r="HDS1073" s="7"/>
      <c r="HDT1073" s="7"/>
      <c r="HDU1073" s="7"/>
      <c r="HDV1073" s="7"/>
      <c r="HDW1073" s="7"/>
      <c r="HDX1073" s="7"/>
      <c r="HDY1073" s="7"/>
      <c r="HDZ1073" s="7"/>
      <c r="HEA1073" s="7"/>
      <c r="HEB1073" s="7"/>
      <c r="HEC1073" s="7"/>
      <c r="HED1073" s="7"/>
      <c r="HEE1073" s="7"/>
      <c r="HEF1073" s="7"/>
      <c r="HEG1073" s="7"/>
      <c r="HEH1073" s="7"/>
      <c r="HEI1073" s="7"/>
      <c r="HEJ1073" s="7"/>
      <c r="HEK1073" s="7"/>
      <c r="HEL1073" s="7"/>
      <c r="HEM1073" s="7"/>
      <c r="HEN1073" s="7"/>
      <c r="HEO1073" s="7"/>
      <c r="HEP1073" s="7"/>
      <c r="HEQ1073" s="7"/>
      <c r="HER1073" s="7"/>
      <c r="HES1073" s="7"/>
      <c r="HET1073" s="7"/>
      <c r="HEU1073" s="7"/>
      <c r="HEV1073" s="7"/>
      <c r="HEW1073" s="7"/>
      <c r="HEX1073" s="7"/>
      <c r="HEY1073" s="7"/>
      <c r="HEZ1073" s="7"/>
      <c r="HFA1073" s="7"/>
      <c r="HFB1073" s="7"/>
      <c r="HFC1073" s="7"/>
      <c r="HFD1073" s="7"/>
      <c r="HFE1073" s="7"/>
      <c r="HFF1073" s="7"/>
      <c r="HFG1073" s="7"/>
      <c r="HFH1073" s="7"/>
      <c r="HFI1073" s="7"/>
      <c r="HFJ1073" s="7"/>
      <c r="HFK1073" s="7"/>
      <c r="HFL1073" s="7"/>
      <c r="HFM1073" s="7"/>
      <c r="HFN1073" s="7"/>
      <c r="HFO1073" s="7"/>
      <c r="HFP1073" s="7"/>
      <c r="HFQ1073" s="7"/>
      <c r="HFR1073" s="7"/>
      <c r="HFS1073" s="7"/>
      <c r="HFT1073" s="7"/>
      <c r="HFU1073" s="7"/>
      <c r="HFV1073" s="7"/>
      <c r="HFW1073" s="7"/>
      <c r="HFX1073" s="7"/>
      <c r="HFY1073" s="7"/>
      <c r="HFZ1073" s="7"/>
      <c r="HGA1073" s="7"/>
      <c r="HGB1073" s="7"/>
      <c r="HGC1073" s="7"/>
      <c r="HGD1073" s="7"/>
      <c r="HGE1073" s="7"/>
      <c r="HGF1073" s="7"/>
      <c r="HGG1073" s="7"/>
      <c r="HGH1073" s="7"/>
      <c r="HGI1073" s="7"/>
      <c r="HGJ1073" s="7"/>
      <c r="HGK1073" s="7"/>
      <c r="HGL1073" s="7"/>
      <c r="HGM1073" s="7"/>
      <c r="HGN1073" s="7"/>
      <c r="HGO1073" s="7"/>
      <c r="HGP1073" s="7"/>
      <c r="HGQ1073" s="7"/>
      <c r="HGR1073" s="7"/>
      <c r="HGS1073" s="7"/>
      <c r="HGT1073" s="7"/>
      <c r="HGU1073" s="7"/>
      <c r="HGV1073" s="7"/>
      <c r="HGW1073" s="7"/>
      <c r="HGX1073" s="7"/>
      <c r="HGY1073" s="7"/>
      <c r="HGZ1073" s="7"/>
      <c r="HHA1073" s="7"/>
      <c r="HHB1073" s="7"/>
      <c r="HHC1073" s="7"/>
      <c r="HHD1073" s="7"/>
      <c r="HHE1073" s="7"/>
      <c r="HHF1073" s="7"/>
      <c r="HHG1073" s="7"/>
      <c r="HHH1073" s="7"/>
      <c r="HHI1073" s="7"/>
      <c r="HHJ1073" s="7"/>
      <c r="HHK1073" s="7"/>
      <c r="HHL1073" s="7"/>
      <c r="HHM1073" s="7"/>
      <c r="HHN1073" s="7"/>
      <c r="HHO1073" s="7"/>
      <c r="HHP1073" s="7"/>
      <c r="HHQ1073" s="7"/>
      <c r="HHR1073" s="7"/>
      <c r="HHS1073" s="7"/>
      <c r="HHT1073" s="7"/>
      <c r="HHU1073" s="7"/>
      <c r="HHV1073" s="7"/>
      <c r="HHW1073" s="7"/>
      <c r="HHX1073" s="7"/>
      <c r="HHY1073" s="7"/>
      <c r="HHZ1073" s="7"/>
      <c r="HIA1073" s="7"/>
      <c r="HIB1073" s="7"/>
      <c r="HIC1073" s="7"/>
      <c r="HID1073" s="7"/>
      <c r="HIE1073" s="7"/>
      <c r="HIF1073" s="7"/>
      <c r="HIG1073" s="7"/>
      <c r="HIH1073" s="7"/>
      <c r="HII1073" s="7"/>
      <c r="HIJ1073" s="7"/>
      <c r="HIK1073" s="7"/>
      <c r="HIL1073" s="7"/>
      <c r="HIM1073" s="7"/>
      <c r="HIN1073" s="7"/>
      <c r="HIO1073" s="7"/>
      <c r="HIP1073" s="7"/>
      <c r="HIQ1073" s="7"/>
      <c r="HIR1073" s="7"/>
      <c r="HIS1073" s="7"/>
      <c r="HIT1073" s="7"/>
      <c r="HIU1073" s="7"/>
      <c r="HIV1073" s="7"/>
      <c r="HIW1073" s="7"/>
      <c r="HIX1073" s="7"/>
      <c r="HIY1073" s="7"/>
      <c r="HIZ1073" s="7"/>
      <c r="HJA1073" s="7"/>
      <c r="HJB1073" s="7"/>
      <c r="HJC1073" s="7"/>
      <c r="HJD1073" s="7"/>
      <c r="HJE1073" s="7"/>
      <c r="HJF1073" s="7"/>
      <c r="HJG1073" s="7"/>
      <c r="HJH1073" s="7"/>
      <c r="HJI1073" s="7"/>
      <c r="HJJ1073" s="7"/>
      <c r="HJK1073" s="7"/>
      <c r="HJL1073" s="7"/>
      <c r="HJM1073" s="7"/>
      <c r="HJN1073" s="7"/>
      <c r="HJO1073" s="7"/>
      <c r="HJP1073" s="7"/>
      <c r="HJQ1073" s="7"/>
      <c r="HJR1073" s="7"/>
      <c r="HJS1073" s="7"/>
      <c r="HJT1073" s="7"/>
      <c r="HJU1073" s="7"/>
      <c r="HJV1073" s="7"/>
      <c r="HJW1073" s="7"/>
      <c r="HJX1073" s="7"/>
      <c r="HJY1073" s="7"/>
      <c r="HJZ1073" s="7"/>
      <c r="HKA1073" s="7"/>
      <c r="HKB1073" s="7"/>
      <c r="HKC1073" s="7"/>
      <c r="HKD1073" s="7"/>
      <c r="HKE1073" s="7"/>
      <c r="HKF1073" s="7"/>
      <c r="HKG1073" s="7"/>
      <c r="HKH1073" s="7"/>
      <c r="HKI1073" s="7"/>
      <c r="HKJ1073" s="7"/>
      <c r="HKK1073" s="7"/>
      <c r="HKL1073" s="7"/>
      <c r="HKM1073" s="7"/>
      <c r="HKN1073" s="7"/>
      <c r="HKO1073" s="7"/>
      <c r="HKP1073" s="7"/>
      <c r="HKQ1073" s="7"/>
      <c r="HKR1073" s="7"/>
      <c r="HKS1073" s="7"/>
      <c r="HKT1073" s="7"/>
      <c r="HKU1073" s="7"/>
      <c r="HKV1073" s="7"/>
      <c r="HKW1073" s="7"/>
      <c r="HKX1073" s="7"/>
      <c r="HKY1073" s="7"/>
      <c r="HKZ1073" s="7"/>
      <c r="HLA1073" s="7"/>
      <c r="HLB1073" s="7"/>
      <c r="HLC1073" s="7"/>
      <c r="HLD1073" s="7"/>
      <c r="HLE1073" s="7"/>
      <c r="HLF1073" s="7"/>
      <c r="HLG1073" s="7"/>
      <c r="HLH1073" s="7"/>
      <c r="HLI1073" s="7"/>
      <c r="HLJ1073" s="7"/>
      <c r="HLK1073" s="7"/>
      <c r="HLL1073" s="7"/>
      <c r="HLM1073" s="7"/>
      <c r="HLN1073" s="7"/>
      <c r="HLO1073" s="7"/>
      <c r="HLP1073" s="7"/>
      <c r="HLQ1073" s="7"/>
      <c r="HLR1073" s="7"/>
      <c r="HLS1073" s="7"/>
      <c r="HLT1073" s="7"/>
      <c r="HLU1073" s="7"/>
      <c r="HLV1073" s="7"/>
      <c r="HLW1073" s="7"/>
      <c r="HLX1073" s="7"/>
      <c r="HLY1073" s="7"/>
      <c r="HLZ1073" s="7"/>
      <c r="HMA1073" s="7"/>
      <c r="HMB1073" s="7"/>
      <c r="HMC1073" s="7"/>
      <c r="HMD1073" s="7"/>
      <c r="HME1073" s="7"/>
      <c r="HMF1073" s="7"/>
      <c r="HMG1073" s="7"/>
      <c r="HMH1073" s="7"/>
      <c r="HMI1073" s="7"/>
      <c r="HMJ1073" s="7"/>
      <c r="HMK1073" s="7"/>
      <c r="HML1073" s="7"/>
      <c r="HMM1073" s="7"/>
      <c r="HMN1073" s="7"/>
      <c r="HMO1073" s="7"/>
      <c r="HMP1073" s="7"/>
      <c r="HMQ1073" s="7"/>
      <c r="HMR1073" s="7"/>
      <c r="HMS1073" s="7"/>
      <c r="HMT1073" s="7"/>
      <c r="HMU1073" s="7"/>
      <c r="HMV1073" s="7"/>
      <c r="HMW1073" s="7"/>
      <c r="HMX1073" s="7"/>
      <c r="HMY1073" s="7"/>
      <c r="HMZ1073" s="7"/>
      <c r="HNA1073" s="7"/>
      <c r="HNB1073" s="7"/>
      <c r="HNC1073" s="7"/>
      <c r="HND1073" s="7"/>
      <c r="HNE1073" s="7"/>
      <c r="HNF1073" s="7"/>
      <c r="HNG1073" s="7"/>
      <c r="HNH1073" s="7"/>
      <c r="HNI1073" s="7"/>
      <c r="HNJ1073" s="7"/>
      <c r="HNK1073" s="7"/>
      <c r="HNL1073" s="7"/>
      <c r="HNM1073" s="7"/>
      <c r="HNN1073" s="7"/>
      <c r="HNO1073" s="7"/>
      <c r="HNP1073" s="7"/>
      <c r="HNQ1073" s="7"/>
      <c r="HNR1073" s="7"/>
      <c r="HNS1073" s="7"/>
      <c r="HNT1073" s="7"/>
      <c r="HNU1073" s="7"/>
      <c r="HNV1073" s="7"/>
      <c r="HNW1073" s="7"/>
      <c r="HNX1073" s="7"/>
      <c r="HNY1073" s="7"/>
      <c r="HNZ1073" s="7"/>
      <c r="HOA1073" s="7"/>
      <c r="HOB1073" s="7"/>
      <c r="HOC1073" s="7"/>
      <c r="HOD1073" s="7"/>
      <c r="HOE1073" s="7"/>
      <c r="HOF1073" s="7"/>
      <c r="HOG1073" s="7"/>
      <c r="HOH1073" s="7"/>
      <c r="HOI1073" s="7"/>
      <c r="HOJ1073" s="7"/>
      <c r="HOK1073" s="7"/>
      <c r="HOL1073" s="7"/>
      <c r="HOM1073" s="7"/>
      <c r="HON1073" s="7"/>
      <c r="HOO1073" s="7"/>
      <c r="HOP1073" s="7"/>
      <c r="HOQ1073" s="7"/>
      <c r="HOR1073" s="7"/>
      <c r="HOS1073" s="7"/>
      <c r="HOT1073" s="7"/>
      <c r="HOU1073" s="7"/>
      <c r="HOV1073" s="7"/>
      <c r="HOW1073" s="7"/>
      <c r="HOX1073" s="7"/>
      <c r="HOY1073" s="7"/>
      <c r="HOZ1073" s="7"/>
      <c r="HPA1073" s="7"/>
      <c r="HPB1073" s="7"/>
      <c r="HPC1073" s="7"/>
      <c r="HPD1073" s="7"/>
      <c r="HPE1073" s="7"/>
      <c r="HPF1073" s="7"/>
      <c r="HPG1073" s="7"/>
      <c r="HPH1073" s="7"/>
      <c r="HPI1073" s="7"/>
      <c r="HPJ1073" s="7"/>
      <c r="HPK1073" s="7"/>
      <c r="HPL1073" s="7"/>
      <c r="HPM1073" s="7"/>
      <c r="HPN1073" s="7"/>
      <c r="HPO1073" s="7"/>
      <c r="HPP1073" s="7"/>
      <c r="HPQ1073" s="7"/>
      <c r="HPR1073" s="7"/>
      <c r="HPS1073" s="7"/>
      <c r="HPT1073" s="7"/>
      <c r="HPU1073" s="7"/>
      <c r="HPV1073" s="7"/>
      <c r="HPW1073" s="7"/>
      <c r="HPX1073" s="7"/>
      <c r="HPY1073" s="7"/>
      <c r="HPZ1073" s="7"/>
      <c r="HQA1073" s="7"/>
      <c r="HQB1073" s="7"/>
      <c r="HQC1073" s="7"/>
      <c r="HQD1073" s="7"/>
      <c r="HQE1073" s="7"/>
      <c r="HQF1073" s="7"/>
      <c r="HQG1073" s="7"/>
      <c r="HQH1073" s="7"/>
      <c r="HQI1073" s="7"/>
      <c r="HQJ1073" s="7"/>
      <c r="HQK1073" s="7"/>
      <c r="HQL1073" s="7"/>
      <c r="HQM1073" s="7"/>
      <c r="HQN1073" s="7"/>
      <c r="HQO1073" s="7"/>
      <c r="HQP1073" s="7"/>
      <c r="HQQ1073" s="7"/>
      <c r="HQR1073" s="7"/>
      <c r="HQS1073" s="7"/>
      <c r="HQT1073" s="7"/>
      <c r="HQU1073" s="7"/>
      <c r="HQV1073" s="7"/>
      <c r="HQW1073" s="7"/>
      <c r="HQX1073" s="7"/>
      <c r="HQY1073" s="7"/>
      <c r="HQZ1073" s="7"/>
      <c r="HRA1073" s="7"/>
      <c r="HRB1073" s="7"/>
      <c r="HRC1073" s="7"/>
      <c r="HRD1073" s="7"/>
      <c r="HRE1073" s="7"/>
      <c r="HRF1073" s="7"/>
      <c r="HRG1073" s="7"/>
      <c r="HRH1073" s="7"/>
      <c r="HRI1073" s="7"/>
      <c r="HRJ1073" s="7"/>
      <c r="HRK1073" s="7"/>
      <c r="HRL1073" s="7"/>
      <c r="HRM1073" s="7"/>
      <c r="HRN1073" s="7"/>
      <c r="HRO1073" s="7"/>
      <c r="HRP1073" s="7"/>
      <c r="HRQ1073" s="7"/>
      <c r="HRR1073" s="7"/>
      <c r="HRS1073" s="7"/>
      <c r="HRT1073" s="7"/>
      <c r="HRU1073" s="7"/>
      <c r="HRV1073" s="7"/>
      <c r="HRW1073" s="7"/>
      <c r="HRX1073" s="7"/>
      <c r="HRY1073" s="7"/>
      <c r="HRZ1073" s="7"/>
      <c r="HSA1073" s="7"/>
      <c r="HSB1073" s="7"/>
      <c r="HSC1073" s="7"/>
      <c r="HSD1073" s="7"/>
      <c r="HSE1073" s="7"/>
      <c r="HSF1073" s="7"/>
      <c r="HSG1073" s="7"/>
      <c r="HSH1073" s="7"/>
      <c r="HSI1073" s="7"/>
      <c r="HSJ1073" s="7"/>
      <c r="HSK1073" s="7"/>
      <c r="HSL1073" s="7"/>
      <c r="HSM1073" s="7"/>
      <c r="HSN1073" s="7"/>
      <c r="HSO1073" s="7"/>
      <c r="HSP1073" s="7"/>
      <c r="HSQ1073" s="7"/>
      <c r="HSR1073" s="7"/>
      <c r="HSS1073" s="7"/>
      <c r="HST1073" s="7"/>
      <c r="HSU1073" s="7"/>
      <c r="HSV1073" s="7"/>
      <c r="HSW1073" s="7"/>
      <c r="HSX1073" s="7"/>
      <c r="HSY1073" s="7"/>
      <c r="HSZ1073" s="7"/>
      <c r="HTA1073" s="7"/>
      <c r="HTB1073" s="7"/>
      <c r="HTC1073" s="7"/>
      <c r="HTD1073" s="7"/>
      <c r="HTE1073" s="7"/>
      <c r="HTF1073" s="7"/>
      <c r="HTG1073" s="7"/>
      <c r="HTH1073" s="7"/>
      <c r="HTI1073" s="7"/>
      <c r="HTJ1073" s="7"/>
      <c r="HTK1073" s="7"/>
      <c r="HTL1073" s="7"/>
      <c r="HTM1073" s="7"/>
      <c r="HTN1073" s="7"/>
      <c r="HTO1073" s="7"/>
      <c r="HTP1073" s="7"/>
      <c r="HTQ1073" s="7"/>
      <c r="HTR1073" s="7"/>
      <c r="HTS1073" s="7"/>
      <c r="HTT1073" s="7"/>
      <c r="HTU1073" s="7"/>
      <c r="HTV1073" s="7"/>
      <c r="HTW1073" s="7"/>
      <c r="HTX1073" s="7"/>
      <c r="HTY1073" s="7"/>
      <c r="HTZ1073" s="7"/>
      <c r="HUA1073" s="7"/>
      <c r="HUB1073" s="7"/>
      <c r="HUC1073" s="7"/>
      <c r="HUD1073" s="7"/>
      <c r="HUE1073" s="7"/>
      <c r="HUF1073" s="7"/>
      <c r="HUG1073" s="7"/>
      <c r="HUH1073" s="7"/>
      <c r="HUI1073" s="7"/>
      <c r="HUJ1073" s="7"/>
      <c r="HUK1073" s="7"/>
      <c r="HUL1073" s="7"/>
      <c r="HUM1073" s="7"/>
      <c r="HUN1073" s="7"/>
      <c r="HUO1073" s="7"/>
      <c r="HUP1073" s="7"/>
      <c r="HUQ1073" s="7"/>
      <c r="HUR1073" s="7"/>
      <c r="HUS1073" s="7"/>
      <c r="HUT1073" s="7"/>
      <c r="HUU1073" s="7"/>
      <c r="HUV1073" s="7"/>
      <c r="HUW1073" s="7"/>
      <c r="HUX1073" s="7"/>
      <c r="HUY1073" s="7"/>
      <c r="HUZ1073" s="7"/>
      <c r="HVA1073" s="7"/>
      <c r="HVB1073" s="7"/>
      <c r="HVC1073" s="7"/>
      <c r="HVD1073" s="7"/>
      <c r="HVE1073" s="7"/>
      <c r="HVF1073" s="7"/>
      <c r="HVG1073" s="7"/>
      <c r="HVH1073" s="7"/>
      <c r="HVI1073" s="7"/>
      <c r="HVJ1073" s="7"/>
      <c r="HVK1073" s="7"/>
      <c r="HVL1073" s="7"/>
      <c r="HVM1073" s="7"/>
      <c r="HVN1073" s="7"/>
      <c r="HVO1073" s="7"/>
      <c r="HVP1073" s="7"/>
      <c r="HVQ1073" s="7"/>
      <c r="HVR1073" s="7"/>
      <c r="HVS1073" s="7"/>
      <c r="HVT1073" s="7"/>
      <c r="HVU1073" s="7"/>
      <c r="HVV1073" s="7"/>
      <c r="HVW1073" s="7"/>
      <c r="HVX1073" s="7"/>
      <c r="HVY1073" s="7"/>
      <c r="HVZ1073" s="7"/>
      <c r="HWA1073" s="7"/>
      <c r="HWB1073" s="7"/>
      <c r="HWC1073" s="7"/>
      <c r="HWD1073" s="7"/>
      <c r="HWE1073" s="7"/>
      <c r="HWF1073" s="7"/>
      <c r="HWG1073" s="7"/>
      <c r="HWH1073" s="7"/>
      <c r="HWI1073" s="7"/>
      <c r="HWJ1073" s="7"/>
      <c r="HWK1073" s="7"/>
      <c r="HWL1073" s="7"/>
      <c r="HWM1073" s="7"/>
      <c r="HWN1073" s="7"/>
      <c r="HWO1073" s="7"/>
      <c r="HWP1073" s="7"/>
      <c r="HWQ1073" s="7"/>
      <c r="HWR1073" s="7"/>
      <c r="HWS1073" s="7"/>
      <c r="HWT1073" s="7"/>
      <c r="HWU1073" s="7"/>
      <c r="HWV1073" s="7"/>
      <c r="HWW1073" s="7"/>
      <c r="HWX1073" s="7"/>
      <c r="HWY1073" s="7"/>
      <c r="HWZ1073" s="7"/>
      <c r="HXA1073" s="7"/>
      <c r="HXB1073" s="7"/>
      <c r="HXC1073" s="7"/>
      <c r="HXD1073" s="7"/>
      <c r="HXE1073" s="7"/>
      <c r="HXF1073" s="7"/>
      <c r="HXG1073" s="7"/>
      <c r="HXH1073" s="7"/>
      <c r="HXI1073" s="7"/>
      <c r="HXJ1073" s="7"/>
      <c r="HXK1073" s="7"/>
      <c r="HXL1073" s="7"/>
      <c r="HXM1073" s="7"/>
      <c r="HXN1073" s="7"/>
      <c r="HXO1073" s="7"/>
      <c r="HXP1073" s="7"/>
      <c r="HXQ1073" s="7"/>
      <c r="HXR1073" s="7"/>
      <c r="HXS1073" s="7"/>
      <c r="HXT1073" s="7"/>
      <c r="HXU1073" s="7"/>
      <c r="HXV1073" s="7"/>
      <c r="HXW1073" s="7"/>
      <c r="HXX1073" s="7"/>
      <c r="HXY1073" s="7"/>
      <c r="HXZ1073" s="7"/>
      <c r="HYA1073" s="7"/>
      <c r="HYB1073" s="7"/>
      <c r="HYC1073" s="7"/>
      <c r="HYD1073" s="7"/>
      <c r="HYE1073" s="7"/>
      <c r="HYF1073" s="7"/>
      <c r="HYG1073" s="7"/>
      <c r="HYH1073" s="7"/>
      <c r="HYI1073" s="7"/>
      <c r="HYJ1073" s="7"/>
      <c r="HYK1073" s="7"/>
      <c r="HYL1073" s="7"/>
      <c r="HYM1073" s="7"/>
      <c r="HYN1073" s="7"/>
      <c r="HYO1073" s="7"/>
      <c r="HYP1073" s="7"/>
      <c r="HYQ1073" s="7"/>
      <c r="HYR1073" s="7"/>
      <c r="HYS1073" s="7"/>
      <c r="HYT1073" s="7"/>
      <c r="HYU1073" s="7"/>
      <c r="HYV1073" s="7"/>
      <c r="HYW1073" s="7"/>
      <c r="HYX1073" s="7"/>
      <c r="HYY1073" s="7"/>
      <c r="HYZ1073" s="7"/>
      <c r="HZA1073" s="7"/>
      <c r="HZB1073" s="7"/>
      <c r="HZC1073" s="7"/>
      <c r="HZD1073" s="7"/>
      <c r="HZE1073" s="7"/>
      <c r="HZF1073" s="7"/>
      <c r="HZG1073" s="7"/>
      <c r="HZH1073" s="7"/>
      <c r="HZI1073" s="7"/>
      <c r="HZJ1073" s="7"/>
      <c r="HZK1073" s="7"/>
      <c r="HZL1073" s="7"/>
      <c r="HZM1073" s="7"/>
      <c r="HZN1073" s="7"/>
      <c r="HZO1073" s="7"/>
      <c r="HZP1073" s="7"/>
      <c r="HZQ1073" s="7"/>
      <c r="HZR1073" s="7"/>
      <c r="HZS1073" s="7"/>
      <c r="HZT1073" s="7"/>
      <c r="HZU1073" s="7"/>
      <c r="HZV1073" s="7"/>
      <c r="HZW1073" s="7"/>
      <c r="HZX1073" s="7"/>
      <c r="HZY1073" s="7"/>
      <c r="HZZ1073" s="7"/>
      <c r="IAA1073" s="7"/>
      <c r="IAB1073" s="7"/>
      <c r="IAC1073" s="7"/>
      <c r="IAD1073" s="7"/>
      <c r="IAE1073" s="7"/>
      <c r="IAF1073" s="7"/>
      <c r="IAG1073" s="7"/>
      <c r="IAH1073" s="7"/>
      <c r="IAI1073" s="7"/>
      <c r="IAJ1073" s="7"/>
      <c r="IAK1073" s="7"/>
      <c r="IAL1073" s="7"/>
      <c r="IAM1073" s="7"/>
      <c r="IAN1073" s="7"/>
      <c r="IAO1073" s="7"/>
      <c r="IAP1073" s="7"/>
      <c r="IAQ1073" s="7"/>
      <c r="IAR1073" s="7"/>
      <c r="IAS1073" s="7"/>
      <c r="IAT1073" s="7"/>
      <c r="IAU1073" s="7"/>
      <c r="IAV1073" s="7"/>
      <c r="IAW1073" s="7"/>
      <c r="IAX1073" s="7"/>
      <c r="IAY1073" s="7"/>
      <c r="IAZ1073" s="7"/>
      <c r="IBA1073" s="7"/>
      <c r="IBB1073" s="7"/>
      <c r="IBC1073" s="7"/>
      <c r="IBD1073" s="7"/>
      <c r="IBE1073" s="7"/>
      <c r="IBF1073" s="7"/>
      <c r="IBG1073" s="7"/>
      <c r="IBH1073" s="7"/>
      <c r="IBI1073" s="7"/>
      <c r="IBJ1073" s="7"/>
      <c r="IBK1073" s="7"/>
      <c r="IBL1073" s="7"/>
      <c r="IBM1073" s="7"/>
      <c r="IBN1073" s="7"/>
      <c r="IBO1073" s="7"/>
      <c r="IBP1073" s="7"/>
      <c r="IBQ1073" s="7"/>
      <c r="IBR1073" s="7"/>
      <c r="IBS1073" s="7"/>
      <c r="IBT1073" s="7"/>
      <c r="IBU1073" s="7"/>
      <c r="IBV1073" s="7"/>
      <c r="IBW1073" s="7"/>
      <c r="IBX1073" s="7"/>
      <c r="IBY1073" s="7"/>
      <c r="IBZ1073" s="7"/>
      <c r="ICA1073" s="7"/>
      <c r="ICB1073" s="7"/>
      <c r="ICC1073" s="7"/>
      <c r="ICD1073" s="7"/>
      <c r="ICE1073" s="7"/>
      <c r="ICF1073" s="7"/>
      <c r="ICG1073" s="7"/>
      <c r="ICH1073" s="7"/>
      <c r="ICI1073" s="7"/>
      <c r="ICJ1073" s="7"/>
      <c r="ICK1073" s="7"/>
      <c r="ICL1073" s="7"/>
      <c r="ICM1073" s="7"/>
      <c r="ICN1073" s="7"/>
      <c r="ICO1073" s="7"/>
      <c r="ICP1073" s="7"/>
      <c r="ICQ1073" s="7"/>
      <c r="ICR1073" s="7"/>
      <c r="ICS1073" s="7"/>
      <c r="ICT1073" s="7"/>
      <c r="ICU1073" s="7"/>
      <c r="ICV1073" s="7"/>
      <c r="ICW1073" s="7"/>
      <c r="ICX1073" s="7"/>
      <c r="ICY1073" s="7"/>
      <c r="ICZ1073" s="7"/>
      <c r="IDA1073" s="7"/>
      <c r="IDB1073" s="7"/>
      <c r="IDC1073" s="7"/>
      <c r="IDD1073" s="7"/>
      <c r="IDE1073" s="7"/>
      <c r="IDF1073" s="7"/>
      <c r="IDG1073" s="7"/>
      <c r="IDH1073" s="7"/>
      <c r="IDI1073" s="7"/>
      <c r="IDJ1073" s="7"/>
      <c r="IDK1073" s="7"/>
      <c r="IDL1073" s="7"/>
      <c r="IDM1073" s="7"/>
      <c r="IDN1073" s="7"/>
      <c r="IDO1073" s="7"/>
      <c r="IDP1073" s="7"/>
      <c r="IDQ1073" s="7"/>
      <c r="IDR1073" s="7"/>
      <c r="IDS1073" s="7"/>
      <c r="IDT1073" s="7"/>
      <c r="IDU1073" s="7"/>
      <c r="IDV1073" s="7"/>
      <c r="IDW1073" s="7"/>
      <c r="IDX1073" s="7"/>
      <c r="IDY1073" s="7"/>
      <c r="IDZ1073" s="7"/>
      <c r="IEA1073" s="7"/>
      <c r="IEB1073" s="7"/>
      <c r="IEC1073" s="7"/>
      <c r="IED1073" s="7"/>
      <c r="IEE1073" s="7"/>
      <c r="IEF1073" s="7"/>
      <c r="IEG1073" s="7"/>
      <c r="IEH1073" s="7"/>
      <c r="IEI1073" s="7"/>
      <c r="IEJ1073" s="7"/>
      <c r="IEK1073" s="7"/>
      <c r="IEL1073" s="7"/>
      <c r="IEM1073" s="7"/>
      <c r="IEN1073" s="7"/>
      <c r="IEO1073" s="7"/>
      <c r="IEP1073" s="7"/>
      <c r="IEQ1073" s="7"/>
      <c r="IER1073" s="7"/>
      <c r="IES1073" s="7"/>
      <c r="IET1073" s="7"/>
      <c r="IEU1073" s="7"/>
      <c r="IEV1073" s="7"/>
      <c r="IEW1073" s="7"/>
      <c r="IEX1073" s="7"/>
      <c r="IEY1073" s="7"/>
      <c r="IEZ1073" s="7"/>
      <c r="IFA1073" s="7"/>
      <c r="IFB1073" s="7"/>
      <c r="IFC1073" s="7"/>
      <c r="IFD1073" s="7"/>
      <c r="IFE1073" s="7"/>
      <c r="IFF1073" s="7"/>
      <c r="IFG1073" s="7"/>
      <c r="IFH1073" s="7"/>
      <c r="IFI1073" s="7"/>
      <c r="IFJ1073" s="7"/>
      <c r="IFK1073" s="7"/>
      <c r="IFL1073" s="7"/>
      <c r="IFM1073" s="7"/>
      <c r="IFN1073" s="7"/>
      <c r="IFO1073" s="7"/>
      <c r="IFP1073" s="7"/>
      <c r="IFQ1073" s="7"/>
      <c r="IFR1073" s="7"/>
      <c r="IFS1073" s="7"/>
      <c r="IFT1073" s="7"/>
      <c r="IFU1073" s="7"/>
      <c r="IFV1073" s="7"/>
      <c r="IFW1073" s="7"/>
      <c r="IFX1073" s="7"/>
      <c r="IFY1073" s="7"/>
      <c r="IFZ1073" s="7"/>
      <c r="IGA1073" s="7"/>
      <c r="IGB1073" s="7"/>
      <c r="IGC1073" s="7"/>
      <c r="IGD1073" s="7"/>
      <c r="IGE1073" s="7"/>
      <c r="IGF1073" s="7"/>
      <c r="IGG1073" s="7"/>
      <c r="IGH1073" s="7"/>
      <c r="IGI1073" s="7"/>
      <c r="IGJ1073" s="7"/>
      <c r="IGK1073" s="7"/>
      <c r="IGL1073" s="7"/>
      <c r="IGM1073" s="7"/>
      <c r="IGN1073" s="7"/>
      <c r="IGO1073" s="7"/>
      <c r="IGP1073" s="7"/>
      <c r="IGQ1073" s="7"/>
      <c r="IGR1073" s="7"/>
      <c r="IGS1073" s="7"/>
      <c r="IGT1073" s="7"/>
      <c r="IGU1073" s="7"/>
      <c r="IGV1073" s="7"/>
      <c r="IGW1073" s="7"/>
      <c r="IGX1073" s="7"/>
      <c r="IGY1073" s="7"/>
      <c r="IGZ1073" s="7"/>
      <c r="IHA1073" s="7"/>
      <c r="IHB1073" s="7"/>
      <c r="IHC1073" s="7"/>
      <c r="IHD1073" s="7"/>
      <c r="IHE1073" s="7"/>
      <c r="IHF1073" s="7"/>
      <c r="IHG1073" s="7"/>
      <c r="IHH1073" s="7"/>
      <c r="IHI1073" s="7"/>
      <c r="IHJ1073" s="7"/>
      <c r="IHK1073" s="7"/>
      <c r="IHL1073" s="7"/>
      <c r="IHM1073" s="7"/>
      <c r="IHN1073" s="7"/>
      <c r="IHO1073" s="7"/>
      <c r="IHP1073" s="7"/>
      <c r="IHQ1073" s="7"/>
      <c r="IHR1073" s="7"/>
      <c r="IHS1073" s="7"/>
      <c r="IHT1073" s="7"/>
      <c r="IHU1073" s="7"/>
      <c r="IHV1073" s="7"/>
      <c r="IHW1073" s="7"/>
      <c r="IHX1073" s="7"/>
      <c r="IHY1073" s="7"/>
      <c r="IHZ1073" s="7"/>
      <c r="IIA1073" s="7"/>
      <c r="IIB1073" s="7"/>
      <c r="IIC1073" s="7"/>
      <c r="IID1073" s="7"/>
      <c r="IIE1073" s="7"/>
      <c r="IIF1073" s="7"/>
      <c r="IIG1073" s="7"/>
      <c r="IIH1073" s="7"/>
      <c r="III1073" s="7"/>
      <c r="IIJ1073" s="7"/>
      <c r="IIK1073" s="7"/>
      <c r="IIL1073" s="7"/>
      <c r="IIM1073" s="7"/>
      <c r="IIN1073" s="7"/>
      <c r="IIO1073" s="7"/>
      <c r="IIP1073" s="7"/>
      <c r="IIQ1073" s="7"/>
      <c r="IIR1073" s="7"/>
      <c r="IIS1073" s="7"/>
      <c r="IIT1073" s="7"/>
      <c r="IIU1073" s="7"/>
      <c r="IIV1073" s="7"/>
      <c r="IIW1073" s="7"/>
      <c r="IIX1073" s="7"/>
      <c r="IIY1073" s="7"/>
      <c r="IIZ1073" s="7"/>
      <c r="IJA1073" s="7"/>
      <c r="IJB1073" s="7"/>
      <c r="IJC1073" s="7"/>
      <c r="IJD1073" s="7"/>
      <c r="IJE1073" s="7"/>
      <c r="IJF1073" s="7"/>
      <c r="IJG1073" s="7"/>
      <c r="IJH1073" s="7"/>
      <c r="IJI1073" s="7"/>
      <c r="IJJ1073" s="7"/>
      <c r="IJK1073" s="7"/>
      <c r="IJL1073" s="7"/>
      <c r="IJM1073" s="7"/>
      <c r="IJN1073" s="7"/>
      <c r="IJO1073" s="7"/>
      <c r="IJP1073" s="7"/>
      <c r="IJQ1073" s="7"/>
      <c r="IJR1073" s="7"/>
      <c r="IJS1073" s="7"/>
      <c r="IJT1073" s="7"/>
      <c r="IJU1073" s="7"/>
      <c r="IJV1073" s="7"/>
      <c r="IJW1073" s="7"/>
      <c r="IJX1073" s="7"/>
      <c r="IJY1073" s="7"/>
      <c r="IJZ1073" s="7"/>
      <c r="IKA1073" s="7"/>
      <c r="IKB1073" s="7"/>
      <c r="IKC1073" s="7"/>
      <c r="IKD1073" s="7"/>
      <c r="IKE1073" s="7"/>
      <c r="IKF1073" s="7"/>
      <c r="IKG1073" s="7"/>
      <c r="IKH1073" s="7"/>
      <c r="IKI1073" s="7"/>
      <c r="IKJ1073" s="7"/>
      <c r="IKK1073" s="7"/>
      <c r="IKL1073" s="7"/>
      <c r="IKM1073" s="7"/>
      <c r="IKN1073" s="7"/>
      <c r="IKO1073" s="7"/>
      <c r="IKP1073" s="7"/>
      <c r="IKQ1073" s="7"/>
      <c r="IKR1073" s="7"/>
      <c r="IKS1073" s="7"/>
      <c r="IKT1073" s="7"/>
      <c r="IKU1073" s="7"/>
      <c r="IKV1073" s="7"/>
      <c r="IKW1073" s="7"/>
      <c r="IKX1073" s="7"/>
      <c r="IKY1073" s="7"/>
      <c r="IKZ1073" s="7"/>
      <c r="ILA1073" s="7"/>
      <c r="ILB1073" s="7"/>
      <c r="ILC1073" s="7"/>
      <c r="ILD1073" s="7"/>
      <c r="ILE1073" s="7"/>
      <c r="ILF1073" s="7"/>
      <c r="ILG1073" s="7"/>
      <c r="ILH1073" s="7"/>
      <c r="ILI1073" s="7"/>
      <c r="ILJ1073" s="7"/>
      <c r="ILK1073" s="7"/>
      <c r="ILL1073" s="7"/>
      <c r="ILM1073" s="7"/>
      <c r="ILN1073" s="7"/>
      <c r="ILO1073" s="7"/>
      <c r="ILP1073" s="7"/>
      <c r="ILQ1073" s="7"/>
      <c r="ILR1073" s="7"/>
      <c r="ILS1073" s="7"/>
      <c r="ILT1073" s="7"/>
      <c r="ILU1073" s="7"/>
      <c r="ILV1073" s="7"/>
      <c r="ILW1073" s="7"/>
      <c r="ILX1073" s="7"/>
      <c r="ILY1073" s="7"/>
      <c r="ILZ1073" s="7"/>
      <c r="IMA1073" s="7"/>
      <c r="IMB1073" s="7"/>
      <c r="IMC1073" s="7"/>
      <c r="IMD1073" s="7"/>
      <c r="IME1073" s="7"/>
      <c r="IMF1073" s="7"/>
      <c r="IMG1073" s="7"/>
      <c r="IMH1073" s="7"/>
      <c r="IMI1073" s="7"/>
      <c r="IMJ1073" s="7"/>
      <c r="IMK1073" s="7"/>
      <c r="IML1073" s="7"/>
      <c r="IMM1073" s="7"/>
      <c r="IMN1073" s="7"/>
      <c r="IMO1073" s="7"/>
      <c r="IMP1073" s="7"/>
      <c r="IMQ1073" s="7"/>
      <c r="IMR1073" s="7"/>
      <c r="IMS1073" s="7"/>
      <c r="IMT1073" s="7"/>
      <c r="IMU1073" s="7"/>
      <c r="IMV1073" s="7"/>
      <c r="IMW1073" s="7"/>
      <c r="IMX1073" s="7"/>
      <c r="IMY1073" s="7"/>
      <c r="IMZ1073" s="7"/>
      <c r="INA1073" s="7"/>
      <c r="INB1073" s="7"/>
      <c r="INC1073" s="7"/>
      <c r="IND1073" s="7"/>
      <c r="INE1073" s="7"/>
      <c r="INF1073" s="7"/>
      <c r="ING1073" s="7"/>
      <c r="INH1073" s="7"/>
      <c r="INI1073" s="7"/>
      <c r="INJ1073" s="7"/>
      <c r="INK1073" s="7"/>
      <c r="INL1073" s="7"/>
      <c r="INM1073" s="7"/>
      <c r="INN1073" s="7"/>
      <c r="INO1073" s="7"/>
      <c r="INP1073" s="7"/>
      <c r="INQ1073" s="7"/>
      <c r="INR1073" s="7"/>
      <c r="INS1073" s="7"/>
      <c r="INT1073" s="7"/>
      <c r="INU1073" s="7"/>
      <c r="INV1073" s="7"/>
      <c r="INW1073" s="7"/>
      <c r="INX1073" s="7"/>
      <c r="INY1073" s="7"/>
      <c r="INZ1073" s="7"/>
      <c r="IOA1073" s="7"/>
      <c r="IOB1073" s="7"/>
      <c r="IOC1073" s="7"/>
      <c r="IOD1073" s="7"/>
      <c r="IOE1073" s="7"/>
      <c r="IOF1073" s="7"/>
      <c r="IOG1073" s="7"/>
      <c r="IOH1073" s="7"/>
      <c r="IOI1073" s="7"/>
      <c r="IOJ1073" s="7"/>
      <c r="IOK1073" s="7"/>
      <c r="IOL1073" s="7"/>
      <c r="IOM1073" s="7"/>
      <c r="ION1073" s="7"/>
      <c r="IOO1073" s="7"/>
      <c r="IOP1073" s="7"/>
      <c r="IOQ1073" s="7"/>
      <c r="IOR1073" s="7"/>
      <c r="IOS1073" s="7"/>
      <c r="IOT1073" s="7"/>
      <c r="IOU1073" s="7"/>
      <c r="IOV1073" s="7"/>
      <c r="IOW1073" s="7"/>
      <c r="IOX1073" s="7"/>
      <c r="IOY1073" s="7"/>
      <c r="IOZ1073" s="7"/>
      <c r="IPA1073" s="7"/>
      <c r="IPB1073" s="7"/>
      <c r="IPC1073" s="7"/>
      <c r="IPD1073" s="7"/>
      <c r="IPE1073" s="7"/>
      <c r="IPF1073" s="7"/>
      <c r="IPG1073" s="7"/>
      <c r="IPH1073" s="7"/>
      <c r="IPI1073" s="7"/>
      <c r="IPJ1073" s="7"/>
      <c r="IPK1073" s="7"/>
      <c r="IPL1073" s="7"/>
      <c r="IPM1073" s="7"/>
      <c r="IPN1073" s="7"/>
      <c r="IPO1073" s="7"/>
      <c r="IPP1073" s="7"/>
      <c r="IPQ1073" s="7"/>
      <c r="IPR1073" s="7"/>
      <c r="IPS1073" s="7"/>
      <c r="IPT1073" s="7"/>
      <c r="IPU1073" s="7"/>
      <c r="IPV1073" s="7"/>
      <c r="IPW1073" s="7"/>
      <c r="IPX1073" s="7"/>
      <c r="IPY1073" s="7"/>
      <c r="IPZ1073" s="7"/>
      <c r="IQA1073" s="7"/>
      <c r="IQB1073" s="7"/>
      <c r="IQC1073" s="7"/>
      <c r="IQD1073" s="7"/>
      <c r="IQE1073" s="7"/>
      <c r="IQF1073" s="7"/>
      <c r="IQG1073" s="7"/>
      <c r="IQH1073" s="7"/>
      <c r="IQI1073" s="7"/>
      <c r="IQJ1073" s="7"/>
      <c r="IQK1073" s="7"/>
      <c r="IQL1073" s="7"/>
      <c r="IQM1073" s="7"/>
      <c r="IQN1073" s="7"/>
      <c r="IQO1073" s="7"/>
      <c r="IQP1073" s="7"/>
      <c r="IQQ1073" s="7"/>
      <c r="IQR1073" s="7"/>
      <c r="IQS1073" s="7"/>
      <c r="IQT1073" s="7"/>
      <c r="IQU1073" s="7"/>
      <c r="IQV1073" s="7"/>
      <c r="IQW1073" s="7"/>
      <c r="IQX1073" s="7"/>
      <c r="IQY1073" s="7"/>
      <c r="IQZ1073" s="7"/>
      <c r="IRA1073" s="7"/>
      <c r="IRB1073" s="7"/>
      <c r="IRC1073" s="7"/>
      <c r="IRD1073" s="7"/>
      <c r="IRE1073" s="7"/>
      <c r="IRF1073" s="7"/>
      <c r="IRG1073" s="7"/>
      <c r="IRH1073" s="7"/>
      <c r="IRI1073" s="7"/>
      <c r="IRJ1073" s="7"/>
      <c r="IRK1073" s="7"/>
      <c r="IRL1073" s="7"/>
      <c r="IRM1073" s="7"/>
      <c r="IRN1073" s="7"/>
      <c r="IRO1073" s="7"/>
      <c r="IRP1073" s="7"/>
      <c r="IRQ1073" s="7"/>
      <c r="IRR1073" s="7"/>
      <c r="IRS1073" s="7"/>
      <c r="IRT1073" s="7"/>
      <c r="IRU1073" s="7"/>
      <c r="IRV1073" s="7"/>
      <c r="IRW1073" s="7"/>
      <c r="IRX1073" s="7"/>
      <c r="IRY1073" s="7"/>
      <c r="IRZ1073" s="7"/>
      <c r="ISA1073" s="7"/>
      <c r="ISB1073" s="7"/>
      <c r="ISC1073" s="7"/>
      <c r="ISD1073" s="7"/>
      <c r="ISE1073" s="7"/>
      <c r="ISF1073" s="7"/>
      <c r="ISG1073" s="7"/>
      <c r="ISH1073" s="7"/>
      <c r="ISI1073" s="7"/>
      <c r="ISJ1073" s="7"/>
      <c r="ISK1073" s="7"/>
      <c r="ISL1073" s="7"/>
      <c r="ISM1073" s="7"/>
      <c r="ISN1073" s="7"/>
      <c r="ISO1073" s="7"/>
      <c r="ISP1073" s="7"/>
      <c r="ISQ1073" s="7"/>
      <c r="ISR1073" s="7"/>
      <c r="ISS1073" s="7"/>
      <c r="IST1073" s="7"/>
      <c r="ISU1073" s="7"/>
      <c r="ISV1073" s="7"/>
      <c r="ISW1073" s="7"/>
      <c r="ISX1073" s="7"/>
      <c r="ISY1073" s="7"/>
      <c r="ISZ1073" s="7"/>
      <c r="ITA1073" s="7"/>
      <c r="ITB1073" s="7"/>
      <c r="ITC1073" s="7"/>
      <c r="ITD1073" s="7"/>
      <c r="ITE1073" s="7"/>
      <c r="ITF1073" s="7"/>
      <c r="ITG1073" s="7"/>
      <c r="ITH1073" s="7"/>
      <c r="ITI1073" s="7"/>
      <c r="ITJ1073" s="7"/>
      <c r="ITK1073" s="7"/>
      <c r="ITL1073" s="7"/>
      <c r="ITM1073" s="7"/>
      <c r="ITN1073" s="7"/>
      <c r="ITO1073" s="7"/>
      <c r="ITP1073" s="7"/>
      <c r="ITQ1073" s="7"/>
      <c r="ITR1073" s="7"/>
      <c r="ITS1073" s="7"/>
      <c r="ITT1073" s="7"/>
      <c r="ITU1073" s="7"/>
      <c r="ITV1073" s="7"/>
      <c r="ITW1073" s="7"/>
      <c r="ITX1073" s="7"/>
      <c r="ITY1073" s="7"/>
      <c r="ITZ1073" s="7"/>
      <c r="IUA1073" s="7"/>
      <c r="IUB1073" s="7"/>
      <c r="IUC1073" s="7"/>
      <c r="IUD1073" s="7"/>
      <c r="IUE1073" s="7"/>
      <c r="IUF1073" s="7"/>
      <c r="IUG1073" s="7"/>
      <c r="IUH1073" s="7"/>
      <c r="IUI1073" s="7"/>
      <c r="IUJ1073" s="7"/>
      <c r="IUK1073" s="7"/>
      <c r="IUL1073" s="7"/>
      <c r="IUM1073" s="7"/>
      <c r="IUN1073" s="7"/>
      <c r="IUO1073" s="7"/>
      <c r="IUP1073" s="7"/>
      <c r="IUQ1073" s="7"/>
      <c r="IUR1073" s="7"/>
      <c r="IUS1073" s="7"/>
      <c r="IUT1073" s="7"/>
      <c r="IUU1073" s="7"/>
      <c r="IUV1073" s="7"/>
      <c r="IUW1073" s="7"/>
      <c r="IUX1073" s="7"/>
      <c r="IUY1073" s="7"/>
      <c r="IUZ1073" s="7"/>
      <c r="IVA1073" s="7"/>
      <c r="IVB1073" s="7"/>
      <c r="IVC1073" s="7"/>
      <c r="IVD1073" s="7"/>
      <c r="IVE1073" s="7"/>
      <c r="IVF1073" s="7"/>
      <c r="IVG1073" s="7"/>
      <c r="IVH1073" s="7"/>
      <c r="IVI1073" s="7"/>
      <c r="IVJ1073" s="7"/>
      <c r="IVK1073" s="7"/>
      <c r="IVL1073" s="7"/>
      <c r="IVM1073" s="7"/>
      <c r="IVN1073" s="7"/>
      <c r="IVO1073" s="7"/>
      <c r="IVP1073" s="7"/>
      <c r="IVQ1073" s="7"/>
      <c r="IVR1073" s="7"/>
      <c r="IVS1073" s="7"/>
      <c r="IVT1073" s="7"/>
      <c r="IVU1073" s="7"/>
      <c r="IVV1073" s="7"/>
      <c r="IVW1073" s="7"/>
      <c r="IVX1073" s="7"/>
      <c r="IVY1073" s="7"/>
      <c r="IVZ1073" s="7"/>
      <c r="IWA1073" s="7"/>
      <c r="IWB1073" s="7"/>
      <c r="IWC1073" s="7"/>
      <c r="IWD1073" s="7"/>
      <c r="IWE1073" s="7"/>
      <c r="IWF1073" s="7"/>
      <c r="IWG1073" s="7"/>
      <c r="IWH1073" s="7"/>
      <c r="IWI1073" s="7"/>
      <c r="IWJ1073" s="7"/>
      <c r="IWK1073" s="7"/>
      <c r="IWL1073" s="7"/>
      <c r="IWM1073" s="7"/>
      <c r="IWN1073" s="7"/>
      <c r="IWO1073" s="7"/>
      <c r="IWP1073" s="7"/>
      <c r="IWQ1073" s="7"/>
      <c r="IWR1073" s="7"/>
      <c r="IWS1073" s="7"/>
      <c r="IWT1073" s="7"/>
      <c r="IWU1073" s="7"/>
      <c r="IWV1073" s="7"/>
      <c r="IWW1073" s="7"/>
      <c r="IWX1073" s="7"/>
      <c r="IWY1073" s="7"/>
      <c r="IWZ1073" s="7"/>
      <c r="IXA1073" s="7"/>
      <c r="IXB1073" s="7"/>
      <c r="IXC1073" s="7"/>
      <c r="IXD1073" s="7"/>
      <c r="IXE1073" s="7"/>
      <c r="IXF1073" s="7"/>
      <c r="IXG1073" s="7"/>
      <c r="IXH1073" s="7"/>
      <c r="IXI1073" s="7"/>
      <c r="IXJ1073" s="7"/>
      <c r="IXK1073" s="7"/>
      <c r="IXL1073" s="7"/>
      <c r="IXM1073" s="7"/>
      <c r="IXN1073" s="7"/>
      <c r="IXO1073" s="7"/>
      <c r="IXP1073" s="7"/>
      <c r="IXQ1073" s="7"/>
      <c r="IXR1073" s="7"/>
      <c r="IXS1073" s="7"/>
      <c r="IXT1073" s="7"/>
      <c r="IXU1073" s="7"/>
      <c r="IXV1073" s="7"/>
      <c r="IXW1073" s="7"/>
      <c r="IXX1073" s="7"/>
      <c r="IXY1073" s="7"/>
      <c r="IXZ1073" s="7"/>
      <c r="IYA1073" s="7"/>
      <c r="IYB1073" s="7"/>
      <c r="IYC1073" s="7"/>
      <c r="IYD1073" s="7"/>
      <c r="IYE1073" s="7"/>
      <c r="IYF1073" s="7"/>
      <c r="IYG1073" s="7"/>
      <c r="IYH1073" s="7"/>
      <c r="IYI1073" s="7"/>
      <c r="IYJ1073" s="7"/>
      <c r="IYK1073" s="7"/>
      <c r="IYL1073" s="7"/>
      <c r="IYM1073" s="7"/>
      <c r="IYN1073" s="7"/>
      <c r="IYO1073" s="7"/>
      <c r="IYP1073" s="7"/>
      <c r="IYQ1073" s="7"/>
      <c r="IYR1073" s="7"/>
      <c r="IYS1073" s="7"/>
      <c r="IYT1073" s="7"/>
      <c r="IYU1073" s="7"/>
      <c r="IYV1073" s="7"/>
      <c r="IYW1073" s="7"/>
      <c r="IYX1073" s="7"/>
      <c r="IYY1073" s="7"/>
      <c r="IYZ1073" s="7"/>
      <c r="IZA1073" s="7"/>
      <c r="IZB1073" s="7"/>
      <c r="IZC1073" s="7"/>
      <c r="IZD1073" s="7"/>
      <c r="IZE1073" s="7"/>
      <c r="IZF1073" s="7"/>
      <c r="IZG1073" s="7"/>
      <c r="IZH1073" s="7"/>
      <c r="IZI1073" s="7"/>
      <c r="IZJ1073" s="7"/>
      <c r="IZK1073" s="7"/>
      <c r="IZL1073" s="7"/>
      <c r="IZM1073" s="7"/>
      <c r="IZN1073" s="7"/>
      <c r="IZO1073" s="7"/>
      <c r="IZP1073" s="7"/>
      <c r="IZQ1073" s="7"/>
      <c r="IZR1073" s="7"/>
      <c r="IZS1073" s="7"/>
      <c r="IZT1073" s="7"/>
      <c r="IZU1073" s="7"/>
      <c r="IZV1073" s="7"/>
      <c r="IZW1073" s="7"/>
      <c r="IZX1073" s="7"/>
      <c r="IZY1073" s="7"/>
      <c r="IZZ1073" s="7"/>
      <c r="JAA1073" s="7"/>
      <c r="JAB1073" s="7"/>
      <c r="JAC1073" s="7"/>
      <c r="JAD1073" s="7"/>
      <c r="JAE1073" s="7"/>
      <c r="JAF1073" s="7"/>
      <c r="JAG1073" s="7"/>
      <c r="JAH1073" s="7"/>
      <c r="JAI1073" s="7"/>
      <c r="JAJ1073" s="7"/>
      <c r="JAK1073" s="7"/>
      <c r="JAL1073" s="7"/>
      <c r="JAM1073" s="7"/>
      <c r="JAN1073" s="7"/>
      <c r="JAO1073" s="7"/>
      <c r="JAP1073" s="7"/>
      <c r="JAQ1073" s="7"/>
      <c r="JAR1073" s="7"/>
      <c r="JAS1073" s="7"/>
      <c r="JAT1073" s="7"/>
      <c r="JAU1073" s="7"/>
      <c r="JAV1073" s="7"/>
      <c r="JAW1073" s="7"/>
      <c r="JAX1073" s="7"/>
      <c r="JAY1073" s="7"/>
      <c r="JAZ1073" s="7"/>
      <c r="JBA1073" s="7"/>
      <c r="JBB1073" s="7"/>
      <c r="JBC1073" s="7"/>
      <c r="JBD1073" s="7"/>
      <c r="JBE1073" s="7"/>
      <c r="JBF1073" s="7"/>
      <c r="JBG1073" s="7"/>
      <c r="JBH1073" s="7"/>
      <c r="JBI1073" s="7"/>
      <c r="JBJ1073" s="7"/>
      <c r="JBK1073" s="7"/>
      <c r="JBL1073" s="7"/>
      <c r="JBM1073" s="7"/>
      <c r="JBN1073" s="7"/>
      <c r="JBO1073" s="7"/>
      <c r="JBP1073" s="7"/>
      <c r="JBQ1073" s="7"/>
      <c r="JBR1073" s="7"/>
      <c r="JBS1073" s="7"/>
      <c r="JBT1073" s="7"/>
      <c r="JBU1073" s="7"/>
      <c r="JBV1073" s="7"/>
      <c r="JBW1073" s="7"/>
      <c r="JBX1073" s="7"/>
      <c r="JBY1073" s="7"/>
      <c r="JBZ1073" s="7"/>
      <c r="JCA1073" s="7"/>
      <c r="JCB1073" s="7"/>
      <c r="JCC1073" s="7"/>
      <c r="JCD1073" s="7"/>
      <c r="JCE1073" s="7"/>
      <c r="JCF1073" s="7"/>
      <c r="JCG1073" s="7"/>
      <c r="JCH1073" s="7"/>
      <c r="JCI1073" s="7"/>
      <c r="JCJ1073" s="7"/>
      <c r="JCK1073" s="7"/>
      <c r="JCL1073" s="7"/>
      <c r="JCM1073" s="7"/>
      <c r="JCN1073" s="7"/>
      <c r="JCO1073" s="7"/>
      <c r="JCP1073" s="7"/>
      <c r="JCQ1073" s="7"/>
      <c r="JCR1073" s="7"/>
      <c r="JCS1073" s="7"/>
      <c r="JCT1073" s="7"/>
      <c r="JCU1073" s="7"/>
      <c r="JCV1073" s="7"/>
      <c r="JCW1073" s="7"/>
      <c r="JCX1073" s="7"/>
      <c r="JCY1073" s="7"/>
      <c r="JCZ1073" s="7"/>
      <c r="JDA1073" s="7"/>
      <c r="JDB1073" s="7"/>
      <c r="JDC1073" s="7"/>
      <c r="JDD1073" s="7"/>
      <c r="JDE1073" s="7"/>
      <c r="JDF1073" s="7"/>
      <c r="JDG1073" s="7"/>
      <c r="JDH1073" s="7"/>
      <c r="JDI1073" s="7"/>
      <c r="JDJ1073" s="7"/>
      <c r="JDK1073" s="7"/>
      <c r="JDL1073" s="7"/>
      <c r="JDM1073" s="7"/>
      <c r="JDN1073" s="7"/>
      <c r="JDO1073" s="7"/>
      <c r="JDP1073" s="7"/>
      <c r="JDQ1073" s="7"/>
      <c r="JDR1073" s="7"/>
      <c r="JDS1073" s="7"/>
      <c r="JDT1073" s="7"/>
      <c r="JDU1073" s="7"/>
      <c r="JDV1073" s="7"/>
      <c r="JDW1073" s="7"/>
      <c r="JDX1073" s="7"/>
      <c r="JDY1073" s="7"/>
      <c r="JDZ1073" s="7"/>
      <c r="JEA1073" s="7"/>
      <c r="JEB1073" s="7"/>
      <c r="JEC1073" s="7"/>
      <c r="JED1073" s="7"/>
      <c r="JEE1073" s="7"/>
      <c r="JEF1073" s="7"/>
      <c r="JEG1073" s="7"/>
      <c r="JEH1073" s="7"/>
      <c r="JEI1073" s="7"/>
      <c r="JEJ1073" s="7"/>
      <c r="JEK1073" s="7"/>
      <c r="JEL1073" s="7"/>
      <c r="JEM1073" s="7"/>
      <c r="JEN1073" s="7"/>
      <c r="JEO1073" s="7"/>
      <c r="JEP1073" s="7"/>
      <c r="JEQ1073" s="7"/>
      <c r="JER1073" s="7"/>
      <c r="JES1073" s="7"/>
      <c r="JET1073" s="7"/>
      <c r="JEU1073" s="7"/>
      <c r="JEV1073" s="7"/>
      <c r="JEW1073" s="7"/>
      <c r="JEX1073" s="7"/>
      <c r="JEY1073" s="7"/>
      <c r="JEZ1073" s="7"/>
      <c r="JFA1073" s="7"/>
      <c r="JFB1073" s="7"/>
      <c r="JFC1073" s="7"/>
      <c r="JFD1073" s="7"/>
      <c r="JFE1073" s="7"/>
      <c r="JFF1073" s="7"/>
      <c r="JFG1073" s="7"/>
      <c r="JFH1073" s="7"/>
      <c r="JFI1073" s="7"/>
      <c r="JFJ1073" s="7"/>
      <c r="JFK1073" s="7"/>
      <c r="JFL1073" s="7"/>
      <c r="JFM1073" s="7"/>
      <c r="JFN1073" s="7"/>
      <c r="JFO1073" s="7"/>
      <c r="JFP1073" s="7"/>
      <c r="JFQ1073" s="7"/>
      <c r="JFR1073" s="7"/>
      <c r="JFS1073" s="7"/>
      <c r="JFT1073" s="7"/>
      <c r="JFU1073" s="7"/>
      <c r="JFV1073" s="7"/>
      <c r="JFW1073" s="7"/>
      <c r="JFX1073" s="7"/>
      <c r="JFY1073" s="7"/>
      <c r="JFZ1073" s="7"/>
      <c r="JGA1073" s="7"/>
      <c r="JGB1073" s="7"/>
      <c r="JGC1073" s="7"/>
      <c r="JGD1073" s="7"/>
      <c r="JGE1073" s="7"/>
      <c r="JGF1073" s="7"/>
      <c r="JGG1073" s="7"/>
      <c r="JGH1073" s="7"/>
      <c r="JGI1073" s="7"/>
      <c r="JGJ1073" s="7"/>
      <c r="JGK1073" s="7"/>
      <c r="JGL1073" s="7"/>
      <c r="JGM1073" s="7"/>
      <c r="JGN1073" s="7"/>
      <c r="JGO1073" s="7"/>
      <c r="JGP1073" s="7"/>
      <c r="JGQ1073" s="7"/>
      <c r="JGR1073" s="7"/>
      <c r="JGS1073" s="7"/>
      <c r="JGT1073" s="7"/>
      <c r="JGU1073" s="7"/>
      <c r="JGV1073" s="7"/>
      <c r="JGW1073" s="7"/>
      <c r="JGX1073" s="7"/>
      <c r="JGY1073" s="7"/>
      <c r="JGZ1073" s="7"/>
      <c r="JHA1073" s="7"/>
      <c r="JHB1073" s="7"/>
      <c r="JHC1073" s="7"/>
      <c r="JHD1073" s="7"/>
      <c r="JHE1073" s="7"/>
      <c r="JHF1073" s="7"/>
      <c r="JHG1073" s="7"/>
      <c r="JHH1073" s="7"/>
      <c r="JHI1073" s="7"/>
      <c r="JHJ1073" s="7"/>
      <c r="JHK1073" s="7"/>
      <c r="JHL1073" s="7"/>
      <c r="JHM1073" s="7"/>
      <c r="JHN1073" s="7"/>
      <c r="JHO1073" s="7"/>
      <c r="JHP1073" s="7"/>
      <c r="JHQ1073" s="7"/>
      <c r="JHR1073" s="7"/>
      <c r="JHS1073" s="7"/>
      <c r="JHT1073" s="7"/>
      <c r="JHU1073" s="7"/>
      <c r="JHV1073" s="7"/>
      <c r="JHW1073" s="7"/>
      <c r="JHX1073" s="7"/>
      <c r="JHY1073" s="7"/>
      <c r="JHZ1073" s="7"/>
      <c r="JIA1073" s="7"/>
      <c r="JIB1073" s="7"/>
      <c r="JIC1073" s="7"/>
      <c r="JID1073" s="7"/>
      <c r="JIE1073" s="7"/>
      <c r="JIF1073" s="7"/>
      <c r="JIG1073" s="7"/>
      <c r="JIH1073" s="7"/>
      <c r="JII1073" s="7"/>
      <c r="JIJ1073" s="7"/>
      <c r="JIK1073" s="7"/>
      <c r="JIL1073" s="7"/>
      <c r="JIM1073" s="7"/>
      <c r="JIN1073" s="7"/>
      <c r="JIO1073" s="7"/>
      <c r="JIP1073" s="7"/>
      <c r="JIQ1073" s="7"/>
      <c r="JIR1073" s="7"/>
      <c r="JIS1073" s="7"/>
      <c r="JIT1073" s="7"/>
      <c r="JIU1073" s="7"/>
      <c r="JIV1073" s="7"/>
      <c r="JIW1073" s="7"/>
      <c r="JIX1073" s="7"/>
      <c r="JIY1073" s="7"/>
      <c r="JIZ1073" s="7"/>
      <c r="JJA1073" s="7"/>
      <c r="JJB1073" s="7"/>
      <c r="JJC1073" s="7"/>
      <c r="JJD1073" s="7"/>
      <c r="JJE1073" s="7"/>
      <c r="JJF1073" s="7"/>
      <c r="JJG1073" s="7"/>
      <c r="JJH1073" s="7"/>
      <c r="JJI1073" s="7"/>
      <c r="JJJ1073" s="7"/>
      <c r="JJK1073" s="7"/>
      <c r="JJL1073" s="7"/>
      <c r="JJM1073" s="7"/>
      <c r="JJN1073" s="7"/>
      <c r="JJO1073" s="7"/>
      <c r="JJP1073" s="7"/>
      <c r="JJQ1073" s="7"/>
      <c r="JJR1073" s="7"/>
      <c r="JJS1073" s="7"/>
      <c r="JJT1073" s="7"/>
      <c r="JJU1073" s="7"/>
      <c r="JJV1073" s="7"/>
      <c r="JJW1073" s="7"/>
      <c r="JJX1073" s="7"/>
      <c r="JJY1073" s="7"/>
      <c r="JJZ1073" s="7"/>
      <c r="JKA1073" s="7"/>
      <c r="JKB1073" s="7"/>
      <c r="JKC1073" s="7"/>
      <c r="JKD1073" s="7"/>
      <c r="JKE1073" s="7"/>
      <c r="JKF1073" s="7"/>
      <c r="JKG1073" s="7"/>
      <c r="JKH1073" s="7"/>
      <c r="JKI1073" s="7"/>
      <c r="JKJ1073" s="7"/>
      <c r="JKK1073" s="7"/>
      <c r="JKL1073" s="7"/>
      <c r="JKM1073" s="7"/>
      <c r="JKN1073" s="7"/>
      <c r="JKO1073" s="7"/>
      <c r="JKP1073" s="7"/>
      <c r="JKQ1073" s="7"/>
      <c r="JKR1073" s="7"/>
      <c r="JKS1073" s="7"/>
      <c r="JKT1073" s="7"/>
      <c r="JKU1073" s="7"/>
      <c r="JKV1073" s="7"/>
      <c r="JKW1073" s="7"/>
      <c r="JKX1073" s="7"/>
      <c r="JKY1073" s="7"/>
      <c r="JKZ1073" s="7"/>
      <c r="JLA1073" s="7"/>
      <c r="JLB1073" s="7"/>
      <c r="JLC1073" s="7"/>
      <c r="JLD1073" s="7"/>
      <c r="JLE1073" s="7"/>
      <c r="JLF1073" s="7"/>
      <c r="JLG1073" s="7"/>
      <c r="JLH1073" s="7"/>
      <c r="JLI1073" s="7"/>
      <c r="JLJ1073" s="7"/>
      <c r="JLK1073" s="7"/>
      <c r="JLL1073" s="7"/>
      <c r="JLM1073" s="7"/>
      <c r="JLN1073" s="7"/>
      <c r="JLO1073" s="7"/>
      <c r="JLP1073" s="7"/>
      <c r="JLQ1073" s="7"/>
      <c r="JLR1073" s="7"/>
      <c r="JLS1073" s="7"/>
      <c r="JLT1073" s="7"/>
      <c r="JLU1073" s="7"/>
      <c r="JLV1073" s="7"/>
      <c r="JLW1073" s="7"/>
      <c r="JLX1073" s="7"/>
      <c r="JLY1073" s="7"/>
      <c r="JLZ1073" s="7"/>
      <c r="JMA1073" s="7"/>
      <c r="JMB1073" s="7"/>
      <c r="JMC1073" s="7"/>
      <c r="JMD1073" s="7"/>
      <c r="JME1073" s="7"/>
      <c r="JMF1073" s="7"/>
      <c r="JMG1073" s="7"/>
      <c r="JMH1073" s="7"/>
      <c r="JMI1073" s="7"/>
      <c r="JMJ1073" s="7"/>
      <c r="JMK1073" s="7"/>
      <c r="JML1073" s="7"/>
      <c r="JMM1073" s="7"/>
      <c r="JMN1073" s="7"/>
      <c r="JMO1073" s="7"/>
      <c r="JMP1073" s="7"/>
      <c r="JMQ1073" s="7"/>
      <c r="JMR1073" s="7"/>
      <c r="JMS1073" s="7"/>
      <c r="JMT1073" s="7"/>
      <c r="JMU1073" s="7"/>
      <c r="JMV1073" s="7"/>
      <c r="JMW1073" s="7"/>
      <c r="JMX1073" s="7"/>
      <c r="JMY1073" s="7"/>
      <c r="JMZ1073" s="7"/>
      <c r="JNA1073" s="7"/>
      <c r="JNB1073" s="7"/>
      <c r="JNC1073" s="7"/>
      <c r="JND1073" s="7"/>
      <c r="JNE1073" s="7"/>
      <c r="JNF1073" s="7"/>
      <c r="JNG1073" s="7"/>
      <c r="JNH1073" s="7"/>
      <c r="JNI1073" s="7"/>
      <c r="JNJ1073" s="7"/>
      <c r="JNK1073" s="7"/>
      <c r="JNL1073" s="7"/>
      <c r="JNM1073" s="7"/>
      <c r="JNN1073" s="7"/>
      <c r="JNO1073" s="7"/>
      <c r="JNP1073" s="7"/>
      <c r="JNQ1073" s="7"/>
      <c r="JNR1073" s="7"/>
      <c r="JNS1073" s="7"/>
      <c r="JNT1073" s="7"/>
      <c r="JNU1073" s="7"/>
      <c r="JNV1073" s="7"/>
      <c r="JNW1073" s="7"/>
      <c r="JNX1073" s="7"/>
      <c r="JNY1073" s="7"/>
      <c r="JNZ1073" s="7"/>
      <c r="JOA1073" s="7"/>
      <c r="JOB1073" s="7"/>
      <c r="JOC1073" s="7"/>
      <c r="JOD1073" s="7"/>
      <c r="JOE1073" s="7"/>
      <c r="JOF1073" s="7"/>
      <c r="JOG1073" s="7"/>
      <c r="JOH1073" s="7"/>
      <c r="JOI1073" s="7"/>
      <c r="JOJ1073" s="7"/>
      <c r="JOK1073" s="7"/>
      <c r="JOL1073" s="7"/>
      <c r="JOM1073" s="7"/>
      <c r="JON1073" s="7"/>
      <c r="JOO1073" s="7"/>
      <c r="JOP1073" s="7"/>
      <c r="JOQ1073" s="7"/>
      <c r="JOR1073" s="7"/>
      <c r="JOS1073" s="7"/>
      <c r="JOT1073" s="7"/>
      <c r="JOU1073" s="7"/>
      <c r="JOV1073" s="7"/>
      <c r="JOW1073" s="7"/>
      <c r="JOX1073" s="7"/>
      <c r="JOY1073" s="7"/>
      <c r="JOZ1073" s="7"/>
      <c r="JPA1073" s="7"/>
      <c r="JPB1073" s="7"/>
      <c r="JPC1073" s="7"/>
      <c r="JPD1073" s="7"/>
      <c r="JPE1073" s="7"/>
      <c r="JPF1073" s="7"/>
      <c r="JPG1073" s="7"/>
      <c r="JPH1073" s="7"/>
      <c r="JPI1073" s="7"/>
      <c r="JPJ1073" s="7"/>
      <c r="JPK1073" s="7"/>
      <c r="JPL1073" s="7"/>
      <c r="JPM1073" s="7"/>
      <c r="JPN1073" s="7"/>
      <c r="JPO1073" s="7"/>
      <c r="JPP1073" s="7"/>
      <c r="JPQ1073" s="7"/>
      <c r="JPR1073" s="7"/>
      <c r="JPS1073" s="7"/>
      <c r="JPT1073" s="7"/>
      <c r="JPU1073" s="7"/>
      <c r="JPV1073" s="7"/>
      <c r="JPW1073" s="7"/>
      <c r="JPX1073" s="7"/>
      <c r="JPY1073" s="7"/>
      <c r="JPZ1073" s="7"/>
      <c r="JQA1073" s="7"/>
      <c r="JQB1073" s="7"/>
      <c r="JQC1073" s="7"/>
      <c r="JQD1073" s="7"/>
      <c r="JQE1073" s="7"/>
      <c r="JQF1073" s="7"/>
      <c r="JQG1073" s="7"/>
      <c r="JQH1073" s="7"/>
      <c r="JQI1073" s="7"/>
      <c r="JQJ1073" s="7"/>
      <c r="JQK1073" s="7"/>
      <c r="JQL1073" s="7"/>
      <c r="JQM1073" s="7"/>
      <c r="JQN1073" s="7"/>
      <c r="JQO1073" s="7"/>
      <c r="JQP1073" s="7"/>
      <c r="JQQ1073" s="7"/>
      <c r="JQR1073" s="7"/>
      <c r="JQS1073" s="7"/>
      <c r="JQT1073" s="7"/>
      <c r="JQU1073" s="7"/>
      <c r="JQV1073" s="7"/>
      <c r="JQW1073" s="7"/>
      <c r="JQX1073" s="7"/>
      <c r="JQY1073" s="7"/>
      <c r="JQZ1073" s="7"/>
      <c r="JRA1073" s="7"/>
      <c r="JRB1073" s="7"/>
      <c r="JRC1073" s="7"/>
      <c r="JRD1073" s="7"/>
      <c r="JRE1073" s="7"/>
      <c r="JRF1073" s="7"/>
      <c r="JRG1073" s="7"/>
      <c r="JRH1073" s="7"/>
      <c r="JRI1073" s="7"/>
      <c r="JRJ1073" s="7"/>
      <c r="JRK1073" s="7"/>
      <c r="JRL1073" s="7"/>
      <c r="JRM1073" s="7"/>
      <c r="JRN1073" s="7"/>
      <c r="JRO1073" s="7"/>
      <c r="JRP1073" s="7"/>
      <c r="JRQ1073" s="7"/>
      <c r="JRR1073" s="7"/>
      <c r="JRS1073" s="7"/>
      <c r="JRT1073" s="7"/>
      <c r="JRU1073" s="7"/>
      <c r="JRV1073" s="7"/>
      <c r="JRW1073" s="7"/>
      <c r="JRX1073" s="7"/>
      <c r="JRY1073" s="7"/>
      <c r="JRZ1073" s="7"/>
      <c r="JSA1073" s="7"/>
      <c r="JSB1073" s="7"/>
      <c r="JSC1073" s="7"/>
      <c r="JSD1073" s="7"/>
      <c r="JSE1073" s="7"/>
      <c r="JSF1073" s="7"/>
      <c r="JSG1073" s="7"/>
      <c r="JSH1073" s="7"/>
      <c r="JSI1073" s="7"/>
      <c r="JSJ1073" s="7"/>
      <c r="JSK1073" s="7"/>
      <c r="JSL1073" s="7"/>
      <c r="JSM1073" s="7"/>
      <c r="JSN1073" s="7"/>
      <c r="JSO1073" s="7"/>
      <c r="JSP1073" s="7"/>
      <c r="JSQ1073" s="7"/>
      <c r="JSR1073" s="7"/>
      <c r="JSS1073" s="7"/>
      <c r="JST1073" s="7"/>
      <c r="JSU1073" s="7"/>
      <c r="JSV1073" s="7"/>
      <c r="JSW1073" s="7"/>
      <c r="JSX1073" s="7"/>
      <c r="JSY1073" s="7"/>
      <c r="JSZ1073" s="7"/>
      <c r="JTA1073" s="7"/>
      <c r="JTB1073" s="7"/>
      <c r="JTC1073" s="7"/>
      <c r="JTD1073" s="7"/>
      <c r="JTE1073" s="7"/>
      <c r="JTF1073" s="7"/>
      <c r="JTG1073" s="7"/>
      <c r="JTH1073" s="7"/>
      <c r="JTI1073" s="7"/>
      <c r="JTJ1073" s="7"/>
      <c r="JTK1073" s="7"/>
      <c r="JTL1073" s="7"/>
      <c r="JTM1073" s="7"/>
      <c r="JTN1073" s="7"/>
      <c r="JTO1073" s="7"/>
      <c r="JTP1073" s="7"/>
      <c r="JTQ1073" s="7"/>
      <c r="JTR1073" s="7"/>
      <c r="JTS1073" s="7"/>
      <c r="JTT1073" s="7"/>
      <c r="JTU1073" s="7"/>
      <c r="JTV1073" s="7"/>
      <c r="JTW1073" s="7"/>
      <c r="JTX1073" s="7"/>
      <c r="JTY1073" s="7"/>
      <c r="JTZ1073" s="7"/>
      <c r="JUA1073" s="7"/>
      <c r="JUB1073" s="7"/>
      <c r="JUC1073" s="7"/>
      <c r="JUD1073" s="7"/>
      <c r="JUE1073" s="7"/>
      <c r="JUF1073" s="7"/>
      <c r="JUG1073" s="7"/>
      <c r="JUH1073" s="7"/>
      <c r="JUI1073" s="7"/>
      <c r="JUJ1073" s="7"/>
      <c r="JUK1073" s="7"/>
      <c r="JUL1073" s="7"/>
      <c r="JUM1073" s="7"/>
      <c r="JUN1073" s="7"/>
      <c r="JUO1073" s="7"/>
      <c r="JUP1073" s="7"/>
      <c r="JUQ1073" s="7"/>
      <c r="JUR1073" s="7"/>
      <c r="JUS1073" s="7"/>
      <c r="JUT1073" s="7"/>
      <c r="JUU1073" s="7"/>
      <c r="JUV1073" s="7"/>
      <c r="JUW1073" s="7"/>
      <c r="JUX1073" s="7"/>
      <c r="JUY1073" s="7"/>
      <c r="JUZ1073" s="7"/>
      <c r="JVA1073" s="7"/>
      <c r="JVB1073" s="7"/>
      <c r="JVC1073" s="7"/>
      <c r="JVD1073" s="7"/>
      <c r="JVE1073" s="7"/>
      <c r="JVF1073" s="7"/>
      <c r="JVG1073" s="7"/>
      <c r="JVH1073" s="7"/>
      <c r="JVI1073" s="7"/>
      <c r="JVJ1073" s="7"/>
      <c r="JVK1073" s="7"/>
      <c r="JVL1073" s="7"/>
      <c r="JVM1073" s="7"/>
      <c r="JVN1073" s="7"/>
      <c r="JVO1073" s="7"/>
      <c r="JVP1073" s="7"/>
      <c r="JVQ1073" s="7"/>
      <c r="JVR1073" s="7"/>
      <c r="JVS1073" s="7"/>
      <c r="JVT1073" s="7"/>
      <c r="JVU1073" s="7"/>
      <c r="JVV1073" s="7"/>
      <c r="JVW1073" s="7"/>
      <c r="JVX1073" s="7"/>
      <c r="JVY1073" s="7"/>
      <c r="JVZ1073" s="7"/>
      <c r="JWA1073" s="7"/>
      <c r="JWB1073" s="7"/>
      <c r="JWC1073" s="7"/>
      <c r="JWD1073" s="7"/>
      <c r="JWE1073" s="7"/>
      <c r="JWF1073" s="7"/>
      <c r="JWG1073" s="7"/>
      <c r="JWH1073" s="7"/>
      <c r="JWI1073" s="7"/>
      <c r="JWJ1073" s="7"/>
      <c r="JWK1073" s="7"/>
      <c r="JWL1073" s="7"/>
      <c r="JWM1073" s="7"/>
      <c r="JWN1073" s="7"/>
      <c r="JWO1073" s="7"/>
      <c r="JWP1073" s="7"/>
      <c r="JWQ1073" s="7"/>
      <c r="JWR1073" s="7"/>
      <c r="JWS1073" s="7"/>
      <c r="JWT1073" s="7"/>
      <c r="JWU1073" s="7"/>
      <c r="JWV1073" s="7"/>
      <c r="JWW1073" s="7"/>
      <c r="JWX1073" s="7"/>
      <c r="JWY1073" s="7"/>
      <c r="JWZ1073" s="7"/>
      <c r="JXA1073" s="7"/>
      <c r="JXB1073" s="7"/>
      <c r="JXC1073" s="7"/>
      <c r="JXD1073" s="7"/>
      <c r="JXE1073" s="7"/>
      <c r="JXF1073" s="7"/>
      <c r="JXG1073" s="7"/>
      <c r="JXH1073" s="7"/>
      <c r="JXI1073" s="7"/>
      <c r="JXJ1073" s="7"/>
      <c r="JXK1073" s="7"/>
      <c r="JXL1073" s="7"/>
      <c r="JXM1073" s="7"/>
      <c r="JXN1073" s="7"/>
      <c r="JXO1073" s="7"/>
      <c r="JXP1073" s="7"/>
      <c r="JXQ1073" s="7"/>
      <c r="JXR1073" s="7"/>
      <c r="JXS1073" s="7"/>
      <c r="JXT1073" s="7"/>
      <c r="JXU1073" s="7"/>
      <c r="JXV1073" s="7"/>
      <c r="JXW1073" s="7"/>
      <c r="JXX1073" s="7"/>
      <c r="JXY1073" s="7"/>
      <c r="JXZ1073" s="7"/>
      <c r="JYA1073" s="7"/>
      <c r="JYB1073" s="7"/>
      <c r="JYC1073" s="7"/>
      <c r="JYD1073" s="7"/>
      <c r="JYE1073" s="7"/>
      <c r="JYF1073" s="7"/>
      <c r="JYG1073" s="7"/>
      <c r="JYH1073" s="7"/>
      <c r="JYI1073" s="7"/>
      <c r="JYJ1073" s="7"/>
      <c r="JYK1073" s="7"/>
      <c r="JYL1073" s="7"/>
      <c r="JYM1073" s="7"/>
      <c r="JYN1073" s="7"/>
      <c r="JYO1073" s="7"/>
      <c r="JYP1073" s="7"/>
      <c r="JYQ1073" s="7"/>
      <c r="JYR1073" s="7"/>
      <c r="JYS1073" s="7"/>
      <c r="JYT1073" s="7"/>
      <c r="JYU1073" s="7"/>
      <c r="JYV1073" s="7"/>
      <c r="JYW1073" s="7"/>
      <c r="JYX1073" s="7"/>
      <c r="JYY1073" s="7"/>
      <c r="JYZ1073" s="7"/>
      <c r="JZA1073" s="7"/>
      <c r="JZB1073" s="7"/>
      <c r="JZC1073" s="7"/>
      <c r="JZD1073" s="7"/>
      <c r="JZE1073" s="7"/>
      <c r="JZF1073" s="7"/>
      <c r="JZG1073" s="7"/>
      <c r="JZH1073" s="7"/>
      <c r="JZI1073" s="7"/>
      <c r="JZJ1073" s="7"/>
      <c r="JZK1073" s="7"/>
      <c r="JZL1073" s="7"/>
      <c r="JZM1073" s="7"/>
      <c r="JZN1073" s="7"/>
      <c r="JZO1073" s="7"/>
      <c r="JZP1073" s="7"/>
      <c r="JZQ1073" s="7"/>
      <c r="JZR1073" s="7"/>
      <c r="JZS1073" s="7"/>
      <c r="JZT1073" s="7"/>
      <c r="JZU1073" s="7"/>
      <c r="JZV1073" s="7"/>
      <c r="JZW1073" s="7"/>
      <c r="JZX1073" s="7"/>
      <c r="JZY1073" s="7"/>
      <c r="JZZ1073" s="7"/>
      <c r="KAA1073" s="7"/>
      <c r="KAB1073" s="7"/>
      <c r="KAC1073" s="7"/>
      <c r="KAD1073" s="7"/>
      <c r="KAE1073" s="7"/>
      <c r="KAF1073" s="7"/>
      <c r="KAG1073" s="7"/>
      <c r="KAH1073" s="7"/>
      <c r="KAI1073" s="7"/>
      <c r="KAJ1073" s="7"/>
      <c r="KAK1073" s="7"/>
      <c r="KAL1073" s="7"/>
      <c r="KAM1073" s="7"/>
      <c r="KAN1073" s="7"/>
      <c r="KAO1073" s="7"/>
      <c r="KAP1073" s="7"/>
      <c r="KAQ1073" s="7"/>
      <c r="KAR1073" s="7"/>
      <c r="KAS1073" s="7"/>
      <c r="KAT1073" s="7"/>
      <c r="KAU1073" s="7"/>
      <c r="KAV1073" s="7"/>
      <c r="KAW1073" s="7"/>
      <c r="KAX1073" s="7"/>
      <c r="KAY1073" s="7"/>
      <c r="KAZ1073" s="7"/>
      <c r="KBA1073" s="7"/>
      <c r="KBB1073" s="7"/>
      <c r="KBC1073" s="7"/>
      <c r="KBD1073" s="7"/>
      <c r="KBE1073" s="7"/>
      <c r="KBF1073" s="7"/>
      <c r="KBG1073" s="7"/>
      <c r="KBH1073" s="7"/>
      <c r="KBI1073" s="7"/>
      <c r="KBJ1073" s="7"/>
      <c r="KBK1073" s="7"/>
      <c r="KBL1073" s="7"/>
      <c r="KBM1073" s="7"/>
      <c r="KBN1073" s="7"/>
      <c r="KBO1073" s="7"/>
      <c r="KBP1073" s="7"/>
      <c r="KBQ1073" s="7"/>
      <c r="KBR1073" s="7"/>
      <c r="KBS1073" s="7"/>
      <c r="KBT1073" s="7"/>
      <c r="KBU1073" s="7"/>
      <c r="KBV1073" s="7"/>
      <c r="KBW1073" s="7"/>
      <c r="KBX1073" s="7"/>
      <c r="KBY1073" s="7"/>
      <c r="KBZ1073" s="7"/>
      <c r="KCA1073" s="7"/>
      <c r="KCB1073" s="7"/>
      <c r="KCC1073" s="7"/>
      <c r="KCD1073" s="7"/>
      <c r="KCE1073" s="7"/>
      <c r="KCF1073" s="7"/>
      <c r="KCG1073" s="7"/>
      <c r="KCH1073" s="7"/>
      <c r="KCI1073" s="7"/>
      <c r="KCJ1073" s="7"/>
      <c r="KCK1073" s="7"/>
      <c r="KCL1073" s="7"/>
      <c r="KCM1073" s="7"/>
      <c r="KCN1073" s="7"/>
      <c r="KCO1073" s="7"/>
      <c r="KCP1073" s="7"/>
      <c r="KCQ1073" s="7"/>
      <c r="KCR1073" s="7"/>
      <c r="KCS1073" s="7"/>
      <c r="KCT1073" s="7"/>
      <c r="KCU1073" s="7"/>
      <c r="KCV1073" s="7"/>
      <c r="KCW1073" s="7"/>
      <c r="KCX1073" s="7"/>
      <c r="KCY1073" s="7"/>
      <c r="KCZ1073" s="7"/>
      <c r="KDA1073" s="7"/>
      <c r="KDB1073" s="7"/>
      <c r="KDC1073" s="7"/>
      <c r="KDD1073" s="7"/>
      <c r="KDE1073" s="7"/>
      <c r="KDF1073" s="7"/>
      <c r="KDG1073" s="7"/>
      <c r="KDH1073" s="7"/>
      <c r="KDI1073" s="7"/>
      <c r="KDJ1073" s="7"/>
      <c r="KDK1073" s="7"/>
      <c r="KDL1073" s="7"/>
      <c r="KDM1073" s="7"/>
      <c r="KDN1073" s="7"/>
      <c r="KDO1073" s="7"/>
      <c r="KDP1073" s="7"/>
      <c r="KDQ1073" s="7"/>
      <c r="KDR1073" s="7"/>
      <c r="KDS1073" s="7"/>
      <c r="KDT1073" s="7"/>
      <c r="KDU1073" s="7"/>
      <c r="KDV1073" s="7"/>
      <c r="KDW1073" s="7"/>
      <c r="KDX1073" s="7"/>
      <c r="KDY1073" s="7"/>
      <c r="KDZ1073" s="7"/>
      <c r="KEA1073" s="7"/>
      <c r="KEB1073" s="7"/>
      <c r="KEC1073" s="7"/>
      <c r="KED1073" s="7"/>
      <c r="KEE1073" s="7"/>
      <c r="KEF1073" s="7"/>
      <c r="KEG1073" s="7"/>
      <c r="KEH1073" s="7"/>
      <c r="KEI1073" s="7"/>
      <c r="KEJ1073" s="7"/>
      <c r="KEK1073" s="7"/>
      <c r="KEL1073" s="7"/>
      <c r="KEM1073" s="7"/>
      <c r="KEN1073" s="7"/>
      <c r="KEO1073" s="7"/>
      <c r="KEP1073" s="7"/>
      <c r="KEQ1073" s="7"/>
      <c r="KER1073" s="7"/>
      <c r="KES1073" s="7"/>
      <c r="KET1073" s="7"/>
      <c r="KEU1073" s="7"/>
      <c r="KEV1073" s="7"/>
      <c r="KEW1073" s="7"/>
      <c r="KEX1073" s="7"/>
      <c r="KEY1073" s="7"/>
      <c r="KEZ1073" s="7"/>
      <c r="KFA1073" s="7"/>
      <c r="KFB1073" s="7"/>
      <c r="KFC1073" s="7"/>
      <c r="KFD1073" s="7"/>
      <c r="KFE1073" s="7"/>
      <c r="KFF1073" s="7"/>
      <c r="KFG1073" s="7"/>
      <c r="KFH1073" s="7"/>
      <c r="KFI1073" s="7"/>
      <c r="KFJ1073" s="7"/>
      <c r="KFK1073" s="7"/>
      <c r="KFL1073" s="7"/>
      <c r="KFM1073" s="7"/>
      <c r="KFN1073" s="7"/>
      <c r="KFO1073" s="7"/>
      <c r="KFP1073" s="7"/>
      <c r="KFQ1073" s="7"/>
      <c r="KFR1073" s="7"/>
      <c r="KFS1073" s="7"/>
      <c r="KFT1073" s="7"/>
      <c r="KFU1073" s="7"/>
      <c r="KFV1073" s="7"/>
      <c r="KFW1073" s="7"/>
      <c r="KFX1073" s="7"/>
      <c r="KFY1073" s="7"/>
      <c r="KFZ1073" s="7"/>
      <c r="KGA1073" s="7"/>
      <c r="KGB1073" s="7"/>
      <c r="KGC1073" s="7"/>
      <c r="KGD1073" s="7"/>
      <c r="KGE1073" s="7"/>
      <c r="KGF1073" s="7"/>
      <c r="KGG1073" s="7"/>
      <c r="KGH1073" s="7"/>
      <c r="KGI1073" s="7"/>
      <c r="KGJ1073" s="7"/>
      <c r="KGK1073" s="7"/>
      <c r="KGL1073" s="7"/>
      <c r="KGM1073" s="7"/>
      <c r="KGN1073" s="7"/>
      <c r="KGO1073" s="7"/>
      <c r="KGP1073" s="7"/>
      <c r="KGQ1073" s="7"/>
      <c r="KGR1073" s="7"/>
      <c r="KGS1073" s="7"/>
      <c r="KGT1073" s="7"/>
      <c r="KGU1073" s="7"/>
      <c r="KGV1073" s="7"/>
      <c r="KGW1073" s="7"/>
      <c r="KGX1073" s="7"/>
      <c r="KGY1073" s="7"/>
      <c r="KGZ1073" s="7"/>
      <c r="KHA1073" s="7"/>
      <c r="KHB1073" s="7"/>
      <c r="KHC1073" s="7"/>
      <c r="KHD1073" s="7"/>
      <c r="KHE1073" s="7"/>
      <c r="KHF1073" s="7"/>
      <c r="KHG1073" s="7"/>
      <c r="KHH1073" s="7"/>
      <c r="KHI1073" s="7"/>
      <c r="KHJ1073" s="7"/>
      <c r="KHK1073" s="7"/>
      <c r="KHL1073" s="7"/>
      <c r="KHM1073" s="7"/>
      <c r="KHN1073" s="7"/>
      <c r="KHO1073" s="7"/>
      <c r="KHP1073" s="7"/>
      <c r="KHQ1073" s="7"/>
      <c r="KHR1073" s="7"/>
      <c r="KHS1073" s="7"/>
      <c r="KHT1073" s="7"/>
      <c r="KHU1073" s="7"/>
      <c r="KHV1073" s="7"/>
      <c r="KHW1073" s="7"/>
      <c r="KHX1073" s="7"/>
      <c r="KHY1073" s="7"/>
      <c r="KHZ1073" s="7"/>
      <c r="KIA1073" s="7"/>
      <c r="KIB1073" s="7"/>
      <c r="KIC1073" s="7"/>
      <c r="KID1073" s="7"/>
      <c r="KIE1073" s="7"/>
      <c r="KIF1073" s="7"/>
      <c r="KIG1073" s="7"/>
      <c r="KIH1073" s="7"/>
      <c r="KII1073" s="7"/>
      <c r="KIJ1073" s="7"/>
      <c r="KIK1073" s="7"/>
      <c r="KIL1073" s="7"/>
      <c r="KIM1073" s="7"/>
      <c r="KIN1073" s="7"/>
      <c r="KIO1073" s="7"/>
      <c r="KIP1073" s="7"/>
      <c r="KIQ1073" s="7"/>
      <c r="KIR1073" s="7"/>
      <c r="KIS1073" s="7"/>
      <c r="KIT1073" s="7"/>
      <c r="KIU1073" s="7"/>
      <c r="KIV1073" s="7"/>
      <c r="KIW1073" s="7"/>
      <c r="KIX1073" s="7"/>
      <c r="KIY1073" s="7"/>
      <c r="KIZ1073" s="7"/>
      <c r="KJA1073" s="7"/>
      <c r="KJB1073" s="7"/>
      <c r="KJC1073" s="7"/>
      <c r="KJD1073" s="7"/>
      <c r="KJE1073" s="7"/>
      <c r="KJF1073" s="7"/>
      <c r="KJG1073" s="7"/>
      <c r="KJH1073" s="7"/>
      <c r="KJI1073" s="7"/>
      <c r="KJJ1073" s="7"/>
      <c r="KJK1073" s="7"/>
      <c r="KJL1073" s="7"/>
      <c r="KJM1073" s="7"/>
      <c r="KJN1073" s="7"/>
      <c r="KJO1073" s="7"/>
      <c r="KJP1073" s="7"/>
      <c r="KJQ1073" s="7"/>
      <c r="KJR1073" s="7"/>
      <c r="KJS1073" s="7"/>
      <c r="KJT1073" s="7"/>
      <c r="KJU1073" s="7"/>
      <c r="KJV1073" s="7"/>
      <c r="KJW1073" s="7"/>
      <c r="KJX1073" s="7"/>
      <c r="KJY1073" s="7"/>
      <c r="KJZ1073" s="7"/>
      <c r="KKA1073" s="7"/>
      <c r="KKB1073" s="7"/>
      <c r="KKC1073" s="7"/>
      <c r="KKD1073" s="7"/>
      <c r="KKE1073" s="7"/>
      <c r="KKF1073" s="7"/>
      <c r="KKG1073" s="7"/>
      <c r="KKH1073" s="7"/>
      <c r="KKI1073" s="7"/>
      <c r="KKJ1073" s="7"/>
      <c r="KKK1073" s="7"/>
      <c r="KKL1073" s="7"/>
      <c r="KKM1073" s="7"/>
      <c r="KKN1073" s="7"/>
      <c r="KKO1073" s="7"/>
      <c r="KKP1073" s="7"/>
      <c r="KKQ1073" s="7"/>
      <c r="KKR1073" s="7"/>
      <c r="KKS1073" s="7"/>
      <c r="KKT1073" s="7"/>
      <c r="KKU1073" s="7"/>
      <c r="KKV1073" s="7"/>
      <c r="KKW1073" s="7"/>
      <c r="KKX1073" s="7"/>
      <c r="KKY1073" s="7"/>
      <c r="KKZ1073" s="7"/>
      <c r="KLA1073" s="7"/>
      <c r="KLB1073" s="7"/>
      <c r="KLC1073" s="7"/>
      <c r="KLD1073" s="7"/>
      <c r="KLE1073" s="7"/>
      <c r="KLF1073" s="7"/>
      <c r="KLG1073" s="7"/>
      <c r="KLH1073" s="7"/>
      <c r="KLI1073" s="7"/>
      <c r="KLJ1073" s="7"/>
      <c r="KLK1073" s="7"/>
      <c r="KLL1073" s="7"/>
      <c r="KLM1073" s="7"/>
      <c r="KLN1073" s="7"/>
      <c r="KLO1073" s="7"/>
      <c r="KLP1073" s="7"/>
      <c r="KLQ1073" s="7"/>
      <c r="KLR1073" s="7"/>
      <c r="KLS1073" s="7"/>
      <c r="KLT1073" s="7"/>
      <c r="KLU1073" s="7"/>
      <c r="KLV1073" s="7"/>
      <c r="KLW1073" s="7"/>
      <c r="KLX1073" s="7"/>
      <c r="KLY1073" s="7"/>
      <c r="KLZ1073" s="7"/>
      <c r="KMA1073" s="7"/>
      <c r="KMB1073" s="7"/>
      <c r="KMC1073" s="7"/>
      <c r="KMD1073" s="7"/>
      <c r="KME1073" s="7"/>
      <c r="KMF1073" s="7"/>
      <c r="KMG1073" s="7"/>
      <c r="KMH1073" s="7"/>
      <c r="KMI1073" s="7"/>
      <c r="KMJ1073" s="7"/>
      <c r="KMK1073" s="7"/>
      <c r="KML1073" s="7"/>
      <c r="KMM1073" s="7"/>
      <c r="KMN1073" s="7"/>
      <c r="KMO1073" s="7"/>
      <c r="KMP1073" s="7"/>
      <c r="KMQ1073" s="7"/>
      <c r="KMR1073" s="7"/>
      <c r="KMS1073" s="7"/>
      <c r="KMT1073" s="7"/>
      <c r="KMU1073" s="7"/>
      <c r="KMV1073" s="7"/>
      <c r="KMW1073" s="7"/>
      <c r="KMX1073" s="7"/>
      <c r="KMY1073" s="7"/>
      <c r="KMZ1073" s="7"/>
      <c r="KNA1073" s="7"/>
      <c r="KNB1073" s="7"/>
      <c r="KNC1073" s="7"/>
      <c r="KND1073" s="7"/>
      <c r="KNE1073" s="7"/>
      <c r="KNF1073" s="7"/>
      <c r="KNG1073" s="7"/>
      <c r="KNH1073" s="7"/>
      <c r="KNI1073" s="7"/>
      <c r="KNJ1073" s="7"/>
      <c r="KNK1073" s="7"/>
      <c r="KNL1073" s="7"/>
      <c r="KNM1073" s="7"/>
      <c r="KNN1073" s="7"/>
      <c r="KNO1073" s="7"/>
      <c r="KNP1073" s="7"/>
      <c r="KNQ1073" s="7"/>
      <c r="KNR1073" s="7"/>
      <c r="KNS1073" s="7"/>
      <c r="KNT1073" s="7"/>
      <c r="KNU1073" s="7"/>
      <c r="KNV1073" s="7"/>
      <c r="KNW1073" s="7"/>
      <c r="KNX1073" s="7"/>
      <c r="KNY1073" s="7"/>
      <c r="KNZ1073" s="7"/>
      <c r="KOA1073" s="7"/>
      <c r="KOB1073" s="7"/>
      <c r="KOC1073" s="7"/>
      <c r="KOD1073" s="7"/>
      <c r="KOE1073" s="7"/>
      <c r="KOF1073" s="7"/>
      <c r="KOG1073" s="7"/>
      <c r="KOH1073" s="7"/>
      <c r="KOI1073" s="7"/>
      <c r="KOJ1073" s="7"/>
      <c r="KOK1073" s="7"/>
      <c r="KOL1073" s="7"/>
      <c r="KOM1073" s="7"/>
      <c r="KON1073" s="7"/>
      <c r="KOO1073" s="7"/>
      <c r="KOP1073" s="7"/>
      <c r="KOQ1073" s="7"/>
      <c r="KOR1073" s="7"/>
      <c r="KOS1073" s="7"/>
      <c r="KOT1073" s="7"/>
      <c r="KOU1073" s="7"/>
      <c r="KOV1073" s="7"/>
      <c r="KOW1073" s="7"/>
      <c r="KOX1073" s="7"/>
      <c r="KOY1073" s="7"/>
      <c r="KOZ1073" s="7"/>
      <c r="KPA1073" s="7"/>
      <c r="KPB1073" s="7"/>
      <c r="KPC1073" s="7"/>
      <c r="KPD1073" s="7"/>
      <c r="KPE1073" s="7"/>
      <c r="KPF1073" s="7"/>
      <c r="KPG1073" s="7"/>
      <c r="KPH1073" s="7"/>
      <c r="KPI1073" s="7"/>
      <c r="KPJ1073" s="7"/>
      <c r="KPK1073" s="7"/>
      <c r="KPL1073" s="7"/>
      <c r="KPM1073" s="7"/>
      <c r="KPN1073" s="7"/>
      <c r="KPO1073" s="7"/>
      <c r="KPP1073" s="7"/>
      <c r="KPQ1073" s="7"/>
      <c r="KPR1073" s="7"/>
      <c r="KPS1073" s="7"/>
      <c r="KPT1073" s="7"/>
      <c r="KPU1073" s="7"/>
      <c r="KPV1073" s="7"/>
      <c r="KPW1073" s="7"/>
      <c r="KPX1073" s="7"/>
      <c r="KPY1073" s="7"/>
      <c r="KPZ1073" s="7"/>
      <c r="KQA1073" s="7"/>
      <c r="KQB1073" s="7"/>
      <c r="KQC1073" s="7"/>
      <c r="KQD1073" s="7"/>
      <c r="KQE1073" s="7"/>
      <c r="KQF1073" s="7"/>
      <c r="KQG1073" s="7"/>
      <c r="KQH1073" s="7"/>
      <c r="KQI1073" s="7"/>
      <c r="KQJ1073" s="7"/>
      <c r="KQK1073" s="7"/>
      <c r="KQL1073" s="7"/>
      <c r="KQM1073" s="7"/>
      <c r="KQN1073" s="7"/>
      <c r="KQO1073" s="7"/>
      <c r="KQP1073" s="7"/>
      <c r="KQQ1073" s="7"/>
      <c r="KQR1073" s="7"/>
      <c r="KQS1073" s="7"/>
      <c r="KQT1073" s="7"/>
      <c r="KQU1073" s="7"/>
      <c r="KQV1073" s="7"/>
      <c r="KQW1073" s="7"/>
      <c r="KQX1073" s="7"/>
      <c r="KQY1073" s="7"/>
      <c r="KQZ1073" s="7"/>
      <c r="KRA1073" s="7"/>
      <c r="KRB1073" s="7"/>
      <c r="KRC1073" s="7"/>
      <c r="KRD1073" s="7"/>
      <c r="KRE1073" s="7"/>
      <c r="KRF1073" s="7"/>
      <c r="KRG1073" s="7"/>
      <c r="KRH1073" s="7"/>
      <c r="KRI1073" s="7"/>
      <c r="KRJ1073" s="7"/>
      <c r="KRK1073" s="7"/>
      <c r="KRL1073" s="7"/>
      <c r="KRM1073" s="7"/>
      <c r="KRN1073" s="7"/>
      <c r="KRO1073" s="7"/>
      <c r="KRP1073" s="7"/>
      <c r="KRQ1073" s="7"/>
      <c r="KRR1073" s="7"/>
      <c r="KRS1073" s="7"/>
      <c r="KRT1073" s="7"/>
      <c r="KRU1073" s="7"/>
      <c r="KRV1073" s="7"/>
      <c r="KRW1073" s="7"/>
      <c r="KRX1073" s="7"/>
      <c r="KRY1073" s="7"/>
      <c r="KRZ1073" s="7"/>
      <c r="KSA1073" s="7"/>
      <c r="KSB1073" s="7"/>
      <c r="KSC1073" s="7"/>
      <c r="KSD1073" s="7"/>
      <c r="KSE1073" s="7"/>
      <c r="KSF1073" s="7"/>
      <c r="KSG1073" s="7"/>
      <c r="KSH1073" s="7"/>
      <c r="KSI1073" s="7"/>
      <c r="KSJ1073" s="7"/>
      <c r="KSK1073" s="7"/>
      <c r="KSL1073" s="7"/>
      <c r="KSM1073" s="7"/>
      <c r="KSN1073" s="7"/>
      <c r="KSO1073" s="7"/>
      <c r="KSP1073" s="7"/>
      <c r="KSQ1073" s="7"/>
      <c r="KSR1073" s="7"/>
      <c r="KSS1073" s="7"/>
      <c r="KST1073" s="7"/>
      <c r="KSU1073" s="7"/>
      <c r="KSV1073" s="7"/>
      <c r="KSW1073" s="7"/>
      <c r="KSX1073" s="7"/>
      <c r="KSY1073" s="7"/>
      <c r="KSZ1073" s="7"/>
      <c r="KTA1073" s="7"/>
      <c r="KTB1073" s="7"/>
      <c r="KTC1073" s="7"/>
      <c r="KTD1073" s="7"/>
      <c r="KTE1073" s="7"/>
      <c r="KTF1073" s="7"/>
      <c r="KTG1073" s="7"/>
      <c r="KTH1073" s="7"/>
      <c r="KTI1073" s="7"/>
      <c r="KTJ1073" s="7"/>
      <c r="KTK1073" s="7"/>
      <c r="KTL1073" s="7"/>
      <c r="KTM1073" s="7"/>
      <c r="KTN1073" s="7"/>
      <c r="KTO1073" s="7"/>
      <c r="KTP1073" s="7"/>
      <c r="KTQ1073" s="7"/>
      <c r="KTR1073" s="7"/>
      <c r="KTS1073" s="7"/>
      <c r="KTT1073" s="7"/>
      <c r="KTU1073" s="7"/>
      <c r="KTV1073" s="7"/>
      <c r="KTW1073" s="7"/>
      <c r="KTX1073" s="7"/>
      <c r="KTY1073" s="7"/>
      <c r="KTZ1073" s="7"/>
      <c r="KUA1073" s="7"/>
      <c r="KUB1073" s="7"/>
      <c r="KUC1073" s="7"/>
      <c r="KUD1073" s="7"/>
      <c r="KUE1073" s="7"/>
      <c r="KUF1073" s="7"/>
      <c r="KUG1073" s="7"/>
      <c r="KUH1073" s="7"/>
      <c r="KUI1073" s="7"/>
      <c r="KUJ1073" s="7"/>
      <c r="KUK1073" s="7"/>
      <c r="KUL1073" s="7"/>
      <c r="KUM1073" s="7"/>
      <c r="KUN1073" s="7"/>
      <c r="KUO1073" s="7"/>
      <c r="KUP1073" s="7"/>
      <c r="KUQ1073" s="7"/>
      <c r="KUR1073" s="7"/>
      <c r="KUS1073" s="7"/>
      <c r="KUT1073" s="7"/>
      <c r="KUU1073" s="7"/>
      <c r="KUV1073" s="7"/>
      <c r="KUW1073" s="7"/>
      <c r="KUX1073" s="7"/>
      <c r="KUY1073" s="7"/>
      <c r="KUZ1073" s="7"/>
      <c r="KVA1073" s="7"/>
      <c r="KVB1073" s="7"/>
      <c r="KVC1073" s="7"/>
      <c r="KVD1073" s="7"/>
      <c r="KVE1073" s="7"/>
      <c r="KVF1073" s="7"/>
      <c r="KVG1073" s="7"/>
      <c r="KVH1073" s="7"/>
      <c r="KVI1073" s="7"/>
      <c r="KVJ1073" s="7"/>
      <c r="KVK1073" s="7"/>
      <c r="KVL1073" s="7"/>
      <c r="KVM1073" s="7"/>
      <c r="KVN1073" s="7"/>
      <c r="KVO1073" s="7"/>
      <c r="KVP1073" s="7"/>
      <c r="KVQ1073" s="7"/>
      <c r="KVR1073" s="7"/>
      <c r="KVS1073" s="7"/>
      <c r="KVT1073" s="7"/>
      <c r="KVU1073" s="7"/>
      <c r="KVV1073" s="7"/>
      <c r="KVW1073" s="7"/>
      <c r="KVX1073" s="7"/>
      <c r="KVY1073" s="7"/>
      <c r="KVZ1073" s="7"/>
      <c r="KWA1073" s="7"/>
      <c r="KWB1073" s="7"/>
      <c r="KWC1073" s="7"/>
      <c r="KWD1073" s="7"/>
      <c r="KWE1073" s="7"/>
      <c r="KWF1073" s="7"/>
      <c r="KWG1073" s="7"/>
      <c r="KWH1073" s="7"/>
      <c r="KWI1073" s="7"/>
      <c r="KWJ1073" s="7"/>
      <c r="KWK1073" s="7"/>
      <c r="KWL1073" s="7"/>
      <c r="KWM1073" s="7"/>
      <c r="KWN1073" s="7"/>
      <c r="KWO1073" s="7"/>
      <c r="KWP1073" s="7"/>
      <c r="KWQ1073" s="7"/>
      <c r="KWR1073" s="7"/>
      <c r="KWS1073" s="7"/>
      <c r="KWT1073" s="7"/>
      <c r="KWU1073" s="7"/>
      <c r="KWV1073" s="7"/>
      <c r="KWW1073" s="7"/>
      <c r="KWX1073" s="7"/>
      <c r="KWY1073" s="7"/>
      <c r="KWZ1073" s="7"/>
      <c r="KXA1073" s="7"/>
      <c r="KXB1073" s="7"/>
      <c r="KXC1073" s="7"/>
      <c r="KXD1073" s="7"/>
      <c r="KXE1073" s="7"/>
      <c r="KXF1073" s="7"/>
      <c r="KXG1073" s="7"/>
      <c r="KXH1073" s="7"/>
      <c r="KXI1073" s="7"/>
      <c r="KXJ1073" s="7"/>
      <c r="KXK1073" s="7"/>
      <c r="KXL1073" s="7"/>
      <c r="KXM1073" s="7"/>
      <c r="KXN1073" s="7"/>
      <c r="KXO1073" s="7"/>
      <c r="KXP1073" s="7"/>
      <c r="KXQ1073" s="7"/>
      <c r="KXR1073" s="7"/>
      <c r="KXS1073" s="7"/>
      <c r="KXT1073" s="7"/>
      <c r="KXU1073" s="7"/>
      <c r="KXV1073" s="7"/>
      <c r="KXW1073" s="7"/>
      <c r="KXX1073" s="7"/>
      <c r="KXY1073" s="7"/>
      <c r="KXZ1073" s="7"/>
      <c r="KYA1073" s="7"/>
      <c r="KYB1073" s="7"/>
      <c r="KYC1073" s="7"/>
      <c r="KYD1073" s="7"/>
      <c r="KYE1073" s="7"/>
      <c r="KYF1073" s="7"/>
      <c r="KYG1073" s="7"/>
      <c r="KYH1073" s="7"/>
      <c r="KYI1073" s="7"/>
      <c r="KYJ1073" s="7"/>
      <c r="KYK1073" s="7"/>
      <c r="KYL1073" s="7"/>
      <c r="KYM1073" s="7"/>
      <c r="KYN1073" s="7"/>
      <c r="KYO1073" s="7"/>
      <c r="KYP1073" s="7"/>
      <c r="KYQ1073" s="7"/>
      <c r="KYR1073" s="7"/>
      <c r="KYS1073" s="7"/>
      <c r="KYT1073" s="7"/>
      <c r="KYU1073" s="7"/>
      <c r="KYV1073" s="7"/>
      <c r="KYW1073" s="7"/>
      <c r="KYX1073" s="7"/>
      <c r="KYY1073" s="7"/>
      <c r="KYZ1073" s="7"/>
      <c r="KZA1073" s="7"/>
      <c r="KZB1073" s="7"/>
      <c r="KZC1073" s="7"/>
      <c r="KZD1073" s="7"/>
      <c r="KZE1073" s="7"/>
      <c r="KZF1073" s="7"/>
      <c r="KZG1073" s="7"/>
      <c r="KZH1073" s="7"/>
      <c r="KZI1073" s="7"/>
      <c r="KZJ1073" s="7"/>
      <c r="KZK1073" s="7"/>
      <c r="KZL1073" s="7"/>
      <c r="KZM1073" s="7"/>
      <c r="KZN1073" s="7"/>
      <c r="KZO1073" s="7"/>
      <c r="KZP1073" s="7"/>
      <c r="KZQ1073" s="7"/>
      <c r="KZR1073" s="7"/>
      <c r="KZS1073" s="7"/>
      <c r="KZT1073" s="7"/>
      <c r="KZU1073" s="7"/>
      <c r="KZV1073" s="7"/>
      <c r="KZW1073" s="7"/>
      <c r="KZX1073" s="7"/>
      <c r="KZY1073" s="7"/>
      <c r="KZZ1073" s="7"/>
      <c r="LAA1073" s="7"/>
      <c r="LAB1073" s="7"/>
      <c r="LAC1073" s="7"/>
      <c r="LAD1073" s="7"/>
      <c r="LAE1073" s="7"/>
      <c r="LAF1073" s="7"/>
      <c r="LAG1073" s="7"/>
      <c r="LAH1073" s="7"/>
      <c r="LAI1073" s="7"/>
      <c r="LAJ1073" s="7"/>
      <c r="LAK1073" s="7"/>
      <c r="LAL1073" s="7"/>
      <c r="LAM1073" s="7"/>
      <c r="LAN1073" s="7"/>
      <c r="LAO1073" s="7"/>
      <c r="LAP1073" s="7"/>
      <c r="LAQ1073" s="7"/>
      <c r="LAR1073" s="7"/>
      <c r="LAS1073" s="7"/>
      <c r="LAT1073" s="7"/>
      <c r="LAU1073" s="7"/>
      <c r="LAV1073" s="7"/>
      <c r="LAW1073" s="7"/>
      <c r="LAX1073" s="7"/>
      <c r="LAY1073" s="7"/>
      <c r="LAZ1073" s="7"/>
      <c r="LBA1073" s="7"/>
      <c r="LBB1073" s="7"/>
      <c r="LBC1073" s="7"/>
      <c r="LBD1073" s="7"/>
      <c r="LBE1073" s="7"/>
      <c r="LBF1073" s="7"/>
      <c r="LBG1073" s="7"/>
      <c r="LBH1073" s="7"/>
      <c r="LBI1073" s="7"/>
      <c r="LBJ1073" s="7"/>
      <c r="LBK1073" s="7"/>
      <c r="LBL1073" s="7"/>
      <c r="LBM1073" s="7"/>
      <c r="LBN1073" s="7"/>
      <c r="LBO1073" s="7"/>
      <c r="LBP1073" s="7"/>
      <c r="LBQ1073" s="7"/>
      <c r="LBR1073" s="7"/>
      <c r="LBS1073" s="7"/>
      <c r="LBT1073" s="7"/>
      <c r="LBU1073" s="7"/>
      <c r="LBV1073" s="7"/>
      <c r="LBW1073" s="7"/>
      <c r="LBX1073" s="7"/>
      <c r="LBY1073" s="7"/>
      <c r="LBZ1073" s="7"/>
      <c r="LCA1073" s="7"/>
      <c r="LCB1073" s="7"/>
      <c r="LCC1073" s="7"/>
      <c r="LCD1073" s="7"/>
      <c r="LCE1073" s="7"/>
      <c r="LCF1073" s="7"/>
      <c r="LCG1073" s="7"/>
      <c r="LCH1073" s="7"/>
      <c r="LCI1073" s="7"/>
      <c r="LCJ1073" s="7"/>
      <c r="LCK1073" s="7"/>
      <c r="LCL1073" s="7"/>
      <c r="LCM1073" s="7"/>
      <c r="LCN1073" s="7"/>
      <c r="LCO1073" s="7"/>
      <c r="LCP1073" s="7"/>
      <c r="LCQ1073" s="7"/>
      <c r="LCR1073" s="7"/>
      <c r="LCS1073" s="7"/>
      <c r="LCT1073" s="7"/>
      <c r="LCU1073" s="7"/>
      <c r="LCV1073" s="7"/>
      <c r="LCW1073" s="7"/>
      <c r="LCX1073" s="7"/>
      <c r="LCY1073" s="7"/>
      <c r="LCZ1073" s="7"/>
      <c r="LDA1073" s="7"/>
      <c r="LDB1073" s="7"/>
      <c r="LDC1073" s="7"/>
      <c r="LDD1073" s="7"/>
      <c r="LDE1073" s="7"/>
      <c r="LDF1073" s="7"/>
      <c r="LDG1073" s="7"/>
      <c r="LDH1073" s="7"/>
      <c r="LDI1073" s="7"/>
      <c r="LDJ1073" s="7"/>
      <c r="LDK1073" s="7"/>
      <c r="LDL1073" s="7"/>
      <c r="LDM1073" s="7"/>
      <c r="LDN1073" s="7"/>
      <c r="LDO1073" s="7"/>
      <c r="LDP1073" s="7"/>
      <c r="LDQ1073" s="7"/>
      <c r="LDR1073" s="7"/>
      <c r="LDS1073" s="7"/>
      <c r="LDT1073" s="7"/>
      <c r="LDU1073" s="7"/>
      <c r="LDV1073" s="7"/>
      <c r="LDW1073" s="7"/>
      <c r="LDX1073" s="7"/>
      <c r="LDY1073" s="7"/>
      <c r="LDZ1073" s="7"/>
      <c r="LEA1073" s="7"/>
      <c r="LEB1073" s="7"/>
      <c r="LEC1073" s="7"/>
      <c r="LED1073" s="7"/>
      <c r="LEE1073" s="7"/>
      <c r="LEF1073" s="7"/>
      <c r="LEG1073" s="7"/>
      <c r="LEH1073" s="7"/>
      <c r="LEI1073" s="7"/>
      <c r="LEJ1073" s="7"/>
      <c r="LEK1073" s="7"/>
      <c r="LEL1073" s="7"/>
      <c r="LEM1073" s="7"/>
      <c r="LEN1073" s="7"/>
      <c r="LEO1073" s="7"/>
      <c r="LEP1073" s="7"/>
      <c r="LEQ1073" s="7"/>
      <c r="LER1073" s="7"/>
      <c r="LES1073" s="7"/>
      <c r="LET1073" s="7"/>
      <c r="LEU1073" s="7"/>
      <c r="LEV1073" s="7"/>
      <c r="LEW1073" s="7"/>
      <c r="LEX1073" s="7"/>
      <c r="LEY1073" s="7"/>
      <c r="LEZ1073" s="7"/>
      <c r="LFA1073" s="7"/>
      <c r="LFB1073" s="7"/>
      <c r="LFC1073" s="7"/>
      <c r="LFD1073" s="7"/>
      <c r="LFE1073" s="7"/>
      <c r="LFF1073" s="7"/>
      <c r="LFG1073" s="7"/>
      <c r="LFH1073" s="7"/>
      <c r="LFI1073" s="7"/>
      <c r="LFJ1073" s="7"/>
      <c r="LFK1073" s="7"/>
      <c r="LFL1073" s="7"/>
      <c r="LFM1073" s="7"/>
      <c r="LFN1073" s="7"/>
      <c r="LFO1073" s="7"/>
      <c r="LFP1073" s="7"/>
      <c r="LFQ1073" s="7"/>
      <c r="LFR1073" s="7"/>
      <c r="LFS1073" s="7"/>
      <c r="LFT1073" s="7"/>
      <c r="LFU1073" s="7"/>
      <c r="LFV1073" s="7"/>
      <c r="LFW1073" s="7"/>
      <c r="LFX1073" s="7"/>
      <c r="LFY1073" s="7"/>
      <c r="LFZ1073" s="7"/>
      <c r="LGA1073" s="7"/>
      <c r="LGB1073" s="7"/>
      <c r="LGC1073" s="7"/>
      <c r="LGD1073" s="7"/>
      <c r="LGE1073" s="7"/>
      <c r="LGF1073" s="7"/>
      <c r="LGG1073" s="7"/>
      <c r="LGH1073" s="7"/>
      <c r="LGI1073" s="7"/>
      <c r="LGJ1073" s="7"/>
      <c r="LGK1073" s="7"/>
      <c r="LGL1073" s="7"/>
      <c r="LGM1073" s="7"/>
      <c r="LGN1073" s="7"/>
      <c r="LGO1073" s="7"/>
      <c r="LGP1073" s="7"/>
      <c r="LGQ1073" s="7"/>
      <c r="LGR1073" s="7"/>
      <c r="LGS1073" s="7"/>
      <c r="LGT1073" s="7"/>
      <c r="LGU1073" s="7"/>
      <c r="LGV1073" s="7"/>
      <c r="LGW1073" s="7"/>
      <c r="LGX1073" s="7"/>
      <c r="LGY1073" s="7"/>
      <c r="LGZ1073" s="7"/>
      <c r="LHA1073" s="7"/>
      <c r="LHB1073" s="7"/>
      <c r="LHC1073" s="7"/>
      <c r="LHD1073" s="7"/>
      <c r="LHE1073" s="7"/>
      <c r="LHF1073" s="7"/>
      <c r="LHG1073" s="7"/>
      <c r="LHH1073" s="7"/>
      <c r="LHI1073" s="7"/>
      <c r="LHJ1073" s="7"/>
      <c r="LHK1073" s="7"/>
      <c r="LHL1073" s="7"/>
      <c r="LHM1073" s="7"/>
      <c r="LHN1073" s="7"/>
      <c r="LHO1073" s="7"/>
      <c r="LHP1073" s="7"/>
      <c r="LHQ1073" s="7"/>
      <c r="LHR1073" s="7"/>
      <c r="LHS1073" s="7"/>
      <c r="LHT1073" s="7"/>
      <c r="LHU1073" s="7"/>
      <c r="LHV1073" s="7"/>
      <c r="LHW1073" s="7"/>
      <c r="LHX1073" s="7"/>
      <c r="LHY1073" s="7"/>
      <c r="LHZ1073" s="7"/>
      <c r="LIA1073" s="7"/>
      <c r="LIB1073" s="7"/>
      <c r="LIC1073" s="7"/>
      <c r="LID1073" s="7"/>
      <c r="LIE1073" s="7"/>
      <c r="LIF1073" s="7"/>
      <c r="LIG1073" s="7"/>
      <c r="LIH1073" s="7"/>
      <c r="LII1073" s="7"/>
      <c r="LIJ1073" s="7"/>
      <c r="LIK1073" s="7"/>
      <c r="LIL1073" s="7"/>
      <c r="LIM1073" s="7"/>
      <c r="LIN1073" s="7"/>
      <c r="LIO1073" s="7"/>
      <c r="LIP1073" s="7"/>
      <c r="LIQ1073" s="7"/>
      <c r="LIR1073" s="7"/>
      <c r="LIS1073" s="7"/>
      <c r="LIT1073" s="7"/>
      <c r="LIU1073" s="7"/>
      <c r="LIV1073" s="7"/>
      <c r="LIW1073" s="7"/>
      <c r="LIX1073" s="7"/>
      <c r="LIY1073" s="7"/>
      <c r="LIZ1073" s="7"/>
      <c r="LJA1073" s="7"/>
      <c r="LJB1073" s="7"/>
      <c r="LJC1073" s="7"/>
      <c r="LJD1073" s="7"/>
      <c r="LJE1073" s="7"/>
      <c r="LJF1073" s="7"/>
      <c r="LJG1073" s="7"/>
      <c r="LJH1073" s="7"/>
      <c r="LJI1073" s="7"/>
      <c r="LJJ1073" s="7"/>
      <c r="LJK1073" s="7"/>
      <c r="LJL1073" s="7"/>
      <c r="LJM1073" s="7"/>
      <c r="LJN1073" s="7"/>
      <c r="LJO1073" s="7"/>
      <c r="LJP1073" s="7"/>
      <c r="LJQ1073" s="7"/>
      <c r="LJR1073" s="7"/>
      <c r="LJS1073" s="7"/>
      <c r="LJT1073" s="7"/>
      <c r="LJU1073" s="7"/>
      <c r="LJV1073" s="7"/>
      <c r="LJW1073" s="7"/>
      <c r="LJX1073" s="7"/>
      <c r="LJY1073" s="7"/>
      <c r="LJZ1073" s="7"/>
      <c r="LKA1073" s="7"/>
      <c r="LKB1073" s="7"/>
      <c r="LKC1073" s="7"/>
      <c r="LKD1073" s="7"/>
      <c r="LKE1073" s="7"/>
      <c r="LKF1073" s="7"/>
      <c r="LKG1073" s="7"/>
      <c r="LKH1073" s="7"/>
      <c r="LKI1073" s="7"/>
      <c r="LKJ1073" s="7"/>
      <c r="LKK1073" s="7"/>
      <c r="LKL1073" s="7"/>
      <c r="LKM1073" s="7"/>
      <c r="LKN1073" s="7"/>
      <c r="LKO1073" s="7"/>
      <c r="LKP1073" s="7"/>
      <c r="LKQ1073" s="7"/>
      <c r="LKR1073" s="7"/>
      <c r="LKS1073" s="7"/>
      <c r="LKT1073" s="7"/>
      <c r="LKU1073" s="7"/>
      <c r="LKV1073" s="7"/>
      <c r="LKW1073" s="7"/>
      <c r="LKX1073" s="7"/>
      <c r="LKY1073" s="7"/>
      <c r="LKZ1073" s="7"/>
      <c r="LLA1073" s="7"/>
      <c r="LLB1073" s="7"/>
      <c r="LLC1073" s="7"/>
      <c r="LLD1073" s="7"/>
      <c r="LLE1073" s="7"/>
      <c r="LLF1073" s="7"/>
      <c r="LLG1073" s="7"/>
      <c r="LLH1073" s="7"/>
      <c r="LLI1073" s="7"/>
      <c r="LLJ1073" s="7"/>
      <c r="LLK1073" s="7"/>
      <c r="LLL1073" s="7"/>
      <c r="LLM1073" s="7"/>
      <c r="LLN1073" s="7"/>
      <c r="LLO1073" s="7"/>
      <c r="LLP1073" s="7"/>
      <c r="LLQ1073" s="7"/>
      <c r="LLR1073" s="7"/>
      <c r="LLS1073" s="7"/>
      <c r="LLT1073" s="7"/>
      <c r="LLU1073" s="7"/>
      <c r="LLV1073" s="7"/>
      <c r="LLW1073" s="7"/>
      <c r="LLX1073" s="7"/>
      <c r="LLY1073" s="7"/>
      <c r="LLZ1073" s="7"/>
      <c r="LMA1073" s="7"/>
      <c r="LMB1073" s="7"/>
      <c r="LMC1073" s="7"/>
      <c r="LMD1073" s="7"/>
      <c r="LME1073" s="7"/>
      <c r="LMF1073" s="7"/>
      <c r="LMG1073" s="7"/>
      <c r="LMH1073" s="7"/>
      <c r="LMI1073" s="7"/>
      <c r="LMJ1073" s="7"/>
      <c r="LMK1073" s="7"/>
      <c r="LML1073" s="7"/>
      <c r="LMM1073" s="7"/>
      <c r="LMN1073" s="7"/>
      <c r="LMO1073" s="7"/>
      <c r="LMP1073" s="7"/>
      <c r="LMQ1073" s="7"/>
      <c r="LMR1073" s="7"/>
      <c r="LMS1073" s="7"/>
      <c r="LMT1073" s="7"/>
      <c r="LMU1073" s="7"/>
      <c r="LMV1073" s="7"/>
      <c r="LMW1073" s="7"/>
      <c r="LMX1073" s="7"/>
      <c r="LMY1073" s="7"/>
      <c r="LMZ1073" s="7"/>
      <c r="LNA1073" s="7"/>
      <c r="LNB1073" s="7"/>
      <c r="LNC1073" s="7"/>
      <c r="LND1073" s="7"/>
      <c r="LNE1073" s="7"/>
      <c r="LNF1073" s="7"/>
      <c r="LNG1073" s="7"/>
      <c r="LNH1073" s="7"/>
      <c r="LNI1073" s="7"/>
      <c r="LNJ1073" s="7"/>
      <c r="LNK1073" s="7"/>
      <c r="LNL1073" s="7"/>
      <c r="LNM1073" s="7"/>
      <c r="LNN1073" s="7"/>
      <c r="LNO1073" s="7"/>
      <c r="LNP1073" s="7"/>
      <c r="LNQ1073" s="7"/>
      <c r="LNR1073" s="7"/>
      <c r="LNS1073" s="7"/>
      <c r="LNT1073" s="7"/>
      <c r="LNU1073" s="7"/>
      <c r="LNV1073" s="7"/>
      <c r="LNW1073" s="7"/>
      <c r="LNX1073" s="7"/>
      <c r="LNY1073" s="7"/>
      <c r="LNZ1073" s="7"/>
      <c r="LOA1073" s="7"/>
      <c r="LOB1073" s="7"/>
      <c r="LOC1073" s="7"/>
      <c r="LOD1073" s="7"/>
      <c r="LOE1073" s="7"/>
      <c r="LOF1073" s="7"/>
      <c r="LOG1073" s="7"/>
      <c r="LOH1073" s="7"/>
      <c r="LOI1073" s="7"/>
      <c r="LOJ1073" s="7"/>
      <c r="LOK1073" s="7"/>
      <c r="LOL1073" s="7"/>
      <c r="LOM1073" s="7"/>
      <c r="LON1073" s="7"/>
      <c r="LOO1073" s="7"/>
      <c r="LOP1073" s="7"/>
      <c r="LOQ1073" s="7"/>
      <c r="LOR1073" s="7"/>
      <c r="LOS1073" s="7"/>
      <c r="LOT1073" s="7"/>
      <c r="LOU1073" s="7"/>
      <c r="LOV1073" s="7"/>
      <c r="LOW1073" s="7"/>
      <c r="LOX1073" s="7"/>
      <c r="LOY1073" s="7"/>
      <c r="LOZ1073" s="7"/>
      <c r="LPA1073" s="7"/>
      <c r="LPB1073" s="7"/>
      <c r="LPC1073" s="7"/>
      <c r="LPD1073" s="7"/>
      <c r="LPE1073" s="7"/>
      <c r="LPF1073" s="7"/>
      <c r="LPG1073" s="7"/>
      <c r="LPH1073" s="7"/>
      <c r="LPI1073" s="7"/>
      <c r="LPJ1073" s="7"/>
      <c r="LPK1073" s="7"/>
      <c r="LPL1073" s="7"/>
      <c r="LPM1073" s="7"/>
      <c r="LPN1073" s="7"/>
      <c r="LPO1073" s="7"/>
      <c r="LPP1073" s="7"/>
      <c r="LPQ1073" s="7"/>
      <c r="LPR1073" s="7"/>
      <c r="LPS1073" s="7"/>
      <c r="LPT1073" s="7"/>
      <c r="LPU1073" s="7"/>
      <c r="LPV1073" s="7"/>
      <c r="LPW1073" s="7"/>
      <c r="LPX1073" s="7"/>
      <c r="LPY1073" s="7"/>
      <c r="LPZ1073" s="7"/>
      <c r="LQA1073" s="7"/>
      <c r="LQB1073" s="7"/>
      <c r="LQC1073" s="7"/>
      <c r="LQD1073" s="7"/>
      <c r="LQE1073" s="7"/>
      <c r="LQF1073" s="7"/>
      <c r="LQG1073" s="7"/>
      <c r="LQH1073" s="7"/>
      <c r="LQI1073" s="7"/>
      <c r="LQJ1073" s="7"/>
      <c r="LQK1073" s="7"/>
      <c r="LQL1073" s="7"/>
      <c r="LQM1073" s="7"/>
      <c r="LQN1073" s="7"/>
      <c r="LQO1073" s="7"/>
      <c r="LQP1073" s="7"/>
      <c r="LQQ1073" s="7"/>
      <c r="LQR1073" s="7"/>
      <c r="LQS1073" s="7"/>
      <c r="LQT1073" s="7"/>
      <c r="LQU1073" s="7"/>
      <c r="LQV1073" s="7"/>
      <c r="LQW1073" s="7"/>
      <c r="LQX1073" s="7"/>
      <c r="LQY1073" s="7"/>
      <c r="LQZ1073" s="7"/>
      <c r="LRA1073" s="7"/>
      <c r="LRB1073" s="7"/>
      <c r="LRC1073" s="7"/>
      <c r="LRD1073" s="7"/>
      <c r="LRE1073" s="7"/>
      <c r="LRF1073" s="7"/>
      <c r="LRG1073" s="7"/>
      <c r="LRH1073" s="7"/>
      <c r="LRI1073" s="7"/>
      <c r="LRJ1073" s="7"/>
      <c r="LRK1073" s="7"/>
      <c r="LRL1073" s="7"/>
      <c r="LRM1073" s="7"/>
      <c r="LRN1073" s="7"/>
      <c r="LRO1073" s="7"/>
      <c r="LRP1073" s="7"/>
      <c r="LRQ1073" s="7"/>
      <c r="LRR1073" s="7"/>
      <c r="LRS1073" s="7"/>
      <c r="LRT1073" s="7"/>
      <c r="LRU1073" s="7"/>
      <c r="LRV1073" s="7"/>
      <c r="LRW1073" s="7"/>
      <c r="LRX1073" s="7"/>
      <c r="LRY1073" s="7"/>
      <c r="LRZ1073" s="7"/>
      <c r="LSA1073" s="7"/>
      <c r="LSB1073" s="7"/>
      <c r="LSC1073" s="7"/>
      <c r="LSD1073" s="7"/>
      <c r="LSE1073" s="7"/>
      <c r="LSF1073" s="7"/>
      <c r="LSG1073" s="7"/>
      <c r="LSH1073" s="7"/>
      <c r="LSI1073" s="7"/>
      <c r="LSJ1073" s="7"/>
      <c r="LSK1073" s="7"/>
      <c r="LSL1073" s="7"/>
      <c r="LSM1073" s="7"/>
      <c r="LSN1073" s="7"/>
      <c r="LSO1073" s="7"/>
      <c r="LSP1073" s="7"/>
      <c r="LSQ1073" s="7"/>
      <c r="LSR1073" s="7"/>
      <c r="LSS1073" s="7"/>
      <c r="LST1073" s="7"/>
      <c r="LSU1073" s="7"/>
      <c r="LSV1073" s="7"/>
      <c r="LSW1073" s="7"/>
      <c r="LSX1073" s="7"/>
      <c r="LSY1073" s="7"/>
      <c r="LSZ1073" s="7"/>
      <c r="LTA1073" s="7"/>
      <c r="LTB1073" s="7"/>
      <c r="LTC1073" s="7"/>
      <c r="LTD1073" s="7"/>
      <c r="LTE1073" s="7"/>
      <c r="LTF1073" s="7"/>
      <c r="LTG1073" s="7"/>
      <c r="LTH1073" s="7"/>
      <c r="LTI1073" s="7"/>
      <c r="LTJ1073" s="7"/>
      <c r="LTK1073" s="7"/>
      <c r="LTL1073" s="7"/>
      <c r="LTM1073" s="7"/>
      <c r="LTN1073" s="7"/>
      <c r="LTO1073" s="7"/>
      <c r="LTP1073" s="7"/>
      <c r="LTQ1073" s="7"/>
      <c r="LTR1073" s="7"/>
      <c r="LTS1073" s="7"/>
      <c r="LTT1073" s="7"/>
      <c r="LTU1073" s="7"/>
      <c r="LTV1073" s="7"/>
      <c r="LTW1073" s="7"/>
      <c r="LTX1073" s="7"/>
      <c r="LTY1073" s="7"/>
      <c r="LTZ1073" s="7"/>
      <c r="LUA1073" s="7"/>
      <c r="LUB1073" s="7"/>
      <c r="LUC1073" s="7"/>
      <c r="LUD1073" s="7"/>
      <c r="LUE1073" s="7"/>
      <c r="LUF1073" s="7"/>
      <c r="LUG1073" s="7"/>
      <c r="LUH1073" s="7"/>
      <c r="LUI1073" s="7"/>
      <c r="LUJ1073" s="7"/>
      <c r="LUK1073" s="7"/>
      <c r="LUL1073" s="7"/>
      <c r="LUM1073" s="7"/>
      <c r="LUN1073" s="7"/>
      <c r="LUO1073" s="7"/>
      <c r="LUP1073" s="7"/>
      <c r="LUQ1073" s="7"/>
      <c r="LUR1073" s="7"/>
      <c r="LUS1073" s="7"/>
      <c r="LUT1073" s="7"/>
      <c r="LUU1073" s="7"/>
      <c r="LUV1073" s="7"/>
      <c r="LUW1073" s="7"/>
      <c r="LUX1073" s="7"/>
      <c r="LUY1073" s="7"/>
      <c r="LUZ1073" s="7"/>
      <c r="LVA1073" s="7"/>
      <c r="LVB1073" s="7"/>
      <c r="LVC1073" s="7"/>
      <c r="LVD1073" s="7"/>
      <c r="LVE1073" s="7"/>
      <c r="LVF1073" s="7"/>
      <c r="LVG1073" s="7"/>
      <c r="LVH1073" s="7"/>
      <c r="LVI1073" s="7"/>
      <c r="LVJ1073" s="7"/>
      <c r="LVK1073" s="7"/>
      <c r="LVL1073" s="7"/>
      <c r="LVM1073" s="7"/>
      <c r="LVN1073" s="7"/>
      <c r="LVO1073" s="7"/>
      <c r="LVP1073" s="7"/>
      <c r="LVQ1073" s="7"/>
      <c r="LVR1073" s="7"/>
      <c r="LVS1073" s="7"/>
      <c r="LVT1073" s="7"/>
      <c r="LVU1073" s="7"/>
      <c r="LVV1073" s="7"/>
      <c r="LVW1073" s="7"/>
      <c r="LVX1073" s="7"/>
      <c r="LVY1073" s="7"/>
      <c r="LVZ1073" s="7"/>
      <c r="LWA1073" s="7"/>
      <c r="LWB1073" s="7"/>
      <c r="LWC1073" s="7"/>
      <c r="LWD1073" s="7"/>
      <c r="LWE1073" s="7"/>
      <c r="LWF1073" s="7"/>
      <c r="LWG1073" s="7"/>
      <c r="LWH1073" s="7"/>
      <c r="LWI1073" s="7"/>
      <c r="LWJ1073" s="7"/>
      <c r="LWK1073" s="7"/>
      <c r="LWL1073" s="7"/>
      <c r="LWM1073" s="7"/>
      <c r="LWN1073" s="7"/>
      <c r="LWO1073" s="7"/>
      <c r="LWP1073" s="7"/>
      <c r="LWQ1073" s="7"/>
      <c r="LWR1073" s="7"/>
      <c r="LWS1073" s="7"/>
      <c r="LWT1073" s="7"/>
      <c r="LWU1073" s="7"/>
      <c r="LWV1073" s="7"/>
      <c r="LWW1073" s="7"/>
      <c r="LWX1073" s="7"/>
      <c r="LWY1073" s="7"/>
      <c r="LWZ1073" s="7"/>
      <c r="LXA1073" s="7"/>
      <c r="LXB1073" s="7"/>
      <c r="LXC1073" s="7"/>
      <c r="LXD1073" s="7"/>
      <c r="LXE1073" s="7"/>
      <c r="LXF1073" s="7"/>
      <c r="LXG1073" s="7"/>
      <c r="LXH1073" s="7"/>
      <c r="LXI1073" s="7"/>
      <c r="LXJ1073" s="7"/>
      <c r="LXK1073" s="7"/>
      <c r="LXL1073" s="7"/>
      <c r="LXM1073" s="7"/>
      <c r="LXN1073" s="7"/>
      <c r="LXO1073" s="7"/>
      <c r="LXP1073" s="7"/>
      <c r="LXQ1073" s="7"/>
      <c r="LXR1073" s="7"/>
      <c r="LXS1073" s="7"/>
      <c r="LXT1073" s="7"/>
      <c r="LXU1073" s="7"/>
      <c r="LXV1073" s="7"/>
      <c r="LXW1073" s="7"/>
      <c r="LXX1073" s="7"/>
      <c r="LXY1073" s="7"/>
      <c r="LXZ1073" s="7"/>
      <c r="LYA1073" s="7"/>
      <c r="LYB1073" s="7"/>
      <c r="LYC1073" s="7"/>
      <c r="LYD1073" s="7"/>
      <c r="LYE1073" s="7"/>
      <c r="LYF1073" s="7"/>
      <c r="LYG1073" s="7"/>
      <c r="LYH1073" s="7"/>
      <c r="LYI1073" s="7"/>
      <c r="LYJ1073" s="7"/>
      <c r="LYK1073" s="7"/>
      <c r="LYL1073" s="7"/>
      <c r="LYM1073" s="7"/>
      <c r="LYN1073" s="7"/>
      <c r="LYO1073" s="7"/>
      <c r="LYP1073" s="7"/>
      <c r="LYQ1073" s="7"/>
      <c r="LYR1073" s="7"/>
      <c r="LYS1073" s="7"/>
      <c r="LYT1073" s="7"/>
      <c r="LYU1073" s="7"/>
      <c r="LYV1073" s="7"/>
      <c r="LYW1073" s="7"/>
      <c r="LYX1073" s="7"/>
      <c r="LYY1073" s="7"/>
      <c r="LYZ1073" s="7"/>
      <c r="LZA1073" s="7"/>
      <c r="LZB1073" s="7"/>
      <c r="LZC1073" s="7"/>
      <c r="LZD1073" s="7"/>
      <c r="LZE1073" s="7"/>
      <c r="LZF1073" s="7"/>
      <c r="LZG1073" s="7"/>
      <c r="LZH1073" s="7"/>
      <c r="LZI1073" s="7"/>
      <c r="LZJ1073" s="7"/>
      <c r="LZK1073" s="7"/>
      <c r="LZL1073" s="7"/>
      <c r="LZM1073" s="7"/>
      <c r="LZN1073" s="7"/>
      <c r="LZO1073" s="7"/>
      <c r="LZP1073" s="7"/>
      <c r="LZQ1073" s="7"/>
      <c r="LZR1073" s="7"/>
      <c r="LZS1073" s="7"/>
      <c r="LZT1073" s="7"/>
      <c r="LZU1073" s="7"/>
      <c r="LZV1073" s="7"/>
      <c r="LZW1073" s="7"/>
      <c r="LZX1073" s="7"/>
      <c r="LZY1073" s="7"/>
      <c r="LZZ1073" s="7"/>
      <c r="MAA1073" s="7"/>
      <c r="MAB1073" s="7"/>
      <c r="MAC1073" s="7"/>
      <c r="MAD1073" s="7"/>
      <c r="MAE1073" s="7"/>
      <c r="MAF1073" s="7"/>
      <c r="MAG1073" s="7"/>
      <c r="MAH1073" s="7"/>
      <c r="MAI1073" s="7"/>
      <c r="MAJ1073" s="7"/>
      <c r="MAK1073" s="7"/>
      <c r="MAL1073" s="7"/>
      <c r="MAM1073" s="7"/>
      <c r="MAN1073" s="7"/>
      <c r="MAO1073" s="7"/>
      <c r="MAP1073" s="7"/>
      <c r="MAQ1073" s="7"/>
      <c r="MAR1073" s="7"/>
      <c r="MAS1073" s="7"/>
      <c r="MAT1073" s="7"/>
      <c r="MAU1073" s="7"/>
      <c r="MAV1073" s="7"/>
      <c r="MAW1073" s="7"/>
      <c r="MAX1073" s="7"/>
      <c r="MAY1073" s="7"/>
      <c r="MAZ1073" s="7"/>
      <c r="MBA1073" s="7"/>
      <c r="MBB1073" s="7"/>
      <c r="MBC1073" s="7"/>
      <c r="MBD1073" s="7"/>
      <c r="MBE1073" s="7"/>
      <c r="MBF1073" s="7"/>
      <c r="MBG1073" s="7"/>
      <c r="MBH1073" s="7"/>
      <c r="MBI1073" s="7"/>
      <c r="MBJ1073" s="7"/>
      <c r="MBK1073" s="7"/>
      <c r="MBL1073" s="7"/>
      <c r="MBM1073" s="7"/>
      <c r="MBN1073" s="7"/>
      <c r="MBO1073" s="7"/>
      <c r="MBP1073" s="7"/>
      <c r="MBQ1073" s="7"/>
      <c r="MBR1073" s="7"/>
      <c r="MBS1073" s="7"/>
      <c r="MBT1073" s="7"/>
      <c r="MBU1073" s="7"/>
      <c r="MBV1073" s="7"/>
      <c r="MBW1073" s="7"/>
      <c r="MBX1073" s="7"/>
      <c r="MBY1073" s="7"/>
      <c r="MBZ1073" s="7"/>
      <c r="MCA1073" s="7"/>
      <c r="MCB1073" s="7"/>
      <c r="MCC1073" s="7"/>
      <c r="MCD1073" s="7"/>
      <c r="MCE1073" s="7"/>
      <c r="MCF1073" s="7"/>
      <c r="MCG1073" s="7"/>
      <c r="MCH1073" s="7"/>
      <c r="MCI1073" s="7"/>
      <c r="MCJ1073" s="7"/>
      <c r="MCK1073" s="7"/>
      <c r="MCL1073" s="7"/>
      <c r="MCM1073" s="7"/>
      <c r="MCN1073" s="7"/>
      <c r="MCO1073" s="7"/>
      <c r="MCP1073" s="7"/>
      <c r="MCQ1073" s="7"/>
      <c r="MCR1073" s="7"/>
      <c r="MCS1073" s="7"/>
      <c r="MCT1073" s="7"/>
      <c r="MCU1073" s="7"/>
      <c r="MCV1073" s="7"/>
      <c r="MCW1073" s="7"/>
      <c r="MCX1073" s="7"/>
      <c r="MCY1073" s="7"/>
      <c r="MCZ1073" s="7"/>
      <c r="MDA1073" s="7"/>
      <c r="MDB1073" s="7"/>
      <c r="MDC1073" s="7"/>
      <c r="MDD1073" s="7"/>
      <c r="MDE1073" s="7"/>
      <c r="MDF1073" s="7"/>
      <c r="MDG1073" s="7"/>
      <c r="MDH1073" s="7"/>
      <c r="MDI1073" s="7"/>
      <c r="MDJ1073" s="7"/>
      <c r="MDK1073" s="7"/>
      <c r="MDL1073" s="7"/>
      <c r="MDM1073" s="7"/>
      <c r="MDN1073" s="7"/>
      <c r="MDO1073" s="7"/>
      <c r="MDP1073" s="7"/>
      <c r="MDQ1073" s="7"/>
      <c r="MDR1073" s="7"/>
      <c r="MDS1073" s="7"/>
      <c r="MDT1073" s="7"/>
      <c r="MDU1073" s="7"/>
      <c r="MDV1073" s="7"/>
      <c r="MDW1073" s="7"/>
      <c r="MDX1073" s="7"/>
      <c r="MDY1073" s="7"/>
      <c r="MDZ1073" s="7"/>
      <c r="MEA1073" s="7"/>
      <c r="MEB1073" s="7"/>
      <c r="MEC1073" s="7"/>
      <c r="MED1073" s="7"/>
      <c r="MEE1073" s="7"/>
      <c r="MEF1073" s="7"/>
      <c r="MEG1073" s="7"/>
      <c r="MEH1073" s="7"/>
      <c r="MEI1073" s="7"/>
      <c r="MEJ1073" s="7"/>
      <c r="MEK1073" s="7"/>
      <c r="MEL1073" s="7"/>
      <c r="MEM1073" s="7"/>
      <c r="MEN1073" s="7"/>
      <c r="MEO1073" s="7"/>
      <c r="MEP1073" s="7"/>
      <c r="MEQ1073" s="7"/>
      <c r="MER1073" s="7"/>
      <c r="MES1073" s="7"/>
      <c r="MET1073" s="7"/>
      <c r="MEU1073" s="7"/>
      <c r="MEV1073" s="7"/>
      <c r="MEW1073" s="7"/>
      <c r="MEX1073" s="7"/>
      <c r="MEY1073" s="7"/>
      <c r="MEZ1073" s="7"/>
      <c r="MFA1073" s="7"/>
      <c r="MFB1073" s="7"/>
      <c r="MFC1073" s="7"/>
      <c r="MFD1073" s="7"/>
      <c r="MFE1073" s="7"/>
      <c r="MFF1073" s="7"/>
      <c r="MFG1073" s="7"/>
      <c r="MFH1073" s="7"/>
      <c r="MFI1073" s="7"/>
      <c r="MFJ1073" s="7"/>
      <c r="MFK1073" s="7"/>
      <c r="MFL1073" s="7"/>
      <c r="MFM1073" s="7"/>
      <c r="MFN1073" s="7"/>
      <c r="MFO1073" s="7"/>
      <c r="MFP1073" s="7"/>
      <c r="MFQ1073" s="7"/>
      <c r="MFR1073" s="7"/>
      <c r="MFS1073" s="7"/>
      <c r="MFT1073" s="7"/>
      <c r="MFU1073" s="7"/>
      <c r="MFV1073" s="7"/>
      <c r="MFW1073" s="7"/>
      <c r="MFX1073" s="7"/>
      <c r="MFY1073" s="7"/>
      <c r="MFZ1073" s="7"/>
      <c r="MGA1073" s="7"/>
      <c r="MGB1073" s="7"/>
      <c r="MGC1073" s="7"/>
      <c r="MGD1073" s="7"/>
      <c r="MGE1073" s="7"/>
      <c r="MGF1073" s="7"/>
      <c r="MGG1073" s="7"/>
      <c r="MGH1073" s="7"/>
      <c r="MGI1073" s="7"/>
      <c r="MGJ1073" s="7"/>
      <c r="MGK1073" s="7"/>
      <c r="MGL1073" s="7"/>
      <c r="MGM1073" s="7"/>
      <c r="MGN1073" s="7"/>
      <c r="MGO1073" s="7"/>
      <c r="MGP1073" s="7"/>
      <c r="MGQ1073" s="7"/>
      <c r="MGR1073" s="7"/>
      <c r="MGS1073" s="7"/>
      <c r="MGT1073" s="7"/>
      <c r="MGU1073" s="7"/>
      <c r="MGV1073" s="7"/>
      <c r="MGW1073" s="7"/>
      <c r="MGX1073" s="7"/>
      <c r="MGY1073" s="7"/>
      <c r="MGZ1073" s="7"/>
      <c r="MHA1073" s="7"/>
      <c r="MHB1073" s="7"/>
      <c r="MHC1073" s="7"/>
      <c r="MHD1073" s="7"/>
      <c r="MHE1073" s="7"/>
      <c r="MHF1073" s="7"/>
      <c r="MHG1073" s="7"/>
      <c r="MHH1073" s="7"/>
      <c r="MHI1073" s="7"/>
      <c r="MHJ1073" s="7"/>
      <c r="MHK1073" s="7"/>
      <c r="MHL1073" s="7"/>
      <c r="MHM1073" s="7"/>
      <c r="MHN1073" s="7"/>
      <c r="MHO1073" s="7"/>
      <c r="MHP1073" s="7"/>
      <c r="MHQ1073" s="7"/>
      <c r="MHR1073" s="7"/>
      <c r="MHS1073" s="7"/>
      <c r="MHT1073" s="7"/>
      <c r="MHU1073" s="7"/>
      <c r="MHV1073" s="7"/>
      <c r="MHW1073" s="7"/>
      <c r="MHX1073" s="7"/>
      <c r="MHY1073" s="7"/>
      <c r="MHZ1073" s="7"/>
      <c r="MIA1073" s="7"/>
      <c r="MIB1073" s="7"/>
      <c r="MIC1073" s="7"/>
      <c r="MID1073" s="7"/>
      <c r="MIE1073" s="7"/>
      <c r="MIF1073" s="7"/>
      <c r="MIG1073" s="7"/>
      <c r="MIH1073" s="7"/>
      <c r="MII1073" s="7"/>
      <c r="MIJ1073" s="7"/>
      <c r="MIK1073" s="7"/>
      <c r="MIL1073" s="7"/>
      <c r="MIM1073" s="7"/>
      <c r="MIN1073" s="7"/>
      <c r="MIO1073" s="7"/>
      <c r="MIP1073" s="7"/>
      <c r="MIQ1073" s="7"/>
      <c r="MIR1073" s="7"/>
      <c r="MIS1073" s="7"/>
      <c r="MIT1073" s="7"/>
      <c r="MIU1073" s="7"/>
      <c r="MIV1073" s="7"/>
      <c r="MIW1073" s="7"/>
      <c r="MIX1073" s="7"/>
      <c r="MIY1073" s="7"/>
      <c r="MIZ1073" s="7"/>
      <c r="MJA1073" s="7"/>
      <c r="MJB1073" s="7"/>
      <c r="MJC1073" s="7"/>
      <c r="MJD1073" s="7"/>
      <c r="MJE1073" s="7"/>
      <c r="MJF1073" s="7"/>
      <c r="MJG1073" s="7"/>
      <c r="MJH1073" s="7"/>
      <c r="MJI1073" s="7"/>
      <c r="MJJ1073" s="7"/>
      <c r="MJK1073" s="7"/>
      <c r="MJL1073" s="7"/>
      <c r="MJM1073" s="7"/>
      <c r="MJN1073" s="7"/>
      <c r="MJO1073" s="7"/>
      <c r="MJP1073" s="7"/>
      <c r="MJQ1073" s="7"/>
      <c r="MJR1073" s="7"/>
      <c r="MJS1073" s="7"/>
      <c r="MJT1073" s="7"/>
      <c r="MJU1073" s="7"/>
      <c r="MJV1073" s="7"/>
      <c r="MJW1073" s="7"/>
      <c r="MJX1073" s="7"/>
      <c r="MJY1073" s="7"/>
      <c r="MJZ1073" s="7"/>
      <c r="MKA1073" s="7"/>
      <c r="MKB1073" s="7"/>
      <c r="MKC1073" s="7"/>
      <c r="MKD1073" s="7"/>
      <c r="MKE1073" s="7"/>
      <c r="MKF1073" s="7"/>
      <c r="MKG1073" s="7"/>
      <c r="MKH1073" s="7"/>
      <c r="MKI1073" s="7"/>
      <c r="MKJ1073" s="7"/>
      <c r="MKK1073" s="7"/>
      <c r="MKL1073" s="7"/>
      <c r="MKM1073" s="7"/>
      <c r="MKN1073" s="7"/>
      <c r="MKO1073" s="7"/>
      <c r="MKP1073" s="7"/>
      <c r="MKQ1073" s="7"/>
      <c r="MKR1073" s="7"/>
      <c r="MKS1073" s="7"/>
      <c r="MKT1073" s="7"/>
      <c r="MKU1073" s="7"/>
      <c r="MKV1073" s="7"/>
      <c r="MKW1073" s="7"/>
      <c r="MKX1073" s="7"/>
      <c r="MKY1073" s="7"/>
      <c r="MKZ1073" s="7"/>
      <c r="MLA1073" s="7"/>
      <c r="MLB1073" s="7"/>
      <c r="MLC1073" s="7"/>
      <c r="MLD1073" s="7"/>
      <c r="MLE1073" s="7"/>
      <c r="MLF1073" s="7"/>
      <c r="MLG1073" s="7"/>
      <c r="MLH1073" s="7"/>
      <c r="MLI1073" s="7"/>
      <c r="MLJ1073" s="7"/>
      <c r="MLK1073" s="7"/>
      <c r="MLL1073" s="7"/>
      <c r="MLM1073" s="7"/>
      <c r="MLN1073" s="7"/>
      <c r="MLO1073" s="7"/>
      <c r="MLP1073" s="7"/>
      <c r="MLQ1073" s="7"/>
      <c r="MLR1073" s="7"/>
      <c r="MLS1073" s="7"/>
      <c r="MLT1073" s="7"/>
      <c r="MLU1073" s="7"/>
      <c r="MLV1073" s="7"/>
      <c r="MLW1073" s="7"/>
      <c r="MLX1073" s="7"/>
      <c r="MLY1073" s="7"/>
      <c r="MLZ1073" s="7"/>
      <c r="MMA1073" s="7"/>
      <c r="MMB1073" s="7"/>
      <c r="MMC1073" s="7"/>
      <c r="MMD1073" s="7"/>
      <c r="MME1073" s="7"/>
      <c r="MMF1073" s="7"/>
      <c r="MMG1073" s="7"/>
      <c r="MMH1073" s="7"/>
      <c r="MMI1073" s="7"/>
      <c r="MMJ1073" s="7"/>
      <c r="MMK1073" s="7"/>
      <c r="MML1073" s="7"/>
      <c r="MMM1073" s="7"/>
      <c r="MMN1073" s="7"/>
      <c r="MMO1073" s="7"/>
      <c r="MMP1073" s="7"/>
      <c r="MMQ1073" s="7"/>
      <c r="MMR1073" s="7"/>
      <c r="MMS1073" s="7"/>
      <c r="MMT1073" s="7"/>
      <c r="MMU1073" s="7"/>
      <c r="MMV1073" s="7"/>
      <c r="MMW1073" s="7"/>
      <c r="MMX1073" s="7"/>
      <c r="MMY1073" s="7"/>
      <c r="MMZ1073" s="7"/>
      <c r="MNA1073" s="7"/>
      <c r="MNB1073" s="7"/>
      <c r="MNC1073" s="7"/>
      <c r="MND1073" s="7"/>
      <c r="MNE1073" s="7"/>
      <c r="MNF1073" s="7"/>
      <c r="MNG1073" s="7"/>
      <c r="MNH1073" s="7"/>
      <c r="MNI1073" s="7"/>
      <c r="MNJ1073" s="7"/>
      <c r="MNK1073" s="7"/>
      <c r="MNL1073" s="7"/>
      <c r="MNM1073" s="7"/>
      <c r="MNN1073" s="7"/>
      <c r="MNO1073" s="7"/>
      <c r="MNP1073" s="7"/>
      <c r="MNQ1073" s="7"/>
      <c r="MNR1073" s="7"/>
      <c r="MNS1073" s="7"/>
      <c r="MNT1073" s="7"/>
      <c r="MNU1073" s="7"/>
      <c r="MNV1073" s="7"/>
      <c r="MNW1073" s="7"/>
      <c r="MNX1073" s="7"/>
      <c r="MNY1073" s="7"/>
      <c r="MNZ1073" s="7"/>
      <c r="MOA1073" s="7"/>
      <c r="MOB1073" s="7"/>
      <c r="MOC1073" s="7"/>
      <c r="MOD1073" s="7"/>
      <c r="MOE1073" s="7"/>
      <c r="MOF1073" s="7"/>
      <c r="MOG1073" s="7"/>
      <c r="MOH1073" s="7"/>
      <c r="MOI1073" s="7"/>
      <c r="MOJ1073" s="7"/>
      <c r="MOK1073" s="7"/>
      <c r="MOL1073" s="7"/>
      <c r="MOM1073" s="7"/>
      <c r="MON1073" s="7"/>
      <c r="MOO1073" s="7"/>
      <c r="MOP1073" s="7"/>
      <c r="MOQ1073" s="7"/>
      <c r="MOR1073" s="7"/>
      <c r="MOS1073" s="7"/>
      <c r="MOT1073" s="7"/>
      <c r="MOU1073" s="7"/>
      <c r="MOV1073" s="7"/>
      <c r="MOW1073" s="7"/>
      <c r="MOX1073" s="7"/>
      <c r="MOY1073" s="7"/>
      <c r="MOZ1073" s="7"/>
      <c r="MPA1073" s="7"/>
      <c r="MPB1073" s="7"/>
      <c r="MPC1073" s="7"/>
      <c r="MPD1073" s="7"/>
      <c r="MPE1073" s="7"/>
      <c r="MPF1073" s="7"/>
      <c r="MPG1073" s="7"/>
      <c r="MPH1073" s="7"/>
      <c r="MPI1073" s="7"/>
      <c r="MPJ1073" s="7"/>
      <c r="MPK1073" s="7"/>
      <c r="MPL1073" s="7"/>
      <c r="MPM1073" s="7"/>
      <c r="MPN1073" s="7"/>
      <c r="MPO1073" s="7"/>
      <c r="MPP1073" s="7"/>
      <c r="MPQ1073" s="7"/>
      <c r="MPR1073" s="7"/>
      <c r="MPS1073" s="7"/>
      <c r="MPT1073" s="7"/>
      <c r="MPU1073" s="7"/>
      <c r="MPV1073" s="7"/>
      <c r="MPW1073" s="7"/>
      <c r="MPX1073" s="7"/>
      <c r="MPY1073" s="7"/>
      <c r="MPZ1073" s="7"/>
      <c r="MQA1073" s="7"/>
      <c r="MQB1073" s="7"/>
      <c r="MQC1073" s="7"/>
      <c r="MQD1073" s="7"/>
      <c r="MQE1073" s="7"/>
      <c r="MQF1073" s="7"/>
      <c r="MQG1073" s="7"/>
      <c r="MQH1073" s="7"/>
      <c r="MQI1073" s="7"/>
      <c r="MQJ1073" s="7"/>
      <c r="MQK1073" s="7"/>
      <c r="MQL1073" s="7"/>
      <c r="MQM1073" s="7"/>
      <c r="MQN1073" s="7"/>
      <c r="MQO1073" s="7"/>
      <c r="MQP1073" s="7"/>
      <c r="MQQ1073" s="7"/>
      <c r="MQR1073" s="7"/>
      <c r="MQS1073" s="7"/>
      <c r="MQT1073" s="7"/>
      <c r="MQU1073" s="7"/>
      <c r="MQV1073" s="7"/>
      <c r="MQW1073" s="7"/>
      <c r="MQX1073" s="7"/>
      <c r="MQY1073" s="7"/>
      <c r="MQZ1073" s="7"/>
      <c r="MRA1073" s="7"/>
      <c r="MRB1073" s="7"/>
      <c r="MRC1073" s="7"/>
      <c r="MRD1073" s="7"/>
      <c r="MRE1073" s="7"/>
      <c r="MRF1073" s="7"/>
      <c r="MRG1073" s="7"/>
      <c r="MRH1073" s="7"/>
      <c r="MRI1073" s="7"/>
      <c r="MRJ1073" s="7"/>
      <c r="MRK1073" s="7"/>
      <c r="MRL1073" s="7"/>
      <c r="MRM1073" s="7"/>
      <c r="MRN1073" s="7"/>
      <c r="MRO1073" s="7"/>
      <c r="MRP1073" s="7"/>
      <c r="MRQ1073" s="7"/>
      <c r="MRR1073" s="7"/>
      <c r="MRS1073" s="7"/>
      <c r="MRT1073" s="7"/>
      <c r="MRU1073" s="7"/>
      <c r="MRV1073" s="7"/>
      <c r="MRW1073" s="7"/>
      <c r="MRX1073" s="7"/>
      <c r="MRY1073" s="7"/>
      <c r="MRZ1073" s="7"/>
      <c r="MSA1073" s="7"/>
      <c r="MSB1073" s="7"/>
      <c r="MSC1073" s="7"/>
      <c r="MSD1073" s="7"/>
      <c r="MSE1073" s="7"/>
      <c r="MSF1073" s="7"/>
      <c r="MSG1073" s="7"/>
      <c r="MSH1073" s="7"/>
      <c r="MSI1073" s="7"/>
      <c r="MSJ1073" s="7"/>
      <c r="MSK1073" s="7"/>
      <c r="MSL1073" s="7"/>
      <c r="MSM1073" s="7"/>
      <c r="MSN1073" s="7"/>
      <c r="MSO1073" s="7"/>
      <c r="MSP1073" s="7"/>
      <c r="MSQ1073" s="7"/>
      <c r="MSR1073" s="7"/>
      <c r="MSS1073" s="7"/>
      <c r="MST1073" s="7"/>
      <c r="MSU1073" s="7"/>
      <c r="MSV1073" s="7"/>
      <c r="MSW1073" s="7"/>
      <c r="MSX1073" s="7"/>
      <c r="MSY1073" s="7"/>
      <c r="MSZ1073" s="7"/>
      <c r="MTA1073" s="7"/>
      <c r="MTB1073" s="7"/>
      <c r="MTC1073" s="7"/>
      <c r="MTD1073" s="7"/>
      <c r="MTE1073" s="7"/>
      <c r="MTF1073" s="7"/>
      <c r="MTG1073" s="7"/>
      <c r="MTH1073" s="7"/>
      <c r="MTI1073" s="7"/>
      <c r="MTJ1073" s="7"/>
      <c r="MTK1073" s="7"/>
      <c r="MTL1073" s="7"/>
      <c r="MTM1073" s="7"/>
      <c r="MTN1073" s="7"/>
      <c r="MTO1073" s="7"/>
      <c r="MTP1073" s="7"/>
      <c r="MTQ1073" s="7"/>
      <c r="MTR1073" s="7"/>
      <c r="MTS1073" s="7"/>
      <c r="MTT1073" s="7"/>
      <c r="MTU1073" s="7"/>
      <c r="MTV1073" s="7"/>
      <c r="MTW1073" s="7"/>
      <c r="MTX1073" s="7"/>
      <c r="MTY1073" s="7"/>
      <c r="MTZ1073" s="7"/>
      <c r="MUA1073" s="7"/>
      <c r="MUB1073" s="7"/>
      <c r="MUC1073" s="7"/>
      <c r="MUD1073" s="7"/>
      <c r="MUE1073" s="7"/>
      <c r="MUF1073" s="7"/>
      <c r="MUG1073" s="7"/>
      <c r="MUH1073" s="7"/>
      <c r="MUI1073" s="7"/>
      <c r="MUJ1073" s="7"/>
      <c r="MUK1073" s="7"/>
      <c r="MUL1073" s="7"/>
      <c r="MUM1073" s="7"/>
      <c r="MUN1073" s="7"/>
      <c r="MUO1073" s="7"/>
      <c r="MUP1073" s="7"/>
      <c r="MUQ1073" s="7"/>
      <c r="MUR1073" s="7"/>
      <c r="MUS1073" s="7"/>
      <c r="MUT1073" s="7"/>
      <c r="MUU1073" s="7"/>
      <c r="MUV1073" s="7"/>
      <c r="MUW1073" s="7"/>
      <c r="MUX1073" s="7"/>
      <c r="MUY1073" s="7"/>
      <c r="MUZ1073" s="7"/>
      <c r="MVA1073" s="7"/>
      <c r="MVB1073" s="7"/>
      <c r="MVC1073" s="7"/>
      <c r="MVD1073" s="7"/>
      <c r="MVE1073" s="7"/>
      <c r="MVF1073" s="7"/>
      <c r="MVG1073" s="7"/>
      <c r="MVH1073" s="7"/>
      <c r="MVI1073" s="7"/>
      <c r="MVJ1073" s="7"/>
      <c r="MVK1073" s="7"/>
      <c r="MVL1073" s="7"/>
      <c r="MVM1073" s="7"/>
      <c r="MVN1073" s="7"/>
      <c r="MVO1073" s="7"/>
      <c r="MVP1073" s="7"/>
      <c r="MVQ1073" s="7"/>
      <c r="MVR1073" s="7"/>
      <c r="MVS1073" s="7"/>
      <c r="MVT1073" s="7"/>
      <c r="MVU1073" s="7"/>
      <c r="MVV1073" s="7"/>
      <c r="MVW1073" s="7"/>
      <c r="MVX1073" s="7"/>
      <c r="MVY1073" s="7"/>
      <c r="MVZ1073" s="7"/>
      <c r="MWA1073" s="7"/>
      <c r="MWB1073" s="7"/>
      <c r="MWC1073" s="7"/>
      <c r="MWD1073" s="7"/>
      <c r="MWE1073" s="7"/>
      <c r="MWF1073" s="7"/>
      <c r="MWG1073" s="7"/>
      <c r="MWH1073" s="7"/>
      <c r="MWI1073" s="7"/>
      <c r="MWJ1073" s="7"/>
      <c r="MWK1073" s="7"/>
      <c r="MWL1073" s="7"/>
      <c r="MWM1073" s="7"/>
      <c r="MWN1073" s="7"/>
      <c r="MWO1073" s="7"/>
      <c r="MWP1073" s="7"/>
      <c r="MWQ1073" s="7"/>
      <c r="MWR1073" s="7"/>
      <c r="MWS1073" s="7"/>
      <c r="MWT1073" s="7"/>
      <c r="MWU1073" s="7"/>
      <c r="MWV1073" s="7"/>
      <c r="MWW1073" s="7"/>
      <c r="MWX1073" s="7"/>
      <c r="MWY1073" s="7"/>
      <c r="MWZ1073" s="7"/>
      <c r="MXA1073" s="7"/>
      <c r="MXB1073" s="7"/>
      <c r="MXC1073" s="7"/>
      <c r="MXD1073" s="7"/>
      <c r="MXE1073" s="7"/>
      <c r="MXF1073" s="7"/>
      <c r="MXG1073" s="7"/>
      <c r="MXH1073" s="7"/>
      <c r="MXI1073" s="7"/>
      <c r="MXJ1073" s="7"/>
      <c r="MXK1073" s="7"/>
      <c r="MXL1073" s="7"/>
      <c r="MXM1073" s="7"/>
      <c r="MXN1073" s="7"/>
      <c r="MXO1073" s="7"/>
      <c r="MXP1073" s="7"/>
      <c r="MXQ1073" s="7"/>
      <c r="MXR1073" s="7"/>
      <c r="MXS1073" s="7"/>
      <c r="MXT1073" s="7"/>
      <c r="MXU1073" s="7"/>
      <c r="MXV1073" s="7"/>
      <c r="MXW1073" s="7"/>
      <c r="MXX1073" s="7"/>
      <c r="MXY1073" s="7"/>
      <c r="MXZ1073" s="7"/>
      <c r="MYA1073" s="7"/>
      <c r="MYB1073" s="7"/>
      <c r="MYC1073" s="7"/>
      <c r="MYD1073" s="7"/>
      <c r="MYE1073" s="7"/>
      <c r="MYF1073" s="7"/>
      <c r="MYG1073" s="7"/>
      <c r="MYH1073" s="7"/>
      <c r="MYI1073" s="7"/>
      <c r="MYJ1073" s="7"/>
      <c r="MYK1073" s="7"/>
      <c r="MYL1073" s="7"/>
      <c r="MYM1073" s="7"/>
      <c r="MYN1073" s="7"/>
      <c r="MYO1073" s="7"/>
      <c r="MYP1073" s="7"/>
      <c r="MYQ1073" s="7"/>
      <c r="MYR1073" s="7"/>
      <c r="MYS1073" s="7"/>
      <c r="MYT1073" s="7"/>
      <c r="MYU1073" s="7"/>
      <c r="MYV1073" s="7"/>
      <c r="MYW1073" s="7"/>
      <c r="MYX1073" s="7"/>
      <c r="MYY1073" s="7"/>
      <c r="MYZ1073" s="7"/>
      <c r="MZA1073" s="7"/>
      <c r="MZB1073" s="7"/>
      <c r="MZC1073" s="7"/>
      <c r="MZD1073" s="7"/>
      <c r="MZE1073" s="7"/>
      <c r="MZF1073" s="7"/>
      <c r="MZG1073" s="7"/>
      <c r="MZH1073" s="7"/>
      <c r="MZI1073" s="7"/>
      <c r="MZJ1073" s="7"/>
      <c r="MZK1073" s="7"/>
      <c r="MZL1073" s="7"/>
      <c r="MZM1073" s="7"/>
      <c r="MZN1073" s="7"/>
      <c r="MZO1073" s="7"/>
      <c r="MZP1073" s="7"/>
      <c r="MZQ1073" s="7"/>
      <c r="MZR1073" s="7"/>
      <c r="MZS1073" s="7"/>
      <c r="MZT1073" s="7"/>
      <c r="MZU1073" s="7"/>
      <c r="MZV1073" s="7"/>
      <c r="MZW1073" s="7"/>
      <c r="MZX1073" s="7"/>
      <c r="MZY1073" s="7"/>
      <c r="MZZ1073" s="7"/>
      <c r="NAA1073" s="7"/>
      <c r="NAB1073" s="7"/>
      <c r="NAC1073" s="7"/>
      <c r="NAD1073" s="7"/>
      <c r="NAE1073" s="7"/>
      <c r="NAF1073" s="7"/>
      <c r="NAG1073" s="7"/>
      <c r="NAH1073" s="7"/>
      <c r="NAI1073" s="7"/>
      <c r="NAJ1073" s="7"/>
      <c r="NAK1073" s="7"/>
      <c r="NAL1073" s="7"/>
      <c r="NAM1073" s="7"/>
      <c r="NAN1073" s="7"/>
      <c r="NAO1073" s="7"/>
      <c r="NAP1073" s="7"/>
      <c r="NAQ1073" s="7"/>
      <c r="NAR1073" s="7"/>
      <c r="NAS1073" s="7"/>
      <c r="NAT1073" s="7"/>
      <c r="NAU1073" s="7"/>
      <c r="NAV1073" s="7"/>
      <c r="NAW1073" s="7"/>
      <c r="NAX1073" s="7"/>
      <c r="NAY1073" s="7"/>
      <c r="NAZ1073" s="7"/>
      <c r="NBA1073" s="7"/>
      <c r="NBB1073" s="7"/>
      <c r="NBC1073" s="7"/>
      <c r="NBD1073" s="7"/>
      <c r="NBE1073" s="7"/>
      <c r="NBF1073" s="7"/>
      <c r="NBG1073" s="7"/>
      <c r="NBH1073" s="7"/>
      <c r="NBI1073" s="7"/>
      <c r="NBJ1073" s="7"/>
      <c r="NBK1073" s="7"/>
      <c r="NBL1073" s="7"/>
      <c r="NBM1073" s="7"/>
      <c r="NBN1073" s="7"/>
      <c r="NBO1073" s="7"/>
      <c r="NBP1073" s="7"/>
      <c r="NBQ1073" s="7"/>
      <c r="NBR1073" s="7"/>
      <c r="NBS1073" s="7"/>
      <c r="NBT1073" s="7"/>
      <c r="NBU1073" s="7"/>
      <c r="NBV1073" s="7"/>
      <c r="NBW1073" s="7"/>
      <c r="NBX1073" s="7"/>
      <c r="NBY1073" s="7"/>
      <c r="NBZ1073" s="7"/>
      <c r="NCA1073" s="7"/>
      <c r="NCB1073" s="7"/>
      <c r="NCC1073" s="7"/>
      <c r="NCD1073" s="7"/>
      <c r="NCE1073" s="7"/>
      <c r="NCF1073" s="7"/>
      <c r="NCG1073" s="7"/>
      <c r="NCH1073" s="7"/>
      <c r="NCI1073" s="7"/>
      <c r="NCJ1073" s="7"/>
      <c r="NCK1073" s="7"/>
      <c r="NCL1073" s="7"/>
      <c r="NCM1073" s="7"/>
      <c r="NCN1073" s="7"/>
      <c r="NCO1073" s="7"/>
      <c r="NCP1073" s="7"/>
      <c r="NCQ1073" s="7"/>
      <c r="NCR1073" s="7"/>
      <c r="NCS1073" s="7"/>
      <c r="NCT1073" s="7"/>
      <c r="NCU1073" s="7"/>
      <c r="NCV1073" s="7"/>
      <c r="NCW1073" s="7"/>
      <c r="NCX1073" s="7"/>
      <c r="NCY1073" s="7"/>
      <c r="NCZ1073" s="7"/>
      <c r="NDA1073" s="7"/>
      <c r="NDB1073" s="7"/>
      <c r="NDC1073" s="7"/>
      <c r="NDD1073" s="7"/>
      <c r="NDE1073" s="7"/>
      <c r="NDF1073" s="7"/>
      <c r="NDG1073" s="7"/>
      <c r="NDH1073" s="7"/>
      <c r="NDI1073" s="7"/>
      <c r="NDJ1073" s="7"/>
      <c r="NDK1073" s="7"/>
      <c r="NDL1073" s="7"/>
      <c r="NDM1073" s="7"/>
      <c r="NDN1073" s="7"/>
      <c r="NDO1073" s="7"/>
      <c r="NDP1073" s="7"/>
      <c r="NDQ1073" s="7"/>
      <c r="NDR1073" s="7"/>
      <c r="NDS1073" s="7"/>
      <c r="NDT1073" s="7"/>
      <c r="NDU1073" s="7"/>
      <c r="NDV1073" s="7"/>
      <c r="NDW1073" s="7"/>
      <c r="NDX1073" s="7"/>
      <c r="NDY1073" s="7"/>
      <c r="NDZ1073" s="7"/>
      <c r="NEA1073" s="7"/>
      <c r="NEB1073" s="7"/>
      <c r="NEC1073" s="7"/>
      <c r="NED1073" s="7"/>
      <c r="NEE1073" s="7"/>
      <c r="NEF1073" s="7"/>
      <c r="NEG1073" s="7"/>
      <c r="NEH1073" s="7"/>
      <c r="NEI1073" s="7"/>
      <c r="NEJ1073" s="7"/>
      <c r="NEK1073" s="7"/>
      <c r="NEL1073" s="7"/>
      <c r="NEM1073" s="7"/>
      <c r="NEN1073" s="7"/>
      <c r="NEO1073" s="7"/>
      <c r="NEP1073" s="7"/>
      <c r="NEQ1073" s="7"/>
      <c r="NER1073" s="7"/>
      <c r="NES1073" s="7"/>
      <c r="NET1073" s="7"/>
      <c r="NEU1073" s="7"/>
      <c r="NEV1073" s="7"/>
      <c r="NEW1073" s="7"/>
      <c r="NEX1073" s="7"/>
      <c r="NEY1073" s="7"/>
      <c r="NEZ1073" s="7"/>
      <c r="NFA1073" s="7"/>
      <c r="NFB1073" s="7"/>
      <c r="NFC1073" s="7"/>
      <c r="NFD1073" s="7"/>
      <c r="NFE1073" s="7"/>
      <c r="NFF1073" s="7"/>
      <c r="NFG1073" s="7"/>
      <c r="NFH1073" s="7"/>
      <c r="NFI1073" s="7"/>
      <c r="NFJ1073" s="7"/>
      <c r="NFK1073" s="7"/>
      <c r="NFL1073" s="7"/>
      <c r="NFM1073" s="7"/>
      <c r="NFN1073" s="7"/>
      <c r="NFO1073" s="7"/>
      <c r="NFP1073" s="7"/>
      <c r="NFQ1073" s="7"/>
      <c r="NFR1073" s="7"/>
      <c r="NFS1073" s="7"/>
      <c r="NFT1073" s="7"/>
      <c r="NFU1073" s="7"/>
      <c r="NFV1073" s="7"/>
      <c r="NFW1073" s="7"/>
      <c r="NFX1073" s="7"/>
      <c r="NFY1073" s="7"/>
      <c r="NFZ1073" s="7"/>
      <c r="NGA1073" s="7"/>
      <c r="NGB1073" s="7"/>
      <c r="NGC1073" s="7"/>
      <c r="NGD1073" s="7"/>
      <c r="NGE1073" s="7"/>
      <c r="NGF1073" s="7"/>
      <c r="NGG1073" s="7"/>
      <c r="NGH1073" s="7"/>
      <c r="NGI1073" s="7"/>
      <c r="NGJ1073" s="7"/>
      <c r="NGK1073" s="7"/>
      <c r="NGL1073" s="7"/>
      <c r="NGM1073" s="7"/>
      <c r="NGN1073" s="7"/>
      <c r="NGO1073" s="7"/>
      <c r="NGP1073" s="7"/>
      <c r="NGQ1073" s="7"/>
      <c r="NGR1073" s="7"/>
      <c r="NGS1073" s="7"/>
      <c r="NGT1073" s="7"/>
      <c r="NGU1073" s="7"/>
      <c r="NGV1073" s="7"/>
      <c r="NGW1073" s="7"/>
      <c r="NGX1073" s="7"/>
      <c r="NGY1073" s="7"/>
      <c r="NGZ1073" s="7"/>
      <c r="NHA1073" s="7"/>
      <c r="NHB1073" s="7"/>
      <c r="NHC1073" s="7"/>
      <c r="NHD1073" s="7"/>
      <c r="NHE1073" s="7"/>
      <c r="NHF1073" s="7"/>
      <c r="NHG1073" s="7"/>
      <c r="NHH1073" s="7"/>
      <c r="NHI1073" s="7"/>
      <c r="NHJ1073" s="7"/>
      <c r="NHK1073" s="7"/>
      <c r="NHL1073" s="7"/>
      <c r="NHM1073" s="7"/>
      <c r="NHN1073" s="7"/>
      <c r="NHO1073" s="7"/>
      <c r="NHP1073" s="7"/>
      <c r="NHQ1073" s="7"/>
      <c r="NHR1073" s="7"/>
      <c r="NHS1073" s="7"/>
      <c r="NHT1073" s="7"/>
      <c r="NHU1073" s="7"/>
      <c r="NHV1073" s="7"/>
      <c r="NHW1073" s="7"/>
      <c r="NHX1073" s="7"/>
      <c r="NHY1073" s="7"/>
      <c r="NHZ1073" s="7"/>
      <c r="NIA1073" s="7"/>
      <c r="NIB1073" s="7"/>
      <c r="NIC1073" s="7"/>
      <c r="NID1073" s="7"/>
      <c r="NIE1073" s="7"/>
      <c r="NIF1073" s="7"/>
      <c r="NIG1073" s="7"/>
      <c r="NIH1073" s="7"/>
      <c r="NII1073" s="7"/>
      <c r="NIJ1073" s="7"/>
      <c r="NIK1073" s="7"/>
      <c r="NIL1073" s="7"/>
      <c r="NIM1073" s="7"/>
      <c r="NIN1073" s="7"/>
      <c r="NIO1073" s="7"/>
      <c r="NIP1073" s="7"/>
      <c r="NIQ1073" s="7"/>
      <c r="NIR1073" s="7"/>
      <c r="NIS1073" s="7"/>
      <c r="NIT1073" s="7"/>
      <c r="NIU1073" s="7"/>
      <c r="NIV1073" s="7"/>
      <c r="NIW1073" s="7"/>
      <c r="NIX1073" s="7"/>
      <c r="NIY1073" s="7"/>
      <c r="NIZ1073" s="7"/>
      <c r="NJA1073" s="7"/>
      <c r="NJB1073" s="7"/>
      <c r="NJC1073" s="7"/>
      <c r="NJD1073" s="7"/>
      <c r="NJE1073" s="7"/>
      <c r="NJF1073" s="7"/>
      <c r="NJG1073" s="7"/>
      <c r="NJH1073" s="7"/>
      <c r="NJI1073" s="7"/>
      <c r="NJJ1073" s="7"/>
      <c r="NJK1073" s="7"/>
      <c r="NJL1073" s="7"/>
      <c r="NJM1073" s="7"/>
      <c r="NJN1073" s="7"/>
      <c r="NJO1073" s="7"/>
      <c r="NJP1073" s="7"/>
      <c r="NJQ1073" s="7"/>
      <c r="NJR1073" s="7"/>
      <c r="NJS1073" s="7"/>
      <c r="NJT1073" s="7"/>
      <c r="NJU1073" s="7"/>
      <c r="NJV1073" s="7"/>
      <c r="NJW1073" s="7"/>
      <c r="NJX1073" s="7"/>
      <c r="NJY1073" s="7"/>
      <c r="NJZ1073" s="7"/>
      <c r="NKA1073" s="7"/>
      <c r="NKB1073" s="7"/>
      <c r="NKC1073" s="7"/>
      <c r="NKD1073" s="7"/>
      <c r="NKE1073" s="7"/>
      <c r="NKF1073" s="7"/>
      <c r="NKG1073" s="7"/>
      <c r="NKH1073" s="7"/>
      <c r="NKI1073" s="7"/>
      <c r="NKJ1073" s="7"/>
      <c r="NKK1073" s="7"/>
      <c r="NKL1073" s="7"/>
      <c r="NKM1073" s="7"/>
      <c r="NKN1073" s="7"/>
      <c r="NKO1073" s="7"/>
      <c r="NKP1073" s="7"/>
      <c r="NKQ1073" s="7"/>
      <c r="NKR1073" s="7"/>
      <c r="NKS1073" s="7"/>
      <c r="NKT1073" s="7"/>
      <c r="NKU1073" s="7"/>
      <c r="NKV1073" s="7"/>
      <c r="NKW1073" s="7"/>
      <c r="NKX1073" s="7"/>
      <c r="NKY1073" s="7"/>
      <c r="NKZ1073" s="7"/>
      <c r="NLA1073" s="7"/>
      <c r="NLB1073" s="7"/>
      <c r="NLC1073" s="7"/>
      <c r="NLD1073" s="7"/>
      <c r="NLE1073" s="7"/>
      <c r="NLF1073" s="7"/>
      <c r="NLG1073" s="7"/>
      <c r="NLH1073" s="7"/>
      <c r="NLI1073" s="7"/>
      <c r="NLJ1073" s="7"/>
      <c r="NLK1073" s="7"/>
      <c r="NLL1073" s="7"/>
      <c r="NLM1073" s="7"/>
      <c r="NLN1073" s="7"/>
      <c r="NLO1073" s="7"/>
      <c r="NLP1073" s="7"/>
      <c r="NLQ1073" s="7"/>
      <c r="NLR1073" s="7"/>
      <c r="NLS1073" s="7"/>
      <c r="NLT1073" s="7"/>
      <c r="NLU1073" s="7"/>
      <c r="NLV1073" s="7"/>
      <c r="NLW1073" s="7"/>
      <c r="NLX1073" s="7"/>
      <c r="NLY1073" s="7"/>
      <c r="NLZ1073" s="7"/>
      <c r="NMA1073" s="7"/>
      <c r="NMB1073" s="7"/>
      <c r="NMC1073" s="7"/>
      <c r="NMD1073" s="7"/>
      <c r="NME1073" s="7"/>
      <c r="NMF1073" s="7"/>
      <c r="NMG1073" s="7"/>
      <c r="NMH1073" s="7"/>
      <c r="NMI1073" s="7"/>
      <c r="NMJ1073" s="7"/>
      <c r="NMK1073" s="7"/>
      <c r="NML1073" s="7"/>
      <c r="NMM1073" s="7"/>
      <c r="NMN1073" s="7"/>
      <c r="NMO1073" s="7"/>
      <c r="NMP1073" s="7"/>
      <c r="NMQ1073" s="7"/>
      <c r="NMR1073" s="7"/>
      <c r="NMS1073" s="7"/>
      <c r="NMT1073" s="7"/>
      <c r="NMU1073" s="7"/>
      <c r="NMV1073" s="7"/>
      <c r="NMW1073" s="7"/>
      <c r="NMX1073" s="7"/>
      <c r="NMY1073" s="7"/>
      <c r="NMZ1073" s="7"/>
      <c r="NNA1073" s="7"/>
      <c r="NNB1073" s="7"/>
      <c r="NNC1073" s="7"/>
      <c r="NND1073" s="7"/>
      <c r="NNE1073" s="7"/>
      <c r="NNF1073" s="7"/>
      <c r="NNG1073" s="7"/>
      <c r="NNH1073" s="7"/>
      <c r="NNI1073" s="7"/>
      <c r="NNJ1073" s="7"/>
      <c r="NNK1073" s="7"/>
      <c r="NNL1073" s="7"/>
      <c r="NNM1073" s="7"/>
      <c r="NNN1073" s="7"/>
      <c r="NNO1073" s="7"/>
      <c r="NNP1073" s="7"/>
      <c r="NNQ1073" s="7"/>
      <c r="NNR1073" s="7"/>
      <c r="NNS1073" s="7"/>
      <c r="NNT1073" s="7"/>
      <c r="NNU1073" s="7"/>
      <c r="NNV1073" s="7"/>
      <c r="NNW1073" s="7"/>
      <c r="NNX1073" s="7"/>
      <c r="NNY1073" s="7"/>
      <c r="NNZ1073" s="7"/>
      <c r="NOA1073" s="7"/>
      <c r="NOB1073" s="7"/>
      <c r="NOC1073" s="7"/>
      <c r="NOD1073" s="7"/>
      <c r="NOE1073" s="7"/>
      <c r="NOF1073" s="7"/>
      <c r="NOG1073" s="7"/>
      <c r="NOH1073" s="7"/>
      <c r="NOI1073" s="7"/>
      <c r="NOJ1073" s="7"/>
      <c r="NOK1073" s="7"/>
      <c r="NOL1073" s="7"/>
      <c r="NOM1073" s="7"/>
      <c r="NON1073" s="7"/>
      <c r="NOO1073" s="7"/>
      <c r="NOP1073" s="7"/>
      <c r="NOQ1073" s="7"/>
      <c r="NOR1073" s="7"/>
      <c r="NOS1073" s="7"/>
      <c r="NOT1073" s="7"/>
      <c r="NOU1073" s="7"/>
      <c r="NOV1073" s="7"/>
      <c r="NOW1073" s="7"/>
      <c r="NOX1073" s="7"/>
      <c r="NOY1073" s="7"/>
      <c r="NOZ1073" s="7"/>
      <c r="NPA1073" s="7"/>
      <c r="NPB1073" s="7"/>
      <c r="NPC1073" s="7"/>
      <c r="NPD1073" s="7"/>
      <c r="NPE1073" s="7"/>
      <c r="NPF1073" s="7"/>
      <c r="NPG1073" s="7"/>
      <c r="NPH1073" s="7"/>
      <c r="NPI1073" s="7"/>
      <c r="NPJ1073" s="7"/>
      <c r="NPK1073" s="7"/>
      <c r="NPL1073" s="7"/>
      <c r="NPM1073" s="7"/>
      <c r="NPN1073" s="7"/>
      <c r="NPO1073" s="7"/>
      <c r="NPP1073" s="7"/>
      <c r="NPQ1073" s="7"/>
      <c r="NPR1073" s="7"/>
      <c r="NPS1073" s="7"/>
      <c r="NPT1073" s="7"/>
      <c r="NPU1073" s="7"/>
      <c r="NPV1073" s="7"/>
      <c r="NPW1073" s="7"/>
      <c r="NPX1073" s="7"/>
      <c r="NPY1073" s="7"/>
      <c r="NPZ1073" s="7"/>
      <c r="NQA1073" s="7"/>
      <c r="NQB1073" s="7"/>
      <c r="NQC1073" s="7"/>
      <c r="NQD1073" s="7"/>
      <c r="NQE1073" s="7"/>
      <c r="NQF1073" s="7"/>
      <c r="NQG1073" s="7"/>
      <c r="NQH1073" s="7"/>
      <c r="NQI1073" s="7"/>
      <c r="NQJ1073" s="7"/>
      <c r="NQK1073" s="7"/>
      <c r="NQL1073" s="7"/>
      <c r="NQM1073" s="7"/>
      <c r="NQN1073" s="7"/>
      <c r="NQO1073" s="7"/>
      <c r="NQP1073" s="7"/>
      <c r="NQQ1073" s="7"/>
      <c r="NQR1073" s="7"/>
      <c r="NQS1073" s="7"/>
      <c r="NQT1073" s="7"/>
      <c r="NQU1073" s="7"/>
      <c r="NQV1073" s="7"/>
      <c r="NQW1073" s="7"/>
      <c r="NQX1073" s="7"/>
      <c r="NQY1073" s="7"/>
      <c r="NQZ1073" s="7"/>
      <c r="NRA1073" s="7"/>
      <c r="NRB1073" s="7"/>
      <c r="NRC1073" s="7"/>
      <c r="NRD1073" s="7"/>
      <c r="NRE1073" s="7"/>
      <c r="NRF1073" s="7"/>
      <c r="NRG1073" s="7"/>
      <c r="NRH1073" s="7"/>
      <c r="NRI1073" s="7"/>
      <c r="NRJ1073" s="7"/>
      <c r="NRK1073" s="7"/>
      <c r="NRL1073" s="7"/>
      <c r="NRM1073" s="7"/>
      <c r="NRN1073" s="7"/>
      <c r="NRO1073" s="7"/>
      <c r="NRP1073" s="7"/>
      <c r="NRQ1073" s="7"/>
      <c r="NRR1073" s="7"/>
      <c r="NRS1073" s="7"/>
      <c r="NRT1073" s="7"/>
      <c r="NRU1073" s="7"/>
      <c r="NRV1073" s="7"/>
      <c r="NRW1073" s="7"/>
      <c r="NRX1073" s="7"/>
      <c r="NRY1073" s="7"/>
      <c r="NRZ1073" s="7"/>
      <c r="NSA1073" s="7"/>
      <c r="NSB1073" s="7"/>
      <c r="NSC1073" s="7"/>
      <c r="NSD1073" s="7"/>
      <c r="NSE1073" s="7"/>
      <c r="NSF1073" s="7"/>
      <c r="NSG1073" s="7"/>
      <c r="NSH1073" s="7"/>
      <c r="NSI1073" s="7"/>
      <c r="NSJ1073" s="7"/>
      <c r="NSK1073" s="7"/>
      <c r="NSL1073" s="7"/>
      <c r="NSM1073" s="7"/>
      <c r="NSN1073" s="7"/>
      <c r="NSO1073" s="7"/>
      <c r="NSP1073" s="7"/>
      <c r="NSQ1073" s="7"/>
      <c r="NSR1073" s="7"/>
      <c r="NSS1073" s="7"/>
      <c r="NST1073" s="7"/>
      <c r="NSU1073" s="7"/>
      <c r="NSV1073" s="7"/>
      <c r="NSW1073" s="7"/>
      <c r="NSX1073" s="7"/>
      <c r="NSY1073" s="7"/>
      <c r="NSZ1073" s="7"/>
      <c r="NTA1073" s="7"/>
      <c r="NTB1073" s="7"/>
      <c r="NTC1073" s="7"/>
      <c r="NTD1073" s="7"/>
      <c r="NTE1073" s="7"/>
      <c r="NTF1073" s="7"/>
      <c r="NTG1073" s="7"/>
      <c r="NTH1073" s="7"/>
      <c r="NTI1073" s="7"/>
      <c r="NTJ1073" s="7"/>
      <c r="NTK1073" s="7"/>
      <c r="NTL1073" s="7"/>
      <c r="NTM1073" s="7"/>
      <c r="NTN1073" s="7"/>
      <c r="NTO1073" s="7"/>
      <c r="NTP1073" s="7"/>
      <c r="NTQ1073" s="7"/>
      <c r="NTR1073" s="7"/>
      <c r="NTS1073" s="7"/>
      <c r="NTT1073" s="7"/>
      <c r="NTU1073" s="7"/>
      <c r="NTV1073" s="7"/>
      <c r="NTW1073" s="7"/>
      <c r="NTX1073" s="7"/>
      <c r="NTY1073" s="7"/>
      <c r="NTZ1073" s="7"/>
      <c r="NUA1073" s="7"/>
      <c r="NUB1073" s="7"/>
      <c r="NUC1073" s="7"/>
      <c r="NUD1073" s="7"/>
      <c r="NUE1073" s="7"/>
      <c r="NUF1073" s="7"/>
      <c r="NUG1073" s="7"/>
      <c r="NUH1073" s="7"/>
      <c r="NUI1073" s="7"/>
      <c r="NUJ1073" s="7"/>
      <c r="NUK1073" s="7"/>
      <c r="NUL1073" s="7"/>
      <c r="NUM1073" s="7"/>
      <c r="NUN1073" s="7"/>
      <c r="NUO1073" s="7"/>
      <c r="NUP1073" s="7"/>
      <c r="NUQ1073" s="7"/>
      <c r="NUR1073" s="7"/>
      <c r="NUS1073" s="7"/>
      <c r="NUT1073" s="7"/>
      <c r="NUU1073" s="7"/>
      <c r="NUV1073" s="7"/>
      <c r="NUW1073" s="7"/>
      <c r="NUX1073" s="7"/>
      <c r="NUY1073" s="7"/>
      <c r="NUZ1073" s="7"/>
      <c r="NVA1073" s="7"/>
      <c r="NVB1073" s="7"/>
      <c r="NVC1073" s="7"/>
      <c r="NVD1073" s="7"/>
      <c r="NVE1073" s="7"/>
      <c r="NVF1073" s="7"/>
      <c r="NVG1073" s="7"/>
      <c r="NVH1073" s="7"/>
      <c r="NVI1073" s="7"/>
      <c r="NVJ1073" s="7"/>
      <c r="NVK1073" s="7"/>
      <c r="NVL1073" s="7"/>
      <c r="NVM1073" s="7"/>
      <c r="NVN1073" s="7"/>
      <c r="NVO1073" s="7"/>
      <c r="NVP1073" s="7"/>
      <c r="NVQ1073" s="7"/>
      <c r="NVR1073" s="7"/>
      <c r="NVS1073" s="7"/>
      <c r="NVT1073" s="7"/>
      <c r="NVU1073" s="7"/>
      <c r="NVV1073" s="7"/>
      <c r="NVW1073" s="7"/>
      <c r="NVX1073" s="7"/>
      <c r="NVY1073" s="7"/>
      <c r="NVZ1073" s="7"/>
      <c r="NWA1073" s="7"/>
      <c r="NWB1073" s="7"/>
      <c r="NWC1073" s="7"/>
      <c r="NWD1073" s="7"/>
      <c r="NWE1073" s="7"/>
      <c r="NWF1073" s="7"/>
      <c r="NWG1073" s="7"/>
      <c r="NWH1073" s="7"/>
      <c r="NWI1073" s="7"/>
      <c r="NWJ1073" s="7"/>
      <c r="NWK1073" s="7"/>
      <c r="NWL1073" s="7"/>
      <c r="NWM1073" s="7"/>
      <c r="NWN1073" s="7"/>
      <c r="NWO1073" s="7"/>
      <c r="NWP1073" s="7"/>
      <c r="NWQ1073" s="7"/>
      <c r="NWR1073" s="7"/>
      <c r="NWS1073" s="7"/>
      <c r="NWT1073" s="7"/>
      <c r="NWU1073" s="7"/>
      <c r="NWV1073" s="7"/>
      <c r="NWW1073" s="7"/>
      <c r="NWX1073" s="7"/>
      <c r="NWY1073" s="7"/>
      <c r="NWZ1073" s="7"/>
      <c r="NXA1073" s="7"/>
      <c r="NXB1073" s="7"/>
      <c r="NXC1073" s="7"/>
      <c r="NXD1073" s="7"/>
      <c r="NXE1073" s="7"/>
      <c r="NXF1073" s="7"/>
      <c r="NXG1073" s="7"/>
      <c r="NXH1073" s="7"/>
      <c r="NXI1073" s="7"/>
      <c r="NXJ1073" s="7"/>
      <c r="NXK1073" s="7"/>
      <c r="NXL1073" s="7"/>
      <c r="NXM1073" s="7"/>
      <c r="NXN1073" s="7"/>
      <c r="NXO1073" s="7"/>
      <c r="NXP1073" s="7"/>
      <c r="NXQ1073" s="7"/>
      <c r="NXR1073" s="7"/>
      <c r="NXS1073" s="7"/>
      <c r="NXT1073" s="7"/>
      <c r="NXU1073" s="7"/>
      <c r="NXV1073" s="7"/>
      <c r="NXW1073" s="7"/>
      <c r="NXX1073" s="7"/>
      <c r="NXY1073" s="7"/>
      <c r="NXZ1073" s="7"/>
      <c r="NYA1073" s="7"/>
      <c r="NYB1073" s="7"/>
      <c r="NYC1073" s="7"/>
      <c r="NYD1073" s="7"/>
      <c r="NYE1073" s="7"/>
      <c r="NYF1073" s="7"/>
      <c r="NYG1073" s="7"/>
      <c r="NYH1073" s="7"/>
      <c r="NYI1073" s="7"/>
      <c r="NYJ1073" s="7"/>
      <c r="NYK1073" s="7"/>
      <c r="NYL1073" s="7"/>
      <c r="NYM1073" s="7"/>
      <c r="NYN1073" s="7"/>
      <c r="NYO1073" s="7"/>
      <c r="NYP1073" s="7"/>
      <c r="NYQ1073" s="7"/>
      <c r="NYR1073" s="7"/>
      <c r="NYS1073" s="7"/>
      <c r="NYT1073" s="7"/>
      <c r="NYU1073" s="7"/>
      <c r="NYV1073" s="7"/>
      <c r="NYW1073" s="7"/>
      <c r="NYX1073" s="7"/>
      <c r="NYY1073" s="7"/>
      <c r="NYZ1073" s="7"/>
      <c r="NZA1073" s="7"/>
      <c r="NZB1073" s="7"/>
      <c r="NZC1073" s="7"/>
      <c r="NZD1073" s="7"/>
      <c r="NZE1073" s="7"/>
      <c r="NZF1073" s="7"/>
      <c r="NZG1073" s="7"/>
      <c r="NZH1073" s="7"/>
      <c r="NZI1073" s="7"/>
      <c r="NZJ1073" s="7"/>
      <c r="NZK1073" s="7"/>
      <c r="NZL1073" s="7"/>
      <c r="NZM1073" s="7"/>
      <c r="NZN1073" s="7"/>
      <c r="NZO1073" s="7"/>
      <c r="NZP1073" s="7"/>
      <c r="NZQ1073" s="7"/>
      <c r="NZR1073" s="7"/>
      <c r="NZS1073" s="7"/>
      <c r="NZT1073" s="7"/>
      <c r="NZU1073" s="7"/>
      <c r="NZV1073" s="7"/>
      <c r="NZW1073" s="7"/>
      <c r="NZX1073" s="7"/>
      <c r="NZY1073" s="7"/>
      <c r="NZZ1073" s="7"/>
      <c r="OAA1073" s="7"/>
      <c r="OAB1073" s="7"/>
      <c r="OAC1073" s="7"/>
      <c r="OAD1073" s="7"/>
      <c r="OAE1073" s="7"/>
      <c r="OAF1073" s="7"/>
      <c r="OAG1073" s="7"/>
      <c r="OAH1073" s="7"/>
      <c r="OAI1073" s="7"/>
      <c r="OAJ1073" s="7"/>
      <c r="OAK1073" s="7"/>
      <c r="OAL1073" s="7"/>
      <c r="OAM1073" s="7"/>
      <c r="OAN1073" s="7"/>
      <c r="OAO1073" s="7"/>
      <c r="OAP1073" s="7"/>
      <c r="OAQ1073" s="7"/>
      <c r="OAR1073" s="7"/>
      <c r="OAS1073" s="7"/>
      <c r="OAT1073" s="7"/>
      <c r="OAU1073" s="7"/>
      <c r="OAV1073" s="7"/>
      <c r="OAW1073" s="7"/>
      <c r="OAX1073" s="7"/>
      <c r="OAY1073" s="7"/>
      <c r="OAZ1073" s="7"/>
      <c r="OBA1073" s="7"/>
      <c r="OBB1073" s="7"/>
      <c r="OBC1073" s="7"/>
      <c r="OBD1073" s="7"/>
      <c r="OBE1073" s="7"/>
      <c r="OBF1073" s="7"/>
      <c r="OBG1073" s="7"/>
      <c r="OBH1073" s="7"/>
      <c r="OBI1073" s="7"/>
      <c r="OBJ1073" s="7"/>
      <c r="OBK1073" s="7"/>
      <c r="OBL1073" s="7"/>
      <c r="OBM1073" s="7"/>
      <c r="OBN1073" s="7"/>
      <c r="OBO1073" s="7"/>
      <c r="OBP1073" s="7"/>
      <c r="OBQ1073" s="7"/>
      <c r="OBR1073" s="7"/>
      <c r="OBS1073" s="7"/>
      <c r="OBT1073" s="7"/>
      <c r="OBU1073" s="7"/>
      <c r="OBV1073" s="7"/>
      <c r="OBW1073" s="7"/>
      <c r="OBX1073" s="7"/>
      <c r="OBY1073" s="7"/>
      <c r="OBZ1073" s="7"/>
      <c r="OCA1073" s="7"/>
      <c r="OCB1073" s="7"/>
      <c r="OCC1073" s="7"/>
      <c r="OCD1073" s="7"/>
      <c r="OCE1073" s="7"/>
      <c r="OCF1073" s="7"/>
      <c r="OCG1073" s="7"/>
      <c r="OCH1073" s="7"/>
      <c r="OCI1073" s="7"/>
      <c r="OCJ1073" s="7"/>
      <c r="OCK1073" s="7"/>
      <c r="OCL1073" s="7"/>
      <c r="OCM1073" s="7"/>
      <c r="OCN1073" s="7"/>
      <c r="OCO1073" s="7"/>
      <c r="OCP1073" s="7"/>
      <c r="OCQ1073" s="7"/>
      <c r="OCR1073" s="7"/>
      <c r="OCS1073" s="7"/>
      <c r="OCT1073" s="7"/>
      <c r="OCU1073" s="7"/>
      <c r="OCV1073" s="7"/>
      <c r="OCW1073" s="7"/>
      <c r="OCX1073" s="7"/>
      <c r="OCY1073" s="7"/>
      <c r="OCZ1073" s="7"/>
      <c r="ODA1073" s="7"/>
      <c r="ODB1073" s="7"/>
      <c r="ODC1073" s="7"/>
      <c r="ODD1073" s="7"/>
      <c r="ODE1073" s="7"/>
      <c r="ODF1073" s="7"/>
      <c r="ODG1073" s="7"/>
      <c r="ODH1073" s="7"/>
      <c r="ODI1073" s="7"/>
      <c r="ODJ1073" s="7"/>
      <c r="ODK1073" s="7"/>
      <c r="ODL1073" s="7"/>
      <c r="ODM1073" s="7"/>
      <c r="ODN1073" s="7"/>
      <c r="ODO1073" s="7"/>
      <c r="ODP1073" s="7"/>
      <c r="ODQ1073" s="7"/>
      <c r="ODR1073" s="7"/>
      <c r="ODS1073" s="7"/>
      <c r="ODT1073" s="7"/>
      <c r="ODU1073" s="7"/>
      <c r="ODV1073" s="7"/>
      <c r="ODW1073" s="7"/>
      <c r="ODX1073" s="7"/>
      <c r="ODY1073" s="7"/>
      <c r="ODZ1073" s="7"/>
      <c r="OEA1073" s="7"/>
      <c r="OEB1073" s="7"/>
      <c r="OEC1073" s="7"/>
      <c r="OED1073" s="7"/>
      <c r="OEE1073" s="7"/>
      <c r="OEF1073" s="7"/>
      <c r="OEG1073" s="7"/>
      <c r="OEH1073" s="7"/>
      <c r="OEI1073" s="7"/>
      <c r="OEJ1073" s="7"/>
      <c r="OEK1073" s="7"/>
      <c r="OEL1073" s="7"/>
      <c r="OEM1073" s="7"/>
      <c r="OEN1073" s="7"/>
      <c r="OEO1073" s="7"/>
      <c r="OEP1073" s="7"/>
      <c r="OEQ1073" s="7"/>
      <c r="OER1073" s="7"/>
      <c r="OES1073" s="7"/>
      <c r="OET1073" s="7"/>
      <c r="OEU1073" s="7"/>
      <c r="OEV1073" s="7"/>
      <c r="OEW1073" s="7"/>
      <c r="OEX1073" s="7"/>
      <c r="OEY1073" s="7"/>
      <c r="OEZ1073" s="7"/>
      <c r="OFA1073" s="7"/>
      <c r="OFB1073" s="7"/>
      <c r="OFC1073" s="7"/>
      <c r="OFD1073" s="7"/>
      <c r="OFE1073" s="7"/>
      <c r="OFF1073" s="7"/>
      <c r="OFG1073" s="7"/>
      <c r="OFH1073" s="7"/>
      <c r="OFI1073" s="7"/>
      <c r="OFJ1073" s="7"/>
      <c r="OFK1073" s="7"/>
      <c r="OFL1073" s="7"/>
      <c r="OFM1073" s="7"/>
      <c r="OFN1073" s="7"/>
      <c r="OFO1073" s="7"/>
      <c r="OFP1073" s="7"/>
      <c r="OFQ1073" s="7"/>
      <c r="OFR1073" s="7"/>
      <c r="OFS1073" s="7"/>
      <c r="OFT1073" s="7"/>
      <c r="OFU1073" s="7"/>
      <c r="OFV1073" s="7"/>
      <c r="OFW1073" s="7"/>
      <c r="OFX1073" s="7"/>
      <c r="OFY1073" s="7"/>
      <c r="OFZ1073" s="7"/>
      <c r="OGA1073" s="7"/>
      <c r="OGB1073" s="7"/>
      <c r="OGC1073" s="7"/>
      <c r="OGD1073" s="7"/>
      <c r="OGE1073" s="7"/>
      <c r="OGF1073" s="7"/>
      <c r="OGG1073" s="7"/>
      <c r="OGH1073" s="7"/>
      <c r="OGI1073" s="7"/>
      <c r="OGJ1073" s="7"/>
      <c r="OGK1073" s="7"/>
      <c r="OGL1073" s="7"/>
      <c r="OGM1073" s="7"/>
      <c r="OGN1073" s="7"/>
      <c r="OGO1073" s="7"/>
      <c r="OGP1073" s="7"/>
      <c r="OGQ1073" s="7"/>
      <c r="OGR1073" s="7"/>
      <c r="OGS1073" s="7"/>
      <c r="OGT1073" s="7"/>
      <c r="OGU1073" s="7"/>
      <c r="OGV1073" s="7"/>
      <c r="OGW1073" s="7"/>
      <c r="OGX1073" s="7"/>
      <c r="OGY1073" s="7"/>
      <c r="OGZ1073" s="7"/>
      <c r="OHA1073" s="7"/>
      <c r="OHB1073" s="7"/>
      <c r="OHC1073" s="7"/>
      <c r="OHD1073" s="7"/>
      <c r="OHE1073" s="7"/>
      <c r="OHF1073" s="7"/>
      <c r="OHG1073" s="7"/>
      <c r="OHH1073" s="7"/>
      <c r="OHI1073" s="7"/>
      <c r="OHJ1073" s="7"/>
      <c r="OHK1073" s="7"/>
      <c r="OHL1073" s="7"/>
      <c r="OHM1073" s="7"/>
      <c r="OHN1073" s="7"/>
      <c r="OHO1073" s="7"/>
      <c r="OHP1073" s="7"/>
      <c r="OHQ1073" s="7"/>
      <c r="OHR1073" s="7"/>
      <c r="OHS1073" s="7"/>
      <c r="OHT1073" s="7"/>
      <c r="OHU1073" s="7"/>
      <c r="OHV1073" s="7"/>
      <c r="OHW1073" s="7"/>
      <c r="OHX1073" s="7"/>
      <c r="OHY1073" s="7"/>
      <c r="OHZ1073" s="7"/>
      <c r="OIA1073" s="7"/>
      <c r="OIB1073" s="7"/>
      <c r="OIC1073" s="7"/>
      <c r="OID1073" s="7"/>
      <c r="OIE1073" s="7"/>
      <c r="OIF1073" s="7"/>
      <c r="OIG1073" s="7"/>
      <c r="OIH1073" s="7"/>
      <c r="OII1073" s="7"/>
      <c r="OIJ1073" s="7"/>
      <c r="OIK1073" s="7"/>
      <c r="OIL1073" s="7"/>
      <c r="OIM1073" s="7"/>
      <c r="OIN1073" s="7"/>
      <c r="OIO1073" s="7"/>
      <c r="OIP1073" s="7"/>
      <c r="OIQ1073" s="7"/>
      <c r="OIR1073" s="7"/>
      <c r="OIS1073" s="7"/>
      <c r="OIT1073" s="7"/>
      <c r="OIU1073" s="7"/>
      <c r="OIV1073" s="7"/>
      <c r="OIW1073" s="7"/>
      <c r="OIX1073" s="7"/>
      <c r="OIY1073" s="7"/>
      <c r="OIZ1073" s="7"/>
      <c r="OJA1073" s="7"/>
      <c r="OJB1073" s="7"/>
      <c r="OJC1073" s="7"/>
      <c r="OJD1073" s="7"/>
      <c r="OJE1073" s="7"/>
      <c r="OJF1073" s="7"/>
      <c r="OJG1073" s="7"/>
      <c r="OJH1073" s="7"/>
      <c r="OJI1073" s="7"/>
      <c r="OJJ1073" s="7"/>
      <c r="OJK1073" s="7"/>
      <c r="OJL1073" s="7"/>
      <c r="OJM1073" s="7"/>
      <c r="OJN1073" s="7"/>
      <c r="OJO1073" s="7"/>
      <c r="OJP1073" s="7"/>
      <c r="OJQ1073" s="7"/>
      <c r="OJR1073" s="7"/>
      <c r="OJS1073" s="7"/>
      <c r="OJT1073" s="7"/>
      <c r="OJU1073" s="7"/>
      <c r="OJV1073" s="7"/>
      <c r="OJW1073" s="7"/>
      <c r="OJX1073" s="7"/>
      <c r="OJY1073" s="7"/>
      <c r="OJZ1073" s="7"/>
      <c r="OKA1073" s="7"/>
      <c r="OKB1073" s="7"/>
      <c r="OKC1073" s="7"/>
      <c r="OKD1073" s="7"/>
      <c r="OKE1073" s="7"/>
      <c r="OKF1073" s="7"/>
      <c r="OKG1073" s="7"/>
      <c r="OKH1073" s="7"/>
      <c r="OKI1073" s="7"/>
      <c r="OKJ1073" s="7"/>
      <c r="OKK1073" s="7"/>
      <c r="OKL1073" s="7"/>
      <c r="OKM1073" s="7"/>
      <c r="OKN1073" s="7"/>
      <c r="OKO1073" s="7"/>
      <c r="OKP1073" s="7"/>
      <c r="OKQ1073" s="7"/>
      <c r="OKR1073" s="7"/>
      <c r="OKS1073" s="7"/>
      <c r="OKT1073" s="7"/>
      <c r="OKU1073" s="7"/>
      <c r="OKV1073" s="7"/>
      <c r="OKW1073" s="7"/>
      <c r="OKX1073" s="7"/>
      <c r="OKY1073" s="7"/>
      <c r="OKZ1073" s="7"/>
      <c r="OLA1073" s="7"/>
      <c r="OLB1073" s="7"/>
      <c r="OLC1073" s="7"/>
      <c r="OLD1073" s="7"/>
      <c r="OLE1073" s="7"/>
      <c r="OLF1073" s="7"/>
      <c r="OLG1073" s="7"/>
      <c r="OLH1073" s="7"/>
      <c r="OLI1073" s="7"/>
      <c r="OLJ1073" s="7"/>
      <c r="OLK1073" s="7"/>
      <c r="OLL1073" s="7"/>
      <c r="OLM1073" s="7"/>
      <c r="OLN1073" s="7"/>
      <c r="OLO1073" s="7"/>
      <c r="OLP1073" s="7"/>
      <c r="OLQ1073" s="7"/>
      <c r="OLR1073" s="7"/>
      <c r="OLS1073" s="7"/>
      <c r="OLT1073" s="7"/>
      <c r="OLU1073" s="7"/>
      <c r="OLV1073" s="7"/>
      <c r="OLW1073" s="7"/>
      <c r="OLX1073" s="7"/>
      <c r="OLY1073" s="7"/>
      <c r="OLZ1073" s="7"/>
      <c r="OMA1073" s="7"/>
      <c r="OMB1073" s="7"/>
      <c r="OMC1073" s="7"/>
      <c r="OMD1073" s="7"/>
      <c r="OME1073" s="7"/>
      <c r="OMF1073" s="7"/>
      <c r="OMG1073" s="7"/>
      <c r="OMH1073" s="7"/>
      <c r="OMI1073" s="7"/>
      <c r="OMJ1073" s="7"/>
      <c r="OMK1073" s="7"/>
      <c r="OML1073" s="7"/>
      <c r="OMM1073" s="7"/>
      <c r="OMN1073" s="7"/>
      <c r="OMO1073" s="7"/>
      <c r="OMP1073" s="7"/>
      <c r="OMQ1073" s="7"/>
      <c r="OMR1073" s="7"/>
      <c r="OMS1073" s="7"/>
      <c r="OMT1073" s="7"/>
      <c r="OMU1073" s="7"/>
      <c r="OMV1073" s="7"/>
      <c r="OMW1073" s="7"/>
      <c r="OMX1073" s="7"/>
      <c r="OMY1073" s="7"/>
      <c r="OMZ1073" s="7"/>
      <c r="ONA1073" s="7"/>
      <c r="ONB1073" s="7"/>
      <c r="ONC1073" s="7"/>
      <c r="OND1073" s="7"/>
      <c r="ONE1073" s="7"/>
      <c r="ONF1073" s="7"/>
      <c r="ONG1073" s="7"/>
      <c r="ONH1073" s="7"/>
      <c r="ONI1073" s="7"/>
      <c r="ONJ1073" s="7"/>
      <c r="ONK1073" s="7"/>
      <c r="ONL1073" s="7"/>
      <c r="ONM1073" s="7"/>
      <c r="ONN1073" s="7"/>
      <c r="ONO1073" s="7"/>
      <c r="ONP1073" s="7"/>
      <c r="ONQ1073" s="7"/>
      <c r="ONR1073" s="7"/>
      <c r="ONS1073" s="7"/>
      <c r="ONT1073" s="7"/>
      <c r="ONU1073" s="7"/>
      <c r="ONV1073" s="7"/>
      <c r="ONW1073" s="7"/>
      <c r="ONX1073" s="7"/>
      <c r="ONY1073" s="7"/>
      <c r="ONZ1073" s="7"/>
      <c r="OOA1073" s="7"/>
      <c r="OOB1073" s="7"/>
      <c r="OOC1073" s="7"/>
      <c r="OOD1073" s="7"/>
      <c r="OOE1073" s="7"/>
      <c r="OOF1073" s="7"/>
      <c r="OOG1073" s="7"/>
      <c r="OOH1073" s="7"/>
      <c r="OOI1073" s="7"/>
      <c r="OOJ1073" s="7"/>
      <c r="OOK1073" s="7"/>
      <c r="OOL1073" s="7"/>
      <c r="OOM1073" s="7"/>
      <c r="OON1073" s="7"/>
      <c r="OOO1073" s="7"/>
      <c r="OOP1073" s="7"/>
      <c r="OOQ1073" s="7"/>
      <c r="OOR1073" s="7"/>
      <c r="OOS1073" s="7"/>
      <c r="OOT1073" s="7"/>
      <c r="OOU1073" s="7"/>
      <c r="OOV1073" s="7"/>
      <c r="OOW1073" s="7"/>
      <c r="OOX1073" s="7"/>
      <c r="OOY1073" s="7"/>
      <c r="OOZ1073" s="7"/>
      <c r="OPA1073" s="7"/>
      <c r="OPB1073" s="7"/>
      <c r="OPC1073" s="7"/>
      <c r="OPD1073" s="7"/>
      <c r="OPE1073" s="7"/>
      <c r="OPF1073" s="7"/>
      <c r="OPG1073" s="7"/>
      <c r="OPH1073" s="7"/>
      <c r="OPI1073" s="7"/>
      <c r="OPJ1073" s="7"/>
      <c r="OPK1073" s="7"/>
      <c r="OPL1073" s="7"/>
      <c r="OPM1073" s="7"/>
      <c r="OPN1073" s="7"/>
      <c r="OPO1073" s="7"/>
      <c r="OPP1073" s="7"/>
      <c r="OPQ1073" s="7"/>
      <c r="OPR1073" s="7"/>
      <c r="OPS1073" s="7"/>
      <c r="OPT1073" s="7"/>
      <c r="OPU1073" s="7"/>
      <c r="OPV1073" s="7"/>
      <c r="OPW1073" s="7"/>
      <c r="OPX1073" s="7"/>
      <c r="OPY1073" s="7"/>
      <c r="OPZ1073" s="7"/>
      <c r="OQA1073" s="7"/>
      <c r="OQB1073" s="7"/>
      <c r="OQC1073" s="7"/>
      <c r="OQD1073" s="7"/>
      <c r="OQE1073" s="7"/>
      <c r="OQF1073" s="7"/>
      <c r="OQG1073" s="7"/>
      <c r="OQH1073" s="7"/>
      <c r="OQI1073" s="7"/>
      <c r="OQJ1073" s="7"/>
      <c r="OQK1073" s="7"/>
      <c r="OQL1073" s="7"/>
      <c r="OQM1073" s="7"/>
      <c r="OQN1073" s="7"/>
      <c r="OQO1073" s="7"/>
      <c r="OQP1073" s="7"/>
      <c r="OQQ1073" s="7"/>
      <c r="OQR1073" s="7"/>
      <c r="OQS1073" s="7"/>
      <c r="OQT1073" s="7"/>
      <c r="OQU1073" s="7"/>
      <c r="OQV1073" s="7"/>
      <c r="OQW1073" s="7"/>
      <c r="OQX1073" s="7"/>
      <c r="OQY1073" s="7"/>
      <c r="OQZ1073" s="7"/>
      <c r="ORA1073" s="7"/>
      <c r="ORB1073" s="7"/>
      <c r="ORC1073" s="7"/>
      <c r="ORD1073" s="7"/>
      <c r="ORE1073" s="7"/>
      <c r="ORF1073" s="7"/>
      <c r="ORG1073" s="7"/>
      <c r="ORH1073" s="7"/>
      <c r="ORI1073" s="7"/>
      <c r="ORJ1073" s="7"/>
      <c r="ORK1073" s="7"/>
      <c r="ORL1073" s="7"/>
      <c r="ORM1073" s="7"/>
      <c r="ORN1073" s="7"/>
      <c r="ORO1073" s="7"/>
      <c r="ORP1073" s="7"/>
      <c r="ORQ1073" s="7"/>
      <c r="ORR1073" s="7"/>
      <c r="ORS1073" s="7"/>
      <c r="ORT1073" s="7"/>
      <c r="ORU1073" s="7"/>
      <c r="ORV1073" s="7"/>
      <c r="ORW1073" s="7"/>
      <c r="ORX1073" s="7"/>
      <c r="ORY1073" s="7"/>
      <c r="ORZ1073" s="7"/>
      <c r="OSA1073" s="7"/>
      <c r="OSB1073" s="7"/>
      <c r="OSC1073" s="7"/>
      <c r="OSD1073" s="7"/>
      <c r="OSE1073" s="7"/>
      <c r="OSF1073" s="7"/>
      <c r="OSG1073" s="7"/>
      <c r="OSH1073" s="7"/>
      <c r="OSI1073" s="7"/>
      <c r="OSJ1073" s="7"/>
      <c r="OSK1073" s="7"/>
      <c r="OSL1073" s="7"/>
      <c r="OSM1073" s="7"/>
      <c r="OSN1073" s="7"/>
      <c r="OSO1073" s="7"/>
      <c r="OSP1073" s="7"/>
      <c r="OSQ1073" s="7"/>
      <c r="OSR1073" s="7"/>
      <c r="OSS1073" s="7"/>
      <c r="OST1073" s="7"/>
      <c r="OSU1073" s="7"/>
      <c r="OSV1073" s="7"/>
      <c r="OSW1073" s="7"/>
      <c r="OSX1073" s="7"/>
      <c r="OSY1073" s="7"/>
      <c r="OSZ1073" s="7"/>
      <c r="OTA1073" s="7"/>
      <c r="OTB1073" s="7"/>
      <c r="OTC1073" s="7"/>
      <c r="OTD1073" s="7"/>
      <c r="OTE1073" s="7"/>
      <c r="OTF1073" s="7"/>
      <c r="OTG1073" s="7"/>
      <c r="OTH1073" s="7"/>
      <c r="OTI1073" s="7"/>
      <c r="OTJ1073" s="7"/>
      <c r="OTK1073" s="7"/>
      <c r="OTL1073" s="7"/>
      <c r="OTM1073" s="7"/>
      <c r="OTN1073" s="7"/>
      <c r="OTO1073" s="7"/>
      <c r="OTP1073" s="7"/>
      <c r="OTQ1073" s="7"/>
      <c r="OTR1073" s="7"/>
      <c r="OTS1073" s="7"/>
      <c r="OTT1073" s="7"/>
      <c r="OTU1073" s="7"/>
      <c r="OTV1073" s="7"/>
      <c r="OTW1073" s="7"/>
      <c r="OTX1073" s="7"/>
      <c r="OTY1073" s="7"/>
      <c r="OTZ1073" s="7"/>
      <c r="OUA1073" s="7"/>
      <c r="OUB1073" s="7"/>
      <c r="OUC1073" s="7"/>
      <c r="OUD1073" s="7"/>
      <c r="OUE1073" s="7"/>
      <c r="OUF1073" s="7"/>
      <c r="OUG1073" s="7"/>
      <c r="OUH1073" s="7"/>
      <c r="OUI1073" s="7"/>
      <c r="OUJ1073" s="7"/>
      <c r="OUK1073" s="7"/>
      <c r="OUL1073" s="7"/>
      <c r="OUM1073" s="7"/>
      <c r="OUN1073" s="7"/>
      <c r="OUO1073" s="7"/>
      <c r="OUP1073" s="7"/>
      <c r="OUQ1073" s="7"/>
      <c r="OUR1073" s="7"/>
      <c r="OUS1073" s="7"/>
      <c r="OUT1073" s="7"/>
      <c r="OUU1073" s="7"/>
      <c r="OUV1073" s="7"/>
      <c r="OUW1073" s="7"/>
      <c r="OUX1073" s="7"/>
      <c r="OUY1073" s="7"/>
      <c r="OUZ1073" s="7"/>
      <c r="OVA1073" s="7"/>
      <c r="OVB1073" s="7"/>
      <c r="OVC1073" s="7"/>
      <c r="OVD1073" s="7"/>
      <c r="OVE1073" s="7"/>
      <c r="OVF1073" s="7"/>
      <c r="OVG1073" s="7"/>
      <c r="OVH1073" s="7"/>
      <c r="OVI1073" s="7"/>
      <c r="OVJ1073" s="7"/>
      <c r="OVK1073" s="7"/>
      <c r="OVL1073" s="7"/>
      <c r="OVM1073" s="7"/>
      <c r="OVN1073" s="7"/>
      <c r="OVO1073" s="7"/>
      <c r="OVP1073" s="7"/>
      <c r="OVQ1073" s="7"/>
      <c r="OVR1073" s="7"/>
      <c r="OVS1073" s="7"/>
      <c r="OVT1073" s="7"/>
      <c r="OVU1073" s="7"/>
      <c r="OVV1073" s="7"/>
      <c r="OVW1073" s="7"/>
      <c r="OVX1073" s="7"/>
      <c r="OVY1073" s="7"/>
      <c r="OVZ1073" s="7"/>
      <c r="OWA1073" s="7"/>
      <c r="OWB1073" s="7"/>
      <c r="OWC1073" s="7"/>
      <c r="OWD1073" s="7"/>
      <c r="OWE1073" s="7"/>
      <c r="OWF1073" s="7"/>
      <c r="OWG1073" s="7"/>
      <c r="OWH1073" s="7"/>
      <c r="OWI1073" s="7"/>
      <c r="OWJ1073" s="7"/>
      <c r="OWK1073" s="7"/>
      <c r="OWL1073" s="7"/>
      <c r="OWM1073" s="7"/>
      <c r="OWN1073" s="7"/>
      <c r="OWO1073" s="7"/>
      <c r="OWP1073" s="7"/>
      <c r="OWQ1073" s="7"/>
      <c r="OWR1073" s="7"/>
      <c r="OWS1073" s="7"/>
      <c r="OWT1073" s="7"/>
      <c r="OWU1073" s="7"/>
      <c r="OWV1073" s="7"/>
      <c r="OWW1073" s="7"/>
      <c r="OWX1073" s="7"/>
      <c r="OWY1073" s="7"/>
      <c r="OWZ1073" s="7"/>
      <c r="OXA1073" s="7"/>
      <c r="OXB1073" s="7"/>
      <c r="OXC1073" s="7"/>
      <c r="OXD1073" s="7"/>
      <c r="OXE1073" s="7"/>
      <c r="OXF1073" s="7"/>
      <c r="OXG1073" s="7"/>
      <c r="OXH1073" s="7"/>
      <c r="OXI1073" s="7"/>
      <c r="OXJ1073" s="7"/>
      <c r="OXK1073" s="7"/>
      <c r="OXL1073" s="7"/>
      <c r="OXM1073" s="7"/>
      <c r="OXN1073" s="7"/>
      <c r="OXO1073" s="7"/>
      <c r="OXP1073" s="7"/>
      <c r="OXQ1073" s="7"/>
      <c r="OXR1073" s="7"/>
      <c r="OXS1073" s="7"/>
      <c r="OXT1073" s="7"/>
      <c r="OXU1073" s="7"/>
      <c r="OXV1073" s="7"/>
      <c r="OXW1073" s="7"/>
      <c r="OXX1073" s="7"/>
      <c r="OXY1073" s="7"/>
      <c r="OXZ1073" s="7"/>
      <c r="OYA1073" s="7"/>
      <c r="OYB1073" s="7"/>
      <c r="OYC1073" s="7"/>
      <c r="OYD1073" s="7"/>
      <c r="OYE1073" s="7"/>
      <c r="OYF1073" s="7"/>
      <c r="OYG1073" s="7"/>
      <c r="OYH1073" s="7"/>
      <c r="OYI1073" s="7"/>
      <c r="OYJ1073" s="7"/>
      <c r="OYK1073" s="7"/>
      <c r="OYL1073" s="7"/>
      <c r="OYM1073" s="7"/>
      <c r="OYN1073" s="7"/>
      <c r="OYO1073" s="7"/>
      <c r="OYP1073" s="7"/>
      <c r="OYQ1073" s="7"/>
      <c r="OYR1073" s="7"/>
      <c r="OYS1073" s="7"/>
      <c r="OYT1073" s="7"/>
      <c r="OYU1073" s="7"/>
      <c r="OYV1073" s="7"/>
      <c r="OYW1073" s="7"/>
      <c r="OYX1073" s="7"/>
      <c r="OYY1073" s="7"/>
      <c r="OYZ1073" s="7"/>
      <c r="OZA1073" s="7"/>
      <c r="OZB1073" s="7"/>
      <c r="OZC1073" s="7"/>
      <c r="OZD1073" s="7"/>
      <c r="OZE1073" s="7"/>
      <c r="OZF1073" s="7"/>
      <c r="OZG1073" s="7"/>
      <c r="OZH1073" s="7"/>
      <c r="OZI1073" s="7"/>
      <c r="OZJ1073" s="7"/>
      <c r="OZK1073" s="7"/>
      <c r="OZL1073" s="7"/>
      <c r="OZM1073" s="7"/>
      <c r="OZN1073" s="7"/>
      <c r="OZO1073" s="7"/>
      <c r="OZP1073" s="7"/>
      <c r="OZQ1073" s="7"/>
      <c r="OZR1073" s="7"/>
      <c r="OZS1073" s="7"/>
      <c r="OZT1073" s="7"/>
      <c r="OZU1073" s="7"/>
      <c r="OZV1073" s="7"/>
      <c r="OZW1073" s="7"/>
      <c r="OZX1073" s="7"/>
      <c r="OZY1073" s="7"/>
      <c r="OZZ1073" s="7"/>
      <c r="PAA1073" s="7"/>
      <c r="PAB1073" s="7"/>
      <c r="PAC1073" s="7"/>
      <c r="PAD1073" s="7"/>
      <c r="PAE1073" s="7"/>
      <c r="PAF1073" s="7"/>
      <c r="PAG1073" s="7"/>
      <c r="PAH1073" s="7"/>
      <c r="PAI1073" s="7"/>
      <c r="PAJ1073" s="7"/>
      <c r="PAK1073" s="7"/>
      <c r="PAL1073" s="7"/>
      <c r="PAM1073" s="7"/>
      <c r="PAN1073" s="7"/>
      <c r="PAO1073" s="7"/>
      <c r="PAP1073" s="7"/>
      <c r="PAQ1073" s="7"/>
      <c r="PAR1073" s="7"/>
      <c r="PAS1073" s="7"/>
      <c r="PAT1073" s="7"/>
      <c r="PAU1073" s="7"/>
      <c r="PAV1073" s="7"/>
      <c r="PAW1073" s="7"/>
      <c r="PAX1073" s="7"/>
      <c r="PAY1073" s="7"/>
      <c r="PAZ1073" s="7"/>
      <c r="PBA1073" s="7"/>
      <c r="PBB1073" s="7"/>
      <c r="PBC1073" s="7"/>
      <c r="PBD1073" s="7"/>
      <c r="PBE1073" s="7"/>
      <c r="PBF1073" s="7"/>
      <c r="PBG1073" s="7"/>
      <c r="PBH1073" s="7"/>
      <c r="PBI1073" s="7"/>
      <c r="PBJ1073" s="7"/>
      <c r="PBK1073" s="7"/>
      <c r="PBL1073" s="7"/>
      <c r="PBM1073" s="7"/>
      <c r="PBN1073" s="7"/>
      <c r="PBO1073" s="7"/>
      <c r="PBP1073" s="7"/>
      <c r="PBQ1073" s="7"/>
      <c r="PBR1073" s="7"/>
      <c r="PBS1073" s="7"/>
      <c r="PBT1073" s="7"/>
      <c r="PBU1073" s="7"/>
      <c r="PBV1073" s="7"/>
      <c r="PBW1073" s="7"/>
      <c r="PBX1073" s="7"/>
      <c r="PBY1073" s="7"/>
      <c r="PBZ1073" s="7"/>
      <c r="PCA1073" s="7"/>
      <c r="PCB1073" s="7"/>
      <c r="PCC1073" s="7"/>
      <c r="PCD1073" s="7"/>
      <c r="PCE1073" s="7"/>
      <c r="PCF1073" s="7"/>
      <c r="PCG1073" s="7"/>
      <c r="PCH1073" s="7"/>
      <c r="PCI1073" s="7"/>
      <c r="PCJ1073" s="7"/>
      <c r="PCK1073" s="7"/>
      <c r="PCL1073" s="7"/>
      <c r="PCM1073" s="7"/>
      <c r="PCN1073" s="7"/>
      <c r="PCO1073" s="7"/>
      <c r="PCP1073" s="7"/>
      <c r="PCQ1073" s="7"/>
      <c r="PCR1073" s="7"/>
      <c r="PCS1073" s="7"/>
      <c r="PCT1073" s="7"/>
      <c r="PCU1073" s="7"/>
      <c r="PCV1073" s="7"/>
      <c r="PCW1073" s="7"/>
      <c r="PCX1073" s="7"/>
      <c r="PCY1073" s="7"/>
      <c r="PCZ1073" s="7"/>
      <c r="PDA1073" s="7"/>
      <c r="PDB1073" s="7"/>
      <c r="PDC1073" s="7"/>
      <c r="PDD1073" s="7"/>
      <c r="PDE1073" s="7"/>
      <c r="PDF1073" s="7"/>
      <c r="PDG1073" s="7"/>
      <c r="PDH1073" s="7"/>
      <c r="PDI1073" s="7"/>
      <c r="PDJ1073" s="7"/>
      <c r="PDK1073" s="7"/>
      <c r="PDL1073" s="7"/>
      <c r="PDM1073" s="7"/>
      <c r="PDN1073" s="7"/>
      <c r="PDO1073" s="7"/>
      <c r="PDP1073" s="7"/>
      <c r="PDQ1073" s="7"/>
      <c r="PDR1073" s="7"/>
      <c r="PDS1073" s="7"/>
      <c r="PDT1073" s="7"/>
      <c r="PDU1073" s="7"/>
      <c r="PDV1073" s="7"/>
      <c r="PDW1073" s="7"/>
      <c r="PDX1073" s="7"/>
      <c r="PDY1073" s="7"/>
      <c r="PDZ1073" s="7"/>
      <c r="PEA1073" s="7"/>
      <c r="PEB1073" s="7"/>
      <c r="PEC1073" s="7"/>
      <c r="PED1073" s="7"/>
      <c r="PEE1073" s="7"/>
      <c r="PEF1073" s="7"/>
      <c r="PEG1073" s="7"/>
      <c r="PEH1073" s="7"/>
      <c r="PEI1073" s="7"/>
      <c r="PEJ1073" s="7"/>
      <c r="PEK1073" s="7"/>
      <c r="PEL1073" s="7"/>
      <c r="PEM1073" s="7"/>
      <c r="PEN1073" s="7"/>
      <c r="PEO1073" s="7"/>
      <c r="PEP1073" s="7"/>
      <c r="PEQ1073" s="7"/>
      <c r="PER1073" s="7"/>
      <c r="PES1073" s="7"/>
      <c r="PET1073" s="7"/>
      <c r="PEU1073" s="7"/>
      <c r="PEV1073" s="7"/>
      <c r="PEW1073" s="7"/>
      <c r="PEX1073" s="7"/>
      <c r="PEY1073" s="7"/>
      <c r="PEZ1073" s="7"/>
      <c r="PFA1073" s="7"/>
      <c r="PFB1073" s="7"/>
      <c r="PFC1073" s="7"/>
      <c r="PFD1073" s="7"/>
      <c r="PFE1073" s="7"/>
      <c r="PFF1073" s="7"/>
      <c r="PFG1073" s="7"/>
      <c r="PFH1073" s="7"/>
      <c r="PFI1073" s="7"/>
      <c r="PFJ1073" s="7"/>
      <c r="PFK1073" s="7"/>
      <c r="PFL1073" s="7"/>
      <c r="PFM1073" s="7"/>
      <c r="PFN1073" s="7"/>
      <c r="PFO1073" s="7"/>
      <c r="PFP1073" s="7"/>
      <c r="PFQ1073" s="7"/>
      <c r="PFR1073" s="7"/>
      <c r="PFS1073" s="7"/>
      <c r="PFT1073" s="7"/>
      <c r="PFU1073" s="7"/>
      <c r="PFV1073" s="7"/>
      <c r="PFW1073" s="7"/>
      <c r="PFX1073" s="7"/>
      <c r="PFY1073" s="7"/>
      <c r="PFZ1073" s="7"/>
      <c r="PGA1073" s="7"/>
      <c r="PGB1073" s="7"/>
      <c r="PGC1073" s="7"/>
      <c r="PGD1073" s="7"/>
      <c r="PGE1073" s="7"/>
      <c r="PGF1073" s="7"/>
      <c r="PGG1073" s="7"/>
      <c r="PGH1073" s="7"/>
      <c r="PGI1073" s="7"/>
      <c r="PGJ1073" s="7"/>
      <c r="PGK1073" s="7"/>
      <c r="PGL1073" s="7"/>
      <c r="PGM1073" s="7"/>
      <c r="PGN1073" s="7"/>
      <c r="PGO1073" s="7"/>
      <c r="PGP1073" s="7"/>
      <c r="PGQ1073" s="7"/>
      <c r="PGR1073" s="7"/>
      <c r="PGS1073" s="7"/>
      <c r="PGT1073" s="7"/>
      <c r="PGU1073" s="7"/>
      <c r="PGV1073" s="7"/>
      <c r="PGW1073" s="7"/>
      <c r="PGX1073" s="7"/>
      <c r="PGY1073" s="7"/>
      <c r="PGZ1073" s="7"/>
      <c r="PHA1073" s="7"/>
      <c r="PHB1073" s="7"/>
      <c r="PHC1073" s="7"/>
      <c r="PHD1073" s="7"/>
      <c r="PHE1073" s="7"/>
      <c r="PHF1073" s="7"/>
      <c r="PHG1073" s="7"/>
      <c r="PHH1073" s="7"/>
      <c r="PHI1073" s="7"/>
      <c r="PHJ1073" s="7"/>
      <c r="PHK1073" s="7"/>
      <c r="PHL1073" s="7"/>
      <c r="PHM1073" s="7"/>
      <c r="PHN1073" s="7"/>
      <c r="PHO1073" s="7"/>
      <c r="PHP1073" s="7"/>
      <c r="PHQ1073" s="7"/>
      <c r="PHR1073" s="7"/>
      <c r="PHS1073" s="7"/>
      <c r="PHT1073" s="7"/>
      <c r="PHU1073" s="7"/>
      <c r="PHV1073" s="7"/>
      <c r="PHW1073" s="7"/>
      <c r="PHX1073" s="7"/>
      <c r="PHY1073" s="7"/>
      <c r="PHZ1073" s="7"/>
      <c r="PIA1073" s="7"/>
      <c r="PIB1073" s="7"/>
      <c r="PIC1073" s="7"/>
      <c r="PID1073" s="7"/>
      <c r="PIE1073" s="7"/>
      <c r="PIF1073" s="7"/>
      <c r="PIG1073" s="7"/>
      <c r="PIH1073" s="7"/>
      <c r="PII1073" s="7"/>
      <c r="PIJ1073" s="7"/>
      <c r="PIK1073" s="7"/>
      <c r="PIL1073" s="7"/>
      <c r="PIM1073" s="7"/>
      <c r="PIN1073" s="7"/>
      <c r="PIO1073" s="7"/>
      <c r="PIP1073" s="7"/>
      <c r="PIQ1073" s="7"/>
      <c r="PIR1073" s="7"/>
      <c r="PIS1073" s="7"/>
      <c r="PIT1073" s="7"/>
      <c r="PIU1073" s="7"/>
      <c r="PIV1073" s="7"/>
      <c r="PIW1073" s="7"/>
      <c r="PIX1073" s="7"/>
      <c r="PIY1073" s="7"/>
      <c r="PIZ1073" s="7"/>
      <c r="PJA1073" s="7"/>
      <c r="PJB1073" s="7"/>
      <c r="PJC1073" s="7"/>
      <c r="PJD1073" s="7"/>
      <c r="PJE1073" s="7"/>
      <c r="PJF1073" s="7"/>
      <c r="PJG1073" s="7"/>
      <c r="PJH1073" s="7"/>
      <c r="PJI1073" s="7"/>
      <c r="PJJ1073" s="7"/>
      <c r="PJK1073" s="7"/>
      <c r="PJL1073" s="7"/>
      <c r="PJM1073" s="7"/>
      <c r="PJN1073" s="7"/>
      <c r="PJO1073" s="7"/>
      <c r="PJP1073" s="7"/>
      <c r="PJQ1073" s="7"/>
      <c r="PJR1073" s="7"/>
      <c r="PJS1073" s="7"/>
      <c r="PJT1073" s="7"/>
      <c r="PJU1073" s="7"/>
      <c r="PJV1073" s="7"/>
      <c r="PJW1073" s="7"/>
      <c r="PJX1073" s="7"/>
      <c r="PJY1073" s="7"/>
      <c r="PJZ1073" s="7"/>
      <c r="PKA1073" s="7"/>
      <c r="PKB1073" s="7"/>
      <c r="PKC1073" s="7"/>
      <c r="PKD1073" s="7"/>
      <c r="PKE1073" s="7"/>
      <c r="PKF1073" s="7"/>
      <c r="PKG1073" s="7"/>
      <c r="PKH1073" s="7"/>
      <c r="PKI1073" s="7"/>
      <c r="PKJ1073" s="7"/>
      <c r="PKK1073" s="7"/>
      <c r="PKL1073" s="7"/>
      <c r="PKM1073" s="7"/>
      <c r="PKN1073" s="7"/>
      <c r="PKO1073" s="7"/>
      <c r="PKP1073" s="7"/>
      <c r="PKQ1073" s="7"/>
      <c r="PKR1073" s="7"/>
      <c r="PKS1073" s="7"/>
      <c r="PKT1073" s="7"/>
      <c r="PKU1073" s="7"/>
      <c r="PKV1073" s="7"/>
      <c r="PKW1073" s="7"/>
      <c r="PKX1073" s="7"/>
      <c r="PKY1073" s="7"/>
      <c r="PKZ1073" s="7"/>
      <c r="PLA1073" s="7"/>
      <c r="PLB1073" s="7"/>
      <c r="PLC1073" s="7"/>
      <c r="PLD1073" s="7"/>
      <c r="PLE1073" s="7"/>
      <c r="PLF1073" s="7"/>
      <c r="PLG1073" s="7"/>
      <c r="PLH1073" s="7"/>
      <c r="PLI1073" s="7"/>
      <c r="PLJ1073" s="7"/>
      <c r="PLK1073" s="7"/>
      <c r="PLL1073" s="7"/>
      <c r="PLM1073" s="7"/>
      <c r="PLN1073" s="7"/>
      <c r="PLO1073" s="7"/>
      <c r="PLP1073" s="7"/>
      <c r="PLQ1073" s="7"/>
      <c r="PLR1073" s="7"/>
      <c r="PLS1073" s="7"/>
      <c r="PLT1073" s="7"/>
      <c r="PLU1073" s="7"/>
      <c r="PLV1073" s="7"/>
      <c r="PLW1073" s="7"/>
      <c r="PLX1073" s="7"/>
      <c r="PLY1073" s="7"/>
      <c r="PLZ1073" s="7"/>
      <c r="PMA1073" s="7"/>
      <c r="PMB1073" s="7"/>
      <c r="PMC1073" s="7"/>
      <c r="PMD1073" s="7"/>
      <c r="PME1073" s="7"/>
      <c r="PMF1073" s="7"/>
      <c r="PMG1073" s="7"/>
      <c r="PMH1073" s="7"/>
      <c r="PMI1073" s="7"/>
      <c r="PMJ1073" s="7"/>
      <c r="PMK1073" s="7"/>
      <c r="PML1073" s="7"/>
      <c r="PMM1073" s="7"/>
      <c r="PMN1073" s="7"/>
      <c r="PMO1073" s="7"/>
      <c r="PMP1073" s="7"/>
      <c r="PMQ1073" s="7"/>
      <c r="PMR1073" s="7"/>
      <c r="PMS1073" s="7"/>
      <c r="PMT1073" s="7"/>
      <c r="PMU1073" s="7"/>
      <c r="PMV1073" s="7"/>
      <c r="PMW1073" s="7"/>
      <c r="PMX1073" s="7"/>
      <c r="PMY1073" s="7"/>
      <c r="PMZ1073" s="7"/>
      <c r="PNA1073" s="7"/>
      <c r="PNB1073" s="7"/>
      <c r="PNC1073" s="7"/>
      <c r="PND1073" s="7"/>
      <c r="PNE1073" s="7"/>
      <c r="PNF1073" s="7"/>
      <c r="PNG1073" s="7"/>
      <c r="PNH1073" s="7"/>
      <c r="PNI1073" s="7"/>
      <c r="PNJ1073" s="7"/>
      <c r="PNK1073" s="7"/>
      <c r="PNL1073" s="7"/>
      <c r="PNM1073" s="7"/>
      <c r="PNN1073" s="7"/>
      <c r="PNO1073" s="7"/>
      <c r="PNP1073" s="7"/>
      <c r="PNQ1073" s="7"/>
      <c r="PNR1073" s="7"/>
      <c r="PNS1073" s="7"/>
      <c r="PNT1073" s="7"/>
      <c r="PNU1073" s="7"/>
      <c r="PNV1073" s="7"/>
      <c r="PNW1073" s="7"/>
      <c r="PNX1073" s="7"/>
      <c r="PNY1073" s="7"/>
      <c r="PNZ1073" s="7"/>
      <c r="POA1073" s="7"/>
      <c r="POB1073" s="7"/>
      <c r="POC1073" s="7"/>
      <c r="POD1073" s="7"/>
      <c r="POE1073" s="7"/>
      <c r="POF1073" s="7"/>
      <c r="POG1073" s="7"/>
      <c r="POH1073" s="7"/>
      <c r="POI1073" s="7"/>
      <c r="POJ1073" s="7"/>
      <c r="POK1073" s="7"/>
      <c r="POL1073" s="7"/>
      <c r="POM1073" s="7"/>
      <c r="PON1073" s="7"/>
      <c r="POO1073" s="7"/>
      <c r="POP1073" s="7"/>
      <c r="POQ1073" s="7"/>
      <c r="POR1073" s="7"/>
      <c r="POS1073" s="7"/>
      <c r="POT1073" s="7"/>
      <c r="POU1073" s="7"/>
      <c r="POV1073" s="7"/>
      <c r="POW1073" s="7"/>
      <c r="POX1073" s="7"/>
      <c r="POY1073" s="7"/>
      <c r="POZ1073" s="7"/>
      <c r="PPA1073" s="7"/>
      <c r="PPB1073" s="7"/>
      <c r="PPC1073" s="7"/>
      <c r="PPD1073" s="7"/>
      <c r="PPE1073" s="7"/>
      <c r="PPF1073" s="7"/>
      <c r="PPG1073" s="7"/>
      <c r="PPH1073" s="7"/>
      <c r="PPI1073" s="7"/>
      <c r="PPJ1073" s="7"/>
      <c r="PPK1073" s="7"/>
      <c r="PPL1073" s="7"/>
      <c r="PPM1073" s="7"/>
      <c r="PPN1073" s="7"/>
      <c r="PPO1073" s="7"/>
      <c r="PPP1073" s="7"/>
      <c r="PPQ1073" s="7"/>
      <c r="PPR1073" s="7"/>
      <c r="PPS1073" s="7"/>
      <c r="PPT1073" s="7"/>
      <c r="PPU1073" s="7"/>
      <c r="PPV1073" s="7"/>
      <c r="PPW1073" s="7"/>
      <c r="PPX1073" s="7"/>
      <c r="PPY1073" s="7"/>
      <c r="PPZ1073" s="7"/>
      <c r="PQA1073" s="7"/>
      <c r="PQB1073" s="7"/>
      <c r="PQC1073" s="7"/>
      <c r="PQD1073" s="7"/>
      <c r="PQE1073" s="7"/>
      <c r="PQF1073" s="7"/>
      <c r="PQG1073" s="7"/>
      <c r="PQH1073" s="7"/>
      <c r="PQI1073" s="7"/>
      <c r="PQJ1073" s="7"/>
      <c r="PQK1073" s="7"/>
      <c r="PQL1073" s="7"/>
      <c r="PQM1073" s="7"/>
      <c r="PQN1073" s="7"/>
      <c r="PQO1073" s="7"/>
      <c r="PQP1073" s="7"/>
      <c r="PQQ1073" s="7"/>
      <c r="PQR1073" s="7"/>
      <c r="PQS1073" s="7"/>
      <c r="PQT1073" s="7"/>
      <c r="PQU1073" s="7"/>
      <c r="PQV1073" s="7"/>
      <c r="PQW1073" s="7"/>
      <c r="PQX1073" s="7"/>
      <c r="PQY1073" s="7"/>
      <c r="PQZ1073" s="7"/>
      <c r="PRA1073" s="7"/>
      <c r="PRB1073" s="7"/>
      <c r="PRC1073" s="7"/>
      <c r="PRD1073" s="7"/>
      <c r="PRE1073" s="7"/>
      <c r="PRF1073" s="7"/>
      <c r="PRG1073" s="7"/>
      <c r="PRH1073" s="7"/>
      <c r="PRI1073" s="7"/>
      <c r="PRJ1073" s="7"/>
      <c r="PRK1073" s="7"/>
      <c r="PRL1073" s="7"/>
      <c r="PRM1073" s="7"/>
      <c r="PRN1073" s="7"/>
      <c r="PRO1073" s="7"/>
      <c r="PRP1073" s="7"/>
      <c r="PRQ1073" s="7"/>
      <c r="PRR1073" s="7"/>
      <c r="PRS1073" s="7"/>
      <c r="PRT1073" s="7"/>
      <c r="PRU1073" s="7"/>
      <c r="PRV1073" s="7"/>
      <c r="PRW1073" s="7"/>
      <c r="PRX1073" s="7"/>
      <c r="PRY1073" s="7"/>
      <c r="PRZ1073" s="7"/>
      <c r="PSA1073" s="7"/>
      <c r="PSB1073" s="7"/>
      <c r="PSC1073" s="7"/>
      <c r="PSD1073" s="7"/>
      <c r="PSE1073" s="7"/>
      <c r="PSF1073" s="7"/>
      <c r="PSG1073" s="7"/>
      <c r="PSH1073" s="7"/>
      <c r="PSI1073" s="7"/>
      <c r="PSJ1073" s="7"/>
      <c r="PSK1073" s="7"/>
      <c r="PSL1073" s="7"/>
      <c r="PSM1073" s="7"/>
      <c r="PSN1073" s="7"/>
      <c r="PSO1073" s="7"/>
      <c r="PSP1073" s="7"/>
      <c r="PSQ1073" s="7"/>
      <c r="PSR1073" s="7"/>
      <c r="PSS1073" s="7"/>
      <c r="PST1073" s="7"/>
      <c r="PSU1073" s="7"/>
      <c r="PSV1073" s="7"/>
      <c r="PSW1073" s="7"/>
      <c r="PSX1073" s="7"/>
      <c r="PSY1073" s="7"/>
      <c r="PSZ1073" s="7"/>
      <c r="PTA1073" s="7"/>
      <c r="PTB1073" s="7"/>
      <c r="PTC1073" s="7"/>
      <c r="PTD1073" s="7"/>
      <c r="PTE1073" s="7"/>
      <c r="PTF1073" s="7"/>
      <c r="PTG1073" s="7"/>
      <c r="PTH1073" s="7"/>
      <c r="PTI1073" s="7"/>
      <c r="PTJ1073" s="7"/>
      <c r="PTK1073" s="7"/>
      <c r="PTL1073" s="7"/>
      <c r="PTM1073" s="7"/>
      <c r="PTN1073" s="7"/>
      <c r="PTO1073" s="7"/>
      <c r="PTP1073" s="7"/>
      <c r="PTQ1073" s="7"/>
      <c r="PTR1073" s="7"/>
      <c r="PTS1073" s="7"/>
      <c r="PTT1073" s="7"/>
      <c r="PTU1073" s="7"/>
      <c r="PTV1073" s="7"/>
      <c r="PTW1073" s="7"/>
      <c r="PTX1073" s="7"/>
      <c r="PTY1073" s="7"/>
      <c r="PTZ1073" s="7"/>
      <c r="PUA1073" s="7"/>
      <c r="PUB1073" s="7"/>
      <c r="PUC1073" s="7"/>
      <c r="PUD1073" s="7"/>
      <c r="PUE1073" s="7"/>
      <c r="PUF1073" s="7"/>
      <c r="PUG1073" s="7"/>
      <c r="PUH1073" s="7"/>
      <c r="PUI1073" s="7"/>
      <c r="PUJ1073" s="7"/>
      <c r="PUK1073" s="7"/>
      <c r="PUL1073" s="7"/>
      <c r="PUM1073" s="7"/>
      <c r="PUN1073" s="7"/>
      <c r="PUO1073" s="7"/>
      <c r="PUP1073" s="7"/>
      <c r="PUQ1073" s="7"/>
      <c r="PUR1073" s="7"/>
      <c r="PUS1073" s="7"/>
      <c r="PUT1073" s="7"/>
      <c r="PUU1073" s="7"/>
      <c r="PUV1073" s="7"/>
      <c r="PUW1073" s="7"/>
      <c r="PUX1073" s="7"/>
      <c r="PUY1073" s="7"/>
      <c r="PUZ1073" s="7"/>
      <c r="PVA1073" s="7"/>
      <c r="PVB1073" s="7"/>
      <c r="PVC1073" s="7"/>
      <c r="PVD1073" s="7"/>
      <c r="PVE1073" s="7"/>
      <c r="PVF1073" s="7"/>
      <c r="PVG1073" s="7"/>
      <c r="PVH1073" s="7"/>
      <c r="PVI1073" s="7"/>
      <c r="PVJ1073" s="7"/>
      <c r="PVK1073" s="7"/>
      <c r="PVL1073" s="7"/>
      <c r="PVM1073" s="7"/>
      <c r="PVN1073" s="7"/>
      <c r="PVO1073" s="7"/>
      <c r="PVP1073" s="7"/>
      <c r="PVQ1073" s="7"/>
      <c r="PVR1073" s="7"/>
      <c r="PVS1073" s="7"/>
      <c r="PVT1073" s="7"/>
      <c r="PVU1073" s="7"/>
      <c r="PVV1073" s="7"/>
      <c r="PVW1073" s="7"/>
      <c r="PVX1073" s="7"/>
      <c r="PVY1073" s="7"/>
      <c r="PVZ1073" s="7"/>
      <c r="PWA1073" s="7"/>
      <c r="PWB1073" s="7"/>
      <c r="PWC1073" s="7"/>
      <c r="PWD1073" s="7"/>
      <c r="PWE1073" s="7"/>
      <c r="PWF1073" s="7"/>
      <c r="PWG1073" s="7"/>
      <c r="PWH1073" s="7"/>
      <c r="PWI1073" s="7"/>
      <c r="PWJ1073" s="7"/>
      <c r="PWK1073" s="7"/>
      <c r="PWL1073" s="7"/>
      <c r="PWM1073" s="7"/>
      <c r="PWN1073" s="7"/>
      <c r="PWO1073" s="7"/>
      <c r="PWP1073" s="7"/>
      <c r="PWQ1073" s="7"/>
      <c r="PWR1073" s="7"/>
      <c r="PWS1073" s="7"/>
      <c r="PWT1073" s="7"/>
      <c r="PWU1073" s="7"/>
      <c r="PWV1073" s="7"/>
      <c r="PWW1073" s="7"/>
      <c r="PWX1073" s="7"/>
      <c r="PWY1073" s="7"/>
      <c r="PWZ1073" s="7"/>
      <c r="PXA1073" s="7"/>
      <c r="PXB1073" s="7"/>
      <c r="PXC1073" s="7"/>
      <c r="PXD1073" s="7"/>
      <c r="PXE1073" s="7"/>
      <c r="PXF1073" s="7"/>
      <c r="PXG1073" s="7"/>
      <c r="PXH1073" s="7"/>
      <c r="PXI1073" s="7"/>
      <c r="PXJ1073" s="7"/>
      <c r="PXK1073" s="7"/>
      <c r="PXL1073" s="7"/>
      <c r="PXM1073" s="7"/>
      <c r="PXN1073" s="7"/>
      <c r="PXO1073" s="7"/>
      <c r="PXP1073" s="7"/>
      <c r="PXQ1073" s="7"/>
      <c r="PXR1073" s="7"/>
      <c r="PXS1073" s="7"/>
      <c r="PXT1073" s="7"/>
      <c r="PXU1073" s="7"/>
      <c r="PXV1073" s="7"/>
      <c r="PXW1073" s="7"/>
      <c r="PXX1073" s="7"/>
      <c r="PXY1073" s="7"/>
      <c r="PXZ1073" s="7"/>
      <c r="PYA1073" s="7"/>
      <c r="PYB1073" s="7"/>
      <c r="PYC1073" s="7"/>
      <c r="PYD1073" s="7"/>
      <c r="PYE1073" s="7"/>
      <c r="PYF1073" s="7"/>
      <c r="PYG1073" s="7"/>
      <c r="PYH1073" s="7"/>
      <c r="PYI1073" s="7"/>
      <c r="PYJ1073" s="7"/>
      <c r="PYK1073" s="7"/>
      <c r="PYL1073" s="7"/>
      <c r="PYM1073" s="7"/>
      <c r="PYN1073" s="7"/>
      <c r="PYO1073" s="7"/>
      <c r="PYP1073" s="7"/>
      <c r="PYQ1073" s="7"/>
      <c r="PYR1073" s="7"/>
      <c r="PYS1073" s="7"/>
      <c r="PYT1073" s="7"/>
      <c r="PYU1073" s="7"/>
      <c r="PYV1073" s="7"/>
      <c r="PYW1073" s="7"/>
      <c r="PYX1073" s="7"/>
      <c r="PYY1073" s="7"/>
      <c r="PYZ1073" s="7"/>
      <c r="PZA1073" s="7"/>
      <c r="PZB1073" s="7"/>
      <c r="PZC1073" s="7"/>
      <c r="PZD1073" s="7"/>
      <c r="PZE1073" s="7"/>
      <c r="PZF1073" s="7"/>
      <c r="PZG1073" s="7"/>
      <c r="PZH1073" s="7"/>
      <c r="PZI1073" s="7"/>
      <c r="PZJ1073" s="7"/>
      <c r="PZK1073" s="7"/>
      <c r="PZL1073" s="7"/>
      <c r="PZM1073" s="7"/>
      <c r="PZN1073" s="7"/>
      <c r="PZO1073" s="7"/>
      <c r="PZP1073" s="7"/>
      <c r="PZQ1073" s="7"/>
      <c r="PZR1073" s="7"/>
      <c r="PZS1073" s="7"/>
      <c r="PZT1073" s="7"/>
      <c r="PZU1073" s="7"/>
      <c r="PZV1073" s="7"/>
      <c r="PZW1073" s="7"/>
      <c r="PZX1073" s="7"/>
      <c r="PZY1073" s="7"/>
      <c r="PZZ1073" s="7"/>
      <c r="QAA1073" s="7"/>
      <c r="QAB1073" s="7"/>
      <c r="QAC1073" s="7"/>
      <c r="QAD1073" s="7"/>
      <c r="QAE1073" s="7"/>
      <c r="QAF1073" s="7"/>
      <c r="QAG1073" s="7"/>
      <c r="QAH1073" s="7"/>
      <c r="QAI1073" s="7"/>
      <c r="QAJ1073" s="7"/>
      <c r="QAK1073" s="7"/>
      <c r="QAL1073" s="7"/>
      <c r="QAM1073" s="7"/>
      <c r="QAN1073" s="7"/>
      <c r="QAO1073" s="7"/>
      <c r="QAP1073" s="7"/>
      <c r="QAQ1073" s="7"/>
      <c r="QAR1073" s="7"/>
      <c r="QAS1073" s="7"/>
      <c r="QAT1073" s="7"/>
      <c r="QAU1073" s="7"/>
      <c r="QAV1073" s="7"/>
      <c r="QAW1073" s="7"/>
      <c r="QAX1073" s="7"/>
      <c r="QAY1073" s="7"/>
      <c r="QAZ1073" s="7"/>
      <c r="QBA1073" s="7"/>
      <c r="QBB1073" s="7"/>
      <c r="QBC1073" s="7"/>
      <c r="QBD1073" s="7"/>
      <c r="QBE1073" s="7"/>
      <c r="QBF1073" s="7"/>
      <c r="QBG1073" s="7"/>
      <c r="QBH1073" s="7"/>
      <c r="QBI1073" s="7"/>
      <c r="QBJ1073" s="7"/>
      <c r="QBK1073" s="7"/>
      <c r="QBL1073" s="7"/>
      <c r="QBM1073" s="7"/>
      <c r="QBN1073" s="7"/>
      <c r="QBO1073" s="7"/>
      <c r="QBP1073" s="7"/>
      <c r="QBQ1073" s="7"/>
      <c r="QBR1073" s="7"/>
      <c r="QBS1073" s="7"/>
      <c r="QBT1073" s="7"/>
      <c r="QBU1073" s="7"/>
      <c r="QBV1073" s="7"/>
      <c r="QBW1073" s="7"/>
      <c r="QBX1073" s="7"/>
      <c r="QBY1073" s="7"/>
      <c r="QBZ1073" s="7"/>
      <c r="QCA1073" s="7"/>
      <c r="QCB1073" s="7"/>
      <c r="QCC1073" s="7"/>
      <c r="QCD1073" s="7"/>
      <c r="QCE1073" s="7"/>
      <c r="QCF1073" s="7"/>
      <c r="QCG1073" s="7"/>
      <c r="QCH1073" s="7"/>
      <c r="QCI1073" s="7"/>
      <c r="QCJ1073" s="7"/>
      <c r="QCK1073" s="7"/>
      <c r="QCL1073" s="7"/>
      <c r="QCM1073" s="7"/>
      <c r="QCN1073" s="7"/>
      <c r="QCO1073" s="7"/>
      <c r="QCP1073" s="7"/>
      <c r="QCQ1073" s="7"/>
      <c r="QCR1073" s="7"/>
      <c r="QCS1073" s="7"/>
      <c r="QCT1073" s="7"/>
      <c r="QCU1073" s="7"/>
      <c r="QCV1073" s="7"/>
      <c r="QCW1073" s="7"/>
      <c r="QCX1073" s="7"/>
      <c r="QCY1073" s="7"/>
      <c r="QCZ1073" s="7"/>
      <c r="QDA1073" s="7"/>
      <c r="QDB1073" s="7"/>
      <c r="QDC1073" s="7"/>
      <c r="QDD1073" s="7"/>
      <c r="QDE1073" s="7"/>
      <c r="QDF1073" s="7"/>
      <c r="QDG1073" s="7"/>
      <c r="QDH1073" s="7"/>
      <c r="QDI1073" s="7"/>
      <c r="QDJ1073" s="7"/>
      <c r="QDK1073" s="7"/>
      <c r="QDL1073" s="7"/>
      <c r="QDM1073" s="7"/>
      <c r="QDN1073" s="7"/>
      <c r="QDO1073" s="7"/>
      <c r="QDP1073" s="7"/>
      <c r="QDQ1073" s="7"/>
      <c r="QDR1073" s="7"/>
      <c r="QDS1073" s="7"/>
      <c r="QDT1073" s="7"/>
      <c r="QDU1073" s="7"/>
      <c r="QDV1073" s="7"/>
      <c r="QDW1073" s="7"/>
      <c r="QDX1073" s="7"/>
      <c r="QDY1073" s="7"/>
      <c r="QDZ1073" s="7"/>
      <c r="QEA1073" s="7"/>
      <c r="QEB1073" s="7"/>
      <c r="QEC1073" s="7"/>
      <c r="QED1073" s="7"/>
      <c r="QEE1073" s="7"/>
      <c r="QEF1073" s="7"/>
      <c r="QEG1073" s="7"/>
      <c r="QEH1073" s="7"/>
      <c r="QEI1073" s="7"/>
      <c r="QEJ1073" s="7"/>
      <c r="QEK1073" s="7"/>
      <c r="QEL1073" s="7"/>
      <c r="QEM1073" s="7"/>
      <c r="QEN1073" s="7"/>
      <c r="QEO1073" s="7"/>
      <c r="QEP1073" s="7"/>
      <c r="QEQ1073" s="7"/>
      <c r="QER1073" s="7"/>
      <c r="QES1073" s="7"/>
      <c r="QET1073" s="7"/>
      <c r="QEU1073" s="7"/>
      <c r="QEV1073" s="7"/>
      <c r="QEW1073" s="7"/>
      <c r="QEX1073" s="7"/>
      <c r="QEY1073" s="7"/>
      <c r="QEZ1073" s="7"/>
      <c r="QFA1073" s="7"/>
      <c r="QFB1073" s="7"/>
      <c r="QFC1073" s="7"/>
      <c r="QFD1073" s="7"/>
      <c r="QFE1073" s="7"/>
      <c r="QFF1073" s="7"/>
      <c r="QFG1073" s="7"/>
      <c r="QFH1073" s="7"/>
      <c r="QFI1073" s="7"/>
      <c r="QFJ1073" s="7"/>
      <c r="QFK1073" s="7"/>
      <c r="QFL1073" s="7"/>
      <c r="QFM1073" s="7"/>
      <c r="QFN1073" s="7"/>
      <c r="QFO1073" s="7"/>
      <c r="QFP1073" s="7"/>
      <c r="QFQ1073" s="7"/>
      <c r="QFR1073" s="7"/>
      <c r="QFS1073" s="7"/>
      <c r="QFT1073" s="7"/>
      <c r="QFU1073" s="7"/>
      <c r="QFV1073" s="7"/>
      <c r="QFW1073" s="7"/>
      <c r="QFX1073" s="7"/>
      <c r="QFY1073" s="7"/>
      <c r="QFZ1073" s="7"/>
      <c r="QGA1073" s="7"/>
      <c r="QGB1073" s="7"/>
      <c r="QGC1073" s="7"/>
      <c r="QGD1073" s="7"/>
      <c r="QGE1073" s="7"/>
      <c r="QGF1073" s="7"/>
      <c r="QGG1073" s="7"/>
      <c r="QGH1073" s="7"/>
      <c r="QGI1073" s="7"/>
      <c r="QGJ1073" s="7"/>
      <c r="QGK1073" s="7"/>
      <c r="QGL1073" s="7"/>
      <c r="QGM1073" s="7"/>
      <c r="QGN1073" s="7"/>
      <c r="QGO1073" s="7"/>
      <c r="QGP1073" s="7"/>
      <c r="QGQ1073" s="7"/>
      <c r="QGR1073" s="7"/>
      <c r="QGS1073" s="7"/>
      <c r="QGT1073" s="7"/>
      <c r="QGU1073" s="7"/>
      <c r="QGV1073" s="7"/>
      <c r="QGW1073" s="7"/>
      <c r="QGX1073" s="7"/>
      <c r="QGY1073" s="7"/>
      <c r="QGZ1073" s="7"/>
      <c r="QHA1073" s="7"/>
      <c r="QHB1073" s="7"/>
      <c r="QHC1073" s="7"/>
      <c r="QHD1073" s="7"/>
      <c r="QHE1073" s="7"/>
      <c r="QHF1073" s="7"/>
      <c r="QHG1073" s="7"/>
      <c r="QHH1073" s="7"/>
      <c r="QHI1073" s="7"/>
      <c r="QHJ1073" s="7"/>
      <c r="QHK1073" s="7"/>
      <c r="QHL1073" s="7"/>
      <c r="QHM1073" s="7"/>
      <c r="QHN1073" s="7"/>
      <c r="QHO1073" s="7"/>
      <c r="QHP1073" s="7"/>
      <c r="QHQ1073" s="7"/>
      <c r="QHR1073" s="7"/>
      <c r="QHS1073" s="7"/>
      <c r="QHT1073" s="7"/>
      <c r="QHU1073" s="7"/>
      <c r="QHV1073" s="7"/>
      <c r="QHW1073" s="7"/>
      <c r="QHX1073" s="7"/>
      <c r="QHY1073" s="7"/>
      <c r="QHZ1073" s="7"/>
      <c r="QIA1073" s="7"/>
      <c r="QIB1073" s="7"/>
      <c r="QIC1073" s="7"/>
      <c r="QID1073" s="7"/>
      <c r="QIE1073" s="7"/>
      <c r="QIF1073" s="7"/>
      <c r="QIG1073" s="7"/>
      <c r="QIH1073" s="7"/>
      <c r="QII1073" s="7"/>
      <c r="QIJ1073" s="7"/>
      <c r="QIK1073" s="7"/>
      <c r="QIL1073" s="7"/>
      <c r="QIM1073" s="7"/>
      <c r="QIN1073" s="7"/>
      <c r="QIO1073" s="7"/>
      <c r="QIP1073" s="7"/>
      <c r="QIQ1073" s="7"/>
      <c r="QIR1073" s="7"/>
      <c r="QIS1073" s="7"/>
      <c r="QIT1073" s="7"/>
      <c r="QIU1073" s="7"/>
      <c r="QIV1073" s="7"/>
      <c r="QIW1073" s="7"/>
      <c r="QIX1073" s="7"/>
      <c r="QIY1073" s="7"/>
      <c r="QIZ1073" s="7"/>
      <c r="QJA1073" s="7"/>
      <c r="QJB1073" s="7"/>
      <c r="QJC1073" s="7"/>
      <c r="QJD1073" s="7"/>
      <c r="QJE1073" s="7"/>
      <c r="QJF1073" s="7"/>
      <c r="QJG1073" s="7"/>
      <c r="QJH1073" s="7"/>
      <c r="QJI1073" s="7"/>
      <c r="QJJ1073" s="7"/>
      <c r="QJK1073" s="7"/>
      <c r="QJL1073" s="7"/>
      <c r="QJM1073" s="7"/>
      <c r="QJN1073" s="7"/>
      <c r="QJO1073" s="7"/>
      <c r="QJP1073" s="7"/>
      <c r="QJQ1073" s="7"/>
      <c r="QJR1073" s="7"/>
      <c r="QJS1073" s="7"/>
      <c r="QJT1073" s="7"/>
      <c r="QJU1073" s="7"/>
      <c r="QJV1073" s="7"/>
      <c r="QJW1073" s="7"/>
      <c r="QJX1073" s="7"/>
      <c r="QJY1073" s="7"/>
      <c r="QJZ1073" s="7"/>
      <c r="QKA1073" s="7"/>
      <c r="QKB1073" s="7"/>
      <c r="QKC1073" s="7"/>
      <c r="QKD1073" s="7"/>
      <c r="QKE1073" s="7"/>
      <c r="QKF1073" s="7"/>
      <c r="QKG1073" s="7"/>
      <c r="QKH1073" s="7"/>
      <c r="QKI1073" s="7"/>
      <c r="QKJ1073" s="7"/>
      <c r="QKK1073" s="7"/>
      <c r="QKL1073" s="7"/>
      <c r="QKM1073" s="7"/>
      <c r="QKN1073" s="7"/>
      <c r="QKO1073" s="7"/>
      <c r="QKP1073" s="7"/>
      <c r="QKQ1073" s="7"/>
      <c r="QKR1073" s="7"/>
      <c r="QKS1073" s="7"/>
      <c r="QKT1073" s="7"/>
      <c r="QKU1073" s="7"/>
      <c r="QKV1073" s="7"/>
      <c r="QKW1073" s="7"/>
      <c r="QKX1073" s="7"/>
      <c r="QKY1073" s="7"/>
      <c r="QKZ1073" s="7"/>
      <c r="QLA1073" s="7"/>
      <c r="QLB1073" s="7"/>
      <c r="QLC1073" s="7"/>
      <c r="QLD1073" s="7"/>
      <c r="QLE1073" s="7"/>
      <c r="QLF1073" s="7"/>
      <c r="QLG1073" s="7"/>
      <c r="QLH1073" s="7"/>
      <c r="QLI1073" s="7"/>
      <c r="QLJ1073" s="7"/>
      <c r="QLK1073" s="7"/>
      <c r="QLL1073" s="7"/>
      <c r="QLM1073" s="7"/>
      <c r="QLN1073" s="7"/>
      <c r="QLO1073" s="7"/>
      <c r="QLP1073" s="7"/>
      <c r="QLQ1073" s="7"/>
      <c r="QLR1073" s="7"/>
      <c r="QLS1073" s="7"/>
      <c r="QLT1073" s="7"/>
      <c r="QLU1073" s="7"/>
      <c r="QLV1073" s="7"/>
      <c r="QLW1073" s="7"/>
      <c r="QLX1073" s="7"/>
      <c r="QLY1073" s="7"/>
      <c r="QLZ1073" s="7"/>
      <c r="QMA1073" s="7"/>
      <c r="QMB1073" s="7"/>
      <c r="QMC1073" s="7"/>
      <c r="QMD1073" s="7"/>
      <c r="QME1073" s="7"/>
      <c r="QMF1073" s="7"/>
      <c r="QMG1073" s="7"/>
      <c r="QMH1073" s="7"/>
      <c r="QMI1073" s="7"/>
      <c r="QMJ1073" s="7"/>
      <c r="QMK1073" s="7"/>
      <c r="QML1073" s="7"/>
      <c r="QMM1073" s="7"/>
      <c r="QMN1073" s="7"/>
      <c r="QMO1073" s="7"/>
      <c r="QMP1073" s="7"/>
      <c r="QMQ1073" s="7"/>
      <c r="QMR1073" s="7"/>
      <c r="QMS1073" s="7"/>
      <c r="QMT1073" s="7"/>
      <c r="QMU1073" s="7"/>
      <c r="QMV1073" s="7"/>
      <c r="QMW1073" s="7"/>
      <c r="QMX1073" s="7"/>
      <c r="QMY1073" s="7"/>
      <c r="QMZ1073" s="7"/>
      <c r="QNA1073" s="7"/>
      <c r="QNB1073" s="7"/>
      <c r="QNC1073" s="7"/>
      <c r="QND1073" s="7"/>
      <c r="QNE1073" s="7"/>
      <c r="QNF1073" s="7"/>
      <c r="QNG1073" s="7"/>
      <c r="QNH1073" s="7"/>
      <c r="QNI1073" s="7"/>
      <c r="QNJ1073" s="7"/>
      <c r="QNK1073" s="7"/>
      <c r="QNL1073" s="7"/>
      <c r="QNM1073" s="7"/>
      <c r="QNN1073" s="7"/>
      <c r="QNO1073" s="7"/>
      <c r="QNP1073" s="7"/>
      <c r="QNQ1073" s="7"/>
      <c r="QNR1073" s="7"/>
      <c r="QNS1073" s="7"/>
      <c r="QNT1073" s="7"/>
      <c r="QNU1073" s="7"/>
      <c r="QNV1073" s="7"/>
      <c r="QNW1073" s="7"/>
      <c r="QNX1073" s="7"/>
      <c r="QNY1073" s="7"/>
      <c r="QNZ1073" s="7"/>
      <c r="QOA1073" s="7"/>
      <c r="QOB1073" s="7"/>
      <c r="QOC1073" s="7"/>
      <c r="QOD1073" s="7"/>
      <c r="QOE1073" s="7"/>
      <c r="QOF1073" s="7"/>
      <c r="QOG1073" s="7"/>
      <c r="QOH1073" s="7"/>
      <c r="QOI1073" s="7"/>
      <c r="QOJ1073" s="7"/>
      <c r="QOK1073" s="7"/>
      <c r="QOL1073" s="7"/>
      <c r="QOM1073" s="7"/>
      <c r="QON1073" s="7"/>
      <c r="QOO1073" s="7"/>
      <c r="QOP1073" s="7"/>
      <c r="QOQ1073" s="7"/>
      <c r="QOR1073" s="7"/>
      <c r="QOS1073" s="7"/>
      <c r="QOT1073" s="7"/>
      <c r="QOU1073" s="7"/>
      <c r="QOV1073" s="7"/>
      <c r="QOW1073" s="7"/>
      <c r="QOX1073" s="7"/>
      <c r="QOY1073" s="7"/>
      <c r="QOZ1073" s="7"/>
      <c r="QPA1073" s="7"/>
      <c r="QPB1073" s="7"/>
      <c r="QPC1073" s="7"/>
      <c r="QPD1073" s="7"/>
      <c r="QPE1073" s="7"/>
      <c r="QPF1073" s="7"/>
      <c r="QPG1073" s="7"/>
      <c r="QPH1073" s="7"/>
      <c r="QPI1073" s="7"/>
      <c r="QPJ1073" s="7"/>
      <c r="QPK1073" s="7"/>
      <c r="QPL1073" s="7"/>
      <c r="QPM1073" s="7"/>
      <c r="QPN1073" s="7"/>
      <c r="QPO1073" s="7"/>
      <c r="QPP1073" s="7"/>
      <c r="QPQ1073" s="7"/>
      <c r="QPR1073" s="7"/>
      <c r="QPS1073" s="7"/>
      <c r="QPT1073" s="7"/>
      <c r="QPU1073" s="7"/>
      <c r="QPV1073" s="7"/>
      <c r="QPW1073" s="7"/>
      <c r="QPX1073" s="7"/>
      <c r="QPY1073" s="7"/>
      <c r="QPZ1073" s="7"/>
      <c r="QQA1073" s="7"/>
      <c r="QQB1073" s="7"/>
      <c r="QQC1073" s="7"/>
      <c r="QQD1073" s="7"/>
      <c r="QQE1073" s="7"/>
      <c r="QQF1073" s="7"/>
      <c r="QQG1073" s="7"/>
      <c r="QQH1073" s="7"/>
      <c r="QQI1073" s="7"/>
      <c r="QQJ1073" s="7"/>
      <c r="QQK1073" s="7"/>
      <c r="QQL1073" s="7"/>
      <c r="QQM1073" s="7"/>
      <c r="QQN1073" s="7"/>
      <c r="QQO1073" s="7"/>
      <c r="QQP1073" s="7"/>
      <c r="QQQ1073" s="7"/>
      <c r="QQR1073" s="7"/>
      <c r="QQS1073" s="7"/>
      <c r="QQT1073" s="7"/>
      <c r="QQU1073" s="7"/>
      <c r="QQV1073" s="7"/>
      <c r="QQW1073" s="7"/>
      <c r="QQX1073" s="7"/>
      <c r="QQY1073" s="7"/>
      <c r="QQZ1073" s="7"/>
      <c r="QRA1073" s="7"/>
      <c r="QRB1073" s="7"/>
      <c r="QRC1073" s="7"/>
      <c r="QRD1073" s="7"/>
      <c r="QRE1073" s="7"/>
      <c r="QRF1073" s="7"/>
      <c r="QRG1073" s="7"/>
      <c r="QRH1073" s="7"/>
      <c r="QRI1073" s="7"/>
      <c r="QRJ1073" s="7"/>
      <c r="QRK1073" s="7"/>
      <c r="QRL1073" s="7"/>
      <c r="QRM1073" s="7"/>
      <c r="QRN1073" s="7"/>
      <c r="QRO1073" s="7"/>
      <c r="QRP1073" s="7"/>
      <c r="QRQ1073" s="7"/>
      <c r="QRR1073" s="7"/>
      <c r="QRS1073" s="7"/>
      <c r="QRT1073" s="7"/>
      <c r="QRU1073" s="7"/>
      <c r="QRV1073" s="7"/>
      <c r="QRW1073" s="7"/>
      <c r="QRX1073" s="7"/>
      <c r="QRY1073" s="7"/>
      <c r="QRZ1073" s="7"/>
      <c r="QSA1073" s="7"/>
      <c r="QSB1073" s="7"/>
      <c r="QSC1073" s="7"/>
      <c r="QSD1073" s="7"/>
      <c r="QSE1073" s="7"/>
      <c r="QSF1073" s="7"/>
      <c r="QSG1073" s="7"/>
      <c r="QSH1073" s="7"/>
      <c r="QSI1073" s="7"/>
      <c r="QSJ1073" s="7"/>
      <c r="QSK1073" s="7"/>
      <c r="QSL1073" s="7"/>
      <c r="QSM1073" s="7"/>
      <c r="QSN1073" s="7"/>
      <c r="QSO1073" s="7"/>
      <c r="QSP1073" s="7"/>
      <c r="QSQ1073" s="7"/>
      <c r="QSR1073" s="7"/>
      <c r="QSS1073" s="7"/>
      <c r="QST1073" s="7"/>
      <c r="QSU1073" s="7"/>
      <c r="QSV1073" s="7"/>
      <c r="QSW1073" s="7"/>
      <c r="QSX1073" s="7"/>
      <c r="QSY1073" s="7"/>
      <c r="QSZ1073" s="7"/>
      <c r="QTA1073" s="7"/>
      <c r="QTB1073" s="7"/>
      <c r="QTC1073" s="7"/>
      <c r="QTD1073" s="7"/>
      <c r="QTE1073" s="7"/>
      <c r="QTF1073" s="7"/>
      <c r="QTG1073" s="7"/>
      <c r="QTH1073" s="7"/>
      <c r="QTI1073" s="7"/>
      <c r="QTJ1073" s="7"/>
      <c r="QTK1073" s="7"/>
      <c r="QTL1073" s="7"/>
      <c r="QTM1073" s="7"/>
      <c r="QTN1073" s="7"/>
      <c r="QTO1073" s="7"/>
      <c r="QTP1073" s="7"/>
      <c r="QTQ1073" s="7"/>
      <c r="QTR1073" s="7"/>
      <c r="QTS1073" s="7"/>
      <c r="QTT1073" s="7"/>
      <c r="QTU1073" s="7"/>
      <c r="QTV1073" s="7"/>
      <c r="QTW1073" s="7"/>
      <c r="QTX1073" s="7"/>
      <c r="QTY1073" s="7"/>
      <c r="QTZ1073" s="7"/>
      <c r="QUA1073" s="7"/>
      <c r="QUB1073" s="7"/>
      <c r="QUC1073" s="7"/>
      <c r="QUD1073" s="7"/>
      <c r="QUE1073" s="7"/>
      <c r="QUF1073" s="7"/>
      <c r="QUG1073" s="7"/>
      <c r="QUH1073" s="7"/>
      <c r="QUI1073" s="7"/>
      <c r="QUJ1073" s="7"/>
      <c r="QUK1073" s="7"/>
      <c r="QUL1073" s="7"/>
      <c r="QUM1073" s="7"/>
      <c r="QUN1073" s="7"/>
      <c r="QUO1073" s="7"/>
      <c r="QUP1073" s="7"/>
      <c r="QUQ1073" s="7"/>
      <c r="QUR1073" s="7"/>
      <c r="QUS1073" s="7"/>
      <c r="QUT1073" s="7"/>
      <c r="QUU1073" s="7"/>
      <c r="QUV1073" s="7"/>
      <c r="QUW1073" s="7"/>
      <c r="QUX1073" s="7"/>
      <c r="QUY1073" s="7"/>
      <c r="QUZ1073" s="7"/>
      <c r="QVA1073" s="7"/>
      <c r="QVB1073" s="7"/>
      <c r="QVC1073" s="7"/>
      <c r="QVD1073" s="7"/>
      <c r="QVE1073" s="7"/>
      <c r="QVF1073" s="7"/>
      <c r="QVG1073" s="7"/>
      <c r="QVH1073" s="7"/>
      <c r="QVI1073" s="7"/>
      <c r="QVJ1073" s="7"/>
      <c r="QVK1073" s="7"/>
      <c r="QVL1073" s="7"/>
      <c r="QVM1073" s="7"/>
      <c r="QVN1073" s="7"/>
      <c r="QVO1073" s="7"/>
      <c r="QVP1073" s="7"/>
      <c r="QVQ1073" s="7"/>
      <c r="QVR1073" s="7"/>
      <c r="QVS1073" s="7"/>
      <c r="QVT1073" s="7"/>
      <c r="QVU1073" s="7"/>
      <c r="QVV1073" s="7"/>
      <c r="QVW1073" s="7"/>
      <c r="QVX1073" s="7"/>
      <c r="QVY1073" s="7"/>
      <c r="QVZ1073" s="7"/>
      <c r="QWA1073" s="7"/>
      <c r="QWB1073" s="7"/>
      <c r="QWC1073" s="7"/>
      <c r="QWD1073" s="7"/>
      <c r="QWE1073" s="7"/>
      <c r="QWF1073" s="7"/>
      <c r="QWG1073" s="7"/>
      <c r="QWH1073" s="7"/>
      <c r="QWI1073" s="7"/>
      <c r="QWJ1073" s="7"/>
      <c r="QWK1073" s="7"/>
      <c r="QWL1073" s="7"/>
      <c r="QWM1073" s="7"/>
      <c r="QWN1073" s="7"/>
      <c r="QWO1073" s="7"/>
      <c r="QWP1073" s="7"/>
      <c r="QWQ1073" s="7"/>
      <c r="QWR1073" s="7"/>
      <c r="QWS1073" s="7"/>
      <c r="QWT1073" s="7"/>
      <c r="QWU1073" s="7"/>
      <c r="QWV1073" s="7"/>
      <c r="QWW1073" s="7"/>
      <c r="QWX1073" s="7"/>
      <c r="QWY1073" s="7"/>
      <c r="QWZ1073" s="7"/>
      <c r="QXA1073" s="7"/>
      <c r="QXB1073" s="7"/>
      <c r="QXC1073" s="7"/>
      <c r="QXD1073" s="7"/>
      <c r="QXE1073" s="7"/>
      <c r="QXF1073" s="7"/>
      <c r="QXG1073" s="7"/>
      <c r="QXH1073" s="7"/>
      <c r="QXI1073" s="7"/>
      <c r="QXJ1073" s="7"/>
      <c r="QXK1073" s="7"/>
      <c r="QXL1073" s="7"/>
      <c r="QXM1073" s="7"/>
      <c r="QXN1073" s="7"/>
      <c r="QXO1073" s="7"/>
      <c r="QXP1073" s="7"/>
      <c r="QXQ1073" s="7"/>
      <c r="QXR1073" s="7"/>
      <c r="QXS1073" s="7"/>
      <c r="QXT1073" s="7"/>
      <c r="QXU1073" s="7"/>
      <c r="QXV1073" s="7"/>
      <c r="QXW1073" s="7"/>
      <c r="QXX1073" s="7"/>
      <c r="QXY1073" s="7"/>
      <c r="QXZ1073" s="7"/>
      <c r="QYA1073" s="7"/>
      <c r="QYB1073" s="7"/>
      <c r="QYC1073" s="7"/>
      <c r="QYD1073" s="7"/>
      <c r="QYE1073" s="7"/>
      <c r="QYF1073" s="7"/>
      <c r="QYG1073" s="7"/>
      <c r="QYH1073" s="7"/>
      <c r="QYI1073" s="7"/>
      <c r="QYJ1073" s="7"/>
      <c r="QYK1073" s="7"/>
      <c r="QYL1073" s="7"/>
      <c r="QYM1073" s="7"/>
      <c r="QYN1073" s="7"/>
      <c r="QYO1073" s="7"/>
      <c r="QYP1073" s="7"/>
      <c r="QYQ1073" s="7"/>
      <c r="QYR1073" s="7"/>
      <c r="QYS1073" s="7"/>
      <c r="QYT1073" s="7"/>
      <c r="QYU1073" s="7"/>
      <c r="QYV1073" s="7"/>
      <c r="QYW1073" s="7"/>
      <c r="QYX1073" s="7"/>
      <c r="QYY1073" s="7"/>
      <c r="QYZ1073" s="7"/>
      <c r="QZA1073" s="7"/>
      <c r="QZB1073" s="7"/>
      <c r="QZC1073" s="7"/>
      <c r="QZD1073" s="7"/>
      <c r="QZE1073" s="7"/>
      <c r="QZF1073" s="7"/>
      <c r="QZG1073" s="7"/>
      <c r="QZH1073" s="7"/>
      <c r="QZI1073" s="7"/>
      <c r="QZJ1073" s="7"/>
      <c r="QZK1073" s="7"/>
      <c r="QZL1073" s="7"/>
      <c r="QZM1073" s="7"/>
      <c r="QZN1073" s="7"/>
      <c r="QZO1073" s="7"/>
      <c r="QZP1073" s="7"/>
      <c r="QZQ1073" s="7"/>
      <c r="QZR1073" s="7"/>
      <c r="QZS1073" s="7"/>
      <c r="QZT1073" s="7"/>
      <c r="QZU1073" s="7"/>
      <c r="QZV1073" s="7"/>
      <c r="QZW1073" s="7"/>
      <c r="QZX1073" s="7"/>
      <c r="QZY1073" s="7"/>
      <c r="QZZ1073" s="7"/>
      <c r="RAA1073" s="7"/>
      <c r="RAB1073" s="7"/>
      <c r="RAC1073" s="7"/>
      <c r="RAD1073" s="7"/>
      <c r="RAE1073" s="7"/>
      <c r="RAF1073" s="7"/>
      <c r="RAG1073" s="7"/>
      <c r="RAH1073" s="7"/>
      <c r="RAI1073" s="7"/>
      <c r="RAJ1073" s="7"/>
      <c r="RAK1073" s="7"/>
      <c r="RAL1073" s="7"/>
      <c r="RAM1073" s="7"/>
      <c r="RAN1073" s="7"/>
      <c r="RAO1073" s="7"/>
      <c r="RAP1073" s="7"/>
      <c r="RAQ1073" s="7"/>
      <c r="RAR1073" s="7"/>
      <c r="RAS1073" s="7"/>
      <c r="RAT1073" s="7"/>
      <c r="RAU1073" s="7"/>
      <c r="RAV1073" s="7"/>
      <c r="RAW1073" s="7"/>
      <c r="RAX1073" s="7"/>
      <c r="RAY1073" s="7"/>
      <c r="RAZ1073" s="7"/>
      <c r="RBA1073" s="7"/>
      <c r="RBB1073" s="7"/>
      <c r="RBC1073" s="7"/>
      <c r="RBD1073" s="7"/>
      <c r="RBE1073" s="7"/>
      <c r="RBF1073" s="7"/>
      <c r="RBG1073" s="7"/>
      <c r="RBH1073" s="7"/>
      <c r="RBI1073" s="7"/>
      <c r="RBJ1073" s="7"/>
      <c r="RBK1073" s="7"/>
      <c r="RBL1073" s="7"/>
      <c r="RBM1073" s="7"/>
      <c r="RBN1073" s="7"/>
      <c r="RBO1073" s="7"/>
      <c r="RBP1073" s="7"/>
      <c r="RBQ1073" s="7"/>
      <c r="RBR1073" s="7"/>
      <c r="RBS1073" s="7"/>
      <c r="RBT1073" s="7"/>
      <c r="RBU1073" s="7"/>
      <c r="RBV1073" s="7"/>
      <c r="RBW1073" s="7"/>
      <c r="RBX1073" s="7"/>
      <c r="RBY1073" s="7"/>
      <c r="RBZ1073" s="7"/>
      <c r="RCA1073" s="7"/>
      <c r="RCB1073" s="7"/>
      <c r="RCC1073" s="7"/>
      <c r="RCD1073" s="7"/>
      <c r="RCE1073" s="7"/>
      <c r="RCF1073" s="7"/>
      <c r="RCG1073" s="7"/>
      <c r="RCH1073" s="7"/>
      <c r="RCI1073" s="7"/>
      <c r="RCJ1073" s="7"/>
      <c r="RCK1073" s="7"/>
      <c r="RCL1073" s="7"/>
      <c r="RCM1073" s="7"/>
      <c r="RCN1073" s="7"/>
      <c r="RCO1073" s="7"/>
      <c r="RCP1073" s="7"/>
      <c r="RCQ1073" s="7"/>
      <c r="RCR1073" s="7"/>
      <c r="RCS1073" s="7"/>
      <c r="RCT1073" s="7"/>
      <c r="RCU1073" s="7"/>
      <c r="RCV1073" s="7"/>
      <c r="RCW1073" s="7"/>
      <c r="RCX1073" s="7"/>
      <c r="RCY1073" s="7"/>
      <c r="RCZ1073" s="7"/>
      <c r="RDA1073" s="7"/>
      <c r="RDB1073" s="7"/>
      <c r="RDC1073" s="7"/>
      <c r="RDD1073" s="7"/>
      <c r="RDE1073" s="7"/>
      <c r="RDF1073" s="7"/>
      <c r="RDG1073" s="7"/>
      <c r="RDH1073" s="7"/>
      <c r="RDI1073" s="7"/>
      <c r="RDJ1073" s="7"/>
      <c r="RDK1073" s="7"/>
      <c r="RDL1073" s="7"/>
      <c r="RDM1073" s="7"/>
      <c r="RDN1073" s="7"/>
      <c r="RDO1073" s="7"/>
      <c r="RDP1073" s="7"/>
      <c r="RDQ1073" s="7"/>
      <c r="RDR1073" s="7"/>
      <c r="RDS1073" s="7"/>
      <c r="RDT1073" s="7"/>
      <c r="RDU1073" s="7"/>
      <c r="RDV1073" s="7"/>
      <c r="RDW1073" s="7"/>
      <c r="RDX1073" s="7"/>
      <c r="RDY1073" s="7"/>
      <c r="RDZ1073" s="7"/>
      <c r="REA1073" s="7"/>
      <c r="REB1073" s="7"/>
      <c r="REC1073" s="7"/>
      <c r="RED1073" s="7"/>
      <c r="REE1073" s="7"/>
      <c r="REF1073" s="7"/>
      <c r="REG1073" s="7"/>
      <c r="REH1073" s="7"/>
      <c r="REI1073" s="7"/>
      <c r="REJ1073" s="7"/>
      <c r="REK1073" s="7"/>
      <c r="REL1073" s="7"/>
      <c r="REM1073" s="7"/>
      <c r="REN1073" s="7"/>
      <c r="REO1073" s="7"/>
      <c r="REP1073" s="7"/>
      <c r="REQ1073" s="7"/>
      <c r="RER1073" s="7"/>
      <c r="RES1073" s="7"/>
      <c r="RET1073" s="7"/>
      <c r="REU1073" s="7"/>
      <c r="REV1073" s="7"/>
      <c r="REW1073" s="7"/>
      <c r="REX1073" s="7"/>
      <c r="REY1073" s="7"/>
      <c r="REZ1073" s="7"/>
      <c r="RFA1073" s="7"/>
      <c r="RFB1073" s="7"/>
      <c r="RFC1073" s="7"/>
      <c r="RFD1073" s="7"/>
      <c r="RFE1073" s="7"/>
      <c r="RFF1073" s="7"/>
      <c r="RFG1073" s="7"/>
      <c r="RFH1073" s="7"/>
      <c r="RFI1073" s="7"/>
      <c r="RFJ1073" s="7"/>
      <c r="RFK1073" s="7"/>
      <c r="RFL1073" s="7"/>
      <c r="RFM1073" s="7"/>
      <c r="RFN1073" s="7"/>
      <c r="RFO1073" s="7"/>
      <c r="RFP1073" s="7"/>
      <c r="RFQ1073" s="7"/>
      <c r="RFR1073" s="7"/>
      <c r="RFS1073" s="7"/>
      <c r="RFT1073" s="7"/>
      <c r="RFU1073" s="7"/>
      <c r="RFV1073" s="7"/>
      <c r="RFW1073" s="7"/>
      <c r="RFX1073" s="7"/>
      <c r="RFY1073" s="7"/>
      <c r="RFZ1073" s="7"/>
      <c r="RGA1073" s="7"/>
      <c r="RGB1073" s="7"/>
      <c r="RGC1073" s="7"/>
      <c r="RGD1073" s="7"/>
      <c r="RGE1073" s="7"/>
      <c r="RGF1073" s="7"/>
      <c r="RGG1073" s="7"/>
      <c r="RGH1073" s="7"/>
      <c r="RGI1073" s="7"/>
      <c r="RGJ1073" s="7"/>
      <c r="RGK1073" s="7"/>
      <c r="RGL1073" s="7"/>
      <c r="RGM1073" s="7"/>
      <c r="RGN1073" s="7"/>
      <c r="RGO1073" s="7"/>
      <c r="RGP1073" s="7"/>
      <c r="RGQ1073" s="7"/>
      <c r="RGR1073" s="7"/>
      <c r="RGS1073" s="7"/>
      <c r="RGT1073" s="7"/>
      <c r="RGU1073" s="7"/>
      <c r="RGV1073" s="7"/>
      <c r="RGW1073" s="7"/>
      <c r="RGX1073" s="7"/>
      <c r="RGY1073" s="7"/>
      <c r="RGZ1073" s="7"/>
      <c r="RHA1073" s="7"/>
      <c r="RHB1073" s="7"/>
      <c r="RHC1073" s="7"/>
      <c r="RHD1073" s="7"/>
      <c r="RHE1073" s="7"/>
      <c r="RHF1073" s="7"/>
      <c r="RHG1073" s="7"/>
      <c r="RHH1073" s="7"/>
      <c r="RHI1073" s="7"/>
      <c r="RHJ1073" s="7"/>
      <c r="RHK1073" s="7"/>
      <c r="RHL1073" s="7"/>
      <c r="RHM1073" s="7"/>
      <c r="RHN1073" s="7"/>
      <c r="RHO1073" s="7"/>
      <c r="RHP1073" s="7"/>
      <c r="RHQ1073" s="7"/>
      <c r="RHR1073" s="7"/>
      <c r="RHS1073" s="7"/>
      <c r="RHT1073" s="7"/>
      <c r="RHU1073" s="7"/>
      <c r="RHV1073" s="7"/>
      <c r="RHW1073" s="7"/>
      <c r="RHX1073" s="7"/>
      <c r="RHY1073" s="7"/>
      <c r="RHZ1073" s="7"/>
      <c r="RIA1073" s="7"/>
      <c r="RIB1073" s="7"/>
      <c r="RIC1073" s="7"/>
      <c r="RID1073" s="7"/>
      <c r="RIE1073" s="7"/>
      <c r="RIF1073" s="7"/>
      <c r="RIG1073" s="7"/>
      <c r="RIH1073" s="7"/>
      <c r="RII1073" s="7"/>
      <c r="RIJ1073" s="7"/>
      <c r="RIK1073" s="7"/>
      <c r="RIL1073" s="7"/>
      <c r="RIM1073" s="7"/>
      <c r="RIN1073" s="7"/>
      <c r="RIO1073" s="7"/>
      <c r="RIP1073" s="7"/>
      <c r="RIQ1073" s="7"/>
      <c r="RIR1073" s="7"/>
      <c r="RIS1073" s="7"/>
      <c r="RIT1073" s="7"/>
      <c r="RIU1073" s="7"/>
      <c r="RIV1073" s="7"/>
      <c r="RIW1073" s="7"/>
      <c r="RIX1073" s="7"/>
      <c r="RIY1073" s="7"/>
      <c r="RIZ1073" s="7"/>
      <c r="RJA1073" s="7"/>
      <c r="RJB1073" s="7"/>
      <c r="RJC1073" s="7"/>
      <c r="RJD1073" s="7"/>
      <c r="RJE1073" s="7"/>
      <c r="RJF1073" s="7"/>
      <c r="RJG1073" s="7"/>
      <c r="RJH1073" s="7"/>
      <c r="RJI1073" s="7"/>
      <c r="RJJ1073" s="7"/>
      <c r="RJK1073" s="7"/>
      <c r="RJL1073" s="7"/>
      <c r="RJM1073" s="7"/>
      <c r="RJN1073" s="7"/>
      <c r="RJO1073" s="7"/>
      <c r="RJP1073" s="7"/>
      <c r="RJQ1073" s="7"/>
      <c r="RJR1073" s="7"/>
      <c r="RJS1073" s="7"/>
      <c r="RJT1073" s="7"/>
      <c r="RJU1073" s="7"/>
      <c r="RJV1073" s="7"/>
      <c r="RJW1073" s="7"/>
      <c r="RJX1073" s="7"/>
      <c r="RJY1073" s="7"/>
      <c r="RJZ1073" s="7"/>
      <c r="RKA1073" s="7"/>
      <c r="RKB1073" s="7"/>
      <c r="RKC1073" s="7"/>
      <c r="RKD1073" s="7"/>
      <c r="RKE1073" s="7"/>
      <c r="RKF1073" s="7"/>
      <c r="RKG1073" s="7"/>
      <c r="RKH1073" s="7"/>
      <c r="RKI1073" s="7"/>
      <c r="RKJ1073" s="7"/>
      <c r="RKK1073" s="7"/>
      <c r="RKL1073" s="7"/>
      <c r="RKM1073" s="7"/>
      <c r="RKN1073" s="7"/>
      <c r="RKO1073" s="7"/>
      <c r="RKP1073" s="7"/>
      <c r="RKQ1073" s="7"/>
      <c r="RKR1073" s="7"/>
      <c r="RKS1073" s="7"/>
      <c r="RKT1073" s="7"/>
      <c r="RKU1073" s="7"/>
      <c r="RKV1073" s="7"/>
      <c r="RKW1073" s="7"/>
      <c r="RKX1073" s="7"/>
      <c r="RKY1073" s="7"/>
      <c r="RKZ1073" s="7"/>
      <c r="RLA1073" s="7"/>
      <c r="RLB1073" s="7"/>
      <c r="RLC1073" s="7"/>
      <c r="RLD1073" s="7"/>
      <c r="RLE1073" s="7"/>
      <c r="RLF1073" s="7"/>
      <c r="RLG1073" s="7"/>
      <c r="RLH1073" s="7"/>
      <c r="RLI1073" s="7"/>
      <c r="RLJ1073" s="7"/>
      <c r="RLK1073" s="7"/>
      <c r="RLL1073" s="7"/>
      <c r="RLM1073" s="7"/>
      <c r="RLN1073" s="7"/>
      <c r="RLO1073" s="7"/>
      <c r="RLP1073" s="7"/>
      <c r="RLQ1073" s="7"/>
      <c r="RLR1073" s="7"/>
      <c r="RLS1073" s="7"/>
      <c r="RLT1073" s="7"/>
      <c r="RLU1073" s="7"/>
      <c r="RLV1073" s="7"/>
      <c r="RLW1073" s="7"/>
      <c r="RLX1073" s="7"/>
      <c r="RLY1073" s="7"/>
      <c r="RLZ1073" s="7"/>
      <c r="RMA1073" s="7"/>
      <c r="RMB1073" s="7"/>
      <c r="RMC1073" s="7"/>
      <c r="RMD1073" s="7"/>
      <c r="RME1073" s="7"/>
      <c r="RMF1073" s="7"/>
      <c r="RMG1073" s="7"/>
      <c r="RMH1073" s="7"/>
      <c r="RMI1073" s="7"/>
      <c r="RMJ1073" s="7"/>
      <c r="RMK1073" s="7"/>
      <c r="RML1073" s="7"/>
      <c r="RMM1073" s="7"/>
      <c r="RMN1073" s="7"/>
      <c r="RMO1073" s="7"/>
      <c r="RMP1073" s="7"/>
      <c r="RMQ1073" s="7"/>
      <c r="RMR1073" s="7"/>
      <c r="RMS1073" s="7"/>
      <c r="RMT1073" s="7"/>
      <c r="RMU1073" s="7"/>
      <c r="RMV1073" s="7"/>
      <c r="RMW1073" s="7"/>
      <c r="RMX1073" s="7"/>
      <c r="RMY1073" s="7"/>
      <c r="RMZ1073" s="7"/>
      <c r="RNA1073" s="7"/>
      <c r="RNB1073" s="7"/>
      <c r="RNC1073" s="7"/>
      <c r="RND1073" s="7"/>
      <c r="RNE1073" s="7"/>
      <c r="RNF1073" s="7"/>
      <c r="RNG1073" s="7"/>
      <c r="RNH1073" s="7"/>
      <c r="RNI1073" s="7"/>
      <c r="RNJ1073" s="7"/>
      <c r="RNK1073" s="7"/>
      <c r="RNL1073" s="7"/>
      <c r="RNM1073" s="7"/>
      <c r="RNN1073" s="7"/>
      <c r="RNO1073" s="7"/>
      <c r="RNP1073" s="7"/>
      <c r="RNQ1073" s="7"/>
      <c r="RNR1073" s="7"/>
      <c r="RNS1073" s="7"/>
      <c r="RNT1073" s="7"/>
      <c r="RNU1073" s="7"/>
      <c r="RNV1073" s="7"/>
      <c r="RNW1073" s="7"/>
      <c r="RNX1073" s="7"/>
      <c r="RNY1073" s="7"/>
      <c r="RNZ1073" s="7"/>
      <c r="ROA1073" s="7"/>
      <c r="ROB1073" s="7"/>
      <c r="ROC1073" s="7"/>
      <c r="ROD1073" s="7"/>
      <c r="ROE1073" s="7"/>
      <c r="ROF1073" s="7"/>
      <c r="ROG1073" s="7"/>
      <c r="ROH1073" s="7"/>
      <c r="ROI1073" s="7"/>
      <c r="ROJ1073" s="7"/>
      <c r="ROK1073" s="7"/>
      <c r="ROL1073" s="7"/>
      <c r="ROM1073" s="7"/>
      <c r="RON1073" s="7"/>
      <c r="ROO1073" s="7"/>
      <c r="ROP1073" s="7"/>
      <c r="ROQ1073" s="7"/>
      <c r="ROR1073" s="7"/>
      <c r="ROS1073" s="7"/>
      <c r="ROT1073" s="7"/>
      <c r="ROU1073" s="7"/>
      <c r="ROV1073" s="7"/>
      <c r="ROW1073" s="7"/>
      <c r="ROX1073" s="7"/>
      <c r="ROY1073" s="7"/>
      <c r="ROZ1073" s="7"/>
      <c r="RPA1073" s="7"/>
      <c r="RPB1073" s="7"/>
      <c r="RPC1073" s="7"/>
      <c r="RPD1073" s="7"/>
      <c r="RPE1073" s="7"/>
      <c r="RPF1073" s="7"/>
      <c r="RPG1073" s="7"/>
      <c r="RPH1073" s="7"/>
      <c r="RPI1073" s="7"/>
      <c r="RPJ1073" s="7"/>
      <c r="RPK1073" s="7"/>
      <c r="RPL1073" s="7"/>
      <c r="RPM1073" s="7"/>
      <c r="RPN1073" s="7"/>
      <c r="RPO1073" s="7"/>
      <c r="RPP1073" s="7"/>
      <c r="RPQ1073" s="7"/>
      <c r="RPR1073" s="7"/>
      <c r="RPS1073" s="7"/>
      <c r="RPT1073" s="7"/>
      <c r="RPU1073" s="7"/>
      <c r="RPV1073" s="7"/>
      <c r="RPW1073" s="7"/>
      <c r="RPX1073" s="7"/>
      <c r="RPY1073" s="7"/>
      <c r="RPZ1073" s="7"/>
      <c r="RQA1073" s="7"/>
      <c r="RQB1073" s="7"/>
      <c r="RQC1073" s="7"/>
      <c r="RQD1073" s="7"/>
      <c r="RQE1073" s="7"/>
      <c r="RQF1073" s="7"/>
      <c r="RQG1073" s="7"/>
      <c r="RQH1073" s="7"/>
      <c r="RQI1073" s="7"/>
      <c r="RQJ1073" s="7"/>
      <c r="RQK1073" s="7"/>
      <c r="RQL1073" s="7"/>
      <c r="RQM1073" s="7"/>
      <c r="RQN1073" s="7"/>
      <c r="RQO1073" s="7"/>
      <c r="RQP1073" s="7"/>
      <c r="RQQ1073" s="7"/>
      <c r="RQR1073" s="7"/>
      <c r="RQS1073" s="7"/>
      <c r="RQT1073" s="7"/>
      <c r="RQU1073" s="7"/>
      <c r="RQV1073" s="7"/>
      <c r="RQW1073" s="7"/>
      <c r="RQX1073" s="7"/>
      <c r="RQY1073" s="7"/>
      <c r="RQZ1073" s="7"/>
      <c r="RRA1073" s="7"/>
      <c r="RRB1073" s="7"/>
      <c r="RRC1073" s="7"/>
      <c r="RRD1073" s="7"/>
      <c r="RRE1073" s="7"/>
      <c r="RRF1073" s="7"/>
      <c r="RRG1073" s="7"/>
      <c r="RRH1073" s="7"/>
      <c r="RRI1073" s="7"/>
      <c r="RRJ1073" s="7"/>
      <c r="RRK1073" s="7"/>
      <c r="RRL1073" s="7"/>
      <c r="RRM1073" s="7"/>
      <c r="RRN1073" s="7"/>
      <c r="RRO1073" s="7"/>
      <c r="RRP1073" s="7"/>
      <c r="RRQ1073" s="7"/>
      <c r="RRR1073" s="7"/>
      <c r="RRS1073" s="7"/>
      <c r="RRT1073" s="7"/>
      <c r="RRU1073" s="7"/>
      <c r="RRV1073" s="7"/>
      <c r="RRW1073" s="7"/>
      <c r="RRX1073" s="7"/>
      <c r="RRY1073" s="7"/>
      <c r="RRZ1073" s="7"/>
      <c r="RSA1073" s="7"/>
      <c r="RSB1073" s="7"/>
      <c r="RSC1073" s="7"/>
      <c r="RSD1073" s="7"/>
      <c r="RSE1073" s="7"/>
      <c r="RSF1073" s="7"/>
      <c r="RSG1073" s="7"/>
      <c r="RSH1073" s="7"/>
      <c r="RSI1073" s="7"/>
      <c r="RSJ1073" s="7"/>
      <c r="RSK1073" s="7"/>
      <c r="RSL1073" s="7"/>
      <c r="RSM1073" s="7"/>
      <c r="RSN1073" s="7"/>
      <c r="RSO1073" s="7"/>
      <c r="RSP1073" s="7"/>
      <c r="RSQ1073" s="7"/>
      <c r="RSR1073" s="7"/>
      <c r="RSS1073" s="7"/>
      <c r="RST1073" s="7"/>
      <c r="RSU1073" s="7"/>
      <c r="RSV1073" s="7"/>
      <c r="RSW1073" s="7"/>
      <c r="RSX1073" s="7"/>
      <c r="RSY1073" s="7"/>
      <c r="RSZ1073" s="7"/>
      <c r="RTA1073" s="7"/>
      <c r="RTB1073" s="7"/>
      <c r="RTC1073" s="7"/>
      <c r="RTD1073" s="7"/>
      <c r="RTE1073" s="7"/>
      <c r="RTF1073" s="7"/>
      <c r="RTG1073" s="7"/>
      <c r="RTH1073" s="7"/>
      <c r="RTI1073" s="7"/>
      <c r="RTJ1073" s="7"/>
      <c r="RTK1073" s="7"/>
      <c r="RTL1073" s="7"/>
      <c r="RTM1073" s="7"/>
      <c r="RTN1073" s="7"/>
      <c r="RTO1073" s="7"/>
      <c r="RTP1073" s="7"/>
      <c r="RTQ1073" s="7"/>
      <c r="RTR1073" s="7"/>
      <c r="RTS1073" s="7"/>
      <c r="RTT1073" s="7"/>
      <c r="RTU1073" s="7"/>
      <c r="RTV1073" s="7"/>
      <c r="RTW1073" s="7"/>
      <c r="RTX1073" s="7"/>
      <c r="RTY1073" s="7"/>
      <c r="RTZ1073" s="7"/>
      <c r="RUA1073" s="7"/>
      <c r="RUB1073" s="7"/>
      <c r="RUC1073" s="7"/>
      <c r="RUD1073" s="7"/>
      <c r="RUE1073" s="7"/>
      <c r="RUF1073" s="7"/>
      <c r="RUG1073" s="7"/>
      <c r="RUH1073" s="7"/>
      <c r="RUI1073" s="7"/>
      <c r="RUJ1073" s="7"/>
      <c r="RUK1073" s="7"/>
      <c r="RUL1073" s="7"/>
      <c r="RUM1073" s="7"/>
      <c r="RUN1073" s="7"/>
      <c r="RUO1073" s="7"/>
      <c r="RUP1073" s="7"/>
      <c r="RUQ1073" s="7"/>
      <c r="RUR1073" s="7"/>
      <c r="RUS1073" s="7"/>
      <c r="RUT1073" s="7"/>
      <c r="RUU1073" s="7"/>
      <c r="RUV1073" s="7"/>
      <c r="RUW1073" s="7"/>
      <c r="RUX1073" s="7"/>
      <c r="RUY1073" s="7"/>
      <c r="RUZ1073" s="7"/>
      <c r="RVA1073" s="7"/>
      <c r="RVB1073" s="7"/>
      <c r="RVC1073" s="7"/>
      <c r="RVD1073" s="7"/>
      <c r="RVE1073" s="7"/>
      <c r="RVF1073" s="7"/>
      <c r="RVG1073" s="7"/>
      <c r="RVH1073" s="7"/>
      <c r="RVI1073" s="7"/>
      <c r="RVJ1073" s="7"/>
      <c r="RVK1073" s="7"/>
      <c r="RVL1073" s="7"/>
      <c r="RVM1073" s="7"/>
      <c r="RVN1073" s="7"/>
      <c r="RVO1073" s="7"/>
      <c r="RVP1073" s="7"/>
      <c r="RVQ1073" s="7"/>
      <c r="RVR1073" s="7"/>
      <c r="RVS1073" s="7"/>
      <c r="RVT1073" s="7"/>
      <c r="RVU1073" s="7"/>
      <c r="RVV1073" s="7"/>
      <c r="RVW1073" s="7"/>
      <c r="RVX1073" s="7"/>
      <c r="RVY1073" s="7"/>
      <c r="RVZ1073" s="7"/>
      <c r="RWA1073" s="7"/>
      <c r="RWB1073" s="7"/>
      <c r="RWC1073" s="7"/>
      <c r="RWD1073" s="7"/>
      <c r="RWE1073" s="7"/>
      <c r="RWF1073" s="7"/>
      <c r="RWG1073" s="7"/>
      <c r="RWH1073" s="7"/>
      <c r="RWI1073" s="7"/>
      <c r="RWJ1073" s="7"/>
      <c r="RWK1073" s="7"/>
      <c r="RWL1073" s="7"/>
      <c r="RWM1073" s="7"/>
      <c r="RWN1073" s="7"/>
      <c r="RWO1073" s="7"/>
      <c r="RWP1073" s="7"/>
      <c r="RWQ1073" s="7"/>
      <c r="RWR1073" s="7"/>
      <c r="RWS1073" s="7"/>
      <c r="RWT1073" s="7"/>
      <c r="RWU1073" s="7"/>
      <c r="RWV1073" s="7"/>
      <c r="RWW1073" s="7"/>
      <c r="RWX1073" s="7"/>
      <c r="RWY1073" s="7"/>
      <c r="RWZ1073" s="7"/>
      <c r="RXA1073" s="7"/>
      <c r="RXB1073" s="7"/>
      <c r="RXC1073" s="7"/>
      <c r="RXD1073" s="7"/>
      <c r="RXE1073" s="7"/>
      <c r="RXF1073" s="7"/>
      <c r="RXG1073" s="7"/>
      <c r="RXH1073" s="7"/>
      <c r="RXI1073" s="7"/>
      <c r="RXJ1073" s="7"/>
      <c r="RXK1073" s="7"/>
      <c r="RXL1073" s="7"/>
      <c r="RXM1073" s="7"/>
      <c r="RXN1073" s="7"/>
      <c r="RXO1073" s="7"/>
      <c r="RXP1073" s="7"/>
      <c r="RXQ1073" s="7"/>
      <c r="RXR1073" s="7"/>
      <c r="RXS1073" s="7"/>
      <c r="RXT1073" s="7"/>
      <c r="RXU1073" s="7"/>
      <c r="RXV1073" s="7"/>
      <c r="RXW1073" s="7"/>
      <c r="RXX1073" s="7"/>
      <c r="RXY1073" s="7"/>
      <c r="RXZ1073" s="7"/>
      <c r="RYA1073" s="7"/>
      <c r="RYB1073" s="7"/>
      <c r="RYC1073" s="7"/>
      <c r="RYD1073" s="7"/>
      <c r="RYE1073" s="7"/>
      <c r="RYF1073" s="7"/>
      <c r="RYG1073" s="7"/>
      <c r="RYH1073" s="7"/>
      <c r="RYI1073" s="7"/>
      <c r="RYJ1073" s="7"/>
      <c r="RYK1073" s="7"/>
      <c r="RYL1073" s="7"/>
      <c r="RYM1073" s="7"/>
      <c r="RYN1073" s="7"/>
      <c r="RYO1073" s="7"/>
      <c r="RYP1073" s="7"/>
      <c r="RYQ1073" s="7"/>
      <c r="RYR1073" s="7"/>
      <c r="RYS1073" s="7"/>
      <c r="RYT1073" s="7"/>
      <c r="RYU1073" s="7"/>
      <c r="RYV1073" s="7"/>
      <c r="RYW1073" s="7"/>
      <c r="RYX1073" s="7"/>
      <c r="RYY1073" s="7"/>
      <c r="RYZ1073" s="7"/>
      <c r="RZA1073" s="7"/>
      <c r="RZB1073" s="7"/>
      <c r="RZC1073" s="7"/>
      <c r="RZD1073" s="7"/>
      <c r="RZE1073" s="7"/>
      <c r="RZF1073" s="7"/>
      <c r="RZG1073" s="7"/>
      <c r="RZH1073" s="7"/>
      <c r="RZI1073" s="7"/>
      <c r="RZJ1073" s="7"/>
      <c r="RZK1073" s="7"/>
      <c r="RZL1073" s="7"/>
      <c r="RZM1073" s="7"/>
      <c r="RZN1073" s="7"/>
      <c r="RZO1073" s="7"/>
      <c r="RZP1073" s="7"/>
      <c r="RZQ1073" s="7"/>
      <c r="RZR1073" s="7"/>
      <c r="RZS1073" s="7"/>
      <c r="RZT1073" s="7"/>
      <c r="RZU1073" s="7"/>
      <c r="RZV1073" s="7"/>
      <c r="RZW1073" s="7"/>
      <c r="RZX1073" s="7"/>
      <c r="RZY1073" s="7"/>
      <c r="RZZ1073" s="7"/>
      <c r="SAA1073" s="7"/>
      <c r="SAB1073" s="7"/>
      <c r="SAC1073" s="7"/>
      <c r="SAD1073" s="7"/>
      <c r="SAE1073" s="7"/>
      <c r="SAF1073" s="7"/>
      <c r="SAG1073" s="7"/>
      <c r="SAH1073" s="7"/>
      <c r="SAI1073" s="7"/>
      <c r="SAJ1073" s="7"/>
      <c r="SAK1073" s="7"/>
      <c r="SAL1073" s="7"/>
      <c r="SAM1073" s="7"/>
      <c r="SAN1073" s="7"/>
      <c r="SAO1073" s="7"/>
      <c r="SAP1073" s="7"/>
      <c r="SAQ1073" s="7"/>
      <c r="SAR1073" s="7"/>
      <c r="SAS1073" s="7"/>
      <c r="SAT1073" s="7"/>
      <c r="SAU1073" s="7"/>
      <c r="SAV1073" s="7"/>
      <c r="SAW1073" s="7"/>
      <c r="SAX1073" s="7"/>
      <c r="SAY1073" s="7"/>
      <c r="SAZ1073" s="7"/>
      <c r="SBA1073" s="7"/>
      <c r="SBB1073" s="7"/>
      <c r="SBC1073" s="7"/>
      <c r="SBD1073" s="7"/>
      <c r="SBE1073" s="7"/>
      <c r="SBF1073" s="7"/>
      <c r="SBG1073" s="7"/>
      <c r="SBH1073" s="7"/>
      <c r="SBI1073" s="7"/>
      <c r="SBJ1073" s="7"/>
      <c r="SBK1073" s="7"/>
      <c r="SBL1073" s="7"/>
      <c r="SBM1073" s="7"/>
      <c r="SBN1073" s="7"/>
      <c r="SBO1073" s="7"/>
      <c r="SBP1073" s="7"/>
      <c r="SBQ1073" s="7"/>
      <c r="SBR1073" s="7"/>
      <c r="SBS1073" s="7"/>
      <c r="SBT1073" s="7"/>
      <c r="SBU1073" s="7"/>
      <c r="SBV1073" s="7"/>
      <c r="SBW1073" s="7"/>
      <c r="SBX1073" s="7"/>
      <c r="SBY1073" s="7"/>
      <c r="SBZ1073" s="7"/>
      <c r="SCA1073" s="7"/>
      <c r="SCB1073" s="7"/>
      <c r="SCC1073" s="7"/>
      <c r="SCD1073" s="7"/>
      <c r="SCE1073" s="7"/>
      <c r="SCF1073" s="7"/>
      <c r="SCG1073" s="7"/>
      <c r="SCH1073" s="7"/>
      <c r="SCI1073" s="7"/>
      <c r="SCJ1073" s="7"/>
      <c r="SCK1073" s="7"/>
      <c r="SCL1073" s="7"/>
      <c r="SCM1073" s="7"/>
      <c r="SCN1073" s="7"/>
      <c r="SCO1073" s="7"/>
      <c r="SCP1073" s="7"/>
      <c r="SCQ1073" s="7"/>
      <c r="SCR1073" s="7"/>
      <c r="SCS1073" s="7"/>
      <c r="SCT1073" s="7"/>
      <c r="SCU1073" s="7"/>
      <c r="SCV1073" s="7"/>
      <c r="SCW1073" s="7"/>
      <c r="SCX1073" s="7"/>
      <c r="SCY1073" s="7"/>
      <c r="SCZ1073" s="7"/>
      <c r="SDA1073" s="7"/>
      <c r="SDB1073" s="7"/>
      <c r="SDC1073" s="7"/>
      <c r="SDD1073" s="7"/>
      <c r="SDE1073" s="7"/>
      <c r="SDF1073" s="7"/>
      <c r="SDG1073" s="7"/>
      <c r="SDH1073" s="7"/>
      <c r="SDI1073" s="7"/>
      <c r="SDJ1073" s="7"/>
      <c r="SDK1073" s="7"/>
      <c r="SDL1073" s="7"/>
      <c r="SDM1073" s="7"/>
      <c r="SDN1073" s="7"/>
      <c r="SDO1073" s="7"/>
      <c r="SDP1073" s="7"/>
      <c r="SDQ1073" s="7"/>
      <c r="SDR1073" s="7"/>
      <c r="SDS1073" s="7"/>
      <c r="SDT1073" s="7"/>
      <c r="SDU1073" s="7"/>
      <c r="SDV1073" s="7"/>
      <c r="SDW1073" s="7"/>
      <c r="SDX1073" s="7"/>
      <c r="SDY1073" s="7"/>
      <c r="SDZ1073" s="7"/>
      <c r="SEA1073" s="7"/>
      <c r="SEB1073" s="7"/>
      <c r="SEC1073" s="7"/>
      <c r="SED1073" s="7"/>
      <c r="SEE1073" s="7"/>
      <c r="SEF1073" s="7"/>
      <c r="SEG1073" s="7"/>
      <c r="SEH1073" s="7"/>
      <c r="SEI1073" s="7"/>
      <c r="SEJ1073" s="7"/>
      <c r="SEK1073" s="7"/>
      <c r="SEL1073" s="7"/>
      <c r="SEM1073" s="7"/>
      <c r="SEN1073" s="7"/>
      <c r="SEO1073" s="7"/>
      <c r="SEP1073" s="7"/>
      <c r="SEQ1073" s="7"/>
      <c r="SER1073" s="7"/>
      <c r="SES1073" s="7"/>
      <c r="SET1073" s="7"/>
      <c r="SEU1073" s="7"/>
      <c r="SEV1073" s="7"/>
      <c r="SEW1073" s="7"/>
      <c r="SEX1073" s="7"/>
      <c r="SEY1073" s="7"/>
      <c r="SEZ1073" s="7"/>
      <c r="SFA1073" s="7"/>
      <c r="SFB1073" s="7"/>
      <c r="SFC1073" s="7"/>
      <c r="SFD1073" s="7"/>
      <c r="SFE1073" s="7"/>
      <c r="SFF1073" s="7"/>
      <c r="SFG1073" s="7"/>
      <c r="SFH1073" s="7"/>
      <c r="SFI1073" s="7"/>
      <c r="SFJ1073" s="7"/>
      <c r="SFK1073" s="7"/>
      <c r="SFL1073" s="7"/>
      <c r="SFM1073" s="7"/>
      <c r="SFN1073" s="7"/>
      <c r="SFO1073" s="7"/>
      <c r="SFP1073" s="7"/>
      <c r="SFQ1073" s="7"/>
      <c r="SFR1073" s="7"/>
      <c r="SFS1073" s="7"/>
      <c r="SFT1073" s="7"/>
      <c r="SFU1073" s="7"/>
      <c r="SFV1073" s="7"/>
      <c r="SFW1073" s="7"/>
      <c r="SFX1073" s="7"/>
      <c r="SFY1073" s="7"/>
      <c r="SFZ1073" s="7"/>
      <c r="SGA1073" s="7"/>
      <c r="SGB1073" s="7"/>
      <c r="SGC1073" s="7"/>
      <c r="SGD1073" s="7"/>
      <c r="SGE1073" s="7"/>
      <c r="SGF1073" s="7"/>
      <c r="SGG1073" s="7"/>
      <c r="SGH1073" s="7"/>
      <c r="SGI1073" s="7"/>
      <c r="SGJ1073" s="7"/>
      <c r="SGK1073" s="7"/>
      <c r="SGL1073" s="7"/>
      <c r="SGM1073" s="7"/>
      <c r="SGN1073" s="7"/>
      <c r="SGO1073" s="7"/>
      <c r="SGP1073" s="7"/>
      <c r="SGQ1073" s="7"/>
      <c r="SGR1073" s="7"/>
      <c r="SGS1073" s="7"/>
      <c r="SGT1073" s="7"/>
      <c r="SGU1073" s="7"/>
      <c r="SGV1073" s="7"/>
      <c r="SGW1073" s="7"/>
      <c r="SGX1073" s="7"/>
      <c r="SGY1073" s="7"/>
      <c r="SGZ1073" s="7"/>
      <c r="SHA1073" s="7"/>
      <c r="SHB1073" s="7"/>
      <c r="SHC1073" s="7"/>
      <c r="SHD1073" s="7"/>
      <c r="SHE1073" s="7"/>
      <c r="SHF1073" s="7"/>
      <c r="SHG1073" s="7"/>
      <c r="SHH1073" s="7"/>
      <c r="SHI1073" s="7"/>
      <c r="SHJ1073" s="7"/>
      <c r="SHK1073" s="7"/>
      <c r="SHL1073" s="7"/>
      <c r="SHM1073" s="7"/>
      <c r="SHN1073" s="7"/>
      <c r="SHO1073" s="7"/>
      <c r="SHP1073" s="7"/>
      <c r="SHQ1073" s="7"/>
      <c r="SHR1073" s="7"/>
      <c r="SHS1073" s="7"/>
      <c r="SHT1073" s="7"/>
      <c r="SHU1073" s="7"/>
      <c r="SHV1073" s="7"/>
      <c r="SHW1073" s="7"/>
      <c r="SHX1073" s="7"/>
      <c r="SHY1073" s="7"/>
      <c r="SHZ1073" s="7"/>
      <c r="SIA1073" s="7"/>
      <c r="SIB1073" s="7"/>
      <c r="SIC1073" s="7"/>
      <c r="SID1073" s="7"/>
      <c r="SIE1073" s="7"/>
      <c r="SIF1073" s="7"/>
      <c r="SIG1073" s="7"/>
      <c r="SIH1073" s="7"/>
      <c r="SII1073" s="7"/>
      <c r="SIJ1073" s="7"/>
      <c r="SIK1073" s="7"/>
      <c r="SIL1073" s="7"/>
      <c r="SIM1073" s="7"/>
      <c r="SIN1073" s="7"/>
      <c r="SIO1073" s="7"/>
      <c r="SIP1073" s="7"/>
      <c r="SIQ1073" s="7"/>
      <c r="SIR1073" s="7"/>
      <c r="SIS1073" s="7"/>
      <c r="SIT1073" s="7"/>
      <c r="SIU1073" s="7"/>
      <c r="SIV1073" s="7"/>
      <c r="SIW1073" s="7"/>
      <c r="SIX1073" s="7"/>
      <c r="SIY1073" s="7"/>
      <c r="SIZ1073" s="7"/>
      <c r="SJA1073" s="7"/>
      <c r="SJB1073" s="7"/>
      <c r="SJC1073" s="7"/>
      <c r="SJD1073" s="7"/>
      <c r="SJE1073" s="7"/>
      <c r="SJF1073" s="7"/>
      <c r="SJG1073" s="7"/>
      <c r="SJH1073" s="7"/>
      <c r="SJI1073" s="7"/>
      <c r="SJJ1073" s="7"/>
      <c r="SJK1073" s="7"/>
      <c r="SJL1073" s="7"/>
      <c r="SJM1073" s="7"/>
      <c r="SJN1073" s="7"/>
      <c r="SJO1073" s="7"/>
      <c r="SJP1073" s="7"/>
      <c r="SJQ1073" s="7"/>
      <c r="SJR1073" s="7"/>
      <c r="SJS1073" s="7"/>
      <c r="SJT1073" s="7"/>
      <c r="SJU1073" s="7"/>
      <c r="SJV1073" s="7"/>
      <c r="SJW1073" s="7"/>
      <c r="SJX1073" s="7"/>
      <c r="SJY1073" s="7"/>
      <c r="SJZ1073" s="7"/>
      <c r="SKA1073" s="7"/>
      <c r="SKB1073" s="7"/>
      <c r="SKC1073" s="7"/>
      <c r="SKD1073" s="7"/>
      <c r="SKE1073" s="7"/>
      <c r="SKF1073" s="7"/>
      <c r="SKG1073" s="7"/>
      <c r="SKH1073" s="7"/>
      <c r="SKI1073" s="7"/>
      <c r="SKJ1073" s="7"/>
      <c r="SKK1073" s="7"/>
      <c r="SKL1073" s="7"/>
      <c r="SKM1073" s="7"/>
      <c r="SKN1073" s="7"/>
      <c r="SKO1073" s="7"/>
      <c r="SKP1073" s="7"/>
      <c r="SKQ1073" s="7"/>
      <c r="SKR1073" s="7"/>
      <c r="SKS1073" s="7"/>
      <c r="SKT1073" s="7"/>
      <c r="SKU1073" s="7"/>
      <c r="SKV1073" s="7"/>
      <c r="SKW1073" s="7"/>
      <c r="SKX1073" s="7"/>
      <c r="SKY1073" s="7"/>
      <c r="SKZ1073" s="7"/>
      <c r="SLA1073" s="7"/>
      <c r="SLB1073" s="7"/>
      <c r="SLC1073" s="7"/>
      <c r="SLD1073" s="7"/>
      <c r="SLE1073" s="7"/>
      <c r="SLF1073" s="7"/>
      <c r="SLG1073" s="7"/>
      <c r="SLH1073" s="7"/>
      <c r="SLI1073" s="7"/>
      <c r="SLJ1073" s="7"/>
      <c r="SLK1073" s="7"/>
      <c r="SLL1073" s="7"/>
      <c r="SLM1073" s="7"/>
      <c r="SLN1073" s="7"/>
      <c r="SLO1073" s="7"/>
      <c r="SLP1073" s="7"/>
      <c r="SLQ1073" s="7"/>
      <c r="SLR1073" s="7"/>
      <c r="SLS1073" s="7"/>
      <c r="SLT1073" s="7"/>
      <c r="SLU1073" s="7"/>
      <c r="SLV1073" s="7"/>
      <c r="SLW1073" s="7"/>
      <c r="SLX1073" s="7"/>
      <c r="SLY1073" s="7"/>
      <c r="SLZ1073" s="7"/>
      <c r="SMA1073" s="7"/>
      <c r="SMB1073" s="7"/>
      <c r="SMC1073" s="7"/>
      <c r="SMD1073" s="7"/>
      <c r="SME1073" s="7"/>
      <c r="SMF1073" s="7"/>
      <c r="SMG1073" s="7"/>
      <c r="SMH1073" s="7"/>
      <c r="SMI1073" s="7"/>
      <c r="SMJ1073" s="7"/>
      <c r="SMK1073" s="7"/>
      <c r="SML1073" s="7"/>
      <c r="SMM1073" s="7"/>
      <c r="SMN1073" s="7"/>
      <c r="SMO1073" s="7"/>
      <c r="SMP1073" s="7"/>
      <c r="SMQ1073" s="7"/>
      <c r="SMR1073" s="7"/>
      <c r="SMS1073" s="7"/>
      <c r="SMT1073" s="7"/>
      <c r="SMU1073" s="7"/>
      <c r="SMV1073" s="7"/>
      <c r="SMW1073" s="7"/>
      <c r="SMX1073" s="7"/>
      <c r="SMY1073" s="7"/>
      <c r="SMZ1073" s="7"/>
      <c r="SNA1073" s="7"/>
      <c r="SNB1073" s="7"/>
      <c r="SNC1073" s="7"/>
      <c r="SND1073" s="7"/>
      <c r="SNE1073" s="7"/>
      <c r="SNF1073" s="7"/>
      <c r="SNG1073" s="7"/>
      <c r="SNH1073" s="7"/>
      <c r="SNI1073" s="7"/>
      <c r="SNJ1073" s="7"/>
      <c r="SNK1073" s="7"/>
      <c r="SNL1073" s="7"/>
      <c r="SNM1073" s="7"/>
      <c r="SNN1073" s="7"/>
      <c r="SNO1073" s="7"/>
      <c r="SNP1073" s="7"/>
      <c r="SNQ1073" s="7"/>
      <c r="SNR1073" s="7"/>
      <c r="SNS1073" s="7"/>
      <c r="SNT1073" s="7"/>
      <c r="SNU1073" s="7"/>
      <c r="SNV1073" s="7"/>
      <c r="SNW1073" s="7"/>
      <c r="SNX1073" s="7"/>
      <c r="SNY1073" s="7"/>
      <c r="SNZ1073" s="7"/>
      <c r="SOA1073" s="7"/>
      <c r="SOB1073" s="7"/>
      <c r="SOC1073" s="7"/>
      <c r="SOD1073" s="7"/>
      <c r="SOE1073" s="7"/>
      <c r="SOF1073" s="7"/>
      <c r="SOG1073" s="7"/>
      <c r="SOH1073" s="7"/>
      <c r="SOI1073" s="7"/>
      <c r="SOJ1073" s="7"/>
      <c r="SOK1073" s="7"/>
      <c r="SOL1073" s="7"/>
      <c r="SOM1073" s="7"/>
      <c r="SON1073" s="7"/>
      <c r="SOO1073" s="7"/>
      <c r="SOP1073" s="7"/>
      <c r="SOQ1073" s="7"/>
      <c r="SOR1073" s="7"/>
      <c r="SOS1073" s="7"/>
      <c r="SOT1073" s="7"/>
      <c r="SOU1073" s="7"/>
      <c r="SOV1073" s="7"/>
      <c r="SOW1073" s="7"/>
      <c r="SOX1073" s="7"/>
      <c r="SOY1073" s="7"/>
      <c r="SOZ1073" s="7"/>
      <c r="SPA1073" s="7"/>
      <c r="SPB1073" s="7"/>
      <c r="SPC1073" s="7"/>
      <c r="SPD1073" s="7"/>
      <c r="SPE1073" s="7"/>
      <c r="SPF1073" s="7"/>
      <c r="SPG1073" s="7"/>
      <c r="SPH1073" s="7"/>
      <c r="SPI1073" s="7"/>
      <c r="SPJ1073" s="7"/>
      <c r="SPK1073" s="7"/>
      <c r="SPL1073" s="7"/>
      <c r="SPM1073" s="7"/>
      <c r="SPN1073" s="7"/>
      <c r="SPO1073" s="7"/>
      <c r="SPP1073" s="7"/>
      <c r="SPQ1073" s="7"/>
      <c r="SPR1073" s="7"/>
      <c r="SPS1073" s="7"/>
      <c r="SPT1073" s="7"/>
      <c r="SPU1073" s="7"/>
      <c r="SPV1073" s="7"/>
      <c r="SPW1073" s="7"/>
      <c r="SPX1073" s="7"/>
      <c r="SPY1073" s="7"/>
      <c r="SPZ1073" s="7"/>
      <c r="SQA1073" s="7"/>
      <c r="SQB1073" s="7"/>
      <c r="SQC1073" s="7"/>
      <c r="SQD1073" s="7"/>
      <c r="SQE1073" s="7"/>
      <c r="SQF1073" s="7"/>
      <c r="SQG1073" s="7"/>
      <c r="SQH1073" s="7"/>
      <c r="SQI1073" s="7"/>
      <c r="SQJ1073" s="7"/>
      <c r="SQK1073" s="7"/>
      <c r="SQL1073" s="7"/>
      <c r="SQM1073" s="7"/>
      <c r="SQN1073" s="7"/>
      <c r="SQO1073" s="7"/>
      <c r="SQP1073" s="7"/>
      <c r="SQQ1073" s="7"/>
      <c r="SQR1073" s="7"/>
      <c r="SQS1073" s="7"/>
      <c r="SQT1073" s="7"/>
      <c r="SQU1073" s="7"/>
      <c r="SQV1073" s="7"/>
      <c r="SQW1073" s="7"/>
      <c r="SQX1073" s="7"/>
      <c r="SQY1073" s="7"/>
      <c r="SQZ1073" s="7"/>
      <c r="SRA1073" s="7"/>
      <c r="SRB1073" s="7"/>
      <c r="SRC1073" s="7"/>
      <c r="SRD1073" s="7"/>
      <c r="SRE1073" s="7"/>
      <c r="SRF1073" s="7"/>
      <c r="SRG1073" s="7"/>
      <c r="SRH1073" s="7"/>
      <c r="SRI1073" s="7"/>
      <c r="SRJ1073" s="7"/>
      <c r="SRK1073" s="7"/>
      <c r="SRL1073" s="7"/>
      <c r="SRM1073" s="7"/>
      <c r="SRN1073" s="7"/>
      <c r="SRO1073" s="7"/>
      <c r="SRP1073" s="7"/>
      <c r="SRQ1073" s="7"/>
      <c r="SRR1073" s="7"/>
      <c r="SRS1073" s="7"/>
      <c r="SRT1073" s="7"/>
      <c r="SRU1073" s="7"/>
      <c r="SRV1073" s="7"/>
      <c r="SRW1073" s="7"/>
      <c r="SRX1073" s="7"/>
      <c r="SRY1073" s="7"/>
      <c r="SRZ1073" s="7"/>
      <c r="SSA1073" s="7"/>
      <c r="SSB1073" s="7"/>
      <c r="SSC1073" s="7"/>
      <c r="SSD1073" s="7"/>
      <c r="SSE1073" s="7"/>
      <c r="SSF1073" s="7"/>
      <c r="SSG1073" s="7"/>
      <c r="SSH1073" s="7"/>
      <c r="SSI1073" s="7"/>
      <c r="SSJ1073" s="7"/>
      <c r="SSK1073" s="7"/>
      <c r="SSL1073" s="7"/>
      <c r="SSM1073" s="7"/>
      <c r="SSN1073" s="7"/>
      <c r="SSO1073" s="7"/>
      <c r="SSP1073" s="7"/>
      <c r="SSQ1073" s="7"/>
      <c r="SSR1073" s="7"/>
      <c r="SSS1073" s="7"/>
      <c r="SST1073" s="7"/>
      <c r="SSU1073" s="7"/>
      <c r="SSV1073" s="7"/>
      <c r="SSW1073" s="7"/>
      <c r="SSX1073" s="7"/>
      <c r="SSY1073" s="7"/>
      <c r="SSZ1073" s="7"/>
      <c r="STA1073" s="7"/>
      <c r="STB1073" s="7"/>
      <c r="STC1073" s="7"/>
      <c r="STD1073" s="7"/>
      <c r="STE1073" s="7"/>
      <c r="STF1073" s="7"/>
      <c r="STG1073" s="7"/>
      <c r="STH1073" s="7"/>
      <c r="STI1073" s="7"/>
      <c r="STJ1073" s="7"/>
      <c r="STK1073" s="7"/>
      <c r="STL1073" s="7"/>
      <c r="STM1073" s="7"/>
      <c r="STN1073" s="7"/>
      <c r="STO1073" s="7"/>
      <c r="STP1073" s="7"/>
      <c r="STQ1073" s="7"/>
      <c r="STR1073" s="7"/>
      <c r="STS1073" s="7"/>
      <c r="STT1073" s="7"/>
      <c r="STU1073" s="7"/>
      <c r="STV1073" s="7"/>
      <c r="STW1073" s="7"/>
      <c r="STX1073" s="7"/>
      <c r="STY1073" s="7"/>
      <c r="STZ1073" s="7"/>
      <c r="SUA1073" s="7"/>
      <c r="SUB1073" s="7"/>
      <c r="SUC1073" s="7"/>
      <c r="SUD1073" s="7"/>
      <c r="SUE1073" s="7"/>
      <c r="SUF1073" s="7"/>
      <c r="SUG1073" s="7"/>
      <c r="SUH1073" s="7"/>
      <c r="SUI1073" s="7"/>
      <c r="SUJ1073" s="7"/>
      <c r="SUK1073" s="7"/>
      <c r="SUL1073" s="7"/>
      <c r="SUM1073" s="7"/>
      <c r="SUN1073" s="7"/>
      <c r="SUO1073" s="7"/>
      <c r="SUP1073" s="7"/>
      <c r="SUQ1073" s="7"/>
      <c r="SUR1073" s="7"/>
      <c r="SUS1073" s="7"/>
      <c r="SUT1073" s="7"/>
      <c r="SUU1073" s="7"/>
      <c r="SUV1073" s="7"/>
      <c r="SUW1073" s="7"/>
      <c r="SUX1073" s="7"/>
      <c r="SUY1073" s="7"/>
      <c r="SUZ1073" s="7"/>
      <c r="SVA1073" s="7"/>
      <c r="SVB1073" s="7"/>
      <c r="SVC1073" s="7"/>
      <c r="SVD1073" s="7"/>
      <c r="SVE1073" s="7"/>
      <c r="SVF1073" s="7"/>
      <c r="SVG1073" s="7"/>
      <c r="SVH1073" s="7"/>
      <c r="SVI1073" s="7"/>
      <c r="SVJ1073" s="7"/>
      <c r="SVK1073" s="7"/>
      <c r="SVL1073" s="7"/>
      <c r="SVM1073" s="7"/>
      <c r="SVN1073" s="7"/>
      <c r="SVO1073" s="7"/>
      <c r="SVP1073" s="7"/>
      <c r="SVQ1073" s="7"/>
      <c r="SVR1073" s="7"/>
      <c r="SVS1073" s="7"/>
      <c r="SVT1073" s="7"/>
      <c r="SVU1073" s="7"/>
      <c r="SVV1073" s="7"/>
      <c r="SVW1073" s="7"/>
      <c r="SVX1073" s="7"/>
      <c r="SVY1073" s="7"/>
      <c r="SVZ1073" s="7"/>
      <c r="SWA1073" s="7"/>
      <c r="SWB1073" s="7"/>
      <c r="SWC1073" s="7"/>
      <c r="SWD1073" s="7"/>
      <c r="SWE1073" s="7"/>
      <c r="SWF1073" s="7"/>
      <c r="SWG1073" s="7"/>
      <c r="SWH1073" s="7"/>
      <c r="SWI1073" s="7"/>
      <c r="SWJ1073" s="7"/>
      <c r="SWK1073" s="7"/>
      <c r="SWL1073" s="7"/>
      <c r="SWM1073" s="7"/>
      <c r="SWN1073" s="7"/>
      <c r="SWO1073" s="7"/>
      <c r="SWP1073" s="7"/>
      <c r="SWQ1073" s="7"/>
      <c r="SWR1073" s="7"/>
      <c r="SWS1073" s="7"/>
      <c r="SWT1073" s="7"/>
      <c r="SWU1073" s="7"/>
      <c r="SWV1073" s="7"/>
      <c r="SWW1073" s="7"/>
      <c r="SWX1073" s="7"/>
      <c r="SWY1073" s="7"/>
      <c r="SWZ1073" s="7"/>
      <c r="SXA1073" s="7"/>
      <c r="SXB1073" s="7"/>
      <c r="SXC1073" s="7"/>
      <c r="SXD1073" s="7"/>
      <c r="SXE1073" s="7"/>
      <c r="SXF1073" s="7"/>
      <c r="SXG1073" s="7"/>
      <c r="SXH1073" s="7"/>
      <c r="SXI1073" s="7"/>
      <c r="SXJ1073" s="7"/>
      <c r="SXK1073" s="7"/>
      <c r="SXL1073" s="7"/>
      <c r="SXM1073" s="7"/>
      <c r="SXN1073" s="7"/>
      <c r="SXO1073" s="7"/>
      <c r="SXP1073" s="7"/>
      <c r="SXQ1073" s="7"/>
      <c r="SXR1073" s="7"/>
      <c r="SXS1073" s="7"/>
      <c r="SXT1073" s="7"/>
      <c r="SXU1073" s="7"/>
      <c r="SXV1073" s="7"/>
      <c r="SXW1073" s="7"/>
      <c r="SXX1073" s="7"/>
      <c r="SXY1073" s="7"/>
      <c r="SXZ1073" s="7"/>
      <c r="SYA1073" s="7"/>
      <c r="SYB1073" s="7"/>
      <c r="SYC1073" s="7"/>
      <c r="SYD1073" s="7"/>
      <c r="SYE1073" s="7"/>
      <c r="SYF1073" s="7"/>
      <c r="SYG1073" s="7"/>
      <c r="SYH1073" s="7"/>
      <c r="SYI1073" s="7"/>
      <c r="SYJ1073" s="7"/>
      <c r="SYK1073" s="7"/>
      <c r="SYL1073" s="7"/>
      <c r="SYM1073" s="7"/>
      <c r="SYN1073" s="7"/>
      <c r="SYO1073" s="7"/>
      <c r="SYP1073" s="7"/>
      <c r="SYQ1073" s="7"/>
      <c r="SYR1073" s="7"/>
      <c r="SYS1073" s="7"/>
      <c r="SYT1073" s="7"/>
      <c r="SYU1073" s="7"/>
      <c r="SYV1073" s="7"/>
      <c r="SYW1073" s="7"/>
      <c r="SYX1073" s="7"/>
      <c r="SYY1073" s="7"/>
      <c r="SYZ1073" s="7"/>
      <c r="SZA1073" s="7"/>
      <c r="SZB1073" s="7"/>
      <c r="SZC1073" s="7"/>
      <c r="SZD1073" s="7"/>
      <c r="SZE1073" s="7"/>
      <c r="SZF1073" s="7"/>
      <c r="SZG1073" s="7"/>
      <c r="SZH1073" s="7"/>
      <c r="SZI1073" s="7"/>
      <c r="SZJ1073" s="7"/>
      <c r="SZK1073" s="7"/>
      <c r="SZL1073" s="7"/>
      <c r="SZM1073" s="7"/>
      <c r="SZN1073" s="7"/>
      <c r="SZO1073" s="7"/>
      <c r="SZP1073" s="7"/>
      <c r="SZQ1073" s="7"/>
      <c r="SZR1073" s="7"/>
      <c r="SZS1073" s="7"/>
      <c r="SZT1073" s="7"/>
      <c r="SZU1073" s="7"/>
      <c r="SZV1073" s="7"/>
      <c r="SZW1073" s="7"/>
      <c r="SZX1073" s="7"/>
      <c r="SZY1073" s="7"/>
      <c r="SZZ1073" s="7"/>
      <c r="TAA1073" s="7"/>
      <c r="TAB1073" s="7"/>
      <c r="TAC1073" s="7"/>
      <c r="TAD1073" s="7"/>
      <c r="TAE1073" s="7"/>
      <c r="TAF1073" s="7"/>
      <c r="TAG1073" s="7"/>
      <c r="TAH1073" s="7"/>
      <c r="TAI1073" s="7"/>
      <c r="TAJ1073" s="7"/>
      <c r="TAK1073" s="7"/>
      <c r="TAL1073" s="7"/>
      <c r="TAM1073" s="7"/>
      <c r="TAN1073" s="7"/>
      <c r="TAO1073" s="7"/>
      <c r="TAP1073" s="7"/>
      <c r="TAQ1073" s="7"/>
      <c r="TAR1073" s="7"/>
      <c r="TAS1073" s="7"/>
      <c r="TAT1073" s="7"/>
      <c r="TAU1073" s="7"/>
      <c r="TAV1073" s="7"/>
      <c r="TAW1073" s="7"/>
      <c r="TAX1073" s="7"/>
      <c r="TAY1073" s="7"/>
      <c r="TAZ1073" s="7"/>
      <c r="TBA1073" s="7"/>
      <c r="TBB1073" s="7"/>
      <c r="TBC1073" s="7"/>
      <c r="TBD1073" s="7"/>
      <c r="TBE1073" s="7"/>
      <c r="TBF1073" s="7"/>
      <c r="TBG1073" s="7"/>
      <c r="TBH1073" s="7"/>
      <c r="TBI1073" s="7"/>
      <c r="TBJ1073" s="7"/>
      <c r="TBK1073" s="7"/>
      <c r="TBL1073" s="7"/>
      <c r="TBM1073" s="7"/>
      <c r="TBN1073" s="7"/>
      <c r="TBO1073" s="7"/>
      <c r="TBP1073" s="7"/>
      <c r="TBQ1073" s="7"/>
      <c r="TBR1073" s="7"/>
      <c r="TBS1073" s="7"/>
      <c r="TBT1073" s="7"/>
      <c r="TBU1073" s="7"/>
      <c r="TBV1073" s="7"/>
      <c r="TBW1073" s="7"/>
      <c r="TBX1073" s="7"/>
      <c r="TBY1073" s="7"/>
      <c r="TBZ1073" s="7"/>
      <c r="TCA1073" s="7"/>
      <c r="TCB1073" s="7"/>
      <c r="TCC1073" s="7"/>
      <c r="TCD1073" s="7"/>
      <c r="TCE1073" s="7"/>
      <c r="TCF1073" s="7"/>
      <c r="TCG1073" s="7"/>
      <c r="TCH1073" s="7"/>
      <c r="TCI1073" s="7"/>
      <c r="TCJ1073" s="7"/>
      <c r="TCK1073" s="7"/>
      <c r="TCL1073" s="7"/>
      <c r="TCM1073" s="7"/>
      <c r="TCN1073" s="7"/>
      <c r="TCO1073" s="7"/>
      <c r="TCP1073" s="7"/>
      <c r="TCQ1073" s="7"/>
      <c r="TCR1073" s="7"/>
      <c r="TCS1073" s="7"/>
      <c r="TCT1073" s="7"/>
      <c r="TCU1073" s="7"/>
      <c r="TCV1073" s="7"/>
      <c r="TCW1073" s="7"/>
      <c r="TCX1073" s="7"/>
      <c r="TCY1073" s="7"/>
      <c r="TCZ1073" s="7"/>
      <c r="TDA1073" s="7"/>
      <c r="TDB1073" s="7"/>
      <c r="TDC1073" s="7"/>
      <c r="TDD1073" s="7"/>
      <c r="TDE1073" s="7"/>
      <c r="TDF1073" s="7"/>
      <c r="TDG1073" s="7"/>
      <c r="TDH1073" s="7"/>
      <c r="TDI1073" s="7"/>
      <c r="TDJ1073" s="7"/>
      <c r="TDK1073" s="7"/>
      <c r="TDL1073" s="7"/>
      <c r="TDM1073" s="7"/>
      <c r="TDN1073" s="7"/>
      <c r="TDO1073" s="7"/>
      <c r="TDP1073" s="7"/>
      <c r="TDQ1073" s="7"/>
      <c r="TDR1073" s="7"/>
      <c r="TDS1073" s="7"/>
      <c r="TDT1073" s="7"/>
      <c r="TDU1073" s="7"/>
      <c r="TDV1073" s="7"/>
      <c r="TDW1073" s="7"/>
      <c r="TDX1073" s="7"/>
      <c r="TDY1073" s="7"/>
      <c r="TDZ1073" s="7"/>
      <c r="TEA1073" s="7"/>
      <c r="TEB1073" s="7"/>
      <c r="TEC1073" s="7"/>
      <c r="TED1073" s="7"/>
      <c r="TEE1073" s="7"/>
      <c r="TEF1073" s="7"/>
      <c r="TEG1073" s="7"/>
      <c r="TEH1073" s="7"/>
      <c r="TEI1073" s="7"/>
      <c r="TEJ1073" s="7"/>
      <c r="TEK1073" s="7"/>
      <c r="TEL1073" s="7"/>
      <c r="TEM1073" s="7"/>
      <c r="TEN1073" s="7"/>
      <c r="TEO1073" s="7"/>
      <c r="TEP1073" s="7"/>
      <c r="TEQ1073" s="7"/>
      <c r="TER1073" s="7"/>
      <c r="TES1073" s="7"/>
      <c r="TET1073" s="7"/>
      <c r="TEU1073" s="7"/>
      <c r="TEV1073" s="7"/>
      <c r="TEW1073" s="7"/>
      <c r="TEX1073" s="7"/>
      <c r="TEY1073" s="7"/>
      <c r="TEZ1073" s="7"/>
      <c r="TFA1073" s="7"/>
      <c r="TFB1073" s="7"/>
      <c r="TFC1073" s="7"/>
      <c r="TFD1073" s="7"/>
      <c r="TFE1073" s="7"/>
      <c r="TFF1073" s="7"/>
      <c r="TFG1073" s="7"/>
      <c r="TFH1073" s="7"/>
      <c r="TFI1073" s="7"/>
      <c r="TFJ1073" s="7"/>
      <c r="TFK1073" s="7"/>
      <c r="TFL1073" s="7"/>
      <c r="TFM1073" s="7"/>
      <c r="TFN1073" s="7"/>
      <c r="TFO1073" s="7"/>
      <c r="TFP1073" s="7"/>
      <c r="TFQ1073" s="7"/>
      <c r="TFR1073" s="7"/>
      <c r="TFS1073" s="7"/>
      <c r="TFT1073" s="7"/>
      <c r="TFU1073" s="7"/>
      <c r="TFV1073" s="7"/>
      <c r="TFW1073" s="7"/>
      <c r="TFX1073" s="7"/>
      <c r="TFY1073" s="7"/>
      <c r="TFZ1073" s="7"/>
      <c r="TGA1073" s="7"/>
      <c r="TGB1073" s="7"/>
      <c r="TGC1073" s="7"/>
      <c r="TGD1073" s="7"/>
      <c r="TGE1073" s="7"/>
      <c r="TGF1073" s="7"/>
      <c r="TGG1073" s="7"/>
      <c r="TGH1073" s="7"/>
      <c r="TGI1073" s="7"/>
      <c r="TGJ1073" s="7"/>
      <c r="TGK1073" s="7"/>
      <c r="TGL1073" s="7"/>
      <c r="TGM1073" s="7"/>
      <c r="TGN1073" s="7"/>
      <c r="TGO1073" s="7"/>
      <c r="TGP1073" s="7"/>
      <c r="TGQ1073" s="7"/>
      <c r="TGR1073" s="7"/>
      <c r="TGS1073" s="7"/>
      <c r="TGT1073" s="7"/>
      <c r="TGU1073" s="7"/>
      <c r="TGV1073" s="7"/>
      <c r="TGW1073" s="7"/>
      <c r="TGX1073" s="7"/>
      <c r="TGY1073" s="7"/>
      <c r="TGZ1073" s="7"/>
      <c r="THA1073" s="7"/>
      <c r="THB1073" s="7"/>
      <c r="THC1073" s="7"/>
      <c r="THD1073" s="7"/>
      <c r="THE1073" s="7"/>
      <c r="THF1073" s="7"/>
      <c r="THG1073" s="7"/>
      <c r="THH1073" s="7"/>
      <c r="THI1073" s="7"/>
      <c r="THJ1073" s="7"/>
      <c r="THK1073" s="7"/>
      <c r="THL1073" s="7"/>
      <c r="THM1073" s="7"/>
      <c r="THN1073" s="7"/>
      <c r="THO1073" s="7"/>
      <c r="THP1073" s="7"/>
      <c r="THQ1073" s="7"/>
      <c r="THR1073" s="7"/>
      <c r="THS1073" s="7"/>
      <c r="THT1073" s="7"/>
      <c r="THU1073" s="7"/>
      <c r="THV1073" s="7"/>
      <c r="THW1073" s="7"/>
      <c r="THX1073" s="7"/>
      <c r="THY1073" s="7"/>
      <c r="THZ1073" s="7"/>
      <c r="TIA1073" s="7"/>
      <c r="TIB1073" s="7"/>
      <c r="TIC1073" s="7"/>
      <c r="TID1073" s="7"/>
      <c r="TIE1073" s="7"/>
      <c r="TIF1073" s="7"/>
      <c r="TIG1073" s="7"/>
      <c r="TIH1073" s="7"/>
      <c r="TII1073" s="7"/>
      <c r="TIJ1073" s="7"/>
      <c r="TIK1073" s="7"/>
      <c r="TIL1073" s="7"/>
      <c r="TIM1073" s="7"/>
      <c r="TIN1073" s="7"/>
      <c r="TIO1073" s="7"/>
      <c r="TIP1073" s="7"/>
      <c r="TIQ1073" s="7"/>
      <c r="TIR1073" s="7"/>
      <c r="TIS1073" s="7"/>
      <c r="TIT1073" s="7"/>
      <c r="TIU1073" s="7"/>
      <c r="TIV1073" s="7"/>
      <c r="TIW1073" s="7"/>
      <c r="TIX1073" s="7"/>
      <c r="TIY1073" s="7"/>
      <c r="TIZ1073" s="7"/>
      <c r="TJA1073" s="7"/>
      <c r="TJB1073" s="7"/>
      <c r="TJC1073" s="7"/>
      <c r="TJD1073" s="7"/>
      <c r="TJE1073" s="7"/>
      <c r="TJF1073" s="7"/>
      <c r="TJG1073" s="7"/>
      <c r="TJH1073" s="7"/>
      <c r="TJI1073" s="7"/>
      <c r="TJJ1073" s="7"/>
      <c r="TJK1073" s="7"/>
      <c r="TJL1073" s="7"/>
      <c r="TJM1073" s="7"/>
      <c r="TJN1073" s="7"/>
      <c r="TJO1073" s="7"/>
      <c r="TJP1073" s="7"/>
      <c r="TJQ1073" s="7"/>
      <c r="TJR1073" s="7"/>
      <c r="TJS1073" s="7"/>
      <c r="TJT1073" s="7"/>
      <c r="TJU1073" s="7"/>
      <c r="TJV1073" s="7"/>
      <c r="TJW1073" s="7"/>
      <c r="TJX1073" s="7"/>
      <c r="TJY1073" s="7"/>
      <c r="TJZ1073" s="7"/>
      <c r="TKA1073" s="7"/>
      <c r="TKB1073" s="7"/>
      <c r="TKC1073" s="7"/>
      <c r="TKD1073" s="7"/>
      <c r="TKE1073" s="7"/>
      <c r="TKF1073" s="7"/>
      <c r="TKG1073" s="7"/>
      <c r="TKH1073" s="7"/>
      <c r="TKI1073" s="7"/>
      <c r="TKJ1073" s="7"/>
      <c r="TKK1073" s="7"/>
      <c r="TKL1073" s="7"/>
      <c r="TKM1073" s="7"/>
      <c r="TKN1073" s="7"/>
      <c r="TKO1073" s="7"/>
      <c r="TKP1073" s="7"/>
      <c r="TKQ1073" s="7"/>
      <c r="TKR1073" s="7"/>
      <c r="TKS1073" s="7"/>
      <c r="TKT1073" s="7"/>
      <c r="TKU1073" s="7"/>
      <c r="TKV1073" s="7"/>
      <c r="TKW1073" s="7"/>
      <c r="TKX1073" s="7"/>
      <c r="TKY1073" s="7"/>
      <c r="TKZ1073" s="7"/>
      <c r="TLA1073" s="7"/>
      <c r="TLB1073" s="7"/>
      <c r="TLC1073" s="7"/>
      <c r="TLD1073" s="7"/>
      <c r="TLE1073" s="7"/>
      <c r="TLF1073" s="7"/>
      <c r="TLG1073" s="7"/>
      <c r="TLH1073" s="7"/>
      <c r="TLI1073" s="7"/>
      <c r="TLJ1073" s="7"/>
      <c r="TLK1073" s="7"/>
      <c r="TLL1073" s="7"/>
      <c r="TLM1073" s="7"/>
      <c r="TLN1073" s="7"/>
      <c r="TLO1073" s="7"/>
      <c r="TLP1073" s="7"/>
      <c r="TLQ1073" s="7"/>
      <c r="TLR1073" s="7"/>
      <c r="TLS1073" s="7"/>
      <c r="TLT1073" s="7"/>
      <c r="TLU1073" s="7"/>
      <c r="TLV1073" s="7"/>
      <c r="TLW1073" s="7"/>
      <c r="TLX1073" s="7"/>
      <c r="TLY1073" s="7"/>
      <c r="TLZ1073" s="7"/>
      <c r="TMA1073" s="7"/>
      <c r="TMB1073" s="7"/>
      <c r="TMC1073" s="7"/>
      <c r="TMD1073" s="7"/>
      <c r="TME1073" s="7"/>
      <c r="TMF1073" s="7"/>
      <c r="TMG1073" s="7"/>
      <c r="TMH1073" s="7"/>
      <c r="TMI1073" s="7"/>
      <c r="TMJ1073" s="7"/>
      <c r="TMK1073" s="7"/>
      <c r="TML1073" s="7"/>
      <c r="TMM1073" s="7"/>
      <c r="TMN1073" s="7"/>
      <c r="TMO1073" s="7"/>
      <c r="TMP1073" s="7"/>
      <c r="TMQ1073" s="7"/>
      <c r="TMR1073" s="7"/>
      <c r="TMS1073" s="7"/>
      <c r="TMT1073" s="7"/>
      <c r="TMU1073" s="7"/>
      <c r="TMV1073" s="7"/>
      <c r="TMW1073" s="7"/>
      <c r="TMX1073" s="7"/>
      <c r="TMY1073" s="7"/>
      <c r="TMZ1073" s="7"/>
      <c r="TNA1073" s="7"/>
      <c r="TNB1073" s="7"/>
      <c r="TNC1073" s="7"/>
      <c r="TND1073" s="7"/>
      <c r="TNE1073" s="7"/>
      <c r="TNF1073" s="7"/>
      <c r="TNG1073" s="7"/>
      <c r="TNH1073" s="7"/>
      <c r="TNI1073" s="7"/>
      <c r="TNJ1073" s="7"/>
      <c r="TNK1073" s="7"/>
      <c r="TNL1073" s="7"/>
      <c r="TNM1073" s="7"/>
      <c r="TNN1073" s="7"/>
      <c r="TNO1073" s="7"/>
      <c r="TNP1073" s="7"/>
      <c r="TNQ1073" s="7"/>
      <c r="TNR1073" s="7"/>
      <c r="TNS1073" s="7"/>
      <c r="TNT1073" s="7"/>
      <c r="TNU1073" s="7"/>
      <c r="TNV1073" s="7"/>
      <c r="TNW1073" s="7"/>
      <c r="TNX1073" s="7"/>
      <c r="TNY1073" s="7"/>
      <c r="TNZ1073" s="7"/>
      <c r="TOA1073" s="7"/>
      <c r="TOB1073" s="7"/>
      <c r="TOC1073" s="7"/>
      <c r="TOD1073" s="7"/>
      <c r="TOE1073" s="7"/>
      <c r="TOF1073" s="7"/>
      <c r="TOG1073" s="7"/>
      <c r="TOH1073" s="7"/>
      <c r="TOI1073" s="7"/>
      <c r="TOJ1073" s="7"/>
      <c r="TOK1073" s="7"/>
      <c r="TOL1073" s="7"/>
      <c r="TOM1073" s="7"/>
      <c r="TON1073" s="7"/>
      <c r="TOO1073" s="7"/>
      <c r="TOP1073" s="7"/>
      <c r="TOQ1073" s="7"/>
      <c r="TOR1073" s="7"/>
      <c r="TOS1073" s="7"/>
      <c r="TOT1073" s="7"/>
      <c r="TOU1073" s="7"/>
      <c r="TOV1073" s="7"/>
      <c r="TOW1073" s="7"/>
      <c r="TOX1073" s="7"/>
      <c r="TOY1073" s="7"/>
      <c r="TOZ1073" s="7"/>
      <c r="TPA1073" s="7"/>
      <c r="TPB1073" s="7"/>
      <c r="TPC1073" s="7"/>
      <c r="TPD1073" s="7"/>
      <c r="TPE1073" s="7"/>
      <c r="TPF1073" s="7"/>
      <c r="TPG1073" s="7"/>
      <c r="TPH1073" s="7"/>
      <c r="TPI1073" s="7"/>
      <c r="TPJ1073" s="7"/>
      <c r="TPK1073" s="7"/>
      <c r="TPL1073" s="7"/>
      <c r="TPM1073" s="7"/>
      <c r="TPN1073" s="7"/>
      <c r="TPO1073" s="7"/>
      <c r="TPP1073" s="7"/>
      <c r="TPQ1073" s="7"/>
      <c r="TPR1073" s="7"/>
      <c r="TPS1073" s="7"/>
      <c r="TPT1073" s="7"/>
      <c r="TPU1073" s="7"/>
      <c r="TPV1073" s="7"/>
      <c r="TPW1073" s="7"/>
      <c r="TPX1073" s="7"/>
      <c r="TPY1073" s="7"/>
      <c r="TPZ1073" s="7"/>
      <c r="TQA1073" s="7"/>
      <c r="TQB1073" s="7"/>
      <c r="TQC1073" s="7"/>
      <c r="TQD1073" s="7"/>
      <c r="TQE1073" s="7"/>
      <c r="TQF1073" s="7"/>
      <c r="TQG1073" s="7"/>
      <c r="TQH1073" s="7"/>
      <c r="TQI1073" s="7"/>
      <c r="TQJ1073" s="7"/>
      <c r="TQK1073" s="7"/>
      <c r="TQL1073" s="7"/>
      <c r="TQM1073" s="7"/>
      <c r="TQN1073" s="7"/>
      <c r="TQO1073" s="7"/>
      <c r="TQP1073" s="7"/>
      <c r="TQQ1073" s="7"/>
      <c r="TQR1073" s="7"/>
      <c r="TQS1073" s="7"/>
      <c r="TQT1073" s="7"/>
      <c r="TQU1073" s="7"/>
      <c r="TQV1073" s="7"/>
      <c r="TQW1073" s="7"/>
      <c r="TQX1073" s="7"/>
      <c r="TQY1073" s="7"/>
      <c r="TQZ1073" s="7"/>
      <c r="TRA1073" s="7"/>
      <c r="TRB1073" s="7"/>
      <c r="TRC1073" s="7"/>
      <c r="TRD1073" s="7"/>
      <c r="TRE1073" s="7"/>
      <c r="TRF1073" s="7"/>
      <c r="TRG1073" s="7"/>
      <c r="TRH1073" s="7"/>
      <c r="TRI1073" s="7"/>
      <c r="TRJ1073" s="7"/>
      <c r="TRK1073" s="7"/>
      <c r="TRL1073" s="7"/>
      <c r="TRM1073" s="7"/>
      <c r="TRN1073" s="7"/>
      <c r="TRO1073" s="7"/>
      <c r="TRP1073" s="7"/>
      <c r="TRQ1073" s="7"/>
      <c r="TRR1073" s="7"/>
      <c r="TRS1073" s="7"/>
      <c r="TRT1073" s="7"/>
      <c r="TRU1073" s="7"/>
      <c r="TRV1073" s="7"/>
      <c r="TRW1073" s="7"/>
      <c r="TRX1073" s="7"/>
      <c r="TRY1073" s="7"/>
      <c r="TRZ1073" s="7"/>
      <c r="TSA1073" s="7"/>
      <c r="TSB1073" s="7"/>
      <c r="TSC1073" s="7"/>
      <c r="TSD1073" s="7"/>
      <c r="TSE1073" s="7"/>
      <c r="TSF1073" s="7"/>
      <c r="TSG1073" s="7"/>
      <c r="TSH1073" s="7"/>
      <c r="TSI1073" s="7"/>
      <c r="TSJ1073" s="7"/>
      <c r="TSK1073" s="7"/>
      <c r="TSL1073" s="7"/>
      <c r="TSM1073" s="7"/>
      <c r="TSN1073" s="7"/>
      <c r="TSO1073" s="7"/>
      <c r="TSP1073" s="7"/>
      <c r="TSQ1073" s="7"/>
      <c r="TSR1073" s="7"/>
      <c r="TSS1073" s="7"/>
      <c r="TST1073" s="7"/>
      <c r="TSU1073" s="7"/>
      <c r="TSV1073" s="7"/>
      <c r="TSW1073" s="7"/>
      <c r="TSX1073" s="7"/>
      <c r="TSY1073" s="7"/>
      <c r="TSZ1073" s="7"/>
      <c r="TTA1073" s="7"/>
      <c r="TTB1073" s="7"/>
      <c r="TTC1073" s="7"/>
      <c r="TTD1073" s="7"/>
      <c r="TTE1073" s="7"/>
      <c r="TTF1073" s="7"/>
      <c r="TTG1073" s="7"/>
      <c r="TTH1073" s="7"/>
      <c r="TTI1073" s="7"/>
      <c r="TTJ1073" s="7"/>
      <c r="TTK1073" s="7"/>
      <c r="TTL1073" s="7"/>
      <c r="TTM1073" s="7"/>
      <c r="TTN1073" s="7"/>
      <c r="TTO1073" s="7"/>
      <c r="TTP1073" s="7"/>
      <c r="TTQ1073" s="7"/>
      <c r="TTR1073" s="7"/>
      <c r="TTS1073" s="7"/>
      <c r="TTT1073" s="7"/>
      <c r="TTU1073" s="7"/>
      <c r="TTV1073" s="7"/>
      <c r="TTW1073" s="7"/>
      <c r="TTX1073" s="7"/>
      <c r="TTY1073" s="7"/>
      <c r="TTZ1073" s="7"/>
      <c r="TUA1073" s="7"/>
      <c r="TUB1073" s="7"/>
      <c r="TUC1073" s="7"/>
      <c r="TUD1073" s="7"/>
      <c r="TUE1073" s="7"/>
      <c r="TUF1073" s="7"/>
      <c r="TUG1073" s="7"/>
      <c r="TUH1073" s="7"/>
      <c r="TUI1073" s="7"/>
      <c r="TUJ1073" s="7"/>
      <c r="TUK1073" s="7"/>
      <c r="TUL1073" s="7"/>
      <c r="TUM1073" s="7"/>
      <c r="TUN1073" s="7"/>
      <c r="TUO1073" s="7"/>
      <c r="TUP1073" s="7"/>
      <c r="TUQ1073" s="7"/>
      <c r="TUR1073" s="7"/>
      <c r="TUS1073" s="7"/>
      <c r="TUT1073" s="7"/>
      <c r="TUU1073" s="7"/>
      <c r="TUV1073" s="7"/>
      <c r="TUW1073" s="7"/>
      <c r="TUX1073" s="7"/>
      <c r="TUY1073" s="7"/>
      <c r="TUZ1073" s="7"/>
      <c r="TVA1073" s="7"/>
      <c r="TVB1073" s="7"/>
      <c r="TVC1073" s="7"/>
      <c r="TVD1073" s="7"/>
      <c r="TVE1073" s="7"/>
      <c r="TVF1073" s="7"/>
      <c r="TVG1073" s="7"/>
      <c r="TVH1073" s="7"/>
      <c r="TVI1073" s="7"/>
      <c r="TVJ1073" s="7"/>
      <c r="TVK1073" s="7"/>
      <c r="TVL1073" s="7"/>
      <c r="TVM1073" s="7"/>
      <c r="TVN1073" s="7"/>
      <c r="TVO1073" s="7"/>
      <c r="TVP1073" s="7"/>
      <c r="TVQ1073" s="7"/>
      <c r="TVR1073" s="7"/>
      <c r="TVS1073" s="7"/>
      <c r="TVT1073" s="7"/>
      <c r="TVU1073" s="7"/>
      <c r="TVV1073" s="7"/>
      <c r="TVW1073" s="7"/>
      <c r="TVX1073" s="7"/>
      <c r="TVY1073" s="7"/>
      <c r="TVZ1073" s="7"/>
      <c r="TWA1073" s="7"/>
      <c r="TWB1073" s="7"/>
      <c r="TWC1073" s="7"/>
      <c r="TWD1073" s="7"/>
      <c r="TWE1073" s="7"/>
      <c r="TWF1073" s="7"/>
      <c r="TWG1073" s="7"/>
      <c r="TWH1073" s="7"/>
      <c r="TWI1073" s="7"/>
      <c r="TWJ1073" s="7"/>
      <c r="TWK1073" s="7"/>
      <c r="TWL1073" s="7"/>
      <c r="TWM1073" s="7"/>
      <c r="TWN1073" s="7"/>
      <c r="TWO1073" s="7"/>
      <c r="TWP1073" s="7"/>
      <c r="TWQ1073" s="7"/>
      <c r="TWR1073" s="7"/>
      <c r="TWS1073" s="7"/>
      <c r="TWT1073" s="7"/>
      <c r="TWU1073" s="7"/>
      <c r="TWV1073" s="7"/>
      <c r="TWW1073" s="7"/>
      <c r="TWX1073" s="7"/>
      <c r="TWY1073" s="7"/>
      <c r="TWZ1073" s="7"/>
      <c r="TXA1073" s="7"/>
      <c r="TXB1073" s="7"/>
      <c r="TXC1073" s="7"/>
      <c r="TXD1073" s="7"/>
      <c r="TXE1073" s="7"/>
      <c r="TXF1073" s="7"/>
      <c r="TXG1073" s="7"/>
      <c r="TXH1073" s="7"/>
      <c r="TXI1073" s="7"/>
      <c r="TXJ1073" s="7"/>
      <c r="TXK1073" s="7"/>
      <c r="TXL1073" s="7"/>
      <c r="TXM1073" s="7"/>
      <c r="TXN1073" s="7"/>
      <c r="TXO1073" s="7"/>
      <c r="TXP1073" s="7"/>
      <c r="TXQ1073" s="7"/>
      <c r="TXR1073" s="7"/>
      <c r="TXS1073" s="7"/>
      <c r="TXT1073" s="7"/>
      <c r="TXU1073" s="7"/>
      <c r="TXV1073" s="7"/>
      <c r="TXW1073" s="7"/>
      <c r="TXX1073" s="7"/>
      <c r="TXY1073" s="7"/>
      <c r="TXZ1073" s="7"/>
      <c r="TYA1073" s="7"/>
      <c r="TYB1073" s="7"/>
      <c r="TYC1073" s="7"/>
      <c r="TYD1073" s="7"/>
      <c r="TYE1073" s="7"/>
      <c r="TYF1073" s="7"/>
      <c r="TYG1073" s="7"/>
      <c r="TYH1073" s="7"/>
      <c r="TYI1073" s="7"/>
      <c r="TYJ1073" s="7"/>
      <c r="TYK1073" s="7"/>
      <c r="TYL1073" s="7"/>
      <c r="TYM1073" s="7"/>
      <c r="TYN1073" s="7"/>
      <c r="TYO1073" s="7"/>
      <c r="TYP1073" s="7"/>
      <c r="TYQ1073" s="7"/>
      <c r="TYR1073" s="7"/>
      <c r="TYS1073" s="7"/>
      <c r="TYT1073" s="7"/>
      <c r="TYU1073" s="7"/>
      <c r="TYV1073" s="7"/>
      <c r="TYW1073" s="7"/>
      <c r="TYX1073" s="7"/>
      <c r="TYY1073" s="7"/>
      <c r="TYZ1073" s="7"/>
      <c r="TZA1073" s="7"/>
      <c r="TZB1073" s="7"/>
      <c r="TZC1073" s="7"/>
      <c r="TZD1073" s="7"/>
      <c r="TZE1073" s="7"/>
      <c r="TZF1073" s="7"/>
      <c r="TZG1073" s="7"/>
      <c r="TZH1073" s="7"/>
      <c r="TZI1073" s="7"/>
      <c r="TZJ1073" s="7"/>
      <c r="TZK1073" s="7"/>
      <c r="TZL1073" s="7"/>
      <c r="TZM1073" s="7"/>
      <c r="TZN1073" s="7"/>
      <c r="TZO1073" s="7"/>
      <c r="TZP1073" s="7"/>
      <c r="TZQ1073" s="7"/>
      <c r="TZR1073" s="7"/>
      <c r="TZS1073" s="7"/>
      <c r="TZT1073" s="7"/>
      <c r="TZU1073" s="7"/>
      <c r="TZV1073" s="7"/>
      <c r="TZW1073" s="7"/>
      <c r="TZX1073" s="7"/>
      <c r="TZY1073" s="7"/>
      <c r="TZZ1073" s="7"/>
      <c r="UAA1073" s="7"/>
      <c r="UAB1073" s="7"/>
      <c r="UAC1073" s="7"/>
      <c r="UAD1073" s="7"/>
      <c r="UAE1073" s="7"/>
      <c r="UAF1073" s="7"/>
      <c r="UAG1073" s="7"/>
      <c r="UAH1073" s="7"/>
      <c r="UAI1073" s="7"/>
      <c r="UAJ1073" s="7"/>
      <c r="UAK1073" s="7"/>
      <c r="UAL1073" s="7"/>
      <c r="UAM1073" s="7"/>
      <c r="UAN1073" s="7"/>
      <c r="UAO1073" s="7"/>
      <c r="UAP1073" s="7"/>
      <c r="UAQ1073" s="7"/>
      <c r="UAR1073" s="7"/>
      <c r="UAS1073" s="7"/>
      <c r="UAT1073" s="7"/>
      <c r="UAU1073" s="7"/>
      <c r="UAV1073" s="7"/>
      <c r="UAW1073" s="7"/>
      <c r="UAX1073" s="7"/>
      <c r="UAY1073" s="7"/>
      <c r="UAZ1073" s="7"/>
      <c r="UBA1073" s="7"/>
      <c r="UBB1073" s="7"/>
      <c r="UBC1073" s="7"/>
      <c r="UBD1073" s="7"/>
      <c r="UBE1073" s="7"/>
      <c r="UBF1073" s="7"/>
      <c r="UBG1073" s="7"/>
      <c r="UBH1073" s="7"/>
      <c r="UBI1073" s="7"/>
      <c r="UBJ1073" s="7"/>
      <c r="UBK1073" s="7"/>
      <c r="UBL1073" s="7"/>
      <c r="UBM1073" s="7"/>
      <c r="UBN1073" s="7"/>
      <c r="UBO1073" s="7"/>
      <c r="UBP1073" s="7"/>
      <c r="UBQ1073" s="7"/>
      <c r="UBR1073" s="7"/>
      <c r="UBS1073" s="7"/>
      <c r="UBT1073" s="7"/>
      <c r="UBU1073" s="7"/>
      <c r="UBV1073" s="7"/>
      <c r="UBW1073" s="7"/>
      <c r="UBX1073" s="7"/>
      <c r="UBY1073" s="7"/>
      <c r="UBZ1073" s="7"/>
      <c r="UCA1073" s="7"/>
      <c r="UCB1073" s="7"/>
      <c r="UCC1073" s="7"/>
      <c r="UCD1073" s="7"/>
      <c r="UCE1073" s="7"/>
      <c r="UCF1073" s="7"/>
      <c r="UCG1073" s="7"/>
      <c r="UCH1073" s="7"/>
      <c r="UCI1073" s="7"/>
      <c r="UCJ1073" s="7"/>
      <c r="UCK1073" s="7"/>
      <c r="UCL1073" s="7"/>
      <c r="UCM1073" s="7"/>
      <c r="UCN1073" s="7"/>
      <c r="UCO1073" s="7"/>
      <c r="UCP1073" s="7"/>
      <c r="UCQ1073" s="7"/>
      <c r="UCR1073" s="7"/>
      <c r="UCS1073" s="7"/>
      <c r="UCT1073" s="7"/>
      <c r="UCU1073" s="7"/>
      <c r="UCV1073" s="7"/>
      <c r="UCW1073" s="7"/>
      <c r="UCX1073" s="7"/>
      <c r="UCY1073" s="7"/>
      <c r="UCZ1073" s="7"/>
      <c r="UDA1073" s="7"/>
      <c r="UDB1073" s="7"/>
      <c r="UDC1073" s="7"/>
      <c r="UDD1073" s="7"/>
      <c r="UDE1073" s="7"/>
      <c r="UDF1073" s="7"/>
      <c r="UDG1073" s="7"/>
      <c r="UDH1073" s="7"/>
      <c r="UDI1073" s="7"/>
      <c r="UDJ1073" s="7"/>
      <c r="UDK1073" s="7"/>
      <c r="UDL1073" s="7"/>
      <c r="UDM1073" s="7"/>
      <c r="UDN1073" s="7"/>
      <c r="UDO1073" s="7"/>
      <c r="UDP1073" s="7"/>
      <c r="UDQ1073" s="7"/>
      <c r="UDR1073" s="7"/>
      <c r="UDS1073" s="7"/>
      <c r="UDT1073" s="7"/>
      <c r="UDU1073" s="7"/>
      <c r="UDV1073" s="7"/>
      <c r="UDW1073" s="7"/>
      <c r="UDX1073" s="7"/>
      <c r="UDY1073" s="7"/>
      <c r="UDZ1073" s="7"/>
      <c r="UEA1073" s="7"/>
      <c r="UEB1073" s="7"/>
      <c r="UEC1073" s="7"/>
      <c r="UED1073" s="7"/>
      <c r="UEE1073" s="7"/>
      <c r="UEF1073" s="7"/>
      <c r="UEG1073" s="7"/>
      <c r="UEH1073" s="7"/>
      <c r="UEI1073" s="7"/>
      <c r="UEJ1073" s="7"/>
      <c r="UEK1073" s="7"/>
      <c r="UEL1073" s="7"/>
      <c r="UEM1073" s="7"/>
      <c r="UEN1073" s="7"/>
      <c r="UEO1073" s="7"/>
      <c r="UEP1073" s="7"/>
      <c r="UEQ1073" s="7"/>
      <c r="UER1073" s="7"/>
      <c r="UES1073" s="7"/>
      <c r="UET1073" s="7"/>
      <c r="UEU1073" s="7"/>
      <c r="UEV1073" s="7"/>
      <c r="UEW1073" s="7"/>
      <c r="UEX1073" s="7"/>
      <c r="UEY1073" s="7"/>
      <c r="UEZ1073" s="7"/>
      <c r="UFA1073" s="7"/>
      <c r="UFB1073" s="7"/>
      <c r="UFC1073" s="7"/>
      <c r="UFD1073" s="7"/>
      <c r="UFE1073" s="7"/>
      <c r="UFF1073" s="7"/>
      <c r="UFG1073" s="7"/>
      <c r="UFH1073" s="7"/>
      <c r="UFI1073" s="7"/>
      <c r="UFJ1073" s="7"/>
      <c r="UFK1073" s="7"/>
      <c r="UFL1073" s="7"/>
      <c r="UFM1073" s="7"/>
      <c r="UFN1073" s="7"/>
      <c r="UFO1073" s="7"/>
      <c r="UFP1073" s="7"/>
      <c r="UFQ1073" s="7"/>
      <c r="UFR1073" s="7"/>
      <c r="UFS1073" s="7"/>
      <c r="UFT1073" s="7"/>
      <c r="UFU1073" s="7"/>
      <c r="UFV1073" s="7"/>
      <c r="UFW1073" s="7"/>
      <c r="UFX1073" s="7"/>
      <c r="UFY1073" s="7"/>
      <c r="UFZ1073" s="7"/>
      <c r="UGA1073" s="7"/>
      <c r="UGB1073" s="7"/>
      <c r="UGC1073" s="7"/>
      <c r="UGD1073" s="7"/>
      <c r="UGE1073" s="7"/>
      <c r="UGF1073" s="7"/>
      <c r="UGG1073" s="7"/>
      <c r="UGH1073" s="7"/>
      <c r="UGI1073" s="7"/>
      <c r="UGJ1073" s="7"/>
      <c r="UGK1073" s="7"/>
      <c r="UGL1073" s="7"/>
      <c r="UGM1073" s="7"/>
      <c r="UGN1073" s="7"/>
      <c r="UGO1073" s="7"/>
      <c r="UGP1073" s="7"/>
      <c r="UGQ1073" s="7"/>
      <c r="UGR1073" s="7"/>
      <c r="UGS1073" s="7"/>
      <c r="UGT1073" s="7"/>
      <c r="UGU1073" s="7"/>
      <c r="UGV1073" s="7"/>
      <c r="UGW1073" s="7"/>
      <c r="UGX1073" s="7"/>
      <c r="UGY1073" s="7"/>
      <c r="UGZ1073" s="7"/>
      <c r="UHA1073" s="7"/>
      <c r="UHB1073" s="7"/>
      <c r="UHC1073" s="7"/>
      <c r="UHD1073" s="7"/>
      <c r="UHE1073" s="7"/>
      <c r="UHF1073" s="7"/>
      <c r="UHG1073" s="7"/>
      <c r="UHH1073" s="7"/>
      <c r="UHI1073" s="7"/>
      <c r="UHJ1073" s="7"/>
      <c r="UHK1073" s="7"/>
      <c r="UHL1073" s="7"/>
      <c r="UHM1073" s="7"/>
      <c r="UHN1073" s="7"/>
      <c r="UHO1073" s="7"/>
      <c r="UHP1073" s="7"/>
      <c r="UHQ1073" s="7"/>
      <c r="UHR1073" s="7"/>
      <c r="UHS1073" s="7"/>
      <c r="UHT1073" s="7"/>
      <c r="UHU1073" s="7"/>
      <c r="UHV1073" s="7"/>
      <c r="UHW1073" s="7"/>
      <c r="UHX1073" s="7"/>
      <c r="UHY1073" s="7"/>
      <c r="UHZ1073" s="7"/>
      <c r="UIA1073" s="7"/>
      <c r="UIB1073" s="7"/>
      <c r="UIC1073" s="7"/>
      <c r="UID1073" s="7"/>
      <c r="UIE1073" s="7"/>
      <c r="UIF1073" s="7"/>
      <c r="UIG1073" s="7"/>
      <c r="UIH1073" s="7"/>
      <c r="UII1073" s="7"/>
      <c r="UIJ1073" s="7"/>
      <c r="UIK1073" s="7"/>
      <c r="UIL1073" s="7"/>
      <c r="UIM1073" s="7"/>
      <c r="UIN1073" s="7"/>
      <c r="UIO1073" s="7"/>
      <c r="UIP1073" s="7"/>
      <c r="UIQ1073" s="7"/>
      <c r="UIR1073" s="7"/>
      <c r="UIS1073" s="7"/>
      <c r="UIT1073" s="7"/>
      <c r="UIU1073" s="7"/>
      <c r="UIV1073" s="7"/>
      <c r="UIW1073" s="7"/>
      <c r="UIX1073" s="7"/>
      <c r="UIY1073" s="7"/>
      <c r="UIZ1073" s="7"/>
      <c r="UJA1073" s="7"/>
      <c r="UJB1073" s="7"/>
      <c r="UJC1073" s="7"/>
      <c r="UJD1073" s="7"/>
      <c r="UJE1073" s="7"/>
      <c r="UJF1073" s="7"/>
      <c r="UJG1073" s="7"/>
      <c r="UJH1073" s="7"/>
      <c r="UJI1073" s="7"/>
      <c r="UJJ1073" s="7"/>
      <c r="UJK1073" s="7"/>
      <c r="UJL1073" s="7"/>
      <c r="UJM1073" s="7"/>
      <c r="UJN1073" s="7"/>
      <c r="UJO1073" s="7"/>
      <c r="UJP1073" s="7"/>
      <c r="UJQ1073" s="7"/>
      <c r="UJR1073" s="7"/>
      <c r="UJS1073" s="7"/>
      <c r="UJT1073" s="7"/>
      <c r="UJU1073" s="7"/>
      <c r="UJV1073" s="7"/>
      <c r="UJW1073" s="7"/>
      <c r="UJX1073" s="7"/>
      <c r="UJY1073" s="7"/>
      <c r="UJZ1073" s="7"/>
      <c r="UKA1073" s="7"/>
      <c r="UKB1073" s="7"/>
      <c r="UKC1073" s="7"/>
      <c r="UKD1073" s="7"/>
      <c r="UKE1073" s="7"/>
      <c r="UKF1073" s="7"/>
      <c r="UKG1073" s="7"/>
      <c r="UKH1073" s="7"/>
      <c r="UKI1073" s="7"/>
      <c r="UKJ1073" s="7"/>
      <c r="UKK1073" s="7"/>
      <c r="UKL1073" s="7"/>
      <c r="UKM1073" s="7"/>
      <c r="UKN1073" s="7"/>
      <c r="UKO1073" s="7"/>
      <c r="UKP1073" s="7"/>
      <c r="UKQ1073" s="7"/>
      <c r="UKR1073" s="7"/>
      <c r="UKS1073" s="7"/>
      <c r="UKT1073" s="7"/>
      <c r="UKU1073" s="7"/>
      <c r="UKV1073" s="7"/>
      <c r="UKW1073" s="7"/>
      <c r="UKX1073" s="7"/>
      <c r="UKY1073" s="7"/>
      <c r="UKZ1073" s="7"/>
      <c r="ULA1073" s="7"/>
      <c r="ULB1073" s="7"/>
      <c r="ULC1073" s="7"/>
      <c r="ULD1073" s="7"/>
      <c r="ULE1073" s="7"/>
      <c r="ULF1073" s="7"/>
      <c r="ULG1073" s="7"/>
      <c r="ULH1073" s="7"/>
      <c r="ULI1073" s="7"/>
      <c r="ULJ1073" s="7"/>
      <c r="ULK1073" s="7"/>
      <c r="ULL1073" s="7"/>
      <c r="ULM1073" s="7"/>
      <c r="ULN1073" s="7"/>
      <c r="ULO1073" s="7"/>
      <c r="ULP1073" s="7"/>
      <c r="ULQ1073" s="7"/>
      <c r="ULR1073" s="7"/>
      <c r="ULS1073" s="7"/>
      <c r="ULT1073" s="7"/>
      <c r="ULU1073" s="7"/>
      <c r="ULV1073" s="7"/>
      <c r="ULW1073" s="7"/>
      <c r="ULX1073" s="7"/>
      <c r="ULY1073" s="7"/>
      <c r="ULZ1073" s="7"/>
      <c r="UMA1073" s="7"/>
      <c r="UMB1073" s="7"/>
      <c r="UMC1073" s="7"/>
      <c r="UMD1073" s="7"/>
      <c r="UME1073" s="7"/>
      <c r="UMF1073" s="7"/>
      <c r="UMG1073" s="7"/>
      <c r="UMH1073" s="7"/>
      <c r="UMI1073" s="7"/>
      <c r="UMJ1073" s="7"/>
      <c r="UMK1073" s="7"/>
      <c r="UML1073" s="7"/>
      <c r="UMM1073" s="7"/>
      <c r="UMN1073" s="7"/>
      <c r="UMO1073" s="7"/>
      <c r="UMP1073" s="7"/>
      <c r="UMQ1073" s="7"/>
      <c r="UMR1073" s="7"/>
      <c r="UMS1073" s="7"/>
      <c r="UMT1073" s="7"/>
      <c r="UMU1073" s="7"/>
      <c r="UMV1073" s="7"/>
      <c r="UMW1073" s="7"/>
      <c r="UMX1073" s="7"/>
      <c r="UMY1073" s="7"/>
      <c r="UMZ1073" s="7"/>
      <c r="UNA1073" s="7"/>
      <c r="UNB1073" s="7"/>
      <c r="UNC1073" s="7"/>
      <c r="UND1073" s="7"/>
      <c r="UNE1073" s="7"/>
      <c r="UNF1073" s="7"/>
      <c r="UNG1073" s="7"/>
      <c r="UNH1073" s="7"/>
      <c r="UNI1073" s="7"/>
      <c r="UNJ1073" s="7"/>
      <c r="UNK1073" s="7"/>
      <c r="UNL1073" s="7"/>
      <c r="UNM1073" s="7"/>
      <c r="UNN1073" s="7"/>
      <c r="UNO1073" s="7"/>
      <c r="UNP1073" s="7"/>
      <c r="UNQ1073" s="7"/>
      <c r="UNR1073" s="7"/>
      <c r="UNS1073" s="7"/>
      <c r="UNT1073" s="7"/>
      <c r="UNU1073" s="7"/>
      <c r="UNV1073" s="7"/>
      <c r="UNW1073" s="7"/>
      <c r="UNX1073" s="7"/>
      <c r="UNY1073" s="7"/>
      <c r="UNZ1073" s="7"/>
      <c r="UOA1073" s="7"/>
      <c r="UOB1073" s="7"/>
      <c r="UOC1073" s="7"/>
      <c r="UOD1073" s="7"/>
      <c r="UOE1073" s="7"/>
      <c r="UOF1073" s="7"/>
      <c r="UOG1073" s="7"/>
      <c r="UOH1073" s="7"/>
      <c r="UOI1073" s="7"/>
      <c r="UOJ1073" s="7"/>
      <c r="UOK1073" s="7"/>
      <c r="UOL1073" s="7"/>
      <c r="UOM1073" s="7"/>
      <c r="UON1073" s="7"/>
      <c r="UOO1073" s="7"/>
      <c r="UOP1073" s="7"/>
      <c r="UOQ1073" s="7"/>
      <c r="UOR1073" s="7"/>
      <c r="UOS1073" s="7"/>
      <c r="UOT1073" s="7"/>
      <c r="UOU1073" s="7"/>
      <c r="UOV1073" s="7"/>
      <c r="UOW1073" s="7"/>
      <c r="UOX1073" s="7"/>
      <c r="UOY1073" s="7"/>
      <c r="UOZ1073" s="7"/>
      <c r="UPA1073" s="7"/>
      <c r="UPB1073" s="7"/>
      <c r="UPC1073" s="7"/>
      <c r="UPD1073" s="7"/>
      <c r="UPE1073" s="7"/>
      <c r="UPF1073" s="7"/>
      <c r="UPG1073" s="7"/>
      <c r="UPH1073" s="7"/>
      <c r="UPI1073" s="7"/>
      <c r="UPJ1073" s="7"/>
      <c r="UPK1073" s="7"/>
      <c r="UPL1073" s="7"/>
      <c r="UPM1073" s="7"/>
      <c r="UPN1073" s="7"/>
      <c r="UPO1073" s="7"/>
      <c r="UPP1073" s="7"/>
      <c r="UPQ1073" s="7"/>
      <c r="UPR1073" s="7"/>
      <c r="UPS1073" s="7"/>
      <c r="UPT1073" s="7"/>
      <c r="UPU1073" s="7"/>
      <c r="UPV1073" s="7"/>
      <c r="UPW1073" s="7"/>
      <c r="UPX1073" s="7"/>
      <c r="UPY1073" s="7"/>
      <c r="UPZ1073" s="7"/>
      <c r="UQA1073" s="7"/>
      <c r="UQB1073" s="7"/>
      <c r="UQC1073" s="7"/>
      <c r="UQD1073" s="7"/>
      <c r="UQE1073" s="7"/>
      <c r="UQF1073" s="7"/>
      <c r="UQG1073" s="7"/>
      <c r="UQH1073" s="7"/>
      <c r="UQI1073" s="7"/>
      <c r="UQJ1073" s="7"/>
      <c r="UQK1073" s="7"/>
      <c r="UQL1073" s="7"/>
      <c r="UQM1073" s="7"/>
      <c r="UQN1073" s="7"/>
      <c r="UQO1073" s="7"/>
      <c r="UQP1073" s="7"/>
      <c r="UQQ1073" s="7"/>
      <c r="UQR1073" s="7"/>
      <c r="UQS1073" s="7"/>
      <c r="UQT1073" s="7"/>
      <c r="UQU1073" s="7"/>
      <c r="UQV1073" s="7"/>
      <c r="UQW1073" s="7"/>
      <c r="UQX1073" s="7"/>
      <c r="UQY1073" s="7"/>
      <c r="UQZ1073" s="7"/>
      <c r="URA1073" s="7"/>
      <c r="URB1073" s="7"/>
      <c r="URC1073" s="7"/>
      <c r="URD1073" s="7"/>
      <c r="URE1073" s="7"/>
      <c r="URF1073" s="7"/>
      <c r="URG1073" s="7"/>
      <c r="URH1073" s="7"/>
      <c r="URI1073" s="7"/>
      <c r="URJ1073" s="7"/>
      <c r="URK1073" s="7"/>
      <c r="URL1073" s="7"/>
      <c r="URM1073" s="7"/>
      <c r="URN1073" s="7"/>
      <c r="URO1073" s="7"/>
      <c r="URP1073" s="7"/>
      <c r="URQ1073" s="7"/>
      <c r="URR1073" s="7"/>
      <c r="URS1073" s="7"/>
      <c r="URT1073" s="7"/>
      <c r="URU1073" s="7"/>
      <c r="URV1073" s="7"/>
      <c r="URW1073" s="7"/>
      <c r="URX1073" s="7"/>
      <c r="URY1073" s="7"/>
      <c r="URZ1073" s="7"/>
      <c r="USA1073" s="7"/>
      <c r="USB1073" s="7"/>
      <c r="USC1073" s="7"/>
      <c r="USD1073" s="7"/>
      <c r="USE1073" s="7"/>
      <c r="USF1073" s="7"/>
      <c r="USG1073" s="7"/>
      <c r="USH1073" s="7"/>
      <c r="USI1073" s="7"/>
      <c r="USJ1073" s="7"/>
      <c r="USK1073" s="7"/>
      <c r="USL1073" s="7"/>
      <c r="USM1073" s="7"/>
      <c r="USN1073" s="7"/>
      <c r="USO1073" s="7"/>
      <c r="USP1073" s="7"/>
      <c r="USQ1073" s="7"/>
      <c r="USR1073" s="7"/>
      <c r="USS1073" s="7"/>
      <c r="UST1073" s="7"/>
      <c r="USU1073" s="7"/>
      <c r="USV1073" s="7"/>
      <c r="USW1073" s="7"/>
      <c r="USX1073" s="7"/>
      <c r="USY1073" s="7"/>
      <c r="USZ1073" s="7"/>
      <c r="UTA1073" s="7"/>
      <c r="UTB1073" s="7"/>
      <c r="UTC1073" s="7"/>
      <c r="UTD1073" s="7"/>
      <c r="UTE1073" s="7"/>
      <c r="UTF1073" s="7"/>
      <c r="UTG1073" s="7"/>
      <c r="UTH1073" s="7"/>
      <c r="UTI1073" s="7"/>
      <c r="UTJ1073" s="7"/>
      <c r="UTK1073" s="7"/>
      <c r="UTL1073" s="7"/>
      <c r="UTM1073" s="7"/>
      <c r="UTN1073" s="7"/>
      <c r="UTO1073" s="7"/>
      <c r="UTP1073" s="7"/>
      <c r="UTQ1073" s="7"/>
      <c r="UTR1073" s="7"/>
      <c r="UTS1073" s="7"/>
      <c r="UTT1073" s="7"/>
      <c r="UTU1073" s="7"/>
      <c r="UTV1073" s="7"/>
      <c r="UTW1073" s="7"/>
      <c r="UTX1073" s="7"/>
      <c r="UTY1073" s="7"/>
      <c r="UTZ1073" s="7"/>
      <c r="UUA1073" s="7"/>
      <c r="UUB1073" s="7"/>
      <c r="UUC1073" s="7"/>
      <c r="UUD1073" s="7"/>
      <c r="UUE1073" s="7"/>
      <c r="UUF1073" s="7"/>
      <c r="UUG1073" s="7"/>
      <c r="UUH1073" s="7"/>
      <c r="UUI1073" s="7"/>
      <c r="UUJ1073" s="7"/>
      <c r="UUK1073" s="7"/>
      <c r="UUL1073" s="7"/>
      <c r="UUM1073" s="7"/>
      <c r="UUN1073" s="7"/>
      <c r="UUO1073" s="7"/>
      <c r="UUP1073" s="7"/>
      <c r="UUQ1073" s="7"/>
      <c r="UUR1073" s="7"/>
      <c r="UUS1073" s="7"/>
      <c r="UUT1073" s="7"/>
      <c r="UUU1073" s="7"/>
      <c r="UUV1073" s="7"/>
      <c r="UUW1073" s="7"/>
      <c r="UUX1073" s="7"/>
      <c r="UUY1073" s="7"/>
      <c r="UUZ1073" s="7"/>
      <c r="UVA1073" s="7"/>
      <c r="UVB1073" s="7"/>
      <c r="UVC1073" s="7"/>
      <c r="UVD1073" s="7"/>
      <c r="UVE1073" s="7"/>
      <c r="UVF1073" s="7"/>
      <c r="UVG1073" s="7"/>
      <c r="UVH1073" s="7"/>
      <c r="UVI1073" s="7"/>
      <c r="UVJ1073" s="7"/>
      <c r="UVK1073" s="7"/>
      <c r="UVL1073" s="7"/>
      <c r="UVM1073" s="7"/>
      <c r="UVN1073" s="7"/>
      <c r="UVO1073" s="7"/>
      <c r="UVP1073" s="7"/>
      <c r="UVQ1073" s="7"/>
      <c r="UVR1073" s="7"/>
      <c r="UVS1073" s="7"/>
      <c r="UVT1073" s="7"/>
      <c r="UVU1073" s="7"/>
      <c r="UVV1073" s="7"/>
      <c r="UVW1073" s="7"/>
      <c r="UVX1073" s="7"/>
      <c r="UVY1073" s="7"/>
      <c r="UVZ1073" s="7"/>
      <c r="UWA1073" s="7"/>
      <c r="UWB1073" s="7"/>
      <c r="UWC1073" s="7"/>
      <c r="UWD1073" s="7"/>
      <c r="UWE1073" s="7"/>
      <c r="UWF1073" s="7"/>
      <c r="UWG1073" s="7"/>
      <c r="UWH1073" s="7"/>
      <c r="UWI1073" s="7"/>
      <c r="UWJ1073" s="7"/>
      <c r="UWK1073" s="7"/>
      <c r="UWL1073" s="7"/>
      <c r="UWM1073" s="7"/>
      <c r="UWN1073" s="7"/>
      <c r="UWO1073" s="7"/>
      <c r="UWP1073" s="7"/>
      <c r="UWQ1073" s="7"/>
      <c r="UWR1073" s="7"/>
      <c r="UWS1073" s="7"/>
      <c r="UWT1073" s="7"/>
      <c r="UWU1073" s="7"/>
      <c r="UWV1073" s="7"/>
      <c r="UWW1073" s="7"/>
      <c r="UWX1073" s="7"/>
      <c r="UWY1073" s="7"/>
      <c r="UWZ1073" s="7"/>
      <c r="UXA1073" s="7"/>
      <c r="UXB1073" s="7"/>
      <c r="UXC1073" s="7"/>
      <c r="UXD1073" s="7"/>
      <c r="UXE1073" s="7"/>
      <c r="UXF1073" s="7"/>
      <c r="UXG1073" s="7"/>
      <c r="UXH1073" s="7"/>
      <c r="UXI1073" s="7"/>
      <c r="UXJ1073" s="7"/>
      <c r="UXK1073" s="7"/>
      <c r="UXL1073" s="7"/>
      <c r="UXM1073" s="7"/>
      <c r="UXN1073" s="7"/>
      <c r="UXO1073" s="7"/>
      <c r="UXP1073" s="7"/>
      <c r="UXQ1073" s="7"/>
      <c r="UXR1073" s="7"/>
      <c r="UXS1073" s="7"/>
      <c r="UXT1073" s="7"/>
      <c r="UXU1073" s="7"/>
      <c r="UXV1073" s="7"/>
      <c r="UXW1073" s="7"/>
      <c r="UXX1073" s="7"/>
      <c r="UXY1073" s="7"/>
      <c r="UXZ1073" s="7"/>
      <c r="UYA1073" s="7"/>
      <c r="UYB1073" s="7"/>
      <c r="UYC1073" s="7"/>
      <c r="UYD1073" s="7"/>
      <c r="UYE1073" s="7"/>
      <c r="UYF1073" s="7"/>
      <c r="UYG1073" s="7"/>
      <c r="UYH1073" s="7"/>
      <c r="UYI1073" s="7"/>
      <c r="UYJ1073" s="7"/>
      <c r="UYK1073" s="7"/>
      <c r="UYL1073" s="7"/>
      <c r="UYM1073" s="7"/>
      <c r="UYN1073" s="7"/>
      <c r="UYO1073" s="7"/>
      <c r="UYP1073" s="7"/>
      <c r="UYQ1073" s="7"/>
      <c r="UYR1073" s="7"/>
      <c r="UYS1073" s="7"/>
      <c r="UYT1073" s="7"/>
      <c r="UYU1073" s="7"/>
      <c r="UYV1073" s="7"/>
      <c r="UYW1073" s="7"/>
      <c r="UYX1073" s="7"/>
      <c r="UYY1073" s="7"/>
      <c r="UYZ1073" s="7"/>
      <c r="UZA1073" s="7"/>
      <c r="UZB1073" s="7"/>
      <c r="UZC1073" s="7"/>
      <c r="UZD1073" s="7"/>
      <c r="UZE1073" s="7"/>
      <c r="UZF1073" s="7"/>
      <c r="UZG1073" s="7"/>
      <c r="UZH1073" s="7"/>
      <c r="UZI1073" s="7"/>
      <c r="UZJ1073" s="7"/>
      <c r="UZK1073" s="7"/>
      <c r="UZL1073" s="7"/>
      <c r="UZM1073" s="7"/>
      <c r="UZN1073" s="7"/>
      <c r="UZO1073" s="7"/>
      <c r="UZP1073" s="7"/>
      <c r="UZQ1073" s="7"/>
      <c r="UZR1073" s="7"/>
      <c r="UZS1073" s="7"/>
      <c r="UZT1073" s="7"/>
      <c r="UZU1073" s="7"/>
      <c r="UZV1073" s="7"/>
      <c r="UZW1073" s="7"/>
      <c r="UZX1073" s="7"/>
      <c r="UZY1073" s="7"/>
      <c r="UZZ1073" s="7"/>
      <c r="VAA1073" s="7"/>
      <c r="VAB1073" s="7"/>
      <c r="VAC1073" s="7"/>
      <c r="VAD1073" s="7"/>
      <c r="VAE1073" s="7"/>
      <c r="VAF1073" s="7"/>
      <c r="VAG1073" s="7"/>
      <c r="VAH1073" s="7"/>
      <c r="VAI1073" s="7"/>
      <c r="VAJ1073" s="7"/>
      <c r="VAK1073" s="7"/>
      <c r="VAL1073" s="7"/>
      <c r="VAM1073" s="7"/>
      <c r="VAN1073" s="7"/>
      <c r="VAO1073" s="7"/>
      <c r="VAP1073" s="7"/>
      <c r="VAQ1073" s="7"/>
      <c r="VAR1073" s="7"/>
      <c r="VAS1073" s="7"/>
      <c r="VAT1073" s="7"/>
      <c r="VAU1073" s="7"/>
      <c r="VAV1073" s="7"/>
      <c r="VAW1073" s="7"/>
      <c r="VAX1073" s="7"/>
      <c r="VAY1073" s="7"/>
      <c r="VAZ1073" s="7"/>
      <c r="VBA1073" s="7"/>
      <c r="VBB1073" s="7"/>
      <c r="VBC1073" s="7"/>
      <c r="VBD1073" s="7"/>
      <c r="VBE1073" s="7"/>
      <c r="VBF1073" s="7"/>
      <c r="VBG1073" s="7"/>
      <c r="VBH1073" s="7"/>
      <c r="VBI1073" s="7"/>
      <c r="VBJ1073" s="7"/>
      <c r="VBK1073" s="7"/>
      <c r="VBL1073" s="7"/>
      <c r="VBM1073" s="7"/>
      <c r="VBN1073" s="7"/>
      <c r="VBO1073" s="7"/>
      <c r="VBP1073" s="7"/>
      <c r="VBQ1073" s="7"/>
      <c r="VBR1073" s="7"/>
      <c r="VBS1073" s="7"/>
      <c r="VBT1073" s="7"/>
      <c r="VBU1073" s="7"/>
      <c r="VBV1073" s="7"/>
      <c r="VBW1073" s="7"/>
      <c r="VBX1073" s="7"/>
      <c r="VBY1073" s="7"/>
      <c r="VBZ1073" s="7"/>
      <c r="VCA1073" s="7"/>
      <c r="VCB1073" s="7"/>
      <c r="VCC1073" s="7"/>
      <c r="VCD1073" s="7"/>
      <c r="VCE1073" s="7"/>
      <c r="VCF1073" s="7"/>
      <c r="VCG1073" s="7"/>
      <c r="VCH1073" s="7"/>
      <c r="VCI1073" s="7"/>
      <c r="VCJ1073" s="7"/>
      <c r="VCK1073" s="7"/>
      <c r="VCL1073" s="7"/>
      <c r="VCM1073" s="7"/>
      <c r="VCN1073" s="7"/>
      <c r="VCO1073" s="7"/>
      <c r="VCP1073" s="7"/>
      <c r="VCQ1073" s="7"/>
      <c r="VCR1073" s="7"/>
      <c r="VCS1073" s="7"/>
      <c r="VCT1073" s="7"/>
      <c r="VCU1073" s="7"/>
      <c r="VCV1073" s="7"/>
      <c r="VCW1073" s="7"/>
      <c r="VCX1073" s="7"/>
      <c r="VCY1073" s="7"/>
      <c r="VCZ1073" s="7"/>
      <c r="VDA1073" s="7"/>
      <c r="VDB1073" s="7"/>
      <c r="VDC1073" s="7"/>
      <c r="VDD1073" s="7"/>
      <c r="VDE1073" s="7"/>
      <c r="VDF1073" s="7"/>
      <c r="VDG1073" s="7"/>
      <c r="VDH1073" s="7"/>
      <c r="VDI1073" s="7"/>
      <c r="VDJ1073" s="7"/>
      <c r="VDK1073" s="7"/>
      <c r="VDL1073" s="7"/>
      <c r="VDM1073" s="7"/>
      <c r="VDN1073" s="7"/>
      <c r="VDO1073" s="7"/>
      <c r="VDP1073" s="7"/>
      <c r="VDQ1073" s="7"/>
      <c r="VDR1073" s="7"/>
      <c r="VDS1073" s="7"/>
      <c r="VDT1073" s="7"/>
      <c r="VDU1073" s="7"/>
      <c r="VDV1073" s="7"/>
      <c r="VDW1073" s="7"/>
      <c r="VDX1073" s="7"/>
      <c r="VDY1073" s="7"/>
      <c r="VDZ1073" s="7"/>
      <c r="VEA1073" s="7"/>
      <c r="VEB1073" s="7"/>
      <c r="VEC1073" s="7"/>
      <c r="VED1073" s="7"/>
      <c r="VEE1073" s="7"/>
      <c r="VEF1073" s="7"/>
      <c r="VEG1073" s="7"/>
      <c r="VEH1073" s="7"/>
      <c r="VEI1073" s="7"/>
      <c r="VEJ1073" s="7"/>
      <c r="VEK1073" s="7"/>
      <c r="VEL1073" s="7"/>
      <c r="VEM1073" s="7"/>
      <c r="VEN1073" s="7"/>
      <c r="VEO1073" s="7"/>
      <c r="VEP1073" s="7"/>
      <c r="VEQ1073" s="7"/>
      <c r="VER1073" s="7"/>
      <c r="VES1073" s="7"/>
      <c r="VET1073" s="7"/>
      <c r="VEU1073" s="7"/>
      <c r="VEV1073" s="7"/>
      <c r="VEW1073" s="7"/>
      <c r="VEX1073" s="7"/>
      <c r="VEY1073" s="7"/>
      <c r="VEZ1073" s="7"/>
      <c r="VFA1073" s="7"/>
      <c r="VFB1073" s="7"/>
      <c r="VFC1073" s="7"/>
      <c r="VFD1073" s="7"/>
      <c r="VFE1073" s="7"/>
      <c r="VFF1073" s="7"/>
      <c r="VFG1073" s="7"/>
      <c r="VFH1073" s="7"/>
      <c r="VFI1073" s="7"/>
      <c r="VFJ1073" s="7"/>
      <c r="VFK1073" s="7"/>
      <c r="VFL1073" s="7"/>
      <c r="VFM1073" s="7"/>
      <c r="VFN1073" s="7"/>
      <c r="VFO1073" s="7"/>
      <c r="VFP1073" s="7"/>
      <c r="VFQ1073" s="7"/>
      <c r="VFR1073" s="7"/>
      <c r="VFS1073" s="7"/>
      <c r="VFT1073" s="7"/>
      <c r="VFU1073" s="7"/>
      <c r="VFV1073" s="7"/>
      <c r="VFW1073" s="7"/>
      <c r="VFX1073" s="7"/>
      <c r="VFY1073" s="7"/>
      <c r="VFZ1073" s="7"/>
      <c r="VGA1073" s="7"/>
      <c r="VGB1073" s="7"/>
      <c r="VGC1073" s="7"/>
      <c r="VGD1073" s="7"/>
      <c r="VGE1073" s="7"/>
      <c r="VGF1073" s="7"/>
      <c r="VGG1073" s="7"/>
      <c r="VGH1073" s="7"/>
      <c r="VGI1073" s="7"/>
      <c r="VGJ1073" s="7"/>
      <c r="VGK1073" s="7"/>
      <c r="VGL1073" s="7"/>
      <c r="VGM1073" s="7"/>
      <c r="VGN1073" s="7"/>
      <c r="VGO1073" s="7"/>
      <c r="VGP1073" s="7"/>
      <c r="VGQ1073" s="7"/>
      <c r="VGR1073" s="7"/>
      <c r="VGS1073" s="7"/>
      <c r="VGT1073" s="7"/>
      <c r="VGU1073" s="7"/>
      <c r="VGV1073" s="7"/>
      <c r="VGW1073" s="7"/>
      <c r="VGX1073" s="7"/>
      <c r="VGY1073" s="7"/>
      <c r="VGZ1073" s="7"/>
      <c r="VHA1073" s="7"/>
      <c r="VHB1073" s="7"/>
      <c r="VHC1073" s="7"/>
      <c r="VHD1073" s="7"/>
      <c r="VHE1073" s="7"/>
      <c r="VHF1073" s="7"/>
      <c r="VHG1073" s="7"/>
      <c r="VHH1073" s="7"/>
      <c r="VHI1073" s="7"/>
      <c r="VHJ1073" s="7"/>
      <c r="VHK1073" s="7"/>
      <c r="VHL1073" s="7"/>
      <c r="VHM1073" s="7"/>
      <c r="VHN1073" s="7"/>
      <c r="VHO1073" s="7"/>
      <c r="VHP1073" s="7"/>
      <c r="VHQ1073" s="7"/>
      <c r="VHR1073" s="7"/>
      <c r="VHS1073" s="7"/>
      <c r="VHT1073" s="7"/>
      <c r="VHU1073" s="7"/>
      <c r="VHV1073" s="7"/>
      <c r="VHW1073" s="7"/>
      <c r="VHX1073" s="7"/>
      <c r="VHY1073" s="7"/>
      <c r="VHZ1073" s="7"/>
      <c r="VIA1073" s="7"/>
      <c r="VIB1073" s="7"/>
      <c r="VIC1073" s="7"/>
      <c r="VID1073" s="7"/>
      <c r="VIE1073" s="7"/>
      <c r="VIF1073" s="7"/>
      <c r="VIG1073" s="7"/>
      <c r="VIH1073" s="7"/>
      <c r="VII1073" s="7"/>
      <c r="VIJ1073" s="7"/>
      <c r="VIK1073" s="7"/>
      <c r="VIL1073" s="7"/>
      <c r="VIM1073" s="7"/>
      <c r="VIN1073" s="7"/>
      <c r="VIO1073" s="7"/>
      <c r="VIP1073" s="7"/>
      <c r="VIQ1073" s="7"/>
      <c r="VIR1073" s="7"/>
      <c r="VIS1073" s="7"/>
      <c r="VIT1073" s="7"/>
      <c r="VIU1073" s="7"/>
      <c r="VIV1073" s="7"/>
      <c r="VIW1073" s="7"/>
      <c r="VIX1073" s="7"/>
      <c r="VIY1073" s="7"/>
      <c r="VIZ1073" s="7"/>
      <c r="VJA1073" s="7"/>
      <c r="VJB1073" s="7"/>
      <c r="VJC1073" s="7"/>
      <c r="VJD1073" s="7"/>
      <c r="VJE1073" s="7"/>
      <c r="VJF1073" s="7"/>
      <c r="VJG1073" s="7"/>
      <c r="VJH1073" s="7"/>
      <c r="VJI1073" s="7"/>
      <c r="VJJ1073" s="7"/>
      <c r="VJK1073" s="7"/>
      <c r="VJL1073" s="7"/>
      <c r="VJM1073" s="7"/>
      <c r="VJN1073" s="7"/>
      <c r="VJO1073" s="7"/>
      <c r="VJP1073" s="7"/>
      <c r="VJQ1073" s="7"/>
      <c r="VJR1073" s="7"/>
      <c r="VJS1073" s="7"/>
      <c r="VJT1073" s="7"/>
      <c r="VJU1073" s="7"/>
      <c r="VJV1073" s="7"/>
      <c r="VJW1073" s="7"/>
      <c r="VJX1073" s="7"/>
      <c r="VJY1073" s="7"/>
      <c r="VJZ1073" s="7"/>
      <c r="VKA1073" s="7"/>
      <c r="VKB1073" s="7"/>
      <c r="VKC1073" s="7"/>
      <c r="VKD1073" s="7"/>
      <c r="VKE1073" s="7"/>
      <c r="VKF1073" s="7"/>
      <c r="VKG1073" s="7"/>
      <c r="VKH1073" s="7"/>
      <c r="VKI1073" s="7"/>
      <c r="VKJ1073" s="7"/>
      <c r="VKK1073" s="7"/>
      <c r="VKL1073" s="7"/>
      <c r="VKM1073" s="7"/>
      <c r="VKN1073" s="7"/>
      <c r="VKO1073" s="7"/>
      <c r="VKP1073" s="7"/>
      <c r="VKQ1073" s="7"/>
      <c r="VKR1073" s="7"/>
      <c r="VKS1073" s="7"/>
      <c r="VKT1073" s="7"/>
      <c r="VKU1073" s="7"/>
      <c r="VKV1073" s="7"/>
      <c r="VKW1073" s="7"/>
      <c r="VKX1073" s="7"/>
      <c r="VKY1073" s="7"/>
      <c r="VKZ1073" s="7"/>
      <c r="VLA1073" s="7"/>
      <c r="VLB1073" s="7"/>
      <c r="VLC1073" s="7"/>
      <c r="VLD1073" s="7"/>
      <c r="VLE1073" s="7"/>
      <c r="VLF1073" s="7"/>
      <c r="VLG1073" s="7"/>
      <c r="VLH1073" s="7"/>
      <c r="VLI1073" s="7"/>
      <c r="VLJ1073" s="7"/>
      <c r="VLK1073" s="7"/>
      <c r="VLL1073" s="7"/>
      <c r="VLM1073" s="7"/>
      <c r="VLN1073" s="7"/>
      <c r="VLO1073" s="7"/>
      <c r="VLP1073" s="7"/>
      <c r="VLQ1073" s="7"/>
      <c r="VLR1073" s="7"/>
      <c r="VLS1073" s="7"/>
      <c r="VLT1073" s="7"/>
      <c r="VLU1073" s="7"/>
      <c r="VLV1073" s="7"/>
      <c r="VLW1073" s="7"/>
      <c r="VLX1073" s="7"/>
      <c r="VLY1073" s="7"/>
      <c r="VLZ1073" s="7"/>
      <c r="VMA1073" s="7"/>
      <c r="VMB1073" s="7"/>
      <c r="VMC1073" s="7"/>
      <c r="VMD1073" s="7"/>
      <c r="VME1073" s="7"/>
      <c r="VMF1073" s="7"/>
      <c r="VMG1073" s="7"/>
      <c r="VMH1073" s="7"/>
      <c r="VMI1073" s="7"/>
      <c r="VMJ1073" s="7"/>
      <c r="VMK1073" s="7"/>
      <c r="VML1073" s="7"/>
      <c r="VMM1073" s="7"/>
      <c r="VMN1073" s="7"/>
      <c r="VMO1073" s="7"/>
      <c r="VMP1073" s="7"/>
      <c r="VMQ1073" s="7"/>
      <c r="VMR1073" s="7"/>
      <c r="VMS1073" s="7"/>
      <c r="VMT1073" s="7"/>
      <c r="VMU1073" s="7"/>
      <c r="VMV1073" s="7"/>
      <c r="VMW1073" s="7"/>
      <c r="VMX1073" s="7"/>
      <c r="VMY1073" s="7"/>
      <c r="VMZ1073" s="7"/>
      <c r="VNA1073" s="7"/>
      <c r="VNB1073" s="7"/>
      <c r="VNC1073" s="7"/>
      <c r="VND1073" s="7"/>
      <c r="VNE1073" s="7"/>
      <c r="VNF1073" s="7"/>
      <c r="VNG1073" s="7"/>
      <c r="VNH1073" s="7"/>
      <c r="VNI1073" s="7"/>
      <c r="VNJ1073" s="7"/>
      <c r="VNK1073" s="7"/>
      <c r="VNL1073" s="7"/>
      <c r="VNM1073" s="7"/>
      <c r="VNN1073" s="7"/>
      <c r="VNO1073" s="7"/>
      <c r="VNP1073" s="7"/>
      <c r="VNQ1073" s="7"/>
      <c r="VNR1073" s="7"/>
      <c r="VNS1073" s="7"/>
      <c r="VNT1073" s="7"/>
      <c r="VNU1073" s="7"/>
      <c r="VNV1073" s="7"/>
      <c r="VNW1073" s="7"/>
      <c r="VNX1073" s="7"/>
      <c r="VNY1073" s="7"/>
      <c r="VNZ1073" s="7"/>
      <c r="VOA1073" s="7"/>
      <c r="VOB1073" s="7"/>
      <c r="VOC1073" s="7"/>
      <c r="VOD1073" s="7"/>
      <c r="VOE1073" s="7"/>
      <c r="VOF1073" s="7"/>
      <c r="VOG1073" s="7"/>
      <c r="VOH1073" s="7"/>
      <c r="VOI1073" s="7"/>
      <c r="VOJ1073" s="7"/>
      <c r="VOK1073" s="7"/>
      <c r="VOL1073" s="7"/>
      <c r="VOM1073" s="7"/>
      <c r="VON1073" s="7"/>
      <c r="VOO1073" s="7"/>
      <c r="VOP1073" s="7"/>
      <c r="VOQ1073" s="7"/>
      <c r="VOR1073" s="7"/>
      <c r="VOS1073" s="7"/>
      <c r="VOT1073" s="7"/>
      <c r="VOU1073" s="7"/>
      <c r="VOV1073" s="7"/>
      <c r="VOW1073" s="7"/>
      <c r="VOX1073" s="7"/>
      <c r="VOY1073" s="7"/>
      <c r="VOZ1073" s="7"/>
      <c r="VPA1073" s="7"/>
      <c r="VPB1073" s="7"/>
      <c r="VPC1073" s="7"/>
      <c r="VPD1073" s="7"/>
      <c r="VPE1073" s="7"/>
      <c r="VPF1073" s="7"/>
      <c r="VPG1073" s="7"/>
      <c r="VPH1073" s="7"/>
      <c r="VPI1073" s="7"/>
      <c r="VPJ1073" s="7"/>
      <c r="VPK1073" s="7"/>
      <c r="VPL1073" s="7"/>
      <c r="VPM1073" s="7"/>
      <c r="VPN1073" s="7"/>
      <c r="VPO1073" s="7"/>
      <c r="VPP1073" s="7"/>
      <c r="VPQ1073" s="7"/>
      <c r="VPR1073" s="7"/>
      <c r="VPS1073" s="7"/>
      <c r="VPT1073" s="7"/>
      <c r="VPU1073" s="7"/>
      <c r="VPV1073" s="7"/>
      <c r="VPW1073" s="7"/>
      <c r="VPX1073" s="7"/>
      <c r="VPY1073" s="7"/>
      <c r="VPZ1073" s="7"/>
      <c r="VQA1073" s="7"/>
      <c r="VQB1073" s="7"/>
      <c r="VQC1073" s="7"/>
      <c r="VQD1073" s="7"/>
      <c r="VQE1073" s="7"/>
      <c r="VQF1073" s="7"/>
      <c r="VQG1073" s="7"/>
      <c r="VQH1073" s="7"/>
      <c r="VQI1073" s="7"/>
      <c r="VQJ1073" s="7"/>
      <c r="VQK1073" s="7"/>
      <c r="VQL1073" s="7"/>
      <c r="VQM1073" s="7"/>
      <c r="VQN1073" s="7"/>
      <c r="VQO1073" s="7"/>
      <c r="VQP1073" s="7"/>
      <c r="VQQ1073" s="7"/>
      <c r="VQR1073" s="7"/>
      <c r="VQS1073" s="7"/>
      <c r="VQT1073" s="7"/>
      <c r="VQU1073" s="7"/>
      <c r="VQV1073" s="7"/>
      <c r="VQW1073" s="7"/>
      <c r="VQX1073" s="7"/>
      <c r="VQY1073" s="7"/>
      <c r="VQZ1073" s="7"/>
      <c r="VRA1073" s="7"/>
      <c r="VRB1073" s="7"/>
      <c r="VRC1073" s="7"/>
      <c r="VRD1073" s="7"/>
      <c r="VRE1073" s="7"/>
      <c r="VRF1073" s="7"/>
      <c r="VRG1073" s="7"/>
      <c r="VRH1073" s="7"/>
      <c r="VRI1073" s="7"/>
      <c r="VRJ1073" s="7"/>
      <c r="VRK1073" s="7"/>
      <c r="VRL1073" s="7"/>
      <c r="VRM1073" s="7"/>
      <c r="VRN1073" s="7"/>
      <c r="VRO1073" s="7"/>
      <c r="VRP1073" s="7"/>
      <c r="VRQ1073" s="7"/>
      <c r="VRR1073" s="7"/>
      <c r="VRS1073" s="7"/>
      <c r="VRT1073" s="7"/>
      <c r="VRU1073" s="7"/>
      <c r="VRV1073" s="7"/>
      <c r="VRW1073" s="7"/>
      <c r="VRX1073" s="7"/>
      <c r="VRY1073" s="7"/>
      <c r="VRZ1073" s="7"/>
      <c r="VSA1073" s="7"/>
      <c r="VSB1073" s="7"/>
      <c r="VSC1073" s="7"/>
      <c r="VSD1073" s="7"/>
      <c r="VSE1073" s="7"/>
      <c r="VSF1073" s="7"/>
      <c r="VSG1073" s="7"/>
      <c r="VSH1073" s="7"/>
      <c r="VSI1073" s="7"/>
      <c r="VSJ1073" s="7"/>
      <c r="VSK1073" s="7"/>
      <c r="VSL1073" s="7"/>
      <c r="VSM1073" s="7"/>
      <c r="VSN1073" s="7"/>
      <c r="VSO1073" s="7"/>
      <c r="VSP1073" s="7"/>
      <c r="VSQ1073" s="7"/>
      <c r="VSR1073" s="7"/>
      <c r="VSS1073" s="7"/>
      <c r="VST1073" s="7"/>
      <c r="VSU1073" s="7"/>
      <c r="VSV1073" s="7"/>
      <c r="VSW1073" s="7"/>
      <c r="VSX1073" s="7"/>
      <c r="VSY1073" s="7"/>
      <c r="VSZ1073" s="7"/>
      <c r="VTA1073" s="7"/>
      <c r="VTB1073" s="7"/>
      <c r="VTC1073" s="7"/>
      <c r="VTD1073" s="7"/>
      <c r="VTE1073" s="7"/>
      <c r="VTF1073" s="7"/>
      <c r="VTG1073" s="7"/>
      <c r="VTH1073" s="7"/>
      <c r="VTI1073" s="7"/>
      <c r="VTJ1073" s="7"/>
      <c r="VTK1073" s="7"/>
      <c r="VTL1073" s="7"/>
      <c r="VTM1073" s="7"/>
      <c r="VTN1073" s="7"/>
      <c r="VTO1073" s="7"/>
      <c r="VTP1073" s="7"/>
      <c r="VTQ1073" s="7"/>
      <c r="VTR1073" s="7"/>
      <c r="VTS1073" s="7"/>
      <c r="VTT1073" s="7"/>
      <c r="VTU1073" s="7"/>
      <c r="VTV1073" s="7"/>
      <c r="VTW1073" s="7"/>
      <c r="VTX1073" s="7"/>
      <c r="VTY1073" s="7"/>
      <c r="VTZ1073" s="7"/>
      <c r="VUA1073" s="7"/>
      <c r="VUB1073" s="7"/>
      <c r="VUC1073" s="7"/>
      <c r="VUD1073" s="7"/>
      <c r="VUE1073" s="7"/>
      <c r="VUF1073" s="7"/>
      <c r="VUG1073" s="7"/>
      <c r="VUH1073" s="7"/>
      <c r="VUI1073" s="7"/>
      <c r="VUJ1073" s="7"/>
      <c r="VUK1073" s="7"/>
      <c r="VUL1073" s="7"/>
      <c r="VUM1073" s="7"/>
      <c r="VUN1073" s="7"/>
      <c r="VUO1073" s="7"/>
      <c r="VUP1073" s="7"/>
      <c r="VUQ1073" s="7"/>
      <c r="VUR1073" s="7"/>
      <c r="VUS1073" s="7"/>
      <c r="VUT1073" s="7"/>
      <c r="VUU1073" s="7"/>
      <c r="VUV1073" s="7"/>
      <c r="VUW1073" s="7"/>
      <c r="VUX1073" s="7"/>
      <c r="VUY1073" s="7"/>
      <c r="VUZ1073" s="7"/>
      <c r="VVA1073" s="7"/>
      <c r="VVB1073" s="7"/>
      <c r="VVC1073" s="7"/>
      <c r="VVD1073" s="7"/>
      <c r="VVE1073" s="7"/>
      <c r="VVF1073" s="7"/>
      <c r="VVG1073" s="7"/>
      <c r="VVH1073" s="7"/>
      <c r="VVI1073" s="7"/>
      <c r="VVJ1073" s="7"/>
      <c r="VVK1073" s="7"/>
      <c r="VVL1073" s="7"/>
      <c r="VVM1073" s="7"/>
      <c r="VVN1073" s="7"/>
      <c r="VVO1073" s="7"/>
      <c r="VVP1073" s="7"/>
      <c r="VVQ1073" s="7"/>
      <c r="VVR1073" s="7"/>
      <c r="VVS1073" s="7"/>
      <c r="VVT1073" s="7"/>
      <c r="VVU1073" s="7"/>
      <c r="VVV1073" s="7"/>
      <c r="VVW1073" s="7"/>
      <c r="VVX1073" s="7"/>
      <c r="VVY1073" s="7"/>
      <c r="VVZ1073" s="7"/>
      <c r="VWA1073" s="7"/>
      <c r="VWB1073" s="7"/>
      <c r="VWC1073" s="7"/>
      <c r="VWD1073" s="7"/>
      <c r="VWE1073" s="7"/>
      <c r="VWF1073" s="7"/>
      <c r="VWG1073" s="7"/>
      <c r="VWH1073" s="7"/>
      <c r="VWI1073" s="7"/>
      <c r="VWJ1073" s="7"/>
      <c r="VWK1073" s="7"/>
      <c r="VWL1073" s="7"/>
      <c r="VWM1073" s="7"/>
      <c r="VWN1073" s="7"/>
      <c r="VWO1073" s="7"/>
      <c r="VWP1073" s="7"/>
      <c r="VWQ1073" s="7"/>
      <c r="VWR1073" s="7"/>
      <c r="VWS1073" s="7"/>
      <c r="VWT1073" s="7"/>
      <c r="VWU1073" s="7"/>
      <c r="VWV1073" s="7"/>
      <c r="VWW1073" s="7"/>
      <c r="VWX1073" s="7"/>
      <c r="VWY1073" s="7"/>
      <c r="VWZ1073" s="7"/>
      <c r="VXA1073" s="7"/>
      <c r="VXB1073" s="7"/>
      <c r="VXC1073" s="7"/>
      <c r="VXD1073" s="7"/>
      <c r="VXE1073" s="7"/>
      <c r="VXF1073" s="7"/>
      <c r="VXG1073" s="7"/>
      <c r="VXH1073" s="7"/>
      <c r="VXI1073" s="7"/>
      <c r="VXJ1073" s="7"/>
      <c r="VXK1073" s="7"/>
      <c r="VXL1073" s="7"/>
      <c r="VXM1073" s="7"/>
      <c r="VXN1073" s="7"/>
      <c r="VXO1073" s="7"/>
      <c r="VXP1073" s="7"/>
      <c r="VXQ1073" s="7"/>
      <c r="VXR1073" s="7"/>
      <c r="VXS1073" s="7"/>
      <c r="VXT1073" s="7"/>
      <c r="VXU1073" s="7"/>
      <c r="VXV1073" s="7"/>
      <c r="VXW1073" s="7"/>
      <c r="VXX1073" s="7"/>
      <c r="VXY1073" s="7"/>
      <c r="VXZ1073" s="7"/>
      <c r="VYA1073" s="7"/>
      <c r="VYB1073" s="7"/>
      <c r="VYC1073" s="7"/>
      <c r="VYD1073" s="7"/>
      <c r="VYE1073" s="7"/>
      <c r="VYF1073" s="7"/>
      <c r="VYG1073" s="7"/>
      <c r="VYH1073" s="7"/>
      <c r="VYI1073" s="7"/>
      <c r="VYJ1073" s="7"/>
      <c r="VYK1073" s="7"/>
      <c r="VYL1073" s="7"/>
      <c r="VYM1073" s="7"/>
      <c r="VYN1073" s="7"/>
      <c r="VYO1073" s="7"/>
      <c r="VYP1073" s="7"/>
      <c r="VYQ1073" s="7"/>
      <c r="VYR1073" s="7"/>
      <c r="VYS1073" s="7"/>
      <c r="VYT1073" s="7"/>
      <c r="VYU1073" s="7"/>
      <c r="VYV1073" s="7"/>
      <c r="VYW1073" s="7"/>
      <c r="VYX1073" s="7"/>
      <c r="VYY1073" s="7"/>
      <c r="VYZ1073" s="7"/>
      <c r="VZA1073" s="7"/>
      <c r="VZB1073" s="7"/>
      <c r="VZC1073" s="7"/>
      <c r="VZD1073" s="7"/>
      <c r="VZE1073" s="7"/>
      <c r="VZF1073" s="7"/>
      <c r="VZG1073" s="7"/>
      <c r="VZH1073" s="7"/>
      <c r="VZI1073" s="7"/>
      <c r="VZJ1073" s="7"/>
      <c r="VZK1073" s="7"/>
      <c r="VZL1073" s="7"/>
      <c r="VZM1073" s="7"/>
      <c r="VZN1073" s="7"/>
      <c r="VZO1073" s="7"/>
      <c r="VZP1073" s="7"/>
      <c r="VZQ1073" s="7"/>
      <c r="VZR1073" s="7"/>
      <c r="VZS1073" s="7"/>
      <c r="VZT1073" s="7"/>
      <c r="VZU1073" s="7"/>
      <c r="VZV1073" s="7"/>
      <c r="VZW1073" s="7"/>
      <c r="VZX1073" s="7"/>
      <c r="VZY1073" s="7"/>
      <c r="VZZ1073" s="7"/>
      <c r="WAA1073" s="7"/>
      <c r="WAB1073" s="7"/>
      <c r="WAC1073" s="7"/>
      <c r="WAD1073" s="7"/>
      <c r="WAE1073" s="7"/>
      <c r="WAF1073" s="7"/>
      <c r="WAG1073" s="7"/>
      <c r="WAH1073" s="7"/>
      <c r="WAI1073" s="7"/>
      <c r="WAJ1073" s="7"/>
      <c r="WAK1073" s="7"/>
      <c r="WAL1073" s="7"/>
      <c r="WAM1073" s="7"/>
      <c r="WAN1073" s="7"/>
      <c r="WAO1073" s="7"/>
      <c r="WAP1073" s="7"/>
      <c r="WAQ1073" s="7"/>
      <c r="WAR1073" s="7"/>
      <c r="WAS1073" s="7"/>
      <c r="WAT1073" s="7"/>
      <c r="WAU1073" s="7"/>
      <c r="WAV1073" s="7"/>
      <c r="WAW1073" s="7"/>
      <c r="WAX1073" s="7"/>
      <c r="WAY1073" s="7"/>
      <c r="WAZ1073" s="7"/>
      <c r="WBA1073" s="7"/>
      <c r="WBB1073" s="7"/>
      <c r="WBC1073" s="7"/>
      <c r="WBD1073" s="7"/>
      <c r="WBE1073" s="7"/>
      <c r="WBF1073" s="7"/>
      <c r="WBG1073" s="7"/>
      <c r="WBH1073" s="7"/>
      <c r="WBI1073" s="7"/>
      <c r="WBJ1073" s="7"/>
      <c r="WBK1073" s="7"/>
      <c r="WBL1073" s="7"/>
      <c r="WBM1073" s="7"/>
      <c r="WBN1073" s="7"/>
      <c r="WBO1073" s="7"/>
      <c r="WBP1073" s="7"/>
      <c r="WBQ1073" s="7"/>
      <c r="WBR1073" s="7"/>
      <c r="WBS1073" s="7"/>
      <c r="WBT1073" s="7"/>
      <c r="WBU1073" s="7"/>
      <c r="WBV1073" s="7"/>
      <c r="WBW1073" s="7"/>
      <c r="WBX1073" s="7"/>
      <c r="WBY1073" s="7"/>
      <c r="WBZ1073" s="7"/>
      <c r="WCA1073" s="7"/>
      <c r="WCB1073" s="7"/>
      <c r="WCC1073" s="7"/>
      <c r="WCD1073" s="7"/>
      <c r="WCE1073" s="7"/>
      <c r="WCF1073" s="7"/>
      <c r="WCG1073" s="7"/>
      <c r="WCH1073" s="7"/>
      <c r="WCI1073" s="7"/>
      <c r="WCJ1073" s="7"/>
      <c r="WCK1073" s="7"/>
      <c r="WCL1073" s="7"/>
      <c r="WCM1073" s="7"/>
      <c r="WCN1073" s="7"/>
      <c r="WCO1073" s="7"/>
      <c r="WCP1073" s="7"/>
      <c r="WCQ1073" s="7"/>
      <c r="WCR1073" s="7"/>
      <c r="WCS1073" s="7"/>
      <c r="WCT1073" s="7"/>
      <c r="WCU1073" s="7"/>
      <c r="WCV1073" s="7"/>
      <c r="WCW1073" s="7"/>
      <c r="WCX1073" s="7"/>
      <c r="WCY1073" s="7"/>
      <c r="WCZ1073" s="7"/>
      <c r="WDA1073" s="7"/>
      <c r="WDB1073" s="7"/>
      <c r="WDC1073" s="7"/>
      <c r="WDD1073" s="7"/>
      <c r="WDE1073" s="7"/>
      <c r="WDF1073" s="7"/>
      <c r="WDG1073" s="7"/>
      <c r="WDH1073" s="7"/>
      <c r="WDI1073" s="7"/>
      <c r="WDJ1073" s="7"/>
      <c r="WDK1073" s="7"/>
      <c r="WDL1073" s="7"/>
      <c r="WDM1073" s="7"/>
      <c r="WDN1073" s="7"/>
      <c r="WDO1073" s="7"/>
      <c r="WDP1073" s="7"/>
      <c r="WDQ1073" s="7"/>
      <c r="WDR1073" s="7"/>
      <c r="WDS1073" s="7"/>
      <c r="WDT1073" s="7"/>
      <c r="WDU1073" s="7"/>
      <c r="WDV1073" s="7"/>
      <c r="WDW1073" s="7"/>
      <c r="WDX1073" s="7"/>
      <c r="WDY1073" s="7"/>
      <c r="WDZ1073" s="7"/>
      <c r="WEA1073" s="7"/>
      <c r="WEB1073" s="7"/>
      <c r="WEC1073" s="7"/>
      <c r="WED1073" s="7"/>
      <c r="WEE1073" s="7"/>
      <c r="WEF1073" s="7"/>
      <c r="WEG1073" s="7"/>
      <c r="WEH1073" s="7"/>
      <c r="WEI1073" s="7"/>
      <c r="WEJ1073" s="7"/>
      <c r="WEK1073" s="7"/>
      <c r="WEL1073" s="7"/>
      <c r="WEM1073" s="7"/>
      <c r="WEN1073" s="7"/>
      <c r="WEO1073" s="7"/>
      <c r="WEP1073" s="7"/>
      <c r="WEQ1073" s="7"/>
      <c r="WER1073" s="7"/>
      <c r="WES1073" s="7"/>
      <c r="WET1073" s="7"/>
      <c r="WEU1073" s="7"/>
      <c r="WEV1073" s="7"/>
      <c r="WEW1073" s="7"/>
      <c r="WEX1073" s="7"/>
      <c r="WEY1073" s="7"/>
      <c r="WEZ1073" s="7"/>
      <c r="WFA1073" s="7"/>
      <c r="WFB1073" s="7"/>
      <c r="WFC1073" s="7"/>
      <c r="WFD1073" s="7"/>
      <c r="WFE1073" s="7"/>
      <c r="WFF1073" s="7"/>
      <c r="WFG1073" s="7"/>
      <c r="WFH1073" s="7"/>
      <c r="WFI1073" s="7"/>
      <c r="WFJ1073" s="7"/>
      <c r="WFK1073" s="7"/>
      <c r="WFL1073" s="7"/>
      <c r="WFM1073" s="7"/>
      <c r="WFN1073" s="7"/>
      <c r="WFO1073" s="7"/>
      <c r="WFP1073" s="7"/>
      <c r="WFQ1073" s="7"/>
      <c r="WFR1073" s="7"/>
      <c r="WFS1073" s="7"/>
      <c r="WFT1073" s="7"/>
      <c r="WFU1073" s="7"/>
      <c r="WFV1073" s="7"/>
      <c r="WFW1073" s="7"/>
      <c r="WFX1073" s="7"/>
      <c r="WFY1073" s="7"/>
      <c r="WFZ1073" s="7"/>
      <c r="WGA1073" s="7"/>
      <c r="WGB1073" s="7"/>
      <c r="WGC1073" s="7"/>
      <c r="WGD1073" s="7"/>
      <c r="WGE1073" s="7"/>
      <c r="WGF1073" s="7"/>
      <c r="WGG1073" s="7"/>
      <c r="WGH1073" s="7"/>
      <c r="WGI1073" s="7"/>
      <c r="WGJ1073" s="7"/>
      <c r="WGK1073" s="7"/>
      <c r="WGL1073" s="7"/>
      <c r="WGM1073" s="7"/>
      <c r="WGN1073" s="7"/>
      <c r="WGO1073" s="7"/>
      <c r="WGP1073" s="7"/>
      <c r="WGQ1073" s="7"/>
      <c r="WGR1073" s="7"/>
      <c r="WGS1073" s="7"/>
      <c r="WGT1073" s="7"/>
      <c r="WGU1073" s="7"/>
      <c r="WGV1073" s="7"/>
      <c r="WGW1073" s="7"/>
      <c r="WGX1073" s="7"/>
      <c r="WGY1073" s="7"/>
      <c r="WGZ1073" s="7"/>
      <c r="WHA1073" s="7"/>
      <c r="WHB1073" s="7"/>
      <c r="WHC1073" s="7"/>
      <c r="WHD1073" s="7"/>
      <c r="WHE1073" s="7"/>
      <c r="WHF1073" s="7"/>
      <c r="WHG1073" s="7"/>
      <c r="WHH1073" s="7"/>
      <c r="WHI1073" s="7"/>
      <c r="WHJ1073" s="7"/>
      <c r="WHK1073" s="7"/>
      <c r="WHL1073" s="7"/>
      <c r="WHM1073" s="7"/>
      <c r="WHN1073" s="7"/>
      <c r="WHO1073" s="7"/>
      <c r="WHP1073" s="7"/>
      <c r="WHQ1073" s="7"/>
      <c r="WHR1073" s="7"/>
      <c r="WHS1073" s="7"/>
      <c r="WHT1073" s="7"/>
      <c r="WHU1073" s="7"/>
      <c r="WHV1073" s="7"/>
      <c r="WHW1073" s="7"/>
      <c r="WHX1073" s="7"/>
      <c r="WHY1073" s="7"/>
      <c r="WHZ1073" s="7"/>
      <c r="WIA1073" s="7"/>
      <c r="WIB1073" s="7"/>
      <c r="WIC1073" s="7"/>
      <c r="WID1073" s="7"/>
      <c r="WIE1073" s="7"/>
      <c r="WIF1073" s="7"/>
      <c r="WIG1073" s="7"/>
      <c r="WIH1073" s="7"/>
      <c r="WII1073" s="7"/>
      <c r="WIJ1073" s="7"/>
      <c r="WIK1073" s="7"/>
      <c r="WIL1073" s="7"/>
      <c r="WIM1073" s="7"/>
      <c r="WIN1073" s="7"/>
      <c r="WIO1073" s="7"/>
      <c r="WIP1073" s="7"/>
      <c r="WIQ1073" s="7"/>
      <c r="WIR1073" s="7"/>
      <c r="WIS1073" s="7"/>
      <c r="WIT1073" s="7"/>
      <c r="WIU1073" s="7"/>
      <c r="WIV1073" s="7"/>
      <c r="WIW1073" s="7"/>
      <c r="WIX1073" s="7"/>
      <c r="WIY1073" s="7"/>
      <c r="WIZ1073" s="7"/>
      <c r="WJA1073" s="7"/>
      <c r="WJB1073" s="7"/>
      <c r="WJC1073" s="7"/>
      <c r="WJD1073" s="7"/>
      <c r="WJE1073" s="7"/>
      <c r="WJF1073" s="7"/>
      <c r="WJG1073" s="7"/>
      <c r="WJH1073" s="7"/>
      <c r="WJI1073" s="7"/>
      <c r="WJJ1073" s="7"/>
      <c r="WJK1073" s="7"/>
      <c r="WJL1073" s="7"/>
      <c r="WJM1073" s="7"/>
      <c r="WJN1073" s="7"/>
      <c r="WJO1073" s="7"/>
      <c r="WJP1073" s="7"/>
      <c r="WJQ1073" s="7"/>
      <c r="WJR1073" s="7"/>
      <c r="WJS1073" s="7"/>
      <c r="WJT1073" s="7"/>
      <c r="WJU1073" s="7"/>
      <c r="WJV1073" s="7"/>
      <c r="WJW1073" s="7"/>
      <c r="WJX1073" s="7"/>
      <c r="WJY1073" s="7"/>
      <c r="WJZ1073" s="7"/>
      <c r="WKA1073" s="7"/>
      <c r="WKB1073" s="7"/>
      <c r="WKC1073" s="7"/>
      <c r="WKD1073" s="7"/>
      <c r="WKE1073" s="7"/>
      <c r="WKF1073" s="7"/>
      <c r="WKG1073" s="7"/>
      <c r="WKH1073" s="7"/>
      <c r="WKI1073" s="7"/>
      <c r="WKJ1073" s="7"/>
      <c r="WKK1073" s="7"/>
      <c r="WKL1073" s="7"/>
      <c r="WKM1073" s="7"/>
      <c r="WKN1073" s="7"/>
      <c r="WKO1073" s="7"/>
      <c r="WKP1073" s="7"/>
      <c r="WKQ1073" s="7"/>
      <c r="WKR1073" s="7"/>
      <c r="WKS1073" s="7"/>
      <c r="WKT1073" s="7"/>
      <c r="WKU1073" s="7"/>
      <c r="WKV1073" s="7"/>
      <c r="WKW1073" s="7"/>
      <c r="WKX1073" s="7"/>
      <c r="WKY1073" s="7"/>
      <c r="WKZ1073" s="7"/>
      <c r="WLA1073" s="7"/>
      <c r="WLB1073" s="7"/>
      <c r="WLC1073" s="7"/>
      <c r="WLD1073" s="7"/>
      <c r="WLE1073" s="7"/>
      <c r="WLF1073" s="7"/>
      <c r="WLG1073" s="7"/>
      <c r="WLH1073" s="7"/>
      <c r="WLI1073" s="7"/>
      <c r="WLJ1073" s="7"/>
      <c r="WLK1073" s="7"/>
      <c r="WLL1073" s="7"/>
      <c r="WLM1073" s="7"/>
      <c r="WLN1073" s="7"/>
      <c r="WLO1073" s="7"/>
      <c r="WLP1073" s="7"/>
      <c r="WLQ1073" s="7"/>
      <c r="WLR1073" s="7"/>
      <c r="WLS1073" s="7"/>
      <c r="WLT1073" s="7"/>
      <c r="WLU1073" s="7"/>
      <c r="WLV1073" s="7"/>
      <c r="WLW1073" s="7"/>
      <c r="WLX1073" s="7"/>
      <c r="WLY1073" s="7"/>
      <c r="WLZ1073" s="7"/>
      <c r="WMA1073" s="7"/>
      <c r="WMB1073" s="7"/>
      <c r="WMC1073" s="7"/>
      <c r="WMD1073" s="7"/>
      <c r="WME1073" s="7"/>
      <c r="WMF1073" s="7"/>
      <c r="WMG1073" s="7"/>
      <c r="WMH1073" s="7"/>
      <c r="WMI1073" s="7"/>
      <c r="WMJ1073" s="7"/>
      <c r="WMK1073" s="7"/>
      <c r="WML1073" s="7"/>
      <c r="WMM1073" s="7"/>
      <c r="WMN1073" s="7"/>
      <c r="WMO1073" s="7"/>
      <c r="WMP1073" s="7"/>
      <c r="WMQ1073" s="7"/>
      <c r="WMR1073" s="7"/>
      <c r="WMS1073" s="7"/>
      <c r="WMT1073" s="7"/>
      <c r="WMU1073" s="7"/>
      <c r="WMV1073" s="7"/>
      <c r="WMW1073" s="7"/>
      <c r="WMX1073" s="7"/>
      <c r="WMY1073" s="7"/>
      <c r="WMZ1073" s="7"/>
      <c r="WNA1073" s="7"/>
      <c r="WNB1073" s="7"/>
      <c r="WNC1073" s="7"/>
      <c r="WND1073" s="7"/>
      <c r="WNE1073" s="7"/>
      <c r="WNF1073" s="7"/>
      <c r="WNG1073" s="7"/>
      <c r="WNH1073" s="7"/>
      <c r="WNI1073" s="7"/>
      <c r="WNJ1073" s="7"/>
      <c r="WNK1073" s="7"/>
      <c r="WNL1073" s="7"/>
      <c r="WNM1073" s="7"/>
      <c r="WNN1073" s="7"/>
      <c r="WNO1073" s="7"/>
      <c r="WNP1073" s="7"/>
      <c r="WNQ1073" s="7"/>
      <c r="WNR1073" s="7"/>
      <c r="WNS1073" s="7"/>
      <c r="WNT1073" s="7"/>
      <c r="WNU1073" s="7"/>
      <c r="WNV1073" s="7"/>
      <c r="WNW1073" s="7"/>
      <c r="WNX1073" s="7"/>
      <c r="WNY1073" s="7"/>
      <c r="WNZ1073" s="7"/>
      <c r="WOA1073" s="7"/>
      <c r="WOB1073" s="7"/>
      <c r="WOC1073" s="7"/>
      <c r="WOD1073" s="7"/>
      <c r="WOE1073" s="7"/>
      <c r="WOF1073" s="7"/>
      <c r="WOG1073" s="7"/>
      <c r="WOH1073" s="7"/>
      <c r="WOI1073" s="7"/>
      <c r="WOJ1073" s="7"/>
      <c r="WOK1073" s="7"/>
      <c r="WOL1073" s="7"/>
      <c r="WOM1073" s="7"/>
      <c r="WON1073" s="7"/>
      <c r="WOO1073" s="7"/>
      <c r="WOP1073" s="7"/>
      <c r="WOQ1073" s="7"/>
      <c r="WOR1073" s="7"/>
      <c r="WOS1073" s="7"/>
      <c r="WOT1073" s="7"/>
      <c r="WOU1073" s="7"/>
      <c r="WOV1073" s="7"/>
      <c r="WOW1073" s="7"/>
      <c r="WOX1073" s="7"/>
      <c r="WOY1073" s="7"/>
      <c r="WOZ1073" s="7"/>
      <c r="WPA1073" s="7"/>
      <c r="WPB1073" s="7"/>
      <c r="WPC1073" s="7"/>
      <c r="WPD1073" s="7"/>
      <c r="WPE1073" s="7"/>
      <c r="WPF1073" s="7"/>
      <c r="WPG1073" s="7"/>
      <c r="WPH1073" s="7"/>
      <c r="WPI1073" s="7"/>
      <c r="WPJ1073" s="7"/>
      <c r="WPK1073" s="7"/>
      <c r="WPL1073" s="7"/>
      <c r="WPM1073" s="7"/>
      <c r="WPN1073" s="7"/>
      <c r="WPO1073" s="7"/>
      <c r="WPP1073" s="7"/>
      <c r="WPQ1073" s="7"/>
      <c r="WPR1073" s="7"/>
      <c r="WPS1073" s="7"/>
      <c r="WPT1073" s="7"/>
      <c r="WPU1073" s="7"/>
      <c r="WPV1073" s="7"/>
      <c r="WPW1073" s="7"/>
      <c r="WPX1073" s="7"/>
      <c r="WPY1073" s="7"/>
      <c r="WPZ1073" s="7"/>
      <c r="WQA1073" s="7"/>
      <c r="WQB1073" s="7"/>
      <c r="WQC1073" s="7"/>
      <c r="WQD1073" s="7"/>
      <c r="WQE1073" s="7"/>
      <c r="WQF1073" s="7"/>
      <c r="WQG1073" s="7"/>
      <c r="WQH1073" s="7"/>
      <c r="WQI1073" s="7"/>
      <c r="WQJ1073" s="7"/>
      <c r="WQK1073" s="7"/>
      <c r="WQL1073" s="7"/>
      <c r="WQM1073" s="7"/>
      <c r="WQN1073" s="7"/>
      <c r="WQO1073" s="7"/>
      <c r="WQP1073" s="7"/>
      <c r="WQQ1073" s="7"/>
      <c r="WQR1073" s="7"/>
      <c r="WQS1073" s="7"/>
      <c r="WQT1073" s="7"/>
      <c r="WQU1073" s="7"/>
      <c r="WQV1073" s="7"/>
      <c r="WQW1073" s="7"/>
      <c r="WQX1073" s="7"/>
      <c r="WQY1073" s="7"/>
      <c r="WQZ1073" s="7"/>
      <c r="WRA1073" s="7"/>
      <c r="WRB1073" s="7"/>
      <c r="WRC1073" s="7"/>
      <c r="WRD1073" s="7"/>
      <c r="WRE1073" s="7"/>
      <c r="WRF1073" s="7"/>
      <c r="WRG1073" s="7"/>
      <c r="WRH1073" s="7"/>
      <c r="WRI1073" s="7"/>
      <c r="WRJ1073" s="7"/>
      <c r="WRK1073" s="7"/>
      <c r="WRL1073" s="7"/>
      <c r="WRM1073" s="7"/>
      <c r="WRN1073" s="7"/>
      <c r="WRO1073" s="7"/>
      <c r="WRP1073" s="7"/>
      <c r="WRQ1073" s="7"/>
      <c r="WRR1073" s="7"/>
      <c r="WRS1073" s="7"/>
      <c r="WRT1073" s="7"/>
      <c r="WRU1073" s="7"/>
      <c r="WRV1073" s="7"/>
      <c r="WRW1073" s="7"/>
      <c r="WRX1073" s="7"/>
      <c r="WRY1073" s="7"/>
      <c r="WRZ1073" s="7"/>
      <c r="WSA1073" s="7"/>
      <c r="WSB1073" s="7"/>
      <c r="WSC1073" s="7"/>
      <c r="WSD1073" s="7"/>
      <c r="WSE1073" s="7"/>
      <c r="WSF1073" s="7"/>
      <c r="WSG1073" s="7"/>
      <c r="WSH1073" s="7"/>
      <c r="WSI1073" s="7"/>
      <c r="WSJ1073" s="7"/>
      <c r="WSK1073" s="7"/>
      <c r="WSL1073" s="7"/>
      <c r="WSM1073" s="7"/>
      <c r="WSN1073" s="7"/>
      <c r="WSO1073" s="7"/>
      <c r="WSP1073" s="7"/>
      <c r="WSQ1073" s="7"/>
      <c r="WSR1073" s="7"/>
      <c r="WSS1073" s="7"/>
      <c r="WST1073" s="7"/>
      <c r="WSU1073" s="7"/>
      <c r="WSV1073" s="7"/>
      <c r="WSW1073" s="7"/>
      <c r="WSX1073" s="7"/>
      <c r="WSY1073" s="7"/>
      <c r="WSZ1073" s="7"/>
      <c r="WTA1073" s="7"/>
      <c r="WTB1073" s="7"/>
      <c r="WTC1073" s="7"/>
      <c r="WTD1073" s="7"/>
      <c r="WTE1073" s="7"/>
      <c r="WTF1073" s="7"/>
      <c r="WTG1073" s="7"/>
      <c r="WTH1073" s="7"/>
      <c r="WTI1073" s="7"/>
      <c r="WTJ1073" s="7"/>
      <c r="WTK1073" s="7"/>
      <c r="WTL1073" s="7"/>
      <c r="WTM1073" s="7"/>
      <c r="WTN1073" s="7"/>
      <c r="WTO1073" s="7"/>
      <c r="WTP1073" s="7"/>
      <c r="WTQ1073" s="7"/>
      <c r="WTR1073" s="7"/>
      <c r="WTS1073" s="7"/>
      <c r="WTT1073" s="7"/>
      <c r="WTU1073" s="7"/>
      <c r="WTV1073" s="7"/>
      <c r="WTW1073" s="7"/>
      <c r="WTX1073" s="7"/>
      <c r="WTY1073" s="7"/>
      <c r="WTZ1073" s="7"/>
      <c r="WUA1073" s="7"/>
      <c r="WUB1073" s="7"/>
      <c r="WUC1073" s="7"/>
      <c r="WUD1073" s="7"/>
      <c r="WUE1073" s="7"/>
      <c r="WUF1073" s="7"/>
      <c r="WUG1073" s="7"/>
      <c r="WUH1073" s="7"/>
      <c r="WUI1073" s="7"/>
      <c r="WUJ1073" s="7"/>
      <c r="WUK1073" s="7"/>
      <c r="WUL1073" s="7"/>
      <c r="WUM1073" s="7"/>
      <c r="WUN1073" s="7"/>
      <c r="WUO1073" s="7"/>
      <c r="WUP1073" s="7"/>
      <c r="WUQ1073" s="7"/>
      <c r="WUR1073" s="7"/>
      <c r="WUS1073" s="7"/>
      <c r="WUT1073" s="7"/>
      <c r="WUU1073" s="7"/>
      <c r="WUV1073" s="7"/>
      <c r="WUW1073" s="7"/>
      <c r="WUX1073" s="7"/>
      <c r="WUY1073" s="7"/>
      <c r="WUZ1073" s="7"/>
      <c r="WVA1073" s="7"/>
      <c r="WVB1073" s="7"/>
      <c r="WVC1073" s="7"/>
      <c r="WVD1073" s="7"/>
      <c r="WVE1073" s="7"/>
      <c r="WVF1073" s="7"/>
      <c r="WVG1073" s="7"/>
      <c r="WVH1073" s="7"/>
      <c r="WVI1073" s="7"/>
      <c r="WVJ1073" s="7"/>
      <c r="WVK1073" s="7"/>
      <c r="WVL1073" s="7"/>
      <c r="WVM1073" s="7"/>
      <c r="WVN1073" s="7"/>
      <c r="WVO1073" s="7"/>
      <c r="WVP1073" s="7"/>
      <c r="WVQ1073" s="7"/>
      <c r="WVR1073" s="7"/>
      <c r="WVS1073" s="7"/>
      <c r="WVT1073" s="7"/>
      <c r="WVU1073" s="7"/>
      <c r="WVV1073" s="7"/>
      <c r="WVW1073" s="7"/>
      <c r="WVX1073" s="7"/>
      <c r="WVY1073" s="7"/>
      <c r="WVZ1073" s="7"/>
      <c r="WWA1073" s="7"/>
      <c r="WWB1073" s="7"/>
      <c r="WWC1073" s="7"/>
      <c r="WWD1073" s="7"/>
      <c r="WWE1073" s="7"/>
      <c r="WWF1073" s="7"/>
      <c r="WWG1073" s="7"/>
      <c r="WWH1073" s="7"/>
      <c r="WWI1073" s="7"/>
      <c r="WWJ1073" s="7"/>
      <c r="WWK1073" s="7"/>
      <c r="WWL1073" s="7"/>
      <c r="WWM1073" s="7"/>
      <c r="WWN1073" s="7"/>
      <c r="WWO1073" s="7"/>
      <c r="WWP1073" s="7"/>
      <c r="WWQ1073" s="7"/>
      <c r="WWR1073" s="7"/>
      <c r="WWS1073" s="7"/>
      <c r="WWT1073" s="7"/>
      <c r="WWU1073" s="7"/>
      <c r="WWV1073" s="7"/>
      <c r="WWW1073" s="7"/>
      <c r="WWX1073" s="7"/>
      <c r="WWY1073" s="7"/>
      <c r="WWZ1073" s="7"/>
      <c r="WXA1073" s="7"/>
      <c r="WXB1073" s="7"/>
      <c r="WXC1073" s="7"/>
      <c r="WXD1073" s="7"/>
      <c r="WXE1073" s="7"/>
      <c r="WXF1073" s="7"/>
      <c r="WXG1073" s="7"/>
      <c r="WXH1073" s="7"/>
      <c r="WXI1073" s="7"/>
      <c r="WXJ1073" s="7"/>
      <c r="WXK1073" s="7"/>
      <c r="WXL1073" s="7"/>
      <c r="WXM1073" s="7"/>
      <c r="WXN1073" s="7"/>
      <c r="WXO1073" s="7"/>
      <c r="WXP1073" s="7"/>
      <c r="WXQ1073" s="7"/>
      <c r="WXR1073" s="7"/>
      <c r="WXS1073" s="7"/>
      <c r="WXT1073" s="7"/>
      <c r="WXU1073" s="7"/>
      <c r="WXV1073" s="7"/>
      <c r="WXW1073" s="7"/>
      <c r="WXX1073" s="7"/>
      <c r="WXY1073" s="7"/>
      <c r="WXZ1073" s="7"/>
      <c r="WYA1073" s="7"/>
    </row>
    <row r="1074" spans="1:16199" ht="61.5" x14ac:dyDescent="0.85">
      <c r="A1074" s="7">
        <v>1</v>
      </c>
      <c r="B1074" s="59">
        <f>SUBTOTAL(103,$A$1032:A1074)</f>
        <v>43</v>
      </c>
      <c r="C1074" s="160" t="s">
        <v>1795</v>
      </c>
      <c r="D1074" s="60">
        <f t="shared" si="176"/>
        <v>7074085.5300000003</v>
      </c>
      <c r="E1074" s="60">
        <v>0</v>
      </c>
      <c r="F1074" s="60">
        <v>0</v>
      </c>
      <c r="G1074" s="60">
        <v>0</v>
      </c>
      <c r="H1074" s="60">
        <v>0</v>
      </c>
      <c r="I1074" s="60">
        <v>0</v>
      </c>
      <c r="J1074" s="60">
        <v>0</v>
      </c>
      <c r="K1074" s="168">
        <v>0</v>
      </c>
      <c r="L1074" s="60">
        <v>0</v>
      </c>
      <c r="M1074" s="60">
        <v>682.65</v>
      </c>
      <c r="N1074" s="60">
        <v>6827984</v>
      </c>
      <c r="O1074" s="60">
        <v>0</v>
      </c>
      <c r="P1074" s="60">
        <v>0</v>
      </c>
      <c r="Q1074" s="60">
        <v>0</v>
      </c>
      <c r="R1074" s="60">
        <v>0</v>
      </c>
      <c r="S1074" s="60">
        <v>0</v>
      </c>
      <c r="T1074" s="60">
        <v>0</v>
      </c>
      <c r="U1074" s="60">
        <v>0</v>
      </c>
      <c r="V1074" s="60">
        <v>0</v>
      </c>
      <c r="W1074" s="60">
        <v>0</v>
      </c>
      <c r="X1074" s="60">
        <v>0</v>
      </c>
      <c r="Y1074" s="60">
        <v>0</v>
      </c>
      <c r="Z1074" s="60">
        <v>0</v>
      </c>
      <c r="AA1074" s="60">
        <v>0</v>
      </c>
      <c r="AB1074" s="60">
        <v>0</v>
      </c>
      <c r="AC1074" s="60">
        <f>ROUND(N1074*2.14%,2)+ROUND(E1074*2.14%,2)+ROUND(F1074*2.14%,2)+ROUND(G1074*2.14%,2)+ROUND(H1074*2.14%,2)+ROUND(I1074*2.14%,2)+ROUND(J1074*2.14%,2)+ROUND(L1074*2.14%,2)+ROUND(P1074*2.14%,2)+ROUND(R1074*2.14%,2)+ROUND(T1074*2.14%,2)+ROUND(U1074*2.14%,2)+ROUND(V1074*2.14%,2)+ROUND(W1074*2.14%,2)+ROUND(X1074*2.14%,2)+ROUND(Y1074*2.14%,2)+ROUND(Z1074*2.14%,2)+ROUND(AA1074*2.14%,2)+ROUND(AB1074*2.14%,2)</f>
        <v>146118.85999999999</v>
      </c>
      <c r="AD1074" s="60">
        <v>99982.67</v>
      </c>
      <c r="AE1074" s="60">
        <v>0</v>
      </c>
      <c r="AF1074" s="170">
        <v>2022</v>
      </c>
      <c r="AG1074" s="170">
        <v>2022</v>
      </c>
      <c r="AH1074" s="63">
        <v>2022</v>
      </c>
    </row>
    <row r="1075" spans="1:16199" ht="61.5" x14ac:dyDescent="0.85">
      <c r="A1075" s="7">
        <v>1</v>
      </c>
      <c r="B1075" s="59">
        <f>SUBTOTAL(103,$A$1032:A1075)</f>
        <v>44</v>
      </c>
      <c r="C1075" s="160" t="s">
        <v>547</v>
      </c>
      <c r="D1075" s="60">
        <f t="shared" si="176"/>
        <v>1796938.32</v>
      </c>
      <c r="E1075" s="60">
        <v>0</v>
      </c>
      <c r="F1075" s="60">
        <v>0</v>
      </c>
      <c r="G1075" s="60">
        <v>0</v>
      </c>
      <c r="H1075" s="60">
        <v>0</v>
      </c>
      <c r="I1075" s="60">
        <v>0</v>
      </c>
      <c r="J1075" s="60">
        <v>0</v>
      </c>
      <c r="K1075" s="168">
        <v>0</v>
      </c>
      <c r="L1075" s="60">
        <v>0</v>
      </c>
      <c r="M1075" s="60">
        <v>513</v>
      </c>
      <c r="N1075" s="60">
        <v>1770906</v>
      </c>
      <c r="O1075" s="60">
        <v>0</v>
      </c>
      <c r="P1075" s="60">
        <v>0</v>
      </c>
      <c r="Q1075" s="60">
        <v>0</v>
      </c>
      <c r="R1075" s="60">
        <v>0</v>
      </c>
      <c r="S1075" s="60">
        <v>0</v>
      </c>
      <c r="T1075" s="60">
        <v>0</v>
      </c>
      <c r="U1075" s="60">
        <v>0</v>
      </c>
      <c r="V1075" s="60">
        <v>0</v>
      </c>
      <c r="W1075" s="60">
        <v>0</v>
      </c>
      <c r="X1075" s="60">
        <v>0</v>
      </c>
      <c r="Y1075" s="60">
        <v>0</v>
      </c>
      <c r="Z1075" s="60">
        <v>0</v>
      </c>
      <c r="AA1075" s="60">
        <v>0</v>
      </c>
      <c r="AB1075" s="60">
        <v>0</v>
      </c>
      <c r="AC1075" s="60">
        <v>26032.32</v>
      </c>
      <c r="AD1075" s="60">
        <v>0</v>
      </c>
      <c r="AE1075" s="60">
        <v>0</v>
      </c>
      <c r="AF1075" s="170" t="s">
        <v>257</v>
      </c>
      <c r="AG1075" s="170">
        <v>2022</v>
      </c>
      <c r="AH1075" s="63">
        <v>2022</v>
      </c>
    </row>
    <row r="1076" spans="1:16199" ht="61.5" x14ac:dyDescent="0.85">
      <c r="A1076" s="7">
        <v>1</v>
      </c>
      <c r="B1076" s="59">
        <f>SUBTOTAL(103,$A$1032:A1076)</f>
        <v>45</v>
      </c>
      <c r="C1076" s="160" t="s">
        <v>471</v>
      </c>
      <c r="D1076" s="60">
        <f t="shared" si="176"/>
        <v>3861909.9</v>
      </c>
      <c r="E1076" s="60">
        <v>0</v>
      </c>
      <c r="F1076" s="60">
        <v>0</v>
      </c>
      <c r="G1076" s="60">
        <v>0</v>
      </c>
      <c r="H1076" s="60">
        <v>0</v>
      </c>
      <c r="I1076" s="60">
        <v>0</v>
      </c>
      <c r="J1076" s="60">
        <v>0</v>
      </c>
      <c r="K1076" s="168">
        <v>0</v>
      </c>
      <c r="L1076" s="60">
        <v>0</v>
      </c>
      <c r="M1076" s="62">
        <v>832.46</v>
      </c>
      <c r="N1076" s="62">
        <v>3647111.01</v>
      </c>
      <c r="O1076" s="60">
        <v>0</v>
      </c>
      <c r="P1076" s="60">
        <v>0</v>
      </c>
      <c r="Q1076" s="60">
        <v>0</v>
      </c>
      <c r="R1076" s="60">
        <v>0</v>
      </c>
      <c r="S1076" s="60">
        <v>0</v>
      </c>
      <c r="T1076" s="60">
        <v>0</v>
      </c>
      <c r="U1076" s="60">
        <v>0</v>
      </c>
      <c r="V1076" s="60">
        <v>0</v>
      </c>
      <c r="W1076" s="60">
        <v>0</v>
      </c>
      <c r="X1076" s="60">
        <v>0</v>
      </c>
      <c r="Y1076" s="60">
        <v>0</v>
      </c>
      <c r="Z1076" s="60">
        <v>0</v>
      </c>
      <c r="AA1076" s="60">
        <v>0</v>
      </c>
      <c r="AB1076" s="60">
        <v>0</v>
      </c>
      <c r="AC1076" s="60">
        <f>ROUND(N1076*2.14%,2)+ROUND(E1076*2.14%,2)+ROUND(F1076*2.14%,2)+ROUND(G1076*2.14%,2)+ROUND(H1076*2.14%,2)+ROUND(I1076*2.14%,2)+ROUND(J1076*2.14%,2)+ROUND(L1076*2.14%,2)+ROUND(P1076*2.14%,2)+ROUND(R1076*2.14%,2)+ROUND(T1076*2.14%,2)+ROUND(U1076*2.14%,2)+ROUND(V1076*2.14%,2)+ROUND(W1076*2.14%,2)+ROUND(X1076*2.14%,2)+ROUND(Y1076*2.14%,2)+ROUND(Z1076*2.14%,2)+ROUND(AA1076*2.14%,2)+ROUND(AB1076*2.14%,2)</f>
        <v>78048.179999999993</v>
      </c>
      <c r="AD1076" s="60">
        <f>158639.86-21889.15</f>
        <v>136750.71</v>
      </c>
      <c r="AE1076" s="60">
        <v>0</v>
      </c>
      <c r="AF1076" s="170">
        <v>2022</v>
      </c>
      <c r="AG1076" s="170">
        <v>2022</v>
      </c>
      <c r="AH1076" s="63">
        <v>2022</v>
      </c>
    </row>
    <row r="1077" spans="1:16199" ht="61.5" x14ac:dyDescent="0.85">
      <c r="A1077" s="7">
        <v>1</v>
      </c>
      <c r="B1077" s="59">
        <f>SUBTOTAL(103,$A$1032:A1077)</f>
        <v>46</v>
      </c>
      <c r="C1077" s="160" t="s">
        <v>472</v>
      </c>
      <c r="D1077" s="60">
        <f t="shared" si="176"/>
        <v>2017630.48</v>
      </c>
      <c r="E1077" s="60">
        <v>0</v>
      </c>
      <c r="F1077" s="60">
        <v>0</v>
      </c>
      <c r="G1077" s="60">
        <v>0</v>
      </c>
      <c r="H1077" s="60">
        <v>0</v>
      </c>
      <c r="I1077" s="60">
        <v>0</v>
      </c>
      <c r="J1077" s="60">
        <v>0</v>
      </c>
      <c r="K1077" s="168">
        <v>0</v>
      </c>
      <c r="L1077" s="60">
        <v>0</v>
      </c>
      <c r="M1077" s="60">
        <v>401.67</v>
      </c>
      <c r="N1077" s="60">
        <v>1864651</v>
      </c>
      <c r="O1077" s="60">
        <v>0</v>
      </c>
      <c r="P1077" s="60">
        <v>0</v>
      </c>
      <c r="Q1077" s="60">
        <v>0</v>
      </c>
      <c r="R1077" s="60">
        <v>0</v>
      </c>
      <c r="S1077" s="60">
        <v>0</v>
      </c>
      <c r="T1077" s="60">
        <v>0</v>
      </c>
      <c r="U1077" s="60">
        <v>0</v>
      </c>
      <c r="V1077" s="60">
        <v>0</v>
      </c>
      <c r="W1077" s="60">
        <v>0</v>
      </c>
      <c r="X1077" s="60">
        <v>0</v>
      </c>
      <c r="Y1077" s="60">
        <v>0</v>
      </c>
      <c r="Z1077" s="60">
        <v>0</v>
      </c>
      <c r="AA1077" s="60">
        <v>0</v>
      </c>
      <c r="AB1077" s="60">
        <v>0</v>
      </c>
      <c r="AC1077" s="60">
        <f>ROUND(N1077*2.14%,2)+ROUND(E1077*2.14%,2)+ROUND(F1077*2.14%,2)+ROUND(G1077*2.14%,2)+ROUND(H1077*2.14%,2)+ROUND(I1077*2.14%,2)+ROUND(J1077*2.14%,2)+ROUND(L1077*2.14%,2)+ROUND(P1077*2.14%,2)+ROUND(R1077*2.14%,2)+ROUND(T1077*2.14%,2)+ROUND(U1077*2.14%,2)+ROUND(V1077*2.14%,2)+ROUND(W1077*2.14%,2)+ROUND(X1077*2.14%,2)+ROUND(Y1077*2.14%,2)+ROUND(Z1077*2.14%,2)+ROUND(AA1077*2.14%,2)+ROUND(AB1077*2.14%,2)</f>
        <v>39903.53</v>
      </c>
      <c r="AD1077" s="60">
        <v>113075.95</v>
      </c>
      <c r="AE1077" s="60">
        <v>0</v>
      </c>
      <c r="AF1077" s="170">
        <v>2022</v>
      </c>
      <c r="AG1077" s="170">
        <v>2022</v>
      </c>
      <c r="AH1077" s="63">
        <v>2022</v>
      </c>
    </row>
    <row r="1078" spans="1:16199" ht="61.5" x14ac:dyDescent="0.85">
      <c r="A1078" s="7">
        <v>1</v>
      </c>
      <c r="B1078" s="59">
        <f>SUBTOTAL(103,$A$1032:A1078)</f>
        <v>47</v>
      </c>
      <c r="C1078" s="160" t="s">
        <v>1518</v>
      </c>
      <c r="D1078" s="60">
        <f t="shared" si="176"/>
        <v>6818257.3399999999</v>
      </c>
      <c r="E1078" s="60">
        <v>0</v>
      </c>
      <c r="F1078" s="60">
        <v>0</v>
      </c>
      <c r="G1078" s="60">
        <v>0</v>
      </c>
      <c r="H1078" s="60">
        <v>0</v>
      </c>
      <c r="I1078" s="60">
        <v>0</v>
      </c>
      <c r="J1078" s="60">
        <v>0</v>
      </c>
      <c r="K1078" s="168">
        <v>0</v>
      </c>
      <c r="L1078" s="60">
        <v>0</v>
      </c>
      <c r="M1078" s="60">
        <v>0</v>
      </c>
      <c r="N1078" s="60">
        <v>0</v>
      </c>
      <c r="O1078" s="60">
        <v>0</v>
      </c>
      <c r="P1078" s="60">
        <v>0</v>
      </c>
      <c r="Q1078" s="60">
        <v>877.5</v>
      </c>
      <c r="R1078" s="60">
        <v>6620933.1500000004</v>
      </c>
      <c r="S1078" s="60">
        <v>0</v>
      </c>
      <c r="T1078" s="60">
        <v>0</v>
      </c>
      <c r="U1078" s="60">
        <v>0</v>
      </c>
      <c r="V1078" s="60">
        <v>0</v>
      </c>
      <c r="W1078" s="60">
        <v>0</v>
      </c>
      <c r="X1078" s="60">
        <v>0</v>
      </c>
      <c r="Y1078" s="60">
        <v>0</v>
      </c>
      <c r="Z1078" s="60">
        <v>0</v>
      </c>
      <c r="AA1078" s="60">
        <v>0</v>
      </c>
      <c r="AB1078" s="60">
        <v>0</v>
      </c>
      <c r="AC1078" s="60">
        <v>97327.72</v>
      </c>
      <c r="AD1078" s="60">
        <v>99996.47</v>
      </c>
      <c r="AE1078" s="60">
        <v>0</v>
      </c>
      <c r="AF1078" s="170">
        <v>2022</v>
      </c>
      <c r="AG1078" s="170">
        <v>2022</v>
      </c>
      <c r="AH1078" s="63">
        <v>2022</v>
      </c>
    </row>
    <row r="1079" spans="1:16199" ht="61.5" x14ac:dyDescent="0.85">
      <c r="A1079" s="7">
        <v>1</v>
      </c>
      <c r="B1079" s="59">
        <f>SUBTOTAL(103,$A$1032:A1079)</f>
        <v>48</v>
      </c>
      <c r="C1079" s="160" t="s">
        <v>746</v>
      </c>
      <c r="D1079" s="60">
        <f t="shared" si="176"/>
        <v>10890309.390000001</v>
      </c>
      <c r="E1079" s="60">
        <v>0</v>
      </c>
      <c r="F1079" s="60">
        <v>0</v>
      </c>
      <c r="G1079" s="60">
        <v>0</v>
      </c>
      <c r="H1079" s="60">
        <v>0</v>
      </c>
      <c r="I1079" s="60">
        <v>0</v>
      </c>
      <c r="J1079" s="60">
        <v>0</v>
      </c>
      <c r="K1079" s="168">
        <v>0</v>
      </c>
      <c r="L1079" s="60">
        <v>0</v>
      </c>
      <c r="M1079" s="60">
        <v>1412.52</v>
      </c>
      <c r="N1079" s="60">
        <v>10636755.35</v>
      </c>
      <c r="O1079" s="60">
        <v>0</v>
      </c>
      <c r="P1079" s="60">
        <v>0</v>
      </c>
      <c r="Q1079" s="60">
        <v>0</v>
      </c>
      <c r="R1079" s="60">
        <v>0</v>
      </c>
      <c r="S1079" s="60">
        <v>0</v>
      </c>
      <c r="T1079" s="60">
        <v>0</v>
      </c>
      <c r="U1079" s="60">
        <v>0</v>
      </c>
      <c r="V1079" s="60">
        <v>0</v>
      </c>
      <c r="W1079" s="60">
        <v>0</v>
      </c>
      <c r="X1079" s="60">
        <v>0</v>
      </c>
      <c r="Y1079" s="60">
        <v>0</v>
      </c>
      <c r="Z1079" s="60">
        <v>0</v>
      </c>
      <c r="AA1079" s="60">
        <v>0</v>
      </c>
      <c r="AB1079" s="60">
        <v>0</v>
      </c>
      <c r="AC1079" s="60">
        <v>156360.29999999999</v>
      </c>
      <c r="AD1079" s="169">
        <v>97193.74</v>
      </c>
      <c r="AE1079" s="60">
        <v>0</v>
      </c>
      <c r="AF1079" s="170">
        <v>2022</v>
      </c>
      <c r="AG1079" s="170">
        <v>2022</v>
      </c>
      <c r="AH1079" s="63">
        <v>2022</v>
      </c>
    </row>
    <row r="1080" spans="1:16199" ht="61.5" x14ac:dyDescent="0.85">
      <c r="A1080" s="7">
        <v>1</v>
      </c>
      <c r="B1080" s="59">
        <f>SUBTOTAL(103,$A$1032:A1080)</f>
        <v>49</v>
      </c>
      <c r="C1080" s="160" t="s">
        <v>527</v>
      </c>
      <c r="D1080" s="60">
        <f t="shared" si="176"/>
        <v>2761337.88</v>
      </c>
      <c r="E1080" s="60">
        <v>0</v>
      </c>
      <c r="F1080" s="60">
        <v>0</v>
      </c>
      <c r="G1080" s="60">
        <v>0</v>
      </c>
      <c r="H1080" s="60">
        <v>0</v>
      </c>
      <c r="I1080" s="60">
        <v>0</v>
      </c>
      <c r="J1080" s="60">
        <v>0</v>
      </c>
      <c r="K1080" s="168">
        <v>0</v>
      </c>
      <c r="L1080" s="60">
        <v>0</v>
      </c>
      <c r="M1080" s="60">
        <v>493.51</v>
      </c>
      <c r="N1080" s="60">
        <v>2639189</v>
      </c>
      <c r="O1080" s="60">
        <v>0</v>
      </c>
      <c r="P1080" s="60">
        <v>0</v>
      </c>
      <c r="Q1080" s="60">
        <v>0</v>
      </c>
      <c r="R1080" s="60">
        <v>0</v>
      </c>
      <c r="S1080" s="60">
        <v>0</v>
      </c>
      <c r="T1080" s="60">
        <v>0</v>
      </c>
      <c r="U1080" s="60">
        <v>0</v>
      </c>
      <c r="V1080" s="60">
        <v>0</v>
      </c>
      <c r="W1080" s="60">
        <v>0</v>
      </c>
      <c r="X1080" s="60">
        <v>0</v>
      </c>
      <c r="Y1080" s="60">
        <v>0</v>
      </c>
      <c r="Z1080" s="60">
        <v>0</v>
      </c>
      <c r="AA1080" s="60">
        <v>0</v>
      </c>
      <c r="AB1080" s="60">
        <v>0</v>
      </c>
      <c r="AC1080" s="60">
        <v>38796.080000000002</v>
      </c>
      <c r="AD1080" s="169">
        <v>83352.800000000003</v>
      </c>
      <c r="AE1080" s="60">
        <v>0</v>
      </c>
      <c r="AF1080" s="170">
        <v>2022</v>
      </c>
      <c r="AG1080" s="170">
        <v>2022</v>
      </c>
      <c r="AH1080" s="63">
        <v>2022</v>
      </c>
    </row>
    <row r="1081" spans="1:16199" ht="61.5" x14ac:dyDescent="0.85">
      <c r="A1081" s="7">
        <v>1</v>
      </c>
      <c r="B1081" s="59">
        <f>SUBTOTAL(103,$A$1032:A1081)</f>
        <v>50</v>
      </c>
      <c r="C1081" s="160" t="s">
        <v>533</v>
      </c>
      <c r="D1081" s="60">
        <f t="shared" si="176"/>
        <v>5836755.5700000003</v>
      </c>
      <c r="E1081" s="60">
        <v>0</v>
      </c>
      <c r="F1081" s="60">
        <v>0</v>
      </c>
      <c r="G1081" s="60">
        <v>0</v>
      </c>
      <c r="H1081" s="60">
        <v>0</v>
      </c>
      <c r="I1081" s="60">
        <v>0</v>
      </c>
      <c r="J1081" s="60">
        <v>0</v>
      </c>
      <c r="K1081" s="168">
        <v>0</v>
      </c>
      <c r="L1081" s="60">
        <v>0</v>
      </c>
      <c r="M1081" s="60">
        <v>814.11</v>
      </c>
      <c r="N1081" s="60">
        <v>5714466</v>
      </c>
      <c r="O1081" s="60">
        <v>0</v>
      </c>
      <c r="P1081" s="60">
        <v>0</v>
      </c>
      <c r="Q1081" s="60">
        <v>0</v>
      </c>
      <c r="R1081" s="60">
        <v>0</v>
      </c>
      <c r="S1081" s="60">
        <v>0</v>
      </c>
      <c r="T1081" s="60">
        <v>0</v>
      </c>
      <c r="U1081" s="60">
        <v>0</v>
      </c>
      <c r="V1081" s="60">
        <v>0</v>
      </c>
      <c r="W1081" s="60">
        <v>0</v>
      </c>
      <c r="X1081" s="60">
        <v>0</v>
      </c>
      <c r="Y1081" s="60">
        <v>0</v>
      </c>
      <c r="Z1081" s="60">
        <v>0</v>
      </c>
      <c r="AA1081" s="60">
        <v>0</v>
      </c>
      <c r="AB1081" s="60">
        <v>0</v>
      </c>
      <c r="AC1081" s="60">
        <f t="shared" ref="AC1081:AC1089" si="177">ROUND(N1081*2.14%,2)+ROUND(E1081*2.14%,2)+ROUND(F1081*2.14%,2)+ROUND(G1081*2.14%,2)+ROUND(H1081*2.14%,2)+ROUND(I1081*2.14%,2)+ROUND(J1081*2.14%,2)+ROUND(L1081*2.14%,2)+ROUND(P1081*2.14%,2)+ROUND(R1081*2.14%,2)+ROUND(T1081*2.14%,2)+ROUND(U1081*2.14%,2)+ROUND(V1081*2.14%,2)+ROUND(W1081*2.14%,2)+ROUND(X1081*2.14%,2)+ROUND(Y1081*2.14%,2)+ROUND(Z1081*2.14%,2)+ROUND(AA1081*2.14%,2)+ROUND(AB1081*2.14%,2)</f>
        <v>122289.57</v>
      </c>
      <c r="AD1081" s="60">
        <v>0</v>
      </c>
      <c r="AE1081" s="60">
        <v>0</v>
      </c>
      <c r="AF1081" s="170" t="s">
        <v>257</v>
      </c>
      <c r="AG1081" s="170">
        <v>2022</v>
      </c>
      <c r="AH1081" s="63">
        <v>2022</v>
      </c>
    </row>
    <row r="1082" spans="1:16199" ht="61.5" x14ac:dyDescent="0.85">
      <c r="A1082" s="7">
        <v>1</v>
      </c>
      <c r="B1082" s="59">
        <f>SUBTOTAL(103,$A$1032:A1082)</f>
        <v>51</v>
      </c>
      <c r="C1082" s="160" t="s">
        <v>2320</v>
      </c>
      <c r="D1082" s="60">
        <f t="shared" si="176"/>
        <v>3064413.28</v>
      </c>
      <c r="E1082" s="60">
        <v>0</v>
      </c>
      <c r="F1082" s="60">
        <v>0</v>
      </c>
      <c r="G1082" s="60">
        <v>0</v>
      </c>
      <c r="H1082" s="60">
        <v>0</v>
      </c>
      <c r="I1082" s="60">
        <v>0</v>
      </c>
      <c r="J1082" s="60">
        <v>0</v>
      </c>
      <c r="K1082" s="168">
        <v>0</v>
      </c>
      <c r="L1082" s="60">
        <v>0</v>
      </c>
      <c r="M1082" s="60">
        <v>745</v>
      </c>
      <c r="N1082" s="60">
        <v>3020019</v>
      </c>
      <c r="O1082" s="60">
        <v>0</v>
      </c>
      <c r="P1082" s="60">
        <v>0</v>
      </c>
      <c r="Q1082" s="60">
        <v>0</v>
      </c>
      <c r="R1082" s="60">
        <v>0</v>
      </c>
      <c r="S1082" s="60">
        <v>0</v>
      </c>
      <c r="T1082" s="60">
        <v>0</v>
      </c>
      <c r="U1082" s="60">
        <v>0</v>
      </c>
      <c r="V1082" s="60">
        <v>0</v>
      </c>
      <c r="W1082" s="60">
        <v>0</v>
      </c>
      <c r="X1082" s="60">
        <v>0</v>
      </c>
      <c r="Y1082" s="60">
        <v>0</v>
      </c>
      <c r="Z1082" s="60">
        <v>0</v>
      </c>
      <c r="AA1082" s="60">
        <v>0</v>
      </c>
      <c r="AB1082" s="60">
        <v>0</v>
      </c>
      <c r="AC1082" s="60">
        <v>44394.28</v>
      </c>
      <c r="AD1082" s="60">
        <v>0</v>
      </c>
      <c r="AE1082" s="60">
        <v>0</v>
      </c>
      <c r="AF1082" s="170" t="s">
        <v>257</v>
      </c>
      <c r="AG1082" s="170">
        <v>2022</v>
      </c>
      <c r="AH1082" s="63">
        <v>2022</v>
      </c>
    </row>
    <row r="1083" spans="1:16199" ht="61.5" x14ac:dyDescent="0.85">
      <c r="A1083" s="7">
        <v>1</v>
      </c>
      <c r="B1083" s="59">
        <f>SUBTOTAL(103,$A$1032:A1083)</f>
        <v>52</v>
      </c>
      <c r="C1083" s="160" t="s">
        <v>1300</v>
      </c>
      <c r="D1083" s="60">
        <f t="shared" si="176"/>
        <v>25975098.710000001</v>
      </c>
      <c r="E1083" s="60">
        <v>0</v>
      </c>
      <c r="F1083" s="60">
        <v>0</v>
      </c>
      <c r="G1083" s="60">
        <v>0</v>
      </c>
      <c r="H1083" s="60">
        <v>0</v>
      </c>
      <c r="I1083" s="60">
        <v>0</v>
      </c>
      <c r="J1083" s="60">
        <v>0</v>
      </c>
      <c r="K1083" s="168">
        <v>0</v>
      </c>
      <c r="L1083" s="60">
        <v>0</v>
      </c>
      <c r="M1083" s="60">
        <v>3686.1</v>
      </c>
      <c r="N1083" s="60">
        <v>25425098</v>
      </c>
      <c r="O1083" s="60">
        <v>0</v>
      </c>
      <c r="P1083" s="60">
        <v>0</v>
      </c>
      <c r="Q1083" s="60">
        <v>0</v>
      </c>
      <c r="R1083" s="60">
        <v>0</v>
      </c>
      <c r="S1083" s="60">
        <v>0</v>
      </c>
      <c r="T1083" s="60">
        <v>0</v>
      </c>
      <c r="U1083" s="60">
        <v>0</v>
      </c>
      <c r="V1083" s="60">
        <v>0</v>
      </c>
      <c r="W1083" s="60">
        <v>0</v>
      </c>
      <c r="X1083" s="60">
        <v>0</v>
      </c>
      <c r="Y1083" s="60">
        <v>0</v>
      </c>
      <c r="Z1083" s="60">
        <v>0</v>
      </c>
      <c r="AA1083" s="60">
        <v>0</v>
      </c>
      <c r="AB1083" s="60">
        <v>0</v>
      </c>
      <c r="AC1083" s="60">
        <v>373748.94</v>
      </c>
      <c r="AD1083" s="60">
        <v>176251.77</v>
      </c>
      <c r="AE1083" s="60">
        <v>0</v>
      </c>
      <c r="AF1083" s="170">
        <v>2022</v>
      </c>
      <c r="AG1083" s="170">
        <v>2022</v>
      </c>
      <c r="AH1083" s="63">
        <v>2022</v>
      </c>
    </row>
    <row r="1084" spans="1:16199" ht="61.5" x14ac:dyDescent="0.85">
      <c r="A1084" s="7">
        <v>1</v>
      </c>
      <c r="B1084" s="59">
        <f>SUBTOTAL(103,$A$1032:A1084)</f>
        <v>53</v>
      </c>
      <c r="C1084" s="160" t="s">
        <v>510</v>
      </c>
      <c r="D1084" s="60">
        <f t="shared" si="176"/>
        <v>3535766.8</v>
      </c>
      <c r="E1084" s="60">
        <v>0</v>
      </c>
      <c r="F1084" s="60">
        <v>0</v>
      </c>
      <c r="G1084" s="60">
        <v>0</v>
      </c>
      <c r="H1084" s="60">
        <v>0</v>
      </c>
      <c r="I1084" s="60">
        <v>0</v>
      </c>
      <c r="J1084" s="60">
        <v>0</v>
      </c>
      <c r="K1084" s="168">
        <v>0</v>
      </c>
      <c r="L1084" s="60">
        <v>0</v>
      </c>
      <c r="M1084" s="60">
        <v>502.78</v>
      </c>
      <c r="N1084" s="60">
        <v>3484544</v>
      </c>
      <c r="O1084" s="60">
        <v>0</v>
      </c>
      <c r="P1084" s="60">
        <v>0</v>
      </c>
      <c r="Q1084" s="60">
        <v>0</v>
      </c>
      <c r="R1084" s="60">
        <v>0</v>
      </c>
      <c r="S1084" s="60">
        <v>0</v>
      </c>
      <c r="T1084" s="60">
        <v>0</v>
      </c>
      <c r="U1084" s="60">
        <v>0</v>
      </c>
      <c r="V1084" s="60">
        <v>0</v>
      </c>
      <c r="W1084" s="60">
        <v>0</v>
      </c>
      <c r="X1084" s="60">
        <v>0</v>
      </c>
      <c r="Y1084" s="60">
        <v>0</v>
      </c>
      <c r="Z1084" s="60">
        <v>0</v>
      </c>
      <c r="AA1084" s="60">
        <v>0</v>
      </c>
      <c r="AB1084" s="60">
        <v>0</v>
      </c>
      <c r="AC1084" s="60">
        <v>51222.8</v>
      </c>
      <c r="AD1084" s="60">
        <v>0</v>
      </c>
      <c r="AE1084" s="60">
        <v>0</v>
      </c>
      <c r="AF1084" s="170" t="s">
        <v>257</v>
      </c>
      <c r="AG1084" s="170">
        <v>2022</v>
      </c>
      <c r="AH1084" s="63">
        <v>2022</v>
      </c>
    </row>
    <row r="1085" spans="1:16199" ht="61.5" x14ac:dyDescent="0.85">
      <c r="A1085" s="7">
        <v>1</v>
      </c>
      <c r="B1085" s="59">
        <f>SUBTOTAL(103,$A$1032:A1085)</f>
        <v>54</v>
      </c>
      <c r="C1085" s="160" t="s">
        <v>743</v>
      </c>
      <c r="D1085" s="60">
        <f t="shared" si="176"/>
        <v>3645099.71</v>
      </c>
      <c r="E1085" s="60">
        <v>0</v>
      </c>
      <c r="F1085" s="60">
        <v>0</v>
      </c>
      <c r="G1085" s="60">
        <v>0</v>
      </c>
      <c r="H1085" s="60">
        <v>0</v>
      </c>
      <c r="I1085" s="60">
        <v>0</v>
      </c>
      <c r="J1085" s="60">
        <v>0</v>
      </c>
      <c r="K1085" s="168">
        <v>0</v>
      </c>
      <c r="L1085" s="60">
        <v>0</v>
      </c>
      <c r="M1085" s="60">
        <v>517.5</v>
      </c>
      <c r="N1085" s="60">
        <v>3592293</v>
      </c>
      <c r="O1085" s="60">
        <v>0</v>
      </c>
      <c r="P1085" s="60">
        <v>0</v>
      </c>
      <c r="Q1085" s="60">
        <v>0</v>
      </c>
      <c r="R1085" s="60">
        <v>0</v>
      </c>
      <c r="S1085" s="60">
        <v>0</v>
      </c>
      <c r="T1085" s="60">
        <v>0</v>
      </c>
      <c r="U1085" s="60">
        <v>0</v>
      </c>
      <c r="V1085" s="60">
        <v>0</v>
      </c>
      <c r="W1085" s="60">
        <v>0</v>
      </c>
      <c r="X1085" s="60">
        <v>0</v>
      </c>
      <c r="Y1085" s="60">
        <v>0</v>
      </c>
      <c r="Z1085" s="60">
        <v>0</v>
      </c>
      <c r="AA1085" s="60">
        <v>0</v>
      </c>
      <c r="AB1085" s="60">
        <v>0</v>
      </c>
      <c r="AC1085" s="60">
        <v>52806.71</v>
      </c>
      <c r="AD1085" s="60">
        <v>0</v>
      </c>
      <c r="AE1085" s="60">
        <v>0</v>
      </c>
      <c r="AF1085" s="170" t="s">
        <v>257</v>
      </c>
      <c r="AG1085" s="170">
        <v>2022</v>
      </c>
      <c r="AH1085" s="63">
        <v>2022</v>
      </c>
    </row>
    <row r="1086" spans="1:16199" ht="61.5" x14ac:dyDescent="0.85">
      <c r="A1086" s="7">
        <v>1</v>
      </c>
      <c r="B1086" s="59">
        <f>SUBTOTAL(103,$A$1032:A1086)</f>
        <v>55</v>
      </c>
      <c r="C1086" s="160" t="s">
        <v>525</v>
      </c>
      <c r="D1086" s="60">
        <f t="shared" si="176"/>
        <v>2744367.54</v>
      </c>
      <c r="E1086" s="60">
        <v>0</v>
      </c>
      <c r="F1086" s="60">
        <v>0</v>
      </c>
      <c r="G1086" s="60">
        <v>0</v>
      </c>
      <c r="H1086" s="60">
        <v>0</v>
      </c>
      <c r="I1086" s="60">
        <v>0</v>
      </c>
      <c r="J1086" s="60">
        <v>0</v>
      </c>
      <c r="K1086" s="168">
        <v>0</v>
      </c>
      <c r="L1086" s="60">
        <v>0</v>
      </c>
      <c r="M1086" s="60">
        <v>542.15</v>
      </c>
      <c r="N1086" s="60">
        <v>2634049</v>
      </c>
      <c r="O1086" s="60">
        <v>0</v>
      </c>
      <c r="P1086" s="60">
        <v>0</v>
      </c>
      <c r="Q1086" s="60">
        <v>0</v>
      </c>
      <c r="R1086" s="60">
        <v>0</v>
      </c>
      <c r="S1086" s="60">
        <v>0</v>
      </c>
      <c r="T1086" s="60">
        <v>0</v>
      </c>
      <c r="U1086" s="60">
        <v>0</v>
      </c>
      <c r="V1086" s="60">
        <v>0</v>
      </c>
      <c r="W1086" s="60">
        <v>0</v>
      </c>
      <c r="X1086" s="60">
        <v>0</v>
      </c>
      <c r="Y1086" s="60">
        <v>0</v>
      </c>
      <c r="Z1086" s="60">
        <v>0</v>
      </c>
      <c r="AA1086" s="60">
        <v>0</v>
      </c>
      <c r="AB1086" s="60">
        <v>0</v>
      </c>
      <c r="AC1086" s="60">
        <v>38720.519999999997</v>
      </c>
      <c r="AD1086" s="60">
        <v>71598.02</v>
      </c>
      <c r="AE1086" s="60">
        <v>0</v>
      </c>
      <c r="AF1086" s="170">
        <v>2022</v>
      </c>
      <c r="AG1086" s="170">
        <v>2022</v>
      </c>
      <c r="AH1086" s="63">
        <v>2022</v>
      </c>
    </row>
    <row r="1087" spans="1:16199" ht="61.5" x14ac:dyDescent="0.85">
      <c r="A1087" s="7">
        <v>1</v>
      </c>
      <c r="B1087" s="59">
        <f>SUBTOTAL(103,$A$1032:A1087)</f>
        <v>56</v>
      </c>
      <c r="C1087" s="160" t="s">
        <v>1041</v>
      </c>
      <c r="D1087" s="60">
        <f t="shared" ref="D1087:D1106" si="178">E1087+F1087+G1087+H1087+I1087+J1087+L1087+N1087+P1087+R1087+T1087+U1087+V1087+W1087+X1087+Y1087+Z1087+AA1087+AB1087+AC1087+AD1087+AE1087</f>
        <v>4372140.37</v>
      </c>
      <c r="E1087" s="60">
        <v>0</v>
      </c>
      <c r="F1087" s="60">
        <v>0</v>
      </c>
      <c r="G1087" s="60">
        <v>0</v>
      </c>
      <c r="H1087" s="60">
        <v>0</v>
      </c>
      <c r="I1087" s="60">
        <v>0</v>
      </c>
      <c r="J1087" s="60">
        <v>0</v>
      </c>
      <c r="K1087" s="168">
        <v>0</v>
      </c>
      <c r="L1087" s="60">
        <v>0</v>
      </c>
      <c r="M1087" s="60">
        <v>0</v>
      </c>
      <c r="N1087" s="60">
        <v>0</v>
      </c>
      <c r="O1087" s="60">
        <v>0</v>
      </c>
      <c r="P1087" s="60">
        <v>0</v>
      </c>
      <c r="Q1087" s="60">
        <v>1509.48</v>
      </c>
      <c r="R1087" s="60">
        <v>4308801</v>
      </c>
      <c r="S1087" s="60">
        <v>0</v>
      </c>
      <c r="T1087" s="60">
        <v>0</v>
      </c>
      <c r="U1087" s="60">
        <v>0</v>
      </c>
      <c r="V1087" s="60">
        <v>0</v>
      </c>
      <c r="W1087" s="60">
        <v>0</v>
      </c>
      <c r="X1087" s="60">
        <v>0</v>
      </c>
      <c r="Y1087" s="60">
        <v>0</v>
      </c>
      <c r="Z1087" s="60">
        <v>0</v>
      </c>
      <c r="AA1087" s="60">
        <v>0</v>
      </c>
      <c r="AB1087" s="60">
        <v>0</v>
      </c>
      <c r="AC1087" s="60">
        <v>63339.37</v>
      </c>
      <c r="AD1087" s="60">
        <v>0</v>
      </c>
      <c r="AE1087" s="60">
        <v>0</v>
      </c>
      <c r="AF1087" s="170" t="s">
        <v>257</v>
      </c>
      <c r="AG1087" s="170">
        <v>2022</v>
      </c>
      <c r="AH1087" s="170">
        <v>2022</v>
      </c>
    </row>
    <row r="1088" spans="1:16199" ht="61.5" x14ac:dyDescent="0.85">
      <c r="A1088" s="7">
        <v>1</v>
      </c>
      <c r="B1088" s="59">
        <f>SUBTOTAL(103,$A$1032:A1088)</f>
        <v>57</v>
      </c>
      <c r="C1088" s="160" t="s">
        <v>744</v>
      </c>
      <c r="D1088" s="60">
        <f t="shared" si="178"/>
        <v>3969907.78</v>
      </c>
      <c r="E1088" s="60">
        <v>0</v>
      </c>
      <c r="F1088" s="60">
        <v>0</v>
      </c>
      <c r="G1088" s="60">
        <v>0</v>
      </c>
      <c r="H1088" s="60">
        <v>0</v>
      </c>
      <c r="I1088" s="60">
        <v>0</v>
      </c>
      <c r="J1088" s="60">
        <v>0</v>
      </c>
      <c r="K1088" s="168">
        <v>0</v>
      </c>
      <c r="L1088" s="60">
        <v>0</v>
      </c>
      <c r="M1088" s="60">
        <v>530</v>
      </c>
      <c r="N1088" s="60">
        <v>3766517</v>
      </c>
      <c r="O1088" s="60">
        <v>0</v>
      </c>
      <c r="P1088" s="60">
        <v>0</v>
      </c>
      <c r="Q1088" s="60">
        <v>0</v>
      </c>
      <c r="R1088" s="60">
        <v>0</v>
      </c>
      <c r="S1088" s="60">
        <v>0</v>
      </c>
      <c r="T1088" s="60">
        <v>0</v>
      </c>
      <c r="U1088" s="60">
        <v>0</v>
      </c>
      <c r="V1088" s="60">
        <v>0</v>
      </c>
      <c r="W1088" s="60">
        <v>0</v>
      </c>
      <c r="X1088" s="60">
        <v>0</v>
      </c>
      <c r="Y1088" s="60">
        <v>0</v>
      </c>
      <c r="Z1088" s="60">
        <v>0</v>
      </c>
      <c r="AA1088" s="60">
        <v>0</v>
      </c>
      <c r="AB1088" s="60">
        <v>0</v>
      </c>
      <c r="AC1088" s="60">
        <v>55367.8</v>
      </c>
      <c r="AD1088" s="60">
        <v>148022.98000000001</v>
      </c>
      <c r="AE1088" s="60">
        <v>0</v>
      </c>
      <c r="AF1088" s="170">
        <v>2022</v>
      </c>
      <c r="AG1088" s="170">
        <v>2022</v>
      </c>
      <c r="AH1088" s="63">
        <v>2022</v>
      </c>
    </row>
    <row r="1089" spans="1:34" ht="61.5" x14ac:dyDescent="0.85">
      <c r="A1089" s="7">
        <v>1</v>
      </c>
      <c r="B1089" s="59">
        <f>SUBTOTAL(103,$A$1032:A1089)</f>
        <v>58</v>
      </c>
      <c r="C1089" s="160" t="s">
        <v>528</v>
      </c>
      <c r="D1089" s="60">
        <f t="shared" si="178"/>
        <v>4502243.3600000003</v>
      </c>
      <c r="E1089" s="60">
        <v>0</v>
      </c>
      <c r="F1089" s="60">
        <v>0</v>
      </c>
      <c r="G1089" s="60">
        <v>0</v>
      </c>
      <c r="H1089" s="60">
        <v>0</v>
      </c>
      <c r="I1089" s="60">
        <v>0</v>
      </c>
      <c r="J1089" s="60">
        <v>0</v>
      </c>
      <c r="K1089" s="168">
        <v>0</v>
      </c>
      <c r="L1089" s="60">
        <v>0</v>
      </c>
      <c r="M1089" s="60">
        <v>676</v>
      </c>
      <c r="N1089" s="60">
        <v>4407914</v>
      </c>
      <c r="O1089" s="60">
        <v>0</v>
      </c>
      <c r="P1089" s="60">
        <v>0</v>
      </c>
      <c r="Q1089" s="60">
        <v>0</v>
      </c>
      <c r="R1089" s="60">
        <v>0</v>
      </c>
      <c r="S1089" s="60">
        <v>0</v>
      </c>
      <c r="T1089" s="60">
        <v>0</v>
      </c>
      <c r="U1089" s="60">
        <v>0</v>
      </c>
      <c r="V1089" s="60">
        <v>0</v>
      </c>
      <c r="W1089" s="60">
        <v>0</v>
      </c>
      <c r="X1089" s="60">
        <v>0</v>
      </c>
      <c r="Y1089" s="60">
        <v>0</v>
      </c>
      <c r="Z1089" s="60">
        <v>0</v>
      </c>
      <c r="AA1089" s="60">
        <v>0</v>
      </c>
      <c r="AB1089" s="60">
        <v>0</v>
      </c>
      <c r="AC1089" s="60">
        <f t="shared" si="177"/>
        <v>94329.36</v>
      </c>
      <c r="AD1089" s="60">
        <v>0</v>
      </c>
      <c r="AE1089" s="60">
        <v>0</v>
      </c>
      <c r="AF1089" s="170" t="s">
        <v>257</v>
      </c>
      <c r="AG1089" s="170">
        <v>2022</v>
      </c>
      <c r="AH1089" s="63">
        <v>2022</v>
      </c>
    </row>
    <row r="1090" spans="1:34" ht="61.5" x14ac:dyDescent="0.85">
      <c r="A1090" s="7">
        <v>1</v>
      </c>
      <c r="B1090" s="59">
        <f>SUBTOTAL(103,$A$1032:A1090)</f>
        <v>59</v>
      </c>
      <c r="C1090" s="160" t="s">
        <v>1515</v>
      </c>
      <c r="D1090" s="60">
        <f t="shared" si="178"/>
        <v>7333136.1200000001</v>
      </c>
      <c r="E1090" s="60">
        <v>0</v>
      </c>
      <c r="F1090" s="60">
        <v>0</v>
      </c>
      <c r="G1090" s="60">
        <v>0</v>
      </c>
      <c r="H1090" s="60">
        <v>0</v>
      </c>
      <c r="I1090" s="60">
        <v>0</v>
      </c>
      <c r="J1090" s="60">
        <v>0</v>
      </c>
      <c r="K1090" s="168">
        <v>0</v>
      </c>
      <c r="L1090" s="60">
        <v>0</v>
      </c>
      <c r="M1090" s="60">
        <v>2500</v>
      </c>
      <c r="N1090" s="60">
        <v>7226900.6799999997</v>
      </c>
      <c r="O1090" s="60">
        <v>0</v>
      </c>
      <c r="P1090" s="60">
        <v>0</v>
      </c>
      <c r="Q1090" s="60">
        <v>0</v>
      </c>
      <c r="R1090" s="60">
        <v>0</v>
      </c>
      <c r="S1090" s="60">
        <v>0</v>
      </c>
      <c r="T1090" s="60">
        <v>0</v>
      </c>
      <c r="U1090" s="60">
        <v>0</v>
      </c>
      <c r="V1090" s="60">
        <v>0</v>
      </c>
      <c r="W1090" s="60">
        <v>0</v>
      </c>
      <c r="X1090" s="60">
        <v>0</v>
      </c>
      <c r="Y1090" s="60">
        <v>0</v>
      </c>
      <c r="Z1090" s="60">
        <v>0</v>
      </c>
      <c r="AA1090" s="60">
        <v>0</v>
      </c>
      <c r="AB1090" s="60">
        <v>0</v>
      </c>
      <c r="AC1090" s="60">
        <v>106235.44</v>
      </c>
      <c r="AD1090" s="60">
        <v>0</v>
      </c>
      <c r="AE1090" s="60">
        <v>0</v>
      </c>
      <c r="AF1090" s="170" t="s">
        <v>257</v>
      </c>
      <c r="AG1090" s="170">
        <v>2022</v>
      </c>
      <c r="AH1090" s="63">
        <v>2022</v>
      </c>
    </row>
    <row r="1091" spans="1:34" ht="61.5" x14ac:dyDescent="0.85">
      <c r="A1091" s="7">
        <v>1</v>
      </c>
      <c r="B1091" s="59">
        <f>SUBTOTAL(103,$A$1032:A1091)</f>
        <v>60</v>
      </c>
      <c r="C1091" s="160" t="s">
        <v>1064</v>
      </c>
      <c r="D1091" s="60">
        <f t="shared" si="178"/>
        <v>3049899.01</v>
      </c>
      <c r="E1091" s="60">
        <v>0</v>
      </c>
      <c r="F1091" s="60">
        <v>0</v>
      </c>
      <c r="G1091" s="60">
        <v>0</v>
      </c>
      <c r="H1091" s="60">
        <v>0</v>
      </c>
      <c r="I1091" s="60">
        <v>0</v>
      </c>
      <c r="J1091" s="60">
        <v>0</v>
      </c>
      <c r="K1091" s="168">
        <v>0</v>
      </c>
      <c r="L1091" s="60">
        <v>0</v>
      </c>
      <c r="M1091" s="60">
        <v>530</v>
      </c>
      <c r="N1091" s="62">
        <v>3005715</v>
      </c>
      <c r="O1091" s="60">
        <v>0</v>
      </c>
      <c r="P1091" s="60">
        <v>0</v>
      </c>
      <c r="Q1091" s="60">
        <v>0</v>
      </c>
      <c r="R1091" s="60">
        <v>0</v>
      </c>
      <c r="S1091" s="60">
        <v>0</v>
      </c>
      <c r="T1091" s="60">
        <v>0</v>
      </c>
      <c r="U1091" s="60">
        <v>0</v>
      </c>
      <c r="V1091" s="60">
        <v>0</v>
      </c>
      <c r="W1091" s="60">
        <v>0</v>
      </c>
      <c r="X1091" s="60">
        <v>0</v>
      </c>
      <c r="Y1091" s="60">
        <v>0</v>
      </c>
      <c r="Z1091" s="60">
        <v>0</v>
      </c>
      <c r="AA1091" s="60">
        <v>0</v>
      </c>
      <c r="AB1091" s="60">
        <v>0</v>
      </c>
      <c r="AC1091" s="60">
        <v>44184.01</v>
      </c>
      <c r="AD1091" s="60">
        <v>0</v>
      </c>
      <c r="AE1091" s="60">
        <v>0</v>
      </c>
      <c r="AF1091" s="170" t="s">
        <v>257</v>
      </c>
      <c r="AG1091" s="170">
        <v>2022</v>
      </c>
      <c r="AH1091" s="63">
        <v>2022</v>
      </c>
    </row>
    <row r="1092" spans="1:34" ht="61.5" x14ac:dyDescent="0.85">
      <c r="A1092" s="7">
        <v>1</v>
      </c>
      <c r="B1092" s="59">
        <f>SUBTOTAL(103,$A$1032:A1092)</f>
        <v>61</v>
      </c>
      <c r="C1092" s="160" t="s">
        <v>1065</v>
      </c>
      <c r="D1092" s="60">
        <f t="shared" si="178"/>
        <v>3604235.71</v>
      </c>
      <c r="E1092" s="60">
        <v>0</v>
      </c>
      <c r="F1092" s="60">
        <v>0</v>
      </c>
      <c r="G1092" s="60">
        <v>0</v>
      </c>
      <c r="H1092" s="60">
        <v>0</v>
      </c>
      <c r="I1092" s="60">
        <v>0</v>
      </c>
      <c r="J1092" s="60">
        <v>0</v>
      </c>
      <c r="K1092" s="168">
        <v>0</v>
      </c>
      <c r="L1092" s="60">
        <v>0</v>
      </c>
      <c r="M1092" s="60">
        <v>579.14</v>
      </c>
      <c r="N1092" s="62">
        <v>3552021</v>
      </c>
      <c r="O1092" s="60">
        <v>0</v>
      </c>
      <c r="P1092" s="60">
        <v>0</v>
      </c>
      <c r="Q1092" s="60">
        <v>0</v>
      </c>
      <c r="R1092" s="60">
        <v>0</v>
      </c>
      <c r="S1092" s="60">
        <v>0</v>
      </c>
      <c r="T1092" s="60">
        <v>0</v>
      </c>
      <c r="U1092" s="60">
        <v>0</v>
      </c>
      <c r="V1092" s="60">
        <v>0</v>
      </c>
      <c r="W1092" s="60">
        <v>0</v>
      </c>
      <c r="X1092" s="60">
        <v>0</v>
      </c>
      <c r="Y1092" s="60">
        <v>0</v>
      </c>
      <c r="Z1092" s="60">
        <v>0</v>
      </c>
      <c r="AA1092" s="60">
        <v>0</v>
      </c>
      <c r="AB1092" s="60">
        <v>0</v>
      </c>
      <c r="AC1092" s="60">
        <v>52214.71</v>
      </c>
      <c r="AD1092" s="60">
        <v>0</v>
      </c>
      <c r="AE1092" s="60">
        <v>0</v>
      </c>
      <c r="AF1092" s="170" t="s">
        <v>257</v>
      </c>
      <c r="AG1092" s="170">
        <v>2022</v>
      </c>
      <c r="AH1092" s="63">
        <v>2022</v>
      </c>
    </row>
    <row r="1093" spans="1:34" ht="61.5" x14ac:dyDescent="0.85">
      <c r="A1093" s="7">
        <v>1</v>
      </c>
      <c r="B1093" s="59">
        <f>SUBTOTAL(103,$A$1032:A1093)</f>
        <v>62</v>
      </c>
      <c r="C1093" s="160" t="s">
        <v>530</v>
      </c>
      <c r="D1093" s="60">
        <f t="shared" si="178"/>
        <v>4343177.3</v>
      </c>
      <c r="E1093" s="60">
        <v>0</v>
      </c>
      <c r="F1093" s="60">
        <v>0</v>
      </c>
      <c r="G1093" s="60">
        <v>0</v>
      </c>
      <c r="H1093" s="60">
        <v>0</v>
      </c>
      <c r="I1093" s="60">
        <v>0</v>
      </c>
      <c r="J1093" s="60">
        <v>0</v>
      </c>
      <c r="K1093" s="168">
        <v>0</v>
      </c>
      <c r="L1093" s="60">
        <v>0</v>
      </c>
      <c r="M1093" s="60">
        <v>583</v>
      </c>
      <c r="N1093" s="62">
        <v>4195414</v>
      </c>
      <c r="O1093" s="60">
        <v>0</v>
      </c>
      <c r="P1093" s="60">
        <v>0</v>
      </c>
      <c r="Q1093" s="60">
        <v>0</v>
      </c>
      <c r="R1093" s="60">
        <v>0</v>
      </c>
      <c r="S1093" s="60">
        <v>0</v>
      </c>
      <c r="T1093" s="60">
        <v>0</v>
      </c>
      <c r="U1093" s="60">
        <v>0</v>
      </c>
      <c r="V1093" s="60">
        <v>0</v>
      </c>
      <c r="W1093" s="60">
        <v>0</v>
      </c>
      <c r="X1093" s="60">
        <v>0</v>
      </c>
      <c r="Y1093" s="60">
        <v>0</v>
      </c>
      <c r="Z1093" s="60">
        <v>0</v>
      </c>
      <c r="AA1093" s="60">
        <v>0</v>
      </c>
      <c r="AB1093" s="60">
        <v>0</v>
      </c>
      <c r="AC1093" s="60">
        <v>61672.59</v>
      </c>
      <c r="AD1093" s="60">
        <v>86090.71</v>
      </c>
      <c r="AE1093" s="60">
        <v>0</v>
      </c>
      <c r="AF1093" s="170">
        <v>2022</v>
      </c>
      <c r="AG1093" s="170">
        <v>2022</v>
      </c>
      <c r="AH1093" s="63">
        <v>2022</v>
      </c>
    </row>
    <row r="1094" spans="1:34" ht="61.5" x14ac:dyDescent="0.85">
      <c r="A1094" s="7">
        <v>1</v>
      </c>
      <c r="B1094" s="59">
        <f>SUBTOTAL(103,$A$1032:A1094)</f>
        <v>63</v>
      </c>
      <c r="C1094" s="160" t="s">
        <v>456</v>
      </c>
      <c r="D1094" s="60">
        <f t="shared" si="178"/>
        <v>106034.89</v>
      </c>
      <c r="E1094" s="60">
        <v>0</v>
      </c>
      <c r="F1094" s="60">
        <v>0</v>
      </c>
      <c r="G1094" s="60">
        <v>0</v>
      </c>
      <c r="H1094" s="60">
        <v>0</v>
      </c>
      <c r="I1094" s="60">
        <v>0</v>
      </c>
      <c r="J1094" s="60">
        <v>0</v>
      </c>
      <c r="K1094" s="168">
        <v>0</v>
      </c>
      <c r="L1094" s="60">
        <v>0</v>
      </c>
      <c r="M1094" s="60">
        <v>0</v>
      </c>
      <c r="N1094" s="62">
        <v>0</v>
      </c>
      <c r="O1094" s="60">
        <v>0</v>
      </c>
      <c r="P1094" s="60">
        <v>0</v>
      </c>
      <c r="Q1094" s="60">
        <v>0</v>
      </c>
      <c r="R1094" s="60">
        <v>0</v>
      </c>
      <c r="S1094" s="60">
        <v>0</v>
      </c>
      <c r="T1094" s="60">
        <v>0</v>
      </c>
      <c r="U1094" s="60">
        <v>0</v>
      </c>
      <c r="V1094" s="60">
        <v>0</v>
      </c>
      <c r="W1094" s="60">
        <v>0</v>
      </c>
      <c r="X1094" s="60">
        <v>0</v>
      </c>
      <c r="Y1094" s="60">
        <v>0</v>
      </c>
      <c r="Z1094" s="60">
        <v>0</v>
      </c>
      <c r="AA1094" s="60">
        <v>0</v>
      </c>
      <c r="AB1094" s="60">
        <v>0</v>
      </c>
      <c r="AC1094" s="60">
        <f t="shared" ref="AC1094:AC1098" si="179">ROUND(N1094*2.14%,2)+ROUND(E1094*2.14%,2)+ROUND(F1094*2.14%,2)+ROUND(G1094*2.14%,2)+ROUND(H1094*2.14%,2)+ROUND(I1094*2.14%,2)+ROUND(J1094*2.14%,2)+ROUND(L1094*2.14%,2)+ROUND(P1094*2.14%,2)+ROUND(R1094*2.14%,2)+ROUND(T1094*2.14%,2)+ROUND(U1094*2.14%,2)+ROUND(V1094*2.14%,2)+ROUND(W1094*2.14%,2)+ROUND(X1094*2.14%,2)+ROUND(Y1094*2.14%,2)+ROUND(Z1094*2.14%,2)+ROUND(AA1094*2.14%,2)+ROUND(AB1094*2.14%,2)</f>
        <v>0</v>
      </c>
      <c r="AD1094" s="169">
        <v>106034.89</v>
      </c>
      <c r="AE1094" s="60">
        <v>0</v>
      </c>
      <c r="AF1094" s="170">
        <v>2022</v>
      </c>
      <c r="AG1094" s="170" t="s">
        <v>257</v>
      </c>
      <c r="AH1094" s="170" t="s">
        <v>257</v>
      </c>
    </row>
    <row r="1095" spans="1:34" ht="61.5" x14ac:dyDescent="0.85">
      <c r="A1095" s="7">
        <v>1</v>
      </c>
      <c r="B1095" s="59">
        <f>SUBTOTAL(103,$A$1032:A1095)</f>
        <v>64</v>
      </c>
      <c r="C1095" s="160" t="s">
        <v>500</v>
      </c>
      <c r="D1095" s="60">
        <f t="shared" si="178"/>
        <v>2706466.5500000003</v>
      </c>
      <c r="E1095" s="60">
        <v>0</v>
      </c>
      <c r="F1095" s="60">
        <v>0</v>
      </c>
      <c r="G1095" s="60">
        <v>0</v>
      </c>
      <c r="H1095" s="60">
        <v>0</v>
      </c>
      <c r="I1095" s="60">
        <v>0</v>
      </c>
      <c r="J1095" s="60">
        <v>0</v>
      </c>
      <c r="K1095" s="168">
        <v>0</v>
      </c>
      <c r="L1095" s="60">
        <v>0</v>
      </c>
      <c r="M1095" s="62">
        <v>873.36</v>
      </c>
      <c r="N1095" s="62">
        <v>2651428.2000000002</v>
      </c>
      <c r="O1095" s="60">
        <v>0</v>
      </c>
      <c r="P1095" s="60">
        <v>0</v>
      </c>
      <c r="Q1095" s="60">
        <v>0</v>
      </c>
      <c r="R1095" s="60">
        <v>0</v>
      </c>
      <c r="S1095" s="60">
        <v>0</v>
      </c>
      <c r="T1095" s="60">
        <v>0</v>
      </c>
      <c r="U1095" s="60">
        <v>0</v>
      </c>
      <c r="V1095" s="60">
        <v>0</v>
      </c>
      <c r="W1095" s="60">
        <v>0</v>
      </c>
      <c r="X1095" s="60">
        <v>0</v>
      </c>
      <c r="Y1095" s="60">
        <v>0</v>
      </c>
      <c r="Z1095" s="60">
        <v>0</v>
      </c>
      <c r="AA1095" s="60">
        <v>0</v>
      </c>
      <c r="AB1095" s="60">
        <v>0</v>
      </c>
      <c r="AC1095" s="60">
        <v>55038.35</v>
      </c>
      <c r="AD1095" s="60">
        <v>0</v>
      </c>
      <c r="AE1095" s="60">
        <v>0</v>
      </c>
      <c r="AF1095" s="170" t="s">
        <v>257</v>
      </c>
      <c r="AG1095" s="170">
        <v>2022</v>
      </c>
      <c r="AH1095" s="170">
        <v>2022</v>
      </c>
    </row>
    <row r="1096" spans="1:34" ht="61.5" x14ac:dyDescent="0.85">
      <c r="A1096" s="7">
        <v>1</v>
      </c>
      <c r="B1096" s="59">
        <f>SUBTOTAL(103,$A$1032:A1096)</f>
        <v>65</v>
      </c>
      <c r="C1096" s="160" t="s">
        <v>2900</v>
      </c>
      <c r="D1096" s="60">
        <f t="shared" si="178"/>
        <v>3991811.92</v>
      </c>
      <c r="E1096" s="60">
        <v>0</v>
      </c>
      <c r="F1096" s="60">
        <v>0</v>
      </c>
      <c r="G1096" s="60">
        <v>0</v>
      </c>
      <c r="H1096" s="60">
        <v>0</v>
      </c>
      <c r="I1096" s="60">
        <v>0</v>
      </c>
      <c r="J1096" s="60">
        <v>0</v>
      </c>
      <c r="K1096" s="168">
        <v>0</v>
      </c>
      <c r="L1096" s="60">
        <v>0</v>
      </c>
      <c r="M1096" s="60">
        <v>845.43</v>
      </c>
      <c r="N1096" s="60">
        <v>3755216</v>
      </c>
      <c r="O1096" s="60">
        <v>0</v>
      </c>
      <c r="P1096" s="60">
        <v>0</v>
      </c>
      <c r="Q1096" s="60">
        <v>0</v>
      </c>
      <c r="R1096" s="60">
        <v>0</v>
      </c>
      <c r="S1096" s="60">
        <v>0</v>
      </c>
      <c r="T1096" s="60">
        <v>0</v>
      </c>
      <c r="U1096" s="60">
        <v>0</v>
      </c>
      <c r="V1096" s="60">
        <v>0</v>
      </c>
      <c r="W1096" s="60">
        <v>0</v>
      </c>
      <c r="X1096" s="60">
        <v>0</v>
      </c>
      <c r="Y1096" s="60">
        <v>0</v>
      </c>
      <c r="Z1096" s="60">
        <v>0</v>
      </c>
      <c r="AA1096" s="60">
        <v>0</v>
      </c>
      <c r="AB1096" s="60">
        <v>0</v>
      </c>
      <c r="AC1096" s="60">
        <v>77950.77</v>
      </c>
      <c r="AD1096" s="60">
        <v>158645.15</v>
      </c>
      <c r="AE1096" s="60">
        <v>0</v>
      </c>
      <c r="AF1096" s="170">
        <v>2022</v>
      </c>
      <c r="AG1096" s="170">
        <v>2022</v>
      </c>
      <c r="AH1096" s="63">
        <v>2022</v>
      </c>
    </row>
    <row r="1097" spans="1:34" ht="61.5" x14ac:dyDescent="0.85">
      <c r="A1097" s="7">
        <v>1</v>
      </c>
      <c r="B1097" s="59">
        <f>SUBTOTAL(103,$A$1032:A1097)</f>
        <v>66</v>
      </c>
      <c r="C1097" s="160" t="s">
        <v>2901</v>
      </c>
      <c r="D1097" s="60">
        <f t="shared" si="178"/>
        <v>97794.52</v>
      </c>
      <c r="E1097" s="60">
        <v>0</v>
      </c>
      <c r="F1097" s="60">
        <v>0</v>
      </c>
      <c r="G1097" s="60">
        <v>0</v>
      </c>
      <c r="H1097" s="60">
        <v>0</v>
      </c>
      <c r="I1097" s="60">
        <v>0</v>
      </c>
      <c r="J1097" s="60">
        <v>0</v>
      </c>
      <c r="K1097" s="168">
        <v>0</v>
      </c>
      <c r="L1097" s="60">
        <v>0</v>
      </c>
      <c r="M1097" s="60">
        <v>0</v>
      </c>
      <c r="N1097" s="60">
        <v>0</v>
      </c>
      <c r="O1097" s="60">
        <v>0</v>
      </c>
      <c r="P1097" s="60">
        <v>0</v>
      </c>
      <c r="Q1097" s="60">
        <v>0</v>
      </c>
      <c r="R1097" s="60">
        <v>0</v>
      </c>
      <c r="S1097" s="60">
        <v>0</v>
      </c>
      <c r="T1097" s="60">
        <v>0</v>
      </c>
      <c r="U1097" s="60">
        <v>0</v>
      </c>
      <c r="V1097" s="60">
        <v>0</v>
      </c>
      <c r="W1097" s="60">
        <v>0</v>
      </c>
      <c r="X1097" s="60">
        <v>0</v>
      </c>
      <c r="Y1097" s="60">
        <v>0</v>
      </c>
      <c r="Z1097" s="60">
        <v>0</v>
      </c>
      <c r="AA1097" s="60">
        <v>0</v>
      </c>
      <c r="AB1097" s="60">
        <v>0</v>
      </c>
      <c r="AC1097" s="60">
        <f t="shared" si="179"/>
        <v>0</v>
      </c>
      <c r="AD1097" s="60">
        <v>97794.52</v>
      </c>
      <c r="AE1097" s="60">
        <v>0</v>
      </c>
      <c r="AF1097" s="170">
        <v>2022</v>
      </c>
      <c r="AG1097" s="170" t="s">
        <v>257</v>
      </c>
      <c r="AH1097" s="63" t="s">
        <v>257</v>
      </c>
    </row>
    <row r="1098" spans="1:34" ht="61.5" x14ac:dyDescent="0.85">
      <c r="A1098" s="7">
        <v>1</v>
      </c>
      <c r="B1098" s="59">
        <f>SUBTOTAL(103,$A$1032:A1098)</f>
        <v>67</v>
      </c>
      <c r="C1098" s="160" t="s">
        <v>2902</v>
      </c>
      <c r="D1098" s="60">
        <f t="shared" si="178"/>
        <v>92769.52</v>
      </c>
      <c r="E1098" s="60">
        <v>0</v>
      </c>
      <c r="F1098" s="60">
        <v>0</v>
      </c>
      <c r="G1098" s="60">
        <v>0</v>
      </c>
      <c r="H1098" s="60">
        <v>0</v>
      </c>
      <c r="I1098" s="60">
        <v>0</v>
      </c>
      <c r="J1098" s="60">
        <v>0</v>
      </c>
      <c r="K1098" s="168">
        <v>0</v>
      </c>
      <c r="L1098" s="60">
        <v>0</v>
      </c>
      <c r="M1098" s="60">
        <v>0</v>
      </c>
      <c r="N1098" s="60">
        <v>0</v>
      </c>
      <c r="O1098" s="60">
        <v>0</v>
      </c>
      <c r="P1098" s="60">
        <v>0</v>
      </c>
      <c r="Q1098" s="60">
        <v>0</v>
      </c>
      <c r="R1098" s="60">
        <v>0</v>
      </c>
      <c r="S1098" s="60">
        <v>0</v>
      </c>
      <c r="T1098" s="60">
        <v>0</v>
      </c>
      <c r="U1098" s="60">
        <v>0</v>
      </c>
      <c r="V1098" s="60">
        <v>0</v>
      </c>
      <c r="W1098" s="60">
        <v>0</v>
      </c>
      <c r="X1098" s="60">
        <v>0</v>
      </c>
      <c r="Y1098" s="60">
        <v>0</v>
      </c>
      <c r="Z1098" s="60">
        <v>0</v>
      </c>
      <c r="AA1098" s="60">
        <v>0</v>
      </c>
      <c r="AB1098" s="60">
        <v>0</v>
      </c>
      <c r="AC1098" s="60">
        <f t="shared" si="179"/>
        <v>0</v>
      </c>
      <c r="AD1098" s="60">
        <v>92769.52</v>
      </c>
      <c r="AE1098" s="60">
        <v>0</v>
      </c>
      <c r="AF1098" s="170">
        <v>2022</v>
      </c>
      <c r="AG1098" s="170" t="s">
        <v>257</v>
      </c>
      <c r="AH1098" s="63" t="s">
        <v>257</v>
      </c>
    </row>
    <row r="1099" spans="1:34" ht="61.5" x14ac:dyDescent="0.85">
      <c r="A1099" s="7">
        <v>1</v>
      </c>
      <c r="B1099" s="59">
        <f>SUBTOTAL(103,$A$1032:A1099)</f>
        <v>68</v>
      </c>
      <c r="C1099" s="160" t="s">
        <v>1821</v>
      </c>
      <c r="D1099" s="60">
        <f t="shared" si="178"/>
        <v>349319.53</v>
      </c>
      <c r="E1099" s="60">
        <v>0</v>
      </c>
      <c r="F1099" s="60">
        <v>0</v>
      </c>
      <c r="G1099" s="60">
        <v>0</v>
      </c>
      <c r="H1099" s="60">
        <v>0</v>
      </c>
      <c r="I1099" s="60">
        <v>0</v>
      </c>
      <c r="J1099" s="60">
        <v>0</v>
      </c>
      <c r="K1099" s="168">
        <v>0</v>
      </c>
      <c r="L1099" s="60">
        <v>0</v>
      </c>
      <c r="M1099" s="60">
        <v>0</v>
      </c>
      <c r="N1099" s="60">
        <v>0</v>
      </c>
      <c r="O1099" s="60">
        <v>0</v>
      </c>
      <c r="P1099" s="60">
        <v>0</v>
      </c>
      <c r="Q1099" s="60">
        <v>0</v>
      </c>
      <c r="R1099" s="60">
        <v>0</v>
      </c>
      <c r="S1099" s="60">
        <v>0</v>
      </c>
      <c r="T1099" s="60">
        <v>0</v>
      </c>
      <c r="U1099" s="60">
        <v>0</v>
      </c>
      <c r="V1099" s="60">
        <v>0</v>
      </c>
      <c r="W1099" s="60">
        <v>0</v>
      </c>
      <c r="X1099" s="60">
        <v>0</v>
      </c>
      <c r="Y1099" s="60">
        <v>0</v>
      </c>
      <c r="Z1099" s="60">
        <v>0</v>
      </c>
      <c r="AA1099" s="60">
        <v>0</v>
      </c>
      <c r="AB1099" s="60">
        <v>0</v>
      </c>
      <c r="AC1099" s="60">
        <v>0</v>
      </c>
      <c r="AD1099" s="60">
        <v>349319.53</v>
      </c>
      <c r="AE1099" s="60">
        <v>0</v>
      </c>
      <c r="AF1099" s="170">
        <v>2022</v>
      </c>
      <c r="AG1099" s="170" t="s">
        <v>257</v>
      </c>
      <c r="AH1099" s="63" t="s">
        <v>257</v>
      </c>
    </row>
    <row r="1100" spans="1:34" ht="61.5" x14ac:dyDescent="0.85">
      <c r="A1100" s="7">
        <v>1</v>
      </c>
      <c r="B1100" s="59">
        <f>SUBTOTAL(103,$A$1032:A1100)</f>
        <v>69</v>
      </c>
      <c r="C1100" s="160" t="s">
        <v>3225</v>
      </c>
      <c r="D1100" s="60">
        <f t="shared" si="178"/>
        <v>40092462.82</v>
      </c>
      <c r="E1100" s="60">
        <v>0</v>
      </c>
      <c r="F1100" s="60">
        <v>0</v>
      </c>
      <c r="G1100" s="60">
        <v>0</v>
      </c>
      <c r="H1100" s="60">
        <v>0</v>
      </c>
      <c r="I1100" s="60">
        <v>0</v>
      </c>
      <c r="J1100" s="60">
        <v>0</v>
      </c>
      <c r="K1100" s="168">
        <v>0</v>
      </c>
      <c r="L1100" s="60">
        <v>0</v>
      </c>
      <c r="M1100" s="60">
        <v>0</v>
      </c>
      <c r="N1100" s="60">
        <v>0</v>
      </c>
      <c r="O1100" s="60">
        <v>0</v>
      </c>
      <c r="P1100" s="60">
        <v>0</v>
      </c>
      <c r="Q1100" s="60">
        <v>6541.7</v>
      </c>
      <c r="R1100" s="60">
        <v>35336512.689999998</v>
      </c>
      <c r="S1100" s="60">
        <v>0</v>
      </c>
      <c r="T1100" s="60">
        <v>0</v>
      </c>
      <c r="U1100" s="60">
        <v>0</v>
      </c>
      <c r="V1100" s="60">
        <v>0</v>
      </c>
      <c r="W1100" s="60">
        <v>0</v>
      </c>
      <c r="X1100" s="60">
        <v>0</v>
      </c>
      <c r="Y1100" s="60">
        <v>0</v>
      </c>
      <c r="Z1100" s="60">
        <v>0</v>
      </c>
      <c r="AA1100" s="60">
        <v>261153.49</v>
      </c>
      <c r="AB1100" s="60">
        <v>3357404.2199999997</v>
      </c>
      <c r="AC1100" s="60">
        <f>ROUND(N1100*2.14%,2)+ROUND(E1100*2.14%,2)+ROUND(F1100*2.14%,2)+ROUND(G1100*2.14%,2)+ROUND(H1100*2.14%,2)+ROUND(I1100*2.14%,2)+ROUND(J1100*2.14%,2)+ROUND(L1100*2.14%,2)+ROUND(P1100*2.14%,2)+ROUND(R1100*2.14%,2)+ROUND(T1100*2.14%,2)+ROUND(U1100*2.14%,2)+ROUND(V1100*2.14%,2)+ROUND(W1100*2.14%,2)+ROUND(X1100*2.14%,2)+ROUND(Y1100*2.14%,2)+ROUND(Z1100*2.14%,2)+ROUND(AA1100*2.14%,2)+ROUND(AB1100*2.14%,2)</f>
        <v>833638.5</v>
      </c>
      <c r="AD1100" s="60">
        <v>303753.92</v>
      </c>
      <c r="AE1100" s="60">
        <v>0</v>
      </c>
      <c r="AF1100" s="170">
        <v>2022</v>
      </c>
      <c r="AG1100" s="170">
        <v>2022</v>
      </c>
      <c r="AH1100" s="63">
        <v>2022</v>
      </c>
    </row>
    <row r="1101" spans="1:34" ht="61.5" x14ac:dyDescent="0.85">
      <c r="A1101" s="7">
        <v>1</v>
      </c>
      <c r="B1101" s="59">
        <f>SUBTOTAL(103,$A$1032:A1101)</f>
        <v>70</v>
      </c>
      <c r="C1101" s="160" t="s">
        <v>2205</v>
      </c>
      <c r="D1101" s="60">
        <f t="shared" si="178"/>
        <v>15844096.42</v>
      </c>
      <c r="E1101" s="60">
        <v>0</v>
      </c>
      <c r="F1101" s="60">
        <v>0</v>
      </c>
      <c r="G1101" s="60">
        <v>0</v>
      </c>
      <c r="H1101" s="60">
        <v>0</v>
      </c>
      <c r="I1101" s="60">
        <v>0</v>
      </c>
      <c r="J1101" s="60">
        <v>0</v>
      </c>
      <c r="K1101" s="168">
        <v>0</v>
      </c>
      <c r="L1101" s="60">
        <v>0</v>
      </c>
      <c r="M1101" s="60">
        <v>0</v>
      </c>
      <c r="N1101" s="60">
        <v>0</v>
      </c>
      <c r="O1101" s="60">
        <v>0</v>
      </c>
      <c r="P1101" s="60">
        <v>0</v>
      </c>
      <c r="Q1101" s="60">
        <v>1650</v>
      </c>
      <c r="R1101" s="60">
        <v>14094196.73</v>
      </c>
      <c r="S1101" s="60">
        <v>0</v>
      </c>
      <c r="T1101" s="60">
        <v>0</v>
      </c>
      <c r="U1101" s="60">
        <v>0</v>
      </c>
      <c r="V1101" s="60">
        <v>0</v>
      </c>
      <c r="W1101" s="60">
        <v>0</v>
      </c>
      <c r="X1101" s="60">
        <v>0</v>
      </c>
      <c r="Y1101" s="60">
        <v>0</v>
      </c>
      <c r="Z1101" s="60">
        <v>0</v>
      </c>
      <c r="AA1101" s="60">
        <v>0</v>
      </c>
      <c r="AB1101" s="60">
        <v>1000000</v>
      </c>
      <c r="AC1101" s="60">
        <f>ROUND(R1101*2.0758%,2)+ROUND(AB1101*2.0758%,2)</f>
        <v>313325.34000000003</v>
      </c>
      <c r="AD1101" s="60">
        <v>436574.35</v>
      </c>
      <c r="AE1101" s="60">
        <v>0</v>
      </c>
      <c r="AF1101" s="170">
        <v>2022</v>
      </c>
      <c r="AG1101" s="170">
        <v>2022</v>
      </c>
      <c r="AH1101" s="63">
        <v>2022</v>
      </c>
    </row>
    <row r="1102" spans="1:34" ht="61.5" x14ac:dyDescent="0.85">
      <c r="A1102" s="7">
        <v>1</v>
      </c>
      <c r="B1102" s="59">
        <f>SUBTOTAL(103,$A$1032:A1102)</f>
        <v>71</v>
      </c>
      <c r="C1102" s="160" t="s">
        <v>3226</v>
      </c>
      <c r="D1102" s="60">
        <f t="shared" si="178"/>
        <v>2890775.6799999997</v>
      </c>
      <c r="E1102" s="60">
        <v>0</v>
      </c>
      <c r="F1102" s="60">
        <v>0</v>
      </c>
      <c r="G1102" s="60">
        <v>0</v>
      </c>
      <c r="H1102" s="60">
        <v>0</v>
      </c>
      <c r="I1102" s="60">
        <v>0</v>
      </c>
      <c r="J1102" s="60">
        <v>0</v>
      </c>
      <c r="K1102" s="168">
        <v>0</v>
      </c>
      <c r="L1102" s="60">
        <v>0</v>
      </c>
      <c r="M1102" s="60">
        <v>0</v>
      </c>
      <c r="N1102" s="60">
        <v>0</v>
      </c>
      <c r="O1102" s="60">
        <v>0</v>
      </c>
      <c r="P1102" s="60">
        <v>0</v>
      </c>
      <c r="Q1102" s="60">
        <v>0</v>
      </c>
      <c r="R1102" s="60">
        <v>0</v>
      </c>
      <c r="S1102" s="60">
        <v>0</v>
      </c>
      <c r="T1102" s="60">
        <v>0</v>
      </c>
      <c r="U1102" s="60">
        <v>0</v>
      </c>
      <c r="V1102" s="60">
        <v>0</v>
      </c>
      <c r="W1102" s="60">
        <v>0</v>
      </c>
      <c r="X1102" s="60">
        <v>0</v>
      </c>
      <c r="Y1102" s="60">
        <v>0</v>
      </c>
      <c r="Z1102" s="60">
        <v>0</v>
      </c>
      <c r="AA1102" s="60">
        <v>0</v>
      </c>
      <c r="AB1102" s="60">
        <v>2707832.02</v>
      </c>
      <c r="AC1102" s="60">
        <f>ROUND(N1102*2.14%,2)+ROUND(E1102*2.14%,2)+ROUND(F1102*2.14%,2)+ROUND(G1102*2.14%,2)+ROUND(H1102*2.14%,2)+ROUND(I1102*2.14%,2)+ROUND(J1102*2.14%,2)+ROUND(L1102*2.14%,2)+ROUND(P1102*2.14%,2)+ROUND(R1102*2.14%,2)+ROUND(T1102*2.14%,2)+ROUND(U1102*2.14%,2)+ROUND(V1102*2.14%,2)+ROUND(W1102*2.14%,2)+ROUND(X1102*2.14%,2)+ROUND(Y1102*2.14%,2)+ROUND(Z1102*2.14%,2)+ROUND(AA1102*2.14%,2)+ROUND(AB1102*2.14%,2)</f>
        <v>57947.61</v>
      </c>
      <c r="AD1102" s="60">
        <v>124996.05</v>
      </c>
      <c r="AE1102" s="60">
        <v>0</v>
      </c>
      <c r="AF1102" s="170">
        <v>2022</v>
      </c>
      <c r="AG1102" s="170">
        <v>2022</v>
      </c>
      <c r="AH1102" s="63">
        <v>2022</v>
      </c>
    </row>
    <row r="1103" spans="1:34" ht="61.5" x14ac:dyDescent="0.85">
      <c r="A1103" s="7">
        <v>1</v>
      </c>
      <c r="B1103" s="59">
        <f>SUBTOTAL(103,$A$1032:A1103)</f>
        <v>72</v>
      </c>
      <c r="C1103" s="160" t="s">
        <v>1578</v>
      </c>
      <c r="D1103" s="60">
        <f t="shared" si="178"/>
        <v>99991.4</v>
      </c>
      <c r="E1103" s="60">
        <v>0</v>
      </c>
      <c r="F1103" s="60">
        <v>0</v>
      </c>
      <c r="G1103" s="60">
        <v>0</v>
      </c>
      <c r="H1103" s="60">
        <v>0</v>
      </c>
      <c r="I1103" s="60">
        <v>0</v>
      </c>
      <c r="J1103" s="60">
        <v>0</v>
      </c>
      <c r="K1103" s="168">
        <v>0</v>
      </c>
      <c r="L1103" s="60">
        <v>0</v>
      </c>
      <c r="M1103" s="60">
        <v>0</v>
      </c>
      <c r="N1103" s="60">
        <v>0</v>
      </c>
      <c r="O1103" s="60">
        <v>0</v>
      </c>
      <c r="P1103" s="60">
        <v>0</v>
      </c>
      <c r="Q1103" s="60">
        <v>0</v>
      </c>
      <c r="R1103" s="60">
        <v>0</v>
      </c>
      <c r="S1103" s="60">
        <v>0</v>
      </c>
      <c r="T1103" s="60">
        <v>0</v>
      </c>
      <c r="U1103" s="60">
        <v>0</v>
      </c>
      <c r="V1103" s="60">
        <v>0</v>
      </c>
      <c r="W1103" s="60">
        <v>0</v>
      </c>
      <c r="X1103" s="60">
        <v>0</v>
      </c>
      <c r="Y1103" s="60">
        <v>0</v>
      </c>
      <c r="Z1103" s="60">
        <v>0</v>
      </c>
      <c r="AA1103" s="60">
        <v>0</v>
      </c>
      <c r="AB1103" s="60">
        <v>0</v>
      </c>
      <c r="AC1103" s="60">
        <v>0</v>
      </c>
      <c r="AD1103" s="60">
        <v>99991.4</v>
      </c>
      <c r="AE1103" s="60">
        <v>0</v>
      </c>
      <c r="AF1103" s="170">
        <v>2022</v>
      </c>
      <c r="AG1103" s="170" t="s">
        <v>257</v>
      </c>
      <c r="AH1103" s="63" t="s">
        <v>257</v>
      </c>
    </row>
    <row r="1104" spans="1:34" ht="61.5" x14ac:dyDescent="0.85">
      <c r="A1104" s="7">
        <v>1</v>
      </c>
      <c r="B1104" s="59">
        <f>SUBTOTAL(103,$A$1032:A1104)</f>
        <v>73</v>
      </c>
      <c r="C1104" s="160" t="s">
        <v>558</v>
      </c>
      <c r="D1104" s="60">
        <f t="shared" si="178"/>
        <v>4619289.84</v>
      </c>
      <c r="E1104" s="60">
        <v>0</v>
      </c>
      <c r="F1104" s="60">
        <v>0</v>
      </c>
      <c r="G1104" s="60">
        <v>0</v>
      </c>
      <c r="H1104" s="60">
        <v>0</v>
      </c>
      <c r="I1104" s="60">
        <v>0</v>
      </c>
      <c r="J1104" s="60">
        <v>0</v>
      </c>
      <c r="K1104" s="168">
        <v>0</v>
      </c>
      <c r="L1104" s="60">
        <v>0</v>
      </c>
      <c r="M1104" s="60">
        <v>567.45000000000005</v>
      </c>
      <c r="N1104" s="60">
        <v>4552370</v>
      </c>
      <c r="O1104" s="60">
        <v>0</v>
      </c>
      <c r="P1104" s="60">
        <v>0</v>
      </c>
      <c r="Q1104" s="60">
        <v>0</v>
      </c>
      <c r="R1104" s="60">
        <v>0</v>
      </c>
      <c r="S1104" s="60">
        <v>0</v>
      </c>
      <c r="T1104" s="60">
        <v>0</v>
      </c>
      <c r="U1104" s="60">
        <v>0</v>
      </c>
      <c r="V1104" s="60">
        <v>0</v>
      </c>
      <c r="W1104" s="60">
        <v>0</v>
      </c>
      <c r="X1104" s="60">
        <v>0</v>
      </c>
      <c r="Y1104" s="60">
        <v>0</v>
      </c>
      <c r="Z1104" s="60">
        <v>0</v>
      </c>
      <c r="AA1104" s="60">
        <v>0</v>
      </c>
      <c r="AB1104" s="60">
        <v>0</v>
      </c>
      <c r="AC1104" s="60">
        <v>66919.839999999997</v>
      </c>
      <c r="AD1104" s="60">
        <v>0</v>
      </c>
      <c r="AE1104" s="60">
        <v>0</v>
      </c>
      <c r="AF1104" s="170" t="s">
        <v>257</v>
      </c>
      <c r="AG1104" s="170">
        <v>2022</v>
      </c>
      <c r="AH1104" s="63">
        <v>2022</v>
      </c>
    </row>
    <row r="1105" spans="1:34" ht="61.5" x14ac:dyDescent="0.85">
      <c r="A1105" s="7">
        <v>1</v>
      </c>
      <c r="B1105" s="59">
        <f>SUBTOTAL(103,$A$1032:A1105)</f>
        <v>74</v>
      </c>
      <c r="C1105" s="160" t="s">
        <v>555</v>
      </c>
      <c r="D1105" s="60">
        <f t="shared" si="178"/>
        <v>4618519.68</v>
      </c>
      <c r="E1105" s="60">
        <v>0</v>
      </c>
      <c r="F1105" s="60">
        <v>0</v>
      </c>
      <c r="G1105" s="60">
        <v>0</v>
      </c>
      <c r="H1105" s="60">
        <v>0</v>
      </c>
      <c r="I1105" s="60">
        <v>0</v>
      </c>
      <c r="J1105" s="60">
        <v>0</v>
      </c>
      <c r="K1105" s="168">
        <v>0</v>
      </c>
      <c r="L1105" s="60">
        <v>0</v>
      </c>
      <c r="M1105" s="60">
        <v>569.16</v>
      </c>
      <c r="N1105" s="60">
        <v>4551611</v>
      </c>
      <c r="O1105" s="60">
        <v>0</v>
      </c>
      <c r="P1105" s="60">
        <v>0</v>
      </c>
      <c r="Q1105" s="60">
        <v>0</v>
      </c>
      <c r="R1105" s="60">
        <v>0</v>
      </c>
      <c r="S1105" s="60">
        <v>0</v>
      </c>
      <c r="T1105" s="60">
        <v>0</v>
      </c>
      <c r="U1105" s="60">
        <v>0</v>
      </c>
      <c r="V1105" s="60">
        <v>0</v>
      </c>
      <c r="W1105" s="60">
        <v>0</v>
      </c>
      <c r="X1105" s="60">
        <v>0</v>
      </c>
      <c r="Y1105" s="60">
        <v>0</v>
      </c>
      <c r="Z1105" s="60">
        <v>0</v>
      </c>
      <c r="AA1105" s="60">
        <v>0</v>
      </c>
      <c r="AB1105" s="60">
        <v>0</v>
      </c>
      <c r="AC1105" s="60">
        <v>66908.679999999993</v>
      </c>
      <c r="AD1105" s="60">
        <v>0</v>
      </c>
      <c r="AE1105" s="60">
        <v>0</v>
      </c>
      <c r="AF1105" s="170" t="s">
        <v>257</v>
      </c>
      <c r="AG1105" s="170">
        <v>2022</v>
      </c>
      <c r="AH1105" s="63">
        <v>2022</v>
      </c>
    </row>
    <row r="1106" spans="1:34" ht="61.5" x14ac:dyDescent="0.85">
      <c r="A1106" s="7">
        <v>1</v>
      </c>
      <c r="B1106" s="59">
        <f>SUBTOTAL(103,$A$1032:A1106)</f>
        <v>75</v>
      </c>
      <c r="C1106" s="160" t="s">
        <v>523</v>
      </c>
      <c r="D1106" s="60">
        <f t="shared" si="178"/>
        <v>9754759.1500000004</v>
      </c>
      <c r="E1106" s="60">
        <v>0</v>
      </c>
      <c r="F1106" s="60">
        <v>0</v>
      </c>
      <c r="G1106" s="60">
        <v>0</v>
      </c>
      <c r="H1106" s="60">
        <v>0</v>
      </c>
      <c r="I1106" s="60">
        <v>0</v>
      </c>
      <c r="J1106" s="60">
        <v>0</v>
      </c>
      <c r="K1106" s="168">
        <v>0</v>
      </c>
      <c r="L1106" s="60">
        <v>0</v>
      </c>
      <c r="M1106" s="60">
        <v>1050.76</v>
      </c>
      <c r="N1106" s="60">
        <v>9550381</v>
      </c>
      <c r="O1106" s="60">
        <v>0</v>
      </c>
      <c r="P1106" s="60">
        <v>0</v>
      </c>
      <c r="Q1106" s="60">
        <v>0</v>
      </c>
      <c r="R1106" s="60">
        <v>0</v>
      </c>
      <c r="S1106" s="60">
        <v>0</v>
      </c>
      <c r="T1106" s="60">
        <v>0</v>
      </c>
      <c r="U1106" s="60">
        <v>0</v>
      </c>
      <c r="V1106" s="60">
        <v>0</v>
      </c>
      <c r="W1106" s="60">
        <v>0</v>
      </c>
      <c r="X1106" s="60">
        <v>0</v>
      </c>
      <c r="Y1106" s="60">
        <v>0</v>
      </c>
      <c r="Z1106" s="60">
        <v>0</v>
      </c>
      <c r="AA1106" s="60">
        <v>0</v>
      </c>
      <c r="AB1106" s="60">
        <v>0</v>
      </c>
      <c r="AC1106" s="60">
        <f t="shared" ref="AC1106" si="180">ROUND(N1106*2.14%,2)+ROUND(E1106*2.14%,2)+ROUND(F1106*2.14%,2)+ROUND(G1106*2.14%,2)+ROUND(H1106*2.14%,2)+ROUND(I1106*2.14%,2)+ROUND(J1106*2.14%,2)+ROUND(L1106*2.14%,2)+ROUND(P1106*2.14%,2)+ROUND(R1106*2.14%,2)+ROUND(T1106*2.14%,2)+ROUND(U1106*2.14%,2)+ROUND(V1106*2.14%,2)+ROUND(W1106*2.14%,2)+ROUND(X1106*2.14%,2)+ROUND(Y1106*2.14%,2)+ROUND(Z1106*2.14%,2)+ROUND(AA1106*2.14%,2)+ROUND(AB1106*2.14%,2)</f>
        <v>204378.15</v>
      </c>
      <c r="AD1106" s="60">
        <v>0</v>
      </c>
      <c r="AE1106" s="60">
        <v>0</v>
      </c>
      <c r="AF1106" s="170" t="s">
        <v>257</v>
      </c>
      <c r="AG1106" s="170">
        <v>2022</v>
      </c>
      <c r="AH1106" s="63">
        <v>2022</v>
      </c>
    </row>
    <row r="1107" spans="1:34" ht="61.5" x14ac:dyDescent="0.85">
      <c r="A1107" s="7">
        <v>1</v>
      </c>
      <c r="B1107" s="59">
        <f>SUBTOTAL(103,$A$1032:A1107)</f>
        <v>76</v>
      </c>
      <c r="C1107" s="160" t="s">
        <v>464</v>
      </c>
      <c r="D1107" s="60">
        <f t="shared" ref="D1107:D1110" si="181">E1107+F1107+G1107+H1107+I1107+J1107+L1107+N1107+P1107+R1107+T1107+U1107+V1107+W1107+X1107+Y1107+Z1107+AA1107+AB1107+AC1107+AD1107+AE1107</f>
        <v>6256737.96</v>
      </c>
      <c r="E1107" s="201">
        <v>0</v>
      </c>
      <c r="F1107" s="201">
        <v>0</v>
      </c>
      <c r="G1107" s="201">
        <v>0</v>
      </c>
      <c r="H1107" s="201">
        <v>0</v>
      </c>
      <c r="I1107" s="201">
        <v>0</v>
      </c>
      <c r="J1107" s="201">
        <v>0</v>
      </c>
      <c r="K1107" s="168">
        <v>2</v>
      </c>
      <c r="L1107" s="201">
        <v>6128410.7999999998</v>
      </c>
      <c r="M1107" s="201">
        <v>0</v>
      </c>
      <c r="N1107" s="201">
        <v>0</v>
      </c>
      <c r="O1107" s="201">
        <v>0</v>
      </c>
      <c r="P1107" s="201">
        <v>0</v>
      </c>
      <c r="Q1107" s="201">
        <v>0</v>
      </c>
      <c r="R1107" s="201">
        <v>0</v>
      </c>
      <c r="S1107" s="201">
        <v>0</v>
      </c>
      <c r="T1107" s="201">
        <v>0</v>
      </c>
      <c r="U1107" s="201">
        <v>0</v>
      </c>
      <c r="V1107" s="201">
        <v>0</v>
      </c>
      <c r="W1107" s="201">
        <v>0</v>
      </c>
      <c r="X1107" s="201">
        <v>0</v>
      </c>
      <c r="Y1107" s="201">
        <v>0</v>
      </c>
      <c r="Z1107" s="201">
        <v>0</v>
      </c>
      <c r="AA1107" s="201">
        <v>0</v>
      </c>
      <c r="AB1107" s="201">
        <v>0</v>
      </c>
      <c r="AC1107" s="201">
        <v>0</v>
      </c>
      <c r="AD1107" s="201">
        <v>128327.16</v>
      </c>
      <c r="AE1107" s="201">
        <v>0</v>
      </c>
      <c r="AF1107" s="202">
        <v>2022</v>
      </c>
      <c r="AG1107" s="170">
        <v>2022</v>
      </c>
      <c r="AH1107" s="202" t="s">
        <v>257</v>
      </c>
    </row>
    <row r="1108" spans="1:34" ht="61.5" x14ac:dyDescent="0.85">
      <c r="A1108" s="7">
        <v>1</v>
      </c>
      <c r="B1108" s="59">
        <f>SUBTOTAL(103,$A$1032:A1108)</f>
        <v>77</v>
      </c>
      <c r="C1108" s="160" t="s">
        <v>3250</v>
      </c>
      <c r="D1108" s="60">
        <f t="shared" si="181"/>
        <v>3122244.4299999997</v>
      </c>
      <c r="E1108" s="201">
        <v>0</v>
      </c>
      <c r="F1108" s="201">
        <v>0</v>
      </c>
      <c r="G1108" s="201">
        <v>0</v>
      </c>
      <c r="H1108" s="201">
        <v>0</v>
      </c>
      <c r="I1108" s="201">
        <v>0</v>
      </c>
      <c r="J1108" s="201">
        <v>0</v>
      </c>
      <c r="K1108" s="168">
        <v>1</v>
      </c>
      <c r="L1108" s="201">
        <v>3004642.9</v>
      </c>
      <c r="M1108" s="201">
        <v>0</v>
      </c>
      <c r="N1108" s="201">
        <v>0</v>
      </c>
      <c r="O1108" s="201">
        <v>0</v>
      </c>
      <c r="P1108" s="201">
        <v>0</v>
      </c>
      <c r="Q1108" s="201">
        <v>0</v>
      </c>
      <c r="R1108" s="201">
        <v>0</v>
      </c>
      <c r="S1108" s="201">
        <v>0</v>
      </c>
      <c r="T1108" s="201">
        <v>0</v>
      </c>
      <c r="U1108" s="201">
        <v>0</v>
      </c>
      <c r="V1108" s="201">
        <v>0</v>
      </c>
      <c r="W1108" s="201">
        <v>0</v>
      </c>
      <c r="X1108" s="201">
        <v>0</v>
      </c>
      <c r="Y1108" s="201">
        <v>0</v>
      </c>
      <c r="Z1108" s="201">
        <v>0</v>
      </c>
      <c r="AA1108" s="201">
        <v>0</v>
      </c>
      <c r="AB1108" s="201">
        <v>0</v>
      </c>
      <c r="AC1108" s="201">
        <v>0</v>
      </c>
      <c r="AD1108" s="201">
        <v>117601.53</v>
      </c>
      <c r="AE1108" s="201">
        <v>0</v>
      </c>
      <c r="AF1108" s="202">
        <v>2022</v>
      </c>
      <c r="AG1108" s="170">
        <v>2022</v>
      </c>
      <c r="AH1108" s="202" t="s">
        <v>257</v>
      </c>
    </row>
    <row r="1109" spans="1:34" ht="61.5" x14ac:dyDescent="0.85">
      <c r="A1109" s="7">
        <v>1</v>
      </c>
      <c r="B1109" s="59">
        <f>SUBTOTAL(103,$A$1032:A1109)</f>
        <v>78</v>
      </c>
      <c r="C1109" s="160" t="s">
        <v>529</v>
      </c>
      <c r="D1109" s="60">
        <f t="shared" si="181"/>
        <v>9091518.3899999987</v>
      </c>
      <c r="E1109" s="201">
        <v>0</v>
      </c>
      <c r="F1109" s="201">
        <v>0</v>
      </c>
      <c r="G1109" s="201">
        <v>0</v>
      </c>
      <c r="H1109" s="201">
        <v>0</v>
      </c>
      <c r="I1109" s="201">
        <v>0</v>
      </c>
      <c r="J1109" s="201">
        <v>0</v>
      </c>
      <c r="K1109" s="168">
        <v>3</v>
      </c>
      <c r="L1109" s="201">
        <v>8947767.5999999996</v>
      </c>
      <c r="M1109" s="201">
        <v>0</v>
      </c>
      <c r="N1109" s="201">
        <v>0</v>
      </c>
      <c r="O1109" s="201">
        <v>0</v>
      </c>
      <c r="P1109" s="201">
        <v>0</v>
      </c>
      <c r="Q1109" s="201">
        <v>0</v>
      </c>
      <c r="R1109" s="201">
        <v>0</v>
      </c>
      <c r="S1109" s="201">
        <v>0</v>
      </c>
      <c r="T1109" s="201">
        <v>0</v>
      </c>
      <c r="U1109" s="201">
        <v>0</v>
      </c>
      <c r="V1109" s="201">
        <v>0</v>
      </c>
      <c r="W1109" s="201">
        <v>0</v>
      </c>
      <c r="X1109" s="201">
        <v>0</v>
      </c>
      <c r="Y1109" s="201">
        <v>0</v>
      </c>
      <c r="Z1109" s="201">
        <v>0</v>
      </c>
      <c r="AA1109" s="201">
        <v>0</v>
      </c>
      <c r="AB1109" s="201">
        <v>0</v>
      </c>
      <c r="AC1109" s="201">
        <v>0</v>
      </c>
      <c r="AD1109" s="201">
        <v>143750.79</v>
      </c>
      <c r="AE1109" s="201">
        <v>0</v>
      </c>
      <c r="AF1109" s="202">
        <v>2022</v>
      </c>
      <c r="AG1109" s="170">
        <v>2022</v>
      </c>
      <c r="AH1109" s="202" t="s">
        <v>257</v>
      </c>
    </row>
    <row r="1110" spans="1:34" ht="61.5" x14ac:dyDescent="0.85">
      <c r="A1110" s="7">
        <v>1</v>
      </c>
      <c r="B1110" s="59">
        <f>SUBTOTAL(103,$A$1032:A1110)</f>
        <v>79</v>
      </c>
      <c r="C1110" s="160" t="s">
        <v>1592</v>
      </c>
      <c r="D1110" s="60">
        <f t="shared" si="181"/>
        <v>6337697.7199999997</v>
      </c>
      <c r="E1110" s="201">
        <v>0</v>
      </c>
      <c r="F1110" s="201">
        <v>0</v>
      </c>
      <c r="G1110" s="201">
        <v>0</v>
      </c>
      <c r="H1110" s="201">
        <v>0</v>
      </c>
      <c r="I1110" s="201">
        <v>0</v>
      </c>
      <c r="J1110" s="201">
        <v>0</v>
      </c>
      <c r="K1110" s="168">
        <v>2</v>
      </c>
      <c r="L1110" s="201">
        <v>6194210.1399999997</v>
      </c>
      <c r="M1110" s="201">
        <v>0</v>
      </c>
      <c r="N1110" s="201">
        <v>0</v>
      </c>
      <c r="O1110" s="201">
        <v>0</v>
      </c>
      <c r="P1110" s="201">
        <v>0</v>
      </c>
      <c r="Q1110" s="201">
        <v>0</v>
      </c>
      <c r="R1110" s="201">
        <v>0</v>
      </c>
      <c r="S1110" s="201">
        <v>0</v>
      </c>
      <c r="T1110" s="201">
        <v>0</v>
      </c>
      <c r="U1110" s="201">
        <v>0</v>
      </c>
      <c r="V1110" s="201">
        <v>0</v>
      </c>
      <c r="W1110" s="201">
        <v>0</v>
      </c>
      <c r="X1110" s="201">
        <v>0</v>
      </c>
      <c r="Y1110" s="201">
        <v>0</v>
      </c>
      <c r="Z1110" s="201">
        <v>0</v>
      </c>
      <c r="AA1110" s="201">
        <v>0</v>
      </c>
      <c r="AB1110" s="201">
        <v>0</v>
      </c>
      <c r="AC1110" s="201">
        <v>0</v>
      </c>
      <c r="AD1110" s="201">
        <v>143487.57999999999</v>
      </c>
      <c r="AE1110" s="201">
        <v>0</v>
      </c>
      <c r="AF1110" s="202">
        <v>2022</v>
      </c>
      <c r="AG1110" s="170">
        <v>2022</v>
      </c>
      <c r="AH1110" s="202" t="s">
        <v>257</v>
      </c>
    </row>
    <row r="1111" spans="1:34" ht="61.5" x14ac:dyDescent="0.85">
      <c r="B1111" s="160" t="s">
        <v>706</v>
      </c>
      <c r="C1111" s="176"/>
      <c r="D1111" s="177">
        <f>SUM(D1112:D1131)</f>
        <v>65786031.790000014</v>
      </c>
      <c r="E1111" s="60">
        <f t="shared" ref="E1111:AE1111" si="182">SUM(E1112:E1131)</f>
        <v>0</v>
      </c>
      <c r="F1111" s="60">
        <f t="shared" si="182"/>
        <v>0</v>
      </c>
      <c r="G1111" s="60">
        <f t="shared" si="182"/>
        <v>913603</v>
      </c>
      <c r="H1111" s="60">
        <f t="shared" si="182"/>
        <v>650000</v>
      </c>
      <c r="I1111" s="60">
        <f t="shared" si="182"/>
        <v>0</v>
      </c>
      <c r="J1111" s="60">
        <f t="shared" si="182"/>
        <v>0</v>
      </c>
      <c r="K1111" s="168">
        <f t="shared" si="182"/>
        <v>0</v>
      </c>
      <c r="L1111" s="60">
        <f t="shared" si="182"/>
        <v>0</v>
      </c>
      <c r="M1111" s="60">
        <f t="shared" si="182"/>
        <v>9168.51</v>
      </c>
      <c r="N1111" s="60">
        <f t="shared" si="182"/>
        <v>62229628.939999998</v>
      </c>
      <c r="O1111" s="60">
        <f t="shared" si="182"/>
        <v>0</v>
      </c>
      <c r="P1111" s="60">
        <f t="shared" si="182"/>
        <v>0</v>
      </c>
      <c r="Q1111" s="60">
        <f t="shared" si="182"/>
        <v>0</v>
      </c>
      <c r="R1111" s="60">
        <f t="shared" si="182"/>
        <v>0</v>
      </c>
      <c r="S1111" s="60">
        <f t="shared" si="182"/>
        <v>0</v>
      </c>
      <c r="T1111" s="60">
        <f t="shared" si="182"/>
        <v>0</v>
      </c>
      <c r="U1111" s="60">
        <f t="shared" si="182"/>
        <v>0</v>
      </c>
      <c r="V1111" s="60">
        <f t="shared" si="182"/>
        <v>0</v>
      </c>
      <c r="W1111" s="60">
        <f t="shared" si="182"/>
        <v>0</v>
      </c>
      <c r="X1111" s="60">
        <f t="shared" si="182"/>
        <v>0</v>
      </c>
      <c r="Y1111" s="60">
        <f t="shared" si="182"/>
        <v>0</v>
      </c>
      <c r="Z1111" s="60">
        <f t="shared" si="182"/>
        <v>0</v>
      </c>
      <c r="AA1111" s="60">
        <f t="shared" si="182"/>
        <v>0</v>
      </c>
      <c r="AB1111" s="60">
        <f t="shared" si="182"/>
        <v>0</v>
      </c>
      <c r="AC1111" s="60">
        <f t="shared" si="182"/>
        <v>679843.05999999994</v>
      </c>
      <c r="AD1111" s="60">
        <f t="shared" si="182"/>
        <v>1312956.7899999998</v>
      </c>
      <c r="AE1111" s="60">
        <f t="shared" si="182"/>
        <v>0</v>
      </c>
      <c r="AF1111" s="54" t="s">
        <v>701</v>
      </c>
      <c r="AG1111" s="54" t="s">
        <v>701</v>
      </c>
      <c r="AH1111" s="55" t="s">
        <v>701</v>
      </c>
    </row>
    <row r="1112" spans="1:34" ht="61.5" x14ac:dyDescent="0.85">
      <c r="A1112" s="7">
        <v>1</v>
      </c>
      <c r="B1112" s="59">
        <f>SUBTOTAL(103,$A$1032:A1112)</f>
        <v>80</v>
      </c>
      <c r="C1112" s="160" t="s">
        <v>441</v>
      </c>
      <c r="D1112" s="60">
        <f>E1112+F1112+G1112+H1112+I1112+J1112+L1112+N1112+P1112+R1112+T1112+U1112+V1112+W1112+X1112+Y1112+Z1112+AA1112+AB1112+AC1112+AD1112+AE1112</f>
        <v>4687131.57</v>
      </c>
      <c r="E1112" s="193">
        <v>0</v>
      </c>
      <c r="F1112" s="193">
        <v>0</v>
      </c>
      <c r="G1112" s="193">
        <v>0</v>
      </c>
      <c r="H1112" s="193">
        <v>0</v>
      </c>
      <c r="I1112" s="193">
        <v>0</v>
      </c>
      <c r="J1112" s="193">
        <v>0</v>
      </c>
      <c r="K1112" s="168">
        <v>0</v>
      </c>
      <c r="L1112" s="193">
        <v>0</v>
      </c>
      <c r="M1112" s="60">
        <v>701.3</v>
      </c>
      <c r="N1112" s="60">
        <v>4555992</v>
      </c>
      <c r="O1112" s="193">
        <v>0</v>
      </c>
      <c r="P1112" s="193">
        <v>0</v>
      </c>
      <c r="Q1112" s="193">
        <v>0</v>
      </c>
      <c r="R1112" s="193">
        <v>0</v>
      </c>
      <c r="S1112" s="193">
        <v>0</v>
      </c>
      <c r="T1112" s="193">
        <v>0</v>
      </c>
      <c r="U1112" s="193">
        <v>0</v>
      </c>
      <c r="V1112" s="193">
        <v>0</v>
      </c>
      <c r="W1112" s="193">
        <v>0</v>
      </c>
      <c r="X1112" s="193">
        <v>0</v>
      </c>
      <c r="Y1112" s="193">
        <v>0</v>
      </c>
      <c r="Z1112" s="193">
        <v>0</v>
      </c>
      <c r="AA1112" s="60">
        <v>0</v>
      </c>
      <c r="AB1112" s="60">
        <v>0</v>
      </c>
      <c r="AC1112" s="60">
        <f>ROUND(N1112*1.0593%,2)+ROUND(E1112*1.0593%,2)+ROUND(F1112*1.0593%,2)+ROUND(G1112*1.0593%,2)+ROUND(H1112*1.0593%,2)+ROUND(I1112*1.0593%,2)+ROUND(J1112*1.0593%,2)+ROUND(L1112*1.0593%,2)+ROUND(P1112*1.0593%,2)+ROUND(R1112*1.0593%,2)+ROUND(T1112*1.0593%,2)+ROUND(U1112*1.0593%,2)+ROUND(V1112*1.0593%,2)+ROUND(W1112*1.0593%,2)+ROUND(X1112*1.0593%,2)+ROUND(Y1112*1.0593%,2)+ROUND(Z1112*1.0593%,2)+ROUND(AA1112*1.0593%,2)+ROUND(AB1112*1.0593%,2)</f>
        <v>48261.62</v>
      </c>
      <c r="AD1112" s="60">
        <v>82877.95</v>
      </c>
      <c r="AE1112" s="60">
        <v>0</v>
      </c>
      <c r="AF1112" s="170">
        <v>2022</v>
      </c>
      <c r="AG1112" s="170">
        <v>2022</v>
      </c>
      <c r="AH1112" s="63">
        <v>2022</v>
      </c>
    </row>
    <row r="1113" spans="1:34" ht="61.5" x14ac:dyDescent="0.85">
      <c r="A1113" s="7">
        <v>1</v>
      </c>
      <c r="B1113" s="59">
        <f>SUBTOTAL(103,$A$1032:A1113)</f>
        <v>81</v>
      </c>
      <c r="C1113" s="160" t="s">
        <v>442</v>
      </c>
      <c r="D1113" s="60">
        <f t="shared" ref="D1113:D1124" si="183">E1113+F1113+G1113+H1113+I1113+J1113+L1113+N1113+P1113+R1113+T1113+U1113+V1113+W1113+X1113+Y1113+Z1113+AA1113+AB1113+AC1113+AD1113+AE1113</f>
        <v>62510.7</v>
      </c>
      <c r="E1113" s="193">
        <v>0</v>
      </c>
      <c r="F1113" s="193">
        <v>0</v>
      </c>
      <c r="G1113" s="193">
        <v>0</v>
      </c>
      <c r="H1113" s="193">
        <v>0</v>
      </c>
      <c r="I1113" s="193">
        <v>0</v>
      </c>
      <c r="J1113" s="193">
        <v>0</v>
      </c>
      <c r="K1113" s="168">
        <v>0</v>
      </c>
      <c r="L1113" s="193">
        <v>0</v>
      </c>
      <c r="M1113" s="60">
        <v>0</v>
      </c>
      <c r="N1113" s="60">
        <v>0</v>
      </c>
      <c r="O1113" s="193">
        <v>0</v>
      </c>
      <c r="P1113" s="193">
        <v>0</v>
      </c>
      <c r="Q1113" s="193">
        <v>0</v>
      </c>
      <c r="R1113" s="193">
        <v>0</v>
      </c>
      <c r="S1113" s="193">
        <v>0</v>
      </c>
      <c r="T1113" s="193">
        <v>0</v>
      </c>
      <c r="U1113" s="193">
        <v>0</v>
      </c>
      <c r="V1113" s="193">
        <v>0</v>
      </c>
      <c r="W1113" s="193">
        <v>0</v>
      </c>
      <c r="X1113" s="193">
        <v>0</v>
      </c>
      <c r="Y1113" s="193">
        <v>0</v>
      </c>
      <c r="Z1113" s="193">
        <v>0</v>
      </c>
      <c r="AA1113" s="60">
        <v>0</v>
      </c>
      <c r="AB1113" s="60">
        <v>0</v>
      </c>
      <c r="AC1113" s="60">
        <f t="shared" ref="AC1113:AC1125" si="184">ROUND(N1113*1.0593%,2)+ROUND(E1113*1.0593%,2)+ROUND(F1113*1.0593%,2)+ROUND(G1113*1.0593%,2)+ROUND(H1113*1.0593%,2)+ROUND(I1113*1.0593%,2)+ROUND(J1113*1.0593%,2)+ROUND(L1113*1.0593%,2)+ROUND(P1113*1.0593%,2)+ROUND(R1113*1.0593%,2)+ROUND(T1113*1.0593%,2)+ROUND(U1113*1.0593%,2)+ROUND(V1113*1.0593%,2)+ROUND(W1113*1.0593%,2)+ROUND(X1113*1.0593%,2)+ROUND(Y1113*1.0593%,2)+ROUND(Z1113*1.0593%,2)+ROUND(AA1113*1.0593%,2)+ROUND(AB1113*1.0593%,2)</f>
        <v>0</v>
      </c>
      <c r="AD1113" s="60">
        <v>62510.7</v>
      </c>
      <c r="AE1113" s="60">
        <v>0</v>
      </c>
      <c r="AF1113" s="170">
        <v>2022</v>
      </c>
      <c r="AG1113" s="170" t="s">
        <v>257</v>
      </c>
      <c r="AH1113" s="63" t="s">
        <v>257</v>
      </c>
    </row>
    <row r="1114" spans="1:34" ht="61.5" x14ac:dyDescent="0.85">
      <c r="A1114" s="7">
        <v>1</v>
      </c>
      <c r="B1114" s="59">
        <f>SUBTOTAL(103,$A$1032:A1114)</f>
        <v>82</v>
      </c>
      <c r="C1114" s="160" t="s">
        <v>443</v>
      </c>
      <c r="D1114" s="60">
        <f t="shared" si="183"/>
        <v>3502604.0100000002</v>
      </c>
      <c r="E1114" s="193">
        <v>0</v>
      </c>
      <c r="F1114" s="193">
        <v>0</v>
      </c>
      <c r="G1114" s="193">
        <v>0</v>
      </c>
      <c r="H1114" s="193">
        <v>0</v>
      </c>
      <c r="I1114" s="193">
        <v>0</v>
      </c>
      <c r="J1114" s="193">
        <v>0</v>
      </c>
      <c r="K1114" s="168">
        <v>0</v>
      </c>
      <c r="L1114" s="193">
        <v>0</v>
      </c>
      <c r="M1114" s="60">
        <v>528.48</v>
      </c>
      <c r="N1114" s="60">
        <v>3408066</v>
      </c>
      <c r="O1114" s="193">
        <v>0</v>
      </c>
      <c r="P1114" s="193">
        <v>0</v>
      </c>
      <c r="Q1114" s="193">
        <v>0</v>
      </c>
      <c r="R1114" s="193">
        <v>0</v>
      </c>
      <c r="S1114" s="193">
        <v>0</v>
      </c>
      <c r="T1114" s="193">
        <v>0</v>
      </c>
      <c r="U1114" s="193">
        <v>0</v>
      </c>
      <c r="V1114" s="193">
        <v>0</v>
      </c>
      <c r="W1114" s="193">
        <v>0</v>
      </c>
      <c r="X1114" s="193">
        <v>0</v>
      </c>
      <c r="Y1114" s="193">
        <v>0</v>
      </c>
      <c r="Z1114" s="193">
        <v>0</v>
      </c>
      <c r="AA1114" s="60">
        <v>0</v>
      </c>
      <c r="AB1114" s="60">
        <v>0</v>
      </c>
      <c r="AC1114" s="60">
        <f t="shared" si="184"/>
        <v>36101.64</v>
      </c>
      <c r="AD1114" s="60">
        <v>58436.37</v>
      </c>
      <c r="AE1114" s="60">
        <v>0</v>
      </c>
      <c r="AF1114" s="170">
        <v>2022</v>
      </c>
      <c r="AG1114" s="170">
        <v>2022</v>
      </c>
      <c r="AH1114" s="63">
        <v>2022</v>
      </c>
    </row>
    <row r="1115" spans="1:34" ht="61.5" x14ac:dyDescent="0.85">
      <c r="A1115" s="7">
        <v>1</v>
      </c>
      <c r="B1115" s="59">
        <f>SUBTOTAL(103,$A$1032:A1115)</f>
        <v>83</v>
      </c>
      <c r="C1115" s="160" t="s">
        <v>444</v>
      </c>
      <c r="D1115" s="60">
        <f t="shared" si="183"/>
        <v>8925202.2800000012</v>
      </c>
      <c r="E1115" s="193">
        <v>0</v>
      </c>
      <c r="F1115" s="193">
        <v>0</v>
      </c>
      <c r="G1115" s="193">
        <v>0</v>
      </c>
      <c r="H1115" s="193">
        <v>0</v>
      </c>
      <c r="I1115" s="193">
        <v>0</v>
      </c>
      <c r="J1115" s="193">
        <v>0</v>
      </c>
      <c r="K1115" s="168">
        <v>0</v>
      </c>
      <c r="L1115" s="193">
        <v>0</v>
      </c>
      <c r="M1115" s="60">
        <v>1027.8800000000001</v>
      </c>
      <c r="N1115" s="60">
        <v>8657137</v>
      </c>
      <c r="O1115" s="193">
        <v>0</v>
      </c>
      <c r="P1115" s="193">
        <v>0</v>
      </c>
      <c r="Q1115" s="193">
        <v>0</v>
      </c>
      <c r="R1115" s="193">
        <v>0</v>
      </c>
      <c r="S1115" s="193">
        <v>0</v>
      </c>
      <c r="T1115" s="193">
        <v>0</v>
      </c>
      <c r="U1115" s="193">
        <v>0</v>
      </c>
      <c r="V1115" s="193">
        <v>0</v>
      </c>
      <c r="W1115" s="193">
        <v>0</v>
      </c>
      <c r="X1115" s="193">
        <v>0</v>
      </c>
      <c r="Y1115" s="193">
        <v>0</v>
      </c>
      <c r="Z1115" s="193">
        <v>0</v>
      </c>
      <c r="AA1115" s="60">
        <v>0</v>
      </c>
      <c r="AB1115" s="60">
        <v>0</v>
      </c>
      <c r="AC1115" s="60">
        <f t="shared" si="184"/>
        <v>91705.05</v>
      </c>
      <c r="AD1115" s="60">
        <v>176360.23</v>
      </c>
      <c r="AE1115" s="60">
        <v>0</v>
      </c>
      <c r="AF1115" s="170">
        <v>2022</v>
      </c>
      <c r="AG1115" s="170">
        <v>2022</v>
      </c>
      <c r="AH1115" s="63">
        <v>2022</v>
      </c>
    </row>
    <row r="1116" spans="1:34" ht="61.5" x14ac:dyDescent="0.85">
      <c r="A1116" s="7">
        <v>1</v>
      </c>
      <c r="B1116" s="59">
        <f>SUBTOTAL(103,$A$1032:A1116)</f>
        <v>84</v>
      </c>
      <c r="C1116" s="160" t="s">
        <v>445</v>
      </c>
      <c r="D1116" s="60">
        <f t="shared" si="183"/>
        <v>176360.14</v>
      </c>
      <c r="E1116" s="193">
        <v>0</v>
      </c>
      <c r="F1116" s="193">
        <v>0</v>
      </c>
      <c r="G1116" s="193">
        <v>0</v>
      </c>
      <c r="H1116" s="193">
        <v>0</v>
      </c>
      <c r="I1116" s="193">
        <v>0</v>
      </c>
      <c r="J1116" s="193">
        <v>0</v>
      </c>
      <c r="K1116" s="168">
        <v>0</v>
      </c>
      <c r="L1116" s="193">
        <v>0</v>
      </c>
      <c r="M1116" s="60">
        <v>0</v>
      </c>
      <c r="N1116" s="60">
        <v>0</v>
      </c>
      <c r="O1116" s="193">
        <v>0</v>
      </c>
      <c r="P1116" s="193">
        <v>0</v>
      </c>
      <c r="Q1116" s="193">
        <v>0</v>
      </c>
      <c r="R1116" s="193">
        <v>0</v>
      </c>
      <c r="S1116" s="193">
        <v>0</v>
      </c>
      <c r="T1116" s="193">
        <v>0</v>
      </c>
      <c r="U1116" s="193">
        <v>0</v>
      </c>
      <c r="V1116" s="193">
        <v>0</v>
      </c>
      <c r="W1116" s="193">
        <v>0</v>
      </c>
      <c r="X1116" s="193">
        <v>0</v>
      </c>
      <c r="Y1116" s="193">
        <v>0</v>
      </c>
      <c r="Z1116" s="193">
        <v>0</v>
      </c>
      <c r="AA1116" s="60">
        <v>0</v>
      </c>
      <c r="AB1116" s="60">
        <v>0</v>
      </c>
      <c r="AC1116" s="60">
        <f t="shared" si="184"/>
        <v>0</v>
      </c>
      <c r="AD1116" s="60">
        <v>176360.14</v>
      </c>
      <c r="AE1116" s="60">
        <v>0</v>
      </c>
      <c r="AF1116" s="170">
        <v>2022</v>
      </c>
      <c r="AG1116" s="170" t="s">
        <v>257</v>
      </c>
      <c r="AH1116" s="63" t="s">
        <v>257</v>
      </c>
    </row>
    <row r="1117" spans="1:34" ht="61.5" x14ac:dyDescent="0.85">
      <c r="A1117" s="7">
        <v>1</v>
      </c>
      <c r="B1117" s="59">
        <f>SUBTOTAL(103,$A$1032:A1117)</f>
        <v>85</v>
      </c>
      <c r="C1117" s="160" t="s">
        <v>446</v>
      </c>
      <c r="D1117" s="60">
        <f t="shared" si="183"/>
        <v>724821.19</v>
      </c>
      <c r="E1117" s="193">
        <v>0</v>
      </c>
      <c r="F1117" s="193">
        <v>0</v>
      </c>
      <c r="G1117" s="193">
        <v>0</v>
      </c>
      <c r="H1117" s="60">
        <v>650000</v>
      </c>
      <c r="I1117" s="193">
        <v>0</v>
      </c>
      <c r="J1117" s="193">
        <v>0</v>
      </c>
      <c r="K1117" s="168">
        <v>0</v>
      </c>
      <c r="L1117" s="193">
        <v>0</v>
      </c>
      <c r="M1117" s="60">
        <v>0</v>
      </c>
      <c r="N1117" s="60">
        <v>0</v>
      </c>
      <c r="O1117" s="193">
        <v>0</v>
      </c>
      <c r="P1117" s="193">
        <v>0</v>
      </c>
      <c r="Q1117" s="193">
        <v>0</v>
      </c>
      <c r="R1117" s="193">
        <v>0</v>
      </c>
      <c r="S1117" s="193">
        <v>0</v>
      </c>
      <c r="T1117" s="193">
        <v>0</v>
      </c>
      <c r="U1117" s="193">
        <v>0</v>
      </c>
      <c r="V1117" s="193">
        <v>0</v>
      </c>
      <c r="W1117" s="193">
        <v>0</v>
      </c>
      <c r="X1117" s="193">
        <v>0</v>
      </c>
      <c r="Y1117" s="193">
        <v>0</v>
      </c>
      <c r="Z1117" s="193">
        <v>0</v>
      </c>
      <c r="AA1117" s="60">
        <v>0</v>
      </c>
      <c r="AB1117" s="60">
        <v>0</v>
      </c>
      <c r="AC1117" s="60">
        <f t="shared" si="184"/>
        <v>6885.45</v>
      </c>
      <c r="AD1117" s="60">
        <v>67935.740000000005</v>
      </c>
      <c r="AE1117" s="60">
        <v>0</v>
      </c>
      <c r="AF1117" s="170">
        <v>2022</v>
      </c>
      <c r="AG1117" s="170">
        <v>2022</v>
      </c>
      <c r="AH1117" s="63">
        <v>2022</v>
      </c>
    </row>
    <row r="1118" spans="1:34" ht="61.5" x14ac:dyDescent="0.85">
      <c r="A1118" s="7">
        <v>1</v>
      </c>
      <c r="B1118" s="59">
        <f>SUBTOTAL(103,$A$1032:A1118)</f>
        <v>86</v>
      </c>
      <c r="C1118" s="160" t="s">
        <v>447</v>
      </c>
      <c r="D1118" s="60">
        <f t="shared" si="183"/>
        <v>4579396.6399999997</v>
      </c>
      <c r="E1118" s="193">
        <v>0</v>
      </c>
      <c r="F1118" s="193">
        <v>0</v>
      </c>
      <c r="G1118" s="193">
        <v>0</v>
      </c>
      <c r="H1118" s="193">
        <v>0</v>
      </c>
      <c r="I1118" s="193">
        <v>0</v>
      </c>
      <c r="J1118" s="193">
        <v>0</v>
      </c>
      <c r="K1118" s="168">
        <v>0</v>
      </c>
      <c r="L1118" s="193">
        <v>0</v>
      </c>
      <c r="M1118" s="60">
        <v>596.65</v>
      </c>
      <c r="N1118" s="60">
        <v>4455423.9400000004</v>
      </c>
      <c r="O1118" s="193">
        <v>0</v>
      </c>
      <c r="P1118" s="193">
        <v>0</v>
      </c>
      <c r="Q1118" s="193">
        <v>0</v>
      </c>
      <c r="R1118" s="193">
        <v>0</v>
      </c>
      <c r="S1118" s="193">
        <v>0</v>
      </c>
      <c r="T1118" s="193">
        <v>0</v>
      </c>
      <c r="U1118" s="193">
        <v>0</v>
      </c>
      <c r="V1118" s="193">
        <v>0</v>
      </c>
      <c r="W1118" s="193">
        <v>0</v>
      </c>
      <c r="X1118" s="193">
        <v>0</v>
      </c>
      <c r="Y1118" s="193">
        <v>0</v>
      </c>
      <c r="Z1118" s="193">
        <v>0</v>
      </c>
      <c r="AA1118" s="60">
        <v>0</v>
      </c>
      <c r="AB1118" s="60">
        <v>0</v>
      </c>
      <c r="AC1118" s="60">
        <f t="shared" si="184"/>
        <v>47196.31</v>
      </c>
      <c r="AD1118" s="60">
        <v>76776.39</v>
      </c>
      <c r="AE1118" s="60">
        <v>0</v>
      </c>
      <c r="AF1118" s="170">
        <v>2022</v>
      </c>
      <c r="AG1118" s="170">
        <v>2022</v>
      </c>
      <c r="AH1118" s="63">
        <v>2022</v>
      </c>
    </row>
    <row r="1119" spans="1:34" ht="61.5" x14ac:dyDescent="0.85">
      <c r="A1119" s="7">
        <v>1</v>
      </c>
      <c r="B1119" s="59">
        <f>SUBTOTAL(103,$A$1032:A1119)</f>
        <v>87</v>
      </c>
      <c r="C1119" s="160" t="s">
        <v>448</v>
      </c>
      <c r="D1119" s="60">
        <f t="shared" si="183"/>
        <v>3819406.8400000003</v>
      </c>
      <c r="E1119" s="193">
        <v>0</v>
      </c>
      <c r="F1119" s="193">
        <v>0</v>
      </c>
      <c r="G1119" s="193">
        <v>0</v>
      </c>
      <c r="H1119" s="193">
        <v>0</v>
      </c>
      <c r="I1119" s="193">
        <v>0</v>
      </c>
      <c r="J1119" s="193">
        <v>0</v>
      </c>
      <c r="K1119" s="168">
        <v>0</v>
      </c>
      <c r="L1119" s="193">
        <v>0</v>
      </c>
      <c r="M1119" s="60">
        <v>514.37</v>
      </c>
      <c r="N1119" s="60">
        <v>3710412</v>
      </c>
      <c r="O1119" s="193">
        <v>0</v>
      </c>
      <c r="P1119" s="193">
        <v>0</v>
      </c>
      <c r="Q1119" s="193">
        <v>0</v>
      </c>
      <c r="R1119" s="193">
        <v>0</v>
      </c>
      <c r="S1119" s="193">
        <v>0</v>
      </c>
      <c r="T1119" s="193">
        <v>0</v>
      </c>
      <c r="U1119" s="193">
        <v>0</v>
      </c>
      <c r="V1119" s="193">
        <v>0</v>
      </c>
      <c r="W1119" s="193">
        <v>0</v>
      </c>
      <c r="X1119" s="193">
        <v>0</v>
      </c>
      <c r="Y1119" s="193">
        <v>0</v>
      </c>
      <c r="Z1119" s="193">
        <v>0</v>
      </c>
      <c r="AA1119" s="60">
        <v>0</v>
      </c>
      <c r="AB1119" s="60">
        <v>0</v>
      </c>
      <c r="AC1119" s="60">
        <f t="shared" si="184"/>
        <v>39304.39</v>
      </c>
      <c r="AD1119" s="60">
        <v>69690.45</v>
      </c>
      <c r="AE1119" s="60">
        <v>0</v>
      </c>
      <c r="AF1119" s="170">
        <v>2022</v>
      </c>
      <c r="AG1119" s="170">
        <v>2022</v>
      </c>
      <c r="AH1119" s="63">
        <v>2022</v>
      </c>
    </row>
    <row r="1120" spans="1:34" ht="61.5" x14ac:dyDescent="0.85">
      <c r="A1120" s="7">
        <v>1</v>
      </c>
      <c r="B1120" s="59">
        <f>SUBTOTAL(103,$A$1032:A1120)</f>
        <v>88</v>
      </c>
      <c r="C1120" s="160" t="s">
        <v>449</v>
      </c>
      <c r="D1120" s="60">
        <f t="shared" si="183"/>
        <v>4131585.97</v>
      </c>
      <c r="E1120" s="193">
        <v>0</v>
      </c>
      <c r="F1120" s="193">
        <v>0</v>
      </c>
      <c r="G1120" s="193">
        <v>0</v>
      </c>
      <c r="H1120" s="193">
        <v>0</v>
      </c>
      <c r="I1120" s="193">
        <v>0</v>
      </c>
      <c r="J1120" s="193">
        <v>0</v>
      </c>
      <c r="K1120" s="168">
        <v>0</v>
      </c>
      <c r="L1120" s="193">
        <v>0</v>
      </c>
      <c r="M1120" s="60">
        <v>492.07</v>
      </c>
      <c r="N1120" s="60">
        <v>4019507</v>
      </c>
      <c r="O1120" s="193">
        <v>0</v>
      </c>
      <c r="P1120" s="193">
        <v>0</v>
      </c>
      <c r="Q1120" s="193">
        <v>0</v>
      </c>
      <c r="R1120" s="193">
        <v>0</v>
      </c>
      <c r="S1120" s="193">
        <v>0</v>
      </c>
      <c r="T1120" s="193">
        <v>0</v>
      </c>
      <c r="U1120" s="193">
        <v>0</v>
      </c>
      <c r="V1120" s="193">
        <v>0</v>
      </c>
      <c r="W1120" s="193">
        <v>0</v>
      </c>
      <c r="X1120" s="193">
        <v>0</v>
      </c>
      <c r="Y1120" s="193">
        <v>0</v>
      </c>
      <c r="Z1120" s="193">
        <v>0</v>
      </c>
      <c r="AA1120" s="60">
        <v>0</v>
      </c>
      <c r="AB1120" s="60">
        <v>0</v>
      </c>
      <c r="AC1120" s="60">
        <f t="shared" si="184"/>
        <v>42578.64</v>
      </c>
      <c r="AD1120" s="60">
        <v>69500.33</v>
      </c>
      <c r="AE1120" s="60">
        <v>0</v>
      </c>
      <c r="AF1120" s="170">
        <v>2022</v>
      </c>
      <c r="AG1120" s="170">
        <v>2022</v>
      </c>
      <c r="AH1120" s="63">
        <v>2022</v>
      </c>
    </row>
    <row r="1121" spans="1:16199" ht="61.5" x14ac:dyDescent="0.85">
      <c r="A1121" s="7">
        <v>1</v>
      </c>
      <c r="B1121" s="59">
        <f>SUBTOTAL(103,$A$1032:A1121)</f>
        <v>89</v>
      </c>
      <c r="C1121" s="160" t="s">
        <v>450</v>
      </c>
      <c r="D1121" s="60">
        <f t="shared" si="183"/>
        <v>4168708.62</v>
      </c>
      <c r="E1121" s="193">
        <v>0</v>
      </c>
      <c r="F1121" s="193">
        <v>0</v>
      </c>
      <c r="G1121" s="193">
        <v>0</v>
      </c>
      <c r="H1121" s="193">
        <v>0</v>
      </c>
      <c r="I1121" s="193">
        <v>0</v>
      </c>
      <c r="J1121" s="193">
        <v>0</v>
      </c>
      <c r="K1121" s="168">
        <v>0</v>
      </c>
      <c r="L1121" s="193">
        <v>0</v>
      </c>
      <c r="M1121" s="60">
        <v>505.52</v>
      </c>
      <c r="N1121" s="60">
        <v>4057542</v>
      </c>
      <c r="O1121" s="193">
        <v>0</v>
      </c>
      <c r="P1121" s="193">
        <v>0</v>
      </c>
      <c r="Q1121" s="193">
        <v>0</v>
      </c>
      <c r="R1121" s="193">
        <v>0</v>
      </c>
      <c r="S1121" s="193">
        <v>0</v>
      </c>
      <c r="T1121" s="193">
        <v>0</v>
      </c>
      <c r="U1121" s="193">
        <v>0</v>
      </c>
      <c r="V1121" s="193">
        <v>0</v>
      </c>
      <c r="W1121" s="193">
        <v>0</v>
      </c>
      <c r="X1121" s="193">
        <v>0</v>
      </c>
      <c r="Y1121" s="193">
        <v>0</v>
      </c>
      <c r="Z1121" s="193">
        <v>0</v>
      </c>
      <c r="AA1121" s="60">
        <v>0</v>
      </c>
      <c r="AB1121" s="60">
        <v>0</v>
      </c>
      <c r="AC1121" s="60">
        <f t="shared" si="184"/>
        <v>42981.54</v>
      </c>
      <c r="AD1121" s="60">
        <v>68185.08</v>
      </c>
      <c r="AE1121" s="60">
        <v>0</v>
      </c>
      <c r="AF1121" s="170">
        <v>2022</v>
      </c>
      <c r="AG1121" s="170">
        <v>2022</v>
      </c>
      <c r="AH1121" s="63">
        <v>2022</v>
      </c>
    </row>
    <row r="1122" spans="1:16199" ht="61.5" x14ac:dyDescent="0.85">
      <c r="A1122" s="7">
        <v>1</v>
      </c>
      <c r="B1122" s="59">
        <f>SUBTOTAL(103,$A$1032:A1122)</f>
        <v>90</v>
      </c>
      <c r="C1122" s="160" t="s">
        <v>1588</v>
      </c>
      <c r="D1122" s="60">
        <f t="shared" si="183"/>
        <v>2676109.96</v>
      </c>
      <c r="E1122" s="163">
        <v>0</v>
      </c>
      <c r="F1122" s="193">
        <v>0</v>
      </c>
      <c r="G1122" s="163">
        <v>0</v>
      </c>
      <c r="H1122" s="193">
        <v>0</v>
      </c>
      <c r="I1122" s="193">
        <v>0</v>
      </c>
      <c r="J1122" s="193">
        <v>0</v>
      </c>
      <c r="K1122" s="168">
        <v>0</v>
      </c>
      <c r="L1122" s="193">
        <v>0</v>
      </c>
      <c r="M1122" s="60">
        <v>356.9</v>
      </c>
      <c r="N1122" s="60">
        <v>2592134</v>
      </c>
      <c r="O1122" s="193">
        <v>0</v>
      </c>
      <c r="P1122" s="193">
        <v>0</v>
      </c>
      <c r="Q1122" s="193">
        <v>0</v>
      </c>
      <c r="R1122" s="193">
        <v>0</v>
      </c>
      <c r="S1122" s="193">
        <v>0</v>
      </c>
      <c r="T1122" s="193">
        <v>0</v>
      </c>
      <c r="U1122" s="193">
        <v>0</v>
      </c>
      <c r="V1122" s="193">
        <v>0</v>
      </c>
      <c r="W1122" s="193">
        <v>0</v>
      </c>
      <c r="X1122" s="193">
        <v>0</v>
      </c>
      <c r="Y1122" s="193">
        <v>0</v>
      </c>
      <c r="Z1122" s="193">
        <v>0</v>
      </c>
      <c r="AA1122" s="60">
        <v>0</v>
      </c>
      <c r="AB1122" s="60">
        <v>0</v>
      </c>
      <c r="AC1122" s="60">
        <f t="shared" si="184"/>
        <v>27458.48</v>
      </c>
      <c r="AD1122" s="60">
        <v>56517.48</v>
      </c>
      <c r="AE1122" s="60">
        <v>0</v>
      </c>
      <c r="AF1122" s="170">
        <v>2022</v>
      </c>
      <c r="AG1122" s="170">
        <v>2022</v>
      </c>
      <c r="AH1122" s="63">
        <v>2022</v>
      </c>
    </row>
    <row r="1123" spans="1:16199" ht="61.5" x14ac:dyDescent="0.85">
      <c r="A1123" s="7">
        <v>1</v>
      </c>
      <c r="B1123" s="59">
        <f>SUBTOTAL(103,$A$1032:A1123)</f>
        <v>91</v>
      </c>
      <c r="C1123" s="160" t="s">
        <v>452</v>
      </c>
      <c r="D1123" s="60">
        <f t="shared" si="183"/>
        <v>167850.81</v>
      </c>
      <c r="E1123" s="193">
        <v>0</v>
      </c>
      <c r="F1123" s="193">
        <v>0</v>
      </c>
      <c r="G1123" s="193">
        <v>0</v>
      </c>
      <c r="H1123" s="193">
        <v>0</v>
      </c>
      <c r="I1123" s="193">
        <v>0</v>
      </c>
      <c r="J1123" s="193">
        <v>0</v>
      </c>
      <c r="K1123" s="168">
        <v>0</v>
      </c>
      <c r="L1123" s="193">
        <v>0</v>
      </c>
      <c r="M1123" s="60">
        <v>0</v>
      </c>
      <c r="N1123" s="60">
        <v>0</v>
      </c>
      <c r="O1123" s="193">
        <v>0</v>
      </c>
      <c r="P1123" s="193">
        <v>0</v>
      </c>
      <c r="Q1123" s="193">
        <v>0</v>
      </c>
      <c r="R1123" s="193">
        <v>0</v>
      </c>
      <c r="S1123" s="193">
        <v>0</v>
      </c>
      <c r="T1123" s="60">
        <v>0</v>
      </c>
      <c r="U1123" s="193">
        <v>0</v>
      </c>
      <c r="V1123" s="193">
        <v>0</v>
      </c>
      <c r="W1123" s="193">
        <v>0</v>
      </c>
      <c r="X1123" s="193">
        <v>0</v>
      </c>
      <c r="Y1123" s="193">
        <v>0</v>
      </c>
      <c r="Z1123" s="193">
        <v>0</v>
      </c>
      <c r="AA1123" s="60">
        <v>0</v>
      </c>
      <c r="AB1123" s="60">
        <v>0</v>
      </c>
      <c r="AC1123" s="60">
        <f t="shared" si="184"/>
        <v>0</v>
      </c>
      <c r="AD1123" s="60">
        <v>167850.81</v>
      </c>
      <c r="AE1123" s="60">
        <v>0</v>
      </c>
      <c r="AF1123" s="170">
        <v>2022</v>
      </c>
      <c r="AG1123" s="170" t="s">
        <v>257</v>
      </c>
      <c r="AH1123" s="63" t="s">
        <v>257</v>
      </c>
    </row>
    <row r="1124" spans="1:16199" ht="61.5" x14ac:dyDescent="0.85">
      <c r="A1124" s="7">
        <v>1</v>
      </c>
      <c r="B1124" s="59">
        <f>SUBTOTAL(103,$A$1032:A1124)</f>
        <v>92</v>
      </c>
      <c r="C1124" s="160" t="s">
        <v>453</v>
      </c>
      <c r="D1124" s="60">
        <f t="shared" si="183"/>
        <v>3027712.64</v>
      </c>
      <c r="E1124" s="193">
        <v>0</v>
      </c>
      <c r="F1124" s="193">
        <v>0</v>
      </c>
      <c r="G1124" s="193">
        <v>0</v>
      </c>
      <c r="H1124" s="193">
        <v>0</v>
      </c>
      <c r="I1124" s="193">
        <v>0</v>
      </c>
      <c r="J1124" s="193">
        <v>0</v>
      </c>
      <c r="K1124" s="168">
        <v>0</v>
      </c>
      <c r="L1124" s="193">
        <v>0</v>
      </c>
      <c r="M1124" s="60">
        <v>385.86</v>
      </c>
      <c r="N1124" s="60">
        <v>2938255</v>
      </c>
      <c r="O1124" s="193">
        <v>0</v>
      </c>
      <c r="P1124" s="193">
        <v>0</v>
      </c>
      <c r="Q1124" s="193">
        <v>0</v>
      </c>
      <c r="R1124" s="193">
        <v>0</v>
      </c>
      <c r="S1124" s="193">
        <v>0</v>
      </c>
      <c r="T1124" s="193">
        <v>0</v>
      </c>
      <c r="U1124" s="193">
        <v>0</v>
      </c>
      <c r="V1124" s="193">
        <v>0</v>
      </c>
      <c r="W1124" s="193">
        <v>0</v>
      </c>
      <c r="X1124" s="193">
        <v>0</v>
      </c>
      <c r="Y1124" s="193">
        <v>0</v>
      </c>
      <c r="Z1124" s="193">
        <v>0</v>
      </c>
      <c r="AA1124" s="60">
        <v>0</v>
      </c>
      <c r="AB1124" s="60">
        <v>0</v>
      </c>
      <c r="AC1124" s="60">
        <f t="shared" si="184"/>
        <v>31124.94</v>
      </c>
      <c r="AD1124" s="60">
        <v>58332.7</v>
      </c>
      <c r="AE1124" s="60">
        <v>0</v>
      </c>
      <c r="AF1124" s="170">
        <v>2022</v>
      </c>
      <c r="AG1124" s="170">
        <v>2022</v>
      </c>
      <c r="AH1124" s="63">
        <v>2022</v>
      </c>
    </row>
    <row r="1125" spans="1:16199" ht="61.5" x14ac:dyDescent="0.85">
      <c r="A1125" s="7">
        <v>1</v>
      </c>
      <c r="B1125" s="59">
        <f>SUBTOTAL(103,$A$1032:A1125)</f>
        <v>93</v>
      </c>
      <c r="C1125" s="160" t="s">
        <v>1496</v>
      </c>
      <c r="D1125" s="60">
        <f t="shared" ref="D1125:D1131" si="185">E1125+F1125+G1125+H1125+I1125+J1125+L1125+N1125+P1125+R1125+T1125+U1125+V1125+W1125+X1125+Y1125+Z1125+AA1125+AB1125+AC1125+AD1125+AE1125</f>
        <v>47459.45</v>
      </c>
      <c r="E1125" s="193">
        <v>0</v>
      </c>
      <c r="F1125" s="193">
        <v>0</v>
      </c>
      <c r="G1125" s="193">
        <v>0</v>
      </c>
      <c r="H1125" s="193">
        <v>0</v>
      </c>
      <c r="I1125" s="193">
        <v>0</v>
      </c>
      <c r="J1125" s="193">
        <v>0</v>
      </c>
      <c r="K1125" s="168">
        <v>0</v>
      </c>
      <c r="L1125" s="193">
        <v>0</v>
      </c>
      <c r="M1125" s="60">
        <v>0</v>
      </c>
      <c r="N1125" s="60">
        <v>0</v>
      </c>
      <c r="O1125" s="193">
        <v>0</v>
      </c>
      <c r="P1125" s="193">
        <v>0</v>
      </c>
      <c r="Q1125" s="193">
        <v>0</v>
      </c>
      <c r="R1125" s="193">
        <v>0</v>
      </c>
      <c r="S1125" s="193">
        <v>0</v>
      </c>
      <c r="T1125" s="193">
        <v>0</v>
      </c>
      <c r="U1125" s="193">
        <v>0</v>
      </c>
      <c r="V1125" s="193">
        <v>0</v>
      </c>
      <c r="W1125" s="193">
        <v>0</v>
      </c>
      <c r="X1125" s="193">
        <v>0</v>
      </c>
      <c r="Y1125" s="193">
        <v>0</v>
      </c>
      <c r="Z1125" s="193">
        <v>0</v>
      </c>
      <c r="AA1125" s="60">
        <v>0</v>
      </c>
      <c r="AB1125" s="60">
        <v>0</v>
      </c>
      <c r="AC1125" s="60">
        <f t="shared" si="184"/>
        <v>0</v>
      </c>
      <c r="AD1125" s="60">
        <v>47459.45</v>
      </c>
      <c r="AE1125" s="60">
        <v>0</v>
      </c>
      <c r="AF1125" s="170">
        <v>2022</v>
      </c>
      <c r="AG1125" s="170" t="s">
        <v>257</v>
      </c>
      <c r="AH1125" s="63" t="s">
        <v>257</v>
      </c>
    </row>
    <row r="1126" spans="1:16199" ht="61.5" x14ac:dyDescent="0.85">
      <c r="A1126" s="7">
        <v>1</v>
      </c>
      <c r="B1126" s="59">
        <f>SUBTOTAL(103,$A$1032:A1126)</f>
        <v>94</v>
      </c>
      <c r="C1126" s="160" t="s">
        <v>1799</v>
      </c>
      <c r="D1126" s="60">
        <f>E1126+F1126+G1126+H1126+I1126+J1126+L1126+N1126+P1126+R1126+T1126+U1126+V1126+W1126+X1126+Y1126+Z1126+AA1126+AB1126+AC1126+AD1126+AE1126</f>
        <v>9201351.4100000001</v>
      </c>
      <c r="E1126" s="60">
        <v>0</v>
      </c>
      <c r="F1126" s="60">
        <v>0</v>
      </c>
      <c r="G1126" s="60">
        <v>0</v>
      </c>
      <c r="H1126" s="60">
        <v>0</v>
      </c>
      <c r="I1126" s="60">
        <v>0</v>
      </c>
      <c r="J1126" s="60">
        <v>0</v>
      </c>
      <c r="K1126" s="168">
        <v>0</v>
      </c>
      <c r="L1126" s="60">
        <v>0</v>
      </c>
      <c r="M1126" s="60">
        <v>1440.25</v>
      </c>
      <c r="N1126" s="60">
        <v>9107093</v>
      </c>
      <c r="O1126" s="60">
        <v>0</v>
      </c>
      <c r="P1126" s="60">
        <v>0</v>
      </c>
      <c r="Q1126" s="60">
        <v>0</v>
      </c>
      <c r="R1126" s="60">
        <v>0</v>
      </c>
      <c r="S1126" s="60">
        <v>0</v>
      </c>
      <c r="T1126" s="60">
        <v>0</v>
      </c>
      <c r="U1126" s="60">
        <v>0</v>
      </c>
      <c r="V1126" s="60">
        <v>0</v>
      </c>
      <c r="W1126" s="60">
        <v>0</v>
      </c>
      <c r="X1126" s="60">
        <v>0</v>
      </c>
      <c r="Y1126" s="60">
        <v>0</v>
      </c>
      <c r="Z1126" s="60">
        <v>0</v>
      </c>
      <c r="AA1126" s="60">
        <v>0</v>
      </c>
      <c r="AB1126" s="60">
        <v>0</v>
      </c>
      <c r="AC1126" s="60">
        <v>94258.41</v>
      </c>
      <c r="AD1126" s="60">
        <v>0</v>
      </c>
      <c r="AE1126" s="60">
        <v>0</v>
      </c>
      <c r="AF1126" s="170" t="s">
        <v>257</v>
      </c>
      <c r="AG1126" s="170">
        <v>2022</v>
      </c>
      <c r="AH1126" s="63">
        <v>2022</v>
      </c>
    </row>
    <row r="1127" spans="1:16199" ht="61.5" x14ac:dyDescent="0.85">
      <c r="A1127" s="7">
        <v>1</v>
      </c>
      <c r="B1127" s="59">
        <f>SUBTOTAL(103,$A$1032:A1127)</f>
        <v>95</v>
      </c>
      <c r="C1127" s="160" t="s">
        <v>432</v>
      </c>
      <c r="D1127" s="60">
        <f>E1127+F1127+G1127+H1127+I1127+J1127+L1127+N1127+P1127+R1127+T1127+U1127+V1127+W1127+X1127+Y1127+Z1127+AA1127+AB1127+AC1127+AD1127+AE1127</f>
        <v>6112874.1299999999</v>
      </c>
      <c r="E1127" s="60">
        <v>0</v>
      </c>
      <c r="F1127" s="60">
        <v>0</v>
      </c>
      <c r="G1127" s="60">
        <v>0</v>
      </c>
      <c r="H1127" s="60">
        <v>0</v>
      </c>
      <c r="I1127" s="60">
        <v>0</v>
      </c>
      <c r="J1127" s="60">
        <v>0</v>
      </c>
      <c r="K1127" s="168">
        <v>0</v>
      </c>
      <c r="L1127" s="60">
        <v>0</v>
      </c>
      <c r="M1127" s="60">
        <v>816.06</v>
      </c>
      <c r="N1127" s="60">
        <v>6050254</v>
      </c>
      <c r="O1127" s="60">
        <v>0</v>
      </c>
      <c r="P1127" s="60">
        <v>0</v>
      </c>
      <c r="Q1127" s="60">
        <v>0</v>
      </c>
      <c r="R1127" s="60">
        <v>0</v>
      </c>
      <c r="S1127" s="60">
        <v>0</v>
      </c>
      <c r="T1127" s="60">
        <v>0</v>
      </c>
      <c r="U1127" s="60">
        <v>0</v>
      </c>
      <c r="V1127" s="60">
        <v>0</v>
      </c>
      <c r="W1127" s="60">
        <v>0</v>
      </c>
      <c r="X1127" s="60">
        <v>0</v>
      </c>
      <c r="Y1127" s="60">
        <v>0</v>
      </c>
      <c r="Z1127" s="60">
        <v>0</v>
      </c>
      <c r="AA1127" s="60">
        <v>0</v>
      </c>
      <c r="AB1127" s="60">
        <v>0</v>
      </c>
      <c r="AC1127" s="60">
        <v>62620.13</v>
      </c>
      <c r="AD1127" s="60">
        <v>0</v>
      </c>
      <c r="AE1127" s="60">
        <v>0</v>
      </c>
      <c r="AF1127" s="170" t="s">
        <v>257</v>
      </c>
      <c r="AG1127" s="170">
        <v>2022</v>
      </c>
      <c r="AH1127" s="63">
        <v>2022</v>
      </c>
    </row>
    <row r="1128" spans="1:16199" s="23" customFormat="1" ht="61.5" x14ac:dyDescent="0.85">
      <c r="A1128" s="7">
        <v>1</v>
      </c>
      <c r="B1128" s="59">
        <f>SUBTOTAL(103,$A$1032:A1128)</f>
        <v>96</v>
      </c>
      <c r="C1128" s="160" t="s">
        <v>2160</v>
      </c>
      <c r="D1128" s="60">
        <f>E1128+F1128+G1128+H1128+I1128+J1128+L1128+N1128+P1128+R1128+T1128+U1128+V1128+W1128+X1128+Y1128+Z1128+AA1128+AB1128+AC1128+AD1128+AE1128</f>
        <v>3279704.4600000004</v>
      </c>
      <c r="E1128" s="180">
        <v>0</v>
      </c>
      <c r="F1128" s="180">
        <v>0</v>
      </c>
      <c r="G1128" s="180">
        <v>0</v>
      </c>
      <c r="H1128" s="180">
        <v>0</v>
      </c>
      <c r="I1128" s="180">
        <v>0</v>
      </c>
      <c r="J1128" s="180">
        <v>0</v>
      </c>
      <c r="K1128" s="168">
        <v>0</v>
      </c>
      <c r="L1128" s="60">
        <v>0</v>
      </c>
      <c r="M1128" s="60">
        <v>605</v>
      </c>
      <c r="N1128" s="60">
        <v>3172704</v>
      </c>
      <c r="O1128" s="60">
        <v>0</v>
      </c>
      <c r="P1128" s="60">
        <v>0</v>
      </c>
      <c r="Q1128" s="60">
        <v>0</v>
      </c>
      <c r="R1128" s="60">
        <v>0</v>
      </c>
      <c r="S1128" s="60">
        <v>0</v>
      </c>
      <c r="T1128" s="60">
        <v>0</v>
      </c>
      <c r="U1128" s="60">
        <v>0</v>
      </c>
      <c r="V1128" s="60">
        <v>0</v>
      </c>
      <c r="W1128" s="60">
        <v>0</v>
      </c>
      <c r="X1128" s="60">
        <v>0</v>
      </c>
      <c r="Y1128" s="60">
        <v>0</v>
      </c>
      <c r="Z1128" s="60">
        <v>0</v>
      </c>
      <c r="AA1128" s="60">
        <v>0</v>
      </c>
      <c r="AB1128" s="60">
        <v>0</v>
      </c>
      <c r="AC1128" s="60">
        <v>32837.49</v>
      </c>
      <c r="AD1128" s="62">
        <v>74162.97</v>
      </c>
      <c r="AE1128" s="60">
        <v>0</v>
      </c>
      <c r="AF1128" s="170">
        <v>2022</v>
      </c>
      <c r="AG1128" s="170">
        <v>2022</v>
      </c>
      <c r="AH1128" s="63">
        <v>2022</v>
      </c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  <c r="BZ1128" s="7"/>
      <c r="CA1128" s="7"/>
      <c r="CB1128" s="7"/>
      <c r="CC1128" s="7"/>
      <c r="CD1128" s="7"/>
      <c r="CE1128" s="7"/>
      <c r="CF1128" s="7"/>
      <c r="CG1128" s="7"/>
      <c r="CH1128" s="7"/>
      <c r="CI1128" s="7"/>
      <c r="CJ1128" s="7"/>
      <c r="CK1128" s="7"/>
      <c r="CL1128" s="7"/>
      <c r="CM1128" s="7"/>
      <c r="CN1128" s="7"/>
      <c r="CO1128" s="7"/>
      <c r="CP1128" s="7"/>
      <c r="CQ1128" s="7"/>
      <c r="CR1128" s="7"/>
      <c r="CS1128" s="7"/>
      <c r="CT1128" s="7"/>
      <c r="CU1128" s="7"/>
      <c r="CV1128" s="7"/>
      <c r="CW1128" s="7"/>
      <c r="CX1128" s="7"/>
      <c r="CY1128" s="7"/>
      <c r="CZ1128" s="7"/>
      <c r="DA1128" s="7"/>
      <c r="DB1128" s="7"/>
      <c r="DC1128" s="7"/>
      <c r="DD1128" s="7"/>
      <c r="DE1128" s="7"/>
      <c r="DF1128" s="7"/>
      <c r="DG1128" s="7"/>
      <c r="DH1128" s="7"/>
      <c r="DI1128" s="7"/>
      <c r="DJ1128" s="7"/>
      <c r="DK1128" s="7"/>
      <c r="DL1128" s="7"/>
      <c r="DM1128" s="7"/>
      <c r="DN1128" s="7"/>
      <c r="DO1128" s="7"/>
      <c r="DP1128" s="7"/>
      <c r="DQ1128" s="7"/>
      <c r="DR1128" s="7"/>
      <c r="DS1128" s="7"/>
      <c r="DT1128" s="7"/>
      <c r="DU1128" s="7"/>
      <c r="DV1128" s="7"/>
      <c r="DW1128" s="7"/>
      <c r="DX1128" s="7"/>
      <c r="DY1128" s="7"/>
      <c r="DZ1128" s="7"/>
      <c r="EA1128" s="7"/>
      <c r="EB1128" s="7"/>
      <c r="EC1128" s="7"/>
      <c r="ED1128" s="7"/>
      <c r="EE1128" s="7"/>
      <c r="EF1128" s="7"/>
      <c r="EG1128" s="7"/>
      <c r="EH1128" s="7"/>
      <c r="EI1128" s="7"/>
      <c r="EJ1128" s="7"/>
      <c r="EK1128" s="7"/>
      <c r="EL1128" s="7"/>
      <c r="EM1128" s="7"/>
      <c r="EN1128" s="7"/>
      <c r="EO1128" s="7"/>
      <c r="EP1128" s="7"/>
      <c r="EQ1128" s="7"/>
      <c r="ER1128" s="7"/>
      <c r="ES1128" s="7"/>
      <c r="ET1128" s="7"/>
      <c r="EU1128" s="7"/>
      <c r="EV1128" s="7"/>
      <c r="EW1128" s="7"/>
      <c r="EX1128" s="7"/>
      <c r="EY1128" s="7"/>
      <c r="EZ1128" s="7"/>
      <c r="FA1128" s="7"/>
      <c r="FB1128" s="7"/>
      <c r="FC1128" s="7"/>
      <c r="FD1128" s="7"/>
      <c r="FE1128" s="7"/>
      <c r="FF1128" s="7"/>
      <c r="FG1128" s="7"/>
      <c r="FH1128" s="7"/>
      <c r="FI1128" s="7"/>
      <c r="FJ1128" s="7"/>
      <c r="FK1128" s="7"/>
      <c r="FL1128" s="7"/>
      <c r="FM1128" s="7"/>
      <c r="FN1128" s="7"/>
      <c r="FO1128" s="7"/>
      <c r="FP1128" s="7"/>
      <c r="FQ1128" s="7"/>
      <c r="FR1128" s="7"/>
      <c r="FS1128" s="7"/>
      <c r="FT1128" s="7"/>
      <c r="FU1128" s="7"/>
      <c r="FV1128" s="7"/>
      <c r="FW1128" s="7"/>
      <c r="FX1128" s="7"/>
      <c r="FY1128" s="7"/>
      <c r="FZ1128" s="7"/>
      <c r="GA1128" s="7"/>
      <c r="GB1128" s="7"/>
      <c r="GC1128" s="7"/>
      <c r="GD1128" s="7"/>
      <c r="GE1128" s="7"/>
      <c r="GF1128" s="7"/>
      <c r="GG1128" s="7"/>
      <c r="GH1128" s="7"/>
      <c r="GI1128" s="7"/>
      <c r="GJ1128" s="7"/>
      <c r="GK1128" s="7"/>
      <c r="GL1128" s="7"/>
      <c r="GM1128" s="7"/>
      <c r="GN1128" s="7"/>
      <c r="GO1128" s="7"/>
      <c r="GP1128" s="7"/>
      <c r="GQ1128" s="7"/>
      <c r="GR1128" s="7"/>
      <c r="GS1128" s="7"/>
      <c r="GT1128" s="7"/>
      <c r="GU1128" s="7"/>
      <c r="GV1128" s="7"/>
      <c r="GW1128" s="7"/>
      <c r="GX1128" s="7"/>
      <c r="GY1128" s="7"/>
      <c r="GZ1128" s="7"/>
      <c r="HA1128" s="7"/>
      <c r="HB1128" s="7"/>
      <c r="HC1128" s="7"/>
      <c r="HD1128" s="7"/>
      <c r="HE1128" s="7"/>
      <c r="HF1128" s="7"/>
      <c r="HG1128" s="7"/>
      <c r="HH1128" s="7"/>
      <c r="HI1128" s="7"/>
      <c r="HJ1128" s="7"/>
      <c r="HK1128" s="7"/>
      <c r="HL1128" s="7"/>
      <c r="HM1128" s="7"/>
      <c r="HN1128" s="7"/>
      <c r="HO1128" s="7"/>
      <c r="HP1128" s="7"/>
      <c r="HQ1128" s="7"/>
      <c r="HR1128" s="7"/>
      <c r="HS1128" s="7"/>
      <c r="HT1128" s="7"/>
      <c r="HU1128" s="7"/>
      <c r="HV1128" s="7"/>
      <c r="HW1128" s="7"/>
      <c r="HX1128" s="7"/>
      <c r="HY1128" s="7"/>
      <c r="HZ1128" s="7"/>
      <c r="IA1128" s="7"/>
      <c r="IB1128" s="7"/>
      <c r="IC1128" s="7"/>
      <c r="ID1128" s="7"/>
      <c r="IE1128" s="7"/>
      <c r="IF1128" s="7"/>
      <c r="IG1128" s="7"/>
      <c r="IH1128" s="7"/>
      <c r="II1128" s="7"/>
      <c r="IJ1128" s="7"/>
      <c r="IK1128" s="7"/>
      <c r="IL1128" s="7"/>
      <c r="IM1128" s="7"/>
      <c r="IN1128" s="7"/>
      <c r="IO1128" s="7"/>
      <c r="IP1128" s="7"/>
      <c r="IQ1128" s="7"/>
      <c r="IR1128" s="7"/>
      <c r="IS1128" s="7"/>
      <c r="IT1128" s="7"/>
      <c r="IU1128" s="7"/>
      <c r="IV1128" s="7"/>
      <c r="IW1128" s="7"/>
      <c r="IX1128" s="7"/>
      <c r="IY1128" s="7"/>
      <c r="IZ1128" s="7"/>
      <c r="JA1128" s="7"/>
      <c r="JB1128" s="7"/>
      <c r="JC1128" s="7"/>
      <c r="JD1128" s="7"/>
      <c r="JE1128" s="7"/>
      <c r="JF1128" s="7"/>
      <c r="JG1128" s="7"/>
      <c r="JH1128" s="7"/>
      <c r="JI1128" s="7"/>
      <c r="JJ1128" s="7"/>
      <c r="JK1128" s="7"/>
      <c r="JL1128" s="7"/>
      <c r="JM1128" s="7"/>
      <c r="JN1128" s="7"/>
      <c r="JO1128" s="7"/>
      <c r="JP1128" s="7"/>
      <c r="JQ1128" s="7"/>
      <c r="JR1128" s="7"/>
      <c r="JS1128" s="7"/>
      <c r="JT1128" s="7"/>
      <c r="JU1128" s="7"/>
      <c r="JV1128" s="7"/>
      <c r="JW1128" s="7"/>
      <c r="JX1128" s="7"/>
      <c r="JY1128" s="7"/>
      <c r="JZ1128" s="7"/>
      <c r="KA1128" s="7"/>
      <c r="KB1128" s="7"/>
      <c r="KC1128" s="7"/>
      <c r="KD1128" s="7"/>
      <c r="KE1128" s="7"/>
      <c r="KF1128" s="7"/>
      <c r="KG1128" s="7"/>
      <c r="KH1128" s="7"/>
      <c r="KI1128" s="7"/>
      <c r="KJ1128" s="7"/>
      <c r="KK1128" s="7"/>
      <c r="KL1128" s="7"/>
      <c r="KM1128" s="7"/>
      <c r="KN1128" s="7"/>
      <c r="KO1128" s="7"/>
      <c r="KP1128" s="7"/>
      <c r="KQ1128" s="7"/>
      <c r="KR1128" s="7"/>
      <c r="KS1128" s="7"/>
      <c r="KT1128" s="7"/>
      <c r="KU1128" s="7"/>
      <c r="KV1128" s="7"/>
      <c r="KW1128" s="7"/>
      <c r="KX1128" s="7"/>
      <c r="KY1128" s="7"/>
      <c r="KZ1128" s="7"/>
      <c r="LA1128" s="7"/>
      <c r="LB1128" s="7"/>
      <c r="LC1128" s="7"/>
      <c r="LD1128" s="7"/>
      <c r="LE1128" s="7"/>
      <c r="LF1128" s="7"/>
      <c r="LG1128" s="7"/>
      <c r="LH1128" s="7"/>
      <c r="LI1128" s="7"/>
      <c r="LJ1128" s="7"/>
      <c r="LK1128" s="7"/>
      <c r="LL1128" s="7"/>
      <c r="LM1128" s="7"/>
      <c r="LN1128" s="7"/>
      <c r="LO1128" s="7"/>
      <c r="LP1128" s="7"/>
      <c r="LQ1128" s="7"/>
      <c r="LR1128" s="7"/>
      <c r="LS1128" s="7"/>
      <c r="LT1128" s="7"/>
      <c r="LU1128" s="7"/>
      <c r="LV1128" s="7"/>
      <c r="LW1128" s="7"/>
      <c r="LX1128" s="7"/>
      <c r="LY1128" s="7"/>
      <c r="LZ1128" s="7"/>
      <c r="MA1128" s="7"/>
      <c r="MB1128" s="7"/>
      <c r="MC1128" s="7"/>
      <c r="MD1128" s="7"/>
      <c r="ME1128" s="7"/>
      <c r="MF1128" s="7"/>
      <c r="MG1128" s="7"/>
      <c r="MH1128" s="7"/>
      <c r="MI1128" s="7"/>
      <c r="MJ1128" s="7"/>
      <c r="MK1128" s="7"/>
      <c r="ML1128" s="7"/>
      <c r="MM1128" s="7"/>
      <c r="MN1128" s="7"/>
      <c r="MO1128" s="7"/>
      <c r="MP1128" s="7"/>
      <c r="MQ1128" s="7"/>
      <c r="MR1128" s="7"/>
      <c r="MS1128" s="7"/>
      <c r="MT1128" s="7"/>
      <c r="MU1128" s="7"/>
      <c r="MV1128" s="7"/>
      <c r="MW1128" s="7"/>
      <c r="MX1128" s="7"/>
      <c r="MY1128" s="7"/>
      <c r="MZ1128" s="7"/>
      <c r="NA1128" s="7"/>
      <c r="NB1128" s="7"/>
      <c r="NC1128" s="7"/>
      <c r="ND1128" s="7"/>
      <c r="NE1128" s="7"/>
      <c r="NF1128" s="7"/>
      <c r="NG1128" s="7"/>
      <c r="NH1128" s="7"/>
      <c r="NI1128" s="7"/>
      <c r="NJ1128" s="7"/>
      <c r="NK1128" s="7"/>
      <c r="NL1128" s="7"/>
      <c r="NM1128" s="7"/>
      <c r="NN1128" s="7"/>
      <c r="NO1128" s="7"/>
      <c r="NP1128" s="7"/>
      <c r="NQ1128" s="7"/>
      <c r="NR1128" s="7"/>
      <c r="NS1128" s="7"/>
      <c r="NT1128" s="7"/>
      <c r="NU1128" s="7"/>
      <c r="NV1128" s="7"/>
      <c r="NW1128" s="7"/>
      <c r="NX1128" s="7"/>
      <c r="NY1128" s="7"/>
      <c r="NZ1128" s="7"/>
      <c r="OA1128" s="7"/>
      <c r="OB1128" s="7"/>
      <c r="OC1128" s="7"/>
      <c r="OD1128" s="7"/>
      <c r="OE1128" s="7"/>
      <c r="OF1128" s="7"/>
      <c r="OG1128" s="7"/>
      <c r="OH1128" s="7"/>
      <c r="OI1128" s="7"/>
      <c r="OJ1128" s="7"/>
      <c r="OK1128" s="7"/>
      <c r="OL1128" s="7"/>
      <c r="OM1128" s="7"/>
      <c r="ON1128" s="7"/>
      <c r="OO1128" s="7"/>
      <c r="OP1128" s="7"/>
      <c r="OQ1128" s="7"/>
      <c r="OR1128" s="7"/>
      <c r="OS1128" s="7"/>
      <c r="OT1128" s="7"/>
      <c r="OU1128" s="7"/>
      <c r="OV1128" s="7"/>
      <c r="OW1128" s="7"/>
      <c r="OX1128" s="7"/>
      <c r="OY1128" s="7"/>
      <c r="OZ1128" s="7"/>
      <c r="PA1128" s="7"/>
      <c r="PB1128" s="7"/>
      <c r="PC1128" s="7"/>
      <c r="PD1128" s="7"/>
      <c r="PE1128" s="7"/>
      <c r="PF1128" s="7"/>
      <c r="PG1128" s="7"/>
      <c r="PH1128" s="7"/>
      <c r="PI1128" s="7"/>
      <c r="PJ1128" s="7"/>
      <c r="PK1128" s="7"/>
      <c r="PL1128" s="7"/>
      <c r="PM1128" s="7"/>
      <c r="PN1128" s="7"/>
      <c r="PO1128" s="7"/>
      <c r="PP1128" s="7"/>
      <c r="PQ1128" s="7"/>
      <c r="PR1128" s="7"/>
      <c r="PS1128" s="7"/>
      <c r="PT1128" s="7"/>
      <c r="PU1128" s="7"/>
      <c r="PV1128" s="7"/>
      <c r="PW1128" s="7"/>
      <c r="PX1128" s="7"/>
      <c r="PY1128" s="7"/>
      <c r="PZ1128" s="7"/>
      <c r="QA1128" s="7"/>
      <c r="QB1128" s="7"/>
      <c r="QC1128" s="7"/>
      <c r="QD1128" s="7"/>
      <c r="QE1128" s="7"/>
      <c r="QF1128" s="7"/>
      <c r="QG1128" s="7"/>
      <c r="QH1128" s="7"/>
      <c r="QI1128" s="7"/>
      <c r="QJ1128" s="7"/>
      <c r="QK1128" s="7"/>
      <c r="QL1128" s="7"/>
      <c r="QM1128" s="7"/>
      <c r="QN1128" s="7"/>
      <c r="QO1128" s="7"/>
      <c r="QP1128" s="7"/>
      <c r="QQ1128" s="7"/>
      <c r="QR1128" s="7"/>
      <c r="QS1128" s="7"/>
      <c r="QT1128" s="7"/>
      <c r="QU1128" s="7"/>
      <c r="QV1128" s="7"/>
      <c r="QW1128" s="7"/>
      <c r="QX1128" s="7"/>
      <c r="QY1128" s="7"/>
      <c r="QZ1128" s="7"/>
      <c r="RA1128" s="7"/>
      <c r="RB1128" s="7"/>
      <c r="RC1128" s="7"/>
      <c r="RD1128" s="7"/>
      <c r="RE1128" s="7"/>
      <c r="RF1128" s="7"/>
      <c r="RG1128" s="7"/>
      <c r="RH1128" s="7"/>
      <c r="RI1128" s="7"/>
      <c r="RJ1128" s="7"/>
      <c r="RK1128" s="7"/>
      <c r="RL1128" s="7"/>
      <c r="RM1128" s="7"/>
      <c r="RN1128" s="7"/>
      <c r="RO1128" s="7"/>
      <c r="RP1128" s="7"/>
      <c r="RQ1128" s="7"/>
      <c r="RR1128" s="7"/>
      <c r="RS1128" s="7"/>
      <c r="RT1128" s="7"/>
      <c r="RU1128" s="7"/>
      <c r="RV1128" s="7"/>
      <c r="RW1128" s="7"/>
      <c r="RX1128" s="7"/>
      <c r="RY1128" s="7"/>
      <c r="RZ1128" s="7"/>
      <c r="SA1128" s="7"/>
      <c r="SB1128" s="7"/>
      <c r="SC1128" s="7"/>
      <c r="SD1128" s="7"/>
      <c r="SE1128" s="7"/>
      <c r="SF1128" s="7"/>
      <c r="SG1128" s="7"/>
      <c r="SH1128" s="7"/>
      <c r="SI1128" s="7"/>
      <c r="SJ1128" s="7"/>
      <c r="SK1128" s="7"/>
      <c r="SL1128" s="7"/>
      <c r="SM1128" s="7"/>
      <c r="SN1128" s="7"/>
      <c r="SO1128" s="7"/>
      <c r="SP1128" s="7"/>
      <c r="SQ1128" s="7"/>
      <c r="SR1128" s="7"/>
      <c r="SS1128" s="7"/>
      <c r="ST1128" s="7"/>
      <c r="SU1128" s="7"/>
      <c r="SV1128" s="7"/>
      <c r="SW1128" s="7"/>
      <c r="SX1128" s="7"/>
      <c r="SY1128" s="7"/>
      <c r="SZ1128" s="7"/>
      <c r="TA1128" s="7"/>
      <c r="TB1128" s="7"/>
      <c r="TC1128" s="7"/>
      <c r="TD1128" s="7"/>
      <c r="TE1128" s="7"/>
      <c r="TF1128" s="7"/>
      <c r="TG1128" s="7"/>
      <c r="TH1128" s="7"/>
      <c r="TI1128" s="7"/>
      <c r="TJ1128" s="7"/>
      <c r="TK1128" s="7"/>
      <c r="TL1128" s="7"/>
      <c r="TM1128" s="7"/>
      <c r="TN1128" s="7"/>
      <c r="TO1128" s="7"/>
      <c r="TP1128" s="7"/>
      <c r="TQ1128" s="7"/>
      <c r="TR1128" s="7"/>
      <c r="TS1128" s="7"/>
      <c r="TT1128" s="7"/>
      <c r="TU1128" s="7"/>
      <c r="TV1128" s="7"/>
      <c r="TW1128" s="7"/>
      <c r="TX1128" s="7"/>
      <c r="TY1128" s="7"/>
      <c r="TZ1128" s="7"/>
      <c r="UA1128" s="7"/>
      <c r="UB1128" s="7"/>
      <c r="UC1128" s="7"/>
      <c r="UD1128" s="7"/>
      <c r="UE1128" s="7"/>
      <c r="UF1128" s="7"/>
      <c r="UG1128" s="7"/>
      <c r="UH1128" s="7"/>
      <c r="UI1128" s="7"/>
      <c r="UJ1128" s="7"/>
      <c r="UK1128" s="7"/>
      <c r="UL1128" s="7"/>
      <c r="UM1128" s="7"/>
      <c r="UN1128" s="7"/>
      <c r="UO1128" s="7"/>
      <c r="UP1128" s="7"/>
      <c r="UQ1128" s="7"/>
      <c r="UR1128" s="7"/>
      <c r="US1128" s="7"/>
      <c r="UT1128" s="7"/>
      <c r="UU1128" s="7"/>
      <c r="UV1128" s="7"/>
      <c r="UW1128" s="7"/>
      <c r="UX1128" s="7"/>
      <c r="UY1128" s="7"/>
      <c r="UZ1128" s="7"/>
      <c r="VA1128" s="7"/>
      <c r="VB1128" s="7"/>
      <c r="VC1128" s="7"/>
      <c r="VD1128" s="7"/>
      <c r="VE1128" s="7"/>
      <c r="VF1128" s="7"/>
      <c r="VG1128" s="7"/>
      <c r="VH1128" s="7"/>
      <c r="VI1128" s="7"/>
      <c r="VJ1128" s="7"/>
      <c r="VK1128" s="7"/>
      <c r="VL1128" s="7"/>
      <c r="VM1128" s="7"/>
      <c r="VN1128" s="7"/>
      <c r="VO1128" s="7"/>
      <c r="VP1128" s="7"/>
      <c r="VQ1128" s="7"/>
      <c r="VR1128" s="7"/>
      <c r="VS1128" s="7"/>
      <c r="VT1128" s="7"/>
      <c r="VU1128" s="7"/>
      <c r="VV1128" s="7"/>
      <c r="VW1128" s="7"/>
      <c r="VX1128" s="7"/>
      <c r="VY1128" s="7"/>
      <c r="VZ1128" s="7"/>
      <c r="WA1128" s="7"/>
      <c r="WB1128" s="7"/>
      <c r="WC1128" s="7"/>
      <c r="WD1128" s="7"/>
      <c r="WE1128" s="7"/>
      <c r="WF1128" s="7"/>
      <c r="WG1128" s="7"/>
      <c r="WH1128" s="7"/>
      <c r="WI1128" s="7"/>
      <c r="WJ1128" s="7"/>
      <c r="WK1128" s="7"/>
      <c r="WL1128" s="7"/>
      <c r="WM1128" s="7"/>
      <c r="WN1128" s="7"/>
      <c r="WO1128" s="7"/>
      <c r="WP1128" s="7"/>
      <c r="WQ1128" s="7"/>
      <c r="WR1128" s="7"/>
      <c r="WS1128" s="7"/>
      <c r="WT1128" s="7"/>
      <c r="WU1128" s="7"/>
      <c r="WV1128" s="7"/>
      <c r="WW1128" s="7"/>
      <c r="WX1128" s="7"/>
      <c r="WY1128" s="7"/>
      <c r="WZ1128" s="7"/>
      <c r="XA1128" s="7"/>
      <c r="XB1128" s="7"/>
      <c r="XC1128" s="7"/>
      <c r="XD1128" s="7"/>
      <c r="XE1128" s="7"/>
      <c r="XF1128" s="7"/>
      <c r="XG1128" s="7"/>
      <c r="XH1128" s="7"/>
      <c r="XI1128" s="7"/>
      <c r="XJ1128" s="7"/>
      <c r="XK1128" s="7"/>
      <c r="XL1128" s="7"/>
      <c r="XM1128" s="7"/>
      <c r="XN1128" s="7"/>
      <c r="XO1128" s="7"/>
      <c r="XP1128" s="7"/>
      <c r="XQ1128" s="7"/>
      <c r="XR1128" s="7"/>
      <c r="XS1128" s="7"/>
      <c r="XT1128" s="7"/>
      <c r="XU1128" s="7"/>
      <c r="XV1128" s="7"/>
      <c r="XW1128" s="7"/>
      <c r="XX1128" s="7"/>
      <c r="XY1128" s="7"/>
      <c r="XZ1128" s="7"/>
      <c r="YA1128" s="7"/>
      <c r="YB1128" s="7"/>
      <c r="YC1128" s="7"/>
      <c r="YD1128" s="7"/>
      <c r="YE1128" s="7"/>
      <c r="YF1128" s="7"/>
      <c r="YG1128" s="7"/>
      <c r="YH1128" s="7"/>
      <c r="YI1128" s="7"/>
      <c r="YJ1128" s="7"/>
      <c r="YK1128" s="7"/>
      <c r="YL1128" s="7"/>
      <c r="YM1128" s="7"/>
      <c r="YN1128" s="7"/>
      <c r="YO1128" s="7"/>
      <c r="YP1128" s="7"/>
      <c r="YQ1128" s="7"/>
      <c r="YR1128" s="7"/>
      <c r="YS1128" s="7"/>
      <c r="YT1128" s="7"/>
      <c r="YU1128" s="7"/>
      <c r="YV1128" s="7"/>
      <c r="YW1128" s="7"/>
      <c r="YX1128" s="7"/>
      <c r="YY1128" s="7"/>
      <c r="YZ1128" s="7"/>
      <c r="ZA1128" s="7"/>
      <c r="ZB1128" s="7"/>
      <c r="ZC1128" s="7"/>
      <c r="ZD1128" s="7"/>
      <c r="ZE1128" s="7"/>
      <c r="ZF1128" s="7"/>
      <c r="ZG1128" s="7"/>
      <c r="ZH1128" s="7"/>
      <c r="ZI1128" s="7"/>
      <c r="ZJ1128" s="7"/>
      <c r="ZK1128" s="7"/>
      <c r="ZL1128" s="7"/>
      <c r="ZM1128" s="7"/>
      <c r="ZN1128" s="7"/>
      <c r="ZO1128" s="7"/>
      <c r="ZP1128" s="7"/>
      <c r="ZQ1128" s="7"/>
      <c r="ZR1128" s="7"/>
      <c r="ZS1128" s="7"/>
      <c r="ZT1128" s="7"/>
      <c r="ZU1128" s="7"/>
      <c r="ZV1128" s="7"/>
      <c r="ZW1128" s="7"/>
      <c r="ZX1128" s="7"/>
      <c r="ZY1128" s="7"/>
      <c r="ZZ1128" s="7"/>
      <c r="AAA1128" s="7"/>
      <c r="AAB1128" s="7"/>
      <c r="AAC1128" s="7"/>
      <c r="AAD1128" s="7"/>
      <c r="AAE1128" s="7"/>
      <c r="AAF1128" s="7"/>
      <c r="AAG1128" s="7"/>
      <c r="AAH1128" s="7"/>
      <c r="AAI1128" s="7"/>
      <c r="AAJ1128" s="7"/>
      <c r="AAK1128" s="7"/>
      <c r="AAL1128" s="7"/>
      <c r="AAM1128" s="7"/>
      <c r="AAN1128" s="7"/>
      <c r="AAO1128" s="7"/>
      <c r="AAP1128" s="7"/>
      <c r="AAQ1128" s="7"/>
      <c r="AAR1128" s="7"/>
      <c r="AAS1128" s="7"/>
      <c r="AAT1128" s="7"/>
      <c r="AAU1128" s="7"/>
      <c r="AAV1128" s="7"/>
      <c r="AAW1128" s="7"/>
      <c r="AAX1128" s="7"/>
      <c r="AAY1128" s="7"/>
      <c r="AAZ1128" s="7"/>
      <c r="ABA1128" s="7"/>
      <c r="ABB1128" s="7"/>
      <c r="ABC1128" s="7"/>
      <c r="ABD1128" s="7"/>
      <c r="ABE1128" s="7"/>
      <c r="ABF1128" s="7"/>
      <c r="ABG1128" s="7"/>
      <c r="ABH1128" s="7"/>
      <c r="ABI1128" s="7"/>
      <c r="ABJ1128" s="7"/>
      <c r="ABK1128" s="7"/>
      <c r="ABL1128" s="7"/>
      <c r="ABM1128" s="7"/>
      <c r="ABN1128" s="7"/>
      <c r="ABO1128" s="7"/>
      <c r="ABP1128" s="7"/>
      <c r="ABQ1128" s="7"/>
      <c r="ABR1128" s="7"/>
      <c r="ABS1128" s="7"/>
      <c r="ABT1128" s="7"/>
      <c r="ABU1128" s="7"/>
      <c r="ABV1128" s="7"/>
      <c r="ABW1128" s="7"/>
      <c r="ABX1128" s="7"/>
      <c r="ABY1128" s="7"/>
      <c r="ABZ1128" s="7"/>
      <c r="ACA1128" s="7"/>
      <c r="ACB1128" s="7"/>
      <c r="ACC1128" s="7"/>
      <c r="ACD1128" s="7"/>
      <c r="ACE1128" s="7"/>
      <c r="ACF1128" s="7"/>
      <c r="ACG1128" s="7"/>
      <c r="ACH1128" s="7"/>
      <c r="ACI1128" s="7"/>
      <c r="ACJ1128" s="7"/>
      <c r="ACK1128" s="7"/>
      <c r="ACL1128" s="7"/>
      <c r="ACM1128" s="7"/>
      <c r="ACN1128" s="7"/>
      <c r="ACO1128" s="7"/>
      <c r="ACP1128" s="7"/>
      <c r="ACQ1128" s="7"/>
      <c r="ACR1128" s="7"/>
      <c r="ACS1128" s="7"/>
      <c r="ACT1128" s="7"/>
      <c r="ACU1128" s="7"/>
      <c r="ACV1128" s="7"/>
      <c r="ACW1128" s="7"/>
      <c r="ACX1128" s="7"/>
      <c r="ACY1128" s="7"/>
      <c r="ACZ1128" s="7"/>
      <c r="ADA1128" s="7"/>
      <c r="ADB1128" s="7"/>
      <c r="ADC1128" s="7"/>
      <c r="ADD1128" s="7"/>
      <c r="ADE1128" s="7"/>
      <c r="ADF1128" s="7"/>
      <c r="ADG1128" s="7"/>
      <c r="ADH1128" s="7"/>
      <c r="ADI1128" s="7"/>
      <c r="ADJ1128" s="7"/>
      <c r="ADK1128" s="7"/>
      <c r="ADL1128" s="7"/>
      <c r="ADM1128" s="7"/>
      <c r="ADN1128" s="7"/>
      <c r="ADO1128" s="7"/>
      <c r="ADP1128" s="7"/>
      <c r="ADQ1128" s="7"/>
      <c r="ADR1128" s="7"/>
      <c r="ADS1128" s="7"/>
      <c r="ADT1128" s="7"/>
      <c r="ADU1128" s="7"/>
      <c r="ADV1128" s="7"/>
      <c r="ADW1128" s="7"/>
      <c r="ADX1128" s="7"/>
      <c r="ADY1128" s="7"/>
      <c r="ADZ1128" s="7"/>
      <c r="AEA1128" s="7"/>
      <c r="AEB1128" s="7"/>
      <c r="AEC1128" s="7"/>
      <c r="AED1128" s="7"/>
      <c r="AEE1128" s="7"/>
      <c r="AEF1128" s="7"/>
      <c r="AEG1128" s="7"/>
      <c r="AEH1128" s="7"/>
      <c r="AEI1128" s="7"/>
      <c r="AEJ1128" s="7"/>
      <c r="AEK1128" s="7"/>
      <c r="AEL1128" s="7"/>
      <c r="AEM1128" s="7"/>
      <c r="AEN1128" s="7"/>
      <c r="AEO1128" s="7"/>
      <c r="AEP1128" s="7"/>
      <c r="AEQ1128" s="7"/>
      <c r="AER1128" s="7"/>
      <c r="AES1128" s="7"/>
      <c r="AET1128" s="7"/>
      <c r="AEU1128" s="7"/>
      <c r="AEV1128" s="7"/>
      <c r="AEW1128" s="7"/>
      <c r="AEX1128" s="7"/>
      <c r="AEY1128" s="7"/>
      <c r="AEZ1128" s="7"/>
      <c r="AFA1128" s="7"/>
      <c r="AFB1128" s="7"/>
      <c r="AFC1128" s="7"/>
      <c r="AFD1128" s="7"/>
      <c r="AFE1128" s="7"/>
      <c r="AFF1128" s="7"/>
      <c r="AFG1128" s="7"/>
      <c r="AFH1128" s="7"/>
      <c r="AFI1128" s="7"/>
      <c r="AFJ1128" s="7"/>
      <c r="AFK1128" s="7"/>
      <c r="AFL1128" s="7"/>
      <c r="AFM1128" s="7"/>
      <c r="AFN1128" s="7"/>
      <c r="AFO1128" s="7"/>
      <c r="AFP1128" s="7"/>
      <c r="AFQ1128" s="7"/>
      <c r="AFR1128" s="7"/>
      <c r="AFS1128" s="7"/>
      <c r="AFT1128" s="7"/>
      <c r="AFU1128" s="7"/>
      <c r="AFV1128" s="7"/>
      <c r="AFW1128" s="7"/>
      <c r="AFX1128" s="7"/>
      <c r="AFY1128" s="7"/>
      <c r="AFZ1128" s="7"/>
      <c r="AGA1128" s="7"/>
      <c r="AGB1128" s="7"/>
      <c r="AGC1128" s="7"/>
      <c r="AGD1128" s="7"/>
      <c r="AGE1128" s="7"/>
      <c r="AGF1128" s="7"/>
      <c r="AGG1128" s="7"/>
      <c r="AGH1128" s="7"/>
      <c r="AGI1128" s="7"/>
      <c r="AGJ1128" s="7"/>
      <c r="AGK1128" s="7"/>
      <c r="AGL1128" s="7"/>
      <c r="AGM1128" s="7"/>
      <c r="AGN1128" s="7"/>
      <c r="AGO1128" s="7"/>
      <c r="AGP1128" s="7"/>
      <c r="AGQ1128" s="7"/>
      <c r="AGR1128" s="7"/>
      <c r="AGS1128" s="7"/>
      <c r="AGT1128" s="7"/>
      <c r="AGU1128" s="7"/>
      <c r="AGV1128" s="7"/>
      <c r="AGW1128" s="7"/>
      <c r="AGX1128" s="7"/>
      <c r="AGY1128" s="7"/>
      <c r="AGZ1128" s="7"/>
      <c r="AHA1128" s="7"/>
      <c r="AHB1128" s="7"/>
      <c r="AHC1128" s="7"/>
      <c r="AHD1128" s="7"/>
      <c r="AHE1128" s="7"/>
      <c r="AHF1128" s="7"/>
      <c r="AHG1128" s="7"/>
      <c r="AHH1128" s="7"/>
      <c r="AHI1128" s="7"/>
      <c r="AHJ1128" s="7"/>
      <c r="AHK1128" s="7"/>
      <c r="AHL1128" s="7"/>
      <c r="AHM1128" s="7"/>
      <c r="AHN1128" s="7"/>
      <c r="AHO1128" s="7"/>
      <c r="AHP1128" s="7"/>
      <c r="AHQ1128" s="7"/>
      <c r="AHR1128" s="7"/>
      <c r="AHS1128" s="7"/>
      <c r="AHT1128" s="7"/>
      <c r="AHU1128" s="7"/>
      <c r="AHV1128" s="7"/>
      <c r="AHW1128" s="7"/>
      <c r="AHX1128" s="7"/>
      <c r="AHY1128" s="7"/>
      <c r="AHZ1128" s="7"/>
      <c r="AIA1128" s="7"/>
      <c r="AIB1128" s="7"/>
      <c r="AIC1128" s="7"/>
      <c r="AID1128" s="7"/>
      <c r="AIE1128" s="7"/>
      <c r="AIF1128" s="7"/>
      <c r="AIG1128" s="7"/>
      <c r="AIH1128" s="7"/>
      <c r="AII1128" s="7"/>
      <c r="AIJ1128" s="7"/>
      <c r="AIK1128" s="7"/>
      <c r="AIL1128" s="7"/>
      <c r="AIM1128" s="7"/>
      <c r="AIN1128" s="7"/>
      <c r="AIO1128" s="7"/>
      <c r="AIP1128" s="7"/>
      <c r="AIQ1128" s="7"/>
      <c r="AIR1128" s="7"/>
      <c r="AIS1128" s="7"/>
      <c r="AIT1128" s="7"/>
      <c r="AIU1128" s="7"/>
      <c r="AIV1128" s="7"/>
      <c r="AIW1128" s="7"/>
      <c r="AIX1128" s="7"/>
      <c r="AIY1128" s="7"/>
      <c r="AIZ1128" s="7"/>
      <c r="AJA1128" s="7"/>
      <c r="AJB1128" s="7"/>
      <c r="AJC1128" s="7"/>
      <c r="AJD1128" s="7"/>
      <c r="AJE1128" s="7"/>
      <c r="AJF1128" s="7"/>
      <c r="AJG1128" s="7"/>
      <c r="AJH1128" s="7"/>
      <c r="AJI1128" s="7"/>
      <c r="AJJ1128" s="7"/>
      <c r="AJK1128" s="7"/>
      <c r="AJL1128" s="7"/>
      <c r="AJM1128" s="7"/>
      <c r="AJN1128" s="7"/>
      <c r="AJO1128" s="7"/>
      <c r="AJP1128" s="7"/>
      <c r="AJQ1128" s="7"/>
      <c r="AJR1128" s="7"/>
      <c r="AJS1128" s="7"/>
      <c r="AJT1128" s="7"/>
      <c r="AJU1128" s="7"/>
      <c r="AJV1128" s="7"/>
      <c r="AJW1128" s="7"/>
      <c r="AJX1128" s="7"/>
      <c r="AJY1128" s="7"/>
      <c r="AJZ1128" s="7"/>
      <c r="AKA1128" s="7"/>
      <c r="AKB1128" s="7"/>
      <c r="AKC1128" s="7"/>
      <c r="AKD1128" s="7"/>
      <c r="AKE1128" s="7"/>
      <c r="AKF1128" s="7"/>
      <c r="AKG1128" s="7"/>
      <c r="AKH1128" s="7"/>
      <c r="AKI1128" s="7"/>
      <c r="AKJ1128" s="7"/>
      <c r="AKK1128" s="7"/>
      <c r="AKL1128" s="7"/>
      <c r="AKM1128" s="7"/>
      <c r="AKN1128" s="7"/>
      <c r="AKO1128" s="7"/>
      <c r="AKP1128" s="7"/>
      <c r="AKQ1128" s="7"/>
      <c r="AKR1128" s="7"/>
      <c r="AKS1128" s="7"/>
      <c r="AKT1128" s="7"/>
      <c r="AKU1128" s="7"/>
      <c r="AKV1128" s="7"/>
      <c r="AKW1128" s="7"/>
      <c r="AKX1128" s="7"/>
      <c r="AKY1128" s="7"/>
      <c r="AKZ1128" s="7"/>
      <c r="ALA1128" s="7"/>
      <c r="ALB1128" s="7"/>
      <c r="ALC1128" s="7"/>
      <c r="ALD1128" s="7"/>
      <c r="ALE1128" s="7"/>
      <c r="ALF1128" s="7"/>
      <c r="ALG1128" s="7"/>
      <c r="ALH1128" s="7"/>
      <c r="ALI1128" s="7"/>
      <c r="ALJ1128" s="7"/>
      <c r="ALK1128" s="7"/>
      <c r="ALL1128" s="7"/>
      <c r="ALM1128" s="7"/>
      <c r="ALN1128" s="7"/>
      <c r="ALO1128" s="7"/>
      <c r="ALP1128" s="7"/>
      <c r="ALQ1128" s="7"/>
      <c r="ALR1128" s="7"/>
      <c r="ALS1128" s="7"/>
      <c r="ALT1128" s="7"/>
      <c r="ALU1128" s="7"/>
      <c r="ALV1128" s="7"/>
      <c r="ALW1128" s="7"/>
      <c r="ALX1128" s="7"/>
      <c r="ALY1128" s="7"/>
      <c r="ALZ1128" s="7"/>
      <c r="AMA1128" s="7"/>
      <c r="AMB1128" s="7"/>
      <c r="AMC1128" s="7"/>
      <c r="AMD1128" s="7"/>
      <c r="AME1128" s="7"/>
      <c r="AMF1128" s="7"/>
      <c r="AMG1128" s="7"/>
      <c r="AMH1128" s="7"/>
      <c r="AMI1128" s="7"/>
      <c r="AMJ1128" s="7"/>
      <c r="AMK1128" s="7"/>
      <c r="AML1128" s="7"/>
      <c r="AMM1128" s="7"/>
      <c r="AMN1128" s="7"/>
      <c r="AMO1128" s="7"/>
      <c r="AMP1128" s="7"/>
      <c r="AMQ1128" s="7"/>
      <c r="AMR1128" s="7"/>
      <c r="AMS1128" s="7"/>
      <c r="AMT1128" s="7"/>
      <c r="AMU1128" s="7"/>
      <c r="AMV1128" s="7"/>
      <c r="AMW1128" s="7"/>
      <c r="AMX1128" s="7"/>
      <c r="AMY1128" s="7"/>
      <c r="AMZ1128" s="7"/>
      <c r="ANA1128" s="7"/>
      <c r="ANB1128" s="7"/>
      <c r="ANC1128" s="7"/>
      <c r="AND1128" s="7"/>
      <c r="ANE1128" s="7"/>
      <c r="ANF1128" s="7"/>
      <c r="ANG1128" s="7"/>
      <c r="ANH1128" s="7"/>
      <c r="ANI1128" s="7"/>
      <c r="ANJ1128" s="7"/>
      <c r="ANK1128" s="7"/>
      <c r="ANL1128" s="7"/>
      <c r="ANM1128" s="7"/>
      <c r="ANN1128" s="7"/>
      <c r="ANO1128" s="7"/>
      <c r="ANP1128" s="7"/>
      <c r="ANQ1128" s="7"/>
      <c r="ANR1128" s="7"/>
      <c r="ANS1128" s="7"/>
      <c r="ANT1128" s="7"/>
      <c r="ANU1128" s="7"/>
      <c r="ANV1128" s="7"/>
      <c r="ANW1128" s="7"/>
      <c r="ANX1128" s="7"/>
      <c r="ANY1128" s="7"/>
      <c r="ANZ1128" s="7"/>
      <c r="AOA1128" s="7"/>
      <c r="AOB1128" s="7"/>
      <c r="AOC1128" s="7"/>
      <c r="AOD1128" s="7"/>
      <c r="AOE1128" s="7"/>
      <c r="AOF1128" s="7"/>
      <c r="AOG1128" s="7"/>
      <c r="AOH1128" s="7"/>
      <c r="AOI1128" s="7"/>
      <c r="AOJ1128" s="7"/>
      <c r="AOK1128" s="7"/>
      <c r="AOL1128" s="7"/>
      <c r="AOM1128" s="7"/>
      <c r="AON1128" s="7"/>
      <c r="AOO1128" s="7"/>
      <c r="AOP1128" s="7"/>
      <c r="AOQ1128" s="7"/>
      <c r="AOR1128" s="7"/>
      <c r="AOS1128" s="7"/>
      <c r="AOT1128" s="7"/>
      <c r="AOU1128" s="7"/>
      <c r="AOV1128" s="7"/>
      <c r="AOW1128" s="7"/>
      <c r="AOX1128" s="7"/>
      <c r="AOY1128" s="7"/>
      <c r="AOZ1128" s="7"/>
      <c r="APA1128" s="7"/>
      <c r="APB1128" s="7"/>
      <c r="APC1128" s="7"/>
      <c r="APD1128" s="7"/>
      <c r="APE1128" s="7"/>
      <c r="APF1128" s="7"/>
      <c r="APG1128" s="7"/>
      <c r="APH1128" s="7"/>
      <c r="API1128" s="7"/>
      <c r="APJ1128" s="7"/>
      <c r="APK1128" s="7"/>
      <c r="APL1128" s="7"/>
      <c r="APM1128" s="7"/>
      <c r="APN1128" s="7"/>
      <c r="APO1128" s="7"/>
      <c r="APP1128" s="7"/>
      <c r="APQ1128" s="7"/>
      <c r="APR1128" s="7"/>
      <c r="APS1128" s="7"/>
      <c r="APT1128" s="7"/>
      <c r="APU1128" s="7"/>
      <c r="APV1128" s="7"/>
      <c r="APW1128" s="7"/>
      <c r="APX1128" s="7"/>
      <c r="APY1128" s="7"/>
      <c r="APZ1128" s="7"/>
      <c r="AQA1128" s="7"/>
      <c r="AQB1128" s="7"/>
      <c r="AQC1128" s="7"/>
      <c r="AQD1128" s="7"/>
      <c r="AQE1128" s="7"/>
      <c r="AQF1128" s="7"/>
      <c r="AQG1128" s="7"/>
      <c r="AQH1128" s="7"/>
      <c r="AQI1128" s="7"/>
      <c r="AQJ1128" s="7"/>
      <c r="AQK1128" s="7"/>
      <c r="AQL1128" s="7"/>
      <c r="AQM1128" s="7"/>
      <c r="AQN1128" s="7"/>
      <c r="AQO1128" s="7"/>
      <c r="AQP1128" s="7"/>
      <c r="AQQ1128" s="7"/>
      <c r="AQR1128" s="7"/>
      <c r="AQS1128" s="7"/>
      <c r="AQT1128" s="7"/>
      <c r="AQU1128" s="7"/>
      <c r="AQV1128" s="7"/>
      <c r="AQW1128" s="7"/>
      <c r="AQX1128" s="7"/>
      <c r="AQY1128" s="7"/>
      <c r="AQZ1128" s="7"/>
      <c r="ARA1128" s="7"/>
      <c r="ARB1128" s="7"/>
      <c r="ARC1128" s="7"/>
      <c r="ARD1128" s="7"/>
      <c r="ARE1128" s="7"/>
      <c r="ARF1128" s="7"/>
      <c r="ARG1128" s="7"/>
      <c r="ARH1128" s="7"/>
      <c r="ARI1128" s="7"/>
      <c r="ARJ1128" s="7"/>
      <c r="ARK1128" s="7"/>
      <c r="ARL1128" s="7"/>
      <c r="ARM1128" s="7"/>
      <c r="ARN1128" s="7"/>
      <c r="ARO1128" s="7"/>
      <c r="ARP1128" s="7"/>
      <c r="ARQ1128" s="7"/>
      <c r="ARR1128" s="7"/>
      <c r="ARS1128" s="7"/>
      <c r="ART1128" s="7"/>
      <c r="ARU1128" s="7"/>
      <c r="ARV1128" s="7"/>
      <c r="ARW1128" s="7"/>
      <c r="ARX1128" s="7"/>
      <c r="ARY1128" s="7"/>
      <c r="ARZ1128" s="7"/>
      <c r="ASA1128" s="7"/>
      <c r="ASB1128" s="7"/>
      <c r="ASC1128" s="7"/>
      <c r="ASD1128" s="7"/>
      <c r="ASE1128" s="7"/>
      <c r="ASF1128" s="7"/>
      <c r="ASG1128" s="7"/>
      <c r="ASH1128" s="7"/>
      <c r="ASI1128" s="7"/>
      <c r="ASJ1128" s="7"/>
      <c r="ASK1128" s="7"/>
      <c r="ASL1128" s="7"/>
      <c r="ASM1128" s="7"/>
      <c r="ASN1128" s="7"/>
      <c r="ASO1128" s="7"/>
      <c r="ASP1128" s="7"/>
      <c r="ASQ1128" s="7"/>
      <c r="ASR1128" s="7"/>
      <c r="ASS1128" s="7"/>
      <c r="AST1128" s="7"/>
      <c r="ASU1128" s="7"/>
      <c r="ASV1128" s="7"/>
      <c r="ASW1128" s="7"/>
      <c r="ASX1128" s="7"/>
      <c r="ASY1128" s="7"/>
      <c r="ASZ1128" s="7"/>
      <c r="ATA1128" s="7"/>
      <c r="ATB1128" s="7"/>
      <c r="ATC1128" s="7"/>
      <c r="ATD1128" s="7"/>
      <c r="ATE1128" s="7"/>
      <c r="ATF1128" s="7"/>
      <c r="ATG1128" s="7"/>
      <c r="ATH1128" s="7"/>
      <c r="ATI1128" s="7"/>
      <c r="ATJ1128" s="7"/>
      <c r="ATK1128" s="7"/>
      <c r="ATL1128" s="7"/>
      <c r="ATM1128" s="7"/>
      <c r="ATN1128" s="7"/>
      <c r="ATO1128" s="7"/>
      <c r="ATP1128" s="7"/>
      <c r="ATQ1128" s="7"/>
      <c r="ATR1128" s="7"/>
      <c r="ATS1128" s="7"/>
      <c r="ATT1128" s="7"/>
      <c r="ATU1128" s="7"/>
      <c r="ATV1128" s="7"/>
      <c r="ATW1128" s="7"/>
      <c r="ATX1128" s="7"/>
      <c r="ATY1128" s="7"/>
      <c r="ATZ1128" s="7"/>
      <c r="AUA1128" s="7"/>
      <c r="AUB1128" s="7"/>
      <c r="AUC1128" s="7"/>
      <c r="AUD1128" s="7"/>
      <c r="AUE1128" s="7"/>
      <c r="AUF1128" s="7"/>
      <c r="AUG1128" s="7"/>
      <c r="AUH1128" s="7"/>
      <c r="AUI1128" s="7"/>
      <c r="AUJ1128" s="7"/>
      <c r="AUK1128" s="7"/>
      <c r="AUL1128" s="7"/>
      <c r="AUM1128" s="7"/>
      <c r="AUN1128" s="7"/>
      <c r="AUO1128" s="7"/>
      <c r="AUP1128" s="7"/>
      <c r="AUQ1128" s="7"/>
      <c r="AUR1128" s="7"/>
      <c r="AUS1128" s="7"/>
      <c r="AUT1128" s="7"/>
      <c r="AUU1128" s="7"/>
      <c r="AUV1128" s="7"/>
      <c r="AUW1128" s="7"/>
      <c r="AUX1128" s="7"/>
      <c r="AUY1128" s="7"/>
      <c r="AUZ1128" s="7"/>
      <c r="AVA1128" s="7"/>
      <c r="AVB1128" s="7"/>
      <c r="AVC1128" s="7"/>
      <c r="AVD1128" s="7"/>
      <c r="AVE1128" s="7"/>
      <c r="AVF1128" s="7"/>
      <c r="AVG1128" s="7"/>
      <c r="AVH1128" s="7"/>
      <c r="AVI1128" s="7"/>
      <c r="AVJ1128" s="7"/>
      <c r="AVK1128" s="7"/>
      <c r="AVL1128" s="7"/>
      <c r="AVM1128" s="7"/>
      <c r="AVN1128" s="7"/>
      <c r="AVO1128" s="7"/>
      <c r="AVP1128" s="7"/>
      <c r="AVQ1128" s="7"/>
      <c r="AVR1128" s="7"/>
      <c r="AVS1128" s="7"/>
      <c r="AVT1128" s="7"/>
      <c r="AVU1128" s="7"/>
      <c r="AVV1128" s="7"/>
      <c r="AVW1128" s="7"/>
      <c r="AVX1128" s="7"/>
      <c r="AVY1128" s="7"/>
      <c r="AVZ1128" s="7"/>
      <c r="AWA1128" s="7"/>
      <c r="AWB1128" s="7"/>
      <c r="AWC1128" s="7"/>
      <c r="AWD1128" s="7"/>
      <c r="AWE1128" s="7"/>
      <c r="AWF1128" s="7"/>
      <c r="AWG1128" s="7"/>
      <c r="AWH1128" s="7"/>
      <c r="AWI1128" s="7"/>
      <c r="AWJ1128" s="7"/>
      <c r="AWK1128" s="7"/>
      <c r="AWL1128" s="7"/>
      <c r="AWM1128" s="7"/>
      <c r="AWN1128" s="7"/>
      <c r="AWO1128" s="7"/>
      <c r="AWP1128" s="7"/>
      <c r="AWQ1128" s="7"/>
      <c r="AWR1128" s="7"/>
      <c r="AWS1128" s="7"/>
      <c r="AWT1128" s="7"/>
      <c r="AWU1128" s="7"/>
      <c r="AWV1128" s="7"/>
      <c r="AWW1128" s="7"/>
      <c r="AWX1128" s="7"/>
      <c r="AWY1128" s="7"/>
      <c r="AWZ1128" s="7"/>
      <c r="AXA1128" s="7"/>
      <c r="AXB1128" s="7"/>
      <c r="AXC1128" s="7"/>
      <c r="AXD1128" s="7"/>
      <c r="AXE1128" s="7"/>
      <c r="AXF1128" s="7"/>
      <c r="AXG1128" s="7"/>
      <c r="AXH1128" s="7"/>
      <c r="AXI1128" s="7"/>
      <c r="AXJ1128" s="7"/>
      <c r="AXK1128" s="7"/>
      <c r="AXL1128" s="7"/>
      <c r="AXM1128" s="7"/>
      <c r="AXN1128" s="7"/>
      <c r="AXO1128" s="7"/>
      <c r="AXP1128" s="7"/>
      <c r="AXQ1128" s="7"/>
      <c r="AXR1128" s="7"/>
      <c r="AXS1128" s="7"/>
      <c r="AXT1128" s="7"/>
      <c r="AXU1128" s="7"/>
      <c r="AXV1128" s="7"/>
      <c r="AXW1128" s="7"/>
      <c r="AXX1128" s="7"/>
      <c r="AXY1128" s="7"/>
      <c r="AXZ1128" s="7"/>
      <c r="AYA1128" s="7"/>
      <c r="AYB1128" s="7"/>
      <c r="AYC1128" s="7"/>
      <c r="AYD1128" s="7"/>
      <c r="AYE1128" s="7"/>
      <c r="AYF1128" s="7"/>
      <c r="AYG1128" s="7"/>
      <c r="AYH1128" s="7"/>
      <c r="AYI1128" s="7"/>
      <c r="AYJ1128" s="7"/>
      <c r="AYK1128" s="7"/>
      <c r="AYL1128" s="7"/>
      <c r="AYM1128" s="7"/>
      <c r="AYN1128" s="7"/>
      <c r="AYO1128" s="7"/>
      <c r="AYP1128" s="7"/>
      <c r="AYQ1128" s="7"/>
      <c r="AYR1128" s="7"/>
      <c r="AYS1128" s="7"/>
      <c r="AYT1128" s="7"/>
      <c r="AYU1128" s="7"/>
      <c r="AYV1128" s="7"/>
      <c r="AYW1128" s="7"/>
      <c r="AYX1128" s="7"/>
      <c r="AYY1128" s="7"/>
      <c r="AYZ1128" s="7"/>
      <c r="AZA1128" s="7"/>
      <c r="AZB1128" s="7"/>
      <c r="AZC1128" s="7"/>
      <c r="AZD1128" s="7"/>
      <c r="AZE1128" s="7"/>
      <c r="AZF1128" s="7"/>
      <c r="AZG1128" s="7"/>
      <c r="AZH1128" s="7"/>
      <c r="AZI1128" s="7"/>
      <c r="AZJ1128" s="7"/>
      <c r="AZK1128" s="7"/>
      <c r="AZL1128" s="7"/>
      <c r="AZM1128" s="7"/>
      <c r="AZN1128" s="7"/>
      <c r="AZO1128" s="7"/>
      <c r="AZP1128" s="7"/>
      <c r="AZQ1128" s="7"/>
      <c r="AZR1128" s="7"/>
      <c r="AZS1128" s="7"/>
      <c r="AZT1128" s="7"/>
      <c r="AZU1128" s="7"/>
      <c r="AZV1128" s="7"/>
      <c r="AZW1128" s="7"/>
      <c r="AZX1128" s="7"/>
      <c r="AZY1128" s="7"/>
      <c r="AZZ1128" s="7"/>
      <c r="BAA1128" s="7"/>
      <c r="BAB1128" s="7"/>
      <c r="BAC1128" s="7"/>
      <c r="BAD1128" s="7"/>
      <c r="BAE1128" s="7"/>
      <c r="BAF1128" s="7"/>
      <c r="BAG1128" s="7"/>
      <c r="BAH1128" s="7"/>
      <c r="BAI1128" s="7"/>
      <c r="BAJ1128" s="7"/>
      <c r="BAK1128" s="7"/>
      <c r="BAL1128" s="7"/>
      <c r="BAM1128" s="7"/>
      <c r="BAN1128" s="7"/>
      <c r="BAO1128" s="7"/>
      <c r="BAP1128" s="7"/>
      <c r="BAQ1128" s="7"/>
      <c r="BAR1128" s="7"/>
      <c r="BAS1128" s="7"/>
      <c r="BAT1128" s="7"/>
      <c r="BAU1128" s="7"/>
      <c r="BAV1128" s="7"/>
      <c r="BAW1128" s="7"/>
      <c r="BAX1128" s="7"/>
      <c r="BAY1128" s="7"/>
      <c r="BAZ1128" s="7"/>
      <c r="BBA1128" s="7"/>
      <c r="BBB1128" s="7"/>
      <c r="BBC1128" s="7"/>
      <c r="BBD1128" s="7"/>
      <c r="BBE1128" s="7"/>
      <c r="BBF1128" s="7"/>
      <c r="BBG1128" s="7"/>
      <c r="BBH1128" s="7"/>
      <c r="BBI1128" s="7"/>
      <c r="BBJ1128" s="7"/>
      <c r="BBK1128" s="7"/>
      <c r="BBL1128" s="7"/>
      <c r="BBM1128" s="7"/>
      <c r="BBN1128" s="7"/>
      <c r="BBO1128" s="7"/>
      <c r="BBP1128" s="7"/>
      <c r="BBQ1128" s="7"/>
      <c r="BBR1128" s="7"/>
      <c r="BBS1128" s="7"/>
      <c r="BBT1128" s="7"/>
      <c r="BBU1128" s="7"/>
      <c r="BBV1128" s="7"/>
      <c r="BBW1128" s="7"/>
      <c r="BBX1128" s="7"/>
      <c r="BBY1128" s="7"/>
      <c r="BBZ1128" s="7"/>
      <c r="BCA1128" s="7"/>
      <c r="BCB1128" s="7"/>
      <c r="BCC1128" s="7"/>
      <c r="BCD1128" s="7"/>
      <c r="BCE1128" s="7"/>
      <c r="BCF1128" s="7"/>
      <c r="BCG1128" s="7"/>
      <c r="BCH1128" s="7"/>
      <c r="BCI1128" s="7"/>
      <c r="BCJ1128" s="7"/>
      <c r="BCK1128" s="7"/>
      <c r="BCL1128" s="7"/>
      <c r="BCM1128" s="7"/>
      <c r="BCN1128" s="7"/>
      <c r="BCO1128" s="7"/>
      <c r="BCP1128" s="7"/>
      <c r="BCQ1128" s="7"/>
      <c r="BCR1128" s="7"/>
      <c r="BCS1128" s="7"/>
      <c r="BCT1128" s="7"/>
      <c r="BCU1128" s="7"/>
      <c r="BCV1128" s="7"/>
      <c r="BCW1128" s="7"/>
      <c r="BCX1128" s="7"/>
      <c r="BCY1128" s="7"/>
      <c r="BCZ1128" s="7"/>
      <c r="BDA1128" s="7"/>
      <c r="BDB1128" s="7"/>
      <c r="BDC1128" s="7"/>
      <c r="BDD1128" s="7"/>
      <c r="BDE1128" s="7"/>
      <c r="BDF1128" s="7"/>
      <c r="BDG1128" s="7"/>
      <c r="BDH1128" s="7"/>
      <c r="BDI1128" s="7"/>
      <c r="BDJ1128" s="7"/>
      <c r="BDK1128" s="7"/>
      <c r="BDL1128" s="7"/>
      <c r="BDM1128" s="7"/>
      <c r="BDN1128" s="7"/>
      <c r="BDO1128" s="7"/>
      <c r="BDP1128" s="7"/>
      <c r="BDQ1128" s="7"/>
      <c r="BDR1128" s="7"/>
      <c r="BDS1128" s="7"/>
      <c r="BDT1128" s="7"/>
      <c r="BDU1128" s="7"/>
      <c r="BDV1128" s="7"/>
      <c r="BDW1128" s="7"/>
      <c r="BDX1128" s="7"/>
      <c r="BDY1128" s="7"/>
      <c r="BDZ1128" s="7"/>
      <c r="BEA1128" s="7"/>
      <c r="BEB1128" s="7"/>
      <c r="BEC1128" s="7"/>
      <c r="BED1128" s="7"/>
      <c r="BEE1128" s="7"/>
      <c r="BEF1128" s="7"/>
      <c r="BEG1128" s="7"/>
      <c r="BEH1128" s="7"/>
      <c r="BEI1128" s="7"/>
      <c r="BEJ1128" s="7"/>
      <c r="BEK1128" s="7"/>
      <c r="BEL1128" s="7"/>
      <c r="BEM1128" s="7"/>
      <c r="BEN1128" s="7"/>
      <c r="BEO1128" s="7"/>
      <c r="BEP1128" s="7"/>
      <c r="BEQ1128" s="7"/>
      <c r="BER1128" s="7"/>
      <c r="BES1128" s="7"/>
      <c r="BET1128" s="7"/>
      <c r="BEU1128" s="7"/>
      <c r="BEV1128" s="7"/>
      <c r="BEW1128" s="7"/>
      <c r="BEX1128" s="7"/>
      <c r="BEY1128" s="7"/>
      <c r="BEZ1128" s="7"/>
      <c r="BFA1128" s="7"/>
      <c r="BFB1128" s="7"/>
      <c r="BFC1128" s="7"/>
      <c r="BFD1128" s="7"/>
      <c r="BFE1128" s="7"/>
      <c r="BFF1128" s="7"/>
      <c r="BFG1128" s="7"/>
      <c r="BFH1128" s="7"/>
      <c r="BFI1128" s="7"/>
      <c r="BFJ1128" s="7"/>
      <c r="BFK1128" s="7"/>
      <c r="BFL1128" s="7"/>
      <c r="BFM1128" s="7"/>
      <c r="BFN1128" s="7"/>
      <c r="BFO1128" s="7"/>
      <c r="BFP1128" s="7"/>
      <c r="BFQ1128" s="7"/>
      <c r="BFR1128" s="7"/>
      <c r="BFS1128" s="7"/>
      <c r="BFT1128" s="7"/>
      <c r="BFU1128" s="7"/>
      <c r="BFV1128" s="7"/>
      <c r="BFW1128" s="7"/>
      <c r="BFX1128" s="7"/>
      <c r="BFY1128" s="7"/>
      <c r="BFZ1128" s="7"/>
      <c r="BGA1128" s="7"/>
      <c r="BGB1128" s="7"/>
      <c r="BGC1128" s="7"/>
      <c r="BGD1128" s="7"/>
      <c r="BGE1128" s="7"/>
      <c r="BGF1128" s="7"/>
      <c r="BGG1128" s="7"/>
      <c r="BGH1128" s="7"/>
      <c r="BGI1128" s="7"/>
      <c r="BGJ1128" s="7"/>
      <c r="BGK1128" s="7"/>
      <c r="BGL1128" s="7"/>
      <c r="BGM1128" s="7"/>
      <c r="BGN1128" s="7"/>
      <c r="BGO1128" s="7"/>
      <c r="BGP1128" s="7"/>
      <c r="BGQ1128" s="7"/>
      <c r="BGR1128" s="7"/>
      <c r="BGS1128" s="7"/>
      <c r="BGT1128" s="7"/>
      <c r="BGU1128" s="7"/>
      <c r="BGV1128" s="7"/>
      <c r="BGW1128" s="7"/>
      <c r="BGX1128" s="7"/>
      <c r="BGY1128" s="7"/>
      <c r="BGZ1128" s="7"/>
      <c r="BHA1128" s="7"/>
      <c r="BHB1128" s="7"/>
      <c r="BHC1128" s="7"/>
      <c r="BHD1128" s="7"/>
      <c r="BHE1128" s="7"/>
      <c r="BHF1128" s="7"/>
      <c r="BHG1128" s="7"/>
      <c r="BHH1128" s="7"/>
      <c r="BHI1128" s="7"/>
      <c r="BHJ1128" s="7"/>
      <c r="BHK1128" s="7"/>
      <c r="BHL1128" s="7"/>
      <c r="BHM1128" s="7"/>
      <c r="BHN1128" s="7"/>
      <c r="BHO1128" s="7"/>
      <c r="BHP1128" s="7"/>
      <c r="BHQ1128" s="7"/>
      <c r="BHR1128" s="7"/>
      <c r="BHS1128" s="7"/>
      <c r="BHT1128" s="7"/>
      <c r="BHU1128" s="7"/>
      <c r="BHV1128" s="7"/>
      <c r="BHW1128" s="7"/>
      <c r="BHX1128" s="7"/>
      <c r="BHY1128" s="7"/>
      <c r="BHZ1128" s="7"/>
      <c r="BIA1128" s="7"/>
      <c r="BIB1128" s="7"/>
      <c r="BIC1128" s="7"/>
      <c r="BID1128" s="7"/>
      <c r="BIE1128" s="7"/>
      <c r="BIF1128" s="7"/>
      <c r="BIG1128" s="7"/>
      <c r="BIH1128" s="7"/>
      <c r="BII1128" s="7"/>
      <c r="BIJ1128" s="7"/>
      <c r="BIK1128" s="7"/>
      <c r="BIL1128" s="7"/>
      <c r="BIM1128" s="7"/>
      <c r="BIN1128" s="7"/>
      <c r="BIO1128" s="7"/>
      <c r="BIP1128" s="7"/>
      <c r="BIQ1128" s="7"/>
      <c r="BIR1128" s="7"/>
      <c r="BIS1128" s="7"/>
      <c r="BIT1128" s="7"/>
      <c r="BIU1128" s="7"/>
      <c r="BIV1128" s="7"/>
      <c r="BIW1128" s="7"/>
      <c r="BIX1128" s="7"/>
      <c r="BIY1128" s="7"/>
      <c r="BIZ1128" s="7"/>
      <c r="BJA1128" s="7"/>
      <c r="BJB1128" s="7"/>
      <c r="BJC1128" s="7"/>
      <c r="BJD1128" s="7"/>
      <c r="BJE1128" s="7"/>
      <c r="BJF1128" s="7"/>
      <c r="BJG1128" s="7"/>
      <c r="BJH1128" s="7"/>
      <c r="BJI1128" s="7"/>
      <c r="BJJ1128" s="7"/>
      <c r="BJK1128" s="7"/>
      <c r="BJL1128" s="7"/>
      <c r="BJM1128" s="7"/>
      <c r="BJN1128" s="7"/>
      <c r="BJO1128" s="7"/>
      <c r="BJP1128" s="7"/>
      <c r="BJQ1128" s="7"/>
      <c r="BJR1128" s="7"/>
      <c r="BJS1128" s="7"/>
      <c r="BJT1128" s="7"/>
      <c r="BJU1128" s="7"/>
      <c r="BJV1128" s="7"/>
      <c r="BJW1128" s="7"/>
      <c r="BJX1128" s="7"/>
      <c r="BJY1128" s="7"/>
      <c r="BJZ1128" s="7"/>
      <c r="BKA1128" s="7"/>
      <c r="BKB1128" s="7"/>
      <c r="BKC1128" s="7"/>
      <c r="BKD1128" s="7"/>
      <c r="BKE1128" s="7"/>
      <c r="BKF1128" s="7"/>
      <c r="BKG1128" s="7"/>
      <c r="BKH1128" s="7"/>
      <c r="BKI1128" s="7"/>
      <c r="BKJ1128" s="7"/>
      <c r="BKK1128" s="7"/>
      <c r="BKL1128" s="7"/>
      <c r="BKM1128" s="7"/>
      <c r="BKN1128" s="7"/>
      <c r="BKO1128" s="7"/>
      <c r="BKP1128" s="7"/>
      <c r="BKQ1128" s="7"/>
      <c r="BKR1128" s="7"/>
      <c r="BKS1128" s="7"/>
      <c r="BKT1128" s="7"/>
      <c r="BKU1128" s="7"/>
      <c r="BKV1128" s="7"/>
      <c r="BKW1128" s="7"/>
      <c r="BKX1128" s="7"/>
      <c r="BKY1128" s="7"/>
      <c r="BKZ1128" s="7"/>
      <c r="BLA1128" s="7"/>
      <c r="BLB1128" s="7"/>
      <c r="BLC1128" s="7"/>
      <c r="BLD1128" s="7"/>
      <c r="BLE1128" s="7"/>
      <c r="BLF1128" s="7"/>
      <c r="BLG1128" s="7"/>
      <c r="BLH1128" s="7"/>
      <c r="BLI1128" s="7"/>
      <c r="BLJ1128" s="7"/>
      <c r="BLK1128" s="7"/>
      <c r="BLL1128" s="7"/>
      <c r="BLM1128" s="7"/>
      <c r="BLN1128" s="7"/>
      <c r="BLO1128" s="7"/>
      <c r="BLP1128" s="7"/>
      <c r="BLQ1128" s="7"/>
      <c r="BLR1128" s="7"/>
      <c r="BLS1128" s="7"/>
      <c r="BLT1128" s="7"/>
      <c r="BLU1128" s="7"/>
      <c r="BLV1128" s="7"/>
      <c r="BLW1128" s="7"/>
      <c r="BLX1128" s="7"/>
      <c r="BLY1128" s="7"/>
      <c r="BLZ1128" s="7"/>
      <c r="BMA1128" s="7"/>
      <c r="BMB1128" s="7"/>
      <c r="BMC1128" s="7"/>
      <c r="BMD1128" s="7"/>
      <c r="BME1128" s="7"/>
      <c r="BMF1128" s="7"/>
      <c r="BMG1128" s="7"/>
      <c r="BMH1128" s="7"/>
      <c r="BMI1128" s="7"/>
      <c r="BMJ1128" s="7"/>
      <c r="BMK1128" s="7"/>
      <c r="BML1128" s="7"/>
      <c r="BMM1128" s="7"/>
      <c r="BMN1128" s="7"/>
      <c r="BMO1128" s="7"/>
      <c r="BMP1128" s="7"/>
      <c r="BMQ1128" s="7"/>
      <c r="BMR1128" s="7"/>
      <c r="BMS1128" s="7"/>
      <c r="BMT1128" s="7"/>
      <c r="BMU1128" s="7"/>
      <c r="BMV1128" s="7"/>
      <c r="BMW1128" s="7"/>
      <c r="BMX1128" s="7"/>
      <c r="BMY1128" s="7"/>
      <c r="BMZ1128" s="7"/>
      <c r="BNA1128" s="7"/>
      <c r="BNB1128" s="7"/>
      <c r="BNC1128" s="7"/>
      <c r="BND1128" s="7"/>
      <c r="BNE1128" s="7"/>
      <c r="BNF1128" s="7"/>
      <c r="BNG1128" s="7"/>
      <c r="BNH1128" s="7"/>
      <c r="BNI1128" s="7"/>
      <c r="BNJ1128" s="7"/>
      <c r="BNK1128" s="7"/>
      <c r="BNL1128" s="7"/>
      <c r="BNM1128" s="7"/>
      <c r="BNN1128" s="7"/>
      <c r="BNO1128" s="7"/>
      <c r="BNP1128" s="7"/>
      <c r="BNQ1128" s="7"/>
      <c r="BNR1128" s="7"/>
      <c r="BNS1128" s="7"/>
      <c r="BNT1128" s="7"/>
      <c r="BNU1128" s="7"/>
      <c r="BNV1128" s="7"/>
      <c r="BNW1128" s="7"/>
      <c r="BNX1128" s="7"/>
      <c r="BNY1128" s="7"/>
      <c r="BNZ1128" s="7"/>
      <c r="BOA1128" s="7"/>
      <c r="BOB1128" s="7"/>
      <c r="BOC1128" s="7"/>
      <c r="BOD1128" s="7"/>
      <c r="BOE1128" s="7"/>
      <c r="BOF1128" s="7"/>
      <c r="BOG1128" s="7"/>
      <c r="BOH1128" s="7"/>
      <c r="BOI1128" s="7"/>
      <c r="BOJ1128" s="7"/>
      <c r="BOK1128" s="7"/>
      <c r="BOL1128" s="7"/>
      <c r="BOM1128" s="7"/>
      <c r="BON1128" s="7"/>
      <c r="BOO1128" s="7"/>
      <c r="BOP1128" s="7"/>
      <c r="BOQ1128" s="7"/>
      <c r="BOR1128" s="7"/>
      <c r="BOS1128" s="7"/>
      <c r="BOT1128" s="7"/>
      <c r="BOU1128" s="7"/>
      <c r="BOV1128" s="7"/>
      <c r="BOW1128" s="7"/>
      <c r="BOX1128" s="7"/>
      <c r="BOY1128" s="7"/>
      <c r="BOZ1128" s="7"/>
      <c r="BPA1128" s="7"/>
      <c r="BPB1128" s="7"/>
      <c r="BPC1128" s="7"/>
      <c r="BPD1128" s="7"/>
      <c r="BPE1128" s="7"/>
      <c r="BPF1128" s="7"/>
      <c r="BPG1128" s="7"/>
      <c r="BPH1128" s="7"/>
      <c r="BPI1128" s="7"/>
      <c r="BPJ1128" s="7"/>
      <c r="BPK1128" s="7"/>
      <c r="BPL1128" s="7"/>
      <c r="BPM1128" s="7"/>
      <c r="BPN1128" s="7"/>
      <c r="BPO1128" s="7"/>
      <c r="BPP1128" s="7"/>
      <c r="BPQ1128" s="7"/>
      <c r="BPR1128" s="7"/>
      <c r="BPS1128" s="7"/>
      <c r="BPT1128" s="7"/>
      <c r="BPU1128" s="7"/>
      <c r="BPV1128" s="7"/>
      <c r="BPW1128" s="7"/>
      <c r="BPX1128" s="7"/>
      <c r="BPY1128" s="7"/>
      <c r="BPZ1128" s="7"/>
      <c r="BQA1128" s="7"/>
      <c r="BQB1128" s="7"/>
      <c r="BQC1128" s="7"/>
      <c r="BQD1128" s="7"/>
      <c r="BQE1128" s="7"/>
      <c r="BQF1128" s="7"/>
      <c r="BQG1128" s="7"/>
      <c r="BQH1128" s="7"/>
      <c r="BQI1128" s="7"/>
      <c r="BQJ1128" s="7"/>
      <c r="BQK1128" s="7"/>
      <c r="BQL1128" s="7"/>
      <c r="BQM1128" s="7"/>
      <c r="BQN1128" s="7"/>
      <c r="BQO1128" s="7"/>
      <c r="BQP1128" s="7"/>
      <c r="BQQ1128" s="7"/>
      <c r="BQR1128" s="7"/>
      <c r="BQS1128" s="7"/>
      <c r="BQT1128" s="7"/>
      <c r="BQU1128" s="7"/>
      <c r="BQV1128" s="7"/>
      <c r="BQW1128" s="7"/>
      <c r="BQX1128" s="7"/>
      <c r="BQY1128" s="7"/>
      <c r="BQZ1128" s="7"/>
      <c r="BRA1128" s="7"/>
      <c r="BRB1128" s="7"/>
      <c r="BRC1128" s="7"/>
      <c r="BRD1128" s="7"/>
      <c r="BRE1128" s="7"/>
      <c r="BRF1128" s="7"/>
      <c r="BRG1128" s="7"/>
      <c r="BRH1128" s="7"/>
      <c r="BRI1128" s="7"/>
      <c r="BRJ1128" s="7"/>
      <c r="BRK1128" s="7"/>
      <c r="BRL1128" s="7"/>
      <c r="BRM1128" s="7"/>
      <c r="BRN1128" s="7"/>
      <c r="BRO1128" s="7"/>
      <c r="BRP1128" s="7"/>
      <c r="BRQ1128" s="7"/>
      <c r="BRR1128" s="7"/>
      <c r="BRS1128" s="7"/>
      <c r="BRT1128" s="7"/>
      <c r="BRU1128" s="7"/>
      <c r="BRV1128" s="7"/>
      <c r="BRW1128" s="7"/>
      <c r="BRX1128" s="7"/>
      <c r="BRY1128" s="7"/>
      <c r="BRZ1128" s="7"/>
      <c r="BSA1128" s="7"/>
      <c r="BSB1128" s="7"/>
      <c r="BSC1128" s="7"/>
      <c r="BSD1128" s="7"/>
      <c r="BSE1128" s="7"/>
      <c r="BSF1128" s="7"/>
      <c r="BSG1128" s="7"/>
      <c r="BSH1128" s="7"/>
      <c r="BSI1128" s="7"/>
      <c r="BSJ1128" s="7"/>
      <c r="BSK1128" s="7"/>
      <c r="BSL1128" s="7"/>
      <c r="BSM1128" s="7"/>
      <c r="BSN1128" s="7"/>
      <c r="BSO1128" s="7"/>
      <c r="BSP1128" s="7"/>
      <c r="BSQ1128" s="7"/>
      <c r="BSR1128" s="7"/>
      <c r="BSS1128" s="7"/>
      <c r="BST1128" s="7"/>
      <c r="BSU1128" s="7"/>
      <c r="BSV1128" s="7"/>
      <c r="BSW1128" s="7"/>
      <c r="BSX1128" s="7"/>
      <c r="BSY1128" s="7"/>
      <c r="BSZ1128" s="7"/>
      <c r="BTA1128" s="7"/>
      <c r="BTB1128" s="7"/>
      <c r="BTC1128" s="7"/>
      <c r="BTD1128" s="7"/>
      <c r="BTE1128" s="7"/>
      <c r="BTF1128" s="7"/>
      <c r="BTG1128" s="7"/>
      <c r="BTH1128" s="7"/>
      <c r="BTI1128" s="7"/>
      <c r="BTJ1128" s="7"/>
      <c r="BTK1128" s="7"/>
      <c r="BTL1128" s="7"/>
      <c r="BTM1128" s="7"/>
      <c r="BTN1128" s="7"/>
      <c r="BTO1128" s="7"/>
      <c r="BTP1128" s="7"/>
      <c r="BTQ1128" s="7"/>
      <c r="BTR1128" s="7"/>
      <c r="BTS1128" s="7"/>
      <c r="BTT1128" s="7"/>
      <c r="BTU1128" s="7"/>
      <c r="BTV1128" s="7"/>
      <c r="BTW1128" s="7"/>
      <c r="BTX1128" s="7"/>
      <c r="BTY1128" s="7"/>
      <c r="BTZ1128" s="7"/>
      <c r="BUA1128" s="7"/>
      <c r="BUB1128" s="7"/>
      <c r="BUC1128" s="7"/>
      <c r="BUD1128" s="7"/>
      <c r="BUE1128" s="7"/>
      <c r="BUF1128" s="7"/>
      <c r="BUG1128" s="7"/>
      <c r="BUH1128" s="7"/>
      <c r="BUI1128" s="7"/>
      <c r="BUJ1128" s="7"/>
      <c r="BUK1128" s="7"/>
      <c r="BUL1128" s="7"/>
      <c r="BUM1128" s="7"/>
      <c r="BUN1128" s="7"/>
      <c r="BUO1128" s="7"/>
      <c r="BUP1128" s="7"/>
      <c r="BUQ1128" s="7"/>
      <c r="BUR1128" s="7"/>
      <c r="BUS1128" s="7"/>
      <c r="BUT1128" s="7"/>
      <c r="BUU1128" s="7"/>
      <c r="BUV1128" s="7"/>
      <c r="BUW1128" s="7"/>
      <c r="BUX1128" s="7"/>
      <c r="BUY1128" s="7"/>
      <c r="BUZ1128" s="7"/>
      <c r="BVA1128" s="7"/>
      <c r="BVB1128" s="7"/>
      <c r="BVC1128" s="7"/>
      <c r="BVD1128" s="7"/>
      <c r="BVE1128" s="7"/>
      <c r="BVF1128" s="7"/>
      <c r="BVG1128" s="7"/>
      <c r="BVH1128" s="7"/>
      <c r="BVI1128" s="7"/>
      <c r="BVJ1128" s="7"/>
      <c r="BVK1128" s="7"/>
      <c r="BVL1128" s="7"/>
      <c r="BVM1128" s="7"/>
      <c r="BVN1128" s="7"/>
      <c r="BVO1128" s="7"/>
      <c r="BVP1128" s="7"/>
      <c r="BVQ1128" s="7"/>
      <c r="BVR1128" s="7"/>
      <c r="BVS1128" s="7"/>
      <c r="BVT1128" s="7"/>
      <c r="BVU1128" s="7"/>
      <c r="BVV1128" s="7"/>
      <c r="BVW1128" s="7"/>
      <c r="BVX1128" s="7"/>
      <c r="BVY1128" s="7"/>
      <c r="BVZ1128" s="7"/>
      <c r="BWA1128" s="7"/>
      <c r="BWB1128" s="7"/>
      <c r="BWC1128" s="7"/>
      <c r="BWD1128" s="7"/>
      <c r="BWE1128" s="7"/>
      <c r="BWF1128" s="7"/>
      <c r="BWG1128" s="7"/>
      <c r="BWH1128" s="7"/>
      <c r="BWI1128" s="7"/>
      <c r="BWJ1128" s="7"/>
      <c r="BWK1128" s="7"/>
      <c r="BWL1128" s="7"/>
      <c r="BWM1128" s="7"/>
      <c r="BWN1128" s="7"/>
      <c r="BWO1128" s="7"/>
      <c r="BWP1128" s="7"/>
      <c r="BWQ1128" s="7"/>
      <c r="BWR1128" s="7"/>
      <c r="BWS1128" s="7"/>
      <c r="BWT1128" s="7"/>
      <c r="BWU1128" s="7"/>
      <c r="BWV1128" s="7"/>
      <c r="BWW1128" s="7"/>
      <c r="BWX1128" s="7"/>
      <c r="BWY1128" s="7"/>
      <c r="BWZ1128" s="7"/>
      <c r="BXA1128" s="7"/>
      <c r="BXB1128" s="7"/>
      <c r="BXC1128" s="7"/>
      <c r="BXD1128" s="7"/>
      <c r="BXE1128" s="7"/>
      <c r="BXF1128" s="7"/>
      <c r="BXG1128" s="7"/>
      <c r="BXH1128" s="7"/>
      <c r="BXI1128" s="7"/>
      <c r="BXJ1128" s="7"/>
      <c r="BXK1128" s="7"/>
      <c r="BXL1128" s="7"/>
      <c r="BXM1128" s="7"/>
      <c r="BXN1128" s="7"/>
      <c r="BXO1128" s="7"/>
      <c r="BXP1128" s="7"/>
      <c r="BXQ1128" s="7"/>
      <c r="BXR1128" s="7"/>
      <c r="BXS1128" s="7"/>
      <c r="BXT1128" s="7"/>
      <c r="BXU1128" s="7"/>
      <c r="BXV1128" s="7"/>
      <c r="BXW1128" s="7"/>
      <c r="BXX1128" s="7"/>
      <c r="BXY1128" s="7"/>
      <c r="BXZ1128" s="7"/>
      <c r="BYA1128" s="7"/>
      <c r="BYB1128" s="7"/>
      <c r="BYC1128" s="7"/>
      <c r="BYD1128" s="7"/>
      <c r="BYE1128" s="7"/>
      <c r="BYF1128" s="7"/>
      <c r="BYG1128" s="7"/>
      <c r="BYH1128" s="7"/>
      <c r="BYI1128" s="7"/>
      <c r="BYJ1128" s="7"/>
      <c r="BYK1128" s="7"/>
      <c r="BYL1128" s="7"/>
      <c r="BYM1128" s="7"/>
      <c r="BYN1128" s="7"/>
      <c r="BYO1128" s="7"/>
      <c r="BYP1128" s="7"/>
      <c r="BYQ1128" s="7"/>
      <c r="BYR1128" s="7"/>
      <c r="BYS1128" s="7"/>
      <c r="BYT1128" s="7"/>
      <c r="BYU1128" s="7"/>
      <c r="BYV1128" s="7"/>
      <c r="BYW1128" s="7"/>
      <c r="BYX1128" s="7"/>
      <c r="BYY1128" s="7"/>
      <c r="BYZ1128" s="7"/>
      <c r="BZA1128" s="7"/>
      <c r="BZB1128" s="7"/>
      <c r="BZC1128" s="7"/>
      <c r="BZD1128" s="7"/>
      <c r="BZE1128" s="7"/>
      <c r="BZF1128" s="7"/>
      <c r="BZG1128" s="7"/>
      <c r="BZH1128" s="7"/>
      <c r="BZI1128" s="7"/>
      <c r="BZJ1128" s="7"/>
      <c r="BZK1128" s="7"/>
      <c r="BZL1128" s="7"/>
      <c r="BZM1128" s="7"/>
      <c r="BZN1128" s="7"/>
      <c r="BZO1128" s="7"/>
      <c r="BZP1128" s="7"/>
      <c r="BZQ1128" s="7"/>
      <c r="BZR1128" s="7"/>
      <c r="BZS1128" s="7"/>
      <c r="BZT1128" s="7"/>
      <c r="BZU1128" s="7"/>
      <c r="BZV1128" s="7"/>
      <c r="BZW1128" s="7"/>
      <c r="BZX1128" s="7"/>
      <c r="BZY1128" s="7"/>
      <c r="BZZ1128" s="7"/>
      <c r="CAA1128" s="7"/>
      <c r="CAB1128" s="7"/>
      <c r="CAC1128" s="7"/>
      <c r="CAD1128" s="7"/>
      <c r="CAE1128" s="7"/>
      <c r="CAF1128" s="7"/>
      <c r="CAG1128" s="7"/>
      <c r="CAH1128" s="7"/>
      <c r="CAI1128" s="7"/>
      <c r="CAJ1128" s="7"/>
      <c r="CAK1128" s="7"/>
      <c r="CAL1128" s="7"/>
      <c r="CAM1128" s="7"/>
      <c r="CAN1128" s="7"/>
      <c r="CAO1128" s="7"/>
      <c r="CAP1128" s="7"/>
      <c r="CAQ1128" s="7"/>
      <c r="CAR1128" s="7"/>
      <c r="CAS1128" s="7"/>
      <c r="CAT1128" s="7"/>
      <c r="CAU1128" s="7"/>
      <c r="CAV1128" s="7"/>
      <c r="CAW1128" s="7"/>
      <c r="CAX1128" s="7"/>
      <c r="CAY1128" s="7"/>
      <c r="CAZ1128" s="7"/>
      <c r="CBA1128" s="7"/>
      <c r="CBB1128" s="7"/>
      <c r="CBC1128" s="7"/>
      <c r="CBD1128" s="7"/>
      <c r="CBE1128" s="7"/>
      <c r="CBF1128" s="7"/>
      <c r="CBG1128" s="7"/>
      <c r="CBH1128" s="7"/>
      <c r="CBI1128" s="7"/>
      <c r="CBJ1128" s="7"/>
      <c r="CBK1128" s="7"/>
      <c r="CBL1128" s="7"/>
      <c r="CBM1128" s="7"/>
      <c r="CBN1128" s="7"/>
      <c r="CBO1128" s="7"/>
      <c r="CBP1128" s="7"/>
      <c r="CBQ1128" s="7"/>
      <c r="CBR1128" s="7"/>
      <c r="CBS1128" s="7"/>
      <c r="CBT1128" s="7"/>
      <c r="CBU1128" s="7"/>
      <c r="CBV1128" s="7"/>
      <c r="CBW1128" s="7"/>
      <c r="CBX1128" s="7"/>
      <c r="CBY1128" s="7"/>
      <c r="CBZ1128" s="7"/>
      <c r="CCA1128" s="7"/>
      <c r="CCB1128" s="7"/>
      <c r="CCC1128" s="7"/>
      <c r="CCD1128" s="7"/>
      <c r="CCE1128" s="7"/>
      <c r="CCF1128" s="7"/>
      <c r="CCG1128" s="7"/>
      <c r="CCH1128" s="7"/>
      <c r="CCI1128" s="7"/>
      <c r="CCJ1128" s="7"/>
      <c r="CCK1128" s="7"/>
      <c r="CCL1128" s="7"/>
      <c r="CCM1128" s="7"/>
      <c r="CCN1128" s="7"/>
      <c r="CCO1128" s="7"/>
      <c r="CCP1128" s="7"/>
      <c r="CCQ1128" s="7"/>
      <c r="CCR1128" s="7"/>
      <c r="CCS1128" s="7"/>
      <c r="CCT1128" s="7"/>
      <c r="CCU1128" s="7"/>
      <c r="CCV1128" s="7"/>
      <c r="CCW1128" s="7"/>
      <c r="CCX1128" s="7"/>
      <c r="CCY1128" s="7"/>
      <c r="CCZ1128" s="7"/>
      <c r="CDA1128" s="7"/>
      <c r="CDB1128" s="7"/>
      <c r="CDC1128" s="7"/>
      <c r="CDD1128" s="7"/>
      <c r="CDE1128" s="7"/>
      <c r="CDF1128" s="7"/>
      <c r="CDG1128" s="7"/>
      <c r="CDH1128" s="7"/>
      <c r="CDI1128" s="7"/>
      <c r="CDJ1128" s="7"/>
      <c r="CDK1128" s="7"/>
      <c r="CDL1128" s="7"/>
      <c r="CDM1128" s="7"/>
      <c r="CDN1128" s="7"/>
      <c r="CDO1128" s="7"/>
      <c r="CDP1128" s="7"/>
      <c r="CDQ1128" s="7"/>
      <c r="CDR1128" s="7"/>
      <c r="CDS1128" s="7"/>
      <c r="CDT1128" s="7"/>
      <c r="CDU1128" s="7"/>
      <c r="CDV1128" s="7"/>
      <c r="CDW1128" s="7"/>
      <c r="CDX1128" s="7"/>
      <c r="CDY1128" s="7"/>
      <c r="CDZ1128" s="7"/>
      <c r="CEA1128" s="7"/>
      <c r="CEB1128" s="7"/>
      <c r="CEC1128" s="7"/>
      <c r="CED1128" s="7"/>
      <c r="CEE1128" s="7"/>
      <c r="CEF1128" s="7"/>
      <c r="CEG1128" s="7"/>
      <c r="CEH1128" s="7"/>
      <c r="CEI1128" s="7"/>
      <c r="CEJ1128" s="7"/>
      <c r="CEK1128" s="7"/>
      <c r="CEL1128" s="7"/>
      <c r="CEM1128" s="7"/>
      <c r="CEN1128" s="7"/>
      <c r="CEO1128" s="7"/>
      <c r="CEP1128" s="7"/>
      <c r="CEQ1128" s="7"/>
      <c r="CER1128" s="7"/>
      <c r="CES1128" s="7"/>
      <c r="CET1128" s="7"/>
      <c r="CEU1128" s="7"/>
      <c r="CEV1128" s="7"/>
      <c r="CEW1128" s="7"/>
      <c r="CEX1128" s="7"/>
      <c r="CEY1128" s="7"/>
      <c r="CEZ1128" s="7"/>
      <c r="CFA1128" s="7"/>
      <c r="CFB1128" s="7"/>
      <c r="CFC1128" s="7"/>
      <c r="CFD1128" s="7"/>
      <c r="CFE1128" s="7"/>
      <c r="CFF1128" s="7"/>
      <c r="CFG1128" s="7"/>
      <c r="CFH1128" s="7"/>
      <c r="CFI1128" s="7"/>
      <c r="CFJ1128" s="7"/>
      <c r="CFK1128" s="7"/>
      <c r="CFL1128" s="7"/>
      <c r="CFM1128" s="7"/>
      <c r="CFN1128" s="7"/>
      <c r="CFO1128" s="7"/>
      <c r="CFP1128" s="7"/>
      <c r="CFQ1128" s="7"/>
      <c r="CFR1128" s="7"/>
      <c r="CFS1128" s="7"/>
      <c r="CFT1128" s="7"/>
      <c r="CFU1128" s="7"/>
      <c r="CFV1128" s="7"/>
      <c r="CFW1128" s="7"/>
      <c r="CFX1128" s="7"/>
      <c r="CFY1128" s="7"/>
      <c r="CFZ1128" s="7"/>
      <c r="CGA1128" s="7"/>
      <c r="CGB1128" s="7"/>
      <c r="CGC1128" s="7"/>
      <c r="CGD1128" s="7"/>
      <c r="CGE1128" s="7"/>
      <c r="CGF1128" s="7"/>
      <c r="CGG1128" s="7"/>
      <c r="CGH1128" s="7"/>
      <c r="CGI1128" s="7"/>
      <c r="CGJ1128" s="7"/>
      <c r="CGK1128" s="7"/>
      <c r="CGL1128" s="7"/>
      <c r="CGM1128" s="7"/>
      <c r="CGN1128" s="7"/>
      <c r="CGO1128" s="7"/>
      <c r="CGP1128" s="7"/>
      <c r="CGQ1128" s="7"/>
      <c r="CGR1128" s="7"/>
      <c r="CGS1128" s="7"/>
      <c r="CGT1128" s="7"/>
      <c r="CGU1128" s="7"/>
      <c r="CGV1128" s="7"/>
      <c r="CGW1128" s="7"/>
      <c r="CGX1128" s="7"/>
      <c r="CGY1128" s="7"/>
      <c r="CGZ1128" s="7"/>
      <c r="CHA1128" s="7"/>
      <c r="CHB1128" s="7"/>
      <c r="CHC1128" s="7"/>
      <c r="CHD1128" s="7"/>
      <c r="CHE1128" s="7"/>
      <c r="CHF1128" s="7"/>
      <c r="CHG1128" s="7"/>
      <c r="CHH1128" s="7"/>
      <c r="CHI1128" s="7"/>
      <c r="CHJ1128" s="7"/>
      <c r="CHK1128" s="7"/>
      <c r="CHL1128" s="7"/>
      <c r="CHM1128" s="7"/>
      <c r="CHN1128" s="7"/>
      <c r="CHO1128" s="7"/>
      <c r="CHP1128" s="7"/>
      <c r="CHQ1128" s="7"/>
      <c r="CHR1128" s="7"/>
      <c r="CHS1128" s="7"/>
      <c r="CHT1128" s="7"/>
      <c r="CHU1128" s="7"/>
      <c r="CHV1128" s="7"/>
      <c r="CHW1128" s="7"/>
      <c r="CHX1128" s="7"/>
      <c r="CHY1128" s="7"/>
      <c r="CHZ1128" s="7"/>
      <c r="CIA1128" s="7"/>
      <c r="CIB1128" s="7"/>
      <c r="CIC1128" s="7"/>
      <c r="CID1128" s="7"/>
      <c r="CIE1128" s="7"/>
      <c r="CIF1128" s="7"/>
      <c r="CIG1128" s="7"/>
      <c r="CIH1128" s="7"/>
      <c r="CII1128" s="7"/>
      <c r="CIJ1128" s="7"/>
      <c r="CIK1128" s="7"/>
      <c r="CIL1128" s="7"/>
      <c r="CIM1128" s="7"/>
      <c r="CIN1128" s="7"/>
      <c r="CIO1128" s="7"/>
      <c r="CIP1128" s="7"/>
      <c r="CIQ1128" s="7"/>
      <c r="CIR1128" s="7"/>
      <c r="CIS1128" s="7"/>
      <c r="CIT1128" s="7"/>
      <c r="CIU1128" s="7"/>
      <c r="CIV1128" s="7"/>
      <c r="CIW1128" s="7"/>
      <c r="CIX1128" s="7"/>
      <c r="CIY1128" s="7"/>
      <c r="CIZ1128" s="7"/>
      <c r="CJA1128" s="7"/>
      <c r="CJB1128" s="7"/>
      <c r="CJC1128" s="7"/>
      <c r="CJD1128" s="7"/>
      <c r="CJE1128" s="7"/>
      <c r="CJF1128" s="7"/>
      <c r="CJG1128" s="7"/>
      <c r="CJH1128" s="7"/>
      <c r="CJI1128" s="7"/>
      <c r="CJJ1128" s="7"/>
      <c r="CJK1128" s="7"/>
      <c r="CJL1128" s="7"/>
      <c r="CJM1128" s="7"/>
      <c r="CJN1128" s="7"/>
      <c r="CJO1128" s="7"/>
      <c r="CJP1128" s="7"/>
      <c r="CJQ1128" s="7"/>
      <c r="CJR1128" s="7"/>
      <c r="CJS1128" s="7"/>
      <c r="CJT1128" s="7"/>
      <c r="CJU1128" s="7"/>
      <c r="CJV1128" s="7"/>
      <c r="CJW1128" s="7"/>
      <c r="CJX1128" s="7"/>
      <c r="CJY1128" s="7"/>
      <c r="CJZ1128" s="7"/>
      <c r="CKA1128" s="7"/>
      <c r="CKB1128" s="7"/>
      <c r="CKC1128" s="7"/>
      <c r="CKD1128" s="7"/>
      <c r="CKE1128" s="7"/>
      <c r="CKF1128" s="7"/>
      <c r="CKG1128" s="7"/>
      <c r="CKH1128" s="7"/>
      <c r="CKI1128" s="7"/>
      <c r="CKJ1128" s="7"/>
      <c r="CKK1128" s="7"/>
      <c r="CKL1128" s="7"/>
      <c r="CKM1128" s="7"/>
      <c r="CKN1128" s="7"/>
      <c r="CKO1128" s="7"/>
      <c r="CKP1128" s="7"/>
      <c r="CKQ1128" s="7"/>
      <c r="CKR1128" s="7"/>
      <c r="CKS1128" s="7"/>
      <c r="CKT1128" s="7"/>
      <c r="CKU1128" s="7"/>
      <c r="CKV1128" s="7"/>
      <c r="CKW1128" s="7"/>
      <c r="CKX1128" s="7"/>
      <c r="CKY1128" s="7"/>
      <c r="CKZ1128" s="7"/>
      <c r="CLA1128" s="7"/>
      <c r="CLB1128" s="7"/>
      <c r="CLC1128" s="7"/>
      <c r="CLD1128" s="7"/>
      <c r="CLE1128" s="7"/>
      <c r="CLF1128" s="7"/>
      <c r="CLG1128" s="7"/>
      <c r="CLH1128" s="7"/>
      <c r="CLI1128" s="7"/>
      <c r="CLJ1128" s="7"/>
      <c r="CLK1128" s="7"/>
      <c r="CLL1128" s="7"/>
      <c r="CLM1128" s="7"/>
      <c r="CLN1128" s="7"/>
      <c r="CLO1128" s="7"/>
      <c r="CLP1128" s="7"/>
      <c r="CLQ1128" s="7"/>
      <c r="CLR1128" s="7"/>
      <c r="CLS1128" s="7"/>
      <c r="CLT1128" s="7"/>
      <c r="CLU1128" s="7"/>
      <c r="CLV1128" s="7"/>
      <c r="CLW1128" s="7"/>
      <c r="CLX1128" s="7"/>
      <c r="CLY1128" s="7"/>
      <c r="CLZ1128" s="7"/>
      <c r="CMA1128" s="7"/>
      <c r="CMB1128" s="7"/>
      <c r="CMC1128" s="7"/>
      <c r="CMD1128" s="7"/>
      <c r="CME1128" s="7"/>
      <c r="CMF1128" s="7"/>
      <c r="CMG1128" s="7"/>
      <c r="CMH1128" s="7"/>
      <c r="CMI1128" s="7"/>
      <c r="CMJ1128" s="7"/>
      <c r="CMK1128" s="7"/>
      <c r="CML1128" s="7"/>
      <c r="CMM1128" s="7"/>
      <c r="CMN1128" s="7"/>
      <c r="CMO1128" s="7"/>
      <c r="CMP1128" s="7"/>
      <c r="CMQ1128" s="7"/>
      <c r="CMR1128" s="7"/>
      <c r="CMS1128" s="7"/>
      <c r="CMT1128" s="7"/>
      <c r="CMU1128" s="7"/>
      <c r="CMV1128" s="7"/>
      <c r="CMW1128" s="7"/>
      <c r="CMX1128" s="7"/>
      <c r="CMY1128" s="7"/>
      <c r="CMZ1128" s="7"/>
      <c r="CNA1128" s="7"/>
      <c r="CNB1128" s="7"/>
      <c r="CNC1128" s="7"/>
      <c r="CND1128" s="7"/>
      <c r="CNE1128" s="7"/>
      <c r="CNF1128" s="7"/>
      <c r="CNG1128" s="7"/>
      <c r="CNH1128" s="7"/>
      <c r="CNI1128" s="7"/>
      <c r="CNJ1128" s="7"/>
      <c r="CNK1128" s="7"/>
      <c r="CNL1128" s="7"/>
      <c r="CNM1128" s="7"/>
      <c r="CNN1128" s="7"/>
      <c r="CNO1128" s="7"/>
      <c r="CNP1128" s="7"/>
      <c r="CNQ1128" s="7"/>
      <c r="CNR1128" s="7"/>
      <c r="CNS1128" s="7"/>
      <c r="CNT1128" s="7"/>
      <c r="CNU1128" s="7"/>
      <c r="CNV1128" s="7"/>
      <c r="CNW1128" s="7"/>
      <c r="CNX1128" s="7"/>
      <c r="CNY1128" s="7"/>
      <c r="CNZ1128" s="7"/>
      <c r="COA1128" s="7"/>
      <c r="COB1128" s="7"/>
      <c r="COC1128" s="7"/>
      <c r="COD1128" s="7"/>
      <c r="COE1128" s="7"/>
      <c r="COF1128" s="7"/>
      <c r="COG1128" s="7"/>
      <c r="COH1128" s="7"/>
      <c r="COI1128" s="7"/>
      <c r="COJ1128" s="7"/>
      <c r="COK1128" s="7"/>
      <c r="COL1128" s="7"/>
      <c r="COM1128" s="7"/>
      <c r="CON1128" s="7"/>
      <c r="COO1128" s="7"/>
      <c r="COP1128" s="7"/>
      <c r="COQ1128" s="7"/>
      <c r="COR1128" s="7"/>
      <c r="COS1128" s="7"/>
      <c r="COT1128" s="7"/>
      <c r="COU1128" s="7"/>
      <c r="COV1128" s="7"/>
      <c r="COW1128" s="7"/>
      <c r="COX1128" s="7"/>
      <c r="COY1128" s="7"/>
      <c r="COZ1128" s="7"/>
      <c r="CPA1128" s="7"/>
      <c r="CPB1128" s="7"/>
      <c r="CPC1128" s="7"/>
      <c r="CPD1128" s="7"/>
      <c r="CPE1128" s="7"/>
      <c r="CPF1128" s="7"/>
      <c r="CPG1128" s="7"/>
      <c r="CPH1128" s="7"/>
      <c r="CPI1128" s="7"/>
      <c r="CPJ1128" s="7"/>
      <c r="CPK1128" s="7"/>
      <c r="CPL1128" s="7"/>
      <c r="CPM1128" s="7"/>
      <c r="CPN1128" s="7"/>
      <c r="CPO1128" s="7"/>
      <c r="CPP1128" s="7"/>
      <c r="CPQ1128" s="7"/>
      <c r="CPR1128" s="7"/>
      <c r="CPS1128" s="7"/>
      <c r="CPT1128" s="7"/>
      <c r="CPU1128" s="7"/>
      <c r="CPV1128" s="7"/>
      <c r="CPW1128" s="7"/>
      <c r="CPX1128" s="7"/>
      <c r="CPY1128" s="7"/>
      <c r="CPZ1128" s="7"/>
      <c r="CQA1128" s="7"/>
      <c r="CQB1128" s="7"/>
      <c r="CQC1128" s="7"/>
      <c r="CQD1128" s="7"/>
      <c r="CQE1128" s="7"/>
      <c r="CQF1128" s="7"/>
      <c r="CQG1128" s="7"/>
      <c r="CQH1128" s="7"/>
      <c r="CQI1128" s="7"/>
      <c r="CQJ1128" s="7"/>
      <c r="CQK1128" s="7"/>
      <c r="CQL1128" s="7"/>
      <c r="CQM1128" s="7"/>
      <c r="CQN1128" s="7"/>
      <c r="CQO1128" s="7"/>
      <c r="CQP1128" s="7"/>
      <c r="CQQ1128" s="7"/>
      <c r="CQR1128" s="7"/>
      <c r="CQS1128" s="7"/>
      <c r="CQT1128" s="7"/>
      <c r="CQU1128" s="7"/>
      <c r="CQV1128" s="7"/>
      <c r="CQW1128" s="7"/>
      <c r="CQX1128" s="7"/>
      <c r="CQY1128" s="7"/>
      <c r="CQZ1128" s="7"/>
      <c r="CRA1128" s="7"/>
      <c r="CRB1128" s="7"/>
      <c r="CRC1128" s="7"/>
      <c r="CRD1128" s="7"/>
      <c r="CRE1128" s="7"/>
      <c r="CRF1128" s="7"/>
      <c r="CRG1128" s="7"/>
      <c r="CRH1128" s="7"/>
      <c r="CRI1128" s="7"/>
      <c r="CRJ1128" s="7"/>
      <c r="CRK1128" s="7"/>
      <c r="CRL1128" s="7"/>
      <c r="CRM1128" s="7"/>
      <c r="CRN1128" s="7"/>
      <c r="CRO1128" s="7"/>
      <c r="CRP1128" s="7"/>
      <c r="CRQ1128" s="7"/>
      <c r="CRR1128" s="7"/>
      <c r="CRS1128" s="7"/>
      <c r="CRT1128" s="7"/>
      <c r="CRU1128" s="7"/>
      <c r="CRV1128" s="7"/>
      <c r="CRW1128" s="7"/>
      <c r="CRX1128" s="7"/>
      <c r="CRY1128" s="7"/>
      <c r="CRZ1128" s="7"/>
      <c r="CSA1128" s="7"/>
      <c r="CSB1128" s="7"/>
      <c r="CSC1128" s="7"/>
      <c r="CSD1128" s="7"/>
      <c r="CSE1128" s="7"/>
      <c r="CSF1128" s="7"/>
      <c r="CSG1128" s="7"/>
      <c r="CSH1128" s="7"/>
      <c r="CSI1128" s="7"/>
      <c r="CSJ1128" s="7"/>
      <c r="CSK1128" s="7"/>
      <c r="CSL1128" s="7"/>
      <c r="CSM1128" s="7"/>
      <c r="CSN1128" s="7"/>
      <c r="CSO1128" s="7"/>
      <c r="CSP1128" s="7"/>
      <c r="CSQ1128" s="7"/>
      <c r="CSR1128" s="7"/>
      <c r="CSS1128" s="7"/>
      <c r="CST1128" s="7"/>
      <c r="CSU1128" s="7"/>
      <c r="CSV1128" s="7"/>
      <c r="CSW1128" s="7"/>
      <c r="CSX1128" s="7"/>
      <c r="CSY1128" s="7"/>
      <c r="CSZ1128" s="7"/>
      <c r="CTA1128" s="7"/>
      <c r="CTB1128" s="7"/>
      <c r="CTC1128" s="7"/>
      <c r="CTD1128" s="7"/>
      <c r="CTE1128" s="7"/>
      <c r="CTF1128" s="7"/>
      <c r="CTG1128" s="7"/>
      <c r="CTH1128" s="7"/>
      <c r="CTI1128" s="7"/>
      <c r="CTJ1128" s="7"/>
      <c r="CTK1128" s="7"/>
      <c r="CTL1128" s="7"/>
      <c r="CTM1128" s="7"/>
      <c r="CTN1128" s="7"/>
      <c r="CTO1128" s="7"/>
      <c r="CTP1128" s="7"/>
      <c r="CTQ1128" s="7"/>
      <c r="CTR1128" s="7"/>
      <c r="CTS1128" s="7"/>
      <c r="CTT1128" s="7"/>
      <c r="CTU1128" s="7"/>
      <c r="CTV1128" s="7"/>
      <c r="CTW1128" s="7"/>
      <c r="CTX1128" s="7"/>
      <c r="CTY1128" s="7"/>
      <c r="CTZ1128" s="7"/>
      <c r="CUA1128" s="7"/>
      <c r="CUB1128" s="7"/>
      <c r="CUC1128" s="7"/>
      <c r="CUD1128" s="7"/>
      <c r="CUE1128" s="7"/>
      <c r="CUF1128" s="7"/>
      <c r="CUG1128" s="7"/>
      <c r="CUH1128" s="7"/>
      <c r="CUI1128" s="7"/>
      <c r="CUJ1128" s="7"/>
      <c r="CUK1128" s="7"/>
      <c r="CUL1128" s="7"/>
      <c r="CUM1128" s="7"/>
      <c r="CUN1128" s="7"/>
      <c r="CUO1128" s="7"/>
      <c r="CUP1128" s="7"/>
      <c r="CUQ1128" s="7"/>
      <c r="CUR1128" s="7"/>
      <c r="CUS1128" s="7"/>
      <c r="CUT1128" s="7"/>
      <c r="CUU1128" s="7"/>
      <c r="CUV1128" s="7"/>
      <c r="CUW1128" s="7"/>
      <c r="CUX1128" s="7"/>
      <c r="CUY1128" s="7"/>
      <c r="CUZ1128" s="7"/>
      <c r="CVA1128" s="7"/>
      <c r="CVB1128" s="7"/>
      <c r="CVC1128" s="7"/>
      <c r="CVD1128" s="7"/>
      <c r="CVE1128" s="7"/>
      <c r="CVF1128" s="7"/>
      <c r="CVG1128" s="7"/>
      <c r="CVH1128" s="7"/>
      <c r="CVI1128" s="7"/>
      <c r="CVJ1128" s="7"/>
      <c r="CVK1128" s="7"/>
      <c r="CVL1128" s="7"/>
      <c r="CVM1128" s="7"/>
      <c r="CVN1128" s="7"/>
      <c r="CVO1128" s="7"/>
      <c r="CVP1128" s="7"/>
      <c r="CVQ1128" s="7"/>
      <c r="CVR1128" s="7"/>
      <c r="CVS1128" s="7"/>
      <c r="CVT1128" s="7"/>
      <c r="CVU1128" s="7"/>
      <c r="CVV1128" s="7"/>
      <c r="CVW1128" s="7"/>
      <c r="CVX1128" s="7"/>
      <c r="CVY1128" s="7"/>
      <c r="CVZ1128" s="7"/>
      <c r="CWA1128" s="7"/>
      <c r="CWB1128" s="7"/>
      <c r="CWC1128" s="7"/>
      <c r="CWD1128" s="7"/>
      <c r="CWE1128" s="7"/>
      <c r="CWF1128" s="7"/>
      <c r="CWG1128" s="7"/>
      <c r="CWH1128" s="7"/>
      <c r="CWI1128" s="7"/>
      <c r="CWJ1128" s="7"/>
      <c r="CWK1128" s="7"/>
      <c r="CWL1128" s="7"/>
      <c r="CWM1128" s="7"/>
      <c r="CWN1128" s="7"/>
      <c r="CWO1128" s="7"/>
      <c r="CWP1128" s="7"/>
      <c r="CWQ1128" s="7"/>
      <c r="CWR1128" s="7"/>
      <c r="CWS1128" s="7"/>
      <c r="CWT1128" s="7"/>
      <c r="CWU1128" s="7"/>
      <c r="CWV1128" s="7"/>
      <c r="CWW1128" s="7"/>
      <c r="CWX1128" s="7"/>
      <c r="CWY1128" s="7"/>
      <c r="CWZ1128" s="7"/>
      <c r="CXA1128" s="7"/>
      <c r="CXB1128" s="7"/>
      <c r="CXC1128" s="7"/>
      <c r="CXD1128" s="7"/>
      <c r="CXE1128" s="7"/>
      <c r="CXF1128" s="7"/>
      <c r="CXG1128" s="7"/>
      <c r="CXH1128" s="7"/>
      <c r="CXI1128" s="7"/>
      <c r="CXJ1128" s="7"/>
      <c r="CXK1128" s="7"/>
      <c r="CXL1128" s="7"/>
      <c r="CXM1128" s="7"/>
      <c r="CXN1128" s="7"/>
      <c r="CXO1128" s="7"/>
      <c r="CXP1128" s="7"/>
      <c r="CXQ1128" s="7"/>
      <c r="CXR1128" s="7"/>
      <c r="CXS1128" s="7"/>
      <c r="CXT1128" s="7"/>
      <c r="CXU1128" s="7"/>
      <c r="CXV1128" s="7"/>
      <c r="CXW1128" s="7"/>
      <c r="CXX1128" s="7"/>
      <c r="CXY1128" s="7"/>
      <c r="CXZ1128" s="7"/>
      <c r="CYA1128" s="7"/>
      <c r="CYB1128" s="7"/>
      <c r="CYC1128" s="7"/>
      <c r="CYD1128" s="7"/>
      <c r="CYE1128" s="7"/>
      <c r="CYF1128" s="7"/>
      <c r="CYG1128" s="7"/>
      <c r="CYH1128" s="7"/>
      <c r="CYI1128" s="7"/>
      <c r="CYJ1128" s="7"/>
      <c r="CYK1128" s="7"/>
      <c r="CYL1128" s="7"/>
      <c r="CYM1128" s="7"/>
      <c r="CYN1128" s="7"/>
      <c r="CYO1128" s="7"/>
      <c r="CYP1128" s="7"/>
      <c r="CYQ1128" s="7"/>
      <c r="CYR1128" s="7"/>
      <c r="CYS1128" s="7"/>
      <c r="CYT1128" s="7"/>
      <c r="CYU1128" s="7"/>
      <c r="CYV1128" s="7"/>
      <c r="CYW1128" s="7"/>
      <c r="CYX1128" s="7"/>
      <c r="CYY1128" s="7"/>
      <c r="CYZ1128" s="7"/>
      <c r="CZA1128" s="7"/>
      <c r="CZB1128" s="7"/>
      <c r="CZC1128" s="7"/>
      <c r="CZD1128" s="7"/>
      <c r="CZE1128" s="7"/>
      <c r="CZF1128" s="7"/>
      <c r="CZG1128" s="7"/>
      <c r="CZH1128" s="7"/>
      <c r="CZI1128" s="7"/>
      <c r="CZJ1128" s="7"/>
      <c r="CZK1128" s="7"/>
      <c r="CZL1128" s="7"/>
      <c r="CZM1128" s="7"/>
      <c r="CZN1128" s="7"/>
      <c r="CZO1128" s="7"/>
      <c r="CZP1128" s="7"/>
      <c r="CZQ1128" s="7"/>
      <c r="CZR1128" s="7"/>
      <c r="CZS1128" s="7"/>
      <c r="CZT1128" s="7"/>
      <c r="CZU1128" s="7"/>
      <c r="CZV1128" s="7"/>
      <c r="CZW1128" s="7"/>
      <c r="CZX1128" s="7"/>
      <c r="CZY1128" s="7"/>
      <c r="CZZ1128" s="7"/>
      <c r="DAA1128" s="7"/>
      <c r="DAB1128" s="7"/>
      <c r="DAC1128" s="7"/>
      <c r="DAD1128" s="7"/>
      <c r="DAE1128" s="7"/>
      <c r="DAF1128" s="7"/>
      <c r="DAG1128" s="7"/>
      <c r="DAH1128" s="7"/>
      <c r="DAI1128" s="7"/>
      <c r="DAJ1128" s="7"/>
      <c r="DAK1128" s="7"/>
      <c r="DAL1128" s="7"/>
      <c r="DAM1128" s="7"/>
      <c r="DAN1128" s="7"/>
      <c r="DAO1128" s="7"/>
      <c r="DAP1128" s="7"/>
      <c r="DAQ1128" s="7"/>
      <c r="DAR1128" s="7"/>
      <c r="DAS1128" s="7"/>
      <c r="DAT1128" s="7"/>
      <c r="DAU1128" s="7"/>
      <c r="DAV1128" s="7"/>
      <c r="DAW1128" s="7"/>
      <c r="DAX1128" s="7"/>
      <c r="DAY1128" s="7"/>
      <c r="DAZ1128" s="7"/>
      <c r="DBA1128" s="7"/>
      <c r="DBB1128" s="7"/>
      <c r="DBC1128" s="7"/>
      <c r="DBD1128" s="7"/>
      <c r="DBE1128" s="7"/>
      <c r="DBF1128" s="7"/>
      <c r="DBG1128" s="7"/>
      <c r="DBH1128" s="7"/>
      <c r="DBI1128" s="7"/>
      <c r="DBJ1128" s="7"/>
      <c r="DBK1128" s="7"/>
      <c r="DBL1128" s="7"/>
      <c r="DBM1128" s="7"/>
      <c r="DBN1128" s="7"/>
      <c r="DBO1128" s="7"/>
      <c r="DBP1128" s="7"/>
      <c r="DBQ1128" s="7"/>
      <c r="DBR1128" s="7"/>
      <c r="DBS1128" s="7"/>
      <c r="DBT1128" s="7"/>
      <c r="DBU1128" s="7"/>
      <c r="DBV1128" s="7"/>
      <c r="DBW1128" s="7"/>
      <c r="DBX1128" s="7"/>
      <c r="DBY1128" s="7"/>
      <c r="DBZ1128" s="7"/>
      <c r="DCA1128" s="7"/>
      <c r="DCB1128" s="7"/>
      <c r="DCC1128" s="7"/>
      <c r="DCD1128" s="7"/>
      <c r="DCE1128" s="7"/>
      <c r="DCF1128" s="7"/>
      <c r="DCG1128" s="7"/>
      <c r="DCH1128" s="7"/>
      <c r="DCI1128" s="7"/>
      <c r="DCJ1128" s="7"/>
      <c r="DCK1128" s="7"/>
      <c r="DCL1128" s="7"/>
      <c r="DCM1128" s="7"/>
      <c r="DCN1128" s="7"/>
      <c r="DCO1128" s="7"/>
      <c r="DCP1128" s="7"/>
      <c r="DCQ1128" s="7"/>
      <c r="DCR1128" s="7"/>
      <c r="DCS1128" s="7"/>
      <c r="DCT1128" s="7"/>
      <c r="DCU1128" s="7"/>
      <c r="DCV1128" s="7"/>
      <c r="DCW1128" s="7"/>
      <c r="DCX1128" s="7"/>
      <c r="DCY1128" s="7"/>
      <c r="DCZ1128" s="7"/>
      <c r="DDA1128" s="7"/>
      <c r="DDB1128" s="7"/>
      <c r="DDC1128" s="7"/>
      <c r="DDD1128" s="7"/>
      <c r="DDE1128" s="7"/>
      <c r="DDF1128" s="7"/>
      <c r="DDG1128" s="7"/>
      <c r="DDH1128" s="7"/>
      <c r="DDI1128" s="7"/>
      <c r="DDJ1128" s="7"/>
      <c r="DDK1128" s="7"/>
      <c r="DDL1128" s="7"/>
      <c r="DDM1128" s="7"/>
      <c r="DDN1128" s="7"/>
      <c r="DDO1128" s="7"/>
      <c r="DDP1128" s="7"/>
      <c r="DDQ1128" s="7"/>
      <c r="DDR1128" s="7"/>
      <c r="DDS1128" s="7"/>
      <c r="DDT1128" s="7"/>
      <c r="DDU1128" s="7"/>
      <c r="DDV1128" s="7"/>
      <c r="DDW1128" s="7"/>
      <c r="DDX1128" s="7"/>
      <c r="DDY1128" s="7"/>
      <c r="DDZ1128" s="7"/>
      <c r="DEA1128" s="7"/>
      <c r="DEB1128" s="7"/>
      <c r="DEC1128" s="7"/>
      <c r="DED1128" s="7"/>
      <c r="DEE1128" s="7"/>
      <c r="DEF1128" s="7"/>
      <c r="DEG1128" s="7"/>
      <c r="DEH1128" s="7"/>
      <c r="DEI1128" s="7"/>
      <c r="DEJ1128" s="7"/>
      <c r="DEK1128" s="7"/>
      <c r="DEL1128" s="7"/>
      <c r="DEM1128" s="7"/>
      <c r="DEN1128" s="7"/>
      <c r="DEO1128" s="7"/>
      <c r="DEP1128" s="7"/>
      <c r="DEQ1128" s="7"/>
      <c r="DER1128" s="7"/>
      <c r="DES1128" s="7"/>
      <c r="DET1128" s="7"/>
      <c r="DEU1128" s="7"/>
      <c r="DEV1128" s="7"/>
      <c r="DEW1128" s="7"/>
      <c r="DEX1128" s="7"/>
      <c r="DEY1128" s="7"/>
      <c r="DEZ1128" s="7"/>
      <c r="DFA1128" s="7"/>
      <c r="DFB1128" s="7"/>
      <c r="DFC1128" s="7"/>
      <c r="DFD1128" s="7"/>
      <c r="DFE1128" s="7"/>
      <c r="DFF1128" s="7"/>
      <c r="DFG1128" s="7"/>
      <c r="DFH1128" s="7"/>
      <c r="DFI1128" s="7"/>
      <c r="DFJ1128" s="7"/>
      <c r="DFK1128" s="7"/>
      <c r="DFL1128" s="7"/>
      <c r="DFM1128" s="7"/>
      <c r="DFN1128" s="7"/>
      <c r="DFO1128" s="7"/>
      <c r="DFP1128" s="7"/>
      <c r="DFQ1128" s="7"/>
      <c r="DFR1128" s="7"/>
      <c r="DFS1128" s="7"/>
      <c r="DFT1128" s="7"/>
      <c r="DFU1128" s="7"/>
      <c r="DFV1128" s="7"/>
      <c r="DFW1128" s="7"/>
      <c r="DFX1128" s="7"/>
      <c r="DFY1128" s="7"/>
      <c r="DFZ1128" s="7"/>
      <c r="DGA1128" s="7"/>
      <c r="DGB1128" s="7"/>
      <c r="DGC1128" s="7"/>
      <c r="DGD1128" s="7"/>
      <c r="DGE1128" s="7"/>
      <c r="DGF1128" s="7"/>
      <c r="DGG1128" s="7"/>
      <c r="DGH1128" s="7"/>
      <c r="DGI1128" s="7"/>
      <c r="DGJ1128" s="7"/>
      <c r="DGK1128" s="7"/>
      <c r="DGL1128" s="7"/>
      <c r="DGM1128" s="7"/>
      <c r="DGN1128" s="7"/>
      <c r="DGO1128" s="7"/>
      <c r="DGP1128" s="7"/>
      <c r="DGQ1128" s="7"/>
      <c r="DGR1128" s="7"/>
      <c r="DGS1128" s="7"/>
      <c r="DGT1128" s="7"/>
      <c r="DGU1128" s="7"/>
      <c r="DGV1128" s="7"/>
      <c r="DGW1128" s="7"/>
      <c r="DGX1128" s="7"/>
      <c r="DGY1128" s="7"/>
      <c r="DGZ1128" s="7"/>
      <c r="DHA1128" s="7"/>
      <c r="DHB1128" s="7"/>
      <c r="DHC1128" s="7"/>
      <c r="DHD1128" s="7"/>
      <c r="DHE1128" s="7"/>
      <c r="DHF1128" s="7"/>
      <c r="DHG1128" s="7"/>
      <c r="DHH1128" s="7"/>
      <c r="DHI1128" s="7"/>
      <c r="DHJ1128" s="7"/>
      <c r="DHK1128" s="7"/>
      <c r="DHL1128" s="7"/>
      <c r="DHM1128" s="7"/>
      <c r="DHN1128" s="7"/>
      <c r="DHO1128" s="7"/>
      <c r="DHP1128" s="7"/>
      <c r="DHQ1128" s="7"/>
      <c r="DHR1128" s="7"/>
      <c r="DHS1128" s="7"/>
      <c r="DHT1128" s="7"/>
      <c r="DHU1128" s="7"/>
      <c r="DHV1128" s="7"/>
      <c r="DHW1128" s="7"/>
      <c r="DHX1128" s="7"/>
      <c r="DHY1128" s="7"/>
      <c r="DHZ1128" s="7"/>
      <c r="DIA1128" s="7"/>
      <c r="DIB1128" s="7"/>
      <c r="DIC1128" s="7"/>
      <c r="DID1128" s="7"/>
      <c r="DIE1128" s="7"/>
      <c r="DIF1128" s="7"/>
      <c r="DIG1128" s="7"/>
      <c r="DIH1128" s="7"/>
      <c r="DII1128" s="7"/>
      <c r="DIJ1128" s="7"/>
      <c r="DIK1128" s="7"/>
      <c r="DIL1128" s="7"/>
      <c r="DIM1128" s="7"/>
      <c r="DIN1128" s="7"/>
      <c r="DIO1128" s="7"/>
      <c r="DIP1128" s="7"/>
      <c r="DIQ1128" s="7"/>
      <c r="DIR1128" s="7"/>
      <c r="DIS1128" s="7"/>
      <c r="DIT1128" s="7"/>
      <c r="DIU1128" s="7"/>
      <c r="DIV1128" s="7"/>
      <c r="DIW1128" s="7"/>
      <c r="DIX1128" s="7"/>
      <c r="DIY1128" s="7"/>
      <c r="DIZ1128" s="7"/>
      <c r="DJA1128" s="7"/>
      <c r="DJB1128" s="7"/>
      <c r="DJC1128" s="7"/>
      <c r="DJD1128" s="7"/>
      <c r="DJE1128" s="7"/>
      <c r="DJF1128" s="7"/>
      <c r="DJG1128" s="7"/>
      <c r="DJH1128" s="7"/>
      <c r="DJI1128" s="7"/>
      <c r="DJJ1128" s="7"/>
      <c r="DJK1128" s="7"/>
      <c r="DJL1128" s="7"/>
      <c r="DJM1128" s="7"/>
      <c r="DJN1128" s="7"/>
      <c r="DJO1128" s="7"/>
      <c r="DJP1128" s="7"/>
      <c r="DJQ1128" s="7"/>
      <c r="DJR1128" s="7"/>
      <c r="DJS1128" s="7"/>
      <c r="DJT1128" s="7"/>
      <c r="DJU1128" s="7"/>
      <c r="DJV1128" s="7"/>
      <c r="DJW1128" s="7"/>
      <c r="DJX1128" s="7"/>
      <c r="DJY1128" s="7"/>
      <c r="DJZ1128" s="7"/>
      <c r="DKA1128" s="7"/>
      <c r="DKB1128" s="7"/>
      <c r="DKC1128" s="7"/>
      <c r="DKD1128" s="7"/>
      <c r="DKE1128" s="7"/>
      <c r="DKF1128" s="7"/>
      <c r="DKG1128" s="7"/>
      <c r="DKH1128" s="7"/>
      <c r="DKI1128" s="7"/>
      <c r="DKJ1128" s="7"/>
      <c r="DKK1128" s="7"/>
      <c r="DKL1128" s="7"/>
      <c r="DKM1128" s="7"/>
      <c r="DKN1128" s="7"/>
      <c r="DKO1128" s="7"/>
      <c r="DKP1128" s="7"/>
      <c r="DKQ1128" s="7"/>
      <c r="DKR1128" s="7"/>
      <c r="DKS1128" s="7"/>
      <c r="DKT1128" s="7"/>
      <c r="DKU1128" s="7"/>
      <c r="DKV1128" s="7"/>
      <c r="DKW1128" s="7"/>
      <c r="DKX1128" s="7"/>
      <c r="DKY1128" s="7"/>
      <c r="DKZ1128" s="7"/>
      <c r="DLA1128" s="7"/>
      <c r="DLB1128" s="7"/>
      <c r="DLC1128" s="7"/>
      <c r="DLD1128" s="7"/>
      <c r="DLE1128" s="7"/>
      <c r="DLF1128" s="7"/>
      <c r="DLG1128" s="7"/>
      <c r="DLH1128" s="7"/>
      <c r="DLI1128" s="7"/>
      <c r="DLJ1128" s="7"/>
      <c r="DLK1128" s="7"/>
      <c r="DLL1128" s="7"/>
      <c r="DLM1128" s="7"/>
      <c r="DLN1128" s="7"/>
      <c r="DLO1128" s="7"/>
      <c r="DLP1128" s="7"/>
      <c r="DLQ1128" s="7"/>
      <c r="DLR1128" s="7"/>
      <c r="DLS1128" s="7"/>
      <c r="DLT1128" s="7"/>
      <c r="DLU1128" s="7"/>
      <c r="DLV1128" s="7"/>
      <c r="DLW1128" s="7"/>
      <c r="DLX1128" s="7"/>
      <c r="DLY1128" s="7"/>
      <c r="DLZ1128" s="7"/>
      <c r="DMA1128" s="7"/>
      <c r="DMB1128" s="7"/>
      <c r="DMC1128" s="7"/>
      <c r="DMD1128" s="7"/>
      <c r="DME1128" s="7"/>
      <c r="DMF1128" s="7"/>
      <c r="DMG1128" s="7"/>
      <c r="DMH1128" s="7"/>
      <c r="DMI1128" s="7"/>
      <c r="DMJ1128" s="7"/>
      <c r="DMK1128" s="7"/>
      <c r="DML1128" s="7"/>
      <c r="DMM1128" s="7"/>
      <c r="DMN1128" s="7"/>
      <c r="DMO1128" s="7"/>
      <c r="DMP1128" s="7"/>
      <c r="DMQ1128" s="7"/>
      <c r="DMR1128" s="7"/>
      <c r="DMS1128" s="7"/>
      <c r="DMT1128" s="7"/>
      <c r="DMU1128" s="7"/>
      <c r="DMV1128" s="7"/>
      <c r="DMW1128" s="7"/>
      <c r="DMX1128" s="7"/>
      <c r="DMY1128" s="7"/>
      <c r="DMZ1128" s="7"/>
      <c r="DNA1128" s="7"/>
      <c r="DNB1128" s="7"/>
      <c r="DNC1128" s="7"/>
      <c r="DND1128" s="7"/>
      <c r="DNE1128" s="7"/>
      <c r="DNF1128" s="7"/>
      <c r="DNG1128" s="7"/>
      <c r="DNH1128" s="7"/>
      <c r="DNI1128" s="7"/>
      <c r="DNJ1128" s="7"/>
      <c r="DNK1128" s="7"/>
      <c r="DNL1128" s="7"/>
      <c r="DNM1128" s="7"/>
      <c r="DNN1128" s="7"/>
      <c r="DNO1128" s="7"/>
      <c r="DNP1128" s="7"/>
      <c r="DNQ1128" s="7"/>
      <c r="DNR1128" s="7"/>
      <c r="DNS1128" s="7"/>
      <c r="DNT1128" s="7"/>
      <c r="DNU1128" s="7"/>
      <c r="DNV1128" s="7"/>
      <c r="DNW1128" s="7"/>
      <c r="DNX1128" s="7"/>
      <c r="DNY1128" s="7"/>
      <c r="DNZ1128" s="7"/>
      <c r="DOA1128" s="7"/>
      <c r="DOB1128" s="7"/>
      <c r="DOC1128" s="7"/>
      <c r="DOD1128" s="7"/>
      <c r="DOE1128" s="7"/>
      <c r="DOF1128" s="7"/>
      <c r="DOG1128" s="7"/>
      <c r="DOH1128" s="7"/>
      <c r="DOI1128" s="7"/>
      <c r="DOJ1128" s="7"/>
      <c r="DOK1128" s="7"/>
      <c r="DOL1128" s="7"/>
      <c r="DOM1128" s="7"/>
      <c r="DON1128" s="7"/>
      <c r="DOO1128" s="7"/>
      <c r="DOP1128" s="7"/>
      <c r="DOQ1128" s="7"/>
      <c r="DOR1128" s="7"/>
      <c r="DOS1128" s="7"/>
      <c r="DOT1128" s="7"/>
      <c r="DOU1128" s="7"/>
      <c r="DOV1128" s="7"/>
      <c r="DOW1128" s="7"/>
      <c r="DOX1128" s="7"/>
      <c r="DOY1128" s="7"/>
      <c r="DOZ1128" s="7"/>
      <c r="DPA1128" s="7"/>
      <c r="DPB1128" s="7"/>
      <c r="DPC1128" s="7"/>
      <c r="DPD1128" s="7"/>
      <c r="DPE1128" s="7"/>
      <c r="DPF1128" s="7"/>
      <c r="DPG1128" s="7"/>
      <c r="DPH1128" s="7"/>
      <c r="DPI1128" s="7"/>
      <c r="DPJ1128" s="7"/>
      <c r="DPK1128" s="7"/>
      <c r="DPL1128" s="7"/>
      <c r="DPM1128" s="7"/>
      <c r="DPN1128" s="7"/>
      <c r="DPO1128" s="7"/>
      <c r="DPP1128" s="7"/>
      <c r="DPQ1128" s="7"/>
      <c r="DPR1128" s="7"/>
      <c r="DPS1128" s="7"/>
      <c r="DPT1128" s="7"/>
      <c r="DPU1128" s="7"/>
      <c r="DPV1128" s="7"/>
      <c r="DPW1128" s="7"/>
      <c r="DPX1128" s="7"/>
      <c r="DPY1128" s="7"/>
      <c r="DPZ1128" s="7"/>
      <c r="DQA1128" s="7"/>
      <c r="DQB1128" s="7"/>
      <c r="DQC1128" s="7"/>
      <c r="DQD1128" s="7"/>
      <c r="DQE1128" s="7"/>
      <c r="DQF1128" s="7"/>
      <c r="DQG1128" s="7"/>
      <c r="DQH1128" s="7"/>
      <c r="DQI1128" s="7"/>
      <c r="DQJ1128" s="7"/>
      <c r="DQK1128" s="7"/>
      <c r="DQL1128" s="7"/>
      <c r="DQM1128" s="7"/>
      <c r="DQN1128" s="7"/>
      <c r="DQO1128" s="7"/>
      <c r="DQP1128" s="7"/>
      <c r="DQQ1128" s="7"/>
      <c r="DQR1128" s="7"/>
      <c r="DQS1128" s="7"/>
      <c r="DQT1128" s="7"/>
      <c r="DQU1128" s="7"/>
      <c r="DQV1128" s="7"/>
      <c r="DQW1128" s="7"/>
      <c r="DQX1128" s="7"/>
      <c r="DQY1128" s="7"/>
      <c r="DQZ1128" s="7"/>
      <c r="DRA1128" s="7"/>
      <c r="DRB1128" s="7"/>
      <c r="DRC1128" s="7"/>
      <c r="DRD1128" s="7"/>
      <c r="DRE1128" s="7"/>
      <c r="DRF1128" s="7"/>
      <c r="DRG1128" s="7"/>
      <c r="DRH1128" s="7"/>
      <c r="DRI1128" s="7"/>
      <c r="DRJ1128" s="7"/>
      <c r="DRK1128" s="7"/>
      <c r="DRL1128" s="7"/>
      <c r="DRM1128" s="7"/>
      <c r="DRN1128" s="7"/>
      <c r="DRO1128" s="7"/>
      <c r="DRP1128" s="7"/>
      <c r="DRQ1128" s="7"/>
      <c r="DRR1128" s="7"/>
      <c r="DRS1128" s="7"/>
      <c r="DRT1128" s="7"/>
      <c r="DRU1128" s="7"/>
      <c r="DRV1128" s="7"/>
      <c r="DRW1128" s="7"/>
      <c r="DRX1128" s="7"/>
      <c r="DRY1128" s="7"/>
      <c r="DRZ1128" s="7"/>
      <c r="DSA1128" s="7"/>
      <c r="DSB1128" s="7"/>
      <c r="DSC1128" s="7"/>
      <c r="DSD1128" s="7"/>
      <c r="DSE1128" s="7"/>
      <c r="DSF1128" s="7"/>
      <c r="DSG1128" s="7"/>
      <c r="DSH1128" s="7"/>
      <c r="DSI1128" s="7"/>
      <c r="DSJ1128" s="7"/>
      <c r="DSK1128" s="7"/>
      <c r="DSL1128" s="7"/>
      <c r="DSM1128" s="7"/>
      <c r="DSN1128" s="7"/>
      <c r="DSO1128" s="7"/>
      <c r="DSP1128" s="7"/>
      <c r="DSQ1128" s="7"/>
      <c r="DSR1128" s="7"/>
      <c r="DSS1128" s="7"/>
      <c r="DST1128" s="7"/>
      <c r="DSU1128" s="7"/>
      <c r="DSV1128" s="7"/>
      <c r="DSW1128" s="7"/>
      <c r="DSX1128" s="7"/>
      <c r="DSY1128" s="7"/>
      <c r="DSZ1128" s="7"/>
      <c r="DTA1128" s="7"/>
      <c r="DTB1128" s="7"/>
      <c r="DTC1128" s="7"/>
      <c r="DTD1128" s="7"/>
      <c r="DTE1128" s="7"/>
      <c r="DTF1128" s="7"/>
      <c r="DTG1128" s="7"/>
      <c r="DTH1128" s="7"/>
      <c r="DTI1128" s="7"/>
      <c r="DTJ1128" s="7"/>
      <c r="DTK1128" s="7"/>
      <c r="DTL1128" s="7"/>
      <c r="DTM1128" s="7"/>
      <c r="DTN1128" s="7"/>
      <c r="DTO1128" s="7"/>
      <c r="DTP1128" s="7"/>
      <c r="DTQ1128" s="7"/>
      <c r="DTR1128" s="7"/>
      <c r="DTS1128" s="7"/>
      <c r="DTT1128" s="7"/>
      <c r="DTU1128" s="7"/>
      <c r="DTV1128" s="7"/>
      <c r="DTW1128" s="7"/>
      <c r="DTX1128" s="7"/>
      <c r="DTY1128" s="7"/>
      <c r="DTZ1128" s="7"/>
      <c r="DUA1128" s="7"/>
      <c r="DUB1128" s="7"/>
      <c r="DUC1128" s="7"/>
      <c r="DUD1128" s="7"/>
      <c r="DUE1128" s="7"/>
      <c r="DUF1128" s="7"/>
      <c r="DUG1128" s="7"/>
      <c r="DUH1128" s="7"/>
      <c r="DUI1128" s="7"/>
      <c r="DUJ1128" s="7"/>
      <c r="DUK1128" s="7"/>
      <c r="DUL1128" s="7"/>
      <c r="DUM1128" s="7"/>
      <c r="DUN1128" s="7"/>
      <c r="DUO1128" s="7"/>
      <c r="DUP1128" s="7"/>
      <c r="DUQ1128" s="7"/>
      <c r="DUR1128" s="7"/>
      <c r="DUS1128" s="7"/>
      <c r="DUT1128" s="7"/>
      <c r="DUU1128" s="7"/>
      <c r="DUV1128" s="7"/>
      <c r="DUW1128" s="7"/>
      <c r="DUX1128" s="7"/>
      <c r="DUY1128" s="7"/>
      <c r="DUZ1128" s="7"/>
      <c r="DVA1128" s="7"/>
      <c r="DVB1128" s="7"/>
      <c r="DVC1128" s="7"/>
      <c r="DVD1128" s="7"/>
      <c r="DVE1128" s="7"/>
      <c r="DVF1128" s="7"/>
      <c r="DVG1128" s="7"/>
      <c r="DVH1128" s="7"/>
      <c r="DVI1128" s="7"/>
      <c r="DVJ1128" s="7"/>
      <c r="DVK1128" s="7"/>
      <c r="DVL1128" s="7"/>
      <c r="DVM1128" s="7"/>
      <c r="DVN1128" s="7"/>
      <c r="DVO1128" s="7"/>
      <c r="DVP1128" s="7"/>
      <c r="DVQ1128" s="7"/>
      <c r="DVR1128" s="7"/>
      <c r="DVS1128" s="7"/>
      <c r="DVT1128" s="7"/>
      <c r="DVU1128" s="7"/>
      <c r="DVV1128" s="7"/>
      <c r="DVW1128" s="7"/>
      <c r="DVX1128" s="7"/>
      <c r="DVY1128" s="7"/>
      <c r="DVZ1128" s="7"/>
      <c r="DWA1128" s="7"/>
      <c r="DWB1128" s="7"/>
      <c r="DWC1128" s="7"/>
      <c r="DWD1128" s="7"/>
      <c r="DWE1128" s="7"/>
      <c r="DWF1128" s="7"/>
      <c r="DWG1128" s="7"/>
      <c r="DWH1128" s="7"/>
      <c r="DWI1128" s="7"/>
      <c r="DWJ1128" s="7"/>
      <c r="DWK1128" s="7"/>
      <c r="DWL1128" s="7"/>
      <c r="DWM1128" s="7"/>
      <c r="DWN1128" s="7"/>
      <c r="DWO1128" s="7"/>
      <c r="DWP1128" s="7"/>
      <c r="DWQ1128" s="7"/>
      <c r="DWR1128" s="7"/>
      <c r="DWS1128" s="7"/>
      <c r="DWT1128" s="7"/>
      <c r="DWU1128" s="7"/>
      <c r="DWV1128" s="7"/>
      <c r="DWW1128" s="7"/>
      <c r="DWX1128" s="7"/>
      <c r="DWY1128" s="7"/>
      <c r="DWZ1128" s="7"/>
      <c r="DXA1128" s="7"/>
      <c r="DXB1128" s="7"/>
      <c r="DXC1128" s="7"/>
      <c r="DXD1128" s="7"/>
      <c r="DXE1128" s="7"/>
      <c r="DXF1128" s="7"/>
      <c r="DXG1128" s="7"/>
      <c r="DXH1128" s="7"/>
      <c r="DXI1128" s="7"/>
      <c r="DXJ1128" s="7"/>
      <c r="DXK1128" s="7"/>
      <c r="DXL1128" s="7"/>
      <c r="DXM1128" s="7"/>
      <c r="DXN1128" s="7"/>
      <c r="DXO1128" s="7"/>
      <c r="DXP1128" s="7"/>
      <c r="DXQ1128" s="7"/>
      <c r="DXR1128" s="7"/>
      <c r="DXS1128" s="7"/>
      <c r="DXT1128" s="7"/>
      <c r="DXU1128" s="7"/>
      <c r="DXV1128" s="7"/>
      <c r="DXW1128" s="7"/>
      <c r="DXX1128" s="7"/>
      <c r="DXY1128" s="7"/>
      <c r="DXZ1128" s="7"/>
      <c r="DYA1128" s="7"/>
      <c r="DYB1128" s="7"/>
      <c r="DYC1128" s="7"/>
      <c r="DYD1128" s="7"/>
      <c r="DYE1128" s="7"/>
      <c r="DYF1128" s="7"/>
      <c r="DYG1128" s="7"/>
      <c r="DYH1128" s="7"/>
      <c r="DYI1128" s="7"/>
      <c r="DYJ1128" s="7"/>
      <c r="DYK1128" s="7"/>
      <c r="DYL1128" s="7"/>
      <c r="DYM1128" s="7"/>
      <c r="DYN1128" s="7"/>
      <c r="DYO1128" s="7"/>
      <c r="DYP1128" s="7"/>
      <c r="DYQ1128" s="7"/>
      <c r="DYR1128" s="7"/>
      <c r="DYS1128" s="7"/>
      <c r="DYT1128" s="7"/>
      <c r="DYU1128" s="7"/>
      <c r="DYV1128" s="7"/>
      <c r="DYW1128" s="7"/>
      <c r="DYX1128" s="7"/>
      <c r="DYY1128" s="7"/>
      <c r="DYZ1128" s="7"/>
      <c r="DZA1128" s="7"/>
      <c r="DZB1128" s="7"/>
      <c r="DZC1128" s="7"/>
      <c r="DZD1128" s="7"/>
      <c r="DZE1128" s="7"/>
      <c r="DZF1128" s="7"/>
      <c r="DZG1128" s="7"/>
      <c r="DZH1128" s="7"/>
      <c r="DZI1128" s="7"/>
      <c r="DZJ1128" s="7"/>
      <c r="DZK1128" s="7"/>
      <c r="DZL1128" s="7"/>
      <c r="DZM1128" s="7"/>
      <c r="DZN1128" s="7"/>
      <c r="DZO1128" s="7"/>
      <c r="DZP1128" s="7"/>
      <c r="DZQ1128" s="7"/>
      <c r="DZR1128" s="7"/>
      <c r="DZS1128" s="7"/>
      <c r="DZT1128" s="7"/>
      <c r="DZU1128" s="7"/>
      <c r="DZV1128" s="7"/>
      <c r="DZW1128" s="7"/>
      <c r="DZX1128" s="7"/>
      <c r="DZY1128" s="7"/>
      <c r="DZZ1128" s="7"/>
      <c r="EAA1128" s="7"/>
      <c r="EAB1128" s="7"/>
      <c r="EAC1128" s="7"/>
      <c r="EAD1128" s="7"/>
      <c r="EAE1128" s="7"/>
      <c r="EAF1128" s="7"/>
      <c r="EAG1128" s="7"/>
      <c r="EAH1128" s="7"/>
      <c r="EAI1128" s="7"/>
      <c r="EAJ1128" s="7"/>
      <c r="EAK1128" s="7"/>
      <c r="EAL1128" s="7"/>
      <c r="EAM1128" s="7"/>
      <c r="EAN1128" s="7"/>
      <c r="EAO1128" s="7"/>
      <c r="EAP1128" s="7"/>
      <c r="EAQ1128" s="7"/>
      <c r="EAR1128" s="7"/>
      <c r="EAS1128" s="7"/>
      <c r="EAT1128" s="7"/>
      <c r="EAU1128" s="7"/>
      <c r="EAV1128" s="7"/>
      <c r="EAW1128" s="7"/>
      <c r="EAX1128" s="7"/>
      <c r="EAY1128" s="7"/>
      <c r="EAZ1128" s="7"/>
      <c r="EBA1128" s="7"/>
      <c r="EBB1128" s="7"/>
      <c r="EBC1128" s="7"/>
      <c r="EBD1128" s="7"/>
      <c r="EBE1128" s="7"/>
      <c r="EBF1128" s="7"/>
      <c r="EBG1128" s="7"/>
      <c r="EBH1128" s="7"/>
      <c r="EBI1128" s="7"/>
      <c r="EBJ1128" s="7"/>
      <c r="EBK1128" s="7"/>
      <c r="EBL1128" s="7"/>
      <c r="EBM1128" s="7"/>
      <c r="EBN1128" s="7"/>
      <c r="EBO1128" s="7"/>
      <c r="EBP1128" s="7"/>
      <c r="EBQ1128" s="7"/>
      <c r="EBR1128" s="7"/>
      <c r="EBS1128" s="7"/>
      <c r="EBT1128" s="7"/>
      <c r="EBU1128" s="7"/>
      <c r="EBV1128" s="7"/>
      <c r="EBW1128" s="7"/>
      <c r="EBX1128" s="7"/>
      <c r="EBY1128" s="7"/>
      <c r="EBZ1128" s="7"/>
      <c r="ECA1128" s="7"/>
      <c r="ECB1128" s="7"/>
      <c r="ECC1128" s="7"/>
      <c r="ECD1128" s="7"/>
      <c r="ECE1128" s="7"/>
      <c r="ECF1128" s="7"/>
      <c r="ECG1128" s="7"/>
      <c r="ECH1128" s="7"/>
      <c r="ECI1128" s="7"/>
      <c r="ECJ1128" s="7"/>
      <c r="ECK1128" s="7"/>
      <c r="ECL1128" s="7"/>
      <c r="ECM1128" s="7"/>
      <c r="ECN1128" s="7"/>
      <c r="ECO1128" s="7"/>
      <c r="ECP1128" s="7"/>
      <c r="ECQ1128" s="7"/>
      <c r="ECR1128" s="7"/>
      <c r="ECS1128" s="7"/>
      <c r="ECT1128" s="7"/>
      <c r="ECU1128" s="7"/>
      <c r="ECV1128" s="7"/>
      <c r="ECW1128" s="7"/>
      <c r="ECX1128" s="7"/>
      <c r="ECY1128" s="7"/>
      <c r="ECZ1128" s="7"/>
      <c r="EDA1128" s="7"/>
      <c r="EDB1128" s="7"/>
      <c r="EDC1128" s="7"/>
      <c r="EDD1128" s="7"/>
      <c r="EDE1128" s="7"/>
      <c r="EDF1128" s="7"/>
      <c r="EDG1128" s="7"/>
      <c r="EDH1128" s="7"/>
      <c r="EDI1128" s="7"/>
      <c r="EDJ1128" s="7"/>
      <c r="EDK1128" s="7"/>
      <c r="EDL1128" s="7"/>
      <c r="EDM1128" s="7"/>
      <c r="EDN1128" s="7"/>
      <c r="EDO1128" s="7"/>
      <c r="EDP1128" s="7"/>
      <c r="EDQ1128" s="7"/>
      <c r="EDR1128" s="7"/>
      <c r="EDS1128" s="7"/>
      <c r="EDT1128" s="7"/>
      <c r="EDU1128" s="7"/>
      <c r="EDV1128" s="7"/>
      <c r="EDW1128" s="7"/>
      <c r="EDX1128" s="7"/>
      <c r="EDY1128" s="7"/>
      <c r="EDZ1128" s="7"/>
      <c r="EEA1128" s="7"/>
      <c r="EEB1128" s="7"/>
      <c r="EEC1128" s="7"/>
      <c r="EED1128" s="7"/>
      <c r="EEE1128" s="7"/>
      <c r="EEF1128" s="7"/>
      <c r="EEG1128" s="7"/>
      <c r="EEH1128" s="7"/>
      <c r="EEI1128" s="7"/>
      <c r="EEJ1128" s="7"/>
      <c r="EEK1128" s="7"/>
      <c r="EEL1128" s="7"/>
      <c r="EEM1128" s="7"/>
      <c r="EEN1128" s="7"/>
      <c r="EEO1128" s="7"/>
      <c r="EEP1128" s="7"/>
      <c r="EEQ1128" s="7"/>
      <c r="EER1128" s="7"/>
      <c r="EES1128" s="7"/>
      <c r="EET1128" s="7"/>
      <c r="EEU1128" s="7"/>
      <c r="EEV1128" s="7"/>
      <c r="EEW1128" s="7"/>
      <c r="EEX1128" s="7"/>
      <c r="EEY1128" s="7"/>
      <c r="EEZ1128" s="7"/>
      <c r="EFA1128" s="7"/>
      <c r="EFB1128" s="7"/>
      <c r="EFC1128" s="7"/>
      <c r="EFD1128" s="7"/>
      <c r="EFE1128" s="7"/>
      <c r="EFF1128" s="7"/>
      <c r="EFG1128" s="7"/>
      <c r="EFH1128" s="7"/>
      <c r="EFI1128" s="7"/>
      <c r="EFJ1128" s="7"/>
      <c r="EFK1128" s="7"/>
      <c r="EFL1128" s="7"/>
      <c r="EFM1128" s="7"/>
      <c r="EFN1128" s="7"/>
      <c r="EFO1128" s="7"/>
      <c r="EFP1128" s="7"/>
      <c r="EFQ1128" s="7"/>
      <c r="EFR1128" s="7"/>
      <c r="EFS1128" s="7"/>
      <c r="EFT1128" s="7"/>
      <c r="EFU1128" s="7"/>
      <c r="EFV1128" s="7"/>
      <c r="EFW1128" s="7"/>
      <c r="EFX1128" s="7"/>
      <c r="EFY1128" s="7"/>
      <c r="EFZ1128" s="7"/>
      <c r="EGA1128" s="7"/>
      <c r="EGB1128" s="7"/>
      <c r="EGC1128" s="7"/>
      <c r="EGD1128" s="7"/>
      <c r="EGE1128" s="7"/>
      <c r="EGF1128" s="7"/>
      <c r="EGG1128" s="7"/>
      <c r="EGH1128" s="7"/>
      <c r="EGI1128" s="7"/>
      <c r="EGJ1128" s="7"/>
      <c r="EGK1128" s="7"/>
      <c r="EGL1128" s="7"/>
      <c r="EGM1128" s="7"/>
      <c r="EGN1128" s="7"/>
      <c r="EGO1128" s="7"/>
      <c r="EGP1128" s="7"/>
      <c r="EGQ1128" s="7"/>
      <c r="EGR1128" s="7"/>
      <c r="EGS1128" s="7"/>
      <c r="EGT1128" s="7"/>
      <c r="EGU1128" s="7"/>
      <c r="EGV1128" s="7"/>
      <c r="EGW1128" s="7"/>
      <c r="EGX1128" s="7"/>
      <c r="EGY1128" s="7"/>
      <c r="EGZ1128" s="7"/>
      <c r="EHA1128" s="7"/>
      <c r="EHB1128" s="7"/>
      <c r="EHC1128" s="7"/>
      <c r="EHD1128" s="7"/>
      <c r="EHE1128" s="7"/>
      <c r="EHF1128" s="7"/>
      <c r="EHG1128" s="7"/>
      <c r="EHH1128" s="7"/>
      <c r="EHI1128" s="7"/>
      <c r="EHJ1128" s="7"/>
      <c r="EHK1128" s="7"/>
      <c r="EHL1128" s="7"/>
      <c r="EHM1128" s="7"/>
      <c r="EHN1128" s="7"/>
      <c r="EHO1128" s="7"/>
      <c r="EHP1128" s="7"/>
      <c r="EHQ1128" s="7"/>
      <c r="EHR1128" s="7"/>
      <c r="EHS1128" s="7"/>
      <c r="EHT1128" s="7"/>
      <c r="EHU1128" s="7"/>
      <c r="EHV1128" s="7"/>
      <c r="EHW1128" s="7"/>
      <c r="EHX1128" s="7"/>
      <c r="EHY1128" s="7"/>
      <c r="EHZ1128" s="7"/>
      <c r="EIA1128" s="7"/>
      <c r="EIB1128" s="7"/>
      <c r="EIC1128" s="7"/>
      <c r="EID1128" s="7"/>
      <c r="EIE1128" s="7"/>
      <c r="EIF1128" s="7"/>
      <c r="EIG1128" s="7"/>
      <c r="EIH1128" s="7"/>
      <c r="EII1128" s="7"/>
      <c r="EIJ1128" s="7"/>
      <c r="EIK1128" s="7"/>
      <c r="EIL1128" s="7"/>
      <c r="EIM1128" s="7"/>
      <c r="EIN1128" s="7"/>
      <c r="EIO1128" s="7"/>
      <c r="EIP1128" s="7"/>
      <c r="EIQ1128" s="7"/>
      <c r="EIR1128" s="7"/>
      <c r="EIS1128" s="7"/>
      <c r="EIT1128" s="7"/>
      <c r="EIU1128" s="7"/>
      <c r="EIV1128" s="7"/>
      <c r="EIW1128" s="7"/>
      <c r="EIX1128" s="7"/>
      <c r="EIY1128" s="7"/>
      <c r="EIZ1128" s="7"/>
      <c r="EJA1128" s="7"/>
      <c r="EJB1128" s="7"/>
      <c r="EJC1128" s="7"/>
      <c r="EJD1128" s="7"/>
      <c r="EJE1128" s="7"/>
      <c r="EJF1128" s="7"/>
      <c r="EJG1128" s="7"/>
      <c r="EJH1128" s="7"/>
      <c r="EJI1128" s="7"/>
      <c r="EJJ1128" s="7"/>
      <c r="EJK1128" s="7"/>
      <c r="EJL1128" s="7"/>
      <c r="EJM1128" s="7"/>
      <c r="EJN1128" s="7"/>
      <c r="EJO1128" s="7"/>
      <c r="EJP1128" s="7"/>
      <c r="EJQ1128" s="7"/>
      <c r="EJR1128" s="7"/>
      <c r="EJS1128" s="7"/>
      <c r="EJT1128" s="7"/>
      <c r="EJU1128" s="7"/>
      <c r="EJV1128" s="7"/>
      <c r="EJW1128" s="7"/>
      <c r="EJX1128" s="7"/>
      <c r="EJY1128" s="7"/>
      <c r="EJZ1128" s="7"/>
      <c r="EKA1128" s="7"/>
      <c r="EKB1128" s="7"/>
      <c r="EKC1128" s="7"/>
      <c r="EKD1128" s="7"/>
      <c r="EKE1128" s="7"/>
      <c r="EKF1128" s="7"/>
      <c r="EKG1128" s="7"/>
      <c r="EKH1128" s="7"/>
      <c r="EKI1128" s="7"/>
      <c r="EKJ1128" s="7"/>
      <c r="EKK1128" s="7"/>
      <c r="EKL1128" s="7"/>
      <c r="EKM1128" s="7"/>
      <c r="EKN1128" s="7"/>
      <c r="EKO1128" s="7"/>
      <c r="EKP1128" s="7"/>
      <c r="EKQ1128" s="7"/>
      <c r="EKR1128" s="7"/>
      <c r="EKS1128" s="7"/>
      <c r="EKT1128" s="7"/>
      <c r="EKU1128" s="7"/>
      <c r="EKV1128" s="7"/>
      <c r="EKW1128" s="7"/>
      <c r="EKX1128" s="7"/>
      <c r="EKY1128" s="7"/>
      <c r="EKZ1128" s="7"/>
      <c r="ELA1128" s="7"/>
      <c r="ELB1128" s="7"/>
      <c r="ELC1128" s="7"/>
      <c r="ELD1128" s="7"/>
      <c r="ELE1128" s="7"/>
      <c r="ELF1128" s="7"/>
      <c r="ELG1128" s="7"/>
      <c r="ELH1128" s="7"/>
      <c r="ELI1128" s="7"/>
      <c r="ELJ1128" s="7"/>
      <c r="ELK1128" s="7"/>
      <c r="ELL1128" s="7"/>
      <c r="ELM1128" s="7"/>
      <c r="ELN1128" s="7"/>
      <c r="ELO1128" s="7"/>
      <c r="ELP1128" s="7"/>
      <c r="ELQ1128" s="7"/>
      <c r="ELR1128" s="7"/>
      <c r="ELS1128" s="7"/>
      <c r="ELT1128" s="7"/>
      <c r="ELU1128" s="7"/>
      <c r="ELV1128" s="7"/>
      <c r="ELW1128" s="7"/>
      <c r="ELX1128" s="7"/>
      <c r="ELY1128" s="7"/>
      <c r="ELZ1128" s="7"/>
      <c r="EMA1128" s="7"/>
      <c r="EMB1128" s="7"/>
      <c r="EMC1128" s="7"/>
      <c r="EMD1128" s="7"/>
      <c r="EME1128" s="7"/>
      <c r="EMF1128" s="7"/>
      <c r="EMG1128" s="7"/>
      <c r="EMH1128" s="7"/>
      <c r="EMI1128" s="7"/>
      <c r="EMJ1128" s="7"/>
      <c r="EMK1128" s="7"/>
      <c r="EML1128" s="7"/>
      <c r="EMM1128" s="7"/>
      <c r="EMN1128" s="7"/>
      <c r="EMO1128" s="7"/>
      <c r="EMP1128" s="7"/>
      <c r="EMQ1128" s="7"/>
      <c r="EMR1128" s="7"/>
      <c r="EMS1128" s="7"/>
      <c r="EMT1128" s="7"/>
      <c r="EMU1128" s="7"/>
      <c r="EMV1128" s="7"/>
      <c r="EMW1128" s="7"/>
      <c r="EMX1128" s="7"/>
      <c r="EMY1128" s="7"/>
      <c r="EMZ1128" s="7"/>
      <c r="ENA1128" s="7"/>
      <c r="ENB1128" s="7"/>
      <c r="ENC1128" s="7"/>
      <c r="END1128" s="7"/>
      <c r="ENE1128" s="7"/>
      <c r="ENF1128" s="7"/>
      <c r="ENG1128" s="7"/>
      <c r="ENH1128" s="7"/>
      <c r="ENI1128" s="7"/>
      <c r="ENJ1128" s="7"/>
      <c r="ENK1128" s="7"/>
      <c r="ENL1128" s="7"/>
      <c r="ENM1128" s="7"/>
      <c r="ENN1128" s="7"/>
      <c r="ENO1128" s="7"/>
      <c r="ENP1128" s="7"/>
      <c r="ENQ1128" s="7"/>
      <c r="ENR1128" s="7"/>
      <c r="ENS1128" s="7"/>
      <c r="ENT1128" s="7"/>
      <c r="ENU1128" s="7"/>
      <c r="ENV1128" s="7"/>
      <c r="ENW1128" s="7"/>
      <c r="ENX1128" s="7"/>
      <c r="ENY1128" s="7"/>
      <c r="ENZ1128" s="7"/>
      <c r="EOA1128" s="7"/>
      <c r="EOB1128" s="7"/>
      <c r="EOC1128" s="7"/>
      <c r="EOD1128" s="7"/>
      <c r="EOE1128" s="7"/>
      <c r="EOF1128" s="7"/>
      <c r="EOG1128" s="7"/>
      <c r="EOH1128" s="7"/>
      <c r="EOI1128" s="7"/>
      <c r="EOJ1128" s="7"/>
      <c r="EOK1128" s="7"/>
      <c r="EOL1128" s="7"/>
      <c r="EOM1128" s="7"/>
      <c r="EON1128" s="7"/>
      <c r="EOO1128" s="7"/>
      <c r="EOP1128" s="7"/>
      <c r="EOQ1128" s="7"/>
      <c r="EOR1128" s="7"/>
      <c r="EOS1128" s="7"/>
      <c r="EOT1128" s="7"/>
      <c r="EOU1128" s="7"/>
      <c r="EOV1128" s="7"/>
      <c r="EOW1128" s="7"/>
      <c r="EOX1128" s="7"/>
      <c r="EOY1128" s="7"/>
      <c r="EOZ1128" s="7"/>
      <c r="EPA1128" s="7"/>
      <c r="EPB1128" s="7"/>
      <c r="EPC1128" s="7"/>
      <c r="EPD1128" s="7"/>
      <c r="EPE1128" s="7"/>
      <c r="EPF1128" s="7"/>
      <c r="EPG1128" s="7"/>
      <c r="EPH1128" s="7"/>
      <c r="EPI1128" s="7"/>
      <c r="EPJ1128" s="7"/>
      <c r="EPK1128" s="7"/>
      <c r="EPL1128" s="7"/>
      <c r="EPM1128" s="7"/>
      <c r="EPN1128" s="7"/>
      <c r="EPO1128" s="7"/>
      <c r="EPP1128" s="7"/>
      <c r="EPQ1128" s="7"/>
      <c r="EPR1128" s="7"/>
      <c r="EPS1128" s="7"/>
      <c r="EPT1128" s="7"/>
      <c r="EPU1128" s="7"/>
      <c r="EPV1128" s="7"/>
      <c r="EPW1128" s="7"/>
      <c r="EPX1128" s="7"/>
      <c r="EPY1128" s="7"/>
      <c r="EPZ1128" s="7"/>
      <c r="EQA1128" s="7"/>
      <c r="EQB1128" s="7"/>
      <c r="EQC1128" s="7"/>
      <c r="EQD1128" s="7"/>
      <c r="EQE1128" s="7"/>
      <c r="EQF1128" s="7"/>
      <c r="EQG1128" s="7"/>
      <c r="EQH1128" s="7"/>
      <c r="EQI1128" s="7"/>
      <c r="EQJ1128" s="7"/>
      <c r="EQK1128" s="7"/>
      <c r="EQL1128" s="7"/>
      <c r="EQM1128" s="7"/>
      <c r="EQN1128" s="7"/>
      <c r="EQO1128" s="7"/>
      <c r="EQP1128" s="7"/>
      <c r="EQQ1128" s="7"/>
      <c r="EQR1128" s="7"/>
      <c r="EQS1128" s="7"/>
      <c r="EQT1128" s="7"/>
      <c r="EQU1128" s="7"/>
      <c r="EQV1128" s="7"/>
      <c r="EQW1128" s="7"/>
      <c r="EQX1128" s="7"/>
      <c r="EQY1128" s="7"/>
      <c r="EQZ1128" s="7"/>
      <c r="ERA1128" s="7"/>
      <c r="ERB1128" s="7"/>
      <c r="ERC1128" s="7"/>
      <c r="ERD1128" s="7"/>
      <c r="ERE1128" s="7"/>
      <c r="ERF1128" s="7"/>
      <c r="ERG1128" s="7"/>
      <c r="ERH1128" s="7"/>
      <c r="ERI1128" s="7"/>
      <c r="ERJ1128" s="7"/>
      <c r="ERK1128" s="7"/>
      <c r="ERL1128" s="7"/>
      <c r="ERM1128" s="7"/>
      <c r="ERN1128" s="7"/>
      <c r="ERO1128" s="7"/>
      <c r="ERP1128" s="7"/>
      <c r="ERQ1128" s="7"/>
      <c r="ERR1128" s="7"/>
      <c r="ERS1128" s="7"/>
      <c r="ERT1128" s="7"/>
      <c r="ERU1128" s="7"/>
      <c r="ERV1128" s="7"/>
      <c r="ERW1128" s="7"/>
      <c r="ERX1128" s="7"/>
      <c r="ERY1128" s="7"/>
      <c r="ERZ1128" s="7"/>
      <c r="ESA1128" s="7"/>
      <c r="ESB1128" s="7"/>
      <c r="ESC1128" s="7"/>
      <c r="ESD1128" s="7"/>
      <c r="ESE1128" s="7"/>
      <c r="ESF1128" s="7"/>
      <c r="ESG1128" s="7"/>
      <c r="ESH1128" s="7"/>
      <c r="ESI1128" s="7"/>
      <c r="ESJ1128" s="7"/>
      <c r="ESK1128" s="7"/>
      <c r="ESL1128" s="7"/>
      <c r="ESM1128" s="7"/>
      <c r="ESN1128" s="7"/>
      <c r="ESO1128" s="7"/>
      <c r="ESP1128" s="7"/>
      <c r="ESQ1128" s="7"/>
      <c r="ESR1128" s="7"/>
      <c r="ESS1128" s="7"/>
      <c r="EST1128" s="7"/>
      <c r="ESU1128" s="7"/>
      <c r="ESV1128" s="7"/>
      <c r="ESW1128" s="7"/>
      <c r="ESX1128" s="7"/>
      <c r="ESY1128" s="7"/>
      <c r="ESZ1128" s="7"/>
      <c r="ETA1128" s="7"/>
      <c r="ETB1128" s="7"/>
      <c r="ETC1128" s="7"/>
      <c r="ETD1128" s="7"/>
      <c r="ETE1128" s="7"/>
      <c r="ETF1128" s="7"/>
      <c r="ETG1128" s="7"/>
      <c r="ETH1128" s="7"/>
      <c r="ETI1128" s="7"/>
      <c r="ETJ1128" s="7"/>
      <c r="ETK1128" s="7"/>
      <c r="ETL1128" s="7"/>
      <c r="ETM1128" s="7"/>
      <c r="ETN1128" s="7"/>
      <c r="ETO1128" s="7"/>
      <c r="ETP1128" s="7"/>
      <c r="ETQ1128" s="7"/>
      <c r="ETR1128" s="7"/>
      <c r="ETS1128" s="7"/>
      <c r="ETT1128" s="7"/>
      <c r="ETU1128" s="7"/>
      <c r="ETV1128" s="7"/>
      <c r="ETW1128" s="7"/>
      <c r="ETX1128" s="7"/>
      <c r="ETY1128" s="7"/>
      <c r="ETZ1128" s="7"/>
      <c r="EUA1128" s="7"/>
      <c r="EUB1128" s="7"/>
      <c r="EUC1128" s="7"/>
      <c r="EUD1128" s="7"/>
      <c r="EUE1128" s="7"/>
      <c r="EUF1128" s="7"/>
      <c r="EUG1128" s="7"/>
      <c r="EUH1128" s="7"/>
      <c r="EUI1128" s="7"/>
      <c r="EUJ1128" s="7"/>
      <c r="EUK1128" s="7"/>
      <c r="EUL1128" s="7"/>
      <c r="EUM1128" s="7"/>
      <c r="EUN1128" s="7"/>
      <c r="EUO1128" s="7"/>
      <c r="EUP1128" s="7"/>
      <c r="EUQ1128" s="7"/>
      <c r="EUR1128" s="7"/>
      <c r="EUS1128" s="7"/>
      <c r="EUT1128" s="7"/>
      <c r="EUU1128" s="7"/>
      <c r="EUV1128" s="7"/>
      <c r="EUW1128" s="7"/>
      <c r="EUX1128" s="7"/>
      <c r="EUY1128" s="7"/>
      <c r="EUZ1128" s="7"/>
      <c r="EVA1128" s="7"/>
      <c r="EVB1128" s="7"/>
      <c r="EVC1128" s="7"/>
      <c r="EVD1128" s="7"/>
      <c r="EVE1128" s="7"/>
      <c r="EVF1128" s="7"/>
      <c r="EVG1128" s="7"/>
      <c r="EVH1128" s="7"/>
      <c r="EVI1128" s="7"/>
      <c r="EVJ1128" s="7"/>
      <c r="EVK1128" s="7"/>
      <c r="EVL1128" s="7"/>
      <c r="EVM1128" s="7"/>
      <c r="EVN1128" s="7"/>
      <c r="EVO1128" s="7"/>
      <c r="EVP1128" s="7"/>
      <c r="EVQ1128" s="7"/>
      <c r="EVR1128" s="7"/>
      <c r="EVS1128" s="7"/>
      <c r="EVT1128" s="7"/>
      <c r="EVU1128" s="7"/>
      <c r="EVV1128" s="7"/>
      <c r="EVW1128" s="7"/>
      <c r="EVX1128" s="7"/>
      <c r="EVY1128" s="7"/>
      <c r="EVZ1128" s="7"/>
      <c r="EWA1128" s="7"/>
      <c r="EWB1128" s="7"/>
      <c r="EWC1128" s="7"/>
      <c r="EWD1128" s="7"/>
      <c r="EWE1128" s="7"/>
      <c r="EWF1128" s="7"/>
      <c r="EWG1128" s="7"/>
      <c r="EWH1128" s="7"/>
      <c r="EWI1128" s="7"/>
      <c r="EWJ1128" s="7"/>
      <c r="EWK1128" s="7"/>
      <c r="EWL1128" s="7"/>
      <c r="EWM1128" s="7"/>
      <c r="EWN1128" s="7"/>
      <c r="EWO1128" s="7"/>
      <c r="EWP1128" s="7"/>
      <c r="EWQ1128" s="7"/>
      <c r="EWR1128" s="7"/>
      <c r="EWS1128" s="7"/>
      <c r="EWT1128" s="7"/>
      <c r="EWU1128" s="7"/>
      <c r="EWV1128" s="7"/>
      <c r="EWW1128" s="7"/>
      <c r="EWX1128" s="7"/>
      <c r="EWY1128" s="7"/>
      <c r="EWZ1128" s="7"/>
      <c r="EXA1128" s="7"/>
      <c r="EXB1128" s="7"/>
      <c r="EXC1128" s="7"/>
      <c r="EXD1128" s="7"/>
      <c r="EXE1128" s="7"/>
      <c r="EXF1128" s="7"/>
      <c r="EXG1128" s="7"/>
      <c r="EXH1128" s="7"/>
      <c r="EXI1128" s="7"/>
      <c r="EXJ1128" s="7"/>
      <c r="EXK1128" s="7"/>
      <c r="EXL1128" s="7"/>
      <c r="EXM1128" s="7"/>
      <c r="EXN1128" s="7"/>
      <c r="EXO1128" s="7"/>
      <c r="EXP1128" s="7"/>
      <c r="EXQ1128" s="7"/>
      <c r="EXR1128" s="7"/>
      <c r="EXS1128" s="7"/>
      <c r="EXT1128" s="7"/>
      <c r="EXU1128" s="7"/>
      <c r="EXV1128" s="7"/>
      <c r="EXW1128" s="7"/>
      <c r="EXX1128" s="7"/>
      <c r="EXY1128" s="7"/>
      <c r="EXZ1128" s="7"/>
      <c r="EYA1128" s="7"/>
      <c r="EYB1128" s="7"/>
      <c r="EYC1128" s="7"/>
      <c r="EYD1128" s="7"/>
      <c r="EYE1128" s="7"/>
      <c r="EYF1128" s="7"/>
      <c r="EYG1128" s="7"/>
      <c r="EYH1128" s="7"/>
      <c r="EYI1128" s="7"/>
      <c r="EYJ1128" s="7"/>
      <c r="EYK1128" s="7"/>
      <c r="EYL1128" s="7"/>
      <c r="EYM1128" s="7"/>
      <c r="EYN1128" s="7"/>
      <c r="EYO1128" s="7"/>
      <c r="EYP1128" s="7"/>
      <c r="EYQ1128" s="7"/>
      <c r="EYR1128" s="7"/>
      <c r="EYS1128" s="7"/>
      <c r="EYT1128" s="7"/>
      <c r="EYU1128" s="7"/>
      <c r="EYV1128" s="7"/>
      <c r="EYW1128" s="7"/>
      <c r="EYX1128" s="7"/>
      <c r="EYY1128" s="7"/>
      <c r="EYZ1128" s="7"/>
      <c r="EZA1128" s="7"/>
      <c r="EZB1128" s="7"/>
      <c r="EZC1128" s="7"/>
      <c r="EZD1128" s="7"/>
      <c r="EZE1128" s="7"/>
      <c r="EZF1128" s="7"/>
      <c r="EZG1128" s="7"/>
      <c r="EZH1128" s="7"/>
      <c r="EZI1128" s="7"/>
      <c r="EZJ1128" s="7"/>
      <c r="EZK1128" s="7"/>
      <c r="EZL1128" s="7"/>
      <c r="EZM1128" s="7"/>
      <c r="EZN1128" s="7"/>
      <c r="EZO1128" s="7"/>
      <c r="EZP1128" s="7"/>
      <c r="EZQ1128" s="7"/>
      <c r="EZR1128" s="7"/>
      <c r="EZS1128" s="7"/>
      <c r="EZT1128" s="7"/>
      <c r="EZU1128" s="7"/>
      <c r="EZV1128" s="7"/>
      <c r="EZW1128" s="7"/>
      <c r="EZX1128" s="7"/>
      <c r="EZY1128" s="7"/>
      <c r="EZZ1128" s="7"/>
      <c r="FAA1128" s="7"/>
      <c r="FAB1128" s="7"/>
      <c r="FAC1128" s="7"/>
      <c r="FAD1128" s="7"/>
      <c r="FAE1128" s="7"/>
      <c r="FAF1128" s="7"/>
      <c r="FAG1128" s="7"/>
      <c r="FAH1128" s="7"/>
      <c r="FAI1128" s="7"/>
      <c r="FAJ1128" s="7"/>
      <c r="FAK1128" s="7"/>
      <c r="FAL1128" s="7"/>
      <c r="FAM1128" s="7"/>
      <c r="FAN1128" s="7"/>
      <c r="FAO1128" s="7"/>
      <c r="FAP1128" s="7"/>
      <c r="FAQ1128" s="7"/>
      <c r="FAR1128" s="7"/>
      <c r="FAS1128" s="7"/>
      <c r="FAT1128" s="7"/>
      <c r="FAU1128" s="7"/>
      <c r="FAV1128" s="7"/>
      <c r="FAW1128" s="7"/>
      <c r="FAX1128" s="7"/>
      <c r="FAY1128" s="7"/>
      <c r="FAZ1128" s="7"/>
      <c r="FBA1128" s="7"/>
      <c r="FBB1128" s="7"/>
      <c r="FBC1128" s="7"/>
      <c r="FBD1128" s="7"/>
      <c r="FBE1128" s="7"/>
      <c r="FBF1128" s="7"/>
      <c r="FBG1128" s="7"/>
      <c r="FBH1128" s="7"/>
      <c r="FBI1128" s="7"/>
      <c r="FBJ1128" s="7"/>
      <c r="FBK1128" s="7"/>
      <c r="FBL1128" s="7"/>
      <c r="FBM1128" s="7"/>
      <c r="FBN1128" s="7"/>
      <c r="FBO1128" s="7"/>
      <c r="FBP1128" s="7"/>
      <c r="FBQ1128" s="7"/>
      <c r="FBR1128" s="7"/>
      <c r="FBS1128" s="7"/>
      <c r="FBT1128" s="7"/>
      <c r="FBU1128" s="7"/>
      <c r="FBV1128" s="7"/>
      <c r="FBW1128" s="7"/>
      <c r="FBX1128" s="7"/>
      <c r="FBY1128" s="7"/>
      <c r="FBZ1128" s="7"/>
      <c r="FCA1128" s="7"/>
      <c r="FCB1128" s="7"/>
      <c r="FCC1128" s="7"/>
      <c r="FCD1128" s="7"/>
      <c r="FCE1128" s="7"/>
      <c r="FCF1128" s="7"/>
      <c r="FCG1128" s="7"/>
      <c r="FCH1128" s="7"/>
      <c r="FCI1128" s="7"/>
      <c r="FCJ1128" s="7"/>
      <c r="FCK1128" s="7"/>
      <c r="FCL1128" s="7"/>
      <c r="FCM1128" s="7"/>
      <c r="FCN1128" s="7"/>
      <c r="FCO1128" s="7"/>
      <c r="FCP1128" s="7"/>
      <c r="FCQ1128" s="7"/>
      <c r="FCR1128" s="7"/>
      <c r="FCS1128" s="7"/>
      <c r="FCT1128" s="7"/>
      <c r="FCU1128" s="7"/>
      <c r="FCV1128" s="7"/>
      <c r="FCW1128" s="7"/>
      <c r="FCX1128" s="7"/>
      <c r="FCY1128" s="7"/>
      <c r="FCZ1128" s="7"/>
      <c r="FDA1128" s="7"/>
      <c r="FDB1128" s="7"/>
      <c r="FDC1128" s="7"/>
      <c r="FDD1128" s="7"/>
      <c r="FDE1128" s="7"/>
      <c r="FDF1128" s="7"/>
      <c r="FDG1128" s="7"/>
      <c r="FDH1128" s="7"/>
      <c r="FDI1128" s="7"/>
      <c r="FDJ1128" s="7"/>
      <c r="FDK1128" s="7"/>
      <c r="FDL1128" s="7"/>
      <c r="FDM1128" s="7"/>
      <c r="FDN1128" s="7"/>
      <c r="FDO1128" s="7"/>
      <c r="FDP1128" s="7"/>
      <c r="FDQ1128" s="7"/>
      <c r="FDR1128" s="7"/>
      <c r="FDS1128" s="7"/>
      <c r="FDT1128" s="7"/>
      <c r="FDU1128" s="7"/>
      <c r="FDV1128" s="7"/>
      <c r="FDW1128" s="7"/>
      <c r="FDX1128" s="7"/>
      <c r="FDY1128" s="7"/>
      <c r="FDZ1128" s="7"/>
      <c r="FEA1128" s="7"/>
      <c r="FEB1128" s="7"/>
      <c r="FEC1128" s="7"/>
      <c r="FED1128" s="7"/>
      <c r="FEE1128" s="7"/>
      <c r="FEF1128" s="7"/>
      <c r="FEG1128" s="7"/>
      <c r="FEH1128" s="7"/>
      <c r="FEI1128" s="7"/>
      <c r="FEJ1128" s="7"/>
      <c r="FEK1128" s="7"/>
      <c r="FEL1128" s="7"/>
      <c r="FEM1128" s="7"/>
      <c r="FEN1128" s="7"/>
      <c r="FEO1128" s="7"/>
      <c r="FEP1128" s="7"/>
      <c r="FEQ1128" s="7"/>
      <c r="FER1128" s="7"/>
      <c r="FES1128" s="7"/>
      <c r="FET1128" s="7"/>
      <c r="FEU1128" s="7"/>
      <c r="FEV1128" s="7"/>
      <c r="FEW1128" s="7"/>
      <c r="FEX1128" s="7"/>
      <c r="FEY1128" s="7"/>
      <c r="FEZ1128" s="7"/>
      <c r="FFA1128" s="7"/>
      <c r="FFB1128" s="7"/>
      <c r="FFC1128" s="7"/>
      <c r="FFD1128" s="7"/>
      <c r="FFE1128" s="7"/>
      <c r="FFF1128" s="7"/>
      <c r="FFG1128" s="7"/>
      <c r="FFH1128" s="7"/>
      <c r="FFI1128" s="7"/>
      <c r="FFJ1128" s="7"/>
      <c r="FFK1128" s="7"/>
      <c r="FFL1128" s="7"/>
      <c r="FFM1128" s="7"/>
      <c r="FFN1128" s="7"/>
      <c r="FFO1128" s="7"/>
      <c r="FFP1128" s="7"/>
      <c r="FFQ1128" s="7"/>
      <c r="FFR1128" s="7"/>
      <c r="FFS1128" s="7"/>
      <c r="FFT1128" s="7"/>
      <c r="FFU1128" s="7"/>
      <c r="FFV1128" s="7"/>
      <c r="FFW1128" s="7"/>
      <c r="FFX1128" s="7"/>
      <c r="FFY1128" s="7"/>
      <c r="FFZ1128" s="7"/>
      <c r="FGA1128" s="7"/>
      <c r="FGB1128" s="7"/>
      <c r="FGC1128" s="7"/>
      <c r="FGD1128" s="7"/>
      <c r="FGE1128" s="7"/>
      <c r="FGF1128" s="7"/>
      <c r="FGG1128" s="7"/>
      <c r="FGH1128" s="7"/>
      <c r="FGI1128" s="7"/>
      <c r="FGJ1128" s="7"/>
      <c r="FGK1128" s="7"/>
      <c r="FGL1128" s="7"/>
      <c r="FGM1128" s="7"/>
      <c r="FGN1128" s="7"/>
      <c r="FGO1128" s="7"/>
      <c r="FGP1128" s="7"/>
      <c r="FGQ1128" s="7"/>
      <c r="FGR1128" s="7"/>
      <c r="FGS1128" s="7"/>
      <c r="FGT1128" s="7"/>
      <c r="FGU1128" s="7"/>
      <c r="FGV1128" s="7"/>
      <c r="FGW1128" s="7"/>
      <c r="FGX1128" s="7"/>
      <c r="FGY1128" s="7"/>
      <c r="FGZ1128" s="7"/>
      <c r="FHA1128" s="7"/>
      <c r="FHB1128" s="7"/>
      <c r="FHC1128" s="7"/>
      <c r="FHD1128" s="7"/>
      <c r="FHE1128" s="7"/>
      <c r="FHF1128" s="7"/>
      <c r="FHG1128" s="7"/>
      <c r="FHH1128" s="7"/>
      <c r="FHI1128" s="7"/>
      <c r="FHJ1128" s="7"/>
      <c r="FHK1128" s="7"/>
      <c r="FHL1128" s="7"/>
      <c r="FHM1128" s="7"/>
      <c r="FHN1128" s="7"/>
      <c r="FHO1128" s="7"/>
      <c r="FHP1128" s="7"/>
      <c r="FHQ1128" s="7"/>
      <c r="FHR1128" s="7"/>
      <c r="FHS1128" s="7"/>
      <c r="FHT1128" s="7"/>
      <c r="FHU1128" s="7"/>
      <c r="FHV1128" s="7"/>
      <c r="FHW1128" s="7"/>
      <c r="FHX1128" s="7"/>
      <c r="FHY1128" s="7"/>
      <c r="FHZ1128" s="7"/>
      <c r="FIA1128" s="7"/>
      <c r="FIB1128" s="7"/>
      <c r="FIC1128" s="7"/>
      <c r="FID1128" s="7"/>
      <c r="FIE1128" s="7"/>
      <c r="FIF1128" s="7"/>
      <c r="FIG1128" s="7"/>
      <c r="FIH1128" s="7"/>
      <c r="FII1128" s="7"/>
      <c r="FIJ1128" s="7"/>
      <c r="FIK1128" s="7"/>
      <c r="FIL1128" s="7"/>
      <c r="FIM1128" s="7"/>
      <c r="FIN1128" s="7"/>
      <c r="FIO1128" s="7"/>
      <c r="FIP1128" s="7"/>
      <c r="FIQ1128" s="7"/>
      <c r="FIR1128" s="7"/>
      <c r="FIS1128" s="7"/>
      <c r="FIT1128" s="7"/>
      <c r="FIU1128" s="7"/>
      <c r="FIV1128" s="7"/>
      <c r="FIW1128" s="7"/>
      <c r="FIX1128" s="7"/>
      <c r="FIY1128" s="7"/>
      <c r="FIZ1128" s="7"/>
      <c r="FJA1128" s="7"/>
      <c r="FJB1128" s="7"/>
      <c r="FJC1128" s="7"/>
      <c r="FJD1128" s="7"/>
      <c r="FJE1128" s="7"/>
      <c r="FJF1128" s="7"/>
      <c r="FJG1128" s="7"/>
      <c r="FJH1128" s="7"/>
      <c r="FJI1128" s="7"/>
      <c r="FJJ1128" s="7"/>
      <c r="FJK1128" s="7"/>
      <c r="FJL1128" s="7"/>
      <c r="FJM1128" s="7"/>
      <c r="FJN1128" s="7"/>
      <c r="FJO1128" s="7"/>
      <c r="FJP1128" s="7"/>
      <c r="FJQ1128" s="7"/>
      <c r="FJR1128" s="7"/>
      <c r="FJS1128" s="7"/>
      <c r="FJT1128" s="7"/>
      <c r="FJU1128" s="7"/>
      <c r="FJV1128" s="7"/>
      <c r="FJW1128" s="7"/>
      <c r="FJX1128" s="7"/>
      <c r="FJY1128" s="7"/>
      <c r="FJZ1128" s="7"/>
      <c r="FKA1128" s="7"/>
      <c r="FKB1128" s="7"/>
      <c r="FKC1128" s="7"/>
      <c r="FKD1128" s="7"/>
      <c r="FKE1128" s="7"/>
      <c r="FKF1128" s="7"/>
      <c r="FKG1128" s="7"/>
      <c r="FKH1128" s="7"/>
      <c r="FKI1128" s="7"/>
      <c r="FKJ1128" s="7"/>
      <c r="FKK1128" s="7"/>
      <c r="FKL1128" s="7"/>
      <c r="FKM1128" s="7"/>
      <c r="FKN1128" s="7"/>
      <c r="FKO1128" s="7"/>
      <c r="FKP1128" s="7"/>
      <c r="FKQ1128" s="7"/>
      <c r="FKR1128" s="7"/>
      <c r="FKS1128" s="7"/>
      <c r="FKT1128" s="7"/>
      <c r="FKU1128" s="7"/>
      <c r="FKV1128" s="7"/>
      <c r="FKW1128" s="7"/>
      <c r="FKX1128" s="7"/>
      <c r="FKY1128" s="7"/>
      <c r="FKZ1128" s="7"/>
      <c r="FLA1128" s="7"/>
      <c r="FLB1128" s="7"/>
      <c r="FLC1128" s="7"/>
      <c r="FLD1128" s="7"/>
      <c r="FLE1128" s="7"/>
      <c r="FLF1128" s="7"/>
      <c r="FLG1128" s="7"/>
      <c r="FLH1128" s="7"/>
      <c r="FLI1128" s="7"/>
      <c r="FLJ1128" s="7"/>
      <c r="FLK1128" s="7"/>
      <c r="FLL1128" s="7"/>
      <c r="FLM1128" s="7"/>
      <c r="FLN1128" s="7"/>
      <c r="FLO1128" s="7"/>
      <c r="FLP1128" s="7"/>
      <c r="FLQ1128" s="7"/>
      <c r="FLR1128" s="7"/>
      <c r="FLS1128" s="7"/>
      <c r="FLT1128" s="7"/>
      <c r="FLU1128" s="7"/>
      <c r="FLV1128" s="7"/>
      <c r="FLW1128" s="7"/>
      <c r="FLX1128" s="7"/>
      <c r="FLY1128" s="7"/>
      <c r="FLZ1128" s="7"/>
      <c r="FMA1128" s="7"/>
      <c r="FMB1128" s="7"/>
      <c r="FMC1128" s="7"/>
      <c r="FMD1128" s="7"/>
      <c r="FME1128" s="7"/>
      <c r="FMF1128" s="7"/>
      <c r="FMG1128" s="7"/>
      <c r="FMH1128" s="7"/>
      <c r="FMI1128" s="7"/>
      <c r="FMJ1128" s="7"/>
      <c r="FMK1128" s="7"/>
      <c r="FML1128" s="7"/>
      <c r="FMM1128" s="7"/>
      <c r="FMN1128" s="7"/>
      <c r="FMO1128" s="7"/>
      <c r="FMP1128" s="7"/>
      <c r="FMQ1128" s="7"/>
      <c r="FMR1128" s="7"/>
      <c r="FMS1128" s="7"/>
      <c r="FMT1128" s="7"/>
      <c r="FMU1128" s="7"/>
      <c r="FMV1128" s="7"/>
      <c r="FMW1128" s="7"/>
      <c r="FMX1128" s="7"/>
      <c r="FMY1128" s="7"/>
      <c r="FMZ1128" s="7"/>
      <c r="FNA1128" s="7"/>
      <c r="FNB1128" s="7"/>
      <c r="FNC1128" s="7"/>
      <c r="FND1128" s="7"/>
      <c r="FNE1128" s="7"/>
      <c r="FNF1128" s="7"/>
      <c r="FNG1128" s="7"/>
      <c r="FNH1128" s="7"/>
      <c r="FNI1128" s="7"/>
      <c r="FNJ1128" s="7"/>
      <c r="FNK1128" s="7"/>
      <c r="FNL1128" s="7"/>
      <c r="FNM1128" s="7"/>
      <c r="FNN1128" s="7"/>
      <c r="FNO1128" s="7"/>
      <c r="FNP1128" s="7"/>
      <c r="FNQ1128" s="7"/>
      <c r="FNR1128" s="7"/>
      <c r="FNS1128" s="7"/>
      <c r="FNT1128" s="7"/>
      <c r="FNU1128" s="7"/>
      <c r="FNV1128" s="7"/>
      <c r="FNW1128" s="7"/>
      <c r="FNX1128" s="7"/>
      <c r="FNY1128" s="7"/>
      <c r="FNZ1128" s="7"/>
      <c r="FOA1128" s="7"/>
      <c r="FOB1128" s="7"/>
      <c r="FOC1128" s="7"/>
      <c r="FOD1128" s="7"/>
      <c r="FOE1128" s="7"/>
      <c r="FOF1128" s="7"/>
      <c r="FOG1128" s="7"/>
      <c r="FOH1128" s="7"/>
      <c r="FOI1128" s="7"/>
      <c r="FOJ1128" s="7"/>
      <c r="FOK1128" s="7"/>
      <c r="FOL1128" s="7"/>
      <c r="FOM1128" s="7"/>
      <c r="FON1128" s="7"/>
      <c r="FOO1128" s="7"/>
      <c r="FOP1128" s="7"/>
      <c r="FOQ1128" s="7"/>
      <c r="FOR1128" s="7"/>
      <c r="FOS1128" s="7"/>
      <c r="FOT1128" s="7"/>
      <c r="FOU1128" s="7"/>
      <c r="FOV1128" s="7"/>
      <c r="FOW1128" s="7"/>
      <c r="FOX1128" s="7"/>
      <c r="FOY1128" s="7"/>
      <c r="FOZ1128" s="7"/>
      <c r="FPA1128" s="7"/>
      <c r="FPB1128" s="7"/>
      <c r="FPC1128" s="7"/>
      <c r="FPD1128" s="7"/>
      <c r="FPE1128" s="7"/>
      <c r="FPF1128" s="7"/>
      <c r="FPG1128" s="7"/>
      <c r="FPH1128" s="7"/>
      <c r="FPI1128" s="7"/>
      <c r="FPJ1128" s="7"/>
      <c r="FPK1128" s="7"/>
      <c r="FPL1128" s="7"/>
      <c r="FPM1128" s="7"/>
      <c r="FPN1128" s="7"/>
      <c r="FPO1128" s="7"/>
      <c r="FPP1128" s="7"/>
      <c r="FPQ1128" s="7"/>
      <c r="FPR1128" s="7"/>
      <c r="FPS1128" s="7"/>
      <c r="FPT1128" s="7"/>
      <c r="FPU1128" s="7"/>
      <c r="FPV1128" s="7"/>
      <c r="FPW1128" s="7"/>
      <c r="FPX1128" s="7"/>
      <c r="FPY1128" s="7"/>
      <c r="FPZ1128" s="7"/>
      <c r="FQA1128" s="7"/>
      <c r="FQB1128" s="7"/>
      <c r="FQC1128" s="7"/>
      <c r="FQD1128" s="7"/>
      <c r="FQE1128" s="7"/>
      <c r="FQF1128" s="7"/>
      <c r="FQG1128" s="7"/>
      <c r="FQH1128" s="7"/>
      <c r="FQI1128" s="7"/>
      <c r="FQJ1128" s="7"/>
      <c r="FQK1128" s="7"/>
      <c r="FQL1128" s="7"/>
      <c r="FQM1128" s="7"/>
      <c r="FQN1128" s="7"/>
      <c r="FQO1128" s="7"/>
      <c r="FQP1128" s="7"/>
      <c r="FQQ1128" s="7"/>
      <c r="FQR1128" s="7"/>
      <c r="FQS1128" s="7"/>
      <c r="FQT1128" s="7"/>
      <c r="FQU1128" s="7"/>
      <c r="FQV1128" s="7"/>
      <c r="FQW1128" s="7"/>
      <c r="FQX1128" s="7"/>
      <c r="FQY1128" s="7"/>
      <c r="FQZ1128" s="7"/>
      <c r="FRA1128" s="7"/>
      <c r="FRB1128" s="7"/>
      <c r="FRC1128" s="7"/>
      <c r="FRD1128" s="7"/>
      <c r="FRE1128" s="7"/>
      <c r="FRF1128" s="7"/>
      <c r="FRG1128" s="7"/>
      <c r="FRH1128" s="7"/>
      <c r="FRI1128" s="7"/>
      <c r="FRJ1128" s="7"/>
      <c r="FRK1128" s="7"/>
      <c r="FRL1128" s="7"/>
      <c r="FRM1128" s="7"/>
      <c r="FRN1128" s="7"/>
      <c r="FRO1128" s="7"/>
      <c r="FRP1128" s="7"/>
      <c r="FRQ1128" s="7"/>
      <c r="FRR1128" s="7"/>
      <c r="FRS1128" s="7"/>
      <c r="FRT1128" s="7"/>
      <c r="FRU1128" s="7"/>
      <c r="FRV1128" s="7"/>
      <c r="FRW1128" s="7"/>
      <c r="FRX1128" s="7"/>
      <c r="FRY1128" s="7"/>
      <c r="FRZ1128" s="7"/>
      <c r="FSA1128" s="7"/>
      <c r="FSB1128" s="7"/>
      <c r="FSC1128" s="7"/>
      <c r="FSD1128" s="7"/>
      <c r="FSE1128" s="7"/>
      <c r="FSF1128" s="7"/>
      <c r="FSG1128" s="7"/>
      <c r="FSH1128" s="7"/>
      <c r="FSI1128" s="7"/>
      <c r="FSJ1128" s="7"/>
      <c r="FSK1128" s="7"/>
      <c r="FSL1128" s="7"/>
      <c r="FSM1128" s="7"/>
      <c r="FSN1128" s="7"/>
      <c r="FSO1128" s="7"/>
      <c r="FSP1128" s="7"/>
      <c r="FSQ1128" s="7"/>
      <c r="FSR1128" s="7"/>
      <c r="FSS1128" s="7"/>
      <c r="FST1128" s="7"/>
      <c r="FSU1128" s="7"/>
      <c r="FSV1128" s="7"/>
      <c r="FSW1128" s="7"/>
      <c r="FSX1128" s="7"/>
      <c r="FSY1128" s="7"/>
      <c r="FSZ1128" s="7"/>
      <c r="FTA1128" s="7"/>
      <c r="FTB1128" s="7"/>
      <c r="FTC1128" s="7"/>
      <c r="FTD1128" s="7"/>
      <c r="FTE1128" s="7"/>
      <c r="FTF1128" s="7"/>
      <c r="FTG1128" s="7"/>
      <c r="FTH1128" s="7"/>
      <c r="FTI1128" s="7"/>
      <c r="FTJ1128" s="7"/>
      <c r="FTK1128" s="7"/>
      <c r="FTL1128" s="7"/>
      <c r="FTM1128" s="7"/>
      <c r="FTN1128" s="7"/>
      <c r="FTO1128" s="7"/>
      <c r="FTP1128" s="7"/>
      <c r="FTQ1128" s="7"/>
      <c r="FTR1128" s="7"/>
      <c r="FTS1128" s="7"/>
      <c r="FTT1128" s="7"/>
      <c r="FTU1128" s="7"/>
      <c r="FTV1128" s="7"/>
      <c r="FTW1128" s="7"/>
      <c r="FTX1128" s="7"/>
      <c r="FTY1128" s="7"/>
      <c r="FTZ1128" s="7"/>
      <c r="FUA1128" s="7"/>
      <c r="FUB1128" s="7"/>
      <c r="FUC1128" s="7"/>
      <c r="FUD1128" s="7"/>
      <c r="FUE1128" s="7"/>
      <c r="FUF1128" s="7"/>
      <c r="FUG1128" s="7"/>
      <c r="FUH1128" s="7"/>
      <c r="FUI1128" s="7"/>
      <c r="FUJ1128" s="7"/>
      <c r="FUK1128" s="7"/>
      <c r="FUL1128" s="7"/>
      <c r="FUM1128" s="7"/>
      <c r="FUN1128" s="7"/>
      <c r="FUO1128" s="7"/>
      <c r="FUP1128" s="7"/>
      <c r="FUQ1128" s="7"/>
      <c r="FUR1128" s="7"/>
      <c r="FUS1128" s="7"/>
      <c r="FUT1128" s="7"/>
      <c r="FUU1128" s="7"/>
      <c r="FUV1128" s="7"/>
      <c r="FUW1128" s="7"/>
      <c r="FUX1128" s="7"/>
      <c r="FUY1128" s="7"/>
      <c r="FUZ1128" s="7"/>
      <c r="FVA1128" s="7"/>
      <c r="FVB1128" s="7"/>
      <c r="FVC1128" s="7"/>
      <c r="FVD1128" s="7"/>
      <c r="FVE1128" s="7"/>
      <c r="FVF1128" s="7"/>
      <c r="FVG1128" s="7"/>
      <c r="FVH1128" s="7"/>
      <c r="FVI1128" s="7"/>
      <c r="FVJ1128" s="7"/>
      <c r="FVK1128" s="7"/>
      <c r="FVL1128" s="7"/>
      <c r="FVM1128" s="7"/>
      <c r="FVN1128" s="7"/>
      <c r="FVO1128" s="7"/>
      <c r="FVP1128" s="7"/>
      <c r="FVQ1128" s="7"/>
      <c r="FVR1128" s="7"/>
      <c r="FVS1128" s="7"/>
      <c r="FVT1128" s="7"/>
      <c r="FVU1128" s="7"/>
      <c r="FVV1128" s="7"/>
      <c r="FVW1128" s="7"/>
      <c r="FVX1128" s="7"/>
      <c r="FVY1128" s="7"/>
      <c r="FVZ1128" s="7"/>
      <c r="FWA1128" s="7"/>
      <c r="FWB1128" s="7"/>
      <c r="FWC1128" s="7"/>
      <c r="FWD1128" s="7"/>
      <c r="FWE1128" s="7"/>
      <c r="FWF1128" s="7"/>
      <c r="FWG1128" s="7"/>
      <c r="FWH1128" s="7"/>
      <c r="FWI1128" s="7"/>
      <c r="FWJ1128" s="7"/>
      <c r="FWK1128" s="7"/>
      <c r="FWL1128" s="7"/>
      <c r="FWM1128" s="7"/>
      <c r="FWN1128" s="7"/>
      <c r="FWO1128" s="7"/>
      <c r="FWP1128" s="7"/>
      <c r="FWQ1128" s="7"/>
      <c r="FWR1128" s="7"/>
      <c r="FWS1128" s="7"/>
      <c r="FWT1128" s="7"/>
      <c r="FWU1128" s="7"/>
      <c r="FWV1128" s="7"/>
      <c r="FWW1128" s="7"/>
      <c r="FWX1128" s="7"/>
      <c r="FWY1128" s="7"/>
      <c r="FWZ1128" s="7"/>
      <c r="FXA1128" s="7"/>
      <c r="FXB1128" s="7"/>
      <c r="FXC1128" s="7"/>
      <c r="FXD1128" s="7"/>
      <c r="FXE1128" s="7"/>
      <c r="FXF1128" s="7"/>
      <c r="FXG1128" s="7"/>
      <c r="FXH1128" s="7"/>
      <c r="FXI1128" s="7"/>
      <c r="FXJ1128" s="7"/>
      <c r="FXK1128" s="7"/>
      <c r="FXL1128" s="7"/>
      <c r="FXM1128" s="7"/>
      <c r="FXN1128" s="7"/>
      <c r="FXO1128" s="7"/>
      <c r="FXP1128" s="7"/>
      <c r="FXQ1128" s="7"/>
      <c r="FXR1128" s="7"/>
      <c r="FXS1128" s="7"/>
      <c r="FXT1128" s="7"/>
      <c r="FXU1128" s="7"/>
      <c r="FXV1128" s="7"/>
      <c r="FXW1128" s="7"/>
      <c r="FXX1128" s="7"/>
      <c r="FXY1128" s="7"/>
      <c r="FXZ1128" s="7"/>
      <c r="FYA1128" s="7"/>
      <c r="FYB1128" s="7"/>
      <c r="FYC1128" s="7"/>
      <c r="FYD1128" s="7"/>
      <c r="FYE1128" s="7"/>
      <c r="FYF1128" s="7"/>
      <c r="FYG1128" s="7"/>
      <c r="FYH1128" s="7"/>
      <c r="FYI1128" s="7"/>
      <c r="FYJ1128" s="7"/>
      <c r="FYK1128" s="7"/>
      <c r="FYL1128" s="7"/>
      <c r="FYM1128" s="7"/>
      <c r="FYN1128" s="7"/>
      <c r="FYO1128" s="7"/>
      <c r="FYP1128" s="7"/>
      <c r="FYQ1128" s="7"/>
      <c r="FYR1128" s="7"/>
      <c r="FYS1128" s="7"/>
      <c r="FYT1128" s="7"/>
      <c r="FYU1128" s="7"/>
      <c r="FYV1128" s="7"/>
      <c r="FYW1128" s="7"/>
      <c r="FYX1128" s="7"/>
      <c r="FYY1128" s="7"/>
      <c r="FYZ1128" s="7"/>
      <c r="FZA1128" s="7"/>
      <c r="FZB1128" s="7"/>
      <c r="FZC1128" s="7"/>
      <c r="FZD1128" s="7"/>
      <c r="FZE1128" s="7"/>
      <c r="FZF1128" s="7"/>
      <c r="FZG1128" s="7"/>
      <c r="FZH1128" s="7"/>
      <c r="FZI1128" s="7"/>
      <c r="FZJ1128" s="7"/>
      <c r="FZK1128" s="7"/>
      <c r="FZL1128" s="7"/>
      <c r="FZM1128" s="7"/>
      <c r="FZN1128" s="7"/>
      <c r="FZO1128" s="7"/>
      <c r="FZP1128" s="7"/>
      <c r="FZQ1128" s="7"/>
      <c r="FZR1128" s="7"/>
      <c r="FZS1128" s="7"/>
      <c r="FZT1128" s="7"/>
      <c r="FZU1128" s="7"/>
      <c r="FZV1128" s="7"/>
      <c r="FZW1128" s="7"/>
      <c r="FZX1128" s="7"/>
      <c r="FZY1128" s="7"/>
      <c r="FZZ1128" s="7"/>
      <c r="GAA1128" s="7"/>
      <c r="GAB1128" s="7"/>
      <c r="GAC1128" s="7"/>
      <c r="GAD1128" s="7"/>
      <c r="GAE1128" s="7"/>
      <c r="GAF1128" s="7"/>
      <c r="GAG1128" s="7"/>
      <c r="GAH1128" s="7"/>
      <c r="GAI1128" s="7"/>
      <c r="GAJ1128" s="7"/>
      <c r="GAK1128" s="7"/>
      <c r="GAL1128" s="7"/>
      <c r="GAM1128" s="7"/>
      <c r="GAN1128" s="7"/>
      <c r="GAO1128" s="7"/>
      <c r="GAP1128" s="7"/>
      <c r="GAQ1128" s="7"/>
      <c r="GAR1128" s="7"/>
      <c r="GAS1128" s="7"/>
      <c r="GAT1128" s="7"/>
      <c r="GAU1128" s="7"/>
      <c r="GAV1128" s="7"/>
      <c r="GAW1128" s="7"/>
      <c r="GAX1128" s="7"/>
      <c r="GAY1128" s="7"/>
      <c r="GAZ1128" s="7"/>
      <c r="GBA1128" s="7"/>
      <c r="GBB1128" s="7"/>
      <c r="GBC1128" s="7"/>
      <c r="GBD1128" s="7"/>
      <c r="GBE1128" s="7"/>
      <c r="GBF1128" s="7"/>
      <c r="GBG1128" s="7"/>
      <c r="GBH1128" s="7"/>
      <c r="GBI1128" s="7"/>
      <c r="GBJ1128" s="7"/>
      <c r="GBK1128" s="7"/>
      <c r="GBL1128" s="7"/>
      <c r="GBM1128" s="7"/>
      <c r="GBN1128" s="7"/>
      <c r="GBO1128" s="7"/>
      <c r="GBP1128" s="7"/>
      <c r="GBQ1128" s="7"/>
      <c r="GBR1128" s="7"/>
      <c r="GBS1128" s="7"/>
      <c r="GBT1128" s="7"/>
      <c r="GBU1128" s="7"/>
      <c r="GBV1128" s="7"/>
      <c r="GBW1128" s="7"/>
      <c r="GBX1128" s="7"/>
      <c r="GBY1128" s="7"/>
      <c r="GBZ1128" s="7"/>
      <c r="GCA1128" s="7"/>
      <c r="GCB1128" s="7"/>
      <c r="GCC1128" s="7"/>
      <c r="GCD1128" s="7"/>
      <c r="GCE1128" s="7"/>
      <c r="GCF1128" s="7"/>
      <c r="GCG1128" s="7"/>
      <c r="GCH1128" s="7"/>
      <c r="GCI1128" s="7"/>
      <c r="GCJ1128" s="7"/>
      <c r="GCK1128" s="7"/>
      <c r="GCL1128" s="7"/>
      <c r="GCM1128" s="7"/>
      <c r="GCN1128" s="7"/>
      <c r="GCO1128" s="7"/>
      <c r="GCP1128" s="7"/>
      <c r="GCQ1128" s="7"/>
      <c r="GCR1128" s="7"/>
      <c r="GCS1128" s="7"/>
      <c r="GCT1128" s="7"/>
      <c r="GCU1128" s="7"/>
      <c r="GCV1128" s="7"/>
      <c r="GCW1128" s="7"/>
      <c r="GCX1128" s="7"/>
      <c r="GCY1128" s="7"/>
      <c r="GCZ1128" s="7"/>
      <c r="GDA1128" s="7"/>
      <c r="GDB1128" s="7"/>
      <c r="GDC1128" s="7"/>
      <c r="GDD1128" s="7"/>
      <c r="GDE1128" s="7"/>
      <c r="GDF1128" s="7"/>
      <c r="GDG1128" s="7"/>
      <c r="GDH1128" s="7"/>
      <c r="GDI1128" s="7"/>
      <c r="GDJ1128" s="7"/>
      <c r="GDK1128" s="7"/>
      <c r="GDL1128" s="7"/>
      <c r="GDM1128" s="7"/>
      <c r="GDN1128" s="7"/>
      <c r="GDO1128" s="7"/>
      <c r="GDP1128" s="7"/>
      <c r="GDQ1128" s="7"/>
      <c r="GDR1128" s="7"/>
      <c r="GDS1128" s="7"/>
      <c r="GDT1128" s="7"/>
      <c r="GDU1128" s="7"/>
      <c r="GDV1128" s="7"/>
      <c r="GDW1128" s="7"/>
      <c r="GDX1128" s="7"/>
      <c r="GDY1128" s="7"/>
      <c r="GDZ1128" s="7"/>
      <c r="GEA1128" s="7"/>
      <c r="GEB1128" s="7"/>
      <c r="GEC1128" s="7"/>
      <c r="GED1128" s="7"/>
      <c r="GEE1128" s="7"/>
      <c r="GEF1128" s="7"/>
      <c r="GEG1128" s="7"/>
      <c r="GEH1128" s="7"/>
      <c r="GEI1128" s="7"/>
      <c r="GEJ1128" s="7"/>
      <c r="GEK1128" s="7"/>
      <c r="GEL1128" s="7"/>
      <c r="GEM1128" s="7"/>
      <c r="GEN1128" s="7"/>
      <c r="GEO1128" s="7"/>
      <c r="GEP1128" s="7"/>
      <c r="GEQ1128" s="7"/>
      <c r="GER1128" s="7"/>
      <c r="GES1128" s="7"/>
      <c r="GET1128" s="7"/>
      <c r="GEU1128" s="7"/>
      <c r="GEV1128" s="7"/>
      <c r="GEW1128" s="7"/>
      <c r="GEX1128" s="7"/>
      <c r="GEY1128" s="7"/>
      <c r="GEZ1128" s="7"/>
      <c r="GFA1128" s="7"/>
      <c r="GFB1128" s="7"/>
      <c r="GFC1128" s="7"/>
      <c r="GFD1128" s="7"/>
      <c r="GFE1128" s="7"/>
      <c r="GFF1128" s="7"/>
      <c r="GFG1128" s="7"/>
      <c r="GFH1128" s="7"/>
      <c r="GFI1128" s="7"/>
      <c r="GFJ1128" s="7"/>
      <c r="GFK1128" s="7"/>
      <c r="GFL1128" s="7"/>
      <c r="GFM1128" s="7"/>
      <c r="GFN1128" s="7"/>
      <c r="GFO1128" s="7"/>
      <c r="GFP1128" s="7"/>
      <c r="GFQ1128" s="7"/>
      <c r="GFR1128" s="7"/>
      <c r="GFS1128" s="7"/>
      <c r="GFT1128" s="7"/>
      <c r="GFU1128" s="7"/>
      <c r="GFV1128" s="7"/>
      <c r="GFW1128" s="7"/>
      <c r="GFX1128" s="7"/>
      <c r="GFY1128" s="7"/>
      <c r="GFZ1128" s="7"/>
      <c r="GGA1128" s="7"/>
      <c r="GGB1128" s="7"/>
      <c r="GGC1128" s="7"/>
      <c r="GGD1128" s="7"/>
      <c r="GGE1128" s="7"/>
      <c r="GGF1128" s="7"/>
      <c r="GGG1128" s="7"/>
      <c r="GGH1128" s="7"/>
      <c r="GGI1128" s="7"/>
      <c r="GGJ1128" s="7"/>
      <c r="GGK1128" s="7"/>
      <c r="GGL1128" s="7"/>
      <c r="GGM1128" s="7"/>
      <c r="GGN1128" s="7"/>
      <c r="GGO1128" s="7"/>
      <c r="GGP1128" s="7"/>
      <c r="GGQ1128" s="7"/>
      <c r="GGR1128" s="7"/>
      <c r="GGS1128" s="7"/>
      <c r="GGT1128" s="7"/>
      <c r="GGU1128" s="7"/>
      <c r="GGV1128" s="7"/>
      <c r="GGW1128" s="7"/>
      <c r="GGX1128" s="7"/>
      <c r="GGY1128" s="7"/>
      <c r="GGZ1128" s="7"/>
      <c r="GHA1128" s="7"/>
      <c r="GHB1128" s="7"/>
      <c r="GHC1128" s="7"/>
      <c r="GHD1128" s="7"/>
      <c r="GHE1128" s="7"/>
      <c r="GHF1128" s="7"/>
      <c r="GHG1128" s="7"/>
      <c r="GHH1128" s="7"/>
      <c r="GHI1128" s="7"/>
      <c r="GHJ1128" s="7"/>
      <c r="GHK1128" s="7"/>
      <c r="GHL1128" s="7"/>
      <c r="GHM1128" s="7"/>
      <c r="GHN1128" s="7"/>
      <c r="GHO1128" s="7"/>
      <c r="GHP1128" s="7"/>
      <c r="GHQ1128" s="7"/>
      <c r="GHR1128" s="7"/>
      <c r="GHS1128" s="7"/>
      <c r="GHT1128" s="7"/>
      <c r="GHU1128" s="7"/>
      <c r="GHV1128" s="7"/>
      <c r="GHW1128" s="7"/>
      <c r="GHX1128" s="7"/>
      <c r="GHY1128" s="7"/>
      <c r="GHZ1128" s="7"/>
      <c r="GIA1128" s="7"/>
      <c r="GIB1128" s="7"/>
      <c r="GIC1128" s="7"/>
      <c r="GID1128" s="7"/>
      <c r="GIE1128" s="7"/>
      <c r="GIF1128" s="7"/>
      <c r="GIG1128" s="7"/>
      <c r="GIH1128" s="7"/>
      <c r="GII1128" s="7"/>
      <c r="GIJ1128" s="7"/>
      <c r="GIK1128" s="7"/>
      <c r="GIL1128" s="7"/>
      <c r="GIM1128" s="7"/>
      <c r="GIN1128" s="7"/>
      <c r="GIO1128" s="7"/>
      <c r="GIP1128" s="7"/>
      <c r="GIQ1128" s="7"/>
      <c r="GIR1128" s="7"/>
      <c r="GIS1128" s="7"/>
      <c r="GIT1128" s="7"/>
      <c r="GIU1128" s="7"/>
      <c r="GIV1128" s="7"/>
      <c r="GIW1128" s="7"/>
      <c r="GIX1128" s="7"/>
      <c r="GIY1128" s="7"/>
      <c r="GIZ1128" s="7"/>
      <c r="GJA1128" s="7"/>
      <c r="GJB1128" s="7"/>
      <c r="GJC1128" s="7"/>
      <c r="GJD1128" s="7"/>
      <c r="GJE1128" s="7"/>
      <c r="GJF1128" s="7"/>
      <c r="GJG1128" s="7"/>
      <c r="GJH1128" s="7"/>
      <c r="GJI1128" s="7"/>
      <c r="GJJ1128" s="7"/>
      <c r="GJK1128" s="7"/>
      <c r="GJL1128" s="7"/>
      <c r="GJM1128" s="7"/>
      <c r="GJN1128" s="7"/>
      <c r="GJO1128" s="7"/>
      <c r="GJP1128" s="7"/>
      <c r="GJQ1128" s="7"/>
      <c r="GJR1128" s="7"/>
      <c r="GJS1128" s="7"/>
      <c r="GJT1128" s="7"/>
      <c r="GJU1128" s="7"/>
      <c r="GJV1128" s="7"/>
      <c r="GJW1128" s="7"/>
      <c r="GJX1128" s="7"/>
      <c r="GJY1128" s="7"/>
      <c r="GJZ1128" s="7"/>
      <c r="GKA1128" s="7"/>
      <c r="GKB1128" s="7"/>
      <c r="GKC1128" s="7"/>
      <c r="GKD1128" s="7"/>
      <c r="GKE1128" s="7"/>
      <c r="GKF1128" s="7"/>
      <c r="GKG1128" s="7"/>
      <c r="GKH1128" s="7"/>
      <c r="GKI1128" s="7"/>
      <c r="GKJ1128" s="7"/>
      <c r="GKK1128" s="7"/>
      <c r="GKL1128" s="7"/>
      <c r="GKM1128" s="7"/>
      <c r="GKN1128" s="7"/>
      <c r="GKO1128" s="7"/>
      <c r="GKP1128" s="7"/>
      <c r="GKQ1128" s="7"/>
      <c r="GKR1128" s="7"/>
      <c r="GKS1128" s="7"/>
      <c r="GKT1128" s="7"/>
      <c r="GKU1128" s="7"/>
      <c r="GKV1128" s="7"/>
      <c r="GKW1128" s="7"/>
      <c r="GKX1128" s="7"/>
      <c r="GKY1128" s="7"/>
      <c r="GKZ1128" s="7"/>
      <c r="GLA1128" s="7"/>
      <c r="GLB1128" s="7"/>
      <c r="GLC1128" s="7"/>
      <c r="GLD1128" s="7"/>
      <c r="GLE1128" s="7"/>
      <c r="GLF1128" s="7"/>
      <c r="GLG1128" s="7"/>
      <c r="GLH1128" s="7"/>
      <c r="GLI1128" s="7"/>
      <c r="GLJ1128" s="7"/>
      <c r="GLK1128" s="7"/>
      <c r="GLL1128" s="7"/>
      <c r="GLM1128" s="7"/>
      <c r="GLN1128" s="7"/>
      <c r="GLO1128" s="7"/>
      <c r="GLP1128" s="7"/>
      <c r="GLQ1128" s="7"/>
      <c r="GLR1128" s="7"/>
      <c r="GLS1128" s="7"/>
      <c r="GLT1128" s="7"/>
      <c r="GLU1128" s="7"/>
      <c r="GLV1128" s="7"/>
      <c r="GLW1128" s="7"/>
      <c r="GLX1128" s="7"/>
      <c r="GLY1128" s="7"/>
      <c r="GLZ1128" s="7"/>
      <c r="GMA1128" s="7"/>
      <c r="GMB1128" s="7"/>
      <c r="GMC1128" s="7"/>
      <c r="GMD1128" s="7"/>
      <c r="GME1128" s="7"/>
      <c r="GMF1128" s="7"/>
      <c r="GMG1128" s="7"/>
      <c r="GMH1128" s="7"/>
      <c r="GMI1128" s="7"/>
      <c r="GMJ1128" s="7"/>
      <c r="GMK1128" s="7"/>
      <c r="GML1128" s="7"/>
      <c r="GMM1128" s="7"/>
      <c r="GMN1128" s="7"/>
      <c r="GMO1128" s="7"/>
      <c r="GMP1128" s="7"/>
      <c r="GMQ1128" s="7"/>
      <c r="GMR1128" s="7"/>
      <c r="GMS1128" s="7"/>
      <c r="GMT1128" s="7"/>
      <c r="GMU1128" s="7"/>
      <c r="GMV1128" s="7"/>
      <c r="GMW1128" s="7"/>
      <c r="GMX1128" s="7"/>
      <c r="GMY1128" s="7"/>
      <c r="GMZ1128" s="7"/>
      <c r="GNA1128" s="7"/>
      <c r="GNB1128" s="7"/>
      <c r="GNC1128" s="7"/>
      <c r="GND1128" s="7"/>
      <c r="GNE1128" s="7"/>
      <c r="GNF1128" s="7"/>
      <c r="GNG1128" s="7"/>
      <c r="GNH1128" s="7"/>
      <c r="GNI1128" s="7"/>
      <c r="GNJ1128" s="7"/>
      <c r="GNK1128" s="7"/>
      <c r="GNL1128" s="7"/>
      <c r="GNM1128" s="7"/>
      <c r="GNN1128" s="7"/>
      <c r="GNO1128" s="7"/>
      <c r="GNP1128" s="7"/>
      <c r="GNQ1128" s="7"/>
      <c r="GNR1128" s="7"/>
      <c r="GNS1128" s="7"/>
      <c r="GNT1128" s="7"/>
      <c r="GNU1128" s="7"/>
      <c r="GNV1128" s="7"/>
      <c r="GNW1128" s="7"/>
      <c r="GNX1128" s="7"/>
      <c r="GNY1128" s="7"/>
      <c r="GNZ1128" s="7"/>
      <c r="GOA1128" s="7"/>
      <c r="GOB1128" s="7"/>
      <c r="GOC1128" s="7"/>
      <c r="GOD1128" s="7"/>
      <c r="GOE1128" s="7"/>
      <c r="GOF1128" s="7"/>
      <c r="GOG1128" s="7"/>
      <c r="GOH1128" s="7"/>
      <c r="GOI1128" s="7"/>
      <c r="GOJ1128" s="7"/>
      <c r="GOK1128" s="7"/>
      <c r="GOL1128" s="7"/>
      <c r="GOM1128" s="7"/>
      <c r="GON1128" s="7"/>
      <c r="GOO1128" s="7"/>
      <c r="GOP1128" s="7"/>
      <c r="GOQ1128" s="7"/>
      <c r="GOR1128" s="7"/>
      <c r="GOS1128" s="7"/>
      <c r="GOT1128" s="7"/>
      <c r="GOU1128" s="7"/>
      <c r="GOV1128" s="7"/>
      <c r="GOW1128" s="7"/>
      <c r="GOX1128" s="7"/>
      <c r="GOY1128" s="7"/>
      <c r="GOZ1128" s="7"/>
      <c r="GPA1128" s="7"/>
      <c r="GPB1128" s="7"/>
      <c r="GPC1128" s="7"/>
      <c r="GPD1128" s="7"/>
      <c r="GPE1128" s="7"/>
      <c r="GPF1128" s="7"/>
      <c r="GPG1128" s="7"/>
      <c r="GPH1128" s="7"/>
      <c r="GPI1128" s="7"/>
      <c r="GPJ1128" s="7"/>
      <c r="GPK1128" s="7"/>
      <c r="GPL1128" s="7"/>
      <c r="GPM1128" s="7"/>
      <c r="GPN1128" s="7"/>
      <c r="GPO1128" s="7"/>
      <c r="GPP1128" s="7"/>
      <c r="GPQ1128" s="7"/>
      <c r="GPR1128" s="7"/>
      <c r="GPS1128" s="7"/>
      <c r="GPT1128" s="7"/>
      <c r="GPU1128" s="7"/>
      <c r="GPV1128" s="7"/>
      <c r="GPW1128" s="7"/>
      <c r="GPX1128" s="7"/>
      <c r="GPY1128" s="7"/>
      <c r="GPZ1128" s="7"/>
      <c r="GQA1128" s="7"/>
      <c r="GQB1128" s="7"/>
      <c r="GQC1128" s="7"/>
      <c r="GQD1128" s="7"/>
      <c r="GQE1128" s="7"/>
      <c r="GQF1128" s="7"/>
      <c r="GQG1128" s="7"/>
      <c r="GQH1128" s="7"/>
      <c r="GQI1128" s="7"/>
      <c r="GQJ1128" s="7"/>
      <c r="GQK1128" s="7"/>
      <c r="GQL1128" s="7"/>
      <c r="GQM1128" s="7"/>
      <c r="GQN1128" s="7"/>
      <c r="GQO1128" s="7"/>
      <c r="GQP1128" s="7"/>
      <c r="GQQ1128" s="7"/>
      <c r="GQR1128" s="7"/>
      <c r="GQS1128" s="7"/>
      <c r="GQT1128" s="7"/>
      <c r="GQU1128" s="7"/>
      <c r="GQV1128" s="7"/>
      <c r="GQW1128" s="7"/>
      <c r="GQX1128" s="7"/>
      <c r="GQY1128" s="7"/>
      <c r="GQZ1128" s="7"/>
      <c r="GRA1128" s="7"/>
      <c r="GRB1128" s="7"/>
      <c r="GRC1128" s="7"/>
      <c r="GRD1128" s="7"/>
      <c r="GRE1128" s="7"/>
      <c r="GRF1128" s="7"/>
      <c r="GRG1128" s="7"/>
      <c r="GRH1128" s="7"/>
      <c r="GRI1128" s="7"/>
      <c r="GRJ1128" s="7"/>
      <c r="GRK1128" s="7"/>
      <c r="GRL1128" s="7"/>
      <c r="GRM1128" s="7"/>
      <c r="GRN1128" s="7"/>
      <c r="GRO1128" s="7"/>
      <c r="GRP1128" s="7"/>
      <c r="GRQ1128" s="7"/>
      <c r="GRR1128" s="7"/>
      <c r="GRS1128" s="7"/>
      <c r="GRT1128" s="7"/>
      <c r="GRU1128" s="7"/>
      <c r="GRV1128" s="7"/>
      <c r="GRW1128" s="7"/>
      <c r="GRX1128" s="7"/>
      <c r="GRY1128" s="7"/>
      <c r="GRZ1128" s="7"/>
      <c r="GSA1128" s="7"/>
      <c r="GSB1128" s="7"/>
      <c r="GSC1128" s="7"/>
      <c r="GSD1128" s="7"/>
      <c r="GSE1128" s="7"/>
      <c r="GSF1128" s="7"/>
      <c r="GSG1128" s="7"/>
      <c r="GSH1128" s="7"/>
      <c r="GSI1128" s="7"/>
      <c r="GSJ1128" s="7"/>
      <c r="GSK1128" s="7"/>
      <c r="GSL1128" s="7"/>
      <c r="GSM1128" s="7"/>
      <c r="GSN1128" s="7"/>
      <c r="GSO1128" s="7"/>
      <c r="GSP1128" s="7"/>
      <c r="GSQ1128" s="7"/>
      <c r="GSR1128" s="7"/>
      <c r="GSS1128" s="7"/>
      <c r="GST1128" s="7"/>
      <c r="GSU1128" s="7"/>
      <c r="GSV1128" s="7"/>
      <c r="GSW1128" s="7"/>
      <c r="GSX1128" s="7"/>
      <c r="GSY1128" s="7"/>
      <c r="GSZ1128" s="7"/>
      <c r="GTA1128" s="7"/>
      <c r="GTB1128" s="7"/>
      <c r="GTC1128" s="7"/>
      <c r="GTD1128" s="7"/>
      <c r="GTE1128" s="7"/>
      <c r="GTF1128" s="7"/>
      <c r="GTG1128" s="7"/>
      <c r="GTH1128" s="7"/>
      <c r="GTI1128" s="7"/>
      <c r="GTJ1128" s="7"/>
      <c r="GTK1128" s="7"/>
      <c r="GTL1128" s="7"/>
      <c r="GTM1128" s="7"/>
      <c r="GTN1128" s="7"/>
      <c r="GTO1128" s="7"/>
      <c r="GTP1128" s="7"/>
      <c r="GTQ1128" s="7"/>
      <c r="GTR1128" s="7"/>
      <c r="GTS1128" s="7"/>
      <c r="GTT1128" s="7"/>
      <c r="GTU1128" s="7"/>
      <c r="GTV1128" s="7"/>
      <c r="GTW1128" s="7"/>
      <c r="GTX1128" s="7"/>
      <c r="GTY1128" s="7"/>
      <c r="GTZ1128" s="7"/>
      <c r="GUA1128" s="7"/>
      <c r="GUB1128" s="7"/>
      <c r="GUC1128" s="7"/>
      <c r="GUD1128" s="7"/>
      <c r="GUE1128" s="7"/>
      <c r="GUF1128" s="7"/>
      <c r="GUG1128" s="7"/>
      <c r="GUH1128" s="7"/>
      <c r="GUI1128" s="7"/>
      <c r="GUJ1128" s="7"/>
      <c r="GUK1128" s="7"/>
      <c r="GUL1128" s="7"/>
      <c r="GUM1128" s="7"/>
      <c r="GUN1128" s="7"/>
      <c r="GUO1128" s="7"/>
      <c r="GUP1128" s="7"/>
      <c r="GUQ1128" s="7"/>
      <c r="GUR1128" s="7"/>
      <c r="GUS1128" s="7"/>
      <c r="GUT1128" s="7"/>
      <c r="GUU1128" s="7"/>
      <c r="GUV1128" s="7"/>
      <c r="GUW1128" s="7"/>
      <c r="GUX1128" s="7"/>
      <c r="GUY1128" s="7"/>
      <c r="GUZ1128" s="7"/>
      <c r="GVA1128" s="7"/>
      <c r="GVB1128" s="7"/>
      <c r="GVC1128" s="7"/>
      <c r="GVD1128" s="7"/>
      <c r="GVE1128" s="7"/>
      <c r="GVF1128" s="7"/>
      <c r="GVG1128" s="7"/>
      <c r="GVH1128" s="7"/>
      <c r="GVI1128" s="7"/>
      <c r="GVJ1128" s="7"/>
      <c r="GVK1128" s="7"/>
      <c r="GVL1128" s="7"/>
      <c r="GVM1128" s="7"/>
      <c r="GVN1128" s="7"/>
      <c r="GVO1128" s="7"/>
      <c r="GVP1128" s="7"/>
      <c r="GVQ1128" s="7"/>
      <c r="GVR1128" s="7"/>
      <c r="GVS1128" s="7"/>
      <c r="GVT1128" s="7"/>
      <c r="GVU1128" s="7"/>
      <c r="GVV1128" s="7"/>
      <c r="GVW1128" s="7"/>
      <c r="GVX1128" s="7"/>
      <c r="GVY1128" s="7"/>
      <c r="GVZ1128" s="7"/>
      <c r="GWA1128" s="7"/>
      <c r="GWB1128" s="7"/>
      <c r="GWC1128" s="7"/>
      <c r="GWD1128" s="7"/>
      <c r="GWE1128" s="7"/>
      <c r="GWF1128" s="7"/>
      <c r="GWG1128" s="7"/>
      <c r="GWH1128" s="7"/>
      <c r="GWI1128" s="7"/>
      <c r="GWJ1128" s="7"/>
      <c r="GWK1128" s="7"/>
      <c r="GWL1128" s="7"/>
      <c r="GWM1128" s="7"/>
      <c r="GWN1128" s="7"/>
      <c r="GWO1128" s="7"/>
      <c r="GWP1128" s="7"/>
      <c r="GWQ1128" s="7"/>
      <c r="GWR1128" s="7"/>
      <c r="GWS1128" s="7"/>
      <c r="GWT1128" s="7"/>
      <c r="GWU1128" s="7"/>
      <c r="GWV1128" s="7"/>
      <c r="GWW1128" s="7"/>
      <c r="GWX1128" s="7"/>
      <c r="GWY1128" s="7"/>
      <c r="GWZ1128" s="7"/>
      <c r="GXA1128" s="7"/>
      <c r="GXB1128" s="7"/>
      <c r="GXC1128" s="7"/>
      <c r="GXD1128" s="7"/>
      <c r="GXE1128" s="7"/>
      <c r="GXF1128" s="7"/>
      <c r="GXG1128" s="7"/>
      <c r="GXH1128" s="7"/>
      <c r="GXI1128" s="7"/>
      <c r="GXJ1128" s="7"/>
      <c r="GXK1128" s="7"/>
      <c r="GXL1128" s="7"/>
      <c r="GXM1128" s="7"/>
      <c r="GXN1128" s="7"/>
      <c r="GXO1128" s="7"/>
      <c r="GXP1128" s="7"/>
      <c r="GXQ1128" s="7"/>
      <c r="GXR1128" s="7"/>
      <c r="GXS1128" s="7"/>
      <c r="GXT1128" s="7"/>
      <c r="GXU1128" s="7"/>
      <c r="GXV1128" s="7"/>
      <c r="GXW1128" s="7"/>
      <c r="GXX1128" s="7"/>
      <c r="GXY1128" s="7"/>
      <c r="GXZ1128" s="7"/>
      <c r="GYA1128" s="7"/>
      <c r="GYB1128" s="7"/>
      <c r="GYC1128" s="7"/>
      <c r="GYD1128" s="7"/>
      <c r="GYE1128" s="7"/>
      <c r="GYF1128" s="7"/>
      <c r="GYG1128" s="7"/>
      <c r="GYH1128" s="7"/>
      <c r="GYI1128" s="7"/>
      <c r="GYJ1128" s="7"/>
      <c r="GYK1128" s="7"/>
      <c r="GYL1128" s="7"/>
      <c r="GYM1128" s="7"/>
      <c r="GYN1128" s="7"/>
      <c r="GYO1128" s="7"/>
      <c r="GYP1128" s="7"/>
      <c r="GYQ1128" s="7"/>
      <c r="GYR1128" s="7"/>
      <c r="GYS1128" s="7"/>
      <c r="GYT1128" s="7"/>
      <c r="GYU1128" s="7"/>
      <c r="GYV1128" s="7"/>
      <c r="GYW1128" s="7"/>
      <c r="GYX1128" s="7"/>
      <c r="GYY1128" s="7"/>
      <c r="GYZ1128" s="7"/>
      <c r="GZA1128" s="7"/>
      <c r="GZB1128" s="7"/>
      <c r="GZC1128" s="7"/>
      <c r="GZD1128" s="7"/>
      <c r="GZE1128" s="7"/>
      <c r="GZF1128" s="7"/>
      <c r="GZG1128" s="7"/>
      <c r="GZH1128" s="7"/>
      <c r="GZI1128" s="7"/>
      <c r="GZJ1128" s="7"/>
      <c r="GZK1128" s="7"/>
      <c r="GZL1128" s="7"/>
      <c r="GZM1128" s="7"/>
      <c r="GZN1128" s="7"/>
      <c r="GZO1128" s="7"/>
      <c r="GZP1128" s="7"/>
      <c r="GZQ1128" s="7"/>
      <c r="GZR1128" s="7"/>
      <c r="GZS1128" s="7"/>
      <c r="GZT1128" s="7"/>
      <c r="GZU1128" s="7"/>
      <c r="GZV1128" s="7"/>
      <c r="GZW1128" s="7"/>
      <c r="GZX1128" s="7"/>
      <c r="GZY1128" s="7"/>
      <c r="GZZ1128" s="7"/>
      <c r="HAA1128" s="7"/>
      <c r="HAB1128" s="7"/>
      <c r="HAC1128" s="7"/>
      <c r="HAD1128" s="7"/>
      <c r="HAE1128" s="7"/>
      <c r="HAF1128" s="7"/>
      <c r="HAG1128" s="7"/>
      <c r="HAH1128" s="7"/>
      <c r="HAI1128" s="7"/>
      <c r="HAJ1128" s="7"/>
      <c r="HAK1128" s="7"/>
      <c r="HAL1128" s="7"/>
      <c r="HAM1128" s="7"/>
      <c r="HAN1128" s="7"/>
      <c r="HAO1128" s="7"/>
      <c r="HAP1128" s="7"/>
      <c r="HAQ1128" s="7"/>
      <c r="HAR1128" s="7"/>
      <c r="HAS1128" s="7"/>
      <c r="HAT1128" s="7"/>
      <c r="HAU1128" s="7"/>
      <c r="HAV1128" s="7"/>
      <c r="HAW1128" s="7"/>
      <c r="HAX1128" s="7"/>
      <c r="HAY1128" s="7"/>
      <c r="HAZ1128" s="7"/>
      <c r="HBA1128" s="7"/>
      <c r="HBB1128" s="7"/>
      <c r="HBC1128" s="7"/>
      <c r="HBD1128" s="7"/>
      <c r="HBE1128" s="7"/>
      <c r="HBF1128" s="7"/>
      <c r="HBG1128" s="7"/>
      <c r="HBH1128" s="7"/>
      <c r="HBI1128" s="7"/>
      <c r="HBJ1128" s="7"/>
      <c r="HBK1128" s="7"/>
      <c r="HBL1128" s="7"/>
      <c r="HBM1128" s="7"/>
      <c r="HBN1128" s="7"/>
      <c r="HBO1128" s="7"/>
      <c r="HBP1128" s="7"/>
      <c r="HBQ1128" s="7"/>
      <c r="HBR1128" s="7"/>
      <c r="HBS1128" s="7"/>
      <c r="HBT1128" s="7"/>
      <c r="HBU1128" s="7"/>
      <c r="HBV1128" s="7"/>
      <c r="HBW1128" s="7"/>
      <c r="HBX1128" s="7"/>
      <c r="HBY1128" s="7"/>
      <c r="HBZ1128" s="7"/>
      <c r="HCA1128" s="7"/>
      <c r="HCB1128" s="7"/>
      <c r="HCC1128" s="7"/>
      <c r="HCD1128" s="7"/>
      <c r="HCE1128" s="7"/>
      <c r="HCF1128" s="7"/>
      <c r="HCG1128" s="7"/>
      <c r="HCH1128" s="7"/>
      <c r="HCI1128" s="7"/>
      <c r="HCJ1128" s="7"/>
      <c r="HCK1128" s="7"/>
      <c r="HCL1128" s="7"/>
      <c r="HCM1128" s="7"/>
      <c r="HCN1128" s="7"/>
      <c r="HCO1128" s="7"/>
      <c r="HCP1128" s="7"/>
      <c r="HCQ1128" s="7"/>
      <c r="HCR1128" s="7"/>
      <c r="HCS1128" s="7"/>
      <c r="HCT1128" s="7"/>
      <c r="HCU1128" s="7"/>
      <c r="HCV1128" s="7"/>
      <c r="HCW1128" s="7"/>
      <c r="HCX1128" s="7"/>
      <c r="HCY1128" s="7"/>
      <c r="HCZ1128" s="7"/>
      <c r="HDA1128" s="7"/>
      <c r="HDB1128" s="7"/>
      <c r="HDC1128" s="7"/>
      <c r="HDD1128" s="7"/>
      <c r="HDE1128" s="7"/>
      <c r="HDF1128" s="7"/>
      <c r="HDG1128" s="7"/>
      <c r="HDH1128" s="7"/>
      <c r="HDI1128" s="7"/>
      <c r="HDJ1128" s="7"/>
      <c r="HDK1128" s="7"/>
      <c r="HDL1128" s="7"/>
      <c r="HDM1128" s="7"/>
      <c r="HDN1128" s="7"/>
      <c r="HDO1128" s="7"/>
      <c r="HDP1128" s="7"/>
      <c r="HDQ1128" s="7"/>
      <c r="HDR1128" s="7"/>
      <c r="HDS1128" s="7"/>
      <c r="HDT1128" s="7"/>
      <c r="HDU1128" s="7"/>
      <c r="HDV1128" s="7"/>
      <c r="HDW1128" s="7"/>
      <c r="HDX1128" s="7"/>
      <c r="HDY1128" s="7"/>
      <c r="HDZ1128" s="7"/>
      <c r="HEA1128" s="7"/>
      <c r="HEB1128" s="7"/>
      <c r="HEC1128" s="7"/>
      <c r="HED1128" s="7"/>
      <c r="HEE1128" s="7"/>
      <c r="HEF1128" s="7"/>
      <c r="HEG1128" s="7"/>
      <c r="HEH1128" s="7"/>
      <c r="HEI1128" s="7"/>
      <c r="HEJ1128" s="7"/>
      <c r="HEK1128" s="7"/>
      <c r="HEL1128" s="7"/>
      <c r="HEM1128" s="7"/>
      <c r="HEN1128" s="7"/>
      <c r="HEO1128" s="7"/>
      <c r="HEP1128" s="7"/>
      <c r="HEQ1128" s="7"/>
      <c r="HER1128" s="7"/>
      <c r="HES1128" s="7"/>
      <c r="HET1128" s="7"/>
      <c r="HEU1128" s="7"/>
      <c r="HEV1128" s="7"/>
      <c r="HEW1128" s="7"/>
      <c r="HEX1128" s="7"/>
      <c r="HEY1128" s="7"/>
      <c r="HEZ1128" s="7"/>
      <c r="HFA1128" s="7"/>
      <c r="HFB1128" s="7"/>
      <c r="HFC1128" s="7"/>
      <c r="HFD1128" s="7"/>
      <c r="HFE1128" s="7"/>
      <c r="HFF1128" s="7"/>
      <c r="HFG1128" s="7"/>
      <c r="HFH1128" s="7"/>
      <c r="HFI1128" s="7"/>
      <c r="HFJ1128" s="7"/>
      <c r="HFK1128" s="7"/>
      <c r="HFL1128" s="7"/>
      <c r="HFM1128" s="7"/>
      <c r="HFN1128" s="7"/>
      <c r="HFO1128" s="7"/>
      <c r="HFP1128" s="7"/>
      <c r="HFQ1128" s="7"/>
      <c r="HFR1128" s="7"/>
      <c r="HFS1128" s="7"/>
      <c r="HFT1128" s="7"/>
      <c r="HFU1128" s="7"/>
      <c r="HFV1128" s="7"/>
      <c r="HFW1128" s="7"/>
      <c r="HFX1128" s="7"/>
      <c r="HFY1128" s="7"/>
      <c r="HFZ1128" s="7"/>
      <c r="HGA1128" s="7"/>
      <c r="HGB1128" s="7"/>
      <c r="HGC1128" s="7"/>
      <c r="HGD1128" s="7"/>
      <c r="HGE1128" s="7"/>
      <c r="HGF1128" s="7"/>
      <c r="HGG1128" s="7"/>
      <c r="HGH1128" s="7"/>
      <c r="HGI1128" s="7"/>
      <c r="HGJ1128" s="7"/>
      <c r="HGK1128" s="7"/>
      <c r="HGL1128" s="7"/>
      <c r="HGM1128" s="7"/>
      <c r="HGN1128" s="7"/>
      <c r="HGO1128" s="7"/>
      <c r="HGP1128" s="7"/>
      <c r="HGQ1128" s="7"/>
      <c r="HGR1128" s="7"/>
      <c r="HGS1128" s="7"/>
      <c r="HGT1128" s="7"/>
      <c r="HGU1128" s="7"/>
      <c r="HGV1128" s="7"/>
      <c r="HGW1128" s="7"/>
      <c r="HGX1128" s="7"/>
      <c r="HGY1128" s="7"/>
      <c r="HGZ1128" s="7"/>
      <c r="HHA1128" s="7"/>
      <c r="HHB1128" s="7"/>
      <c r="HHC1128" s="7"/>
      <c r="HHD1128" s="7"/>
      <c r="HHE1128" s="7"/>
      <c r="HHF1128" s="7"/>
      <c r="HHG1128" s="7"/>
      <c r="HHH1128" s="7"/>
      <c r="HHI1128" s="7"/>
      <c r="HHJ1128" s="7"/>
      <c r="HHK1128" s="7"/>
      <c r="HHL1128" s="7"/>
      <c r="HHM1128" s="7"/>
      <c r="HHN1128" s="7"/>
      <c r="HHO1128" s="7"/>
      <c r="HHP1128" s="7"/>
      <c r="HHQ1128" s="7"/>
      <c r="HHR1128" s="7"/>
      <c r="HHS1128" s="7"/>
      <c r="HHT1128" s="7"/>
      <c r="HHU1128" s="7"/>
      <c r="HHV1128" s="7"/>
      <c r="HHW1128" s="7"/>
      <c r="HHX1128" s="7"/>
      <c r="HHY1128" s="7"/>
      <c r="HHZ1128" s="7"/>
      <c r="HIA1128" s="7"/>
      <c r="HIB1128" s="7"/>
      <c r="HIC1128" s="7"/>
      <c r="HID1128" s="7"/>
      <c r="HIE1128" s="7"/>
      <c r="HIF1128" s="7"/>
      <c r="HIG1128" s="7"/>
      <c r="HIH1128" s="7"/>
      <c r="HII1128" s="7"/>
      <c r="HIJ1128" s="7"/>
      <c r="HIK1128" s="7"/>
      <c r="HIL1128" s="7"/>
      <c r="HIM1128" s="7"/>
      <c r="HIN1128" s="7"/>
      <c r="HIO1128" s="7"/>
      <c r="HIP1128" s="7"/>
      <c r="HIQ1128" s="7"/>
      <c r="HIR1128" s="7"/>
      <c r="HIS1128" s="7"/>
      <c r="HIT1128" s="7"/>
      <c r="HIU1128" s="7"/>
      <c r="HIV1128" s="7"/>
      <c r="HIW1128" s="7"/>
      <c r="HIX1128" s="7"/>
      <c r="HIY1128" s="7"/>
      <c r="HIZ1128" s="7"/>
      <c r="HJA1128" s="7"/>
      <c r="HJB1128" s="7"/>
      <c r="HJC1128" s="7"/>
      <c r="HJD1128" s="7"/>
      <c r="HJE1128" s="7"/>
      <c r="HJF1128" s="7"/>
      <c r="HJG1128" s="7"/>
      <c r="HJH1128" s="7"/>
      <c r="HJI1128" s="7"/>
      <c r="HJJ1128" s="7"/>
      <c r="HJK1128" s="7"/>
      <c r="HJL1128" s="7"/>
      <c r="HJM1128" s="7"/>
      <c r="HJN1128" s="7"/>
      <c r="HJO1128" s="7"/>
      <c r="HJP1128" s="7"/>
      <c r="HJQ1128" s="7"/>
      <c r="HJR1128" s="7"/>
      <c r="HJS1128" s="7"/>
      <c r="HJT1128" s="7"/>
      <c r="HJU1128" s="7"/>
      <c r="HJV1128" s="7"/>
      <c r="HJW1128" s="7"/>
      <c r="HJX1128" s="7"/>
      <c r="HJY1128" s="7"/>
      <c r="HJZ1128" s="7"/>
      <c r="HKA1128" s="7"/>
      <c r="HKB1128" s="7"/>
      <c r="HKC1128" s="7"/>
      <c r="HKD1128" s="7"/>
      <c r="HKE1128" s="7"/>
      <c r="HKF1128" s="7"/>
      <c r="HKG1128" s="7"/>
      <c r="HKH1128" s="7"/>
      <c r="HKI1128" s="7"/>
      <c r="HKJ1128" s="7"/>
      <c r="HKK1128" s="7"/>
      <c r="HKL1128" s="7"/>
      <c r="HKM1128" s="7"/>
      <c r="HKN1128" s="7"/>
      <c r="HKO1128" s="7"/>
      <c r="HKP1128" s="7"/>
      <c r="HKQ1128" s="7"/>
      <c r="HKR1128" s="7"/>
      <c r="HKS1128" s="7"/>
      <c r="HKT1128" s="7"/>
      <c r="HKU1128" s="7"/>
      <c r="HKV1128" s="7"/>
      <c r="HKW1128" s="7"/>
      <c r="HKX1128" s="7"/>
      <c r="HKY1128" s="7"/>
      <c r="HKZ1128" s="7"/>
      <c r="HLA1128" s="7"/>
      <c r="HLB1128" s="7"/>
      <c r="HLC1128" s="7"/>
      <c r="HLD1128" s="7"/>
      <c r="HLE1128" s="7"/>
      <c r="HLF1128" s="7"/>
      <c r="HLG1128" s="7"/>
      <c r="HLH1128" s="7"/>
      <c r="HLI1128" s="7"/>
      <c r="HLJ1128" s="7"/>
      <c r="HLK1128" s="7"/>
      <c r="HLL1128" s="7"/>
      <c r="HLM1128" s="7"/>
      <c r="HLN1128" s="7"/>
      <c r="HLO1128" s="7"/>
      <c r="HLP1128" s="7"/>
      <c r="HLQ1128" s="7"/>
      <c r="HLR1128" s="7"/>
      <c r="HLS1128" s="7"/>
      <c r="HLT1128" s="7"/>
      <c r="HLU1128" s="7"/>
      <c r="HLV1128" s="7"/>
      <c r="HLW1128" s="7"/>
      <c r="HLX1128" s="7"/>
      <c r="HLY1128" s="7"/>
      <c r="HLZ1128" s="7"/>
      <c r="HMA1128" s="7"/>
      <c r="HMB1128" s="7"/>
      <c r="HMC1128" s="7"/>
      <c r="HMD1128" s="7"/>
      <c r="HME1128" s="7"/>
      <c r="HMF1128" s="7"/>
      <c r="HMG1128" s="7"/>
      <c r="HMH1128" s="7"/>
      <c r="HMI1128" s="7"/>
      <c r="HMJ1128" s="7"/>
      <c r="HMK1128" s="7"/>
      <c r="HML1128" s="7"/>
      <c r="HMM1128" s="7"/>
      <c r="HMN1128" s="7"/>
      <c r="HMO1128" s="7"/>
      <c r="HMP1128" s="7"/>
      <c r="HMQ1128" s="7"/>
      <c r="HMR1128" s="7"/>
      <c r="HMS1128" s="7"/>
      <c r="HMT1128" s="7"/>
      <c r="HMU1128" s="7"/>
      <c r="HMV1128" s="7"/>
      <c r="HMW1128" s="7"/>
      <c r="HMX1128" s="7"/>
      <c r="HMY1128" s="7"/>
      <c r="HMZ1128" s="7"/>
      <c r="HNA1128" s="7"/>
      <c r="HNB1128" s="7"/>
      <c r="HNC1128" s="7"/>
      <c r="HND1128" s="7"/>
      <c r="HNE1128" s="7"/>
      <c r="HNF1128" s="7"/>
      <c r="HNG1128" s="7"/>
      <c r="HNH1128" s="7"/>
      <c r="HNI1128" s="7"/>
      <c r="HNJ1128" s="7"/>
      <c r="HNK1128" s="7"/>
      <c r="HNL1128" s="7"/>
      <c r="HNM1128" s="7"/>
      <c r="HNN1128" s="7"/>
      <c r="HNO1128" s="7"/>
      <c r="HNP1128" s="7"/>
      <c r="HNQ1128" s="7"/>
      <c r="HNR1128" s="7"/>
      <c r="HNS1128" s="7"/>
      <c r="HNT1128" s="7"/>
      <c r="HNU1128" s="7"/>
      <c r="HNV1128" s="7"/>
      <c r="HNW1128" s="7"/>
      <c r="HNX1128" s="7"/>
      <c r="HNY1128" s="7"/>
      <c r="HNZ1128" s="7"/>
      <c r="HOA1128" s="7"/>
      <c r="HOB1128" s="7"/>
      <c r="HOC1128" s="7"/>
      <c r="HOD1128" s="7"/>
      <c r="HOE1128" s="7"/>
      <c r="HOF1128" s="7"/>
      <c r="HOG1128" s="7"/>
      <c r="HOH1128" s="7"/>
      <c r="HOI1128" s="7"/>
      <c r="HOJ1128" s="7"/>
      <c r="HOK1128" s="7"/>
      <c r="HOL1128" s="7"/>
      <c r="HOM1128" s="7"/>
      <c r="HON1128" s="7"/>
      <c r="HOO1128" s="7"/>
      <c r="HOP1128" s="7"/>
      <c r="HOQ1128" s="7"/>
      <c r="HOR1128" s="7"/>
      <c r="HOS1128" s="7"/>
      <c r="HOT1128" s="7"/>
      <c r="HOU1128" s="7"/>
      <c r="HOV1128" s="7"/>
      <c r="HOW1128" s="7"/>
      <c r="HOX1128" s="7"/>
      <c r="HOY1128" s="7"/>
      <c r="HOZ1128" s="7"/>
      <c r="HPA1128" s="7"/>
      <c r="HPB1128" s="7"/>
      <c r="HPC1128" s="7"/>
      <c r="HPD1128" s="7"/>
      <c r="HPE1128" s="7"/>
      <c r="HPF1128" s="7"/>
      <c r="HPG1128" s="7"/>
      <c r="HPH1128" s="7"/>
      <c r="HPI1128" s="7"/>
      <c r="HPJ1128" s="7"/>
      <c r="HPK1128" s="7"/>
      <c r="HPL1128" s="7"/>
      <c r="HPM1128" s="7"/>
      <c r="HPN1128" s="7"/>
      <c r="HPO1128" s="7"/>
      <c r="HPP1128" s="7"/>
      <c r="HPQ1128" s="7"/>
      <c r="HPR1128" s="7"/>
      <c r="HPS1128" s="7"/>
      <c r="HPT1128" s="7"/>
      <c r="HPU1128" s="7"/>
      <c r="HPV1128" s="7"/>
      <c r="HPW1128" s="7"/>
      <c r="HPX1128" s="7"/>
      <c r="HPY1128" s="7"/>
      <c r="HPZ1128" s="7"/>
      <c r="HQA1128" s="7"/>
      <c r="HQB1128" s="7"/>
      <c r="HQC1128" s="7"/>
      <c r="HQD1128" s="7"/>
      <c r="HQE1128" s="7"/>
      <c r="HQF1128" s="7"/>
      <c r="HQG1128" s="7"/>
      <c r="HQH1128" s="7"/>
      <c r="HQI1128" s="7"/>
      <c r="HQJ1128" s="7"/>
      <c r="HQK1128" s="7"/>
      <c r="HQL1128" s="7"/>
      <c r="HQM1128" s="7"/>
      <c r="HQN1128" s="7"/>
      <c r="HQO1128" s="7"/>
      <c r="HQP1128" s="7"/>
      <c r="HQQ1128" s="7"/>
      <c r="HQR1128" s="7"/>
      <c r="HQS1128" s="7"/>
      <c r="HQT1128" s="7"/>
      <c r="HQU1128" s="7"/>
      <c r="HQV1128" s="7"/>
      <c r="HQW1128" s="7"/>
      <c r="HQX1128" s="7"/>
      <c r="HQY1128" s="7"/>
      <c r="HQZ1128" s="7"/>
      <c r="HRA1128" s="7"/>
      <c r="HRB1128" s="7"/>
      <c r="HRC1128" s="7"/>
      <c r="HRD1128" s="7"/>
      <c r="HRE1128" s="7"/>
      <c r="HRF1128" s="7"/>
      <c r="HRG1128" s="7"/>
      <c r="HRH1128" s="7"/>
      <c r="HRI1128" s="7"/>
      <c r="HRJ1128" s="7"/>
      <c r="HRK1128" s="7"/>
      <c r="HRL1128" s="7"/>
      <c r="HRM1128" s="7"/>
      <c r="HRN1128" s="7"/>
      <c r="HRO1128" s="7"/>
      <c r="HRP1128" s="7"/>
      <c r="HRQ1128" s="7"/>
      <c r="HRR1128" s="7"/>
      <c r="HRS1128" s="7"/>
      <c r="HRT1128" s="7"/>
      <c r="HRU1128" s="7"/>
      <c r="HRV1128" s="7"/>
      <c r="HRW1128" s="7"/>
      <c r="HRX1128" s="7"/>
      <c r="HRY1128" s="7"/>
      <c r="HRZ1128" s="7"/>
      <c r="HSA1128" s="7"/>
      <c r="HSB1128" s="7"/>
      <c r="HSC1128" s="7"/>
      <c r="HSD1128" s="7"/>
      <c r="HSE1128" s="7"/>
      <c r="HSF1128" s="7"/>
      <c r="HSG1128" s="7"/>
      <c r="HSH1128" s="7"/>
      <c r="HSI1128" s="7"/>
      <c r="HSJ1128" s="7"/>
      <c r="HSK1128" s="7"/>
      <c r="HSL1128" s="7"/>
      <c r="HSM1128" s="7"/>
      <c r="HSN1128" s="7"/>
      <c r="HSO1128" s="7"/>
      <c r="HSP1128" s="7"/>
      <c r="HSQ1128" s="7"/>
      <c r="HSR1128" s="7"/>
      <c r="HSS1128" s="7"/>
      <c r="HST1128" s="7"/>
      <c r="HSU1128" s="7"/>
      <c r="HSV1128" s="7"/>
      <c r="HSW1128" s="7"/>
      <c r="HSX1128" s="7"/>
      <c r="HSY1128" s="7"/>
      <c r="HSZ1128" s="7"/>
      <c r="HTA1128" s="7"/>
      <c r="HTB1128" s="7"/>
      <c r="HTC1128" s="7"/>
      <c r="HTD1128" s="7"/>
      <c r="HTE1128" s="7"/>
      <c r="HTF1128" s="7"/>
      <c r="HTG1128" s="7"/>
      <c r="HTH1128" s="7"/>
      <c r="HTI1128" s="7"/>
      <c r="HTJ1128" s="7"/>
      <c r="HTK1128" s="7"/>
      <c r="HTL1128" s="7"/>
      <c r="HTM1128" s="7"/>
      <c r="HTN1128" s="7"/>
      <c r="HTO1128" s="7"/>
      <c r="HTP1128" s="7"/>
      <c r="HTQ1128" s="7"/>
      <c r="HTR1128" s="7"/>
      <c r="HTS1128" s="7"/>
      <c r="HTT1128" s="7"/>
      <c r="HTU1128" s="7"/>
      <c r="HTV1128" s="7"/>
      <c r="HTW1128" s="7"/>
      <c r="HTX1128" s="7"/>
      <c r="HTY1128" s="7"/>
      <c r="HTZ1128" s="7"/>
      <c r="HUA1128" s="7"/>
      <c r="HUB1128" s="7"/>
      <c r="HUC1128" s="7"/>
      <c r="HUD1128" s="7"/>
      <c r="HUE1128" s="7"/>
      <c r="HUF1128" s="7"/>
      <c r="HUG1128" s="7"/>
      <c r="HUH1128" s="7"/>
      <c r="HUI1128" s="7"/>
      <c r="HUJ1128" s="7"/>
      <c r="HUK1128" s="7"/>
      <c r="HUL1128" s="7"/>
      <c r="HUM1128" s="7"/>
      <c r="HUN1128" s="7"/>
      <c r="HUO1128" s="7"/>
      <c r="HUP1128" s="7"/>
      <c r="HUQ1128" s="7"/>
      <c r="HUR1128" s="7"/>
      <c r="HUS1128" s="7"/>
      <c r="HUT1128" s="7"/>
      <c r="HUU1128" s="7"/>
      <c r="HUV1128" s="7"/>
      <c r="HUW1128" s="7"/>
      <c r="HUX1128" s="7"/>
      <c r="HUY1128" s="7"/>
      <c r="HUZ1128" s="7"/>
      <c r="HVA1128" s="7"/>
      <c r="HVB1128" s="7"/>
      <c r="HVC1128" s="7"/>
      <c r="HVD1128" s="7"/>
      <c r="HVE1128" s="7"/>
      <c r="HVF1128" s="7"/>
      <c r="HVG1128" s="7"/>
      <c r="HVH1128" s="7"/>
      <c r="HVI1128" s="7"/>
      <c r="HVJ1128" s="7"/>
      <c r="HVK1128" s="7"/>
      <c r="HVL1128" s="7"/>
      <c r="HVM1128" s="7"/>
      <c r="HVN1128" s="7"/>
      <c r="HVO1128" s="7"/>
      <c r="HVP1128" s="7"/>
      <c r="HVQ1128" s="7"/>
      <c r="HVR1128" s="7"/>
      <c r="HVS1128" s="7"/>
      <c r="HVT1128" s="7"/>
      <c r="HVU1128" s="7"/>
      <c r="HVV1128" s="7"/>
      <c r="HVW1128" s="7"/>
      <c r="HVX1128" s="7"/>
      <c r="HVY1128" s="7"/>
      <c r="HVZ1128" s="7"/>
      <c r="HWA1128" s="7"/>
      <c r="HWB1128" s="7"/>
      <c r="HWC1128" s="7"/>
      <c r="HWD1128" s="7"/>
      <c r="HWE1128" s="7"/>
      <c r="HWF1128" s="7"/>
      <c r="HWG1128" s="7"/>
      <c r="HWH1128" s="7"/>
      <c r="HWI1128" s="7"/>
      <c r="HWJ1128" s="7"/>
      <c r="HWK1128" s="7"/>
      <c r="HWL1128" s="7"/>
      <c r="HWM1128" s="7"/>
      <c r="HWN1128" s="7"/>
      <c r="HWO1128" s="7"/>
      <c r="HWP1128" s="7"/>
      <c r="HWQ1128" s="7"/>
      <c r="HWR1128" s="7"/>
      <c r="HWS1128" s="7"/>
      <c r="HWT1128" s="7"/>
      <c r="HWU1128" s="7"/>
      <c r="HWV1128" s="7"/>
      <c r="HWW1128" s="7"/>
      <c r="HWX1128" s="7"/>
      <c r="HWY1128" s="7"/>
      <c r="HWZ1128" s="7"/>
      <c r="HXA1128" s="7"/>
      <c r="HXB1128" s="7"/>
      <c r="HXC1128" s="7"/>
      <c r="HXD1128" s="7"/>
      <c r="HXE1128" s="7"/>
      <c r="HXF1128" s="7"/>
      <c r="HXG1128" s="7"/>
      <c r="HXH1128" s="7"/>
      <c r="HXI1128" s="7"/>
      <c r="HXJ1128" s="7"/>
      <c r="HXK1128" s="7"/>
      <c r="HXL1128" s="7"/>
      <c r="HXM1128" s="7"/>
      <c r="HXN1128" s="7"/>
      <c r="HXO1128" s="7"/>
      <c r="HXP1128" s="7"/>
      <c r="HXQ1128" s="7"/>
      <c r="HXR1128" s="7"/>
      <c r="HXS1128" s="7"/>
      <c r="HXT1128" s="7"/>
      <c r="HXU1128" s="7"/>
      <c r="HXV1128" s="7"/>
      <c r="HXW1128" s="7"/>
      <c r="HXX1128" s="7"/>
      <c r="HXY1128" s="7"/>
      <c r="HXZ1128" s="7"/>
      <c r="HYA1128" s="7"/>
      <c r="HYB1128" s="7"/>
      <c r="HYC1128" s="7"/>
      <c r="HYD1128" s="7"/>
      <c r="HYE1128" s="7"/>
      <c r="HYF1128" s="7"/>
      <c r="HYG1128" s="7"/>
      <c r="HYH1128" s="7"/>
      <c r="HYI1128" s="7"/>
      <c r="HYJ1128" s="7"/>
      <c r="HYK1128" s="7"/>
      <c r="HYL1128" s="7"/>
      <c r="HYM1128" s="7"/>
      <c r="HYN1128" s="7"/>
      <c r="HYO1128" s="7"/>
      <c r="HYP1128" s="7"/>
      <c r="HYQ1128" s="7"/>
      <c r="HYR1128" s="7"/>
      <c r="HYS1128" s="7"/>
      <c r="HYT1128" s="7"/>
      <c r="HYU1128" s="7"/>
      <c r="HYV1128" s="7"/>
      <c r="HYW1128" s="7"/>
      <c r="HYX1128" s="7"/>
      <c r="HYY1128" s="7"/>
      <c r="HYZ1128" s="7"/>
      <c r="HZA1128" s="7"/>
      <c r="HZB1128" s="7"/>
      <c r="HZC1128" s="7"/>
      <c r="HZD1128" s="7"/>
      <c r="HZE1128" s="7"/>
      <c r="HZF1128" s="7"/>
      <c r="HZG1128" s="7"/>
      <c r="HZH1128" s="7"/>
      <c r="HZI1128" s="7"/>
      <c r="HZJ1128" s="7"/>
      <c r="HZK1128" s="7"/>
      <c r="HZL1128" s="7"/>
      <c r="HZM1128" s="7"/>
      <c r="HZN1128" s="7"/>
      <c r="HZO1128" s="7"/>
      <c r="HZP1128" s="7"/>
      <c r="HZQ1128" s="7"/>
      <c r="HZR1128" s="7"/>
      <c r="HZS1128" s="7"/>
      <c r="HZT1128" s="7"/>
      <c r="HZU1128" s="7"/>
      <c r="HZV1128" s="7"/>
      <c r="HZW1128" s="7"/>
      <c r="HZX1128" s="7"/>
      <c r="HZY1128" s="7"/>
      <c r="HZZ1128" s="7"/>
      <c r="IAA1128" s="7"/>
      <c r="IAB1128" s="7"/>
      <c r="IAC1128" s="7"/>
      <c r="IAD1128" s="7"/>
      <c r="IAE1128" s="7"/>
      <c r="IAF1128" s="7"/>
      <c r="IAG1128" s="7"/>
      <c r="IAH1128" s="7"/>
      <c r="IAI1128" s="7"/>
      <c r="IAJ1128" s="7"/>
      <c r="IAK1128" s="7"/>
      <c r="IAL1128" s="7"/>
      <c r="IAM1128" s="7"/>
      <c r="IAN1128" s="7"/>
      <c r="IAO1128" s="7"/>
      <c r="IAP1128" s="7"/>
      <c r="IAQ1128" s="7"/>
      <c r="IAR1128" s="7"/>
      <c r="IAS1128" s="7"/>
      <c r="IAT1128" s="7"/>
      <c r="IAU1128" s="7"/>
      <c r="IAV1128" s="7"/>
      <c r="IAW1128" s="7"/>
      <c r="IAX1128" s="7"/>
      <c r="IAY1128" s="7"/>
      <c r="IAZ1128" s="7"/>
      <c r="IBA1128" s="7"/>
      <c r="IBB1128" s="7"/>
      <c r="IBC1128" s="7"/>
      <c r="IBD1128" s="7"/>
      <c r="IBE1128" s="7"/>
      <c r="IBF1128" s="7"/>
      <c r="IBG1128" s="7"/>
      <c r="IBH1128" s="7"/>
      <c r="IBI1128" s="7"/>
      <c r="IBJ1128" s="7"/>
      <c r="IBK1128" s="7"/>
      <c r="IBL1128" s="7"/>
      <c r="IBM1128" s="7"/>
      <c r="IBN1128" s="7"/>
      <c r="IBO1128" s="7"/>
      <c r="IBP1128" s="7"/>
      <c r="IBQ1128" s="7"/>
      <c r="IBR1128" s="7"/>
      <c r="IBS1128" s="7"/>
      <c r="IBT1128" s="7"/>
      <c r="IBU1128" s="7"/>
      <c r="IBV1128" s="7"/>
      <c r="IBW1128" s="7"/>
      <c r="IBX1128" s="7"/>
      <c r="IBY1128" s="7"/>
      <c r="IBZ1128" s="7"/>
      <c r="ICA1128" s="7"/>
      <c r="ICB1128" s="7"/>
      <c r="ICC1128" s="7"/>
      <c r="ICD1128" s="7"/>
      <c r="ICE1128" s="7"/>
      <c r="ICF1128" s="7"/>
      <c r="ICG1128" s="7"/>
      <c r="ICH1128" s="7"/>
      <c r="ICI1128" s="7"/>
      <c r="ICJ1128" s="7"/>
      <c r="ICK1128" s="7"/>
      <c r="ICL1128" s="7"/>
      <c r="ICM1128" s="7"/>
      <c r="ICN1128" s="7"/>
      <c r="ICO1128" s="7"/>
      <c r="ICP1128" s="7"/>
      <c r="ICQ1128" s="7"/>
      <c r="ICR1128" s="7"/>
      <c r="ICS1128" s="7"/>
      <c r="ICT1128" s="7"/>
      <c r="ICU1128" s="7"/>
      <c r="ICV1128" s="7"/>
      <c r="ICW1128" s="7"/>
      <c r="ICX1128" s="7"/>
      <c r="ICY1128" s="7"/>
      <c r="ICZ1128" s="7"/>
      <c r="IDA1128" s="7"/>
      <c r="IDB1128" s="7"/>
      <c r="IDC1128" s="7"/>
      <c r="IDD1128" s="7"/>
      <c r="IDE1128" s="7"/>
      <c r="IDF1128" s="7"/>
      <c r="IDG1128" s="7"/>
      <c r="IDH1128" s="7"/>
      <c r="IDI1128" s="7"/>
      <c r="IDJ1128" s="7"/>
      <c r="IDK1128" s="7"/>
      <c r="IDL1128" s="7"/>
      <c r="IDM1128" s="7"/>
      <c r="IDN1128" s="7"/>
      <c r="IDO1128" s="7"/>
      <c r="IDP1128" s="7"/>
      <c r="IDQ1128" s="7"/>
      <c r="IDR1128" s="7"/>
      <c r="IDS1128" s="7"/>
      <c r="IDT1128" s="7"/>
      <c r="IDU1128" s="7"/>
      <c r="IDV1128" s="7"/>
      <c r="IDW1128" s="7"/>
      <c r="IDX1128" s="7"/>
      <c r="IDY1128" s="7"/>
      <c r="IDZ1128" s="7"/>
      <c r="IEA1128" s="7"/>
      <c r="IEB1128" s="7"/>
      <c r="IEC1128" s="7"/>
      <c r="IED1128" s="7"/>
      <c r="IEE1128" s="7"/>
      <c r="IEF1128" s="7"/>
      <c r="IEG1128" s="7"/>
      <c r="IEH1128" s="7"/>
      <c r="IEI1128" s="7"/>
      <c r="IEJ1128" s="7"/>
      <c r="IEK1128" s="7"/>
      <c r="IEL1128" s="7"/>
      <c r="IEM1128" s="7"/>
      <c r="IEN1128" s="7"/>
      <c r="IEO1128" s="7"/>
      <c r="IEP1128" s="7"/>
      <c r="IEQ1128" s="7"/>
      <c r="IER1128" s="7"/>
      <c r="IES1128" s="7"/>
      <c r="IET1128" s="7"/>
      <c r="IEU1128" s="7"/>
      <c r="IEV1128" s="7"/>
      <c r="IEW1128" s="7"/>
      <c r="IEX1128" s="7"/>
      <c r="IEY1128" s="7"/>
      <c r="IEZ1128" s="7"/>
      <c r="IFA1128" s="7"/>
      <c r="IFB1128" s="7"/>
      <c r="IFC1128" s="7"/>
      <c r="IFD1128" s="7"/>
      <c r="IFE1128" s="7"/>
      <c r="IFF1128" s="7"/>
      <c r="IFG1128" s="7"/>
      <c r="IFH1128" s="7"/>
      <c r="IFI1128" s="7"/>
      <c r="IFJ1128" s="7"/>
      <c r="IFK1128" s="7"/>
      <c r="IFL1128" s="7"/>
      <c r="IFM1128" s="7"/>
      <c r="IFN1128" s="7"/>
      <c r="IFO1128" s="7"/>
      <c r="IFP1128" s="7"/>
      <c r="IFQ1128" s="7"/>
      <c r="IFR1128" s="7"/>
      <c r="IFS1128" s="7"/>
      <c r="IFT1128" s="7"/>
      <c r="IFU1128" s="7"/>
      <c r="IFV1128" s="7"/>
      <c r="IFW1128" s="7"/>
      <c r="IFX1128" s="7"/>
      <c r="IFY1128" s="7"/>
      <c r="IFZ1128" s="7"/>
      <c r="IGA1128" s="7"/>
      <c r="IGB1128" s="7"/>
      <c r="IGC1128" s="7"/>
      <c r="IGD1128" s="7"/>
      <c r="IGE1128" s="7"/>
      <c r="IGF1128" s="7"/>
      <c r="IGG1128" s="7"/>
      <c r="IGH1128" s="7"/>
      <c r="IGI1128" s="7"/>
      <c r="IGJ1128" s="7"/>
      <c r="IGK1128" s="7"/>
      <c r="IGL1128" s="7"/>
      <c r="IGM1128" s="7"/>
      <c r="IGN1128" s="7"/>
      <c r="IGO1128" s="7"/>
      <c r="IGP1128" s="7"/>
      <c r="IGQ1128" s="7"/>
      <c r="IGR1128" s="7"/>
      <c r="IGS1128" s="7"/>
      <c r="IGT1128" s="7"/>
      <c r="IGU1128" s="7"/>
      <c r="IGV1128" s="7"/>
      <c r="IGW1128" s="7"/>
      <c r="IGX1128" s="7"/>
      <c r="IGY1128" s="7"/>
      <c r="IGZ1128" s="7"/>
      <c r="IHA1128" s="7"/>
      <c r="IHB1128" s="7"/>
      <c r="IHC1128" s="7"/>
      <c r="IHD1128" s="7"/>
      <c r="IHE1128" s="7"/>
      <c r="IHF1128" s="7"/>
      <c r="IHG1128" s="7"/>
      <c r="IHH1128" s="7"/>
      <c r="IHI1128" s="7"/>
      <c r="IHJ1128" s="7"/>
      <c r="IHK1128" s="7"/>
      <c r="IHL1128" s="7"/>
      <c r="IHM1128" s="7"/>
      <c r="IHN1128" s="7"/>
      <c r="IHO1128" s="7"/>
      <c r="IHP1128" s="7"/>
      <c r="IHQ1128" s="7"/>
      <c r="IHR1128" s="7"/>
      <c r="IHS1128" s="7"/>
      <c r="IHT1128" s="7"/>
      <c r="IHU1128" s="7"/>
      <c r="IHV1128" s="7"/>
      <c r="IHW1128" s="7"/>
      <c r="IHX1128" s="7"/>
      <c r="IHY1128" s="7"/>
      <c r="IHZ1128" s="7"/>
      <c r="IIA1128" s="7"/>
      <c r="IIB1128" s="7"/>
      <c r="IIC1128" s="7"/>
      <c r="IID1128" s="7"/>
      <c r="IIE1128" s="7"/>
      <c r="IIF1128" s="7"/>
      <c r="IIG1128" s="7"/>
      <c r="IIH1128" s="7"/>
      <c r="III1128" s="7"/>
      <c r="IIJ1128" s="7"/>
      <c r="IIK1128" s="7"/>
      <c r="IIL1128" s="7"/>
      <c r="IIM1128" s="7"/>
      <c r="IIN1128" s="7"/>
      <c r="IIO1128" s="7"/>
      <c r="IIP1128" s="7"/>
      <c r="IIQ1128" s="7"/>
      <c r="IIR1128" s="7"/>
      <c r="IIS1128" s="7"/>
      <c r="IIT1128" s="7"/>
      <c r="IIU1128" s="7"/>
      <c r="IIV1128" s="7"/>
      <c r="IIW1128" s="7"/>
      <c r="IIX1128" s="7"/>
      <c r="IIY1128" s="7"/>
      <c r="IIZ1128" s="7"/>
      <c r="IJA1128" s="7"/>
      <c r="IJB1128" s="7"/>
      <c r="IJC1128" s="7"/>
      <c r="IJD1128" s="7"/>
      <c r="IJE1128" s="7"/>
      <c r="IJF1128" s="7"/>
      <c r="IJG1128" s="7"/>
      <c r="IJH1128" s="7"/>
      <c r="IJI1128" s="7"/>
      <c r="IJJ1128" s="7"/>
      <c r="IJK1128" s="7"/>
      <c r="IJL1128" s="7"/>
      <c r="IJM1128" s="7"/>
      <c r="IJN1128" s="7"/>
      <c r="IJO1128" s="7"/>
      <c r="IJP1128" s="7"/>
      <c r="IJQ1128" s="7"/>
      <c r="IJR1128" s="7"/>
      <c r="IJS1128" s="7"/>
      <c r="IJT1128" s="7"/>
      <c r="IJU1128" s="7"/>
      <c r="IJV1128" s="7"/>
      <c r="IJW1128" s="7"/>
      <c r="IJX1128" s="7"/>
      <c r="IJY1128" s="7"/>
      <c r="IJZ1128" s="7"/>
      <c r="IKA1128" s="7"/>
      <c r="IKB1128" s="7"/>
      <c r="IKC1128" s="7"/>
      <c r="IKD1128" s="7"/>
      <c r="IKE1128" s="7"/>
      <c r="IKF1128" s="7"/>
      <c r="IKG1128" s="7"/>
      <c r="IKH1128" s="7"/>
      <c r="IKI1128" s="7"/>
      <c r="IKJ1128" s="7"/>
      <c r="IKK1128" s="7"/>
      <c r="IKL1128" s="7"/>
      <c r="IKM1128" s="7"/>
      <c r="IKN1128" s="7"/>
      <c r="IKO1128" s="7"/>
      <c r="IKP1128" s="7"/>
      <c r="IKQ1128" s="7"/>
      <c r="IKR1128" s="7"/>
      <c r="IKS1128" s="7"/>
      <c r="IKT1128" s="7"/>
      <c r="IKU1128" s="7"/>
      <c r="IKV1128" s="7"/>
      <c r="IKW1128" s="7"/>
      <c r="IKX1128" s="7"/>
      <c r="IKY1128" s="7"/>
      <c r="IKZ1128" s="7"/>
      <c r="ILA1128" s="7"/>
      <c r="ILB1128" s="7"/>
      <c r="ILC1128" s="7"/>
      <c r="ILD1128" s="7"/>
      <c r="ILE1128" s="7"/>
      <c r="ILF1128" s="7"/>
      <c r="ILG1128" s="7"/>
      <c r="ILH1128" s="7"/>
      <c r="ILI1128" s="7"/>
      <c r="ILJ1128" s="7"/>
      <c r="ILK1128" s="7"/>
      <c r="ILL1128" s="7"/>
      <c r="ILM1128" s="7"/>
      <c r="ILN1128" s="7"/>
      <c r="ILO1128" s="7"/>
      <c r="ILP1128" s="7"/>
      <c r="ILQ1128" s="7"/>
      <c r="ILR1128" s="7"/>
      <c r="ILS1128" s="7"/>
      <c r="ILT1128" s="7"/>
      <c r="ILU1128" s="7"/>
      <c r="ILV1128" s="7"/>
      <c r="ILW1128" s="7"/>
      <c r="ILX1128" s="7"/>
      <c r="ILY1128" s="7"/>
      <c r="ILZ1128" s="7"/>
      <c r="IMA1128" s="7"/>
      <c r="IMB1128" s="7"/>
      <c r="IMC1128" s="7"/>
      <c r="IMD1128" s="7"/>
      <c r="IME1128" s="7"/>
      <c r="IMF1128" s="7"/>
      <c r="IMG1128" s="7"/>
      <c r="IMH1128" s="7"/>
      <c r="IMI1128" s="7"/>
      <c r="IMJ1128" s="7"/>
      <c r="IMK1128" s="7"/>
      <c r="IML1128" s="7"/>
      <c r="IMM1128" s="7"/>
      <c r="IMN1128" s="7"/>
      <c r="IMO1128" s="7"/>
      <c r="IMP1128" s="7"/>
      <c r="IMQ1128" s="7"/>
      <c r="IMR1128" s="7"/>
      <c r="IMS1128" s="7"/>
      <c r="IMT1128" s="7"/>
      <c r="IMU1128" s="7"/>
      <c r="IMV1128" s="7"/>
      <c r="IMW1128" s="7"/>
      <c r="IMX1128" s="7"/>
      <c r="IMY1128" s="7"/>
      <c r="IMZ1128" s="7"/>
      <c r="INA1128" s="7"/>
      <c r="INB1128" s="7"/>
      <c r="INC1128" s="7"/>
      <c r="IND1128" s="7"/>
      <c r="INE1128" s="7"/>
      <c r="INF1128" s="7"/>
      <c r="ING1128" s="7"/>
      <c r="INH1128" s="7"/>
      <c r="INI1128" s="7"/>
      <c r="INJ1128" s="7"/>
      <c r="INK1128" s="7"/>
      <c r="INL1128" s="7"/>
      <c r="INM1128" s="7"/>
      <c r="INN1128" s="7"/>
      <c r="INO1128" s="7"/>
      <c r="INP1128" s="7"/>
      <c r="INQ1128" s="7"/>
      <c r="INR1128" s="7"/>
      <c r="INS1128" s="7"/>
      <c r="INT1128" s="7"/>
      <c r="INU1128" s="7"/>
      <c r="INV1128" s="7"/>
      <c r="INW1128" s="7"/>
      <c r="INX1128" s="7"/>
      <c r="INY1128" s="7"/>
      <c r="INZ1128" s="7"/>
      <c r="IOA1128" s="7"/>
      <c r="IOB1128" s="7"/>
      <c r="IOC1128" s="7"/>
      <c r="IOD1128" s="7"/>
      <c r="IOE1128" s="7"/>
      <c r="IOF1128" s="7"/>
      <c r="IOG1128" s="7"/>
      <c r="IOH1128" s="7"/>
      <c r="IOI1128" s="7"/>
      <c r="IOJ1128" s="7"/>
      <c r="IOK1128" s="7"/>
      <c r="IOL1128" s="7"/>
      <c r="IOM1128" s="7"/>
      <c r="ION1128" s="7"/>
      <c r="IOO1128" s="7"/>
      <c r="IOP1128" s="7"/>
      <c r="IOQ1128" s="7"/>
      <c r="IOR1128" s="7"/>
      <c r="IOS1128" s="7"/>
      <c r="IOT1128" s="7"/>
      <c r="IOU1128" s="7"/>
      <c r="IOV1128" s="7"/>
      <c r="IOW1128" s="7"/>
      <c r="IOX1128" s="7"/>
      <c r="IOY1128" s="7"/>
      <c r="IOZ1128" s="7"/>
      <c r="IPA1128" s="7"/>
      <c r="IPB1128" s="7"/>
      <c r="IPC1128" s="7"/>
      <c r="IPD1128" s="7"/>
      <c r="IPE1128" s="7"/>
      <c r="IPF1128" s="7"/>
      <c r="IPG1128" s="7"/>
      <c r="IPH1128" s="7"/>
      <c r="IPI1128" s="7"/>
      <c r="IPJ1128" s="7"/>
      <c r="IPK1128" s="7"/>
      <c r="IPL1128" s="7"/>
      <c r="IPM1128" s="7"/>
      <c r="IPN1128" s="7"/>
      <c r="IPO1128" s="7"/>
      <c r="IPP1128" s="7"/>
      <c r="IPQ1128" s="7"/>
      <c r="IPR1128" s="7"/>
      <c r="IPS1128" s="7"/>
      <c r="IPT1128" s="7"/>
      <c r="IPU1128" s="7"/>
      <c r="IPV1128" s="7"/>
      <c r="IPW1128" s="7"/>
      <c r="IPX1128" s="7"/>
      <c r="IPY1128" s="7"/>
      <c r="IPZ1128" s="7"/>
      <c r="IQA1128" s="7"/>
      <c r="IQB1128" s="7"/>
      <c r="IQC1128" s="7"/>
      <c r="IQD1128" s="7"/>
      <c r="IQE1128" s="7"/>
      <c r="IQF1128" s="7"/>
      <c r="IQG1128" s="7"/>
      <c r="IQH1128" s="7"/>
      <c r="IQI1128" s="7"/>
      <c r="IQJ1128" s="7"/>
      <c r="IQK1128" s="7"/>
      <c r="IQL1128" s="7"/>
      <c r="IQM1128" s="7"/>
      <c r="IQN1128" s="7"/>
      <c r="IQO1128" s="7"/>
      <c r="IQP1128" s="7"/>
      <c r="IQQ1128" s="7"/>
      <c r="IQR1128" s="7"/>
      <c r="IQS1128" s="7"/>
      <c r="IQT1128" s="7"/>
      <c r="IQU1128" s="7"/>
      <c r="IQV1128" s="7"/>
      <c r="IQW1128" s="7"/>
      <c r="IQX1128" s="7"/>
      <c r="IQY1128" s="7"/>
      <c r="IQZ1128" s="7"/>
      <c r="IRA1128" s="7"/>
      <c r="IRB1128" s="7"/>
      <c r="IRC1128" s="7"/>
      <c r="IRD1128" s="7"/>
      <c r="IRE1128" s="7"/>
      <c r="IRF1128" s="7"/>
      <c r="IRG1128" s="7"/>
      <c r="IRH1128" s="7"/>
      <c r="IRI1128" s="7"/>
      <c r="IRJ1128" s="7"/>
      <c r="IRK1128" s="7"/>
      <c r="IRL1128" s="7"/>
      <c r="IRM1128" s="7"/>
      <c r="IRN1128" s="7"/>
      <c r="IRO1128" s="7"/>
      <c r="IRP1128" s="7"/>
      <c r="IRQ1128" s="7"/>
      <c r="IRR1128" s="7"/>
      <c r="IRS1128" s="7"/>
      <c r="IRT1128" s="7"/>
      <c r="IRU1128" s="7"/>
      <c r="IRV1128" s="7"/>
      <c r="IRW1128" s="7"/>
      <c r="IRX1128" s="7"/>
      <c r="IRY1128" s="7"/>
      <c r="IRZ1128" s="7"/>
      <c r="ISA1128" s="7"/>
      <c r="ISB1128" s="7"/>
      <c r="ISC1128" s="7"/>
      <c r="ISD1128" s="7"/>
      <c r="ISE1128" s="7"/>
      <c r="ISF1128" s="7"/>
      <c r="ISG1128" s="7"/>
      <c r="ISH1128" s="7"/>
      <c r="ISI1128" s="7"/>
      <c r="ISJ1128" s="7"/>
      <c r="ISK1128" s="7"/>
      <c r="ISL1128" s="7"/>
      <c r="ISM1128" s="7"/>
      <c r="ISN1128" s="7"/>
      <c r="ISO1128" s="7"/>
      <c r="ISP1128" s="7"/>
      <c r="ISQ1128" s="7"/>
      <c r="ISR1128" s="7"/>
      <c r="ISS1128" s="7"/>
      <c r="IST1128" s="7"/>
      <c r="ISU1128" s="7"/>
      <c r="ISV1128" s="7"/>
      <c r="ISW1128" s="7"/>
      <c r="ISX1128" s="7"/>
      <c r="ISY1128" s="7"/>
      <c r="ISZ1128" s="7"/>
      <c r="ITA1128" s="7"/>
      <c r="ITB1128" s="7"/>
      <c r="ITC1128" s="7"/>
      <c r="ITD1128" s="7"/>
      <c r="ITE1128" s="7"/>
      <c r="ITF1128" s="7"/>
      <c r="ITG1128" s="7"/>
      <c r="ITH1128" s="7"/>
      <c r="ITI1128" s="7"/>
      <c r="ITJ1128" s="7"/>
      <c r="ITK1128" s="7"/>
      <c r="ITL1128" s="7"/>
      <c r="ITM1128" s="7"/>
      <c r="ITN1128" s="7"/>
      <c r="ITO1128" s="7"/>
      <c r="ITP1128" s="7"/>
      <c r="ITQ1128" s="7"/>
      <c r="ITR1128" s="7"/>
      <c r="ITS1128" s="7"/>
      <c r="ITT1128" s="7"/>
      <c r="ITU1128" s="7"/>
      <c r="ITV1128" s="7"/>
      <c r="ITW1128" s="7"/>
      <c r="ITX1128" s="7"/>
      <c r="ITY1128" s="7"/>
      <c r="ITZ1128" s="7"/>
      <c r="IUA1128" s="7"/>
      <c r="IUB1128" s="7"/>
      <c r="IUC1128" s="7"/>
      <c r="IUD1128" s="7"/>
      <c r="IUE1128" s="7"/>
      <c r="IUF1128" s="7"/>
      <c r="IUG1128" s="7"/>
      <c r="IUH1128" s="7"/>
      <c r="IUI1128" s="7"/>
      <c r="IUJ1128" s="7"/>
      <c r="IUK1128" s="7"/>
      <c r="IUL1128" s="7"/>
      <c r="IUM1128" s="7"/>
      <c r="IUN1128" s="7"/>
      <c r="IUO1128" s="7"/>
      <c r="IUP1128" s="7"/>
      <c r="IUQ1128" s="7"/>
      <c r="IUR1128" s="7"/>
      <c r="IUS1128" s="7"/>
      <c r="IUT1128" s="7"/>
      <c r="IUU1128" s="7"/>
      <c r="IUV1128" s="7"/>
      <c r="IUW1128" s="7"/>
      <c r="IUX1128" s="7"/>
      <c r="IUY1128" s="7"/>
      <c r="IUZ1128" s="7"/>
      <c r="IVA1128" s="7"/>
      <c r="IVB1128" s="7"/>
      <c r="IVC1128" s="7"/>
      <c r="IVD1128" s="7"/>
      <c r="IVE1128" s="7"/>
      <c r="IVF1128" s="7"/>
      <c r="IVG1128" s="7"/>
      <c r="IVH1128" s="7"/>
      <c r="IVI1128" s="7"/>
      <c r="IVJ1128" s="7"/>
      <c r="IVK1128" s="7"/>
      <c r="IVL1128" s="7"/>
      <c r="IVM1128" s="7"/>
      <c r="IVN1128" s="7"/>
      <c r="IVO1128" s="7"/>
      <c r="IVP1128" s="7"/>
      <c r="IVQ1128" s="7"/>
      <c r="IVR1128" s="7"/>
      <c r="IVS1128" s="7"/>
      <c r="IVT1128" s="7"/>
      <c r="IVU1128" s="7"/>
      <c r="IVV1128" s="7"/>
      <c r="IVW1128" s="7"/>
      <c r="IVX1128" s="7"/>
      <c r="IVY1128" s="7"/>
      <c r="IVZ1128" s="7"/>
      <c r="IWA1128" s="7"/>
      <c r="IWB1128" s="7"/>
      <c r="IWC1128" s="7"/>
      <c r="IWD1128" s="7"/>
      <c r="IWE1128" s="7"/>
      <c r="IWF1128" s="7"/>
      <c r="IWG1128" s="7"/>
      <c r="IWH1128" s="7"/>
      <c r="IWI1128" s="7"/>
      <c r="IWJ1128" s="7"/>
      <c r="IWK1128" s="7"/>
      <c r="IWL1128" s="7"/>
      <c r="IWM1128" s="7"/>
      <c r="IWN1128" s="7"/>
      <c r="IWO1128" s="7"/>
      <c r="IWP1128" s="7"/>
      <c r="IWQ1128" s="7"/>
      <c r="IWR1128" s="7"/>
      <c r="IWS1128" s="7"/>
      <c r="IWT1128" s="7"/>
      <c r="IWU1128" s="7"/>
      <c r="IWV1128" s="7"/>
      <c r="IWW1128" s="7"/>
      <c r="IWX1128" s="7"/>
      <c r="IWY1128" s="7"/>
      <c r="IWZ1128" s="7"/>
      <c r="IXA1128" s="7"/>
      <c r="IXB1128" s="7"/>
      <c r="IXC1128" s="7"/>
      <c r="IXD1128" s="7"/>
      <c r="IXE1128" s="7"/>
      <c r="IXF1128" s="7"/>
      <c r="IXG1128" s="7"/>
      <c r="IXH1128" s="7"/>
      <c r="IXI1128" s="7"/>
      <c r="IXJ1128" s="7"/>
      <c r="IXK1128" s="7"/>
      <c r="IXL1128" s="7"/>
      <c r="IXM1128" s="7"/>
      <c r="IXN1128" s="7"/>
      <c r="IXO1128" s="7"/>
      <c r="IXP1128" s="7"/>
      <c r="IXQ1128" s="7"/>
      <c r="IXR1128" s="7"/>
      <c r="IXS1128" s="7"/>
      <c r="IXT1128" s="7"/>
      <c r="IXU1128" s="7"/>
      <c r="IXV1128" s="7"/>
      <c r="IXW1128" s="7"/>
      <c r="IXX1128" s="7"/>
      <c r="IXY1128" s="7"/>
      <c r="IXZ1128" s="7"/>
      <c r="IYA1128" s="7"/>
      <c r="IYB1128" s="7"/>
      <c r="IYC1128" s="7"/>
      <c r="IYD1128" s="7"/>
      <c r="IYE1128" s="7"/>
      <c r="IYF1128" s="7"/>
      <c r="IYG1128" s="7"/>
      <c r="IYH1128" s="7"/>
      <c r="IYI1128" s="7"/>
      <c r="IYJ1128" s="7"/>
      <c r="IYK1128" s="7"/>
      <c r="IYL1128" s="7"/>
      <c r="IYM1128" s="7"/>
      <c r="IYN1128" s="7"/>
      <c r="IYO1128" s="7"/>
      <c r="IYP1128" s="7"/>
      <c r="IYQ1128" s="7"/>
      <c r="IYR1128" s="7"/>
      <c r="IYS1128" s="7"/>
      <c r="IYT1128" s="7"/>
      <c r="IYU1128" s="7"/>
      <c r="IYV1128" s="7"/>
      <c r="IYW1128" s="7"/>
      <c r="IYX1128" s="7"/>
      <c r="IYY1128" s="7"/>
      <c r="IYZ1128" s="7"/>
      <c r="IZA1128" s="7"/>
      <c r="IZB1128" s="7"/>
      <c r="IZC1128" s="7"/>
      <c r="IZD1128" s="7"/>
      <c r="IZE1128" s="7"/>
      <c r="IZF1128" s="7"/>
      <c r="IZG1128" s="7"/>
      <c r="IZH1128" s="7"/>
      <c r="IZI1128" s="7"/>
      <c r="IZJ1128" s="7"/>
      <c r="IZK1128" s="7"/>
      <c r="IZL1128" s="7"/>
      <c r="IZM1128" s="7"/>
      <c r="IZN1128" s="7"/>
      <c r="IZO1128" s="7"/>
      <c r="IZP1128" s="7"/>
      <c r="IZQ1128" s="7"/>
      <c r="IZR1128" s="7"/>
      <c r="IZS1128" s="7"/>
      <c r="IZT1128" s="7"/>
      <c r="IZU1128" s="7"/>
      <c r="IZV1128" s="7"/>
      <c r="IZW1128" s="7"/>
      <c r="IZX1128" s="7"/>
      <c r="IZY1128" s="7"/>
      <c r="IZZ1128" s="7"/>
      <c r="JAA1128" s="7"/>
      <c r="JAB1128" s="7"/>
      <c r="JAC1128" s="7"/>
      <c r="JAD1128" s="7"/>
      <c r="JAE1128" s="7"/>
      <c r="JAF1128" s="7"/>
      <c r="JAG1128" s="7"/>
      <c r="JAH1128" s="7"/>
      <c r="JAI1128" s="7"/>
      <c r="JAJ1128" s="7"/>
      <c r="JAK1128" s="7"/>
      <c r="JAL1128" s="7"/>
      <c r="JAM1128" s="7"/>
      <c r="JAN1128" s="7"/>
      <c r="JAO1128" s="7"/>
      <c r="JAP1128" s="7"/>
      <c r="JAQ1128" s="7"/>
      <c r="JAR1128" s="7"/>
      <c r="JAS1128" s="7"/>
      <c r="JAT1128" s="7"/>
      <c r="JAU1128" s="7"/>
      <c r="JAV1128" s="7"/>
      <c r="JAW1128" s="7"/>
      <c r="JAX1128" s="7"/>
      <c r="JAY1128" s="7"/>
      <c r="JAZ1128" s="7"/>
      <c r="JBA1128" s="7"/>
      <c r="JBB1128" s="7"/>
      <c r="JBC1128" s="7"/>
      <c r="JBD1128" s="7"/>
      <c r="JBE1128" s="7"/>
      <c r="JBF1128" s="7"/>
      <c r="JBG1128" s="7"/>
      <c r="JBH1128" s="7"/>
      <c r="JBI1128" s="7"/>
      <c r="JBJ1128" s="7"/>
      <c r="JBK1128" s="7"/>
      <c r="JBL1128" s="7"/>
      <c r="JBM1128" s="7"/>
      <c r="JBN1128" s="7"/>
      <c r="JBO1128" s="7"/>
      <c r="JBP1128" s="7"/>
      <c r="JBQ1128" s="7"/>
      <c r="JBR1128" s="7"/>
      <c r="JBS1128" s="7"/>
      <c r="JBT1128" s="7"/>
      <c r="JBU1128" s="7"/>
      <c r="JBV1128" s="7"/>
      <c r="JBW1128" s="7"/>
      <c r="JBX1128" s="7"/>
      <c r="JBY1128" s="7"/>
      <c r="JBZ1128" s="7"/>
      <c r="JCA1128" s="7"/>
      <c r="JCB1128" s="7"/>
      <c r="JCC1128" s="7"/>
      <c r="JCD1128" s="7"/>
      <c r="JCE1128" s="7"/>
      <c r="JCF1128" s="7"/>
      <c r="JCG1128" s="7"/>
      <c r="JCH1128" s="7"/>
      <c r="JCI1128" s="7"/>
      <c r="JCJ1128" s="7"/>
      <c r="JCK1128" s="7"/>
      <c r="JCL1128" s="7"/>
      <c r="JCM1128" s="7"/>
      <c r="JCN1128" s="7"/>
      <c r="JCO1128" s="7"/>
      <c r="JCP1128" s="7"/>
      <c r="JCQ1128" s="7"/>
      <c r="JCR1128" s="7"/>
      <c r="JCS1128" s="7"/>
      <c r="JCT1128" s="7"/>
      <c r="JCU1128" s="7"/>
      <c r="JCV1128" s="7"/>
      <c r="JCW1128" s="7"/>
      <c r="JCX1128" s="7"/>
      <c r="JCY1128" s="7"/>
      <c r="JCZ1128" s="7"/>
      <c r="JDA1128" s="7"/>
      <c r="JDB1128" s="7"/>
      <c r="JDC1128" s="7"/>
      <c r="JDD1128" s="7"/>
      <c r="JDE1128" s="7"/>
      <c r="JDF1128" s="7"/>
      <c r="JDG1128" s="7"/>
      <c r="JDH1128" s="7"/>
      <c r="JDI1128" s="7"/>
      <c r="JDJ1128" s="7"/>
      <c r="JDK1128" s="7"/>
      <c r="JDL1128" s="7"/>
      <c r="JDM1128" s="7"/>
      <c r="JDN1128" s="7"/>
      <c r="JDO1128" s="7"/>
      <c r="JDP1128" s="7"/>
      <c r="JDQ1128" s="7"/>
      <c r="JDR1128" s="7"/>
      <c r="JDS1128" s="7"/>
      <c r="JDT1128" s="7"/>
      <c r="JDU1128" s="7"/>
      <c r="JDV1128" s="7"/>
      <c r="JDW1128" s="7"/>
      <c r="JDX1128" s="7"/>
      <c r="JDY1128" s="7"/>
      <c r="JDZ1128" s="7"/>
      <c r="JEA1128" s="7"/>
      <c r="JEB1128" s="7"/>
      <c r="JEC1128" s="7"/>
      <c r="JED1128" s="7"/>
      <c r="JEE1128" s="7"/>
      <c r="JEF1128" s="7"/>
      <c r="JEG1128" s="7"/>
      <c r="JEH1128" s="7"/>
      <c r="JEI1128" s="7"/>
      <c r="JEJ1128" s="7"/>
      <c r="JEK1128" s="7"/>
      <c r="JEL1128" s="7"/>
      <c r="JEM1128" s="7"/>
      <c r="JEN1128" s="7"/>
      <c r="JEO1128" s="7"/>
      <c r="JEP1128" s="7"/>
      <c r="JEQ1128" s="7"/>
      <c r="JER1128" s="7"/>
      <c r="JES1128" s="7"/>
      <c r="JET1128" s="7"/>
      <c r="JEU1128" s="7"/>
      <c r="JEV1128" s="7"/>
      <c r="JEW1128" s="7"/>
      <c r="JEX1128" s="7"/>
      <c r="JEY1128" s="7"/>
      <c r="JEZ1128" s="7"/>
      <c r="JFA1128" s="7"/>
      <c r="JFB1128" s="7"/>
      <c r="JFC1128" s="7"/>
      <c r="JFD1128" s="7"/>
      <c r="JFE1128" s="7"/>
      <c r="JFF1128" s="7"/>
      <c r="JFG1128" s="7"/>
      <c r="JFH1128" s="7"/>
      <c r="JFI1128" s="7"/>
      <c r="JFJ1128" s="7"/>
      <c r="JFK1128" s="7"/>
      <c r="JFL1128" s="7"/>
      <c r="JFM1128" s="7"/>
      <c r="JFN1128" s="7"/>
      <c r="JFO1128" s="7"/>
      <c r="JFP1128" s="7"/>
      <c r="JFQ1128" s="7"/>
      <c r="JFR1128" s="7"/>
      <c r="JFS1128" s="7"/>
      <c r="JFT1128" s="7"/>
      <c r="JFU1128" s="7"/>
      <c r="JFV1128" s="7"/>
      <c r="JFW1128" s="7"/>
      <c r="JFX1128" s="7"/>
      <c r="JFY1128" s="7"/>
      <c r="JFZ1128" s="7"/>
      <c r="JGA1128" s="7"/>
      <c r="JGB1128" s="7"/>
      <c r="JGC1128" s="7"/>
      <c r="JGD1128" s="7"/>
      <c r="JGE1128" s="7"/>
      <c r="JGF1128" s="7"/>
      <c r="JGG1128" s="7"/>
      <c r="JGH1128" s="7"/>
      <c r="JGI1128" s="7"/>
      <c r="JGJ1128" s="7"/>
      <c r="JGK1128" s="7"/>
      <c r="JGL1128" s="7"/>
      <c r="JGM1128" s="7"/>
      <c r="JGN1128" s="7"/>
      <c r="JGO1128" s="7"/>
      <c r="JGP1128" s="7"/>
      <c r="JGQ1128" s="7"/>
      <c r="JGR1128" s="7"/>
      <c r="JGS1128" s="7"/>
      <c r="JGT1128" s="7"/>
      <c r="JGU1128" s="7"/>
      <c r="JGV1128" s="7"/>
      <c r="JGW1128" s="7"/>
      <c r="JGX1128" s="7"/>
      <c r="JGY1128" s="7"/>
      <c r="JGZ1128" s="7"/>
      <c r="JHA1128" s="7"/>
      <c r="JHB1128" s="7"/>
      <c r="JHC1128" s="7"/>
      <c r="JHD1128" s="7"/>
      <c r="JHE1128" s="7"/>
      <c r="JHF1128" s="7"/>
      <c r="JHG1128" s="7"/>
      <c r="JHH1128" s="7"/>
      <c r="JHI1128" s="7"/>
      <c r="JHJ1128" s="7"/>
      <c r="JHK1128" s="7"/>
      <c r="JHL1128" s="7"/>
      <c r="JHM1128" s="7"/>
      <c r="JHN1128" s="7"/>
      <c r="JHO1128" s="7"/>
      <c r="JHP1128" s="7"/>
      <c r="JHQ1128" s="7"/>
      <c r="JHR1128" s="7"/>
      <c r="JHS1128" s="7"/>
      <c r="JHT1128" s="7"/>
      <c r="JHU1128" s="7"/>
      <c r="JHV1128" s="7"/>
      <c r="JHW1128" s="7"/>
      <c r="JHX1128" s="7"/>
      <c r="JHY1128" s="7"/>
      <c r="JHZ1128" s="7"/>
      <c r="JIA1128" s="7"/>
      <c r="JIB1128" s="7"/>
      <c r="JIC1128" s="7"/>
      <c r="JID1128" s="7"/>
      <c r="JIE1128" s="7"/>
      <c r="JIF1128" s="7"/>
      <c r="JIG1128" s="7"/>
      <c r="JIH1128" s="7"/>
      <c r="JII1128" s="7"/>
      <c r="JIJ1128" s="7"/>
      <c r="JIK1128" s="7"/>
      <c r="JIL1128" s="7"/>
      <c r="JIM1128" s="7"/>
      <c r="JIN1128" s="7"/>
      <c r="JIO1128" s="7"/>
      <c r="JIP1128" s="7"/>
      <c r="JIQ1128" s="7"/>
      <c r="JIR1128" s="7"/>
      <c r="JIS1128" s="7"/>
      <c r="JIT1128" s="7"/>
      <c r="JIU1128" s="7"/>
      <c r="JIV1128" s="7"/>
      <c r="JIW1128" s="7"/>
      <c r="JIX1128" s="7"/>
      <c r="JIY1128" s="7"/>
      <c r="JIZ1128" s="7"/>
      <c r="JJA1128" s="7"/>
      <c r="JJB1128" s="7"/>
      <c r="JJC1128" s="7"/>
      <c r="JJD1128" s="7"/>
      <c r="JJE1128" s="7"/>
      <c r="JJF1128" s="7"/>
      <c r="JJG1128" s="7"/>
      <c r="JJH1128" s="7"/>
      <c r="JJI1128" s="7"/>
      <c r="JJJ1128" s="7"/>
      <c r="JJK1128" s="7"/>
      <c r="JJL1128" s="7"/>
      <c r="JJM1128" s="7"/>
      <c r="JJN1128" s="7"/>
      <c r="JJO1128" s="7"/>
      <c r="JJP1128" s="7"/>
      <c r="JJQ1128" s="7"/>
      <c r="JJR1128" s="7"/>
      <c r="JJS1128" s="7"/>
      <c r="JJT1128" s="7"/>
      <c r="JJU1128" s="7"/>
      <c r="JJV1128" s="7"/>
      <c r="JJW1128" s="7"/>
      <c r="JJX1128" s="7"/>
      <c r="JJY1128" s="7"/>
      <c r="JJZ1128" s="7"/>
      <c r="JKA1128" s="7"/>
      <c r="JKB1128" s="7"/>
      <c r="JKC1128" s="7"/>
      <c r="JKD1128" s="7"/>
      <c r="JKE1128" s="7"/>
      <c r="JKF1128" s="7"/>
      <c r="JKG1128" s="7"/>
      <c r="JKH1128" s="7"/>
      <c r="JKI1128" s="7"/>
      <c r="JKJ1128" s="7"/>
      <c r="JKK1128" s="7"/>
      <c r="JKL1128" s="7"/>
      <c r="JKM1128" s="7"/>
      <c r="JKN1128" s="7"/>
      <c r="JKO1128" s="7"/>
      <c r="JKP1128" s="7"/>
      <c r="JKQ1128" s="7"/>
      <c r="JKR1128" s="7"/>
      <c r="JKS1128" s="7"/>
      <c r="JKT1128" s="7"/>
      <c r="JKU1128" s="7"/>
      <c r="JKV1128" s="7"/>
      <c r="JKW1128" s="7"/>
      <c r="JKX1128" s="7"/>
      <c r="JKY1128" s="7"/>
      <c r="JKZ1128" s="7"/>
      <c r="JLA1128" s="7"/>
      <c r="JLB1128" s="7"/>
      <c r="JLC1128" s="7"/>
      <c r="JLD1128" s="7"/>
      <c r="JLE1128" s="7"/>
      <c r="JLF1128" s="7"/>
      <c r="JLG1128" s="7"/>
      <c r="JLH1128" s="7"/>
      <c r="JLI1128" s="7"/>
      <c r="JLJ1128" s="7"/>
      <c r="JLK1128" s="7"/>
      <c r="JLL1128" s="7"/>
      <c r="JLM1128" s="7"/>
      <c r="JLN1128" s="7"/>
      <c r="JLO1128" s="7"/>
      <c r="JLP1128" s="7"/>
      <c r="JLQ1128" s="7"/>
      <c r="JLR1128" s="7"/>
      <c r="JLS1128" s="7"/>
      <c r="JLT1128" s="7"/>
      <c r="JLU1128" s="7"/>
      <c r="JLV1128" s="7"/>
      <c r="JLW1128" s="7"/>
      <c r="JLX1128" s="7"/>
      <c r="JLY1128" s="7"/>
      <c r="JLZ1128" s="7"/>
      <c r="JMA1128" s="7"/>
      <c r="JMB1128" s="7"/>
      <c r="JMC1128" s="7"/>
      <c r="JMD1128" s="7"/>
      <c r="JME1128" s="7"/>
      <c r="JMF1128" s="7"/>
      <c r="JMG1128" s="7"/>
      <c r="JMH1128" s="7"/>
      <c r="JMI1128" s="7"/>
      <c r="JMJ1128" s="7"/>
      <c r="JMK1128" s="7"/>
      <c r="JML1128" s="7"/>
      <c r="JMM1128" s="7"/>
      <c r="JMN1128" s="7"/>
      <c r="JMO1128" s="7"/>
      <c r="JMP1128" s="7"/>
      <c r="JMQ1128" s="7"/>
      <c r="JMR1128" s="7"/>
      <c r="JMS1128" s="7"/>
      <c r="JMT1128" s="7"/>
      <c r="JMU1128" s="7"/>
      <c r="JMV1128" s="7"/>
      <c r="JMW1128" s="7"/>
      <c r="JMX1128" s="7"/>
      <c r="JMY1128" s="7"/>
      <c r="JMZ1128" s="7"/>
      <c r="JNA1128" s="7"/>
      <c r="JNB1128" s="7"/>
      <c r="JNC1128" s="7"/>
      <c r="JND1128" s="7"/>
      <c r="JNE1128" s="7"/>
      <c r="JNF1128" s="7"/>
      <c r="JNG1128" s="7"/>
      <c r="JNH1128" s="7"/>
      <c r="JNI1128" s="7"/>
      <c r="JNJ1128" s="7"/>
      <c r="JNK1128" s="7"/>
      <c r="JNL1128" s="7"/>
      <c r="JNM1128" s="7"/>
      <c r="JNN1128" s="7"/>
      <c r="JNO1128" s="7"/>
      <c r="JNP1128" s="7"/>
      <c r="JNQ1128" s="7"/>
      <c r="JNR1128" s="7"/>
      <c r="JNS1128" s="7"/>
      <c r="JNT1128" s="7"/>
      <c r="JNU1128" s="7"/>
      <c r="JNV1128" s="7"/>
      <c r="JNW1128" s="7"/>
      <c r="JNX1128" s="7"/>
      <c r="JNY1128" s="7"/>
      <c r="JNZ1128" s="7"/>
      <c r="JOA1128" s="7"/>
      <c r="JOB1128" s="7"/>
      <c r="JOC1128" s="7"/>
      <c r="JOD1128" s="7"/>
      <c r="JOE1128" s="7"/>
      <c r="JOF1128" s="7"/>
      <c r="JOG1128" s="7"/>
      <c r="JOH1128" s="7"/>
      <c r="JOI1128" s="7"/>
      <c r="JOJ1128" s="7"/>
      <c r="JOK1128" s="7"/>
      <c r="JOL1128" s="7"/>
      <c r="JOM1128" s="7"/>
      <c r="JON1128" s="7"/>
      <c r="JOO1128" s="7"/>
      <c r="JOP1128" s="7"/>
      <c r="JOQ1128" s="7"/>
      <c r="JOR1128" s="7"/>
      <c r="JOS1128" s="7"/>
      <c r="JOT1128" s="7"/>
      <c r="JOU1128" s="7"/>
      <c r="JOV1128" s="7"/>
      <c r="JOW1128" s="7"/>
      <c r="JOX1128" s="7"/>
      <c r="JOY1128" s="7"/>
      <c r="JOZ1128" s="7"/>
      <c r="JPA1128" s="7"/>
      <c r="JPB1128" s="7"/>
      <c r="JPC1128" s="7"/>
      <c r="JPD1128" s="7"/>
      <c r="JPE1128" s="7"/>
      <c r="JPF1128" s="7"/>
      <c r="JPG1128" s="7"/>
      <c r="JPH1128" s="7"/>
      <c r="JPI1128" s="7"/>
      <c r="JPJ1128" s="7"/>
      <c r="JPK1128" s="7"/>
      <c r="JPL1128" s="7"/>
      <c r="JPM1128" s="7"/>
      <c r="JPN1128" s="7"/>
      <c r="JPO1128" s="7"/>
      <c r="JPP1128" s="7"/>
      <c r="JPQ1128" s="7"/>
      <c r="JPR1128" s="7"/>
      <c r="JPS1128" s="7"/>
      <c r="JPT1128" s="7"/>
      <c r="JPU1128" s="7"/>
      <c r="JPV1128" s="7"/>
      <c r="JPW1128" s="7"/>
      <c r="JPX1128" s="7"/>
      <c r="JPY1128" s="7"/>
      <c r="JPZ1128" s="7"/>
      <c r="JQA1128" s="7"/>
      <c r="JQB1128" s="7"/>
      <c r="JQC1128" s="7"/>
      <c r="JQD1128" s="7"/>
      <c r="JQE1128" s="7"/>
      <c r="JQF1128" s="7"/>
      <c r="JQG1128" s="7"/>
      <c r="JQH1128" s="7"/>
      <c r="JQI1128" s="7"/>
      <c r="JQJ1128" s="7"/>
      <c r="JQK1128" s="7"/>
      <c r="JQL1128" s="7"/>
      <c r="JQM1128" s="7"/>
      <c r="JQN1128" s="7"/>
      <c r="JQO1128" s="7"/>
      <c r="JQP1128" s="7"/>
      <c r="JQQ1128" s="7"/>
      <c r="JQR1128" s="7"/>
      <c r="JQS1128" s="7"/>
      <c r="JQT1128" s="7"/>
      <c r="JQU1128" s="7"/>
      <c r="JQV1128" s="7"/>
      <c r="JQW1128" s="7"/>
      <c r="JQX1128" s="7"/>
      <c r="JQY1128" s="7"/>
      <c r="JQZ1128" s="7"/>
      <c r="JRA1128" s="7"/>
      <c r="JRB1128" s="7"/>
      <c r="JRC1128" s="7"/>
      <c r="JRD1128" s="7"/>
      <c r="JRE1128" s="7"/>
      <c r="JRF1128" s="7"/>
      <c r="JRG1128" s="7"/>
      <c r="JRH1128" s="7"/>
      <c r="JRI1128" s="7"/>
      <c r="JRJ1128" s="7"/>
      <c r="JRK1128" s="7"/>
      <c r="JRL1128" s="7"/>
      <c r="JRM1128" s="7"/>
      <c r="JRN1128" s="7"/>
      <c r="JRO1128" s="7"/>
      <c r="JRP1128" s="7"/>
      <c r="JRQ1128" s="7"/>
      <c r="JRR1128" s="7"/>
      <c r="JRS1128" s="7"/>
      <c r="JRT1128" s="7"/>
      <c r="JRU1128" s="7"/>
      <c r="JRV1128" s="7"/>
      <c r="JRW1128" s="7"/>
      <c r="JRX1128" s="7"/>
      <c r="JRY1128" s="7"/>
      <c r="JRZ1128" s="7"/>
      <c r="JSA1128" s="7"/>
      <c r="JSB1128" s="7"/>
      <c r="JSC1128" s="7"/>
      <c r="JSD1128" s="7"/>
      <c r="JSE1128" s="7"/>
      <c r="JSF1128" s="7"/>
      <c r="JSG1128" s="7"/>
      <c r="JSH1128" s="7"/>
      <c r="JSI1128" s="7"/>
      <c r="JSJ1128" s="7"/>
      <c r="JSK1128" s="7"/>
      <c r="JSL1128" s="7"/>
      <c r="JSM1128" s="7"/>
      <c r="JSN1128" s="7"/>
      <c r="JSO1128" s="7"/>
      <c r="JSP1128" s="7"/>
      <c r="JSQ1128" s="7"/>
      <c r="JSR1128" s="7"/>
      <c r="JSS1128" s="7"/>
      <c r="JST1128" s="7"/>
      <c r="JSU1128" s="7"/>
      <c r="JSV1128" s="7"/>
      <c r="JSW1128" s="7"/>
      <c r="JSX1128" s="7"/>
      <c r="JSY1128" s="7"/>
      <c r="JSZ1128" s="7"/>
      <c r="JTA1128" s="7"/>
      <c r="JTB1128" s="7"/>
      <c r="JTC1128" s="7"/>
      <c r="JTD1128" s="7"/>
      <c r="JTE1128" s="7"/>
      <c r="JTF1128" s="7"/>
      <c r="JTG1128" s="7"/>
      <c r="JTH1128" s="7"/>
      <c r="JTI1128" s="7"/>
      <c r="JTJ1128" s="7"/>
      <c r="JTK1128" s="7"/>
      <c r="JTL1128" s="7"/>
      <c r="JTM1128" s="7"/>
      <c r="JTN1128" s="7"/>
      <c r="JTO1128" s="7"/>
      <c r="JTP1128" s="7"/>
      <c r="JTQ1128" s="7"/>
      <c r="JTR1128" s="7"/>
      <c r="JTS1128" s="7"/>
      <c r="JTT1128" s="7"/>
      <c r="JTU1128" s="7"/>
      <c r="JTV1128" s="7"/>
      <c r="JTW1128" s="7"/>
      <c r="JTX1128" s="7"/>
      <c r="JTY1128" s="7"/>
      <c r="JTZ1128" s="7"/>
      <c r="JUA1128" s="7"/>
      <c r="JUB1128" s="7"/>
      <c r="JUC1128" s="7"/>
      <c r="JUD1128" s="7"/>
      <c r="JUE1128" s="7"/>
      <c r="JUF1128" s="7"/>
      <c r="JUG1128" s="7"/>
      <c r="JUH1128" s="7"/>
      <c r="JUI1128" s="7"/>
      <c r="JUJ1128" s="7"/>
      <c r="JUK1128" s="7"/>
      <c r="JUL1128" s="7"/>
      <c r="JUM1128" s="7"/>
      <c r="JUN1128" s="7"/>
      <c r="JUO1128" s="7"/>
      <c r="JUP1128" s="7"/>
      <c r="JUQ1128" s="7"/>
      <c r="JUR1128" s="7"/>
      <c r="JUS1128" s="7"/>
      <c r="JUT1128" s="7"/>
      <c r="JUU1128" s="7"/>
      <c r="JUV1128" s="7"/>
      <c r="JUW1128" s="7"/>
      <c r="JUX1128" s="7"/>
      <c r="JUY1128" s="7"/>
      <c r="JUZ1128" s="7"/>
      <c r="JVA1128" s="7"/>
      <c r="JVB1128" s="7"/>
      <c r="JVC1128" s="7"/>
      <c r="JVD1128" s="7"/>
      <c r="JVE1128" s="7"/>
      <c r="JVF1128" s="7"/>
      <c r="JVG1128" s="7"/>
      <c r="JVH1128" s="7"/>
      <c r="JVI1128" s="7"/>
      <c r="JVJ1128" s="7"/>
      <c r="JVK1128" s="7"/>
      <c r="JVL1128" s="7"/>
      <c r="JVM1128" s="7"/>
      <c r="JVN1128" s="7"/>
      <c r="JVO1128" s="7"/>
      <c r="JVP1128" s="7"/>
      <c r="JVQ1128" s="7"/>
      <c r="JVR1128" s="7"/>
      <c r="JVS1128" s="7"/>
      <c r="JVT1128" s="7"/>
      <c r="JVU1128" s="7"/>
      <c r="JVV1128" s="7"/>
      <c r="JVW1128" s="7"/>
      <c r="JVX1128" s="7"/>
      <c r="JVY1128" s="7"/>
      <c r="JVZ1128" s="7"/>
      <c r="JWA1128" s="7"/>
      <c r="JWB1128" s="7"/>
      <c r="JWC1128" s="7"/>
      <c r="JWD1128" s="7"/>
      <c r="JWE1128" s="7"/>
      <c r="JWF1128" s="7"/>
      <c r="JWG1128" s="7"/>
      <c r="JWH1128" s="7"/>
      <c r="JWI1128" s="7"/>
      <c r="JWJ1128" s="7"/>
      <c r="JWK1128" s="7"/>
      <c r="JWL1128" s="7"/>
      <c r="JWM1128" s="7"/>
      <c r="JWN1128" s="7"/>
      <c r="JWO1128" s="7"/>
      <c r="JWP1128" s="7"/>
      <c r="JWQ1128" s="7"/>
      <c r="JWR1128" s="7"/>
      <c r="JWS1128" s="7"/>
      <c r="JWT1128" s="7"/>
      <c r="JWU1128" s="7"/>
      <c r="JWV1128" s="7"/>
      <c r="JWW1128" s="7"/>
      <c r="JWX1128" s="7"/>
      <c r="JWY1128" s="7"/>
      <c r="JWZ1128" s="7"/>
      <c r="JXA1128" s="7"/>
      <c r="JXB1128" s="7"/>
      <c r="JXC1128" s="7"/>
      <c r="JXD1128" s="7"/>
      <c r="JXE1128" s="7"/>
      <c r="JXF1128" s="7"/>
      <c r="JXG1128" s="7"/>
      <c r="JXH1128" s="7"/>
      <c r="JXI1128" s="7"/>
      <c r="JXJ1128" s="7"/>
      <c r="JXK1128" s="7"/>
      <c r="JXL1128" s="7"/>
      <c r="JXM1128" s="7"/>
      <c r="JXN1128" s="7"/>
      <c r="JXO1128" s="7"/>
      <c r="JXP1128" s="7"/>
      <c r="JXQ1128" s="7"/>
      <c r="JXR1128" s="7"/>
      <c r="JXS1128" s="7"/>
      <c r="JXT1128" s="7"/>
      <c r="JXU1128" s="7"/>
      <c r="JXV1128" s="7"/>
      <c r="JXW1128" s="7"/>
      <c r="JXX1128" s="7"/>
      <c r="JXY1128" s="7"/>
      <c r="JXZ1128" s="7"/>
      <c r="JYA1128" s="7"/>
      <c r="JYB1128" s="7"/>
      <c r="JYC1128" s="7"/>
      <c r="JYD1128" s="7"/>
      <c r="JYE1128" s="7"/>
      <c r="JYF1128" s="7"/>
      <c r="JYG1128" s="7"/>
      <c r="JYH1128" s="7"/>
      <c r="JYI1128" s="7"/>
      <c r="JYJ1128" s="7"/>
      <c r="JYK1128" s="7"/>
      <c r="JYL1128" s="7"/>
      <c r="JYM1128" s="7"/>
      <c r="JYN1128" s="7"/>
      <c r="JYO1128" s="7"/>
      <c r="JYP1128" s="7"/>
      <c r="JYQ1128" s="7"/>
      <c r="JYR1128" s="7"/>
      <c r="JYS1128" s="7"/>
      <c r="JYT1128" s="7"/>
      <c r="JYU1128" s="7"/>
      <c r="JYV1128" s="7"/>
      <c r="JYW1128" s="7"/>
      <c r="JYX1128" s="7"/>
      <c r="JYY1128" s="7"/>
      <c r="JYZ1128" s="7"/>
      <c r="JZA1128" s="7"/>
      <c r="JZB1128" s="7"/>
      <c r="JZC1128" s="7"/>
      <c r="JZD1128" s="7"/>
      <c r="JZE1128" s="7"/>
      <c r="JZF1128" s="7"/>
      <c r="JZG1128" s="7"/>
      <c r="JZH1128" s="7"/>
      <c r="JZI1128" s="7"/>
      <c r="JZJ1128" s="7"/>
      <c r="JZK1128" s="7"/>
      <c r="JZL1128" s="7"/>
      <c r="JZM1128" s="7"/>
      <c r="JZN1128" s="7"/>
      <c r="JZO1128" s="7"/>
      <c r="JZP1128" s="7"/>
      <c r="JZQ1128" s="7"/>
      <c r="JZR1128" s="7"/>
      <c r="JZS1128" s="7"/>
      <c r="JZT1128" s="7"/>
      <c r="JZU1128" s="7"/>
      <c r="JZV1128" s="7"/>
      <c r="JZW1128" s="7"/>
      <c r="JZX1128" s="7"/>
      <c r="JZY1128" s="7"/>
      <c r="JZZ1128" s="7"/>
      <c r="KAA1128" s="7"/>
      <c r="KAB1128" s="7"/>
      <c r="KAC1128" s="7"/>
      <c r="KAD1128" s="7"/>
      <c r="KAE1128" s="7"/>
      <c r="KAF1128" s="7"/>
      <c r="KAG1128" s="7"/>
      <c r="KAH1128" s="7"/>
      <c r="KAI1128" s="7"/>
      <c r="KAJ1128" s="7"/>
      <c r="KAK1128" s="7"/>
      <c r="KAL1128" s="7"/>
      <c r="KAM1128" s="7"/>
      <c r="KAN1128" s="7"/>
      <c r="KAO1128" s="7"/>
      <c r="KAP1128" s="7"/>
      <c r="KAQ1128" s="7"/>
      <c r="KAR1128" s="7"/>
      <c r="KAS1128" s="7"/>
      <c r="KAT1128" s="7"/>
      <c r="KAU1128" s="7"/>
      <c r="KAV1128" s="7"/>
      <c r="KAW1128" s="7"/>
      <c r="KAX1128" s="7"/>
      <c r="KAY1128" s="7"/>
      <c r="KAZ1128" s="7"/>
      <c r="KBA1128" s="7"/>
      <c r="KBB1128" s="7"/>
      <c r="KBC1128" s="7"/>
      <c r="KBD1128" s="7"/>
      <c r="KBE1128" s="7"/>
      <c r="KBF1128" s="7"/>
      <c r="KBG1128" s="7"/>
      <c r="KBH1128" s="7"/>
      <c r="KBI1128" s="7"/>
      <c r="KBJ1128" s="7"/>
      <c r="KBK1128" s="7"/>
      <c r="KBL1128" s="7"/>
      <c r="KBM1128" s="7"/>
      <c r="KBN1128" s="7"/>
      <c r="KBO1128" s="7"/>
      <c r="KBP1128" s="7"/>
      <c r="KBQ1128" s="7"/>
      <c r="KBR1128" s="7"/>
      <c r="KBS1128" s="7"/>
      <c r="KBT1128" s="7"/>
      <c r="KBU1128" s="7"/>
      <c r="KBV1128" s="7"/>
      <c r="KBW1128" s="7"/>
      <c r="KBX1128" s="7"/>
      <c r="KBY1128" s="7"/>
      <c r="KBZ1128" s="7"/>
      <c r="KCA1128" s="7"/>
      <c r="KCB1128" s="7"/>
      <c r="KCC1128" s="7"/>
      <c r="KCD1128" s="7"/>
      <c r="KCE1128" s="7"/>
      <c r="KCF1128" s="7"/>
      <c r="KCG1128" s="7"/>
      <c r="KCH1128" s="7"/>
      <c r="KCI1128" s="7"/>
      <c r="KCJ1128" s="7"/>
      <c r="KCK1128" s="7"/>
      <c r="KCL1128" s="7"/>
      <c r="KCM1128" s="7"/>
      <c r="KCN1128" s="7"/>
      <c r="KCO1128" s="7"/>
      <c r="KCP1128" s="7"/>
      <c r="KCQ1128" s="7"/>
      <c r="KCR1128" s="7"/>
      <c r="KCS1128" s="7"/>
      <c r="KCT1128" s="7"/>
      <c r="KCU1128" s="7"/>
      <c r="KCV1128" s="7"/>
      <c r="KCW1128" s="7"/>
      <c r="KCX1128" s="7"/>
      <c r="KCY1128" s="7"/>
      <c r="KCZ1128" s="7"/>
      <c r="KDA1128" s="7"/>
      <c r="KDB1128" s="7"/>
      <c r="KDC1128" s="7"/>
      <c r="KDD1128" s="7"/>
      <c r="KDE1128" s="7"/>
      <c r="KDF1128" s="7"/>
      <c r="KDG1128" s="7"/>
      <c r="KDH1128" s="7"/>
      <c r="KDI1128" s="7"/>
      <c r="KDJ1128" s="7"/>
      <c r="KDK1128" s="7"/>
      <c r="KDL1128" s="7"/>
      <c r="KDM1128" s="7"/>
      <c r="KDN1128" s="7"/>
      <c r="KDO1128" s="7"/>
      <c r="KDP1128" s="7"/>
      <c r="KDQ1128" s="7"/>
      <c r="KDR1128" s="7"/>
      <c r="KDS1128" s="7"/>
      <c r="KDT1128" s="7"/>
      <c r="KDU1128" s="7"/>
      <c r="KDV1128" s="7"/>
      <c r="KDW1128" s="7"/>
      <c r="KDX1128" s="7"/>
      <c r="KDY1128" s="7"/>
      <c r="KDZ1128" s="7"/>
      <c r="KEA1128" s="7"/>
      <c r="KEB1128" s="7"/>
      <c r="KEC1128" s="7"/>
      <c r="KED1128" s="7"/>
      <c r="KEE1128" s="7"/>
      <c r="KEF1128" s="7"/>
      <c r="KEG1128" s="7"/>
      <c r="KEH1128" s="7"/>
      <c r="KEI1128" s="7"/>
      <c r="KEJ1128" s="7"/>
      <c r="KEK1128" s="7"/>
      <c r="KEL1128" s="7"/>
      <c r="KEM1128" s="7"/>
      <c r="KEN1128" s="7"/>
      <c r="KEO1128" s="7"/>
      <c r="KEP1128" s="7"/>
      <c r="KEQ1128" s="7"/>
      <c r="KER1128" s="7"/>
      <c r="KES1128" s="7"/>
      <c r="KET1128" s="7"/>
      <c r="KEU1128" s="7"/>
      <c r="KEV1128" s="7"/>
      <c r="KEW1128" s="7"/>
      <c r="KEX1128" s="7"/>
      <c r="KEY1128" s="7"/>
      <c r="KEZ1128" s="7"/>
      <c r="KFA1128" s="7"/>
      <c r="KFB1128" s="7"/>
      <c r="KFC1128" s="7"/>
      <c r="KFD1128" s="7"/>
      <c r="KFE1128" s="7"/>
      <c r="KFF1128" s="7"/>
      <c r="KFG1128" s="7"/>
      <c r="KFH1128" s="7"/>
      <c r="KFI1128" s="7"/>
      <c r="KFJ1128" s="7"/>
      <c r="KFK1128" s="7"/>
      <c r="KFL1128" s="7"/>
      <c r="KFM1128" s="7"/>
      <c r="KFN1128" s="7"/>
      <c r="KFO1128" s="7"/>
      <c r="KFP1128" s="7"/>
      <c r="KFQ1128" s="7"/>
      <c r="KFR1128" s="7"/>
      <c r="KFS1128" s="7"/>
      <c r="KFT1128" s="7"/>
      <c r="KFU1128" s="7"/>
      <c r="KFV1128" s="7"/>
      <c r="KFW1128" s="7"/>
      <c r="KFX1128" s="7"/>
      <c r="KFY1128" s="7"/>
      <c r="KFZ1128" s="7"/>
      <c r="KGA1128" s="7"/>
      <c r="KGB1128" s="7"/>
      <c r="KGC1128" s="7"/>
      <c r="KGD1128" s="7"/>
      <c r="KGE1128" s="7"/>
      <c r="KGF1128" s="7"/>
      <c r="KGG1128" s="7"/>
      <c r="KGH1128" s="7"/>
      <c r="KGI1128" s="7"/>
      <c r="KGJ1128" s="7"/>
      <c r="KGK1128" s="7"/>
      <c r="KGL1128" s="7"/>
      <c r="KGM1128" s="7"/>
      <c r="KGN1128" s="7"/>
      <c r="KGO1128" s="7"/>
      <c r="KGP1128" s="7"/>
      <c r="KGQ1128" s="7"/>
      <c r="KGR1128" s="7"/>
      <c r="KGS1128" s="7"/>
      <c r="KGT1128" s="7"/>
      <c r="KGU1128" s="7"/>
      <c r="KGV1128" s="7"/>
      <c r="KGW1128" s="7"/>
      <c r="KGX1128" s="7"/>
      <c r="KGY1128" s="7"/>
      <c r="KGZ1128" s="7"/>
      <c r="KHA1128" s="7"/>
      <c r="KHB1128" s="7"/>
      <c r="KHC1128" s="7"/>
      <c r="KHD1128" s="7"/>
      <c r="KHE1128" s="7"/>
      <c r="KHF1128" s="7"/>
      <c r="KHG1128" s="7"/>
      <c r="KHH1128" s="7"/>
      <c r="KHI1128" s="7"/>
      <c r="KHJ1128" s="7"/>
      <c r="KHK1128" s="7"/>
      <c r="KHL1128" s="7"/>
      <c r="KHM1128" s="7"/>
      <c r="KHN1128" s="7"/>
      <c r="KHO1128" s="7"/>
      <c r="KHP1128" s="7"/>
      <c r="KHQ1128" s="7"/>
      <c r="KHR1128" s="7"/>
      <c r="KHS1128" s="7"/>
      <c r="KHT1128" s="7"/>
      <c r="KHU1128" s="7"/>
      <c r="KHV1128" s="7"/>
      <c r="KHW1128" s="7"/>
      <c r="KHX1128" s="7"/>
      <c r="KHY1128" s="7"/>
      <c r="KHZ1128" s="7"/>
      <c r="KIA1128" s="7"/>
      <c r="KIB1128" s="7"/>
      <c r="KIC1128" s="7"/>
      <c r="KID1128" s="7"/>
      <c r="KIE1128" s="7"/>
      <c r="KIF1128" s="7"/>
      <c r="KIG1128" s="7"/>
      <c r="KIH1128" s="7"/>
      <c r="KII1128" s="7"/>
      <c r="KIJ1128" s="7"/>
      <c r="KIK1128" s="7"/>
      <c r="KIL1128" s="7"/>
      <c r="KIM1128" s="7"/>
      <c r="KIN1128" s="7"/>
      <c r="KIO1128" s="7"/>
      <c r="KIP1128" s="7"/>
      <c r="KIQ1128" s="7"/>
      <c r="KIR1128" s="7"/>
      <c r="KIS1128" s="7"/>
      <c r="KIT1128" s="7"/>
      <c r="KIU1128" s="7"/>
      <c r="KIV1128" s="7"/>
      <c r="KIW1128" s="7"/>
      <c r="KIX1128" s="7"/>
      <c r="KIY1128" s="7"/>
      <c r="KIZ1128" s="7"/>
      <c r="KJA1128" s="7"/>
      <c r="KJB1128" s="7"/>
      <c r="KJC1128" s="7"/>
      <c r="KJD1128" s="7"/>
      <c r="KJE1128" s="7"/>
      <c r="KJF1128" s="7"/>
      <c r="KJG1128" s="7"/>
      <c r="KJH1128" s="7"/>
      <c r="KJI1128" s="7"/>
      <c r="KJJ1128" s="7"/>
      <c r="KJK1128" s="7"/>
      <c r="KJL1128" s="7"/>
      <c r="KJM1128" s="7"/>
      <c r="KJN1128" s="7"/>
      <c r="KJO1128" s="7"/>
      <c r="KJP1128" s="7"/>
      <c r="KJQ1128" s="7"/>
      <c r="KJR1128" s="7"/>
      <c r="KJS1128" s="7"/>
      <c r="KJT1128" s="7"/>
      <c r="KJU1128" s="7"/>
      <c r="KJV1128" s="7"/>
      <c r="KJW1128" s="7"/>
      <c r="KJX1128" s="7"/>
      <c r="KJY1128" s="7"/>
      <c r="KJZ1128" s="7"/>
      <c r="KKA1128" s="7"/>
      <c r="KKB1128" s="7"/>
      <c r="KKC1128" s="7"/>
      <c r="KKD1128" s="7"/>
      <c r="KKE1128" s="7"/>
      <c r="KKF1128" s="7"/>
      <c r="KKG1128" s="7"/>
      <c r="KKH1128" s="7"/>
      <c r="KKI1128" s="7"/>
      <c r="KKJ1128" s="7"/>
      <c r="KKK1128" s="7"/>
      <c r="KKL1128" s="7"/>
      <c r="KKM1128" s="7"/>
      <c r="KKN1128" s="7"/>
      <c r="KKO1128" s="7"/>
      <c r="KKP1128" s="7"/>
      <c r="KKQ1128" s="7"/>
      <c r="KKR1128" s="7"/>
      <c r="KKS1128" s="7"/>
      <c r="KKT1128" s="7"/>
      <c r="KKU1128" s="7"/>
      <c r="KKV1128" s="7"/>
      <c r="KKW1128" s="7"/>
      <c r="KKX1128" s="7"/>
      <c r="KKY1128" s="7"/>
      <c r="KKZ1128" s="7"/>
      <c r="KLA1128" s="7"/>
      <c r="KLB1128" s="7"/>
      <c r="KLC1128" s="7"/>
      <c r="KLD1128" s="7"/>
      <c r="KLE1128" s="7"/>
      <c r="KLF1128" s="7"/>
      <c r="KLG1128" s="7"/>
      <c r="KLH1128" s="7"/>
      <c r="KLI1128" s="7"/>
      <c r="KLJ1128" s="7"/>
      <c r="KLK1128" s="7"/>
      <c r="KLL1128" s="7"/>
      <c r="KLM1128" s="7"/>
      <c r="KLN1128" s="7"/>
      <c r="KLO1128" s="7"/>
      <c r="KLP1128" s="7"/>
      <c r="KLQ1128" s="7"/>
      <c r="KLR1128" s="7"/>
      <c r="KLS1128" s="7"/>
      <c r="KLT1128" s="7"/>
      <c r="KLU1128" s="7"/>
      <c r="KLV1128" s="7"/>
      <c r="KLW1128" s="7"/>
      <c r="KLX1128" s="7"/>
      <c r="KLY1128" s="7"/>
      <c r="KLZ1128" s="7"/>
      <c r="KMA1128" s="7"/>
      <c r="KMB1128" s="7"/>
      <c r="KMC1128" s="7"/>
      <c r="KMD1128" s="7"/>
      <c r="KME1128" s="7"/>
      <c r="KMF1128" s="7"/>
      <c r="KMG1128" s="7"/>
      <c r="KMH1128" s="7"/>
      <c r="KMI1128" s="7"/>
      <c r="KMJ1128" s="7"/>
      <c r="KMK1128" s="7"/>
      <c r="KML1128" s="7"/>
      <c r="KMM1128" s="7"/>
      <c r="KMN1128" s="7"/>
      <c r="KMO1128" s="7"/>
      <c r="KMP1128" s="7"/>
      <c r="KMQ1128" s="7"/>
      <c r="KMR1128" s="7"/>
      <c r="KMS1128" s="7"/>
      <c r="KMT1128" s="7"/>
      <c r="KMU1128" s="7"/>
      <c r="KMV1128" s="7"/>
      <c r="KMW1128" s="7"/>
      <c r="KMX1128" s="7"/>
      <c r="KMY1128" s="7"/>
      <c r="KMZ1128" s="7"/>
      <c r="KNA1128" s="7"/>
      <c r="KNB1128" s="7"/>
      <c r="KNC1128" s="7"/>
      <c r="KND1128" s="7"/>
      <c r="KNE1128" s="7"/>
      <c r="KNF1128" s="7"/>
      <c r="KNG1128" s="7"/>
      <c r="KNH1128" s="7"/>
      <c r="KNI1128" s="7"/>
      <c r="KNJ1128" s="7"/>
      <c r="KNK1128" s="7"/>
      <c r="KNL1128" s="7"/>
      <c r="KNM1128" s="7"/>
      <c r="KNN1128" s="7"/>
      <c r="KNO1128" s="7"/>
      <c r="KNP1128" s="7"/>
      <c r="KNQ1128" s="7"/>
      <c r="KNR1128" s="7"/>
      <c r="KNS1128" s="7"/>
      <c r="KNT1128" s="7"/>
      <c r="KNU1128" s="7"/>
      <c r="KNV1128" s="7"/>
      <c r="KNW1128" s="7"/>
      <c r="KNX1128" s="7"/>
      <c r="KNY1128" s="7"/>
      <c r="KNZ1128" s="7"/>
      <c r="KOA1128" s="7"/>
      <c r="KOB1128" s="7"/>
      <c r="KOC1128" s="7"/>
      <c r="KOD1128" s="7"/>
      <c r="KOE1128" s="7"/>
      <c r="KOF1128" s="7"/>
      <c r="KOG1128" s="7"/>
      <c r="KOH1128" s="7"/>
      <c r="KOI1128" s="7"/>
      <c r="KOJ1128" s="7"/>
      <c r="KOK1128" s="7"/>
      <c r="KOL1128" s="7"/>
      <c r="KOM1128" s="7"/>
      <c r="KON1128" s="7"/>
      <c r="KOO1128" s="7"/>
      <c r="KOP1128" s="7"/>
      <c r="KOQ1128" s="7"/>
      <c r="KOR1128" s="7"/>
      <c r="KOS1128" s="7"/>
      <c r="KOT1128" s="7"/>
      <c r="KOU1128" s="7"/>
      <c r="KOV1128" s="7"/>
      <c r="KOW1128" s="7"/>
      <c r="KOX1128" s="7"/>
      <c r="KOY1128" s="7"/>
      <c r="KOZ1128" s="7"/>
      <c r="KPA1128" s="7"/>
      <c r="KPB1128" s="7"/>
      <c r="KPC1128" s="7"/>
      <c r="KPD1128" s="7"/>
      <c r="KPE1128" s="7"/>
      <c r="KPF1128" s="7"/>
      <c r="KPG1128" s="7"/>
      <c r="KPH1128" s="7"/>
      <c r="KPI1128" s="7"/>
      <c r="KPJ1128" s="7"/>
      <c r="KPK1128" s="7"/>
      <c r="KPL1128" s="7"/>
      <c r="KPM1128" s="7"/>
      <c r="KPN1128" s="7"/>
      <c r="KPO1128" s="7"/>
      <c r="KPP1128" s="7"/>
      <c r="KPQ1128" s="7"/>
      <c r="KPR1128" s="7"/>
      <c r="KPS1128" s="7"/>
      <c r="KPT1128" s="7"/>
      <c r="KPU1128" s="7"/>
      <c r="KPV1128" s="7"/>
      <c r="KPW1128" s="7"/>
      <c r="KPX1128" s="7"/>
      <c r="KPY1128" s="7"/>
      <c r="KPZ1128" s="7"/>
      <c r="KQA1128" s="7"/>
      <c r="KQB1128" s="7"/>
      <c r="KQC1128" s="7"/>
      <c r="KQD1128" s="7"/>
      <c r="KQE1128" s="7"/>
      <c r="KQF1128" s="7"/>
      <c r="KQG1128" s="7"/>
      <c r="KQH1128" s="7"/>
      <c r="KQI1128" s="7"/>
      <c r="KQJ1128" s="7"/>
      <c r="KQK1128" s="7"/>
      <c r="KQL1128" s="7"/>
      <c r="KQM1128" s="7"/>
      <c r="KQN1128" s="7"/>
      <c r="KQO1128" s="7"/>
      <c r="KQP1128" s="7"/>
      <c r="KQQ1128" s="7"/>
      <c r="KQR1128" s="7"/>
      <c r="KQS1128" s="7"/>
      <c r="KQT1128" s="7"/>
      <c r="KQU1128" s="7"/>
      <c r="KQV1128" s="7"/>
      <c r="KQW1128" s="7"/>
      <c r="KQX1128" s="7"/>
      <c r="KQY1128" s="7"/>
      <c r="KQZ1128" s="7"/>
      <c r="KRA1128" s="7"/>
      <c r="KRB1128" s="7"/>
      <c r="KRC1128" s="7"/>
      <c r="KRD1128" s="7"/>
      <c r="KRE1128" s="7"/>
      <c r="KRF1128" s="7"/>
      <c r="KRG1128" s="7"/>
      <c r="KRH1128" s="7"/>
      <c r="KRI1128" s="7"/>
      <c r="KRJ1128" s="7"/>
      <c r="KRK1128" s="7"/>
      <c r="KRL1128" s="7"/>
      <c r="KRM1128" s="7"/>
      <c r="KRN1128" s="7"/>
      <c r="KRO1128" s="7"/>
      <c r="KRP1128" s="7"/>
      <c r="KRQ1128" s="7"/>
      <c r="KRR1128" s="7"/>
      <c r="KRS1128" s="7"/>
      <c r="KRT1128" s="7"/>
      <c r="KRU1128" s="7"/>
      <c r="KRV1128" s="7"/>
      <c r="KRW1128" s="7"/>
      <c r="KRX1128" s="7"/>
      <c r="KRY1128" s="7"/>
      <c r="KRZ1128" s="7"/>
      <c r="KSA1128" s="7"/>
      <c r="KSB1128" s="7"/>
      <c r="KSC1128" s="7"/>
      <c r="KSD1128" s="7"/>
      <c r="KSE1128" s="7"/>
      <c r="KSF1128" s="7"/>
      <c r="KSG1128" s="7"/>
      <c r="KSH1128" s="7"/>
      <c r="KSI1128" s="7"/>
      <c r="KSJ1128" s="7"/>
      <c r="KSK1128" s="7"/>
      <c r="KSL1128" s="7"/>
      <c r="KSM1128" s="7"/>
      <c r="KSN1128" s="7"/>
      <c r="KSO1128" s="7"/>
      <c r="KSP1128" s="7"/>
      <c r="KSQ1128" s="7"/>
      <c r="KSR1128" s="7"/>
      <c r="KSS1128" s="7"/>
      <c r="KST1128" s="7"/>
      <c r="KSU1128" s="7"/>
      <c r="KSV1128" s="7"/>
      <c r="KSW1128" s="7"/>
      <c r="KSX1128" s="7"/>
      <c r="KSY1128" s="7"/>
      <c r="KSZ1128" s="7"/>
      <c r="KTA1128" s="7"/>
      <c r="KTB1128" s="7"/>
      <c r="KTC1128" s="7"/>
      <c r="KTD1128" s="7"/>
      <c r="KTE1128" s="7"/>
      <c r="KTF1128" s="7"/>
      <c r="KTG1128" s="7"/>
      <c r="KTH1128" s="7"/>
      <c r="KTI1128" s="7"/>
      <c r="KTJ1128" s="7"/>
      <c r="KTK1128" s="7"/>
      <c r="KTL1128" s="7"/>
      <c r="KTM1128" s="7"/>
      <c r="KTN1128" s="7"/>
      <c r="KTO1128" s="7"/>
      <c r="KTP1128" s="7"/>
      <c r="KTQ1128" s="7"/>
      <c r="KTR1128" s="7"/>
      <c r="KTS1128" s="7"/>
      <c r="KTT1128" s="7"/>
      <c r="KTU1128" s="7"/>
      <c r="KTV1128" s="7"/>
      <c r="KTW1128" s="7"/>
      <c r="KTX1128" s="7"/>
      <c r="KTY1128" s="7"/>
      <c r="KTZ1128" s="7"/>
      <c r="KUA1128" s="7"/>
      <c r="KUB1128" s="7"/>
      <c r="KUC1128" s="7"/>
      <c r="KUD1128" s="7"/>
      <c r="KUE1128" s="7"/>
      <c r="KUF1128" s="7"/>
      <c r="KUG1128" s="7"/>
      <c r="KUH1128" s="7"/>
      <c r="KUI1128" s="7"/>
      <c r="KUJ1128" s="7"/>
      <c r="KUK1128" s="7"/>
      <c r="KUL1128" s="7"/>
      <c r="KUM1128" s="7"/>
      <c r="KUN1128" s="7"/>
      <c r="KUO1128" s="7"/>
      <c r="KUP1128" s="7"/>
      <c r="KUQ1128" s="7"/>
      <c r="KUR1128" s="7"/>
      <c r="KUS1128" s="7"/>
      <c r="KUT1128" s="7"/>
      <c r="KUU1128" s="7"/>
      <c r="KUV1128" s="7"/>
      <c r="KUW1128" s="7"/>
      <c r="KUX1128" s="7"/>
      <c r="KUY1128" s="7"/>
      <c r="KUZ1128" s="7"/>
      <c r="KVA1128" s="7"/>
      <c r="KVB1128" s="7"/>
      <c r="KVC1128" s="7"/>
      <c r="KVD1128" s="7"/>
      <c r="KVE1128" s="7"/>
      <c r="KVF1128" s="7"/>
      <c r="KVG1128" s="7"/>
      <c r="KVH1128" s="7"/>
      <c r="KVI1128" s="7"/>
      <c r="KVJ1128" s="7"/>
      <c r="KVK1128" s="7"/>
      <c r="KVL1128" s="7"/>
      <c r="KVM1128" s="7"/>
      <c r="KVN1128" s="7"/>
      <c r="KVO1128" s="7"/>
      <c r="KVP1128" s="7"/>
      <c r="KVQ1128" s="7"/>
      <c r="KVR1128" s="7"/>
      <c r="KVS1128" s="7"/>
      <c r="KVT1128" s="7"/>
      <c r="KVU1128" s="7"/>
      <c r="KVV1128" s="7"/>
      <c r="KVW1128" s="7"/>
      <c r="KVX1128" s="7"/>
      <c r="KVY1128" s="7"/>
      <c r="KVZ1128" s="7"/>
      <c r="KWA1128" s="7"/>
      <c r="KWB1128" s="7"/>
      <c r="KWC1128" s="7"/>
      <c r="KWD1128" s="7"/>
      <c r="KWE1128" s="7"/>
      <c r="KWF1128" s="7"/>
      <c r="KWG1128" s="7"/>
      <c r="KWH1128" s="7"/>
      <c r="KWI1128" s="7"/>
      <c r="KWJ1128" s="7"/>
      <c r="KWK1128" s="7"/>
      <c r="KWL1128" s="7"/>
      <c r="KWM1128" s="7"/>
      <c r="KWN1128" s="7"/>
      <c r="KWO1128" s="7"/>
      <c r="KWP1128" s="7"/>
      <c r="KWQ1128" s="7"/>
      <c r="KWR1128" s="7"/>
      <c r="KWS1128" s="7"/>
      <c r="KWT1128" s="7"/>
      <c r="KWU1128" s="7"/>
      <c r="KWV1128" s="7"/>
      <c r="KWW1128" s="7"/>
      <c r="KWX1128" s="7"/>
      <c r="KWY1128" s="7"/>
      <c r="KWZ1128" s="7"/>
      <c r="KXA1128" s="7"/>
      <c r="KXB1128" s="7"/>
      <c r="KXC1128" s="7"/>
      <c r="KXD1128" s="7"/>
      <c r="KXE1128" s="7"/>
      <c r="KXF1128" s="7"/>
      <c r="KXG1128" s="7"/>
      <c r="KXH1128" s="7"/>
      <c r="KXI1128" s="7"/>
      <c r="KXJ1128" s="7"/>
      <c r="KXK1128" s="7"/>
      <c r="KXL1128" s="7"/>
      <c r="KXM1128" s="7"/>
      <c r="KXN1128" s="7"/>
      <c r="KXO1128" s="7"/>
      <c r="KXP1128" s="7"/>
      <c r="KXQ1128" s="7"/>
      <c r="KXR1128" s="7"/>
      <c r="KXS1128" s="7"/>
      <c r="KXT1128" s="7"/>
      <c r="KXU1128" s="7"/>
      <c r="KXV1128" s="7"/>
      <c r="KXW1128" s="7"/>
      <c r="KXX1128" s="7"/>
      <c r="KXY1128" s="7"/>
      <c r="KXZ1128" s="7"/>
      <c r="KYA1128" s="7"/>
      <c r="KYB1128" s="7"/>
      <c r="KYC1128" s="7"/>
      <c r="KYD1128" s="7"/>
      <c r="KYE1128" s="7"/>
      <c r="KYF1128" s="7"/>
      <c r="KYG1128" s="7"/>
      <c r="KYH1128" s="7"/>
      <c r="KYI1128" s="7"/>
      <c r="KYJ1128" s="7"/>
      <c r="KYK1128" s="7"/>
      <c r="KYL1128" s="7"/>
      <c r="KYM1128" s="7"/>
      <c r="KYN1128" s="7"/>
      <c r="KYO1128" s="7"/>
      <c r="KYP1128" s="7"/>
      <c r="KYQ1128" s="7"/>
      <c r="KYR1128" s="7"/>
      <c r="KYS1128" s="7"/>
      <c r="KYT1128" s="7"/>
      <c r="KYU1128" s="7"/>
      <c r="KYV1128" s="7"/>
      <c r="KYW1128" s="7"/>
      <c r="KYX1128" s="7"/>
      <c r="KYY1128" s="7"/>
      <c r="KYZ1128" s="7"/>
      <c r="KZA1128" s="7"/>
      <c r="KZB1128" s="7"/>
      <c r="KZC1128" s="7"/>
      <c r="KZD1128" s="7"/>
      <c r="KZE1128" s="7"/>
      <c r="KZF1128" s="7"/>
      <c r="KZG1128" s="7"/>
      <c r="KZH1128" s="7"/>
      <c r="KZI1128" s="7"/>
      <c r="KZJ1128" s="7"/>
      <c r="KZK1128" s="7"/>
      <c r="KZL1128" s="7"/>
      <c r="KZM1128" s="7"/>
      <c r="KZN1128" s="7"/>
      <c r="KZO1128" s="7"/>
      <c r="KZP1128" s="7"/>
      <c r="KZQ1128" s="7"/>
      <c r="KZR1128" s="7"/>
      <c r="KZS1128" s="7"/>
      <c r="KZT1128" s="7"/>
      <c r="KZU1128" s="7"/>
      <c r="KZV1128" s="7"/>
      <c r="KZW1128" s="7"/>
      <c r="KZX1128" s="7"/>
      <c r="KZY1128" s="7"/>
      <c r="KZZ1128" s="7"/>
      <c r="LAA1128" s="7"/>
      <c r="LAB1128" s="7"/>
      <c r="LAC1128" s="7"/>
      <c r="LAD1128" s="7"/>
      <c r="LAE1128" s="7"/>
      <c r="LAF1128" s="7"/>
      <c r="LAG1128" s="7"/>
      <c r="LAH1128" s="7"/>
      <c r="LAI1128" s="7"/>
      <c r="LAJ1128" s="7"/>
      <c r="LAK1128" s="7"/>
      <c r="LAL1128" s="7"/>
      <c r="LAM1128" s="7"/>
      <c r="LAN1128" s="7"/>
      <c r="LAO1128" s="7"/>
      <c r="LAP1128" s="7"/>
      <c r="LAQ1128" s="7"/>
      <c r="LAR1128" s="7"/>
      <c r="LAS1128" s="7"/>
      <c r="LAT1128" s="7"/>
      <c r="LAU1128" s="7"/>
      <c r="LAV1128" s="7"/>
      <c r="LAW1128" s="7"/>
      <c r="LAX1128" s="7"/>
      <c r="LAY1128" s="7"/>
      <c r="LAZ1128" s="7"/>
      <c r="LBA1128" s="7"/>
      <c r="LBB1128" s="7"/>
      <c r="LBC1128" s="7"/>
      <c r="LBD1128" s="7"/>
      <c r="LBE1128" s="7"/>
      <c r="LBF1128" s="7"/>
      <c r="LBG1128" s="7"/>
      <c r="LBH1128" s="7"/>
      <c r="LBI1128" s="7"/>
      <c r="LBJ1128" s="7"/>
      <c r="LBK1128" s="7"/>
      <c r="LBL1128" s="7"/>
      <c r="LBM1128" s="7"/>
      <c r="LBN1128" s="7"/>
      <c r="LBO1128" s="7"/>
      <c r="LBP1128" s="7"/>
      <c r="LBQ1128" s="7"/>
      <c r="LBR1128" s="7"/>
      <c r="LBS1128" s="7"/>
      <c r="LBT1128" s="7"/>
      <c r="LBU1128" s="7"/>
      <c r="LBV1128" s="7"/>
      <c r="LBW1128" s="7"/>
      <c r="LBX1128" s="7"/>
      <c r="LBY1128" s="7"/>
      <c r="LBZ1128" s="7"/>
      <c r="LCA1128" s="7"/>
      <c r="LCB1128" s="7"/>
      <c r="LCC1128" s="7"/>
      <c r="LCD1128" s="7"/>
      <c r="LCE1128" s="7"/>
      <c r="LCF1128" s="7"/>
      <c r="LCG1128" s="7"/>
      <c r="LCH1128" s="7"/>
      <c r="LCI1128" s="7"/>
      <c r="LCJ1128" s="7"/>
      <c r="LCK1128" s="7"/>
      <c r="LCL1128" s="7"/>
      <c r="LCM1128" s="7"/>
      <c r="LCN1128" s="7"/>
      <c r="LCO1128" s="7"/>
      <c r="LCP1128" s="7"/>
      <c r="LCQ1128" s="7"/>
      <c r="LCR1128" s="7"/>
      <c r="LCS1128" s="7"/>
      <c r="LCT1128" s="7"/>
      <c r="LCU1128" s="7"/>
      <c r="LCV1128" s="7"/>
      <c r="LCW1128" s="7"/>
      <c r="LCX1128" s="7"/>
      <c r="LCY1128" s="7"/>
      <c r="LCZ1128" s="7"/>
      <c r="LDA1128" s="7"/>
      <c r="LDB1128" s="7"/>
      <c r="LDC1128" s="7"/>
      <c r="LDD1128" s="7"/>
      <c r="LDE1128" s="7"/>
      <c r="LDF1128" s="7"/>
      <c r="LDG1128" s="7"/>
      <c r="LDH1128" s="7"/>
      <c r="LDI1128" s="7"/>
      <c r="LDJ1128" s="7"/>
      <c r="LDK1128" s="7"/>
      <c r="LDL1128" s="7"/>
      <c r="LDM1128" s="7"/>
      <c r="LDN1128" s="7"/>
      <c r="LDO1128" s="7"/>
      <c r="LDP1128" s="7"/>
      <c r="LDQ1128" s="7"/>
      <c r="LDR1128" s="7"/>
      <c r="LDS1128" s="7"/>
      <c r="LDT1128" s="7"/>
      <c r="LDU1128" s="7"/>
      <c r="LDV1128" s="7"/>
      <c r="LDW1128" s="7"/>
      <c r="LDX1128" s="7"/>
      <c r="LDY1128" s="7"/>
      <c r="LDZ1128" s="7"/>
      <c r="LEA1128" s="7"/>
      <c r="LEB1128" s="7"/>
      <c r="LEC1128" s="7"/>
      <c r="LED1128" s="7"/>
      <c r="LEE1128" s="7"/>
      <c r="LEF1128" s="7"/>
      <c r="LEG1128" s="7"/>
      <c r="LEH1128" s="7"/>
      <c r="LEI1128" s="7"/>
      <c r="LEJ1128" s="7"/>
      <c r="LEK1128" s="7"/>
      <c r="LEL1128" s="7"/>
      <c r="LEM1128" s="7"/>
      <c r="LEN1128" s="7"/>
      <c r="LEO1128" s="7"/>
      <c r="LEP1128" s="7"/>
      <c r="LEQ1128" s="7"/>
      <c r="LER1128" s="7"/>
      <c r="LES1128" s="7"/>
      <c r="LET1128" s="7"/>
      <c r="LEU1128" s="7"/>
      <c r="LEV1128" s="7"/>
      <c r="LEW1128" s="7"/>
      <c r="LEX1128" s="7"/>
      <c r="LEY1128" s="7"/>
      <c r="LEZ1128" s="7"/>
      <c r="LFA1128" s="7"/>
      <c r="LFB1128" s="7"/>
      <c r="LFC1128" s="7"/>
      <c r="LFD1128" s="7"/>
      <c r="LFE1128" s="7"/>
      <c r="LFF1128" s="7"/>
      <c r="LFG1128" s="7"/>
      <c r="LFH1128" s="7"/>
      <c r="LFI1128" s="7"/>
      <c r="LFJ1128" s="7"/>
      <c r="LFK1128" s="7"/>
      <c r="LFL1128" s="7"/>
      <c r="LFM1128" s="7"/>
      <c r="LFN1128" s="7"/>
      <c r="LFO1128" s="7"/>
      <c r="LFP1128" s="7"/>
      <c r="LFQ1128" s="7"/>
      <c r="LFR1128" s="7"/>
      <c r="LFS1128" s="7"/>
      <c r="LFT1128" s="7"/>
      <c r="LFU1128" s="7"/>
      <c r="LFV1128" s="7"/>
      <c r="LFW1128" s="7"/>
      <c r="LFX1128" s="7"/>
      <c r="LFY1128" s="7"/>
      <c r="LFZ1128" s="7"/>
      <c r="LGA1128" s="7"/>
      <c r="LGB1128" s="7"/>
      <c r="LGC1128" s="7"/>
      <c r="LGD1128" s="7"/>
      <c r="LGE1128" s="7"/>
      <c r="LGF1128" s="7"/>
      <c r="LGG1128" s="7"/>
      <c r="LGH1128" s="7"/>
      <c r="LGI1128" s="7"/>
      <c r="LGJ1128" s="7"/>
      <c r="LGK1128" s="7"/>
      <c r="LGL1128" s="7"/>
      <c r="LGM1128" s="7"/>
      <c r="LGN1128" s="7"/>
      <c r="LGO1128" s="7"/>
      <c r="LGP1128" s="7"/>
      <c r="LGQ1128" s="7"/>
      <c r="LGR1128" s="7"/>
      <c r="LGS1128" s="7"/>
      <c r="LGT1128" s="7"/>
      <c r="LGU1128" s="7"/>
      <c r="LGV1128" s="7"/>
      <c r="LGW1128" s="7"/>
      <c r="LGX1128" s="7"/>
      <c r="LGY1128" s="7"/>
      <c r="LGZ1128" s="7"/>
      <c r="LHA1128" s="7"/>
      <c r="LHB1128" s="7"/>
      <c r="LHC1128" s="7"/>
      <c r="LHD1128" s="7"/>
      <c r="LHE1128" s="7"/>
      <c r="LHF1128" s="7"/>
      <c r="LHG1128" s="7"/>
      <c r="LHH1128" s="7"/>
      <c r="LHI1128" s="7"/>
      <c r="LHJ1128" s="7"/>
      <c r="LHK1128" s="7"/>
      <c r="LHL1128" s="7"/>
      <c r="LHM1128" s="7"/>
      <c r="LHN1128" s="7"/>
      <c r="LHO1128" s="7"/>
      <c r="LHP1128" s="7"/>
      <c r="LHQ1128" s="7"/>
      <c r="LHR1128" s="7"/>
      <c r="LHS1128" s="7"/>
      <c r="LHT1128" s="7"/>
      <c r="LHU1128" s="7"/>
      <c r="LHV1128" s="7"/>
      <c r="LHW1128" s="7"/>
      <c r="LHX1128" s="7"/>
      <c r="LHY1128" s="7"/>
      <c r="LHZ1128" s="7"/>
      <c r="LIA1128" s="7"/>
      <c r="LIB1128" s="7"/>
      <c r="LIC1128" s="7"/>
      <c r="LID1128" s="7"/>
      <c r="LIE1128" s="7"/>
      <c r="LIF1128" s="7"/>
      <c r="LIG1128" s="7"/>
      <c r="LIH1128" s="7"/>
      <c r="LII1128" s="7"/>
      <c r="LIJ1128" s="7"/>
      <c r="LIK1128" s="7"/>
      <c r="LIL1128" s="7"/>
      <c r="LIM1128" s="7"/>
      <c r="LIN1128" s="7"/>
      <c r="LIO1128" s="7"/>
      <c r="LIP1128" s="7"/>
      <c r="LIQ1128" s="7"/>
      <c r="LIR1128" s="7"/>
      <c r="LIS1128" s="7"/>
      <c r="LIT1128" s="7"/>
      <c r="LIU1128" s="7"/>
      <c r="LIV1128" s="7"/>
      <c r="LIW1128" s="7"/>
      <c r="LIX1128" s="7"/>
      <c r="LIY1128" s="7"/>
      <c r="LIZ1128" s="7"/>
      <c r="LJA1128" s="7"/>
      <c r="LJB1128" s="7"/>
      <c r="LJC1128" s="7"/>
      <c r="LJD1128" s="7"/>
      <c r="LJE1128" s="7"/>
      <c r="LJF1128" s="7"/>
      <c r="LJG1128" s="7"/>
      <c r="LJH1128" s="7"/>
      <c r="LJI1128" s="7"/>
      <c r="LJJ1128" s="7"/>
      <c r="LJK1128" s="7"/>
      <c r="LJL1128" s="7"/>
      <c r="LJM1128" s="7"/>
      <c r="LJN1128" s="7"/>
      <c r="LJO1128" s="7"/>
      <c r="LJP1128" s="7"/>
      <c r="LJQ1128" s="7"/>
      <c r="LJR1128" s="7"/>
      <c r="LJS1128" s="7"/>
      <c r="LJT1128" s="7"/>
      <c r="LJU1128" s="7"/>
      <c r="LJV1128" s="7"/>
      <c r="LJW1128" s="7"/>
      <c r="LJX1128" s="7"/>
      <c r="LJY1128" s="7"/>
      <c r="LJZ1128" s="7"/>
      <c r="LKA1128" s="7"/>
      <c r="LKB1128" s="7"/>
      <c r="LKC1128" s="7"/>
      <c r="LKD1128" s="7"/>
      <c r="LKE1128" s="7"/>
      <c r="LKF1128" s="7"/>
      <c r="LKG1128" s="7"/>
      <c r="LKH1128" s="7"/>
      <c r="LKI1128" s="7"/>
      <c r="LKJ1128" s="7"/>
      <c r="LKK1128" s="7"/>
      <c r="LKL1128" s="7"/>
      <c r="LKM1128" s="7"/>
      <c r="LKN1128" s="7"/>
      <c r="LKO1128" s="7"/>
      <c r="LKP1128" s="7"/>
      <c r="LKQ1128" s="7"/>
      <c r="LKR1128" s="7"/>
      <c r="LKS1128" s="7"/>
      <c r="LKT1128" s="7"/>
      <c r="LKU1128" s="7"/>
      <c r="LKV1128" s="7"/>
      <c r="LKW1128" s="7"/>
      <c r="LKX1128" s="7"/>
      <c r="LKY1128" s="7"/>
      <c r="LKZ1128" s="7"/>
      <c r="LLA1128" s="7"/>
      <c r="LLB1128" s="7"/>
      <c r="LLC1128" s="7"/>
      <c r="LLD1128" s="7"/>
      <c r="LLE1128" s="7"/>
      <c r="LLF1128" s="7"/>
      <c r="LLG1128" s="7"/>
      <c r="LLH1128" s="7"/>
      <c r="LLI1128" s="7"/>
      <c r="LLJ1128" s="7"/>
      <c r="LLK1128" s="7"/>
      <c r="LLL1128" s="7"/>
      <c r="LLM1128" s="7"/>
      <c r="LLN1128" s="7"/>
      <c r="LLO1128" s="7"/>
      <c r="LLP1128" s="7"/>
      <c r="LLQ1128" s="7"/>
      <c r="LLR1128" s="7"/>
      <c r="LLS1128" s="7"/>
      <c r="LLT1128" s="7"/>
      <c r="LLU1128" s="7"/>
      <c r="LLV1128" s="7"/>
      <c r="LLW1128" s="7"/>
      <c r="LLX1128" s="7"/>
      <c r="LLY1128" s="7"/>
      <c r="LLZ1128" s="7"/>
      <c r="LMA1128" s="7"/>
      <c r="LMB1128" s="7"/>
      <c r="LMC1128" s="7"/>
      <c r="LMD1128" s="7"/>
      <c r="LME1128" s="7"/>
      <c r="LMF1128" s="7"/>
      <c r="LMG1128" s="7"/>
      <c r="LMH1128" s="7"/>
      <c r="LMI1128" s="7"/>
      <c r="LMJ1128" s="7"/>
      <c r="LMK1128" s="7"/>
      <c r="LML1128" s="7"/>
      <c r="LMM1128" s="7"/>
      <c r="LMN1128" s="7"/>
      <c r="LMO1128" s="7"/>
      <c r="LMP1128" s="7"/>
      <c r="LMQ1128" s="7"/>
      <c r="LMR1128" s="7"/>
      <c r="LMS1128" s="7"/>
      <c r="LMT1128" s="7"/>
      <c r="LMU1128" s="7"/>
      <c r="LMV1128" s="7"/>
      <c r="LMW1128" s="7"/>
      <c r="LMX1128" s="7"/>
      <c r="LMY1128" s="7"/>
      <c r="LMZ1128" s="7"/>
      <c r="LNA1128" s="7"/>
      <c r="LNB1128" s="7"/>
      <c r="LNC1128" s="7"/>
      <c r="LND1128" s="7"/>
      <c r="LNE1128" s="7"/>
      <c r="LNF1128" s="7"/>
      <c r="LNG1128" s="7"/>
      <c r="LNH1128" s="7"/>
      <c r="LNI1128" s="7"/>
      <c r="LNJ1128" s="7"/>
      <c r="LNK1128" s="7"/>
      <c r="LNL1128" s="7"/>
      <c r="LNM1128" s="7"/>
      <c r="LNN1128" s="7"/>
      <c r="LNO1128" s="7"/>
      <c r="LNP1128" s="7"/>
      <c r="LNQ1128" s="7"/>
      <c r="LNR1128" s="7"/>
      <c r="LNS1128" s="7"/>
      <c r="LNT1128" s="7"/>
      <c r="LNU1128" s="7"/>
      <c r="LNV1128" s="7"/>
      <c r="LNW1128" s="7"/>
      <c r="LNX1128" s="7"/>
      <c r="LNY1128" s="7"/>
      <c r="LNZ1128" s="7"/>
      <c r="LOA1128" s="7"/>
      <c r="LOB1128" s="7"/>
      <c r="LOC1128" s="7"/>
      <c r="LOD1128" s="7"/>
      <c r="LOE1128" s="7"/>
      <c r="LOF1128" s="7"/>
      <c r="LOG1128" s="7"/>
      <c r="LOH1128" s="7"/>
      <c r="LOI1128" s="7"/>
      <c r="LOJ1128" s="7"/>
      <c r="LOK1128" s="7"/>
      <c r="LOL1128" s="7"/>
      <c r="LOM1128" s="7"/>
      <c r="LON1128" s="7"/>
      <c r="LOO1128" s="7"/>
      <c r="LOP1128" s="7"/>
      <c r="LOQ1128" s="7"/>
      <c r="LOR1128" s="7"/>
      <c r="LOS1128" s="7"/>
      <c r="LOT1128" s="7"/>
      <c r="LOU1128" s="7"/>
      <c r="LOV1128" s="7"/>
      <c r="LOW1128" s="7"/>
      <c r="LOX1128" s="7"/>
      <c r="LOY1128" s="7"/>
      <c r="LOZ1128" s="7"/>
      <c r="LPA1128" s="7"/>
      <c r="LPB1128" s="7"/>
      <c r="LPC1128" s="7"/>
      <c r="LPD1128" s="7"/>
      <c r="LPE1128" s="7"/>
      <c r="LPF1128" s="7"/>
      <c r="LPG1128" s="7"/>
      <c r="LPH1128" s="7"/>
      <c r="LPI1128" s="7"/>
      <c r="LPJ1128" s="7"/>
      <c r="LPK1128" s="7"/>
      <c r="LPL1128" s="7"/>
      <c r="LPM1128" s="7"/>
      <c r="LPN1128" s="7"/>
      <c r="LPO1128" s="7"/>
      <c r="LPP1128" s="7"/>
      <c r="LPQ1128" s="7"/>
      <c r="LPR1128" s="7"/>
      <c r="LPS1128" s="7"/>
      <c r="LPT1128" s="7"/>
      <c r="LPU1128" s="7"/>
      <c r="LPV1128" s="7"/>
      <c r="LPW1128" s="7"/>
      <c r="LPX1128" s="7"/>
      <c r="LPY1128" s="7"/>
      <c r="LPZ1128" s="7"/>
      <c r="LQA1128" s="7"/>
      <c r="LQB1128" s="7"/>
      <c r="LQC1128" s="7"/>
      <c r="LQD1128" s="7"/>
      <c r="LQE1128" s="7"/>
      <c r="LQF1128" s="7"/>
      <c r="LQG1128" s="7"/>
      <c r="LQH1128" s="7"/>
      <c r="LQI1128" s="7"/>
      <c r="LQJ1128" s="7"/>
      <c r="LQK1128" s="7"/>
      <c r="LQL1128" s="7"/>
      <c r="LQM1128" s="7"/>
      <c r="LQN1128" s="7"/>
      <c r="LQO1128" s="7"/>
      <c r="LQP1128" s="7"/>
      <c r="LQQ1128" s="7"/>
      <c r="LQR1128" s="7"/>
      <c r="LQS1128" s="7"/>
      <c r="LQT1128" s="7"/>
      <c r="LQU1128" s="7"/>
      <c r="LQV1128" s="7"/>
      <c r="LQW1128" s="7"/>
      <c r="LQX1128" s="7"/>
      <c r="LQY1128" s="7"/>
      <c r="LQZ1128" s="7"/>
      <c r="LRA1128" s="7"/>
      <c r="LRB1128" s="7"/>
      <c r="LRC1128" s="7"/>
      <c r="LRD1128" s="7"/>
      <c r="LRE1128" s="7"/>
      <c r="LRF1128" s="7"/>
      <c r="LRG1128" s="7"/>
      <c r="LRH1128" s="7"/>
      <c r="LRI1128" s="7"/>
      <c r="LRJ1128" s="7"/>
      <c r="LRK1128" s="7"/>
      <c r="LRL1128" s="7"/>
      <c r="LRM1128" s="7"/>
      <c r="LRN1128" s="7"/>
      <c r="LRO1128" s="7"/>
      <c r="LRP1128" s="7"/>
      <c r="LRQ1128" s="7"/>
      <c r="LRR1128" s="7"/>
      <c r="LRS1128" s="7"/>
      <c r="LRT1128" s="7"/>
      <c r="LRU1128" s="7"/>
      <c r="LRV1128" s="7"/>
      <c r="LRW1128" s="7"/>
      <c r="LRX1128" s="7"/>
      <c r="LRY1128" s="7"/>
      <c r="LRZ1128" s="7"/>
      <c r="LSA1128" s="7"/>
      <c r="LSB1128" s="7"/>
      <c r="LSC1128" s="7"/>
      <c r="LSD1128" s="7"/>
      <c r="LSE1128" s="7"/>
      <c r="LSF1128" s="7"/>
      <c r="LSG1128" s="7"/>
      <c r="LSH1128" s="7"/>
      <c r="LSI1128" s="7"/>
      <c r="LSJ1128" s="7"/>
      <c r="LSK1128" s="7"/>
      <c r="LSL1128" s="7"/>
      <c r="LSM1128" s="7"/>
      <c r="LSN1128" s="7"/>
      <c r="LSO1128" s="7"/>
      <c r="LSP1128" s="7"/>
      <c r="LSQ1128" s="7"/>
      <c r="LSR1128" s="7"/>
      <c r="LSS1128" s="7"/>
      <c r="LST1128" s="7"/>
      <c r="LSU1128" s="7"/>
      <c r="LSV1128" s="7"/>
      <c r="LSW1128" s="7"/>
      <c r="LSX1128" s="7"/>
      <c r="LSY1128" s="7"/>
      <c r="LSZ1128" s="7"/>
      <c r="LTA1128" s="7"/>
      <c r="LTB1128" s="7"/>
      <c r="LTC1128" s="7"/>
      <c r="LTD1128" s="7"/>
      <c r="LTE1128" s="7"/>
      <c r="LTF1128" s="7"/>
      <c r="LTG1128" s="7"/>
      <c r="LTH1128" s="7"/>
      <c r="LTI1128" s="7"/>
      <c r="LTJ1128" s="7"/>
      <c r="LTK1128" s="7"/>
      <c r="LTL1128" s="7"/>
      <c r="LTM1128" s="7"/>
      <c r="LTN1128" s="7"/>
      <c r="LTO1128" s="7"/>
      <c r="LTP1128" s="7"/>
      <c r="LTQ1128" s="7"/>
      <c r="LTR1128" s="7"/>
      <c r="LTS1128" s="7"/>
      <c r="LTT1128" s="7"/>
      <c r="LTU1128" s="7"/>
      <c r="LTV1128" s="7"/>
      <c r="LTW1128" s="7"/>
      <c r="LTX1128" s="7"/>
      <c r="LTY1128" s="7"/>
      <c r="LTZ1128" s="7"/>
      <c r="LUA1128" s="7"/>
      <c r="LUB1128" s="7"/>
      <c r="LUC1128" s="7"/>
      <c r="LUD1128" s="7"/>
      <c r="LUE1128" s="7"/>
      <c r="LUF1128" s="7"/>
      <c r="LUG1128" s="7"/>
      <c r="LUH1128" s="7"/>
      <c r="LUI1128" s="7"/>
      <c r="LUJ1128" s="7"/>
      <c r="LUK1128" s="7"/>
      <c r="LUL1128" s="7"/>
      <c r="LUM1128" s="7"/>
      <c r="LUN1128" s="7"/>
      <c r="LUO1128" s="7"/>
      <c r="LUP1128" s="7"/>
      <c r="LUQ1128" s="7"/>
      <c r="LUR1128" s="7"/>
      <c r="LUS1128" s="7"/>
      <c r="LUT1128" s="7"/>
      <c r="LUU1128" s="7"/>
      <c r="LUV1128" s="7"/>
      <c r="LUW1128" s="7"/>
      <c r="LUX1128" s="7"/>
      <c r="LUY1128" s="7"/>
      <c r="LUZ1128" s="7"/>
      <c r="LVA1128" s="7"/>
      <c r="LVB1128" s="7"/>
      <c r="LVC1128" s="7"/>
      <c r="LVD1128" s="7"/>
      <c r="LVE1128" s="7"/>
      <c r="LVF1128" s="7"/>
      <c r="LVG1128" s="7"/>
      <c r="LVH1128" s="7"/>
      <c r="LVI1128" s="7"/>
      <c r="LVJ1128" s="7"/>
      <c r="LVK1128" s="7"/>
      <c r="LVL1128" s="7"/>
      <c r="LVM1128" s="7"/>
      <c r="LVN1128" s="7"/>
      <c r="LVO1128" s="7"/>
      <c r="LVP1128" s="7"/>
      <c r="LVQ1128" s="7"/>
      <c r="LVR1128" s="7"/>
      <c r="LVS1128" s="7"/>
      <c r="LVT1128" s="7"/>
      <c r="LVU1128" s="7"/>
      <c r="LVV1128" s="7"/>
      <c r="LVW1128" s="7"/>
      <c r="LVX1128" s="7"/>
      <c r="LVY1128" s="7"/>
      <c r="LVZ1128" s="7"/>
      <c r="LWA1128" s="7"/>
      <c r="LWB1128" s="7"/>
      <c r="LWC1128" s="7"/>
      <c r="LWD1128" s="7"/>
      <c r="LWE1128" s="7"/>
      <c r="LWF1128" s="7"/>
      <c r="LWG1128" s="7"/>
      <c r="LWH1128" s="7"/>
      <c r="LWI1128" s="7"/>
      <c r="LWJ1128" s="7"/>
      <c r="LWK1128" s="7"/>
      <c r="LWL1128" s="7"/>
      <c r="LWM1128" s="7"/>
      <c r="LWN1128" s="7"/>
      <c r="LWO1128" s="7"/>
      <c r="LWP1128" s="7"/>
      <c r="LWQ1128" s="7"/>
      <c r="LWR1128" s="7"/>
      <c r="LWS1128" s="7"/>
      <c r="LWT1128" s="7"/>
      <c r="LWU1128" s="7"/>
      <c r="LWV1128" s="7"/>
      <c r="LWW1128" s="7"/>
      <c r="LWX1128" s="7"/>
      <c r="LWY1128" s="7"/>
      <c r="LWZ1128" s="7"/>
      <c r="LXA1128" s="7"/>
      <c r="LXB1128" s="7"/>
      <c r="LXC1128" s="7"/>
      <c r="LXD1128" s="7"/>
      <c r="LXE1128" s="7"/>
      <c r="LXF1128" s="7"/>
      <c r="LXG1128" s="7"/>
      <c r="LXH1128" s="7"/>
      <c r="LXI1128" s="7"/>
      <c r="LXJ1128" s="7"/>
      <c r="LXK1128" s="7"/>
      <c r="LXL1128" s="7"/>
      <c r="LXM1128" s="7"/>
      <c r="LXN1128" s="7"/>
      <c r="LXO1128" s="7"/>
      <c r="LXP1128" s="7"/>
      <c r="LXQ1128" s="7"/>
      <c r="LXR1128" s="7"/>
      <c r="LXS1128" s="7"/>
      <c r="LXT1128" s="7"/>
      <c r="LXU1128" s="7"/>
      <c r="LXV1128" s="7"/>
      <c r="LXW1128" s="7"/>
      <c r="LXX1128" s="7"/>
      <c r="LXY1128" s="7"/>
      <c r="LXZ1128" s="7"/>
      <c r="LYA1128" s="7"/>
      <c r="LYB1128" s="7"/>
      <c r="LYC1128" s="7"/>
      <c r="LYD1128" s="7"/>
      <c r="LYE1128" s="7"/>
      <c r="LYF1128" s="7"/>
      <c r="LYG1128" s="7"/>
      <c r="LYH1128" s="7"/>
      <c r="LYI1128" s="7"/>
      <c r="LYJ1128" s="7"/>
      <c r="LYK1128" s="7"/>
      <c r="LYL1128" s="7"/>
      <c r="LYM1128" s="7"/>
      <c r="LYN1128" s="7"/>
      <c r="LYO1128" s="7"/>
      <c r="LYP1128" s="7"/>
      <c r="LYQ1128" s="7"/>
      <c r="LYR1128" s="7"/>
      <c r="LYS1128" s="7"/>
      <c r="LYT1128" s="7"/>
      <c r="LYU1128" s="7"/>
      <c r="LYV1128" s="7"/>
      <c r="LYW1128" s="7"/>
      <c r="LYX1128" s="7"/>
      <c r="LYY1128" s="7"/>
      <c r="LYZ1128" s="7"/>
      <c r="LZA1128" s="7"/>
      <c r="LZB1128" s="7"/>
      <c r="LZC1128" s="7"/>
      <c r="LZD1128" s="7"/>
      <c r="LZE1128" s="7"/>
      <c r="LZF1128" s="7"/>
      <c r="LZG1128" s="7"/>
      <c r="LZH1128" s="7"/>
      <c r="LZI1128" s="7"/>
      <c r="LZJ1128" s="7"/>
      <c r="LZK1128" s="7"/>
      <c r="LZL1128" s="7"/>
      <c r="LZM1128" s="7"/>
      <c r="LZN1128" s="7"/>
      <c r="LZO1128" s="7"/>
      <c r="LZP1128" s="7"/>
      <c r="LZQ1128" s="7"/>
      <c r="LZR1128" s="7"/>
      <c r="LZS1128" s="7"/>
      <c r="LZT1128" s="7"/>
      <c r="LZU1128" s="7"/>
      <c r="LZV1128" s="7"/>
      <c r="LZW1128" s="7"/>
      <c r="LZX1128" s="7"/>
      <c r="LZY1128" s="7"/>
      <c r="LZZ1128" s="7"/>
      <c r="MAA1128" s="7"/>
      <c r="MAB1128" s="7"/>
      <c r="MAC1128" s="7"/>
      <c r="MAD1128" s="7"/>
      <c r="MAE1128" s="7"/>
      <c r="MAF1128" s="7"/>
      <c r="MAG1128" s="7"/>
      <c r="MAH1128" s="7"/>
      <c r="MAI1128" s="7"/>
      <c r="MAJ1128" s="7"/>
      <c r="MAK1128" s="7"/>
      <c r="MAL1128" s="7"/>
      <c r="MAM1128" s="7"/>
      <c r="MAN1128" s="7"/>
      <c r="MAO1128" s="7"/>
      <c r="MAP1128" s="7"/>
      <c r="MAQ1128" s="7"/>
      <c r="MAR1128" s="7"/>
      <c r="MAS1128" s="7"/>
      <c r="MAT1128" s="7"/>
      <c r="MAU1128" s="7"/>
      <c r="MAV1128" s="7"/>
      <c r="MAW1128" s="7"/>
      <c r="MAX1128" s="7"/>
      <c r="MAY1128" s="7"/>
      <c r="MAZ1128" s="7"/>
      <c r="MBA1128" s="7"/>
      <c r="MBB1128" s="7"/>
      <c r="MBC1128" s="7"/>
      <c r="MBD1128" s="7"/>
      <c r="MBE1128" s="7"/>
      <c r="MBF1128" s="7"/>
      <c r="MBG1128" s="7"/>
      <c r="MBH1128" s="7"/>
      <c r="MBI1128" s="7"/>
      <c r="MBJ1128" s="7"/>
      <c r="MBK1128" s="7"/>
      <c r="MBL1128" s="7"/>
      <c r="MBM1128" s="7"/>
      <c r="MBN1128" s="7"/>
      <c r="MBO1128" s="7"/>
      <c r="MBP1128" s="7"/>
      <c r="MBQ1128" s="7"/>
      <c r="MBR1128" s="7"/>
      <c r="MBS1128" s="7"/>
      <c r="MBT1128" s="7"/>
      <c r="MBU1128" s="7"/>
      <c r="MBV1128" s="7"/>
      <c r="MBW1128" s="7"/>
      <c r="MBX1128" s="7"/>
      <c r="MBY1128" s="7"/>
      <c r="MBZ1128" s="7"/>
      <c r="MCA1128" s="7"/>
      <c r="MCB1128" s="7"/>
      <c r="MCC1128" s="7"/>
      <c r="MCD1128" s="7"/>
      <c r="MCE1128" s="7"/>
      <c r="MCF1128" s="7"/>
      <c r="MCG1128" s="7"/>
      <c r="MCH1128" s="7"/>
      <c r="MCI1128" s="7"/>
      <c r="MCJ1128" s="7"/>
      <c r="MCK1128" s="7"/>
      <c r="MCL1128" s="7"/>
      <c r="MCM1128" s="7"/>
      <c r="MCN1128" s="7"/>
      <c r="MCO1128" s="7"/>
      <c r="MCP1128" s="7"/>
      <c r="MCQ1128" s="7"/>
      <c r="MCR1128" s="7"/>
      <c r="MCS1128" s="7"/>
      <c r="MCT1128" s="7"/>
      <c r="MCU1128" s="7"/>
      <c r="MCV1128" s="7"/>
      <c r="MCW1128" s="7"/>
      <c r="MCX1128" s="7"/>
      <c r="MCY1128" s="7"/>
      <c r="MCZ1128" s="7"/>
      <c r="MDA1128" s="7"/>
      <c r="MDB1128" s="7"/>
      <c r="MDC1128" s="7"/>
      <c r="MDD1128" s="7"/>
      <c r="MDE1128" s="7"/>
      <c r="MDF1128" s="7"/>
      <c r="MDG1128" s="7"/>
      <c r="MDH1128" s="7"/>
      <c r="MDI1128" s="7"/>
      <c r="MDJ1128" s="7"/>
      <c r="MDK1128" s="7"/>
      <c r="MDL1128" s="7"/>
      <c r="MDM1128" s="7"/>
      <c r="MDN1128" s="7"/>
      <c r="MDO1128" s="7"/>
      <c r="MDP1128" s="7"/>
      <c r="MDQ1128" s="7"/>
      <c r="MDR1128" s="7"/>
      <c r="MDS1128" s="7"/>
      <c r="MDT1128" s="7"/>
      <c r="MDU1128" s="7"/>
      <c r="MDV1128" s="7"/>
      <c r="MDW1128" s="7"/>
      <c r="MDX1128" s="7"/>
      <c r="MDY1128" s="7"/>
      <c r="MDZ1128" s="7"/>
      <c r="MEA1128" s="7"/>
      <c r="MEB1128" s="7"/>
      <c r="MEC1128" s="7"/>
      <c r="MED1128" s="7"/>
      <c r="MEE1128" s="7"/>
      <c r="MEF1128" s="7"/>
      <c r="MEG1128" s="7"/>
      <c r="MEH1128" s="7"/>
      <c r="MEI1128" s="7"/>
      <c r="MEJ1128" s="7"/>
      <c r="MEK1128" s="7"/>
      <c r="MEL1128" s="7"/>
      <c r="MEM1128" s="7"/>
      <c r="MEN1128" s="7"/>
      <c r="MEO1128" s="7"/>
      <c r="MEP1128" s="7"/>
      <c r="MEQ1128" s="7"/>
      <c r="MER1128" s="7"/>
      <c r="MES1128" s="7"/>
      <c r="MET1128" s="7"/>
      <c r="MEU1128" s="7"/>
      <c r="MEV1128" s="7"/>
      <c r="MEW1128" s="7"/>
      <c r="MEX1128" s="7"/>
      <c r="MEY1128" s="7"/>
      <c r="MEZ1128" s="7"/>
      <c r="MFA1128" s="7"/>
      <c r="MFB1128" s="7"/>
      <c r="MFC1128" s="7"/>
      <c r="MFD1128" s="7"/>
      <c r="MFE1128" s="7"/>
      <c r="MFF1128" s="7"/>
      <c r="MFG1128" s="7"/>
      <c r="MFH1128" s="7"/>
      <c r="MFI1128" s="7"/>
      <c r="MFJ1128" s="7"/>
      <c r="MFK1128" s="7"/>
      <c r="MFL1128" s="7"/>
      <c r="MFM1128" s="7"/>
      <c r="MFN1128" s="7"/>
      <c r="MFO1128" s="7"/>
      <c r="MFP1128" s="7"/>
      <c r="MFQ1128" s="7"/>
      <c r="MFR1128" s="7"/>
      <c r="MFS1128" s="7"/>
      <c r="MFT1128" s="7"/>
      <c r="MFU1128" s="7"/>
      <c r="MFV1128" s="7"/>
      <c r="MFW1128" s="7"/>
      <c r="MFX1128" s="7"/>
      <c r="MFY1128" s="7"/>
      <c r="MFZ1128" s="7"/>
      <c r="MGA1128" s="7"/>
      <c r="MGB1128" s="7"/>
      <c r="MGC1128" s="7"/>
      <c r="MGD1128" s="7"/>
      <c r="MGE1128" s="7"/>
      <c r="MGF1128" s="7"/>
      <c r="MGG1128" s="7"/>
      <c r="MGH1128" s="7"/>
      <c r="MGI1128" s="7"/>
      <c r="MGJ1128" s="7"/>
      <c r="MGK1128" s="7"/>
      <c r="MGL1128" s="7"/>
      <c r="MGM1128" s="7"/>
      <c r="MGN1128" s="7"/>
      <c r="MGO1128" s="7"/>
      <c r="MGP1128" s="7"/>
      <c r="MGQ1128" s="7"/>
      <c r="MGR1128" s="7"/>
      <c r="MGS1128" s="7"/>
      <c r="MGT1128" s="7"/>
      <c r="MGU1128" s="7"/>
      <c r="MGV1128" s="7"/>
      <c r="MGW1128" s="7"/>
      <c r="MGX1128" s="7"/>
      <c r="MGY1128" s="7"/>
      <c r="MGZ1128" s="7"/>
      <c r="MHA1128" s="7"/>
      <c r="MHB1128" s="7"/>
      <c r="MHC1128" s="7"/>
      <c r="MHD1128" s="7"/>
      <c r="MHE1128" s="7"/>
      <c r="MHF1128" s="7"/>
      <c r="MHG1128" s="7"/>
      <c r="MHH1128" s="7"/>
      <c r="MHI1128" s="7"/>
      <c r="MHJ1128" s="7"/>
      <c r="MHK1128" s="7"/>
      <c r="MHL1128" s="7"/>
      <c r="MHM1128" s="7"/>
      <c r="MHN1128" s="7"/>
      <c r="MHO1128" s="7"/>
      <c r="MHP1128" s="7"/>
      <c r="MHQ1128" s="7"/>
      <c r="MHR1128" s="7"/>
      <c r="MHS1128" s="7"/>
      <c r="MHT1128" s="7"/>
      <c r="MHU1128" s="7"/>
      <c r="MHV1128" s="7"/>
      <c r="MHW1128" s="7"/>
      <c r="MHX1128" s="7"/>
      <c r="MHY1128" s="7"/>
      <c r="MHZ1128" s="7"/>
      <c r="MIA1128" s="7"/>
      <c r="MIB1128" s="7"/>
      <c r="MIC1128" s="7"/>
      <c r="MID1128" s="7"/>
      <c r="MIE1128" s="7"/>
      <c r="MIF1128" s="7"/>
      <c r="MIG1128" s="7"/>
      <c r="MIH1128" s="7"/>
      <c r="MII1128" s="7"/>
      <c r="MIJ1128" s="7"/>
      <c r="MIK1128" s="7"/>
      <c r="MIL1128" s="7"/>
      <c r="MIM1128" s="7"/>
      <c r="MIN1128" s="7"/>
      <c r="MIO1128" s="7"/>
      <c r="MIP1128" s="7"/>
      <c r="MIQ1128" s="7"/>
      <c r="MIR1128" s="7"/>
      <c r="MIS1128" s="7"/>
      <c r="MIT1128" s="7"/>
      <c r="MIU1128" s="7"/>
      <c r="MIV1128" s="7"/>
      <c r="MIW1128" s="7"/>
      <c r="MIX1128" s="7"/>
      <c r="MIY1128" s="7"/>
      <c r="MIZ1128" s="7"/>
      <c r="MJA1128" s="7"/>
      <c r="MJB1128" s="7"/>
      <c r="MJC1128" s="7"/>
      <c r="MJD1128" s="7"/>
      <c r="MJE1128" s="7"/>
      <c r="MJF1128" s="7"/>
      <c r="MJG1128" s="7"/>
      <c r="MJH1128" s="7"/>
      <c r="MJI1128" s="7"/>
      <c r="MJJ1128" s="7"/>
      <c r="MJK1128" s="7"/>
      <c r="MJL1128" s="7"/>
      <c r="MJM1128" s="7"/>
      <c r="MJN1128" s="7"/>
      <c r="MJO1128" s="7"/>
      <c r="MJP1128" s="7"/>
      <c r="MJQ1128" s="7"/>
      <c r="MJR1128" s="7"/>
      <c r="MJS1128" s="7"/>
      <c r="MJT1128" s="7"/>
      <c r="MJU1128" s="7"/>
      <c r="MJV1128" s="7"/>
      <c r="MJW1128" s="7"/>
      <c r="MJX1128" s="7"/>
      <c r="MJY1128" s="7"/>
      <c r="MJZ1128" s="7"/>
      <c r="MKA1128" s="7"/>
      <c r="MKB1128" s="7"/>
      <c r="MKC1128" s="7"/>
      <c r="MKD1128" s="7"/>
      <c r="MKE1128" s="7"/>
      <c r="MKF1128" s="7"/>
      <c r="MKG1128" s="7"/>
      <c r="MKH1128" s="7"/>
      <c r="MKI1128" s="7"/>
      <c r="MKJ1128" s="7"/>
      <c r="MKK1128" s="7"/>
      <c r="MKL1128" s="7"/>
      <c r="MKM1128" s="7"/>
      <c r="MKN1128" s="7"/>
      <c r="MKO1128" s="7"/>
      <c r="MKP1128" s="7"/>
      <c r="MKQ1128" s="7"/>
      <c r="MKR1128" s="7"/>
      <c r="MKS1128" s="7"/>
      <c r="MKT1128" s="7"/>
      <c r="MKU1128" s="7"/>
      <c r="MKV1128" s="7"/>
      <c r="MKW1128" s="7"/>
      <c r="MKX1128" s="7"/>
      <c r="MKY1128" s="7"/>
      <c r="MKZ1128" s="7"/>
      <c r="MLA1128" s="7"/>
      <c r="MLB1128" s="7"/>
      <c r="MLC1128" s="7"/>
      <c r="MLD1128" s="7"/>
      <c r="MLE1128" s="7"/>
      <c r="MLF1128" s="7"/>
      <c r="MLG1128" s="7"/>
      <c r="MLH1128" s="7"/>
      <c r="MLI1128" s="7"/>
      <c r="MLJ1128" s="7"/>
      <c r="MLK1128" s="7"/>
      <c r="MLL1128" s="7"/>
      <c r="MLM1128" s="7"/>
      <c r="MLN1128" s="7"/>
      <c r="MLO1128" s="7"/>
      <c r="MLP1128" s="7"/>
      <c r="MLQ1128" s="7"/>
      <c r="MLR1128" s="7"/>
      <c r="MLS1128" s="7"/>
      <c r="MLT1128" s="7"/>
      <c r="MLU1128" s="7"/>
      <c r="MLV1128" s="7"/>
      <c r="MLW1128" s="7"/>
      <c r="MLX1128" s="7"/>
      <c r="MLY1128" s="7"/>
      <c r="MLZ1128" s="7"/>
      <c r="MMA1128" s="7"/>
      <c r="MMB1128" s="7"/>
      <c r="MMC1128" s="7"/>
      <c r="MMD1128" s="7"/>
      <c r="MME1128" s="7"/>
      <c r="MMF1128" s="7"/>
      <c r="MMG1128" s="7"/>
      <c r="MMH1128" s="7"/>
      <c r="MMI1128" s="7"/>
      <c r="MMJ1128" s="7"/>
      <c r="MMK1128" s="7"/>
      <c r="MML1128" s="7"/>
      <c r="MMM1128" s="7"/>
      <c r="MMN1128" s="7"/>
      <c r="MMO1128" s="7"/>
      <c r="MMP1128" s="7"/>
      <c r="MMQ1128" s="7"/>
      <c r="MMR1128" s="7"/>
      <c r="MMS1128" s="7"/>
      <c r="MMT1128" s="7"/>
      <c r="MMU1128" s="7"/>
      <c r="MMV1128" s="7"/>
      <c r="MMW1128" s="7"/>
      <c r="MMX1128" s="7"/>
      <c r="MMY1128" s="7"/>
      <c r="MMZ1128" s="7"/>
      <c r="MNA1128" s="7"/>
      <c r="MNB1128" s="7"/>
      <c r="MNC1128" s="7"/>
      <c r="MND1128" s="7"/>
      <c r="MNE1128" s="7"/>
      <c r="MNF1128" s="7"/>
      <c r="MNG1128" s="7"/>
      <c r="MNH1128" s="7"/>
      <c r="MNI1128" s="7"/>
      <c r="MNJ1128" s="7"/>
      <c r="MNK1128" s="7"/>
      <c r="MNL1128" s="7"/>
      <c r="MNM1128" s="7"/>
      <c r="MNN1128" s="7"/>
      <c r="MNO1128" s="7"/>
      <c r="MNP1128" s="7"/>
      <c r="MNQ1128" s="7"/>
      <c r="MNR1128" s="7"/>
      <c r="MNS1128" s="7"/>
      <c r="MNT1128" s="7"/>
      <c r="MNU1128" s="7"/>
      <c r="MNV1128" s="7"/>
      <c r="MNW1128" s="7"/>
      <c r="MNX1128" s="7"/>
      <c r="MNY1128" s="7"/>
      <c r="MNZ1128" s="7"/>
      <c r="MOA1128" s="7"/>
      <c r="MOB1128" s="7"/>
      <c r="MOC1128" s="7"/>
      <c r="MOD1128" s="7"/>
      <c r="MOE1128" s="7"/>
      <c r="MOF1128" s="7"/>
      <c r="MOG1128" s="7"/>
      <c r="MOH1128" s="7"/>
      <c r="MOI1128" s="7"/>
      <c r="MOJ1128" s="7"/>
      <c r="MOK1128" s="7"/>
      <c r="MOL1128" s="7"/>
      <c r="MOM1128" s="7"/>
      <c r="MON1128" s="7"/>
      <c r="MOO1128" s="7"/>
      <c r="MOP1128" s="7"/>
      <c r="MOQ1128" s="7"/>
      <c r="MOR1128" s="7"/>
      <c r="MOS1128" s="7"/>
      <c r="MOT1128" s="7"/>
      <c r="MOU1128" s="7"/>
      <c r="MOV1128" s="7"/>
      <c r="MOW1128" s="7"/>
      <c r="MOX1128" s="7"/>
      <c r="MOY1128" s="7"/>
      <c r="MOZ1128" s="7"/>
      <c r="MPA1128" s="7"/>
      <c r="MPB1128" s="7"/>
      <c r="MPC1128" s="7"/>
      <c r="MPD1128" s="7"/>
      <c r="MPE1128" s="7"/>
      <c r="MPF1128" s="7"/>
      <c r="MPG1128" s="7"/>
      <c r="MPH1128" s="7"/>
      <c r="MPI1128" s="7"/>
      <c r="MPJ1128" s="7"/>
      <c r="MPK1128" s="7"/>
      <c r="MPL1128" s="7"/>
      <c r="MPM1128" s="7"/>
      <c r="MPN1128" s="7"/>
      <c r="MPO1128" s="7"/>
      <c r="MPP1128" s="7"/>
      <c r="MPQ1128" s="7"/>
      <c r="MPR1128" s="7"/>
      <c r="MPS1128" s="7"/>
      <c r="MPT1128" s="7"/>
      <c r="MPU1128" s="7"/>
      <c r="MPV1128" s="7"/>
      <c r="MPW1128" s="7"/>
      <c r="MPX1128" s="7"/>
      <c r="MPY1128" s="7"/>
      <c r="MPZ1128" s="7"/>
      <c r="MQA1128" s="7"/>
      <c r="MQB1128" s="7"/>
      <c r="MQC1128" s="7"/>
      <c r="MQD1128" s="7"/>
      <c r="MQE1128" s="7"/>
      <c r="MQF1128" s="7"/>
      <c r="MQG1128" s="7"/>
      <c r="MQH1128" s="7"/>
      <c r="MQI1128" s="7"/>
      <c r="MQJ1128" s="7"/>
      <c r="MQK1128" s="7"/>
      <c r="MQL1128" s="7"/>
      <c r="MQM1128" s="7"/>
      <c r="MQN1128" s="7"/>
      <c r="MQO1128" s="7"/>
      <c r="MQP1128" s="7"/>
      <c r="MQQ1128" s="7"/>
      <c r="MQR1128" s="7"/>
      <c r="MQS1128" s="7"/>
      <c r="MQT1128" s="7"/>
      <c r="MQU1128" s="7"/>
      <c r="MQV1128" s="7"/>
      <c r="MQW1128" s="7"/>
      <c r="MQX1128" s="7"/>
      <c r="MQY1128" s="7"/>
      <c r="MQZ1128" s="7"/>
      <c r="MRA1128" s="7"/>
      <c r="MRB1128" s="7"/>
      <c r="MRC1128" s="7"/>
      <c r="MRD1128" s="7"/>
      <c r="MRE1128" s="7"/>
      <c r="MRF1128" s="7"/>
      <c r="MRG1128" s="7"/>
      <c r="MRH1128" s="7"/>
      <c r="MRI1128" s="7"/>
      <c r="MRJ1128" s="7"/>
      <c r="MRK1128" s="7"/>
      <c r="MRL1128" s="7"/>
      <c r="MRM1128" s="7"/>
      <c r="MRN1128" s="7"/>
      <c r="MRO1128" s="7"/>
      <c r="MRP1128" s="7"/>
      <c r="MRQ1128" s="7"/>
      <c r="MRR1128" s="7"/>
      <c r="MRS1128" s="7"/>
      <c r="MRT1128" s="7"/>
      <c r="MRU1128" s="7"/>
      <c r="MRV1128" s="7"/>
      <c r="MRW1128" s="7"/>
      <c r="MRX1128" s="7"/>
      <c r="MRY1128" s="7"/>
      <c r="MRZ1128" s="7"/>
      <c r="MSA1128" s="7"/>
      <c r="MSB1128" s="7"/>
      <c r="MSC1128" s="7"/>
      <c r="MSD1128" s="7"/>
      <c r="MSE1128" s="7"/>
      <c r="MSF1128" s="7"/>
      <c r="MSG1128" s="7"/>
      <c r="MSH1128" s="7"/>
      <c r="MSI1128" s="7"/>
      <c r="MSJ1128" s="7"/>
      <c r="MSK1128" s="7"/>
      <c r="MSL1128" s="7"/>
      <c r="MSM1128" s="7"/>
      <c r="MSN1128" s="7"/>
      <c r="MSO1128" s="7"/>
      <c r="MSP1128" s="7"/>
      <c r="MSQ1128" s="7"/>
      <c r="MSR1128" s="7"/>
      <c r="MSS1128" s="7"/>
      <c r="MST1128" s="7"/>
      <c r="MSU1128" s="7"/>
      <c r="MSV1128" s="7"/>
      <c r="MSW1128" s="7"/>
      <c r="MSX1128" s="7"/>
      <c r="MSY1128" s="7"/>
      <c r="MSZ1128" s="7"/>
      <c r="MTA1128" s="7"/>
      <c r="MTB1128" s="7"/>
      <c r="MTC1128" s="7"/>
      <c r="MTD1128" s="7"/>
      <c r="MTE1128" s="7"/>
      <c r="MTF1128" s="7"/>
      <c r="MTG1128" s="7"/>
      <c r="MTH1128" s="7"/>
      <c r="MTI1128" s="7"/>
      <c r="MTJ1128" s="7"/>
      <c r="MTK1128" s="7"/>
      <c r="MTL1128" s="7"/>
      <c r="MTM1128" s="7"/>
      <c r="MTN1128" s="7"/>
      <c r="MTO1128" s="7"/>
      <c r="MTP1128" s="7"/>
      <c r="MTQ1128" s="7"/>
      <c r="MTR1128" s="7"/>
      <c r="MTS1128" s="7"/>
      <c r="MTT1128" s="7"/>
      <c r="MTU1128" s="7"/>
      <c r="MTV1128" s="7"/>
      <c r="MTW1128" s="7"/>
      <c r="MTX1128" s="7"/>
      <c r="MTY1128" s="7"/>
      <c r="MTZ1128" s="7"/>
      <c r="MUA1128" s="7"/>
      <c r="MUB1128" s="7"/>
      <c r="MUC1128" s="7"/>
      <c r="MUD1128" s="7"/>
      <c r="MUE1128" s="7"/>
      <c r="MUF1128" s="7"/>
      <c r="MUG1128" s="7"/>
      <c r="MUH1128" s="7"/>
      <c r="MUI1128" s="7"/>
      <c r="MUJ1128" s="7"/>
      <c r="MUK1128" s="7"/>
      <c r="MUL1128" s="7"/>
      <c r="MUM1128" s="7"/>
      <c r="MUN1128" s="7"/>
      <c r="MUO1128" s="7"/>
      <c r="MUP1128" s="7"/>
      <c r="MUQ1128" s="7"/>
      <c r="MUR1128" s="7"/>
      <c r="MUS1128" s="7"/>
      <c r="MUT1128" s="7"/>
      <c r="MUU1128" s="7"/>
      <c r="MUV1128" s="7"/>
      <c r="MUW1128" s="7"/>
      <c r="MUX1128" s="7"/>
      <c r="MUY1128" s="7"/>
      <c r="MUZ1128" s="7"/>
      <c r="MVA1128" s="7"/>
      <c r="MVB1128" s="7"/>
      <c r="MVC1128" s="7"/>
      <c r="MVD1128" s="7"/>
      <c r="MVE1128" s="7"/>
      <c r="MVF1128" s="7"/>
      <c r="MVG1128" s="7"/>
      <c r="MVH1128" s="7"/>
      <c r="MVI1128" s="7"/>
      <c r="MVJ1128" s="7"/>
      <c r="MVK1128" s="7"/>
      <c r="MVL1128" s="7"/>
      <c r="MVM1128" s="7"/>
      <c r="MVN1128" s="7"/>
      <c r="MVO1128" s="7"/>
      <c r="MVP1128" s="7"/>
      <c r="MVQ1128" s="7"/>
      <c r="MVR1128" s="7"/>
      <c r="MVS1128" s="7"/>
      <c r="MVT1128" s="7"/>
      <c r="MVU1128" s="7"/>
      <c r="MVV1128" s="7"/>
      <c r="MVW1128" s="7"/>
      <c r="MVX1128" s="7"/>
      <c r="MVY1128" s="7"/>
      <c r="MVZ1128" s="7"/>
      <c r="MWA1128" s="7"/>
      <c r="MWB1128" s="7"/>
      <c r="MWC1128" s="7"/>
      <c r="MWD1128" s="7"/>
      <c r="MWE1128" s="7"/>
      <c r="MWF1128" s="7"/>
      <c r="MWG1128" s="7"/>
      <c r="MWH1128" s="7"/>
      <c r="MWI1128" s="7"/>
      <c r="MWJ1128" s="7"/>
      <c r="MWK1128" s="7"/>
      <c r="MWL1128" s="7"/>
      <c r="MWM1128" s="7"/>
      <c r="MWN1128" s="7"/>
      <c r="MWO1128" s="7"/>
      <c r="MWP1128" s="7"/>
      <c r="MWQ1128" s="7"/>
      <c r="MWR1128" s="7"/>
      <c r="MWS1128" s="7"/>
      <c r="MWT1128" s="7"/>
      <c r="MWU1128" s="7"/>
      <c r="MWV1128" s="7"/>
      <c r="MWW1128" s="7"/>
      <c r="MWX1128" s="7"/>
      <c r="MWY1128" s="7"/>
      <c r="MWZ1128" s="7"/>
      <c r="MXA1128" s="7"/>
      <c r="MXB1128" s="7"/>
      <c r="MXC1128" s="7"/>
      <c r="MXD1128" s="7"/>
      <c r="MXE1128" s="7"/>
      <c r="MXF1128" s="7"/>
      <c r="MXG1128" s="7"/>
      <c r="MXH1128" s="7"/>
      <c r="MXI1128" s="7"/>
      <c r="MXJ1128" s="7"/>
      <c r="MXK1128" s="7"/>
      <c r="MXL1128" s="7"/>
      <c r="MXM1128" s="7"/>
      <c r="MXN1128" s="7"/>
      <c r="MXO1128" s="7"/>
      <c r="MXP1128" s="7"/>
      <c r="MXQ1128" s="7"/>
      <c r="MXR1128" s="7"/>
      <c r="MXS1128" s="7"/>
      <c r="MXT1128" s="7"/>
      <c r="MXU1128" s="7"/>
      <c r="MXV1128" s="7"/>
      <c r="MXW1128" s="7"/>
      <c r="MXX1128" s="7"/>
      <c r="MXY1128" s="7"/>
      <c r="MXZ1128" s="7"/>
      <c r="MYA1128" s="7"/>
      <c r="MYB1128" s="7"/>
      <c r="MYC1128" s="7"/>
      <c r="MYD1128" s="7"/>
      <c r="MYE1128" s="7"/>
      <c r="MYF1128" s="7"/>
      <c r="MYG1128" s="7"/>
      <c r="MYH1128" s="7"/>
      <c r="MYI1128" s="7"/>
      <c r="MYJ1128" s="7"/>
      <c r="MYK1128" s="7"/>
      <c r="MYL1128" s="7"/>
      <c r="MYM1128" s="7"/>
      <c r="MYN1128" s="7"/>
      <c r="MYO1128" s="7"/>
      <c r="MYP1128" s="7"/>
      <c r="MYQ1128" s="7"/>
      <c r="MYR1128" s="7"/>
      <c r="MYS1128" s="7"/>
      <c r="MYT1128" s="7"/>
      <c r="MYU1128" s="7"/>
      <c r="MYV1128" s="7"/>
      <c r="MYW1128" s="7"/>
      <c r="MYX1128" s="7"/>
      <c r="MYY1128" s="7"/>
      <c r="MYZ1128" s="7"/>
      <c r="MZA1128" s="7"/>
      <c r="MZB1128" s="7"/>
      <c r="MZC1128" s="7"/>
      <c r="MZD1128" s="7"/>
      <c r="MZE1128" s="7"/>
      <c r="MZF1128" s="7"/>
      <c r="MZG1128" s="7"/>
      <c r="MZH1128" s="7"/>
      <c r="MZI1128" s="7"/>
      <c r="MZJ1128" s="7"/>
      <c r="MZK1128" s="7"/>
      <c r="MZL1128" s="7"/>
      <c r="MZM1128" s="7"/>
      <c r="MZN1128" s="7"/>
      <c r="MZO1128" s="7"/>
      <c r="MZP1128" s="7"/>
      <c r="MZQ1128" s="7"/>
      <c r="MZR1128" s="7"/>
      <c r="MZS1128" s="7"/>
      <c r="MZT1128" s="7"/>
      <c r="MZU1128" s="7"/>
      <c r="MZV1128" s="7"/>
      <c r="MZW1128" s="7"/>
      <c r="MZX1128" s="7"/>
      <c r="MZY1128" s="7"/>
      <c r="MZZ1128" s="7"/>
      <c r="NAA1128" s="7"/>
      <c r="NAB1128" s="7"/>
      <c r="NAC1128" s="7"/>
      <c r="NAD1128" s="7"/>
      <c r="NAE1128" s="7"/>
      <c r="NAF1128" s="7"/>
      <c r="NAG1128" s="7"/>
      <c r="NAH1128" s="7"/>
      <c r="NAI1128" s="7"/>
      <c r="NAJ1128" s="7"/>
      <c r="NAK1128" s="7"/>
      <c r="NAL1128" s="7"/>
      <c r="NAM1128" s="7"/>
      <c r="NAN1128" s="7"/>
      <c r="NAO1128" s="7"/>
      <c r="NAP1128" s="7"/>
      <c r="NAQ1128" s="7"/>
      <c r="NAR1128" s="7"/>
      <c r="NAS1128" s="7"/>
      <c r="NAT1128" s="7"/>
      <c r="NAU1128" s="7"/>
      <c r="NAV1128" s="7"/>
      <c r="NAW1128" s="7"/>
      <c r="NAX1128" s="7"/>
      <c r="NAY1128" s="7"/>
      <c r="NAZ1128" s="7"/>
      <c r="NBA1128" s="7"/>
      <c r="NBB1128" s="7"/>
      <c r="NBC1128" s="7"/>
      <c r="NBD1128" s="7"/>
      <c r="NBE1128" s="7"/>
      <c r="NBF1128" s="7"/>
      <c r="NBG1128" s="7"/>
      <c r="NBH1128" s="7"/>
      <c r="NBI1128" s="7"/>
      <c r="NBJ1128" s="7"/>
      <c r="NBK1128" s="7"/>
      <c r="NBL1128" s="7"/>
      <c r="NBM1128" s="7"/>
      <c r="NBN1128" s="7"/>
      <c r="NBO1128" s="7"/>
      <c r="NBP1128" s="7"/>
      <c r="NBQ1128" s="7"/>
      <c r="NBR1128" s="7"/>
      <c r="NBS1128" s="7"/>
      <c r="NBT1128" s="7"/>
      <c r="NBU1128" s="7"/>
      <c r="NBV1128" s="7"/>
      <c r="NBW1128" s="7"/>
      <c r="NBX1128" s="7"/>
      <c r="NBY1128" s="7"/>
      <c r="NBZ1128" s="7"/>
      <c r="NCA1128" s="7"/>
      <c r="NCB1128" s="7"/>
      <c r="NCC1128" s="7"/>
      <c r="NCD1128" s="7"/>
      <c r="NCE1128" s="7"/>
      <c r="NCF1128" s="7"/>
      <c r="NCG1128" s="7"/>
      <c r="NCH1128" s="7"/>
      <c r="NCI1128" s="7"/>
      <c r="NCJ1128" s="7"/>
      <c r="NCK1128" s="7"/>
      <c r="NCL1128" s="7"/>
      <c r="NCM1128" s="7"/>
      <c r="NCN1128" s="7"/>
      <c r="NCO1128" s="7"/>
      <c r="NCP1128" s="7"/>
      <c r="NCQ1128" s="7"/>
      <c r="NCR1128" s="7"/>
      <c r="NCS1128" s="7"/>
      <c r="NCT1128" s="7"/>
      <c r="NCU1128" s="7"/>
      <c r="NCV1128" s="7"/>
      <c r="NCW1128" s="7"/>
      <c r="NCX1128" s="7"/>
      <c r="NCY1128" s="7"/>
      <c r="NCZ1128" s="7"/>
      <c r="NDA1128" s="7"/>
      <c r="NDB1128" s="7"/>
      <c r="NDC1128" s="7"/>
      <c r="NDD1128" s="7"/>
      <c r="NDE1128" s="7"/>
      <c r="NDF1128" s="7"/>
      <c r="NDG1128" s="7"/>
      <c r="NDH1128" s="7"/>
      <c r="NDI1128" s="7"/>
      <c r="NDJ1128" s="7"/>
      <c r="NDK1128" s="7"/>
      <c r="NDL1128" s="7"/>
      <c r="NDM1128" s="7"/>
      <c r="NDN1128" s="7"/>
      <c r="NDO1128" s="7"/>
      <c r="NDP1128" s="7"/>
      <c r="NDQ1128" s="7"/>
      <c r="NDR1128" s="7"/>
      <c r="NDS1128" s="7"/>
      <c r="NDT1128" s="7"/>
      <c r="NDU1128" s="7"/>
      <c r="NDV1128" s="7"/>
      <c r="NDW1128" s="7"/>
      <c r="NDX1128" s="7"/>
      <c r="NDY1128" s="7"/>
      <c r="NDZ1128" s="7"/>
      <c r="NEA1128" s="7"/>
      <c r="NEB1128" s="7"/>
      <c r="NEC1128" s="7"/>
      <c r="NED1128" s="7"/>
      <c r="NEE1128" s="7"/>
      <c r="NEF1128" s="7"/>
      <c r="NEG1128" s="7"/>
      <c r="NEH1128" s="7"/>
      <c r="NEI1128" s="7"/>
      <c r="NEJ1128" s="7"/>
      <c r="NEK1128" s="7"/>
      <c r="NEL1128" s="7"/>
      <c r="NEM1128" s="7"/>
      <c r="NEN1128" s="7"/>
      <c r="NEO1128" s="7"/>
      <c r="NEP1128" s="7"/>
      <c r="NEQ1128" s="7"/>
      <c r="NER1128" s="7"/>
      <c r="NES1128" s="7"/>
      <c r="NET1128" s="7"/>
      <c r="NEU1128" s="7"/>
      <c r="NEV1128" s="7"/>
      <c r="NEW1128" s="7"/>
      <c r="NEX1128" s="7"/>
      <c r="NEY1128" s="7"/>
      <c r="NEZ1128" s="7"/>
      <c r="NFA1128" s="7"/>
      <c r="NFB1128" s="7"/>
      <c r="NFC1128" s="7"/>
      <c r="NFD1128" s="7"/>
      <c r="NFE1128" s="7"/>
      <c r="NFF1128" s="7"/>
      <c r="NFG1128" s="7"/>
      <c r="NFH1128" s="7"/>
      <c r="NFI1128" s="7"/>
      <c r="NFJ1128" s="7"/>
      <c r="NFK1128" s="7"/>
      <c r="NFL1128" s="7"/>
      <c r="NFM1128" s="7"/>
      <c r="NFN1128" s="7"/>
      <c r="NFO1128" s="7"/>
      <c r="NFP1128" s="7"/>
      <c r="NFQ1128" s="7"/>
      <c r="NFR1128" s="7"/>
      <c r="NFS1128" s="7"/>
      <c r="NFT1128" s="7"/>
      <c r="NFU1128" s="7"/>
      <c r="NFV1128" s="7"/>
      <c r="NFW1128" s="7"/>
      <c r="NFX1128" s="7"/>
      <c r="NFY1128" s="7"/>
      <c r="NFZ1128" s="7"/>
      <c r="NGA1128" s="7"/>
      <c r="NGB1128" s="7"/>
      <c r="NGC1128" s="7"/>
      <c r="NGD1128" s="7"/>
      <c r="NGE1128" s="7"/>
      <c r="NGF1128" s="7"/>
      <c r="NGG1128" s="7"/>
      <c r="NGH1128" s="7"/>
      <c r="NGI1128" s="7"/>
      <c r="NGJ1128" s="7"/>
      <c r="NGK1128" s="7"/>
      <c r="NGL1128" s="7"/>
      <c r="NGM1128" s="7"/>
      <c r="NGN1128" s="7"/>
      <c r="NGO1128" s="7"/>
      <c r="NGP1128" s="7"/>
      <c r="NGQ1128" s="7"/>
      <c r="NGR1128" s="7"/>
      <c r="NGS1128" s="7"/>
      <c r="NGT1128" s="7"/>
      <c r="NGU1128" s="7"/>
      <c r="NGV1128" s="7"/>
      <c r="NGW1128" s="7"/>
      <c r="NGX1128" s="7"/>
      <c r="NGY1128" s="7"/>
      <c r="NGZ1128" s="7"/>
      <c r="NHA1128" s="7"/>
      <c r="NHB1128" s="7"/>
      <c r="NHC1128" s="7"/>
      <c r="NHD1128" s="7"/>
      <c r="NHE1128" s="7"/>
      <c r="NHF1128" s="7"/>
      <c r="NHG1128" s="7"/>
      <c r="NHH1128" s="7"/>
      <c r="NHI1128" s="7"/>
      <c r="NHJ1128" s="7"/>
      <c r="NHK1128" s="7"/>
      <c r="NHL1128" s="7"/>
      <c r="NHM1128" s="7"/>
      <c r="NHN1128" s="7"/>
      <c r="NHO1128" s="7"/>
      <c r="NHP1128" s="7"/>
      <c r="NHQ1128" s="7"/>
      <c r="NHR1128" s="7"/>
      <c r="NHS1128" s="7"/>
      <c r="NHT1128" s="7"/>
      <c r="NHU1128" s="7"/>
      <c r="NHV1128" s="7"/>
      <c r="NHW1128" s="7"/>
      <c r="NHX1128" s="7"/>
      <c r="NHY1128" s="7"/>
      <c r="NHZ1128" s="7"/>
      <c r="NIA1128" s="7"/>
      <c r="NIB1128" s="7"/>
      <c r="NIC1128" s="7"/>
      <c r="NID1128" s="7"/>
      <c r="NIE1128" s="7"/>
      <c r="NIF1128" s="7"/>
      <c r="NIG1128" s="7"/>
      <c r="NIH1128" s="7"/>
      <c r="NII1128" s="7"/>
      <c r="NIJ1128" s="7"/>
      <c r="NIK1128" s="7"/>
      <c r="NIL1128" s="7"/>
      <c r="NIM1128" s="7"/>
      <c r="NIN1128" s="7"/>
      <c r="NIO1128" s="7"/>
      <c r="NIP1128" s="7"/>
      <c r="NIQ1128" s="7"/>
      <c r="NIR1128" s="7"/>
      <c r="NIS1128" s="7"/>
      <c r="NIT1128" s="7"/>
      <c r="NIU1128" s="7"/>
      <c r="NIV1128" s="7"/>
      <c r="NIW1128" s="7"/>
      <c r="NIX1128" s="7"/>
      <c r="NIY1128" s="7"/>
      <c r="NIZ1128" s="7"/>
      <c r="NJA1128" s="7"/>
      <c r="NJB1128" s="7"/>
      <c r="NJC1128" s="7"/>
      <c r="NJD1128" s="7"/>
      <c r="NJE1128" s="7"/>
      <c r="NJF1128" s="7"/>
      <c r="NJG1128" s="7"/>
      <c r="NJH1128" s="7"/>
      <c r="NJI1128" s="7"/>
      <c r="NJJ1128" s="7"/>
      <c r="NJK1128" s="7"/>
      <c r="NJL1128" s="7"/>
      <c r="NJM1128" s="7"/>
      <c r="NJN1128" s="7"/>
      <c r="NJO1128" s="7"/>
      <c r="NJP1128" s="7"/>
      <c r="NJQ1128" s="7"/>
      <c r="NJR1128" s="7"/>
      <c r="NJS1128" s="7"/>
      <c r="NJT1128" s="7"/>
      <c r="NJU1128" s="7"/>
      <c r="NJV1128" s="7"/>
      <c r="NJW1128" s="7"/>
      <c r="NJX1128" s="7"/>
      <c r="NJY1128" s="7"/>
      <c r="NJZ1128" s="7"/>
      <c r="NKA1128" s="7"/>
      <c r="NKB1128" s="7"/>
      <c r="NKC1128" s="7"/>
      <c r="NKD1128" s="7"/>
      <c r="NKE1128" s="7"/>
      <c r="NKF1128" s="7"/>
      <c r="NKG1128" s="7"/>
      <c r="NKH1128" s="7"/>
      <c r="NKI1128" s="7"/>
      <c r="NKJ1128" s="7"/>
      <c r="NKK1128" s="7"/>
      <c r="NKL1128" s="7"/>
      <c r="NKM1128" s="7"/>
      <c r="NKN1128" s="7"/>
      <c r="NKO1128" s="7"/>
      <c r="NKP1128" s="7"/>
      <c r="NKQ1128" s="7"/>
      <c r="NKR1128" s="7"/>
      <c r="NKS1128" s="7"/>
      <c r="NKT1128" s="7"/>
      <c r="NKU1128" s="7"/>
      <c r="NKV1128" s="7"/>
      <c r="NKW1128" s="7"/>
      <c r="NKX1128" s="7"/>
      <c r="NKY1128" s="7"/>
      <c r="NKZ1128" s="7"/>
      <c r="NLA1128" s="7"/>
      <c r="NLB1128" s="7"/>
      <c r="NLC1128" s="7"/>
      <c r="NLD1128" s="7"/>
      <c r="NLE1128" s="7"/>
      <c r="NLF1128" s="7"/>
      <c r="NLG1128" s="7"/>
      <c r="NLH1128" s="7"/>
      <c r="NLI1128" s="7"/>
      <c r="NLJ1128" s="7"/>
      <c r="NLK1128" s="7"/>
      <c r="NLL1128" s="7"/>
      <c r="NLM1128" s="7"/>
      <c r="NLN1128" s="7"/>
      <c r="NLO1128" s="7"/>
      <c r="NLP1128" s="7"/>
      <c r="NLQ1128" s="7"/>
      <c r="NLR1128" s="7"/>
      <c r="NLS1128" s="7"/>
      <c r="NLT1128" s="7"/>
      <c r="NLU1128" s="7"/>
      <c r="NLV1128" s="7"/>
      <c r="NLW1128" s="7"/>
      <c r="NLX1128" s="7"/>
      <c r="NLY1128" s="7"/>
      <c r="NLZ1128" s="7"/>
      <c r="NMA1128" s="7"/>
      <c r="NMB1128" s="7"/>
      <c r="NMC1128" s="7"/>
      <c r="NMD1128" s="7"/>
      <c r="NME1128" s="7"/>
      <c r="NMF1128" s="7"/>
      <c r="NMG1128" s="7"/>
      <c r="NMH1128" s="7"/>
      <c r="NMI1128" s="7"/>
      <c r="NMJ1128" s="7"/>
      <c r="NMK1128" s="7"/>
      <c r="NML1128" s="7"/>
      <c r="NMM1128" s="7"/>
      <c r="NMN1128" s="7"/>
      <c r="NMO1128" s="7"/>
      <c r="NMP1128" s="7"/>
      <c r="NMQ1128" s="7"/>
      <c r="NMR1128" s="7"/>
      <c r="NMS1128" s="7"/>
      <c r="NMT1128" s="7"/>
      <c r="NMU1128" s="7"/>
      <c r="NMV1128" s="7"/>
      <c r="NMW1128" s="7"/>
      <c r="NMX1128" s="7"/>
      <c r="NMY1128" s="7"/>
      <c r="NMZ1128" s="7"/>
      <c r="NNA1128" s="7"/>
      <c r="NNB1128" s="7"/>
      <c r="NNC1128" s="7"/>
      <c r="NND1128" s="7"/>
      <c r="NNE1128" s="7"/>
      <c r="NNF1128" s="7"/>
      <c r="NNG1128" s="7"/>
      <c r="NNH1128" s="7"/>
      <c r="NNI1128" s="7"/>
      <c r="NNJ1128" s="7"/>
      <c r="NNK1128" s="7"/>
      <c r="NNL1128" s="7"/>
      <c r="NNM1128" s="7"/>
      <c r="NNN1128" s="7"/>
      <c r="NNO1128" s="7"/>
      <c r="NNP1128" s="7"/>
      <c r="NNQ1128" s="7"/>
      <c r="NNR1128" s="7"/>
      <c r="NNS1128" s="7"/>
      <c r="NNT1128" s="7"/>
      <c r="NNU1128" s="7"/>
      <c r="NNV1128" s="7"/>
      <c r="NNW1128" s="7"/>
      <c r="NNX1128" s="7"/>
      <c r="NNY1128" s="7"/>
      <c r="NNZ1128" s="7"/>
      <c r="NOA1128" s="7"/>
      <c r="NOB1128" s="7"/>
      <c r="NOC1128" s="7"/>
      <c r="NOD1128" s="7"/>
      <c r="NOE1128" s="7"/>
      <c r="NOF1128" s="7"/>
      <c r="NOG1128" s="7"/>
      <c r="NOH1128" s="7"/>
      <c r="NOI1128" s="7"/>
      <c r="NOJ1128" s="7"/>
      <c r="NOK1128" s="7"/>
      <c r="NOL1128" s="7"/>
      <c r="NOM1128" s="7"/>
      <c r="NON1128" s="7"/>
      <c r="NOO1128" s="7"/>
      <c r="NOP1128" s="7"/>
      <c r="NOQ1128" s="7"/>
      <c r="NOR1128" s="7"/>
      <c r="NOS1128" s="7"/>
      <c r="NOT1128" s="7"/>
      <c r="NOU1128" s="7"/>
      <c r="NOV1128" s="7"/>
      <c r="NOW1128" s="7"/>
      <c r="NOX1128" s="7"/>
      <c r="NOY1128" s="7"/>
      <c r="NOZ1128" s="7"/>
      <c r="NPA1128" s="7"/>
      <c r="NPB1128" s="7"/>
      <c r="NPC1128" s="7"/>
      <c r="NPD1128" s="7"/>
      <c r="NPE1128" s="7"/>
      <c r="NPF1128" s="7"/>
      <c r="NPG1128" s="7"/>
      <c r="NPH1128" s="7"/>
      <c r="NPI1128" s="7"/>
      <c r="NPJ1128" s="7"/>
      <c r="NPK1128" s="7"/>
      <c r="NPL1128" s="7"/>
      <c r="NPM1128" s="7"/>
      <c r="NPN1128" s="7"/>
      <c r="NPO1128" s="7"/>
      <c r="NPP1128" s="7"/>
      <c r="NPQ1128" s="7"/>
      <c r="NPR1128" s="7"/>
      <c r="NPS1128" s="7"/>
      <c r="NPT1128" s="7"/>
      <c r="NPU1128" s="7"/>
      <c r="NPV1128" s="7"/>
      <c r="NPW1128" s="7"/>
      <c r="NPX1128" s="7"/>
      <c r="NPY1128" s="7"/>
      <c r="NPZ1128" s="7"/>
      <c r="NQA1128" s="7"/>
      <c r="NQB1128" s="7"/>
      <c r="NQC1128" s="7"/>
      <c r="NQD1128" s="7"/>
      <c r="NQE1128" s="7"/>
      <c r="NQF1128" s="7"/>
      <c r="NQG1128" s="7"/>
      <c r="NQH1128" s="7"/>
      <c r="NQI1128" s="7"/>
      <c r="NQJ1128" s="7"/>
      <c r="NQK1128" s="7"/>
      <c r="NQL1128" s="7"/>
      <c r="NQM1128" s="7"/>
      <c r="NQN1128" s="7"/>
      <c r="NQO1128" s="7"/>
      <c r="NQP1128" s="7"/>
      <c r="NQQ1128" s="7"/>
      <c r="NQR1128" s="7"/>
      <c r="NQS1128" s="7"/>
      <c r="NQT1128" s="7"/>
      <c r="NQU1128" s="7"/>
      <c r="NQV1128" s="7"/>
      <c r="NQW1128" s="7"/>
      <c r="NQX1128" s="7"/>
      <c r="NQY1128" s="7"/>
      <c r="NQZ1128" s="7"/>
      <c r="NRA1128" s="7"/>
      <c r="NRB1128" s="7"/>
      <c r="NRC1128" s="7"/>
      <c r="NRD1128" s="7"/>
      <c r="NRE1128" s="7"/>
      <c r="NRF1128" s="7"/>
      <c r="NRG1128" s="7"/>
      <c r="NRH1128" s="7"/>
      <c r="NRI1128" s="7"/>
      <c r="NRJ1128" s="7"/>
      <c r="NRK1128" s="7"/>
      <c r="NRL1128" s="7"/>
      <c r="NRM1128" s="7"/>
      <c r="NRN1128" s="7"/>
      <c r="NRO1128" s="7"/>
      <c r="NRP1128" s="7"/>
      <c r="NRQ1128" s="7"/>
      <c r="NRR1128" s="7"/>
      <c r="NRS1128" s="7"/>
      <c r="NRT1128" s="7"/>
      <c r="NRU1128" s="7"/>
      <c r="NRV1128" s="7"/>
      <c r="NRW1128" s="7"/>
      <c r="NRX1128" s="7"/>
      <c r="NRY1128" s="7"/>
      <c r="NRZ1128" s="7"/>
      <c r="NSA1128" s="7"/>
      <c r="NSB1128" s="7"/>
      <c r="NSC1128" s="7"/>
      <c r="NSD1128" s="7"/>
      <c r="NSE1128" s="7"/>
      <c r="NSF1128" s="7"/>
      <c r="NSG1128" s="7"/>
      <c r="NSH1128" s="7"/>
      <c r="NSI1128" s="7"/>
      <c r="NSJ1128" s="7"/>
      <c r="NSK1128" s="7"/>
      <c r="NSL1128" s="7"/>
      <c r="NSM1128" s="7"/>
      <c r="NSN1128" s="7"/>
      <c r="NSO1128" s="7"/>
      <c r="NSP1128" s="7"/>
      <c r="NSQ1128" s="7"/>
      <c r="NSR1128" s="7"/>
      <c r="NSS1128" s="7"/>
      <c r="NST1128" s="7"/>
      <c r="NSU1128" s="7"/>
      <c r="NSV1128" s="7"/>
      <c r="NSW1128" s="7"/>
      <c r="NSX1128" s="7"/>
      <c r="NSY1128" s="7"/>
      <c r="NSZ1128" s="7"/>
      <c r="NTA1128" s="7"/>
      <c r="NTB1128" s="7"/>
      <c r="NTC1128" s="7"/>
      <c r="NTD1128" s="7"/>
      <c r="NTE1128" s="7"/>
      <c r="NTF1128" s="7"/>
      <c r="NTG1128" s="7"/>
      <c r="NTH1128" s="7"/>
      <c r="NTI1128" s="7"/>
      <c r="NTJ1128" s="7"/>
      <c r="NTK1128" s="7"/>
      <c r="NTL1128" s="7"/>
      <c r="NTM1128" s="7"/>
      <c r="NTN1128" s="7"/>
      <c r="NTO1128" s="7"/>
      <c r="NTP1128" s="7"/>
      <c r="NTQ1128" s="7"/>
      <c r="NTR1128" s="7"/>
      <c r="NTS1128" s="7"/>
      <c r="NTT1128" s="7"/>
      <c r="NTU1128" s="7"/>
      <c r="NTV1128" s="7"/>
      <c r="NTW1128" s="7"/>
      <c r="NTX1128" s="7"/>
      <c r="NTY1128" s="7"/>
      <c r="NTZ1128" s="7"/>
      <c r="NUA1128" s="7"/>
      <c r="NUB1128" s="7"/>
      <c r="NUC1128" s="7"/>
      <c r="NUD1128" s="7"/>
      <c r="NUE1128" s="7"/>
      <c r="NUF1128" s="7"/>
      <c r="NUG1128" s="7"/>
      <c r="NUH1128" s="7"/>
      <c r="NUI1128" s="7"/>
      <c r="NUJ1128" s="7"/>
      <c r="NUK1128" s="7"/>
      <c r="NUL1128" s="7"/>
      <c r="NUM1128" s="7"/>
      <c r="NUN1128" s="7"/>
      <c r="NUO1128" s="7"/>
      <c r="NUP1128" s="7"/>
      <c r="NUQ1128" s="7"/>
      <c r="NUR1128" s="7"/>
      <c r="NUS1128" s="7"/>
      <c r="NUT1128" s="7"/>
      <c r="NUU1128" s="7"/>
      <c r="NUV1128" s="7"/>
      <c r="NUW1128" s="7"/>
      <c r="NUX1128" s="7"/>
      <c r="NUY1128" s="7"/>
      <c r="NUZ1128" s="7"/>
      <c r="NVA1128" s="7"/>
      <c r="NVB1128" s="7"/>
      <c r="NVC1128" s="7"/>
      <c r="NVD1128" s="7"/>
      <c r="NVE1128" s="7"/>
      <c r="NVF1128" s="7"/>
      <c r="NVG1128" s="7"/>
      <c r="NVH1128" s="7"/>
      <c r="NVI1128" s="7"/>
      <c r="NVJ1128" s="7"/>
      <c r="NVK1128" s="7"/>
      <c r="NVL1128" s="7"/>
      <c r="NVM1128" s="7"/>
      <c r="NVN1128" s="7"/>
      <c r="NVO1128" s="7"/>
      <c r="NVP1128" s="7"/>
      <c r="NVQ1128" s="7"/>
      <c r="NVR1128" s="7"/>
      <c r="NVS1128" s="7"/>
      <c r="NVT1128" s="7"/>
      <c r="NVU1128" s="7"/>
      <c r="NVV1128" s="7"/>
      <c r="NVW1128" s="7"/>
      <c r="NVX1128" s="7"/>
      <c r="NVY1128" s="7"/>
      <c r="NVZ1128" s="7"/>
      <c r="NWA1128" s="7"/>
      <c r="NWB1128" s="7"/>
      <c r="NWC1128" s="7"/>
      <c r="NWD1128" s="7"/>
      <c r="NWE1128" s="7"/>
      <c r="NWF1128" s="7"/>
      <c r="NWG1128" s="7"/>
      <c r="NWH1128" s="7"/>
      <c r="NWI1128" s="7"/>
      <c r="NWJ1128" s="7"/>
      <c r="NWK1128" s="7"/>
      <c r="NWL1128" s="7"/>
      <c r="NWM1128" s="7"/>
      <c r="NWN1128" s="7"/>
      <c r="NWO1128" s="7"/>
      <c r="NWP1128" s="7"/>
      <c r="NWQ1128" s="7"/>
      <c r="NWR1128" s="7"/>
      <c r="NWS1128" s="7"/>
      <c r="NWT1128" s="7"/>
      <c r="NWU1128" s="7"/>
      <c r="NWV1128" s="7"/>
      <c r="NWW1128" s="7"/>
      <c r="NWX1128" s="7"/>
      <c r="NWY1128" s="7"/>
      <c r="NWZ1128" s="7"/>
      <c r="NXA1128" s="7"/>
      <c r="NXB1128" s="7"/>
      <c r="NXC1128" s="7"/>
      <c r="NXD1128" s="7"/>
      <c r="NXE1128" s="7"/>
      <c r="NXF1128" s="7"/>
      <c r="NXG1128" s="7"/>
      <c r="NXH1128" s="7"/>
      <c r="NXI1128" s="7"/>
      <c r="NXJ1128" s="7"/>
      <c r="NXK1128" s="7"/>
      <c r="NXL1128" s="7"/>
      <c r="NXM1128" s="7"/>
      <c r="NXN1128" s="7"/>
      <c r="NXO1128" s="7"/>
      <c r="NXP1128" s="7"/>
      <c r="NXQ1128" s="7"/>
      <c r="NXR1128" s="7"/>
      <c r="NXS1128" s="7"/>
      <c r="NXT1128" s="7"/>
      <c r="NXU1128" s="7"/>
      <c r="NXV1128" s="7"/>
      <c r="NXW1128" s="7"/>
      <c r="NXX1128" s="7"/>
      <c r="NXY1128" s="7"/>
      <c r="NXZ1128" s="7"/>
      <c r="NYA1128" s="7"/>
      <c r="NYB1128" s="7"/>
      <c r="NYC1128" s="7"/>
      <c r="NYD1128" s="7"/>
      <c r="NYE1128" s="7"/>
      <c r="NYF1128" s="7"/>
      <c r="NYG1128" s="7"/>
      <c r="NYH1128" s="7"/>
      <c r="NYI1128" s="7"/>
      <c r="NYJ1128" s="7"/>
      <c r="NYK1128" s="7"/>
      <c r="NYL1128" s="7"/>
      <c r="NYM1128" s="7"/>
      <c r="NYN1128" s="7"/>
      <c r="NYO1128" s="7"/>
      <c r="NYP1128" s="7"/>
      <c r="NYQ1128" s="7"/>
      <c r="NYR1128" s="7"/>
      <c r="NYS1128" s="7"/>
      <c r="NYT1128" s="7"/>
      <c r="NYU1128" s="7"/>
      <c r="NYV1128" s="7"/>
      <c r="NYW1128" s="7"/>
      <c r="NYX1128" s="7"/>
      <c r="NYY1128" s="7"/>
      <c r="NYZ1128" s="7"/>
      <c r="NZA1128" s="7"/>
      <c r="NZB1128" s="7"/>
      <c r="NZC1128" s="7"/>
      <c r="NZD1128" s="7"/>
      <c r="NZE1128" s="7"/>
      <c r="NZF1128" s="7"/>
      <c r="NZG1128" s="7"/>
      <c r="NZH1128" s="7"/>
      <c r="NZI1128" s="7"/>
      <c r="NZJ1128" s="7"/>
      <c r="NZK1128" s="7"/>
      <c r="NZL1128" s="7"/>
      <c r="NZM1128" s="7"/>
      <c r="NZN1128" s="7"/>
      <c r="NZO1128" s="7"/>
      <c r="NZP1128" s="7"/>
      <c r="NZQ1128" s="7"/>
      <c r="NZR1128" s="7"/>
      <c r="NZS1128" s="7"/>
      <c r="NZT1128" s="7"/>
      <c r="NZU1128" s="7"/>
      <c r="NZV1128" s="7"/>
      <c r="NZW1128" s="7"/>
      <c r="NZX1128" s="7"/>
      <c r="NZY1128" s="7"/>
      <c r="NZZ1128" s="7"/>
      <c r="OAA1128" s="7"/>
      <c r="OAB1128" s="7"/>
      <c r="OAC1128" s="7"/>
      <c r="OAD1128" s="7"/>
      <c r="OAE1128" s="7"/>
      <c r="OAF1128" s="7"/>
      <c r="OAG1128" s="7"/>
      <c r="OAH1128" s="7"/>
      <c r="OAI1128" s="7"/>
      <c r="OAJ1128" s="7"/>
      <c r="OAK1128" s="7"/>
      <c r="OAL1128" s="7"/>
      <c r="OAM1128" s="7"/>
      <c r="OAN1128" s="7"/>
      <c r="OAO1128" s="7"/>
      <c r="OAP1128" s="7"/>
      <c r="OAQ1128" s="7"/>
      <c r="OAR1128" s="7"/>
      <c r="OAS1128" s="7"/>
      <c r="OAT1128" s="7"/>
      <c r="OAU1128" s="7"/>
      <c r="OAV1128" s="7"/>
      <c r="OAW1128" s="7"/>
      <c r="OAX1128" s="7"/>
      <c r="OAY1128" s="7"/>
      <c r="OAZ1128" s="7"/>
      <c r="OBA1128" s="7"/>
      <c r="OBB1128" s="7"/>
      <c r="OBC1128" s="7"/>
      <c r="OBD1128" s="7"/>
      <c r="OBE1128" s="7"/>
      <c r="OBF1128" s="7"/>
      <c r="OBG1128" s="7"/>
      <c r="OBH1128" s="7"/>
      <c r="OBI1128" s="7"/>
      <c r="OBJ1128" s="7"/>
      <c r="OBK1128" s="7"/>
      <c r="OBL1128" s="7"/>
      <c r="OBM1128" s="7"/>
      <c r="OBN1128" s="7"/>
      <c r="OBO1128" s="7"/>
      <c r="OBP1128" s="7"/>
      <c r="OBQ1128" s="7"/>
      <c r="OBR1128" s="7"/>
      <c r="OBS1128" s="7"/>
      <c r="OBT1128" s="7"/>
      <c r="OBU1128" s="7"/>
      <c r="OBV1128" s="7"/>
      <c r="OBW1128" s="7"/>
      <c r="OBX1128" s="7"/>
      <c r="OBY1128" s="7"/>
      <c r="OBZ1128" s="7"/>
      <c r="OCA1128" s="7"/>
      <c r="OCB1128" s="7"/>
      <c r="OCC1128" s="7"/>
      <c r="OCD1128" s="7"/>
      <c r="OCE1128" s="7"/>
      <c r="OCF1128" s="7"/>
      <c r="OCG1128" s="7"/>
      <c r="OCH1128" s="7"/>
      <c r="OCI1128" s="7"/>
      <c r="OCJ1128" s="7"/>
      <c r="OCK1128" s="7"/>
      <c r="OCL1128" s="7"/>
      <c r="OCM1128" s="7"/>
      <c r="OCN1128" s="7"/>
      <c r="OCO1128" s="7"/>
      <c r="OCP1128" s="7"/>
      <c r="OCQ1128" s="7"/>
      <c r="OCR1128" s="7"/>
      <c r="OCS1128" s="7"/>
      <c r="OCT1128" s="7"/>
      <c r="OCU1128" s="7"/>
      <c r="OCV1128" s="7"/>
      <c r="OCW1128" s="7"/>
      <c r="OCX1128" s="7"/>
      <c r="OCY1128" s="7"/>
      <c r="OCZ1128" s="7"/>
      <c r="ODA1128" s="7"/>
      <c r="ODB1128" s="7"/>
      <c r="ODC1128" s="7"/>
      <c r="ODD1128" s="7"/>
      <c r="ODE1128" s="7"/>
      <c r="ODF1128" s="7"/>
      <c r="ODG1128" s="7"/>
      <c r="ODH1128" s="7"/>
      <c r="ODI1128" s="7"/>
      <c r="ODJ1128" s="7"/>
      <c r="ODK1128" s="7"/>
      <c r="ODL1128" s="7"/>
      <c r="ODM1128" s="7"/>
      <c r="ODN1128" s="7"/>
      <c r="ODO1128" s="7"/>
      <c r="ODP1128" s="7"/>
      <c r="ODQ1128" s="7"/>
      <c r="ODR1128" s="7"/>
      <c r="ODS1128" s="7"/>
      <c r="ODT1128" s="7"/>
      <c r="ODU1128" s="7"/>
      <c r="ODV1128" s="7"/>
      <c r="ODW1128" s="7"/>
      <c r="ODX1128" s="7"/>
      <c r="ODY1128" s="7"/>
      <c r="ODZ1128" s="7"/>
      <c r="OEA1128" s="7"/>
      <c r="OEB1128" s="7"/>
      <c r="OEC1128" s="7"/>
      <c r="OED1128" s="7"/>
      <c r="OEE1128" s="7"/>
      <c r="OEF1128" s="7"/>
      <c r="OEG1128" s="7"/>
      <c r="OEH1128" s="7"/>
      <c r="OEI1128" s="7"/>
      <c r="OEJ1128" s="7"/>
      <c r="OEK1128" s="7"/>
      <c r="OEL1128" s="7"/>
      <c r="OEM1128" s="7"/>
      <c r="OEN1128" s="7"/>
      <c r="OEO1128" s="7"/>
      <c r="OEP1128" s="7"/>
      <c r="OEQ1128" s="7"/>
      <c r="OER1128" s="7"/>
      <c r="OES1128" s="7"/>
      <c r="OET1128" s="7"/>
      <c r="OEU1128" s="7"/>
      <c r="OEV1128" s="7"/>
      <c r="OEW1128" s="7"/>
      <c r="OEX1128" s="7"/>
      <c r="OEY1128" s="7"/>
      <c r="OEZ1128" s="7"/>
      <c r="OFA1128" s="7"/>
      <c r="OFB1128" s="7"/>
      <c r="OFC1128" s="7"/>
      <c r="OFD1128" s="7"/>
      <c r="OFE1128" s="7"/>
      <c r="OFF1128" s="7"/>
      <c r="OFG1128" s="7"/>
      <c r="OFH1128" s="7"/>
      <c r="OFI1128" s="7"/>
      <c r="OFJ1128" s="7"/>
      <c r="OFK1128" s="7"/>
      <c r="OFL1128" s="7"/>
      <c r="OFM1128" s="7"/>
      <c r="OFN1128" s="7"/>
      <c r="OFO1128" s="7"/>
      <c r="OFP1128" s="7"/>
      <c r="OFQ1128" s="7"/>
      <c r="OFR1128" s="7"/>
      <c r="OFS1128" s="7"/>
      <c r="OFT1128" s="7"/>
      <c r="OFU1128" s="7"/>
      <c r="OFV1128" s="7"/>
      <c r="OFW1128" s="7"/>
      <c r="OFX1128" s="7"/>
      <c r="OFY1128" s="7"/>
      <c r="OFZ1128" s="7"/>
      <c r="OGA1128" s="7"/>
      <c r="OGB1128" s="7"/>
      <c r="OGC1128" s="7"/>
      <c r="OGD1128" s="7"/>
      <c r="OGE1128" s="7"/>
      <c r="OGF1128" s="7"/>
      <c r="OGG1128" s="7"/>
      <c r="OGH1128" s="7"/>
      <c r="OGI1128" s="7"/>
      <c r="OGJ1128" s="7"/>
      <c r="OGK1128" s="7"/>
      <c r="OGL1128" s="7"/>
      <c r="OGM1128" s="7"/>
      <c r="OGN1128" s="7"/>
      <c r="OGO1128" s="7"/>
      <c r="OGP1128" s="7"/>
      <c r="OGQ1128" s="7"/>
      <c r="OGR1128" s="7"/>
      <c r="OGS1128" s="7"/>
      <c r="OGT1128" s="7"/>
      <c r="OGU1128" s="7"/>
      <c r="OGV1128" s="7"/>
      <c r="OGW1128" s="7"/>
      <c r="OGX1128" s="7"/>
      <c r="OGY1128" s="7"/>
      <c r="OGZ1128" s="7"/>
      <c r="OHA1128" s="7"/>
      <c r="OHB1128" s="7"/>
      <c r="OHC1128" s="7"/>
      <c r="OHD1128" s="7"/>
      <c r="OHE1128" s="7"/>
      <c r="OHF1128" s="7"/>
      <c r="OHG1128" s="7"/>
      <c r="OHH1128" s="7"/>
      <c r="OHI1128" s="7"/>
      <c r="OHJ1128" s="7"/>
      <c r="OHK1128" s="7"/>
      <c r="OHL1128" s="7"/>
      <c r="OHM1128" s="7"/>
      <c r="OHN1128" s="7"/>
      <c r="OHO1128" s="7"/>
      <c r="OHP1128" s="7"/>
      <c r="OHQ1128" s="7"/>
      <c r="OHR1128" s="7"/>
      <c r="OHS1128" s="7"/>
      <c r="OHT1128" s="7"/>
      <c r="OHU1128" s="7"/>
      <c r="OHV1128" s="7"/>
      <c r="OHW1128" s="7"/>
      <c r="OHX1128" s="7"/>
      <c r="OHY1128" s="7"/>
      <c r="OHZ1128" s="7"/>
      <c r="OIA1128" s="7"/>
      <c r="OIB1128" s="7"/>
      <c r="OIC1128" s="7"/>
      <c r="OID1128" s="7"/>
      <c r="OIE1128" s="7"/>
      <c r="OIF1128" s="7"/>
      <c r="OIG1128" s="7"/>
      <c r="OIH1128" s="7"/>
      <c r="OII1128" s="7"/>
      <c r="OIJ1128" s="7"/>
      <c r="OIK1128" s="7"/>
      <c r="OIL1128" s="7"/>
      <c r="OIM1128" s="7"/>
      <c r="OIN1128" s="7"/>
      <c r="OIO1128" s="7"/>
      <c r="OIP1128" s="7"/>
      <c r="OIQ1128" s="7"/>
      <c r="OIR1128" s="7"/>
      <c r="OIS1128" s="7"/>
      <c r="OIT1128" s="7"/>
      <c r="OIU1128" s="7"/>
      <c r="OIV1128" s="7"/>
      <c r="OIW1128" s="7"/>
      <c r="OIX1128" s="7"/>
      <c r="OIY1128" s="7"/>
      <c r="OIZ1128" s="7"/>
      <c r="OJA1128" s="7"/>
      <c r="OJB1128" s="7"/>
      <c r="OJC1128" s="7"/>
      <c r="OJD1128" s="7"/>
      <c r="OJE1128" s="7"/>
      <c r="OJF1128" s="7"/>
      <c r="OJG1128" s="7"/>
      <c r="OJH1128" s="7"/>
      <c r="OJI1128" s="7"/>
      <c r="OJJ1128" s="7"/>
      <c r="OJK1128" s="7"/>
      <c r="OJL1128" s="7"/>
      <c r="OJM1128" s="7"/>
      <c r="OJN1128" s="7"/>
      <c r="OJO1128" s="7"/>
      <c r="OJP1128" s="7"/>
      <c r="OJQ1128" s="7"/>
      <c r="OJR1128" s="7"/>
      <c r="OJS1128" s="7"/>
      <c r="OJT1128" s="7"/>
      <c r="OJU1128" s="7"/>
      <c r="OJV1128" s="7"/>
      <c r="OJW1128" s="7"/>
      <c r="OJX1128" s="7"/>
      <c r="OJY1128" s="7"/>
      <c r="OJZ1128" s="7"/>
      <c r="OKA1128" s="7"/>
      <c r="OKB1128" s="7"/>
      <c r="OKC1128" s="7"/>
      <c r="OKD1128" s="7"/>
      <c r="OKE1128" s="7"/>
      <c r="OKF1128" s="7"/>
      <c r="OKG1128" s="7"/>
      <c r="OKH1128" s="7"/>
      <c r="OKI1128" s="7"/>
      <c r="OKJ1128" s="7"/>
      <c r="OKK1128" s="7"/>
      <c r="OKL1128" s="7"/>
      <c r="OKM1128" s="7"/>
      <c r="OKN1128" s="7"/>
      <c r="OKO1128" s="7"/>
      <c r="OKP1128" s="7"/>
      <c r="OKQ1128" s="7"/>
      <c r="OKR1128" s="7"/>
      <c r="OKS1128" s="7"/>
      <c r="OKT1128" s="7"/>
      <c r="OKU1128" s="7"/>
      <c r="OKV1128" s="7"/>
      <c r="OKW1128" s="7"/>
      <c r="OKX1128" s="7"/>
      <c r="OKY1128" s="7"/>
      <c r="OKZ1128" s="7"/>
      <c r="OLA1128" s="7"/>
      <c r="OLB1128" s="7"/>
      <c r="OLC1128" s="7"/>
      <c r="OLD1128" s="7"/>
      <c r="OLE1128" s="7"/>
      <c r="OLF1128" s="7"/>
      <c r="OLG1128" s="7"/>
      <c r="OLH1128" s="7"/>
      <c r="OLI1128" s="7"/>
      <c r="OLJ1128" s="7"/>
      <c r="OLK1128" s="7"/>
      <c r="OLL1128" s="7"/>
      <c r="OLM1128" s="7"/>
      <c r="OLN1128" s="7"/>
      <c r="OLO1128" s="7"/>
      <c r="OLP1128" s="7"/>
      <c r="OLQ1128" s="7"/>
      <c r="OLR1128" s="7"/>
      <c r="OLS1128" s="7"/>
      <c r="OLT1128" s="7"/>
      <c r="OLU1128" s="7"/>
      <c r="OLV1128" s="7"/>
      <c r="OLW1128" s="7"/>
      <c r="OLX1128" s="7"/>
      <c r="OLY1128" s="7"/>
      <c r="OLZ1128" s="7"/>
      <c r="OMA1128" s="7"/>
      <c r="OMB1128" s="7"/>
      <c r="OMC1128" s="7"/>
      <c r="OMD1128" s="7"/>
      <c r="OME1128" s="7"/>
      <c r="OMF1128" s="7"/>
      <c r="OMG1128" s="7"/>
      <c r="OMH1128" s="7"/>
      <c r="OMI1128" s="7"/>
      <c r="OMJ1128" s="7"/>
      <c r="OMK1128" s="7"/>
      <c r="OML1128" s="7"/>
      <c r="OMM1128" s="7"/>
      <c r="OMN1128" s="7"/>
      <c r="OMO1128" s="7"/>
      <c r="OMP1128" s="7"/>
      <c r="OMQ1128" s="7"/>
      <c r="OMR1128" s="7"/>
      <c r="OMS1128" s="7"/>
      <c r="OMT1128" s="7"/>
      <c r="OMU1128" s="7"/>
      <c r="OMV1128" s="7"/>
      <c r="OMW1128" s="7"/>
      <c r="OMX1128" s="7"/>
      <c r="OMY1128" s="7"/>
      <c r="OMZ1128" s="7"/>
      <c r="ONA1128" s="7"/>
      <c r="ONB1128" s="7"/>
      <c r="ONC1128" s="7"/>
      <c r="OND1128" s="7"/>
      <c r="ONE1128" s="7"/>
      <c r="ONF1128" s="7"/>
      <c r="ONG1128" s="7"/>
      <c r="ONH1128" s="7"/>
      <c r="ONI1128" s="7"/>
      <c r="ONJ1128" s="7"/>
      <c r="ONK1128" s="7"/>
      <c r="ONL1128" s="7"/>
      <c r="ONM1128" s="7"/>
      <c r="ONN1128" s="7"/>
      <c r="ONO1128" s="7"/>
      <c r="ONP1128" s="7"/>
      <c r="ONQ1128" s="7"/>
      <c r="ONR1128" s="7"/>
      <c r="ONS1128" s="7"/>
      <c r="ONT1128" s="7"/>
      <c r="ONU1128" s="7"/>
      <c r="ONV1128" s="7"/>
      <c r="ONW1128" s="7"/>
      <c r="ONX1128" s="7"/>
      <c r="ONY1128" s="7"/>
      <c r="ONZ1128" s="7"/>
      <c r="OOA1128" s="7"/>
      <c r="OOB1128" s="7"/>
      <c r="OOC1128" s="7"/>
      <c r="OOD1128" s="7"/>
      <c r="OOE1128" s="7"/>
      <c r="OOF1128" s="7"/>
      <c r="OOG1128" s="7"/>
      <c r="OOH1128" s="7"/>
      <c r="OOI1128" s="7"/>
      <c r="OOJ1128" s="7"/>
      <c r="OOK1128" s="7"/>
      <c r="OOL1128" s="7"/>
      <c r="OOM1128" s="7"/>
      <c r="OON1128" s="7"/>
      <c r="OOO1128" s="7"/>
      <c r="OOP1128" s="7"/>
      <c r="OOQ1128" s="7"/>
      <c r="OOR1128" s="7"/>
      <c r="OOS1128" s="7"/>
      <c r="OOT1128" s="7"/>
      <c r="OOU1128" s="7"/>
      <c r="OOV1128" s="7"/>
      <c r="OOW1128" s="7"/>
      <c r="OOX1128" s="7"/>
      <c r="OOY1128" s="7"/>
      <c r="OOZ1128" s="7"/>
      <c r="OPA1128" s="7"/>
      <c r="OPB1128" s="7"/>
      <c r="OPC1128" s="7"/>
      <c r="OPD1128" s="7"/>
      <c r="OPE1128" s="7"/>
      <c r="OPF1128" s="7"/>
      <c r="OPG1128" s="7"/>
      <c r="OPH1128" s="7"/>
      <c r="OPI1128" s="7"/>
      <c r="OPJ1128" s="7"/>
      <c r="OPK1128" s="7"/>
      <c r="OPL1128" s="7"/>
      <c r="OPM1128" s="7"/>
      <c r="OPN1128" s="7"/>
      <c r="OPO1128" s="7"/>
      <c r="OPP1128" s="7"/>
      <c r="OPQ1128" s="7"/>
      <c r="OPR1128" s="7"/>
      <c r="OPS1128" s="7"/>
      <c r="OPT1128" s="7"/>
      <c r="OPU1128" s="7"/>
      <c r="OPV1128" s="7"/>
      <c r="OPW1128" s="7"/>
      <c r="OPX1128" s="7"/>
      <c r="OPY1128" s="7"/>
      <c r="OPZ1128" s="7"/>
      <c r="OQA1128" s="7"/>
      <c r="OQB1128" s="7"/>
      <c r="OQC1128" s="7"/>
      <c r="OQD1128" s="7"/>
      <c r="OQE1128" s="7"/>
      <c r="OQF1128" s="7"/>
      <c r="OQG1128" s="7"/>
      <c r="OQH1128" s="7"/>
      <c r="OQI1128" s="7"/>
      <c r="OQJ1128" s="7"/>
      <c r="OQK1128" s="7"/>
      <c r="OQL1128" s="7"/>
      <c r="OQM1128" s="7"/>
      <c r="OQN1128" s="7"/>
      <c r="OQO1128" s="7"/>
      <c r="OQP1128" s="7"/>
      <c r="OQQ1128" s="7"/>
      <c r="OQR1128" s="7"/>
      <c r="OQS1128" s="7"/>
      <c r="OQT1128" s="7"/>
      <c r="OQU1128" s="7"/>
      <c r="OQV1128" s="7"/>
      <c r="OQW1128" s="7"/>
      <c r="OQX1128" s="7"/>
      <c r="OQY1128" s="7"/>
      <c r="OQZ1128" s="7"/>
      <c r="ORA1128" s="7"/>
      <c r="ORB1128" s="7"/>
      <c r="ORC1128" s="7"/>
      <c r="ORD1128" s="7"/>
      <c r="ORE1128" s="7"/>
      <c r="ORF1128" s="7"/>
      <c r="ORG1128" s="7"/>
      <c r="ORH1128" s="7"/>
      <c r="ORI1128" s="7"/>
      <c r="ORJ1128" s="7"/>
      <c r="ORK1128" s="7"/>
      <c r="ORL1128" s="7"/>
      <c r="ORM1128" s="7"/>
      <c r="ORN1128" s="7"/>
      <c r="ORO1128" s="7"/>
      <c r="ORP1128" s="7"/>
      <c r="ORQ1128" s="7"/>
      <c r="ORR1128" s="7"/>
      <c r="ORS1128" s="7"/>
      <c r="ORT1128" s="7"/>
      <c r="ORU1128" s="7"/>
      <c r="ORV1128" s="7"/>
      <c r="ORW1128" s="7"/>
      <c r="ORX1128" s="7"/>
      <c r="ORY1128" s="7"/>
      <c r="ORZ1128" s="7"/>
      <c r="OSA1128" s="7"/>
      <c r="OSB1128" s="7"/>
      <c r="OSC1128" s="7"/>
      <c r="OSD1128" s="7"/>
      <c r="OSE1128" s="7"/>
      <c r="OSF1128" s="7"/>
      <c r="OSG1128" s="7"/>
      <c r="OSH1128" s="7"/>
      <c r="OSI1128" s="7"/>
      <c r="OSJ1128" s="7"/>
      <c r="OSK1128" s="7"/>
      <c r="OSL1128" s="7"/>
      <c r="OSM1128" s="7"/>
      <c r="OSN1128" s="7"/>
      <c r="OSO1128" s="7"/>
      <c r="OSP1128" s="7"/>
      <c r="OSQ1128" s="7"/>
      <c r="OSR1128" s="7"/>
      <c r="OSS1128" s="7"/>
      <c r="OST1128" s="7"/>
      <c r="OSU1128" s="7"/>
      <c r="OSV1128" s="7"/>
      <c r="OSW1128" s="7"/>
      <c r="OSX1128" s="7"/>
      <c r="OSY1128" s="7"/>
      <c r="OSZ1128" s="7"/>
      <c r="OTA1128" s="7"/>
      <c r="OTB1128" s="7"/>
      <c r="OTC1128" s="7"/>
      <c r="OTD1128" s="7"/>
      <c r="OTE1128" s="7"/>
      <c r="OTF1128" s="7"/>
      <c r="OTG1128" s="7"/>
      <c r="OTH1128" s="7"/>
      <c r="OTI1128" s="7"/>
      <c r="OTJ1128" s="7"/>
      <c r="OTK1128" s="7"/>
      <c r="OTL1128" s="7"/>
      <c r="OTM1128" s="7"/>
      <c r="OTN1128" s="7"/>
      <c r="OTO1128" s="7"/>
      <c r="OTP1128" s="7"/>
      <c r="OTQ1128" s="7"/>
      <c r="OTR1128" s="7"/>
      <c r="OTS1128" s="7"/>
      <c r="OTT1128" s="7"/>
      <c r="OTU1128" s="7"/>
      <c r="OTV1128" s="7"/>
      <c r="OTW1128" s="7"/>
      <c r="OTX1128" s="7"/>
      <c r="OTY1128" s="7"/>
      <c r="OTZ1128" s="7"/>
      <c r="OUA1128" s="7"/>
      <c r="OUB1128" s="7"/>
      <c r="OUC1128" s="7"/>
      <c r="OUD1128" s="7"/>
      <c r="OUE1128" s="7"/>
      <c r="OUF1128" s="7"/>
      <c r="OUG1128" s="7"/>
      <c r="OUH1128" s="7"/>
      <c r="OUI1128" s="7"/>
      <c r="OUJ1128" s="7"/>
      <c r="OUK1128" s="7"/>
      <c r="OUL1128" s="7"/>
      <c r="OUM1128" s="7"/>
      <c r="OUN1128" s="7"/>
      <c r="OUO1128" s="7"/>
      <c r="OUP1128" s="7"/>
      <c r="OUQ1128" s="7"/>
      <c r="OUR1128" s="7"/>
      <c r="OUS1128" s="7"/>
      <c r="OUT1128" s="7"/>
      <c r="OUU1128" s="7"/>
      <c r="OUV1128" s="7"/>
      <c r="OUW1128" s="7"/>
      <c r="OUX1128" s="7"/>
      <c r="OUY1128" s="7"/>
      <c r="OUZ1128" s="7"/>
      <c r="OVA1128" s="7"/>
      <c r="OVB1128" s="7"/>
      <c r="OVC1128" s="7"/>
      <c r="OVD1128" s="7"/>
      <c r="OVE1128" s="7"/>
      <c r="OVF1128" s="7"/>
      <c r="OVG1128" s="7"/>
      <c r="OVH1128" s="7"/>
      <c r="OVI1128" s="7"/>
      <c r="OVJ1128" s="7"/>
      <c r="OVK1128" s="7"/>
      <c r="OVL1128" s="7"/>
      <c r="OVM1128" s="7"/>
      <c r="OVN1128" s="7"/>
      <c r="OVO1128" s="7"/>
      <c r="OVP1128" s="7"/>
      <c r="OVQ1128" s="7"/>
      <c r="OVR1128" s="7"/>
      <c r="OVS1128" s="7"/>
      <c r="OVT1128" s="7"/>
      <c r="OVU1128" s="7"/>
      <c r="OVV1128" s="7"/>
      <c r="OVW1128" s="7"/>
      <c r="OVX1128" s="7"/>
      <c r="OVY1128" s="7"/>
      <c r="OVZ1128" s="7"/>
      <c r="OWA1128" s="7"/>
      <c r="OWB1128" s="7"/>
      <c r="OWC1128" s="7"/>
      <c r="OWD1128" s="7"/>
      <c r="OWE1128" s="7"/>
      <c r="OWF1128" s="7"/>
      <c r="OWG1128" s="7"/>
      <c r="OWH1128" s="7"/>
      <c r="OWI1128" s="7"/>
      <c r="OWJ1128" s="7"/>
      <c r="OWK1128" s="7"/>
      <c r="OWL1128" s="7"/>
      <c r="OWM1128" s="7"/>
      <c r="OWN1128" s="7"/>
      <c r="OWO1128" s="7"/>
      <c r="OWP1128" s="7"/>
      <c r="OWQ1128" s="7"/>
      <c r="OWR1128" s="7"/>
      <c r="OWS1128" s="7"/>
      <c r="OWT1128" s="7"/>
      <c r="OWU1128" s="7"/>
      <c r="OWV1128" s="7"/>
      <c r="OWW1128" s="7"/>
      <c r="OWX1128" s="7"/>
      <c r="OWY1128" s="7"/>
      <c r="OWZ1128" s="7"/>
      <c r="OXA1128" s="7"/>
      <c r="OXB1128" s="7"/>
      <c r="OXC1128" s="7"/>
      <c r="OXD1128" s="7"/>
      <c r="OXE1128" s="7"/>
      <c r="OXF1128" s="7"/>
      <c r="OXG1128" s="7"/>
      <c r="OXH1128" s="7"/>
      <c r="OXI1128" s="7"/>
      <c r="OXJ1128" s="7"/>
      <c r="OXK1128" s="7"/>
      <c r="OXL1128" s="7"/>
      <c r="OXM1128" s="7"/>
      <c r="OXN1128" s="7"/>
      <c r="OXO1128" s="7"/>
      <c r="OXP1128" s="7"/>
      <c r="OXQ1128" s="7"/>
      <c r="OXR1128" s="7"/>
      <c r="OXS1128" s="7"/>
      <c r="OXT1128" s="7"/>
      <c r="OXU1128" s="7"/>
      <c r="OXV1128" s="7"/>
      <c r="OXW1128" s="7"/>
      <c r="OXX1128" s="7"/>
      <c r="OXY1128" s="7"/>
      <c r="OXZ1128" s="7"/>
      <c r="OYA1128" s="7"/>
      <c r="OYB1128" s="7"/>
      <c r="OYC1128" s="7"/>
      <c r="OYD1128" s="7"/>
      <c r="OYE1128" s="7"/>
      <c r="OYF1128" s="7"/>
      <c r="OYG1128" s="7"/>
      <c r="OYH1128" s="7"/>
      <c r="OYI1128" s="7"/>
      <c r="OYJ1128" s="7"/>
      <c r="OYK1128" s="7"/>
      <c r="OYL1128" s="7"/>
      <c r="OYM1128" s="7"/>
      <c r="OYN1128" s="7"/>
      <c r="OYO1128" s="7"/>
      <c r="OYP1128" s="7"/>
      <c r="OYQ1128" s="7"/>
      <c r="OYR1128" s="7"/>
      <c r="OYS1128" s="7"/>
      <c r="OYT1128" s="7"/>
      <c r="OYU1128" s="7"/>
      <c r="OYV1128" s="7"/>
      <c r="OYW1128" s="7"/>
      <c r="OYX1128" s="7"/>
      <c r="OYY1128" s="7"/>
      <c r="OYZ1128" s="7"/>
      <c r="OZA1128" s="7"/>
      <c r="OZB1128" s="7"/>
      <c r="OZC1128" s="7"/>
      <c r="OZD1128" s="7"/>
      <c r="OZE1128" s="7"/>
      <c r="OZF1128" s="7"/>
      <c r="OZG1128" s="7"/>
      <c r="OZH1128" s="7"/>
      <c r="OZI1128" s="7"/>
      <c r="OZJ1128" s="7"/>
      <c r="OZK1128" s="7"/>
      <c r="OZL1128" s="7"/>
      <c r="OZM1128" s="7"/>
      <c r="OZN1128" s="7"/>
      <c r="OZO1128" s="7"/>
      <c r="OZP1128" s="7"/>
      <c r="OZQ1128" s="7"/>
      <c r="OZR1128" s="7"/>
      <c r="OZS1128" s="7"/>
      <c r="OZT1128" s="7"/>
      <c r="OZU1128" s="7"/>
      <c r="OZV1128" s="7"/>
      <c r="OZW1128" s="7"/>
      <c r="OZX1128" s="7"/>
      <c r="OZY1128" s="7"/>
      <c r="OZZ1128" s="7"/>
      <c r="PAA1128" s="7"/>
      <c r="PAB1128" s="7"/>
      <c r="PAC1128" s="7"/>
      <c r="PAD1128" s="7"/>
      <c r="PAE1128" s="7"/>
      <c r="PAF1128" s="7"/>
      <c r="PAG1128" s="7"/>
      <c r="PAH1128" s="7"/>
      <c r="PAI1128" s="7"/>
      <c r="PAJ1128" s="7"/>
      <c r="PAK1128" s="7"/>
      <c r="PAL1128" s="7"/>
      <c r="PAM1128" s="7"/>
      <c r="PAN1128" s="7"/>
      <c r="PAO1128" s="7"/>
      <c r="PAP1128" s="7"/>
      <c r="PAQ1128" s="7"/>
      <c r="PAR1128" s="7"/>
      <c r="PAS1128" s="7"/>
      <c r="PAT1128" s="7"/>
      <c r="PAU1128" s="7"/>
      <c r="PAV1128" s="7"/>
      <c r="PAW1128" s="7"/>
      <c r="PAX1128" s="7"/>
      <c r="PAY1128" s="7"/>
      <c r="PAZ1128" s="7"/>
      <c r="PBA1128" s="7"/>
      <c r="PBB1128" s="7"/>
      <c r="PBC1128" s="7"/>
      <c r="PBD1128" s="7"/>
      <c r="PBE1128" s="7"/>
      <c r="PBF1128" s="7"/>
      <c r="PBG1128" s="7"/>
      <c r="PBH1128" s="7"/>
      <c r="PBI1128" s="7"/>
      <c r="PBJ1128" s="7"/>
      <c r="PBK1128" s="7"/>
      <c r="PBL1128" s="7"/>
      <c r="PBM1128" s="7"/>
      <c r="PBN1128" s="7"/>
      <c r="PBO1128" s="7"/>
      <c r="PBP1128" s="7"/>
      <c r="PBQ1128" s="7"/>
      <c r="PBR1128" s="7"/>
      <c r="PBS1128" s="7"/>
      <c r="PBT1128" s="7"/>
      <c r="PBU1128" s="7"/>
      <c r="PBV1128" s="7"/>
      <c r="PBW1128" s="7"/>
      <c r="PBX1128" s="7"/>
      <c r="PBY1128" s="7"/>
      <c r="PBZ1128" s="7"/>
      <c r="PCA1128" s="7"/>
      <c r="PCB1128" s="7"/>
      <c r="PCC1128" s="7"/>
      <c r="PCD1128" s="7"/>
      <c r="PCE1128" s="7"/>
      <c r="PCF1128" s="7"/>
      <c r="PCG1128" s="7"/>
      <c r="PCH1128" s="7"/>
      <c r="PCI1128" s="7"/>
      <c r="PCJ1128" s="7"/>
      <c r="PCK1128" s="7"/>
      <c r="PCL1128" s="7"/>
      <c r="PCM1128" s="7"/>
      <c r="PCN1128" s="7"/>
      <c r="PCO1128" s="7"/>
      <c r="PCP1128" s="7"/>
      <c r="PCQ1128" s="7"/>
      <c r="PCR1128" s="7"/>
      <c r="PCS1128" s="7"/>
      <c r="PCT1128" s="7"/>
      <c r="PCU1128" s="7"/>
      <c r="PCV1128" s="7"/>
      <c r="PCW1128" s="7"/>
      <c r="PCX1128" s="7"/>
      <c r="PCY1128" s="7"/>
      <c r="PCZ1128" s="7"/>
      <c r="PDA1128" s="7"/>
      <c r="PDB1128" s="7"/>
      <c r="PDC1128" s="7"/>
      <c r="PDD1128" s="7"/>
      <c r="PDE1128" s="7"/>
      <c r="PDF1128" s="7"/>
      <c r="PDG1128" s="7"/>
      <c r="PDH1128" s="7"/>
      <c r="PDI1128" s="7"/>
      <c r="PDJ1128" s="7"/>
      <c r="PDK1128" s="7"/>
      <c r="PDL1128" s="7"/>
      <c r="PDM1128" s="7"/>
      <c r="PDN1128" s="7"/>
      <c r="PDO1128" s="7"/>
      <c r="PDP1128" s="7"/>
      <c r="PDQ1128" s="7"/>
      <c r="PDR1128" s="7"/>
      <c r="PDS1128" s="7"/>
      <c r="PDT1128" s="7"/>
      <c r="PDU1128" s="7"/>
      <c r="PDV1128" s="7"/>
      <c r="PDW1128" s="7"/>
      <c r="PDX1128" s="7"/>
      <c r="PDY1128" s="7"/>
      <c r="PDZ1128" s="7"/>
      <c r="PEA1128" s="7"/>
      <c r="PEB1128" s="7"/>
      <c r="PEC1128" s="7"/>
      <c r="PED1128" s="7"/>
      <c r="PEE1128" s="7"/>
      <c r="PEF1128" s="7"/>
      <c r="PEG1128" s="7"/>
      <c r="PEH1128" s="7"/>
      <c r="PEI1128" s="7"/>
      <c r="PEJ1128" s="7"/>
      <c r="PEK1128" s="7"/>
      <c r="PEL1128" s="7"/>
      <c r="PEM1128" s="7"/>
      <c r="PEN1128" s="7"/>
      <c r="PEO1128" s="7"/>
      <c r="PEP1128" s="7"/>
      <c r="PEQ1128" s="7"/>
      <c r="PER1128" s="7"/>
      <c r="PES1128" s="7"/>
      <c r="PET1128" s="7"/>
      <c r="PEU1128" s="7"/>
      <c r="PEV1128" s="7"/>
      <c r="PEW1128" s="7"/>
      <c r="PEX1128" s="7"/>
      <c r="PEY1128" s="7"/>
      <c r="PEZ1128" s="7"/>
      <c r="PFA1128" s="7"/>
      <c r="PFB1128" s="7"/>
      <c r="PFC1128" s="7"/>
      <c r="PFD1128" s="7"/>
      <c r="PFE1128" s="7"/>
      <c r="PFF1128" s="7"/>
      <c r="PFG1128" s="7"/>
      <c r="PFH1128" s="7"/>
      <c r="PFI1128" s="7"/>
      <c r="PFJ1128" s="7"/>
      <c r="PFK1128" s="7"/>
      <c r="PFL1128" s="7"/>
      <c r="PFM1128" s="7"/>
      <c r="PFN1128" s="7"/>
      <c r="PFO1128" s="7"/>
      <c r="PFP1128" s="7"/>
      <c r="PFQ1128" s="7"/>
      <c r="PFR1128" s="7"/>
      <c r="PFS1128" s="7"/>
      <c r="PFT1128" s="7"/>
      <c r="PFU1128" s="7"/>
      <c r="PFV1128" s="7"/>
      <c r="PFW1128" s="7"/>
      <c r="PFX1128" s="7"/>
      <c r="PFY1128" s="7"/>
      <c r="PFZ1128" s="7"/>
      <c r="PGA1128" s="7"/>
      <c r="PGB1128" s="7"/>
      <c r="PGC1128" s="7"/>
      <c r="PGD1128" s="7"/>
      <c r="PGE1128" s="7"/>
      <c r="PGF1128" s="7"/>
      <c r="PGG1128" s="7"/>
      <c r="PGH1128" s="7"/>
      <c r="PGI1128" s="7"/>
      <c r="PGJ1128" s="7"/>
      <c r="PGK1128" s="7"/>
      <c r="PGL1128" s="7"/>
      <c r="PGM1128" s="7"/>
      <c r="PGN1128" s="7"/>
      <c r="PGO1128" s="7"/>
      <c r="PGP1128" s="7"/>
      <c r="PGQ1128" s="7"/>
      <c r="PGR1128" s="7"/>
      <c r="PGS1128" s="7"/>
      <c r="PGT1128" s="7"/>
      <c r="PGU1128" s="7"/>
      <c r="PGV1128" s="7"/>
      <c r="PGW1128" s="7"/>
      <c r="PGX1128" s="7"/>
      <c r="PGY1128" s="7"/>
      <c r="PGZ1128" s="7"/>
      <c r="PHA1128" s="7"/>
      <c r="PHB1128" s="7"/>
      <c r="PHC1128" s="7"/>
      <c r="PHD1128" s="7"/>
      <c r="PHE1128" s="7"/>
      <c r="PHF1128" s="7"/>
      <c r="PHG1128" s="7"/>
      <c r="PHH1128" s="7"/>
      <c r="PHI1128" s="7"/>
      <c r="PHJ1128" s="7"/>
      <c r="PHK1128" s="7"/>
      <c r="PHL1128" s="7"/>
      <c r="PHM1128" s="7"/>
      <c r="PHN1128" s="7"/>
      <c r="PHO1128" s="7"/>
      <c r="PHP1128" s="7"/>
      <c r="PHQ1128" s="7"/>
      <c r="PHR1128" s="7"/>
      <c r="PHS1128" s="7"/>
      <c r="PHT1128" s="7"/>
      <c r="PHU1128" s="7"/>
      <c r="PHV1128" s="7"/>
      <c r="PHW1128" s="7"/>
      <c r="PHX1128" s="7"/>
      <c r="PHY1128" s="7"/>
      <c r="PHZ1128" s="7"/>
      <c r="PIA1128" s="7"/>
      <c r="PIB1128" s="7"/>
      <c r="PIC1128" s="7"/>
      <c r="PID1128" s="7"/>
      <c r="PIE1128" s="7"/>
      <c r="PIF1128" s="7"/>
      <c r="PIG1128" s="7"/>
      <c r="PIH1128" s="7"/>
      <c r="PII1128" s="7"/>
      <c r="PIJ1128" s="7"/>
      <c r="PIK1128" s="7"/>
      <c r="PIL1128" s="7"/>
      <c r="PIM1128" s="7"/>
      <c r="PIN1128" s="7"/>
      <c r="PIO1128" s="7"/>
      <c r="PIP1128" s="7"/>
      <c r="PIQ1128" s="7"/>
      <c r="PIR1128" s="7"/>
      <c r="PIS1128" s="7"/>
      <c r="PIT1128" s="7"/>
      <c r="PIU1128" s="7"/>
      <c r="PIV1128" s="7"/>
      <c r="PIW1128" s="7"/>
      <c r="PIX1128" s="7"/>
      <c r="PIY1128" s="7"/>
      <c r="PIZ1128" s="7"/>
      <c r="PJA1128" s="7"/>
      <c r="PJB1128" s="7"/>
      <c r="PJC1128" s="7"/>
      <c r="PJD1128" s="7"/>
      <c r="PJE1128" s="7"/>
      <c r="PJF1128" s="7"/>
      <c r="PJG1128" s="7"/>
      <c r="PJH1128" s="7"/>
      <c r="PJI1128" s="7"/>
      <c r="PJJ1128" s="7"/>
      <c r="PJK1128" s="7"/>
      <c r="PJL1128" s="7"/>
      <c r="PJM1128" s="7"/>
      <c r="PJN1128" s="7"/>
      <c r="PJO1128" s="7"/>
      <c r="PJP1128" s="7"/>
      <c r="PJQ1128" s="7"/>
      <c r="PJR1128" s="7"/>
      <c r="PJS1128" s="7"/>
      <c r="PJT1128" s="7"/>
      <c r="PJU1128" s="7"/>
      <c r="PJV1128" s="7"/>
      <c r="PJW1128" s="7"/>
      <c r="PJX1128" s="7"/>
      <c r="PJY1128" s="7"/>
      <c r="PJZ1128" s="7"/>
      <c r="PKA1128" s="7"/>
      <c r="PKB1128" s="7"/>
      <c r="PKC1128" s="7"/>
      <c r="PKD1128" s="7"/>
      <c r="PKE1128" s="7"/>
      <c r="PKF1128" s="7"/>
      <c r="PKG1128" s="7"/>
      <c r="PKH1128" s="7"/>
      <c r="PKI1128" s="7"/>
      <c r="PKJ1128" s="7"/>
      <c r="PKK1128" s="7"/>
      <c r="PKL1128" s="7"/>
      <c r="PKM1128" s="7"/>
      <c r="PKN1128" s="7"/>
      <c r="PKO1128" s="7"/>
      <c r="PKP1128" s="7"/>
      <c r="PKQ1128" s="7"/>
      <c r="PKR1128" s="7"/>
      <c r="PKS1128" s="7"/>
      <c r="PKT1128" s="7"/>
      <c r="PKU1128" s="7"/>
      <c r="PKV1128" s="7"/>
      <c r="PKW1128" s="7"/>
      <c r="PKX1128" s="7"/>
      <c r="PKY1128" s="7"/>
      <c r="PKZ1128" s="7"/>
      <c r="PLA1128" s="7"/>
      <c r="PLB1128" s="7"/>
      <c r="PLC1128" s="7"/>
      <c r="PLD1128" s="7"/>
      <c r="PLE1128" s="7"/>
      <c r="PLF1128" s="7"/>
      <c r="PLG1128" s="7"/>
      <c r="PLH1128" s="7"/>
      <c r="PLI1128" s="7"/>
      <c r="PLJ1128" s="7"/>
      <c r="PLK1128" s="7"/>
      <c r="PLL1128" s="7"/>
      <c r="PLM1128" s="7"/>
      <c r="PLN1128" s="7"/>
      <c r="PLO1128" s="7"/>
      <c r="PLP1128" s="7"/>
      <c r="PLQ1128" s="7"/>
      <c r="PLR1128" s="7"/>
      <c r="PLS1128" s="7"/>
      <c r="PLT1128" s="7"/>
      <c r="PLU1128" s="7"/>
      <c r="PLV1128" s="7"/>
      <c r="PLW1128" s="7"/>
      <c r="PLX1128" s="7"/>
      <c r="PLY1128" s="7"/>
      <c r="PLZ1128" s="7"/>
      <c r="PMA1128" s="7"/>
      <c r="PMB1128" s="7"/>
      <c r="PMC1128" s="7"/>
      <c r="PMD1128" s="7"/>
      <c r="PME1128" s="7"/>
      <c r="PMF1128" s="7"/>
      <c r="PMG1128" s="7"/>
      <c r="PMH1128" s="7"/>
      <c r="PMI1128" s="7"/>
      <c r="PMJ1128" s="7"/>
      <c r="PMK1128" s="7"/>
      <c r="PML1128" s="7"/>
      <c r="PMM1128" s="7"/>
      <c r="PMN1128" s="7"/>
      <c r="PMO1128" s="7"/>
      <c r="PMP1128" s="7"/>
      <c r="PMQ1128" s="7"/>
      <c r="PMR1128" s="7"/>
      <c r="PMS1128" s="7"/>
      <c r="PMT1128" s="7"/>
      <c r="PMU1128" s="7"/>
      <c r="PMV1128" s="7"/>
      <c r="PMW1128" s="7"/>
      <c r="PMX1128" s="7"/>
      <c r="PMY1128" s="7"/>
      <c r="PMZ1128" s="7"/>
      <c r="PNA1128" s="7"/>
      <c r="PNB1128" s="7"/>
      <c r="PNC1128" s="7"/>
      <c r="PND1128" s="7"/>
      <c r="PNE1128" s="7"/>
      <c r="PNF1128" s="7"/>
      <c r="PNG1128" s="7"/>
      <c r="PNH1128" s="7"/>
      <c r="PNI1128" s="7"/>
      <c r="PNJ1128" s="7"/>
      <c r="PNK1128" s="7"/>
      <c r="PNL1128" s="7"/>
      <c r="PNM1128" s="7"/>
      <c r="PNN1128" s="7"/>
      <c r="PNO1128" s="7"/>
      <c r="PNP1128" s="7"/>
      <c r="PNQ1128" s="7"/>
      <c r="PNR1128" s="7"/>
      <c r="PNS1128" s="7"/>
      <c r="PNT1128" s="7"/>
      <c r="PNU1128" s="7"/>
      <c r="PNV1128" s="7"/>
      <c r="PNW1128" s="7"/>
      <c r="PNX1128" s="7"/>
      <c r="PNY1128" s="7"/>
      <c r="PNZ1128" s="7"/>
      <c r="POA1128" s="7"/>
      <c r="POB1128" s="7"/>
      <c r="POC1128" s="7"/>
      <c r="POD1128" s="7"/>
      <c r="POE1128" s="7"/>
      <c r="POF1128" s="7"/>
      <c r="POG1128" s="7"/>
      <c r="POH1128" s="7"/>
      <c r="POI1128" s="7"/>
      <c r="POJ1128" s="7"/>
      <c r="POK1128" s="7"/>
      <c r="POL1128" s="7"/>
      <c r="POM1128" s="7"/>
      <c r="PON1128" s="7"/>
      <c r="POO1128" s="7"/>
      <c r="POP1128" s="7"/>
      <c r="POQ1128" s="7"/>
      <c r="POR1128" s="7"/>
      <c r="POS1128" s="7"/>
      <c r="POT1128" s="7"/>
      <c r="POU1128" s="7"/>
      <c r="POV1128" s="7"/>
      <c r="POW1128" s="7"/>
      <c r="POX1128" s="7"/>
      <c r="POY1128" s="7"/>
      <c r="POZ1128" s="7"/>
      <c r="PPA1128" s="7"/>
      <c r="PPB1128" s="7"/>
      <c r="PPC1128" s="7"/>
      <c r="PPD1128" s="7"/>
      <c r="PPE1128" s="7"/>
      <c r="PPF1128" s="7"/>
      <c r="PPG1128" s="7"/>
      <c r="PPH1128" s="7"/>
      <c r="PPI1128" s="7"/>
      <c r="PPJ1128" s="7"/>
      <c r="PPK1128" s="7"/>
      <c r="PPL1128" s="7"/>
      <c r="PPM1128" s="7"/>
      <c r="PPN1128" s="7"/>
      <c r="PPO1128" s="7"/>
      <c r="PPP1128" s="7"/>
      <c r="PPQ1128" s="7"/>
      <c r="PPR1128" s="7"/>
      <c r="PPS1128" s="7"/>
      <c r="PPT1128" s="7"/>
      <c r="PPU1128" s="7"/>
      <c r="PPV1128" s="7"/>
      <c r="PPW1128" s="7"/>
      <c r="PPX1128" s="7"/>
      <c r="PPY1128" s="7"/>
      <c r="PPZ1128" s="7"/>
      <c r="PQA1128" s="7"/>
      <c r="PQB1128" s="7"/>
      <c r="PQC1128" s="7"/>
      <c r="PQD1128" s="7"/>
      <c r="PQE1128" s="7"/>
      <c r="PQF1128" s="7"/>
      <c r="PQG1128" s="7"/>
      <c r="PQH1128" s="7"/>
      <c r="PQI1128" s="7"/>
      <c r="PQJ1128" s="7"/>
      <c r="PQK1128" s="7"/>
      <c r="PQL1128" s="7"/>
      <c r="PQM1128" s="7"/>
      <c r="PQN1128" s="7"/>
      <c r="PQO1128" s="7"/>
      <c r="PQP1128" s="7"/>
      <c r="PQQ1128" s="7"/>
      <c r="PQR1128" s="7"/>
      <c r="PQS1128" s="7"/>
      <c r="PQT1128" s="7"/>
      <c r="PQU1128" s="7"/>
      <c r="PQV1128" s="7"/>
      <c r="PQW1128" s="7"/>
      <c r="PQX1128" s="7"/>
      <c r="PQY1128" s="7"/>
      <c r="PQZ1128" s="7"/>
      <c r="PRA1128" s="7"/>
      <c r="PRB1128" s="7"/>
      <c r="PRC1128" s="7"/>
      <c r="PRD1128" s="7"/>
      <c r="PRE1128" s="7"/>
      <c r="PRF1128" s="7"/>
      <c r="PRG1128" s="7"/>
      <c r="PRH1128" s="7"/>
      <c r="PRI1128" s="7"/>
      <c r="PRJ1128" s="7"/>
      <c r="PRK1128" s="7"/>
      <c r="PRL1128" s="7"/>
      <c r="PRM1128" s="7"/>
      <c r="PRN1128" s="7"/>
      <c r="PRO1128" s="7"/>
      <c r="PRP1128" s="7"/>
      <c r="PRQ1128" s="7"/>
      <c r="PRR1128" s="7"/>
      <c r="PRS1128" s="7"/>
      <c r="PRT1128" s="7"/>
      <c r="PRU1128" s="7"/>
      <c r="PRV1128" s="7"/>
      <c r="PRW1128" s="7"/>
      <c r="PRX1128" s="7"/>
      <c r="PRY1128" s="7"/>
      <c r="PRZ1128" s="7"/>
      <c r="PSA1128" s="7"/>
      <c r="PSB1128" s="7"/>
      <c r="PSC1128" s="7"/>
      <c r="PSD1128" s="7"/>
      <c r="PSE1128" s="7"/>
      <c r="PSF1128" s="7"/>
      <c r="PSG1128" s="7"/>
      <c r="PSH1128" s="7"/>
      <c r="PSI1128" s="7"/>
      <c r="PSJ1128" s="7"/>
      <c r="PSK1128" s="7"/>
      <c r="PSL1128" s="7"/>
      <c r="PSM1128" s="7"/>
      <c r="PSN1128" s="7"/>
      <c r="PSO1128" s="7"/>
      <c r="PSP1128" s="7"/>
      <c r="PSQ1128" s="7"/>
      <c r="PSR1128" s="7"/>
      <c r="PSS1128" s="7"/>
      <c r="PST1128" s="7"/>
      <c r="PSU1128" s="7"/>
      <c r="PSV1128" s="7"/>
      <c r="PSW1128" s="7"/>
      <c r="PSX1128" s="7"/>
      <c r="PSY1128" s="7"/>
      <c r="PSZ1128" s="7"/>
      <c r="PTA1128" s="7"/>
      <c r="PTB1128" s="7"/>
      <c r="PTC1128" s="7"/>
      <c r="PTD1128" s="7"/>
      <c r="PTE1128" s="7"/>
      <c r="PTF1128" s="7"/>
      <c r="PTG1128" s="7"/>
      <c r="PTH1128" s="7"/>
      <c r="PTI1128" s="7"/>
      <c r="PTJ1128" s="7"/>
      <c r="PTK1128" s="7"/>
      <c r="PTL1128" s="7"/>
      <c r="PTM1128" s="7"/>
      <c r="PTN1128" s="7"/>
      <c r="PTO1128" s="7"/>
      <c r="PTP1128" s="7"/>
      <c r="PTQ1128" s="7"/>
      <c r="PTR1128" s="7"/>
      <c r="PTS1128" s="7"/>
      <c r="PTT1128" s="7"/>
      <c r="PTU1128" s="7"/>
      <c r="PTV1128" s="7"/>
      <c r="PTW1128" s="7"/>
      <c r="PTX1128" s="7"/>
      <c r="PTY1128" s="7"/>
      <c r="PTZ1128" s="7"/>
      <c r="PUA1128" s="7"/>
      <c r="PUB1128" s="7"/>
      <c r="PUC1128" s="7"/>
      <c r="PUD1128" s="7"/>
      <c r="PUE1128" s="7"/>
      <c r="PUF1128" s="7"/>
      <c r="PUG1128" s="7"/>
      <c r="PUH1128" s="7"/>
      <c r="PUI1128" s="7"/>
      <c r="PUJ1128" s="7"/>
      <c r="PUK1128" s="7"/>
      <c r="PUL1128" s="7"/>
      <c r="PUM1128" s="7"/>
      <c r="PUN1128" s="7"/>
      <c r="PUO1128" s="7"/>
      <c r="PUP1128" s="7"/>
      <c r="PUQ1128" s="7"/>
      <c r="PUR1128" s="7"/>
      <c r="PUS1128" s="7"/>
      <c r="PUT1128" s="7"/>
      <c r="PUU1128" s="7"/>
      <c r="PUV1128" s="7"/>
      <c r="PUW1128" s="7"/>
      <c r="PUX1128" s="7"/>
      <c r="PUY1128" s="7"/>
      <c r="PUZ1128" s="7"/>
      <c r="PVA1128" s="7"/>
      <c r="PVB1128" s="7"/>
      <c r="PVC1128" s="7"/>
      <c r="PVD1128" s="7"/>
      <c r="PVE1128" s="7"/>
      <c r="PVF1128" s="7"/>
      <c r="PVG1128" s="7"/>
      <c r="PVH1128" s="7"/>
      <c r="PVI1128" s="7"/>
      <c r="PVJ1128" s="7"/>
      <c r="PVK1128" s="7"/>
      <c r="PVL1128" s="7"/>
      <c r="PVM1128" s="7"/>
      <c r="PVN1128" s="7"/>
      <c r="PVO1128" s="7"/>
      <c r="PVP1128" s="7"/>
      <c r="PVQ1128" s="7"/>
      <c r="PVR1128" s="7"/>
      <c r="PVS1128" s="7"/>
      <c r="PVT1128" s="7"/>
      <c r="PVU1128" s="7"/>
      <c r="PVV1128" s="7"/>
      <c r="PVW1128" s="7"/>
      <c r="PVX1128" s="7"/>
      <c r="PVY1128" s="7"/>
      <c r="PVZ1128" s="7"/>
      <c r="PWA1128" s="7"/>
      <c r="PWB1128" s="7"/>
      <c r="PWC1128" s="7"/>
      <c r="PWD1128" s="7"/>
      <c r="PWE1128" s="7"/>
      <c r="PWF1128" s="7"/>
      <c r="PWG1128" s="7"/>
      <c r="PWH1128" s="7"/>
      <c r="PWI1128" s="7"/>
      <c r="PWJ1128" s="7"/>
      <c r="PWK1128" s="7"/>
      <c r="PWL1128" s="7"/>
      <c r="PWM1128" s="7"/>
      <c r="PWN1128" s="7"/>
      <c r="PWO1128" s="7"/>
      <c r="PWP1128" s="7"/>
      <c r="PWQ1128" s="7"/>
      <c r="PWR1128" s="7"/>
      <c r="PWS1128" s="7"/>
      <c r="PWT1128" s="7"/>
      <c r="PWU1128" s="7"/>
      <c r="PWV1128" s="7"/>
      <c r="PWW1128" s="7"/>
      <c r="PWX1128" s="7"/>
      <c r="PWY1128" s="7"/>
      <c r="PWZ1128" s="7"/>
      <c r="PXA1128" s="7"/>
      <c r="PXB1128" s="7"/>
      <c r="PXC1128" s="7"/>
      <c r="PXD1128" s="7"/>
      <c r="PXE1128" s="7"/>
      <c r="PXF1128" s="7"/>
      <c r="PXG1128" s="7"/>
      <c r="PXH1128" s="7"/>
      <c r="PXI1128" s="7"/>
      <c r="PXJ1128" s="7"/>
      <c r="PXK1128" s="7"/>
      <c r="PXL1128" s="7"/>
      <c r="PXM1128" s="7"/>
      <c r="PXN1128" s="7"/>
      <c r="PXO1128" s="7"/>
      <c r="PXP1128" s="7"/>
      <c r="PXQ1128" s="7"/>
      <c r="PXR1128" s="7"/>
      <c r="PXS1128" s="7"/>
      <c r="PXT1128" s="7"/>
      <c r="PXU1128" s="7"/>
      <c r="PXV1128" s="7"/>
      <c r="PXW1128" s="7"/>
      <c r="PXX1128" s="7"/>
      <c r="PXY1128" s="7"/>
      <c r="PXZ1128" s="7"/>
      <c r="PYA1128" s="7"/>
      <c r="PYB1128" s="7"/>
      <c r="PYC1128" s="7"/>
      <c r="PYD1128" s="7"/>
      <c r="PYE1128" s="7"/>
      <c r="PYF1128" s="7"/>
      <c r="PYG1128" s="7"/>
      <c r="PYH1128" s="7"/>
      <c r="PYI1128" s="7"/>
      <c r="PYJ1128" s="7"/>
      <c r="PYK1128" s="7"/>
      <c r="PYL1128" s="7"/>
      <c r="PYM1128" s="7"/>
      <c r="PYN1128" s="7"/>
      <c r="PYO1128" s="7"/>
      <c r="PYP1128" s="7"/>
      <c r="PYQ1128" s="7"/>
      <c r="PYR1128" s="7"/>
      <c r="PYS1128" s="7"/>
      <c r="PYT1128" s="7"/>
      <c r="PYU1128" s="7"/>
      <c r="PYV1128" s="7"/>
      <c r="PYW1128" s="7"/>
      <c r="PYX1128" s="7"/>
      <c r="PYY1128" s="7"/>
      <c r="PYZ1128" s="7"/>
      <c r="PZA1128" s="7"/>
      <c r="PZB1128" s="7"/>
      <c r="PZC1128" s="7"/>
      <c r="PZD1128" s="7"/>
      <c r="PZE1128" s="7"/>
      <c r="PZF1128" s="7"/>
      <c r="PZG1128" s="7"/>
      <c r="PZH1128" s="7"/>
      <c r="PZI1128" s="7"/>
      <c r="PZJ1128" s="7"/>
      <c r="PZK1128" s="7"/>
      <c r="PZL1128" s="7"/>
      <c r="PZM1128" s="7"/>
      <c r="PZN1128" s="7"/>
      <c r="PZO1128" s="7"/>
      <c r="PZP1128" s="7"/>
      <c r="PZQ1128" s="7"/>
      <c r="PZR1128" s="7"/>
      <c r="PZS1128" s="7"/>
      <c r="PZT1128" s="7"/>
      <c r="PZU1128" s="7"/>
      <c r="PZV1128" s="7"/>
      <c r="PZW1128" s="7"/>
      <c r="PZX1128" s="7"/>
      <c r="PZY1128" s="7"/>
      <c r="PZZ1128" s="7"/>
      <c r="QAA1128" s="7"/>
      <c r="QAB1128" s="7"/>
      <c r="QAC1128" s="7"/>
      <c r="QAD1128" s="7"/>
      <c r="QAE1128" s="7"/>
      <c r="QAF1128" s="7"/>
      <c r="QAG1128" s="7"/>
      <c r="QAH1128" s="7"/>
      <c r="QAI1128" s="7"/>
      <c r="QAJ1128" s="7"/>
      <c r="QAK1128" s="7"/>
      <c r="QAL1128" s="7"/>
      <c r="QAM1128" s="7"/>
      <c r="QAN1128" s="7"/>
      <c r="QAO1128" s="7"/>
      <c r="QAP1128" s="7"/>
      <c r="QAQ1128" s="7"/>
      <c r="QAR1128" s="7"/>
      <c r="QAS1128" s="7"/>
      <c r="QAT1128" s="7"/>
      <c r="QAU1128" s="7"/>
      <c r="QAV1128" s="7"/>
      <c r="QAW1128" s="7"/>
      <c r="QAX1128" s="7"/>
      <c r="QAY1128" s="7"/>
      <c r="QAZ1128" s="7"/>
      <c r="QBA1128" s="7"/>
      <c r="QBB1128" s="7"/>
      <c r="QBC1128" s="7"/>
      <c r="QBD1128" s="7"/>
      <c r="QBE1128" s="7"/>
      <c r="QBF1128" s="7"/>
      <c r="QBG1128" s="7"/>
      <c r="QBH1128" s="7"/>
      <c r="QBI1128" s="7"/>
      <c r="QBJ1128" s="7"/>
      <c r="QBK1128" s="7"/>
      <c r="QBL1128" s="7"/>
      <c r="QBM1128" s="7"/>
      <c r="QBN1128" s="7"/>
      <c r="QBO1128" s="7"/>
      <c r="QBP1128" s="7"/>
      <c r="QBQ1128" s="7"/>
      <c r="QBR1128" s="7"/>
      <c r="QBS1128" s="7"/>
      <c r="QBT1128" s="7"/>
      <c r="QBU1128" s="7"/>
      <c r="QBV1128" s="7"/>
      <c r="QBW1128" s="7"/>
      <c r="QBX1128" s="7"/>
      <c r="QBY1128" s="7"/>
      <c r="QBZ1128" s="7"/>
      <c r="QCA1128" s="7"/>
      <c r="QCB1128" s="7"/>
      <c r="QCC1128" s="7"/>
      <c r="QCD1128" s="7"/>
      <c r="QCE1128" s="7"/>
      <c r="QCF1128" s="7"/>
      <c r="QCG1128" s="7"/>
      <c r="QCH1128" s="7"/>
      <c r="QCI1128" s="7"/>
      <c r="QCJ1128" s="7"/>
      <c r="QCK1128" s="7"/>
      <c r="QCL1128" s="7"/>
      <c r="QCM1128" s="7"/>
      <c r="QCN1128" s="7"/>
      <c r="QCO1128" s="7"/>
      <c r="QCP1128" s="7"/>
      <c r="QCQ1128" s="7"/>
      <c r="QCR1128" s="7"/>
      <c r="QCS1128" s="7"/>
      <c r="QCT1128" s="7"/>
      <c r="QCU1128" s="7"/>
      <c r="QCV1128" s="7"/>
      <c r="QCW1128" s="7"/>
      <c r="QCX1128" s="7"/>
      <c r="QCY1128" s="7"/>
      <c r="QCZ1128" s="7"/>
      <c r="QDA1128" s="7"/>
      <c r="QDB1128" s="7"/>
      <c r="QDC1128" s="7"/>
      <c r="QDD1128" s="7"/>
      <c r="QDE1128" s="7"/>
      <c r="QDF1128" s="7"/>
      <c r="QDG1128" s="7"/>
      <c r="QDH1128" s="7"/>
      <c r="QDI1128" s="7"/>
      <c r="QDJ1128" s="7"/>
      <c r="QDK1128" s="7"/>
      <c r="QDL1128" s="7"/>
      <c r="QDM1128" s="7"/>
      <c r="QDN1128" s="7"/>
      <c r="QDO1128" s="7"/>
      <c r="QDP1128" s="7"/>
      <c r="QDQ1128" s="7"/>
      <c r="QDR1128" s="7"/>
      <c r="QDS1128" s="7"/>
      <c r="QDT1128" s="7"/>
      <c r="QDU1128" s="7"/>
      <c r="QDV1128" s="7"/>
      <c r="QDW1128" s="7"/>
      <c r="QDX1128" s="7"/>
      <c r="QDY1128" s="7"/>
      <c r="QDZ1128" s="7"/>
      <c r="QEA1128" s="7"/>
      <c r="QEB1128" s="7"/>
      <c r="QEC1128" s="7"/>
      <c r="QED1128" s="7"/>
      <c r="QEE1128" s="7"/>
      <c r="QEF1128" s="7"/>
      <c r="QEG1128" s="7"/>
      <c r="QEH1128" s="7"/>
      <c r="QEI1128" s="7"/>
      <c r="QEJ1128" s="7"/>
      <c r="QEK1128" s="7"/>
      <c r="QEL1128" s="7"/>
      <c r="QEM1128" s="7"/>
      <c r="QEN1128" s="7"/>
      <c r="QEO1128" s="7"/>
      <c r="QEP1128" s="7"/>
      <c r="QEQ1128" s="7"/>
      <c r="QER1128" s="7"/>
      <c r="QES1128" s="7"/>
      <c r="QET1128" s="7"/>
      <c r="QEU1128" s="7"/>
      <c r="QEV1128" s="7"/>
      <c r="QEW1128" s="7"/>
      <c r="QEX1128" s="7"/>
      <c r="QEY1128" s="7"/>
      <c r="QEZ1128" s="7"/>
      <c r="QFA1128" s="7"/>
      <c r="QFB1128" s="7"/>
      <c r="QFC1128" s="7"/>
      <c r="QFD1128" s="7"/>
      <c r="QFE1128" s="7"/>
      <c r="QFF1128" s="7"/>
      <c r="QFG1128" s="7"/>
      <c r="QFH1128" s="7"/>
      <c r="QFI1128" s="7"/>
      <c r="QFJ1128" s="7"/>
      <c r="QFK1128" s="7"/>
      <c r="QFL1128" s="7"/>
      <c r="QFM1128" s="7"/>
      <c r="QFN1128" s="7"/>
      <c r="QFO1128" s="7"/>
      <c r="QFP1128" s="7"/>
      <c r="QFQ1128" s="7"/>
      <c r="QFR1128" s="7"/>
      <c r="QFS1128" s="7"/>
      <c r="QFT1128" s="7"/>
      <c r="QFU1128" s="7"/>
      <c r="QFV1128" s="7"/>
      <c r="QFW1128" s="7"/>
      <c r="QFX1128" s="7"/>
      <c r="QFY1128" s="7"/>
      <c r="QFZ1128" s="7"/>
      <c r="QGA1128" s="7"/>
      <c r="QGB1128" s="7"/>
      <c r="QGC1128" s="7"/>
      <c r="QGD1128" s="7"/>
      <c r="QGE1128" s="7"/>
      <c r="QGF1128" s="7"/>
      <c r="QGG1128" s="7"/>
      <c r="QGH1128" s="7"/>
      <c r="QGI1128" s="7"/>
      <c r="QGJ1128" s="7"/>
      <c r="QGK1128" s="7"/>
      <c r="QGL1128" s="7"/>
      <c r="QGM1128" s="7"/>
      <c r="QGN1128" s="7"/>
      <c r="QGO1128" s="7"/>
      <c r="QGP1128" s="7"/>
      <c r="QGQ1128" s="7"/>
      <c r="QGR1128" s="7"/>
      <c r="QGS1128" s="7"/>
      <c r="QGT1128" s="7"/>
      <c r="QGU1128" s="7"/>
      <c r="QGV1128" s="7"/>
      <c r="QGW1128" s="7"/>
      <c r="QGX1128" s="7"/>
      <c r="QGY1128" s="7"/>
      <c r="QGZ1128" s="7"/>
      <c r="QHA1128" s="7"/>
      <c r="QHB1128" s="7"/>
      <c r="QHC1128" s="7"/>
      <c r="QHD1128" s="7"/>
      <c r="QHE1128" s="7"/>
      <c r="QHF1128" s="7"/>
      <c r="QHG1128" s="7"/>
      <c r="QHH1128" s="7"/>
      <c r="QHI1128" s="7"/>
      <c r="QHJ1128" s="7"/>
      <c r="QHK1128" s="7"/>
      <c r="QHL1128" s="7"/>
      <c r="QHM1128" s="7"/>
      <c r="QHN1128" s="7"/>
      <c r="QHO1128" s="7"/>
      <c r="QHP1128" s="7"/>
      <c r="QHQ1128" s="7"/>
      <c r="QHR1128" s="7"/>
      <c r="QHS1128" s="7"/>
      <c r="QHT1128" s="7"/>
      <c r="QHU1128" s="7"/>
      <c r="QHV1128" s="7"/>
      <c r="QHW1128" s="7"/>
      <c r="QHX1128" s="7"/>
      <c r="QHY1128" s="7"/>
      <c r="QHZ1128" s="7"/>
      <c r="QIA1128" s="7"/>
      <c r="QIB1128" s="7"/>
      <c r="QIC1128" s="7"/>
      <c r="QID1128" s="7"/>
      <c r="QIE1128" s="7"/>
      <c r="QIF1128" s="7"/>
      <c r="QIG1128" s="7"/>
      <c r="QIH1128" s="7"/>
      <c r="QII1128" s="7"/>
      <c r="QIJ1128" s="7"/>
      <c r="QIK1128" s="7"/>
      <c r="QIL1128" s="7"/>
      <c r="QIM1128" s="7"/>
      <c r="QIN1128" s="7"/>
      <c r="QIO1128" s="7"/>
      <c r="QIP1128" s="7"/>
      <c r="QIQ1128" s="7"/>
      <c r="QIR1128" s="7"/>
      <c r="QIS1128" s="7"/>
      <c r="QIT1128" s="7"/>
      <c r="QIU1128" s="7"/>
      <c r="QIV1128" s="7"/>
      <c r="QIW1128" s="7"/>
      <c r="QIX1128" s="7"/>
      <c r="QIY1128" s="7"/>
      <c r="QIZ1128" s="7"/>
      <c r="QJA1128" s="7"/>
      <c r="QJB1128" s="7"/>
      <c r="QJC1128" s="7"/>
      <c r="QJD1128" s="7"/>
      <c r="QJE1128" s="7"/>
      <c r="QJF1128" s="7"/>
      <c r="QJG1128" s="7"/>
      <c r="QJH1128" s="7"/>
      <c r="QJI1128" s="7"/>
      <c r="QJJ1128" s="7"/>
      <c r="QJK1128" s="7"/>
      <c r="QJL1128" s="7"/>
      <c r="QJM1128" s="7"/>
      <c r="QJN1128" s="7"/>
      <c r="QJO1128" s="7"/>
      <c r="QJP1128" s="7"/>
      <c r="QJQ1128" s="7"/>
      <c r="QJR1128" s="7"/>
      <c r="QJS1128" s="7"/>
      <c r="QJT1128" s="7"/>
      <c r="QJU1128" s="7"/>
      <c r="QJV1128" s="7"/>
      <c r="QJW1128" s="7"/>
      <c r="QJX1128" s="7"/>
      <c r="QJY1128" s="7"/>
      <c r="QJZ1128" s="7"/>
      <c r="QKA1128" s="7"/>
      <c r="QKB1128" s="7"/>
      <c r="QKC1128" s="7"/>
      <c r="QKD1128" s="7"/>
      <c r="QKE1128" s="7"/>
      <c r="QKF1128" s="7"/>
      <c r="QKG1128" s="7"/>
      <c r="QKH1128" s="7"/>
      <c r="QKI1128" s="7"/>
      <c r="QKJ1128" s="7"/>
      <c r="QKK1128" s="7"/>
      <c r="QKL1128" s="7"/>
      <c r="QKM1128" s="7"/>
      <c r="QKN1128" s="7"/>
      <c r="QKO1128" s="7"/>
      <c r="QKP1128" s="7"/>
      <c r="QKQ1128" s="7"/>
      <c r="QKR1128" s="7"/>
      <c r="QKS1128" s="7"/>
      <c r="QKT1128" s="7"/>
      <c r="QKU1128" s="7"/>
      <c r="QKV1128" s="7"/>
      <c r="QKW1128" s="7"/>
      <c r="QKX1128" s="7"/>
      <c r="QKY1128" s="7"/>
      <c r="QKZ1128" s="7"/>
      <c r="QLA1128" s="7"/>
      <c r="QLB1128" s="7"/>
      <c r="QLC1128" s="7"/>
      <c r="QLD1128" s="7"/>
      <c r="QLE1128" s="7"/>
      <c r="QLF1128" s="7"/>
      <c r="QLG1128" s="7"/>
      <c r="QLH1128" s="7"/>
      <c r="QLI1128" s="7"/>
      <c r="QLJ1128" s="7"/>
      <c r="QLK1128" s="7"/>
      <c r="QLL1128" s="7"/>
      <c r="QLM1128" s="7"/>
      <c r="QLN1128" s="7"/>
      <c r="QLO1128" s="7"/>
      <c r="QLP1128" s="7"/>
      <c r="QLQ1128" s="7"/>
      <c r="QLR1128" s="7"/>
      <c r="QLS1128" s="7"/>
      <c r="QLT1128" s="7"/>
      <c r="QLU1128" s="7"/>
      <c r="QLV1128" s="7"/>
      <c r="QLW1128" s="7"/>
      <c r="QLX1128" s="7"/>
      <c r="QLY1128" s="7"/>
      <c r="QLZ1128" s="7"/>
      <c r="QMA1128" s="7"/>
      <c r="QMB1128" s="7"/>
      <c r="QMC1128" s="7"/>
      <c r="QMD1128" s="7"/>
      <c r="QME1128" s="7"/>
      <c r="QMF1128" s="7"/>
      <c r="QMG1128" s="7"/>
      <c r="QMH1128" s="7"/>
      <c r="QMI1128" s="7"/>
      <c r="QMJ1128" s="7"/>
      <c r="QMK1128" s="7"/>
      <c r="QML1128" s="7"/>
      <c r="QMM1128" s="7"/>
      <c r="QMN1128" s="7"/>
      <c r="QMO1128" s="7"/>
      <c r="QMP1128" s="7"/>
      <c r="QMQ1128" s="7"/>
      <c r="QMR1128" s="7"/>
      <c r="QMS1128" s="7"/>
      <c r="QMT1128" s="7"/>
      <c r="QMU1128" s="7"/>
      <c r="QMV1128" s="7"/>
      <c r="QMW1128" s="7"/>
      <c r="QMX1128" s="7"/>
      <c r="QMY1128" s="7"/>
      <c r="QMZ1128" s="7"/>
      <c r="QNA1128" s="7"/>
      <c r="QNB1128" s="7"/>
      <c r="QNC1128" s="7"/>
      <c r="QND1128" s="7"/>
      <c r="QNE1128" s="7"/>
      <c r="QNF1128" s="7"/>
      <c r="QNG1128" s="7"/>
      <c r="QNH1128" s="7"/>
      <c r="QNI1128" s="7"/>
      <c r="QNJ1128" s="7"/>
      <c r="QNK1128" s="7"/>
      <c r="QNL1128" s="7"/>
      <c r="QNM1128" s="7"/>
      <c r="QNN1128" s="7"/>
      <c r="QNO1128" s="7"/>
      <c r="QNP1128" s="7"/>
      <c r="QNQ1128" s="7"/>
      <c r="QNR1128" s="7"/>
      <c r="QNS1128" s="7"/>
      <c r="QNT1128" s="7"/>
      <c r="QNU1128" s="7"/>
      <c r="QNV1128" s="7"/>
      <c r="QNW1128" s="7"/>
      <c r="QNX1128" s="7"/>
      <c r="QNY1128" s="7"/>
      <c r="QNZ1128" s="7"/>
      <c r="QOA1128" s="7"/>
      <c r="QOB1128" s="7"/>
      <c r="QOC1128" s="7"/>
      <c r="QOD1128" s="7"/>
      <c r="QOE1128" s="7"/>
      <c r="QOF1128" s="7"/>
      <c r="QOG1128" s="7"/>
      <c r="QOH1128" s="7"/>
      <c r="QOI1128" s="7"/>
      <c r="QOJ1128" s="7"/>
      <c r="QOK1128" s="7"/>
      <c r="QOL1128" s="7"/>
      <c r="QOM1128" s="7"/>
      <c r="QON1128" s="7"/>
      <c r="QOO1128" s="7"/>
      <c r="QOP1128" s="7"/>
      <c r="QOQ1128" s="7"/>
      <c r="QOR1128" s="7"/>
      <c r="QOS1128" s="7"/>
      <c r="QOT1128" s="7"/>
      <c r="QOU1128" s="7"/>
      <c r="QOV1128" s="7"/>
      <c r="QOW1128" s="7"/>
      <c r="QOX1128" s="7"/>
      <c r="QOY1128" s="7"/>
      <c r="QOZ1128" s="7"/>
      <c r="QPA1128" s="7"/>
      <c r="QPB1128" s="7"/>
      <c r="QPC1128" s="7"/>
      <c r="QPD1128" s="7"/>
      <c r="QPE1128" s="7"/>
      <c r="QPF1128" s="7"/>
      <c r="QPG1128" s="7"/>
      <c r="QPH1128" s="7"/>
      <c r="QPI1128" s="7"/>
      <c r="QPJ1128" s="7"/>
      <c r="QPK1128" s="7"/>
      <c r="QPL1128" s="7"/>
      <c r="QPM1128" s="7"/>
      <c r="QPN1128" s="7"/>
      <c r="QPO1128" s="7"/>
      <c r="QPP1128" s="7"/>
      <c r="QPQ1128" s="7"/>
      <c r="QPR1128" s="7"/>
      <c r="QPS1128" s="7"/>
      <c r="QPT1128" s="7"/>
      <c r="QPU1128" s="7"/>
      <c r="QPV1128" s="7"/>
      <c r="QPW1128" s="7"/>
      <c r="QPX1128" s="7"/>
      <c r="QPY1128" s="7"/>
      <c r="QPZ1128" s="7"/>
      <c r="QQA1128" s="7"/>
      <c r="QQB1128" s="7"/>
      <c r="QQC1128" s="7"/>
      <c r="QQD1128" s="7"/>
      <c r="QQE1128" s="7"/>
      <c r="QQF1128" s="7"/>
      <c r="QQG1128" s="7"/>
      <c r="QQH1128" s="7"/>
      <c r="QQI1128" s="7"/>
      <c r="QQJ1128" s="7"/>
      <c r="QQK1128" s="7"/>
      <c r="QQL1128" s="7"/>
      <c r="QQM1128" s="7"/>
      <c r="QQN1128" s="7"/>
      <c r="QQO1128" s="7"/>
      <c r="QQP1128" s="7"/>
      <c r="QQQ1128" s="7"/>
      <c r="QQR1128" s="7"/>
      <c r="QQS1128" s="7"/>
      <c r="QQT1128" s="7"/>
      <c r="QQU1128" s="7"/>
      <c r="QQV1128" s="7"/>
      <c r="QQW1128" s="7"/>
      <c r="QQX1128" s="7"/>
      <c r="QQY1128" s="7"/>
      <c r="QQZ1128" s="7"/>
      <c r="QRA1128" s="7"/>
      <c r="QRB1128" s="7"/>
      <c r="QRC1128" s="7"/>
      <c r="QRD1128" s="7"/>
      <c r="QRE1128" s="7"/>
      <c r="QRF1128" s="7"/>
      <c r="QRG1128" s="7"/>
      <c r="QRH1128" s="7"/>
      <c r="QRI1128" s="7"/>
      <c r="QRJ1128" s="7"/>
      <c r="QRK1128" s="7"/>
      <c r="QRL1128" s="7"/>
      <c r="QRM1128" s="7"/>
      <c r="QRN1128" s="7"/>
      <c r="QRO1128" s="7"/>
      <c r="QRP1128" s="7"/>
      <c r="QRQ1128" s="7"/>
      <c r="QRR1128" s="7"/>
      <c r="QRS1128" s="7"/>
      <c r="QRT1128" s="7"/>
      <c r="QRU1128" s="7"/>
      <c r="QRV1128" s="7"/>
      <c r="QRW1128" s="7"/>
      <c r="QRX1128" s="7"/>
      <c r="QRY1128" s="7"/>
      <c r="QRZ1128" s="7"/>
      <c r="QSA1128" s="7"/>
      <c r="QSB1128" s="7"/>
      <c r="QSC1128" s="7"/>
      <c r="QSD1128" s="7"/>
      <c r="QSE1128" s="7"/>
      <c r="QSF1128" s="7"/>
      <c r="QSG1128" s="7"/>
      <c r="QSH1128" s="7"/>
      <c r="QSI1128" s="7"/>
      <c r="QSJ1128" s="7"/>
      <c r="QSK1128" s="7"/>
      <c r="QSL1128" s="7"/>
      <c r="QSM1128" s="7"/>
      <c r="QSN1128" s="7"/>
      <c r="QSO1128" s="7"/>
      <c r="QSP1128" s="7"/>
      <c r="QSQ1128" s="7"/>
      <c r="QSR1128" s="7"/>
      <c r="QSS1128" s="7"/>
      <c r="QST1128" s="7"/>
      <c r="QSU1128" s="7"/>
      <c r="QSV1128" s="7"/>
      <c r="QSW1128" s="7"/>
      <c r="QSX1128" s="7"/>
      <c r="QSY1128" s="7"/>
      <c r="QSZ1128" s="7"/>
      <c r="QTA1128" s="7"/>
      <c r="QTB1128" s="7"/>
      <c r="QTC1128" s="7"/>
      <c r="QTD1128" s="7"/>
      <c r="QTE1128" s="7"/>
      <c r="QTF1128" s="7"/>
      <c r="QTG1128" s="7"/>
      <c r="QTH1128" s="7"/>
      <c r="QTI1128" s="7"/>
      <c r="QTJ1128" s="7"/>
      <c r="QTK1128" s="7"/>
      <c r="QTL1128" s="7"/>
      <c r="QTM1128" s="7"/>
      <c r="QTN1128" s="7"/>
      <c r="QTO1128" s="7"/>
      <c r="QTP1128" s="7"/>
      <c r="QTQ1128" s="7"/>
      <c r="QTR1128" s="7"/>
      <c r="QTS1128" s="7"/>
      <c r="QTT1128" s="7"/>
      <c r="QTU1128" s="7"/>
      <c r="QTV1128" s="7"/>
      <c r="QTW1128" s="7"/>
      <c r="QTX1128" s="7"/>
      <c r="QTY1128" s="7"/>
      <c r="QTZ1128" s="7"/>
      <c r="QUA1128" s="7"/>
      <c r="QUB1128" s="7"/>
      <c r="QUC1128" s="7"/>
      <c r="QUD1128" s="7"/>
      <c r="QUE1128" s="7"/>
      <c r="QUF1128" s="7"/>
      <c r="QUG1128" s="7"/>
      <c r="QUH1128" s="7"/>
      <c r="QUI1128" s="7"/>
      <c r="QUJ1128" s="7"/>
      <c r="QUK1128" s="7"/>
      <c r="QUL1128" s="7"/>
      <c r="QUM1128" s="7"/>
      <c r="QUN1128" s="7"/>
      <c r="QUO1128" s="7"/>
      <c r="QUP1128" s="7"/>
      <c r="QUQ1128" s="7"/>
      <c r="QUR1128" s="7"/>
      <c r="QUS1128" s="7"/>
      <c r="QUT1128" s="7"/>
      <c r="QUU1128" s="7"/>
      <c r="QUV1128" s="7"/>
      <c r="QUW1128" s="7"/>
      <c r="QUX1128" s="7"/>
      <c r="QUY1128" s="7"/>
      <c r="QUZ1128" s="7"/>
      <c r="QVA1128" s="7"/>
      <c r="QVB1128" s="7"/>
      <c r="QVC1128" s="7"/>
      <c r="QVD1128" s="7"/>
      <c r="QVE1128" s="7"/>
      <c r="QVF1128" s="7"/>
      <c r="QVG1128" s="7"/>
      <c r="QVH1128" s="7"/>
      <c r="QVI1128" s="7"/>
      <c r="QVJ1128" s="7"/>
      <c r="QVK1128" s="7"/>
      <c r="QVL1128" s="7"/>
      <c r="QVM1128" s="7"/>
      <c r="QVN1128" s="7"/>
      <c r="QVO1128" s="7"/>
      <c r="QVP1128" s="7"/>
      <c r="QVQ1128" s="7"/>
      <c r="QVR1128" s="7"/>
      <c r="QVS1128" s="7"/>
      <c r="QVT1128" s="7"/>
      <c r="QVU1128" s="7"/>
      <c r="QVV1128" s="7"/>
      <c r="QVW1128" s="7"/>
      <c r="QVX1128" s="7"/>
      <c r="QVY1128" s="7"/>
      <c r="QVZ1128" s="7"/>
      <c r="QWA1128" s="7"/>
      <c r="QWB1128" s="7"/>
      <c r="QWC1128" s="7"/>
      <c r="QWD1128" s="7"/>
      <c r="QWE1128" s="7"/>
      <c r="QWF1128" s="7"/>
      <c r="QWG1128" s="7"/>
      <c r="QWH1128" s="7"/>
      <c r="QWI1128" s="7"/>
      <c r="QWJ1128" s="7"/>
      <c r="QWK1128" s="7"/>
      <c r="QWL1128" s="7"/>
      <c r="QWM1128" s="7"/>
      <c r="QWN1128" s="7"/>
      <c r="QWO1128" s="7"/>
      <c r="QWP1128" s="7"/>
      <c r="QWQ1128" s="7"/>
      <c r="QWR1128" s="7"/>
      <c r="QWS1128" s="7"/>
      <c r="QWT1128" s="7"/>
      <c r="QWU1128" s="7"/>
      <c r="QWV1128" s="7"/>
      <c r="QWW1128" s="7"/>
      <c r="QWX1128" s="7"/>
      <c r="QWY1128" s="7"/>
      <c r="QWZ1128" s="7"/>
      <c r="QXA1128" s="7"/>
      <c r="QXB1128" s="7"/>
      <c r="QXC1128" s="7"/>
      <c r="QXD1128" s="7"/>
      <c r="QXE1128" s="7"/>
      <c r="QXF1128" s="7"/>
      <c r="QXG1128" s="7"/>
      <c r="QXH1128" s="7"/>
      <c r="QXI1128" s="7"/>
      <c r="QXJ1128" s="7"/>
      <c r="QXK1128" s="7"/>
      <c r="QXL1128" s="7"/>
      <c r="QXM1128" s="7"/>
      <c r="QXN1128" s="7"/>
      <c r="QXO1128" s="7"/>
      <c r="QXP1128" s="7"/>
      <c r="QXQ1128" s="7"/>
      <c r="QXR1128" s="7"/>
      <c r="QXS1128" s="7"/>
      <c r="QXT1128" s="7"/>
      <c r="QXU1128" s="7"/>
      <c r="QXV1128" s="7"/>
      <c r="QXW1128" s="7"/>
      <c r="QXX1128" s="7"/>
      <c r="QXY1128" s="7"/>
      <c r="QXZ1128" s="7"/>
      <c r="QYA1128" s="7"/>
      <c r="QYB1128" s="7"/>
      <c r="QYC1128" s="7"/>
      <c r="QYD1128" s="7"/>
      <c r="QYE1128" s="7"/>
      <c r="QYF1128" s="7"/>
      <c r="QYG1128" s="7"/>
      <c r="QYH1128" s="7"/>
      <c r="QYI1128" s="7"/>
      <c r="QYJ1128" s="7"/>
      <c r="QYK1128" s="7"/>
      <c r="QYL1128" s="7"/>
      <c r="QYM1128" s="7"/>
      <c r="QYN1128" s="7"/>
      <c r="QYO1128" s="7"/>
      <c r="QYP1128" s="7"/>
      <c r="QYQ1128" s="7"/>
      <c r="QYR1128" s="7"/>
      <c r="QYS1128" s="7"/>
      <c r="QYT1128" s="7"/>
      <c r="QYU1128" s="7"/>
      <c r="QYV1128" s="7"/>
      <c r="QYW1128" s="7"/>
      <c r="QYX1128" s="7"/>
      <c r="QYY1128" s="7"/>
      <c r="QYZ1128" s="7"/>
      <c r="QZA1128" s="7"/>
      <c r="QZB1128" s="7"/>
      <c r="QZC1128" s="7"/>
      <c r="QZD1128" s="7"/>
      <c r="QZE1128" s="7"/>
      <c r="QZF1128" s="7"/>
      <c r="QZG1128" s="7"/>
      <c r="QZH1128" s="7"/>
      <c r="QZI1128" s="7"/>
      <c r="QZJ1128" s="7"/>
      <c r="QZK1128" s="7"/>
      <c r="QZL1128" s="7"/>
      <c r="QZM1128" s="7"/>
      <c r="QZN1128" s="7"/>
      <c r="QZO1128" s="7"/>
      <c r="QZP1128" s="7"/>
      <c r="QZQ1128" s="7"/>
      <c r="QZR1128" s="7"/>
      <c r="QZS1128" s="7"/>
      <c r="QZT1128" s="7"/>
      <c r="QZU1128" s="7"/>
      <c r="QZV1128" s="7"/>
      <c r="QZW1128" s="7"/>
      <c r="QZX1128" s="7"/>
      <c r="QZY1128" s="7"/>
      <c r="QZZ1128" s="7"/>
      <c r="RAA1128" s="7"/>
      <c r="RAB1128" s="7"/>
      <c r="RAC1128" s="7"/>
      <c r="RAD1128" s="7"/>
      <c r="RAE1128" s="7"/>
      <c r="RAF1128" s="7"/>
      <c r="RAG1128" s="7"/>
      <c r="RAH1128" s="7"/>
      <c r="RAI1128" s="7"/>
      <c r="RAJ1128" s="7"/>
      <c r="RAK1128" s="7"/>
      <c r="RAL1128" s="7"/>
      <c r="RAM1128" s="7"/>
      <c r="RAN1128" s="7"/>
      <c r="RAO1128" s="7"/>
      <c r="RAP1128" s="7"/>
      <c r="RAQ1128" s="7"/>
      <c r="RAR1128" s="7"/>
      <c r="RAS1128" s="7"/>
      <c r="RAT1128" s="7"/>
      <c r="RAU1128" s="7"/>
      <c r="RAV1128" s="7"/>
      <c r="RAW1128" s="7"/>
      <c r="RAX1128" s="7"/>
      <c r="RAY1128" s="7"/>
      <c r="RAZ1128" s="7"/>
      <c r="RBA1128" s="7"/>
      <c r="RBB1128" s="7"/>
      <c r="RBC1128" s="7"/>
      <c r="RBD1128" s="7"/>
      <c r="RBE1128" s="7"/>
      <c r="RBF1128" s="7"/>
      <c r="RBG1128" s="7"/>
      <c r="RBH1128" s="7"/>
      <c r="RBI1128" s="7"/>
      <c r="RBJ1128" s="7"/>
      <c r="RBK1128" s="7"/>
      <c r="RBL1128" s="7"/>
      <c r="RBM1128" s="7"/>
      <c r="RBN1128" s="7"/>
      <c r="RBO1128" s="7"/>
      <c r="RBP1128" s="7"/>
      <c r="RBQ1128" s="7"/>
      <c r="RBR1128" s="7"/>
      <c r="RBS1128" s="7"/>
      <c r="RBT1128" s="7"/>
      <c r="RBU1128" s="7"/>
      <c r="RBV1128" s="7"/>
      <c r="RBW1128" s="7"/>
      <c r="RBX1128" s="7"/>
      <c r="RBY1128" s="7"/>
      <c r="RBZ1128" s="7"/>
      <c r="RCA1128" s="7"/>
      <c r="RCB1128" s="7"/>
      <c r="RCC1128" s="7"/>
      <c r="RCD1128" s="7"/>
      <c r="RCE1128" s="7"/>
      <c r="RCF1128" s="7"/>
      <c r="RCG1128" s="7"/>
      <c r="RCH1128" s="7"/>
      <c r="RCI1128" s="7"/>
      <c r="RCJ1128" s="7"/>
      <c r="RCK1128" s="7"/>
      <c r="RCL1128" s="7"/>
      <c r="RCM1128" s="7"/>
      <c r="RCN1128" s="7"/>
      <c r="RCO1128" s="7"/>
      <c r="RCP1128" s="7"/>
      <c r="RCQ1128" s="7"/>
      <c r="RCR1128" s="7"/>
      <c r="RCS1128" s="7"/>
      <c r="RCT1128" s="7"/>
      <c r="RCU1128" s="7"/>
      <c r="RCV1128" s="7"/>
      <c r="RCW1128" s="7"/>
      <c r="RCX1128" s="7"/>
      <c r="RCY1128" s="7"/>
      <c r="RCZ1128" s="7"/>
      <c r="RDA1128" s="7"/>
      <c r="RDB1128" s="7"/>
      <c r="RDC1128" s="7"/>
      <c r="RDD1128" s="7"/>
      <c r="RDE1128" s="7"/>
      <c r="RDF1128" s="7"/>
      <c r="RDG1128" s="7"/>
      <c r="RDH1128" s="7"/>
      <c r="RDI1128" s="7"/>
      <c r="RDJ1128" s="7"/>
      <c r="RDK1128" s="7"/>
      <c r="RDL1128" s="7"/>
      <c r="RDM1128" s="7"/>
      <c r="RDN1128" s="7"/>
      <c r="RDO1128" s="7"/>
      <c r="RDP1128" s="7"/>
      <c r="RDQ1128" s="7"/>
      <c r="RDR1128" s="7"/>
      <c r="RDS1128" s="7"/>
      <c r="RDT1128" s="7"/>
      <c r="RDU1128" s="7"/>
      <c r="RDV1128" s="7"/>
      <c r="RDW1128" s="7"/>
      <c r="RDX1128" s="7"/>
      <c r="RDY1128" s="7"/>
      <c r="RDZ1128" s="7"/>
      <c r="REA1128" s="7"/>
      <c r="REB1128" s="7"/>
      <c r="REC1128" s="7"/>
      <c r="RED1128" s="7"/>
      <c r="REE1128" s="7"/>
      <c r="REF1128" s="7"/>
      <c r="REG1128" s="7"/>
      <c r="REH1128" s="7"/>
      <c r="REI1128" s="7"/>
      <c r="REJ1128" s="7"/>
      <c r="REK1128" s="7"/>
      <c r="REL1128" s="7"/>
      <c r="REM1128" s="7"/>
      <c r="REN1128" s="7"/>
      <c r="REO1128" s="7"/>
      <c r="REP1128" s="7"/>
      <c r="REQ1128" s="7"/>
      <c r="RER1128" s="7"/>
      <c r="RES1128" s="7"/>
      <c r="RET1128" s="7"/>
      <c r="REU1128" s="7"/>
      <c r="REV1128" s="7"/>
      <c r="REW1128" s="7"/>
      <c r="REX1128" s="7"/>
      <c r="REY1128" s="7"/>
      <c r="REZ1128" s="7"/>
      <c r="RFA1128" s="7"/>
      <c r="RFB1128" s="7"/>
      <c r="RFC1128" s="7"/>
      <c r="RFD1128" s="7"/>
      <c r="RFE1128" s="7"/>
      <c r="RFF1128" s="7"/>
      <c r="RFG1128" s="7"/>
      <c r="RFH1128" s="7"/>
      <c r="RFI1128" s="7"/>
      <c r="RFJ1128" s="7"/>
      <c r="RFK1128" s="7"/>
      <c r="RFL1128" s="7"/>
      <c r="RFM1128" s="7"/>
      <c r="RFN1128" s="7"/>
      <c r="RFO1128" s="7"/>
      <c r="RFP1128" s="7"/>
      <c r="RFQ1128" s="7"/>
      <c r="RFR1128" s="7"/>
      <c r="RFS1128" s="7"/>
      <c r="RFT1128" s="7"/>
      <c r="RFU1128" s="7"/>
      <c r="RFV1128" s="7"/>
      <c r="RFW1128" s="7"/>
      <c r="RFX1128" s="7"/>
      <c r="RFY1128" s="7"/>
      <c r="RFZ1128" s="7"/>
      <c r="RGA1128" s="7"/>
      <c r="RGB1128" s="7"/>
      <c r="RGC1128" s="7"/>
      <c r="RGD1128" s="7"/>
      <c r="RGE1128" s="7"/>
      <c r="RGF1128" s="7"/>
      <c r="RGG1128" s="7"/>
      <c r="RGH1128" s="7"/>
      <c r="RGI1128" s="7"/>
      <c r="RGJ1128" s="7"/>
      <c r="RGK1128" s="7"/>
      <c r="RGL1128" s="7"/>
      <c r="RGM1128" s="7"/>
      <c r="RGN1128" s="7"/>
      <c r="RGO1128" s="7"/>
      <c r="RGP1128" s="7"/>
      <c r="RGQ1128" s="7"/>
      <c r="RGR1128" s="7"/>
      <c r="RGS1128" s="7"/>
      <c r="RGT1128" s="7"/>
      <c r="RGU1128" s="7"/>
      <c r="RGV1128" s="7"/>
      <c r="RGW1128" s="7"/>
      <c r="RGX1128" s="7"/>
      <c r="RGY1128" s="7"/>
      <c r="RGZ1128" s="7"/>
      <c r="RHA1128" s="7"/>
      <c r="RHB1128" s="7"/>
      <c r="RHC1128" s="7"/>
      <c r="RHD1128" s="7"/>
      <c r="RHE1128" s="7"/>
      <c r="RHF1128" s="7"/>
      <c r="RHG1128" s="7"/>
      <c r="RHH1128" s="7"/>
      <c r="RHI1128" s="7"/>
      <c r="RHJ1128" s="7"/>
      <c r="RHK1128" s="7"/>
      <c r="RHL1128" s="7"/>
      <c r="RHM1128" s="7"/>
      <c r="RHN1128" s="7"/>
      <c r="RHO1128" s="7"/>
      <c r="RHP1128" s="7"/>
      <c r="RHQ1128" s="7"/>
      <c r="RHR1128" s="7"/>
      <c r="RHS1128" s="7"/>
      <c r="RHT1128" s="7"/>
      <c r="RHU1128" s="7"/>
      <c r="RHV1128" s="7"/>
      <c r="RHW1128" s="7"/>
      <c r="RHX1128" s="7"/>
      <c r="RHY1128" s="7"/>
      <c r="RHZ1128" s="7"/>
      <c r="RIA1128" s="7"/>
      <c r="RIB1128" s="7"/>
      <c r="RIC1128" s="7"/>
      <c r="RID1128" s="7"/>
      <c r="RIE1128" s="7"/>
      <c r="RIF1128" s="7"/>
      <c r="RIG1128" s="7"/>
      <c r="RIH1128" s="7"/>
      <c r="RII1128" s="7"/>
      <c r="RIJ1128" s="7"/>
      <c r="RIK1128" s="7"/>
      <c r="RIL1128" s="7"/>
      <c r="RIM1128" s="7"/>
      <c r="RIN1128" s="7"/>
      <c r="RIO1128" s="7"/>
      <c r="RIP1128" s="7"/>
      <c r="RIQ1128" s="7"/>
      <c r="RIR1128" s="7"/>
      <c r="RIS1128" s="7"/>
      <c r="RIT1128" s="7"/>
      <c r="RIU1128" s="7"/>
      <c r="RIV1128" s="7"/>
      <c r="RIW1128" s="7"/>
      <c r="RIX1128" s="7"/>
      <c r="RIY1128" s="7"/>
      <c r="RIZ1128" s="7"/>
      <c r="RJA1128" s="7"/>
      <c r="RJB1128" s="7"/>
      <c r="RJC1128" s="7"/>
      <c r="RJD1128" s="7"/>
      <c r="RJE1128" s="7"/>
      <c r="RJF1128" s="7"/>
      <c r="RJG1128" s="7"/>
      <c r="RJH1128" s="7"/>
      <c r="RJI1128" s="7"/>
      <c r="RJJ1128" s="7"/>
      <c r="RJK1128" s="7"/>
      <c r="RJL1128" s="7"/>
      <c r="RJM1128" s="7"/>
      <c r="RJN1128" s="7"/>
      <c r="RJO1128" s="7"/>
      <c r="RJP1128" s="7"/>
      <c r="RJQ1128" s="7"/>
      <c r="RJR1128" s="7"/>
      <c r="RJS1128" s="7"/>
      <c r="RJT1128" s="7"/>
      <c r="RJU1128" s="7"/>
      <c r="RJV1128" s="7"/>
      <c r="RJW1128" s="7"/>
      <c r="RJX1128" s="7"/>
      <c r="RJY1128" s="7"/>
      <c r="RJZ1128" s="7"/>
      <c r="RKA1128" s="7"/>
      <c r="RKB1128" s="7"/>
      <c r="RKC1128" s="7"/>
      <c r="RKD1128" s="7"/>
      <c r="RKE1128" s="7"/>
      <c r="RKF1128" s="7"/>
      <c r="RKG1128" s="7"/>
      <c r="RKH1128" s="7"/>
      <c r="RKI1128" s="7"/>
      <c r="RKJ1128" s="7"/>
      <c r="RKK1128" s="7"/>
      <c r="RKL1128" s="7"/>
      <c r="RKM1128" s="7"/>
      <c r="RKN1128" s="7"/>
      <c r="RKO1128" s="7"/>
      <c r="RKP1128" s="7"/>
      <c r="RKQ1128" s="7"/>
      <c r="RKR1128" s="7"/>
      <c r="RKS1128" s="7"/>
      <c r="RKT1128" s="7"/>
      <c r="RKU1128" s="7"/>
      <c r="RKV1128" s="7"/>
      <c r="RKW1128" s="7"/>
      <c r="RKX1128" s="7"/>
      <c r="RKY1128" s="7"/>
      <c r="RKZ1128" s="7"/>
      <c r="RLA1128" s="7"/>
      <c r="RLB1128" s="7"/>
      <c r="RLC1128" s="7"/>
      <c r="RLD1128" s="7"/>
      <c r="RLE1128" s="7"/>
      <c r="RLF1128" s="7"/>
      <c r="RLG1128" s="7"/>
      <c r="RLH1128" s="7"/>
      <c r="RLI1128" s="7"/>
      <c r="RLJ1128" s="7"/>
      <c r="RLK1128" s="7"/>
      <c r="RLL1128" s="7"/>
      <c r="RLM1128" s="7"/>
      <c r="RLN1128" s="7"/>
      <c r="RLO1128" s="7"/>
      <c r="RLP1128" s="7"/>
      <c r="RLQ1128" s="7"/>
      <c r="RLR1128" s="7"/>
      <c r="RLS1128" s="7"/>
      <c r="RLT1128" s="7"/>
      <c r="RLU1128" s="7"/>
      <c r="RLV1128" s="7"/>
      <c r="RLW1128" s="7"/>
      <c r="RLX1128" s="7"/>
      <c r="RLY1128" s="7"/>
      <c r="RLZ1128" s="7"/>
      <c r="RMA1128" s="7"/>
      <c r="RMB1128" s="7"/>
      <c r="RMC1128" s="7"/>
      <c r="RMD1128" s="7"/>
      <c r="RME1128" s="7"/>
      <c r="RMF1128" s="7"/>
      <c r="RMG1128" s="7"/>
      <c r="RMH1128" s="7"/>
      <c r="RMI1128" s="7"/>
      <c r="RMJ1128" s="7"/>
      <c r="RMK1128" s="7"/>
      <c r="RML1128" s="7"/>
      <c r="RMM1128" s="7"/>
      <c r="RMN1128" s="7"/>
      <c r="RMO1128" s="7"/>
      <c r="RMP1128" s="7"/>
      <c r="RMQ1128" s="7"/>
      <c r="RMR1128" s="7"/>
      <c r="RMS1128" s="7"/>
      <c r="RMT1128" s="7"/>
      <c r="RMU1128" s="7"/>
      <c r="RMV1128" s="7"/>
      <c r="RMW1128" s="7"/>
      <c r="RMX1128" s="7"/>
      <c r="RMY1128" s="7"/>
      <c r="RMZ1128" s="7"/>
      <c r="RNA1128" s="7"/>
      <c r="RNB1128" s="7"/>
      <c r="RNC1128" s="7"/>
      <c r="RND1128" s="7"/>
      <c r="RNE1128" s="7"/>
      <c r="RNF1128" s="7"/>
      <c r="RNG1128" s="7"/>
      <c r="RNH1128" s="7"/>
      <c r="RNI1128" s="7"/>
      <c r="RNJ1128" s="7"/>
      <c r="RNK1128" s="7"/>
      <c r="RNL1128" s="7"/>
      <c r="RNM1128" s="7"/>
      <c r="RNN1128" s="7"/>
      <c r="RNO1128" s="7"/>
      <c r="RNP1128" s="7"/>
      <c r="RNQ1128" s="7"/>
      <c r="RNR1128" s="7"/>
      <c r="RNS1128" s="7"/>
      <c r="RNT1128" s="7"/>
      <c r="RNU1128" s="7"/>
      <c r="RNV1128" s="7"/>
      <c r="RNW1128" s="7"/>
      <c r="RNX1128" s="7"/>
      <c r="RNY1128" s="7"/>
      <c r="RNZ1128" s="7"/>
      <c r="ROA1128" s="7"/>
      <c r="ROB1128" s="7"/>
      <c r="ROC1128" s="7"/>
      <c r="ROD1128" s="7"/>
      <c r="ROE1128" s="7"/>
      <c r="ROF1128" s="7"/>
      <c r="ROG1128" s="7"/>
      <c r="ROH1128" s="7"/>
      <c r="ROI1128" s="7"/>
      <c r="ROJ1128" s="7"/>
      <c r="ROK1128" s="7"/>
      <c r="ROL1128" s="7"/>
      <c r="ROM1128" s="7"/>
      <c r="RON1128" s="7"/>
      <c r="ROO1128" s="7"/>
      <c r="ROP1128" s="7"/>
      <c r="ROQ1128" s="7"/>
      <c r="ROR1128" s="7"/>
      <c r="ROS1128" s="7"/>
      <c r="ROT1128" s="7"/>
      <c r="ROU1128" s="7"/>
      <c r="ROV1128" s="7"/>
      <c r="ROW1128" s="7"/>
      <c r="ROX1128" s="7"/>
      <c r="ROY1128" s="7"/>
      <c r="ROZ1128" s="7"/>
      <c r="RPA1128" s="7"/>
      <c r="RPB1128" s="7"/>
      <c r="RPC1128" s="7"/>
      <c r="RPD1128" s="7"/>
      <c r="RPE1128" s="7"/>
      <c r="RPF1128" s="7"/>
      <c r="RPG1128" s="7"/>
      <c r="RPH1128" s="7"/>
      <c r="RPI1128" s="7"/>
      <c r="RPJ1128" s="7"/>
      <c r="RPK1128" s="7"/>
      <c r="RPL1128" s="7"/>
      <c r="RPM1128" s="7"/>
      <c r="RPN1128" s="7"/>
      <c r="RPO1128" s="7"/>
      <c r="RPP1128" s="7"/>
      <c r="RPQ1128" s="7"/>
      <c r="RPR1128" s="7"/>
      <c r="RPS1128" s="7"/>
      <c r="RPT1128" s="7"/>
      <c r="RPU1128" s="7"/>
      <c r="RPV1128" s="7"/>
      <c r="RPW1128" s="7"/>
      <c r="RPX1128" s="7"/>
      <c r="RPY1128" s="7"/>
      <c r="RPZ1128" s="7"/>
      <c r="RQA1128" s="7"/>
      <c r="RQB1128" s="7"/>
      <c r="RQC1128" s="7"/>
      <c r="RQD1128" s="7"/>
      <c r="RQE1128" s="7"/>
      <c r="RQF1128" s="7"/>
      <c r="RQG1128" s="7"/>
      <c r="RQH1128" s="7"/>
      <c r="RQI1128" s="7"/>
      <c r="RQJ1128" s="7"/>
      <c r="RQK1128" s="7"/>
      <c r="RQL1128" s="7"/>
      <c r="RQM1128" s="7"/>
      <c r="RQN1128" s="7"/>
      <c r="RQO1128" s="7"/>
      <c r="RQP1128" s="7"/>
      <c r="RQQ1128" s="7"/>
      <c r="RQR1128" s="7"/>
      <c r="RQS1128" s="7"/>
      <c r="RQT1128" s="7"/>
      <c r="RQU1128" s="7"/>
      <c r="RQV1128" s="7"/>
      <c r="RQW1128" s="7"/>
      <c r="RQX1128" s="7"/>
      <c r="RQY1128" s="7"/>
      <c r="RQZ1128" s="7"/>
      <c r="RRA1128" s="7"/>
      <c r="RRB1128" s="7"/>
      <c r="RRC1128" s="7"/>
      <c r="RRD1128" s="7"/>
      <c r="RRE1128" s="7"/>
      <c r="RRF1128" s="7"/>
      <c r="RRG1128" s="7"/>
      <c r="RRH1128" s="7"/>
      <c r="RRI1128" s="7"/>
      <c r="RRJ1128" s="7"/>
      <c r="RRK1128" s="7"/>
      <c r="RRL1128" s="7"/>
      <c r="RRM1128" s="7"/>
      <c r="RRN1128" s="7"/>
      <c r="RRO1128" s="7"/>
      <c r="RRP1128" s="7"/>
      <c r="RRQ1128" s="7"/>
      <c r="RRR1128" s="7"/>
      <c r="RRS1128" s="7"/>
      <c r="RRT1128" s="7"/>
      <c r="RRU1128" s="7"/>
      <c r="RRV1128" s="7"/>
      <c r="RRW1128" s="7"/>
      <c r="RRX1128" s="7"/>
      <c r="RRY1128" s="7"/>
      <c r="RRZ1128" s="7"/>
      <c r="RSA1128" s="7"/>
      <c r="RSB1128" s="7"/>
      <c r="RSC1128" s="7"/>
      <c r="RSD1128" s="7"/>
      <c r="RSE1128" s="7"/>
      <c r="RSF1128" s="7"/>
      <c r="RSG1128" s="7"/>
      <c r="RSH1128" s="7"/>
      <c r="RSI1128" s="7"/>
      <c r="RSJ1128" s="7"/>
      <c r="RSK1128" s="7"/>
      <c r="RSL1128" s="7"/>
      <c r="RSM1128" s="7"/>
      <c r="RSN1128" s="7"/>
      <c r="RSO1128" s="7"/>
      <c r="RSP1128" s="7"/>
      <c r="RSQ1128" s="7"/>
      <c r="RSR1128" s="7"/>
      <c r="RSS1128" s="7"/>
      <c r="RST1128" s="7"/>
      <c r="RSU1128" s="7"/>
      <c r="RSV1128" s="7"/>
      <c r="RSW1128" s="7"/>
      <c r="RSX1128" s="7"/>
      <c r="RSY1128" s="7"/>
      <c r="RSZ1128" s="7"/>
      <c r="RTA1128" s="7"/>
      <c r="RTB1128" s="7"/>
      <c r="RTC1128" s="7"/>
      <c r="RTD1128" s="7"/>
      <c r="RTE1128" s="7"/>
      <c r="RTF1128" s="7"/>
      <c r="RTG1128" s="7"/>
      <c r="RTH1128" s="7"/>
      <c r="RTI1128" s="7"/>
      <c r="RTJ1128" s="7"/>
      <c r="RTK1128" s="7"/>
      <c r="RTL1128" s="7"/>
      <c r="RTM1128" s="7"/>
      <c r="RTN1128" s="7"/>
      <c r="RTO1128" s="7"/>
      <c r="RTP1128" s="7"/>
      <c r="RTQ1128" s="7"/>
      <c r="RTR1128" s="7"/>
      <c r="RTS1128" s="7"/>
      <c r="RTT1128" s="7"/>
      <c r="RTU1128" s="7"/>
      <c r="RTV1128" s="7"/>
      <c r="RTW1128" s="7"/>
      <c r="RTX1128" s="7"/>
      <c r="RTY1128" s="7"/>
      <c r="RTZ1128" s="7"/>
      <c r="RUA1128" s="7"/>
      <c r="RUB1128" s="7"/>
      <c r="RUC1128" s="7"/>
      <c r="RUD1128" s="7"/>
      <c r="RUE1128" s="7"/>
      <c r="RUF1128" s="7"/>
      <c r="RUG1128" s="7"/>
      <c r="RUH1128" s="7"/>
      <c r="RUI1128" s="7"/>
      <c r="RUJ1128" s="7"/>
      <c r="RUK1128" s="7"/>
      <c r="RUL1128" s="7"/>
      <c r="RUM1128" s="7"/>
      <c r="RUN1128" s="7"/>
      <c r="RUO1128" s="7"/>
      <c r="RUP1128" s="7"/>
      <c r="RUQ1128" s="7"/>
      <c r="RUR1128" s="7"/>
      <c r="RUS1128" s="7"/>
      <c r="RUT1128" s="7"/>
      <c r="RUU1128" s="7"/>
      <c r="RUV1128" s="7"/>
      <c r="RUW1128" s="7"/>
      <c r="RUX1128" s="7"/>
      <c r="RUY1128" s="7"/>
      <c r="RUZ1128" s="7"/>
      <c r="RVA1128" s="7"/>
      <c r="RVB1128" s="7"/>
      <c r="RVC1128" s="7"/>
      <c r="RVD1128" s="7"/>
      <c r="RVE1128" s="7"/>
      <c r="RVF1128" s="7"/>
      <c r="RVG1128" s="7"/>
      <c r="RVH1128" s="7"/>
      <c r="RVI1128" s="7"/>
      <c r="RVJ1128" s="7"/>
      <c r="RVK1128" s="7"/>
      <c r="RVL1128" s="7"/>
      <c r="RVM1128" s="7"/>
      <c r="RVN1128" s="7"/>
      <c r="RVO1128" s="7"/>
      <c r="RVP1128" s="7"/>
      <c r="RVQ1128" s="7"/>
      <c r="RVR1128" s="7"/>
      <c r="RVS1128" s="7"/>
      <c r="RVT1128" s="7"/>
      <c r="RVU1128" s="7"/>
      <c r="RVV1128" s="7"/>
      <c r="RVW1128" s="7"/>
      <c r="RVX1128" s="7"/>
      <c r="RVY1128" s="7"/>
      <c r="RVZ1128" s="7"/>
      <c r="RWA1128" s="7"/>
      <c r="RWB1128" s="7"/>
      <c r="RWC1128" s="7"/>
      <c r="RWD1128" s="7"/>
      <c r="RWE1128" s="7"/>
      <c r="RWF1128" s="7"/>
      <c r="RWG1128" s="7"/>
      <c r="RWH1128" s="7"/>
      <c r="RWI1128" s="7"/>
      <c r="RWJ1128" s="7"/>
      <c r="RWK1128" s="7"/>
      <c r="RWL1128" s="7"/>
      <c r="RWM1128" s="7"/>
      <c r="RWN1128" s="7"/>
      <c r="RWO1128" s="7"/>
      <c r="RWP1128" s="7"/>
      <c r="RWQ1128" s="7"/>
      <c r="RWR1128" s="7"/>
      <c r="RWS1128" s="7"/>
      <c r="RWT1128" s="7"/>
      <c r="RWU1128" s="7"/>
      <c r="RWV1128" s="7"/>
      <c r="RWW1128" s="7"/>
      <c r="RWX1128" s="7"/>
      <c r="RWY1128" s="7"/>
      <c r="RWZ1128" s="7"/>
      <c r="RXA1128" s="7"/>
      <c r="RXB1128" s="7"/>
      <c r="RXC1128" s="7"/>
      <c r="RXD1128" s="7"/>
      <c r="RXE1128" s="7"/>
      <c r="RXF1128" s="7"/>
      <c r="RXG1128" s="7"/>
      <c r="RXH1128" s="7"/>
      <c r="RXI1128" s="7"/>
      <c r="RXJ1128" s="7"/>
      <c r="RXK1128" s="7"/>
      <c r="RXL1128" s="7"/>
      <c r="RXM1128" s="7"/>
      <c r="RXN1128" s="7"/>
      <c r="RXO1128" s="7"/>
      <c r="RXP1128" s="7"/>
      <c r="RXQ1128" s="7"/>
      <c r="RXR1128" s="7"/>
      <c r="RXS1128" s="7"/>
      <c r="RXT1128" s="7"/>
      <c r="RXU1128" s="7"/>
      <c r="RXV1128" s="7"/>
      <c r="RXW1128" s="7"/>
      <c r="RXX1128" s="7"/>
      <c r="RXY1128" s="7"/>
      <c r="RXZ1128" s="7"/>
      <c r="RYA1128" s="7"/>
      <c r="RYB1128" s="7"/>
      <c r="RYC1128" s="7"/>
      <c r="RYD1128" s="7"/>
      <c r="RYE1128" s="7"/>
      <c r="RYF1128" s="7"/>
      <c r="RYG1128" s="7"/>
      <c r="RYH1128" s="7"/>
      <c r="RYI1128" s="7"/>
      <c r="RYJ1128" s="7"/>
      <c r="RYK1128" s="7"/>
      <c r="RYL1128" s="7"/>
      <c r="RYM1128" s="7"/>
      <c r="RYN1128" s="7"/>
      <c r="RYO1128" s="7"/>
      <c r="RYP1128" s="7"/>
      <c r="RYQ1128" s="7"/>
      <c r="RYR1128" s="7"/>
      <c r="RYS1128" s="7"/>
      <c r="RYT1128" s="7"/>
      <c r="RYU1128" s="7"/>
      <c r="RYV1128" s="7"/>
      <c r="RYW1128" s="7"/>
      <c r="RYX1128" s="7"/>
      <c r="RYY1128" s="7"/>
      <c r="RYZ1128" s="7"/>
      <c r="RZA1128" s="7"/>
      <c r="RZB1128" s="7"/>
      <c r="RZC1128" s="7"/>
      <c r="RZD1128" s="7"/>
      <c r="RZE1128" s="7"/>
      <c r="RZF1128" s="7"/>
      <c r="RZG1128" s="7"/>
      <c r="RZH1128" s="7"/>
      <c r="RZI1128" s="7"/>
      <c r="RZJ1128" s="7"/>
      <c r="RZK1128" s="7"/>
      <c r="RZL1128" s="7"/>
      <c r="RZM1128" s="7"/>
      <c r="RZN1128" s="7"/>
      <c r="RZO1128" s="7"/>
      <c r="RZP1128" s="7"/>
      <c r="RZQ1128" s="7"/>
      <c r="RZR1128" s="7"/>
      <c r="RZS1128" s="7"/>
      <c r="RZT1128" s="7"/>
      <c r="RZU1128" s="7"/>
      <c r="RZV1128" s="7"/>
      <c r="RZW1128" s="7"/>
      <c r="RZX1128" s="7"/>
      <c r="RZY1128" s="7"/>
      <c r="RZZ1128" s="7"/>
      <c r="SAA1128" s="7"/>
      <c r="SAB1128" s="7"/>
      <c r="SAC1128" s="7"/>
      <c r="SAD1128" s="7"/>
      <c r="SAE1128" s="7"/>
      <c r="SAF1128" s="7"/>
      <c r="SAG1128" s="7"/>
      <c r="SAH1128" s="7"/>
      <c r="SAI1128" s="7"/>
      <c r="SAJ1128" s="7"/>
      <c r="SAK1128" s="7"/>
      <c r="SAL1128" s="7"/>
      <c r="SAM1128" s="7"/>
      <c r="SAN1128" s="7"/>
      <c r="SAO1128" s="7"/>
      <c r="SAP1128" s="7"/>
      <c r="SAQ1128" s="7"/>
      <c r="SAR1128" s="7"/>
      <c r="SAS1128" s="7"/>
      <c r="SAT1128" s="7"/>
      <c r="SAU1128" s="7"/>
      <c r="SAV1128" s="7"/>
      <c r="SAW1128" s="7"/>
      <c r="SAX1128" s="7"/>
      <c r="SAY1128" s="7"/>
      <c r="SAZ1128" s="7"/>
      <c r="SBA1128" s="7"/>
      <c r="SBB1128" s="7"/>
      <c r="SBC1128" s="7"/>
      <c r="SBD1128" s="7"/>
      <c r="SBE1128" s="7"/>
      <c r="SBF1128" s="7"/>
      <c r="SBG1128" s="7"/>
      <c r="SBH1128" s="7"/>
      <c r="SBI1128" s="7"/>
      <c r="SBJ1128" s="7"/>
      <c r="SBK1128" s="7"/>
      <c r="SBL1128" s="7"/>
      <c r="SBM1128" s="7"/>
      <c r="SBN1128" s="7"/>
      <c r="SBO1128" s="7"/>
      <c r="SBP1128" s="7"/>
      <c r="SBQ1128" s="7"/>
      <c r="SBR1128" s="7"/>
      <c r="SBS1128" s="7"/>
      <c r="SBT1128" s="7"/>
      <c r="SBU1128" s="7"/>
      <c r="SBV1128" s="7"/>
      <c r="SBW1128" s="7"/>
      <c r="SBX1128" s="7"/>
      <c r="SBY1128" s="7"/>
      <c r="SBZ1128" s="7"/>
      <c r="SCA1128" s="7"/>
      <c r="SCB1128" s="7"/>
      <c r="SCC1128" s="7"/>
      <c r="SCD1128" s="7"/>
      <c r="SCE1128" s="7"/>
      <c r="SCF1128" s="7"/>
      <c r="SCG1128" s="7"/>
      <c r="SCH1128" s="7"/>
      <c r="SCI1128" s="7"/>
      <c r="SCJ1128" s="7"/>
      <c r="SCK1128" s="7"/>
      <c r="SCL1128" s="7"/>
      <c r="SCM1128" s="7"/>
      <c r="SCN1128" s="7"/>
      <c r="SCO1128" s="7"/>
      <c r="SCP1128" s="7"/>
      <c r="SCQ1128" s="7"/>
      <c r="SCR1128" s="7"/>
      <c r="SCS1128" s="7"/>
      <c r="SCT1128" s="7"/>
      <c r="SCU1128" s="7"/>
      <c r="SCV1128" s="7"/>
      <c r="SCW1128" s="7"/>
      <c r="SCX1128" s="7"/>
      <c r="SCY1128" s="7"/>
      <c r="SCZ1128" s="7"/>
      <c r="SDA1128" s="7"/>
      <c r="SDB1128" s="7"/>
      <c r="SDC1128" s="7"/>
      <c r="SDD1128" s="7"/>
      <c r="SDE1128" s="7"/>
      <c r="SDF1128" s="7"/>
      <c r="SDG1128" s="7"/>
      <c r="SDH1128" s="7"/>
      <c r="SDI1128" s="7"/>
      <c r="SDJ1128" s="7"/>
      <c r="SDK1128" s="7"/>
      <c r="SDL1128" s="7"/>
      <c r="SDM1128" s="7"/>
      <c r="SDN1128" s="7"/>
      <c r="SDO1128" s="7"/>
      <c r="SDP1128" s="7"/>
      <c r="SDQ1128" s="7"/>
      <c r="SDR1128" s="7"/>
      <c r="SDS1128" s="7"/>
      <c r="SDT1128" s="7"/>
      <c r="SDU1128" s="7"/>
      <c r="SDV1128" s="7"/>
      <c r="SDW1128" s="7"/>
      <c r="SDX1128" s="7"/>
      <c r="SDY1128" s="7"/>
      <c r="SDZ1128" s="7"/>
      <c r="SEA1128" s="7"/>
      <c r="SEB1128" s="7"/>
      <c r="SEC1128" s="7"/>
      <c r="SED1128" s="7"/>
      <c r="SEE1128" s="7"/>
      <c r="SEF1128" s="7"/>
      <c r="SEG1128" s="7"/>
      <c r="SEH1128" s="7"/>
      <c r="SEI1128" s="7"/>
      <c r="SEJ1128" s="7"/>
      <c r="SEK1128" s="7"/>
      <c r="SEL1128" s="7"/>
      <c r="SEM1128" s="7"/>
      <c r="SEN1128" s="7"/>
      <c r="SEO1128" s="7"/>
      <c r="SEP1128" s="7"/>
      <c r="SEQ1128" s="7"/>
      <c r="SER1128" s="7"/>
      <c r="SES1128" s="7"/>
      <c r="SET1128" s="7"/>
      <c r="SEU1128" s="7"/>
      <c r="SEV1128" s="7"/>
      <c r="SEW1128" s="7"/>
      <c r="SEX1128" s="7"/>
      <c r="SEY1128" s="7"/>
      <c r="SEZ1128" s="7"/>
      <c r="SFA1128" s="7"/>
      <c r="SFB1128" s="7"/>
      <c r="SFC1128" s="7"/>
      <c r="SFD1128" s="7"/>
      <c r="SFE1128" s="7"/>
      <c r="SFF1128" s="7"/>
      <c r="SFG1128" s="7"/>
      <c r="SFH1128" s="7"/>
      <c r="SFI1128" s="7"/>
      <c r="SFJ1128" s="7"/>
      <c r="SFK1128" s="7"/>
      <c r="SFL1128" s="7"/>
      <c r="SFM1128" s="7"/>
      <c r="SFN1128" s="7"/>
      <c r="SFO1128" s="7"/>
      <c r="SFP1128" s="7"/>
      <c r="SFQ1128" s="7"/>
      <c r="SFR1128" s="7"/>
      <c r="SFS1128" s="7"/>
      <c r="SFT1128" s="7"/>
      <c r="SFU1128" s="7"/>
      <c r="SFV1128" s="7"/>
      <c r="SFW1128" s="7"/>
      <c r="SFX1128" s="7"/>
      <c r="SFY1128" s="7"/>
      <c r="SFZ1128" s="7"/>
      <c r="SGA1128" s="7"/>
      <c r="SGB1128" s="7"/>
      <c r="SGC1128" s="7"/>
      <c r="SGD1128" s="7"/>
      <c r="SGE1128" s="7"/>
      <c r="SGF1128" s="7"/>
      <c r="SGG1128" s="7"/>
      <c r="SGH1128" s="7"/>
      <c r="SGI1128" s="7"/>
      <c r="SGJ1128" s="7"/>
      <c r="SGK1128" s="7"/>
      <c r="SGL1128" s="7"/>
      <c r="SGM1128" s="7"/>
      <c r="SGN1128" s="7"/>
      <c r="SGO1128" s="7"/>
      <c r="SGP1128" s="7"/>
      <c r="SGQ1128" s="7"/>
      <c r="SGR1128" s="7"/>
      <c r="SGS1128" s="7"/>
      <c r="SGT1128" s="7"/>
      <c r="SGU1128" s="7"/>
      <c r="SGV1128" s="7"/>
      <c r="SGW1128" s="7"/>
      <c r="SGX1128" s="7"/>
      <c r="SGY1128" s="7"/>
      <c r="SGZ1128" s="7"/>
      <c r="SHA1128" s="7"/>
      <c r="SHB1128" s="7"/>
      <c r="SHC1128" s="7"/>
      <c r="SHD1128" s="7"/>
      <c r="SHE1128" s="7"/>
      <c r="SHF1128" s="7"/>
      <c r="SHG1128" s="7"/>
      <c r="SHH1128" s="7"/>
      <c r="SHI1128" s="7"/>
      <c r="SHJ1128" s="7"/>
      <c r="SHK1128" s="7"/>
      <c r="SHL1128" s="7"/>
      <c r="SHM1128" s="7"/>
      <c r="SHN1128" s="7"/>
      <c r="SHO1128" s="7"/>
      <c r="SHP1128" s="7"/>
      <c r="SHQ1128" s="7"/>
      <c r="SHR1128" s="7"/>
      <c r="SHS1128" s="7"/>
      <c r="SHT1128" s="7"/>
      <c r="SHU1128" s="7"/>
      <c r="SHV1128" s="7"/>
      <c r="SHW1128" s="7"/>
      <c r="SHX1128" s="7"/>
      <c r="SHY1128" s="7"/>
      <c r="SHZ1128" s="7"/>
      <c r="SIA1128" s="7"/>
      <c r="SIB1128" s="7"/>
      <c r="SIC1128" s="7"/>
      <c r="SID1128" s="7"/>
      <c r="SIE1128" s="7"/>
      <c r="SIF1128" s="7"/>
      <c r="SIG1128" s="7"/>
      <c r="SIH1128" s="7"/>
      <c r="SII1128" s="7"/>
      <c r="SIJ1128" s="7"/>
      <c r="SIK1128" s="7"/>
      <c r="SIL1128" s="7"/>
      <c r="SIM1128" s="7"/>
      <c r="SIN1128" s="7"/>
      <c r="SIO1128" s="7"/>
      <c r="SIP1128" s="7"/>
      <c r="SIQ1128" s="7"/>
      <c r="SIR1128" s="7"/>
      <c r="SIS1128" s="7"/>
      <c r="SIT1128" s="7"/>
      <c r="SIU1128" s="7"/>
      <c r="SIV1128" s="7"/>
      <c r="SIW1128" s="7"/>
      <c r="SIX1128" s="7"/>
      <c r="SIY1128" s="7"/>
      <c r="SIZ1128" s="7"/>
      <c r="SJA1128" s="7"/>
      <c r="SJB1128" s="7"/>
      <c r="SJC1128" s="7"/>
      <c r="SJD1128" s="7"/>
      <c r="SJE1128" s="7"/>
      <c r="SJF1128" s="7"/>
      <c r="SJG1128" s="7"/>
      <c r="SJH1128" s="7"/>
      <c r="SJI1128" s="7"/>
      <c r="SJJ1128" s="7"/>
      <c r="SJK1128" s="7"/>
      <c r="SJL1128" s="7"/>
      <c r="SJM1128" s="7"/>
      <c r="SJN1128" s="7"/>
      <c r="SJO1128" s="7"/>
      <c r="SJP1128" s="7"/>
      <c r="SJQ1128" s="7"/>
      <c r="SJR1128" s="7"/>
      <c r="SJS1128" s="7"/>
      <c r="SJT1128" s="7"/>
      <c r="SJU1128" s="7"/>
      <c r="SJV1128" s="7"/>
      <c r="SJW1128" s="7"/>
      <c r="SJX1128" s="7"/>
      <c r="SJY1128" s="7"/>
      <c r="SJZ1128" s="7"/>
      <c r="SKA1128" s="7"/>
      <c r="SKB1128" s="7"/>
      <c r="SKC1128" s="7"/>
      <c r="SKD1128" s="7"/>
      <c r="SKE1128" s="7"/>
      <c r="SKF1128" s="7"/>
      <c r="SKG1128" s="7"/>
      <c r="SKH1128" s="7"/>
      <c r="SKI1128" s="7"/>
      <c r="SKJ1128" s="7"/>
      <c r="SKK1128" s="7"/>
      <c r="SKL1128" s="7"/>
      <c r="SKM1128" s="7"/>
      <c r="SKN1128" s="7"/>
      <c r="SKO1128" s="7"/>
      <c r="SKP1128" s="7"/>
      <c r="SKQ1128" s="7"/>
      <c r="SKR1128" s="7"/>
      <c r="SKS1128" s="7"/>
      <c r="SKT1128" s="7"/>
      <c r="SKU1128" s="7"/>
      <c r="SKV1128" s="7"/>
      <c r="SKW1128" s="7"/>
      <c r="SKX1128" s="7"/>
      <c r="SKY1128" s="7"/>
      <c r="SKZ1128" s="7"/>
      <c r="SLA1128" s="7"/>
      <c r="SLB1128" s="7"/>
      <c r="SLC1128" s="7"/>
      <c r="SLD1128" s="7"/>
      <c r="SLE1128" s="7"/>
      <c r="SLF1128" s="7"/>
      <c r="SLG1128" s="7"/>
      <c r="SLH1128" s="7"/>
      <c r="SLI1128" s="7"/>
      <c r="SLJ1128" s="7"/>
      <c r="SLK1128" s="7"/>
      <c r="SLL1128" s="7"/>
      <c r="SLM1128" s="7"/>
      <c r="SLN1128" s="7"/>
      <c r="SLO1128" s="7"/>
      <c r="SLP1128" s="7"/>
      <c r="SLQ1128" s="7"/>
      <c r="SLR1128" s="7"/>
      <c r="SLS1128" s="7"/>
      <c r="SLT1128" s="7"/>
      <c r="SLU1128" s="7"/>
      <c r="SLV1128" s="7"/>
      <c r="SLW1128" s="7"/>
      <c r="SLX1128" s="7"/>
      <c r="SLY1128" s="7"/>
      <c r="SLZ1128" s="7"/>
      <c r="SMA1128" s="7"/>
      <c r="SMB1128" s="7"/>
      <c r="SMC1128" s="7"/>
      <c r="SMD1128" s="7"/>
      <c r="SME1128" s="7"/>
      <c r="SMF1128" s="7"/>
      <c r="SMG1128" s="7"/>
      <c r="SMH1128" s="7"/>
      <c r="SMI1128" s="7"/>
      <c r="SMJ1128" s="7"/>
      <c r="SMK1128" s="7"/>
      <c r="SML1128" s="7"/>
      <c r="SMM1128" s="7"/>
      <c r="SMN1128" s="7"/>
      <c r="SMO1128" s="7"/>
      <c r="SMP1128" s="7"/>
      <c r="SMQ1128" s="7"/>
      <c r="SMR1128" s="7"/>
      <c r="SMS1128" s="7"/>
      <c r="SMT1128" s="7"/>
      <c r="SMU1128" s="7"/>
      <c r="SMV1128" s="7"/>
      <c r="SMW1128" s="7"/>
      <c r="SMX1128" s="7"/>
      <c r="SMY1128" s="7"/>
      <c r="SMZ1128" s="7"/>
      <c r="SNA1128" s="7"/>
      <c r="SNB1128" s="7"/>
      <c r="SNC1128" s="7"/>
      <c r="SND1128" s="7"/>
      <c r="SNE1128" s="7"/>
      <c r="SNF1128" s="7"/>
      <c r="SNG1128" s="7"/>
      <c r="SNH1128" s="7"/>
      <c r="SNI1128" s="7"/>
      <c r="SNJ1128" s="7"/>
      <c r="SNK1128" s="7"/>
      <c r="SNL1128" s="7"/>
      <c r="SNM1128" s="7"/>
      <c r="SNN1128" s="7"/>
      <c r="SNO1128" s="7"/>
      <c r="SNP1128" s="7"/>
      <c r="SNQ1128" s="7"/>
      <c r="SNR1128" s="7"/>
      <c r="SNS1128" s="7"/>
      <c r="SNT1128" s="7"/>
      <c r="SNU1128" s="7"/>
      <c r="SNV1128" s="7"/>
      <c r="SNW1128" s="7"/>
      <c r="SNX1128" s="7"/>
      <c r="SNY1128" s="7"/>
      <c r="SNZ1128" s="7"/>
      <c r="SOA1128" s="7"/>
      <c r="SOB1128" s="7"/>
      <c r="SOC1128" s="7"/>
      <c r="SOD1128" s="7"/>
      <c r="SOE1128" s="7"/>
      <c r="SOF1128" s="7"/>
      <c r="SOG1128" s="7"/>
      <c r="SOH1128" s="7"/>
      <c r="SOI1128" s="7"/>
      <c r="SOJ1128" s="7"/>
      <c r="SOK1128" s="7"/>
      <c r="SOL1128" s="7"/>
      <c r="SOM1128" s="7"/>
      <c r="SON1128" s="7"/>
      <c r="SOO1128" s="7"/>
      <c r="SOP1128" s="7"/>
      <c r="SOQ1128" s="7"/>
      <c r="SOR1128" s="7"/>
      <c r="SOS1128" s="7"/>
      <c r="SOT1128" s="7"/>
      <c r="SOU1128" s="7"/>
      <c r="SOV1128" s="7"/>
      <c r="SOW1128" s="7"/>
      <c r="SOX1128" s="7"/>
      <c r="SOY1128" s="7"/>
      <c r="SOZ1128" s="7"/>
      <c r="SPA1128" s="7"/>
      <c r="SPB1128" s="7"/>
      <c r="SPC1128" s="7"/>
      <c r="SPD1128" s="7"/>
      <c r="SPE1128" s="7"/>
      <c r="SPF1128" s="7"/>
      <c r="SPG1128" s="7"/>
      <c r="SPH1128" s="7"/>
      <c r="SPI1128" s="7"/>
      <c r="SPJ1128" s="7"/>
      <c r="SPK1128" s="7"/>
      <c r="SPL1128" s="7"/>
      <c r="SPM1128" s="7"/>
      <c r="SPN1128" s="7"/>
      <c r="SPO1128" s="7"/>
      <c r="SPP1128" s="7"/>
      <c r="SPQ1128" s="7"/>
      <c r="SPR1128" s="7"/>
      <c r="SPS1128" s="7"/>
      <c r="SPT1128" s="7"/>
      <c r="SPU1128" s="7"/>
      <c r="SPV1128" s="7"/>
      <c r="SPW1128" s="7"/>
      <c r="SPX1128" s="7"/>
      <c r="SPY1128" s="7"/>
      <c r="SPZ1128" s="7"/>
      <c r="SQA1128" s="7"/>
      <c r="SQB1128" s="7"/>
      <c r="SQC1128" s="7"/>
      <c r="SQD1128" s="7"/>
      <c r="SQE1128" s="7"/>
      <c r="SQF1128" s="7"/>
      <c r="SQG1128" s="7"/>
      <c r="SQH1128" s="7"/>
      <c r="SQI1128" s="7"/>
      <c r="SQJ1128" s="7"/>
      <c r="SQK1128" s="7"/>
      <c r="SQL1128" s="7"/>
      <c r="SQM1128" s="7"/>
      <c r="SQN1128" s="7"/>
      <c r="SQO1128" s="7"/>
      <c r="SQP1128" s="7"/>
      <c r="SQQ1128" s="7"/>
      <c r="SQR1128" s="7"/>
      <c r="SQS1128" s="7"/>
      <c r="SQT1128" s="7"/>
      <c r="SQU1128" s="7"/>
      <c r="SQV1128" s="7"/>
      <c r="SQW1128" s="7"/>
      <c r="SQX1128" s="7"/>
      <c r="SQY1128" s="7"/>
      <c r="SQZ1128" s="7"/>
      <c r="SRA1128" s="7"/>
      <c r="SRB1128" s="7"/>
      <c r="SRC1128" s="7"/>
      <c r="SRD1128" s="7"/>
      <c r="SRE1128" s="7"/>
      <c r="SRF1128" s="7"/>
      <c r="SRG1128" s="7"/>
      <c r="SRH1128" s="7"/>
      <c r="SRI1128" s="7"/>
      <c r="SRJ1128" s="7"/>
      <c r="SRK1128" s="7"/>
      <c r="SRL1128" s="7"/>
      <c r="SRM1128" s="7"/>
      <c r="SRN1128" s="7"/>
      <c r="SRO1128" s="7"/>
      <c r="SRP1128" s="7"/>
      <c r="SRQ1128" s="7"/>
      <c r="SRR1128" s="7"/>
      <c r="SRS1128" s="7"/>
      <c r="SRT1128" s="7"/>
      <c r="SRU1128" s="7"/>
      <c r="SRV1128" s="7"/>
      <c r="SRW1128" s="7"/>
      <c r="SRX1128" s="7"/>
      <c r="SRY1128" s="7"/>
      <c r="SRZ1128" s="7"/>
      <c r="SSA1128" s="7"/>
      <c r="SSB1128" s="7"/>
      <c r="SSC1128" s="7"/>
      <c r="SSD1128" s="7"/>
      <c r="SSE1128" s="7"/>
      <c r="SSF1128" s="7"/>
      <c r="SSG1128" s="7"/>
      <c r="SSH1128" s="7"/>
      <c r="SSI1128" s="7"/>
      <c r="SSJ1128" s="7"/>
      <c r="SSK1128" s="7"/>
      <c r="SSL1128" s="7"/>
      <c r="SSM1128" s="7"/>
      <c r="SSN1128" s="7"/>
      <c r="SSO1128" s="7"/>
      <c r="SSP1128" s="7"/>
      <c r="SSQ1128" s="7"/>
      <c r="SSR1128" s="7"/>
      <c r="SSS1128" s="7"/>
      <c r="SST1128" s="7"/>
      <c r="SSU1128" s="7"/>
      <c r="SSV1128" s="7"/>
      <c r="SSW1128" s="7"/>
      <c r="SSX1128" s="7"/>
      <c r="SSY1128" s="7"/>
      <c r="SSZ1128" s="7"/>
      <c r="STA1128" s="7"/>
      <c r="STB1128" s="7"/>
      <c r="STC1128" s="7"/>
      <c r="STD1128" s="7"/>
      <c r="STE1128" s="7"/>
      <c r="STF1128" s="7"/>
      <c r="STG1128" s="7"/>
      <c r="STH1128" s="7"/>
      <c r="STI1128" s="7"/>
      <c r="STJ1128" s="7"/>
      <c r="STK1128" s="7"/>
      <c r="STL1128" s="7"/>
      <c r="STM1128" s="7"/>
      <c r="STN1128" s="7"/>
      <c r="STO1128" s="7"/>
      <c r="STP1128" s="7"/>
      <c r="STQ1128" s="7"/>
      <c r="STR1128" s="7"/>
      <c r="STS1128" s="7"/>
      <c r="STT1128" s="7"/>
      <c r="STU1128" s="7"/>
      <c r="STV1128" s="7"/>
      <c r="STW1128" s="7"/>
      <c r="STX1128" s="7"/>
      <c r="STY1128" s="7"/>
      <c r="STZ1128" s="7"/>
      <c r="SUA1128" s="7"/>
      <c r="SUB1128" s="7"/>
      <c r="SUC1128" s="7"/>
      <c r="SUD1128" s="7"/>
      <c r="SUE1128" s="7"/>
      <c r="SUF1128" s="7"/>
      <c r="SUG1128" s="7"/>
      <c r="SUH1128" s="7"/>
      <c r="SUI1128" s="7"/>
      <c r="SUJ1128" s="7"/>
      <c r="SUK1128" s="7"/>
      <c r="SUL1128" s="7"/>
      <c r="SUM1128" s="7"/>
      <c r="SUN1128" s="7"/>
      <c r="SUO1128" s="7"/>
      <c r="SUP1128" s="7"/>
      <c r="SUQ1128" s="7"/>
      <c r="SUR1128" s="7"/>
      <c r="SUS1128" s="7"/>
      <c r="SUT1128" s="7"/>
      <c r="SUU1128" s="7"/>
      <c r="SUV1128" s="7"/>
      <c r="SUW1128" s="7"/>
      <c r="SUX1128" s="7"/>
      <c r="SUY1128" s="7"/>
      <c r="SUZ1128" s="7"/>
      <c r="SVA1128" s="7"/>
      <c r="SVB1128" s="7"/>
      <c r="SVC1128" s="7"/>
      <c r="SVD1128" s="7"/>
      <c r="SVE1128" s="7"/>
      <c r="SVF1128" s="7"/>
      <c r="SVG1128" s="7"/>
      <c r="SVH1128" s="7"/>
      <c r="SVI1128" s="7"/>
      <c r="SVJ1128" s="7"/>
      <c r="SVK1128" s="7"/>
      <c r="SVL1128" s="7"/>
      <c r="SVM1128" s="7"/>
      <c r="SVN1128" s="7"/>
      <c r="SVO1128" s="7"/>
      <c r="SVP1128" s="7"/>
      <c r="SVQ1128" s="7"/>
      <c r="SVR1128" s="7"/>
      <c r="SVS1128" s="7"/>
      <c r="SVT1128" s="7"/>
      <c r="SVU1128" s="7"/>
      <c r="SVV1128" s="7"/>
      <c r="SVW1128" s="7"/>
      <c r="SVX1128" s="7"/>
      <c r="SVY1128" s="7"/>
      <c r="SVZ1128" s="7"/>
      <c r="SWA1128" s="7"/>
      <c r="SWB1128" s="7"/>
      <c r="SWC1128" s="7"/>
      <c r="SWD1128" s="7"/>
      <c r="SWE1128" s="7"/>
      <c r="SWF1128" s="7"/>
      <c r="SWG1128" s="7"/>
      <c r="SWH1128" s="7"/>
      <c r="SWI1128" s="7"/>
      <c r="SWJ1128" s="7"/>
      <c r="SWK1128" s="7"/>
      <c r="SWL1128" s="7"/>
      <c r="SWM1128" s="7"/>
      <c r="SWN1128" s="7"/>
      <c r="SWO1128" s="7"/>
      <c r="SWP1128" s="7"/>
      <c r="SWQ1128" s="7"/>
      <c r="SWR1128" s="7"/>
      <c r="SWS1128" s="7"/>
      <c r="SWT1128" s="7"/>
      <c r="SWU1128" s="7"/>
      <c r="SWV1128" s="7"/>
      <c r="SWW1128" s="7"/>
      <c r="SWX1128" s="7"/>
      <c r="SWY1128" s="7"/>
      <c r="SWZ1128" s="7"/>
      <c r="SXA1128" s="7"/>
      <c r="SXB1128" s="7"/>
      <c r="SXC1128" s="7"/>
      <c r="SXD1128" s="7"/>
      <c r="SXE1128" s="7"/>
      <c r="SXF1128" s="7"/>
      <c r="SXG1128" s="7"/>
      <c r="SXH1128" s="7"/>
      <c r="SXI1128" s="7"/>
      <c r="SXJ1128" s="7"/>
      <c r="SXK1128" s="7"/>
      <c r="SXL1128" s="7"/>
      <c r="SXM1128" s="7"/>
      <c r="SXN1128" s="7"/>
      <c r="SXO1128" s="7"/>
      <c r="SXP1128" s="7"/>
      <c r="SXQ1128" s="7"/>
      <c r="SXR1128" s="7"/>
      <c r="SXS1128" s="7"/>
      <c r="SXT1128" s="7"/>
      <c r="SXU1128" s="7"/>
      <c r="SXV1128" s="7"/>
      <c r="SXW1128" s="7"/>
      <c r="SXX1128" s="7"/>
      <c r="SXY1128" s="7"/>
      <c r="SXZ1128" s="7"/>
      <c r="SYA1128" s="7"/>
      <c r="SYB1128" s="7"/>
      <c r="SYC1128" s="7"/>
      <c r="SYD1128" s="7"/>
      <c r="SYE1128" s="7"/>
      <c r="SYF1128" s="7"/>
      <c r="SYG1128" s="7"/>
      <c r="SYH1128" s="7"/>
      <c r="SYI1128" s="7"/>
      <c r="SYJ1128" s="7"/>
      <c r="SYK1128" s="7"/>
      <c r="SYL1128" s="7"/>
      <c r="SYM1128" s="7"/>
      <c r="SYN1128" s="7"/>
      <c r="SYO1128" s="7"/>
      <c r="SYP1128" s="7"/>
      <c r="SYQ1128" s="7"/>
      <c r="SYR1128" s="7"/>
      <c r="SYS1128" s="7"/>
      <c r="SYT1128" s="7"/>
      <c r="SYU1128" s="7"/>
      <c r="SYV1128" s="7"/>
      <c r="SYW1128" s="7"/>
      <c r="SYX1128" s="7"/>
      <c r="SYY1128" s="7"/>
      <c r="SYZ1128" s="7"/>
      <c r="SZA1128" s="7"/>
      <c r="SZB1128" s="7"/>
      <c r="SZC1128" s="7"/>
      <c r="SZD1128" s="7"/>
      <c r="SZE1128" s="7"/>
      <c r="SZF1128" s="7"/>
      <c r="SZG1128" s="7"/>
      <c r="SZH1128" s="7"/>
      <c r="SZI1128" s="7"/>
      <c r="SZJ1128" s="7"/>
      <c r="SZK1128" s="7"/>
      <c r="SZL1128" s="7"/>
      <c r="SZM1128" s="7"/>
      <c r="SZN1128" s="7"/>
      <c r="SZO1128" s="7"/>
      <c r="SZP1128" s="7"/>
      <c r="SZQ1128" s="7"/>
      <c r="SZR1128" s="7"/>
      <c r="SZS1128" s="7"/>
      <c r="SZT1128" s="7"/>
      <c r="SZU1128" s="7"/>
      <c r="SZV1128" s="7"/>
      <c r="SZW1128" s="7"/>
      <c r="SZX1128" s="7"/>
      <c r="SZY1128" s="7"/>
      <c r="SZZ1128" s="7"/>
      <c r="TAA1128" s="7"/>
      <c r="TAB1128" s="7"/>
      <c r="TAC1128" s="7"/>
      <c r="TAD1128" s="7"/>
      <c r="TAE1128" s="7"/>
      <c r="TAF1128" s="7"/>
      <c r="TAG1128" s="7"/>
      <c r="TAH1128" s="7"/>
      <c r="TAI1128" s="7"/>
      <c r="TAJ1128" s="7"/>
      <c r="TAK1128" s="7"/>
      <c r="TAL1128" s="7"/>
      <c r="TAM1128" s="7"/>
      <c r="TAN1128" s="7"/>
      <c r="TAO1128" s="7"/>
      <c r="TAP1128" s="7"/>
      <c r="TAQ1128" s="7"/>
      <c r="TAR1128" s="7"/>
      <c r="TAS1128" s="7"/>
      <c r="TAT1128" s="7"/>
      <c r="TAU1128" s="7"/>
      <c r="TAV1128" s="7"/>
      <c r="TAW1128" s="7"/>
      <c r="TAX1128" s="7"/>
      <c r="TAY1128" s="7"/>
      <c r="TAZ1128" s="7"/>
      <c r="TBA1128" s="7"/>
      <c r="TBB1128" s="7"/>
      <c r="TBC1128" s="7"/>
      <c r="TBD1128" s="7"/>
      <c r="TBE1128" s="7"/>
      <c r="TBF1128" s="7"/>
      <c r="TBG1128" s="7"/>
      <c r="TBH1128" s="7"/>
      <c r="TBI1128" s="7"/>
      <c r="TBJ1128" s="7"/>
      <c r="TBK1128" s="7"/>
      <c r="TBL1128" s="7"/>
      <c r="TBM1128" s="7"/>
      <c r="TBN1128" s="7"/>
      <c r="TBO1128" s="7"/>
      <c r="TBP1128" s="7"/>
      <c r="TBQ1128" s="7"/>
      <c r="TBR1128" s="7"/>
      <c r="TBS1128" s="7"/>
      <c r="TBT1128" s="7"/>
      <c r="TBU1128" s="7"/>
      <c r="TBV1128" s="7"/>
      <c r="TBW1128" s="7"/>
      <c r="TBX1128" s="7"/>
      <c r="TBY1128" s="7"/>
      <c r="TBZ1128" s="7"/>
      <c r="TCA1128" s="7"/>
      <c r="TCB1128" s="7"/>
      <c r="TCC1128" s="7"/>
      <c r="TCD1128" s="7"/>
      <c r="TCE1128" s="7"/>
      <c r="TCF1128" s="7"/>
      <c r="TCG1128" s="7"/>
      <c r="TCH1128" s="7"/>
      <c r="TCI1128" s="7"/>
      <c r="TCJ1128" s="7"/>
      <c r="TCK1128" s="7"/>
      <c r="TCL1128" s="7"/>
      <c r="TCM1128" s="7"/>
      <c r="TCN1128" s="7"/>
      <c r="TCO1128" s="7"/>
      <c r="TCP1128" s="7"/>
      <c r="TCQ1128" s="7"/>
      <c r="TCR1128" s="7"/>
      <c r="TCS1128" s="7"/>
      <c r="TCT1128" s="7"/>
      <c r="TCU1128" s="7"/>
      <c r="TCV1128" s="7"/>
      <c r="TCW1128" s="7"/>
      <c r="TCX1128" s="7"/>
      <c r="TCY1128" s="7"/>
      <c r="TCZ1128" s="7"/>
      <c r="TDA1128" s="7"/>
      <c r="TDB1128" s="7"/>
      <c r="TDC1128" s="7"/>
      <c r="TDD1128" s="7"/>
      <c r="TDE1128" s="7"/>
      <c r="TDF1128" s="7"/>
      <c r="TDG1128" s="7"/>
      <c r="TDH1128" s="7"/>
      <c r="TDI1128" s="7"/>
      <c r="TDJ1128" s="7"/>
      <c r="TDK1128" s="7"/>
      <c r="TDL1128" s="7"/>
      <c r="TDM1128" s="7"/>
      <c r="TDN1128" s="7"/>
      <c r="TDO1128" s="7"/>
      <c r="TDP1128" s="7"/>
      <c r="TDQ1128" s="7"/>
      <c r="TDR1128" s="7"/>
      <c r="TDS1128" s="7"/>
      <c r="TDT1128" s="7"/>
      <c r="TDU1128" s="7"/>
      <c r="TDV1128" s="7"/>
      <c r="TDW1128" s="7"/>
      <c r="TDX1128" s="7"/>
      <c r="TDY1128" s="7"/>
      <c r="TDZ1128" s="7"/>
      <c r="TEA1128" s="7"/>
      <c r="TEB1128" s="7"/>
      <c r="TEC1128" s="7"/>
      <c r="TED1128" s="7"/>
      <c r="TEE1128" s="7"/>
      <c r="TEF1128" s="7"/>
      <c r="TEG1128" s="7"/>
      <c r="TEH1128" s="7"/>
      <c r="TEI1128" s="7"/>
      <c r="TEJ1128" s="7"/>
      <c r="TEK1128" s="7"/>
      <c r="TEL1128" s="7"/>
      <c r="TEM1128" s="7"/>
      <c r="TEN1128" s="7"/>
      <c r="TEO1128" s="7"/>
      <c r="TEP1128" s="7"/>
      <c r="TEQ1128" s="7"/>
      <c r="TER1128" s="7"/>
      <c r="TES1128" s="7"/>
      <c r="TET1128" s="7"/>
      <c r="TEU1128" s="7"/>
      <c r="TEV1128" s="7"/>
      <c r="TEW1128" s="7"/>
      <c r="TEX1128" s="7"/>
      <c r="TEY1128" s="7"/>
      <c r="TEZ1128" s="7"/>
      <c r="TFA1128" s="7"/>
      <c r="TFB1128" s="7"/>
      <c r="TFC1128" s="7"/>
      <c r="TFD1128" s="7"/>
      <c r="TFE1128" s="7"/>
      <c r="TFF1128" s="7"/>
      <c r="TFG1128" s="7"/>
      <c r="TFH1128" s="7"/>
      <c r="TFI1128" s="7"/>
      <c r="TFJ1128" s="7"/>
      <c r="TFK1128" s="7"/>
      <c r="TFL1128" s="7"/>
      <c r="TFM1128" s="7"/>
      <c r="TFN1128" s="7"/>
      <c r="TFO1128" s="7"/>
      <c r="TFP1128" s="7"/>
      <c r="TFQ1128" s="7"/>
      <c r="TFR1128" s="7"/>
      <c r="TFS1128" s="7"/>
      <c r="TFT1128" s="7"/>
      <c r="TFU1128" s="7"/>
      <c r="TFV1128" s="7"/>
      <c r="TFW1128" s="7"/>
      <c r="TFX1128" s="7"/>
      <c r="TFY1128" s="7"/>
      <c r="TFZ1128" s="7"/>
      <c r="TGA1128" s="7"/>
      <c r="TGB1128" s="7"/>
      <c r="TGC1128" s="7"/>
      <c r="TGD1128" s="7"/>
      <c r="TGE1128" s="7"/>
      <c r="TGF1128" s="7"/>
      <c r="TGG1128" s="7"/>
      <c r="TGH1128" s="7"/>
      <c r="TGI1128" s="7"/>
      <c r="TGJ1128" s="7"/>
      <c r="TGK1128" s="7"/>
      <c r="TGL1128" s="7"/>
      <c r="TGM1128" s="7"/>
      <c r="TGN1128" s="7"/>
      <c r="TGO1128" s="7"/>
      <c r="TGP1128" s="7"/>
      <c r="TGQ1128" s="7"/>
      <c r="TGR1128" s="7"/>
      <c r="TGS1128" s="7"/>
      <c r="TGT1128" s="7"/>
      <c r="TGU1128" s="7"/>
      <c r="TGV1128" s="7"/>
      <c r="TGW1128" s="7"/>
      <c r="TGX1128" s="7"/>
      <c r="TGY1128" s="7"/>
      <c r="TGZ1128" s="7"/>
      <c r="THA1128" s="7"/>
      <c r="THB1128" s="7"/>
      <c r="THC1128" s="7"/>
      <c r="THD1128" s="7"/>
      <c r="THE1128" s="7"/>
      <c r="THF1128" s="7"/>
      <c r="THG1128" s="7"/>
      <c r="THH1128" s="7"/>
      <c r="THI1128" s="7"/>
      <c r="THJ1128" s="7"/>
      <c r="THK1128" s="7"/>
      <c r="THL1128" s="7"/>
      <c r="THM1128" s="7"/>
      <c r="THN1128" s="7"/>
      <c r="THO1128" s="7"/>
      <c r="THP1128" s="7"/>
      <c r="THQ1128" s="7"/>
      <c r="THR1128" s="7"/>
      <c r="THS1128" s="7"/>
      <c r="THT1128" s="7"/>
      <c r="THU1128" s="7"/>
      <c r="THV1128" s="7"/>
      <c r="THW1128" s="7"/>
      <c r="THX1128" s="7"/>
      <c r="THY1128" s="7"/>
      <c r="THZ1128" s="7"/>
      <c r="TIA1128" s="7"/>
      <c r="TIB1128" s="7"/>
      <c r="TIC1128" s="7"/>
      <c r="TID1128" s="7"/>
      <c r="TIE1128" s="7"/>
      <c r="TIF1128" s="7"/>
      <c r="TIG1128" s="7"/>
      <c r="TIH1128" s="7"/>
      <c r="TII1128" s="7"/>
      <c r="TIJ1128" s="7"/>
      <c r="TIK1128" s="7"/>
      <c r="TIL1128" s="7"/>
      <c r="TIM1128" s="7"/>
      <c r="TIN1128" s="7"/>
      <c r="TIO1128" s="7"/>
      <c r="TIP1128" s="7"/>
      <c r="TIQ1128" s="7"/>
      <c r="TIR1128" s="7"/>
      <c r="TIS1128" s="7"/>
      <c r="TIT1128" s="7"/>
      <c r="TIU1128" s="7"/>
      <c r="TIV1128" s="7"/>
      <c r="TIW1128" s="7"/>
      <c r="TIX1128" s="7"/>
      <c r="TIY1128" s="7"/>
      <c r="TIZ1128" s="7"/>
      <c r="TJA1128" s="7"/>
      <c r="TJB1128" s="7"/>
      <c r="TJC1128" s="7"/>
      <c r="TJD1128" s="7"/>
      <c r="TJE1128" s="7"/>
      <c r="TJF1128" s="7"/>
      <c r="TJG1128" s="7"/>
      <c r="TJH1128" s="7"/>
      <c r="TJI1128" s="7"/>
      <c r="TJJ1128" s="7"/>
      <c r="TJK1128" s="7"/>
      <c r="TJL1128" s="7"/>
      <c r="TJM1128" s="7"/>
      <c r="TJN1128" s="7"/>
      <c r="TJO1128" s="7"/>
      <c r="TJP1128" s="7"/>
      <c r="TJQ1128" s="7"/>
      <c r="TJR1128" s="7"/>
      <c r="TJS1128" s="7"/>
      <c r="TJT1128" s="7"/>
      <c r="TJU1128" s="7"/>
      <c r="TJV1128" s="7"/>
      <c r="TJW1128" s="7"/>
      <c r="TJX1128" s="7"/>
      <c r="TJY1128" s="7"/>
      <c r="TJZ1128" s="7"/>
      <c r="TKA1128" s="7"/>
      <c r="TKB1128" s="7"/>
      <c r="TKC1128" s="7"/>
      <c r="TKD1128" s="7"/>
      <c r="TKE1128" s="7"/>
      <c r="TKF1128" s="7"/>
      <c r="TKG1128" s="7"/>
      <c r="TKH1128" s="7"/>
      <c r="TKI1128" s="7"/>
      <c r="TKJ1128" s="7"/>
      <c r="TKK1128" s="7"/>
      <c r="TKL1128" s="7"/>
      <c r="TKM1128" s="7"/>
      <c r="TKN1128" s="7"/>
      <c r="TKO1128" s="7"/>
      <c r="TKP1128" s="7"/>
      <c r="TKQ1128" s="7"/>
      <c r="TKR1128" s="7"/>
      <c r="TKS1128" s="7"/>
      <c r="TKT1128" s="7"/>
      <c r="TKU1128" s="7"/>
      <c r="TKV1128" s="7"/>
      <c r="TKW1128" s="7"/>
      <c r="TKX1128" s="7"/>
      <c r="TKY1128" s="7"/>
      <c r="TKZ1128" s="7"/>
      <c r="TLA1128" s="7"/>
      <c r="TLB1128" s="7"/>
      <c r="TLC1128" s="7"/>
      <c r="TLD1128" s="7"/>
      <c r="TLE1128" s="7"/>
      <c r="TLF1128" s="7"/>
      <c r="TLG1128" s="7"/>
      <c r="TLH1128" s="7"/>
      <c r="TLI1128" s="7"/>
      <c r="TLJ1128" s="7"/>
      <c r="TLK1128" s="7"/>
      <c r="TLL1128" s="7"/>
      <c r="TLM1128" s="7"/>
      <c r="TLN1128" s="7"/>
      <c r="TLO1128" s="7"/>
      <c r="TLP1128" s="7"/>
      <c r="TLQ1128" s="7"/>
      <c r="TLR1128" s="7"/>
      <c r="TLS1128" s="7"/>
      <c r="TLT1128" s="7"/>
      <c r="TLU1128" s="7"/>
      <c r="TLV1128" s="7"/>
      <c r="TLW1128" s="7"/>
      <c r="TLX1128" s="7"/>
      <c r="TLY1128" s="7"/>
      <c r="TLZ1128" s="7"/>
      <c r="TMA1128" s="7"/>
      <c r="TMB1128" s="7"/>
      <c r="TMC1128" s="7"/>
      <c r="TMD1128" s="7"/>
      <c r="TME1128" s="7"/>
      <c r="TMF1128" s="7"/>
      <c r="TMG1128" s="7"/>
      <c r="TMH1128" s="7"/>
      <c r="TMI1128" s="7"/>
      <c r="TMJ1128" s="7"/>
      <c r="TMK1128" s="7"/>
      <c r="TML1128" s="7"/>
      <c r="TMM1128" s="7"/>
      <c r="TMN1128" s="7"/>
      <c r="TMO1128" s="7"/>
      <c r="TMP1128" s="7"/>
      <c r="TMQ1128" s="7"/>
      <c r="TMR1128" s="7"/>
      <c r="TMS1128" s="7"/>
      <c r="TMT1128" s="7"/>
      <c r="TMU1128" s="7"/>
      <c r="TMV1128" s="7"/>
      <c r="TMW1128" s="7"/>
      <c r="TMX1128" s="7"/>
      <c r="TMY1128" s="7"/>
      <c r="TMZ1128" s="7"/>
      <c r="TNA1128" s="7"/>
      <c r="TNB1128" s="7"/>
      <c r="TNC1128" s="7"/>
      <c r="TND1128" s="7"/>
      <c r="TNE1128" s="7"/>
      <c r="TNF1128" s="7"/>
      <c r="TNG1128" s="7"/>
      <c r="TNH1128" s="7"/>
      <c r="TNI1128" s="7"/>
      <c r="TNJ1128" s="7"/>
      <c r="TNK1128" s="7"/>
      <c r="TNL1128" s="7"/>
      <c r="TNM1128" s="7"/>
      <c r="TNN1128" s="7"/>
      <c r="TNO1128" s="7"/>
      <c r="TNP1128" s="7"/>
      <c r="TNQ1128" s="7"/>
      <c r="TNR1128" s="7"/>
      <c r="TNS1128" s="7"/>
      <c r="TNT1128" s="7"/>
      <c r="TNU1128" s="7"/>
      <c r="TNV1128" s="7"/>
      <c r="TNW1128" s="7"/>
      <c r="TNX1128" s="7"/>
      <c r="TNY1128" s="7"/>
      <c r="TNZ1128" s="7"/>
      <c r="TOA1128" s="7"/>
      <c r="TOB1128" s="7"/>
      <c r="TOC1128" s="7"/>
      <c r="TOD1128" s="7"/>
      <c r="TOE1128" s="7"/>
      <c r="TOF1128" s="7"/>
      <c r="TOG1128" s="7"/>
      <c r="TOH1128" s="7"/>
      <c r="TOI1128" s="7"/>
      <c r="TOJ1128" s="7"/>
      <c r="TOK1128" s="7"/>
      <c r="TOL1128" s="7"/>
      <c r="TOM1128" s="7"/>
      <c r="TON1128" s="7"/>
      <c r="TOO1128" s="7"/>
      <c r="TOP1128" s="7"/>
      <c r="TOQ1128" s="7"/>
      <c r="TOR1128" s="7"/>
      <c r="TOS1128" s="7"/>
      <c r="TOT1128" s="7"/>
      <c r="TOU1128" s="7"/>
      <c r="TOV1128" s="7"/>
      <c r="TOW1128" s="7"/>
      <c r="TOX1128" s="7"/>
      <c r="TOY1128" s="7"/>
      <c r="TOZ1128" s="7"/>
      <c r="TPA1128" s="7"/>
      <c r="TPB1128" s="7"/>
      <c r="TPC1128" s="7"/>
      <c r="TPD1128" s="7"/>
      <c r="TPE1128" s="7"/>
      <c r="TPF1128" s="7"/>
      <c r="TPG1128" s="7"/>
      <c r="TPH1128" s="7"/>
      <c r="TPI1128" s="7"/>
      <c r="TPJ1128" s="7"/>
      <c r="TPK1128" s="7"/>
      <c r="TPL1128" s="7"/>
      <c r="TPM1128" s="7"/>
      <c r="TPN1128" s="7"/>
      <c r="TPO1128" s="7"/>
      <c r="TPP1128" s="7"/>
      <c r="TPQ1128" s="7"/>
      <c r="TPR1128" s="7"/>
      <c r="TPS1128" s="7"/>
      <c r="TPT1128" s="7"/>
      <c r="TPU1128" s="7"/>
      <c r="TPV1128" s="7"/>
      <c r="TPW1128" s="7"/>
      <c r="TPX1128" s="7"/>
      <c r="TPY1128" s="7"/>
      <c r="TPZ1128" s="7"/>
      <c r="TQA1128" s="7"/>
      <c r="TQB1128" s="7"/>
      <c r="TQC1128" s="7"/>
      <c r="TQD1128" s="7"/>
      <c r="TQE1128" s="7"/>
      <c r="TQF1128" s="7"/>
      <c r="TQG1128" s="7"/>
      <c r="TQH1128" s="7"/>
      <c r="TQI1128" s="7"/>
      <c r="TQJ1128" s="7"/>
      <c r="TQK1128" s="7"/>
      <c r="TQL1128" s="7"/>
      <c r="TQM1128" s="7"/>
      <c r="TQN1128" s="7"/>
      <c r="TQO1128" s="7"/>
      <c r="TQP1128" s="7"/>
      <c r="TQQ1128" s="7"/>
      <c r="TQR1128" s="7"/>
      <c r="TQS1128" s="7"/>
      <c r="TQT1128" s="7"/>
      <c r="TQU1128" s="7"/>
      <c r="TQV1128" s="7"/>
      <c r="TQW1128" s="7"/>
      <c r="TQX1128" s="7"/>
      <c r="TQY1128" s="7"/>
      <c r="TQZ1128" s="7"/>
      <c r="TRA1128" s="7"/>
      <c r="TRB1128" s="7"/>
      <c r="TRC1128" s="7"/>
      <c r="TRD1128" s="7"/>
      <c r="TRE1128" s="7"/>
      <c r="TRF1128" s="7"/>
      <c r="TRG1128" s="7"/>
      <c r="TRH1128" s="7"/>
      <c r="TRI1128" s="7"/>
      <c r="TRJ1128" s="7"/>
      <c r="TRK1128" s="7"/>
      <c r="TRL1128" s="7"/>
      <c r="TRM1128" s="7"/>
      <c r="TRN1128" s="7"/>
      <c r="TRO1128" s="7"/>
      <c r="TRP1128" s="7"/>
      <c r="TRQ1128" s="7"/>
      <c r="TRR1128" s="7"/>
      <c r="TRS1128" s="7"/>
      <c r="TRT1128" s="7"/>
      <c r="TRU1128" s="7"/>
      <c r="TRV1128" s="7"/>
      <c r="TRW1128" s="7"/>
      <c r="TRX1128" s="7"/>
      <c r="TRY1128" s="7"/>
      <c r="TRZ1128" s="7"/>
      <c r="TSA1128" s="7"/>
      <c r="TSB1128" s="7"/>
      <c r="TSC1128" s="7"/>
      <c r="TSD1128" s="7"/>
      <c r="TSE1128" s="7"/>
      <c r="TSF1128" s="7"/>
      <c r="TSG1128" s="7"/>
      <c r="TSH1128" s="7"/>
      <c r="TSI1128" s="7"/>
      <c r="TSJ1128" s="7"/>
      <c r="TSK1128" s="7"/>
      <c r="TSL1128" s="7"/>
      <c r="TSM1128" s="7"/>
      <c r="TSN1128" s="7"/>
      <c r="TSO1128" s="7"/>
      <c r="TSP1128" s="7"/>
      <c r="TSQ1128" s="7"/>
      <c r="TSR1128" s="7"/>
      <c r="TSS1128" s="7"/>
      <c r="TST1128" s="7"/>
      <c r="TSU1128" s="7"/>
      <c r="TSV1128" s="7"/>
      <c r="TSW1128" s="7"/>
      <c r="TSX1128" s="7"/>
      <c r="TSY1128" s="7"/>
      <c r="TSZ1128" s="7"/>
      <c r="TTA1128" s="7"/>
      <c r="TTB1128" s="7"/>
      <c r="TTC1128" s="7"/>
      <c r="TTD1128" s="7"/>
      <c r="TTE1128" s="7"/>
      <c r="TTF1128" s="7"/>
      <c r="TTG1128" s="7"/>
      <c r="TTH1128" s="7"/>
      <c r="TTI1128" s="7"/>
      <c r="TTJ1128" s="7"/>
      <c r="TTK1128" s="7"/>
      <c r="TTL1128" s="7"/>
      <c r="TTM1128" s="7"/>
      <c r="TTN1128" s="7"/>
      <c r="TTO1128" s="7"/>
      <c r="TTP1128" s="7"/>
      <c r="TTQ1128" s="7"/>
      <c r="TTR1128" s="7"/>
      <c r="TTS1128" s="7"/>
      <c r="TTT1128" s="7"/>
      <c r="TTU1128" s="7"/>
      <c r="TTV1128" s="7"/>
      <c r="TTW1128" s="7"/>
      <c r="TTX1128" s="7"/>
      <c r="TTY1128" s="7"/>
      <c r="TTZ1128" s="7"/>
      <c r="TUA1128" s="7"/>
      <c r="TUB1128" s="7"/>
      <c r="TUC1128" s="7"/>
      <c r="TUD1128" s="7"/>
      <c r="TUE1128" s="7"/>
      <c r="TUF1128" s="7"/>
      <c r="TUG1128" s="7"/>
      <c r="TUH1128" s="7"/>
      <c r="TUI1128" s="7"/>
      <c r="TUJ1128" s="7"/>
      <c r="TUK1128" s="7"/>
      <c r="TUL1128" s="7"/>
      <c r="TUM1128" s="7"/>
      <c r="TUN1128" s="7"/>
      <c r="TUO1128" s="7"/>
      <c r="TUP1128" s="7"/>
      <c r="TUQ1128" s="7"/>
      <c r="TUR1128" s="7"/>
      <c r="TUS1128" s="7"/>
      <c r="TUT1128" s="7"/>
      <c r="TUU1128" s="7"/>
      <c r="TUV1128" s="7"/>
      <c r="TUW1128" s="7"/>
      <c r="TUX1128" s="7"/>
      <c r="TUY1128" s="7"/>
      <c r="TUZ1128" s="7"/>
      <c r="TVA1128" s="7"/>
      <c r="TVB1128" s="7"/>
      <c r="TVC1128" s="7"/>
      <c r="TVD1128" s="7"/>
      <c r="TVE1128" s="7"/>
      <c r="TVF1128" s="7"/>
      <c r="TVG1128" s="7"/>
      <c r="TVH1128" s="7"/>
      <c r="TVI1128" s="7"/>
      <c r="TVJ1128" s="7"/>
      <c r="TVK1128" s="7"/>
      <c r="TVL1128" s="7"/>
      <c r="TVM1128" s="7"/>
      <c r="TVN1128" s="7"/>
      <c r="TVO1128" s="7"/>
      <c r="TVP1128" s="7"/>
      <c r="TVQ1128" s="7"/>
      <c r="TVR1128" s="7"/>
      <c r="TVS1128" s="7"/>
      <c r="TVT1128" s="7"/>
      <c r="TVU1128" s="7"/>
      <c r="TVV1128" s="7"/>
      <c r="TVW1128" s="7"/>
      <c r="TVX1128" s="7"/>
      <c r="TVY1128" s="7"/>
      <c r="TVZ1128" s="7"/>
      <c r="TWA1128" s="7"/>
      <c r="TWB1128" s="7"/>
      <c r="TWC1128" s="7"/>
      <c r="TWD1128" s="7"/>
      <c r="TWE1128" s="7"/>
      <c r="TWF1128" s="7"/>
      <c r="TWG1128" s="7"/>
      <c r="TWH1128" s="7"/>
      <c r="TWI1128" s="7"/>
      <c r="TWJ1128" s="7"/>
      <c r="TWK1128" s="7"/>
      <c r="TWL1128" s="7"/>
      <c r="TWM1128" s="7"/>
      <c r="TWN1128" s="7"/>
      <c r="TWO1128" s="7"/>
      <c r="TWP1128" s="7"/>
      <c r="TWQ1128" s="7"/>
      <c r="TWR1128" s="7"/>
      <c r="TWS1128" s="7"/>
      <c r="TWT1128" s="7"/>
      <c r="TWU1128" s="7"/>
      <c r="TWV1128" s="7"/>
      <c r="TWW1128" s="7"/>
      <c r="TWX1128" s="7"/>
      <c r="TWY1128" s="7"/>
      <c r="TWZ1128" s="7"/>
      <c r="TXA1128" s="7"/>
      <c r="TXB1128" s="7"/>
      <c r="TXC1128" s="7"/>
      <c r="TXD1128" s="7"/>
      <c r="TXE1128" s="7"/>
      <c r="TXF1128" s="7"/>
      <c r="TXG1128" s="7"/>
      <c r="TXH1128" s="7"/>
      <c r="TXI1128" s="7"/>
      <c r="TXJ1128" s="7"/>
      <c r="TXK1128" s="7"/>
      <c r="TXL1128" s="7"/>
      <c r="TXM1128" s="7"/>
      <c r="TXN1128" s="7"/>
      <c r="TXO1128" s="7"/>
      <c r="TXP1128" s="7"/>
      <c r="TXQ1128" s="7"/>
      <c r="TXR1128" s="7"/>
      <c r="TXS1128" s="7"/>
      <c r="TXT1128" s="7"/>
      <c r="TXU1128" s="7"/>
      <c r="TXV1128" s="7"/>
      <c r="TXW1128" s="7"/>
      <c r="TXX1128" s="7"/>
      <c r="TXY1128" s="7"/>
      <c r="TXZ1128" s="7"/>
      <c r="TYA1128" s="7"/>
      <c r="TYB1128" s="7"/>
      <c r="TYC1128" s="7"/>
      <c r="TYD1128" s="7"/>
      <c r="TYE1128" s="7"/>
      <c r="TYF1128" s="7"/>
      <c r="TYG1128" s="7"/>
      <c r="TYH1128" s="7"/>
      <c r="TYI1128" s="7"/>
      <c r="TYJ1128" s="7"/>
      <c r="TYK1128" s="7"/>
      <c r="TYL1128" s="7"/>
      <c r="TYM1128" s="7"/>
      <c r="TYN1128" s="7"/>
      <c r="TYO1128" s="7"/>
      <c r="TYP1128" s="7"/>
      <c r="TYQ1128" s="7"/>
      <c r="TYR1128" s="7"/>
      <c r="TYS1128" s="7"/>
      <c r="TYT1128" s="7"/>
      <c r="TYU1128" s="7"/>
      <c r="TYV1128" s="7"/>
      <c r="TYW1128" s="7"/>
      <c r="TYX1128" s="7"/>
      <c r="TYY1128" s="7"/>
      <c r="TYZ1128" s="7"/>
      <c r="TZA1128" s="7"/>
      <c r="TZB1128" s="7"/>
      <c r="TZC1128" s="7"/>
      <c r="TZD1128" s="7"/>
      <c r="TZE1128" s="7"/>
      <c r="TZF1128" s="7"/>
      <c r="TZG1128" s="7"/>
      <c r="TZH1128" s="7"/>
      <c r="TZI1128" s="7"/>
      <c r="TZJ1128" s="7"/>
      <c r="TZK1128" s="7"/>
      <c r="TZL1128" s="7"/>
      <c r="TZM1128" s="7"/>
      <c r="TZN1128" s="7"/>
      <c r="TZO1128" s="7"/>
      <c r="TZP1128" s="7"/>
      <c r="TZQ1128" s="7"/>
      <c r="TZR1128" s="7"/>
      <c r="TZS1128" s="7"/>
      <c r="TZT1128" s="7"/>
      <c r="TZU1128" s="7"/>
      <c r="TZV1128" s="7"/>
      <c r="TZW1128" s="7"/>
      <c r="TZX1128" s="7"/>
      <c r="TZY1128" s="7"/>
      <c r="TZZ1128" s="7"/>
      <c r="UAA1128" s="7"/>
      <c r="UAB1128" s="7"/>
      <c r="UAC1128" s="7"/>
      <c r="UAD1128" s="7"/>
      <c r="UAE1128" s="7"/>
      <c r="UAF1128" s="7"/>
      <c r="UAG1128" s="7"/>
      <c r="UAH1128" s="7"/>
      <c r="UAI1128" s="7"/>
      <c r="UAJ1128" s="7"/>
      <c r="UAK1128" s="7"/>
      <c r="UAL1128" s="7"/>
      <c r="UAM1128" s="7"/>
      <c r="UAN1128" s="7"/>
      <c r="UAO1128" s="7"/>
      <c r="UAP1128" s="7"/>
      <c r="UAQ1128" s="7"/>
      <c r="UAR1128" s="7"/>
      <c r="UAS1128" s="7"/>
      <c r="UAT1128" s="7"/>
      <c r="UAU1128" s="7"/>
      <c r="UAV1128" s="7"/>
      <c r="UAW1128" s="7"/>
      <c r="UAX1128" s="7"/>
      <c r="UAY1128" s="7"/>
      <c r="UAZ1128" s="7"/>
      <c r="UBA1128" s="7"/>
      <c r="UBB1128" s="7"/>
      <c r="UBC1128" s="7"/>
      <c r="UBD1128" s="7"/>
      <c r="UBE1128" s="7"/>
      <c r="UBF1128" s="7"/>
      <c r="UBG1128" s="7"/>
      <c r="UBH1128" s="7"/>
      <c r="UBI1128" s="7"/>
      <c r="UBJ1128" s="7"/>
      <c r="UBK1128" s="7"/>
      <c r="UBL1128" s="7"/>
      <c r="UBM1128" s="7"/>
      <c r="UBN1128" s="7"/>
      <c r="UBO1128" s="7"/>
      <c r="UBP1128" s="7"/>
      <c r="UBQ1128" s="7"/>
      <c r="UBR1128" s="7"/>
      <c r="UBS1128" s="7"/>
      <c r="UBT1128" s="7"/>
      <c r="UBU1128" s="7"/>
      <c r="UBV1128" s="7"/>
      <c r="UBW1128" s="7"/>
      <c r="UBX1128" s="7"/>
      <c r="UBY1128" s="7"/>
      <c r="UBZ1128" s="7"/>
      <c r="UCA1128" s="7"/>
      <c r="UCB1128" s="7"/>
      <c r="UCC1128" s="7"/>
      <c r="UCD1128" s="7"/>
      <c r="UCE1128" s="7"/>
      <c r="UCF1128" s="7"/>
      <c r="UCG1128" s="7"/>
      <c r="UCH1128" s="7"/>
      <c r="UCI1128" s="7"/>
      <c r="UCJ1128" s="7"/>
      <c r="UCK1128" s="7"/>
      <c r="UCL1128" s="7"/>
      <c r="UCM1128" s="7"/>
      <c r="UCN1128" s="7"/>
      <c r="UCO1128" s="7"/>
      <c r="UCP1128" s="7"/>
      <c r="UCQ1128" s="7"/>
      <c r="UCR1128" s="7"/>
      <c r="UCS1128" s="7"/>
      <c r="UCT1128" s="7"/>
      <c r="UCU1128" s="7"/>
      <c r="UCV1128" s="7"/>
      <c r="UCW1128" s="7"/>
      <c r="UCX1128" s="7"/>
      <c r="UCY1128" s="7"/>
      <c r="UCZ1128" s="7"/>
      <c r="UDA1128" s="7"/>
      <c r="UDB1128" s="7"/>
      <c r="UDC1128" s="7"/>
      <c r="UDD1128" s="7"/>
      <c r="UDE1128" s="7"/>
      <c r="UDF1128" s="7"/>
      <c r="UDG1128" s="7"/>
      <c r="UDH1128" s="7"/>
      <c r="UDI1128" s="7"/>
      <c r="UDJ1128" s="7"/>
      <c r="UDK1128" s="7"/>
      <c r="UDL1128" s="7"/>
      <c r="UDM1128" s="7"/>
      <c r="UDN1128" s="7"/>
      <c r="UDO1128" s="7"/>
      <c r="UDP1128" s="7"/>
      <c r="UDQ1128" s="7"/>
      <c r="UDR1128" s="7"/>
      <c r="UDS1128" s="7"/>
      <c r="UDT1128" s="7"/>
      <c r="UDU1128" s="7"/>
      <c r="UDV1128" s="7"/>
      <c r="UDW1128" s="7"/>
      <c r="UDX1128" s="7"/>
      <c r="UDY1128" s="7"/>
      <c r="UDZ1128" s="7"/>
      <c r="UEA1128" s="7"/>
      <c r="UEB1128" s="7"/>
      <c r="UEC1128" s="7"/>
      <c r="UED1128" s="7"/>
      <c r="UEE1128" s="7"/>
      <c r="UEF1128" s="7"/>
      <c r="UEG1128" s="7"/>
      <c r="UEH1128" s="7"/>
      <c r="UEI1128" s="7"/>
      <c r="UEJ1128" s="7"/>
      <c r="UEK1128" s="7"/>
      <c r="UEL1128" s="7"/>
      <c r="UEM1128" s="7"/>
      <c r="UEN1128" s="7"/>
      <c r="UEO1128" s="7"/>
      <c r="UEP1128" s="7"/>
      <c r="UEQ1128" s="7"/>
      <c r="UER1128" s="7"/>
      <c r="UES1128" s="7"/>
      <c r="UET1128" s="7"/>
      <c r="UEU1128" s="7"/>
      <c r="UEV1128" s="7"/>
      <c r="UEW1128" s="7"/>
      <c r="UEX1128" s="7"/>
      <c r="UEY1128" s="7"/>
      <c r="UEZ1128" s="7"/>
      <c r="UFA1128" s="7"/>
      <c r="UFB1128" s="7"/>
      <c r="UFC1128" s="7"/>
      <c r="UFD1128" s="7"/>
      <c r="UFE1128" s="7"/>
      <c r="UFF1128" s="7"/>
      <c r="UFG1128" s="7"/>
      <c r="UFH1128" s="7"/>
      <c r="UFI1128" s="7"/>
      <c r="UFJ1128" s="7"/>
      <c r="UFK1128" s="7"/>
      <c r="UFL1128" s="7"/>
      <c r="UFM1128" s="7"/>
      <c r="UFN1128" s="7"/>
      <c r="UFO1128" s="7"/>
      <c r="UFP1128" s="7"/>
      <c r="UFQ1128" s="7"/>
      <c r="UFR1128" s="7"/>
      <c r="UFS1128" s="7"/>
      <c r="UFT1128" s="7"/>
      <c r="UFU1128" s="7"/>
      <c r="UFV1128" s="7"/>
      <c r="UFW1128" s="7"/>
      <c r="UFX1128" s="7"/>
      <c r="UFY1128" s="7"/>
      <c r="UFZ1128" s="7"/>
      <c r="UGA1128" s="7"/>
      <c r="UGB1128" s="7"/>
      <c r="UGC1128" s="7"/>
      <c r="UGD1128" s="7"/>
      <c r="UGE1128" s="7"/>
      <c r="UGF1128" s="7"/>
      <c r="UGG1128" s="7"/>
      <c r="UGH1128" s="7"/>
      <c r="UGI1128" s="7"/>
      <c r="UGJ1128" s="7"/>
      <c r="UGK1128" s="7"/>
      <c r="UGL1128" s="7"/>
      <c r="UGM1128" s="7"/>
      <c r="UGN1128" s="7"/>
      <c r="UGO1128" s="7"/>
      <c r="UGP1128" s="7"/>
      <c r="UGQ1128" s="7"/>
      <c r="UGR1128" s="7"/>
      <c r="UGS1128" s="7"/>
      <c r="UGT1128" s="7"/>
      <c r="UGU1128" s="7"/>
      <c r="UGV1128" s="7"/>
      <c r="UGW1128" s="7"/>
      <c r="UGX1128" s="7"/>
      <c r="UGY1128" s="7"/>
      <c r="UGZ1128" s="7"/>
      <c r="UHA1128" s="7"/>
      <c r="UHB1128" s="7"/>
      <c r="UHC1128" s="7"/>
      <c r="UHD1128" s="7"/>
      <c r="UHE1128" s="7"/>
      <c r="UHF1128" s="7"/>
      <c r="UHG1128" s="7"/>
      <c r="UHH1128" s="7"/>
      <c r="UHI1128" s="7"/>
      <c r="UHJ1128" s="7"/>
      <c r="UHK1128" s="7"/>
      <c r="UHL1128" s="7"/>
      <c r="UHM1128" s="7"/>
      <c r="UHN1128" s="7"/>
      <c r="UHO1128" s="7"/>
      <c r="UHP1128" s="7"/>
      <c r="UHQ1128" s="7"/>
      <c r="UHR1128" s="7"/>
      <c r="UHS1128" s="7"/>
      <c r="UHT1128" s="7"/>
      <c r="UHU1128" s="7"/>
      <c r="UHV1128" s="7"/>
      <c r="UHW1128" s="7"/>
      <c r="UHX1128" s="7"/>
      <c r="UHY1128" s="7"/>
      <c r="UHZ1128" s="7"/>
      <c r="UIA1128" s="7"/>
      <c r="UIB1128" s="7"/>
      <c r="UIC1128" s="7"/>
      <c r="UID1128" s="7"/>
      <c r="UIE1128" s="7"/>
      <c r="UIF1128" s="7"/>
      <c r="UIG1128" s="7"/>
      <c r="UIH1128" s="7"/>
      <c r="UII1128" s="7"/>
      <c r="UIJ1128" s="7"/>
      <c r="UIK1128" s="7"/>
      <c r="UIL1128" s="7"/>
      <c r="UIM1128" s="7"/>
      <c r="UIN1128" s="7"/>
      <c r="UIO1128" s="7"/>
      <c r="UIP1128" s="7"/>
      <c r="UIQ1128" s="7"/>
      <c r="UIR1128" s="7"/>
      <c r="UIS1128" s="7"/>
      <c r="UIT1128" s="7"/>
      <c r="UIU1128" s="7"/>
      <c r="UIV1128" s="7"/>
      <c r="UIW1128" s="7"/>
      <c r="UIX1128" s="7"/>
      <c r="UIY1128" s="7"/>
      <c r="UIZ1128" s="7"/>
      <c r="UJA1128" s="7"/>
      <c r="UJB1128" s="7"/>
      <c r="UJC1128" s="7"/>
      <c r="UJD1128" s="7"/>
      <c r="UJE1128" s="7"/>
      <c r="UJF1128" s="7"/>
      <c r="UJG1128" s="7"/>
      <c r="UJH1128" s="7"/>
      <c r="UJI1128" s="7"/>
      <c r="UJJ1128" s="7"/>
      <c r="UJK1128" s="7"/>
      <c r="UJL1128" s="7"/>
      <c r="UJM1128" s="7"/>
      <c r="UJN1128" s="7"/>
      <c r="UJO1128" s="7"/>
      <c r="UJP1128" s="7"/>
      <c r="UJQ1128" s="7"/>
      <c r="UJR1128" s="7"/>
      <c r="UJS1128" s="7"/>
      <c r="UJT1128" s="7"/>
      <c r="UJU1128" s="7"/>
      <c r="UJV1128" s="7"/>
      <c r="UJW1128" s="7"/>
      <c r="UJX1128" s="7"/>
      <c r="UJY1128" s="7"/>
      <c r="UJZ1128" s="7"/>
      <c r="UKA1128" s="7"/>
      <c r="UKB1128" s="7"/>
      <c r="UKC1128" s="7"/>
      <c r="UKD1128" s="7"/>
      <c r="UKE1128" s="7"/>
      <c r="UKF1128" s="7"/>
      <c r="UKG1128" s="7"/>
      <c r="UKH1128" s="7"/>
      <c r="UKI1128" s="7"/>
      <c r="UKJ1128" s="7"/>
      <c r="UKK1128" s="7"/>
      <c r="UKL1128" s="7"/>
      <c r="UKM1128" s="7"/>
      <c r="UKN1128" s="7"/>
      <c r="UKO1128" s="7"/>
      <c r="UKP1128" s="7"/>
      <c r="UKQ1128" s="7"/>
      <c r="UKR1128" s="7"/>
      <c r="UKS1128" s="7"/>
      <c r="UKT1128" s="7"/>
      <c r="UKU1128" s="7"/>
      <c r="UKV1128" s="7"/>
      <c r="UKW1128" s="7"/>
      <c r="UKX1128" s="7"/>
      <c r="UKY1128" s="7"/>
      <c r="UKZ1128" s="7"/>
      <c r="ULA1128" s="7"/>
      <c r="ULB1128" s="7"/>
      <c r="ULC1128" s="7"/>
      <c r="ULD1128" s="7"/>
      <c r="ULE1128" s="7"/>
      <c r="ULF1128" s="7"/>
      <c r="ULG1128" s="7"/>
      <c r="ULH1128" s="7"/>
      <c r="ULI1128" s="7"/>
      <c r="ULJ1128" s="7"/>
      <c r="ULK1128" s="7"/>
      <c r="ULL1128" s="7"/>
      <c r="ULM1128" s="7"/>
      <c r="ULN1128" s="7"/>
      <c r="ULO1128" s="7"/>
      <c r="ULP1128" s="7"/>
      <c r="ULQ1128" s="7"/>
      <c r="ULR1128" s="7"/>
      <c r="ULS1128" s="7"/>
      <c r="ULT1128" s="7"/>
      <c r="ULU1128" s="7"/>
      <c r="ULV1128" s="7"/>
      <c r="ULW1128" s="7"/>
      <c r="ULX1128" s="7"/>
      <c r="ULY1128" s="7"/>
      <c r="ULZ1128" s="7"/>
      <c r="UMA1128" s="7"/>
      <c r="UMB1128" s="7"/>
      <c r="UMC1128" s="7"/>
      <c r="UMD1128" s="7"/>
      <c r="UME1128" s="7"/>
      <c r="UMF1128" s="7"/>
      <c r="UMG1128" s="7"/>
      <c r="UMH1128" s="7"/>
      <c r="UMI1128" s="7"/>
      <c r="UMJ1128" s="7"/>
      <c r="UMK1128" s="7"/>
      <c r="UML1128" s="7"/>
      <c r="UMM1128" s="7"/>
      <c r="UMN1128" s="7"/>
      <c r="UMO1128" s="7"/>
      <c r="UMP1128" s="7"/>
      <c r="UMQ1128" s="7"/>
      <c r="UMR1128" s="7"/>
      <c r="UMS1128" s="7"/>
      <c r="UMT1128" s="7"/>
      <c r="UMU1128" s="7"/>
      <c r="UMV1128" s="7"/>
      <c r="UMW1128" s="7"/>
      <c r="UMX1128" s="7"/>
      <c r="UMY1128" s="7"/>
      <c r="UMZ1128" s="7"/>
      <c r="UNA1128" s="7"/>
      <c r="UNB1128" s="7"/>
      <c r="UNC1128" s="7"/>
      <c r="UND1128" s="7"/>
      <c r="UNE1128" s="7"/>
      <c r="UNF1128" s="7"/>
      <c r="UNG1128" s="7"/>
      <c r="UNH1128" s="7"/>
      <c r="UNI1128" s="7"/>
      <c r="UNJ1128" s="7"/>
      <c r="UNK1128" s="7"/>
      <c r="UNL1128" s="7"/>
      <c r="UNM1128" s="7"/>
      <c r="UNN1128" s="7"/>
      <c r="UNO1128" s="7"/>
      <c r="UNP1128" s="7"/>
      <c r="UNQ1128" s="7"/>
      <c r="UNR1128" s="7"/>
      <c r="UNS1128" s="7"/>
      <c r="UNT1128" s="7"/>
      <c r="UNU1128" s="7"/>
      <c r="UNV1128" s="7"/>
      <c r="UNW1128" s="7"/>
      <c r="UNX1128" s="7"/>
      <c r="UNY1128" s="7"/>
      <c r="UNZ1128" s="7"/>
      <c r="UOA1128" s="7"/>
      <c r="UOB1128" s="7"/>
      <c r="UOC1128" s="7"/>
      <c r="UOD1128" s="7"/>
      <c r="UOE1128" s="7"/>
      <c r="UOF1128" s="7"/>
      <c r="UOG1128" s="7"/>
      <c r="UOH1128" s="7"/>
      <c r="UOI1128" s="7"/>
      <c r="UOJ1128" s="7"/>
      <c r="UOK1128" s="7"/>
      <c r="UOL1128" s="7"/>
      <c r="UOM1128" s="7"/>
      <c r="UON1128" s="7"/>
      <c r="UOO1128" s="7"/>
      <c r="UOP1128" s="7"/>
      <c r="UOQ1128" s="7"/>
      <c r="UOR1128" s="7"/>
      <c r="UOS1128" s="7"/>
      <c r="UOT1128" s="7"/>
      <c r="UOU1128" s="7"/>
      <c r="UOV1128" s="7"/>
      <c r="UOW1128" s="7"/>
      <c r="UOX1128" s="7"/>
      <c r="UOY1128" s="7"/>
      <c r="UOZ1128" s="7"/>
      <c r="UPA1128" s="7"/>
      <c r="UPB1128" s="7"/>
      <c r="UPC1128" s="7"/>
      <c r="UPD1128" s="7"/>
      <c r="UPE1128" s="7"/>
      <c r="UPF1128" s="7"/>
      <c r="UPG1128" s="7"/>
      <c r="UPH1128" s="7"/>
      <c r="UPI1128" s="7"/>
      <c r="UPJ1128" s="7"/>
      <c r="UPK1128" s="7"/>
      <c r="UPL1128" s="7"/>
      <c r="UPM1128" s="7"/>
      <c r="UPN1128" s="7"/>
      <c r="UPO1128" s="7"/>
      <c r="UPP1128" s="7"/>
      <c r="UPQ1128" s="7"/>
      <c r="UPR1128" s="7"/>
      <c r="UPS1128" s="7"/>
      <c r="UPT1128" s="7"/>
      <c r="UPU1128" s="7"/>
      <c r="UPV1128" s="7"/>
      <c r="UPW1128" s="7"/>
      <c r="UPX1128" s="7"/>
      <c r="UPY1128" s="7"/>
      <c r="UPZ1128" s="7"/>
      <c r="UQA1128" s="7"/>
      <c r="UQB1128" s="7"/>
      <c r="UQC1128" s="7"/>
      <c r="UQD1128" s="7"/>
      <c r="UQE1128" s="7"/>
      <c r="UQF1128" s="7"/>
      <c r="UQG1128" s="7"/>
      <c r="UQH1128" s="7"/>
      <c r="UQI1128" s="7"/>
      <c r="UQJ1128" s="7"/>
      <c r="UQK1128" s="7"/>
      <c r="UQL1128" s="7"/>
      <c r="UQM1128" s="7"/>
      <c r="UQN1128" s="7"/>
      <c r="UQO1128" s="7"/>
      <c r="UQP1128" s="7"/>
      <c r="UQQ1128" s="7"/>
      <c r="UQR1128" s="7"/>
      <c r="UQS1128" s="7"/>
      <c r="UQT1128" s="7"/>
      <c r="UQU1128" s="7"/>
      <c r="UQV1128" s="7"/>
      <c r="UQW1128" s="7"/>
      <c r="UQX1128" s="7"/>
      <c r="UQY1128" s="7"/>
      <c r="UQZ1128" s="7"/>
      <c r="URA1128" s="7"/>
      <c r="URB1128" s="7"/>
      <c r="URC1128" s="7"/>
      <c r="URD1128" s="7"/>
      <c r="URE1128" s="7"/>
      <c r="URF1128" s="7"/>
      <c r="URG1128" s="7"/>
      <c r="URH1128" s="7"/>
      <c r="URI1128" s="7"/>
      <c r="URJ1128" s="7"/>
      <c r="URK1128" s="7"/>
      <c r="URL1128" s="7"/>
      <c r="URM1128" s="7"/>
      <c r="URN1128" s="7"/>
      <c r="URO1128" s="7"/>
      <c r="URP1128" s="7"/>
      <c r="URQ1128" s="7"/>
      <c r="URR1128" s="7"/>
      <c r="URS1128" s="7"/>
      <c r="URT1128" s="7"/>
      <c r="URU1128" s="7"/>
      <c r="URV1128" s="7"/>
      <c r="URW1128" s="7"/>
      <c r="URX1128" s="7"/>
      <c r="URY1128" s="7"/>
      <c r="URZ1128" s="7"/>
      <c r="USA1128" s="7"/>
      <c r="USB1128" s="7"/>
      <c r="USC1128" s="7"/>
      <c r="USD1128" s="7"/>
      <c r="USE1128" s="7"/>
      <c r="USF1128" s="7"/>
      <c r="USG1128" s="7"/>
      <c r="USH1128" s="7"/>
      <c r="USI1128" s="7"/>
      <c r="USJ1128" s="7"/>
      <c r="USK1128" s="7"/>
      <c r="USL1128" s="7"/>
      <c r="USM1128" s="7"/>
      <c r="USN1128" s="7"/>
      <c r="USO1128" s="7"/>
      <c r="USP1128" s="7"/>
      <c r="USQ1128" s="7"/>
      <c r="USR1128" s="7"/>
      <c r="USS1128" s="7"/>
      <c r="UST1128" s="7"/>
      <c r="USU1128" s="7"/>
      <c r="USV1128" s="7"/>
      <c r="USW1128" s="7"/>
      <c r="USX1128" s="7"/>
      <c r="USY1128" s="7"/>
      <c r="USZ1128" s="7"/>
      <c r="UTA1128" s="7"/>
      <c r="UTB1128" s="7"/>
      <c r="UTC1128" s="7"/>
      <c r="UTD1128" s="7"/>
      <c r="UTE1128" s="7"/>
      <c r="UTF1128" s="7"/>
      <c r="UTG1128" s="7"/>
      <c r="UTH1128" s="7"/>
      <c r="UTI1128" s="7"/>
      <c r="UTJ1128" s="7"/>
      <c r="UTK1128" s="7"/>
      <c r="UTL1128" s="7"/>
      <c r="UTM1128" s="7"/>
      <c r="UTN1128" s="7"/>
      <c r="UTO1128" s="7"/>
      <c r="UTP1128" s="7"/>
      <c r="UTQ1128" s="7"/>
      <c r="UTR1128" s="7"/>
      <c r="UTS1128" s="7"/>
      <c r="UTT1128" s="7"/>
      <c r="UTU1128" s="7"/>
      <c r="UTV1128" s="7"/>
      <c r="UTW1128" s="7"/>
      <c r="UTX1128" s="7"/>
      <c r="UTY1128" s="7"/>
      <c r="UTZ1128" s="7"/>
      <c r="UUA1128" s="7"/>
      <c r="UUB1128" s="7"/>
      <c r="UUC1128" s="7"/>
      <c r="UUD1128" s="7"/>
      <c r="UUE1128" s="7"/>
      <c r="UUF1128" s="7"/>
      <c r="UUG1128" s="7"/>
      <c r="UUH1128" s="7"/>
      <c r="UUI1128" s="7"/>
      <c r="UUJ1128" s="7"/>
      <c r="UUK1128" s="7"/>
      <c r="UUL1128" s="7"/>
      <c r="UUM1128" s="7"/>
      <c r="UUN1128" s="7"/>
      <c r="UUO1128" s="7"/>
      <c r="UUP1128" s="7"/>
      <c r="UUQ1128" s="7"/>
      <c r="UUR1128" s="7"/>
      <c r="UUS1128" s="7"/>
      <c r="UUT1128" s="7"/>
      <c r="UUU1128" s="7"/>
      <c r="UUV1128" s="7"/>
      <c r="UUW1128" s="7"/>
      <c r="UUX1128" s="7"/>
      <c r="UUY1128" s="7"/>
      <c r="UUZ1128" s="7"/>
      <c r="UVA1128" s="7"/>
      <c r="UVB1128" s="7"/>
      <c r="UVC1128" s="7"/>
      <c r="UVD1128" s="7"/>
      <c r="UVE1128" s="7"/>
      <c r="UVF1128" s="7"/>
      <c r="UVG1128" s="7"/>
      <c r="UVH1128" s="7"/>
      <c r="UVI1128" s="7"/>
      <c r="UVJ1128" s="7"/>
      <c r="UVK1128" s="7"/>
      <c r="UVL1128" s="7"/>
      <c r="UVM1128" s="7"/>
      <c r="UVN1128" s="7"/>
      <c r="UVO1128" s="7"/>
      <c r="UVP1128" s="7"/>
      <c r="UVQ1128" s="7"/>
      <c r="UVR1128" s="7"/>
      <c r="UVS1128" s="7"/>
      <c r="UVT1128" s="7"/>
      <c r="UVU1128" s="7"/>
      <c r="UVV1128" s="7"/>
      <c r="UVW1128" s="7"/>
      <c r="UVX1128" s="7"/>
      <c r="UVY1128" s="7"/>
      <c r="UVZ1128" s="7"/>
      <c r="UWA1128" s="7"/>
      <c r="UWB1128" s="7"/>
      <c r="UWC1128" s="7"/>
      <c r="UWD1128" s="7"/>
      <c r="UWE1128" s="7"/>
      <c r="UWF1128" s="7"/>
      <c r="UWG1128" s="7"/>
      <c r="UWH1128" s="7"/>
      <c r="UWI1128" s="7"/>
      <c r="UWJ1128" s="7"/>
      <c r="UWK1128" s="7"/>
      <c r="UWL1128" s="7"/>
      <c r="UWM1128" s="7"/>
      <c r="UWN1128" s="7"/>
      <c r="UWO1128" s="7"/>
      <c r="UWP1128" s="7"/>
      <c r="UWQ1128" s="7"/>
      <c r="UWR1128" s="7"/>
      <c r="UWS1128" s="7"/>
      <c r="UWT1128" s="7"/>
      <c r="UWU1128" s="7"/>
      <c r="UWV1128" s="7"/>
      <c r="UWW1128" s="7"/>
      <c r="UWX1128" s="7"/>
      <c r="UWY1128" s="7"/>
      <c r="UWZ1128" s="7"/>
      <c r="UXA1128" s="7"/>
      <c r="UXB1128" s="7"/>
      <c r="UXC1128" s="7"/>
      <c r="UXD1128" s="7"/>
      <c r="UXE1128" s="7"/>
      <c r="UXF1128" s="7"/>
      <c r="UXG1128" s="7"/>
      <c r="UXH1128" s="7"/>
      <c r="UXI1128" s="7"/>
      <c r="UXJ1128" s="7"/>
      <c r="UXK1128" s="7"/>
      <c r="UXL1128" s="7"/>
      <c r="UXM1128" s="7"/>
      <c r="UXN1128" s="7"/>
      <c r="UXO1128" s="7"/>
      <c r="UXP1128" s="7"/>
      <c r="UXQ1128" s="7"/>
      <c r="UXR1128" s="7"/>
      <c r="UXS1128" s="7"/>
      <c r="UXT1128" s="7"/>
      <c r="UXU1128" s="7"/>
      <c r="UXV1128" s="7"/>
      <c r="UXW1128" s="7"/>
      <c r="UXX1128" s="7"/>
      <c r="UXY1128" s="7"/>
      <c r="UXZ1128" s="7"/>
      <c r="UYA1128" s="7"/>
      <c r="UYB1128" s="7"/>
      <c r="UYC1128" s="7"/>
      <c r="UYD1128" s="7"/>
      <c r="UYE1128" s="7"/>
      <c r="UYF1128" s="7"/>
      <c r="UYG1128" s="7"/>
      <c r="UYH1128" s="7"/>
      <c r="UYI1128" s="7"/>
      <c r="UYJ1128" s="7"/>
      <c r="UYK1128" s="7"/>
      <c r="UYL1128" s="7"/>
      <c r="UYM1128" s="7"/>
      <c r="UYN1128" s="7"/>
      <c r="UYO1128" s="7"/>
      <c r="UYP1128" s="7"/>
      <c r="UYQ1128" s="7"/>
      <c r="UYR1128" s="7"/>
      <c r="UYS1128" s="7"/>
      <c r="UYT1128" s="7"/>
      <c r="UYU1128" s="7"/>
      <c r="UYV1128" s="7"/>
      <c r="UYW1128" s="7"/>
      <c r="UYX1128" s="7"/>
      <c r="UYY1128" s="7"/>
      <c r="UYZ1128" s="7"/>
      <c r="UZA1128" s="7"/>
      <c r="UZB1128" s="7"/>
      <c r="UZC1128" s="7"/>
      <c r="UZD1128" s="7"/>
      <c r="UZE1128" s="7"/>
      <c r="UZF1128" s="7"/>
      <c r="UZG1128" s="7"/>
      <c r="UZH1128" s="7"/>
      <c r="UZI1128" s="7"/>
      <c r="UZJ1128" s="7"/>
      <c r="UZK1128" s="7"/>
      <c r="UZL1128" s="7"/>
      <c r="UZM1128" s="7"/>
      <c r="UZN1128" s="7"/>
      <c r="UZO1128" s="7"/>
      <c r="UZP1128" s="7"/>
      <c r="UZQ1128" s="7"/>
      <c r="UZR1128" s="7"/>
      <c r="UZS1128" s="7"/>
      <c r="UZT1128" s="7"/>
      <c r="UZU1128" s="7"/>
      <c r="UZV1128" s="7"/>
      <c r="UZW1128" s="7"/>
      <c r="UZX1128" s="7"/>
      <c r="UZY1128" s="7"/>
      <c r="UZZ1128" s="7"/>
      <c r="VAA1128" s="7"/>
      <c r="VAB1128" s="7"/>
      <c r="VAC1128" s="7"/>
      <c r="VAD1128" s="7"/>
      <c r="VAE1128" s="7"/>
      <c r="VAF1128" s="7"/>
      <c r="VAG1128" s="7"/>
      <c r="VAH1128" s="7"/>
      <c r="VAI1128" s="7"/>
      <c r="VAJ1128" s="7"/>
      <c r="VAK1128" s="7"/>
      <c r="VAL1128" s="7"/>
      <c r="VAM1128" s="7"/>
      <c r="VAN1128" s="7"/>
      <c r="VAO1128" s="7"/>
      <c r="VAP1128" s="7"/>
      <c r="VAQ1128" s="7"/>
      <c r="VAR1128" s="7"/>
      <c r="VAS1128" s="7"/>
      <c r="VAT1128" s="7"/>
      <c r="VAU1128" s="7"/>
      <c r="VAV1128" s="7"/>
      <c r="VAW1128" s="7"/>
      <c r="VAX1128" s="7"/>
      <c r="VAY1128" s="7"/>
      <c r="VAZ1128" s="7"/>
      <c r="VBA1128" s="7"/>
      <c r="VBB1128" s="7"/>
      <c r="VBC1128" s="7"/>
      <c r="VBD1128" s="7"/>
      <c r="VBE1128" s="7"/>
      <c r="VBF1128" s="7"/>
      <c r="VBG1128" s="7"/>
      <c r="VBH1128" s="7"/>
      <c r="VBI1128" s="7"/>
      <c r="VBJ1128" s="7"/>
      <c r="VBK1128" s="7"/>
      <c r="VBL1128" s="7"/>
      <c r="VBM1128" s="7"/>
      <c r="VBN1128" s="7"/>
      <c r="VBO1128" s="7"/>
      <c r="VBP1128" s="7"/>
      <c r="VBQ1128" s="7"/>
      <c r="VBR1128" s="7"/>
      <c r="VBS1128" s="7"/>
      <c r="VBT1128" s="7"/>
      <c r="VBU1128" s="7"/>
      <c r="VBV1128" s="7"/>
      <c r="VBW1128" s="7"/>
      <c r="VBX1128" s="7"/>
      <c r="VBY1128" s="7"/>
      <c r="VBZ1128" s="7"/>
      <c r="VCA1128" s="7"/>
      <c r="VCB1128" s="7"/>
      <c r="VCC1128" s="7"/>
      <c r="VCD1128" s="7"/>
      <c r="VCE1128" s="7"/>
      <c r="VCF1128" s="7"/>
      <c r="VCG1128" s="7"/>
      <c r="VCH1128" s="7"/>
      <c r="VCI1128" s="7"/>
      <c r="VCJ1128" s="7"/>
      <c r="VCK1128" s="7"/>
      <c r="VCL1128" s="7"/>
      <c r="VCM1128" s="7"/>
      <c r="VCN1128" s="7"/>
      <c r="VCO1128" s="7"/>
      <c r="VCP1128" s="7"/>
      <c r="VCQ1128" s="7"/>
      <c r="VCR1128" s="7"/>
      <c r="VCS1128" s="7"/>
      <c r="VCT1128" s="7"/>
      <c r="VCU1128" s="7"/>
      <c r="VCV1128" s="7"/>
      <c r="VCW1128" s="7"/>
      <c r="VCX1128" s="7"/>
      <c r="VCY1128" s="7"/>
      <c r="VCZ1128" s="7"/>
      <c r="VDA1128" s="7"/>
      <c r="VDB1128" s="7"/>
      <c r="VDC1128" s="7"/>
      <c r="VDD1128" s="7"/>
      <c r="VDE1128" s="7"/>
      <c r="VDF1128" s="7"/>
      <c r="VDG1128" s="7"/>
      <c r="VDH1128" s="7"/>
      <c r="VDI1128" s="7"/>
      <c r="VDJ1128" s="7"/>
      <c r="VDK1128" s="7"/>
      <c r="VDL1128" s="7"/>
      <c r="VDM1128" s="7"/>
      <c r="VDN1128" s="7"/>
      <c r="VDO1128" s="7"/>
      <c r="VDP1128" s="7"/>
      <c r="VDQ1128" s="7"/>
      <c r="VDR1128" s="7"/>
      <c r="VDS1128" s="7"/>
      <c r="VDT1128" s="7"/>
      <c r="VDU1128" s="7"/>
      <c r="VDV1128" s="7"/>
      <c r="VDW1128" s="7"/>
      <c r="VDX1128" s="7"/>
      <c r="VDY1128" s="7"/>
      <c r="VDZ1128" s="7"/>
      <c r="VEA1128" s="7"/>
      <c r="VEB1128" s="7"/>
      <c r="VEC1128" s="7"/>
      <c r="VED1128" s="7"/>
      <c r="VEE1128" s="7"/>
      <c r="VEF1128" s="7"/>
      <c r="VEG1128" s="7"/>
      <c r="VEH1128" s="7"/>
      <c r="VEI1128" s="7"/>
      <c r="VEJ1128" s="7"/>
      <c r="VEK1128" s="7"/>
      <c r="VEL1128" s="7"/>
      <c r="VEM1128" s="7"/>
      <c r="VEN1128" s="7"/>
      <c r="VEO1128" s="7"/>
      <c r="VEP1128" s="7"/>
      <c r="VEQ1128" s="7"/>
      <c r="VER1128" s="7"/>
      <c r="VES1128" s="7"/>
      <c r="VET1128" s="7"/>
      <c r="VEU1128" s="7"/>
      <c r="VEV1128" s="7"/>
      <c r="VEW1128" s="7"/>
      <c r="VEX1128" s="7"/>
      <c r="VEY1128" s="7"/>
      <c r="VEZ1128" s="7"/>
      <c r="VFA1128" s="7"/>
      <c r="VFB1128" s="7"/>
      <c r="VFC1128" s="7"/>
      <c r="VFD1128" s="7"/>
      <c r="VFE1128" s="7"/>
      <c r="VFF1128" s="7"/>
      <c r="VFG1128" s="7"/>
      <c r="VFH1128" s="7"/>
      <c r="VFI1128" s="7"/>
      <c r="VFJ1128" s="7"/>
      <c r="VFK1128" s="7"/>
      <c r="VFL1128" s="7"/>
      <c r="VFM1128" s="7"/>
      <c r="VFN1128" s="7"/>
      <c r="VFO1128" s="7"/>
      <c r="VFP1128" s="7"/>
      <c r="VFQ1128" s="7"/>
      <c r="VFR1128" s="7"/>
      <c r="VFS1128" s="7"/>
      <c r="VFT1128" s="7"/>
      <c r="VFU1128" s="7"/>
      <c r="VFV1128" s="7"/>
      <c r="VFW1128" s="7"/>
      <c r="VFX1128" s="7"/>
      <c r="VFY1128" s="7"/>
      <c r="VFZ1128" s="7"/>
      <c r="VGA1128" s="7"/>
      <c r="VGB1128" s="7"/>
      <c r="VGC1128" s="7"/>
      <c r="VGD1128" s="7"/>
      <c r="VGE1128" s="7"/>
      <c r="VGF1128" s="7"/>
      <c r="VGG1128" s="7"/>
      <c r="VGH1128" s="7"/>
      <c r="VGI1128" s="7"/>
      <c r="VGJ1128" s="7"/>
      <c r="VGK1128" s="7"/>
      <c r="VGL1128" s="7"/>
      <c r="VGM1128" s="7"/>
      <c r="VGN1128" s="7"/>
      <c r="VGO1128" s="7"/>
      <c r="VGP1128" s="7"/>
      <c r="VGQ1128" s="7"/>
      <c r="VGR1128" s="7"/>
      <c r="VGS1128" s="7"/>
      <c r="VGT1128" s="7"/>
      <c r="VGU1128" s="7"/>
      <c r="VGV1128" s="7"/>
      <c r="VGW1128" s="7"/>
      <c r="VGX1128" s="7"/>
      <c r="VGY1128" s="7"/>
      <c r="VGZ1128" s="7"/>
      <c r="VHA1128" s="7"/>
      <c r="VHB1128" s="7"/>
      <c r="VHC1128" s="7"/>
      <c r="VHD1128" s="7"/>
      <c r="VHE1128" s="7"/>
      <c r="VHF1128" s="7"/>
      <c r="VHG1128" s="7"/>
      <c r="VHH1128" s="7"/>
      <c r="VHI1128" s="7"/>
      <c r="VHJ1128" s="7"/>
      <c r="VHK1128" s="7"/>
      <c r="VHL1128" s="7"/>
      <c r="VHM1128" s="7"/>
      <c r="VHN1128" s="7"/>
      <c r="VHO1128" s="7"/>
      <c r="VHP1128" s="7"/>
      <c r="VHQ1128" s="7"/>
      <c r="VHR1128" s="7"/>
      <c r="VHS1128" s="7"/>
      <c r="VHT1128" s="7"/>
      <c r="VHU1128" s="7"/>
      <c r="VHV1128" s="7"/>
      <c r="VHW1128" s="7"/>
      <c r="VHX1128" s="7"/>
      <c r="VHY1128" s="7"/>
      <c r="VHZ1128" s="7"/>
      <c r="VIA1128" s="7"/>
      <c r="VIB1128" s="7"/>
      <c r="VIC1128" s="7"/>
      <c r="VID1128" s="7"/>
      <c r="VIE1128" s="7"/>
      <c r="VIF1128" s="7"/>
      <c r="VIG1128" s="7"/>
      <c r="VIH1128" s="7"/>
      <c r="VII1128" s="7"/>
      <c r="VIJ1128" s="7"/>
      <c r="VIK1128" s="7"/>
      <c r="VIL1128" s="7"/>
      <c r="VIM1128" s="7"/>
      <c r="VIN1128" s="7"/>
      <c r="VIO1128" s="7"/>
      <c r="VIP1128" s="7"/>
      <c r="VIQ1128" s="7"/>
      <c r="VIR1128" s="7"/>
      <c r="VIS1128" s="7"/>
      <c r="VIT1128" s="7"/>
      <c r="VIU1128" s="7"/>
      <c r="VIV1128" s="7"/>
      <c r="VIW1128" s="7"/>
      <c r="VIX1128" s="7"/>
      <c r="VIY1128" s="7"/>
      <c r="VIZ1128" s="7"/>
      <c r="VJA1128" s="7"/>
      <c r="VJB1128" s="7"/>
      <c r="VJC1128" s="7"/>
      <c r="VJD1128" s="7"/>
      <c r="VJE1128" s="7"/>
      <c r="VJF1128" s="7"/>
      <c r="VJG1128" s="7"/>
      <c r="VJH1128" s="7"/>
      <c r="VJI1128" s="7"/>
      <c r="VJJ1128" s="7"/>
      <c r="VJK1128" s="7"/>
      <c r="VJL1128" s="7"/>
      <c r="VJM1128" s="7"/>
      <c r="VJN1128" s="7"/>
      <c r="VJO1128" s="7"/>
      <c r="VJP1128" s="7"/>
      <c r="VJQ1128" s="7"/>
      <c r="VJR1128" s="7"/>
      <c r="VJS1128" s="7"/>
      <c r="VJT1128" s="7"/>
      <c r="VJU1128" s="7"/>
      <c r="VJV1128" s="7"/>
      <c r="VJW1128" s="7"/>
      <c r="VJX1128" s="7"/>
      <c r="VJY1128" s="7"/>
      <c r="VJZ1128" s="7"/>
      <c r="VKA1128" s="7"/>
      <c r="VKB1128" s="7"/>
      <c r="VKC1128" s="7"/>
      <c r="VKD1128" s="7"/>
      <c r="VKE1128" s="7"/>
      <c r="VKF1128" s="7"/>
      <c r="VKG1128" s="7"/>
      <c r="VKH1128" s="7"/>
      <c r="VKI1128" s="7"/>
      <c r="VKJ1128" s="7"/>
      <c r="VKK1128" s="7"/>
      <c r="VKL1128" s="7"/>
      <c r="VKM1128" s="7"/>
      <c r="VKN1128" s="7"/>
      <c r="VKO1128" s="7"/>
      <c r="VKP1128" s="7"/>
      <c r="VKQ1128" s="7"/>
      <c r="VKR1128" s="7"/>
      <c r="VKS1128" s="7"/>
      <c r="VKT1128" s="7"/>
      <c r="VKU1128" s="7"/>
      <c r="VKV1128" s="7"/>
      <c r="VKW1128" s="7"/>
      <c r="VKX1128" s="7"/>
      <c r="VKY1128" s="7"/>
      <c r="VKZ1128" s="7"/>
      <c r="VLA1128" s="7"/>
      <c r="VLB1128" s="7"/>
      <c r="VLC1128" s="7"/>
      <c r="VLD1128" s="7"/>
      <c r="VLE1128" s="7"/>
      <c r="VLF1128" s="7"/>
      <c r="VLG1128" s="7"/>
      <c r="VLH1128" s="7"/>
      <c r="VLI1128" s="7"/>
      <c r="VLJ1128" s="7"/>
      <c r="VLK1128" s="7"/>
      <c r="VLL1128" s="7"/>
      <c r="VLM1128" s="7"/>
      <c r="VLN1128" s="7"/>
      <c r="VLO1128" s="7"/>
      <c r="VLP1128" s="7"/>
      <c r="VLQ1128" s="7"/>
      <c r="VLR1128" s="7"/>
      <c r="VLS1128" s="7"/>
      <c r="VLT1128" s="7"/>
      <c r="VLU1128" s="7"/>
      <c r="VLV1128" s="7"/>
      <c r="VLW1128" s="7"/>
      <c r="VLX1128" s="7"/>
      <c r="VLY1128" s="7"/>
      <c r="VLZ1128" s="7"/>
      <c r="VMA1128" s="7"/>
      <c r="VMB1128" s="7"/>
      <c r="VMC1128" s="7"/>
      <c r="VMD1128" s="7"/>
      <c r="VME1128" s="7"/>
      <c r="VMF1128" s="7"/>
      <c r="VMG1128" s="7"/>
      <c r="VMH1128" s="7"/>
      <c r="VMI1128" s="7"/>
      <c r="VMJ1128" s="7"/>
      <c r="VMK1128" s="7"/>
      <c r="VML1128" s="7"/>
      <c r="VMM1128" s="7"/>
      <c r="VMN1128" s="7"/>
      <c r="VMO1128" s="7"/>
      <c r="VMP1128" s="7"/>
      <c r="VMQ1128" s="7"/>
      <c r="VMR1128" s="7"/>
      <c r="VMS1128" s="7"/>
      <c r="VMT1128" s="7"/>
      <c r="VMU1128" s="7"/>
      <c r="VMV1128" s="7"/>
      <c r="VMW1128" s="7"/>
      <c r="VMX1128" s="7"/>
      <c r="VMY1128" s="7"/>
      <c r="VMZ1128" s="7"/>
      <c r="VNA1128" s="7"/>
      <c r="VNB1128" s="7"/>
      <c r="VNC1128" s="7"/>
      <c r="VND1128" s="7"/>
      <c r="VNE1128" s="7"/>
      <c r="VNF1128" s="7"/>
      <c r="VNG1128" s="7"/>
      <c r="VNH1128" s="7"/>
      <c r="VNI1128" s="7"/>
      <c r="VNJ1128" s="7"/>
      <c r="VNK1128" s="7"/>
      <c r="VNL1128" s="7"/>
      <c r="VNM1128" s="7"/>
      <c r="VNN1128" s="7"/>
      <c r="VNO1128" s="7"/>
      <c r="VNP1128" s="7"/>
      <c r="VNQ1128" s="7"/>
      <c r="VNR1128" s="7"/>
      <c r="VNS1128" s="7"/>
      <c r="VNT1128" s="7"/>
      <c r="VNU1128" s="7"/>
      <c r="VNV1128" s="7"/>
      <c r="VNW1128" s="7"/>
      <c r="VNX1128" s="7"/>
      <c r="VNY1128" s="7"/>
      <c r="VNZ1128" s="7"/>
      <c r="VOA1128" s="7"/>
      <c r="VOB1128" s="7"/>
      <c r="VOC1128" s="7"/>
      <c r="VOD1128" s="7"/>
      <c r="VOE1128" s="7"/>
      <c r="VOF1128" s="7"/>
      <c r="VOG1128" s="7"/>
      <c r="VOH1128" s="7"/>
      <c r="VOI1128" s="7"/>
      <c r="VOJ1128" s="7"/>
      <c r="VOK1128" s="7"/>
      <c r="VOL1128" s="7"/>
      <c r="VOM1128" s="7"/>
      <c r="VON1128" s="7"/>
      <c r="VOO1128" s="7"/>
      <c r="VOP1128" s="7"/>
      <c r="VOQ1128" s="7"/>
      <c r="VOR1128" s="7"/>
      <c r="VOS1128" s="7"/>
      <c r="VOT1128" s="7"/>
      <c r="VOU1128" s="7"/>
      <c r="VOV1128" s="7"/>
      <c r="VOW1128" s="7"/>
      <c r="VOX1128" s="7"/>
      <c r="VOY1128" s="7"/>
      <c r="VOZ1128" s="7"/>
      <c r="VPA1128" s="7"/>
      <c r="VPB1128" s="7"/>
      <c r="VPC1128" s="7"/>
      <c r="VPD1128" s="7"/>
      <c r="VPE1128" s="7"/>
      <c r="VPF1128" s="7"/>
      <c r="VPG1128" s="7"/>
      <c r="VPH1128" s="7"/>
      <c r="VPI1128" s="7"/>
      <c r="VPJ1128" s="7"/>
      <c r="VPK1128" s="7"/>
      <c r="VPL1128" s="7"/>
      <c r="VPM1128" s="7"/>
      <c r="VPN1128" s="7"/>
      <c r="VPO1128" s="7"/>
      <c r="VPP1128" s="7"/>
      <c r="VPQ1128" s="7"/>
      <c r="VPR1128" s="7"/>
      <c r="VPS1128" s="7"/>
      <c r="VPT1128" s="7"/>
      <c r="VPU1128" s="7"/>
      <c r="VPV1128" s="7"/>
      <c r="VPW1128" s="7"/>
      <c r="VPX1128" s="7"/>
      <c r="VPY1128" s="7"/>
      <c r="VPZ1128" s="7"/>
      <c r="VQA1128" s="7"/>
      <c r="VQB1128" s="7"/>
      <c r="VQC1128" s="7"/>
      <c r="VQD1128" s="7"/>
      <c r="VQE1128" s="7"/>
      <c r="VQF1128" s="7"/>
      <c r="VQG1128" s="7"/>
      <c r="VQH1128" s="7"/>
      <c r="VQI1128" s="7"/>
      <c r="VQJ1128" s="7"/>
      <c r="VQK1128" s="7"/>
      <c r="VQL1128" s="7"/>
      <c r="VQM1128" s="7"/>
      <c r="VQN1128" s="7"/>
      <c r="VQO1128" s="7"/>
      <c r="VQP1128" s="7"/>
      <c r="VQQ1128" s="7"/>
      <c r="VQR1128" s="7"/>
      <c r="VQS1128" s="7"/>
      <c r="VQT1128" s="7"/>
      <c r="VQU1128" s="7"/>
      <c r="VQV1128" s="7"/>
      <c r="VQW1128" s="7"/>
      <c r="VQX1128" s="7"/>
      <c r="VQY1128" s="7"/>
      <c r="VQZ1128" s="7"/>
      <c r="VRA1128" s="7"/>
      <c r="VRB1128" s="7"/>
      <c r="VRC1128" s="7"/>
      <c r="VRD1128" s="7"/>
      <c r="VRE1128" s="7"/>
      <c r="VRF1128" s="7"/>
      <c r="VRG1128" s="7"/>
      <c r="VRH1128" s="7"/>
      <c r="VRI1128" s="7"/>
      <c r="VRJ1128" s="7"/>
      <c r="VRK1128" s="7"/>
      <c r="VRL1128" s="7"/>
      <c r="VRM1128" s="7"/>
      <c r="VRN1128" s="7"/>
      <c r="VRO1128" s="7"/>
      <c r="VRP1128" s="7"/>
      <c r="VRQ1128" s="7"/>
      <c r="VRR1128" s="7"/>
      <c r="VRS1128" s="7"/>
      <c r="VRT1128" s="7"/>
      <c r="VRU1128" s="7"/>
      <c r="VRV1128" s="7"/>
      <c r="VRW1128" s="7"/>
      <c r="VRX1128" s="7"/>
      <c r="VRY1128" s="7"/>
      <c r="VRZ1128" s="7"/>
      <c r="VSA1128" s="7"/>
      <c r="VSB1128" s="7"/>
      <c r="VSC1128" s="7"/>
      <c r="VSD1128" s="7"/>
      <c r="VSE1128" s="7"/>
      <c r="VSF1128" s="7"/>
      <c r="VSG1128" s="7"/>
      <c r="VSH1128" s="7"/>
      <c r="VSI1128" s="7"/>
      <c r="VSJ1128" s="7"/>
      <c r="VSK1128" s="7"/>
      <c r="VSL1128" s="7"/>
      <c r="VSM1128" s="7"/>
      <c r="VSN1128" s="7"/>
      <c r="VSO1128" s="7"/>
      <c r="VSP1128" s="7"/>
      <c r="VSQ1128" s="7"/>
      <c r="VSR1128" s="7"/>
      <c r="VSS1128" s="7"/>
      <c r="VST1128" s="7"/>
      <c r="VSU1128" s="7"/>
      <c r="VSV1128" s="7"/>
      <c r="VSW1128" s="7"/>
      <c r="VSX1128" s="7"/>
      <c r="VSY1128" s="7"/>
      <c r="VSZ1128" s="7"/>
      <c r="VTA1128" s="7"/>
      <c r="VTB1128" s="7"/>
      <c r="VTC1128" s="7"/>
      <c r="VTD1128" s="7"/>
      <c r="VTE1128" s="7"/>
      <c r="VTF1128" s="7"/>
      <c r="VTG1128" s="7"/>
      <c r="VTH1128" s="7"/>
      <c r="VTI1128" s="7"/>
      <c r="VTJ1128" s="7"/>
      <c r="VTK1128" s="7"/>
      <c r="VTL1128" s="7"/>
      <c r="VTM1128" s="7"/>
      <c r="VTN1128" s="7"/>
      <c r="VTO1128" s="7"/>
      <c r="VTP1128" s="7"/>
      <c r="VTQ1128" s="7"/>
      <c r="VTR1128" s="7"/>
      <c r="VTS1128" s="7"/>
      <c r="VTT1128" s="7"/>
      <c r="VTU1128" s="7"/>
      <c r="VTV1128" s="7"/>
      <c r="VTW1128" s="7"/>
      <c r="VTX1128" s="7"/>
      <c r="VTY1128" s="7"/>
      <c r="VTZ1128" s="7"/>
      <c r="VUA1128" s="7"/>
      <c r="VUB1128" s="7"/>
      <c r="VUC1128" s="7"/>
      <c r="VUD1128" s="7"/>
      <c r="VUE1128" s="7"/>
      <c r="VUF1128" s="7"/>
      <c r="VUG1128" s="7"/>
      <c r="VUH1128" s="7"/>
      <c r="VUI1128" s="7"/>
      <c r="VUJ1128" s="7"/>
      <c r="VUK1128" s="7"/>
      <c r="VUL1128" s="7"/>
      <c r="VUM1128" s="7"/>
      <c r="VUN1128" s="7"/>
      <c r="VUO1128" s="7"/>
      <c r="VUP1128" s="7"/>
      <c r="VUQ1128" s="7"/>
      <c r="VUR1128" s="7"/>
      <c r="VUS1128" s="7"/>
      <c r="VUT1128" s="7"/>
      <c r="VUU1128" s="7"/>
      <c r="VUV1128" s="7"/>
      <c r="VUW1128" s="7"/>
      <c r="VUX1128" s="7"/>
      <c r="VUY1128" s="7"/>
      <c r="VUZ1128" s="7"/>
      <c r="VVA1128" s="7"/>
      <c r="VVB1128" s="7"/>
      <c r="VVC1128" s="7"/>
      <c r="VVD1128" s="7"/>
      <c r="VVE1128" s="7"/>
      <c r="VVF1128" s="7"/>
      <c r="VVG1128" s="7"/>
      <c r="VVH1128" s="7"/>
      <c r="VVI1128" s="7"/>
      <c r="VVJ1128" s="7"/>
      <c r="VVK1128" s="7"/>
      <c r="VVL1128" s="7"/>
      <c r="VVM1128" s="7"/>
      <c r="VVN1128" s="7"/>
      <c r="VVO1128" s="7"/>
      <c r="VVP1128" s="7"/>
      <c r="VVQ1128" s="7"/>
      <c r="VVR1128" s="7"/>
      <c r="VVS1128" s="7"/>
      <c r="VVT1128" s="7"/>
      <c r="VVU1128" s="7"/>
      <c r="VVV1128" s="7"/>
      <c r="VVW1128" s="7"/>
      <c r="VVX1128" s="7"/>
      <c r="VVY1128" s="7"/>
      <c r="VVZ1128" s="7"/>
      <c r="VWA1128" s="7"/>
      <c r="VWB1128" s="7"/>
      <c r="VWC1128" s="7"/>
      <c r="VWD1128" s="7"/>
      <c r="VWE1128" s="7"/>
      <c r="VWF1128" s="7"/>
      <c r="VWG1128" s="7"/>
      <c r="VWH1128" s="7"/>
      <c r="VWI1128" s="7"/>
      <c r="VWJ1128" s="7"/>
      <c r="VWK1128" s="7"/>
      <c r="VWL1128" s="7"/>
      <c r="VWM1128" s="7"/>
      <c r="VWN1128" s="7"/>
      <c r="VWO1128" s="7"/>
      <c r="VWP1128" s="7"/>
      <c r="VWQ1128" s="7"/>
      <c r="VWR1128" s="7"/>
      <c r="VWS1128" s="7"/>
      <c r="VWT1128" s="7"/>
      <c r="VWU1128" s="7"/>
      <c r="VWV1128" s="7"/>
      <c r="VWW1128" s="7"/>
      <c r="VWX1128" s="7"/>
      <c r="VWY1128" s="7"/>
      <c r="VWZ1128" s="7"/>
      <c r="VXA1128" s="7"/>
      <c r="VXB1128" s="7"/>
      <c r="VXC1128" s="7"/>
      <c r="VXD1128" s="7"/>
      <c r="VXE1128" s="7"/>
      <c r="VXF1128" s="7"/>
      <c r="VXG1128" s="7"/>
      <c r="VXH1128" s="7"/>
      <c r="VXI1128" s="7"/>
      <c r="VXJ1128" s="7"/>
      <c r="VXK1128" s="7"/>
      <c r="VXL1128" s="7"/>
      <c r="VXM1128" s="7"/>
      <c r="VXN1128" s="7"/>
      <c r="VXO1128" s="7"/>
      <c r="VXP1128" s="7"/>
      <c r="VXQ1128" s="7"/>
      <c r="VXR1128" s="7"/>
      <c r="VXS1128" s="7"/>
      <c r="VXT1128" s="7"/>
      <c r="VXU1128" s="7"/>
      <c r="VXV1128" s="7"/>
      <c r="VXW1128" s="7"/>
      <c r="VXX1128" s="7"/>
      <c r="VXY1128" s="7"/>
      <c r="VXZ1128" s="7"/>
      <c r="VYA1128" s="7"/>
      <c r="VYB1128" s="7"/>
      <c r="VYC1128" s="7"/>
      <c r="VYD1128" s="7"/>
      <c r="VYE1128" s="7"/>
      <c r="VYF1128" s="7"/>
      <c r="VYG1128" s="7"/>
      <c r="VYH1128" s="7"/>
      <c r="VYI1128" s="7"/>
      <c r="VYJ1128" s="7"/>
      <c r="VYK1128" s="7"/>
      <c r="VYL1128" s="7"/>
      <c r="VYM1128" s="7"/>
      <c r="VYN1128" s="7"/>
      <c r="VYO1128" s="7"/>
      <c r="VYP1128" s="7"/>
      <c r="VYQ1128" s="7"/>
      <c r="VYR1128" s="7"/>
      <c r="VYS1128" s="7"/>
      <c r="VYT1128" s="7"/>
      <c r="VYU1128" s="7"/>
      <c r="VYV1128" s="7"/>
      <c r="VYW1128" s="7"/>
      <c r="VYX1128" s="7"/>
      <c r="VYY1128" s="7"/>
      <c r="VYZ1128" s="7"/>
      <c r="VZA1128" s="7"/>
      <c r="VZB1128" s="7"/>
      <c r="VZC1128" s="7"/>
      <c r="VZD1128" s="7"/>
      <c r="VZE1128" s="7"/>
      <c r="VZF1128" s="7"/>
      <c r="VZG1128" s="7"/>
      <c r="VZH1128" s="7"/>
      <c r="VZI1128" s="7"/>
      <c r="VZJ1128" s="7"/>
      <c r="VZK1128" s="7"/>
      <c r="VZL1128" s="7"/>
      <c r="VZM1128" s="7"/>
      <c r="VZN1128" s="7"/>
      <c r="VZO1128" s="7"/>
      <c r="VZP1128" s="7"/>
      <c r="VZQ1128" s="7"/>
      <c r="VZR1128" s="7"/>
      <c r="VZS1128" s="7"/>
      <c r="VZT1128" s="7"/>
      <c r="VZU1128" s="7"/>
      <c r="VZV1128" s="7"/>
      <c r="VZW1128" s="7"/>
      <c r="VZX1128" s="7"/>
      <c r="VZY1128" s="7"/>
      <c r="VZZ1128" s="7"/>
      <c r="WAA1128" s="7"/>
      <c r="WAB1128" s="7"/>
      <c r="WAC1128" s="7"/>
      <c r="WAD1128" s="7"/>
      <c r="WAE1128" s="7"/>
      <c r="WAF1128" s="7"/>
      <c r="WAG1128" s="7"/>
      <c r="WAH1128" s="7"/>
      <c r="WAI1128" s="7"/>
      <c r="WAJ1128" s="7"/>
      <c r="WAK1128" s="7"/>
      <c r="WAL1128" s="7"/>
      <c r="WAM1128" s="7"/>
      <c r="WAN1128" s="7"/>
      <c r="WAO1128" s="7"/>
      <c r="WAP1128" s="7"/>
      <c r="WAQ1128" s="7"/>
      <c r="WAR1128" s="7"/>
      <c r="WAS1128" s="7"/>
      <c r="WAT1128" s="7"/>
      <c r="WAU1128" s="7"/>
      <c r="WAV1128" s="7"/>
      <c r="WAW1128" s="7"/>
      <c r="WAX1128" s="7"/>
      <c r="WAY1128" s="7"/>
      <c r="WAZ1128" s="7"/>
      <c r="WBA1128" s="7"/>
      <c r="WBB1128" s="7"/>
      <c r="WBC1128" s="7"/>
      <c r="WBD1128" s="7"/>
      <c r="WBE1128" s="7"/>
      <c r="WBF1128" s="7"/>
      <c r="WBG1128" s="7"/>
      <c r="WBH1128" s="7"/>
      <c r="WBI1128" s="7"/>
      <c r="WBJ1128" s="7"/>
      <c r="WBK1128" s="7"/>
      <c r="WBL1128" s="7"/>
      <c r="WBM1128" s="7"/>
      <c r="WBN1128" s="7"/>
      <c r="WBO1128" s="7"/>
      <c r="WBP1128" s="7"/>
      <c r="WBQ1128" s="7"/>
      <c r="WBR1128" s="7"/>
      <c r="WBS1128" s="7"/>
      <c r="WBT1128" s="7"/>
      <c r="WBU1128" s="7"/>
      <c r="WBV1128" s="7"/>
      <c r="WBW1128" s="7"/>
      <c r="WBX1128" s="7"/>
      <c r="WBY1128" s="7"/>
      <c r="WBZ1128" s="7"/>
      <c r="WCA1128" s="7"/>
      <c r="WCB1128" s="7"/>
      <c r="WCC1128" s="7"/>
      <c r="WCD1128" s="7"/>
      <c r="WCE1128" s="7"/>
      <c r="WCF1128" s="7"/>
      <c r="WCG1128" s="7"/>
      <c r="WCH1128" s="7"/>
      <c r="WCI1128" s="7"/>
      <c r="WCJ1128" s="7"/>
      <c r="WCK1128" s="7"/>
      <c r="WCL1128" s="7"/>
      <c r="WCM1128" s="7"/>
      <c r="WCN1128" s="7"/>
      <c r="WCO1128" s="7"/>
      <c r="WCP1128" s="7"/>
      <c r="WCQ1128" s="7"/>
      <c r="WCR1128" s="7"/>
      <c r="WCS1128" s="7"/>
      <c r="WCT1128" s="7"/>
      <c r="WCU1128" s="7"/>
      <c r="WCV1128" s="7"/>
      <c r="WCW1128" s="7"/>
      <c r="WCX1128" s="7"/>
      <c r="WCY1128" s="7"/>
      <c r="WCZ1128" s="7"/>
      <c r="WDA1128" s="7"/>
      <c r="WDB1128" s="7"/>
      <c r="WDC1128" s="7"/>
      <c r="WDD1128" s="7"/>
      <c r="WDE1128" s="7"/>
      <c r="WDF1128" s="7"/>
      <c r="WDG1128" s="7"/>
      <c r="WDH1128" s="7"/>
      <c r="WDI1128" s="7"/>
      <c r="WDJ1128" s="7"/>
      <c r="WDK1128" s="7"/>
      <c r="WDL1128" s="7"/>
      <c r="WDM1128" s="7"/>
      <c r="WDN1128" s="7"/>
      <c r="WDO1128" s="7"/>
      <c r="WDP1128" s="7"/>
      <c r="WDQ1128" s="7"/>
      <c r="WDR1128" s="7"/>
      <c r="WDS1128" s="7"/>
      <c r="WDT1128" s="7"/>
      <c r="WDU1128" s="7"/>
      <c r="WDV1128" s="7"/>
      <c r="WDW1128" s="7"/>
      <c r="WDX1128" s="7"/>
      <c r="WDY1128" s="7"/>
      <c r="WDZ1128" s="7"/>
      <c r="WEA1128" s="7"/>
      <c r="WEB1128" s="7"/>
      <c r="WEC1128" s="7"/>
      <c r="WED1128" s="7"/>
      <c r="WEE1128" s="7"/>
      <c r="WEF1128" s="7"/>
      <c r="WEG1128" s="7"/>
      <c r="WEH1128" s="7"/>
      <c r="WEI1128" s="7"/>
      <c r="WEJ1128" s="7"/>
      <c r="WEK1128" s="7"/>
      <c r="WEL1128" s="7"/>
      <c r="WEM1128" s="7"/>
      <c r="WEN1128" s="7"/>
      <c r="WEO1128" s="7"/>
      <c r="WEP1128" s="7"/>
      <c r="WEQ1128" s="7"/>
      <c r="WER1128" s="7"/>
      <c r="WES1128" s="7"/>
      <c r="WET1128" s="7"/>
      <c r="WEU1128" s="7"/>
      <c r="WEV1128" s="7"/>
      <c r="WEW1128" s="7"/>
      <c r="WEX1128" s="7"/>
      <c r="WEY1128" s="7"/>
      <c r="WEZ1128" s="7"/>
      <c r="WFA1128" s="7"/>
      <c r="WFB1128" s="7"/>
      <c r="WFC1128" s="7"/>
      <c r="WFD1128" s="7"/>
      <c r="WFE1128" s="7"/>
      <c r="WFF1128" s="7"/>
      <c r="WFG1128" s="7"/>
      <c r="WFH1128" s="7"/>
      <c r="WFI1128" s="7"/>
      <c r="WFJ1128" s="7"/>
      <c r="WFK1128" s="7"/>
      <c r="WFL1128" s="7"/>
      <c r="WFM1128" s="7"/>
      <c r="WFN1128" s="7"/>
      <c r="WFO1128" s="7"/>
      <c r="WFP1128" s="7"/>
      <c r="WFQ1128" s="7"/>
      <c r="WFR1128" s="7"/>
      <c r="WFS1128" s="7"/>
      <c r="WFT1128" s="7"/>
      <c r="WFU1128" s="7"/>
      <c r="WFV1128" s="7"/>
      <c r="WFW1128" s="7"/>
      <c r="WFX1128" s="7"/>
      <c r="WFY1128" s="7"/>
      <c r="WFZ1128" s="7"/>
      <c r="WGA1128" s="7"/>
      <c r="WGB1128" s="7"/>
      <c r="WGC1128" s="7"/>
      <c r="WGD1128" s="7"/>
      <c r="WGE1128" s="7"/>
      <c r="WGF1128" s="7"/>
      <c r="WGG1128" s="7"/>
      <c r="WGH1128" s="7"/>
      <c r="WGI1128" s="7"/>
      <c r="WGJ1128" s="7"/>
      <c r="WGK1128" s="7"/>
      <c r="WGL1128" s="7"/>
      <c r="WGM1128" s="7"/>
      <c r="WGN1128" s="7"/>
      <c r="WGO1128" s="7"/>
      <c r="WGP1128" s="7"/>
      <c r="WGQ1128" s="7"/>
      <c r="WGR1128" s="7"/>
      <c r="WGS1128" s="7"/>
      <c r="WGT1128" s="7"/>
      <c r="WGU1128" s="7"/>
      <c r="WGV1128" s="7"/>
      <c r="WGW1128" s="7"/>
      <c r="WGX1128" s="7"/>
      <c r="WGY1128" s="7"/>
      <c r="WGZ1128" s="7"/>
      <c r="WHA1128" s="7"/>
      <c r="WHB1128" s="7"/>
      <c r="WHC1128" s="7"/>
      <c r="WHD1128" s="7"/>
      <c r="WHE1128" s="7"/>
      <c r="WHF1128" s="7"/>
      <c r="WHG1128" s="7"/>
      <c r="WHH1128" s="7"/>
      <c r="WHI1128" s="7"/>
      <c r="WHJ1128" s="7"/>
      <c r="WHK1128" s="7"/>
      <c r="WHL1128" s="7"/>
      <c r="WHM1128" s="7"/>
      <c r="WHN1128" s="7"/>
      <c r="WHO1128" s="7"/>
      <c r="WHP1128" s="7"/>
      <c r="WHQ1128" s="7"/>
      <c r="WHR1128" s="7"/>
      <c r="WHS1128" s="7"/>
      <c r="WHT1128" s="7"/>
      <c r="WHU1128" s="7"/>
      <c r="WHV1128" s="7"/>
      <c r="WHW1128" s="7"/>
      <c r="WHX1128" s="7"/>
      <c r="WHY1128" s="7"/>
      <c r="WHZ1128" s="7"/>
      <c r="WIA1128" s="7"/>
      <c r="WIB1128" s="7"/>
      <c r="WIC1128" s="7"/>
      <c r="WID1128" s="7"/>
      <c r="WIE1128" s="7"/>
      <c r="WIF1128" s="7"/>
      <c r="WIG1128" s="7"/>
      <c r="WIH1128" s="7"/>
      <c r="WII1128" s="7"/>
      <c r="WIJ1128" s="7"/>
      <c r="WIK1128" s="7"/>
      <c r="WIL1128" s="7"/>
      <c r="WIM1128" s="7"/>
      <c r="WIN1128" s="7"/>
      <c r="WIO1128" s="7"/>
      <c r="WIP1128" s="7"/>
      <c r="WIQ1128" s="7"/>
      <c r="WIR1128" s="7"/>
      <c r="WIS1128" s="7"/>
      <c r="WIT1128" s="7"/>
      <c r="WIU1128" s="7"/>
      <c r="WIV1128" s="7"/>
      <c r="WIW1128" s="7"/>
      <c r="WIX1128" s="7"/>
      <c r="WIY1128" s="7"/>
      <c r="WIZ1128" s="7"/>
      <c r="WJA1128" s="7"/>
      <c r="WJB1128" s="7"/>
      <c r="WJC1128" s="7"/>
      <c r="WJD1128" s="7"/>
      <c r="WJE1128" s="7"/>
      <c r="WJF1128" s="7"/>
      <c r="WJG1128" s="7"/>
      <c r="WJH1128" s="7"/>
      <c r="WJI1128" s="7"/>
      <c r="WJJ1128" s="7"/>
      <c r="WJK1128" s="7"/>
      <c r="WJL1128" s="7"/>
      <c r="WJM1128" s="7"/>
      <c r="WJN1128" s="7"/>
      <c r="WJO1128" s="7"/>
      <c r="WJP1128" s="7"/>
      <c r="WJQ1128" s="7"/>
      <c r="WJR1128" s="7"/>
      <c r="WJS1128" s="7"/>
      <c r="WJT1128" s="7"/>
      <c r="WJU1128" s="7"/>
      <c r="WJV1128" s="7"/>
      <c r="WJW1128" s="7"/>
      <c r="WJX1128" s="7"/>
      <c r="WJY1128" s="7"/>
      <c r="WJZ1128" s="7"/>
      <c r="WKA1128" s="7"/>
      <c r="WKB1128" s="7"/>
      <c r="WKC1128" s="7"/>
      <c r="WKD1128" s="7"/>
      <c r="WKE1128" s="7"/>
      <c r="WKF1128" s="7"/>
      <c r="WKG1128" s="7"/>
      <c r="WKH1128" s="7"/>
      <c r="WKI1128" s="7"/>
      <c r="WKJ1128" s="7"/>
      <c r="WKK1128" s="7"/>
      <c r="WKL1128" s="7"/>
      <c r="WKM1128" s="7"/>
      <c r="WKN1128" s="7"/>
      <c r="WKO1128" s="7"/>
      <c r="WKP1128" s="7"/>
      <c r="WKQ1128" s="7"/>
      <c r="WKR1128" s="7"/>
      <c r="WKS1128" s="7"/>
      <c r="WKT1128" s="7"/>
      <c r="WKU1128" s="7"/>
      <c r="WKV1128" s="7"/>
      <c r="WKW1128" s="7"/>
      <c r="WKX1128" s="7"/>
      <c r="WKY1128" s="7"/>
      <c r="WKZ1128" s="7"/>
      <c r="WLA1128" s="7"/>
      <c r="WLB1128" s="7"/>
      <c r="WLC1128" s="7"/>
      <c r="WLD1128" s="7"/>
      <c r="WLE1128" s="7"/>
      <c r="WLF1128" s="7"/>
      <c r="WLG1128" s="7"/>
      <c r="WLH1128" s="7"/>
      <c r="WLI1128" s="7"/>
      <c r="WLJ1128" s="7"/>
      <c r="WLK1128" s="7"/>
      <c r="WLL1128" s="7"/>
      <c r="WLM1128" s="7"/>
      <c r="WLN1128" s="7"/>
      <c r="WLO1128" s="7"/>
      <c r="WLP1128" s="7"/>
      <c r="WLQ1128" s="7"/>
      <c r="WLR1128" s="7"/>
      <c r="WLS1128" s="7"/>
      <c r="WLT1128" s="7"/>
      <c r="WLU1128" s="7"/>
      <c r="WLV1128" s="7"/>
      <c r="WLW1128" s="7"/>
      <c r="WLX1128" s="7"/>
      <c r="WLY1128" s="7"/>
      <c r="WLZ1128" s="7"/>
      <c r="WMA1128" s="7"/>
      <c r="WMB1128" s="7"/>
      <c r="WMC1128" s="7"/>
      <c r="WMD1128" s="7"/>
      <c r="WME1128" s="7"/>
      <c r="WMF1128" s="7"/>
      <c r="WMG1128" s="7"/>
      <c r="WMH1128" s="7"/>
      <c r="WMI1128" s="7"/>
      <c r="WMJ1128" s="7"/>
      <c r="WMK1128" s="7"/>
      <c r="WML1128" s="7"/>
      <c r="WMM1128" s="7"/>
      <c r="WMN1128" s="7"/>
      <c r="WMO1128" s="7"/>
      <c r="WMP1128" s="7"/>
      <c r="WMQ1128" s="7"/>
      <c r="WMR1128" s="7"/>
      <c r="WMS1128" s="7"/>
      <c r="WMT1128" s="7"/>
      <c r="WMU1128" s="7"/>
      <c r="WMV1128" s="7"/>
      <c r="WMW1128" s="7"/>
      <c r="WMX1128" s="7"/>
      <c r="WMY1128" s="7"/>
      <c r="WMZ1128" s="7"/>
      <c r="WNA1128" s="7"/>
      <c r="WNB1128" s="7"/>
      <c r="WNC1128" s="7"/>
      <c r="WND1128" s="7"/>
      <c r="WNE1128" s="7"/>
      <c r="WNF1128" s="7"/>
      <c r="WNG1128" s="7"/>
      <c r="WNH1128" s="7"/>
      <c r="WNI1128" s="7"/>
      <c r="WNJ1128" s="7"/>
      <c r="WNK1128" s="7"/>
      <c r="WNL1128" s="7"/>
      <c r="WNM1128" s="7"/>
      <c r="WNN1128" s="7"/>
      <c r="WNO1128" s="7"/>
      <c r="WNP1128" s="7"/>
      <c r="WNQ1128" s="7"/>
      <c r="WNR1128" s="7"/>
      <c r="WNS1128" s="7"/>
      <c r="WNT1128" s="7"/>
      <c r="WNU1128" s="7"/>
      <c r="WNV1128" s="7"/>
      <c r="WNW1128" s="7"/>
      <c r="WNX1128" s="7"/>
      <c r="WNY1128" s="7"/>
      <c r="WNZ1128" s="7"/>
      <c r="WOA1128" s="7"/>
      <c r="WOB1128" s="7"/>
      <c r="WOC1128" s="7"/>
      <c r="WOD1128" s="7"/>
      <c r="WOE1128" s="7"/>
      <c r="WOF1128" s="7"/>
      <c r="WOG1128" s="7"/>
      <c r="WOH1128" s="7"/>
      <c r="WOI1128" s="7"/>
      <c r="WOJ1128" s="7"/>
      <c r="WOK1128" s="7"/>
      <c r="WOL1128" s="7"/>
      <c r="WOM1128" s="7"/>
      <c r="WON1128" s="7"/>
      <c r="WOO1128" s="7"/>
      <c r="WOP1128" s="7"/>
      <c r="WOQ1128" s="7"/>
      <c r="WOR1128" s="7"/>
      <c r="WOS1128" s="7"/>
      <c r="WOT1128" s="7"/>
      <c r="WOU1128" s="7"/>
      <c r="WOV1128" s="7"/>
      <c r="WOW1128" s="7"/>
      <c r="WOX1128" s="7"/>
      <c r="WOY1128" s="7"/>
      <c r="WOZ1128" s="7"/>
      <c r="WPA1128" s="7"/>
      <c r="WPB1128" s="7"/>
      <c r="WPC1128" s="7"/>
      <c r="WPD1128" s="7"/>
      <c r="WPE1128" s="7"/>
      <c r="WPF1128" s="7"/>
      <c r="WPG1128" s="7"/>
      <c r="WPH1128" s="7"/>
      <c r="WPI1128" s="7"/>
      <c r="WPJ1128" s="7"/>
      <c r="WPK1128" s="7"/>
      <c r="WPL1128" s="7"/>
      <c r="WPM1128" s="7"/>
      <c r="WPN1128" s="7"/>
      <c r="WPO1128" s="7"/>
      <c r="WPP1128" s="7"/>
      <c r="WPQ1128" s="7"/>
      <c r="WPR1128" s="7"/>
      <c r="WPS1128" s="7"/>
      <c r="WPT1128" s="7"/>
      <c r="WPU1128" s="7"/>
      <c r="WPV1128" s="7"/>
      <c r="WPW1128" s="7"/>
      <c r="WPX1128" s="7"/>
      <c r="WPY1128" s="7"/>
      <c r="WPZ1128" s="7"/>
      <c r="WQA1128" s="7"/>
      <c r="WQB1128" s="7"/>
      <c r="WQC1128" s="7"/>
      <c r="WQD1128" s="7"/>
      <c r="WQE1128" s="7"/>
      <c r="WQF1128" s="7"/>
      <c r="WQG1128" s="7"/>
      <c r="WQH1128" s="7"/>
      <c r="WQI1128" s="7"/>
      <c r="WQJ1128" s="7"/>
      <c r="WQK1128" s="7"/>
      <c r="WQL1128" s="7"/>
      <c r="WQM1128" s="7"/>
      <c r="WQN1128" s="7"/>
      <c r="WQO1128" s="7"/>
      <c r="WQP1128" s="7"/>
      <c r="WQQ1128" s="7"/>
      <c r="WQR1128" s="7"/>
      <c r="WQS1128" s="7"/>
      <c r="WQT1128" s="7"/>
      <c r="WQU1128" s="7"/>
      <c r="WQV1128" s="7"/>
      <c r="WQW1128" s="7"/>
      <c r="WQX1128" s="7"/>
      <c r="WQY1128" s="7"/>
      <c r="WQZ1128" s="7"/>
      <c r="WRA1128" s="7"/>
      <c r="WRB1128" s="7"/>
      <c r="WRC1128" s="7"/>
      <c r="WRD1128" s="7"/>
      <c r="WRE1128" s="7"/>
      <c r="WRF1128" s="7"/>
      <c r="WRG1128" s="7"/>
      <c r="WRH1128" s="7"/>
      <c r="WRI1128" s="7"/>
      <c r="WRJ1128" s="7"/>
      <c r="WRK1128" s="7"/>
      <c r="WRL1128" s="7"/>
      <c r="WRM1128" s="7"/>
      <c r="WRN1128" s="7"/>
      <c r="WRO1128" s="7"/>
      <c r="WRP1128" s="7"/>
      <c r="WRQ1128" s="7"/>
      <c r="WRR1128" s="7"/>
      <c r="WRS1128" s="7"/>
      <c r="WRT1128" s="7"/>
      <c r="WRU1128" s="7"/>
      <c r="WRV1128" s="7"/>
      <c r="WRW1128" s="7"/>
      <c r="WRX1128" s="7"/>
      <c r="WRY1128" s="7"/>
      <c r="WRZ1128" s="7"/>
      <c r="WSA1128" s="7"/>
      <c r="WSB1128" s="7"/>
      <c r="WSC1128" s="7"/>
      <c r="WSD1128" s="7"/>
      <c r="WSE1128" s="7"/>
      <c r="WSF1128" s="7"/>
      <c r="WSG1128" s="7"/>
      <c r="WSH1128" s="7"/>
      <c r="WSI1128" s="7"/>
      <c r="WSJ1128" s="7"/>
      <c r="WSK1128" s="7"/>
      <c r="WSL1128" s="7"/>
      <c r="WSM1128" s="7"/>
      <c r="WSN1128" s="7"/>
      <c r="WSO1128" s="7"/>
      <c r="WSP1128" s="7"/>
      <c r="WSQ1128" s="7"/>
      <c r="WSR1128" s="7"/>
      <c r="WSS1128" s="7"/>
      <c r="WST1128" s="7"/>
      <c r="WSU1128" s="7"/>
      <c r="WSV1128" s="7"/>
      <c r="WSW1128" s="7"/>
      <c r="WSX1128" s="7"/>
      <c r="WSY1128" s="7"/>
      <c r="WSZ1128" s="7"/>
      <c r="WTA1128" s="7"/>
      <c r="WTB1128" s="7"/>
      <c r="WTC1128" s="7"/>
      <c r="WTD1128" s="7"/>
      <c r="WTE1128" s="7"/>
      <c r="WTF1128" s="7"/>
      <c r="WTG1128" s="7"/>
      <c r="WTH1128" s="7"/>
      <c r="WTI1128" s="7"/>
      <c r="WTJ1128" s="7"/>
      <c r="WTK1128" s="7"/>
      <c r="WTL1128" s="7"/>
      <c r="WTM1128" s="7"/>
      <c r="WTN1128" s="7"/>
      <c r="WTO1128" s="7"/>
      <c r="WTP1128" s="7"/>
      <c r="WTQ1128" s="7"/>
      <c r="WTR1128" s="7"/>
      <c r="WTS1128" s="7"/>
      <c r="WTT1128" s="7"/>
      <c r="WTU1128" s="7"/>
      <c r="WTV1128" s="7"/>
      <c r="WTW1128" s="7"/>
      <c r="WTX1128" s="7"/>
      <c r="WTY1128" s="7"/>
      <c r="WTZ1128" s="7"/>
      <c r="WUA1128" s="7"/>
      <c r="WUB1128" s="7"/>
      <c r="WUC1128" s="7"/>
      <c r="WUD1128" s="7"/>
      <c r="WUE1128" s="7"/>
      <c r="WUF1128" s="7"/>
      <c r="WUG1128" s="7"/>
      <c r="WUH1128" s="7"/>
      <c r="WUI1128" s="7"/>
      <c r="WUJ1128" s="7"/>
      <c r="WUK1128" s="7"/>
      <c r="WUL1128" s="7"/>
      <c r="WUM1128" s="7"/>
      <c r="WUN1128" s="7"/>
      <c r="WUO1128" s="7"/>
      <c r="WUP1128" s="7"/>
      <c r="WUQ1128" s="7"/>
      <c r="WUR1128" s="7"/>
      <c r="WUS1128" s="7"/>
      <c r="WUT1128" s="7"/>
      <c r="WUU1128" s="7"/>
      <c r="WUV1128" s="7"/>
      <c r="WUW1128" s="7"/>
      <c r="WUX1128" s="7"/>
      <c r="WUY1128" s="7"/>
      <c r="WUZ1128" s="7"/>
      <c r="WVA1128" s="7"/>
      <c r="WVB1128" s="7"/>
      <c r="WVC1128" s="7"/>
      <c r="WVD1128" s="7"/>
      <c r="WVE1128" s="7"/>
      <c r="WVF1128" s="7"/>
      <c r="WVG1128" s="7"/>
      <c r="WVH1128" s="7"/>
      <c r="WVI1128" s="7"/>
      <c r="WVJ1128" s="7"/>
      <c r="WVK1128" s="7"/>
      <c r="WVL1128" s="7"/>
      <c r="WVM1128" s="7"/>
      <c r="WVN1128" s="7"/>
      <c r="WVO1128" s="7"/>
      <c r="WVP1128" s="7"/>
      <c r="WVQ1128" s="7"/>
      <c r="WVR1128" s="7"/>
      <c r="WVS1128" s="7"/>
      <c r="WVT1128" s="7"/>
      <c r="WVU1128" s="7"/>
      <c r="WVV1128" s="7"/>
      <c r="WVW1128" s="7"/>
      <c r="WVX1128" s="7"/>
      <c r="WVY1128" s="7"/>
      <c r="WVZ1128" s="7"/>
      <c r="WWA1128" s="7"/>
      <c r="WWB1128" s="7"/>
      <c r="WWC1128" s="7"/>
      <c r="WWD1128" s="7"/>
      <c r="WWE1128" s="7"/>
      <c r="WWF1128" s="7"/>
      <c r="WWG1128" s="7"/>
      <c r="WWH1128" s="7"/>
      <c r="WWI1128" s="7"/>
      <c r="WWJ1128" s="7"/>
      <c r="WWK1128" s="7"/>
      <c r="WWL1128" s="7"/>
      <c r="WWM1128" s="7"/>
      <c r="WWN1128" s="7"/>
      <c r="WWO1128" s="7"/>
      <c r="WWP1128" s="7"/>
      <c r="WWQ1128" s="7"/>
      <c r="WWR1128" s="7"/>
      <c r="WWS1128" s="7"/>
      <c r="WWT1128" s="7"/>
      <c r="WWU1128" s="7"/>
      <c r="WWV1128" s="7"/>
      <c r="WWW1128" s="7"/>
      <c r="WWX1128" s="7"/>
      <c r="WWY1128" s="7"/>
      <c r="WWZ1128" s="7"/>
      <c r="WXA1128" s="7"/>
      <c r="WXB1128" s="7"/>
      <c r="WXC1128" s="7"/>
      <c r="WXD1128" s="7"/>
      <c r="WXE1128" s="7"/>
      <c r="WXF1128" s="7"/>
      <c r="WXG1128" s="7"/>
      <c r="WXH1128" s="7"/>
      <c r="WXI1128" s="7"/>
      <c r="WXJ1128" s="7"/>
      <c r="WXK1128" s="7"/>
      <c r="WXL1128" s="7"/>
      <c r="WXM1128" s="7"/>
      <c r="WXN1128" s="7"/>
      <c r="WXO1128" s="7"/>
      <c r="WXP1128" s="7"/>
      <c r="WXQ1128" s="7"/>
      <c r="WXR1128" s="7"/>
      <c r="WXS1128" s="7"/>
      <c r="WXT1128" s="7"/>
      <c r="WXU1128" s="7"/>
      <c r="WXV1128" s="7"/>
      <c r="WXW1128" s="7"/>
      <c r="WXX1128" s="7"/>
      <c r="WXY1128" s="7"/>
      <c r="WXZ1128" s="7"/>
      <c r="WYA1128" s="7"/>
    </row>
    <row r="1129" spans="1:16199" ht="61.5" x14ac:dyDescent="0.85">
      <c r="A1129" s="7">
        <v>1</v>
      </c>
      <c r="B1129" s="59">
        <f>SUBTOTAL(103,$A$1032:A1129)</f>
        <v>97</v>
      </c>
      <c r="C1129" s="160" t="s">
        <v>1078</v>
      </c>
      <c r="D1129" s="60">
        <f t="shared" si="185"/>
        <v>933154.1</v>
      </c>
      <c r="E1129" s="163">
        <v>0</v>
      </c>
      <c r="F1129" s="60">
        <v>0</v>
      </c>
      <c r="G1129" s="62">
        <v>913603</v>
      </c>
      <c r="H1129" s="163">
        <v>0</v>
      </c>
      <c r="I1129" s="60">
        <v>0</v>
      </c>
      <c r="J1129" s="60">
        <v>0</v>
      </c>
      <c r="K1129" s="168">
        <v>0</v>
      </c>
      <c r="L1129" s="60">
        <v>0</v>
      </c>
      <c r="M1129" s="60">
        <v>0</v>
      </c>
      <c r="N1129" s="60">
        <v>0</v>
      </c>
      <c r="O1129" s="60">
        <v>0</v>
      </c>
      <c r="P1129" s="60">
        <v>0</v>
      </c>
      <c r="Q1129" s="60">
        <v>0</v>
      </c>
      <c r="R1129" s="60">
        <v>0</v>
      </c>
      <c r="S1129" s="60">
        <v>0</v>
      </c>
      <c r="T1129" s="60">
        <v>0</v>
      </c>
      <c r="U1129" s="60">
        <v>0</v>
      </c>
      <c r="V1129" s="60">
        <v>0</v>
      </c>
      <c r="W1129" s="60">
        <v>0</v>
      </c>
      <c r="X1129" s="60">
        <v>0</v>
      </c>
      <c r="Y1129" s="60">
        <v>0</v>
      </c>
      <c r="Z1129" s="60">
        <v>0</v>
      </c>
      <c r="AA1129" s="60">
        <v>0</v>
      </c>
      <c r="AB1129" s="60">
        <v>0</v>
      </c>
      <c r="AC1129" s="60">
        <f>ROUND(N1129*2.14%,2)+ROUND(E1129*2.14%,2)+ROUND(F1129*2.14%,2)+ROUND(G1129*2.14%,2)+ROUND(H1129*2.14%,2)+ROUND(I1129*2.14%,2)+ROUND(J1129*2.14%,2)+ROUND(L1129*2.14%,2)+ROUND(P1129*2.14%,2)+ROUND(R1129*2.14%,2)+ROUND(T1129*2.14%,2)+ROUND(U1129*2.14%,2)+ROUND(V1129*2.14%,2)+ROUND(W1129*2.14%,2)+ROUND(X1129*2.14%,2)+ROUND(Y1129*2.14%,2)+ROUND(Z1129*2.14%,2)+ROUND(AA1129*2.14%,2)+ROUND(AB1129*2.14%,2)</f>
        <v>19551.099999999999</v>
      </c>
      <c r="AD1129" s="60">
        <v>0</v>
      </c>
      <c r="AE1129" s="60">
        <v>0</v>
      </c>
      <c r="AF1129" s="170" t="s">
        <v>257</v>
      </c>
      <c r="AG1129" s="170">
        <v>2022</v>
      </c>
      <c r="AH1129" s="63">
        <v>2022</v>
      </c>
    </row>
    <row r="1130" spans="1:16199" ht="61.5" x14ac:dyDescent="0.85">
      <c r="A1130" s="7">
        <v>1</v>
      </c>
      <c r="B1130" s="59">
        <f>SUBTOTAL(103,$A$1032:A1130)</f>
        <v>98</v>
      </c>
      <c r="C1130" s="160" t="s">
        <v>433</v>
      </c>
      <c r="D1130" s="60">
        <f t="shared" si="185"/>
        <v>2752467.2</v>
      </c>
      <c r="E1130" s="60">
        <v>0</v>
      </c>
      <c r="F1130" s="60">
        <v>0</v>
      </c>
      <c r="G1130" s="60">
        <v>0</v>
      </c>
      <c r="H1130" s="60">
        <v>0</v>
      </c>
      <c r="I1130" s="60">
        <v>0</v>
      </c>
      <c r="J1130" s="60">
        <v>0</v>
      </c>
      <c r="K1130" s="168">
        <v>0</v>
      </c>
      <c r="L1130" s="60">
        <v>0</v>
      </c>
      <c r="M1130" s="60">
        <v>584.80999999999995</v>
      </c>
      <c r="N1130" s="60">
        <v>2724271</v>
      </c>
      <c r="O1130" s="60">
        <v>0</v>
      </c>
      <c r="P1130" s="60">
        <v>0</v>
      </c>
      <c r="Q1130" s="60">
        <v>0</v>
      </c>
      <c r="R1130" s="60">
        <v>0</v>
      </c>
      <c r="S1130" s="60">
        <v>0</v>
      </c>
      <c r="T1130" s="60">
        <v>0</v>
      </c>
      <c r="U1130" s="60">
        <v>0</v>
      </c>
      <c r="V1130" s="60">
        <v>0</v>
      </c>
      <c r="W1130" s="60">
        <v>0</v>
      </c>
      <c r="X1130" s="60">
        <v>0</v>
      </c>
      <c r="Y1130" s="60">
        <v>0</v>
      </c>
      <c r="Z1130" s="60">
        <v>0</v>
      </c>
      <c r="AA1130" s="60">
        <v>0</v>
      </c>
      <c r="AB1130" s="60">
        <v>0</v>
      </c>
      <c r="AC1130" s="60">
        <v>28196.2</v>
      </c>
      <c r="AD1130" s="60">
        <v>0</v>
      </c>
      <c r="AE1130" s="60">
        <v>0</v>
      </c>
      <c r="AF1130" s="170" t="s">
        <v>257</v>
      </c>
      <c r="AG1130" s="170">
        <v>2022</v>
      </c>
      <c r="AH1130" s="63">
        <v>2022</v>
      </c>
    </row>
    <row r="1131" spans="1:16199" ht="61.5" x14ac:dyDescent="0.85">
      <c r="A1131" s="7">
        <v>1</v>
      </c>
      <c r="B1131" s="59">
        <f>SUBTOTAL(103,$A$1032:A1131)</f>
        <v>99</v>
      </c>
      <c r="C1131" s="160" t="s">
        <v>434</v>
      </c>
      <c r="D1131" s="60">
        <f t="shared" si="185"/>
        <v>2809619.67</v>
      </c>
      <c r="E1131" s="60">
        <v>0</v>
      </c>
      <c r="F1131" s="60">
        <v>0</v>
      </c>
      <c r="G1131" s="60">
        <v>0</v>
      </c>
      <c r="H1131" s="60">
        <v>0</v>
      </c>
      <c r="I1131" s="60">
        <v>0</v>
      </c>
      <c r="J1131" s="60">
        <v>0</v>
      </c>
      <c r="K1131" s="168">
        <v>0</v>
      </c>
      <c r="L1131" s="60">
        <v>0</v>
      </c>
      <c r="M1131" s="60">
        <v>613.36</v>
      </c>
      <c r="N1131" s="60">
        <v>2780838</v>
      </c>
      <c r="O1131" s="60">
        <v>0</v>
      </c>
      <c r="P1131" s="60">
        <v>0</v>
      </c>
      <c r="Q1131" s="60">
        <v>0</v>
      </c>
      <c r="R1131" s="60">
        <v>0</v>
      </c>
      <c r="S1131" s="60">
        <v>0</v>
      </c>
      <c r="T1131" s="60">
        <v>0</v>
      </c>
      <c r="U1131" s="60">
        <v>0</v>
      </c>
      <c r="V1131" s="60">
        <v>0</v>
      </c>
      <c r="W1131" s="60">
        <v>0</v>
      </c>
      <c r="X1131" s="60">
        <v>0</v>
      </c>
      <c r="Y1131" s="60">
        <v>0</v>
      </c>
      <c r="Z1131" s="60">
        <v>0</v>
      </c>
      <c r="AA1131" s="60">
        <v>0</v>
      </c>
      <c r="AB1131" s="60">
        <v>0</v>
      </c>
      <c r="AC1131" s="60">
        <v>28781.67</v>
      </c>
      <c r="AD1131" s="60">
        <v>0</v>
      </c>
      <c r="AE1131" s="60">
        <v>0</v>
      </c>
      <c r="AF1131" s="170" t="s">
        <v>257</v>
      </c>
      <c r="AG1131" s="170">
        <v>2022</v>
      </c>
      <c r="AH1131" s="63">
        <v>2022</v>
      </c>
    </row>
    <row r="1132" spans="1:16199" ht="61.5" x14ac:dyDescent="0.85">
      <c r="B1132" s="160" t="s">
        <v>707</v>
      </c>
      <c r="C1132" s="176"/>
      <c r="D1132" s="177">
        <f>SUM(D1133:D1180)</f>
        <v>211099083.16000006</v>
      </c>
      <c r="E1132" s="60">
        <f t="shared" ref="E1132:AE1132" si="186">SUM(E1133:E1180)</f>
        <v>0</v>
      </c>
      <c r="F1132" s="60">
        <f t="shared" si="186"/>
        <v>0</v>
      </c>
      <c r="G1132" s="60">
        <f t="shared" si="186"/>
        <v>30591553.399999999</v>
      </c>
      <c r="H1132" s="60">
        <f t="shared" si="186"/>
        <v>0</v>
      </c>
      <c r="I1132" s="60">
        <f t="shared" si="186"/>
        <v>391760</v>
      </c>
      <c r="J1132" s="60">
        <f t="shared" si="186"/>
        <v>0</v>
      </c>
      <c r="K1132" s="168">
        <f t="shared" si="186"/>
        <v>18</v>
      </c>
      <c r="L1132" s="60">
        <f t="shared" si="186"/>
        <v>46109650.099999994</v>
      </c>
      <c r="M1132" s="60">
        <f t="shared" si="186"/>
        <v>13161.08</v>
      </c>
      <c r="N1132" s="60">
        <f t="shared" si="186"/>
        <v>104915523</v>
      </c>
      <c r="O1132" s="60">
        <f t="shared" si="186"/>
        <v>0</v>
      </c>
      <c r="P1132" s="60">
        <f t="shared" si="186"/>
        <v>0</v>
      </c>
      <c r="Q1132" s="60">
        <f t="shared" si="186"/>
        <v>1546</v>
      </c>
      <c r="R1132" s="60">
        <f t="shared" si="186"/>
        <v>12521728</v>
      </c>
      <c r="S1132" s="60">
        <f t="shared" si="186"/>
        <v>19.07</v>
      </c>
      <c r="T1132" s="60">
        <f t="shared" si="186"/>
        <v>388706.95</v>
      </c>
      <c r="U1132" s="60">
        <f t="shared" si="186"/>
        <v>0</v>
      </c>
      <c r="V1132" s="60">
        <f t="shared" si="186"/>
        <v>0</v>
      </c>
      <c r="W1132" s="60">
        <f t="shared" si="186"/>
        <v>0</v>
      </c>
      <c r="X1132" s="60">
        <f t="shared" si="186"/>
        <v>0</v>
      </c>
      <c r="Y1132" s="60">
        <f t="shared" si="186"/>
        <v>0</v>
      </c>
      <c r="Z1132" s="60">
        <f t="shared" si="186"/>
        <v>0</v>
      </c>
      <c r="AA1132" s="60">
        <f t="shared" si="186"/>
        <v>0</v>
      </c>
      <c r="AB1132" s="60">
        <f t="shared" si="186"/>
        <v>8548086</v>
      </c>
      <c r="AC1132" s="60">
        <f t="shared" si="186"/>
        <v>1890050.9399999995</v>
      </c>
      <c r="AD1132" s="60">
        <f t="shared" si="186"/>
        <v>5742024.7700000014</v>
      </c>
      <c r="AE1132" s="60">
        <f t="shared" si="186"/>
        <v>0</v>
      </c>
      <c r="AF1132" s="54" t="s">
        <v>701</v>
      </c>
      <c r="AG1132" s="54" t="s">
        <v>701</v>
      </c>
      <c r="AH1132" s="55" t="s">
        <v>701</v>
      </c>
    </row>
    <row r="1133" spans="1:16199" ht="61.5" x14ac:dyDescent="0.85">
      <c r="A1133" s="7">
        <v>1</v>
      </c>
      <c r="B1133" s="59">
        <f>SUBTOTAL(103,$A$1032:A1133)</f>
        <v>100</v>
      </c>
      <c r="C1133" s="160" t="s">
        <v>402</v>
      </c>
      <c r="D1133" s="60">
        <f t="shared" ref="D1133:D1154" si="187">E1133+F1133+G1133+H1133+I1133+J1133+L1133+N1133+P1133+R1133+T1133+U1133+V1133+W1133+X1133+Y1133+Z1133+AA1133+AB1133+AC1133+AD1133+AE1133</f>
        <v>9581338.1000000015</v>
      </c>
      <c r="E1133" s="60">
        <v>0</v>
      </c>
      <c r="F1133" s="60">
        <v>0</v>
      </c>
      <c r="G1133" s="60">
        <v>0</v>
      </c>
      <c r="H1133" s="60">
        <v>0</v>
      </c>
      <c r="I1133" s="60">
        <v>0</v>
      </c>
      <c r="J1133" s="60">
        <v>0</v>
      </c>
      <c r="K1133" s="168">
        <v>0</v>
      </c>
      <c r="L1133" s="60">
        <v>0</v>
      </c>
      <c r="M1133" s="60">
        <v>1078.04</v>
      </c>
      <c r="N1133" s="62">
        <v>9306402</v>
      </c>
      <c r="O1133" s="60">
        <v>0</v>
      </c>
      <c r="P1133" s="60">
        <v>0</v>
      </c>
      <c r="Q1133" s="60">
        <v>0</v>
      </c>
      <c r="R1133" s="60">
        <v>0</v>
      </c>
      <c r="S1133" s="60">
        <v>0</v>
      </c>
      <c r="T1133" s="60">
        <v>0</v>
      </c>
      <c r="U1133" s="60">
        <v>0</v>
      </c>
      <c r="V1133" s="60">
        <v>0</v>
      </c>
      <c r="W1133" s="60">
        <v>0</v>
      </c>
      <c r="X1133" s="60">
        <v>0</v>
      </c>
      <c r="Y1133" s="60">
        <v>0</v>
      </c>
      <c r="Z1133" s="60">
        <v>0</v>
      </c>
      <c r="AA1133" s="60">
        <v>0</v>
      </c>
      <c r="AB1133" s="60">
        <v>0</v>
      </c>
      <c r="AC1133" s="60">
        <f t="shared" ref="AC1133:AC1151" si="188">ROUND(N1133*1.0593%,2)+ROUND(E1133*1.0593%,2)+ROUND(F1133*1.0593%,2)+ROUND(G1133*1.0593%,2)+ROUND(H1133*1.0593%,2)+ROUND(I1133*1.0593%,2)+ROUND(J1133*1.0593%,2)+ROUND(L1133*1.0593%,2)+ROUND(P1133*1.0593%,2)+ROUND(R1133*1.0593%,2)+ROUND(T1133*1.0593%,2)+ROUND(U1133*1.0593%,2)+ROUND(V1133*1.0593%,2)+ROUND(W1133*1.0593%,2)+ROUND(X1133*1.0593%,2)+ROUND(Y1133*1.0593%,2)+ROUND(Z1133*1.0593%,2)+ROUND(AA1133*1.0593%,2)+ROUND(AB1133*1.0593%,2)</f>
        <v>98582.720000000001</v>
      </c>
      <c r="AD1133" s="60">
        <v>176353.38</v>
      </c>
      <c r="AE1133" s="60">
        <v>0</v>
      </c>
      <c r="AF1133" s="170">
        <v>2022</v>
      </c>
      <c r="AG1133" s="170">
        <v>2022</v>
      </c>
      <c r="AH1133" s="63">
        <v>2022</v>
      </c>
    </row>
    <row r="1134" spans="1:16199" ht="61.5" x14ac:dyDescent="0.85">
      <c r="A1134" s="7">
        <v>1</v>
      </c>
      <c r="B1134" s="59">
        <f>SUBTOTAL(103,$A$1032:A1134)</f>
        <v>101</v>
      </c>
      <c r="C1134" s="160" t="s">
        <v>404</v>
      </c>
      <c r="D1134" s="60">
        <f t="shared" si="187"/>
        <v>12531024.01</v>
      </c>
      <c r="E1134" s="60">
        <v>0</v>
      </c>
      <c r="F1134" s="60">
        <v>0</v>
      </c>
      <c r="G1134" s="60">
        <v>0</v>
      </c>
      <c r="H1134" s="60">
        <v>0</v>
      </c>
      <c r="I1134" s="60">
        <v>0</v>
      </c>
      <c r="J1134" s="60">
        <v>0</v>
      </c>
      <c r="K1134" s="168">
        <v>0</v>
      </c>
      <c r="L1134" s="60">
        <v>0</v>
      </c>
      <c r="M1134" s="60">
        <v>1532.75</v>
      </c>
      <c r="N1134" s="60">
        <v>12225304</v>
      </c>
      <c r="O1134" s="60">
        <v>0</v>
      </c>
      <c r="P1134" s="60">
        <v>0</v>
      </c>
      <c r="Q1134" s="60">
        <v>0</v>
      </c>
      <c r="R1134" s="60">
        <v>0</v>
      </c>
      <c r="S1134" s="60">
        <v>0</v>
      </c>
      <c r="T1134" s="60">
        <v>0</v>
      </c>
      <c r="U1134" s="60">
        <v>0</v>
      </c>
      <c r="V1134" s="60">
        <v>0</v>
      </c>
      <c r="W1134" s="60">
        <v>0</v>
      </c>
      <c r="X1134" s="60">
        <v>0</v>
      </c>
      <c r="Y1134" s="60">
        <v>0</v>
      </c>
      <c r="Z1134" s="60">
        <v>0</v>
      </c>
      <c r="AA1134" s="60">
        <v>0</v>
      </c>
      <c r="AB1134" s="60">
        <v>0</v>
      </c>
      <c r="AC1134" s="60">
        <f t="shared" si="188"/>
        <v>129502.65</v>
      </c>
      <c r="AD1134" s="60">
        <v>176217.36</v>
      </c>
      <c r="AE1134" s="60">
        <v>0</v>
      </c>
      <c r="AF1134" s="170">
        <v>2022</v>
      </c>
      <c r="AG1134" s="170">
        <v>2022</v>
      </c>
      <c r="AH1134" s="63">
        <v>2022</v>
      </c>
    </row>
    <row r="1135" spans="1:16199" ht="61.5" x14ac:dyDescent="0.85">
      <c r="A1135" s="7">
        <v>1</v>
      </c>
      <c r="B1135" s="59">
        <f>SUBTOTAL(103,$A$1032:A1135)</f>
        <v>102</v>
      </c>
      <c r="C1135" s="160" t="s">
        <v>405</v>
      </c>
      <c r="D1135" s="60">
        <f t="shared" si="187"/>
        <v>4836895.78</v>
      </c>
      <c r="E1135" s="60">
        <v>0</v>
      </c>
      <c r="F1135" s="60">
        <v>0</v>
      </c>
      <c r="G1135" s="60">
        <v>0</v>
      </c>
      <c r="H1135" s="60">
        <v>0</v>
      </c>
      <c r="I1135" s="60">
        <v>0</v>
      </c>
      <c r="J1135" s="60">
        <v>0</v>
      </c>
      <c r="K1135" s="168">
        <v>0</v>
      </c>
      <c r="L1135" s="60">
        <v>0</v>
      </c>
      <c r="M1135" s="60">
        <v>608</v>
      </c>
      <c r="N1135" s="60">
        <v>4703516.4000000004</v>
      </c>
      <c r="O1135" s="60">
        <v>0</v>
      </c>
      <c r="P1135" s="60">
        <v>0</v>
      </c>
      <c r="Q1135" s="60">
        <v>0</v>
      </c>
      <c r="R1135" s="60">
        <v>0</v>
      </c>
      <c r="S1135" s="60">
        <v>0</v>
      </c>
      <c r="T1135" s="60">
        <v>0</v>
      </c>
      <c r="U1135" s="60">
        <v>0</v>
      </c>
      <c r="V1135" s="60">
        <v>0</v>
      </c>
      <c r="W1135" s="60">
        <v>0</v>
      </c>
      <c r="X1135" s="60">
        <v>0</v>
      </c>
      <c r="Y1135" s="60">
        <v>0</v>
      </c>
      <c r="Z1135" s="60">
        <v>0</v>
      </c>
      <c r="AA1135" s="60">
        <v>0</v>
      </c>
      <c r="AB1135" s="60">
        <v>0</v>
      </c>
      <c r="AC1135" s="60">
        <f t="shared" si="188"/>
        <v>49824.35</v>
      </c>
      <c r="AD1135" s="60">
        <v>83555.03</v>
      </c>
      <c r="AE1135" s="60">
        <v>0</v>
      </c>
      <c r="AF1135" s="170">
        <v>2022</v>
      </c>
      <c r="AG1135" s="170">
        <v>2022</v>
      </c>
      <c r="AH1135" s="63">
        <v>2022</v>
      </c>
    </row>
    <row r="1136" spans="1:16199" ht="61.5" x14ac:dyDescent="0.85">
      <c r="A1136" s="7">
        <v>1</v>
      </c>
      <c r="B1136" s="59">
        <f>SUBTOTAL(103,$A$1032:A1136)</f>
        <v>103</v>
      </c>
      <c r="C1136" s="160" t="s">
        <v>1590</v>
      </c>
      <c r="D1136" s="60">
        <f t="shared" si="187"/>
        <v>1838216.12</v>
      </c>
      <c r="E1136" s="60">
        <v>0</v>
      </c>
      <c r="F1136" s="60">
        <v>0</v>
      </c>
      <c r="G1136" s="60">
        <v>0</v>
      </c>
      <c r="H1136" s="60">
        <v>0</v>
      </c>
      <c r="I1136" s="60">
        <v>0</v>
      </c>
      <c r="J1136" s="60">
        <v>0</v>
      </c>
      <c r="K1136" s="168">
        <v>0</v>
      </c>
      <c r="L1136" s="60">
        <v>0</v>
      </c>
      <c r="M1136" s="60">
        <v>315.45</v>
      </c>
      <c r="N1136" s="60">
        <v>1818948</v>
      </c>
      <c r="O1136" s="60">
        <v>0</v>
      </c>
      <c r="P1136" s="60">
        <v>0</v>
      </c>
      <c r="Q1136" s="60">
        <v>0</v>
      </c>
      <c r="R1136" s="60">
        <v>0</v>
      </c>
      <c r="S1136" s="60">
        <v>0</v>
      </c>
      <c r="T1136" s="60">
        <v>0</v>
      </c>
      <c r="U1136" s="60">
        <v>0</v>
      </c>
      <c r="V1136" s="60">
        <v>0</v>
      </c>
      <c r="W1136" s="60">
        <v>0</v>
      </c>
      <c r="X1136" s="60">
        <v>0</v>
      </c>
      <c r="Y1136" s="60">
        <v>0</v>
      </c>
      <c r="Z1136" s="60">
        <v>0</v>
      </c>
      <c r="AA1136" s="60">
        <v>0</v>
      </c>
      <c r="AB1136" s="60">
        <v>0</v>
      </c>
      <c r="AC1136" s="60">
        <f t="shared" si="188"/>
        <v>19268.12</v>
      </c>
      <c r="AD1136" s="60">
        <v>0</v>
      </c>
      <c r="AE1136" s="60">
        <v>0</v>
      </c>
      <c r="AF1136" s="170" t="s">
        <v>257</v>
      </c>
      <c r="AG1136" s="170">
        <v>2022</v>
      </c>
      <c r="AH1136" s="63">
        <v>2022</v>
      </c>
    </row>
    <row r="1137" spans="1:34" ht="61.5" x14ac:dyDescent="0.85">
      <c r="A1137" s="7">
        <v>1</v>
      </c>
      <c r="B1137" s="59">
        <f>SUBTOTAL(103,$A$1032:A1137)</f>
        <v>104</v>
      </c>
      <c r="C1137" s="160" t="s">
        <v>195</v>
      </c>
      <c r="D1137" s="60">
        <f t="shared" si="187"/>
        <v>241594</v>
      </c>
      <c r="E1137" s="60">
        <v>0</v>
      </c>
      <c r="F1137" s="60">
        <v>0</v>
      </c>
      <c r="G1137" s="60">
        <v>0</v>
      </c>
      <c r="H1137" s="60">
        <v>0</v>
      </c>
      <c r="I1137" s="60">
        <v>200000</v>
      </c>
      <c r="J1137" s="60">
        <v>0</v>
      </c>
      <c r="K1137" s="168">
        <v>0</v>
      </c>
      <c r="L1137" s="60">
        <v>0</v>
      </c>
      <c r="M1137" s="60">
        <v>0</v>
      </c>
      <c r="N1137" s="60">
        <v>0</v>
      </c>
      <c r="O1137" s="60">
        <v>0</v>
      </c>
      <c r="P1137" s="60">
        <v>0</v>
      </c>
      <c r="Q1137" s="60">
        <v>0</v>
      </c>
      <c r="R1137" s="60">
        <v>0</v>
      </c>
      <c r="S1137" s="60">
        <v>0</v>
      </c>
      <c r="T1137" s="60">
        <v>0</v>
      </c>
      <c r="U1137" s="60">
        <v>0</v>
      </c>
      <c r="V1137" s="60">
        <v>0</v>
      </c>
      <c r="W1137" s="60">
        <v>0</v>
      </c>
      <c r="X1137" s="60">
        <v>0</v>
      </c>
      <c r="Y1137" s="60">
        <v>0</v>
      </c>
      <c r="Z1137" s="60">
        <v>0</v>
      </c>
      <c r="AA1137" s="60">
        <v>0</v>
      </c>
      <c r="AB1137" s="60">
        <v>0</v>
      </c>
      <c r="AC1137" s="60">
        <f t="shared" si="188"/>
        <v>2118.6</v>
      </c>
      <c r="AD1137" s="60">
        <v>39475.4</v>
      </c>
      <c r="AE1137" s="60">
        <v>0</v>
      </c>
      <c r="AF1137" s="170">
        <v>2022</v>
      </c>
      <c r="AG1137" s="170">
        <v>2022</v>
      </c>
      <c r="AH1137" s="63">
        <v>2022</v>
      </c>
    </row>
    <row r="1138" spans="1:34" ht="61.5" x14ac:dyDescent="0.85">
      <c r="A1138" s="7">
        <v>1</v>
      </c>
      <c r="B1138" s="59">
        <f>SUBTOTAL(103,$A$1032:A1138)</f>
        <v>105</v>
      </c>
      <c r="C1138" s="160" t="s">
        <v>196</v>
      </c>
      <c r="D1138" s="60">
        <f t="shared" si="187"/>
        <v>234307.91999999998</v>
      </c>
      <c r="E1138" s="60">
        <v>0</v>
      </c>
      <c r="F1138" s="60">
        <v>0</v>
      </c>
      <c r="G1138" s="60">
        <v>0</v>
      </c>
      <c r="H1138" s="60">
        <v>0</v>
      </c>
      <c r="I1138" s="60">
        <v>191760</v>
      </c>
      <c r="J1138" s="60">
        <v>0</v>
      </c>
      <c r="K1138" s="168">
        <v>0</v>
      </c>
      <c r="L1138" s="60">
        <v>0</v>
      </c>
      <c r="M1138" s="60">
        <v>0</v>
      </c>
      <c r="N1138" s="60">
        <v>0</v>
      </c>
      <c r="O1138" s="60">
        <v>0</v>
      </c>
      <c r="P1138" s="60">
        <v>0</v>
      </c>
      <c r="Q1138" s="60">
        <v>0</v>
      </c>
      <c r="R1138" s="60">
        <v>0</v>
      </c>
      <c r="S1138" s="60">
        <v>0</v>
      </c>
      <c r="T1138" s="60">
        <v>0</v>
      </c>
      <c r="U1138" s="60">
        <v>0</v>
      </c>
      <c r="V1138" s="60">
        <v>0</v>
      </c>
      <c r="W1138" s="60">
        <v>0</v>
      </c>
      <c r="X1138" s="60">
        <v>0</v>
      </c>
      <c r="Y1138" s="60">
        <v>0</v>
      </c>
      <c r="Z1138" s="60">
        <v>0</v>
      </c>
      <c r="AA1138" s="60">
        <v>0</v>
      </c>
      <c r="AB1138" s="60">
        <v>0</v>
      </c>
      <c r="AC1138" s="60">
        <f t="shared" si="188"/>
        <v>2031.31</v>
      </c>
      <c r="AD1138" s="60">
        <v>40516.61</v>
      </c>
      <c r="AE1138" s="60">
        <v>0</v>
      </c>
      <c r="AF1138" s="170">
        <v>2022</v>
      </c>
      <c r="AG1138" s="170">
        <v>2022</v>
      </c>
      <c r="AH1138" s="63">
        <v>2022</v>
      </c>
    </row>
    <row r="1139" spans="1:34" ht="61.5" x14ac:dyDescent="0.85">
      <c r="A1139" s="7">
        <v>1</v>
      </c>
      <c r="B1139" s="59">
        <f>SUBTOTAL(103,$A$1032:A1139)</f>
        <v>106</v>
      </c>
      <c r="C1139" s="160" t="s">
        <v>197</v>
      </c>
      <c r="D1139" s="60">
        <f t="shared" si="187"/>
        <v>426062.41000000003</v>
      </c>
      <c r="E1139" s="60">
        <v>0</v>
      </c>
      <c r="F1139" s="60">
        <v>0</v>
      </c>
      <c r="G1139" s="60">
        <v>0</v>
      </c>
      <c r="H1139" s="60">
        <v>0</v>
      </c>
      <c r="I1139" s="60">
        <v>0</v>
      </c>
      <c r="J1139" s="60">
        <v>0</v>
      </c>
      <c r="K1139" s="168">
        <v>0</v>
      </c>
      <c r="L1139" s="60">
        <v>0</v>
      </c>
      <c r="M1139" s="60">
        <v>0</v>
      </c>
      <c r="N1139" s="60">
        <v>0</v>
      </c>
      <c r="O1139" s="60">
        <v>0</v>
      </c>
      <c r="P1139" s="60">
        <v>0</v>
      </c>
      <c r="Q1139" s="60">
        <v>0</v>
      </c>
      <c r="R1139" s="60">
        <v>0</v>
      </c>
      <c r="S1139" s="60">
        <v>19.07</v>
      </c>
      <c r="T1139" s="60">
        <v>388706.95</v>
      </c>
      <c r="U1139" s="60">
        <v>0</v>
      </c>
      <c r="V1139" s="60">
        <v>0</v>
      </c>
      <c r="W1139" s="60">
        <v>0</v>
      </c>
      <c r="X1139" s="60">
        <v>0</v>
      </c>
      <c r="Y1139" s="60">
        <v>0</v>
      </c>
      <c r="Z1139" s="60">
        <v>0</v>
      </c>
      <c r="AA1139" s="60">
        <v>0</v>
      </c>
      <c r="AB1139" s="60">
        <v>0</v>
      </c>
      <c r="AC1139" s="60">
        <f t="shared" si="188"/>
        <v>4117.57</v>
      </c>
      <c r="AD1139" s="60">
        <v>33237.89</v>
      </c>
      <c r="AE1139" s="60">
        <v>0</v>
      </c>
      <c r="AF1139" s="170">
        <v>2022</v>
      </c>
      <c r="AG1139" s="170">
        <v>2022</v>
      </c>
      <c r="AH1139" s="63">
        <v>2022</v>
      </c>
    </row>
    <row r="1140" spans="1:34" ht="61.5" x14ac:dyDescent="0.85">
      <c r="A1140" s="7">
        <v>1</v>
      </c>
      <c r="B1140" s="59">
        <f>SUBTOTAL(103,$A$1032:A1140)</f>
        <v>107</v>
      </c>
      <c r="C1140" s="160" t="s">
        <v>406</v>
      </c>
      <c r="D1140" s="60">
        <f t="shared" si="187"/>
        <v>7617574.75</v>
      </c>
      <c r="E1140" s="60">
        <v>0</v>
      </c>
      <c r="F1140" s="60">
        <v>0</v>
      </c>
      <c r="G1140" s="60">
        <v>0</v>
      </c>
      <c r="H1140" s="60">
        <v>0</v>
      </c>
      <c r="I1140" s="60">
        <v>0</v>
      </c>
      <c r="J1140" s="60">
        <v>0</v>
      </c>
      <c r="K1140" s="168">
        <v>0</v>
      </c>
      <c r="L1140" s="60">
        <v>0</v>
      </c>
      <c r="M1140" s="60">
        <v>803.85</v>
      </c>
      <c r="N1140" s="60">
        <v>7369508</v>
      </c>
      <c r="O1140" s="60">
        <v>0</v>
      </c>
      <c r="P1140" s="60">
        <v>0</v>
      </c>
      <c r="Q1140" s="60">
        <v>0</v>
      </c>
      <c r="R1140" s="60">
        <v>0</v>
      </c>
      <c r="S1140" s="60">
        <v>0</v>
      </c>
      <c r="T1140" s="60">
        <v>0</v>
      </c>
      <c r="U1140" s="60">
        <v>0</v>
      </c>
      <c r="V1140" s="60">
        <v>0</v>
      </c>
      <c r="W1140" s="60">
        <v>0</v>
      </c>
      <c r="X1140" s="60">
        <v>0</v>
      </c>
      <c r="Y1140" s="60">
        <v>0</v>
      </c>
      <c r="Z1140" s="60">
        <v>0</v>
      </c>
      <c r="AA1140" s="60">
        <v>0</v>
      </c>
      <c r="AB1140" s="60">
        <v>0</v>
      </c>
      <c r="AC1140" s="60">
        <f t="shared" si="188"/>
        <v>78065.2</v>
      </c>
      <c r="AD1140" s="60">
        <v>170001.55</v>
      </c>
      <c r="AE1140" s="60">
        <v>0</v>
      </c>
      <c r="AF1140" s="170">
        <v>2022</v>
      </c>
      <c r="AG1140" s="170">
        <v>2022</v>
      </c>
      <c r="AH1140" s="63">
        <v>2022</v>
      </c>
    </row>
    <row r="1141" spans="1:34" ht="61.5" x14ac:dyDescent="0.85">
      <c r="A1141" s="7">
        <v>1</v>
      </c>
      <c r="B1141" s="59">
        <f>SUBTOTAL(103,$A$1032:A1141)</f>
        <v>108</v>
      </c>
      <c r="C1141" s="160" t="s">
        <v>408</v>
      </c>
      <c r="D1141" s="60">
        <f t="shared" si="187"/>
        <v>5006850.82</v>
      </c>
      <c r="E1141" s="60">
        <v>0</v>
      </c>
      <c r="F1141" s="60">
        <v>0</v>
      </c>
      <c r="G1141" s="60">
        <v>0</v>
      </c>
      <c r="H1141" s="60">
        <v>0</v>
      </c>
      <c r="I1141" s="60">
        <v>0</v>
      </c>
      <c r="J1141" s="60">
        <v>0</v>
      </c>
      <c r="K1141" s="168">
        <v>0</v>
      </c>
      <c r="L1141" s="60">
        <v>0</v>
      </c>
      <c r="M1141" s="60">
        <v>614</v>
      </c>
      <c r="N1141" s="60">
        <v>4868033</v>
      </c>
      <c r="O1141" s="60">
        <v>0</v>
      </c>
      <c r="P1141" s="60">
        <v>0</v>
      </c>
      <c r="Q1141" s="60">
        <v>0</v>
      </c>
      <c r="R1141" s="60">
        <v>0</v>
      </c>
      <c r="S1141" s="60">
        <v>0</v>
      </c>
      <c r="T1141" s="60">
        <v>0</v>
      </c>
      <c r="U1141" s="60">
        <v>0</v>
      </c>
      <c r="V1141" s="60">
        <v>0</v>
      </c>
      <c r="W1141" s="60">
        <v>0</v>
      </c>
      <c r="X1141" s="60">
        <v>0</v>
      </c>
      <c r="Y1141" s="60">
        <v>0</v>
      </c>
      <c r="Z1141" s="60">
        <v>0</v>
      </c>
      <c r="AA1141" s="60">
        <v>0</v>
      </c>
      <c r="AB1141" s="60">
        <v>0</v>
      </c>
      <c r="AC1141" s="60">
        <f t="shared" si="188"/>
        <v>51567.07</v>
      </c>
      <c r="AD1141" s="60">
        <v>87250.75</v>
      </c>
      <c r="AE1141" s="60">
        <v>0</v>
      </c>
      <c r="AF1141" s="170">
        <v>2022</v>
      </c>
      <c r="AG1141" s="170">
        <v>2022</v>
      </c>
      <c r="AH1141" s="63">
        <v>2022</v>
      </c>
    </row>
    <row r="1142" spans="1:34" ht="61.5" x14ac:dyDescent="0.85">
      <c r="A1142" s="7">
        <v>1</v>
      </c>
      <c r="B1142" s="59">
        <f>SUBTOTAL(103,$A$1032:A1142)</f>
        <v>109</v>
      </c>
      <c r="C1142" s="160" t="s">
        <v>409</v>
      </c>
      <c r="D1142" s="60">
        <f t="shared" si="187"/>
        <v>91659.07</v>
      </c>
      <c r="E1142" s="60">
        <v>0</v>
      </c>
      <c r="F1142" s="60">
        <v>0</v>
      </c>
      <c r="G1142" s="60">
        <v>0</v>
      </c>
      <c r="H1142" s="60">
        <v>0</v>
      </c>
      <c r="I1142" s="60">
        <v>0</v>
      </c>
      <c r="J1142" s="60">
        <v>0</v>
      </c>
      <c r="K1142" s="168">
        <v>0</v>
      </c>
      <c r="L1142" s="60">
        <v>0</v>
      </c>
      <c r="M1142" s="60">
        <v>0</v>
      </c>
      <c r="N1142" s="60">
        <v>0</v>
      </c>
      <c r="O1142" s="60">
        <v>0</v>
      </c>
      <c r="P1142" s="60">
        <v>0</v>
      </c>
      <c r="Q1142" s="60">
        <v>0</v>
      </c>
      <c r="R1142" s="60">
        <v>0</v>
      </c>
      <c r="S1142" s="60">
        <v>0</v>
      </c>
      <c r="T1142" s="60">
        <v>0</v>
      </c>
      <c r="U1142" s="60">
        <v>0</v>
      </c>
      <c r="V1142" s="60">
        <v>0</v>
      </c>
      <c r="W1142" s="60">
        <v>0</v>
      </c>
      <c r="X1142" s="60">
        <v>0</v>
      </c>
      <c r="Y1142" s="60">
        <v>0</v>
      </c>
      <c r="Z1142" s="60">
        <v>0</v>
      </c>
      <c r="AA1142" s="60">
        <v>0</v>
      </c>
      <c r="AB1142" s="60">
        <v>0</v>
      </c>
      <c r="AC1142" s="60">
        <f t="shared" si="188"/>
        <v>0</v>
      </c>
      <c r="AD1142" s="60">
        <v>91659.07</v>
      </c>
      <c r="AE1142" s="60">
        <v>0</v>
      </c>
      <c r="AF1142" s="170">
        <v>2022</v>
      </c>
      <c r="AG1142" s="170" t="s">
        <v>257</v>
      </c>
      <c r="AH1142" s="63" t="s">
        <v>257</v>
      </c>
    </row>
    <row r="1143" spans="1:34" ht="61.5" x14ac:dyDescent="0.85">
      <c r="A1143" s="7">
        <v>1</v>
      </c>
      <c r="B1143" s="59">
        <f>SUBTOTAL(103,$A$1032:A1143)</f>
        <v>110</v>
      </c>
      <c r="C1143" s="160" t="s">
        <v>410</v>
      </c>
      <c r="D1143" s="60">
        <f t="shared" si="187"/>
        <v>176337.2</v>
      </c>
      <c r="E1143" s="60">
        <v>0</v>
      </c>
      <c r="F1143" s="60">
        <v>0</v>
      </c>
      <c r="G1143" s="60">
        <v>0</v>
      </c>
      <c r="H1143" s="60">
        <v>0</v>
      </c>
      <c r="I1143" s="60">
        <v>0</v>
      </c>
      <c r="J1143" s="60">
        <v>0</v>
      </c>
      <c r="K1143" s="168">
        <v>0</v>
      </c>
      <c r="L1143" s="60">
        <v>0</v>
      </c>
      <c r="M1143" s="60">
        <v>0</v>
      </c>
      <c r="N1143" s="60">
        <v>0</v>
      </c>
      <c r="O1143" s="60">
        <v>0</v>
      </c>
      <c r="P1143" s="60">
        <v>0</v>
      </c>
      <c r="Q1143" s="60">
        <v>0</v>
      </c>
      <c r="R1143" s="60">
        <v>0</v>
      </c>
      <c r="S1143" s="60">
        <v>0</v>
      </c>
      <c r="T1143" s="60">
        <v>0</v>
      </c>
      <c r="U1143" s="60">
        <v>0</v>
      </c>
      <c r="V1143" s="60">
        <v>0</v>
      </c>
      <c r="W1143" s="60">
        <v>0</v>
      </c>
      <c r="X1143" s="60">
        <v>0</v>
      </c>
      <c r="Y1143" s="60">
        <v>0</v>
      </c>
      <c r="Z1143" s="60">
        <v>0</v>
      </c>
      <c r="AA1143" s="60">
        <v>0</v>
      </c>
      <c r="AB1143" s="60">
        <v>0</v>
      </c>
      <c r="AC1143" s="60">
        <f t="shared" si="188"/>
        <v>0</v>
      </c>
      <c r="AD1143" s="60">
        <v>176337.2</v>
      </c>
      <c r="AE1143" s="60">
        <v>0</v>
      </c>
      <c r="AF1143" s="170">
        <v>2022</v>
      </c>
      <c r="AG1143" s="170" t="s">
        <v>257</v>
      </c>
      <c r="AH1143" s="63" t="s">
        <v>257</v>
      </c>
    </row>
    <row r="1144" spans="1:34" ht="61.5" x14ac:dyDescent="0.85">
      <c r="A1144" s="7">
        <v>1</v>
      </c>
      <c r="B1144" s="59">
        <f>SUBTOTAL(103,$A$1032:A1144)</f>
        <v>111</v>
      </c>
      <c r="C1144" s="160" t="s">
        <v>411</v>
      </c>
      <c r="D1144" s="60">
        <f t="shared" si="187"/>
        <v>5452572.3399999999</v>
      </c>
      <c r="E1144" s="60">
        <v>0</v>
      </c>
      <c r="F1144" s="60">
        <v>0</v>
      </c>
      <c r="G1144" s="60">
        <v>0</v>
      </c>
      <c r="H1144" s="60">
        <v>0</v>
      </c>
      <c r="I1144" s="60">
        <v>0</v>
      </c>
      <c r="J1144" s="60">
        <v>0</v>
      </c>
      <c r="K1144" s="168">
        <v>0</v>
      </c>
      <c r="L1144" s="60">
        <v>0</v>
      </c>
      <c r="M1144" s="60">
        <v>562</v>
      </c>
      <c r="N1144" s="60">
        <v>5305493</v>
      </c>
      <c r="O1144" s="60">
        <v>0</v>
      </c>
      <c r="P1144" s="60">
        <v>0</v>
      </c>
      <c r="Q1144" s="60">
        <v>0</v>
      </c>
      <c r="R1144" s="60">
        <v>0</v>
      </c>
      <c r="S1144" s="60">
        <v>0</v>
      </c>
      <c r="T1144" s="60">
        <v>0</v>
      </c>
      <c r="U1144" s="60">
        <v>0</v>
      </c>
      <c r="V1144" s="60">
        <v>0</v>
      </c>
      <c r="W1144" s="60">
        <v>0</v>
      </c>
      <c r="X1144" s="60">
        <v>0</v>
      </c>
      <c r="Y1144" s="60">
        <v>0</v>
      </c>
      <c r="Z1144" s="60">
        <v>0</v>
      </c>
      <c r="AA1144" s="60">
        <v>0</v>
      </c>
      <c r="AB1144" s="60">
        <v>0</v>
      </c>
      <c r="AC1144" s="60">
        <f t="shared" si="188"/>
        <v>56201.09</v>
      </c>
      <c r="AD1144" s="60">
        <v>90878.25</v>
      </c>
      <c r="AE1144" s="60">
        <v>0</v>
      </c>
      <c r="AF1144" s="170">
        <v>2022</v>
      </c>
      <c r="AG1144" s="170">
        <v>2022</v>
      </c>
      <c r="AH1144" s="63">
        <v>2022</v>
      </c>
    </row>
    <row r="1145" spans="1:34" ht="61.5" x14ac:dyDescent="0.85">
      <c r="A1145" s="7">
        <v>1</v>
      </c>
      <c r="B1145" s="59">
        <f>SUBTOTAL(103,$A$1032:A1145)</f>
        <v>112</v>
      </c>
      <c r="C1145" s="160" t="s">
        <v>412</v>
      </c>
      <c r="D1145" s="60">
        <f t="shared" si="187"/>
        <v>3756819.94</v>
      </c>
      <c r="E1145" s="60">
        <v>0</v>
      </c>
      <c r="F1145" s="60">
        <v>0</v>
      </c>
      <c r="G1145" s="60">
        <v>0</v>
      </c>
      <c r="H1145" s="60">
        <v>0</v>
      </c>
      <c r="I1145" s="60">
        <v>0</v>
      </c>
      <c r="J1145" s="60">
        <v>0</v>
      </c>
      <c r="K1145" s="168">
        <v>0</v>
      </c>
      <c r="L1145" s="60">
        <v>0</v>
      </c>
      <c r="M1145" s="60">
        <v>499</v>
      </c>
      <c r="N1145" s="60">
        <v>3650054.6</v>
      </c>
      <c r="O1145" s="60">
        <v>0</v>
      </c>
      <c r="P1145" s="60">
        <v>0</v>
      </c>
      <c r="Q1145" s="60">
        <v>0</v>
      </c>
      <c r="R1145" s="60">
        <v>0</v>
      </c>
      <c r="S1145" s="60">
        <v>0</v>
      </c>
      <c r="T1145" s="60">
        <v>0</v>
      </c>
      <c r="U1145" s="60">
        <v>0</v>
      </c>
      <c r="V1145" s="60">
        <v>0</v>
      </c>
      <c r="W1145" s="60">
        <v>0</v>
      </c>
      <c r="X1145" s="60">
        <v>0</v>
      </c>
      <c r="Y1145" s="60">
        <v>0</v>
      </c>
      <c r="Z1145" s="60">
        <v>0</v>
      </c>
      <c r="AA1145" s="60">
        <v>0</v>
      </c>
      <c r="AB1145" s="60">
        <v>0</v>
      </c>
      <c r="AC1145" s="60">
        <f t="shared" si="188"/>
        <v>38665.03</v>
      </c>
      <c r="AD1145" s="60">
        <v>68100.31</v>
      </c>
      <c r="AE1145" s="60">
        <v>0</v>
      </c>
      <c r="AF1145" s="170">
        <v>2022</v>
      </c>
      <c r="AG1145" s="170">
        <v>2022</v>
      </c>
      <c r="AH1145" s="63">
        <v>2022</v>
      </c>
    </row>
    <row r="1146" spans="1:34" ht="61.5" x14ac:dyDescent="0.85">
      <c r="A1146" s="7">
        <v>1</v>
      </c>
      <c r="B1146" s="59">
        <f>SUBTOTAL(103,$A$1032:A1146)</f>
        <v>113</v>
      </c>
      <c r="C1146" s="160" t="s">
        <v>198</v>
      </c>
      <c r="D1146" s="60">
        <f t="shared" si="187"/>
        <v>5373460.6599999992</v>
      </c>
      <c r="E1146" s="60">
        <v>0</v>
      </c>
      <c r="F1146" s="60">
        <v>0</v>
      </c>
      <c r="G1146" s="60">
        <v>0</v>
      </c>
      <c r="H1146" s="60">
        <v>0</v>
      </c>
      <c r="I1146" s="60">
        <v>0</v>
      </c>
      <c r="J1146" s="60">
        <v>0</v>
      </c>
      <c r="K1146" s="168">
        <v>0</v>
      </c>
      <c r="L1146" s="60">
        <v>0</v>
      </c>
      <c r="M1146" s="60">
        <v>636.5</v>
      </c>
      <c r="N1146" s="60">
        <v>5237194</v>
      </c>
      <c r="O1146" s="60">
        <v>0</v>
      </c>
      <c r="P1146" s="60">
        <v>0</v>
      </c>
      <c r="Q1146" s="60">
        <v>0</v>
      </c>
      <c r="R1146" s="60">
        <v>0</v>
      </c>
      <c r="S1146" s="60">
        <v>0</v>
      </c>
      <c r="T1146" s="60">
        <v>0</v>
      </c>
      <c r="U1146" s="60">
        <v>0</v>
      </c>
      <c r="V1146" s="60">
        <v>0</v>
      </c>
      <c r="W1146" s="60">
        <v>0</v>
      </c>
      <c r="X1146" s="60">
        <v>0</v>
      </c>
      <c r="Y1146" s="60">
        <v>0</v>
      </c>
      <c r="Z1146" s="60">
        <v>0</v>
      </c>
      <c r="AA1146" s="60">
        <v>0</v>
      </c>
      <c r="AB1146" s="60">
        <v>0</v>
      </c>
      <c r="AC1146" s="60">
        <f t="shared" si="188"/>
        <v>55477.599999999999</v>
      </c>
      <c r="AD1146" s="60">
        <v>80789.06</v>
      </c>
      <c r="AE1146" s="60">
        <v>0</v>
      </c>
      <c r="AF1146" s="170">
        <v>2022</v>
      </c>
      <c r="AG1146" s="170">
        <v>2022</v>
      </c>
      <c r="AH1146" s="63">
        <v>2022</v>
      </c>
    </row>
    <row r="1147" spans="1:34" ht="61.5" x14ac:dyDescent="0.85">
      <c r="A1147" s="7">
        <v>1</v>
      </c>
      <c r="B1147" s="59">
        <f>SUBTOTAL(103,$A$1032:A1147)</f>
        <v>114</v>
      </c>
      <c r="C1147" s="160" t="s">
        <v>414</v>
      </c>
      <c r="D1147" s="60">
        <f t="shared" si="187"/>
        <v>2640369.8299999996</v>
      </c>
      <c r="E1147" s="60">
        <v>0</v>
      </c>
      <c r="F1147" s="60">
        <v>0</v>
      </c>
      <c r="G1147" s="60">
        <v>0</v>
      </c>
      <c r="H1147" s="60">
        <v>0</v>
      </c>
      <c r="I1147" s="60">
        <v>0</v>
      </c>
      <c r="J1147" s="60">
        <v>0</v>
      </c>
      <c r="K1147" s="168">
        <v>0</v>
      </c>
      <c r="L1147" s="60">
        <v>0</v>
      </c>
      <c r="M1147" s="60">
        <v>356</v>
      </c>
      <c r="N1147" s="60">
        <v>2557185</v>
      </c>
      <c r="O1147" s="60">
        <v>0</v>
      </c>
      <c r="P1147" s="60">
        <v>0</v>
      </c>
      <c r="Q1147" s="60">
        <v>0</v>
      </c>
      <c r="R1147" s="60">
        <v>0</v>
      </c>
      <c r="S1147" s="60">
        <v>0</v>
      </c>
      <c r="T1147" s="60">
        <v>0</v>
      </c>
      <c r="U1147" s="60">
        <v>0</v>
      </c>
      <c r="V1147" s="60">
        <v>0</v>
      </c>
      <c r="W1147" s="60">
        <v>0</v>
      </c>
      <c r="X1147" s="60">
        <v>0</v>
      </c>
      <c r="Y1147" s="60">
        <v>0</v>
      </c>
      <c r="Z1147" s="60">
        <v>0</v>
      </c>
      <c r="AA1147" s="60">
        <v>0</v>
      </c>
      <c r="AB1147" s="60">
        <v>0</v>
      </c>
      <c r="AC1147" s="60">
        <f t="shared" si="188"/>
        <v>27088.26</v>
      </c>
      <c r="AD1147" s="60">
        <v>56096.57</v>
      </c>
      <c r="AE1147" s="60">
        <v>0</v>
      </c>
      <c r="AF1147" s="170">
        <v>2022</v>
      </c>
      <c r="AG1147" s="170">
        <v>2022</v>
      </c>
      <c r="AH1147" s="63">
        <v>2022</v>
      </c>
    </row>
    <row r="1148" spans="1:34" ht="61.5" x14ac:dyDescent="0.85">
      <c r="A1148" s="7">
        <v>1</v>
      </c>
      <c r="B1148" s="59">
        <f>SUBTOTAL(103,$A$1032:A1148)</f>
        <v>115</v>
      </c>
      <c r="C1148" s="160" t="s">
        <v>415</v>
      </c>
      <c r="D1148" s="60">
        <f>E1148+F1148+G1148+H1148+I1148+J1148+L1148+N1148+P1148+R1148+T1148+U1148+V1148+W1148+X1148+Y1148+Z1148+AA1148+AB1148+AC1148+AD1148+AE1148</f>
        <v>4721695.24</v>
      </c>
      <c r="E1148" s="60">
        <v>0</v>
      </c>
      <c r="F1148" s="60">
        <v>0</v>
      </c>
      <c r="G1148" s="60">
        <v>0</v>
      </c>
      <c r="H1148" s="60">
        <v>0</v>
      </c>
      <c r="I1148" s="60">
        <v>0</v>
      </c>
      <c r="J1148" s="60">
        <v>0</v>
      </c>
      <c r="K1148" s="168">
        <v>0</v>
      </c>
      <c r="L1148" s="60">
        <v>0</v>
      </c>
      <c r="M1148" s="60">
        <v>559</v>
      </c>
      <c r="N1148" s="60">
        <v>4604699</v>
      </c>
      <c r="O1148" s="60">
        <v>0</v>
      </c>
      <c r="P1148" s="60">
        <v>0</v>
      </c>
      <c r="Q1148" s="60">
        <v>0</v>
      </c>
      <c r="R1148" s="60">
        <v>0</v>
      </c>
      <c r="S1148" s="60">
        <v>0</v>
      </c>
      <c r="T1148" s="60">
        <v>0</v>
      </c>
      <c r="U1148" s="60">
        <v>0</v>
      </c>
      <c r="V1148" s="60">
        <v>0</v>
      </c>
      <c r="W1148" s="60">
        <v>0</v>
      </c>
      <c r="X1148" s="60">
        <v>0</v>
      </c>
      <c r="Y1148" s="60">
        <v>0</v>
      </c>
      <c r="Z1148" s="60">
        <v>0</v>
      </c>
      <c r="AA1148" s="60">
        <v>0</v>
      </c>
      <c r="AB1148" s="60">
        <v>0</v>
      </c>
      <c r="AC1148" s="60">
        <v>48777.58</v>
      </c>
      <c r="AD1148" s="60">
        <v>68218.66</v>
      </c>
      <c r="AE1148" s="60">
        <v>0</v>
      </c>
      <c r="AF1148" s="170">
        <v>2022</v>
      </c>
      <c r="AG1148" s="170">
        <v>2022</v>
      </c>
      <c r="AH1148" s="63">
        <v>2022</v>
      </c>
    </row>
    <row r="1149" spans="1:34" ht="61.5" x14ac:dyDescent="0.85">
      <c r="A1149" s="7">
        <v>1</v>
      </c>
      <c r="B1149" s="59">
        <f>SUBTOTAL(103,$A$1032:A1149)</f>
        <v>116</v>
      </c>
      <c r="C1149" s="160" t="s">
        <v>416</v>
      </c>
      <c r="D1149" s="60">
        <f>E1149+F1149+G1149+H1149+I1149+J1149+L1149+N1149+P1149+R1149+T1149+U1149+V1149+W1149+X1149+Y1149+Z1149+AA1149+AB1149+AC1149+AD1149+AE1149</f>
        <v>2183133.91</v>
      </c>
      <c r="E1149" s="60">
        <v>0</v>
      </c>
      <c r="F1149" s="60">
        <v>0</v>
      </c>
      <c r="G1149" s="60">
        <v>0</v>
      </c>
      <c r="H1149" s="60">
        <v>0</v>
      </c>
      <c r="I1149" s="60">
        <v>0</v>
      </c>
      <c r="J1149" s="60">
        <v>0</v>
      </c>
      <c r="K1149" s="168">
        <v>0</v>
      </c>
      <c r="L1149" s="60">
        <v>0</v>
      </c>
      <c r="M1149" s="60">
        <v>352.1</v>
      </c>
      <c r="N1149" s="60">
        <v>2029262</v>
      </c>
      <c r="O1149" s="60">
        <v>0</v>
      </c>
      <c r="P1149" s="60">
        <v>0</v>
      </c>
      <c r="Q1149" s="60">
        <v>0</v>
      </c>
      <c r="R1149" s="60">
        <v>0</v>
      </c>
      <c r="S1149" s="60">
        <v>0</v>
      </c>
      <c r="T1149" s="60">
        <v>0</v>
      </c>
      <c r="U1149" s="60">
        <v>0</v>
      </c>
      <c r="V1149" s="60">
        <v>0</v>
      </c>
      <c r="W1149" s="60">
        <v>0</v>
      </c>
      <c r="X1149" s="60">
        <v>0</v>
      </c>
      <c r="Y1149" s="60">
        <v>0</v>
      </c>
      <c r="Z1149" s="60">
        <v>0</v>
      </c>
      <c r="AA1149" s="60">
        <v>0</v>
      </c>
      <c r="AB1149" s="60">
        <v>0</v>
      </c>
      <c r="AC1149" s="60">
        <f t="shared" si="188"/>
        <v>21495.97</v>
      </c>
      <c r="AD1149" s="60">
        <v>132375.94</v>
      </c>
      <c r="AE1149" s="60">
        <v>0</v>
      </c>
      <c r="AF1149" s="170">
        <v>2022</v>
      </c>
      <c r="AG1149" s="170">
        <v>2022</v>
      </c>
      <c r="AH1149" s="63">
        <v>2022</v>
      </c>
    </row>
    <row r="1150" spans="1:34" ht="61.5" x14ac:dyDescent="0.85">
      <c r="A1150" s="7">
        <v>1</v>
      </c>
      <c r="B1150" s="59">
        <f>SUBTOTAL(103,$A$1032:A1150)</f>
        <v>117</v>
      </c>
      <c r="C1150" s="160" t="s">
        <v>2583</v>
      </c>
      <c r="D1150" s="60">
        <f t="shared" si="187"/>
        <v>352640.91</v>
      </c>
      <c r="E1150" s="60">
        <v>0</v>
      </c>
      <c r="F1150" s="60">
        <v>0</v>
      </c>
      <c r="G1150" s="60">
        <v>0</v>
      </c>
      <c r="H1150" s="60">
        <v>0</v>
      </c>
      <c r="I1150" s="60">
        <v>0</v>
      </c>
      <c r="J1150" s="60">
        <v>0</v>
      </c>
      <c r="K1150" s="168">
        <v>0</v>
      </c>
      <c r="L1150" s="60">
        <v>0</v>
      </c>
      <c r="M1150" s="60">
        <v>0</v>
      </c>
      <c r="N1150" s="60">
        <v>0</v>
      </c>
      <c r="O1150" s="60">
        <v>0</v>
      </c>
      <c r="P1150" s="60">
        <v>0</v>
      </c>
      <c r="Q1150" s="60">
        <v>0</v>
      </c>
      <c r="R1150" s="60">
        <v>0</v>
      </c>
      <c r="S1150" s="60">
        <v>0</v>
      </c>
      <c r="T1150" s="60">
        <v>0</v>
      </c>
      <c r="U1150" s="60">
        <v>0</v>
      </c>
      <c r="V1150" s="60">
        <v>0</v>
      </c>
      <c r="W1150" s="60">
        <v>0</v>
      </c>
      <c r="X1150" s="60">
        <v>0</v>
      </c>
      <c r="Y1150" s="60">
        <v>0</v>
      </c>
      <c r="Z1150" s="60">
        <v>0</v>
      </c>
      <c r="AA1150" s="60">
        <v>0</v>
      </c>
      <c r="AB1150" s="60">
        <v>0</v>
      </c>
      <c r="AC1150" s="60">
        <f t="shared" si="188"/>
        <v>0</v>
      </c>
      <c r="AD1150" s="60">
        <v>352640.91</v>
      </c>
      <c r="AE1150" s="60">
        <v>0</v>
      </c>
      <c r="AF1150" s="170">
        <v>2022</v>
      </c>
      <c r="AG1150" s="170" t="s">
        <v>257</v>
      </c>
      <c r="AH1150" s="63" t="s">
        <v>257</v>
      </c>
    </row>
    <row r="1151" spans="1:34" ht="61.5" x14ac:dyDescent="0.85">
      <c r="A1151" s="7">
        <v>1</v>
      </c>
      <c r="B1151" s="59">
        <f>SUBTOTAL(103,$A$1032:A1151)</f>
        <v>118</v>
      </c>
      <c r="C1151" s="160" t="s">
        <v>2582</v>
      </c>
      <c r="D1151" s="60">
        <f>E1151+F1151+G1151+H1151+I1151+J1151+L1151+N1151+P1151+R1151+T1151+U1151+V1151+W1151+X1151+Y1151+Z1151+AA1151+AB1151+AC1151+AD1151+AE1151</f>
        <v>110015.62</v>
      </c>
      <c r="E1151" s="60">
        <v>0</v>
      </c>
      <c r="F1151" s="60">
        <v>0</v>
      </c>
      <c r="G1151" s="60">
        <v>0</v>
      </c>
      <c r="H1151" s="60">
        <v>0</v>
      </c>
      <c r="I1151" s="60">
        <v>0</v>
      </c>
      <c r="J1151" s="60">
        <v>0</v>
      </c>
      <c r="K1151" s="168">
        <v>0</v>
      </c>
      <c r="L1151" s="60">
        <v>0</v>
      </c>
      <c r="M1151" s="60">
        <v>0</v>
      </c>
      <c r="N1151" s="60">
        <v>0</v>
      </c>
      <c r="O1151" s="60">
        <v>0</v>
      </c>
      <c r="P1151" s="60">
        <v>0</v>
      </c>
      <c r="Q1151" s="60">
        <v>0</v>
      </c>
      <c r="R1151" s="60">
        <v>0</v>
      </c>
      <c r="S1151" s="60">
        <v>0</v>
      </c>
      <c r="T1151" s="60">
        <v>0</v>
      </c>
      <c r="U1151" s="60">
        <v>0</v>
      </c>
      <c r="V1151" s="60">
        <v>0</v>
      </c>
      <c r="W1151" s="60">
        <v>0</v>
      </c>
      <c r="X1151" s="60">
        <v>0</v>
      </c>
      <c r="Y1151" s="60">
        <v>0</v>
      </c>
      <c r="Z1151" s="60">
        <v>0</v>
      </c>
      <c r="AA1151" s="60">
        <v>0</v>
      </c>
      <c r="AB1151" s="60">
        <v>0</v>
      </c>
      <c r="AC1151" s="60">
        <f t="shared" si="188"/>
        <v>0</v>
      </c>
      <c r="AD1151" s="60">
        <v>110015.62</v>
      </c>
      <c r="AE1151" s="60">
        <v>0</v>
      </c>
      <c r="AF1151" s="170">
        <v>2022</v>
      </c>
      <c r="AG1151" s="170" t="s">
        <v>257</v>
      </c>
      <c r="AH1151" s="63" t="s">
        <v>257</v>
      </c>
    </row>
    <row r="1152" spans="1:34" ht="61.5" x14ac:dyDescent="0.85">
      <c r="A1152" s="7">
        <v>1</v>
      </c>
      <c r="B1152" s="59">
        <f>SUBTOTAL(103,$A$1032:A1152)</f>
        <v>119</v>
      </c>
      <c r="C1152" s="160" t="s">
        <v>2962</v>
      </c>
      <c r="D1152" s="60">
        <f>E1152+F1152+G1152+H1152+I1152+J1152+L1152+N1152+P1152+R1152+T1152+U1152+V1152+W1152+X1152+Y1152+Z1152+AA1152+AB1152+AC1152+AD1152+AE1152</f>
        <v>176562.58</v>
      </c>
      <c r="E1152" s="60">
        <v>0</v>
      </c>
      <c r="F1152" s="60">
        <v>0</v>
      </c>
      <c r="G1152" s="60">
        <v>0</v>
      </c>
      <c r="H1152" s="60">
        <v>0</v>
      </c>
      <c r="I1152" s="60">
        <v>0</v>
      </c>
      <c r="J1152" s="60">
        <v>0</v>
      </c>
      <c r="K1152" s="168">
        <v>0</v>
      </c>
      <c r="L1152" s="60">
        <v>0</v>
      </c>
      <c r="M1152" s="60">
        <v>0</v>
      </c>
      <c r="N1152" s="60">
        <v>0</v>
      </c>
      <c r="O1152" s="60">
        <v>0</v>
      </c>
      <c r="P1152" s="60">
        <v>0</v>
      </c>
      <c r="Q1152" s="60">
        <v>0</v>
      </c>
      <c r="R1152" s="60">
        <v>0</v>
      </c>
      <c r="S1152" s="60">
        <v>0</v>
      </c>
      <c r="T1152" s="60">
        <v>0</v>
      </c>
      <c r="U1152" s="60">
        <v>0</v>
      </c>
      <c r="V1152" s="60">
        <v>0</v>
      </c>
      <c r="W1152" s="60">
        <v>0</v>
      </c>
      <c r="X1152" s="60">
        <v>0</v>
      </c>
      <c r="Y1152" s="60">
        <v>0</v>
      </c>
      <c r="Z1152" s="60">
        <v>0</v>
      </c>
      <c r="AA1152" s="60">
        <v>0</v>
      </c>
      <c r="AB1152" s="60">
        <v>0</v>
      </c>
      <c r="AC1152" s="60">
        <v>0</v>
      </c>
      <c r="AD1152" s="60">
        <v>176562.58</v>
      </c>
      <c r="AE1152" s="60">
        <v>0</v>
      </c>
      <c r="AF1152" s="170">
        <v>2022</v>
      </c>
      <c r="AG1152" s="170" t="s">
        <v>257</v>
      </c>
      <c r="AH1152" s="63" t="s">
        <v>257</v>
      </c>
    </row>
    <row r="1153" spans="1:16199" ht="61.5" x14ac:dyDescent="0.85">
      <c r="A1153" s="7">
        <v>1</v>
      </c>
      <c r="B1153" s="59">
        <f>SUBTOTAL(103,$A$1032:A1153)</f>
        <v>120</v>
      </c>
      <c r="C1153" s="160" t="s">
        <v>2966</v>
      </c>
      <c r="D1153" s="60">
        <f t="shared" si="187"/>
        <v>6173517.3900000006</v>
      </c>
      <c r="E1153" s="60">
        <v>0</v>
      </c>
      <c r="F1153" s="60">
        <v>0</v>
      </c>
      <c r="G1153" s="60">
        <v>0</v>
      </c>
      <c r="H1153" s="60">
        <v>0</v>
      </c>
      <c r="I1153" s="60">
        <v>0</v>
      </c>
      <c r="J1153" s="60">
        <v>0</v>
      </c>
      <c r="K1153" s="168">
        <v>0</v>
      </c>
      <c r="L1153" s="60">
        <v>0</v>
      </c>
      <c r="M1153" s="60">
        <v>775.15</v>
      </c>
      <c r="N1153" s="60">
        <v>6056970</v>
      </c>
      <c r="O1153" s="60">
        <v>0</v>
      </c>
      <c r="P1153" s="60">
        <v>0</v>
      </c>
      <c r="Q1153" s="60">
        <v>0</v>
      </c>
      <c r="R1153" s="60">
        <v>0</v>
      </c>
      <c r="S1153" s="60">
        <v>0</v>
      </c>
      <c r="T1153" s="60">
        <v>0</v>
      </c>
      <c r="U1153" s="60">
        <v>0</v>
      </c>
      <c r="V1153" s="60">
        <v>0</v>
      </c>
      <c r="W1153" s="60">
        <v>0</v>
      </c>
      <c r="X1153" s="60">
        <v>0</v>
      </c>
      <c r="Y1153" s="60">
        <v>0</v>
      </c>
      <c r="Z1153" s="60">
        <v>0</v>
      </c>
      <c r="AA1153" s="60">
        <v>0</v>
      </c>
      <c r="AB1153" s="60">
        <v>0</v>
      </c>
      <c r="AC1153" s="60">
        <f t="shared" ref="AC1153" si="189">ROUND(N1153*1.0593%,2)+ROUND(E1153*1.0593%,2)+ROUND(F1153*1.0593%,2)+ROUND(G1153*1.0593%,2)+ROUND(H1153*1.0593%,2)+ROUND(I1153*1.0593%,2)+ROUND(J1153*1.0593%,2)+ROUND(L1153*1.0593%,2)+ROUND(P1153*1.0593%,2)+ROUND(R1153*1.0593%,2)+ROUND(T1153*1.0593%,2)+ROUND(U1153*1.0593%,2)+ROUND(V1153*1.0593%,2)+ROUND(W1153*1.0593%,2)+ROUND(X1153*1.0593%,2)+ROUND(Y1153*1.0593%,2)+ROUND(Z1153*1.0593%,2)+ROUND(AA1153*1.0593%,2)+ROUND(AB1153*1.0593%,2)</f>
        <v>64161.48</v>
      </c>
      <c r="AD1153" s="60">
        <v>52385.91</v>
      </c>
      <c r="AE1153" s="60">
        <v>0</v>
      </c>
      <c r="AF1153" s="170">
        <v>2022</v>
      </c>
      <c r="AG1153" s="170">
        <v>2022</v>
      </c>
      <c r="AH1153" s="63">
        <v>2022</v>
      </c>
    </row>
    <row r="1154" spans="1:16199" ht="61.5" x14ac:dyDescent="0.85">
      <c r="A1154" s="7">
        <v>1</v>
      </c>
      <c r="B1154" s="59">
        <f>SUBTOTAL(103,$A$1032:A1154)</f>
        <v>121</v>
      </c>
      <c r="C1154" s="160" t="s">
        <v>193</v>
      </c>
      <c r="D1154" s="60">
        <f t="shared" si="187"/>
        <v>6220336.3899999997</v>
      </c>
      <c r="E1154" s="60">
        <v>0</v>
      </c>
      <c r="F1154" s="60">
        <v>0</v>
      </c>
      <c r="G1154" s="60">
        <v>0</v>
      </c>
      <c r="H1154" s="60">
        <v>0</v>
      </c>
      <c r="I1154" s="60">
        <v>0</v>
      </c>
      <c r="J1154" s="60">
        <v>0</v>
      </c>
      <c r="K1154" s="168">
        <v>0</v>
      </c>
      <c r="L1154" s="60">
        <v>0</v>
      </c>
      <c r="M1154" s="60">
        <v>744</v>
      </c>
      <c r="N1154" s="60">
        <v>6104535</v>
      </c>
      <c r="O1154" s="60">
        <v>0</v>
      </c>
      <c r="P1154" s="60">
        <v>0</v>
      </c>
      <c r="Q1154" s="60">
        <v>0</v>
      </c>
      <c r="R1154" s="60">
        <v>0</v>
      </c>
      <c r="S1154" s="60">
        <v>0</v>
      </c>
      <c r="T1154" s="60">
        <v>0</v>
      </c>
      <c r="U1154" s="60">
        <v>0</v>
      </c>
      <c r="V1154" s="60">
        <v>0</v>
      </c>
      <c r="W1154" s="60">
        <v>0</v>
      </c>
      <c r="X1154" s="60">
        <v>0</v>
      </c>
      <c r="Y1154" s="60">
        <v>0</v>
      </c>
      <c r="Z1154" s="60">
        <v>0</v>
      </c>
      <c r="AA1154" s="60">
        <v>0</v>
      </c>
      <c r="AB1154" s="60">
        <v>0</v>
      </c>
      <c r="AC1154" s="60">
        <v>64665.34</v>
      </c>
      <c r="AD1154" s="60">
        <v>51136.05</v>
      </c>
      <c r="AE1154" s="60">
        <v>0</v>
      </c>
      <c r="AF1154" s="170">
        <v>2022</v>
      </c>
      <c r="AG1154" s="170">
        <v>2022</v>
      </c>
      <c r="AH1154" s="63">
        <v>2022</v>
      </c>
    </row>
    <row r="1155" spans="1:16199" customFormat="1" ht="61.5" x14ac:dyDescent="0.85">
      <c r="A1155" s="7">
        <v>1</v>
      </c>
      <c r="B1155" s="59">
        <f>SUBTOTAL(103,$A$1032:A1155)</f>
        <v>122</v>
      </c>
      <c r="C1155" s="160" t="s">
        <v>381</v>
      </c>
      <c r="D1155" s="60">
        <f t="shared" ref="D1155:D1172" si="190">E1155+F1155+G1155+H1155+I1155+J1155+L1155+N1155+P1155+R1155+T1155+U1155+V1155+W1155+X1155+Y1155+Z1155+AA1155+AB1155+AC1155+AD1155+AE1155</f>
        <v>3242141.4699999997</v>
      </c>
      <c r="E1155" s="60">
        <v>0</v>
      </c>
      <c r="F1155" s="60">
        <v>0</v>
      </c>
      <c r="G1155" s="60">
        <v>2580528</v>
      </c>
      <c r="H1155" s="60">
        <v>0</v>
      </c>
      <c r="I1155" s="60">
        <v>0</v>
      </c>
      <c r="J1155" s="60">
        <v>0</v>
      </c>
      <c r="K1155" s="168">
        <v>0</v>
      </c>
      <c r="L1155" s="60">
        <v>0</v>
      </c>
      <c r="M1155" s="60">
        <v>0</v>
      </c>
      <c r="N1155" s="60">
        <v>0</v>
      </c>
      <c r="O1155" s="60">
        <v>0</v>
      </c>
      <c r="P1155" s="60">
        <v>0</v>
      </c>
      <c r="Q1155" s="60">
        <v>0</v>
      </c>
      <c r="R1155" s="60">
        <v>0</v>
      </c>
      <c r="S1155" s="60">
        <v>0</v>
      </c>
      <c r="T1155" s="60">
        <v>0</v>
      </c>
      <c r="U1155" s="60">
        <v>0</v>
      </c>
      <c r="V1155" s="60">
        <v>0</v>
      </c>
      <c r="W1155" s="60">
        <v>0</v>
      </c>
      <c r="X1155" s="60">
        <v>0</v>
      </c>
      <c r="Y1155" s="60">
        <v>0</v>
      </c>
      <c r="Z1155" s="60">
        <v>0</v>
      </c>
      <c r="AA1155" s="60">
        <v>0</v>
      </c>
      <c r="AB1155" s="60">
        <v>500979</v>
      </c>
      <c r="AC1155" s="60">
        <v>40907.01</v>
      </c>
      <c r="AD1155" s="60">
        <v>119727.46</v>
      </c>
      <c r="AE1155" s="60">
        <v>0</v>
      </c>
      <c r="AF1155" s="170">
        <v>2022</v>
      </c>
      <c r="AG1155" s="170">
        <v>2022</v>
      </c>
      <c r="AH1155" s="63">
        <v>2022</v>
      </c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  <c r="BZ1155" s="7"/>
      <c r="CA1155" s="7"/>
      <c r="CB1155" s="7"/>
      <c r="CC1155" s="7"/>
      <c r="CD1155" s="7"/>
      <c r="CE1155" s="7"/>
      <c r="CF1155" s="7"/>
      <c r="CG1155" s="7"/>
      <c r="CH1155" s="7"/>
      <c r="CI1155" s="7"/>
      <c r="CJ1155" s="7"/>
      <c r="CK1155" s="7"/>
      <c r="CL1155" s="7"/>
      <c r="CM1155" s="7"/>
      <c r="CN1155" s="7"/>
      <c r="CO1155" s="7"/>
      <c r="CP1155" s="7"/>
      <c r="CQ1155" s="7"/>
      <c r="CR1155" s="7"/>
      <c r="CS1155" s="7"/>
      <c r="CT1155" s="7"/>
      <c r="CU1155" s="7"/>
      <c r="CV1155" s="7"/>
      <c r="CW1155" s="7"/>
      <c r="CX1155" s="7"/>
      <c r="CY1155" s="7"/>
      <c r="CZ1155" s="7"/>
      <c r="DA1155" s="7"/>
      <c r="DB1155" s="7"/>
      <c r="DC1155" s="7"/>
      <c r="DD1155" s="7"/>
      <c r="DE1155" s="7"/>
      <c r="DF1155" s="7"/>
      <c r="DG1155" s="7"/>
      <c r="DH1155" s="7"/>
      <c r="DI1155" s="7"/>
      <c r="DJ1155" s="7"/>
      <c r="DK1155" s="7"/>
      <c r="DL1155" s="7"/>
      <c r="DM1155" s="7"/>
      <c r="DN1155" s="7"/>
      <c r="DO1155" s="7"/>
      <c r="DP1155" s="7"/>
      <c r="DQ1155" s="7"/>
      <c r="DR1155" s="7"/>
      <c r="DS1155" s="7"/>
      <c r="DT1155" s="7"/>
      <c r="DU1155" s="7"/>
      <c r="DV1155" s="7"/>
      <c r="DW1155" s="7"/>
      <c r="DX1155" s="7"/>
      <c r="DY1155" s="7"/>
      <c r="DZ1155" s="7"/>
      <c r="EA1155" s="7"/>
      <c r="EB1155" s="7"/>
      <c r="EC1155" s="7"/>
      <c r="ED1155" s="7"/>
      <c r="EE1155" s="7"/>
      <c r="EF1155" s="7"/>
      <c r="EG1155" s="7"/>
      <c r="EH1155" s="7"/>
      <c r="EI1155" s="7"/>
      <c r="EJ1155" s="7"/>
      <c r="EK1155" s="7"/>
      <c r="EL1155" s="7"/>
      <c r="EM1155" s="7"/>
      <c r="EN1155" s="7"/>
      <c r="EO1155" s="7"/>
      <c r="EP1155" s="7"/>
      <c r="EQ1155" s="7"/>
      <c r="ER1155" s="7"/>
      <c r="ES1155" s="7"/>
      <c r="ET1155" s="7"/>
      <c r="EU1155" s="7"/>
      <c r="EV1155" s="7"/>
      <c r="EW1155" s="7"/>
      <c r="EX1155" s="7"/>
      <c r="EY1155" s="7"/>
      <c r="EZ1155" s="7"/>
      <c r="FA1155" s="7"/>
      <c r="FB1155" s="7"/>
      <c r="FC1155" s="7"/>
      <c r="FD1155" s="7"/>
      <c r="FE1155" s="7"/>
      <c r="FF1155" s="7"/>
      <c r="FG1155" s="7"/>
      <c r="FH1155" s="7"/>
      <c r="FI1155" s="7"/>
      <c r="FJ1155" s="7"/>
      <c r="FK1155" s="7"/>
      <c r="FL1155" s="7"/>
      <c r="FM1155" s="7"/>
      <c r="FN1155" s="7"/>
      <c r="FO1155" s="7"/>
      <c r="FP1155" s="7"/>
      <c r="FQ1155" s="7"/>
      <c r="FR1155" s="7"/>
      <c r="FS1155" s="7"/>
      <c r="FT1155" s="7"/>
      <c r="FU1155" s="7"/>
      <c r="FV1155" s="7"/>
      <c r="FW1155" s="7"/>
      <c r="FX1155" s="7"/>
      <c r="FY1155" s="7"/>
      <c r="FZ1155" s="7"/>
      <c r="GA1155" s="7"/>
      <c r="GB1155" s="7"/>
      <c r="GC1155" s="7"/>
      <c r="GD1155" s="7"/>
      <c r="GE1155" s="7"/>
      <c r="GF1155" s="7"/>
      <c r="GG1155" s="7"/>
      <c r="GH1155" s="7"/>
      <c r="GI1155" s="7"/>
      <c r="GJ1155" s="7"/>
      <c r="GK1155" s="7"/>
      <c r="GL1155" s="7"/>
      <c r="GM1155" s="7"/>
      <c r="GN1155" s="7"/>
      <c r="GO1155" s="7"/>
      <c r="GP1155" s="7"/>
      <c r="GQ1155" s="7"/>
      <c r="GR1155" s="7"/>
      <c r="GS1155" s="7"/>
      <c r="GT1155" s="7"/>
      <c r="GU1155" s="7"/>
      <c r="GV1155" s="7"/>
      <c r="GW1155" s="7"/>
      <c r="GX1155" s="7"/>
      <c r="GY1155" s="7"/>
      <c r="GZ1155" s="7"/>
      <c r="HA1155" s="7"/>
      <c r="HB1155" s="7"/>
      <c r="HC1155" s="7"/>
      <c r="HD1155" s="7"/>
      <c r="HE1155" s="7"/>
      <c r="HF1155" s="7"/>
      <c r="HG1155" s="7"/>
      <c r="HH1155" s="7"/>
      <c r="HI1155" s="7"/>
      <c r="HJ1155" s="7"/>
      <c r="HK1155" s="7"/>
      <c r="HL1155" s="7"/>
      <c r="HM1155" s="7"/>
      <c r="HN1155" s="7"/>
      <c r="HO1155" s="7"/>
      <c r="HP1155" s="7"/>
      <c r="HQ1155" s="7"/>
      <c r="HR1155" s="7"/>
      <c r="HS1155" s="7"/>
      <c r="HT1155" s="7"/>
      <c r="HU1155" s="7"/>
      <c r="HV1155" s="7"/>
      <c r="HW1155" s="7"/>
      <c r="HX1155" s="7"/>
      <c r="HY1155" s="7"/>
      <c r="HZ1155" s="7"/>
      <c r="IA1155" s="7"/>
      <c r="IB1155" s="7"/>
      <c r="IC1155" s="7"/>
      <c r="ID1155" s="7"/>
      <c r="IE1155" s="7"/>
      <c r="IF1155" s="7"/>
      <c r="IG1155" s="7"/>
      <c r="IH1155" s="7"/>
      <c r="II1155" s="7"/>
      <c r="IJ1155" s="7"/>
      <c r="IK1155" s="7"/>
      <c r="IL1155" s="7"/>
      <c r="IM1155" s="7"/>
      <c r="IN1155" s="7"/>
      <c r="IO1155" s="7"/>
      <c r="IP1155" s="7"/>
      <c r="IQ1155" s="7"/>
      <c r="IR1155" s="7"/>
      <c r="IS1155" s="7"/>
      <c r="IT1155" s="7"/>
      <c r="IU1155" s="7"/>
      <c r="IV1155" s="7"/>
      <c r="IW1155" s="7"/>
      <c r="IX1155" s="7"/>
      <c r="IY1155" s="7"/>
      <c r="IZ1155" s="7"/>
      <c r="JA1155" s="7"/>
      <c r="JB1155" s="7"/>
      <c r="JC1155" s="7"/>
      <c r="JD1155" s="7"/>
      <c r="JE1155" s="7"/>
      <c r="JF1155" s="7"/>
      <c r="JG1155" s="7"/>
      <c r="JH1155" s="7"/>
      <c r="JI1155" s="7"/>
      <c r="JJ1155" s="7"/>
      <c r="JK1155" s="7"/>
      <c r="JL1155" s="7"/>
      <c r="JM1155" s="7"/>
      <c r="JN1155" s="7"/>
      <c r="JO1155" s="7"/>
      <c r="JP1155" s="7"/>
      <c r="JQ1155" s="7"/>
      <c r="JR1155" s="7"/>
      <c r="JS1155" s="7"/>
      <c r="JT1155" s="7"/>
      <c r="JU1155" s="7"/>
      <c r="JV1155" s="7"/>
      <c r="JW1155" s="7"/>
      <c r="JX1155" s="7"/>
      <c r="JY1155" s="7"/>
      <c r="JZ1155" s="7"/>
      <c r="KA1155" s="7"/>
      <c r="KB1155" s="7"/>
      <c r="KC1155" s="7"/>
      <c r="KD1155" s="7"/>
      <c r="KE1155" s="7"/>
      <c r="KF1155" s="7"/>
      <c r="KG1155" s="7"/>
      <c r="KH1155" s="7"/>
      <c r="KI1155" s="7"/>
      <c r="KJ1155" s="7"/>
      <c r="KK1155" s="7"/>
      <c r="KL1155" s="7"/>
      <c r="KM1155" s="7"/>
      <c r="KN1155" s="7"/>
      <c r="KO1155" s="7"/>
      <c r="KP1155" s="7"/>
      <c r="KQ1155" s="7"/>
      <c r="KR1155" s="7"/>
      <c r="KS1155" s="7"/>
      <c r="KT1155" s="7"/>
      <c r="KU1155" s="7"/>
      <c r="KV1155" s="7"/>
      <c r="KW1155" s="7"/>
      <c r="KX1155" s="7"/>
      <c r="KY1155" s="7"/>
      <c r="KZ1155" s="7"/>
      <c r="LA1155" s="7"/>
      <c r="LB1155" s="7"/>
      <c r="LC1155" s="7"/>
      <c r="LD1155" s="7"/>
      <c r="LE1155" s="7"/>
      <c r="LF1155" s="7"/>
      <c r="LG1155" s="7"/>
      <c r="LH1155" s="7"/>
      <c r="LI1155" s="7"/>
      <c r="LJ1155" s="7"/>
      <c r="LK1155" s="7"/>
      <c r="LL1155" s="7"/>
      <c r="LM1155" s="7"/>
      <c r="LN1155" s="7"/>
      <c r="LO1155" s="7"/>
      <c r="LP1155" s="7"/>
      <c r="LQ1155" s="7"/>
      <c r="LR1155" s="7"/>
      <c r="LS1155" s="7"/>
      <c r="LT1155" s="7"/>
      <c r="LU1155" s="7"/>
      <c r="LV1155" s="7"/>
      <c r="LW1155" s="7"/>
      <c r="LX1155" s="7"/>
      <c r="LY1155" s="7"/>
      <c r="LZ1155" s="7"/>
      <c r="MA1155" s="7"/>
      <c r="MB1155" s="7"/>
      <c r="MC1155" s="7"/>
      <c r="MD1155" s="7"/>
      <c r="ME1155" s="7"/>
      <c r="MF1155" s="7"/>
      <c r="MG1155" s="7"/>
      <c r="MH1155" s="7"/>
      <c r="MI1155" s="7"/>
      <c r="MJ1155" s="7"/>
      <c r="MK1155" s="7"/>
      <c r="ML1155" s="7"/>
      <c r="MM1155" s="7"/>
      <c r="MN1155" s="7"/>
      <c r="MO1155" s="7"/>
      <c r="MP1155" s="7"/>
      <c r="MQ1155" s="7"/>
      <c r="MR1155" s="7"/>
      <c r="MS1155" s="7"/>
      <c r="MT1155" s="7"/>
      <c r="MU1155" s="7"/>
      <c r="MV1155" s="7"/>
      <c r="MW1155" s="7"/>
      <c r="MX1155" s="7"/>
      <c r="MY1155" s="7"/>
      <c r="MZ1155" s="7"/>
      <c r="NA1155" s="7"/>
      <c r="NB1155" s="7"/>
      <c r="NC1155" s="7"/>
      <c r="ND1155" s="7"/>
      <c r="NE1155" s="7"/>
      <c r="NF1155" s="7"/>
      <c r="NG1155" s="7"/>
      <c r="NH1155" s="7"/>
      <c r="NI1155" s="7"/>
      <c r="NJ1155" s="7"/>
      <c r="NK1155" s="7"/>
      <c r="NL1155" s="7"/>
      <c r="NM1155" s="7"/>
      <c r="NN1155" s="7"/>
      <c r="NO1155" s="7"/>
      <c r="NP1155" s="7"/>
      <c r="NQ1155" s="7"/>
      <c r="NR1155" s="7"/>
      <c r="NS1155" s="7"/>
      <c r="NT1155" s="7"/>
      <c r="NU1155" s="7"/>
      <c r="NV1155" s="7"/>
      <c r="NW1155" s="7"/>
      <c r="NX1155" s="7"/>
      <c r="NY1155" s="7"/>
      <c r="NZ1155" s="7"/>
      <c r="OA1155" s="7"/>
      <c r="OB1155" s="7"/>
      <c r="OC1155" s="7"/>
      <c r="OD1155" s="7"/>
      <c r="OE1155" s="7"/>
      <c r="OF1155" s="7"/>
      <c r="OG1155" s="7"/>
      <c r="OH1155" s="7"/>
      <c r="OI1155" s="7"/>
      <c r="OJ1155" s="7"/>
      <c r="OK1155" s="7"/>
      <c r="OL1155" s="7"/>
      <c r="OM1155" s="7"/>
      <c r="ON1155" s="7"/>
      <c r="OO1155" s="7"/>
      <c r="OP1155" s="7"/>
      <c r="OQ1155" s="7"/>
      <c r="OR1155" s="7"/>
      <c r="OS1155" s="7"/>
      <c r="OT1155" s="7"/>
      <c r="OU1155" s="7"/>
      <c r="OV1155" s="7"/>
      <c r="OW1155" s="7"/>
      <c r="OX1155" s="7"/>
      <c r="OY1155" s="7"/>
      <c r="OZ1155" s="7"/>
      <c r="PA1155" s="7"/>
      <c r="PB1155" s="7"/>
      <c r="PC1155" s="7"/>
      <c r="PD1155" s="7"/>
      <c r="PE1155" s="7"/>
      <c r="PF1155" s="7"/>
      <c r="PG1155" s="7"/>
      <c r="PH1155" s="7"/>
      <c r="PI1155" s="7"/>
      <c r="PJ1155" s="7"/>
      <c r="PK1155" s="7"/>
      <c r="PL1155" s="7"/>
      <c r="PM1155" s="7"/>
      <c r="PN1155" s="7"/>
      <c r="PO1155" s="7"/>
      <c r="PP1155" s="7"/>
      <c r="PQ1155" s="7"/>
      <c r="PR1155" s="7"/>
      <c r="PS1155" s="7"/>
      <c r="PT1155" s="7"/>
      <c r="PU1155" s="7"/>
      <c r="PV1155" s="7"/>
      <c r="PW1155" s="7"/>
      <c r="PX1155" s="7"/>
      <c r="PY1155" s="7"/>
      <c r="PZ1155" s="7"/>
      <c r="QA1155" s="7"/>
      <c r="QB1155" s="7"/>
      <c r="QC1155" s="7"/>
      <c r="QD1155" s="7"/>
      <c r="QE1155" s="7"/>
      <c r="QF1155" s="7"/>
      <c r="QG1155" s="7"/>
      <c r="QH1155" s="7"/>
      <c r="QI1155" s="7"/>
      <c r="QJ1155" s="7"/>
      <c r="QK1155" s="7"/>
      <c r="QL1155" s="7"/>
      <c r="QM1155" s="7"/>
      <c r="QN1155" s="7"/>
      <c r="QO1155" s="7"/>
      <c r="QP1155" s="7"/>
      <c r="QQ1155" s="7"/>
      <c r="QR1155" s="7"/>
      <c r="QS1155" s="7"/>
      <c r="QT1155" s="7"/>
      <c r="QU1155" s="7"/>
      <c r="QV1155" s="7"/>
      <c r="QW1155" s="7"/>
      <c r="QX1155" s="7"/>
      <c r="QY1155" s="7"/>
      <c r="QZ1155" s="7"/>
      <c r="RA1155" s="7"/>
      <c r="RB1155" s="7"/>
      <c r="RC1155" s="7"/>
      <c r="RD1155" s="7"/>
      <c r="RE1155" s="7"/>
      <c r="RF1155" s="7"/>
      <c r="RG1155" s="7"/>
      <c r="RH1155" s="7"/>
      <c r="RI1155" s="7"/>
      <c r="RJ1155" s="7"/>
      <c r="RK1155" s="7"/>
      <c r="RL1155" s="7"/>
      <c r="RM1155" s="7"/>
      <c r="RN1155" s="7"/>
      <c r="RO1155" s="7"/>
      <c r="RP1155" s="7"/>
      <c r="RQ1155" s="7"/>
      <c r="RR1155" s="7"/>
      <c r="RS1155" s="7"/>
      <c r="RT1155" s="7"/>
      <c r="RU1155" s="7"/>
      <c r="RV1155" s="7"/>
      <c r="RW1155" s="7"/>
      <c r="RX1155" s="7"/>
      <c r="RY1155" s="7"/>
      <c r="RZ1155" s="7"/>
      <c r="SA1155" s="7"/>
      <c r="SB1155" s="7"/>
      <c r="SC1155" s="7"/>
      <c r="SD1155" s="7"/>
      <c r="SE1155" s="7"/>
      <c r="SF1155" s="7"/>
      <c r="SG1155" s="7"/>
      <c r="SH1155" s="7"/>
      <c r="SI1155" s="7"/>
      <c r="SJ1155" s="7"/>
      <c r="SK1155" s="7"/>
      <c r="SL1155" s="7"/>
      <c r="SM1155" s="7"/>
      <c r="SN1155" s="7"/>
      <c r="SO1155" s="7"/>
      <c r="SP1155" s="7"/>
      <c r="SQ1155" s="7"/>
      <c r="SR1155" s="7"/>
      <c r="SS1155" s="7"/>
      <c r="ST1155" s="7"/>
      <c r="SU1155" s="7"/>
      <c r="SV1155" s="7"/>
      <c r="SW1155" s="7"/>
      <c r="SX1155" s="7"/>
      <c r="SY1155" s="7"/>
      <c r="SZ1155" s="7"/>
      <c r="TA1155" s="7"/>
      <c r="TB1155" s="7"/>
      <c r="TC1155" s="7"/>
      <c r="TD1155" s="7"/>
      <c r="TE1155" s="7"/>
      <c r="TF1155" s="7"/>
      <c r="TG1155" s="7"/>
      <c r="TH1155" s="7"/>
      <c r="TI1155" s="7"/>
      <c r="TJ1155" s="7"/>
      <c r="TK1155" s="7"/>
      <c r="TL1155" s="7"/>
      <c r="TM1155" s="7"/>
      <c r="TN1155" s="7"/>
      <c r="TO1155" s="7"/>
      <c r="TP1155" s="7"/>
      <c r="TQ1155" s="7"/>
      <c r="TR1155" s="7"/>
      <c r="TS1155" s="7"/>
      <c r="TT1155" s="7"/>
      <c r="TU1155" s="7"/>
      <c r="TV1155" s="7"/>
      <c r="TW1155" s="7"/>
      <c r="TX1155" s="7"/>
      <c r="TY1155" s="7"/>
      <c r="TZ1155" s="7"/>
      <c r="UA1155" s="7"/>
      <c r="UB1155" s="7"/>
      <c r="UC1155" s="7"/>
      <c r="UD1155" s="7"/>
      <c r="UE1155" s="7"/>
      <c r="UF1155" s="7"/>
      <c r="UG1155" s="7"/>
      <c r="UH1155" s="7"/>
      <c r="UI1155" s="7"/>
      <c r="UJ1155" s="7"/>
      <c r="UK1155" s="7"/>
      <c r="UL1155" s="7"/>
      <c r="UM1155" s="7"/>
      <c r="UN1155" s="7"/>
      <c r="UO1155" s="7"/>
      <c r="UP1155" s="7"/>
      <c r="UQ1155" s="7"/>
      <c r="UR1155" s="7"/>
      <c r="US1155" s="7"/>
      <c r="UT1155" s="7"/>
      <c r="UU1155" s="7"/>
      <c r="UV1155" s="7"/>
      <c r="UW1155" s="7"/>
      <c r="UX1155" s="7"/>
      <c r="UY1155" s="7"/>
      <c r="UZ1155" s="7"/>
      <c r="VA1155" s="7"/>
      <c r="VB1155" s="7"/>
      <c r="VC1155" s="7"/>
      <c r="VD1155" s="7"/>
      <c r="VE1155" s="7"/>
      <c r="VF1155" s="7"/>
      <c r="VG1155" s="7"/>
      <c r="VH1155" s="7"/>
      <c r="VI1155" s="7"/>
      <c r="VJ1155" s="7"/>
      <c r="VK1155" s="7"/>
      <c r="VL1155" s="7"/>
      <c r="VM1155" s="7"/>
      <c r="VN1155" s="7"/>
      <c r="VO1155" s="7"/>
      <c r="VP1155" s="7"/>
      <c r="VQ1155" s="7"/>
      <c r="VR1155" s="7"/>
      <c r="VS1155" s="7"/>
      <c r="VT1155" s="7"/>
      <c r="VU1155" s="7"/>
      <c r="VV1155" s="7"/>
      <c r="VW1155" s="7"/>
      <c r="VX1155" s="7"/>
      <c r="VY1155" s="7"/>
      <c r="VZ1155" s="7"/>
      <c r="WA1155" s="7"/>
      <c r="WB1155" s="7"/>
      <c r="WC1155" s="7"/>
      <c r="WD1155" s="7"/>
      <c r="WE1155" s="7"/>
      <c r="WF1155" s="7"/>
      <c r="WG1155" s="7"/>
      <c r="WH1155" s="7"/>
      <c r="WI1155" s="7"/>
      <c r="WJ1155" s="7"/>
      <c r="WK1155" s="7"/>
      <c r="WL1155" s="7"/>
      <c r="WM1155" s="7"/>
      <c r="WN1155" s="7"/>
      <c r="WO1155" s="7"/>
      <c r="WP1155" s="7"/>
      <c r="WQ1155" s="7"/>
      <c r="WR1155" s="7"/>
      <c r="WS1155" s="7"/>
      <c r="WT1155" s="7"/>
      <c r="WU1155" s="7"/>
      <c r="WV1155" s="7"/>
      <c r="WW1155" s="7"/>
      <c r="WX1155" s="7"/>
      <c r="WY1155" s="7"/>
      <c r="WZ1155" s="7"/>
      <c r="XA1155" s="7"/>
      <c r="XB1155" s="7"/>
      <c r="XC1155" s="7"/>
      <c r="XD1155" s="7"/>
      <c r="XE1155" s="7"/>
      <c r="XF1155" s="7"/>
      <c r="XG1155" s="7"/>
      <c r="XH1155" s="7"/>
      <c r="XI1155" s="7"/>
      <c r="XJ1155" s="7"/>
      <c r="XK1155" s="7"/>
      <c r="XL1155" s="7"/>
      <c r="XM1155" s="7"/>
      <c r="XN1155" s="7"/>
      <c r="XO1155" s="7"/>
      <c r="XP1155" s="7"/>
      <c r="XQ1155" s="7"/>
      <c r="XR1155" s="7"/>
      <c r="XS1155" s="7"/>
      <c r="XT1155" s="7"/>
      <c r="XU1155" s="7"/>
      <c r="XV1155" s="7"/>
      <c r="XW1155" s="7"/>
      <c r="XX1155" s="7"/>
      <c r="XY1155" s="7"/>
      <c r="XZ1155" s="7"/>
      <c r="YA1155" s="7"/>
      <c r="YB1155" s="7"/>
      <c r="YC1155" s="7"/>
      <c r="YD1155" s="7"/>
      <c r="YE1155" s="7"/>
      <c r="YF1155" s="7"/>
      <c r="YG1155" s="7"/>
      <c r="YH1155" s="7"/>
      <c r="YI1155" s="7"/>
      <c r="YJ1155" s="7"/>
      <c r="YK1155" s="7"/>
      <c r="YL1155" s="7"/>
      <c r="YM1155" s="7"/>
      <c r="YN1155" s="7"/>
      <c r="YO1155" s="7"/>
      <c r="YP1155" s="7"/>
      <c r="YQ1155" s="7"/>
      <c r="YR1155" s="7"/>
      <c r="YS1155" s="7"/>
      <c r="YT1155" s="7"/>
      <c r="YU1155" s="7"/>
      <c r="YV1155" s="7"/>
      <c r="YW1155" s="7"/>
      <c r="YX1155" s="7"/>
      <c r="YY1155" s="7"/>
      <c r="YZ1155" s="7"/>
      <c r="ZA1155" s="7"/>
      <c r="ZB1155" s="7"/>
      <c r="ZC1155" s="7"/>
      <c r="ZD1155" s="7"/>
      <c r="ZE1155" s="7"/>
      <c r="ZF1155" s="7"/>
      <c r="ZG1155" s="7"/>
      <c r="ZH1155" s="7"/>
      <c r="ZI1155" s="7"/>
      <c r="ZJ1155" s="7"/>
      <c r="ZK1155" s="7"/>
      <c r="ZL1155" s="7"/>
      <c r="ZM1155" s="7"/>
      <c r="ZN1155" s="7"/>
      <c r="ZO1155" s="7"/>
      <c r="ZP1155" s="7"/>
      <c r="ZQ1155" s="7"/>
      <c r="ZR1155" s="7"/>
      <c r="ZS1155" s="7"/>
      <c r="ZT1155" s="7"/>
      <c r="ZU1155" s="7"/>
      <c r="ZV1155" s="7"/>
      <c r="ZW1155" s="7"/>
      <c r="ZX1155" s="7"/>
      <c r="ZY1155" s="7"/>
      <c r="ZZ1155" s="7"/>
      <c r="AAA1155" s="7"/>
      <c r="AAB1155" s="7"/>
      <c r="AAC1155" s="7"/>
      <c r="AAD1155" s="7"/>
      <c r="AAE1155" s="7"/>
      <c r="AAF1155" s="7"/>
      <c r="AAG1155" s="7"/>
      <c r="AAH1155" s="7"/>
      <c r="AAI1155" s="7"/>
      <c r="AAJ1155" s="7"/>
      <c r="AAK1155" s="7"/>
      <c r="AAL1155" s="7"/>
      <c r="AAM1155" s="7"/>
      <c r="AAN1155" s="7"/>
      <c r="AAO1155" s="7"/>
      <c r="AAP1155" s="7"/>
      <c r="AAQ1155" s="7"/>
      <c r="AAR1155" s="7"/>
      <c r="AAS1155" s="7"/>
      <c r="AAT1155" s="7"/>
      <c r="AAU1155" s="7"/>
      <c r="AAV1155" s="7"/>
      <c r="AAW1155" s="7"/>
      <c r="AAX1155" s="7"/>
      <c r="AAY1155" s="7"/>
      <c r="AAZ1155" s="7"/>
      <c r="ABA1155" s="7"/>
      <c r="ABB1155" s="7"/>
      <c r="ABC1155" s="7"/>
      <c r="ABD1155" s="7"/>
      <c r="ABE1155" s="7"/>
      <c r="ABF1155" s="7"/>
      <c r="ABG1155" s="7"/>
      <c r="ABH1155" s="7"/>
      <c r="ABI1155" s="7"/>
      <c r="ABJ1155" s="7"/>
      <c r="ABK1155" s="7"/>
      <c r="ABL1155" s="7"/>
      <c r="ABM1155" s="7"/>
      <c r="ABN1155" s="7"/>
      <c r="ABO1155" s="7"/>
      <c r="ABP1155" s="7"/>
      <c r="ABQ1155" s="7"/>
      <c r="ABR1155" s="7"/>
      <c r="ABS1155" s="7"/>
      <c r="ABT1155" s="7"/>
      <c r="ABU1155" s="7"/>
      <c r="ABV1155" s="7"/>
      <c r="ABW1155" s="7"/>
      <c r="ABX1155" s="7"/>
      <c r="ABY1155" s="7"/>
      <c r="ABZ1155" s="7"/>
      <c r="ACA1155" s="7"/>
      <c r="ACB1155" s="7"/>
      <c r="ACC1155" s="7"/>
      <c r="ACD1155" s="7"/>
      <c r="ACE1155" s="7"/>
      <c r="ACF1155" s="7"/>
      <c r="ACG1155" s="7"/>
      <c r="ACH1155" s="7"/>
      <c r="ACI1155" s="7"/>
      <c r="ACJ1155" s="7"/>
      <c r="ACK1155" s="7"/>
      <c r="ACL1155" s="7"/>
      <c r="ACM1155" s="7"/>
      <c r="ACN1155" s="7"/>
      <c r="ACO1155" s="7"/>
      <c r="ACP1155" s="7"/>
      <c r="ACQ1155" s="7"/>
      <c r="ACR1155" s="7"/>
      <c r="ACS1155" s="7"/>
      <c r="ACT1155" s="7"/>
      <c r="ACU1155" s="7"/>
      <c r="ACV1155" s="7"/>
      <c r="ACW1155" s="7"/>
      <c r="ACX1155" s="7"/>
      <c r="ACY1155" s="7"/>
      <c r="ACZ1155" s="7"/>
      <c r="ADA1155" s="7"/>
      <c r="ADB1155" s="7"/>
      <c r="ADC1155" s="7"/>
      <c r="ADD1155" s="7"/>
      <c r="ADE1155" s="7"/>
      <c r="ADF1155" s="7"/>
      <c r="ADG1155" s="7"/>
      <c r="ADH1155" s="7"/>
      <c r="ADI1155" s="7"/>
      <c r="ADJ1155" s="7"/>
      <c r="ADK1155" s="7"/>
      <c r="ADL1155" s="7"/>
      <c r="ADM1155" s="7"/>
      <c r="ADN1155" s="7"/>
      <c r="ADO1155" s="7"/>
      <c r="ADP1155" s="7"/>
      <c r="ADQ1155" s="7"/>
      <c r="ADR1155" s="7"/>
      <c r="ADS1155" s="7"/>
      <c r="ADT1155" s="7"/>
      <c r="ADU1155" s="7"/>
      <c r="ADV1155" s="7"/>
      <c r="ADW1155" s="7"/>
      <c r="ADX1155" s="7"/>
      <c r="ADY1155" s="7"/>
      <c r="ADZ1155" s="7"/>
      <c r="AEA1155" s="7"/>
      <c r="AEB1155" s="7"/>
      <c r="AEC1155" s="7"/>
      <c r="AED1155" s="7"/>
      <c r="AEE1155" s="7"/>
      <c r="AEF1155" s="7"/>
      <c r="AEG1155" s="7"/>
      <c r="AEH1155" s="7"/>
      <c r="AEI1155" s="7"/>
      <c r="AEJ1155" s="7"/>
      <c r="AEK1155" s="7"/>
      <c r="AEL1155" s="7"/>
      <c r="AEM1155" s="7"/>
      <c r="AEN1155" s="7"/>
      <c r="AEO1155" s="7"/>
      <c r="AEP1155" s="7"/>
      <c r="AEQ1155" s="7"/>
      <c r="AER1155" s="7"/>
      <c r="AES1155" s="7"/>
      <c r="AET1155" s="7"/>
      <c r="AEU1155" s="7"/>
      <c r="AEV1155" s="7"/>
      <c r="AEW1155" s="7"/>
      <c r="AEX1155" s="7"/>
      <c r="AEY1155" s="7"/>
      <c r="AEZ1155" s="7"/>
      <c r="AFA1155" s="7"/>
      <c r="AFB1155" s="7"/>
      <c r="AFC1155" s="7"/>
      <c r="AFD1155" s="7"/>
      <c r="AFE1155" s="7"/>
      <c r="AFF1155" s="7"/>
      <c r="AFG1155" s="7"/>
      <c r="AFH1155" s="7"/>
      <c r="AFI1155" s="7"/>
      <c r="AFJ1155" s="7"/>
      <c r="AFK1155" s="7"/>
      <c r="AFL1155" s="7"/>
      <c r="AFM1155" s="7"/>
      <c r="AFN1155" s="7"/>
      <c r="AFO1155" s="7"/>
      <c r="AFP1155" s="7"/>
      <c r="AFQ1155" s="7"/>
      <c r="AFR1155" s="7"/>
      <c r="AFS1155" s="7"/>
      <c r="AFT1155" s="7"/>
      <c r="AFU1155" s="7"/>
      <c r="AFV1155" s="7"/>
      <c r="AFW1155" s="7"/>
      <c r="AFX1155" s="7"/>
      <c r="AFY1155" s="7"/>
      <c r="AFZ1155" s="7"/>
      <c r="AGA1155" s="7"/>
      <c r="AGB1155" s="7"/>
      <c r="AGC1155" s="7"/>
      <c r="AGD1155" s="7"/>
      <c r="AGE1155" s="7"/>
      <c r="AGF1155" s="7"/>
      <c r="AGG1155" s="7"/>
      <c r="AGH1155" s="7"/>
      <c r="AGI1155" s="7"/>
      <c r="AGJ1155" s="7"/>
      <c r="AGK1155" s="7"/>
      <c r="AGL1155" s="7"/>
      <c r="AGM1155" s="7"/>
      <c r="AGN1155" s="7"/>
      <c r="AGO1155" s="7"/>
      <c r="AGP1155" s="7"/>
      <c r="AGQ1155" s="7"/>
      <c r="AGR1155" s="7"/>
      <c r="AGS1155" s="7"/>
      <c r="AGT1155" s="7"/>
      <c r="AGU1155" s="7"/>
      <c r="AGV1155" s="7"/>
      <c r="AGW1155" s="7"/>
      <c r="AGX1155" s="7"/>
      <c r="AGY1155" s="7"/>
      <c r="AGZ1155" s="7"/>
      <c r="AHA1155" s="7"/>
      <c r="AHB1155" s="7"/>
      <c r="AHC1155" s="7"/>
      <c r="AHD1155" s="7"/>
      <c r="AHE1155" s="7"/>
      <c r="AHF1155" s="7"/>
      <c r="AHG1155" s="7"/>
      <c r="AHH1155" s="7"/>
      <c r="AHI1155" s="7"/>
      <c r="AHJ1155" s="7"/>
      <c r="AHK1155" s="7"/>
      <c r="AHL1155" s="7"/>
      <c r="AHM1155" s="7"/>
      <c r="AHN1155" s="7"/>
      <c r="AHO1155" s="7"/>
      <c r="AHP1155" s="7"/>
      <c r="AHQ1155" s="7"/>
      <c r="AHR1155" s="7"/>
      <c r="AHS1155" s="7"/>
      <c r="AHT1155" s="7"/>
      <c r="AHU1155" s="7"/>
      <c r="AHV1155" s="7"/>
      <c r="AHW1155" s="7"/>
      <c r="AHX1155" s="7"/>
      <c r="AHY1155" s="7"/>
      <c r="AHZ1155" s="7"/>
      <c r="AIA1155" s="7"/>
      <c r="AIB1155" s="7"/>
      <c r="AIC1155" s="7"/>
      <c r="AID1155" s="7"/>
      <c r="AIE1155" s="7"/>
      <c r="AIF1155" s="7"/>
      <c r="AIG1155" s="7"/>
      <c r="AIH1155" s="7"/>
      <c r="AII1155" s="7"/>
      <c r="AIJ1155" s="7"/>
      <c r="AIK1155" s="7"/>
      <c r="AIL1155" s="7"/>
      <c r="AIM1155" s="7"/>
      <c r="AIN1155" s="7"/>
      <c r="AIO1155" s="7"/>
      <c r="AIP1155" s="7"/>
      <c r="AIQ1155" s="7"/>
      <c r="AIR1155" s="7"/>
      <c r="AIS1155" s="7"/>
      <c r="AIT1155" s="7"/>
      <c r="AIU1155" s="7"/>
      <c r="AIV1155" s="7"/>
      <c r="AIW1155" s="7"/>
      <c r="AIX1155" s="7"/>
      <c r="AIY1155" s="7"/>
      <c r="AIZ1155" s="7"/>
      <c r="AJA1155" s="7"/>
      <c r="AJB1155" s="7"/>
      <c r="AJC1155" s="7"/>
      <c r="AJD1155" s="7"/>
      <c r="AJE1155" s="7"/>
      <c r="AJF1155" s="7"/>
      <c r="AJG1155" s="7"/>
      <c r="AJH1155" s="7"/>
      <c r="AJI1155" s="7"/>
      <c r="AJJ1155" s="7"/>
      <c r="AJK1155" s="7"/>
      <c r="AJL1155" s="7"/>
      <c r="AJM1155" s="7"/>
      <c r="AJN1155" s="7"/>
      <c r="AJO1155" s="7"/>
      <c r="AJP1155" s="7"/>
      <c r="AJQ1155" s="7"/>
      <c r="AJR1155" s="7"/>
      <c r="AJS1155" s="7"/>
      <c r="AJT1155" s="7"/>
      <c r="AJU1155" s="7"/>
      <c r="AJV1155" s="7"/>
      <c r="AJW1155" s="7"/>
      <c r="AJX1155" s="7"/>
      <c r="AJY1155" s="7"/>
      <c r="AJZ1155" s="7"/>
      <c r="AKA1155" s="7"/>
      <c r="AKB1155" s="7"/>
      <c r="AKC1155" s="7"/>
      <c r="AKD1155" s="7"/>
      <c r="AKE1155" s="7"/>
      <c r="AKF1155" s="7"/>
      <c r="AKG1155" s="7"/>
      <c r="AKH1155" s="7"/>
      <c r="AKI1155" s="7"/>
      <c r="AKJ1155" s="7"/>
      <c r="AKK1155" s="7"/>
      <c r="AKL1155" s="7"/>
      <c r="AKM1155" s="7"/>
      <c r="AKN1155" s="7"/>
      <c r="AKO1155" s="7"/>
      <c r="AKP1155" s="7"/>
      <c r="AKQ1155" s="7"/>
      <c r="AKR1155" s="7"/>
      <c r="AKS1155" s="7"/>
      <c r="AKT1155" s="7"/>
      <c r="AKU1155" s="7"/>
      <c r="AKV1155" s="7"/>
      <c r="AKW1155" s="7"/>
      <c r="AKX1155" s="7"/>
      <c r="AKY1155" s="7"/>
      <c r="AKZ1155" s="7"/>
      <c r="ALA1155" s="7"/>
      <c r="ALB1155" s="7"/>
      <c r="ALC1155" s="7"/>
      <c r="ALD1155" s="7"/>
      <c r="ALE1155" s="7"/>
      <c r="ALF1155" s="7"/>
      <c r="ALG1155" s="7"/>
      <c r="ALH1155" s="7"/>
      <c r="ALI1155" s="7"/>
      <c r="ALJ1155" s="7"/>
      <c r="ALK1155" s="7"/>
      <c r="ALL1155" s="7"/>
      <c r="ALM1155" s="7"/>
      <c r="ALN1155" s="7"/>
      <c r="ALO1155" s="7"/>
      <c r="ALP1155" s="7"/>
      <c r="ALQ1155" s="7"/>
      <c r="ALR1155" s="7"/>
      <c r="ALS1155" s="7"/>
      <c r="ALT1155" s="7"/>
      <c r="ALU1155" s="7"/>
      <c r="ALV1155" s="7"/>
      <c r="ALW1155" s="7"/>
      <c r="ALX1155" s="7"/>
      <c r="ALY1155" s="7"/>
      <c r="ALZ1155" s="7"/>
      <c r="AMA1155" s="7"/>
      <c r="AMB1155" s="7"/>
      <c r="AMC1155" s="7"/>
      <c r="AMD1155" s="7"/>
      <c r="AME1155" s="7"/>
      <c r="AMF1155" s="7"/>
      <c r="AMG1155" s="7"/>
      <c r="AMH1155" s="7"/>
      <c r="AMI1155" s="7"/>
      <c r="AMJ1155" s="7"/>
      <c r="AMK1155" s="7"/>
      <c r="AML1155" s="7"/>
      <c r="AMM1155" s="7"/>
      <c r="AMN1155" s="7"/>
      <c r="AMO1155" s="7"/>
      <c r="AMP1155" s="7"/>
      <c r="AMQ1155" s="7"/>
      <c r="AMR1155" s="7"/>
      <c r="AMS1155" s="7"/>
      <c r="AMT1155" s="7"/>
      <c r="AMU1155" s="7"/>
      <c r="AMV1155" s="7"/>
      <c r="AMW1155" s="7"/>
      <c r="AMX1155" s="7"/>
      <c r="AMY1155" s="7"/>
      <c r="AMZ1155" s="7"/>
      <c r="ANA1155" s="7"/>
      <c r="ANB1155" s="7"/>
      <c r="ANC1155" s="7"/>
      <c r="AND1155" s="7"/>
      <c r="ANE1155" s="7"/>
      <c r="ANF1155" s="7"/>
      <c r="ANG1155" s="7"/>
      <c r="ANH1155" s="7"/>
      <c r="ANI1155" s="7"/>
      <c r="ANJ1155" s="7"/>
      <c r="ANK1155" s="7"/>
      <c r="ANL1155" s="7"/>
      <c r="ANM1155" s="7"/>
      <c r="ANN1155" s="7"/>
      <c r="ANO1155" s="7"/>
      <c r="ANP1155" s="7"/>
      <c r="ANQ1155" s="7"/>
      <c r="ANR1155" s="7"/>
      <c r="ANS1155" s="7"/>
      <c r="ANT1155" s="7"/>
      <c r="ANU1155" s="7"/>
      <c r="ANV1155" s="7"/>
      <c r="ANW1155" s="7"/>
      <c r="ANX1155" s="7"/>
      <c r="ANY1155" s="7"/>
      <c r="ANZ1155" s="7"/>
      <c r="AOA1155" s="7"/>
      <c r="AOB1155" s="7"/>
      <c r="AOC1155" s="7"/>
      <c r="AOD1155" s="7"/>
      <c r="AOE1155" s="7"/>
      <c r="AOF1155" s="7"/>
      <c r="AOG1155" s="7"/>
      <c r="AOH1155" s="7"/>
      <c r="AOI1155" s="7"/>
      <c r="AOJ1155" s="7"/>
      <c r="AOK1155" s="7"/>
      <c r="AOL1155" s="7"/>
      <c r="AOM1155" s="7"/>
      <c r="AON1155" s="7"/>
      <c r="AOO1155" s="7"/>
      <c r="AOP1155" s="7"/>
      <c r="AOQ1155" s="7"/>
      <c r="AOR1155" s="7"/>
      <c r="AOS1155" s="7"/>
      <c r="AOT1155" s="7"/>
      <c r="AOU1155" s="7"/>
      <c r="AOV1155" s="7"/>
      <c r="AOW1155" s="7"/>
      <c r="AOX1155" s="7"/>
      <c r="AOY1155" s="7"/>
      <c r="AOZ1155" s="7"/>
      <c r="APA1155" s="7"/>
      <c r="APB1155" s="7"/>
      <c r="APC1155" s="7"/>
      <c r="APD1155" s="7"/>
      <c r="APE1155" s="7"/>
      <c r="APF1155" s="7"/>
      <c r="APG1155" s="7"/>
      <c r="APH1155" s="7"/>
      <c r="API1155" s="7"/>
      <c r="APJ1155" s="7"/>
      <c r="APK1155" s="7"/>
      <c r="APL1155" s="7"/>
      <c r="APM1155" s="7"/>
      <c r="APN1155" s="7"/>
      <c r="APO1155" s="7"/>
      <c r="APP1155" s="7"/>
      <c r="APQ1155" s="7"/>
      <c r="APR1155" s="7"/>
      <c r="APS1155" s="7"/>
      <c r="APT1155" s="7"/>
      <c r="APU1155" s="7"/>
      <c r="APV1155" s="7"/>
      <c r="APW1155" s="7"/>
      <c r="APX1155" s="7"/>
      <c r="APY1155" s="7"/>
      <c r="APZ1155" s="7"/>
      <c r="AQA1155" s="7"/>
      <c r="AQB1155" s="7"/>
      <c r="AQC1155" s="7"/>
      <c r="AQD1155" s="7"/>
      <c r="AQE1155" s="7"/>
      <c r="AQF1155" s="7"/>
      <c r="AQG1155" s="7"/>
      <c r="AQH1155" s="7"/>
      <c r="AQI1155" s="7"/>
      <c r="AQJ1155" s="7"/>
      <c r="AQK1155" s="7"/>
      <c r="AQL1155" s="7"/>
      <c r="AQM1155" s="7"/>
      <c r="AQN1155" s="7"/>
      <c r="AQO1155" s="7"/>
      <c r="AQP1155" s="7"/>
      <c r="AQQ1155" s="7"/>
      <c r="AQR1155" s="7"/>
      <c r="AQS1155" s="7"/>
      <c r="AQT1155" s="7"/>
      <c r="AQU1155" s="7"/>
      <c r="AQV1155" s="7"/>
      <c r="AQW1155" s="7"/>
      <c r="AQX1155" s="7"/>
      <c r="AQY1155" s="7"/>
      <c r="AQZ1155" s="7"/>
      <c r="ARA1155" s="7"/>
      <c r="ARB1155" s="7"/>
      <c r="ARC1155" s="7"/>
      <c r="ARD1155" s="7"/>
      <c r="ARE1155" s="7"/>
      <c r="ARF1155" s="7"/>
      <c r="ARG1155" s="7"/>
      <c r="ARH1155" s="7"/>
      <c r="ARI1155" s="7"/>
      <c r="ARJ1155" s="7"/>
      <c r="ARK1155" s="7"/>
      <c r="ARL1155" s="7"/>
      <c r="ARM1155" s="7"/>
      <c r="ARN1155" s="7"/>
      <c r="ARO1155" s="7"/>
      <c r="ARP1155" s="7"/>
      <c r="ARQ1155" s="7"/>
      <c r="ARR1155" s="7"/>
      <c r="ARS1155" s="7"/>
      <c r="ART1155" s="7"/>
      <c r="ARU1155" s="7"/>
      <c r="ARV1155" s="7"/>
      <c r="ARW1155" s="7"/>
      <c r="ARX1155" s="7"/>
      <c r="ARY1155" s="7"/>
      <c r="ARZ1155" s="7"/>
      <c r="ASA1155" s="7"/>
      <c r="ASB1155" s="7"/>
      <c r="ASC1155" s="7"/>
      <c r="ASD1155" s="7"/>
      <c r="ASE1155" s="7"/>
      <c r="ASF1155" s="7"/>
      <c r="ASG1155" s="7"/>
      <c r="ASH1155" s="7"/>
      <c r="ASI1155" s="7"/>
      <c r="ASJ1155" s="7"/>
      <c r="ASK1155" s="7"/>
      <c r="ASL1155" s="7"/>
      <c r="ASM1155" s="7"/>
      <c r="ASN1155" s="7"/>
      <c r="ASO1155" s="7"/>
      <c r="ASP1155" s="7"/>
      <c r="ASQ1155" s="7"/>
      <c r="ASR1155" s="7"/>
      <c r="ASS1155" s="7"/>
      <c r="AST1155" s="7"/>
      <c r="ASU1155" s="7"/>
      <c r="ASV1155" s="7"/>
      <c r="ASW1155" s="7"/>
      <c r="ASX1155" s="7"/>
      <c r="ASY1155" s="7"/>
      <c r="ASZ1155" s="7"/>
      <c r="ATA1155" s="7"/>
      <c r="ATB1155" s="7"/>
      <c r="ATC1155" s="7"/>
      <c r="ATD1155" s="7"/>
      <c r="ATE1155" s="7"/>
      <c r="ATF1155" s="7"/>
      <c r="ATG1155" s="7"/>
      <c r="ATH1155" s="7"/>
      <c r="ATI1155" s="7"/>
      <c r="ATJ1155" s="7"/>
      <c r="ATK1155" s="7"/>
      <c r="ATL1155" s="7"/>
      <c r="ATM1155" s="7"/>
      <c r="ATN1155" s="7"/>
      <c r="ATO1155" s="7"/>
      <c r="ATP1155" s="7"/>
      <c r="ATQ1155" s="7"/>
      <c r="ATR1155" s="7"/>
      <c r="ATS1155" s="7"/>
      <c r="ATT1155" s="7"/>
      <c r="ATU1155" s="7"/>
      <c r="ATV1155" s="7"/>
      <c r="ATW1155" s="7"/>
      <c r="ATX1155" s="7"/>
      <c r="ATY1155" s="7"/>
      <c r="ATZ1155" s="7"/>
      <c r="AUA1155" s="7"/>
      <c r="AUB1155" s="7"/>
      <c r="AUC1155" s="7"/>
      <c r="AUD1155" s="7"/>
      <c r="AUE1155" s="7"/>
      <c r="AUF1155" s="7"/>
      <c r="AUG1155" s="7"/>
      <c r="AUH1155" s="7"/>
      <c r="AUI1155" s="7"/>
      <c r="AUJ1155" s="7"/>
      <c r="AUK1155" s="7"/>
      <c r="AUL1155" s="7"/>
      <c r="AUM1155" s="7"/>
      <c r="AUN1155" s="7"/>
      <c r="AUO1155" s="7"/>
      <c r="AUP1155" s="7"/>
      <c r="AUQ1155" s="7"/>
      <c r="AUR1155" s="7"/>
      <c r="AUS1155" s="7"/>
      <c r="AUT1155" s="7"/>
      <c r="AUU1155" s="7"/>
      <c r="AUV1155" s="7"/>
      <c r="AUW1155" s="7"/>
      <c r="AUX1155" s="7"/>
      <c r="AUY1155" s="7"/>
      <c r="AUZ1155" s="7"/>
      <c r="AVA1155" s="7"/>
      <c r="AVB1155" s="7"/>
      <c r="AVC1155" s="7"/>
      <c r="AVD1155" s="7"/>
      <c r="AVE1155" s="7"/>
      <c r="AVF1155" s="7"/>
      <c r="AVG1155" s="7"/>
      <c r="AVH1155" s="7"/>
      <c r="AVI1155" s="7"/>
      <c r="AVJ1155" s="7"/>
      <c r="AVK1155" s="7"/>
      <c r="AVL1155" s="7"/>
      <c r="AVM1155" s="7"/>
      <c r="AVN1155" s="7"/>
      <c r="AVO1155" s="7"/>
      <c r="AVP1155" s="7"/>
      <c r="AVQ1155" s="7"/>
      <c r="AVR1155" s="7"/>
      <c r="AVS1155" s="7"/>
      <c r="AVT1155" s="7"/>
      <c r="AVU1155" s="7"/>
      <c r="AVV1155" s="7"/>
      <c r="AVW1155" s="7"/>
      <c r="AVX1155" s="7"/>
      <c r="AVY1155" s="7"/>
      <c r="AVZ1155" s="7"/>
      <c r="AWA1155" s="7"/>
      <c r="AWB1155" s="7"/>
      <c r="AWC1155" s="7"/>
      <c r="AWD1155" s="7"/>
      <c r="AWE1155" s="7"/>
      <c r="AWF1155" s="7"/>
      <c r="AWG1155" s="7"/>
      <c r="AWH1155" s="7"/>
      <c r="AWI1155" s="7"/>
      <c r="AWJ1155" s="7"/>
      <c r="AWK1155" s="7"/>
      <c r="AWL1155" s="7"/>
      <c r="AWM1155" s="7"/>
      <c r="AWN1155" s="7"/>
      <c r="AWO1155" s="7"/>
      <c r="AWP1155" s="7"/>
      <c r="AWQ1155" s="7"/>
      <c r="AWR1155" s="7"/>
      <c r="AWS1155" s="7"/>
      <c r="AWT1155" s="7"/>
      <c r="AWU1155" s="7"/>
      <c r="AWV1155" s="7"/>
      <c r="AWW1155" s="7"/>
      <c r="AWX1155" s="7"/>
      <c r="AWY1155" s="7"/>
      <c r="AWZ1155" s="7"/>
      <c r="AXA1155" s="7"/>
      <c r="AXB1155" s="7"/>
      <c r="AXC1155" s="7"/>
      <c r="AXD1155" s="7"/>
      <c r="AXE1155" s="7"/>
      <c r="AXF1155" s="7"/>
      <c r="AXG1155" s="7"/>
      <c r="AXH1155" s="7"/>
      <c r="AXI1155" s="7"/>
      <c r="AXJ1155" s="7"/>
      <c r="AXK1155" s="7"/>
      <c r="AXL1155" s="7"/>
      <c r="AXM1155" s="7"/>
      <c r="AXN1155" s="7"/>
      <c r="AXO1155" s="7"/>
      <c r="AXP1155" s="7"/>
      <c r="AXQ1155" s="7"/>
      <c r="AXR1155" s="7"/>
      <c r="AXS1155" s="7"/>
      <c r="AXT1155" s="7"/>
      <c r="AXU1155" s="7"/>
      <c r="AXV1155" s="7"/>
      <c r="AXW1155" s="7"/>
      <c r="AXX1155" s="7"/>
      <c r="AXY1155" s="7"/>
      <c r="AXZ1155" s="7"/>
      <c r="AYA1155" s="7"/>
      <c r="AYB1155" s="7"/>
      <c r="AYC1155" s="7"/>
      <c r="AYD1155" s="7"/>
      <c r="AYE1155" s="7"/>
      <c r="AYF1155" s="7"/>
      <c r="AYG1155" s="7"/>
      <c r="AYH1155" s="7"/>
      <c r="AYI1155" s="7"/>
      <c r="AYJ1155" s="7"/>
      <c r="AYK1155" s="7"/>
      <c r="AYL1155" s="7"/>
      <c r="AYM1155" s="7"/>
      <c r="AYN1155" s="7"/>
      <c r="AYO1155" s="7"/>
      <c r="AYP1155" s="7"/>
      <c r="AYQ1155" s="7"/>
      <c r="AYR1155" s="7"/>
      <c r="AYS1155" s="7"/>
      <c r="AYT1155" s="7"/>
      <c r="AYU1155" s="7"/>
      <c r="AYV1155" s="7"/>
      <c r="AYW1155" s="7"/>
      <c r="AYX1155" s="7"/>
      <c r="AYY1155" s="7"/>
      <c r="AYZ1155" s="7"/>
      <c r="AZA1155" s="7"/>
      <c r="AZB1155" s="7"/>
      <c r="AZC1155" s="7"/>
      <c r="AZD1155" s="7"/>
      <c r="AZE1155" s="7"/>
      <c r="AZF1155" s="7"/>
      <c r="AZG1155" s="7"/>
      <c r="AZH1155" s="7"/>
      <c r="AZI1155" s="7"/>
      <c r="AZJ1155" s="7"/>
      <c r="AZK1155" s="7"/>
      <c r="AZL1155" s="7"/>
      <c r="AZM1155" s="7"/>
      <c r="AZN1155" s="7"/>
      <c r="AZO1155" s="7"/>
      <c r="AZP1155" s="7"/>
      <c r="AZQ1155" s="7"/>
      <c r="AZR1155" s="7"/>
      <c r="AZS1155" s="7"/>
      <c r="AZT1155" s="7"/>
      <c r="AZU1155" s="7"/>
      <c r="AZV1155" s="7"/>
      <c r="AZW1155" s="7"/>
      <c r="AZX1155" s="7"/>
      <c r="AZY1155" s="7"/>
      <c r="AZZ1155" s="7"/>
      <c r="BAA1155" s="7"/>
      <c r="BAB1155" s="7"/>
      <c r="BAC1155" s="7"/>
      <c r="BAD1155" s="7"/>
      <c r="BAE1155" s="7"/>
      <c r="BAF1155" s="7"/>
      <c r="BAG1155" s="7"/>
      <c r="BAH1155" s="7"/>
      <c r="BAI1155" s="7"/>
      <c r="BAJ1155" s="7"/>
      <c r="BAK1155" s="7"/>
      <c r="BAL1155" s="7"/>
      <c r="BAM1155" s="7"/>
      <c r="BAN1155" s="7"/>
      <c r="BAO1155" s="7"/>
      <c r="BAP1155" s="7"/>
      <c r="BAQ1155" s="7"/>
      <c r="BAR1155" s="7"/>
      <c r="BAS1155" s="7"/>
      <c r="BAT1155" s="7"/>
      <c r="BAU1155" s="7"/>
      <c r="BAV1155" s="7"/>
      <c r="BAW1155" s="7"/>
      <c r="BAX1155" s="7"/>
      <c r="BAY1155" s="7"/>
      <c r="BAZ1155" s="7"/>
      <c r="BBA1155" s="7"/>
      <c r="BBB1155" s="7"/>
      <c r="BBC1155" s="7"/>
      <c r="BBD1155" s="7"/>
      <c r="BBE1155" s="7"/>
      <c r="BBF1155" s="7"/>
      <c r="BBG1155" s="7"/>
      <c r="BBH1155" s="7"/>
      <c r="BBI1155" s="7"/>
      <c r="BBJ1155" s="7"/>
      <c r="BBK1155" s="7"/>
      <c r="BBL1155" s="7"/>
      <c r="BBM1155" s="7"/>
      <c r="BBN1155" s="7"/>
      <c r="BBO1155" s="7"/>
      <c r="BBP1155" s="7"/>
      <c r="BBQ1155" s="7"/>
      <c r="BBR1155" s="7"/>
      <c r="BBS1155" s="7"/>
      <c r="BBT1155" s="7"/>
      <c r="BBU1155" s="7"/>
      <c r="BBV1155" s="7"/>
      <c r="BBW1155" s="7"/>
      <c r="BBX1155" s="7"/>
      <c r="BBY1155" s="7"/>
      <c r="BBZ1155" s="7"/>
      <c r="BCA1155" s="7"/>
      <c r="BCB1155" s="7"/>
      <c r="BCC1155" s="7"/>
      <c r="BCD1155" s="7"/>
      <c r="BCE1155" s="7"/>
      <c r="BCF1155" s="7"/>
      <c r="BCG1155" s="7"/>
      <c r="BCH1155" s="7"/>
      <c r="BCI1155" s="7"/>
      <c r="BCJ1155" s="7"/>
      <c r="BCK1155" s="7"/>
      <c r="BCL1155" s="7"/>
      <c r="BCM1155" s="7"/>
      <c r="BCN1155" s="7"/>
      <c r="BCO1155" s="7"/>
      <c r="BCP1155" s="7"/>
      <c r="BCQ1155" s="7"/>
      <c r="BCR1155" s="7"/>
      <c r="BCS1155" s="7"/>
      <c r="BCT1155" s="7"/>
      <c r="BCU1155" s="7"/>
      <c r="BCV1155" s="7"/>
      <c r="BCW1155" s="7"/>
      <c r="BCX1155" s="7"/>
      <c r="BCY1155" s="7"/>
      <c r="BCZ1155" s="7"/>
      <c r="BDA1155" s="7"/>
      <c r="BDB1155" s="7"/>
      <c r="BDC1155" s="7"/>
      <c r="BDD1155" s="7"/>
      <c r="BDE1155" s="7"/>
      <c r="BDF1155" s="7"/>
      <c r="BDG1155" s="7"/>
      <c r="BDH1155" s="7"/>
      <c r="BDI1155" s="7"/>
      <c r="BDJ1155" s="7"/>
      <c r="BDK1155" s="7"/>
      <c r="BDL1155" s="7"/>
      <c r="BDM1155" s="7"/>
      <c r="BDN1155" s="7"/>
      <c r="BDO1155" s="7"/>
      <c r="BDP1155" s="7"/>
      <c r="BDQ1155" s="7"/>
      <c r="BDR1155" s="7"/>
      <c r="BDS1155" s="7"/>
      <c r="BDT1155" s="7"/>
      <c r="BDU1155" s="7"/>
      <c r="BDV1155" s="7"/>
      <c r="BDW1155" s="7"/>
      <c r="BDX1155" s="7"/>
      <c r="BDY1155" s="7"/>
      <c r="BDZ1155" s="7"/>
      <c r="BEA1155" s="7"/>
      <c r="BEB1155" s="7"/>
      <c r="BEC1155" s="7"/>
      <c r="BED1155" s="7"/>
      <c r="BEE1155" s="7"/>
      <c r="BEF1155" s="7"/>
      <c r="BEG1155" s="7"/>
      <c r="BEH1155" s="7"/>
      <c r="BEI1155" s="7"/>
      <c r="BEJ1155" s="7"/>
      <c r="BEK1155" s="7"/>
      <c r="BEL1155" s="7"/>
      <c r="BEM1155" s="7"/>
      <c r="BEN1155" s="7"/>
      <c r="BEO1155" s="7"/>
      <c r="BEP1155" s="7"/>
      <c r="BEQ1155" s="7"/>
      <c r="BER1155" s="7"/>
      <c r="BES1155" s="7"/>
      <c r="BET1155" s="7"/>
      <c r="BEU1155" s="7"/>
      <c r="BEV1155" s="7"/>
      <c r="BEW1155" s="7"/>
      <c r="BEX1155" s="7"/>
      <c r="BEY1155" s="7"/>
      <c r="BEZ1155" s="7"/>
      <c r="BFA1155" s="7"/>
      <c r="BFB1155" s="7"/>
      <c r="BFC1155" s="7"/>
      <c r="BFD1155" s="7"/>
      <c r="BFE1155" s="7"/>
      <c r="BFF1155" s="7"/>
      <c r="BFG1155" s="7"/>
      <c r="BFH1155" s="7"/>
      <c r="BFI1155" s="7"/>
      <c r="BFJ1155" s="7"/>
      <c r="BFK1155" s="7"/>
      <c r="BFL1155" s="7"/>
      <c r="BFM1155" s="7"/>
      <c r="BFN1155" s="7"/>
      <c r="BFO1155" s="7"/>
      <c r="BFP1155" s="7"/>
      <c r="BFQ1155" s="7"/>
      <c r="BFR1155" s="7"/>
      <c r="BFS1155" s="7"/>
      <c r="BFT1155" s="7"/>
      <c r="BFU1155" s="7"/>
      <c r="BFV1155" s="7"/>
      <c r="BFW1155" s="7"/>
      <c r="BFX1155" s="7"/>
      <c r="BFY1155" s="7"/>
      <c r="BFZ1155" s="7"/>
      <c r="BGA1155" s="7"/>
      <c r="BGB1155" s="7"/>
      <c r="BGC1155" s="7"/>
      <c r="BGD1155" s="7"/>
      <c r="BGE1155" s="7"/>
      <c r="BGF1155" s="7"/>
      <c r="BGG1155" s="7"/>
      <c r="BGH1155" s="7"/>
      <c r="BGI1155" s="7"/>
      <c r="BGJ1155" s="7"/>
      <c r="BGK1155" s="7"/>
      <c r="BGL1155" s="7"/>
      <c r="BGM1155" s="7"/>
      <c r="BGN1155" s="7"/>
      <c r="BGO1155" s="7"/>
      <c r="BGP1155" s="7"/>
      <c r="BGQ1155" s="7"/>
      <c r="BGR1155" s="7"/>
      <c r="BGS1155" s="7"/>
      <c r="BGT1155" s="7"/>
      <c r="BGU1155" s="7"/>
      <c r="BGV1155" s="7"/>
      <c r="BGW1155" s="7"/>
      <c r="BGX1155" s="7"/>
      <c r="BGY1155" s="7"/>
      <c r="BGZ1155" s="7"/>
      <c r="BHA1155" s="7"/>
      <c r="BHB1155" s="7"/>
      <c r="BHC1155" s="7"/>
      <c r="BHD1155" s="7"/>
      <c r="BHE1155" s="7"/>
      <c r="BHF1155" s="7"/>
      <c r="BHG1155" s="7"/>
      <c r="BHH1155" s="7"/>
      <c r="BHI1155" s="7"/>
      <c r="BHJ1155" s="7"/>
      <c r="BHK1155" s="7"/>
      <c r="BHL1155" s="7"/>
      <c r="BHM1155" s="7"/>
      <c r="BHN1155" s="7"/>
      <c r="BHO1155" s="7"/>
      <c r="BHP1155" s="7"/>
      <c r="BHQ1155" s="7"/>
      <c r="BHR1155" s="7"/>
      <c r="BHS1155" s="7"/>
      <c r="BHT1155" s="7"/>
      <c r="BHU1155" s="7"/>
      <c r="BHV1155" s="7"/>
      <c r="BHW1155" s="7"/>
      <c r="BHX1155" s="7"/>
      <c r="BHY1155" s="7"/>
      <c r="BHZ1155" s="7"/>
      <c r="BIA1155" s="7"/>
      <c r="BIB1155" s="7"/>
      <c r="BIC1155" s="7"/>
      <c r="BID1155" s="7"/>
      <c r="BIE1155" s="7"/>
      <c r="BIF1155" s="7"/>
      <c r="BIG1155" s="7"/>
      <c r="BIH1155" s="7"/>
      <c r="BII1155" s="7"/>
      <c r="BIJ1155" s="7"/>
      <c r="BIK1155" s="7"/>
      <c r="BIL1155" s="7"/>
      <c r="BIM1155" s="7"/>
      <c r="BIN1155" s="7"/>
      <c r="BIO1155" s="7"/>
      <c r="BIP1155" s="7"/>
      <c r="BIQ1155" s="7"/>
      <c r="BIR1155" s="7"/>
      <c r="BIS1155" s="7"/>
      <c r="BIT1155" s="7"/>
      <c r="BIU1155" s="7"/>
      <c r="BIV1155" s="7"/>
      <c r="BIW1155" s="7"/>
      <c r="BIX1155" s="7"/>
      <c r="BIY1155" s="7"/>
      <c r="BIZ1155" s="7"/>
      <c r="BJA1155" s="7"/>
      <c r="BJB1155" s="7"/>
      <c r="BJC1155" s="7"/>
      <c r="BJD1155" s="7"/>
      <c r="BJE1155" s="7"/>
      <c r="BJF1155" s="7"/>
      <c r="BJG1155" s="7"/>
      <c r="BJH1155" s="7"/>
      <c r="BJI1155" s="7"/>
      <c r="BJJ1155" s="7"/>
      <c r="BJK1155" s="7"/>
      <c r="BJL1155" s="7"/>
      <c r="BJM1155" s="7"/>
      <c r="BJN1155" s="7"/>
      <c r="BJO1155" s="7"/>
      <c r="BJP1155" s="7"/>
      <c r="BJQ1155" s="7"/>
      <c r="BJR1155" s="7"/>
      <c r="BJS1155" s="7"/>
      <c r="BJT1155" s="7"/>
      <c r="BJU1155" s="7"/>
      <c r="BJV1155" s="7"/>
      <c r="BJW1155" s="7"/>
      <c r="BJX1155" s="7"/>
      <c r="BJY1155" s="7"/>
      <c r="BJZ1155" s="7"/>
      <c r="BKA1155" s="7"/>
      <c r="BKB1155" s="7"/>
      <c r="BKC1155" s="7"/>
      <c r="BKD1155" s="7"/>
      <c r="BKE1155" s="7"/>
      <c r="BKF1155" s="7"/>
      <c r="BKG1155" s="7"/>
      <c r="BKH1155" s="7"/>
      <c r="BKI1155" s="7"/>
      <c r="BKJ1155" s="7"/>
      <c r="BKK1155" s="7"/>
      <c r="BKL1155" s="7"/>
      <c r="BKM1155" s="7"/>
      <c r="BKN1155" s="7"/>
      <c r="BKO1155" s="7"/>
      <c r="BKP1155" s="7"/>
      <c r="BKQ1155" s="7"/>
      <c r="BKR1155" s="7"/>
      <c r="BKS1155" s="7"/>
      <c r="BKT1155" s="7"/>
      <c r="BKU1155" s="7"/>
      <c r="BKV1155" s="7"/>
      <c r="BKW1155" s="7"/>
      <c r="BKX1155" s="7"/>
      <c r="BKY1155" s="7"/>
      <c r="BKZ1155" s="7"/>
      <c r="BLA1155" s="7"/>
      <c r="BLB1155" s="7"/>
      <c r="BLC1155" s="7"/>
      <c r="BLD1155" s="7"/>
      <c r="BLE1155" s="7"/>
      <c r="BLF1155" s="7"/>
      <c r="BLG1155" s="7"/>
      <c r="BLH1155" s="7"/>
      <c r="BLI1155" s="7"/>
      <c r="BLJ1155" s="7"/>
      <c r="BLK1155" s="7"/>
      <c r="BLL1155" s="7"/>
      <c r="BLM1155" s="7"/>
      <c r="BLN1155" s="7"/>
      <c r="BLO1155" s="7"/>
      <c r="BLP1155" s="7"/>
      <c r="BLQ1155" s="7"/>
      <c r="BLR1155" s="7"/>
      <c r="BLS1155" s="7"/>
      <c r="BLT1155" s="7"/>
      <c r="BLU1155" s="7"/>
      <c r="BLV1155" s="7"/>
      <c r="BLW1155" s="7"/>
      <c r="BLX1155" s="7"/>
      <c r="BLY1155" s="7"/>
      <c r="BLZ1155" s="7"/>
      <c r="BMA1155" s="7"/>
      <c r="BMB1155" s="7"/>
      <c r="BMC1155" s="7"/>
      <c r="BMD1155" s="7"/>
      <c r="BME1155" s="7"/>
      <c r="BMF1155" s="7"/>
      <c r="BMG1155" s="7"/>
      <c r="BMH1155" s="7"/>
      <c r="BMI1155" s="7"/>
      <c r="BMJ1155" s="7"/>
      <c r="BMK1155" s="7"/>
      <c r="BML1155" s="7"/>
      <c r="BMM1155" s="7"/>
      <c r="BMN1155" s="7"/>
      <c r="BMO1155" s="7"/>
      <c r="BMP1155" s="7"/>
      <c r="BMQ1155" s="7"/>
      <c r="BMR1155" s="7"/>
      <c r="BMS1155" s="7"/>
      <c r="BMT1155" s="7"/>
      <c r="BMU1155" s="7"/>
      <c r="BMV1155" s="7"/>
      <c r="BMW1155" s="7"/>
      <c r="BMX1155" s="7"/>
      <c r="BMY1155" s="7"/>
      <c r="BMZ1155" s="7"/>
      <c r="BNA1155" s="7"/>
      <c r="BNB1155" s="7"/>
      <c r="BNC1155" s="7"/>
      <c r="BND1155" s="7"/>
      <c r="BNE1155" s="7"/>
      <c r="BNF1155" s="7"/>
      <c r="BNG1155" s="7"/>
      <c r="BNH1155" s="7"/>
      <c r="BNI1155" s="7"/>
      <c r="BNJ1155" s="7"/>
      <c r="BNK1155" s="7"/>
      <c r="BNL1155" s="7"/>
      <c r="BNM1155" s="7"/>
      <c r="BNN1155" s="7"/>
      <c r="BNO1155" s="7"/>
      <c r="BNP1155" s="7"/>
      <c r="BNQ1155" s="7"/>
      <c r="BNR1155" s="7"/>
      <c r="BNS1155" s="7"/>
      <c r="BNT1155" s="7"/>
      <c r="BNU1155" s="7"/>
      <c r="BNV1155" s="7"/>
      <c r="BNW1155" s="7"/>
      <c r="BNX1155" s="7"/>
      <c r="BNY1155" s="7"/>
      <c r="BNZ1155" s="7"/>
      <c r="BOA1155" s="7"/>
      <c r="BOB1155" s="7"/>
      <c r="BOC1155" s="7"/>
      <c r="BOD1155" s="7"/>
      <c r="BOE1155" s="7"/>
      <c r="BOF1155" s="7"/>
      <c r="BOG1155" s="7"/>
      <c r="BOH1155" s="7"/>
      <c r="BOI1155" s="7"/>
      <c r="BOJ1155" s="7"/>
      <c r="BOK1155" s="7"/>
      <c r="BOL1155" s="7"/>
      <c r="BOM1155" s="7"/>
      <c r="BON1155" s="7"/>
      <c r="BOO1155" s="7"/>
      <c r="BOP1155" s="7"/>
      <c r="BOQ1155" s="7"/>
      <c r="BOR1155" s="7"/>
      <c r="BOS1155" s="7"/>
      <c r="BOT1155" s="7"/>
      <c r="BOU1155" s="7"/>
      <c r="BOV1155" s="7"/>
      <c r="BOW1155" s="7"/>
      <c r="BOX1155" s="7"/>
      <c r="BOY1155" s="7"/>
      <c r="BOZ1155" s="7"/>
      <c r="BPA1155" s="7"/>
      <c r="BPB1155" s="7"/>
      <c r="BPC1155" s="7"/>
      <c r="BPD1155" s="7"/>
      <c r="BPE1155" s="7"/>
      <c r="BPF1155" s="7"/>
      <c r="BPG1155" s="7"/>
      <c r="BPH1155" s="7"/>
      <c r="BPI1155" s="7"/>
      <c r="BPJ1155" s="7"/>
      <c r="BPK1155" s="7"/>
      <c r="BPL1155" s="7"/>
      <c r="BPM1155" s="7"/>
      <c r="BPN1155" s="7"/>
      <c r="BPO1155" s="7"/>
      <c r="BPP1155" s="7"/>
      <c r="BPQ1155" s="7"/>
      <c r="BPR1155" s="7"/>
      <c r="BPS1155" s="7"/>
      <c r="BPT1155" s="7"/>
      <c r="BPU1155" s="7"/>
      <c r="BPV1155" s="7"/>
      <c r="BPW1155" s="7"/>
      <c r="BPX1155" s="7"/>
      <c r="BPY1155" s="7"/>
      <c r="BPZ1155" s="7"/>
      <c r="BQA1155" s="7"/>
      <c r="BQB1155" s="7"/>
      <c r="BQC1155" s="7"/>
      <c r="BQD1155" s="7"/>
      <c r="BQE1155" s="7"/>
      <c r="BQF1155" s="7"/>
      <c r="BQG1155" s="7"/>
      <c r="BQH1155" s="7"/>
      <c r="BQI1155" s="7"/>
      <c r="BQJ1155" s="7"/>
      <c r="BQK1155" s="7"/>
      <c r="BQL1155" s="7"/>
      <c r="BQM1155" s="7"/>
      <c r="BQN1155" s="7"/>
      <c r="BQO1155" s="7"/>
      <c r="BQP1155" s="7"/>
      <c r="BQQ1155" s="7"/>
      <c r="BQR1155" s="7"/>
      <c r="BQS1155" s="7"/>
      <c r="BQT1155" s="7"/>
      <c r="BQU1155" s="7"/>
      <c r="BQV1155" s="7"/>
      <c r="BQW1155" s="7"/>
      <c r="BQX1155" s="7"/>
      <c r="BQY1155" s="7"/>
      <c r="BQZ1155" s="7"/>
      <c r="BRA1155" s="7"/>
      <c r="BRB1155" s="7"/>
      <c r="BRC1155" s="7"/>
      <c r="BRD1155" s="7"/>
      <c r="BRE1155" s="7"/>
      <c r="BRF1155" s="7"/>
      <c r="BRG1155" s="7"/>
      <c r="BRH1155" s="7"/>
      <c r="BRI1155" s="7"/>
      <c r="BRJ1155" s="7"/>
      <c r="BRK1155" s="7"/>
      <c r="BRL1155" s="7"/>
      <c r="BRM1155" s="7"/>
      <c r="BRN1155" s="7"/>
      <c r="BRO1155" s="7"/>
      <c r="BRP1155" s="7"/>
      <c r="BRQ1155" s="7"/>
      <c r="BRR1155" s="7"/>
      <c r="BRS1155" s="7"/>
      <c r="BRT1155" s="7"/>
      <c r="BRU1155" s="7"/>
      <c r="BRV1155" s="7"/>
      <c r="BRW1155" s="7"/>
      <c r="BRX1155" s="7"/>
      <c r="BRY1155" s="7"/>
      <c r="BRZ1155" s="7"/>
      <c r="BSA1155" s="7"/>
      <c r="BSB1155" s="7"/>
      <c r="BSC1155" s="7"/>
      <c r="BSD1155" s="7"/>
      <c r="BSE1155" s="7"/>
      <c r="BSF1155" s="7"/>
      <c r="BSG1155" s="7"/>
      <c r="BSH1155" s="7"/>
      <c r="BSI1155" s="7"/>
      <c r="BSJ1155" s="7"/>
      <c r="BSK1155" s="7"/>
      <c r="BSL1155" s="7"/>
      <c r="BSM1155" s="7"/>
      <c r="BSN1155" s="7"/>
      <c r="BSO1155" s="7"/>
      <c r="BSP1155" s="7"/>
      <c r="BSQ1155" s="7"/>
      <c r="BSR1155" s="7"/>
      <c r="BSS1155" s="7"/>
      <c r="BST1155" s="7"/>
      <c r="BSU1155" s="7"/>
      <c r="BSV1155" s="7"/>
      <c r="BSW1155" s="7"/>
      <c r="BSX1155" s="7"/>
      <c r="BSY1155" s="7"/>
      <c r="BSZ1155" s="7"/>
      <c r="BTA1155" s="7"/>
      <c r="BTB1155" s="7"/>
      <c r="BTC1155" s="7"/>
      <c r="BTD1155" s="7"/>
      <c r="BTE1155" s="7"/>
      <c r="BTF1155" s="7"/>
      <c r="BTG1155" s="7"/>
      <c r="BTH1155" s="7"/>
      <c r="BTI1155" s="7"/>
      <c r="BTJ1155" s="7"/>
      <c r="BTK1155" s="7"/>
      <c r="BTL1155" s="7"/>
      <c r="BTM1155" s="7"/>
      <c r="BTN1155" s="7"/>
      <c r="BTO1155" s="7"/>
      <c r="BTP1155" s="7"/>
      <c r="BTQ1155" s="7"/>
      <c r="BTR1155" s="7"/>
      <c r="BTS1155" s="7"/>
      <c r="BTT1155" s="7"/>
      <c r="BTU1155" s="7"/>
      <c r="BTV1155" s="7"/>
      <c r="BTW1155" s="7"/>
      <c r="BTX1155" s="7"/>
      <c r="BTY1155" s="7"/>
      <c r="BTZ1155" s="7"/>
      <c r="BUA1155" s="7"/>
      <c r="BUB1155" s="7"/>
      <c r="BUC1155" s="7"/>
      <c r="BUD1155" s="7"/>
      <c r="BUE1155" s="7"/>
      <c r="BUF1155" s="7"/>
      <c r="BUG1155" s="7"/>
      <c r="BUH1155" s="7"/>
      <c r="BUI1155" s="7"/>
      <c r="BUJ1155" s="7"/>
      <c r="BUK1155" s="7"/>
      <c r="BUL1155" s="7"/>
      <c r="BUM1155" s="7"/>
      <c r="BUN1155" s="7"/>
      <c r="BUO1155" s="7"/>
      <c r="BUP1155" s="7"/>
      <c r="BUQ1155" s="7"/>
      <c r="BUR1155" s="7"/>
      <c r="BUS1155" s="7"/>
      <c r="BUT1155" s="7"/>
      <c r="BUU1155" s="7"/>
      <c r="BUV1155" s="7"/>
      <c r="BUW1155" s="7"/>
      <c r="BUX1155" s="7"/>
      <c r="BUY1155" s="7"/>
      <c r="BUZ1155" s="7"/>
      <c r="BVA1155" s="7"/>
      <c r="BVB1155" s="7"/>
      <c r="BVC1155" s="7"/>
      <c r="BVD1155" s="7"/>
      <c r="BVE1155" s="7"/>
      <c r="BVF1155" s="7"/>
      <c r="BVG1155" s="7"/>
      <c r="BVH1155" s="7"/>
      <c r="BVI1155" s="7"/>
      <c r="BVJ1155" s="7"/>
      <c r="BVK1155" s="7"/>
      <c r="BVL1155" s="7"/>
      <c r="BVM1155" s="7"/>
      <c r="BVN1155" s="7"/>
      <c r="BVO1155" s="7"/>
      <c r="BVP1155" s="7"/>
      <c r="BVQ1155" s="7"/>
      <c r="BVR1155" s="7"/>
      <c r="BVS1155" s="7"/>
      <c r="BVT1155" s="7"/>
      <c r="BVU1155" s="7"/>
      <c r="BVV1155" s="7"/>
      <c r="BVW1155" s="7"/>
      <c r="BVX1155" s="7"/>
      <c r="BVY1155" s="7"/>
      <c r="BVZ1155" s="7"/>
      <c r="BWA1155" s="7"/>
      <c r="BWB1155" s="7"/>
      <c r="BWC1155" s="7"/>
      <c r="BWD1155" s="7"/>
      <c r="BWE1155" s="7"/>
      <c r="BWF1155" s="7"/>
      <c r="BWG1155" s="7"/>
      <c r="BWH1155" s="7"/>
      <c r="BWI1155" s="7"/>
      <c r="BWJ1155" s="7"/>
      <c r="BWK1155" s="7"/>
      <c r="BWL1155" s="7"/>
      <c r="BWM1155" s="7"/>
      <c r="BWN1155" s="7"/>
      <c r="BWO1155" s="7"/>
      <c r="BWP1155" s="7"/>
      <c r="BWQ1155" s="7"/>
      <c r="BWR1155" s="7"/>
      <c r="BWS1155" s="7"/>
      <c r="BWT1155" s="7"/>
      <c r="BWU1155" s="7"/>
      <c r="BWV1155" s="7"/>
      <c r="BWW1155" s="7"/>
      <c r="BWX1155" s="7"/>
      <c r="BWY1155" s="7"/>
      <c r="BWZ1155" s="7"/>
      <c r="BXA1155" s="7"/>
      <c r="BXB1155" s="7"/>
      <c r="BXC1155" s="7"/>
      <c r="BXD1155" s="7"/>
      <c r="BXE1155" s="7"/>
      <c r="BXF1155" s="7"/>
      <c r="BXG1155" s="7"/>
      <c r="BXH1155" s="7"/>
      <c r="BXI1155" s="7"/>
      <c r="BXJ1155" s="7"/>
      <c r="BXK1155" s="7"/>
      <c r="BXL1155" s="7"/>
      <c r="BXM1155" s="7"/>
      <c r="BXN1155" s="7"/>
      <c r="BXO1155" s="7"/>
      <c r="BXP1155" s="7"/>
      <c r="BXQ1155" s="7"/>
      <c r="BXR1155" s="7"/>
      <c r="BXS1155" s="7"/>
      <c r="BXT1155" s="7"/>
      <c r="BXU1155" s="7"/>
      <c r="BXV1155" s="7"/>
      <c r="BXW1155" s="7"/>
      <c r="BXX1155" s="7"/>
      <c r="BXY1155" s="7"/>
      <c r="BXZ1155" s="7"/>
      <c r="BYA1155" s="7"/>
      <c r="BYB1155" s="7"/>
      <c r="BYC1155" s="7"/>
      <c r="BYD1155" s="7"/>
      <c r="BYE1155" s="7"/>
      <c r="BYF1155" s="7"/>
      <c r="BYG1155" s="7"/>
      <c r="BYH1155" s="7"/>
      <c r="BYI1155" s="7"/>
      <c r="BYJ1155" s="7"/>
      <c r="BYK1155" s="7"/>
      <c r="BYL1155" s="7"/>
      <c r="BYM1155" s="7"/>
      <c r="BYN1155" s="7"/>
      <c r="BYO1155" s="7"/>
      <c r="BYP1155" s="7"/>
      <c r="BYQ1155" s="7"/>
      <c r="BYR1155" s="7"/>
      <c r="BYS1155" s="7"/>
      <c r="BYT1155" s="7"/>
      <c r="BYU1155" s="7"/>
      <c r="BYV1155" s="7"/>
      <c r="BYW1155" s="7"/>
      <c r="BYX1155" s="7"/>
      <c r="BYY1155" s="7"/>
      <c r="BYZ1155" s="7"/>
      <c r="BZA1155" s="7"/>
      <c r="BZB1155" s="7"/>
      <c r="BZC1155" s="7"/>
      <c r="BZD1155" s="7"/>
      <c r="BZE1155" s="7"/>
      <c r="BZF1155" s="7"/>
      <c r="BZG1155" s="7"/>
      <c r="BZH1155" s="7"/>
      <c r="BZI1155" s="7"/>
      <c r="BZJ1155" s="7"/>
      <c r="BZK1155" s="7"/>
      <c r="BZL1155" s="7"/>
      <c r="BZM1155" s="7"/>
      <c r="BZN1155" s="7"/>
      <c r="BZO1155" s="7"/>
      <c r="BZP1155" s="7"/>
      <c r="BZQ1155" s="7"/>
      <c r="BZR1155" s="7"/>
      <c r="BZS1155" s="7"/>
      <c r="BZT1155" s="7"/>
      <c r="BZU1155" s="7"/>
      <c r="BZV1155" s="7"/>
      <c r="BZW1155" s="7"/>
      <c r="BZX1155" s="7"/>
      <c r="BZY1155" s="7"/>
      <c r="BZZ1155" s="7"/>
      <c r="CAA1155" s="7"/>
      <c r="CAB1155" s="7"/>
      <c r="CAC1155" s="7"/>
      <c r="CAD1155" s="7"/>
      <c r="CAE1155" s="7"/>
      <c r="CAF1155" s="7"/>
      <c r="CAG1155" s="7"/>
      <c r="CAH1155" s="7"/>
      <c r="CAI1155" s="7"/>
      <c r="CAJ1155" s="7"/>
      <c r="CAK1155" s="7"/>
      <c r="CAL1155" s="7"/>
      <c r="CAM1155" s="7"/>
      <c r="CAN1155" s="7"/>
      <c r="CAO1155" s="7"/>
      <c r="CAP1155" s="7"/>
      <c r="CAQ1155" s="7"/>
      <c r="CAR1155" s="7"/>
      <c r="CAS1155" s="7"/>
      <c r="CAT1155" s="7"/>
      <c r="CAU1155" s="7"/>
      <c r="CAV1155" s="7"/>
      <c r="CAW1155" s="7"/>
      <c r="CAX1155" s="7"/>
      <c r="CAY1155" s="7"/>
      <c r="CAZ1155" s="7"/>
      <c r="CBA1155" s="7"/>
      <c r="CBB1155" s="7"/>
      <c r="CBC1155" s="7"/>
      <c r="CBD1155" s="7"/>
      <c r="CBE1155" s="7"/>
      <c r="CBF1155" s="7"/>
      <c r="CBG1155" s="7"/>
      <c r="CBH1155" s="7"/>
      <c r="CBI1155" s="7"/>
      <c r="CBJ1155" s="7"/>
      <c r="CBK1155" s="7"/>
      <c r="CBL1155" s="7"/>
      <c r="CBM1155" s="7"/>
      <c r="CBN1155" s="7"/>
      <c r="CBO1155" s="7"/>
      <c r="CBP1155" s="7"/>
      <c r="CBQ1155" s="7"/>
      <c r="CBR1155" s="7"/>
      <c r="CBS1155" s="7"/>
      <c r="CBT1155" s="7"/>
      <c r="CBU1155" s="7"/>
      <c r="CBV1155" s="7"/>
      <c r="CBW1155" s="7"/>
      <c r="CBX1155" s="7"/>
      <c r="CBY1155" s="7"/>
      <c r="CBZ1155" s="7"/>
      <c r="CCA1155" s="7"/>
      <c r="CCB1155" s="7"/>
      <c r="CCC1155" s="7"/>
      <c r="CCD1155" s="7"/>
      <c r="CCE1155" s="7"/>
      <c r="CCF1155" s="7"/>
      <c r="CCG1155" s="7"/>
      <c r="CCH1155" s="7"/>
      <c r="CCI1155" s="7"/>
      <c r="CCJ1155" s="7"/>
      <c r="CCK1155" s="7"/>
      <c r="CCL1155" s="7"/>
      <c r="CCM1155" s="7"/>
      <c r="CCN1155" s="7"/>
      <c r="CCO1155" s="7"/>
      <c r="CCP1155" s="7"/>
      <c r="CCQ1155" s="7"/>
      <c r="CCR1155" s="7"/>
      <c r="CCS1155" s="7"/>
      <c r="CCT1155" s="7"/>
      <c r="CCU1155" s="7"/>
      <c r="CCV1155" s="7"/>
      <c r="CCW1155" s="7"/>
      <c r="CCX1155" s="7"/>
      <c r="CCY1155" s="7"/>
      <c r="CCZ1155" s="7"/>
      <c r="CDA1155" s="7"/>
      <c r="CDB1155" s="7"/>
      <c r="CDC1155" s="7"/>
      <c r="CDD1155" s="7"/>
      <c r="CDE1155" s="7"/>
      <c r="CDF1155" s="7"/>
      <c r="CDG1155" s="7"/>
      <c r="CDH1155" s="7"/>
      <c r="CDI1155" s="7"/>
      <c r="CDJ1155" s="7"/>
      <c r="CDK1155" s="7"/>
      <c r="CDL1155" s="7"/>
      <c r="CDM1155" s="7"/>
      <c r="CDN1155" s="7"/>
      <c r="CDO1155" s="7"/>
      <c r="CDP1155" s="7"/>
      <c r="CDQ1155" s="7"/>
      <c r="CDR1155" s="7"/>
      <c r="CDS1155" s="7"/>
      <c r="CDT1155" s="7"/>
      <c r="CDU1155" s="7"/>
      <c r="CDV1155" s="7"/>
      <c r="CDW1155" s="7"/>
      <c r="CDX1155" s="7"/>
      <c r="CDY1155" s="7"/>
      <c r="CDZ1155" s="7"/>
      <c r="CEA1155" s="7"/>
      <c r="CEB1155" s="7"/>
      <c r="CEC1155" s="7"/>
      <c r="CED1155" s="7"/>
      <c r="CEE1155" s="7"/>
      <c r="CEF1155" s="7"/>
      <c r="CEG1155" s="7"/>
      <c r="CEH1155" s="7"/>
      <c r="CEI1155" s="7"/>
      <c r="CEJ1155" s="7"/>
      <c r="CEK1155" s="7"/>
      <c r="CEL1155" s="7"/>
      <c r="CEM1155" s="7"/>
      <c r="CEN1155" s="7"/>
      <c r="CEO1155" s="7"/>
      <c r="CEP1155" s="7"/>
      <c r="CEQ1155" s="7"/>
      <c r="CER1155" s="7"/>
      <c r="CES1155" s="7"/>
      <c r="CET1155" s="7"/>
      <c r="CEU1155" s="7"/>
      <c r="CEV1155" s="7"/>
      <c r="CEW1155" s="7"/>
      <c r="CEX1155" s="7"/>
      <c r="CEY1155" s="7"/>
      <c r="CEZ1155" s="7"/>
      <c r="CFA1155" s="7"/>
      <c r="CFB1155" s="7"/>
      <c r="CFC1155" s="7"/>
      <c r="CFD1155" s="7"/>
      <c r="CFE1155" s="7"/>
      <c r="CFF1155" s="7"/>
      <c r="CFG1155" s="7"/>
      <c r="CFH1155" s="7"/>
      <c r="CFI1155" s="7"/>
      <c r="CFJ1155" s="7"/>
      <c r="CFK1155" s="7"/>
      <c r="CFL1155" s="7"/>
      <c r="CFM1155" s="7"/>
      <c r="CFN1155" s="7"/>
      <c r="CFO1155" s="7"/>
      <c r="CFP1155" s="7"/>
      <c r="CFQ1155" s="7"/>
      <c r="CFR1155" s="7"/>
      <c r="CFS1155" s="7"/>
      <c r="CFT1155" s="7"/>
      <c r="CFU1155" s="7"/>
      <c r="CFV1155" s="7"/>
      <c r="CFW1155" s="7"/>
      <c r="CFX1155" s="7"/>
      <c r="CFY1155" s="7"/>
      <c r="CFZ1155" s="7"/>
      <c r="CGA1155" s="7"/>
      <c r="CGB1155" s="7"/>
      <c r="CGC1155" s="7"/>
      <c r="CGD1155" s="7"/>
      <c r="CGE1155" s="7"/>
      <c r="CGF1155" s="7"/>
      <c r="CGG1155" s="7"/>
      <c r="CGH1155" s="7"/>
      <c r="CGI1155" s="7"/>
      <c r="CGJ1155" s="7"/>
      <c r="CGK1155" s="7"/>
      <c r="CGL1155" s="7"/>
      <c r="CGM1155" s="7"/>
      <c r="CGN1155" s="7"/>
      <c r="CGO1155" s="7"/>
      <c r="CGP1155" s="7"/>
      <c r="CGQ1155" s="7"/>
      <c r="CGR1155" s="7"/>
      <c r="CGS1155" s="7"/>
      <c r="CGT1155" s="7"/>
      <c r="CGU1155" s="7"/>
      <c r="CGV1155" s="7"/>
      <c r="CGW1155" s="7"/>
      <c r="CGX1155" s="7"/>
      <c r="CGY1155" s="7"/>
      <c r="CGZ1155" s="7"/>
      <c r="CHA1155" s="7"/>
      <c r="CHB1155" s="7"/>
      <c r="CHC1155" s="7"/>
      <c r="CHD1155" s="7"/>
      <c r="CHE1155" s="7"/>
      <c r="CHF1155" s="7"/>
      <c r="CHG1155" s="7"/>
      <c r="CHH1155" s="7"/>
      <c r="CHI1155" s="7"/>
      <c r="CHJ1155" s="7"/>
      <c r="CHK1155" s="7"/>
      <c r="CHL1155" s="7"/>
      <c r="CHM1155" s="7"/>
      <c r="CHN1155" s="7"/>
      <c r="CHO1155" s="7"/>
      <c r="CHP1155" s="7"/>
      <c r="CHQ1155" s="7"/>
      <c r="CHR1155" s="7"/>
      <c r="CHS1155" s="7"/>
      <c r="CHT1155" s="7"/>
      <c r="CHU1155" s="7"/>
      <c r="CHV1155" s="7"/>
      <c r="CHW1155" s="7"/>
      <c r="CHX1155" s="7"/>
      <c r="CHY1155" s="7"/>
      <c r="CHZ1155" s="7"/>
      <c r="CIA1155" s="7"/>
      <c r="CIB1155" s="7"/>
      <c r="CIC1155" s="7"/>
      <c r="CID1155" s="7"/>
      <c r="CIE1155" s="7"/>
      <c r="CIF1155" s="7"/>
      <c r="CIG1155" s="7"/>
      <c r="CIH1155" s="7"/>
      <c r="CII1155" s="7"/>
      <c r="CIJ1155" s="7"/>
      <c r="CIK1155" s="7"/>
      <c r="CIL1155" s="7"/>
      <c r="CIM1155" s="7"/>
      <c r="CIN1155" s="7"/>
      <c r="CIO1155" s="7"/>
      <c r="CIP1155" s="7"/>
      <c r="CIQ1155" s="7"/>
      <c r="CIR1155" s="7"/>
      <c r="CIS1155" s="7"/>
      <c r="CIT1155" s="7"/>
      <c r="CIU1155" s="7"/>
      <c r="CIV1155" s="7"/>
      <c r="CIW1155" s="7"/>
      <c r="CIX1155" s="7"/>
      <c r="CIY1155" s="7"/>
      <c r="CIZ1155" s="7"/>
      <c r="CJA1155" s="7"/>
      <c r="CJB1155" s="7"/>
      <c r="CJC1155" s="7"/>
      <c r="CJD1155" s="7"/>
      <c r="CJE1155" s="7"/>
      <c r="CJF1155" s="7"/>
      <c r="CJG1155" s="7"/>
      <c r="CJH1155" s="7"/>
      <c r="CJI1155" s="7"/>
      <c r="CJJ1155" s="7"/>
      <c r="CJK1155" s="7"/>
      <c r="CJL1155" s="7"/>
      <c r="CJM1155" s="7"/>
      <c r="CJN1155" s="7"/>
      <c r="CJO1155" s="7"/>
      <c r="CJP1155" s="7"/>
      <c r="CJQ1155" s="7"/>
      <c r="CJR1155" s="7"/>
      <c r="CJS1155" s="7"/>
      <c r="CJT1155" s="7"/>
      <c r="CJU1155" s="7"/>
      <c r="CJV1155" s="7"/>
      <c r="CJW1155" s="7"/>
      <c r="CJX1155" s="7"/>
      <c r="CJY1155" s="7"/>
      <c r="CJZ1155" s="7"/>
      <c r="CKA1155" s="7"/>
      <c r="CKB1155" s="7"/>
      <c r="CKC1155" s="7"/>
      <c r="CKD1155" s="7"/>
      <c r="CKE1155" s="7"/>
      <c r="CKF1155" s="7"/>
      <c r="CKG1155" s="7"/>
      <c r="CKH1155" s="7"/>
      <c r="CKI1155" s="7"/>
      <c r="CKJ1155" s="7"/>
      <c r="CKK1155" s="7"/>
      <c r="CKL1155" s="7"/>
      <c r="CKM1155" s="7"/>
      <c r="CKN1155" s="7"/>
      <c r="CKO1155" s="7"/>
      <c r="CKP1155" s="7"/>
      <c r="CKQ1155" s="7"/>
      <c r="CKR1155" s="7"/>
      <c r="CKS1155" s="7"/>
      <c r="CKT1155" s="7"/>
      <c r="CKU1155" s="7"/>
      <c r="CKV1155" s="7"/>
      <c r="CKW1155" s="7"/>
      <c r="CKX1155" s="7"/>
      <c r="CKY1155" s="7"/>
      <c r="CKZ1155" s="7"/>
      <c r="CLA1155" s="7"/>
      <c r="CLB1155" s="7"/>
      <c r="CLC1155" s="7"/>
      <c r="CLD1155" s="7"/>
      <c r="CLE1155" s="7"/>
      <c r="CLF1155" s="7"/>
      <c r="CLG1155" s="7"/>
      <c r="CLH1155" s="7"/>
      <c r="CLI1155" s="7"/>
      <c r="CLJ1155" s="7"/>
      <c r="CLK1155" s="7"/>
      <c r="CLL1155" s="7"/>
      <c r="CLM1155" s="7"/>
      <c r="CLN1155" s="7"/>
      <c r="CLO1155" s="7"/>
      <c r="CLP1155" s="7"/>
      <c r="CLQ1155" s="7"/>
      <c r="CLR1155" s="7"/>
      <c r="CLS1155" s="7"/>
      <c r="CLT1155" s="7"/>
      <c r="CLU1155" s="7"/>
      <c r="CLV1155" s="7"/>
      <c r="CLW1155" s="7"/>
      <c r="CLX1155" s="7"/>
      <c r="CLY1155" s="7"/>
      <c r="CLZ1155" s="7"/>
      <c r="CMA1155" s="7"/>
      <c r="CMB1155" s="7"/>
      <c r="CMC1155" s="7"/>
      <c r="CMD1155" s="7"/>
      <c r="CME1155" s="7"/>
      <c r="CMF1155" s="7"/>
      <c r="CMG1155" s="7"/>
      <c r="CMH1155" s="7"/>
      <c r="CMI1155" s="7"/>
      <c r="CMJ1155" s="7"/>
      <c r="CMK1155" s="7"/>
      <c r="CML1155" s="7"/>
      <c r="CMM1155" s="7"/>
      <c r="CMN1155" s="7"/>
      <c r="CMO1155" s="7"/>
      <c r="CMP1155" s="7"/>
      <c r="CMQ1155" s="7"/>
      <c r="CMR1155" s="7"/>
      <c r="CMS1155" s="7"/>
      <c r="CMT1155" s="7"/>
      <c r="CMU1155" s="7"/>
      <c r="CMV1155" s="7"/>
      <c r="CMW1155" s="7"/>
      <c r="CMX1155" s="7"/>
      <c r="CMY1155" s="7"/>
      <c r="CMZ1155" s="7"/>
      <c r="CNA1155" s="7"/>
      <c r="CNB1155" s="7"/>
      <c r="CNC1155" s="7"/>
      <c r="CND1155" s="7"/>
      <c r="CNE1155" s="7"/>
      <c r="CNF1155" s="7"/>
      <c r="CNG1155" s="7"/>
      <c r="CNH1155" s="7"/>
      <c r="CNI1155" s="7"/>
      <c r="CNJ1155" s="7"/>
      <c r="CNK1155" s="7"/>
      <c r="CNL1155" s="7"/>
      <c r="CNM1155" s="7"/>
      <c r="CNN1155" s="7"/>
      <c r="CNO1155" s="7"/>
      <c r="CNP1155" s="7"/>
      <c r="CNQ1155" s="7"/>
      <c r="CNR1155" s="7"/>
      <c r="CNS1155" s="7"/>
      <c r="CNT1155" s="7"/>
      <c r="CNU1155" s="7"/>
      <c r="CNV1155" s="7"/>
      <c r="CNW1155" s="7"/>
      <c r="CNX1155" s="7"/>
      <c r="CNY1155" s="7"/>
      <c r="CNZ1155" s="7"/>
      <c r="COA1155" s="7"/>
      <c r="COB1155" s="7"/>
      <c r="COC1155" s="7"/>
      <c r="COD1155" s="7"/>
      <c r="COE1155" s="7"/>
      <c r="COF1155" s="7"/>
      <c r="COG1155" s="7"/>
      <c r="COH1155" s="7"/>
      <c r="COI1155" s="7"/>
      <c r="COJ1155" s="7"/>
      <c r="COK1155" s="7"/>
      <c r="COL1155" s="7"/>
      <c r="COM1155" s="7"/>
      <c r="CON1155" s="7"/>
      <c r="COO1155" s="7"/>
      <c r="COP1155" s="7"/>
      <c r="COQ1155" s="7"/>
      <c r="COR1155" s="7"/>
      <c r="COS1155" s="7"/>
      <c r="COT1155" s="7"/>
      <c r="COU1155" s="7"/>
      <c r="COV1155" s="7"/>
      <c r="COW1155" s="7"/>
      <c r="COX1155" s="7"/>
      <c r="COY1155" s="7"/>
      <c r="COZ1155" s="7"/>
      <c r="CPA1155" s="7"/>
      <c r="CPB1155" s="7"/>
      <c r="CPC1155" s="7"/>
      <c r="CPD1155" s="7"/>
      <c r="CPE1155" s="7"/>
      <c r="CPF1155" s="7"/>
      <c r="CPG1155" s="7"/>
      <c r="CPH1155" s="7"/>
      <c r="CPI1155" s="7"/>
      <c r="CPJ1155" s="7"/>
      <c r="CPK1155" s="7"/>
      <c r="CPL1155" s="7"/>
      <c r="CPM1155" s="7"/>
      <c r="CPN1155" s="7"/>
      <c r="CPO1155" s="7"/>
      <c r="CPP1155" s="7"/>
      <c r="CPQ1155" s="7"/>
      <c r="CPR1155" s="7"/>
      <c r="CPS1155" s="7"/>
      <c r="CPT1155" s="7"/>
      <c r="CPU1155" s="7"/>
      <c r="CPV1155" s="7"/>
      <c r="CPW1155" s="7"/>
      <c r="CPX1155" s="7"/>
      <c r="CPY1155" s="7"/>
      <c r="CPZ1155" s="7"/>
      <c r="CQA1155" s="7"/>
      <c r="CQB1155" s="7"/>
      <c r="CQC1155" s="7"/>
      <c r="CQD1155" s="7"/>
      <c r="CQE1155" s="7"/>
      <c r="CQF1155" s="7"/>
      <c r="CQG1155" s="7"/>
      <c r="CQH1155" s="7"/>
      <c r="CQI1155" s="7"/>
      <c r="CQJ1155" s="7"/>
      <c r="CQK1155" s="7"/>
      <c r="CQL1155" s="7"/>
      <c r="CQM1155" s="7"/>
      <c r="CQN1155" s="7"/>
      <c r="CQO1155" s="7"/>
      <c r="CQP1155" s="7"/>
      <c r="CQQ1155" s="7"/>
      <c r="CQR1155" s="7"/>
      <c r="CQS1155" s="7"/>
      <c r="CQT1155" s="7"/>
      <c r="CQU1155" s="7"/>
      <c r="CQV1155" s="7"/>
      <c r="CQW1155" s="7"/>
      <c r="CQX1155" s="7"/>
      <c r="CQY1155" s="7"/>
      <c r="CQZ1155" s="7"/>
      <c r="CRA1155" s="7"/>
      <c r="CRB1155" s="7"/>
      <c r="CRC1155" s="7"/>
      <c r="CRD1155" s="7"/>
      <c r="CRE1155" s="7"/>
      <c r="CRF1155" s="7"/>
      <c r="CRG1155" s="7"/>
      <c r="CRH1155" s="7"/>
      <c r="CRI1155" s="7"/>
      <c r="CRJ1155" s="7"/>
      <c r="CRK1155" s="7"/>
      <c r="CRL1155" s="7"/>
      <c r="CRM1155" s="7"/>
      <c r="CRN1155" s="7"/>
      <c r="CRO1155" s="7"/>
      <c r="CRP1155" s="7"/>
      <c r="CRQ1155" s="7"/>
      <c r="CRR1155" s="7"/>
      <c r="CRS1155" s="7"/>
      <c r="CRT1155" s="7"/>
      <c r="CRU1155" s="7"/>
      <c r="CRV1155" s="7"/>
      <c r="CRW1155" s="7"/>
      <c r="CRX1155" s="7"/>
      <c r="CRY1155" s="7"/>
      <c r="CRZ1155" s="7"/>
      <c r="CSA1155" s="7"/>
      <c r="CSB1155" s="7"/>
      <c r="CSC1155" s="7"/>
      <c r="CSD1155" s="7"/>
      <c r="CSE1155" s="7"/>
      <c r="CSF1155" s="7"/>
      <c r="CSG1155" s="7"/>
      <c r="CSH1155" s="7"/>
      <c r="CSI1155" s="7"/>
      <c r="CSJ1155" s="7"/>
      <c r="CSK1155" s="7"/>
      <c r="CSL1155" s="7"/>
      <c r="CSM1155" s="7"/>
      <c r="CSN1155" s="7"/>
      <c r="CSO1155" s="7"/>
      <c r="CSP1155" s="7"/>
      <c r="CSQ1155" s="7"/>
      <c r="CSR1155" s="7"/>
      <c r="CSS1155" s="7"/>
      <c r="CST1155" s="7"/>
      <c r="CSU1155" s="7"/>
      <c r="CSV1155" s="7"/>
      <c r="CSW1155" s="7"/>
      <c r="CSX1155" s="7"/>
      <c r="CSY1155" s="7"/>
      <c r="CSZ1155" s="7"/>
      <c r="CTA1155" s="7"/>
      <c r="CTB1155" s="7"/>
      <c r="CTC1155" s="7"/>
      <c r="CTD1155" s="7"/>
      <c r="CTE1155" s="7"/>
      <c r="CTF1155" s="7"/>
      <c r="CTG1155" s="7"/>
      <c r="CTH1155" s="7"/>
      <c r="CTI1155" s="7"/>
      <c r="CTJ1155" s="7"/>
      <c r="CTK1155" s="7"/>
      <c r="CTL1155" s="7"/>
      <c r="CTM1155" s="7"/>
      <c r="CTN1155" s="7"/>
      <c r="CTO1155" s="7"/>
      <c r="CTP1155" s="7"/>
      <c r="CTQ1155" s="7"/>
      <c r="CTR1155" s="7"/>
      <c r="CTS1155" s="7"/>
      <c r="CTT1155" s="7"/>
      <c r="CTU1155" s="7"/>
      <c r="CTV1155" s="7"/>
      <c r="CTW1155" s="7"/>
      <c r="CTX1155" s="7"/>
      <c r="CTY1155" s="7"/>
      <c r="CTZ1155" s="7"/>
      <c r="CUA1155" s="7"/>
      <c r="CUB1155" s="7"/>
      <c r="CUC1155" s="7"/>
      <c r="CUD1155" s="7"/>
      <c r="CUE1155" s="7"/>
      <c r="CUF1155" s="7"/>
      <c r="CUG1155" s="7"/>
      <c r="CUH1155" s="7"/>
      <c r="CUI1155" s="7"/>
      <c r="CUJ1155" s="7"/>
      <c r="CUK1155" s="7"/>
      <c r="CUL1155" s="7"/>
      <c r="CUM1155" s="7"/>
      <c r="CUN1155" s="7"/>
      <c r="CUO1155" s="7"/>
      <c r="CUP1155" s="7"/>
      <c r="CUQ1155" s="7"/>
      <c r="CUR1155" s="7"/>
      <c r="CUS1155" s="7"/>
      <c r="CUT1155" s="7"/>
      <c r="CUU1155" s="7"/>
      <c r="CUV1155" s="7"/>
      <c r="CUW1155" s="7"/>
      <c r="CUX1155" s="7"/>
      <c r="CUY1155" s="7"/>
      <c r="CUZ1155" s="7"/>
      <c r="CVA1155" s="7"/>
      <c r="CVB1155" s="7"/>
      <c r="CVC1155" s="7"/>
      <c r="CVD1155" s="7"/>
      <c r="CVE1155" s="7"/>
      <c r="CVF1155" s="7"/>
      <c r="CVG1155" s="7"/>
      <c r="CVH1155" s="7"/>
      <c r="CVI1155" s="7"/>
      <c r="CVJ1155" s="7"/>
      <c r="CVK1155" s="7"/>
      <c r="CVL1155" s="7"/>
      <c r="CVM1155" s="7"/>
      <c r="CVN1155" s="7"/>
      <c r="CVO1155" s="7"/>
      <c r="CVP1155" s="7"/>
      <c r="CVQ1155" s="7"/>
      <c r="CVR1155" s="7"/>
      <c r="CVS1155" s="7"/>
      <c r="CVT1155" s="7"/>
      <c r="CVU1155" s="7"/>
      <c r="CVV1155" s="7"/>
      <c r="CVW1155" s="7"/>
      <c r="CVX1155" s="7"/>
      <c r="CVY1155" s="7"/>
      <c r="CVZ1155" s="7"/>
      <c r="CWA1155" s="7"/>
      <c r="CWB1155" s="7"/>
      <c r="CWC1155" s="7"/>
      <c r="CWD1155" s="7"/>
      <c r="CWE1155" s="7"/>
      <c r="CWF1155" s="7"/>
      <c r="CWG1155" s="7"/>
      <c r="CWH1155" s="7"/>
      <c r="CWI1155" s="7"/>
      <c r="CWJ1155" s="7"/>
      <c r="CWK1155" s="7"/>
      <c r="CWL1155" s="7"/>
      <c r="CWM1155" s="7"/>
      <c r="CWN1155" s="7"/>
      <c r="CWO1155" s="7"/>
      <c r="CWP1155" s="7"/>
      <c r="CWQ1155" s="7"/>
      <c r="CWR1155" s="7"/>
      <c r="CWS1155" s="7"/>
      <c r="CWT1155" s="7"/>
      <c r="CWU1155" s="7"/>
      <c r="CWV1155" s="7"/>
      <c r="CWW1155" s="7"/>
      <c r="CWX1155" s="7"/>
      <c r="CWY1155" s="7"/>
      <c r="CWZ1155" s="7"/>
      <c r="CXA1155" s="7"/>
      <c r="CXB1155" s="7"/>
      <c r="CXC1155" s="7"/>
      <c r="CXD1155" s="7"/>
      <c r="CXE1155" s="7"/>
      <c r="CXF1155" s="7"/>
      <c r="CXG1155" s="7"/>
      <c r="CXH1155" s="7"/>
      <c r="CXI1155" s="7"/>
      <c r="CXJ1155" s="7"/>
      <c r="CXK1155" s="7"/>
      <c r="CXL1155" s="7"/>
      <c r="CXM1155" s="7"/>
      <c r="CXN1155" s="7"/>
      <c r="CXO1155" s="7"/>
      <c r="CXP1155" s="7"/>
      <c r="CXQ1155" s="7"/>
      <c r="CXR1155" s="7"/>
      <c r="CXS1155" s="7"/>
      <c r="CXT1155" s="7"/>
      <c r="CXU1155" s="7"/>
      <c r="CXV1155" s="7"/>
      <c r="CXW1155" s="7"/>
      <c r="CXX1155" s="7"/>
      <c r="CXY1155" s="7"/>
      <c r="CXZ1155" s="7"/>
      <c r="CYA1155" s="7"/>
      <c r="CYB1155" s="7"/>
      <c r="CYC1155" s="7"/>
      <c r="CYD1155" s="7"/>
      <c r="CYE1155" s="7"/>
      <c r="CYF1155" s="7"/>
      <c r="CYG1155" s="7"/>
      <c r="CYH1155" s="7"/>
      <c r="CYI1155" s="7"/>
      <c r="CYJ1155" s="7"/>
      <c r="CYK1155" s="7"/>
      <c r="CYL1155" s="7"/>
      <c r="CYM1155" s="7"/>
      <c r="CYN1155" s="7"/>
      <c r="CYO1155" s="7"/>
      <c r="CYP1155" s="7"/>
      <c r="CYQ1155" s="7"/>
      <c r="CYR1155" s="7"/>
      <c r="CYS1155" s="7"/>
      <c r="CYT1155" s="7"/>
      <c r="CYU1155" s="7"/>
      <c r="CYV1155" s="7"/>
      <c r="CYW1155" s="7"/>
      <c r="CYX1155" s="7"/>
      <c r="CYY1155" s="7"/>
      <c r="CYZ1155" s="7"/>
      <c r="CZA1155" s="7"/>
      <c r="CZB1155" s="7"/>
      <c r="CZC1155" s="7"/>
      <c r="CZD1155" s="7"/>
      <c r="CZE1155" s="7"/>
      <c r="CZF1155" s="7"/>
      <c r="CZG1155" s="7"/>
      <c r="CZH1155" s="7"/>
      <c r="CZI1155" s="7"/>
      <c r="CZJ1155" s="7"/>
      <c r="CZK1155" s="7"/>
      <c r="CZL1155" s="7"/>
      <c r="CZM1155" s="7"/>
      <c r="CZN1155" s="7"/>
      <c r="CZO1155" s="7"/>
      <c r="CZP1155" s="7"/>
      <c r="CZQ1155" s="7"/>
      <c r="CZR1155" s="7"/>
      <c r="CZS1155" s="7"/>
      <c r="CZT1155" s="7"/>
      <c r="CZU1155" s="7"/>
      <c r="CZV1155" s="7"/>
      <c r="CZW1155" s="7"/>
      <c r="CZX1155" s="7"/>
      <c r="CZY1155" s="7"/>
      <c r="CZZ1155" s="7"/>
      <c r="DAA1155" s="7"/>
      <c r="DAB1155" s="7"/>
      <c r="DAC1155" s="7"/>
      <c r="DAD1155" s="7"/>
      <c r="DAE1155" s="7"/>
      <c r="DAF1155" s="7"/>
      <c r="DAG1155" s="7"/>
      <c r="DAH1155" s="7"/>
      <c r="DAI1155" s="7"/>
      <c r="DAJ1155" s="7"/>
      <c r="DAK1155" s="7"/>
      <c r="DAL1155" s="7"/>
      <c r="DAM1155" s="7"/>
      <c r="DAN1155" s="7"/>
      <c r="DAO1155" s="7"/>
      <c r="DAP1155" s="7"/>
      <c r="DAQ1155" s="7"/>
      <c r="DAR1155" s="7"/>
      <c r="DAS1155" s="7"/>
      <c r="DAT1155" s="7"/>
      <c r="DAU1155" s="7"/>
      <c r="DAV1155" s="7"/>
      <c r="DAW1155" s="7"/>
      <c r="DAX1155" s="7"/>
      <c r="DAY1155" s="7"/>
      <c r="DAZ1155" s="7"/>
      <c r="DBA1155" s="7"/>
      <c r="DBB1155" s="7"/>
      <c r="DBC1155" s="7"/>
      <c r="DBD1155" s="7"/>
      <c r="DBE1155" s="7"/>
      <c r="DBF1155" s="7"/>
      <c r="DBG1155" s="7"/>
      <c r="DBH1155" s="7"/>
      <c r="DBI1155" s="7"/>
      <c r="DBJ1155" s="7"/>
      <c r="DBK1155" s="7"/>
      <c r="DBL1155" s="7"/>
      <c r="DBM1155" s="7"/>
      <c r="DBN1155" s="7"/>
      <c r="DBO1155" s="7"/>
      <c r="DBP1155" s="7"/>
      <c r="DBQ1155" s="7"/>
      <c r="DBR1155" s="7"/>
      <c r="DBS1155" s="7"/>
      <c r="DBT1155" s="7"/>
      <c r="DBU1155" s="7"/>
      <c r="DBV1155" s="7"/>
      <c r="DBW1155" s="7"/>
      <c r="DBX1155" s="7"/>
      <c r="DBY1155" s="7"/>
      <c r="DBZ1155" s="7"/>
      <c r="DCA1155" s="7"/>
      <c r="DCB1155" s="7"/>
      <c r="DCC1155" s="7"/>
      <c r="DCD1155" s="7"/>
      <c r="DCE1155" s="7"/>
      <c r="DCF1155" s="7"/>
      <c r="DCG1155" s="7"/>
      <c r="DCH1155" s="7"/>
      <c r="DCI1155" s="7"/>
      <c r="DCJ1155" s="7"/>
      <c r="DCK1155" s="7"/>
      <c r="DCL1155" s="7"/>
      <c r="DCM1155" s="7"/>
      <c r="DCN1155" s="7"/>
      <c r="DCO1155" s="7"/>
      <c r="DCP1155" s="7"/>
      <c r="DCQ1155" s="7"/>
      <c r="DCR1155" s="7"/>
      <c r="DCS1155" s="7"/>
      <c r="DCT1155" s="7"/>
      <c r="DCU1155" s="7"/>
      <c r="DCV1155" s="7"/>
      <c r="DCW1155" s="7"/>
      <c r="DCX1155" s="7"/>
      <c r="DCY1155" s="7"/>
      <c r="DCZ1155" s="7"/>
      <c r="DDA1155" s="7"/>
      <c r="DDB1155" s="7"/>
      <c r="DDC1155" s="7"/>
      <c r="DDD1155" s="7"/>
      <c r="DDE1155" s="7"/>
      <c r="DDF1155" s="7"/>
      <c r="DDG1155" s="7"/>
      <c r="DDH1155" s="7"/>
      <c r="DDI1155" s="7"/>
      <c r="DDJ1155" s="7"/>
      <c r="DDK1155" s="7"/>
      <c r="DDL1155" s="7"/>
      <c r="DDM1155" s="7"/>
      <c r="DDN1155" s="7"/>
      <c r="DDO1155" s="7"/>
      <c r="DDP1155" s="7"/>
      <c r="DDQ1155" s="7"/>
      <c r="DDR1155" s="7"/>
      <c r="DDS1155" s="7"/>
      <c r="DDT1155" s="7"/>
      <c r="DDU1155" s="7"/>
      <c r="DDV1155" s="7"/>
      <c r="DDW1155" s="7"/>
      <c r="DDX1155" s="7"/>
      <c r="DDY1155" s="7"/>
      <c r="DDZ1155" s="7"/>
      <c r="DEA1155" s="7"/>
      <c r="DEB1155" s="7"/>
      <c r="DEC1155" s="7"/>
      <c r="DED1155" s="7"/>
      <c r="DEE1155" s="7"/>
      <c r="DEF1155" s="7"/>
      <c r="DEG1155" s="7"/>
      <c r="DEH1155" s="7"/>
      <c r="DEI1155" s="7"/>
      <c r="DEJ1155" s="7"/>
      <c r="DEK1155" s="7"/>
      <c r="DEL1155" s="7"/>
      <c r="DEM1155" s="7"/>
      <c r="DEN1155" s="7"/>
      <c r="DEO1155" s="7"/>
      <c r="DEP1155" s="7"/>
      <c r="DEQ1155" s="7"/>
      <c r="DER1155" s="7"/>
      <c r="DES1155" s="7"/>
      <c r="DET1155" s="7"/>
      <c r="DEU1155" s="7"/>
      <c r="DEV1155" s="7"/>
      <c r="DEW1155" s="7"/>
      <c r="DEX1155" s="7"/>
      <c r="DEY1155" s="7"/>
      <c r="DEZ1155" s="7"/>
      <c r="DFA1155" s="7"/>
      <c r="DFB1155" s="7"/>
      <c r="DFC1155" s="7"/>
      <c r="DFD1155" s="7"/>
      <c r="DFE1155" s="7"/>
      <c r="DFF1155" s="7"/>
      <c r="DFG1155" s="7"/>
      <c r="DFH1155" s="7"/>
      <c r="DFI1155" s="7"/>
      <c r="DFJ1155" s="7"/>
      <c r="DFK1155" s="7"/>
      <c r="DFL1155" s="7"/>
      <c r="DFM1155" s="7"/>
      <c r="DFN1155" s="7"/>
      <c r="DFO1155" s="7"/>
      <c r="DFP1155" s="7"/>
      <c r="DFQ1155" s="7"/>
      <c r="DFR1155" s="7"/>
      <c r="DFS1155" s="7"/>
      <c r="DFT1155" s="7"/>
      <c r="DFU1155" s="7"/>
      <c r="DFV1155" s="7"/>
      <c r="DFW1155" s="7"/>
      <c r="DFX1155" s="7"/>
      <c r="DFY1155" s="7"/>
      <c r="DFZ1155" s="7"/>
      <c r="DGA1155" s="7"/>
      <c r="DGB1155" s="7"/>
      <c r="DGC1155" s="7"/>
      <c r="DGD1155" s="7"/>
      <c r="DGE1155" s="7"/>
      <c r="DGF1155" s="7"/>
      <c r="DGG1155" s="7"/>
      <c r="DGH1155" s="7"/>
      <c r="DGI1155" s="7"/>
      <c r="DGJ1155" s="7"/>
      <c r="DGK1155" s="7"/>
      <c r="DGL1155" s="7"/>
      <c r="DGM1155" s="7"/>
      <c r="DGN1155" s="7"/>
      <c r="DGO1155" s="7"/>
      <c r="DGP1155" s="7"/>
      <c r="DGQ1155" s="7"/>
      <c r="DGR1155" s="7"/>
      <c r="DGS1155" s="7"/>
      <c r="DGT1155" s="7"/>
      <c r="DGU1155" s="7"/>
      <c r="DGV1155" s="7"/>
      <c r="DGW1155" s="7"/>
      <c r="DGX1155" s="7"/>
      <c r="DGY1155" s="7"/>
      <c r="DGZ1155" s="7"/>
      <c r="DHA1155" s="7"/>
      <c r="DHB1155" s="7"/>
      <c r="DHC1155" s="7"/>
      <c r="DHD1155" s="7"/>
      <c r="DHE1155" s="7"/>
      <c r="DHF1155" s="7"/>
      <c r="DHG1155" s="7"/>
      <c r="DHH1155" s="7"/>
      <c r="DHI1155" s="7"/>
      <c r="DHJ1155" s="7"/>
      <c r="DHK1155" s="7"/>
      <c r="DHL1155" s="7"/>
      <c r="DHM1155" s="7"/>
      <c r="DHN1155" s="7"/>
      <c r="DHO1155" s="7"/>
      <c r="DHP1155" s="7"/>
      <c r="DHQ1155" s="7"/>
      <c r="DHR1155" s="7"/>
      <c r="DHS1155" s="7"/>
      <c r="DHT1155" s="7"/>
      <c r="DHU1155" s="7"/>
      <c r="DHV1155" s="7"/>
      <c r="DHW1155" s="7"/>
      <c r="DHX1155" s="7"/>
      <c r="DHY1155" s="7"/>
      <c r="DHZ1155" s="7"/>
      <c r="DIA1155" s="7"/>
      <c r="DIB1155" s="7"/>
      <c r="DIC1155" s="7"/>
      <c r="DID1155" s="7"/>
      <c r="DIE1155" s="7"/>
      <c r="DIF1155" s="7"/>
      <c r="DIG1155" s="7"/>
      <c r="DIH1155" s="7"/>
      <c r="DII1155" s="7"/>
      <c r="DIJ1155" s="7"/>
      <c r="DIK1155" s="7"/>
      <c r="DIL1155" s="7"/>
      <c r="DIM1155" s="7"/>
      <c r="DIN1155" s="7"/>
      <c r="DIO1155" s="7"/>
      <c r="DIP1155" s="7"/>
      <c r="DIQ1155" s="7"/>
      <c r="DIR1155" s="7"/>
      <c r="DIS1155" s="7"/>
      <c r="DIT1155" s="7"/>
      <c r="DIU1155" s="7"/>
      <c r="DIV1155" s="7"/>
      <c r="DIW1155" s="7"/>
      <c r="DIX1155" s="7"/>
      <c r="DIY1155" s="7"/>
      <c r="DIZ1155" s="7"/>
      <c r="DJA1155" s="7"/>
      <c r="DJB1155" s="7"/>
      <c r="DJC1155" s="7"/>
      <c r="DJD1155" s="7"/>
      <c r="DJE1155" s="7"/>
      <c r="DJF1155" s="7"/>
      <c r="DJG1155" s="7"/>
      <c r="DJH1155" s="7"/>
      <c r="DJI1155" s="7"/>
      <c r="DJJ1155" s="7"/>
      <c r="DJK1155" s="7"/>
      <c r="DJL1155" s="7"/>
      <c r="DJM1155" s="7"/>
      <c r="DJN1155" s="7"/>
      <c r="DJO1155" s="7"/>
      <c r="DJP1155" s="7"/>
      <c r="DJQ1155" s="7"/>
      <c r="DJR1155" s="7"/>
      <c r="DJS1155" s="7"/>
      <c r="DJT1155" s="7"/>
      <c r="DJU1155" s="7"/>
      <c r="DJV1155" s="7"/>
      <c r="DJW1155" s="7"/>
      <c r="DJX1155" s="7"/>
      <c r="DJY1155" s="7"/>
      <c r="DJZ1155" s="7"/>
      <c r="DKA1155" s="7"/>
      <c r="DKB1155" s="7"/>
      <c r="DKC1155" s="7"/>
      <c r="DKD1155" s="7"/>
      <c r="DKE1155" s="7"/>
      <c r="DKF1155" s="7"/>
      <c r="DKG1155" s="7"/>
      <c r="DKH1155" s="7"/>
      <c r="DKI1155" s="7"/>
      <c r="DKJ1155" s="7"/>
      <c r="DKK1155" s="7"/>
      <c r="DKL1155" s="7"/>
      <c r="DKM1155" s="7"/>
      <c r="DKN1155" s="7"/>
      <c r="DKO1155" s="7"/>
      <c r="DKP1155" s="7"/>
      <c r="DKQ1155" s="7"/>
      <c r="DKR1155" s="7"/>
      <c r="DKS1155" s="7"/>
      <c r="DKT1155" s="7"/>
      <c r="DKU1155" s="7"/>
      <c r="DKV1155" s="7"/>
      <c r="DKW1155" s="7"/>
      <c r="DKX1155" s="7"/>
      <c r="DKY1155" s="7"/>
      <c r="DKZ1155" s="7"/>
      <c r="DLA1155" s="7"/>
      <c r="DLB1155" s="7"/>
      <c r="DLC1155" s="7"/>
      <c r="DLD1155" s="7"/>
      <c r="DLE1155" s="7"/>
      <c r="DLF1155" s="7"/>
      <c r="DLG1155" s="7"/>
      <c r="DLH1155" s="7"/>
      <c r="DLI1155" s="7"/>
      <c r="DLJ1155" s="7"/>
      <c r="DLK1155" s="7"/>
      <c r="DLL1155" s="7"/>
      <c r="DLM1155" s="7"/>
      <c r="DLN1155" s="7"/>
      <c r="DLO1155" s="7"/>
      <c r="DLP1155" s="7"/>
      <c r="DLQ1155" s="7"/>
      <c r="DLR1155" s="7"/>
      <c r="DLS1155" s="7"/>
      <c r="DLT1155" s="7"/>
      <c r="DLU1155" s="7"/>
      <c r="DLV1155" s="7"/>
      <c r="DLW1155" s="7"/>
      <c r="DLX1155" s="7"/>
      <c r="DLY1155" s="7"/>
      <c r="DLZ1155" s="7"/>
      <c r="DMA1155" s="7"/>
      <c r="DMB1155" s="7"/>
      <c r="DMC1155" s="7"/>
      <c r="DMD1155" s="7"/>
      <c r="DME1155" s="7"/>
      <c r="DMF1155" s="7"/>
      <c r="DMG1155" s="7"/>
      <c r="DMH1155" s="7"/>
      <c r="DMI1155" s="7"/>
      <c r="DMJ1155" s="7"/>
      <c r="DMK1155" s="7"/>
      <c r="DML1155" s="7"/>
      <c r="DMM1155" s="7"/>
      <c r="DMN1155" s="7"/>
      <c r="DMO1155" s="7"/>
      <c r="DMP1155" s="7"/>
      <c r="DMQ1155" s="7"/>
      <c r="DMR1155" s="7"/>
      <c r="DMS1155" s="7"/>
      <c r="DMT1155" s="7"/>
      <c r="DMU1155" s="7"/>
      <c r="DMV1155" s="7"/>
      <c r="DMW1155" s="7"/>
      <c r="DMX1155" s="7"/>
      <c r="DMY1155" s="7"/>
      <c r="DMZ1155" s="7"/>
      <c r="DNA1155" s="7"/>
      <c r="DNB1155" s="7"/>
      <c r="DNC1155" s="7"/>
      <c r="DND1155" s="7"/>
      <c r="DNE1155" s="7"/>
      <c r="DNF1155" s="7"/>
      <c r="DNG1155" s="7"/>
      <c r="DNH1155" s="7"/>
      <c r="DNI1155" s="7"/>
      <c r="DNJ1155" s="7"/>
      <c r="DNK1155" s="7"/>
      <c r="DNL1155" s="7"/>
      <c r="DNM1155" s="7"/>
      <c r="DNN1155" s="7"/>
      <c r="DNO1155" s="7"/>
      <c r="DNP1155" s="7"/>
      <c r="DNQ1155" s="7"/>
      <c r="DNR1155" s="7"/>
      <c r="DNS1155" s="7"/>
      <c r="DNT1155" s="7"/>
      <c r="DNU1155" s="7"/>
      <c r="DNV1155" s="7"/>
      <c r="DNW1155" s="7"/>
      <c r="DNX1155" s="7"/>
      <c r="DNY1155" s="7"/>
      <c r="DNZ1155" s="7"/>
      <c r="DOA1155" s="7"/>
      <c r="DOB1155" s="7"/>
      <c r="DOC1155" s="7"/>
      <c r="DOD1155" s="7"/>
      <c r="DOE1155" s="7"/>
      <c r="DOF1155" s="7"/>
      <c r="DOG1155" s="7"/>
      <c r="DOH1155" s="7"/>
      <c r="DOI1155" s="7"/>
      <c r="DOJ1155" s="7"/>
      <c r="DOK1155" s="7"/>
      <c r="DOL1155" s="7"/>
      <c r="DOM1155" s="7"/>
      <c r="DON1155" s="7"/>
      <c r="DOO1155" s="7"/>
      <c r="DOP1155" s="7"/>
      <c r="DOQ1155" s="7"/>
      <c r="DOR1155" s="7"/>
      <c r="DOS1155" s="7"/>
      <c r="DOT1155" s="7"/>
      <c r="DOU1155" s="7"/>
      <c r="DOV1155" s="7"/>
      <c r="DOW1155" s="7"/>
      <c r="DOX1155" s="7"/>
      <c r="DOY1155" s="7"/>
      <c r="DOZ1155" s="7"/>
      <c r="DPA1155" s="7"/>
      <c r="DPB1155" s="7"/>
      <c r="DPC1155" s="7"/>
      <c r="DPD1155" s="7"/>
      <c r="DPE1155" s="7"/>
      <c r="DPF1155" s="7"/>
      <c r="DPG1155" s="7"/>
      <c r="DPH1155" s="7"/>
      <c r="DPI1155" s="7"/>
      <c r="DPJ1155" s="7"/>
      <c r="DPK1155" s="7"/>
      <c r="DPL1155" s="7"/>
      <c r="DPM1155" s="7"/>
      <c r="DPN1155" s="7"/>
      <c r="DPO1155" s="7"/>
      <c r="DPP1155" s="7"/>
      <c r="DPQ1155" s="7"/>
      <c r="DPR1155" s="7"/>
      <c r="DPS1155" s="7"/>
      <c r="DPT1155" s="7"/>
      <c r="DPU1155" s="7"/>
      <c r="DPV1155" s="7"/>
      <c r="DPW1155" s="7"/>
      <c r="DPX1155" s="7"/>
      <c r="DPY1155" s="7"/>
      <c r="DPZ1155" s="7"/>
      <c r="DQA1155" s="7"/>
      <c r="DQB1155" s="7"/>
      <c r="DQC1155" s="7"/>
      <c r="DQD1155" s="7"/>
      <c r="DQE1155" s="7"/>
      <c r="DQF1155" s="7"/>
      <c r="DQG1155" s="7"/>
      <c r="DQH1155" s="7"/>
      <c r="DQI1155" s="7"/>
      <c r="DQJ1155" s="7"/>
      <c r="DQK1155" s="7"/>
      <c r="DQL1155" s="7"/>
      <c r="DQM1155" s="7"/>
      <c r="DQN1155" s="7"/>
      <c r="DQO1155" s="7"/>
      <c r="DQP1155" s="7"/>
      <c r="DQQ1155" s="7"/>
      <c r="DQR1155" s="7"/>
      <c r="DQS1155" s="7"/>
      <c r="DQT1155" s="7"/>
      <c r="DQU1155" s="7"/>
      <c r="DQV1155" s="7"/>
      <c r="DQW1155" s="7"/>
      <c r="DQX1155" s="7"/>
      <c r="DQY1155" s="7"/>
      <c r="DQZ1155" s="7"/>
      <c r="DRA1155" s="7"/>
      <c r="DRB1155" s="7"/>
      <c r="DRC1155" s="7"/>
      <c r="DRD1155" s="7"/>
      <c r="DRE1155" s="7"/>
      <c r="DRF1155" s="7"/>
      <c r="DRG1155" s="7"/>
      <c r="DRH1155" s="7"/>
      <c r="DRI1155" s="7"/>
      <c r="DRJ1155" s="7"/>
      <c r="DRK1155" s="7"/>
      <c r="DRL1155" s="7"/>
      <c r="DRM1155" s="7"/>
      <c r="DRN1155" s="7"/>
      <c r="DRO1155" s="7"/>
      <c r="DRP1155" s="7"/>
      <c r="DRQ1155" s="7"/>
      <c r="DRR1155" s="7"/>
      <c r="DRS1155" s="7"/>
      <c r="DRT1155" s="7"/>
      <c r="DRU1155" s="7"/>
      <c r="DRV1155" s="7"/>
      <c r="DRW1155" s="7"/>
      <c r="DRX1155" s="7"/>
      <c r="DRY1155" s="7"/>
      <c r="DRZ1155" s="7"/>
      <c r="DSA1155" s="7"/>
      <c r="DSB1155" s="7"/>
      <c r="DSC1155" s="7"/>
      <c r="DSD1155" s="7"/>
      <c r="DSE1155" s="7"/>
      <c r="DSF1155" s="7"/>
      <c r="DSG1155" s="7"/>
      <c r="DSH1155" s="7"/>
      <c r="DSI1155" s="7"/>
      <c r="DSJ1155" s="7"/>
      <c r="DSK1155" s="7"/>
      <c r="DSL1155" s="7"/>
      <c r="DSM1155" s="7"/>
      <c r="DSN1155" s="7"/>
      <c r="DSO1155" s="7"/>
      <c r="DSP1155" s="7"/>
      <c r="DSQ1155" s="7"/>
      <c r="DSR1155" s="7"/>
      <c r="DSS1155" s="7"/>
      <c r="DST1155" s="7"/>
      <c r="DSU1155" s="7"/>
      <c r="DSV1155" s="7"/>
      <c r="DSW1155" s="7"/>
      <c r="DSX1155" s="7"/>
      <c r="DSY1155" s="7"/>
      <c r="DSZ1155" s="7"/>
      <c r="DTA1155" s="7"/>
      <c r="DTB1155" s="7"/>
      <c r="DTC1155" s="7"/>
      <c r="DTD1155" s="7"/>
      <c r="DTE1155" s="7"/>
      <c r="DTF1155" s="7"/>
      <c r="DTG1155" s="7"/>
      <c r="DTH1155" s="7"/>
      <c r="DTI1155" s="7"/>
      <c r="DTJ1155" s="7"/>
      <c r="DTK1155" s="7"/>
      <c r="DTL1155" s="7"/>
      <c r="DTM1155" s="7"/>
      <c r="DTN1155" s="7"/>
      <c r="DTO1155" s="7"/>
      <c r="DTP1155" s="7"/>
      <c r="DTQ1155" s="7"/>
      <c r="DTR1155" s="7"/>
      <c r="DTS1155" s="7"/>
      <c r="DTT1155" s="7"/>
      <c r="DTU1155" s="7"/>
      <c r="DTV1155" s="7"/>
      <c r="DTW1155" s="7"/>
      <c r="DTX1155" s="7"/>
      <c r="DTY1155" s="7"/>
      <c r="DTZ1155" s="7"/>
      <c r="DUA1155" s="7"/>
      <c r="DUB1155" s="7"/>
      <c r="DUC1155" s="7"/>
      <c r="DUD1155" s="7"/>
      <c r="DUE1155" s="7"/>
      <c r="DUF1155" s="7"/>
      <c r="DUG1155" s="7"/>
      <c r="DUH1155" s="7"/>
      <c r="DUI1155" s="7"/>
      <c r="DUJ1155" s="7"/>
      <c r="DUK1155" s="7"/>
      <c r="DUL1155" s="7"/>
      <c r="DUM1155" s="7"/>
      <c r="DUN1155" s="7"/>
      <c r="DUO1155" s="7"/>
      <c r="DUP1155" s="7"/>
      <c r="DUQ1155" s="7"/>
      <c r="DUR1155" s="7"/>
      <c r="DUS1155" s="7"/>
      <c r="DUT1155" s="7"/>
      <c r="DUU1155" s="7"/>
      <c r="DUV1155" s="7"/>
      <c r="DUW1155" s="7"/>
      <c r="DUX1155" s="7"/>
      <c r="DUY1155" s="7"/>
      <c r="DUZ1155" s="7"/>
      <c r="DVA1155" s="7"/>
      <c r="DVB1155" s="7"/>
      <c r="DVC1155" s="7"/>
      <c r="DVD1155" s="7"/>
      <c r="DVE1155" s="7"/>
      <c r="DVF1155" s="7"/>
      <c r="DVG1155" s="7"/>
      <c r="DVH1155" s="7"/>
      <c r="DVI1155" s="7"/>
      <c r="DVJ1155" s="7"/>
      <c r="DVK1155" s="7"/>
      <c r="DVL1155" s="7"/>
      <c r="DVM1155" s="7"/>
      <c r="DVN1155" s="7"/>
      <c r="DVO1155" s="7"/>
      <c r="DVP1155" s="7"/>
      <c r="DVQ1155" s="7"/>
      <c r="DVR1155" s="7"/>
      <c r="DVS1155" s="7"/>
      <c r="DVT1155" s="7"/>
      <c r="DVU1155" s="7"/>
      <c r="DVV1155" s="7"/>
      <c r="DVW1155" s="7"/>
      <c r="DVX1155" s="7"/>
      <c r="DVY1155" s="7"/>
      <c r="DVZ1155" s="7"/>
      <c r="DWA1155" s="7"/>
      <c r="DWB1155" s="7"/>
      <c r="DWC1155" s="7"/>
      <c r="DWD1155" s="7"/>
      <c r="DWE1155" s="7"/>
      <c r="DWF1155" s="7"/>
      <c r="DWG1155" s="7"/>
      <c r="DWH1155" s="7"/>
      <c r="DWI1155" s="7"/>
      <c r="DWJ1155" s="7"/>
      <c r="DWK1155" s="7"/>
      <c r="DWL1155" s="7"/>
      <c r="DWM1155" s="7"/>
      <c r="DWN1155" s="7"/>
      <c r="DWO1155" s="7"/>
      <c r="DWP1155" s="7"/>
      <c r="DWQ1155" s="7"/>
      <c r="DWR1155" s="7"/>
      <c r="DWS1155" s="7"/>
      <c r="DWT1155" s="7"/>
      <c r="DWU1155" s="7"/>
      <c r="DWV1155" s="7"/>
      <c r="DWW1155" s="7"/>
      <c r="DWX1155" s="7"/>
      <c r="DWY1155" s="7"/>
      <c r="DWZ1155" s="7"/>
      <c r="DXA1155" s="7"/>
      <c r="DXB1155" s="7"/>
      <c r="DXC1155" s="7"/>
      <c r="DXD1155" s="7"/>
      <c r="DXE1155" s="7"/>
      <c r="DXF1155" s="7"/>
      <c r="DXG1155" s="7"/>
      <c r="DXH1155" s="7"/>
      <c r="DXI1155" s="7"/>
      <c r="DXJ1155" s="7"/>
      <c r="DXK1155" s="7"/>
      <c r="DXL1155" s="7"/>
      <c r="DXM1155" s="7"/>
      <c r="DXN1155" s="7"/>
      <c r="DXO1155" s="7"/>
      <c r="DXP1155" s="7"/>
      <c r="DXQ1155" s="7"/>
      <c r="DXR1155" s="7"/>
      <c r="DXS1155" s="7"/>
      <c r="DXT1155" s="7"/>
      <c r="DXU1155" s="7"/>
      <c r="DXV1155" s="7"/>
      <c r="DXW1155" s="7"/>
      <c r="DXX1155" s="7"/>
      <c r="DXY1155" s="7"/>
      <c r="DXZ1155" s="7"/>
      <c r="DYA1155" s="7"/>
      <c r="DYB1155" s="7"/>
      <c r="DYC1155" s="7"/>
      <c r="DYD1155" s="7"/>
      <c r="DYE1155" s="7"/>
      <c r="DYF1155" s="7"/>
      <c r="DYG1155" s="7"/>
      <c r="DYH1155" s="7"/>
      <c r="DYI1155" s="7"/>
      <c r="DYJ1155" s="7"/>
      <c r="DYK1155" s="7"/>
      <c r="DYL1155" s="7"/>
      <c r="DYM1155" s="7"/>
      <c r="DYN1155" s="7"/>
      <c r="DYO1155" s="7"/>
      <c r="DYP1155" s="7"/>
      <c r="DYQ1155" s="7"/>
      <c r="DYR1155" s="7"/>
      <c r="DYS1155" s="7"/>
      <c r="DYT1155" s="7"/>
      <c r="DYU1155" s="7"/>
      <c r="DYV1155" s="7"/>
      <c r="DYW1155" s="7"/>
      <c r="DYX1155" s="7"/>
      <c r="DYY1155" s="7"/>
      <c r="DYZ1155" s="7"/>
      <c r="DZA1155" s="7"/>
      <c r="DZB1155" s="7"/>
      <c r="DZC1155" s="7"/>
      <c r="DZD1155" s="7"/>
      <c r="DZE1155" s="7"/>
      <c r="DZF1155" s="7"/>
      <c r="DZG1155" s="7"/>
      <c r="DZH1155" s="7"/>
      <c r="DZI1155" s="7"/>
      <c r="DZJ1155" s="7"/>
      <c r="DZK1155" s="7"/>
      <c r="DZL1155" s="7"/>
      <c r="DZM1155" s="7"/>
      <c r="DZN1155" s="7"/>
      <c r="DZO1155" s="7"/>
      <c r="DZP1155" s="7"/>
      <c r="DZQ1155" s="7"/>
      <c r="DZR1155" s="7"/>
      <c r="DZS1155" s="7"/>
      <c r="DZT1155" s="7"/>
      <c r="DZU1155" s="7"/>
      <c r="DZV1155" s="7"/>
      <c r="DZW1155" s="7"/>
      <c r="DZX1155" s="7"/>
      <c r="DZY1155" s="7"/>
      <c r="DZZ1155" s="7"/>
      <c r="EAA1155" s="7"/>
      <c r="EAB1155" s="7"/>
      <c r="EAC1155" s="7"/>
      <c r="EAD1155" s="7"/>
      <c r="EAE1155" s="7"/>
      <c r="EAF1155" s="7"/>
      <c r="EAG1155" s="7"/>
      <c r="EAH1155" s="7"/>
      <c r="EAI1155" s="7"/>
      <c r="EAJ1155" s="7"/>
      <c r="EAK1155" s="7"/>
      <c r="EAL1155" s="7"/>
      <c r="EAM1155" s="7"/>
      <c r="EAN1155" s="7"/>
      <c r="EAO1155" s="7"/>
      <c r="EAP1155" s="7"/>
      <c r="EAQ1155" s="7"/>
      <c r="EAR1155" s="7"/>
      <c r="EAS1155" s="7"/>
      <c r="EAT1155" s="7"/>
      <c r="EAU1155" s="7"/>
      <c r="EAV1155" s="7"/>
      <c r="EAW1155" s="7"/>
      <c r="EAX1155" s="7"/>
      <c r="EAY1155" s="7"/>
      <c r="EAZ1155" s="7"/>
      <c r="EBA1155" s="7"/>
      <c r="EBB1155" s="7"/>
      <c r="EBC1155" s="7"/>
      <c r="EBD1155" s="7"/>
      <c r="EBE1155" s="7"/>
      <c r="EBF1155" s="7"/>
      <c r="EBG1155" s="7"/>
      <c r="EBH1155" s="7"/>
      <c r="EBI1155" s="7"/>
      <c r="EBJ1155" s="7"/>
      <c r="EBK1155" s="7"/>
      <c r="EBL1155" s="7"/>
      <c r="EBM1155" s="7"/>
      <c r="EBN1155" s="7"/>
      <c r="EBO1155" s="7"/>
      <c r="EBP1155" s="7"/>
      <c r="EBQ1155" s="7"/>
      <c r="EBR1155" s="7"/>
      <c r="EBS1155" s="7"/>
      <c r="EBT1155" s="7"/>
      <c r="EBU1155" s="7"/>
      <c r="EBV1155" s="7"/>
      <c r="EBW1155" s="7"/>
      <c r="EBX1155" s="7"/>
      <c r="EBY1155" s="7"/>
      <c r="EBZ1155" s="7"/>
      <c r="ECA1155" s="7"/>
      <c r="ECB1155" s="7"/>
      <c r="ECC1155" s="7"/>
      <c r="ECD1155" s="7"/>
      <c r="ECE1155" s="7"/>
      <c r="ECF1155" s="7"/>
      <c r="ECG1155" s="7"/>
      <c r="ECH1155" s="7"/>
      <c r="ECI1155" s="7"/>
      <c r="ECJ1155" s="7"/>
      <c r="ECK1155" s="7"/>
      <c r="ECL1155" s="7"/>
      <c r="ECM1155" s="7"/>
      <c r="ECN1155" s="7"/>
      <c r="ECO1155" s="7"/>
      <c r="ECP1155" s="7"/>
      <c r="ECQ1155" s="7"/>
      <c r="ECR1155" s="7"/>
      <c r="ECS1155" s="7"/>
      <c r="ECT1155" s="7"/>
      <c r="ECU1155" s="7"/>
      <c r="ECV1155" s="7"/>
      <c r="ECW1155" s="7"/>
      <c r="ECX1155" s="7"/>
      <c r="ECY1155" s="7"/>
      <c r="ECZ1155" s="7"/>
      <c r="EDA1155" s="7"/>
      <c r="EDB1155" s="7"/>
      <c r="EDC1155" s="7"/>
      <c r="EDD1155" s="7"/>
      <c r="EDE1155" s="7"/>
      <c r="EDF1155" s="7"/>
      <c r="EDG1155" s="7"/>
      <c r="EDH1155" s="7"/>
      <c r="EDI1155" s="7"/>
      <c r="EDJ1155" s="7"/>
      <c r="EDK1155" s="7"/>
      <c r="EDL1155" s="7"/>
      <c r="EDM1155" s="7"/>
      <c r="EDN1155" s="7"/>
      <c r="EDO1155" s="7"/>
      <c r="EDP1155" s="7"/>
      <c r="EDQ1155" s="7"/>
      <c r="EDR1155" s="7"/>
      <c r="EDS1155" s="7"/>
      <c r="EDT1155" s="7"/>
      <c r="EDU1155" s="7"/>
      <c r="EDV1155" s="7"/>
      <c r="EDW1155" s="7"/>
      <c r="EDX1155" s="7"/>
      <c r="EDY1155" s="7"/>
      <c r="EDZ1155" s="7"/>
      <c r="EEA1155" s="7"/>
      <c r="EEB1155" s="7"/>
      <c r="EEC1155" s="7"/>
      <c r="EED1155" s="7"/>
      <c r="EEE1155" s="7"/>
      <c r="EEF1155" s="7"/>
      <c r="EEG1155" s="7"/>
      <c r="EEH1155" s="7"/>
      <c r="EEI1155" s="7"/>
      <c r="EEJ1155" s="7"/>
      <c r="EEK1155" s="7"/>
      <c r="EEL1155" s="7"/>
      <c r="EEM1155" s="7"/>
      <c r="EEN1155" s="7"/>
      <c r="EEO1155" s="7"/>
      <c r="EEP1155" s="7"/>
      <c r="EEQ1155" s="7"/>
      <c r="EER1155" s="7"/>
      <c r="EES1155" s="7"/>
      <c r="EET1155" s="7"/>
      <c r="EEU1155" s="7"/>
      <c r="EEV1155" s="7"/>
      <c r="EEW1155" s="7"/>
      <c r="EEX1155" s="7"/>
      <c r="EEY1155" s="7"/>
      <c r="EEZ1155" s="7"/>
      <c r="EFA1155" s="7"/>
      <c r="EFB1155" s="7"/>
      <c r="EFC1155" s="7"/>
      <c r="EFD1155" s="7"/>
      <c r="EFE1155" s="7"/>
      <c r="EFF1155" s="7"/>
      <c r="EFG1155" s="7"/>
      <c r="EFH1155" s="7"/>
      <c r="EFI1155" s="7"/>
      <c r="EFJ1155" s="7"/>
      <c r="EFK1155" s="7"/>
      <c r="EFL1155" s="7"/>
      <c r="EFM1155" s="7"/>
      <c r="EFN1155" s="7"/>
      <c r="EFO1155" s="7"/>
      <c r="EFP1155" s="7"/>
      <c r="EFQ1155" s="7"/>
      <c r="EFR1155" s="7"/>
      <c r="EFS1155" s="7"/>
      <c r="EFT1155" s="7"/>
      <c r="EFU1155" s="7"/>
      <c r="EFV1155" s="7"/>
      <c r="EFW1155" s="7"/>
      <c r="EFX1155" s="7"/>
      <c r="EFY1155" s="7"/>
      <c r="EFZ1155" s="7"/>
      <c r="EGA1155" s="7"/>
      <c r="EGB1155" s="7"/>
      <c r="EGC1155" s="7"/>
      <c r="EGD1155" s="7"/>
      <c r="EGE1155" s="7"/>
      <c r="EGF1155" s="7"/>
      <c r="EGG1155" s="7"/>
      <c r="EGH1155" s="7"/>
      <c r="EGI1155" s="7"/>
      <c r="EGJ1155" s="7"/>
      <c r="EGK1155" s="7"/>
      <c r="EGL1155" s="7"/>
      <c r="EGM1155" s="7"/>
      <c r="EGN1155" s="7"/>
      <c r="EGO1155" s="7"/>
      <c r="EGP1155" s="7"/>
      <c r="EGQ1155" s="7"/>
      <c r="EGR1155" s="7"/>
      <c r="EGS1155" s="7"/>
      <c r="EGT1155" s="7"/>
      <c r="EGU1155" s="7"/>
      <c r="EGV1155" s="7"/>
      <c r="EGW1155" s="7"/>
      <c r="EGX1155" s="7"/>
      <c r="EGY1155" s="7"/>
      <c r="EGZ1155" s="7"/>
      <c r="EHA1155" s="7"/>
      <c r="EHB1155" s="7"/>
      <c r="EHC1155" s="7"/>
      <c r="EHD1155" s="7"/>
      <c r="EHE1155" s="7"/>
      <c r="EHF1155" s="7"/>
      <c r="EHG1155" s="7"/>
      <c r="EHH1155" s="7"/>
      <c r="EHI1155" s="7"/>
      <c r="EHJ1155" s="7"/>
      <c r="EHK1155" s="7"/>
      <c r="EHL1155" s="7"/>
      <c r="EHM1155" s="7"/>
      <c r="EHN1155" s="7"/>
      <c r="EHO1155" s="7"/>
      <c r="EHP1155" s="7"/>
      <c r="EHQ1155" s="7"/>
      <c r="EHR1155" s="7"/>
      <c r="EHS1155" s="7"/>
      <c r="EHT1155" s="7"/>
      <c r="EHU1155" s="7"/>
      <c r="EHV1155" s="7"/>
      <c r="EHW1155" s="7"/>
      <c r="EHX1155" s="7"/>
      <c r="EHY1155" s="7"/>
      <c r="EHZ1155" s="7"/>
      <c r="EIA1155" s="7"/>
      <c r="EIB1155" s="7"/>
      <c r="EIC1155" s="7"/>
      <c r="EID1155" s="7"/>
      <c r="EIE1155" s="7"/>
      <c r="EIF1155" s="7"/>
      <c r="EIG1155" s="7"/>
      <c r="EIH1155" s="7"/>
      <c r="EII1155" s="7"/>
      <c r="EIJ1155" s="7"/>
      <c r="EIK1155" s="7"/>
      <c r="EIL1155" s="7"/>
      <c r="EIM1155" s="7"/>
      <c r="EIN1155" s="7"/>
      <c r="EIO1155" s="7"/>
      <c r="EIP1155" s="7"/>
      <c r="EIQ1155" s="7"/>
      <c r="EIR1155" s="7"/>
      <c r="EIS1155" s="7"/>
      <c r="EIT1155" s="7"/>
      <c r="EIU1155" s="7"/>
      <c r="EIV1155" s="7"/>
      <c r="EIW1155" s="7"/>
      <c r="EIX1155" s="7"/>
      <c r="EIY1155" s="7"/>
      <c r="EIZ1155" s="7"/>
      <c r="EJA1155" s="7"/>
      <c r="EJB1155" s="7"/>
      <c r="EJC1155" s="7"/>
      <c r="EJD1155" s="7"/>
      <c r="EJE1155" s="7"/>
      <c r="EJF1155" s="7"/>
      <c r="EJG1155" s="7"/>
      <c r="EJH1155" s="7"/>
      <c r="EJI1155" s="7"/>
      <c r="EJJ1155" s="7"/>
      <c r="EJK1155" s="7"/>
      <c r="EJL1155" s="7"/>
      <c r="EJM1155" s="7"/>
      <c r="EJN1155" s="7"/>
      <c r="EJO1155" s="7"/>
      <c r="EJP1155" s="7"/>
      <c r="EJQ1155" s="7"/>
      <c r="EJR1155" s="7"/>
      <c r="EJS1155" s="7"/>
      <c r="EJT1155" s="7"/>
      <c r="EJU1155" s="7"/>
      <c r="EJV1155" s="7"/>
      <c r="EJW1155" s="7"/>
      <c r="EJX1155" s="7"/>
      <c r="EJY1155" s="7"/>
      <c r="EJZ1155" s="7"/>
      <c r="EKA1155" s="7"/>
      <c r="EKB1155" s="7"/>
      <c r="EKC1155" s="7"/>
      <c r="EKD1155" s="7"/>
      <c r="EKE1155" s="7"/>
      <c r="EKF1155" s="7"/>
      <c r="EKG1155" s="7"/>
      <c r="EKH1155" s="7"/>
      <c r="EKI1155" s="7"/>
      <c r="EKJ1155" s="7"/>
      <c r="EKK1155" s="7"/>
      <c r="EKL1155" s="7"/>
      <c r="EKM1155" s="7"/>
      <c r="EKN1155" s="7"/>
      <c r="EKO1155" s="7"/>
      <c r="EKP1155" s="7"/>
      <c r="EKQ1155" s="7"/>
      <c r="EKR1155" s="7"/>
      <c r="EKS1155" s="7"/>
      <c r="EKT1155" s="7"/>
      <c r="EKU1155" s="7"/>
      <c r="EKV1155" s="7"/>
      <c r="EKW1155" s="7"/>
      <c r="EKX1155" s="7"/>
      <c r="EKY1155" s="7"/>
      <c r="EKZ1155" s="7"/>
      <c r="ELA1155" s="7"/>
      <c r="ELB1155" s="7"/>
      <c r="ELC1155" s="7"/>
      <c r="ELD1155" s="7"/>
      <c r="ELE1155" s="7"/>
      <c r="ELF1155" s="7"/>
      <c r="ELG1155" s="7"/>
      <c r="ELH1155" s="7"/>
      <c r="ELI1155" s="7"/>
      <c r="ELJ1155" s="7"/>
      <c r="ELK1155" s="7"/>
      <c r="ELL1155" s="7"/>
      <c r="ELM1155" s="7"/>
      <c r="ELN1155" s="7"/>
      <c r="ELO1155" s="7"/>
      <c r="ELP1155" s="7"/>
      <c r="ELQ1155" s="7"/>
      <c r="ELR1155" s="7"/>
      <c r="ELS1155" s="7"/>
      <c r="ELT1155" s="7"/>
      <c r="ELU1155" s="7"/>
      <c r="ELV1155" s="7"/>
      <c r="ELW1155" s="7"/>
      <c r="ELX1155" s="7"/>
      <c r="ELY1155" s="7"/>
      <c r="ELZ1155" s="7"/>
      <c r="EMA1155" s="7"/>
      <c r="EMB1155" s="7"/>
      <c r="EMC1155" s="7"/>
      <c r="EMD1155" s="7"/>
      <c r="EME1155" s="7"/>
      <c r="EMF1155" s="7"/>
      <c r="EMG1155" s="7"/>
      <c r="EMH1155" s="7"/>
      <c r="EMI1155" s="7"/>
      <c r="EMJ1155" s="7"/>
      <c r="EMK1155" s="7"/>
      <c r="EML1155" s="7"/>
      <c r="EMM1155" s="7"/>
      <c r="EMN1155" s="7"/>
      <c r="EMO1155" s="7"/>
      <c r="EMP1155" s="7"/>
      <c r="EMQ1155" s="7"/>
      <c r="EMR1155" s="7"/>
      <c r="EMS1155" s="7"/>
      <c r="EMT1155" s="7"/>
      <c r="EMU1155" s="7"/>
      <c r="EMV1155" s="7"/>
      <c r="EMW1155" s="7"/>
      <c r="EMX1155" s="7"/>
      <c r="EMY1155" s="7"/>
      <c r="EMZ1155" s="7"/>
      <c r="ENA1155" s="7"/>
      <c r="ENB1155" s="7"/>
      <c r="ENC1155" s="7"/>
      <c r="END1155" s="7"/>
      <c r="ENE1155" s="7"/>
      <c r="ENF1155" s="7"/>
      <c r="ENG1155" s="7"/>
      <c r="ENH1155" s="7"/>
      <c r="ENI1155" s="7"/>
      <c r="ENJ1155" s="7"/>
      <c r="ENK1155" s="7"/>
      <c r="ENL1155" s="7"/>
      <c r="ENM1155" s="7"/>
      <c r="ENN1155" s="7"/>
      <c r="ENO1155" s="7"/>
      <c r="ENP1155" s="7"/>
      <c r="ENQ1155" s="7"/>
      <c r="ENR1155" s="7"/>
      <c r="ENS1155" s="7"/>
      <c r="ENT1155" s="7"/>
      <c r="ENU1155" s="7"/>
      <c r="ENV1155" s="7"/>
      <c r="ENW1155" s="7"/>
      <c r="ENX1155" s="7"/>
      <c r="ENY1155" s="7"/>
      <c r="ENZ1155" s="7"/>
      <c r="EOA1155" s="7"/>
      <c r="EOB1155" s="7"/>
      <c r="EOC1155" s="7"/>
      <c r="EOD1155" s="7"/>
      <c r="EOE1155" s="7"/>
      <c r="EOF1155" s="7"/>
      <c r="EOG1155" s="7"/>
      <c r="EOH1155" s="7"/>
      <c r="EOI1155" s="7"/>
      <c r="EOJ1155" s="7"/>
      <c r="EOK1155" s="7"/>
      <c r="EOL1155" s="7"/>
      <c r="EOM1155" s="7"/>
      <c r="EON1155" s="7"/>
      <c r="EOO1155" s="7"/>
      <c r="EOP1155" s="7"/>
      <c r="EOQ1155" s="7"/>
      <c r="EOR1155" s="7"/>
      <c r="EOS1155" s="7"/>
      <c r="EOT1155" s="7"/>
      <c r="EOU1155" s="7"/>
      <c r="EOV1155" s="7"/>
      <c r="EOW1155" s="7"/>
      <c r="EOX1155" s="7"/>
      <c r="EOY1155" s="7"/>
      <c r="EOZ1155" s="7"/>
      <c r="EPA1155" s="7"/>
      <c r="EPB1155" s="7"/>
      <c r="EPC1155" s="7"/>
      <c r="EPD1155" s="7"/>
      <c r="EPE1155" s="7"/>
      <c r="EPF1155" s="7"/>
      <c r="EPG1155" s="7"/>
      <c r="EPH1155" s="7"/>
      <c r="EPI1155" s="7"/>
      <c r="EPJ1155" s="7"/>
      <c r="EPK1155" s="7"/>
      <c r="EPL1155" s="7"/>
      <c r="EPM1155" s="7"/>
      <c r="EPN1155" s="7"/>
      <c r="EPO1155" s="7"/>
      <c r="EPP1155" s="7"/>
      <c r="EPQ1155" s="7"/>
      <c r="EPR1155" s="7"/>
      <c r="EPS1155" s="7"/>
      <c r="EPT1155" s="7"/>
      <c r="EPU1155" s="7"/>
      <c r="EPV1155" s="7"/>
      <c r="EPW1155" s="7"/>
      <c r="EPX1155" s="7"/>
      <c r="EPY1155" s="7"/>
      <c r="EPZ1155" s="7"/>
      <c r="EQA1155" s="7"/>
      <c r="EQB1155" s="7"/>
      <c r="EQC1155" s="7"/>
      <c r="EQD1155" s="7"/>
      <c r="EQE1155" s="7"/>
      <c r="EQF1155" s="7"/>
      <c r="EQG1155" s="7"/>
      <c r="EQH1155" s="7"/>
      <c r="EQI1155" s="7"/>
      <c r="EQJ1155" s="7"/>
      <c r="EQK1155" s="7"/>
      <c r="EQL1155" s="7"/>
      <c r="EQM1155" s="7"/>
      <c r="EQN1155" s="7"/>
      <c r="EQO1155" s="7"/>
      <c r="EQP1155" s="7"/>
      <c r="EQQ1155" s="7"/>
      <c r="EQR1155" s="7"/>
      <c r="EQS1155" s="7"/>
      <c r="EQT1155" s="7"/>
      <c r="EQU1155" s="7"/>
      <c r="EQV1155" s="7"/>
      <c r="EQW1155" s="7"/>
      <c r="EQX1155" s="7"/>
      <c r="EQY1155" s="7"/>
      <c r="EQZ1155" s="7"/>
      <c r="ERA1155" s="7"/>
      <c r="ERB1155" s="7"/>
      <c r="ERC1155" s="7"/>
      <c r="ERD1155" s="7"/>
      <c r="ERE1155" s="7"/>
      <c r="ERF1155" s="7"/>
      <c r="ERG1155" s="7"/>
      <c r="ERH1155" s="7"/>
      <c r="ERI1155" s="7"/>
      <c r="ERJ1155" s="7"/>
      <c r="ERK1155" s="7"/>
      <c r="ERL1155" s="7"/>
      <c r="ERM1155" s="7"/>
      <c r="ERN1155" s="7"/>
      <c r="ERO1155" s="7"/>
      <c r="ERP1155" s="7"/>
      <c r="ERQ1155" s="7"/>
      <c r="ERR1155" s="7"/>
      <c r="ERS1155" s="7"/>
      <c r="ERT1155" s="7"/>
      <c r="ERU1155" s="7"/>
      <c r="ERV1155" s="7"/>
      <c r="ERW1155" s="7"/>
      <c r="ERX1155" s="7"/>
      <c r="ERY1155" s="7"/>
      <c r="ERZ1155" s="7"/>
      <c r="ESA1155" s="7"/>
      <c r="ESB1155" s="7"/>
      <c r="ESC1155" s="7"/>
      <c r="ESD1155" s="7"/>
      <c r="ESE1155" s="7"/>
      <c r="ESF1155" s="7"/>
      <c r="ESG1155" s="7"/>
      <c r="ESH1155" s="7"/>
      <c r="ESI1155" s="7"/>
      <c r="ESJ1155" s="7"/>
      <c r="ESK1155" s="7"/>
      <c r="ESL1155" s="7"/>
      <c r="ESM1155" s="7"/>
      <c r="ESN1155" s="7"/>
      <c r="ESO1155" s="7"/>
      <c r="ESP1155" s="7"/>
      <c r="ESQ1155" s="7"/>
      <c r="ESR1155" s="7"/>
      <c r="ESS1155" s="7"/>
      <c r="EST1155" s="7"/>
      <c r="ESU1155" s="7"/>
      <c r="ESV1155" s="7"/>
      <c r="ESW1155" s="7"/>
      <c r="ESX1155" s="7"/>
      <c r="ESY1155" s="7"/>
      <c r="ESZ1155" s="7"/>
      <c r="ETA1155" s="7"/>
      <c r="ETB1155" s="7"/>
      <c r="ETC1155" s="7"/>
      <c r="ETD1155" s="7"/>
      <c r="ETE1155" s="7"/>
      <c r="ETF1155" s="7"/>
      <c r="ETG1155" s="7"/>
      <c r="ETH1155" s="7"/>
      <c r="ETI1155" s="7"/>
      <c r="ETJ1155" s="7"/>
      <c r="ETK1155" s="7"/>
      <c r="ETL1155" s="7"/>
      <c r="ETM1155" s="7"/>
      <c r="ETN1155" s="7"/>
      <c r="ETO1155" s="7"/>
      <c r="ETP1155" s="7"/>
      <c r="ETQ1155" s="7"/>
      <c r="ETR1155" s="7"/>
      <c r="ETS1155" s="7"/>
      <c r="ETT1155" s="7"/>
      <c r="ETU1155" s="7"/>
      <c r="ETV1155" s="7"/>
      <c r="ETW1155" s="7"/>
      <c r="ETX1155" s="7"/>
      <c r="ETY1155" s="7"/>
      <c r="ETZ1155" s="7"/>
      <c r="EUA1155" s="7"/>
      <c r="EUB1155" s="7"/>
      <c r="EUC1155" s="7"/>
      <c r="EUD1155" s="7"/>
      <c r="EUE1155" s="7"/>
      <c r="EUF1155" s="7"/>
      <c r="EUG1155" s="7"/>
      <c r="EUH1155" s="7"/>
      <c r="EUI1155" s="7"/>
      <c r="EUJ1155" s="7"/>
      <c r="EUK1155" s="7"/>
      <c r="EUL1155" s="7"/>
      <c r="EUM1155" s="7"/>
      <c r="EUN1155" s="7"/>
      <c r="EUO1155" s="7"/>
      <c r="EUP1155" s="7"/>
      <c r="EUQ1155" s="7"/>
      <c r="EUR1155" s="7"/>
      <c r="EUS1155" s="7"/>
      <c r="EUT1155" s="7"/>
      <c r="EUU1155" s="7"/>
      <c r="EUV1155" s="7"/>
      <c r="EUW1155" s="7"/>
      <c r="EUX1155" s="7"/>
      <c r="EUY1155" s="7"/>
      <c r="EUZ1155" s="7"/>
      <c r="EVA1155" s="7"/>
      <c r="EVB1155" s="7"/>
      <c r="EVC1155" s="7"/>
      <c r="EVD1155" s="7"/>
      <c r="EVE1155" s="7"/>
      <c r="EVF1155" s="7"/>
      <c r="EVG1155" s="7"/>
      <c r="EVH1155" s="7"/>
      <c r="EVI1155" s="7"/>
      <c r="EVJ1155" s="7"/>
      <c r="EVK1155" s="7"/>
      <c r="EVL1155" s="7"/>
      <c r="EVM1155" s="7"/>
      <c r="EVN1155" s="7"/>
      <c r="EVO1155" s="7"/>
      <c r="EVP1155" s="7"/>
      <c r="EVQ1155" s="7"/>
      <c r="EVR1155" s="7"/>
      <c r="EVS1155" s="7"/>
      <c r="EVT1155" s="7"/>
      <c r="EVU1155" s="7"/>
      <c r="EVV1155" s="7"/>
      <c r="EVW1155" s="7"/>
      <c r="EVX1155" s="7"/>
      <c r="EVY1155" s="7"/>
      <c r="EVZ1155" s="7"/>
      <c r="EWA1155" s="7"/>
      <c r="EWB1155" s="7"/>
      <c r="EWC1155" s="7"/>
      <c r="EWD1155" s="7"/>
      <c r="EWE1155" s="7"/>
      <c r="EWF1155" s="7"/>
      <c r="EWG1155" s="7"/>
      <c r="EWH1155" s="7"/>
      <c r="EWI1155" s="7"/>
      <c r="EWJ1155" s="7"/>
      <c r="EWK1155" s="7"/>
      <c r="EWL1155" s="7"/>
      <c r="EWM1155" s="7"/>
      <c r="EWN1155" s="7"/>
      <c r="EWO1155" s="7"/>
      <c r="EWP1155" s="7"/>
      <c r="EWQ1155" s="7"/>
      <c r="EWR1155" s="7"/>
      <c r="EWS1155" s="7"/>
      <c r="EWT1155" s="7"/>
      <c r="EWU1155" s="7"/>
      <c r="EWV1155" s="7"/>
      <c r="EWW1155" s="7"/>
      <c r="EWX1155" s="7"/>
      <c r="EWY1155" s="7"/>
      <c r="EWZ1155" s="7"/>
      <c r="EXA1155" s="7"/>
      <c r="EXB1155" s="7"/>
      <c r="EXC1155" s="7"/>
      <c r="EXD1155" s="7"/>
      <c r="EXE1155" s="7"/>
      <c r="EXF1155" s="7"/>
      <c r="EXG1155" s="7"/>
      <c r="EXH1155" s="7"/>
      <c r="EXI1155" s="7"/>
      <c r="EXJ1155" s="7"/>
      <c r="EXK1155" s="7"/>
      <c r="EXL1155" s="7"/>
      <c r="EXM1155" s="7"/>
      <c r="EXN1155" s="7"/>
      <c r="EXO1155" s="7"/>
      <c r="EXP1155" s="7"/>
      <c r="EXQ1155" s="7"/>
      <c r="EXR1155" s="7"/>
      <c r="EXS1155" s="7"/>
      <c r="EXT1155" s="7"/>
      <c r="EXU1155" s="7"/>
      <c r="EXV1155" s="7"/>
      <c r="EXW1155" s="7"/>
      <c r="EXX1155" s="7"/>
      <c r="EXY1155" s="7"/>
      <c r="EXZ1155" s="7"/>
      <c r="EYA1155" s="7"/>
      <c r="EYB1155" s="7"/>
      <c r="EYC1155" s="7"/>
      <c r="EYD1155" s="7"/>
      <c r="EYE1155" s="7"/>
      <c r="EYF1155" s="7"/>
      <c r="EYG1155" s="7"/>
      <c r="EYH1155" s="7"/>
      <c r="EYI1155" s="7"/>
      <c r="EYJ1155" s="7"/>
      <c r="EYK1155" s="7"/>
      <c r="EYL1155" s="7"/>
      <c r="EYM1155" s="7"/>
      <c r="EYN1155" s="7"/>
      <c r="EYO1155" s="7"/>
      <c r="EYP1155" s="7"/>
      <c r="EYQ1155" s="7"/>
      <c r="EYR1155" s="7"/>
      <c r="EYS1155" s="7"/>
      <c r="EYT1155" s="7"/>
      <c r="EYU1155" s="7"/>
      <c r="EYV1155" s="7"/>
      <c r="EYW1155" s="7"/>
      <c r="EYX1155" s="7"/>
      <c r="EYY1155" s="7"/>
      <c r="EYZ1155" s="7"/>
      <c r="EZA1155" s="7"/>
      <c r="EZB1155" s="7"/>
      <c r="EZC1155" s="7"/>
      <c r="EZD1155" s="7"/>
      <c r="EZE1155" s="7"/>
      <c r="EZF1155" s="7"/>
      <c r="EZG1155" s="7"/>
      <c r="EZH1155" s="7"/>
      <c r="EZI1155" s="7"/>
      <c r="EZJ1155" s="7"/>
      <c r="EZK1155" s="7"/>
      <c r="EZL1155" s="7"/>
      <c r="EZM1155" s="7"/>
      <c r="EZN1155" s="7"/>
      <c r="EZO1155" s="7"/>
      <c r="EZP1155" s="7"/>
      <c r="EZQ1155" s="7"/>
      <c r="EZR1155" s="7"/>
      <c r="EZS1155" s="7"/>
      <c r="EZT1155" s="7"/>
      <c r="EZU1155" s="7"/>
      <c r="EZV1155" s="7"/>
      <c r="EZW1155" s="7"/>
      <c r="EZX1155" s="7"/>
      <c r="EZY1155" s="7"/>
      <c r="EZZ1155" s="7"/>
      <c r="FAA1155" s="7"/>
      <c r="FAB1155" s="7"/>
      <c r="FAC1155" s="7"/>
      <c r="FAD1155" s="7"/>
      <c r="FAE1155" s="7"/>
      <c r="FAF1155" s="7"/>
      <c r="FAG1155" s="7"/>
      <c r="FAH1155" s="7"/>
      <c r="FAI1155" s="7"/>
      <c r="FAJ1155" s="7"/>
      <c r="FAK1155" s="7"/>
      <c r="FAL1155" s="7"/>
      <c r="FAM1155" s="7"/>
      <c r="FAN1155" s="7"/>
      <c r="FAO1155" s="7"/>
      <c r="FAP1155" s="7"/>
      <c r="FAQ1155" s="7"/>
      <c r="FAR1155" s="7"/>
      <c r="FAS1155" s="7"/>
      <c r="FAT1155" s="7"/>
      <c r="FAU1155" s="7"/>
      <c r="FAV1155" s="7"/>
      <c r="FAW1155" s="7"/>
      <c r="FAX1155" s="7"/>
      <c r="FAY1155" s="7"/>
      <c r="FAZ1155" s="7"/>
      <c r="FBA1155" s="7"/>
      <c r="FBB1155" s="7"/>
      <c r="FBC1155" s="7"/>
      <c r="FBD1155" s="7"/>
      <c r="FBE1155" s="7"/>
      <c r="FBF1155" s="7"/>
      <c r="FBG1155" s="7"/>
      <c r="FBH1155" s="7"/>
      <c r="FBI1155" s="7"/>
      <c r="FBJ1155" s="7"/>
      <c r="FBK1155" s="7"/>
      <c r="FBL1155" s="7"/>
      <c r="FBM1155" s="7"/>
      <c r="FBN1155" s="7"/>
      <c r="FBO1155" s="7"/>
      <c r="FBP1155" s="7"/>
      <c r="FBQ1155" s="7"/>
      <c r="FBR1155" s="7"/>
      <c r="FBS1155" s="7"/>
      <c r="FBT1155" s="7"/>
      <c r="FBU1155" s="7"/>
      <c r="FBV1155" s="7"/>
      <c r="FBW1155" s="7"/>
      <c r="FBX1155" s="7"/>
      <c r="FBY1155" s="7"/>
      <c r="FBZ1155" s="7"/>
      <c r="FCA1155" s="7"/>
      <c r="FCB1155" s="7"/>
      <c r="FCC1155" s="7"/>
      <c r="FCD1155" s="7"/>
      <c r="FCE1155" s="7"/>
      <c r="FCF1155" s="7"/>
      <c r="FCG1155" s="7"/>
      <c r="FCH1155" s="7"/>
      <c r="FCI1155" s="7"/>
      <c r="FCJ1155" s="7"/>
      <c r="FCK1155" s="7"/>
      <c r="FCL1155" s="7"/>
      <c r="FCM1155" s="7"/>
      <c r="FCN1155" s="7"/>
      <c r="FCO1155" s="7"/>
      <c r="FCP1155" s="7"/>
      <c r="FCQ1155" s="7"/>
      <c r="FCR1155" s="7"/>
      <c r="FCS1155" s="7"/>
      <c r="FCT1155" s="7"/>
      <c r="FCU1155" s="7"/>
      <c r="FCV1155" s="7"/>
      <c r="FCW1155" s="7"/>
      <c r="FCX1155" s="7"/>
      <c r="FCY1155" s="7"/>
      <c r="FCZ1155" s="7"/>
      <c r="FDA1155" s="7"/>
      <c r="FDB1155" s="7"/>
      <c r="FDC1155" s="7"/>
      <c r="FDD1155" s="7"/>
      <c r="FDE1155" s="7"/>
      <c r="FDF1155" s="7"/>
      <c r="FDG1155" s="7"/>
      <c r="FDH1155" s="7"/>
      <c r="FDI1155" s="7"/>
      <c r="FDJ1155" s="7"/>
      <c r="FDK1155" s="7"/>
      <c r="FDL1155" s="7"/>
      <c r="FDM1155" s="7"/>
      <c r="FDN1155" s="7"/>
      <c r="FDO1155" s="7"/>
      <c r="FDP1155" s="7"/>
      <c r="FDQ1155" s="7"/>
      <c r="FDR1155" s="7"/>
      <c r="FDS1155" s="7"/>
      <c r="FDT1155" s="7"/>
      <c r="FDU1155" s="7"/>
      <c r="FDV1155" s="7"/>
      <c r="FDW1155" s="7"/>
      <c r="FDX1155" s="7"/>
      <c r="FDY1155" s="7"/>
      <c r="FDZ1155" s="7"/>
      <c r="FEA1155" s="7"/>
      <c r="FEB1155" s="7"/>
      <c r="FEC1155" s="7"/>
      <c r="FED1155" s="7"/>
      <c r="FEE1155" s="7"/>
      <c r="FEF1155" s="7"/>
      <c r="FEG1155" s="7"/>
      <c r="FEH1155" s="7"/>
      <c r="FEI1155" s="7"/>
      <c r="FEJ1155" s="7"/>
      <c r="FEK1155" s="7"/>
      <c r="FEL1155" s="7"/>
      <c r="FEM1155" s="7"/>
      <c r="FEN1155" s="7"/>
      <c r="FEO1155" s="7"/>
      <c r="FEP1155" s="7"/>
      <c r="FEQ1155" s="7"/>
      <c r="FER1155" s="7"/>
      <c r="FES1155" s="7"/>
      <c r="FET1155" s="7"/>
      <c r="FEU1155" s="7"/>
      <c r="FEV1155" s="7"/>
      <c r="FEW1155" s="7"/>
      <c r="FEX1155" s="7"/>
      <c r="FEY1155" s="7"/>
      <c r="FEZ1155" s="7"/>
      <c r="FFA1155" s="7"/>
      <c r="FFB1155" s="7"/>
      <c r="FFC1155" s="7"/>
      <c r="FFD1155" s="7"/>
      <c r="FFE1155" s="7"/>
      <c r="FFF1155" s="7"/>
      <c r="FFG1155" s="7"/>
      <c r="FFH1155" s="7"/>
      <c r="FFI1155" s="7"/>
      <c r="FFJ1155" s="7"/>
      <c r="FFK1155" s="7"/>
      <c r="FFL1155" s="7"/>
      <c r="FFM1155" s="7"/>
      <c r="FFN1155" s="7"/>
      <c r="FFO1155" s="7"/>
      <c r="FFP1155" s="7"/>
      <c r="FFQ1155" s="7"/>
      <c r="FFR1155" s="7"/>
      <c r="FFS1155" s="7"/>
      <c r="FFT1155" s="7"/>
      <c r="FFU1155" s="7"/>
      <c r="FFV1155" s="7"/>
      <c r="FFW1155" s="7"/>
      <c r="FFX1155" s="7"/>
      <c r="FFY1155" s="7"/>
      <c r="FFZ1155" s="7"/>
      <c r="FGA1155" s="7"/>
      <c r="FGB1155" s="7"/>
      <c r="FGC1155" s="7"/>
      <c r="FGD1155" s="7"/>
      <c r="FGE1155" s="7"/>
      <c r="FGF1155" s="7"/>
      <c r="FGG1155" s="7"/>
      <c r="FGH1155" s="7"/>
      <c r="FGI1155" s="7"/>
      <c r="FGJ1155" s="7"/>
      <c r="FGK1155" s="7"/>
      <c r="FGL1155" s="7"/>
      <c r="FGM1155" s="7"/>
      <c r="FGN1155" s="7"/>
      <c r="FGO1155" s="7"/>
      <c r="FGP1155" s="7"/>
      <c r="FGQ1155" s="7"/>
      <c r="FGR1155" s="7"/>
      <c r="FGS1155" s="7"/>
      <c r="FGT1155" s="7"/>
      <c r="FGU1155" s="7"/>
      <c r="FGV1155" s="7"/>
      <c r="FGW1155" s="7"/>
      <c r="FGX1155" s="7"/>
      <c r="FGY1155" s="7"/>
      <c r="FGZ1155" s="7"/>
      <c r="FHA1155" s="7"/>
      <c r="FHB1155" s="7"/>
      <c r="FHC1155" s="7"/>
      <c r="FHD1155" s="7"/>
      <c r="FHE1155" s="7"/>
      <c r="FHF1155" s="7"/>
      <c r="FHG1155" s="7"/>
      <c r="FHH1155" s="7"/>
      <c r="FHI1155" s="7"/>
      <c r="FHJ1155" s="7"/>
      <c r="FHK1155" s="7"/>
      <c r="FHL1155" s="7"/>
      <c r="FHM1155" s="7"/>
      <c r="FHN1155" s="7"/>
      <c r="FHO1155" s="7"/>
      <c r="FHP1155" s="7"/>
      <c r="FHQ1155" s="7"/>
      <c r="FHR1155" s="7"/>
      <c r="FHS1155" s="7"/>
      <c r="FHT1155" s="7"/>
      <c r="FHU1155" s="7"/>
      <c r="FHV1155" s="7"/>
      <c r="FHW1155" s="7"/>
      <c r="FHX1155" s="7"/>
      <c r="FHY1155" s="7"/>
      <c r="FHZ1155" s="7"/>
      <c r="FIA1155" s="7"/>
      <c r="FIB1155" s="7"/>
      <c r="FIC1155" s="7"/>
      <c r="FID1155" s="7"/>
      <c r="FIE1155" s="7"/>
      <c r="FIF1155" s="7"/>
      <c r="FIG1155" s="7"/>
      <c r="FIH1155" s="7"/>
      <c r="FII1155" s="7"/>
      <c r="FIJ1155" s="7"/>
      <c r="FIK1155" s="7"/>
      <c r="FIL1155" s="7"/>
      <c r="FIM1155" s="7"/>
      <c r="FIN1155" s="7"/>
      <c r="FIO1155" s="7"/>
      <c r="FIP1155" s="7"/>
      <c r="FIQ1155" s="7"/>
      <c r="FIR1155" s="7"/>
      <c r="FIS1155" s="7"/>
      <c r="FIT1155" s="7"/>
      <c r="FIU1155" s="7"/>
      <c r="FIV1155" s="7"/>
      <c r="FIW1155" s="7"/>
      <c r="FIX1155" s="7"/>
      <c r="FIY1155" s="7"/>
      <c r="FIZ1155" s="7"/>
      <c r="FJA1155" s="7"/>
      <c r="FJB1155" s="7"/>
      <c r="FJC1155" s="7"/>
      <c r="FJD1155" s="7"/>
      <c r="FJE1155" s="7"/>
      <c r="FJF1155" s="7"/>
      <c r="FJG1155" s="7"/>
      <c r="FJH1155" s="7"/>
      <c r="FJI1155" s="7"/>
      <c r="FJJ1155" s="7"/>
      <c r="FJK1155" s="7"/>
      <c r="FJL1155" s="7"/>
      <c r="FJM1155" s="7"/>
      <c r="FJN1155" s="7"/>
      <c r="FJO1155" s="7"/>
      <c r="FJP1155" s="7"/>
      <c r="FJQ1155" s="7"/>
      <c r="FJR1155" s="7"/>
      <c r="FJS1155" s="7"/>
      <c r="FJT1155" s="7"/>
      <c r="FJU1155" s="7"/>
      <c r="FJV1155" s="7"/>
      <c r="FJW1155" s="7"/>
      <c r="FJX1155" s="7"/>
      <c r="FJY1155" s="7"/>
      <c r="FJZ1155" s="7"/>
      <c r="FKA1155" s="7"/>
      <c r="FKB1155" s="7"/>
      <c r="FKC1155" s="7"/>
      <c r="FKD1155" s="7"/>
      <c r="FKE1155" s="7"/>
      <c r="FKF1155" s="7"/>
      <c r="FKG1155" s="7"/>
      <c r="FKH1155" s="7"/>
      <c r="FKI1155" s="7"/>
      <c r="FKJ1155" s="7"/>
      <c r="FKK1155" s="7"/>
      <c r="FKL1155" s="7"/>
      <c r="FKM1155" s="7"/>
      <c r="FKN1155" s="7"/>
      <c r="FKO1155" s="7"/>
      <c r="FKP1155" s="7"/>
      <c r="FKQ1155" s="7"/>
      <c r="FKR1155" s="7"/>
      <c r="FKS1155" s="7"/>
      <c r="FKT1155" s="7"/>
      <c r="FKU1155" s="7"/>
      <c r="FKV1155" s="7"/>
      <c r="FKW1155" s="7"/>
      <c r="FKX1155" s="7"/>
      <c r="FKY1155" s="7"/>
      <c r="FKZ1155" s="7"/>
      <c r="FLA1155" s="7"/>
      <c r="FLB1155" s="7"/>
      <c r="FLC1155" s="7"/>
      <c r="FLD1155" s="7"/>
      <c r="FLE1155" s="7"/>
      <c r="FLF1155" s="7"/>
      <c r="FLG1155" s="7"/>
      <c r="FLH1155" s="7"/>
      <c r="FLI1155" s="7"/>
      <c r="FLJ1155" s="7"/>
      <c r="FLK1155" s="7"/>
      <c r="FLL1155" s="7"/>
      <c r="FLM1155" s="7"/>
      <c r="FLN1155" s="7"/>
      <c r="FLO1155" s="7"/>
      <c r="FLP1155" s="7"/>
      <c r="FLQ1155" s="7"/>
      <c r="FLR1155" s="7"/>
      <c r="FLS1155" s="7"/>
      <c r="FLT1155" s="7"/>
      <c r="FLU1155" s="7"/>
      <c r="FLV1155" s="7"/>
      <c r="FLW1155" s="7"/>
      <c r="FLX1155" s="7"/>
      <c r="FLY1155" s="7"/>
      <c r="FLZ1155" s="7"/>
      <c r="FMA1155" s="7"/>
      <c r="FMB1155" s="7"/>
      <c r="FMC1155" s="7"/>
      <c r="FMD1155" s="7"/>
      <c r="FME1155" s="7"/>
      <c r="FMF1155" s="7"/>
      <c r="FMG1155" s="7"/>
      <c r="FMH1155" s="7"/>
      <c r="FMI1155" s="7"/>
      <c r="FMJ1155" s="7"/>
      <c r="FMK1155" s="7"/>
      <c r="FML1155" s="7"/>
      <c r="FMM1155" s="7"/>
      <c r="FMN1155" s="7"/>
      <c r="FMO1155" s="7"/>
      <c r="FMP1155" s="7"/>
      <c r="FMQ1155" s="7"/>
      <c r="FMR1155" s="7"/>
      <c r="FMS1155" s="7"/>
      <c r="FMT1155" s="7"/>
      <c r="FMU1155" s="7"/>
      <c r="FMV1155" s="7"/>
      <c r="FMW1155" s="7"/>
      <c r="FMX1155" s="7"/>
      <c r="FMY1155" s="7"/>
      <c r="FMZ1155" s="7"/>
      <c r="FNA1155" s="7"/>
      <c r="FNB1155" s="7"/>
      <c r="FNC1155" s="7"/>
      <c r="FND1155" s="7"/>
      <c r="FNE1155" s="7"/>
      <c r="FNF1155" s="7"/>
      <c r="FNG1155" s="7"/>
      <c r="FNH1155" s="7"/>
      <c r="FNI1155" s="7"/>
      <c r="FNJ1155" s="7"/>
      <c r="FNK1155" s="7"/>
      <c r="FNL1155" s="7"/>
      <c r="FNM1155" s="7"/>
      <c r="FNN1155" s="7"/>
      <c r="FNO1155" s="7"/>
      <c r="FNP1155" s="7"/>
      <c r="FNQ1155" s="7"/>
      <c r="FNR1155" s="7"/>
      <c r="FNS1155" s="7"/>
      <c r="FNT1155" s="7"/>
      <c r="FNU1155" s="7"/>
      <c r="FNV1155" s="7"/>
      <c r="FNW1155" s="7"/>
      <c r="FNX1155" s="7"/>
      <c r="FNY1155" s="7"/>
      <c r="FNZ1155" s="7"/>
      <c r="FOA1155" s="7"/>
      <c r="FOB1155" s="7"/>
      <c r="FOC1155" s="7"/>
      <c r="FOD1155" s="7"/>
      <c r="FOE1155" s="7"/>
      <c r="FOF1155" s="7"/>
      <c r="FOG1155" s="7"/>
      <c r="FOH1155" s="7"/>
      <c r="FOI1155" s="7"/>
      <c r="FOJ1155" s="7"/>
      <c r="FOK1155" s="7"/>
      <c r="FOL1155" s="7"/>
      <c r="FOM1155" s="7"/>
      <c r="FON1155" s="7"/>
      <c r="FOO1155" s="7"/>
      <c r="FOP1155" s="7"/>
      <c r="FOQ1155" s="7"/>
      <c r="FOR1155" s="7"/>
      <c r="FOS1155" s="7"/>
      <c r="FOT1155" s="7"/>
      <c r="FOU1155" s="7"/>
      <c r="FOV1155" s="7"/>
      <c r="FOW1155" s="7"/>
      <c r="FOX1155" s="7"/>
      <c r="FOY1155" s="7"/>
      <c r="FOZ1155" s="7"/>
      <c r="FPA1155" s="7"/>
      <c r="FPB1155" s="7"/>
      <c r="FPC1155" s="7"/>
      <c r="FPD1155" s="7"/>
      <c r="FPE1155" s="7"/>
      <c r="FPF1155" s="7"/>
      <c r="FPG1155" s="7"/>
      <c r="FPH1155" s="7"/>
      <c r="FPI1155" s="7"/>
      <c r="FPJ1155" s="7"/>
      <c r="FPK1155" s="7"/>
      <c r="FPL1155" s="7"/>
      <c r="FPM1155" s="7"/>
      <c r="FPN1155" s="7"/>
      <c r="FPO1155" s="7"/>
      <c r="FPP1155" s="7"/>
      <c r="FPQ1155" s="7"/>
      <c r="FPR1155" s="7"/>
      <c r="FPS1155" s="7"/>
      <c r="FPT1155" s="7"/>
      <c r="FPU1155" s="7"/>
      <c r="FPV1155" s="7"/>
      <c r="FPW1155" s="7"/>
      <c r="FPX1155" s="7"/>
      <c r="FPY1155" s="7"/>
      <c r="FPZ1155" s="7"/>
      <c r="FQA1155" s="7"/>
      <c r="FQB1155" s="7"/>
      <c r="FQC1155" s="7"/>
      <c r="FQD1155" s="7"/>
      <c r="FQE1155" s="7"/>
      <c r="FQF1155" s="7"/>
      <c r="FQG1155" s="7"/>
      <c r="FQH1155" s="7"/>
      <c r="FQI1155" s="7"/>
      <c r="FQJ1155" s="7"/>
      <c r="FQK1155" s="7"/>
      <c r="FQL1155" s="7"/>
      <c r="FQM1155" s="7"/>
      <c r="FQN1155" s="7"/>
      <c r="FQO1155" s="7"/>
      <c r="FQP1155" s="7"/>
      <c r="FQQ1155" s="7"/>
      <c r="FQR1155" s="7"/>
      <c r="FQS1155" s="7"/>
      <c r="FQT1155" s="7"/>
      <c r="FQU1155" s="7"/>
      <c r="FQV1155" s="7"/>
      <c r="FQW1155" s="7"/>
      <c r="FQX1155" s="7"/>
      <c r="FQY1155" s="7"/>
      <c r="FQZ1155" s="7"/>
      <c r="FRA1155" s="7"/>
      <c r="FRB1155" s="7"/>
      <c r="FRC1155" s="7"/>
      <c r="FRD1155" s="7"/>
      <c r="FRE1155" s="7"/>
      <c r="FRF1155" s="7"/>
      <c r="FRG1155" s="7"/>
      <c r="FRH1155" s="7"/>
      <c r="FRI1155" s="7"/>
      <c r="FRJ1155" s="7"/>
      <c r="FRK1155" s="7"/>
      <c r="FRL1155" s="7"/>
      <c r="FRM1155" s="7"/>
      <c r="FRN1155" s="7"/>
      <c r="FRO1155" s="7"/>
      <c r="FRP1155" s="7"/>
      <c r="FRQ1155" s="7"/>
      <c r="FRR1155" s="7"/>
      <c r="FRS1155" s="7"/>
      <c r="FRT1155" s="7"/>
      <c r="FRU1155" s="7"/>
      <c r="FRV1155" s="7"/>
      <c r="FRW1155" s="7"/>
      <c r="FRX1155" s="7"/>
      <c r="FRY1155" s="7"/>
      <c r="FRZ1155" s="7"/>
      <c r="FSA1155" s="7"/>
      <c r="FSB1155" s="7"/>
      <c r="FSC1155" s="7"/>
      <c r="FSD1155" s="7"/>
      <c r="FSE1155" s="7"/>
      <c r="FSF1155" s="7"/>
      <c r="FSG1155" s="7"/>
      <c r="FSH1155" s="7"/>
      <c r="FSI1155" s="7"/>
      <c r="FSJ1155" s="7"/>
      <c r="FSK1155" s="7"/>
      <c r="FSL1155" s="7"/>
      <c r="FSM1155" s="7"/>
      <c r="FSN1155" s="7"/>
      <c r="FSO1155" s="7"/>
      <c r="FSP1155" s="7"/>
      <c r="FSQ1155" s="7"/>
      <c r="FSR1155" s="7"/>
      <c r="FSS1155" s="7"/>
      <c r="FST1155" s="7"/>
      <c r="FSU1155" s="7"/>
      <c r="FSV1155" s="7"/>
      <c r="FSW1155" s="7"/>
      <c r="FSX1155" s="7"/>
      <c r="FSY1155" s="7"/>
      <c r="FSZ1155" s="7"/>
      <c r="FTA1155" s="7"/>
      <c r="FTB1155" s="7"/>
      <c r="FTC1155" s="7"/>
      <c r="FTD1155" s="7"/>
      <c r="FTE1155" s="7"/>
      <c r="FTF1155" s="7"/>
      <c r="FTG1155" s="7"/>
      <c r="FTH1155" s="7"/>
      <c r="FTI1155" s="7"/>
      <c r="FTJ1155" s="7"/>
      <c r="FTK1155" s="7"/>
      <c r="FTL1155" s="7"/>
      <c r="FTM1155" s="7"/>
      <c r="FTN1155" s="7"/>
      <c r="FTO1155" s="7"/>
      <c r="FTP1155" s="7"/>
      <c r="FTQ1155" s="7"/>
      <c r="FTR1155" s="7"/>
      <c r="FTS1155" s="7"/>
      <c r="FTT1155" s="7"/>
      <c r="FTU1155" s="7"/>
      <c r="FTV1155" s="7"/>
      <c r="FTW1155" s="7"/>
      <c r="FTX1155" s="7"/>
      <c r="FTY1155" s="7"/>
      <c r="FTZ1155" s="7"/>
      <c r="FUA1155" s="7"/>
      <c r="FUB1155" s="7"/>
      <c r="FUC1155" s="7"/>
      <c r="FUD1155" s="7"/>
      <c r="FUE1155" s="7"/>
      <c r="FUF1155" s="7"/>
      <c r="FUG1155" s="7"/>
      <c r="FUH1155" s="7"/>
      <c r="FUI1155" s="7"/>
      <c r="FUJ1155" s="7"/>
      <c r="FUK1155" s="7"/>
      <c r="FUL1155" s="7"/>
      <c r="FUM1155" s="7"/>
      <c r="FUN1155" s="7"/>
      <c r="FUO1155" s="7"/>
      <c r="FUP1155" s="7"/>
      <c r="FUQ1155" s="7"/>
      <c r="FUR1155" s="7"/>
      <c r="FUS1155" s="7"/>
      <c r="FUT1155" s="7"/>
      <c r="FUU1155" s="7"/>
      <c r="FUV1155" s="7"/>
      <c r="FUW1155" s="7"/>
      <c r="FUX1155" s="7"/>
      <c r="FUY1155" s="7"/>
      <c r="FUZ1155" s="7"/>
      <c r="FVA1155" s="7"/>
      <c r="FVB1155" s="7"/>
      <c r="FVC1155" s="7"/>
      <c r="FVD1155" s="7"/>
      <c r="FVE1155" s="7"/>
      <c r="FVF1155" s="7"/>
      <c r="FVG1155" s="7"/>
      <c r="FVH1155" s="7"/>
      <c r="FVI1155" s="7"/>
      <c r="FVJ1155" s="7"/>
      <c r="FVK1155" s="7"/>
      <c r="FVL1155" s="7"/>
      <c r="FVM1155" s="7"/>
      <c r="FVN1155" s="7"/>
      <c r="FVO1155" s="7"/>
      <c r="FVP1155" s="7"/>
      <c r="FVQ1155" s="7"/>
      <c r="FVR1155" s="7"/>
      <c r="FVS1155" s="7"/>
      <c r="FVT1155" s="7"/>
      <c r="FVU1155" s="7"/>
      <c r="FVV1155" s="7"/>
      <c r="FVW1155" s="7"/>
      <c r="FVX1155" s="7"/>
      <c r="FVY1155" s="7"/>
      <c r="FVZ1155" s="7"/>
      <c r="FWA1155" s="7"/>
      <c r="FWB1155" s="7"/>
      <c r="FWC1155" s="7"/>
      <c r="FWD1155" s="7"/>
      <c r="FWE1155" s="7"/>
      <c r="FWF1155" s="7"/>
      <c r="FWG1155" s="7"/>
      <c r="FWH1155" s="7"/>
      <c r="FWI1155" s="7"/>
      <c r="FWJ1155" s="7"/>
      <c r="FWK1155" s="7"/>
      <c r="FWL1155" s="7"/>
      <c r="FWM1155" s="7"/>
      <c r="FWN1155" s="7"/>
      <c r="FWO1155" s="7"/>
      <c r="FWP1155" s="7"/>
      <c r="FWQ1155" s="7"/>
      <c r="FWR1155" s="7"/>
      <c r="FWS1155" s="7"/>
      <c r="FWT1155" s="7"/>
      <c r="FWU1155" s="7"/>
      <c r="FWV1155" s="7"/>
      <c r="FWW1155" s="7"/>
      <c r="FWX1155" s="7"/>
      <c r="FWY1155" s="7"/>
      <c r="FWZ1155" s="7"/>
      <c r="FXA1155" s="7"/>
      <c r="FXB1155" s="7"/>
      <c r="FXC1155" s="7"/>
      <c r="FXD1155" s="7"/>
      <c r="FXE1155" s="7"/>
      <c r="FXF1155" s="7"/>
      <c r="FXG1155" s="7"/>
      <c r="FXH1155" s="7"/>
      <c r="FXI1155" s="7"/>
      <c r="FXJ1155" s="7"/>
      <c r="FXK1155" s="7"/>
      <c r="FXL1155" s="7"/>
      <c r="FXM1155" s="7"/>
      <c r="FXN1155" s="7"/>
      <c r="FXO1155" s="7"/>
      <c r="FXP1155" s="7"/>
      <c r="FXQ1155" s="7"/>
      <c r="FXR1155" s="7"/>
      <c r="FXS1155" s="7"/>
      <c r="FXT1155" s="7"/>
      <c r="FXU1155" s="7"/>
      <c r="FXV1155" s="7"/>
      <c r="FXW1155" s="7"/>
      <c r="FXX1155" s="7"/>
      <c r="FXY1155" s="7"/>
      <c r="FXZ1155" s="7"/>
      <c r="FYA1155" s="7"/>
      <c r="FYB1155" s="7"/>
      <c r="FYC1155" s="7"/>
      <c r="FYD1155" s="7"/>
      <c r="FYE1155" s="7"/>
      <c r="FYF1155" s="7"/>
      <c r="FYG1155" s="7"/>
      <c r="FYH1155" s="7"/>
      <c r="FYI1155" s="7"/>
      <c r="FYJ1155" s="7"/>
      <c r="FYK1155" s="7"/>
      <c r="FYL1155" s="7"/>
      <c r="FYM1155" s="7"/>
      <c r="FYN1155" s="7"/>
      <c r="FYO1155" s="7"/>
      <c r="FYP1155" s="7"/>
      <c r="FYQ1155" s="7"/>
      <c r="FYR1155" s="7"/>
      <c r="FYS1155" s="7"/>
      <c r="FYT1155" s="7"/>
      <c r="FYU1155" s="7"/>
      <c r="FYV1155" s="7"/>
      <c r="FYW1155" s="7"/>
      <c r="FYX1155" s="7"/>
      <c r="FYY1155" s="7"/>
      <c r="FYZ1155" s="7"/>
      <c r="FZA1155" s="7"/>
      <c r="FZB1155" s="7"/>
      <c r="FZC1155" s="7"/>
      <c r="FZD1155" s="7"/>
      <c r="FZE1155" s="7"/>
      <c r="FZF1155" s="7"/>
      <c r="FZG1155" s="7"/>
      <c r="FZH1155" s="7"/>
      <c r="FZI1155" s="7"/>
      <c r="FZJ1155" s="7"/>
      <c r="FZK1155" s="7"/>
      <c r="FZL1155" s="7"/>
      <c r="FZM1155" s="7"/>
      <c r="FZN1155" s="7"/>
      <c r="FZO1155" s="7"/>
      <c r="FZP1155" s="7"/>
      <c r="FZQ1155" s="7"/>
      <c r="FZR1155" s="7"/>
      <c r="FZS1155" s="7"/>
      <c r="FZT1155" s="7"/>
      <c r="FZU1155" s="7"/>
      <c r="FZV1155" s="7"/>
      <c r="FZW1155" s="7"/>
      <c r="FZX1155" s="7"/>
      <c r="FZY1155" s="7"/>
      <c r="FZZ1155" s="7"/>
      <c r="GAA1155" s="7"/>
      <c r="GAB1155" s="7"/>
      <c r="GAC1155" s="7"/>
      <c r="GAD1155" s="7"/>
      <c r="GAE1155" s="7"/>
      <c r="GAF1155" s="7"/>
      <c r="GAG1155" s="7"/>
      <c r="GAH1155" s="7"/>
      <c r="GAI1155" s="7"/>
      <c r="GAJ1155" s="7"/>
      <c r="GAK1155" s="7"/>
      <c r="GAL1155" s="7"/>
      <c r="GAM1155" s="7"/>
      <c r="GAN1155" s="7"/>
      <c r="GAO1155" s="7"/>
      <c r="GAP1155" s="7"/>
      <c r="GAQ1155" s="7"/>
      <c r="GAR1155" s="7"/>
      <c r="GAS1155" s="7"/>
      <c r="GAT1155" s="7"/>
      <c r="GAU1155" s="7"/>
      <c r="GAV1155" s="7"/>
      <c r="GAW1155" s="7"/>
      <c r="GAX1155" s="7"/>
      <c r="GAY1155" s="7"/>
      <c r="GAZ1155" s="7"/>
      <c r="GBA1155" s="7"/>
      <c r="GBB1155" s="7"/>
      <c r="GBC1155" s="7"/>
      <c r="GBD1155" s="7"/>
      <c r="GBE1155" s="7"/>
      <c r="GBF1155" s="7"/>
      <c r="GBG1155" s="7"/>
      <c r="GBH1155" s="7"/>
      <c r="GBI1155" s="7"/>
      <c r="GBJ1155" s="7"/>
      <c r="GBK1155" s="7"/>
      <c r="GBL1155" s="7"/>
      <c r="GBM1155" s="7"/>
      <c r="GBN1155" s="7"/>
      <c r="GBO1155" s="7"/>
      <c r="GBP1155" s="7"/>
      <c r="GBQ1155" s="7"/>
      <c r="GBR1155" s="7"/>
      <c r="GBS1155" s="7"/>
      <c r="GBT1155" s="7"/>
      <c r="GBU1155" s="7"/>
      <c r="GBV1155" s="7"/>
      <c r="GBW1155" s="7"/>
      <c r="GBX1155" s="7"/>
      <c r="GBY1155" s="7"/>
      <c r="GBZ1155" s="7"/>
      <c r="GCA1155" s="7"/>
      <c r="GCB1155" s="7"/>
      <c r="GCC1155" s="7"/>
      <c r="GCD1155" s="7"/>
      <c r="GCE1155" s="7"/>
      <c r="GCF1155" s="7"/>
      <c r="GCG1155" s="7"/>
      <c r="GCH1155" s="7"/>
      <c r="GCI1155" s="7"/>
      <c r="GCJ1155" s="7"/>
      <c r="GCK1155" s="7"/>
      <c r="GCL1155" s="7"/>
      <c r="GCM1155" s="7"/>
      <c r="GCN1155" s="7"/>
      <c r="GCO1155" s="7"/>
      <c r="GCP1155" s="7"/>
      <c r="GCQ1155" s="7"/>
      <c r="GCR1155" s="7"/>
      <c r="GCS1155" s="7"/>
      <c r="GCT1155" s="7"/>
      <c r="GCU1155" s="7"/>
      <c r="GCV1155" s="7"/>
      <c r="GCW1155" s="7"/>
      <c r="GCX1155" s="7"/>
      <c r="GCY1155" s="7"/>
      <c r="GCZ1155" s="7"/>
      <c r="GDA1155" s="7"/>
      <c r="GDB1155" s="7"/>
      <c r="GDC1155" s="7"/>
      <c r="GDD1155" s="7"/>
      <c r="GDE1155" s="7"/>
      <c r="GDF1155" s="7"/>
      <c r="GDG1155" s="7"/>
      <c r="GDH1155" s="7"/>
      <c r="GDI1155" s="7"/>
      <c r="GDJ1155" s="7"/>
      <c r="GDK1155" s="7"/>
      <c r="GDL1155" s="7"/>
      <c r="GDM1155" s="7"/>
      <c r="GDN1155" s="7"/>
      <c r="GDO1155" s="7"/>
      <c r="GDP1155" s="7"/>
      <c r="GDQ1155" s="7"/>
      <c r="GDR1155" s="7"/>
      <c r="GDS1155" s="7"/>
      <c r="GDT1155" s="7"/>
      <c r="GDU1155" s="7"/>
      <c r="GDV1155" s="7"/>
      <c r="GDW1155" s="7"/>
      <c r="GDX1155" s="7"/>
      <c r="GDY1155" s="7"/>
      <c r="GDZ1155" s="7"/>
      <c r="GEA1155" s="7"/>
      <c r="GEB1155" s="7"/>
      <c r="GEC1155" s="7"/>
      <c r="GED1155" s="7"/>
      <c r="GEE1155" s="7"/>
      <c r="GEF1155" s="7"/>
      <c r="GEG1155" s="7"/>
      <c r="GEH1155" s="7"/>
      <c r="GEI1155" s="7"/>
      <c r="GEJ1155" s="7"/>
      <c r="GEK1155" s="7"/>
      <c r="GEL1155" s="7"/>
      <c r="GEM1155" s="7"/>
      <c r="GEN1155" s="7"/>
      <c r="GEO1155" s="7"/>
      <c r="GEP1155" s="7"/>
      <c r="GEQ1155" s="7"/>
      <c r="GER1155" s="7"/>
      <c r="GES1155" s="7"/>
      <c r="GET1155" s="7"/>
      <c r="GEU1155" s="7"/>
      <c r="GEV1155" s="7"/>
      <c r="GEW1155" s="7"/>
      <c r="GEX1155" s="7"/>
      <c r="GEY1155" s="7"/>
      <c r="GEZ1155" s="7"/>
      <c r="GFA1155" s="7"/>
      <c r="GFB1155" s="7"/>
      <c r="GFC1155" s="7"/>
      <c r="GFD1155" s="7"/>
      <c r="GFE1155" s="7"/>
      <c r="GFF1155" s="7"/>
      <c r="GFG1155" s="7"/>
      <c r="GFH1155" s="7"/>
      <c r="GFI1155" s="7"/>
      <c r="GFJ1155" s="7"/>
      <c r="GFK1155" s="7"/>
      <c r="GFL1155" s="7"/>
      <c r="GFM1155" s="7"/>
      <c r="GFN1155" s="7"/>
      <c r="GFO1155" s="7"/>
      <c r="GFP1155" s="7"/>
      <c r="GFQ1155" s="7"/>
      <c r="GFR1155" s="7"/>
      <c r="GFS1155" s="7"/>
      <c r="GFT1155" s="7"/>
      <c r="GFU1155" s="7"/>
      <c r="GFV1155" s="7"/>
      <c r="GFW1155" s="7"/>
      <c r="GFX1155" s="7"/>
      <c r="GFY1155" s="7"/>
      <c r="GFZ1155" s="7"/>
      <c r="GGA1155" s="7"/>
      <c r="GGB1155" s="7"/>
      <c r="GGC1155" s="7"/>
      <c r="GGD1155" s="7"/>
      <c r="GGE1155" s="7"/>
      <c r="GGF1155" s="7"/>
      <c r="GGG1155" s="7"/>
      <c r="GGH1155" s="7"/>
      <c r="GGI1155" s="7"/>
      <c r="GGJ1155" s="7"/>
      <c r="GGK1155" s="7"/>
      <c r="GGL1155" s="7"/>
      <c r="GGM1155" s="7"/>
      <c r="GGN1155" s="7"/>
      <c r="GGO1155" s="7"/>
      <c r="GGP1155" s="7"/>
      <c r="GGQ1155" s="7"/>
      <c r="GGR1155" s="7"/>
      <c r="GGS1155" s="7"/>
      <c r="GGT1155" s="7"/>
      <c r="GGU1155" s="7"/>
      <c r="GGV1155" s="7"/>
      <c r="GGW1155" s="7"/>
      <c r="GGX1155" s="7"/>
      <c r="GGY1155" s="7"/>
      <c r="GGZ1155" s="7"/>
      <c r="GHA1155" s="7"/>
      <c r="GHB1155" s="7"/>
      <c r="GHC1155" s="7"/>
      <c r="GHD1155" s="7"/>
      <c r="GHE1155" s="7"/>
      <c r="GHF1155" s="7"/>
      <c r="GHG1155" s="7"/>
      <c r="GHH1155" s="7"/>
      <c r="GHI1155" s="7"/>
      <c r="GHJ1155" s="7"/>
      <c r="GHK1155" s="7"/>
      <c r="GHL1155" s="7"/>
      <c r="GHM1155" s="7"/>
      <c r="GHN1155" s="7"/>
      <c r="GHO1155" s="7"/>
      <c r="GHP1155" s="7"/>
      <c r="GHQ1155" s="7"/>
      <c r="GHR1155" s="7"/>
      <c r="GHS1155" s="7"/>
      <c r="GHT1155" s="7"/>
      <c r="GHU1155" s="7"/>
      <c r="GHV1155" s="7"/>
      <c r="GHW1155" s="7"/>
      <c r="GHX1155" s="7"/>
      <c r="GHY1155" s="7"/>
      <c r="GHZ1155" s="7"/>
      <c r="GIA1155" s="7"/>
      <c r="GIB1155" s="7"/>
      <c r="GIC1155" s="7"/>
      <c r="GID1155" s="7"/>
      <c r="GIE1155" s="7"/>
      <c r="GIF1155" s="7"/>
      <c r="GIG1155" s="7"/>
      <c r="GIH1155" s="7"/>
      <c r="GII1155" s="7"/>
      <c r="GIJ1155" s="7"/>
      <c r="GIK1155" s="7"/>
      <c r="GIL1155" s="7"/>
      <c r="GIM1155" s="7"/>
      <c r="GIN1155" s="7"/>
      <c r="GIO1155" s="7"/>
      <c r="GIP1155" s="7"/>
      <c r="GIQ1155" s="7"/>
      <c r="GIR1155" s="7"/>
      <c r="GIS1155" s="7"/>
      <c r="GIT1155" s="7"/>
      <c r="GIU1155" s="7"/>
      <c r="GIV1155" s="7"/>
      <c r="GIW1155" s="7"/>
      <c r="GIX1155" s="7"/>
      <c r="GIY1155" s="7"/>
      <c r="GIZ1155" s="7"/>
      <c r="GJA1155" s="7"/>
      <c r="GJB1155" s="7"/>
      <c r="GJC1155" s="7"/>
      <c r="GJD1155" s="7"/>
      <c r="GJE1155" s="7"/>
      <c r="GJF1155" s="7"/>
      <c r="GJG1155" s="7"/>
      <c r="GJH1155" s="7"/>
      <c r="GJI1155" s="7"/>
      <c r="GJJ1155" s="7"/>
      <c r="GJK1155" s="7"/>
      <c r="GJL1155" s="7"/>
      <c r="GJM1155" s="7"/>
      <c r="GJN1155" s="7"/>
      <c r="GJO1155" s="7"/>
      <c r="GJP1155" s="7"/>
      <c r="GJQ1155" s="7"/>
      <c r="GJR1155" s="7"/>
      <c r="GJS1155" s="7"/>
      <c r="GJT1155" s="7"/>
      <c r="GJU1155" s="7"/>
      <c r="GJV1155" s="7"/>
      <c r="GJW1155" s="7"/>
      <c r="GJX1155" s="7"/>
      <c r="GJY1155" s="7"/>
      <c r="GJZ1155" s="7"/>
      <c r="GKA1155" s="7"/>
      <c r="GKB1155" s="7"/>
      <c r="GKC1155" s="7"/>
      <c r="GKD1155" s="7"/>
      <c r="GKE1155" s="7"/>
      <c r="GKF1155" s="7"/>
      <c r="GKG1155" s="7"/>
      <c r="GKH1155" s="7"/>
      <c r="GKI1155" s="7"/>
      <c r="GKJ1155" s="7"/>
      <c r="GKK1155" s="7"/>
      <c r="GKL1155" s="7"/>
      <c r="GKM1155" s="7"/>
      <c r="GKN1155" s="7"/>
      <c r="GKO1155" s="7"/>
      <c r="GKP1155" s="7"/>
      <c r="GKQ1155" s="7"/>
      <c r="GKR1155" s="7"/>
      <c r="GKS1155" s="7"/>
      <c r="GKT1155" s="7"/>
      <c r="GKU1155" s="7"/>
      <c r="GKV1155" s="7"/>
      <c r="GKW1155" s="7"/>
      <c r="GKX1155" s="7"/>
      <c r="GKY1155" s="7"/>
      <c r="GKZ1155" s="7"/>
      <c r="GLA1155" s="7"/>
      <c r="GLB1155" s="7"/>
      <c r="GLC1155" s="7"/>
      <c r="GLD1155" s="7"/>
      <c r="GLE1155" s="7"/>
      <c r="GLF1155" s="7"/>
      <c r="GLG1155" s="7"/>
      <c r="GLH1155" s="7"/>
      <c r="GLI1155" s="7"/>
      <c r="GLJ1155" s="7"/>
      <c r="GLK1155" s="7"/>
      <c r="GLL1155" s="7"/>
      <c r="GLM1155" s="7"/>
      <c r="GLN1155" s="7"/>
      <c r="GLO1155" s="7"/>
      <c r="GLP1155" s="7"/>
      <c r="GLQ1155" s="7"/>
      <c r="GLR1155" s="7"/>
      <c r="GLS1155" s="7"/>
      <c r="GLT1155" s="7"/>
      <c r="GLU1155" s="7"/>
      <c r="GLV1155" s="7"/>
      <c r="GLW1155" s="7"/>
      <c r="GLX1155" s="7"/>
      <c r="GLY1155" s="7"/>
      <c r="GLZ1155" s="7"/>
      <c r="GMA1155" s="7"/>
      <c r="GMB1155" s="7"/>
      <c r="GMC1155" s="7"/>
      <c r="GMD1155" s="7"/>
      <c r="GME1155" s="7"/>
      <c r="GMF1155" s="7"/>
      <c r="GMG1155" s="7"/>
      <c r="GMH1155" s="7"/>
      <c r="GMI1155" s="7"/>
      <c r="GMJ1155" s="7"/>
      <c r="GMK1155" s="7"/>
      <c r="GML1155" s="7"/>
      <c r="GMM1155" s="7"/>
      <c r="GMN1155" s="7"/>
      <c r="GMO1155" s="7"/>
      <c r="GMP1155" s="7"/>
      <c r="GMQ1155" s="7"/>
      <c r="GMR1155" s="7"/>
      <c r="GMS1155" s="7"/>
      <c r="GMT1155" s="7"/>
      <c r="GMU1155" s="7"/>
      <c r="GMV1155" s="7"/>
      <c r="GMW1155" s="7"/>
      <c r="GMX1155" s="7"/>
      <c r="GMY1155" s="7"/>
      <c r="GMZ1155" s="7"/>
      <c r="GNA1155" s="7"/>
      <c r="GNB1155" s="7"/>
      <c r="GNC1155" s="7"/>
      <c r="GND1155" s="7"/>
      <c r="GNE1155" s="7"/>
      <c r="GNF1155" s="7"/>
      <c r="GNG1155" s="7"/>
      <c r="GNH1155" s="7"/>
      <c r="GNI1155" s="7"/>
      <c r="GNJ1155" s="7"/>
      <c r="GNK1155" s="7"/>
      <c r="GNL1155" s="7"/>
      <c r="GNM1155" s="7"/>
      <c r="GNN1155" s="7"/>
      <c r="GNO1155" s="7"/>
      <c r="GNP1155" s="7"/>
      <c r="GNQ1155" s="7"/>
      <c r="GNR1155" s="7"/>
      <c r="GNS1155" s="7"/>
      <c r="GNT1155" s="7"/>
      <c r="GNU1155" s="7"/>
      <c r="GNV1155" s="7"/>
      <c r="GNW1155" s="7"/>
      <c r="GNX1155" s="7"/>
      <c r="GNY1155" s="7"/>
      <c r="GNZ1155" s="7"/>
      <c r="GOA1155" s="7"/>
      <c r="GOB1155" s="7"/>
      <c r="GOC1155" s="7"/>
      <c r="GOD1155" s="7"/>
      <c r="GOE1155" s="7"/>
      <c r="GOF1155" s="7"/>
      <c r="GOG1155" s="7"/>
      <c r="GOH1155" s="7"/>
      <c r="GOI1155" s="7"/>
      <c r="GOJ1155" s="7"/>
      <c r="GOK1155" s="7"/>
      <c r="GOL1155" s="7"/>
      <c r="GOM1155" s="7"/>
      <c r="GON1155" s="7"/>
      <c r="GOO1155" s="7"/>
      <c r="GOP1155" s="7"/>
      <c r="GOQ1155" s="7"/>
      <c r="GOR1155" s="7"/>
      <c r="GOS1155" s="7"/>
      <c r="GOT1155" s="7"/>
      <c r="GOU1155" s="7"/>
      <c r="GOV1155" s="7"/>
      <c r="GOW1155" s="7"/>
      <c r="GOX1155" s="7"/>
      <c r="GOY1155" s="7"/>
      <c r="GOZ1155" s="7"/>
      <c r="GPA1155" s="7"/>
      <c r="GPB1155" s="7"/>
      <c r="GPC1155" s="7"/>
      <c r="GPD1155" s="7"/>
      <c r="GPE1155" s="7"/>
      <c r="GPF1155" s="7"/>
      <c r="GPG1155" s="7"/>
      <c r="GPH1155" s="7"/>
      <c r="GPI1155" s="7"/>
      <c r="GPJ1155" s="7"/>
      <c r="GPK1155" s="7"/>
      <c r="GPL1155" s="7"/>
      <c r="GPM1155" s="7"/>
      <c r="GPN1155" s="7"/>
      <c r="GPO1155" s="7"/>
      <c r="GPP1155" s="7"/>
      <c r="GPQ1155" s="7"/>
      <c r="GPR1155" s="7"/>
      <c r="GPS1155" s="7"/>
      <c r="GPT1155" s="7"/>
      <c r="GPU1155" s="7"/>
      <c r="GPV1155" s="7"/>
      <c r="GPW1155" s="7"/>
      <c r="GPX1155" s="7"/>
      <c r="GPY1155" s="7"/>
      <c r="GPZ1155" s="7"/>
      <c r="GQA1155" s="7"/>
      <c r="GQB1155" s="7"/>
      <c r="GQC1155" s="7"/>
      <c r="GQD1155" s="7"/>
      <c r="GQE1155" s="7"/>
      <c r="GQF1155" s="7"/>
      <c r="GQG1155" s="7"/>
      <c r="GQH1155" s="7"/>
      <c r="GQI1155" s="7"/>
      <c r="GQJ1155" s="7"/>
      <c r="GQK1155" s="7"/>
      <c r="GQL1155" s="7"/>
      <c r="GQM1155" s="7"/>
      <c r="GQN1155" s="7"/>
      <c r="GQO1155" s="7"/>
      <c r="GQP1155" s="7"/>
      <c r="GQQ1155" s="7"/>
      <c r="GQR1155" s="7"/>
      <c r="GQS1155" s="7"/>
      <c r="GQT1155" s="7"/>
      <c r="GQU1155" s="7"/>
      <c r="GQV1155" s="7"/>
      <c r="GQW1155" s="7"/>
      <c r="GQX1155" s="7"/>
      <c r="GQY1155" s="7"/>
      <c r="GQZ1155" s="7"/>
      <c r="GRA1155" s="7"/>
      <c r="GRB1155" s="7"/>
      <c r="GRC1155" s="7"/>
      <c r="GRD1155" s="7"/>
      <c r="GRE1155" s="7"/>
      <c r="GRF1155" s="7"/>
      <c r="GRG1155" s="7"/>
      <c r="GRH1155" s="7"/>
      <c r="GRI1155" s="7"/>
      <c r="GRJ1155" s="7"/>
      <c r="GRK1155" s="7"/>
      <c r="GRL1155" s="7"/>
      <c r="GRM1155" s="7"/>
      <c r="GRN1155" s="7"/>
      <c r="GRO1155" s="7"/>
      <c r="GRP1155" s="7"/>
      <c r="GRQ1155" s="7"/>
      <c r="GRR1155" s="7"/>
      <c r="GRS1155" s="7"/>
      <c r="GRT1155" s="7"/>
      <c r="GRU1155" s="7"/>
      <c r="GRV1155" s="7"/>
      <c r="GRW1155" s="7"/>
      <c r="GRX1155" s="7"/>
      <c r="GRY1155" s="7"/>
      <c r="GRZ1155" s="7"/>
      <c r="GSA1155" s="7"/>
      <c r="GSB1155" s="7"/>
      <c r="GSC1155" s="7"/>
      <c r="GSD1155" s="7"/>
      <c r="GSE1155" s="7"/>
      <c r="GSF1155" s="7"/>
      <c r="GSG1155" s="7"/>
      <c r="GSH1155" s="7"/>
      <c r="GSI1155" s="7"/>
      <c r="GSJ1155" s="7"/>
      <c r="GSK1155" s="7"/>
      <c r="GSL1155" s="7"/>
      <c r="GSM1155" s="7"/>
      <c r="GSN1155" s="7"/>
      <c r="GSO1155" s="7"/>
      <c r="GSP1155" s="7"/>
      <c r="GSQ1155" s="7"/>
      <c r="GSR1155" s="7"/>
      <c r="GSS1155" s="7"/>
      <c r="GST1155" s="7"/>
      <c r="GSU1155" s="7"/>
      <c r="GSV1155" s="7"/>
      <c r="GSW1155" s="7"/>
      <c r="GSX1155" s="7"/>
      <c r="GSY1155" s="7"/>
      <c r="GSZ1155" s="7"/>
      <c r="GTA1155" s="7"/>
      <c r="GTB1155" s="7"/>
      <c r="GTC1155" s="7"/>
      <c r="GTD1155" s="7"/>
      <c r="GTE1155" s="7"/>
      <c r="GTF1155" s="7"/>
      <c r="GTG1155" s="7"/>
      <c r="GTH1155" s="7"/>
      <c r="GTI1155" s="7"/>
      <c r="GTJ1155" s="7"/>
      <c r="GTK1155" s="7"/>
      <c r="GTL1155" s="7"/>
      <c r="GTM1155" s="7"/>
      <c r="GTN1155" s="7"/>
      <c r="GTO1155" s="7"/>
      <c r="GTP1155" s="7"/>
      <c r="GTQ1155" s="7"/>
      <c r="GTR1155" s="7"/>
      <c r="GTS1155" s="7"/>
      <c r="GTT1155" s="7"/>
      <c r="GTU1155" s="7"/>
      <c r="GTV1155" s="7"/>
      <c r="GTW1155" s="7"/>
      <c r="GTX1155" s="7"/>
      <c r="GTY1155" s="7"/>
      <c r="GTZ1155" s="7"/>
      <c r="GUA1155" s="7"/>
      <c r="GUB1155" s="7"/>
      <c r="GUC1155" s="7"/>
      <c r="GUD1155" s="7"/>
      <c r="GUE1155" s="7"/>
      <c r="GUF1155" s="7"/>
      <c r="GUG1155" s="7"/>
      <c r="GUH1155" s="7"/>
      <c r="GUI1155" s="7"/>
      <c r="GUJ1155" s="7"/>
      <c r="GUK1155" s="7"/>
      <c r="GUL1155" s="7"/>
      <c r="GUM1155" s="7"/>
      <c r="GUN1155" s="7"/>
      <c r="GUO1155" s="7"/>
      <c r="GUP1155" s="7"/>
      <c r="GUQ1155" s="7"/>
      <c r="GUR1155" s="7"/>
      <c r="GUS1155" s="7"/>
      <c r="GUT1155" s="7"/>
      <c r="GUU1155" s="7"/>
      <c r="GUV1155" s="7"/>
      <c r="GUW1155" s="7"/>
      <c r="GUX1155" s="7"/>
      <c r="GUY1155" s="7"/>
      <c r="GUZ1155" s="7"/>
      <c r="GVA1155" s="7"/>
      <c r="GVB1155" s="7"/>
      <c r="GVC1155" s="7"/>
      <c r="GVD1155" s="7"/>
      <c r="GVE1155" s="7"/>
      <c r="GVF1155" s="7"/>
      <c r="GVG1155" s="7"/>
      <c r="GVH1155" s="7"/>
      <c r="GVI1155" s="7"/>
      <c r="GVJ1155" s="7"/>
      <c r="GVK1155" s="7"/>
      <c r="GVL1155" s="7"/>
      <c r="GVM1155" s="7"/>
      <c r="GVN1155" s="7"/>
      <c r="GVO1155" s="7"/>
      <c r="GVP1155" s="7"/>
      <c r="GVQ1155" s="7"/>
      <c r="GVR1155" s="7"/>
      <c r="GVS1155" s="7"/>
      <c r="GVT1155" s="7"/>
      <c r="GVU1155" s="7"/>
      <c r="GVV1155" s="7"/>
      <c r="GVW1155" s="7"/>
      <c r="GVX1155" s="7"/>
      <c r="GVY1155" s="7"/>
      <c r="GVZ1155" s="7"/>
      <c r="GWA1155" s="7"/>
      <c r="GWB1155" s="7"/>
      <c r="GWC1155" s="7"/>
      <c r="GWD1155" s="7"/>
      <c r="GWE1155" s="7"/>
      <c r="GWF1155" s="7"/>
      <c r="GWG1155" s="7"/>
      <c r="GWH1155" s="7"/>
      <c r="GWI1155" s="7"/>
      <c r="GWJ1155" s="7"/>
      <c r="GWK1155" s="7"/>
      <c r="GWL1155" s="7"/>
      <c r="GWM1155" s="7"/>
      <c r="GWN1155" s="7"/>
      <c r="GWO1155" s="7"/>
      <c r="GWP1155" s="7"/>
      <c r="GWQ1155" s="7"/>
      <c r="GWR1155" s="7"/>
      <c r="GWS1155" s="7"/>
      <c r="GWT1155" s="7"/>
      <c r="GWU1155" s="7"/>
      <c r="GWV1155" s="7"/>
      <c r="GWW1155" s="7"/>
      <c r="GWX1155" s="7"/>
      <c r="GWY1155" s="7"/>
      <c r="GWZ1155" s="7"/>
      <c r="GXA1155" s="7"/>
      <c r="GXB1155" s="7"/>
      <c r="GXC1155" s="7"/>
      <c r="GXD1155" s="7"/>
      <c r="GXE1155" s="7"/>
      <c r="GXF1155" s="7"/>
      <c r="GXG1155" s="7"/>
      <c r="GXH1155" s="7"/>
      <c r="GXI1155" s="7"/>
      <c r="GXJ1155" s="7"/>
      <c r="GXK1155" s="7"/>
      <c r="GXL1155" s="7"/>
      <c r="GXM1155" s="7"/>
      <c r="GXN1155" s="7"/>
      <c r="GXO1155" s="7"/>
      <c r="GXP1155" s="7"/>
      <c r="GXQ1155" s="7"/>
      <c r="GXR1155" s="7"/>
      <c r="GXS1155" s="7"/>
      <c r="GXT1155" s="7"/>
      <c r="GXU1155" s="7"/>
      <c r="GXV1155" s="7"/>
      <c r="GXW1155" s="7"/>
      <c r="GXX1155" s="7"/>
      <c r="GXY1155" s="7"/>
      <c r="GXZ1155" s="7"/>
      <c r="GYA1155" s="7"/>
      <c r="GYB1155" s="7"/>
      <c r="GYC1155" s="7"/>
      <c r="GYD1155" s="7"/>
      <c r="GYE1155" s="7"/>
      <c r="GYF1155" s="7"/>
      <c r="GYG1155" s="7"/>
      <c r="GYH1155" s="7"/>
      <c r="GYI1155" s="7"/>
      <c r="GYJ1155" s="7"/>
      <c r="GYK1155" s="7"/>
      <c r="GYL1155" s="7"/>
      <c r="GYM1155" s="7"/>
      <c r="GYN1155" s="7"/>
      <c r="GYO1155" s="7"/>
      <c r="GYP1155" s="7"/>
      <c r="GYQ1155" s="7"/>
      <c r="GYR1155" s="7"/>
      <c r="GYS1155" s="7"/>
      <c r="GYT1155" s="7"/>
      <c r="GYU1155" s="7"/>
      <c r="GYV1155" s="7"/>
      <c r="GYW1155" s="7"/>
      <c r="GYX1155" s="7"/>
      <c r="GYY1155" s="7"/>
      <c r="GYZ1155" s="7"/>
      <c r="GZA1155" s="7"/>
      <c r="GZB1155" s="7"/>
      <c r="GZC1155" s="7"/>
      <c r="GZD1155" s="7"/>
      <c r="GZE1155" s="7"/>
      <c r="GZF1155" s="7"/>
      <c r="GZG1155" s="7"/>
      <c r="GZH1155" s="7"/>
      <c r="GZI1155" s="7"/>
      <c r="GZJ1155" s="7"/>
      <c r="GZK1155" s="7"/>
      <c r="GZL1155" s="7"/>
      <c r="GZM1155" s="7"/>
      <c r="GZN1155" s="7"/>
      <c r="GZO1155" s="7"/>
      <c r="GZP1155" s="7"/>
      <c r="GZQ1155" s="7"/>
      <c r="GZR1155" s="7"/>
      <c r="GZS1155" s="7"/>
      <c r="GZT1155" s="7"/>
      <c r="GZU1155" s="7"/>
      <c r="GZV1155" s="7"/>
      <c r="GZW1155" s="7"/>
      <c r="GZX1155" s="7"/>
      <c r="GZY1155" s="7"/>
      <c r="GZZ1155" s="7"/>
      <c r="HAA1155" s="7"/>
      <c r="HAB1155" s="7"/>
      <c r="HAC1155" s="7"/>
      <c r="HAD1155" s="7"/>
      <c r="HAE1155" s="7"/>
      <c r="HAF1155" s="7"/>
      <c r="HAG1155" s="7"/>
      <c r="HAH1155" s="7"/>
      <c r="HAI1155" s="7"/>
      <c r="HAJ1155" s="7"/>
      <c r="HAK1155" s="7"/>
      <c r="HAL1155" s="7"/>
      <c r="HAM1155" s="7"/>
      <c r="HAN1155" s="7"/>
      <c r="HAO1155" s="7"/>
      <c r="HAP1155" s="7"/>
      <c r="HAQ1155" s="7"/>
      <c r="HAR1155" s="7"/>
      <c r="HAS1155" s="7"/>
      <c r="HAT1155" s="7"/>
      <c r="HAU1155" s="7"/>
      <c r="HAV1155" s="7"/>
      <c r="HAW1155" s="7"/>
      <c r="HAX1155" s="7"/>
      <c r="HAY1155" s="7"/>
      <c r="HAZ1155" s="7"/>
      <c r="HBA1155" s="7"/>
      <c r="HBB1155" s="7"/>
      <c r="HBC1155" s="7"/>
      <c r="HBD1155" s="7"/>
      <c r="HBE1155" s="7"/>
      <c r="HBF1155" s="7"/>
      <c r="HBG1155" s="7"/>
      <c r="HBH1155" s="7"/>
      <c r="HBI1155" s="7"/>
      <c r="HBJ1155" s="7"/>
      <c r="HBK1155" s="7"/>
      <c r="HBL1155" s="7"/>
      <c r="HBM1155" s="7"/>
      <c r="HBN1155" s="7"/>
      <c r="HBO1155" s="7"/>
      <c r="HBP1155" s="7"/>
      <c r="HBQ1155" s="7"/>
      <c r="HBR1155" s="7"/>
      <c r="HBS1155" s="7"/>
      <c r="HBT1155" s="7"/>
      <c r="HBU1155" s="7"/>
      <c r="HBV1155" s="7"/>
      <c r="HBW1155" s="7"/>
      <c r="HBX1155" s="7"/>
      <c r="HBY1155" s="7"/>
      <c r="HBZ1155" s="7"/>
      <c r="HCA1155" s="7"/>
      <c r="HCB1155" s="7"/>
      <c r="HCC1155" s="7"/>
      <c r="HCD1155" s="7"/>
      <c r="HCE1155" s="7"/>
      <c r="HCF1155" s="7"/>
      <c r="HCG1155" s="7"/>
      <c r="HCH1155" s="7"/>
      <c r="HCI1155" s="7"/>
      <c r="HCJ1155" s="7"/>
      <c r="HCK1155" s="7"/>
      <c r="HCL1155" s="7"/>
      <c r="HCM1155" s="7"/>
      <c r="HCN1155" s="7"/>
      <c r="HCO1155" s="7"/>
      <c r="HCP1155" s="7"/>
      <c r="HCQ1155" s="7"/>
      <c r="HCR1155" s="7"/>
      <c r="HCS1155" s="7"/>
      <c r="HCT1155" s="7"/>
      <c r="HCU1155" s="7"/>
      <c r="HCV1155" s="7"/>
      <c r="HCW1155" s="7"/>
      <c r="HCX1155" s="7"/>
      <c r="HCY1155" s="7"/>
      <c r="HCZ1155" s="7"/>
      <c r="HDA1155" s="7"/>
      <c r="HDB1155" s="7"/>
      <c r="HDC1155" s="7"/>
      <c r="HDD1155" s="7"/>
      <c r="HDE1155" s="7"/>
      <c r="HDF1155" s="7"/>
      <c r="HDG1155" s="7"/>
      <c r="HDH1155" s="7"/>
      <c r="HDI1155" s="7"/>
      <c r="HDJ1155" s="7"/>
      <c r="HDK1155" s="7"/>
      <c r="HDL1155" s="7"/>
      <c r="HDM1155" s="7"/>
      <c r="HDN1155" s="7"/>
      <c r="HDO1155" s="7"/>
      <c r="HDP1155" s="7"/>
      <c r="HDQ1155" s="7"/>
      <c r="HDR1155" s="7"/>
      <c r="HDS1155" s="7"/>
      <c r="HDT1155" s="7"/>
      <c r="HDU1155" s="7"/>
      <c r="HDV1155" s="7"/>
      <c r="HDW1155" s="7"/>
      <c r="HDX1155" s="7"/>
      <c r="HDY1155" s="7"/>
      <c r="HDZ1155" s="7"/>
      <c r="HEA1155" s="7"/>
      <c r="HEB1155" s="7"/>
      <c r="HEC1155" s="7"/>
      <c r="HED1155" s="7"/>
      <c r="HEE1155" s="7"/>
      <c r="HEF1155" s="7"/>
      <c r="HEG1155" s="7"/>
      <c r="HEH1155" s="7"/>
      <c r="HEI1155" s="7"/>
      <c r="HEJ1155" s="7"/>
      <c r="HEK1155" s="7"/>
      <c r="HEL1155" s="7"/>
      <c r="HEM1155" s="7"/>
      <c r="HEN1155" s="7"/>
      <c r="HEO1155" s="7"/>
      <c r="HEP1155" s="7"/>
      <c r="HEQ1155" s="7"/>
      <c r="HER1155" s="7"/>
      <c r="HES1155" s="7"/>
      <c r="HET1155" s="7"/>
      <c r="HEU1155" s="7"/>
      <c r="HEV1155" s="7"/>
      <c r="HEW1155" s="7"/>
      <c r="HEX1155" s="7"/>
      <c r="HEY1155" s="7"/>
      <c r="HEZ1155" s="7"/>
      <c r="HFA1155" s="7"/>
      <c r="HFB1155" s="7"/>
      <c r="HFC1155" s="7"/>
      <c r="HFD1155" s="7"/>
      <c r="HFE1155" s="7"/>
      <c r="HFF1155" s="7"/>
      <c r="HFG1155" s="7"/>
      <c r="HFH1155" s="7"/>
      <c r="HFI1155" s="7"/>
      <c r="HFJ1155" s="7"/>
      <c r="HFK1155" s="7"/>
      <c r="HFL1155" s="7"/>
      <c r="HFM1155" s="7"/>
      <c r="HFN1155" s="7"/>
      <c r="HFO1155" s="7"/>
      <c r="HFP1155" s="7"/>
      <c r="HFQ1155" s="7"/>
      <c r="HFR1155" s="7"/>
      <c r="HFS1155" s="7"/>
      <c r="HFT1155" s="7"/>
      <c r="HFU1155" s="7"/>
      <c r="HFV1155" s="7"/>
      <c r="HFW1155" s="7"/>
      <c r="HFX1155" s="7"/>
      <c r="HFY1155" s="7"/>
      <c r="HFZ1155" s="7"/>
      <c r="HGA1155" s="7"/>
      <c r="HGB1155" s="7"/>
      <c r="HGC1155" s="7"/>
      <c r="HGD1155" s="7"/>
      <c r="HGE1155" s="7"/>
      <c r="HGF1155" s="7"/>
      <c r="HGG1155" s="7"/>
      <c r="HGH1155" s="7"/>
      <c r="HGI1155" s="7"/>
      <c r="HGJ1155" s="7"/>
      <c r="HGK1155" s="7"/>
      <c r="HGL1155" s="7"/>
      <c r="HGM1155" s="7"/>
      <c r="HGN1155" s="7"/>
      <c r="HGO1155" s="7"/>
      <c r="HGP1155" s="7"/>
      <c r="HGQ1155" s="7"/>
      <c r="HGR1155" s="7"/>
      <c r="HGS1155" s="7"/>
      <c r="HGT1155" s="7"/>
      <c r="HGU1155" s="7"/>
      <c r="HGV1155" s="7"/>
      <c r="HGW1155" s="7"/>
      <c r="HGX1155" s="7"/>
      <c r="HGY1155" s="7"/>
      <c r="HGZ1155" s="7"/>
      <c r="HHA1155" s="7"/>
      <c r="HHB1155" s="7"/>
      <c r="HHC1155" s="7"/>
      <c r="HHD1155" s="7"/>
      <c r="HHE1155" s="7"/>
      <c r="HHF1155" s="7"/>
      <c r="HHG1155" s="7"/>
      <c r="HHH1155" s="7"/>
      <c r="HHI1155" s="7"/>
      <c r="HHJ1155" s="7"/>
      <c r="HHK1155" s="7"/>
      <c r="HHL1155" s="7"/>
      <c r="HHM1155" s="7"/>
      <c r="HHN1155" s="7"/>
      <c r="HHO1155" s="7"/>
      <c r="HHP1155" s="7"/>
      <c r="HHQ1155" s="7"/>
      <c r="HHR1155" s="7"/>
      <c r="HHS1155" s="7"/>
      <c r="HHT1155" s="7"/>
      <c r="HHU1155" s="7"/>
      <c r="HHV1155" s="7"/>
      <c r="HHW1155" s="7"/>
      <c r="HHX1155" s="7"/>
      <c r="HHY1155" s="7"/>
      <c r="HHZ1155" s="7"/>
      <c r="HIA1155" s="7"/>
      <c r="HIB1155" s="7"/>
      <c r="HIC1155" s="7"/>
      <c r="HID1155" s="7"/>
      <c r="HIE1155" s="7"/>
      <c r="HIF1155" s="7"/>
      <c r="HIG1155" s="7"/>
      <c r="HIH1155" s="7"/>
      <c r="HII1155" s="7"/>
      <c r="HIJ1155" s="7"/>
      <c r="HIK1155" s="7"/>
      <c r="HIL1155" s="7"/>
      <c r="HIM1155" s="7"/>
      <c r="HIN1155" s="7"/>
      <c r="HIO1155" s="7"/>
      <c r="HIP1155" s="7"/>
      <c r="HIQ1155" s="7"/>
      <c r="HIR1155" s="7"/>
      <c r="HIS1155" s="7"/>
      <c r="HIT1155" s="7"/>
      <c r="HIU1155" s="7"/>
      <c r="HIV1155" s="7"/>
      <c r="HIW1155" s="7"/>
      <c r="HIX1155" s="7"/>
      <c r="HIY1155" s="7"/>
      <c r="HIZ1155" s="7"/>
      <c r="HJA1155" s="7"/>
      <c r="HJB1155" s="7"/>
      <c r="HJC1155" s="7"/>
      <c r="HJD1155" s="7"/>
      <c r="HJE1155" s="7"/>
      <c r="HJF1155" s="7"/>
      <c r="HJG1155" s="7"/>
      <c r="HJH1155" s="7"/>
      <c r="HJI1155" s="7"/>
      <c r="HJJ1155" s="7"/>
      <c r="HJK1155" s="7"/>
      <c r="HJL1155" s="7"/>
      <c r="HJM1155" s="7"/>
      <c r="HJN1155" s="7"/>
      <c r="HJO1155" s="7"/>
      <c r="HJP1155" s="7"/>
      <c r="HJQ1155" s="7"/>
      <c r="HJR1155" s="7"/>
      <c r="HJS1155" s="7"/>
      <c r="HJT1155" s="7"/>
      <c r="HJU1155" s="7"/>
      <c r="HJV1155" s="7"/>
      <c r="HJW1155" s="7"/>
      <c r="HJX1155" s="7"/>
      <c r="HJY1155" s="7"/>
      <c r="HJZ1155" s="7"/>
      <c r="HKA1155" s="7"/>
      <c r="HKB1155" s="7"/>
      <c r="HKC1155" s="7"/>
      <c r="HKD1155" s="7"/>
      <c r="HKE1155" s="7"/>
      <c r="HKF1155" s="7"/>
      <c r="HKG1155" s="7"/>
      <c r="HKH1155" s="7"/>
      <c r="HKI1155" s="7"/>
      <c r="HKJ1155" s="7"/>
      <c r="HKK1155" s="7"/>
      <c r="HKL1155" s="7"/>
      <c r="HKM1155" s="7"/>
      <c r="HKN1155" s="7"/>
      <c r="HKO1155" s="7"/>
      <c r="HKP1155" s="7"/>
      <c r="HKQ1155" s="7"/>
      <c r="HKR1155" s="7"/>
      <c r="HKS1155" s="7"/>
      <c r="HKT1155" s="7"/>
      <c r="HKU1155" s="7"/>
      <c r="HKV1155" s="7"/>
      <c r="HKW1155" s="7"/>
      <c r="HKX1155" s="7"/>
      <c r="HKY1155" s="7"/>
      <c r="HKZ1155" s="7"/>
      <c r="HLA1155" s="7"/>
      <c r="HLB1155" s="7"/>
      <c r="HLC1155" s="7"/>
      <c r="HLD1155" s="7"/>
      <c r="HLE1155" s="7"/>
      <c r="HLF1155" s="7"/>
      <c r="HLG1155" s="7"/>
      <c r="HLH1155" s="7"/>
      <c r="HLI1155" s="7"/>
      <c r="HLJ1155" s="7"/>
      <c r="HLK1155" s="7"/>
      <c r="HLL1155" s="7"/>
      <c r="HLM1155" s="7"/>
      <c r="HLN1155" s="7"/>
      <c r="HLO1155" s="7"/>
      <c r="HLP1155" s="7"/>
      <c r="HLQ1155" s="7"/>
      <c r="HLR1155" s="7"/>
      <c r="HLS1155" s="7"/>
      <c r="HLT1155" s="7"/>
      <c r="HLU1155" s="7"/>
      <c r="HLV1155" s="7"/>
      <c r="HLW1155" s="7"/>
      <c r="HLX1155" s="7"/>
      <c r="HLY1155" s="7"/>
      <c r="HLZ1155" s="7"/>
      <c r="HMA1155" s="7"/>
      <c r="HMB1155" s="7"/>
      <c r="HMC1155" s="7"/>
      <c r="HMD1155" s="7"/>
      <c r="HME1155" s="7"/>
      <c r="HMF1155" s="7"/>
      <c r="HMG1155" s="7"/>
      <c r="HMH1155" s="7"/>
      <c r="HMI1155" s="7"/>
      <c r="HMJ1155" s="7"/>
      <c r="HMK1155" s="7"/>
      <c r="HML1155" s="7"/>
      <c r="HMM1155" s="7"/>
      <c r="HMN1155" s="7"/>
      <c r="HMO1155" s="7"/>
      <c r="HMP1155" s="7"/>
      <c r="HMQ1155" s="7"/>
      <c r="HMR1155" s="7"/>
      <c r="HMS1155" s="7"/>
      <c r="HMT1155" s="7"/>
      <c r="HMU1155" s="7"/>
      <c r="HMV1155" s="7"/>
      <c r="HMW1155" s="7"/>
      <c r="HMX1155" s="7"/>
      <c r="HMY1155" s="7"/>
      <c r="HMZ1155" s="7"/>
      <c r="HNA1155" s="7"/>
      <c r="HNB1155" s="7"/>
      <c r="HNC1155" s="7"/>
      <c r="HND1155" s="7"/>
      <c r="HNE1155" s="7"/>
      <c r="HNF1155" s="7"/>
      <c r="HNG1155" s="7"/>
      <c r="HNH1155" s="7"/>
      <c r="HNI1155" s="7"/>
      <c r="HNJ1155" s="7"/>
      <c r="HNK1155" s="7"/>
      <c r="HNL1155" s="7"/>
      <c r="HNM1155" s="7"/>
      <c r="HNN1155" s="7"/>
      <c r="HNO1155" s="7"/>
      <c r="HNP1155" s="7"/>
      <c r="HNQ1155" s="7"/>
      <c r="HNR1155" s="7"/>
      <c r="HNS1155" s="7"/>
      <c r="HNT1155" s="7"/>
      <c r="HNU1155" s="7"/>
      <c r="HNV1155" s="7"/>
      <c r="HNW1155" s="7"/>
      <c r="HNX1155" s="7"/>
      <c r="HNY1155" s="7"/>
      <c r="HNZ1155" s="7"/>
      <c r="HOA1155" s="7"/>
      <c r="HOB1155" s="7"/>
      <c r="HOC1155" s="7"/>
      <c r="HOD1155" s="7"/>
      <c r="HOE1155" s="7"/>
      <c r="HOF1155" s="7"/>
      <c r="HOG1155" s="7"/>
      <c r="HOH1155" s="7"/>
      <c r="HOI1155" s="7"/>
      <c r="HOJ1155" s="7"/>
      <c r="HOK1155" s="7"/>
      <c r="HOL1155" s="7"/>
      <c r="HOM1155" s="7"/>
      <c r="HON1155" s="7"/>
      <c r="HOO1155" s="7"/>
      <c r="HOP1155" s="7"/>
      <c r="HOQ1155" s="7"/>
      <c r="HOR1155" s="7"/>
      <c r="HOS1155" s="7"/>
      <c r="HOT1155" s="7"/>
      <c r="HOU1155" s="7"/>
      <c r="HOV1155" s="7"/>
      <c r="HOW1155" s="7"/>
      <c r="HOX1155" s="7"/>
      <c r="HOY1155" s="7"/>
      <c r="HOZ1155" s="7"/>
      <c r="HPA1155" s="7"/>
      <c r="HPB1155" s="7"/>
      <c r="HPC1155" s="7"/>
      <c r="HPD1155" s="7"/>
      <c r="HPE1155" s="7"/>
      <c r="HPF1155" s="7"/>
      <c r="HPG1155" s="7"/>
      <c r="HPH1155" s="7"/>
      <c r="HPI1155" s="7"/>
      <c r="HPJ1155" s="7"/>
      <c r="HPK1155" s="7"/>
      <c r="HPL1155" s="7"/>
      <c r="HPM1155" s="7"/>
      <c r="HPN1155" s="7"/>
      <c r="HPO1155" s="7"/>
      <c r="HPP1155" s="7"/>
      <c r="HPQ1155" s="7"/>
      <c r="HPR1155" s="7"/>
      <c r="HPS1155" s="7"/>
      <c r="HPT1155" s="7"/>
      <c r="HPU1155" s="7"/>
      <c r="HPV1155" s="7"/>
      <c r="HPW1155" s="7"/>
      <c r="HPX1155" s="7"/>
      <c r="HPY1155" s="7"/>
      <c r="HPZ1155" s="7"/>
      <c r="HQA1155" s="7"/>
      <c r="HQB1155" s="7"/>
      <c r="HQC1155" s="7"/>
      <c r="HQD1155" s="7"/>
      <c r="HQE1155" s="7"/>
      <c r="HQF1155" s="7"/>
      <c r="HQG1155" s="7"/>
      <c r="HQH1155" s="7"/>
      <c r="HQI1155" s="7"/>
      <c r="HQJ1155" s="7"/>
      <c r="HQK1155" s="7"/>
      <c r="HQL1155" s="7"/>
      <c r="HQM1155" s="7"/>
      <c r="HQN1155" s="7"/>
      <c r="HQO1155" s="7"/>
      <c r="HQP1155" s="7"/>
      <c r="HQQ1155" s="7"/>
      <c r="HQR1155" s="7"/>
      <c r="HQS1155" s="7"/>
      <c r="HQT1155" s="7"/>
      <c r="HQU1155" s="7"/>
      <c r="HQV1155" s="7"/>
      <c r="HQW1155" s="7"/>
      <c r="HQX1155" s="7"/>
      <c r="HQY1155" s="7"/>
      <c r="HQZ1155" s="7"/>
      <c r="HRA1155" s="7"/>
      <c r="HRB1155" s="7"/>
      <c r="HRC1155" s="7"/>
      <c r="HRD1155" s="7"/>
      <c r="HRE1155" s="7"/>
      <c r="HRF1155" s="7"/>
      <c r="HRG1155" s="7"/>
      <c r="HRH1155" s="7"/>
      <c r="HRI1155" s="7"/>
      <c r="HRJ1155" s="7"/>
      <c r="HRK1155" s="7"/>
      <c r="HRL1155" s="7"/>
      <c r="HRM1155" s="7"/>
      <c r="HRN1155" s="7"/>
      <c r="HRO1155" s="7"/>
      <c r="HRP1155" s="7"/>
      <c r="HRQ1155" s="7"/>
      <c r="HRR1155" s="7"/>
      <c r="HRS1155" s="7"/>
      <c r="HRT1155" s="7"/>
      <c r="HRU1155" s="7"/>
      <c r="HRV1155" s="7"/>
      <c r="HRW1155" s="7"/>
      <c r="HRX1155" s="7"/>
      <c r="HRY1155" s="7"/>
      <c r="HRZ1155" s="7"/>
      <c r="HSA1155" s="7"/>
      <c r="HSB1155" s="7"/>
      <c r="HSC1155" s="7"/>
      <c r="HSD1155" s="7"/>
      <c r="HSE1155" s="7"/>
      <c r="HSF1155" s="7"/>
      <c r="HSG1155" s="7"/>
      <c r="HSH1155" s="7"/>
      <c r="HSI1155" s="7"/>
      <c r="HSJ1155" s="7"/>
      <c r="HSK1155" s="7"/>
      <c r="HSL1155" s="7"/>
      <c r="HSM1155" s="7"/>
      <c r="HSN1155" s="7"/>
      <c r="HSO1155" s="7"/>
      <c r="HSP1155" s="7"/>
      <c r="HSQ1155" s="7"/>
      <c r="HSR1155" s="7"/>
      <c r="HSS1155" s="7"/>
      <c r="HST1155" s="7"/>
      <c r="HSU1155" s="7"/>
      <c r="HSV1155" s="7"/>
      <c r="HSW1155" s="7"/>
      <c r="HSX1155" s="7"/>
      <c r="HSY1155" s="7"/>
      <c r="HSZ1155" s="7"/>
      <c r="HTA1155" s="7"/>
      <c r="HTB1155" s="7"/>
      <c r="HTC1155" s="7"/>
      <c r="HTD1155" s="7"/>
      <c r="HTE1155" s="7"/>
      <c r="HTF1155" s="7"/>
      <c r="HTG1155" s="7"/>
      <c r="HTH1155" s="7"/>
      <c r="HTI1155" s="7"/>
      <c r="HTJ1155" s="7"/>
      <c r="HTK1155" s="7"/>
      <c r="HTL1155" s="7"/>
      <c r="HTM1155" s="7"/>
      <c r="HTN1155" s="7"/>
      <c r="HTO1155" s="7"/>
      <c r="HTP1155" s="7"/>
      <c r="HTQ1155" s="7"/>
      <c r="HTR1155" s="7"/>
      <c r="HTS1155" s="7"/>
      <c r="HTT1155" s="7"/>
      <c r="HTU1155" s="7"/>
      <c r="HTV1155" s="7"/>
      <c r="HTW1155" s="7"/>
      <c r="HTX1155" s="7"/>
      <c r="HTY1155" s="7"/>
      <c r="HTZ1155" s="7"/>
      <c r="HUA1155" s="7"/>
      <c r="HUB1155" s="7"/>
      <c r="HUC1155" s="7"/>
      <c r="HUD1155" s="7"/>
      <c r="HUE1155" s="7"/>
      <c r="HUF1155" s="7"/>
      <c r="HUG1155" s="7"/>
      <c r="HUH1155" s="7"/>
      <c r="HUI1155" s="7"/>
      <c r="HUJ1155" s="7"/>
      <c r="HUK1155" s="7"/>
      <c r="HUL1155" s="7"/>
      <c r="HUM1155" s="7"/>
      <c r="HUN1155" s="7"/>
      <c r="HUO1155" s="7"/>
      <c r="HUP1155" s="7"/>
      <c r="HUQ1155" s="7"/>
      <c r="HUR1155" s="7"/>
      <c r="HUS1155" s="7"/>
      <c r="HUT1155" s="7"/>
      <c r="HUU1155" s="7"/>
      <c r="HUV1155" s="7"/>
      <c r="HUW1155" s="7"/>
      <c r="HUX1155" s="7"/>
      <c r="HUY1155" s="7"/>
      <c r="HUZ1155" s="7"/>
      <c r="HVA1155" s="7"/>
      <c r="HVB1155" s="7"/>
      <c r="HVC1155" s="7"/>
      <c r="HVD1155" s="7"/>
      <c r="HVE1155" s="7"/>
      <c r="HVF1155" s="7"/>
      <c r="HVG1155" s="7"/>
      <c r="HVH1155" s="7"/>
      <c r="HVI1155" s="7"/>
      <c r="HVJ1155" s="7"/>
      <c r="HVK1155" s="7"/>
      <c r="HVL1155" s="7"/>
      <c r="HVM1155" s="7"/>
      <c r="HVN1155" s="7"/>
      <c r="HVO1155" s="7"/>
      <c r="HVP1155" s="7"/>
      <c r="HVQ1155" s="7"/>
      <c r="HVR1155" s="7"/>
      <c r="HVS1155" s="7"/>
      <c r="HVT1155" s="7"/>
      <c r="HVU1155" s="7"/>
      <c r="HVV1155" s="7"/>
      <c r="HVW1155" s="7"/>
      <c r="HVX1155" s="7"/>
      <c r="HVY1155" s="7"/>
      <c r="HVZ1155" s="7"/>
      <c r="HWA1155" s="7"/>
      <c r="HWB1155" s="7"/>
      <c r="HWC1155" s="7"/>
      <c r="HWD1155" s="7"/>
      <c r="HWE1155" s="7"/>
      <c r="HWF1155" s="7"/>
      <c r="HWG1155" s="7"/>
      <c r="HWH1155" s="7"/>
      <c r="HWI1155" s="7"/>
      <c r="HWJ1155" s="7"/>
      <c r="HWK1155" s="7"/>
      <c r="HWL1155" s="7"/>
      <c r="HWM1155" s="7"/>
      <c r="HWN1155" s="7"/>
      <c r="HWO1155" s="7"/>
      <c r="HWP1155" s="7"/>
      <c r="HWQ1155" s="7"/>
      <c r="HWR1155" s="7"/>
      <c r="HWS1155" s="7"/>
      <c r="HWT1155" s="7"/>
      <c r="HWU1155" s="7"/>
      <c r="HWV1155" s="7"/>
      <c r="HWW1155" s="7"/>
      <c r="HWX1155" s="7"/>
      <c r="HWY1155" s="7"/>
      <c r="HWZ1155" s="7"/>
      <c r="HXA1155" s="7"/>
      <c r="HXB1155" s="7"/>
      <c r="HXC1155" s="7"/>
      <c r="HXD1155" s="7"/>
      <c r="HXE1155" s="7"/>
      <c r="HXF1155" s="7"/>
      <c r="HXG1155" s="7"/>
      <c r="HXH1155" s="7"/>
      <c r="HXI1155" s="7"/>
      <c r="HXJ1155" s="7"/>
      <c r="HXK1155" s="7"/>
      <c r="HXL1155" s="7"/>
      <c r="HXM1155" s="7"/>
      <c r="HXN1155" s="7"/>
      <c r="HXO1155" s="7"/>
      <c r="HXP1155" s="7"/>
      <c r="HXQ1155" s="7"/>
      <c r="HXR1155" s="7"/>
      <c r="HXS1155" s="7"/>
      <c r="HXT1155" s="7"/>
      <c r="HXU1155" s="7"/>
      <c r="HXV1155" s="7"/>
      <c r="HXW1155" s="7"/>
      <c r="HXX1155" s="7"/>
      <c r="HXY1155" s="7"/>
      <c r="HXZ1155" s="7"/>
      <c r="HYA1155" s="7"/>
      <c r="HYB1155" s="7"/>
      <c r="HYC1155" s="7"/>
      <c r="HYD1155" s="7"/>
      <c r="HYE1155" s="7"/>
      <c r="HYF1155" s="7"/>
      <c r="HYG1155" s="7"/>
      <c r="HYH1155" s="7"/>
      <c r="HYI1155" s="7"/>
      <c r="HYJ1155" s="7"/>
      <c r="HYK1155" s="7"/>
      <c r="HYL1155" s="7"/>
      <c r="HYM1155" s="7"/>
      <c r="HYN1155" s="7"/>
      <c r="HYO1155" s="7"/>
      <c r="HYP1155" s="7"/>
      <c r="HYQ1155" s="7"/>
      <c r="HYR1155" s="7"/>
      <c r="HYS1155" s="7"/>
      <c r="HYT1155" s="7"/>
      <c r="HYU1155" s="7"/>
      <c r="HYV1155" s="7"/>
      <c r="HYW1155" s="7"/>
      <c r="HYX1155" s="7"/>
      <c r="HYY1155" s="7"/>
      <c r="HYZ1155" s="7"/>
      <c r="HZA1155" s="7"/>
      <c r="HZB1155" s="7"/>
      <c r="HZC1155" s="7"/>
      <c r="HZD1155" s="7"/>
      <c r="HZE1155" s="7"/>
      <c r="HZF1155" s="7"/>
      <c r="HZG1155" s="7"/>
      <c r="HZH1155" s="7"/>
      <c r="HZI1155" s="7"/>
      <c r="HZJ1155" s="7"/>
      <c r="HZK1155" s="7"/>
      <c r="HZL1155" s="7"/>
      <c r="HZM1155" s="7"/>
      <c r="HZN1155" s="7"/>
      <c r="HZO1155" s="7"/>
      <c r="HZP1155" s="7"/>
      <c r="HZQ1155" s="7"/>
      <c r="HZR1155" s="7"/>
      <c r="HZS1155" s="7"/>
      <c r="HZT1155" s="7"/>
      <c r="HZU1155" s="7"/>
      <c r="HZV1155" s="7"/>
      <c r="HZW1155" s="7"/>
      <c r="HZX1155" s="7"/>
      <c r="HZY1155" s="7"/>
      <c r="HZZ1155" s="7"/>
      <c r="IAA1155" s="7"/>
      <c r="IAB1155" s="7"/>
      <c r="IAC1155" s="7"/>
      <c r="IAD1155" s="7"/>
      <c r="IAE1155" s="7"/>
      <c r="IAF1155" s="7"/>
      <c r="IAG1155" s="7"/>
      <c r="IAH1155" s="7"/>
      <c r="IAI1155" s="7"/>
      <c r="IAJ1155" s="7"/>
      <c r="IAK1155" s="7"/>
      <c r="IAL1155" s="7"/>
      <c r="IAM1155" s="7"/>
      <c r="IAN1155" s="7"/>
      <c r="IAO1155" s="7"/>
      <c r="IAP1155" s="7"/>
      <c r="IAQ1155" s="7"/>
      <c r="IAR1155" s="7"/>
      <c r="IAS1155" s="7"/>
      <c r="IAT1155" s="7"/>
      <c r="IAU1155" s="7"/>
      <c r="IAV1155" s="7"/>
      <c r="IAW1155" s="7"/>
      <c r="IAX1155" s="7"/>
      <c r="IAY1155" s="7"/>
      <c r="IAZ1155" s="7"/>
      <c r="IBA1155" s="7"/>
      <c r="IBB1155" s="7"/>
      <c r="IBC1155" s="7"/>
      <c r="IBD1155" s="7"/>
      <c r="IBE1155" s="7"/>
      <c r="IBF1155" s="7"/>
      <c r="IBG1155" s="7"/>
      <c r="IBH1155" s="7"/>
      <c r="IBI1155" s="7"/>
      <c r="IBJ1155" s="7"/>
      <c r="IBK1155" s="7"/>
      <c r="IBL1155" s="7"/>
      <c r="IBM1155" s="7"/>
      <c r="IBN1155" s="7"/>
      <c r="IBO1155" s="7"/>
      <c r="IBP1155" s="7"/>
      <c r="IBQ1155" s="7"/>
      <c r="IBR1155" s="7"/>
      <c r="IBS1155" s="7"/>
      <c r="IBT1155" s="7"/>
      <c r="IBU1155" s="7"/>
      <c r="IBV1155" s="7"/>
      <c r="IBW1155" s="7"/>
      <c r="IBX1155" s="7"/>
      <c r="IBY1155" s="7"/>
      <c r="IBZ1155" s="7"/>
      <c r="ICA1155" s="7"/>
      <c r="ICB1155" s="7"/>
      <c r="ICC1155" s="7"/>
      <c r="ICD1155" s="7"/>
      <c r="ICE1155" s="7"/>
      <c r="ICF1155" s="7"/>
      <c r="ICG1155" s="7"/>
      <c r="ICH1155" s="7"/>
      <c r="ICI1155" s="7"/>
      <c r="ICJ1155" s="7"/>
      <c r="ICK1155" s="7"/>
      <c r="ICL1155" s="7"/>
      <c r="ICM1155" s="7"/>
      <c r="ICN1155" s="7"/>
      <c r="ICO1155" s="7"/>
      <c r="ICP1155" s="7"/>
      <c r="ICQ1155" s="7"/>
      <c r="ICR1155" s="7"/>
      <c r="ICS1155" s="7"/>
      <c r="ICT1155" s="7"/>
      <c r="ICU1155" s="7"/>
      <c r="ICV1155" s="7"/>
      <c r="ICW1155" s="7"/>
      <c r="ICX1155" s="7"/>
      <c r="ICY1155" s="7"/>
      <c r="ICZ1155" s="7"/>
      <c r="IDA1155" s="7"/>
      <c r="IDB1155" s="7"/>
      <c r="IDC1155" s="7"/>
      <c r="IDD1155" s="7"/>
      <c r="IDE1155" s="7"/>
      <c r="IDF1155" s="7"/>
      <c r="IDG1155" s="7"/>
      <c r="IDH1155" s="7"/>
      <c r="IDI1155" s="7"/>
      <c r="IDJ1155" s="7"/>
      <c r="IDK1155" s="7"/>
      <c r="IDL1155" s="7"/>
      <c r="IDM1155" s="7"/>
      <c r="IDN1155" s="7"/>
      <c r="IDO1155" s="7"/>
      <c r="IDP1155" s="7"/>
      <c r="IDQ1155" s="7"/>
      <c r="IDR1155" s="7"/>
      <c r="IDS1155" s="7"/>
      <c r="IDT1155" s="7"/>
      <c r="IDU1155" s="7"/>
      <c r="IDV1155" s="7"/>
      <c r="IDW1155" s="7"/>
      <c r="IDX1155" s="7"/>
      <c r="IDY1155" s="7"/>
      <c r="IDZ1155" s="7"/>
      <c r="IEA1155" s="7"/>
      <c r="IEB1155" s="7"/>
      <c r="IEC1155" s="7"/>
      <c r="IED1155" s="7"/>
      <c r="IEE1155" s="7"/>
      <c r="IEF1155" s="7"/>
      <c r="IEG1155" s="7"/>
      <c r="IEH1155" s="7"/>
      <c r="IEI1155" s="7"/>
      <c r="IEJ1155" s="7"/>
      <c r="IEK1155" s="7"/>
      <c r="IEL1155" s="7"/>
      <c r="IEM1155" s="7"/>
      <c r="IEN1155" s="7"/>
      <c r="IEO1155" s="7"/>
      <c r="IEP1155" s="7"/>
      <c r="IEQ1155" s="7"/>
      <c r="IER1155" s="7"/>
      <c r="IES1155" s="7"/>
      <c r="IET1155" s="7"/>
      <c r="IEU1155" s="7"/>
      <c r="IEV1155" s="7"/>
      <c r="IEW1155" s="7"/>
      <c r="IEX1155" s="7"/>
      <c r="IEY1155" s="7"/>
      <c r="IEZ1155" s="7"/>
      <c r="IFA1155" s="7"/>
      <c r="IFB1155" s="7"/>
      <c r="IFC1155" s="7"/>
      <c r="IFD1155" s="7"/>
      <c r="IFE1155" s="7"/>
      <c r="IFF1155" s="7"/>
      <c r="IFG1155" s="7"/>
      <c r="IFH1155" s="7"/>
      <c r="IFI1155" s="7"/>
      <c r="IFJ1155" s="7"/>
      <c r="IFK1155" s="7"/>
      <c r="IFL1155" s="7"/>
      <c r="IFM1155" s="7"/>
      <c r="IFN1155" s="7"/>
      <c r="IFO1155" s="7"/>
      <c r="IFP1155" s="7"/>
      <c r="IFQ1155" s="7"/>
      <c r="IFR1155" s="7"/>
      <c r="IFS1155" s="7"/>
      <c r="IFT1155" s="7"/>
      <c r="IFU1155" s="7"/>
      <c r="IFV1155" s="7"/>
      <c r="IFW1155" s="7"/>
      <c r="IFX1155" s="7"/>
      <c r="IFY1155" s="7"/>
      <c r="IFZ1155" s="7"/>
      <c r="IGA1155" s="7"/>
      <c r="IGB1155" s="7"/>
      <c r="IGC1155" s="7"/>
      <c r="IGD1155" s="7"/>
      <c r="IGE1155" s="7"/>
      <c r="IGF1155" s="7"/>
      <c r="IGG1155" s="7"/>
      <c r="IGH1155" s="7"/>
      <c r="IGI1155" s="7"/>
      <c r="IGJ1155" s="7"/>
      <c r="IGK1155" s="7"/>
      <c r="IGL1155" s="7"/>
      <c r="IGM1155" s="7"/>
      <c r="IGN1155" s="7"/>
      <c r="IGO1155" s="7"/>
      <c r="IGP1155" s="7"/>
      <c r="IGQ1155" s="7"/>
      <c r="IGR1155" s="7"/>
      <c r="IGS1155" s="7"/>
      <c r="IGT1155" s="7"/>
      <c r="IGU1155" s="7"/>
      <c r="IGV1155" s="7"/>
      <c r="IGW1155" s="7"/>
      <c r="IGX1155" s="7"/>
      <c r="IGY1155" s="7"/>
      <c r="IGZ1155" s="7"/>
      <c r="IHA1155" s="7"/>
      <c r="IHB1155" s="7"/>
      <c r="IHC1155" s="7"/>
      <c r="IHD1155" s="7"/>
      <c r="IHE1155" s="7"/>
      <c r="IHF1155" s="7"/>
      <c r="IHG1155" s="7"/>
      <c r="IHH1155" s="7"/>
      <c r="IHI1155" s="7"/>
      <c r="IHJ1155" s="7"/>
      <c r="IHK1155" s="7"/>
      <c r="IHL1155" s="7"/>
      <c r="IHM1155" s="7"/>
      <c r="IHN1155" s="7"/>
      <c r="IHO1155" s="7"/>
      <c r="IHP1155" s="7"/>
      <c r="IHQ1155" s="7"/>
      <c r="IHR1155" s="7"/>
      <c r="IHS1155" s="7"/>
      <c r="IHT1155" s="7"/>
      <c r="IHU1155" s="7"/>
      <c r="IHV1155" s="7"/>
      <c r="IHW1155" s="7"/>
      <c r="IHX1155" s="7"/>
      <c r="IHY1155" s="7"/>
      <c r="IHZ1155" s="7"/>
      <c r="IIA1155" s="7"/>
      <c r="IIB1155" s="7"/>
      <c r="IIC1155" s="7"/>
      <c r="IID1155" s="7"/>
      <c r="IIE1155" s="7"/>
      <c r="IIF1155" s="7"/>
      <c r="IIG1155" s="7"/>
      <c r="IIH1155" s="7"/>
      <c r="III1155" s="7"/>
      <c r="IIJ1155" s="7"/>
      <c r="IIK1155" s="7"/>
      <c r="IIL1155" s="7"/>
      <c r="IIM1155" s="7"/>
      <c r="IIN1155" s="7"/>
      <c r="IIO1155" s="7"/>
      <c r="IIP1155" s="7"/>
      <c r="IIQ1155" s="7"/>
      <c r="IIR1155" s="7"/>
      <c r="IIS1155" s="7"/>
      <c r="IIT1155" s="7"/>
      <c r="IIU1155" s="7"/>
      <c r="IIV1155" s="7"/>
      <c r="IIW1155" s="7"/>
      <c r="IIX1155" s="7"/>
      <c r="IIY1155" s="7"/>
      <c r="IIZ1155" s="7"/>
      <c r="IJA1155" s="7"/>
      <c r="IJB1155" s="7"/>
      <c r="IJC1155" s="7"/>
      <c r="IJD1155" s="7"/>
      <c r="IJE1155" s="7"/>
      <c r="IJF1155" s="7"/>
      <c r="IJG1155" s="7"/>
      <c r="IJH1155" s="7"/>
      <c r="IJI1155" s="7"/>
      <c r="IJJ1155" s="7"/>
      <c r="IJK1155" s="7"/>
      <c r="IJL1155" s="7"/>
      <c r="IJM1155" s="7"/>
      <c r="IJN1155" s="7"/>
      <c r="IJO1155" s="7"/>
      <c r="IJP1155" s="7"/>
      <c r="IJQ1155" s="7"/>
      <c r="IJR1155" s="7"/>
      <c r="IJS1155" s="7"/>
      <c r="IJT1155" s="7"/>
      <c r="IJU1155" s="7"/>
      <c r="IJV1155" s="7"/>
      <c r="IJW1155" s="7"/>
      <c r="IJX1155" s="7"/>
      <c r="IJY1155" s="7"/>
      <c r="IJZ1155" s="7"/>
      <c r="IKA1155" s="7"/>
      <c r="IKB1155" s="7"/>
      <c r="IKC1155" s="7"/>
      <c r="IKD1155" s="7"/>
      <c r="IKE1155" s="7"/>
      <c r="IKF1155" s="7"/>
      <c r="IKG1155" s="7"/>
      <c r="IKH1155" s="7"/>
      <c r="IKI1155" s="7"/>
      <c r="IKJ1155" s="7"/>
      <c r="IKK1155" s="7"/>
      <c r="IKL1155" s="7"/>
      <c r="IKM1155" s="7"/>
      <c r="IKN1155" s="7"/>
      <c r="IKO1155" s="7"/>
      <c r="IKP1155" s="7"/>
      <c r="IKQ1155" s="7"/>
      <c r="IKR1155" s="7"/>
      <c r="IKS1155" s="7"/>
      <c r="IKT1155" s="7"/>
      <c r="IKU1155" s="7"/>
      <c r="IKV1155" s="7"/>
      <c r="IKW1155" s="7"/>
      <c r="IKX1155" s="7"/>
      <c r="IKY1155" s="7"/>
      <c r="IKZ1155" s="7"/>
      <c r="ILA1155" s="7"/>
      <c r="ILB1155" s="7"/>
      <c r="ILC1155" s="7"/>
      <c r="ILD1155" s="7"/>
      <c r="ILE1155" s="7"/>
      <c r="ILF1155" s="7"/>
      <c r="ILG1155" s="7"/>
      <c r="ILH1155" s="7"/>
      <c r="ILI1155" s="7"/>
      <c r="ILJ1155" s="7"/>
      <c r="ILK1155" s="7"/>
      <c r="ILL1155" s="7"/>
      <c r="ILM1155" s="7"/>
      <c r="ILN1155" s="7"/>
      <c r="ILO1155" s="7"/>
      <c r="ILP1155" s="7"/>
      <c r="ILQ1155" s="7"/>
      <c r="ILR1155" s="7"/>
      <c r="ILS1155" s="7"/>
      <c r="ILT1155" s="7"/>
      <c r="ILU1155" s="7"/>
      <c r="ILV1155" s="7"/>
      <c r="ILW1155" s="7"/>
      <c r="ILX1155" s="7"/>
      <c r="ILY1155" s="7"/>
      <c r="ILZ1155" s="7"/>
      <c r="IMA1155" s="7"/>
      <c r="IMB1155" s="7"/>
      <c r="IMC1155" s="7"/>
      <c r="IMD1155" s="7"/>
      <c r="IME1155" s="7"/>
      <c r="IMF1155" s="7"/>
      <c r="IMG1155" s="7"/>
      <c r="IMH1155" s="7"/>
      <c r="IMI1155" s="7"/>
      <c r="IMJ1155" s="7"/>
      <c r="IMK1155" s="7"/>
      <c r="IML1155" s="7"/>
      <c r="IMM1155" s="7"/>
      <c r="IMN1155" s="7"/>
      <c r="IMO1155" s="7"/>
      <c r="IMP1155" s="7"/>
      <c r="IMQ1155" s="7"/>
      <c r="IMR1155" s="7"/>
      <c r="IMS1155" s="7"/>
      <c r="IMT1155" s="7"/>
      <c r="IMU1155" s="7"/>
      <c r="IMV1155" s="7"/>
      <c r="IMW1155" s="7"/>
      <c r="IMX1155" s="7"/>
      <c r="IMY1155" s="7"/>
      <c r="IMZ1155" s="7"/>
      <c r="INA1155" s="7"/>
      <c r="INB1155" s="7"/>
      <c r="INC1155" s="7"/>
      <c r="IND1155" s="7"/>
      <c r="INE1155" s="7"/>
      <c r="INF1155" s="7"/>
      <c r="ING1155" s="7"/>
      <c r="INH1155" s="7"/>
      <c r="INI1155" s="7"/>
      <c r="INJ1155" s="7"/>
      <c r="INK1155" s="7"/>
      <c r="INL1155" s="7"/>
      <c r="INM1155" s="7"/>
      <c r="INN1155" s="7"/>
      <c r="INO1155" s="7"/>
      <c r="INP1155" s="7"/>
      <c r="INQ1155" s="7"/>
      <c r="INR1155" s="7"/>
      <c r="INS1155" s="7"/>
      <c r="INT1155" s="7"/>
      <c r="INU1155" s="7"/>
      <c r="INV1155" s="7"/>
      <c r="INW1155" s="7"/>
      <c r="INX1155" s="7"/>
      <c r="INY1155" s="7"/>
      <c r="INZ1155" s="7"/>
      <c r="IOA1155" s="7"/>
      <c r="IOB1155" s="7"/>
      <c r="IOC1155" s="7"/>
      <c r="IOD1155" s="7"/>
      <c r="IOE1155" s="7"/>
      <c r="IOF1155" s="7"/>
      <c r="IOG1155" s="7"/>
      <c r="IOH1155" s="7"/>
      <c r="IOI1155" s="7"/>
      <c r="IOJ1155" s="7"/>
      <c r="IOK1155" s="7"/>
      <c r="IOL1155" s="7"/>
      <c r="IOM1155" s="7"/>
      <c r="ION1155" s="7"/>
      <c r="IOO1155" s="7"/>
      <c r="IOP1155" s="7"/>
      <c r="IOQ1155" s="7"/>
      <c r="IOR1155" s="7"/>
      <c r="IOS1155" s="7"/>
      <c r="IOT1155" s="7"/>
      <c r="IOU1155" s="7"/>
      <c r="IOV1155" s="7"/>
      <c r="IOW1155" s="7"/>
      <c r="IOX1155" s="7"/>
      <c r="IOY1155" s="7"/>
      <c r="IOZ1155" s="7"/>
      <c r="IPA1155" s="7"/>
      <c r="IPB1155" s="7"/>
      <c r="IPC1155" s="7"/>
      <c r="IPD1155" s="7"/>
      <c r="IPE1155" s="7"/>
      <c r="IPF1155" s="7"/>
      <c r="IPG1155" s="7"/>
      <c r="IPH1155" s="7"/>
      <c r="IPI1155" s="7"/>
      <c r="IPJ1155" s="7"/>
      <c r="IPK1155" s="7"/>
      <c r="IPL1155" s="7"/>
      <c r="IPM1155" s="7"/>
      <c r="IPN1155" s="7"/>
      <c r="IPO1155" s="7"/>
      <c r="IPP1155" s="7"/>
      <c r="IPQ1155" s="7"/>
      <c r="IPR1155" s="7"/>
      <c r="IPS1155" s="7"/>
      <c r="IPT1155" s="7"/>
      <c r="IPU1155" s="7"/>
      <c r="IPV1155" s="7"/>
      <c r="IPW1155" s="7"/>
      <c r="IPX1155" s="7"/>
      <c r="IPY1155" s="7"/>
      <c r="IPZ1155" s="7"/>
      <c r="IQA1155" s="7"/>
      <c r="IQB1155" s="7"/>
      <c r="IQC1155" s="7"/>
      <c r="IQD1155" s="7"/>
      <c r="IQE1155" s="7"/>
      <c r="IQF1155" s="7"/>
      <c r="IQG1155" s="7"/>
      <c r="IQH1155" s="7"/>
      <c r="IQI1155" s="7"/>
      <c r="IQJ1155" s="7"/>
      <c r="IQK1155" s="7"/>
      <c r="IQL1155" s="7"/>
      <c r="IQM1155" s="7"/>
      <c r="IQN1155" s="7"/>
      <c r="IQO1155" s="7"/>
      <c r="IQP1155" s="7"/>
      <c r="IQQ1155" s="7"/>
      <c r="IQR1155" s="7"/>
      <c r="IQS1155" s="7"/>
      <c r="IQT1155" s="7"/>
      <c r="IQU1155" s="7"/>
      <c r="IQV1155" s="7"/>
      <c r="IQW1155" s="7"/>
      <c r="IQX1155" s="7"/>
      <c r="IQY1155" s="7"/>
      <c r="IQZ1155" s="7"/>
      <c r="IRA1155" s="7"/>
      <c r="IRB1155" s="7"/>
      <c r="IRC1155" s="7"/>
      <c r="IRD1155" s="7"/>
      <c r="IRE1155" s="7"/>
      <c r="IRF1155" s="7"/>
      <c r="IRG1155" s="7"/>
      <c r="IRH1155" s="7"/>
      <c r="IRI1155" s="7"/>
      <c r="IRJ1155" s="7"/>
      <c r="IRK1155" s="7"/>
      <c r="IRL1155" s="7"/>
      <c r="IRM1155" s="7"/>
      <c r="IRN1155" s="7"/>
      <c r="IRO1155" s="7"/>
      <c r="IRP1155" s="7"/>
      <c r="IRQ1155" s="7"/>
      <c r="IRR1155" s="7"/>
      <c r="IRS1155" s="7"/>
      <c r="IRT1155" s="7"/>
      <c r="IRU1155" s="7"/>
      <c r="IRV1155" s="7"/>
      <c r="IRW1155" s="7"/>
      <c r="IRX1155" s="7"/>
      <c r="IRY1155" s="7"/>
      <c r="IRZ1155" s="7"/>
      <c r="ISA1155" s="7"/>
      <c r="ISB1155" s="7"/>
      <c r="ISC1155" s="7"/>
      <c r="ISD1155" s="7"/>
      <c r="ISE1155" s="7"/>
      <c r="ISF1155" s="7"/>
      <c r="ISG1155" s="7"/>
      <c r="ISH1155" s="7"/>
      <c r="ISI1155" s="7"/>
      <c r="ISJ1155" s="7"/>
      <c r="ISK1155" s="7"/>
      <c r="ISL1155" s="7"/>
      <c r="ISM1155" s="7"/>
      <c r="ISN1155" s="7"/>
      <c r="ISO1155" s="7"/>
      <c r="ISP1155" s="7"/>
      <c r="ISQ1155" s="7"/>
      <c r="ISR1155" s="7"/>
      <c r="ISS1155" s="7"/>
      <c r="IST1155" s="7"/>
      <c r="ISU1155" s="7"/>
      <c r="ISV1155" s="7"/>
      <c r="ISW1155" s="7"/>
      <c r="ISX1155" s="7"/>
      <c r="ISY1155" s="7"/>
      <c r="ISZ1155" s="7"/>
      <c r="ITA1155" s="7"/>
      <c r="ITB1155" s="7"/>
      <c r="ITC1155" s="7"/>
      <c r="ITD1155" s="7"/>
      <c r="ITE1155" s="7"/>
      <c r="ITF1155" s="7"/>
      <c r="ITG1155" s="7"/>
      <c r="ITH1155" s="7"/>
      <c r="ITI1155" s="7"/>
      <c r="ITJ1155" s="7"/>
      <c r="ITK1155" s="7"/>
      <c r="ITL1155" s="7"/>
      <c r="ITM1155" s="7"/>
      <c r="ITN1155" s="7"/>
      <c r="ITO1155" s="7"/>
      <c r="ITP1155" s="7"/>
      <c r="ITQ1155" s="7"/>
      <c r="ITR1155" s="7"/>
      <c r="ITS1155" s="7"/>
      <c r="ITT1155" s="7"/>
      <c r="ITU1155" s="7"/>
      <c r="ITV1155" s="7"/>
      <c r="ITW1155" s="7"/>
      <c r="ITX1155" s="7"/>
      <c r="ITY1155" s="7"/>
      <c r="ITZ1155" s="7"/>
      <c r="IUA1155" s="7"/>
      <c r="IUB1155" s="7"/>
      <c r="IUC1155" s="7"/>
      <c r="IUD1155" s="7"/>
      <c r="IUE1155" s="7"/>
      <c r="IUF1155" s="7"/>
      <c r="IUG1155" s="7"/>
      <c r="IUH1155" s="7"/>
      <c r="IUI1155" s="7"/>
      <c r="IUJ1155" s="7"/>
      <c r="IUK1155" s="7"/>
      <c r="IUL1155" s="7"/>
      <c r="IUM1155" s="7"/>
      <c r="IUN1155" s="7"/>
      <c r="IUO1155" s="7"/>
      <c r="IUP1155" s="7"/>
      <c r="IUQ1155" s="7"/>
      <c r="IUR1155" s="7"/>
      <c r="IUS1155" s="7"/>
      <c r="IUT1155" s="7"/>
      <c r="IUU1155" s="7"/>
      <c r="IUV1155" s="7"/>
      <c r="IUW1155" s="7"/>
      <c r="IUX1155" s="7"/>
      <c r="IUY1155" s="7"/>
      <c r="IUZ1155" s="7"/>
      <c r="IVA1155" s="7"/>
      <c r="IVB1155" s="7"/>
      <c r="IVC1155" s="7"/>
      <c r="IVD1155" s="7"/>
      <c r="IVE1155" s="7"/>
      <c r="IVF1155" s="7"/>
      <c r="IVG1155" s="7"/>
      <c r="IVH1155" s="7"/>
      <c r="IVI1155" s="7"/>
      <c r="IVJ1155" s="7"/>
      <c r="IVK1155" s="7"/>
      <c r="IVL1155" s="7"/>
      <c r="IVM1155" s="7"/>
      <c r="IVN1155" s="7"/>
      <c r="IVO1155" s="7"/>
      <c r="IVP1155" s="7"/>
      <c r="IVQ1155" s="7"/>
      <c r="IVR1155" s="7"/>
      <c r="IVS1155" s="7"/>
      <c r="IVT1155" s="7"/>
      <c r="IVU1155" s="7"/>
      <c r="IVV1155" s="7"/>
      <c r="IVW1155" s="7"/>
      <c r="IVX1155" s="7"/>
      <c r="IVY1155" s="7"/>
      <c r="IVZ1155" s="7"/>
      <c r="IWA1155" s="7"/>
      <c r="IWB1155" s="7"/>
      <c r="IWC1155" s="7"/>
      <c r="IWD1155" s="7"/>
      <c r="IWE1155" s="7"/>
      <c r="IWF1155" s="7"/>
      <c r="IWG1155" s="7"/>
      <c r="IWH1155" s="7"/>
      <c r="IWI1155" s="7"/>
      <c r="IWJ1155" s="7"/>
      <c r="IWK1155" s="7"/>
      <c r="IWL1155" s="7"/>
      <c r="IWM1155" s="7"/>
      <c r="IWN1155" s="7"/>
      <c r="IWO1155" s="7"/>
      <c r="IWP1155" s="7"/>
      <c r="IWQ1155" s="7"/>
      <c r="IWR1155" s="7"/>
      <c r="IWS1155" s="7"/>
      <c r="IWT1155" s="7"/>
      <c r="IWU1155" s="7"/>
      <c r="IWV1155" s="7"/>
      <c r="IWW1155" s="7"/>
      <c r="IWX1155" s="7"/>
      <c r="IWY1155" s="7"/>
      <c r="IWZ1155" s="7"/>
      <c r="IXA1155" s="7"/>
      <c r="IXB1155" s="7"/>
      <c r="IXC1155" s="7"/>
      <c r="IXD1155" s="7"/>
      <c r="IXE1155" s="7"/>
      <c r="IXF1155" s="7"/>
      <c r="IXG1155" s="7"/>
      <c r="IXH1155" s="7"/>
      <c r="IXI1155" s="7"/>
      <c r="IXJ1155" s="7"/>
      <c r="IXK1155" s="7"/>
      <c r="IXL1155" s="7"/>
      <c r="IXM1155" s="7"/>
      <c r="IXN1155" s="7"/>
      <c r="IXO1155" s="7"/>
      <c r="IXP1155" s="7"/>
      <c r="IXQ1155" s="7"/>
      <c r="IXR1155" s="7"/>
      <c r="IXS1155" s="7"/>
      <c r="IXT1155" s="7"/>
      <c r="IXU1155" s="7"/>
      <c r="IXV1155" s="7"/>
      <c r="IXW1155" s="7"/>
      <c r="IXX1155" s="7"/>
      <c r="IXY1155" s="7"/>
      <c r="IXZ1155" s="7"/>
      <c r="IYA1155" s="7"/>
      <c r="IYB1155" s="7"/>
      <c r="IYC1155" s="7"/>
      <c r="IYD1155" s="7"/>
      <c r="IYE1155" s="7"/>
      <c r="IYF1155" s="7"/>
      <c r="IYG1155" s="7"/>
      <c r="IYH1155" s="7"/>
      <c r="IYI1155" s="7"/>
      <c r="IYJ1155" s="7"/>
      <c r="IYK1155" s="7"/>
      <c r="IYL1155" s="7"/>
      <c r="IYM1155" s="7"/>
      <c r="IYN1155" s="7"/>
      <c r="IYO1155" s="7"/>
      <c r="IYP1155" s="7"/>
      <c r="IYQ1155" s="7"/>
      <c r="IYR1155" s="7"/>
      <c r="IYS1155" s="7"/>
      <c r="IYT1155" s="7"/>
      <c r="IYU1155" s="7"/>
      <c r="IYV1155" s="7"/>
      <c r="IYW1155" s="7"/>
      <c r="IYX1155" s="7"/>
      <c r="IYY1155" s="7"/>
      <c r="IYZ1155" s="7"/>
      <c r="IZA1155" s="7"/>
      <c r="IZB1155" s="7"/>
      <c r="IZC1155" s="7"/>
      <c r="IZD1155" s="7"/>
      <c r="IZE1155" s="7"/>
      <c r="IZF1155" s="7"/>
      <c r="IZG1155" s="7"/>
      <c r="IZH1155" s="7"/>
      <c r="IZI1155" s="7"/>
      <c r="IZJ1155" s="7"/>
      <c r="IZK1155" s="7"/>
      <c r="IZL1155" s="7"/>
      <c r="IZM1155" s="7"/>
      <c r="IZN1155" s="7"/>
      <c r="IZO1155" s="7"/>
      <c r="IZP1155" s="7"/>
      <c r="IZQ1155" s="7"/>
      <c r="IZR1155" s="7"/>
      <c r="IZS1155" s="7"/>
      <c r="IZT1155" s="7"/>
      <c r="IZU1155" s="7"/>
      <c r="IZV1155" s="7"/>
      <c r="IZW1155" s="7"/>
      <c r="IZX1155" s="7"/>
      <c r="IZY1155" s="7"/>
      <c r="IZZ1155" s="7"/>
      <c r="JAA1155" s="7"/>
      <c r="JAB1155" s="7"/>
      <c r="JAC1155" s="7"/>
      <c r="JAD1155" s="7"/>
      <c r="JAE1155" s="7"/>
      <c r="JAF1155" s="7"/>
      <c r="JAG1155" s="7"/>
      <c r="JAH1155" s="7"/>
      <c r="JAI1155" s="7"/>
      <c r="JAJ1155" s="7"/>
      <c r="JAK1155" s="7"/>
      <c r="JAL1155" s="7"/>
      <c r="JAM1155" s="7"/>
      <c r="JAN1155" s="7"/>
      <c r="JAO1155" s="7"/>
      <c r="JAP1155" s="7"/>
      <c r="JAQ1155" s="7"/>
      <c r="JAR1155" s="7"/>
      <c r="JAS1155" s="7"/>
      <c r="JAT1155" s="7"/>
      <c r="JAU1155" s="7"/>
      <c r="JAV1155" s="7"/>
      <c r="JAW1155" s="7"/>
      <c r="JAX1155" s="7"/>
      <c r="JAY1155" s="7"/>
      <c r="JAZ1155" s="7"/>
      <c r="JBA1155" s="7"/>
      <c r="JBB1155" s="7"/>
      <c r="JBC1155" s="7"/>
      <c r="JBD1155" s="7"/>
      <c r="JBE1155" s="7"/>
      <c r="JBF1155" s="7"/>
      <c r="JBG1155" s="7"/>
      <c r="JBH1155" s="7"/>
      <c r="JBI1155" s="7"/>
      <c r="JBJ1155" s="7"/>
      <c r="JBK1155" s="7"/>
      <c r="JBL1155" s="7"/>
      <c r="JBM1155" s="7"/>
      <c r="JBN1155" s="7"/>
      <c r="JBO1155" s="7"/>
      <c r="JBP1155" s="7"/>
      <c r="JBQ1155" s="7"/>
      <c r="JBR1155" s="7"/>
      <c r="JBS1155" s="7"/>
      <c r="JBT1155" s="7"/>
      <c r="JBU1155" s="7"/>
      <c r="JBV1155" s="7"/>
      <c r="JBW1155" s="7"/>
      <c r="JBX1155" s="7"/>
      <c r="JBY1155" s="7"/>
      <c r="JBZ1155" s="7"/>
      <c r="JCA1155" s="7"/>
      <c r="JCB1155" s="7"/>
      <c r="JCC1155" s="7"/>
      <c r="JCD1155" s="7"/>
      <c r="JCE1155" s="7"/>
      <c r="JCF1155" s="7"/>
      <c r="JCG1155" s="7"/>
      <c r="JCH1155" s="7"/>
      <c r="JCI1155" s="7"/>
      <c r="JCJ1155" s="7"/>
      <c r="JCK1155" s="7"/>
      <c r="JCL1155" s="7"/>
      <c r="JCM1155" s="7"/>
      <c r="JCN1155" s="7"/>
      <c r="JCO1155" s="7"/>
      <c r="JCP1155" s="7"/>
      <c r="JCQ1155" s="7"/>
      <c r="JCR1155" s="7"/>
      <c r="JCS1155" s="7"/>
      <c r="JCT1155" s="7"/>
      <c r="JCU1155" s="7"/>
      <c r="JCV1155" s="7"/>
      <c r="JCW1155" s="7"/>
      <c r="JCX1155" s="7"/>
      <c r="JCY1155" s="7"/>
      <c r="JCZ1155" s="7"/>
      <c r="JDA1155" s="7"/>
      <c r="JDB1155" s="7"/>
      <c r="JDC1155" s="7"/>
      <c r="JDD1155" s="7"/>
      <c r="JDE1155" s="7"/>
      <c r="JDF1155" s="7"/>
      <c r="JDG1155" s="7"/>
      <c r="JDH1155" s="7"/>
      <c r="JDI1155" s="7"/>
      <c r="JDJ1155" s="7"/>
      <c r="JDK1155" s="7"/>
      <c r="JDL1155" s="7"/>
      <c r="JDM1155" s="7"/>
      <c r="JDN1155" s="7"/>
      <c r="JDO1155" s="7"/>
      <c r="JDP1155" s="7"/>
      <c r="JDQ1155" s="7"/>
      <c r="JDR1155" s="7"/>
      <c r="JDS1155" s="7"/>
      <c r="JDT1155" s="7"/>
      <c r="JDU1155" s="7"/>
      <c r="JDV1155" s="7"/>
      <c r="JDW1155" s="7"/>
      <c r="JDX1155" s="7"/>
      <c r="JDY1155" s="7"/>
      <c r="JDZ1155" s="7"/>
      <c r="JEA1155" s="7"/>
      <c r="JEB1155" s="7"/>
      <c r="JEC1155" s="7"/>
      <c r="JED1155" s="7"/>
      <c r="JEE1155" s="7"/>
      <c r="JEF1155" s="7"/>
      <c r="JEG1155" s="7"/>
      <c r="JEH1155" s="7"/>
      <c r="JEI1155" s="7"/>
      <c r="JEJ1155" s="7"/>
      <c r="JEK1155" s="7"/>
      <c r="JEL1155" s="7"/>
      <c r="JEM1155" s="7"/>
      <c r="JEN1155" s="7"/>
      <c r="JEO1155" s="7"/>
      <c r="JEP1155" s="7"/>
      <c r="JEQ1155" s="7"/>
      <c r="JER1155" s="7"/>
      <c r="JES1155" s="7"/>
      <c r="JET1155" s="7"/>
      <c r="JEU1155" s="7"/>
      <c r="JEV1155" s="7"/>
      <c r="JEW1155" s="7"/>
      <c r="JEX1155" s="7"/>
      <c r="JEY1155" s="7"/>
      <c r="JEZ1155" s="7"/>
      <c r="JFA1155" s="7"/>
      <c r="JFB1155" s="7"/>
      <c r="JFC1155" s="7"/>
      <c r="JFD1155" s="7"/>
      <c r="JFE1155" s="7"/>
      <c r="JFF1155" s="7"/>
      <c r="JFG1155" s="7"/>
      <c r="JFH1155" s="7"/>
      <c r="JFI1155" s="7"/>
      <c r="JFJ1155" s="7"/>
      <c r="JFK1155" s="7"/>
      <c r="JFL1155" s="7"/>
      <c r="JFM1155" s="7"/>
      <c r="JFN1155" s="7"/>
      <c r="JFO1155" s="7"/>
      <c r="JFP1155" s="7"/>
      <c r="JFQ1155" s="7"/>
      <c r="JFR1155" s="7"/>
      <c r="JFS1155" s="7"/>
      <c r="JFT1155" s="7"/>
      <c r="JFU1155" s="7"/>
      <c r="JFV1155" s="7"/>
      <c r="JFW1155" s="7"/>
      <c r="JFX1155" s="7"/>
      <c r="JFY1155" s="7"/>
      <c r="JFZ1155" s="7"/>
      <c r="JGA1155" s="7"/>
      <c r="JGB1155" s="7"/>
      <c r="JGC1155" s="7"/>
      <c r="JGD1155" s="7"/>
      <c r="JGE1155" s="7"/>
      <c r="JGF1155" s="7"/>
      <c r="JGG1155" s="7"/>
      <c r="JGH1155" s="7"/>
      <c r="JGI1155" s="7"/>
      <c r="JGJ1155" s="7"/>
      <c r="JGK1155" s="7"/>
      <c r="JGL1155" s="7"/>
      <c r="JGM1155" s="7"/>
      <c r="JGN1155" s="7"/>
      <c r="JGO1155" s="7"/>
      <c r="JGP1155" s="7"/>
      <c r="JGQ1155" s="7"/>
      <c r="JGR1155" s="7"/>
      <c r="JGS1155" s="7"/>
      <c r="JGT1155" s="7"/>
      <c r="JGU1155" s="7"/>
      <c r="JGV1155" s="7"/>
      <c r="JGW1155" s="7"/>
      <c r="JGX1155" s="7"/>
      <c r="JGY1155" s="7"/>
      <c r="JGZ1155" s="7"/>
      <c r="JHA1155" s="7"/>
      <c r="JHB1155" s="7"/>
      <c r="JHC1155" s="7"/>
      <c r="JHD1155" s="7"/>
      <c r="JHE1155" s="7"/>
      <c r="JHF1155" s="7"/>
      <c r="JHG1155" s="7"/>
      <c r="JHH1155" s="7"/>
      <c r="JHI1155" s="7"/>
      <c r="JHJ1155" s="7"/>
      <c r="JHK1155" s="7"/>
      <c r="JHL1155" s="7"/>
      <c r="JHM1155" s="7"/>
      <c r="JHN1155" s="7"/>
      <c r="JHO1155" s="7"/>
      <c r="JHP1155" s="7"/>
      <c r="JHQ1155" s="7"/>
      <c r="JHR1155" s="7"/>
      <c r="JHS1155" s="7"/>
      <c r="JHT1155" s="7"/>
      <c r="JHU1155" s="7"/>
      <c r="JHV1155" s="7"/>
      <c r="JHW1155" s="7"/>
      <c r="JHX1155" s="7"/>
      <c r="JHY1155" s="7"/>
      <c r="JHZ1155" s="7"/>
      <c r="JIA1155" s="7"/>
      <c r="JIB1155" s="7"/>
      <c r="JIC1155" s="7"/>
      <c r="JID1155" s="7"/>
      <c r="JIE1155" s="7"/>
      <c r="JIF1155" s="7"/>
      <c r="JIG1155" s="7"/>
      <c r="JIH1155" s="7"/>
      <c r="JII1155" s="7"/>
      <c r="JIJ1155" s="7"/>
      <c r="JIK1155" s="7"/>
      <c r="JIL1155" s="7"/>
      <c r="JIM1155" s="7"/>
      <c r="JIN1155" s="7"/>
      <c r="JIO1155" s="7"/>
      <c r="JIP1155" s="7"/>
      <c r="JIQ1155" s="7"/>
      <c r="JIR1155" s="7"/>
      <c r="JIS1155" s="7"/>
      <c r="JIT1155" s="7"/>
      <c r="JIU1155" s="7"/>
      <c r="JIV1155" s="7"/>
      <c r="JIW1155" s="7"/>
      <c r="JIX1155" s="7"/>
      <c r="JIY1155" s="7"/>
      <c r="JIZ1155" s="7"/>
      <c r="JJA1155" s="7"/>
      <c r="JJB1155" s="7"/>
      <c r="JJC1155" s="7"/>
      <c r="JJD1155" s="7"/>
      <c r="JJE1155" s="7"/>
      <c r="JJF1155" s="7"/>
      <c r="JJG1155" s="7"/>
      <c r="JJH1155" s="7"/>
      <c r="JJI1155" s="7"/>
      <c r="JJJ1155" s="7"/>
      <c r="JJK1155" s="7"/>
      <c r="JJL1155" s="7"/>
      <c r="JJM1155" s="7"/>
      <c r="JJN1155" s="7"/>
      <c r="JJO1155" s="7"/>
      <c r="JJP1155" s="7"/>
      <c r="JJQ1155" s="7"/>
      <c r="JJR1155" s="7"/>
      <c r="JJS1155" s="7"/>
      <c r="JJT1155" s="7"/>
      <c r="JJU1155" s="7"/>
      <c r="JJV1155" s="7"/>
      <c r="JJW1155" s="7"/>
      <c r="JJX1155" s="7"/>
      <c r="JJY1155" s="7"/>
      <c r="JJZ1155" s="7"/>
      <c r="JKA1155" s="7"/>
      <c r="JKB1155" s="7"/>
      <c r="JKC1155" s="7"/>
      <c r="JKD1155" s="7"/>
      <c r="JKE1155" s="7"/>
      <c r="JKF1155" s="7"/>
      <c r="JKG1155" s="7"/>
      <c r="JKH1155" s="7"/>
      <c r="JKI1155" s="7"/>
      <c r="JKJ1155" s="7"/>
      <c r="JKK1155" s="7"/>
      <c r="JKL1155" s="7"/>
      <c r="JKM1155" s="7"/>
      <c r="JKN1155" s="7"/>
      <c r="JKO1155" s="7"/>
      <c r="JKP1155" s="7"/>
      <c r="JKQ1155" s="7"/>
      <c r="JKR1155" s="7"/>
      <c r="JKS1155" s="7"/>
      <c r="JKT1155" s="7"/>
      <c r="JKU1155" s="7"/>
      <c r="JKV1155" s="7"/>
      <c r="JKW1155" s="7"/>
      <c r="JKX1155" s="7"/>
      <c r="JKY1155" s="7"/>
      <c r="JKZ1155" s="7"/>
      <c r="JLA1155" s="7"/>
      <c r="JLB1155" s="7"/>
      <c r="JLC1155" s="7"/>
      <c r="JLD1155" s="7"/>
      <c r="JLE1155" s="7"/>
      <c r="JLF1155" s="7"/>
      <c r="JLG1155" s="7"/>
      <c r="JLH1155" s="7"/>
      <c r="JLI1155" s="7"/>
      <c r="JLJ1155" s="7"/>
      <c r="JLK1155" s="7"/>
      <c r="JLL1155" s="7"/>
      <c r="JLM1155" s="7"/>
      <c r="JLN1155" s="7"/>
      <c r="JLO1155" s="7"/>
      <c r="JLP1155" s="7"/>
      <c r="JLQ1155" s="7"/>
      <c r="JLR1155" s="7"/>
      <c r="JLS1155" s="7"/>
      <c r="JLT1155" s="7"/>
      <c r="JLU1155" s="7"/>
      <c r="JLV1155" s="7"/>
      <c r="JLW1155" s="7"/>
      <c r="JLX1155" s="7"/>
      <c r="JLY1155" s="7"/>
      <c r="JLZ1155" s="7"/>
      <c r="JMA1155" s="7"/>
      <c r="JMB1155" s="7"/>
      <c r="JMC1155" s="7"/>
      <c r="JMD1155" s="7"/>
      <c r="JME1155" s="7"/>
      <c r="JMF1155" s="7"/>
      <c r="JMG1155" s="7"/>
      <c r="JMH1155" s="7"/>
      <c r="JMI1155" s="7"/>
      <c r="JMJ1155" s="7"/>
      <c r="JMK1155" s="7"/>
      <c r="JML1155" s="7"/>
      <c r="JMM1155" s="7"/>
      <c r="JMN1155" s="7"/>
      <c r="JMO1155" s="7"/>
      <c r="JMP1155" s="7"/>
      <c r="JMQ1155" s="7"/>
      <c r="JMR1155" s="7"/>
      <c r="JMS1155" s="7"/>
      <c r="JMT1155" s="7"/>
      <c r="JMU1155" s="7"/>
      <c r="JMV1155" s="7"/>
      <c r="JMW1155" s="7"/>
      <c r="JMX1155" s="7"/>
      <c r="JMY1155" s="7"/>
      <c r="JMZ1155" s="7"/>
      <c r="JNA1155" s="7"/>
      <c r="JNB1155" s="7"/>
      <c r="JNC1155" s="7"/>
      <c r="JND1155" s="7"/>
      <c r="JNE1155" s="7"/>
      <c r="JNF1155" s="7"/>
      <c r="JNG1155" s="7"/>
      <c r="JNH1155" s="7"/>
      <c r="JNI1155" s="7"/>
      <c r="JNJ1155" s="7"/>
      <c r="JNK1155" s="7"/>
      <c r="JNL1155" s="7"/>
      <c r="JNM1155" s="7"/>
      <c r="JNN1155" s="7"/>
      <c r="JNO1155" s="7"/>
      <c r="JNP1155" s="7"/>
      <c r="JNQ1155" s="7"/>
      <c r="JNR1155" s="7"/>
      <c r="JNS1155" s="7"/>
      <c r="JNT1155" s="7"/>
      <c r="JNU1155" s="7"/>
      <c r="JNV1155" s="7"/>
      <c r="JNW1155" s="7"/>
      <c r="JNX1155" s="7"/>
      <c r="JNY1155" s="7"/>
      <c r="JNZ1155" s="7"/>
      <c r="JOA1155" s="7"/>
      <c r="JOB1155" s="7"/>
      <c r="JOC1155" s="7"/>
      <c r="JOD1155" s="7"/>
      <c r="JOE1155" s="7"/>
      <c r="JOF1155" s="7"/>
      <c r="JOG1155" s="7"/>
      <c r="JOH1155" s="7"/>
      <c r="JOI1155" s="7"/>
      <c r="JOJ1155" s="7"/>
      <c r="JOK1155" s="7"/>
      <c r="JOL1155" s="7"/>
      <c r="JOM1155" s="7"/>
      <c r="JON1155" s="7"/>
      <c r="JOO1155" s="7"/>
      <c r="JOP1155" s="7"/>
      <c r="JOQ1155" s="7"/>
      <c r="JOR1155" s="7"/>
      <c r="JOS1155" s="7"/>
      <c r="JOT1155" s="7"/>
      <c r="JOU1155" s="7"/>
      <c r="JOV1155" s="7"/>
      <c r="JOW1155" s="7"/>
      <c r="JOX1155" s="7"/>
      <c r="JOY1155" s="7"/>
      <c r="JOZ1155" s="7"/>
      <c r="JPA1155" s="7"/>
      <c r="JPB1155" s="7"/>
      <c r="JPC1155" s="7"/>
      <c r="JPD1155" s="7"/>
      <c r="JPE1155" s="7"/>
      <c r="JPF1155" s="7"/>
      <c r="JPG1155" s="7"/>
      <c r="JPH1155" s="7"/>
      <c r="JPI1155" s="7"/>
      <c r="JPJ1155" s="7"/>
      <c r="JPK1155" s="7"/>
      <c r="JPL1155" s="7"/>
      <c r="JPM1155" s="7"/>
      <c r="JPN1155" s="7"/>
      <c r="JPO1155" s="7"/>
      <c r="JPP1155" s="7"/>
      <c r="JPQ1155" s="7"/>
      <c r="JPR1155" s="7"/>
      <c r="JPS1155" s="7"/>
      <c r="JPT1155" s="7"/>
      <c r="JPU1155" s="7"/>
      <c r="JPV1155" s="7"/>
      <c r="JPW1155" s="7"/>
      <c r="JPX1155" s="7"/>
      <c r="JPY1155" s="7"/>
      <c r="JPZ1155" s="7"/>
      <c r="JQA1155" s="7"/>
      <c r="JQB1155" s="7"/>
      <c r="JQC1155" s="7"/>
      <c r="JQD1155" s="7"/>
      <c r="JQE1155" s="7"/>
      <c r="JQF1155" s="7"/>
      <c r="JQG1155" s="7"/>
      <c r="JQH1155" s="7"/>
      <c r="JQI1155" s="7"/>
      <c r="JQJ1155" s="7"/>
      <c r="JQK1155" s="7"/>
      <c r="JQL1155" s="7"/>
      <c r="JQM1155" s="7"/>
      <c r="JQN1155" s="7"/>
      <c r="JQO1155" s="7"/>
      <c r="JQP1155" s="7"/>
      <c r="JQQ1155" s="7"/>
      <c r="JQR1155" s="7"/>
      <c r="JQS1155" s="7"/>
      <c r="JQT1155" s="7"/>
      <c r="JQU1155" s="7"/>
      <c r="JQV1155" s="7"/>
      <c r="JQW1155" s="7"/>
      <c r="JQX1155" s="7"/>
      <c r="JQY1155" s="7"/>
      <c r="JQZ1155" s="7"/>
      <c r="JRA1155" s="7"/>
      <c r="JRB1155" s="7"/>
      <c r="JRC1155" s="7"/>
      <c r="JRD1155" s="7"/>
      <c r="JRE1155" s="7"/>
      <c r="JRF1155" s="7"/>
      <c r="JRG1155" s="7"/>
      <c r="JRH1155" s="7"/>
      <c r="JRI1155" s="7"/>
      <c r="JRJ1155" s="7"/>
      <c r="JRK1155" s="7"/>
      <c r="JRL1155" s="7"/>
      <c r="JRM1155" s="7"/>
      <c r="JRN1155" s="7"/>
      <c r="JRO1155" s="7"/>
      <c r="JRP1155" s="7"/>
      <c r="JRQ1155" s="7"/>
      <c r="JRR1155" s="7"/>
      <c r="JRS1155" s="7"/>
      <c r="JRT1155" s="7"/>
      <c r="JRU1155" s="7"/>
      <c r="JRV1155" s="7"/>
      <c r="JRW1155" s="7"/>
      <c r="JRX1155" s="7"/>
      <c r="JRY1155" s="7"/>
      <c r="JRZ1155" s="7"/>
      <c r="JSA1155" s="7"/>
      <c r="JSB1155" s="7"/>
      <c r="JSC1155" s="7"/>
      <c r="JSD1155" s="7"/>
      <c r="JSE1155" s="7"/>
      <c r="JSF1155" s="7"/>
      <c r="JSG1155" s="7"/>
      <c r="JSH1155" s="7"/>
      <c r="JSI1155" s="7"/>
      <c r="JSJ1155" s="7"/>
      <c r="JSK1155" s="7"/>
      <c r="JSL1155" s="7"/>
      <c r="JSM1155" s="7"/>
      <c r="JSN1155" s="7"/>
      <c r="JSO1155" s="7"/>
      <c r="JSP1155" s="7"/>
      <c r="JSQ1155" s="7"/>
      <c r="JSR1155" s="7"/>
      <c r="JSS1155" s="7"/>
      <c r="JST1155" s="7"/>
      <c r="JSU1155" s="7"/>
      <c r="JSV1155" s="7"/>
      <c r="JSW1155" s="7"/>
      <c r="JSX1155" s="7"/>
      <c r="JSY1155" s="7"/>
      <c r="JSZ1155" s="7"/>
      <c r="JTA1155" s="7"/>
      <c r="JTB1155" s="7"/>
      <c r="JTC1155" s="7"/>
      <c r="JTD1155" s="7"/>
      <c r="JTE1155" s="7"/>
      <c r="JTF1155" s="7"/>
      <c r="JTG1155" s="7"/>
      <c r="JTH1155" s="7"/>
      <c r="JTI1155" s="7"/>
      <c r="JTJ1155" s="7"/>
      <c r="JTK1155" s="7"/>
      <c r="JTL1155" s="7"/>
      <c r="JTM1155" s="7"/>
      <c r="JTN1155" s="7"/>
      <c r="JTO1155" s="7"/>
      <c r="JTP1155" s="7"/>
      <c r="JTQ1155" s="7"/>
      <c r="JTR1155" s="7"/>
      <c r="JTS1155" s="7"/>
      <c r="JTT1155" s="7"/>
      <c r="JTU1155" s="7"/>
      <c r="JTV1155" s="7"/>
      <c r="JTW1155" s="7"/>
      <c r="JTX1155" s="7"/>
      <c r="JTY1155" s="7"/>
      <c r="JTZ1155" s="7"/>
      <c r="JUA1155" s="7"/>
      <c r="JUB1155" s="7"/>
      <c r="JUC1155" s="7"/>
      <c r="JUD1155" s="7"/>
      <c r="JUE1155" s="7"/>
      <c r="JUF1155" s="7"/>
      <c r="JUG1155" s="7"/>
      <c r="JUH1155" s="7"/>
      <c r="JUI1155" s="7"/>
      <c r="JUJ1155" s="7"/>
      <c r="JUK1155" s="7"/>
      <c r="JUL1155" s="7"/>
      <c r="JUM1155" s="7"/>
      <c r="JUN1155" s="7"/>
      <c r="JUO1155" s="7"/>
      <c r="JUP1155" s="7"/>
      <c r="JUQ1155" s="7"/>
      <c r="JUR1155" s="7"/>
      <c r="JUS1155" s="7"/>
      <c r="JUT1155" s="7"/>
      <c r="JUU1155" s="7"/>
      <c r="JUV1155" s="7"/>
      <c r="JUW1155" s="7"/>
      <c r="JUX1155" s="7"/>
      <c r="JUY1155" s="7"/>
      <c r="JUZ1155" s="7"/>
      <c r="JVA1155" s="7"/>
      <c r="JVB1155" s="7"/>
      <c r="JVC1155" s="7"/>
      <c r="JVD1155" s="7"/>
      <c r="JVE1155" s="7"/>
      <c r="JVF1155" s="7"/>
      <c r="JVG1155" s="7"/>
      <c r="JVH1155" s="7"/>
      <c r="JVI1155" s="7"/>
      <c r="JVJ1155" s="7"/>
      <c r="JVK1155" s="7"/>
      <c r="JVL1155" s="7"/>
      <c r="JVM1155" s="7"/>
      <c r="JVN1155" s="7"/>
      <c r="JVO1155" s="7"/>
      <c r="JVP1155" s="7"/>
      <c r="JVQ1155" s="7"/>
      <c r="JVR1155" s="7"/>
      <c r="JVS1155" s="7"/>
      <c r="JVT1155" s="7"/>
      <c r="JVU1155" s="7"/>
      <c r="JVV1155" s="7"/>
      <c r="JVW1155" s="7"/>
      <c r="JVX1155" s="7"/>
      <c r="JVY1155" s="7"/>
      <c r="JVZ1155" s="7"/>
      <c r="JWA1155" s="7"/>
      <c r="JWB1155" s="7"/>
      <c r="JWC1155" s="7"/>
      <c r="JWD1155" s="7"/>
      <c r="JWE1155" s="7"/>
      <c r="JWF1155" s="7"/>
      <c r="JWG1155" s="7"/>
      <c r="JWH1155" s="7"/>
      <c r="JWI1155" s="7"/>
      <c r="JWJ1155" s="7"/>
      <c r="JWK1155" s="7"/>
      <c r="JWL1155" s="7"/>
      <c r="JWM1155" s="7"/>
      <c r="JWN1155" s="7"/>
      <c r="JWO1155" s="7"/>
      <c r="JWP1155" s="7"/>
      <c r="JWQ1155" s="7"/>
      <c r="JWR1155" s="7"/>
      <c r="JWS1155" s="7"/>
      <c r="JWT1155" s="7"/>
      <c r="JWU1155" s="7"/>
      <c r="JWV1155" s="7"/>
      <c r="JWW1155" s="7"/>
      <c r="JWX1155" s="7"/>
      <c r="JWY1155" s="7"/>
      <c r="JWZ1155" s="7"/>
      <c r="JXA1155" s="7"/>
      <c r="JXB1155" s="7"/>
      <c r="JXC1155" s="7"/>
      <c r="JXD1155" s="7"/>
      <c r="JXE1155" s="7"/>
      <c r="JXF1155" s="7"/>
      <c r="JXG1155" s="7"/>
      <c r="JXH1155" s="7"/>
      <c r="JXI1155" s="7"/>
      <c r="JXJ1155" s="7"/>
      <c r="JXK1155" s="7"/>
      <c r="JXL1155" s="7"/>
      <c r="JXM1155" s="7"/>
      <c r="JXN1155" s="7"/>
      <c r="JXO1155" s="7"/>
      <c r="JXP1155" s="7"/>
      <c r="JXQ1155" s="7"/>
      <c r="JXR1155" s="7"/>
      <c r="JXS1155" s="7"/>
      <c r="JXT1155" s="7"/>
      <c r="JXU1155" s="7"/>
      <c r="JXV1155" s="7"/>
      <c r="JXW1155" s="7"/>
      <c r="JXX1155" s="7"/>
      <c r="JXY1155" s="7"/>
      <c r="JXZ1155" s="7"/>
      <c r="JYA1155" s="7"/>
      <c r="JYB1155" s="7"/>
      <c r="JYC1155" s="7"/>
      <c r="JYD1155" s="7"/>
      <c r="JYE1155" s="7"/>
      <c r="JYF1155" s="7"/>
      <c r="JYG1155" s="7"/>
      <c r="JYH1155" s="7"/>
      <c r="JYI1155" s="7"/>
      <c r="JYJ1155" s="7"/>
      <c r="JYK1155" s="7"/>
      <c r="JYL1155" s="7"/>
      <c r="JYM1155" s="7"/>
      <c r="JYN1155" s="7"/>
      <c r="JYO1155" s="7"/>
      <c r="JYP1155" s="7"/>
      <c r="JYQ1155" s="7"/>
      <c r="JYR1155" s="7"/>
      <c r="JYS1155" s="7"/>
      <c r="JYT1155" s="7"/>
      <c r="JYU1155" s="7"/>
      <c r="JYV1155" s="7"/>
      <c r="JYW1155" s="7"/>
      <c r="JYX1155" s="7"/>
      <c r="JYY1155" s="7"/>
      <c r="JYZ1155" s="7"/>
      <c r="JZA1155" s="7"/>
      <c r="JZB1155" s="7"/>
      <c r="JZC1155" s="7"/>
      <c r="JZD1155" s="7"/>
      <c r="JZE1155" s="7"/>
      <c r="JZF1155" s="7"/>
      <c r="JZG1155" s="7"/>
      <c r="JZH1155" s="7"/>
      <c r="JZI1155" s="7"/>
      <c r="JZJ1155" s="7"/>
      <c r="JZK1155" s="7"/>
      <c r="JZL1155" s="7"/>
      <c r="JZM1155" s="7"/>
      <c r="JZN1155" s="7"/>
      <c r="JZO1155" s="7"/>
      <c r="JZP1155" s="7"/>
      <c r="JZQ1155" s="7"/>
      <c r="JZR1155" s="7"/>
      <c r="JZS1155" s="7"/>
      <c r="JZT1155" s="7"/>
      <c r="JZU1155" s="7"/>
      <c r="JZV1155" s="7"/>
      <c r="JZW1155" s="7"/>
      <c r="JZX1155" s="7"/>
      <c r="JZY1155" s="7"/>
      <c r="JZZ1155" s="7"/>
      <c r="KAA1155" s="7"/>
      <c r="KAB1155" s="7"/>
      <c r="KAC1155" s="7"/>
      <c r="KAD1155" s="7"/>
      <c r="KAE1155" s="7"/>
      <c r="KAF1155" s="7"/>
      <c r="KAG1155" s="7"/>
      <c r="KAH1155" s="7"/>
      <c r="KAI1155" s="7"/>
      <c r="KAJ1155" s="7"/>
      <c r="KAK1155" s="7"/>
      <c r="KAL1155" s="7"/>
      <c r="KAM1155" s="7"/>
      <c r="KAN1155" s="7"/>
      <c r="KAO1155" s="7"/>
      <c r="KAP1155" s="7"/>
      <c r="KAQ1155" s="7"/>
      <c r="KAR1155" s="7"/>
      <c r="KAS1155" s="7"/>
      <c r="KAT1155" s="7"/>
      <c r="KAU1155" s="7"/>
      <c r="KAV1155" s="7"/>
      <c r="KAW1155" s="7"/>
      <c r="KAX1155" s="7"/>
      <c r="KAY1155" s="7"/>
      <c r="KAZ1155" s="7"/>
      <c r="KBA1155" s="7"/>
      <c r="KBB1155" s="7"/>
      <c r="KBC1155" s="7"/>
      <c r="KBD1155" s="7"/>
      <c r="KBE1155" s="7"/>
      <c r="KBF1155" s="7"/>
      <c r="KBG1155" s="7"/>
      <c r="KBH1155" s="7"/>
      <c r="KBI1155" s="7"/>
      <c r="KBJ1155" s="7"/>
      <c r="KBK1155" s="7"/>
      <c r="KBL1155" s="7"/>
      <c r="KBM1155" s="7"/>
      <c r="KBN1155" s="7"/>
      <c r="KBO1155" s="7"/>
      <c r="KBP1155" s="7"/>
      <c r="KBQ1155" s="7"/>
      <c r="KBR1155" s="7"/>
      <c r="KBS1155" s="7"/>
      <c r="KBT1155" s="7"/>
      <c r="KBU1155" s="7"/>
      <c r="KBV1155" s="7"/>
      <c r="KBW1155" s="7"/>
      <c r="KBX1155" s="7"/>
      <c r="KBY1155" s="7"/>
      <c r="KBZ1155" s="7"/>
      <c r="KCA1155" s="7"/>
      <c r="KCB1155" s="7"/>
      <c r="KCC1155" s="7"/>
      <c r="KCD1155" s="7"/>
      <c r="KCE1155" s="7"/>
      <c r="KCF1155" s="7"/>
      <c r="KCG1155" s="7"/>
      <c r="KCH1155" s="7"/>
      <c r="KCI1155" s="7"/>
      <c r="KCJ1155" s="7"/>
      <c r="KCK1155" s="7"/>
      <c r="KCL1155" s="7"/>
      <c r="KCM1155" s="7"/>
      <c r="KCN1155" s="7"/>
      <c r="KCO1155" s="7"/>
      <c r="KCP1155" s="7"/>
      <c r="KCQ1155" s="7"/>
      <c r="KCR1155" s="7"/>
      <c r="KCS1155" s="7"/>
      <c r="KCT1155" s="7"/>
      <c r="KCU1155" s="7"/>
      <c r="KCV1155" s="7"/>
      <c r="KCW1155" s="7"/>
      <c r="KCX1155" s="7"/>
      <c r="KCY1155" s="7"/>
      <c r="KCZ1155" s="7"/>
      <c r="KDA1155" s="7"/>
      <c r="KDB1155" s="7"/>
      <c r="KDC1155" s="7"/>
      <c r="KDD1155" s="7"/>
      <c r="KDE1155" s="7"/>
      <c r="KDF1155" s="7"/>
      <c r="KDG1155" s="7"/>
      <c r="KDH1155" s="7"/>
      <c r="KDI1155" s="7"/>
      <c r="KDJ1155" s="7"/>
      <c r="KDK1155" s="7"/>
      <c r="KDL1155" s="7"/>
      <c r="KDM1155" s="7"/>
      <c r="KDN1155" s="7"/>
      <c r="KDO1155" s="7"/>
      <c r="KDP1155" s="7"/>
      <c r="KDQ1155" s="7"/>
      <c r="KDR1155" s="7"/>
      <c r="KDS1155" s="7"/>
      <c r="KDT1155" s="7"/>
      <c r="KDU1155" s="7"/>
      <c r="KDV1155" s="7"/>
      <c r="KDW1155" s="7"/>
      <c r="KDX1155" s="7"/>
      <c r="KDY1155" s="7"/>
      <c r="KDZ1155" s="7"/>
      <c r="KEA1155" s="7"/>
      <c r="KEB1155" s="7"/>
      <c r="KEC1155" s="7"/>
      <c r="KED1155" s="7"/>
      <c r="KEE1155" s="7"/>
      <c r="KEF1155" s="7"/>
      <c r="KEG1155" s="7"/>
      <c r="KEH1155" s="7"/>
      <c r="KEI1155" s="7"/>
      <c r="KEJ1155" s="7"/>
      <c r="KEK1155" s="7"/>
      <c r="KEL1155" s="7"/>
      <c r="KEM1155" s="7"/>
      <c r="KEN1155" s="7"/>
      <c r="KEO1155" s="7"/>
      <c r="KEP1155" s="7"/>
      <c r="KEQ1155" s="7"/>
      <c r="KER1155" s="7"/>
      <c r="KES1155" s="7"/>
      <c r="KET1155" s="7"/>
      <c r="KEU1155" s="7"/>
      <c r="KEV1155" s="7"/>
      <c r="KEW1155" s="7"/>
      <c r="KEX1155" s="7"/>
      <c r="KEY1155" s="7"/>
      <c r="KEZ1155" s="7"/>
      <c r="KFA1155" s="7"/>
      <c r="KFB1155" s="7"/>
      <c r="KFC1155" s="7"/>
      <c r="KFD1155" s="7"/>
      <c r="KFE1155" s="7"/>
      <c r="KFF1155" s="7"/>
      <c r="KFG1155" s="7"/>
      <c r="KFH1155" s="7"/>
      <c r="KFI1155" s="7"/>
      <c r="KFJ1155" s="7"/>
      <c r="KFK1155" s="7"/>
      <c r="KFL1155" s="7"/>
      <c r="KFM1155" s="7"/>
      <c r="KFN1155" s="7"/>
      <c r="KFO1155" s="7"/>
      <c r="KFP1155" s="7"/>
      <c r="KFQ1155" s="7"/>
      <c r="KFR1155" s="7"/>
      <c r="KFS1155" s="7"/>
      <c r="KFT1155" s="7"/>
      <c r="KFU1155" s="7"/>
      <c r="KFV1155" s="7"/>
      <c r="KFW1155" s="7"/>
      <c r="KFX1155" s="7"/>
      <c r="KFY1155" s="7"/>
      <c r="KFZ1155" s="7"/>
      <c r="KGA1155" s="7"/>
      <c r="KGB1155" s="7"/>
      <c r="KGC1155" s="7"/>
      <c r="KGD1155" s="7"/>
      <c r="KGE1155" s="7"/>
      <c r="KGF1155" s="7"/>
      <c r="KGG1155" s="7"/>
      <c r="KGH1155" s="7"/>
      <c r="KGI1155" s="7"/>
      <c r="KGJ1155" s="7"/>
      <c r="KGK1155" s="7"/>
      <c r="KGL1155" s="7"/>
      <c r="KGM1155" s="7"/>
      <c r="KGN1155" s="7"/>
      <c r="KGO1155" s="7"/>
      <c r="KGP1155" s="7"/>
      <c r="KGQ1155" s="7"/>
      <c r="KGR1155" s="7"/>
      <c r="KGS1155" s="7"/>
      <c r="KGT1155" s="7"/>
      <c r="KGU1155" s="7"/>
      <c r="KGV1155" s="7"/>
      <c r="KGW1155" s="7"/>
      <c r="KGX1155" s="7"/>
      <c r="KGY1155" s="7"/>
      <c r="KGZ1155" s="7"/>
      <c r="KHA1155" s="7"/>
      <c r="KHB1155" s="7"/>
      <c r="KHC1155" s="7"/>
      <c r="KHD1155" s="7"/>
      <c r="KHE1155" s="7"/>
      <c r="KHF1155" s="7"/>
      <c r="KHG1155" s="7"/>
      <c r="KHH1155" s="7"/>
      <c r="KHI1155" s="7"/>
      <c r="KHJ1155" s="7"/>
      <c r="KHK1155" s="7"/>
      <c r="KHL1155" s="7"/>
      <c r="KHM1155" s="7"/>
      <c r="KHN1155" s="7"/>
      <c r="KHO1155" s="7"/>
      <c r="KHP1155" s="7"/>
      <c r="KHQ1155" s="7"/>
      <c r="KHR1155" s="7"/>
      <c r="KHS1155" s="7"/>
      <c r="KHT1155" s="7"/>
      <c r="KHU1155" s="7"/>
      <c r="KHV1155" s="7"/>
      <c r="KHW1155" s="7"/>
      <c r="KHX1155" s="7"/>
      <c r="KHY1155" s="7"/>
      <c r="KHZ1155" s="7"/>
      <c r="KIA1155" s="7"/>
      <c r="KIB1155" s="7"/>
      <c r="KIC1155" s="7"/>
      <c r="KID1155" s="7"/>
      <c r="KIE1155" s="7"/>
      <c r="KIF1155" s="7"/>
      <c r="KIG1155" s="7"/>
      <c r="KIH1155" s="7"/>
      <c r="KII1155" s="7"/>
      <c r="KIJ1155" s="7"/>
      <c r="KIK1155" s="7"/>
      <c r="KIL1155" s="7"/>
      <c r="KIM1155" s="7"/>
      <c r="KIN1155" s="7"/>
      <c r="KIO1155" s="7"/>
      <c r="KIP1155" s="7"/>
      <c r="KIQ1155" s="7"/>
      <c r="KIR1155" s="7"/>
      <c r="KIS1155" s="7"/>
      <c r="KIT1155" s="7"/>
      <c r="KIU1155" s="7"/>
      <c r="KIV1155" s="7"/>
      <c r="KIW1155" s="7"/>
      <c r="KIX1155" s="7"/>
      <c r="KIY1155" s="7"/>
      <c r="KIZ1155" s="7"/>
      <c r="KJA1155" s="7"/>
      <c r="KJB1155" s="7"/>
      <c r="KJC1155" s="7"/>
      <c r="KJD1155" s="7"/>
      <c r="KJE1155" s="7"/>
      <c r="KJF1155" s="7"/>
      <c r="KJG1155" s="7"/>
      <c r="KJH1155" s="7"/>
      <c r="KJI1155" s="7"/>
      <c r="KJJ1155" s="7"/>
      <c r="KJK1155" s="7"/>
      <c r="KJL1155" s="7"/>
      <c r="KJM1155" s="7"/>
      <c r="KJN1155" s="7"/>
      <c r="KJO1155" s="7"/>
      <c r="KJP1155" s="7"/>
      <c r="KJQ1155" s="7"/>
      <c r="KJR1155" s="7"/>
      <c r="KJS1155" s="7"/>
      <c r="KJT1155" s="7"/>
      <c r="KJU1155" s="7"/>
      <c r="KJV1155" s="7"/>
      <c r="KJW1155" s="7"/>
      <c r="KJX1155" s="7"/>
      <c r="KJY1155" s="7"/>
      <c r="KJZ1155" s="7"/>
      <c r="KKA1155" s="7"/>
      <c r="KKB1155" s="7"/>
      <c r="KKC1155" s="7"/>
      <c r="KKD1155" s="7"/>
      <c r="KKE1155" s="7"/>
      <c r="KKF1155" s="7"/>
      <c r="KKG1155" s="7"/>
      <c r="KKH1155" s="7"/>
      <c r="KKI1155" s="7"/>
      <c r="KKJ1155" s="7"/>
      <c r="KKK1155" s="7"/>
      <c r="KKL1155" s="7"/>
      <c r="KKM1155" s="7"/>
      <c r="KKN1155" s="7"/>
      <c r="KKO1155" s="7"/>
      <c r="KKP1155" s="7"/>
      <c r="KKQ1155" s="7"/>
      <c r="KKR1155" s="7"/>
      <c r="KKS1155" s="7"/>
      <c r="KKT1155" s="7"/>
      <c r="KKU1155" s="7"/>
      <c r="KKV1155" s="7"/>
      <c r="KKW1155" s="7"/>
      <c r="KKX1155" s="7"/>
      <c r="KKY1155" s="7"/>
      <c r="KKZ1155" s="7"/>
      <c r="KLA1155" s="7"/>
      <c r="KLB1155" s="7"/>
      <c r="KLC1155" s="7"/>
      <c r="KLD1155" s="7"/>
      <c r="KLE1155" s="7"/>
      <c r="KLF1155" s="7"/>
      <c r="KLG1155" s="7"/>
      <c r="KLH1155" s="7"/>
      <c r="KLI1155" s="7"/>
      <c r="KLJ1155" s="7"/>
      <c r="KLK1155" s="7"/>
      <c r="KLL1155" s="7"/>
      <c r="KLM1155" s="7"/>
      <c r="KLN1155" s="7"/>
      <c r="KLO1155" s="7"/>
      <c r="KLP1155" s="7"/>
      <c r="KLQ1155" s="7"/>
      <c r="KLR1155" s="7"/>
      <c r="KLS1155" s="7"/>
      <c r="KLT1155" s="7"/>
      <c r="KLU1155" s="7"/>
      <c r="KLV1155" s="7"/>
      <c r="KLW1155" s="7"/>
      <c r="KLX1155" s="7"/>
      <c r="KLY1155" s="7"/>
      <c r="KLZ1155" s="7"/>
      <c r="KMA1155" s="7"/>
      <c r="KMB1155" s="7"/>
      <c r="KMC1155" s="7"/>
      <c r="KMD1155" s="7"/>
      <c r="KME1155" s="7"/>
      <c r="KMF1155" s="7"/>
      <c r="KMG1155" s="7"/>
      <c r="KMH1155" s="7"/>
      <c r="KMI1155" s="7"/>
      <c r="KMJ1155" s="7"/>
      <c r="KMK1155" s="7"/>
      <c r="KML1155" s="7"/>
      <c r="KMM1155" s="7"/>
      <c r="KMN1155" s="7"/>
      <c r="KMO1155" s="7"/>
      <c r="KMP1155" s="7"/>
      <c r="KMQ1155" s="7"/>
      <c r="KMR1155" s="7"/>
      <c r="KMS1155" s="7"/>
      <c r="KMT1155" s="7"/>
      <c r="KMU1155" s="7"/>
      <c r="KMV1155" s="7"/>
      <c r="KMW1155" s="7"/>
      <c r="KMX1155" s="7"/>
      <c r="KMY1155" s="7"/>
      <c r="KMZ1155" s="7"/>
      <c r="KNA1155" s="7"/>
      <c r="KNB1155" s="7"/>
      <c r="KNC1155" s="7"/>
      <c r="KND1155" s="7"/>
      <c r="KNE1155" s="7"/>
      <c r="KNF1155" s="7"/>
      <c r="KNG1155" s="7"/>
      <c r="KNH1155" s="7"/>
      <c r="KNI1155" s="7"/>
      <c r="KNJ1155" s="7"/>
      <c r="KNK1155" s="7"/>
      <c r="KNL1155" s="7"/>
      <c r="KNM1155" s="7"/>
      <c r="KNN1155" s="7"/>
      <c r="KNO1155" s="7"/>
      <c r="KNP1155" s="7"/>
      <c r="KNQ1155" s="7"/>
      <c r="KNR1155" s="7"/>
      <c r="KNS1155" s="7"/>
      <c r="KNT1155" s="7"/>
      <c r="KNU1155" s="7"/>
      <c r="KNV1155" s="7"/>
      <c r="KNW1155" s="7"/>
      <c r="KNX1155" s="7"/>
      <c r="KNY1155" s="7"/>
      <c r="KNZ1155" s="7"/>
      <c r="KOA1155" s="7"/>
      <c r="KOB1155" s="7"/>
      <c r="KOC1155" s="7"/>
      <c r="KOD1155" s="7"/>
      <c r="KOE1155" s="7"/>
      <c r="KOF1155" s="7"/>
      <c r="KOG1155" s="7"/>
      <c r="KOH1155" s="7"/>
      <c r="KOI1155" s="7"/>
      <c r="KOJ1155" s="7"/>
      <c r="KOK1155" s="7"/>
      <c r="KOL1155" s="7"/>
      <c r="KOM1155" s="7"/>
      <c r="KON1155" s="7"/>
      <c r="KOO1155" s="7"/>
      <c r="KOP1155" s="7"/>
      <c r="KOQ1155" s="7"/>
      <c r="KOR1155" s="7"/>
      <c r="KOS1155" s="7"/>
      <c r="KOT1155" s="7"/>
      <c r="KOU1155" s="7"/>
      <c r="KOV1155" s="7"/>
      <c r="KOW1155" s="7"/>
      <c r="KOX1155" s="7"/>
      <c r="KOY1155" s="7"/>
      <c r="KOZ1155" s="7"/>
      <c r="KPA1155" s="7"/>
      <c r="KPB1155" s="7"/>
      <c r="KPC1155" s="7"/>
      <c r="KPD1155" s="7"/>
      <c r="KPE1155" s="7"/>
      <c r="KPF1155" s="7"/>
      <c r="KPG1155" s="7"/>
      <c r="KPH1155" s="7"/>
      <c r="KPI1155" s="7"/>
      <c r="KPJ1155" s="7"/>
      <c r="KPK1155" s="7"/>
      <c r="KPL1155" s="7"/>
      <c r="KPM1155" s="7"/>
      <c r="KPN1155" s="7"/>
      <c r="KPO1155" s="7"/>
      <c r="KPP1155" s="7"/>
      <c r="KPQ1155" s="7"/>
      <c r="KPR1155" s="7"/>
      <c r="KPS1155" s="7"/>
      <c r="KPT1155" s="7"/>
      <c r="KPU1155" s="7"/>
      <c r="KPV1155" s="7"/>
      <c r="KPW1155" s="7"/>
      <c r="KPX1155" s="7"/>
      <c r="KPY1155" s="7"/>
      <c r="KPZ1155" s="7"/>
      <c r="KQA1155" s="7"/>
      <c r="KQB1155" s="7"/>
      <c r="KQC1155" s="7"/>
      <c r="KQD1155" s="7"/>
      <c r="KQE1155" s="7"/>
      <c r="KQF1155" s="7"/>
      <c r="KQG1155" s="7"/>
      <c r="KQH1155" s="7"/>
      <c r="KQI1155" s="7"/>
      <c r="KQJ1155" s="7"/>
      <c r="KQK1155" s="7"/>
      <c r="KQL1155" s="7"/>
      <c r="KQM1155" s="7"/>
      <c r="KQN1155" s="7"/>
      <c r="KQO1155" s="7"/>
      <c r="KQP1155" s="7"/>
      <c r="KQQ1155" s="7"/>
      <c r="KQR1155" s="7"/>
      <c r="KQS1155" s="7"/>
      <c r="KQT1155" s="7"/>
      <c r="KQU1155" s="7"/>
      <c r="KQV1155" s="7"/>
      <c r="KQW1155" s="7"/>
      <c r="KQX1155" s="7"/>
      <c r="KQY1155" s="7"/>
      <c r="KQZ1155" s="7"/>
      <c r="KRA1155" s="7"/>
      <c r="KRB1155" s="7"/>
      <c r="KRC1155" s="7"/>
      <c r="KRD1155" s="7"/>
      <c r="KRE1155" s="7"/>
      <c r="KRF1155" s="7"/>
      <c r="KRG1155" s="7"/>
      <c r="KRH1155" s="7"/>
      <c r="KRI1155" s="7"/>
      <c r="KRJ1155" s="7"/>
      <c r="KRK1155" s="7"/>
      <c r="KRL1155" s="7"/>
      <c r="KRM1155" s="7"/>
      <c r="KRN1155" s="7"/>
      <c r="KRO1155" s="7"/>
      <c r="KRP1155" s="7"/>
      <c r="KRQ1155" s="7"/>
      <c r="KRR1155" s="7"/>
      <c r="KRS1155" s="7"/>
      <c r="KRT1155" s="7"/>
      <c r="KRU1155" s="7"/>
      <c r="KRV1155" s="7"/>
      <c r="KRW1155" s="7"/>
      <c r="KRX1155" s="7"/>
      <c r="KRY1155" s="7"/>
      <c r="KRZ1155" s="7"/>
      <c r="KSA1155" s="7"/>
      <c r="KSB1155" s="7"/>
      <c r="KSC1155" s="7"/>
      <c r="KSD1155" s="7"/>
      <c r="KSE1155" s="7"/>
      <c r="KSF1155" s="7"/>
      <c r="KSG1155" s="7"/>
      <c r="KSH1155" s="7"/>
      <c r="KSI1155" s="7"/>
      <c r="KSJ1155" s="7"/>
      <c r="KSK1155" s="7"/>
      <c r="KSL1155" s="7"/>
      <c r="KSM1155" s="7"/>
      <c r="KSN1155" s="7"/>
      <c r="KSO1155" s="7"/>
      <c r="KSP1155" s="7"/>
      <c r="KSQ1155" s="7"/>
      <c r="KSR1155" s="7"/>
      <c r="KSS1155" s="7"/>
      <c r="KST1155" s="7"/>
      <c r="KSU1155" s="7"/>
      <c r="KSV1155" s="7"/>
      <c r="KSW1155" s="7"/>
      <c r="KSX1155" s="7"/>
      <c r="KSY1155" s="7"/>
      <c r="KSZ1155" s="7"/>
      <c r="KTA1155" s="7"/>
      <c r="KTB1155" s="7"/>
      <c r="KTC1155" s="7"/>
      <c r="KTD1155" s="7"/>
      <c r="KTE1155" s="7"/>
      <c r="KTF1155" s="7"/>
      <c r="KTG1155" s="7"/>
      <c r="KTH1155" s="7"/>
      <c r="KTI1155" s="7"/>
      <c r="KTJ1155" s="7"/>
      <c r="KTK1155" s="7"/>
      <c r="KTL1155" s="7"/>
      <c r="KTM1155" s="7"/>
      <c r="KTN1155" s="7"/>
      <c r="KTO1155" s="7"/>
      <c r="KTP1155" s="7"/>
      <c r="KTQ1155" s="7"/>
      <c r="KTR1155" s="7"/>
      <c r="KTS1155" s="7"/>
      <c r="KTT1155" s="7"/>
      <c r="KTU1155" s="7"/>
      <c r="KTV1155" s="7"/>
      <c r="KTW1155" s="7"/>
      <c r="KTX1155" s="7"/>
      <c r="KTY1155" s="7"/>
      <c r="KTZ1155" s="7"/>
      <c r="KUA1155" s="7"/>
      <c r="KUB1155" s="7"/>
      <c r="KUC1155" s="7"/>
      <c r="KUD1155" s="7"/>
      <c r="KUE1155" s="7"/>
      <c r="KUF1155" s="7"/>
      <c r="KUG1155" s="7"/>
      <c r="KUH1155" s="7"/>
      <c r="KUI1155" s="7"/>
      <c r="KUJ1155" s="7"/>
      <c r="KUK1155" s="7"/>
      <c r="KUL1155" s="7"/>
      <c r="KUM1155" s="7"/>
      <c r="KUN1155" s="7"/>
      <c r="KUO1155" s="7"/>
      <c r="KUP1155" s="7"/>
      <c r="KUQ1155" s="7"/>
      <c r="KUR1155" s="7"/>
      <c r="KUS1155" s="7"/>
      <c r="KUT1155" s="7"/>
      <c r="KUU1155" s="7"/>
      <c r="KUV1155" s="7"/>
      <c r="KUW1155" s="7"/>
      <c r="KUX1155" s="7"/>
      <c r="KUY1155" s="7"/>
      <c r="KUZ1155" s="7"/>
      <c r="KVA1155" s="7"/>
      <c r="KVB1155" s="7"/>
      <c r="KVC1155" s="7"/>
      <c r="KVD1155" s="7"/>
      <c r="KVE1155" s="7"/>
      <c r="KVF1155" s="7"/>
      <c r="KVG1155" s="7"/>
      <c r="KVH1155" s="7"/>
      <c r="KVI1155" s="7"/>
      <c r="KVJ1155" s="7"/>
      <c r="KVK1155" s="7"/>
      <c r="KVL1155" s="7"/>
      <c r="KVM1155" s="7"/>
      <c r="KVN1155" s="7"/>
      <c r="KVO1155" s="7"/>
      <c r="KVP1155" s="7"/>
      <c r="KVQ1155" s="7"/>
      <c r="KVR1155" s="7"/>
      <c r="KVS1155" s="7"/>
      <c r="KVT1155" s="7"/>
      <c r="KVU1155" s="7"/>
      <c r="KVV1155" s="7"/>
      <c r="KVW1155" s="7"/>
      <c r="KVX1155" s="7"/>
      <c r="KVY1155" s="7"/>
      <c r="KVZ1155" s="7"/>
      <c r="KWA1155" s="7"/>
      <c r="KWB1155" s="7"/>
      <c r="KWC1155" s="7"/>
      <c r="KWD1155" s="7"/>
      <c r="KWE1155" s="7"/>
      <c r="KWF1155" s="7"/>
      <c r="KWG1155" s="7"/>
      <c r="KWH1155" s="7"/>
      <c r="KWI1155" s="7"/>
      <c r="KWJ1155" s="7"/>
      <c r="KWK1155" s="7"/>
      <c r="KWL1155" s="7"/>
      <c r="KWM1155" s="7"/>
      <c r="KWN1155" s="7"/>
      <c r="KWO1155" s="7"/>
      <c r="KWP1155" s="7"/>
      <c r="KWQ1155" s="7"/>
      <c r="KWR1155" s="7"/>
      <c r="KWS1155" s="7"/>
      <c r="KWT1155" s="7"/>
      <c r="KWU1155" s="7"/>
      <c r="KWV1155" s="7"/>
      <c r="KWW1155" s="7"/>
      <c r="KWX1155" s="7"/>
      <c r="KWY1155" s="7"/>
      <c r="KWZ1155" s="7"/>
      <c r="KXA1155" s="7"/>
      <c r="KXB1155" s="7"/>
      <c r="KXC1155" s="7"/>
      <c r="KXD1155" s="7"/>
      <c r="KXE1155" s="7"/>
      <c r="KXF1155" s="7"/>
      <c r="KXG1155" s="7"/>
      <c r="KXH1155" s="7"/>
      <c r="KXI1155" s="7"/>
      <c r="KXJ1155" s="7"/>
      <c r="KXK1155" s="7"/>
      <c r="KXL1155" s="7"/>
      <c r="KXM1155" s="7"/>
      <c r="KXN1155" s="7"/>
      <c r="KXO1155" s="7"/>
      <c r="KXP1155" s="7"/>
      <c r="KXQ1155" s="7"/>
      <c r="KXR1155" s="7"/>
      <c r="KXS1155" s="7"/>
      <c r="KXT1155" s="7"/>
      <c r="KXU1155" s="7"/>
      <c r="KXV1155" s="7"/>
      <c r="KXW1155" s="7"/>
      <c r="KXX1155" s="7"/>
      <c r="KXY1155" s="7"/>
      <c r="KXZ1155" s="7"/>
      <c r="KYA1155" s="7"/>
      <c r="KYB1155" s="7"/>
      <c r="KYC1155" s="7"/>
      <c r="KYD1155" s="7"/>
      <c r="KYE1155" s="7"/>
      <c r="KYF1155" s="7"/>
      <c r="KYG1155" s="7"/>
      <c r="KYH1155" s="7"/>
      <c r="KYI1155" s="7"/>
      <c r="KYJ1155" s="7"/>
      <c r="KYK1155" s="7"/>
      <c r="KYL1155" s="7"/>
      <c r="KYM1155" s="7"/>
      <c r="KYN1155" s="7"/>
      <c r="KYO1155" s="7"/>
      <c r="KYP1155" s="7"/>
      <c r="KYQ1155" s="7"/>
      <c r="KYR1155" s="7"/>
      <c r="KYS1155" s="7"/>
      <c r="KYT1155" s="7"/>
      <c r="KYU1155" s="7"/>
      <c r="KYV1155" s="7"/>
      <c r="KYW1155" s="7"/>
      <c r="KYX1155" s="7"/>
      <c r="KYY1155" s="7"/>
      <c r="KYZ1155" s="7"/>
      <c r="KZA1155" s="7"/>
      <c r="KZB1155" s="7"/>
      <c r="KZC1155" s="7"/>
      <c r="KZD1155" s="7"/>
      <c r="KZE1155" s="7"/>
      <c r="KZF1155" s="7"/>
      <c r="KZG1155" s="7"/>
      <c r="KZH1155" s="7"/>
      <c r="KZI1155" s="7"/>
      <c r="KZJ1155" s="7"/>
      <c r="KZK1155" s="7"/>
      <c r="KZL1155" s="7"/>
      <c r="KZM1155" s="7"/>
      <c r="KZN1155" s="7"/>
      <c r="KZO1155" s="7"/>
      <c r="KZP1155" s="7"/>
      <c r="KZQ1155" s="7"/>
      <c r="KZR1155" s="7"/>
      <c r="KZS1155" s="7"/>
      <c r="KZT1155" s="7"/>
      <c r="KZU1155" s="7"/>
      <c r="KZV1155" s="7"/>
      <c r="KZW1155" s="7"/>
      <c r="KZX1155" s="7"/>
      <c r="KZY1155" s="7"/>
      <c r="KZZ1155" s="7"/>
      <c r="LAA1155" s="7"/>
      <c r="LAB1155" s="7"/>
      <c r="LAC1155" s="7"/>
      <c r="LAD1155" s="7"/>
      <c r="LAE1155" s="7"/>
      <c r="LAF1155" s="7"/>
      <c r="LAG1155" s="7"/>
      <c r="LAH1155" s="7"/>
      <c r="LAI1155" s="7"/>
      <c r="LAJ1155" s="7"/>
      <c r="LAK1155" s="7"/>
      <c r="LAL1155" s="7"/>
      <c r="LAM1155" s="7"/>
      <c r="LAN1155" s="7"/>
      <c r="LAO1155" s="7"/>
      <c r="LAP1155" s="7"/>
      <c r="LAQ1155" s="7"/>
      <c r="LAR1155" s="7"/>
      <c r="LAS1155" s="7"/>
      <c r="LAT1155" s="7"/>
      <c r="LAU1155" s="7"/>
      <c r="LAV1155" s="7"/>
      <c r="LAW1155" s="7"/>
      <c r="LAX1155" s="7"/>
      <c r="LAY1155" s="7"/>
      <c r="LAZ1155" s="7"/>
      <c r="LBA1155" s="7"/>
      <c r="LBB1155" s="7"/>
      <c r="LBC1155" s="7"/>
      <c r="LBD1155" s="7"/>
      <c r="LBE1155" s="7"/>
      <c r="LBF1155" s="7"/>
      <c r="LBG1155" s="7"/>
      <c r="LBH1155" s="7"/>
      <c r="LBI1155" s="7"/>
      <c r="LBJ1155" s="7"/>
      <c r="LBK1155" s="7"/>
      <c r="LBL1155" s="7"/>
      <c r="LBM1155" s="7"/>
      <c r="LBN1155" s="7"/>
      <c r="LBO1155" s="7"/>
      <c r="LBP1155" s="7"/>
      <c r="LBQ1155" s="7"/>
      <c r="LBR1155" s="7"/>
      <c r="LBS1155" s="7"/>
      <c r="LBT1155" s="7"/>
      <c r="LBU1155" s="7"/>
      <c r="LBV1155" s="7"/>
      <c r="LBW1155" s="7"/>
      <c r="LBX1155" s="7"/>
      <c r="LBY1155" s="7"/>
      <c r="LBZ1155" s="7"/>
      <c r="LCA1155" s="7"/>
      <c r="LCB1155" s="7"/>
      <c r="LCC1155" s="7"/>
      <c r="LCD1155" s="7"/>
      <c r="LCE1155" s="7"/>
      <c r="LCF1155" s="7"/>
      <c r="LCG1155" s="7"/>
      <c r="LCH1155" s="7"/>
      <c r="LCI1155" s="7"/>
      <c r="LCJ1155" s="7"/>
      <c r="LCK1155" s="7"/>
      <c r="LCL1155" s="7"/>
      <c r="LCM1155" s="7"/>
      <c r="LCN1155" s="7"/>
      <c r="LCO1155" s="7"/>
      <c r="LCP1155" s="7"/>
      <c r="LCQ1155" s="7"/>
      <c r="LCR1155" s="7"/>
      <c r="LCS1155" s="7"/>
      <c r="LCT1155" s="7"/>
      <c r="LCU1155" s="7"/>
      <c r="LCV1155" s="7"/>
      <c r="LCW1155" s="7"/>
      <c r="LCX1155" s="7"/>
      <c r="LCY1155" s="7"/>
      <c r="LCZ1155" s="7"/>
      <c r="LDA1155" s="7"/>
      <c r="LDB1155" s="7"/>
      <c r="LDC1155" s="7"/>
      <c r="LDD1155" s="7"/>
      <c r="LDE1155" s="7"/>
      <c r="LDF1155" s="7"/>
      <c r="LDG1155" s="7"/>
      <c r="LDH1155" s="7"/>
      <c r="LDI1155" s="7"/>
      <c r="LDJ1155" s="7"/>
      <c r="LDK1155" s="7"/>
      <c r="LDL1155" s="7"/>
      <c r="LDM1155" s="7"/>
      <c r="LDN1155" s="7"/>
      <c r="LDO1155" s="7"/>
      <c r="LDP1155" s="7"/>
      <c r="LDQ1155" s="7"/>
      <c r="LDR1155" s="7"/>
      <c r="LDS1155" s="7"/>
      <c r="LDT1155" s="7"/>
      <c r="LDU1155" s="7"/>
      <c r="LDV1155" s="7"/>
      <c r="LDW1155" s="7"/>
      <c r="LDX1155" s="7"/>
      <c r="LDY1155" s="7"/>
      <c r="LDZ1155" s="7"/>
      <c r="LEA1155" s="7"/>
      <c r="LEB1155" s="7"/>
      <c r="LEC1155" s="7"/>
      <c r="LED1155" s="7"/>
      <c r="LEE1155" s="7"/>
      <c r="LEF1155" s="7"/>
      <c r="LEG1155" s="7"/>
      <c r="LEH1155" s="7"/>
      <c r="LEI1155" s="7"/>
      <c r="LEJ1155" s="7"/>
      <c r="LEK1155" s="7"/>
      <c r="LEL1155" s="7"/>
      <c r="LEM1155" s="7"/>
      <c r="LEN1155" s="7"/>
      <c r="LEO1155" s="7"/>
      <c r="LEP1155" s="7"/>
      <c r="LEQ1155" s="7"/>
      <c r="LER1155" s="7"/>
      <c r="LES1155" s="7"/>
      <c r="LET1155" s="7"/>
      <c r="LEU1155" s="7"/>
      <c r="LEV1155" s="7"/>
      <c r="LEW1155" s="7"/>
      <c r="LEX1155" s="7"/>
      <c r="LEY1155" s="7"/>
      <c r="LEZ1155" s="7"/>
      <c r="LFA1155" s="7"/>
      <c r="LFB1155" s="7"/>
      <c r="LFC1155" s="7"/>
      <c r="LFD1155" s="7"/>
      <c r="LFE1155" s="7"/>
      <c r="LFF1155" s="7"/>
      <c r="LFG1155" s="7"/>
      <c r="LFH1155" s="7"/>
      <c r="LFI1155" s="7"/>
      <c r="LFJ1155" s="7"/>
      <c r="LFK1155" s="7"/>
      <c r="LFL1155" s="7"/>
      <c r="LFM1155" s="7"/>
      <c r="LFN1155" s="7"/>
      <c r="LFO1155" s="7"/>
      <c r="LFP1155" s="7"/>
      <c r="LFQ1155" s="7"/>
      <c r="LFR1155" s="7"/>
      <c r="LFS1155" s="7"/>
      <c r="LFT1155" s="7"/>
      <c r="LFU1155" s="7"/>
      <c r="LFV1155" s="7"/>
      <c r="LFW1155" s="7"/>
      <c r="LFX1155" s="7"/>
      <c r="LFY1155" s="7"/>
      <c r="LFZ1155" s="7"/>
      <c r="LGA1155" s="7"/>
      <c r="LGB1155" s="7"/>
      <c r="LGC1155" s="7"/>
      <c r="LGD1155" s="7"/>
      <c r="LGE1155" s="7"/>
      <c r="LGF1155" s="7"/>
      <c r="LGG1155" s="7"/>
      <c r="LGH1155" s="7"/>
      <c r="LGI1155" s="7"/>
      <c r="LGJ1155" s="7"/>
      <c r="LGK1155" s="7"/>
      <c r="LGL1155" s="7"/>
      <c r="LGM1155" s="7"/>
      <c r="LGN1155" s="7"/>
      <c r="LGO1155" s="7"/>
      <c r="LGP1155" s="7"/>
      <c r="LGQ1155" s="7"/>
      <c r="LGR1155" s="7"/>
      <c r="LGS1155" s="7"/>
      <c r="LGT1155" s="7"/>
      <c r="LGU1155" s="7"/>
      <c r="LGV1155" s="7"/>
      <c r="LGW1155" s="7"/>
      <c r="LGX1155" s="7"/>
      <c r="LGY1155" s="7"/>
      <c r="LGZ1155" s="7"/>
      <c r="LHA1155" s="7"/>
      <c r="LHB1155" s="7"/>
      <c r="LHC1155" s="7"/>
      <c r="LHD1155" s="7"/>
      <c r="LHE1155" s="7"/>
      <c r="LHF1155" s="7"/>
      <c r="LHG1155" s="7"/>
      <c r="LHH1155" s="7"/>
      <c r="LHI1155" s="7"/>
      <c r="LHJ1155" s="7"/>
      <c r="LHK1155" s="7"/>
      <c r="LHL1155" s="7"/>
      <c r="LHM1155" s="7"/>
      <c r="LHN1155" s="7"/>
      <c r="LHO1155" s="7"/>
      <c r="LHP1155" s="7"/>
      <c r="LHQ1155" s="7"/>
      <c r="LHR1155" s="7"/>
      <c r="LHS1155" s="7"/>
      <c r="LHT1155" s="7"/>
      <c r="LHU1155" s="7"/>
      <c r="LHV1155" s="7"/>
      <c r="LHW1155" s="7"/>
      <c r="LHX1155" s="7"/>
      <c r="LHY1155" s="7"/>
      <c r="LHZ1155" s="7"/>
      <c r="LIA1155" s="7"/>
      <c r="LIB1155" s="7"/>
      <c r="LIC1155" s="7"/>
      <c r="LID1155" s="7"/>
      <c r="LIE1155" s="7"/>
      <c r="LIF1155" s="7"/>
      <c r="LIG1155" s="7"/>
      <c r="LIH1155" s="7"/>
      <c r="LII1155" s="7"/>
      <c r="LIJ1155" s="7"/>
      <c r="LIK1155" s="7"/>
      <c r="LIL1155" s="7"/>
      <c r="LIM1155" s="7"/>
      <c r="LIN1155" s="7"/>
      <c r="LIO1155" s="7"/>
      <c r="LIP1155" s="7"/>
      <c r="LIQ1155" s="7"/>
      <c r="LIR1155" s="7"/>
      <c r="LIS1155" s="7"/>
      <c r="LIT1155" s="7"/>
      <c r="LIU1155" s="7"/>
      <c r="LIV1155" s="7"/>
      <c r="LIW1155" s="7"/>
      <c r="LIX1155" s="7"/>
      <c r="LIY1155" s="7"/>
      <c r="LIZ1155" s="7"/>
      <c r="LJA1155" s="7"/>
      <c r="LJB1155" s="7"/>
      <c r="LJC1155" s="7"/>
      <c r="LJD1155" s="7"/>
      <c r="LJE1155" s="7"/>
      <c r="LJF1155" s="7"/>
      <c r="LJG1155" s="7"/>
      <c r="LJH1155" s="7"/>
      <c r="LJI1155" s="7"/>
      <c r="LJJ1155" s="7"/>
      <c r="LJK1155" s="7"/>
      <c r="LJL1155" s="7"/>
      <c r="LJM1155" s="7"/>
      <c r="LJN1155" s="7"/>
      <c r="LJO1155" s="7"/>
      <c r="LJP1155" s="7"/>
      <c r="LJQ1155" s="7"/>
      <c r="LJR1155" s="7"/>
      <c r="LJS1155" s="7"/>
      <c r="LJT1155" s="7"/>
      <c r="LJU1155" s="7"/>
      <c r="LJV1155" s="7"/>
      <c r="LJW1155" s="7"/>
      <c r="LJX1155" s="7"/>
      <c r="LJY1155" s="7"/>
      <c r="LJZ1155" s="7"/>
      <c r="LKA1155" s="7"/>
      <c r="LKB1155" s="7"/>
      <c r="LKC1155" s="7"/>
      <c r="LKD1155" s="7"/>
      <c r="LKE1155" s="7"/>
      <c r="LKF1155" s="7"/>
      <c r="LKG1155" s="7"/>
      <c r="LKH1155" s="7"/>
      <c r="LKI1155" s="7"/>
      <c r="LKJ1155" s="7"/>
      <c r="LKK1155" s="7"/>
      <c r="LKL1155" s="7"/>
      <c r="LKM1155" s="7"/>
      <c r="LKN1155" s="7"/>
      <c r="LKO1155" s="7"/>
      <c r="LKP1155" s="7"/>
      <c r="LKQ1155" s="7"/>
      <c r="LKR1155" s="7"/>
      <c r="LKS1155" s="7"/>
      <c r="LKT1155" s="7"/>
      <c r="LKU1155" s="7"/>
      <c r="LKV1155" s="7"/>
      <c r="LKW1155" s="7"/>
      <c r="LKX1155" s="7"/>
      <c r="LKY1155" s="7"/>
      <c r="LKZ1155" s="7"/>
      <c r="LLA1155" s="7"/>
      <c r="LLB1155" s="7"/>
      <c r="LLC1155" s="7"/>
      <c r="LLD1155" s="7"/>
      <c r="LLE1155" s="7"/>
      <c r="LLF1155" s="7"/>
      <c r="LLG1155" s="7"/>
      <c r="LLH1155" s="7"/>
      <c r="LLI1155" s="7"/>
      <c r="LLJ1155" s="7"/>
      <c r="LLK1155" s="7"/>
      <c r="LLL1155" s="7"/>
      <c r="LLM1155" s="7"/>
      <c r="LLN1155" s="7"/>
      <c r="LLO1155" s="7"/>
      <c r="LLP1155" s="7"/>
      <c r="LLQ1155" s="7"/>
      <c r="LLR1155" s="7"/>
      <c r="LLS1155" s="7"/>
      <c r="LLT1155" s="7"/>
      <c r="LLU1155" s="7"/>
      <c r="LLV1155" s="7"/>
      <c r="LLW1155" s="7"/>
      <c r="LLX1155" s="7"/>
      <c r="LLY1155" s="7"/>
      <c r="LLZ1155" s="7"/>
      <c r="LMA1155" s="7"/>
      <c r="LMB1155" s="7"/>
      <c r="LMC1155" s="7"/>
      <c r="LMD1155" s="7"/>
      <c r="LME1155" s="7"/>
      <c r="LMF1155" s="7"/>
      <c r="LMG1155" s="7"/>
      <c r="LMH1155" s="7"/>
      <c r="LMI1155" s="7"/>
      <c r="LMJ1155" s="7"/>
      <c r="LMK1155" s="7"/>
      <c r="LML1155" s="7"/>
      <c r="LMM1155" s="7"/>
      <c r="LMN1155" s="7"/>
      <c r="LMO1155" s="7"/>
      <c r="LMP1155" s="7"/>
      <c r="LMQ1155" s="7"/>
      <c r="LMR1155" s="7"/>
      <c r="LMS1155" s="7"/>
      <c r="LMT1155" s="7"/>
      <c r="LMU1155" s="7"/>
      <c r="LMV1155" s="7"/>
      <c r="LMW1155" s="7"/>
      <c r="LMX1155" s="7"/>
      <c r="LMY1155" s="7"/>
      <c r="LMZ1155" s="7"/>
      <c r="LNA1155" s="7"/>
      <c r="LNB1155" s="7"/>
      <c r="LNC1155" s="7"/>
      <c r="LND1155" s="7"/>
      <c r="LNE1155" s="7"/>
      <c r="LNF1155" s="7"/>
      <c r="LNG1155" s="7"/>
      <c r="LNH1155" s="7"/>
      <c r="LNI1155" s="7"/>
      <c r="LNJ1155" s="7"/>
      <c r="LNK1155" s="7"/>
      <c r="LNL1155" s="7"/>
      <c r="LNM1155" s="7"/>
      <c r="LNN1155" s="7"/>
      <c r="LNO1155" s="7"/>
      <c r="LNP1155" s="7"/>
      <c r="LNQ1155" s="7"/>
      <c r="LNR1155" s="7"/>
      <c r="LNS1155" s="7"/>
      <c r="LNT1155" s="7"/>
      <c r="LNU1155" s="7"/>
      <c r="LNV1155" s="7"/>
      <c r="LNW1155" s="7"/>
      <c r="LNX1155" s="7"/>
      <c r="LNY1155" s="7"/>
      <c r="LNZ1155" s="7"/>
      <c r="LOA1155" s="7"/>
      <c r="LOB1155" s="7"/>
      <c r="LOC1155" s="7"/>
      <c r="LOD1155" s="7"/>
      <c r="LOE1155" s="7"/>
      <c r="LOF1155" s="7"/>
      <c r="LOG1155" s="7"/>
      <c r="LOH1155" s="7"/>
      <c r="LOI1155" s="7"/>
      <c r="LOJ1155" s="7"/>
      <c r="LOK1155" s="7"/>
      <c r="LOL1155" s="7"/>
      <c r="LOM1155" s="7"/>
      <c r="LON1155" s="7"/>
      <c r="LOO1155" s="7"/>
      <c r="LOP1155" s="7"/>
      <c r="LOQ1155" s="7"/>
      <c r="LOR1155" s="7"/>
      <c r="LOS1155" s="7"/>
      <c r="LOT1155" s="7"/>
      <c r="LOU1155" s="7"/>
      <c r="LOV1155" s="7"/>
      <c r="LOW1155" s="7"/>
      <c r="LOX1155" s="7"/>
      <c r="LOY1155" s="7"/>
      <c r="LOZ1155" s="7"/>
      <c r="LPA1155" s="7"/>
      <c r="LPB1155" s="7"/>
      <c r="LPC1155" s="7"/>
      <c r="LPD1155" s="7"/>
      <c r="LPE1155" s="7"/>
      <c r="LPF1155" s="7"/>
      <c r="LPG1155" s="7"/>
      <c r="LPH1155" s="7"/>
      <c r="LPI1155" s="7"/>
      <c r="LPJ1155" s="7"/>
      <c r="LPK1155" s="7"/>
      <c r="LPL1155" s="7"/>
      <c r="LPM1155" s="7"/>
      <c r="LPN1155" s="7"/>
      <c r="LPO1155" s="7"/>
      <c r="LPP1155" s="7"/>
      <c r="LPQ1155" s="7"/>
      <c r="LPR1155" s="7"/>
      <c r="LPS1155" s="7"/>
      <c r="LPT1155" s="7"/>
      <c r="LPU1155" s="7"/>
      <c r="LPV1155" s="7"/>
      <c r="LPW1155" s="7"/>
      <c r="LPX1155" s="7"/>
      <c r="LPY1155" s="7"/>
      <c r="LPZ1155" s="7"/>
      <c r="LQA1155" s="7"/>
      <c r="LQB1155" s="7"/>
      <c r="LQC1155" s="7"/>
      <c r="LQD1155" s="7"/>
      <c r="LQE1155" s="7"/>
      <c r="LQF1155" s="7"/>
      <c r="LQG1155" s="7"/>
      <c r="LQH1155" s="7"/>
      <c r="LQI1155" s="7"/>
      <c r="LQJ1155" s="7"/>
      <c r="LQK1155" s="7"/>
      <c r="LQL1155" s="7"/>
      <c r="LQM1155" s="7"/>
      <c r="LQN1155" s="7"/>
      <c r="LQO1155" s="7"/>
      <c r="LQP1155" s="7"/>
      <c r="LQQ1155" s="7"/>
      <c r="LQR1155" s="7"/>
      <c r="LQS1155" s="7"/>
      <c r="LQT1155" s="7"/>
      <c r="LQU1155" s="7"/>
      <c r="LQV1155" s="7"/>
      <c r="LQW1155" s="7"/>
      <c r="LQX1155" s="7"/>
      <c r="LQY1155" s="7"/>
      <c r="LQZ1155" s="7"/>
      <c r="LRA1155" s="7"/>
      <c r="LRB1155" s="7"/>
      <c r="LRC1155" s="7"/>
      <c r="LRD1155" s="7"/>
      <c r="LRE1155" s="7"/>
      <c r="LRF1155" s="7"/>
      <c r="LRG1155" s="7"/>
      <c r="LRH1155" s="7"/>
      <c r="LRI1155" s="7"/>
      <c r="LRJ1155" s="7"/>
      <c r="LRK1155" s="7"/>
      <c r="LRL1155" s="7"/>
      <c r="LRM1155" s="7"/>
      <c r="LRN1155" s="7"/>
      <c r="LRO1155" s="7"/>
      <c r="LRP1155" s="7"/>
      <c r="LRQ1155" s="7"/>
      <c r="LRR1155" s="7"/>
      <c r="LRS1155" s="7"/>
      <c r="LRT1155" s="7"/>
      <c r="LRU1155" s="7"/>
      <c r="LRV1155" s="7"/>
      <c r="LRW1155" s="7"/>
      <c r="LRX1155" s="7"/>
      <c r="LRY1155" s="7"/>
      <c r="LRZ1155" s="7"/>
      <c r="LSA1155" s="7"/>
      <c r="LSB1155" s="7"/>
      <c r="LSC1155" s="7"/>
      <c r="LSD1155" s="7"/>
      <c r="LSE1155" s="7"/>
      <c r="LSF1155" s="7"/>
      <c r="LSG1155" s="7"/>
      <c r="LSH1155" s="7"/>
      <c r="LSI1155" s="7"/>
      <c r="LSJ1155" s="7"/>
      <c r="LSK1155" s="7"/>
      <c r="LSL1155" s="7"/>
      <c r="LSM1155" s="7"/>
      <c r="LSN1155" s="7"/>
      <c r="LSO1155" s="7"/>
      <c r="LSP1155" s="7"/>
      <c r="LSQ1155" s="7"/>
      <c r="LSR1155" s="7"/>
      <c r="LSS1155" s="7"/>
      <c r="LST1155" s="7"/>
      <c r="LSU1155" s="7"/>
      <c r="LSV1155" s="7"/>
      <c r="LSW1155" s="7"/>
      <c r="LSX1155" s="7"/>
      <c r="LSY1155" s="7"/>
      <c r="LSZ1155" s="7"/>
      <c r="LTA1155" s="7"/>
      <c r="LTB1155" s="7"/>
      <c r="LTC1155" s="7"/>
      <c r="LTD1155" s="7"/>
      <c r="LTE1155" s="7"/>
      <c r="LTF1155" s="7"/>
      <c r="LTG1155" s="7"/>
      <c r="LTH1155" s="7"/>
      <c r="LTI1155" s="7"/>
      <c r="LTJ1155" s="7"/>
      <c r="LTK1155" s="7"/>
      <c r="LTL1155" s="7"/>
      <c r="LTM1155" s="7"/>
      <c r="LTN1155" s="7"/>
      <c r="LTO1155" s="7"/>
      <c r="LTP1155" s="7"/>
      <c r="LTQ1155" s="7"/>
      <c r="LTR1155" s="7"/>
      <c r="LTS1155" s="7"/>
      <c r="LTT1155" s="7"/>
      <c r="LTU1155" s="7"/>
      <c r="LTV1155" s="7"/>
      <c r="LTW1155" s="7"/>
      <c r="LTX1155" s="7"/>
      <c r="LTY1155" s="7"/>
      <c r="LTZ1155" s="7"/>
      <c r="LUA1155" s="7"/>
      <c r="LUB1155" s="7"/>
      <c r="LUC1155" s="7"/>
      <c r="LUD1155" s="7"/>
      <c r="LUE1155" s="7"/>
      <c r="LUF1155" s="7"/>
      <c r="LUG1155" s="7"/>
      <c r="LUH1155" s="7"/>
      <c r="LUI1155" s="7"/>
      <c r="LUJ1155" s="7"/>
      <c r="LUK1155" s="7"/>
      <c r="LUL1155" s="7"/>
      <c r="LUM1155" s="7"/>
      <c r="LUN1155" s="7"/>
      <c r="LUO1155" s="7"/>
      <c r="LUP1155" s="7"/>
      <c r="LUQ1155" s="7"/>
      <c r="LUR1155" s="7"/>
      <c r="LUS1155" s="7"/>
      <c r="LUT1155" s="7"/>
      <c r="LUU1155" s="7"/>
      <c r="LUV1155" s="7"/>
      <c r="LUW1155" s="7"/>
      <c r="LUX1155" s="7"/>
      <c r="LUY1155" s="7"/>
      <c r="LUZ1155" s="7"/>
      <c r="LVA1155" s="7"/>
      <c r="LVB1155" s="7"/>
      <c r="LVC1155" s="7"/>
      <c r="LVD1155" s="7"/>
      <c r="LVE1155" s="7"/>
      <c r="LVF1155" s="7"/>
      <c r="LVG1155" s="7"/>
      <c r="LVH1155" s="7"/>
      <c r="LVI1155" s="7"/>
      <c r="LVJ1155" s="7"/>
      <c r="LVK1155" s="7"/>
      <c r="LVL1155" s="7"/>
      <c r="LVM1155" s="7"/>
      <c r="LVN1155" s="7"/>
      <c r="LVO1155" s="7"/>
      <c r="LVP1155" s="7"/>
      <c r="LVQ1155" s="7"/>
      <c r="LVR1155" s="7"/>
      <c r="LVS1155" s="7"/>
      <c r="LVT1155" s="7"/>
      <c r="LVU1155" s="7"/>
      <c r="LVV1155" s="7"/>
      <c r="LVW1155" s="7"/>
      <c r="LVX1155" s="7"/>
      <c r="LVY1155" s="7"/>
      <c r="LVZ1155" s="7"/>
      <c r="LWA1155" s="7"/>
      <c r="LWB1155" s="7"/>
      <c r="LWC1155" s="7"/>
      <c r="LWD1155" s="7"/>
      <c r="LWE1155" s="7"/>
      <c r="LWF1155" s="7"/>
      <c r="LWG1155" s="7"/>
      <c r="LWH1155" s="7"/>
      <c r="LWI1155" s="7"/>
      <c r="LWJ1155" s="7"/>
      <c r="LWK1155" s="7"/>
      <c r="LWL1155" s="7"/>
      <c r="LWM1155" s="7"/>
      <c r="LWN1155" s="7"/>
      <c r="LWO1155" s="7"/>
      <c r="LWP1155" s="7"/>
      <c r="LWQ1155" s="7"/>
      <c r="LWR1155" s="7"/>
      <c r="LWS1155" s="7"/>
      <c r="LWT1155" s="7"/>
      <c r="LWU1155" s="7"/>
      <c r="LWV1155" s="7"/>
      <c r="LWW1155" s="7"/>
      <c r="LWX1155" s="7"/>
      <c r="LWY1155" s="7"/>
      <c r="LWZ1155" s="7"/>
      <c r="LXA1155" s="7"/>
      <c r="LXB1155" s="7"/>
      <c r="LXC1155" s="7"/>
      <c r="LXD1155" s="7"/>
      <c r="LXE1155" s="7"/>
      <c r="LXF1155" s="7"/>
      <c r="LXG1155" s="7"/>
      <c r="LXH1155" s="7"/>
      <c r="LXI1155" s="7"/>
      <c r="LXJ1155" s="7"/>
      <c r="LXK1155" s="7"/>
      <c r="LXL1155" s="7"/>
      <c r="LXM1155" s="7"/>
      <c r="LXN1155" s="7"/>
      <c r="LXO1155" s="7"/>
      <c r="LXP1155" s="7"/>
      <c r="LXQ1155" s="7"/>
      <c r="LXR1155" s="7"/>
      <c r="LXS1155" s="7"/>
      <c r="LXT1155" s="7"/>
      <c r="LXU1155" s="7"/>
      <c r="LXV1155" s="7"/>
      <c r="LXW1155" s="7"/>
      <c r="LXX1155" s="7"/>
      <c r="LXY1155" s="7"/>
      <c r="LXZ1155" s="7"/>
      <c r="LYA1155" s="7"/>
      <c r="LYB1155" s="7"/>
      <c r="LYC1155" s="7"/>
      <c r="LYD1155" s="7"/>
      <c r="LYE1155" s="7"/>
      <c r="LYF1155" s="7"/>
      <c r="LYG1155" s="7"/>
      <c r="LYH1155" s="7"/>
      <c r="LYI1155" s="7"/>
      <c r="LYJ1155" s="7"/>
      <c r="LYK1155" s="7"/>
      <c r="LYL1155" s="7"/>
      <c r="LYM1155" s="7"/>
      <c r="LYN1155" s="7"/>
      <c r="LYO1155" s="7"/>
      <c r="LYP1155" s="7"/>
      <c r="LYQ1155" s="7"/>
      <c r="LYR1155" s="7"/>
      <c r="LYS1155" s="7"/>
      <c r="LYT1155" s="7"/>
      <c r="LYU1155" s="7"/>
      <c r="LYV1155" s="7"/>
      <c r="LYW1155" s="7"/>
      <c r="LYX1155" s="7"/>
      <c r="LYY1155" s="7"/>
      <c r="LYZ1155" s="7"/>
      <c r="LZA1155" s="7"/>
      <c r="LZB1155" s="7"/>
      <c r="LZC1155" s="7"/>
      <c r="LZD1155" s="7"/>
      <c r="LZE1155" s="7"/>
      <c r="LZF1155" s="7"/>
      <c r="LZG1155" s="7"/>
      <c r="LZH1155" s="7"/>
      <c r="LZI1155" s="7"/>
      <c r="LZJ1155" s="7"/>
      <c r="LZK1155" s="7"/>
      <c r="LZL1155" s="7"/>
      <c r="LZM1155" s="7"/>
      <c r="LZN1155" s="7"/>
      <c r="LZO1155" s="7"/>
      <c r="LZP1155" s="7"/>
      <c r="LZQ1155" s="7"/>
      <c r="LZR1155" s="7"/>
      <c r="LZS1155" s="7"/>
      <c r="LZT1155" s="7"/>
      <c r="LZU1155" s="7"/>
      <c r="LZV1155" s="7"/>
      <c r="LZW1155" s="7"/>
      <c r="LZX1155" s="7"/>
      <c r="LZY1155" s="7"/>
      <c r="LZZ1155" s="7"/>
      <c r="MAA1155" s="7"/>
      <c r="MAB1155" s="7"/>
      <c r="MAC1155" s="7"/>
      <c r="MAD1155" s="7"/>
      <c r="MAE1155" s="7"/>
      <c r="MAF1155" s="7"/>
      <c r="MAG1155" s="7"/>
      <c r="MAH1155" s="7"/>
      <c r="MAI1155" s="7"/>
      <c r="MAJ1155" s="7"/>
      <c r="MAK1155" s="7"/>
      <c r="MAL1155" s="7"/>
      <c r="MAM1155" s="7"/>
      <c r="MAN1155" s="7"/>
      <c r="MAO1155" s="7"/>
      <c r="MAP1155" s="7"/>
      <c r="MAQ1155" s="7"/>
      <c r="MAR1155" s="7"/>
      <c r="MAS1155" s="7"/>
      <c r="MAT1155" s="7"/>
      <c r="MAU1155" s="7"/>
      <c r="MAV1155" s="7"/>
      <c r="MAW1155" s="7"/>
      <c r="MAX1155" s="7"/>
      <c r="MAY1155" s="7"/>
      <c r="MAZ1155" s="7"/>
      <c r="MBA1155" s="7"/>
      <c r="MBB1155" s="7"/>
      <c r="MBC1155" s="7"/>
      <c r="MBD1155" s="7"/>
      <c r="MBE1155" s="7"/>
      <c r="MBF1155" s="7"/>
      <c r="MBG1155" s="7"/>
      <c r="MBH1155" s="7"/>
      <c r="MBI1155" s="7"/>
      <c r="MBJ1155" s="7"/>
      <c r="MBK1155" s="7"/>
      <c r="MBL1155" s="7"/>
      <c r="MBM1155" s="7"/>
      <c r="MBN1155" s="7"/>
      <c r="MBO1155" s="7"/>
      <c r="MBP1155" s="7"/>
      <c r="MBQ1155" s="7"/>
      <c r="MBR1155" s="7"/>
      <c r="MBS1155" s="7"/>
      <c r="MBT1155" s="7"/>
      <c r="MBU1155" s="7"/>
      <c r="MBV1155" s="7"/>
      <c r="MBW1155" s="7"/>
      <c r="MBX1155" s="7"/>
      <c r="MBY1155" s="7"/>
      <c r="MBZ1155" s="7"/>
      <c r="MCA1155" s="7"/>
      <c r="MCB1155" s="7"/>
      <c r="MCC1155" s="7"/>
      <c r="MCD1155" s="7"/>
      <c r="MCE1155" s="7"/>
      <c r="MCF1155" s="7"/>
      <c r="MCG1155" s="7"/>
      <c r="MCH1155" s="7"/>
      <c r="MCI1155" s="7"/>
      <c r="MCJ1155" s="7"/>
      <c r="MCK1155" s="7"/>
      <c r="MCL1155" s="7"/>
      <c r="MCM1155" s="7"/>
      <c r="MCN1155" s="7"/>
      <c r="MCO1155" s="7"/>
      <c r="MCP1155" s="7"/>
      <c r="MCQ1155" s="7"/>
      <c r="MCR1155" s="7"/>
      <c r="MCS1155" s="7"/>
      <c r="MCT1155" s="7"/>
      <c r="MCU1155" s="7"/>
      <c r="MCV1155" s="7"/>
      <c r="MCW1155" s="7"/>
      <c r="MCX1155" s="7"/>
      <c r="MCY1155" s="7"/>
      <c r="MCZ1155" s="7"/>
      <c r="MDA1155" s="7"/>
      <c r="MDB1155" s="7"/>
      <c r="MDC1155" s="7"/>
      <c r="MDD1155" s="7"/>
      <c r="MDE1155" s="7"/>
      <c r="MDF1155" s="7"/>
      <c r="MDG1155" s="7"/>
      <c r="MDH1155" s="7"/>
      <c r="MDI1155" s="7"/>
      <c r="MDJ1155" s="7"/>
      <c r="MDK1155" s="7"/>
      <c r="MDL1155" s="7"/>
      <c r="MDM1155" s="7"/>
      <c r="MDN1155" s="7"/>
      <c r="MDO1155" s="7"/>
      <c r="MDP1155" s="7"/>
      <c r="MDQ1155" s="7"/>
      <c r="MDR1155" s="7"/>
      <c r="MDS1155" s="7"/>
      <c r="MDT1155" s="7"/>
      <c r="MDU1155" s="7"/>
      <c r="MDV1155" s="7"/>
      <c r="MDW1155" s="7"/>
      <c r="MDX1155" s="7"/>
      <c r="MDY1155" s="7"/>
      <c r="MDZ1155" s="7"/>
      <c r="MEA1155" s="7"/>
      <c r="MEB1155" s="7"/>
      <c r="MEC1155" s="7"/>
      <c r="MED1155" s="7"/>
      <c r="MEE1155" s="7"/>
      <c r="MEF1155" s="7"/>
      <c r="MEG1155" s="7"/>
      <c r="MEH1155" s="7"/>
      <c r="MEI1155" s="7"/>
      <c r="MEJ1155" s="7"/>
      <c r="MEK1155" s="7"/>
      <c r="MEL1155" s="7"/>
      <c r="MEM1155" s="7"/>
      <c r="MEN1155" s="7"/>
      <c r="MEO1155" s="7"/>
      <c r="MEP1155" s="7"/>
      <c r="MEQ1155" s="7"/>
      <c r="MER1155" s="7"/>
      <c r="MES1155" s="7"/>
      <c r="MET1155" s="7"/>
      <c r="MEU1155" s="7"/>
      <c r="MEV1155" s="7"/>
      <c r="MEW1155" s="7"/>
      <c r="MEX1155" s="7"/>
      <c r="MEY1155" s="7"/>
      <c r="MEZ1155" s="7"/>
      <c r="MFA1155" s="7"/>
      <c r="MFB1155" s="7"/>
      <c r="MFC1155" s="7"/>
      <c r="MFD1155" s="7"/>
      <c r="MFE1155" s="7"/>
      <c r="MFF1155" s="7"/>
      <c r="MFG1155" s="7"/>
      <c r="MFH1155" s="7"/>
      <c r="MFI1155" s="7"/>
      <c r="MFJ1155" s="7"/>
      <c r="MFK1155" s="7"/>
      <c r="MFL1155" s="7"/>
      <c r="MFM1155" s="7"/>
      <c r="MFN1155" s="7"/>
      <c r="MFO1155" s="7"/>
      <c r="MFP1155" s="7"/>
      <c r="MFQ1155" s="7"/>
      <c r="MFR1155" s="7"/>
      <c r="MFS1155" s="7"/>
      <c r="MFT1155" s="7"/>
      <c r="MFU1155" s="7"/>
      <c r="MFV1155" s="7"/>
      <c r="MFW1155" s="7"/>
      <c r="MFX1155" s="7"/>
      <c r="MFY1155" s="7"/>
      <c r="MFZ1155" s="7"/>
      <c r="MGA1155" s="7"/>
      <c r="MGB1155" s="7"/>
      <c r="MGC1155" s="7"/>
      <c r="MGD1155" s="7"/>
      <c r="MGE1155" s="7"/>
      <c r="MGF1155" s="7"/>
      <c r="MGG1155" s="7"/>
      <c r="MGH1155" s="7"/>
      <c r="MGI1155" s="7"/>
      <c r="MGJ1155" s="7"/>
      <c r="MGK1155" s="7"/>
      <c r="MGL1155" s="7"/>
      <c r="MGM1155" s="7"/>
      <c r="MGN1155" s="7"/>
      <c r="MGO1155" s="7"/>
      <c r="MGP1155" s="7"/>
      <c r="MGQ1155" s="7"/>
      <c r="MGR1155" s="7"/>
      <c r="MGS1155" s="7"/>
      <c r="MGT1155" s="7"/>
      <c r="MGU1155" s="7"/>
      <c r="MGV1155" s="7"/>
      <c r="MGW1155" s="7"/>
      <c r="MGX1155" s="7"/>
      <c r="MGY1155" s="7"/>
      <c r="MGZ1155" s="7"/>
      <c r="MHA1155" s="7"/>
      <c r="MHB1155" s="7"/>
      <c r="MHC1155" s="7"/>
      <c r="MHD1155" s="7"/>
      <c r="MHE1155" s="7"/>
      <c r="MHF1155" s="7"/>
      <c r="MHG1155" s="7"/>
      <c r="MHH1155" s="7"/>
      <c r="MHI1155" s="7"/>
      <c r="MHJ1155" s="7"/>
      <c r="MHK1155" s="7"/>
      <c r="MHL1155" s="7"/>
      <c r="MHM1155" s="7"/>
      <c r="MHN1155" s="7"/>
      <c r="MHO1155" s="7"/>
      <c r="MHP1155" s="7"/>
      <c r="MHQ1155" s="7"/>
      <c r="MHR1155" s="7"/>
      <c r="MHS1155" s="7"/>
      <c r="MHT1155" s="7"/>
      <c r="MHU1155" s="7"/>
      <c r="MHV1155" s="7"/>
      <c r="MHW1155" s="7"/>
      <c r="MHX1155" s="7"/>
      <c r="MHY1155" s="7"/>
      <c r="MHZ1155" s="7"/>
      <c r="MIA1155" s="7"/>
      <c r="MIB1155" s="7"/>
      <c r="MIC1155" s="7"/>
      <c r="MID1155" s="7"/>
      <c r="MIE1155" s="7"/>
      <c r="MIF1155" s="7"/>
      <c r="MIG1155" s="7"/>
      <c r="MIH1155" s="7"/>
      <c r="MII1155" s="7"/>
      <c r="MIJ1155" s="7"/>
      <c r="MIK1155" s="7"/>
      <c r="MIL1155" s="7"/>
      <c r="MIM1155" s="7"/>
      <c r="MIN1155" s="7"/>
      <c r="MIO1155" s="7"/>
      <c r="MIP1155" s="7"/>
      <c r="MIQ1155" s="7"/>
      <c r="MIR1155" s="7"/>
      <c r="MIS1155" s="7"/>
      <c r="MIT1155" s="7"/>
      <c r="MIU1155" s="7"/>
      <c r="MIV1155" s="7"/>
      <c r="MIW1155" s="7"/>
      <c r="MIX1155" s="7"/>
      <c r="MIY1155" s="7"/>
      <c r="MIZ1155" s="7"/>
      <c r="MJA1155" s="7"/>
      <c r="MJB1155" s="7"/>
      <c r="MJC1155" s="7"/>
      <c r="MJD1155" s="7"/>
      <c r="MJE1155" s="7"/>
      <c r="MJF1155" s="7"/>
      <c r="MJG1155" s="7"/>
      <c r="MJH1155" s="7"/>
      <c r="MJI1155" s="7"/>
      <c r="MJJ1155" s="7"/>
      <c r="MJK1155" s="7"/>
      <c r="MJL1155" s="7"/>
      <c r="MJM1155" s="7"/>
      <c r="MJN1155" s="7"/>
      <c r="MJO1155" s="7"/>
      <c r="MJP1155" s="7"/>
      <c r="MJQ1155" s="7"/>
      <c r="MJR1155" s="7"/>
      <c r="MJS1155" s="7"/>
      <c r="MJT1155" s="7"/>
      <c r="MJU1155" s="7"/>
      <c r="MJV1155" s="7"/>
      <c r="MJW1155" s="7"/>
      <c r="MJX1155" s="7"/>
      <c r="MJY1155" s="7"/>
      <c r="MJZ1155" s="7"/>
      <c r="MKA1155" s="7"/>
      <c r="MKB1155" s="7"/>
      <c r="MKC1155" s="7"/>
      <c r="MKD1155" s="7"/>
      <c r="MKE1155" s="7"/>
      <c r="MKF1155" s="7"/>
      <c r="MKG1155" s="7"/>
      <c r="MKH1155" s="7"/>
      <c r="MKI1155" s="7"/>
      <c r="MKJ1155" s="7"/>
      <c r="MKK1155" s="7"/>
      <c r="MKL1155" s="7"/>
      <c r="MKM1155" s="7"/>
      <c r="MKN1155" s="7"/>
      <c r="MKO1155" s="7"/>
      <c r="MKP1155" s="7"/>
      <c r="MKQ1155" s="7"/>
      <c r="MKR1155" s="7"/>
      <c r="MKS1155" s="7"/>
      <c r="MKT1155" s="7"/>
      <c r="MKU1155" s="7"/>
      <c r="MKV1155" s="7"/>
      <c r="MKW1155" s="7"/>
      <c r="MKX1155" s="7"/>
      <c r="MKY1155" s="7"/>
      <c r="MKZ1155" s="7"/>
      <c r="MLA1155" s="7"/>
      <c r="MLB1155" s="7"/>
      <c r="MLC1155" s="7"/>
      <c r="MLD1155" s="7"/>
      <c r="MLE1155" s="7"/>
      <c r="MLF1155" s="7"/>
      <c r="MLG1155" s="7"/>
      <c r="MLH1155" s="7"/>
      <c r="MLI1155" s="7"/>
      <c r="MLJ1155" s="7"/>
      <c r="MLK1155" s="7"/>
      <c r="MLL1155" s="7"/>
      <c r="MLM1155" s="7"/>
      <c r="MLN1155" s="7"/>
      <c r="MLO1155" s="7"/>
      <c r="MLP1155" s="7"/>
      <c r="MLQ1155" s="7"/>
      <c r="MLR1155" s="7"/>
      <c r="MLS1155" s="7"/>
      <c r="MLT1155" s="7"/>
      <c r="MLU1155" s="7"/>
      <c r="MLV1155" s="7"/>
      <c r="MLW1155" s="7"/>
      <c r="MLX1155" s="7"/>
      <c r="MLY1155" s="7"/>
      <c r="MLZ1155" s="7"/>
      <c r="MMA1155" s="7"/>
      <c r="MMB1155" s="7"/>
      <c r="MMC1155" s="7"/>
      <c r="MMD1155" s="7"/>
      <c r="MME1155" s="7"/>
      <c r="MMF1155" s="7"/>
      <c r="MMG1155" s="7"/>
      <c r="MMH1155" s="7"/>
      <c r="MMI1155" s="7"/>
      <c r="MMJ1155" s="7"/>
      <c r="MMK1155" s="7"/>
      <c r="MML1155" s="7"/>
      <c r="MMM1155" s="7"/>
      <c r="MMN1155" s="7"/>
      <c r="MMO1155" s="7"/>
      <c r="MMP1155" s="7"/>
      <c r="MMQ1155" s="7"/>
      <c r="MMR1155" s="7"/>
      <c r="MMS1155" s="7"/>
      <c r="MMT1155" s="7"/>
      <c r="MMU1155" s="7"/>
      <c r="MMV1155" s="7"/>
      <c r="MMW1155" s="7"/>
      <c r="MMX1155" s="7"/>
      <c r="MMY1155" s="7"/>
      <c r="MMZ1155" s="7"/>
      <c r="MNA1155" s="7"/>
      <c r="MNB1155" s="7"/>
      <c r="MNC1155" s="7"/>
      <c r="MND1155" s="7"/>
      <c r="MNE1155" s="7"/>
      <c r="MNF1155" s="7"/>
      <c r="MNG1155" s="7"/>
      <c r="MNH1155" s="7"/>
      <c r="MNI1155" s="7"/>
      <c r="MNJ1155" s="7"/>
      <c r="MNK1155" s="7"/>
      <c r="MNL1155" s="7"/>
      <c r="MNM1155" s="7"/>
      <c r="MNN1155" s="7"/>
      <c r="MNO1155" s="7"/>
      <c r="MNP1155" s="7"/>
      <c r="MNQ1155" s="7"/>
      <c r="MNR1155" s="7"/>
      <c r="MNS1155" s="7"/>
      <c r="MNT1155" s="7"/>
      <c r="MNU1155" s="7"/>
      <c r="MNV1155" s="7"/>
      <c r="MNW1155" s="7"/>
      <c r="MNX1155" s="7"/>
      <c r="MNY1155" s="7"/>
      <c r="MNZ1155" s="7"/>
      <c r="MOA1155" s="7"/>
      <c r="MOB1155" s="7"/>
      <c r="MOC1155" s="7"/>
      <c r="MOD1155" s="7"/>
      <c r="MOE1155" s="7"/>
      <c r="MOF1155" s="7"/>
      <c r="MOG1155" s="7"/>
      <c r="MOH1155" s="7"/>
      <c r="MOI1155" s="7"/>
      <c r="MOJ1155" s="7"/>
      <c r="MOK1155" s="7"/>
      <c r="MOL1155" s="7"/>
      <c r="MOM1155" s="7"/>
      <c r="MON1155" s="7"/>
      <c r="MOO1155" s="7"/>
      <c r="MOP1155" s="7"/>
      <c r="MOQ1155" s="7"/>
      <c r="MOR1155" s="7"/>
      <c r="MOS1155" s="7"/>
      <c r="MOT1155" s="7"/>
      <c r="MOU1155" s="7"/>
      <c r="MOV1155" s="7"/>
      <c r="MOW1155" s="7"/>
      <c r="MOX1155" s="7"/>
      <c r="MOY1155" s="7"/>
      <c r="MOZ1155" s="7"/>
      <c r="MPA1155" s="7"/>
      <c r="MPB1155" s="7"/>
      <c r="MPC1155" s="7"/>
      <c r="MPD1155" s="7"/>
      <c r="MPE1155" s="7"/>
      <c r="MPF1155" s="7"/>
      <c r="MPG1155" s="7"/>
      <c r="MPH1155" s="7"/>
      <c r="MPI1155" s="7"/>
      <c r="MPJ1155" s="7"/>
      <c r="MPK1155" s="7"/>
      <c r="MPL1155" s="7"/>
      <c r="MPM1155" s="7"/>
      <c r="MPN1155" s="7"/>
      <c r="MPO1155" s="7"/>
      <c r="MPP1155" s="7"/>
      <c r="MPQ1155" s="7"/>
      <c r="MPR1155" s="7"/>
      <c r="MPS1155" s="7"/>
      <c r="MPT1155" s="7"/>
      <c r="MPU1155" s="7"/>
      <c r="MPV1155" s="7"/>
      <c r="MPW1155" s="7"/>
      <c r="MPX1155" s="7"/>
      <c r="MPY1155" s="7"/>
      <c r="MPZ1155" s="7"/>
      <c r="MQA1155" s="7"/>
      <c r="MQB1155" s="7"/>
      <c r="MQC1155" s="7"/>
      <c r="MQD1155" s="7"/>
      <c r="MQE1155" s="7"/>
      <c r="MQF1155" s="7"/>
      <c r="MQG1155" s="7"/>
      <c r="MQH1155" s="7"/>
      <c r="MQI1155" s="7"/>
      <c r="MQJ1155" s="7"/>
      <c r="MQK1155" s="7"/>
      <c r="MQL1155" s="7"/>
      <c r="MQM1155" s="7"/>
      <c r="MQN1155" s="7"/>
      <c r="MQO1155" s="7"/>
      <c r="MQP1155" s="7"/>
      <c r="MQQ1155" s="7"/>
      <c r="MQR1155" s="7"/>
      <c r="MQS1155" s="7"/>
      <c r="MQT1155" s="7"/>
      <c r="MQU1155" s="7"/>
      <c r="MQV1155" s="7"/>
      <c r="MQW1155" s="7"/>
      <c r="MQX1155" s="7"/>
      <c r="MQY1155" s="7"/>
      <c r="MQZ1155" s="7"/>
      <c r="MRA1155" s="7"/>
      <c r="MRB1155" s="7"/>
      <c r="MRC1155" s="7"/>
      <c r="MRD1155" s="7"/>
      <c r="MRE1155" s="7"/>
      <c r="MRF1155" s="7"/>
      <c r="MRG1155" s="7"/>
      <c r="MRH1155" s="7"/>
      <c r="MRI1155" s="7"/>
      <c r="MRJ1155" s="7"/>
      <c r="MRK1155" s="7"/>
      <c r="MRL1155" s="7"/>
      <c r="MRM1155" s="7"/>
      <c r="MRN1155" s="7"/>
      <c r="MRO1155" s="7"/>
      <c r="MRP1155" s="7"/>
      <c r="MRQ1155" s="7"/>
      <c r="MRR1155" s="7"/>
      <c r="MRS1155" s="7"/>
      <c r="MRT1155" s="7"/>
      <c r="MRU1155" s="7"/>
      <c r="MRV1155" s="7"/>
      <c r="MRW1155" s="7"/>
      <c r="MRX1155" s="7"/>
      <c r="MRY1155" s="7"/>
      <c r="MRZ1155" s="7"/>
      <c r="MSA1155" s="7"/>
      <c r="MSB1155" s="7"/>
      <c r="MSC1155" s="7"/>
      <c r="MSD1155" s="7"/>
      <c r="MSE1155" s="7"/>
      <c r="MSF1155" s="7"/>
      <c r="MSG1155" s="7"/>
      <c r="MSH1155" s="7"/>
      <c r="MSI1155" s="7"/>
      <c r="MSJ1155" s="7"/>
      <c r="MSK1155" s="7"/>
      <c r="MSL1155" s="7"/>
      <c r="MSM1155" s="7"/>
      <c r="MSN1155" s="7"/>
      <c r="MSO1155" s="7"/>
      <c r="MSP1155" s="7"/>
      <c r="MSQ1155" s="7"/>
      <c r="MSR1155" s="7"/>
      <c r="MSS1155" s="7"/>
      <c r="MST1155" s="7"/>
      <c r="MSU1155" s="7"/>
      <c r="MSV1155" s="7"/>
      <c r="MSW1155" s="7"/>
      <c r="MSX1155" s="7"/>
      <c r="MSY1155" s="7"/>
      <c r="MSZ1155" s="7"/>
      <c r="MTA1155" s="7"/>
      <c r="MTB1155" s="7"/>
      <c r="MTC1155" s="7"/>
      <c r="MTD1155" s="7"/>
      <c r="MTE1155" s="7"/>
      <c r="MTF1155" s="7"/>
      <c r="MTG1155" s="7"/>
      <c r="MTH1155" s="7"/>
      <c r="MTI1155" s="7"/>
      <c r="MTJ1155" s="7"/>
      <c r="MTK1155" s="7"/>
      <c r="MTL1155" s="7"/>
      <c r="MTM1155" s="7"/>
      <c r="MTN1155" s="7"/>
      <c r="MTO1155" s="7"/>
      <c r="MTP1155" s="7"/>
      <c r="MTQ1155" s="7"/>
      <c r="MTR1155" s="7"/>
      <c r="MTS1155" s="7"/>
      <c r="MTT1155" s="7"/>
      <c r="MTU1155" s="7"/>
      <c r="MTV1155" s="7"/>
      <c r="MTW1155" s="7"/>
      <c r="MTX1155" s="7"/>
      <c r="MTY1155" s="7"/>
      <c r="MTZ1155" s="7"/>
      <c r="MUA1155" s="7"/>
      <c r="MUB1155" s="7"/>
      <c r="MUC1155" s="7"/>
      <c r="MUD1155" s="7"/>
      <c r="MUE1155" s="7"/>
      <c r="MUF1155" s="7"/>
      <c r="MUG1155" s="7"/>
      <c r="MUH1155" s="7"/>
      <c r="MUI1155" s="7"/>
      <c r="MUJ1155" s="7"/>
      <c r="MUK1155" s="7"/>
      <c r="MUL1155" s="7"/>
      <c r="MUM1155" s="7"/>
      <c r="MUN1155" s="7"/>
      <c r="MUO1155" s="7"/>
      <c r="MUP1155" s="7"/>
      <c r="MUQ1155" s="7"/>
      <c r="MUR1155" s="7"/>
      <c r="MUS1155" s="7"/>
      <c r="MUT1155" s="7"/>
      <c r="MUU1155" s="7"/>
      <c r="MUV1155" s="7"/>
      <c r="MUW1155" s="7"/>
      <c r="MUX1155" s="7"/>
      <c r="MUY1155" s="7"/>
      <c r="MUZ1155" s="7"/>
      <c r="MVA1155" s="7"/>
      <c r="MVB1155" s="7"/>
      <c r="MVC1155" s="7"/>
      <c r="MVD1155" s="7"/>
      <c r="MVE1155" s="7"/>
      <c r="MVF1155" s="7"/>
      <c r="MVG1155" s="7"/>
      <c r="MVH1155" s="7"/>
      <c r="MVI1155" s="7"/>
      <c r="MVJ1155" s="7"/>
      <c r="MVK1155" s="7"/>
      <c r="MVL1155" s="7"/>
      <c r="MVM1155" s="7"/>
      <c r="MVN1155" s="7"/>
      <c r="MVO1155" s="7"/>
      <c r="MVP1155" s="7"/>
      <c r="MVQ1155" s="7"/>
      <c r="MVR1155" s="7"/>
      <c r="MVS1155" s="7"/>
      <c r="MVT1155" s="7"/>
      <c r="MVU1155" s="7"/>
      <c r="MVV1155" s="7"/>
      <c r="MVW1155" s="7"/>
      <c r="MVX1155" s="7"/>
      <c r="MVY1155" s="7"/>
      <c r="MVZ1155" s="7"/>
      <c r="MWA1155" s="7"/>
      <c r="MWB1155" s="7"/>
      <c r="MWC1155" s="7"/>
      <c r="MWD1155" s="7"/>
      <c r="MWE1155" s="7"/>
      <c r="MWF1155" s="7"/>
      <c r="MWG1155" s="7"/>
      <c r="MWH1155" s="7"/>
      <c r="MWI1155" s="7"/>
      <c r="MWJ1155" s="7"/>
      <c r="MWK1155" s="7"/>
      <c r="MWL1155" s="7"/>
      <c r="MWM1155" s="7"/>
      <c r="MWN1155" s="7"/>
      <c r="MWO1155" s="7"/>
      <c r="MWP1155" s="7"/>
      <c r="MWQ1155" s="7"/>
      <c r="MWR1155" s="7"/>
      <c r="MWS1155" s="7"/>
      <c r="MWT1155" s="7"/>
      <c r="MWU1155" s="7"/>
      <c r="MWV1155" s="7"/>
      <c r="MWW1155" s="7"/>
      <c r="MWX1155" s="7"/>
      <c r="MWY1155" s="7"/>
      <c r="MWZ1155" s="7"/>
      <c r="MXA1155" s="7"/>
      <c r="MXB1155" s="7"/>
      <c r="MXC1155" s="7"/>
      <c r="MXD1155" s="7"/>
      <c r="MXE1155" s="7"/>
      <c r="MXF1155" s="7"/>
      <c r="MXG1155" s="7"/>
      <c r="MXH1155" s="7"/>
      <c r="MXI1155" s="7"/>
      <c r="MXJ1155" s="7"/>
      <c r="MXK1155" s="7"/>
      <c r="MXL1155" s="7"/>
      <c r="MXM1155" s="7"/>
      <c r="MXN1155" s="7"/>
      <c r="MXO1155" s="7"/>
      <c r="MXP1155" s="7"/>
      <c r="MXQ1155" s="7"/>
      <c r="MXR1155" s="7"/>
      <c r="MXS1155" s="7"/>
      <c r="MXT1155" s="7"/>
      <c r="MXU1155" s="7"/>
      <c r="MXV1155" s="7"/>
      <c r="MXW1155" s="7"/>
      <c r="MXX1155" s="7"/>
      <c r="MXY1155" s="7"/>
      <c r="MXZ1155" s="7"/>
      <c r="MYA1155" s="7"/>
      <c r="MYB1155" s="7"/>
      <c r="MYC1155" s="7"/>
      <c r="MYD1155" s="7"/>
      <c r="MYE1155" s="7"/>
      <c r="MYF1155" s="7"/>
      <c r="MYG1155" s="7"/>
      <c r="MYH1155" s="7"/>
      <c r="MYI1155" s="7"/>
      <c r="MYJ1155" s="7"/>
      <c r="MYK1155" s="7"/>
      <c r="MYL1155" s="7"/>
      <c r="MYM1155" s="7"/>
      <c r="MYN1155" s="7"/>
      <c r="MYO1155" s="7"/>
      <c r="MYP1155" s="7"/>
      <c r="MYQ1155" s="7"/>
      <c r="MYR1155" s="7"/>
      <c r="MYS1155" s="7"/>
      <c r="MYT1155" s="7"/>
      <c r="MYU1155" s="7"/>
      <c r="MYV1155" s="7"/>
      <c r="MYW1155" s="7"/>
      <c r="MYX1155" s="7"/>
      <c r="MYY1155" s="7"/>
      <c r="MYZ1155" s="7"/>
      <c r="MZA1155" s="7"/>
      <c r="MZB1155" s="7"/>
      <c r="MZC1155" s="7"/>
      <c r="MZD1155" s="7"/>
      <c r="MZE1155" s="7"/>
      <c r="MZF1155" s="7"/>
      <c r="MZG1155" s="7"/>
      <c r="MZH1155" s="7"/>
      <c r="MZI1155" s="7"/>
      <c r="MZJ1155" s="7"/>
      <c r="MZK1155" s="7"/>
      <c r="MZL1155" s="7"/>
      <c r="MZM1155" s="7"/>
      <c r="MZN1155" s="7"/>
      <c r="MZO1155" s="7"/>
      <c r="MZP1155" s="7"/>
      <c r="MZQ1155" s="7"/>
      <c r="MZR1155" s="7"/>
      <c r="MZS1155" s="7"/>
      <c r="MZT1155" s="7"/>
      <c r="MZU1155" s="7"/>
      <c r="MZV1155" s="7"/>
      <c r="MZW1155" s="7"/>
      <c r="MZX1155" s="7"/>
      <c r="MZY1155" s="7"/>
      <c r="MZZ1155" s="7"/>
      <c r="NAA1155" s="7"/>
      <c r="NAB1155" s="7"/>
      <c r="NAC1155" s="7"/>
      <c r="NAD1155" s="7"/>
      <c r="NAE1155" s="7"/>
      <c r="NAF1155" s="7"/>
      <c r="NAG1155" s="7"/>
      <c r="NAH1155" s="7"/>
      <c r="NAI1155" s="7"/>
      <c r="NAJ1155" s="7"/>
      <c r="NAK1155" s="7"/>
      <c r="NAL1155" s="7"/>
      <c r="NAM1155" s="7"/>
      <c r="NAN1155" s="7"/>
      <c r="NAO1155" s="7"/>
      <c r="NAP1155" s="7"/>
      <c r="NAQ1155" s="7"/>
      <c r="NAR1155" s="7"/>
      <c r="NAS1155" s="7"/>
      <c r="NAT1155" s="7"/>
      <c r="NAU1155" s="7"/>
      <c r="NAV1155" s="7"/>
      <c r="NAW1155" s="7"/>
      <c r="NAX1155" s="7"/>
      <c r="NAY1155" s="7"/>
      <c r="NAZ1155" s="7"/>
      <c r="NBA1155" s="7"/>
      <c r="NBB1155" s="7"/>
      <c r="NBC1155" s="7"/>
      <c r="NBD1155" s="7"/>
      <c r="NBE1155" s="7"/>
      <c r="NBF1155" s="7"/>
      <c r="NBG1155" s="7"/>
      <c r="NBH1155" s="7"/>
      <c r="NBI1155" s="7"/>
      <c r="NBJ1155" s="7"/>
      <c r="NBK1155" s="7"/>
      <c r="NBL1155" s="7"/>
      <c r="NBM1155" s="7"/>
      <c r="NBN1155" s="7"/>
      <c r="NBO1155" s="7"/>
      <c r="NBP1155" s="7"/>
      <c r="NBQ1155" s="7"/>
      <c r="NBR1155" s="7"/>
      <c r="NBS1155" s="7"/>
      <c r="NBT1155" s="7"/>
      <c r="NBU1155" s="7"/>
      <c r="NBV1155" s="7"/>
      <c r="NBW1155" s="7"/>
      <c r="NBX1155" s="7"/>
      <c r="NBY1155" s="7"/>
      <c r="NBZ1155" s="7"/>
      <c r="NCA1155" s="7"/>
      <c r="NCB1155" s="7"/>
      <c r="NCC1155" s="7"/>
      <c r="NCD1155" s="7"/>
      <c r="NCE1155" s="7"/>
      <c r="NCF1155" s="7"/>
      <c r="NCG1155" s="7"/>
      <c r="NCH1155" s="7"/>
      <c r="NCI1155" s="7"/>
      <c r="NCJ1155" s="7"/>
      <c r="NCK1155" s="7"/>
      <c r="NCL1155" s="7"/>
      <c r="NCM1155" s="7"/>
      <c r="NCN1155" s="7"/>
      <c r="NCO1155" s="7"/>
      <c r="NCP1155" s="7"/>
      <c r="NCQ1155" s="7"/>
      <c r="NCR1155" s="7"/>
      <c r="NCS1155" s="7"/>
      <c r="NCT1155" s="7"/>
      <c r="NCU1155" s="7"/>
      <c r="NCV1155" s="7"/>
      <c r="NCW1155" s="7"/>
      <c r="NCX1155" s="7"/>
      <c r="NCY1155" s="7"/>
      <c r="NCZ1155" s="7"/>
      <c r="NDA1155" s="7"/>
      <c r="NDB1155" s="7"/>
      <c r="NDC1155" s="7"/>
      <c r="NDD1155" s="7"/>
      <c r="NDE1155" s="7"/>
      <c r="NDF1155" s="7"/>
      <c r="NDG1155" s="7"/>
      <c r="NDH1155" s="7"/>
      <c r="NDI1155" s="7"/>
      <c r="NDJ1155" s="7"/>
      <c r="NDK1155" s="7"/>
      <c r="NDL1155" s="7"/>
      <c r="NDM1155" s="7"/>
      <c r="NDN1155" s="7"/>
      <c r="NDO1155" s="7"/>
      <c r="NDP1155" s="7"/>
      <c r="NDQ1155" s="7"/>
      <c r="NDR1155" s="7"/>
      <c r="NDS1155" s="7"/>
      <c r="NDT1155" s="7"/>
      <c r="NDU1155" s="7"/>
      <c r="NDV1155" s="7"/>
      <c r="NDW1155" s="7"/>
      <c r="NDX1155" s="7"/>
      <c r="NDY1155" s="7"/>
      <c r="NDZ1155" s="7"/>
      <c r="NEA1155" s="7"/>
      <c r="NEB1155" s="7"/>
      <c r="NEC1155" s="7"/>
      <c r="NED1155" s="7"/>
      <c r="NEE1155" s="7"/>
      <c r="NEF1155" s="7"/>
      <c r="NEG1155" s="7"/>
      <c r="NEH1155" s="7"/>
      <c r="NEI1155" s="7"/>
      <c r="NEJ1155" s="7"/>
      <c r="NEK1155" s="7"/>
      <c r="NEL1155" s="7"/>
      <c r="NEM1155" s="7"/>
      <c r="NEN1155" s="7"/>
      <c r="NEO1155" s="7"/>
      <c r="NEP1155" s="7"/>
      <c r="NEQ1155" s="7"/>
      <c r="NER1155" s="7"/>
      <c r="NES1155" s="7"/>
      <c r="NET1155" s="7"/>
      <c r="NEU1155" s="7"/>
      <c r="NEV1155" s="7"/>
      <c r="NEW1155" s="7"/>
      <c r="NEX1155" s="7"/>
      <c r="NEY1155" s="7"/>
      <c r="NEZ1155" s="7"/>
      <c r="NFA1155" s="7"/>
      <c r="NFB1155" s="7"/>
      <c r="NFC1155" s="7"/>
      <c r="NFD1155" s="7"/>
      <c r="NFE1155" s="7"/>
      <c r="NFF1155" s="7"/>
      <c r="NFG1155" s="7"/>
      <c r="NFH1155" s="7"/>
      <c r="NFI1155" s="7"/>
      <c r="NFJ1155" s="7"/>
      <c r="NFK1155" s="7"/>
      <c r="NFL1155" s="7"/>
      <c r="NFM1155" s="7"/>
      <c r="NFN1155" s="7"/>
      <c r="NFO1155" s="7"/>
      <c r="NFP1155" s="7"/>
      <c r="NFQ1155" s="7"/>
      <c r="NFR1155" s="7"/>
      <c r="NFS1155" s="7"/>
      <c r="NFT1155" s="7"/>
      <c r="NFU1155" s="7"/>
      <c r="NFV1155" s="7"/>
      <c r="NFW1155" s="7"/>
      <c r="NFX1155" s="7"/>
      <c r="NFY1155" s="7"/>
      <c r="NFZ1155" s="7"/>
      <c r="NGA1155" s="7"/>
      <c r="NGB1155" s="7"/>
      <c r="NGC1155" s="7"/>
      <c r="NGD1155" s="7"/>
      <c r="NGE1155" s="7"/>
      <c r="NGF1155" s="7"/>
      <c r="NGG1155" s="7"/>
      <c r="NGH1155" s="7"/>
      <c r="NGI1155" s="7"/>
      <c r="NGJ1155" s="7"/>
      <c r="NGK1155" s="7"/>
      <c r="NGL1155" s="7"/>
      <c r="NGM1155" s="7"/>
      <c r="NGN1155" s="7"/>
      <c r="NGO1155" s="7"/>
      <c r="NGP1155" s="7"/>
      <c r="NGQ1155" s="7"/>
      <c r="NGR1155" s="7"/>
      <c r="NGS1155" s="7"/>
      <c r="NGT1155" s="7"/>
      <c r="NGU1155" s="7"/>
      <c r="NGV1155" s="7"/>
      <c r="NGW1155" s="7"/>
      <c r="NGX1155" s="7"/>
      <c r="NGY1155" s="7"/>
      <c r="NGZ1155" s="7"/>
      <c r="NHA1155" s="7"/>
      <c r="NHB1155" s="7"/>
      <c r="NHC1155" s="7"/>
      <c r="NHD1155" s="7"/>
      <c r="NHE1155" s="7"/>
      <c r="NHF1155" s="7"/>
      <c r="NHG1155" s="7"/>
      <c r="NHH1155" s="7"/>
      <c r="NHI1155" s="7"/>
      <c r="NHJ1155" s="7"/>
      <c r="NHK1155" s="7"/>
      <c r="NHL1155" s="7"/>
      <c r="NHM1155" s="7"/>
      <c r="NHN1155" s="7"/>
      <c r="NHO1155" s="7"/>
      <c r="NHP1155" s="7"/>
      <c r="NHQ1155" s="7"/>
      <c r="NHR1155" s="7"/>
      <c r="NHS1155" s="7"/>
      <c r="NHT1155" s="7"/>
      <c r="NHU1155" s="7"/>
      <c r="NHV1155" s="7"/>
      <c r="NHW1155" s="7"/>
      <c r="NHX1155" s="7"/>
      <c r="NHY1155" s="7"/>
      <c r="NHZ1155" s="7"/>
      <c r="NIA1155" s="7"/>
      <c r="NIB1155" s="7"/>
      <c r="NIC1155" s="7"/>
      <c r="NID1155" s="7"/>
      <c r="NIE1155" s="7"/>
      <c r="NIF1155" s="7"/>
      <c r="NIG1155" s="7"/>
      <c r="NIH1155" s="7"/>
      <c r="NII1155" s="7"/>
      <c r="NIJ1155" s="7"/>
      <c r="NIK1155" s="7"/>
      <c r="NIL1155" s="7"/>
      <c r="NIM1155" s="7"/>
      <c r="NIN1155" s="7"/>
      <c r="NIO1155" s="7"/>
      <c r="NIP1155" s="7"/>
      <c r="NIQ1155" s="7"/>
      <c r="NIR1155" s="7"/>
      <c r="NIS1155" s="7"/>
      <c r="NIT1155" s="7"/>
      <c r="NIU1155" s="7"/>
      <c r="NIV1155" s="7"/>
      <c r="NIW1155" s="7"/>
      <c r="NIX1155" s="7"/>
      <c r="NIY1155" s="7"/>
      <c r="NIZ1155" s="7"/>
      <c r="NJA1155" s="7"/>
      <c r="NJB1155" s="7"/>
      <c r="NJC1155" s="7"/>
      <c r="NJD1155" s="7"/>
      <c r="NJE1155" s="7"/>
      <c r="NJF1155" s="7"/>
      <c r="NJG1155" s="7"/>
      <c r="NJH1155" s="7"/>
      <c r="NJI1155" s="7"/>
      <c r="NJJ1155" s="7"/>
      <c r="NJK1155" s="7"/>
      <c r="NJL1155" s="7"/>
      <c r="NJM1155" s="7"/>
      <c r="NJN1155" s="7"/>
      <c r="NJO1155" s="7"/>
      <c r="NJP1155" s="7"/>
      <c r="NJQ1155" s="7"/>
      <c r="NJR1155" s="7"/>
      <c r="NJS1155" s="7"/>
      <c r="NJT1155" s="7"/>
      <c r="NJU1155" s="7"/>
      <c r="NJV1155" s="7"/>
      <c r="NJW1155" s="7"/>
      <c r="NJX1155" s="7"/>
      <c r="NJY1155" s="7"/>
      <c r="NJZ1155" s="7"/>
      <c r="NKA1155" s="7"/>
      <c r="NKB1155" s="7"/>
      <c r="NKC1155" s="7"/>
      <c r="NKD1155" s="7"/>
      <c r="NKE1155" s="7"/>
      <c r="NKF1155" s="7"/>
      <c r="NKG1155" s="7"/>
      <c r="NKH1155" s="7"/>
      <c r="NKI1155" s="7"/>
      <c r="NKJ1155" s="7"/>
      <c r="NKK1155" s="7"/>
      <c r="NKL1155" s="7"/>
      <c r="NKM1155" s="7"/>
      <c r="NKN1155" s="7"/>
      <c r="NKO1155" s="7"/>
      <c r="NKP1155" s="7"/>
      <c r="NKQ1155" s="7"/>
      <c r="NKR1155" s="7"/>
      <c r="NKS1155" s="7"/>
      <c r="NKT1155" s="7"/>
      <c r="NKU1155" s="7"/>
      <c r="NKV1155" s="7"/>
      <c r="NKW1155" s="7"/>
      <c r="NKX1155" s="7"/>
      <c r="NKY1155" s="7"/>
      <c r="NKZ1155" s="7"/>
      <c r="NLA1155" s="7"/>
      <c r="NLB1155" s="7"/>
      <c r="NLC1155" s="7"/>
      <c r="NLD1155" s="7"/>
      <c r="NLE1155" s="7"/>
      <c r="NLF1155" s="7"/>
      <c r="NLG1155" s="7"/>
      <c r="NLH1155" s="7"/>
      <c r="NLI1155" s="7"/>
      <c r="NLJ1155" s="7"/>
      <c r="NLK1155" s="7"/>
      <c r="NLL1155" s="7"/>
      <c r="NLM1155" s="7"/>
      <c r="NLN1155" s="7"/>
      <c r="NLO1155" s="7"/>
      <c r="NLP1155" s="7"/>
      <c r="NLQ1155" s="7"/>
      <c r="NLR1155" s="7"/>
      <c r="NLS1155" s="7"/>
      <c r="NLT1155" s="7"/>
      <c r="NLU1155" s="7"/>
      <c r="NLV1155" s="7"/>
      <c r="NLW1155" s="7"/>
      <c r="NLX1155" s="7"/>
      <c r="NLY1155" s="7"/>
      <c r="NLZ1155" s="7"/>
      <c r="NMA1155" s="7"/>
      <c r="NMB1155" s="7"/>
      <c r="NMC1155" s="7"/>
      <c r="NMD1155" s="7"/>
      <c r="NME1155" s="7"/>
      <c r="NMF1155" s="7"/>
      <c r="NMG1155" s="7"/>
      <c r="NMH1155" s="7"/>
      <c r="NMI1155" s="7"/>
      <c r="NMJ1155" s="7"/>
      <c r="NMK1155" s="7"/>
      <c r="NML1155" s="7"/>
      <c r="NMM1155" s="7"/>
      <c r="NMN1155" s="7"/>
      <c r="NMO1155" s="7"/>
      <c r="NMP1155" s="7"/>
      <c r="NMQ1155" s="7"/>
      <c r="NMR1155" s="7"/>
      <c r="NMS1155" s="7"/>
      <c r="NMT1155" s="7"/>
      <c r="NMU1155" s="7"/>
      <c r="NMV1155" s="7"/>
      <c r="NMW1155" s="7"/>
      <c r="NMX1155" s="7"/>
      <c r="NMY1155" s="7"/>
      <c r="NMZ1155" s="7"/>
      <c r="NNA1155" s="7"/>
      <c r="NNB1155" s="7"/>
      <c r="NNC1155" s="7"/>
      <c r="NND1155" s="7"/>
      <c r="NNE1155" s="7"/>
      <c r="NNF1155" s="7"/>
      <c r="NNG1155" s="7"/>
      <c r="NNH1155" s="7"/>
      <c r="NNI1155" s="7"/>
      <c r="NNJ1155" s="7"/>
      <c r="NNK1155" s="7"/>
      <c r="NNL1155" s="7"/>
      <c r="NNM1155" s="7"/>
      <c r="NNN1155" s="7"/>
      <c r="NNO1155" s="7"/>
      <c r="NNP1155" s="7"/>
      <c r="NNQ1155" s="7"/>
      <c r="NNR1155" s="7"/>
      <c r="NNS1155" s="7"/>
      <c r="NNT1155" s="7"/>
      <c r="NNU1155" s="7"/>
      <c r="NNV1155" s="7"/>
      <c r="NNW1155" s="7"/>
      <c r="NNX1155" s="7"/>
      <c r="NNY1155" s="7"/>
      <c r="NNZ1155" s="7"/>
      <c r="NOA1155" s="7"/>
      <c r="NOB1155" s="7"/>
      <c r="NOC1155" s="7"/>
      <c r="NOD1155" s="7"/>
      <c r="NOE1155" s="7"/>
      <c r="NOF1155" s="7"/>
      <c r="NOG1155" s="7"/>
      <c r="NOH1155" s="7"/>
      <c r="NOI1155" s="7"/>
      <c r="NOJ1155" s="7"/>
      <c r="NOK1155" s="7"/>
      <c r="NOL1155" s="7"/>
      <c r="NOM1155" s="7"/>
      <c r="NON1155" s="7"/>
      <c r="NOO1155" s="7"/>
      <c r="NOP1155" s="7"/>
      <c r="NOQ1155" s="7"/>
      <c r="NOR1155" s="7"/>
      <c r="NOS1155" s="7"/>
      <c r="NOT1155" s="7"/>
      <c r="NOU1155" s="7"/>
      <c r="NOV1155" s="7"/>
      <c r="NOW1155" s="7"/>
      <c r="NOX1155" s="7"/>
      <c r="NOY1155" s="7"/>
      <c r="NOZ1155" s="7"/>
      <c r="NPA1155" s="7"/>
      <c r="NPB1155" s="7"/>
      <c r="NPC1155" s="7"/>
      <c r="NPD1155" s="7"/>
      <c r="NPE1155" s="7"/>
      <c r="NPF1155" s="7"/>
      <c r="NPG1155" s="7"/>
      <c r="NPH1155" s="7"/>
      <c r="NPI1155" s="7"/>
      <c r="NPJ1155" s="7"/>
      <c r="NPK1155" s="7"/>
      <c r="NPL1155" s="7"/>
      <c r="NPM1155" s="7"/>
      <c r="NPN1155" s="7"/>
      <c r="NPO1155" s="7"/>
      <c r="NPP1155" s="7"/>
      <c r="NPQ1155" s="7"/>
      <c r="NPR1155" s="7"/>
      <c r="NPS1155" s="7"/>
      <c r="NPT1155" s="7"/>
      <c r="NPU1155" s="7"/>
      <c r="NPV1155" s="7"/>
      <c r="NPW1155" s="7"/>
      <c r="NPX1155" s="7"/>
      <c r="NPY1155" s="7"/>
      <c r="NPZ1155" s="7"/>
      <c r="NQA1155" s="7"/>
      <c r="NQB1155" s="7"/>
      <c r="NQC1155" s="7"/>
      <c r="NQD1155" s="7"/>
      <c r="NQE1155" s="7"/>
      <c r="NQF1155" s="7"/>
      <c r="NQG1155" s="7"/>
      <c r="NQH1155" s="7"/>
      <c r="NQI1155" s="7"/>
      <c r="NQJ1155" s="7"/>
      <c r="NQK1155" s="7"/>
      <c r="NQL1155" s="7"/>
      <c r="NQM1155" s="7"/>
      <c r="NQN1155" s="7"/>
      <c r="NQO1155" s="7"/>
      <c r="NQP1155" s="7"/>
      <c r="NQQ1155" s="7"/>
      <c r="NQR1155" s="7"/>
      <c r="NQS1155" s="7"/>
      <c r="NQT1155" s="7"/>
      <c r="NQU1155" s="7"/>
      <c r="NQV1155" s="7"/>
      <c r="NQW1155" s="7"/>
      <c r="NQX1155" s="7"/>
      <c r="NQY1155" s="7"/>
      <c r="NQZ1155" s="7"/>
      <c r="NRA1155" s="7"/>
      <c r="NRB1155" s="7"/>
      <c r="NRC1155" s="7"/>
      <c r="NRD1155" s="7"/>
      <c r="NRE1155" s="7"/>
      <c r="NRF1155" s="7"/>
      <c r="NRG1155" s="7"/>
      <c r="NRH1155" s="7"/>
      <c r="NRI1155" s="7"/>
      <c r="NRJ1155" s="7"/>
      <c r="NRK1155" s="7"/>
      <c r="NRL1155" s="7"/>
      <c r="NRM1155" s="7"/>
      <c r="NRN1155" s="7"/>
      <c r="NRO1155" s="7"/>
      <c r="NRP1155" s="7"/>
      <c r="NRQ1155" s="7"/>
      <c r="NRR1155" s="7"/>
      <c r="NRS1155" s="7"/>
      <c r="NRT1155" s="7"/>
      <c r="NRU1155" s="7"/>
      <c r="NRV1155" s="7"/>
      <c r="NRW1155" s="7"/>
      <c r="NRX1155" s="7"/>
      <c r="NRY1155" s="7"/>
      <c r="NRZ1155" s="7"/>
      <c r="NSA1155" s="7"/>
      <c r="NSB1155" s="7"/>
      <c r="NSC1155" s="7"/>
      <c r="NSD1155" s="7"/>
      <c r="NSE1155" s="7"/>
      <c r="NSF1155" s="7"/>
      <c r="NSG1155" s="7"/>
      <c r="NSH1155" s="7"/>
      <c r="NSI1155" s="7"/>
      <c r="NSJ1155" s="7"/>
      <c r="NSK1155" s="7"/>
      <c r="NSL1155" s="7"/>
      <c r="NSM1155" s="7"/>
      <c r="NSN1155" s="7"/>
      <c r="NSO1155" s="7"/>
      <c r="NSP1155" s="7"/>
      <c r="NSQ1155" s="7"/>
      <c r="NSR1155" s="7"/>
      <c r="NSS1155" s="7"/>
      <c r="NST1155" s="7"/>
      <c r="NSU1155" s="7"/>
      <c r="NSV1155" s="7"/>
      <c r="NSW1155" s="7"/>
      <c r="NSX1155" s="7"/>
      <c r="NSY1155" s="7"/>
      <c r="NSZ1155" s="7"/>
      <c r="NTA1155" s="7"/>
      <c r="NTB1155" s="7"/>
      <c r="NTC1155" s="7"/>
      <c r="NTD1155" s="7"/>
      <c r="NTE1155" s="7"/>
      <c r="NTF1155" s="7"/>
      <c r="NTG1155" s="7"/>
      <c r="NTH1155" s="7"/>
      <c r="NTI1155" s="7"/>
      <c r="NTJ1155" s="7"/>
      <c r="NTK1155" s="7"/>
      <c r="NTL1155" s="7"/>
      <c r="NTM1155" s="7"/>
      <c r="NTN1155" s="7"/>
      <c r="NTO1155" s="7"/>
      <c r="NTP1155" s="7"/>
      <c r="NTQ1155" s="7"/>
      <c r="NTR1155" s="7"/>
      <c r="NTS1155" s="7"/>
      <c r="NTT1155" s="7"/>
      <c r="NTU1155" s="7"/>
      <c r="NTV1155" s="7"/>
      <c r="NTW1155" s="7"/>
      <c r="NTX1155" s="7"/>
      <c r="NTY1155" s="7"/>
      <c r="NTZ1155" s="7"/>
      <c r="NUA1155" s="7"/>
      <c r="NUB1155" s="7"/>
      <c r="NUC1155" s="7"/>
      <c r="NUD1155" s="7"/>
      <c r="NUE1155" s="7"/>
      <c r="NUF1155" s="7"/>
      <c r="NUG1155" s="7"/>
      <c r="NUH1155" s="7"/>
      <c r="NUI1155" s="7"/>
      <c r="NUJ1155" s="7"/>
      <c r="NUK1155" s="7"/>
      <c r="NUL1155" s="7"/>
      <c r="NUM1155" s="7"/>
      <c r="NUN1155" s="7"/>
      <c r="NUO1155" s="7"/>
      <c r="NUP1155" s="7"/>
      <c r="NUQ1155" s="7"/>
      <c r="NUR1155" s="7"/>
      <c r="NUS1155" s="7"/>
      <c r="NUT1155" s="7"/>
      <c r="NUU1155" s="7"/>
      <c r="NUV1155" s="7"/>
      <c r="NUW1155" s="7"/>
      <c r="NUX1155" s="7"/>
      <c r="NUY1155" s="7"/>
      <c r="NUZ1155" s="7"/>
      <c r="NVA1155" s="7"/>
      <c r="NVB1155" s="7"/>
      <c r="NVC1155" s="7"/>
      <c r="NVD1155" s="7"/>
      <c r="NVE1155" s="7"/>
      <c r="NVF1155" s="7"/>
      <c r="NVG1155" s="7"/>
      <c r="NVH1155" s="7"/>
      <c r="NVI1155" s="7"/>
      <c r="NVJ1155" s="7"/>
      <c r="NVK1155" s="7"/>
      <c r="NVL1155" s="7"/>
      <c r="NVM1155" s="7"/>
      <c r="NVN1155" s="7"/>
      <c r="NVO1155" s="7"/>
      <c r="NVP1155" s="7"/>
      <c r="NVQ1155" s="7"/>
      <c r="NVR1155" s="7"/>
      <c r="NVS1155" s="7"/>
      <c r="NVT1155" s="7"/>
      <c r="NVU1155" s="7"/>
      <c r="NVV1155" s="7"/>
      <c r="NVW1155" s="7"/>
      <c r="NVX1155" s="7"/>
      <c r="NVY1155" s="7"/>
      <c r="NVZ1155" s="7"/>
      <c r="NWA1155" s="7"/>
      <c r="NWB1155" s="7"/>
      <c r="NWC1155" s="7"/>
      <c r="NWD1155" s="7"/>
      <c r="NWE1155" s="7"/>
      <c r="NWF1155" s="7"/>
      <c r="NWG1155" s="7"/>
      <c r="NWH1155" s="7"/>
      <c r="NWI1155" s="7"/>
      <c r="NWJ1155" s="7"/>
      <c r="NWK1155" s="7"/>
      <c r="NWL1155" s="7"/>
      <c r="NWM1155" s="7"/>
      <c r="NWN1155" s="7"/>
      <c r="NWO1155" s="7"/>
      <c r="NWP1155" s="7"/>
      <c r="NWQ1155" s="7"/>
      <c r="NWR1155" s="7"/>
      <c r="NWS1155" s="7"/>
      <c r="NWT1155" s="7"/>
      <c r="NWU1155" s="7"/>
      <c r="NWV1155" s="7"/>
      <c r="NWW1155" s="7"/>
      <c r="NWX1155" s="7"/>
      <c r="NWY1155" s="7"/>
      <c r="NWZ1155" s="7"/>
      <c r="NXA1155" s="7"/>
      <c r="NXB1155" s="7"/>
      <c r="NXC1155" s="7"/>
      <c r="NXD1155" s="7"/>
      <c r="NXE1155" s="7"/>
      <c r="NXF1155" s="7"/>
      <c r="NXG1155" s="7"/>
      <c r="NXH1155" s="7"/>
      <c r="NXI1155" s="7"/>
      <c r="NXJ1155" s="7"/>
      <c r="NXK1155" s="7"/>
      <c r="NXL1155" s="7"/>
      <c r="NXM1155" s="7"/>
      <c r="NXN1155" s="7"/>
      <c r="NXO1155" s="7"/>
      <c r="NXP1155" s="7"/>
      <c r="NXQ1155" s="7"/>
      <c r="NXR1155" s="7"/>
      <c r="NXS1155" s="7"/>
      <c r="NXT1155" s="7"/>
      <c r="NXU1155" s="7"/>
      <c r="NXV1155" s="7"/>
      <c r="NXW1155" s="7"/>
      <c r="NXX1155" s="7"/>
      <c r="NXY1155" s="7"/>
      <c r="NXZ1155" s="7"/>
      <c r="NYA1155" s="7"/>
      <c r="NYB1155" s="7"/>
      <c r="NYC1155" s="7"/>
      <c r="NYD1155" s="7"/>
      <c r="NYE1155" s="7"/>
      <c r="NYF1155" s="7"/>
      <c r="NYG1155" s="7"/>
      <c r="NYH1155" s="7"/>
      <c r="NYI1155" s="7"/>
      <c r="NYJ1155" s="7"/>
      <c r="NYK1155" s="7"/>
      <c r="NYL1155" s="7"/>
      <c r="NYM1155" s="7"/>
      <c r="NYN1155" s="7"/>
      <c r="NYO1155" s="7"/>
      <c r="NYP1155" s="7"/>
      <c r="NYQ1155" s="7"/>
      <c r="NYR1155" s="7"/>
      <c r="NYS1155" s="7"/>
      <c r="NYT1155" s="7"/>
      <c r="NYU1155" s="7"/>
      <c r="NYV1155" s="7"/>
      <c r="NYW1155" s="7"/>
      <c r="NYX1155" s="7"/>
      <c r="NYY1155" s="7"/>
      <c r="NYZ1155" s="7"/>
      <c r="NZA1155" s="7"/>
      <c r="NZB1155" s="7"/>
      <c r="NZC1155" s="7"/>
      <c r="NZD1155" s="7"/>
      <c r="NZE1155" s="7"/>
      <c r="NZF1155" s="7"/>
      <c r="NZG1155" s="7"/>
      <c r="NZH1155" s="7"/>
      <c r="NZI1155" s="7"/>
      <c r="NZJ1155" s="7"/>
      <c r="NZK1155" s="7"/>
      <c r="NZL1155" s="7"/>
      <c r="NZM1155" s="7"/>
      <c r="NZN1155" s="7"/>
      <c r="NZO1155" s="7"/>
      <c r="NZP1155" s="7"/>
      <c r="NZQ1155" s="7"/>
      <c r="NZR1155" s="7"/>
      <c r="NZS1155" s="7"/>
      <c r="NZT1155" s="7"/>
      <c r="NZU1155" s="7"/>
      <c r="NZV1155" s="7"/>
      <c r="NZW1155" s="7"/>
      <c r="NZX1155" s="7"/>
      <c r="NZY1155" s="7"/>
      <c r="NZZ1155" s="7"/>
      <c r="OAA1155" s="7"/>
      <c r="OAB1155" s="7"/>
      <c r="OAC1155" s="7"/>
      <c r="OAD1155" s="7"/>
      <c r="OAE1155" s="7"/>
      <c r="OAF1155" s="7"/>
      <c r="OAG1155" s="7"/>
      <c r="OAH1155" s="7"/>
      <c r="OAI1155" s="7"/>
      <c r="OAJ1155" s="7"/>
      <c r="OAK1155" s="7"/>
      <c r="OAL1155" s="7"/>
      <c r="OAM1155" s="7"/>
      <c r="OAN1155" s="7"/>
      <c r="OAO1155" s="7"/>
      <c r="OAP1155" s="7"/>
      <c r="OAQ1155" s="7"/>
      <c r="OAR1155" s="7"/>
      <c r="OAS1155" s="7"/>
      <c r="OAT1155" s="7"/>
      <c r="OAU1155" s="7"/>
      <c r="OAV1155" s="7"/>
      <c r="OAW1155" s="7"/>
      <c r="OAX1155" s="7"/>
      <c r="OAY1155" s="7"/>
      <c r="OAZ1155" s="7"/>
      <c r="OBA1155" s="7"/>
      <c r="OBB1155" s="7"/>
      <c r="OBC1155" s="7"/>
      <c r="OBD1155" s="7"/>
      <c r="OBE1155" s="7"/>
      <c r="OBF1155" s="7"/>
      <c r="OBG1155" s="7"/>
      <c r="OBH1155" s="7"/>
      <c r="OBI1155" s="7"/>
      <c r="OBJ1155" s="7"/>
      <c r="OBK1155" s="7"/>
      <c r="OBL1155" s="7"/>
      <c r="OBM1155" s="7"/>
      <c r="OBN1155" s="7"/>
      <c r="OBO1155" s="7"/>
      <c r="OBP1155" s="7"/>
      <c r="OBQ1155" s="7"/>
      <c r="OBR1155" s="7"/>
      <c r="OBS1155" s="7"/>
      <c r="OBT1155" s="7"/>
      <c r="OBU1155" s="7"/>
      <c r="OBV1155" s="7"/>
      <c r="OBW1155" s="7"/>
      <c r="OBX1155" s="7"/>
      <c r="OBY1155" s="7"/>
      <c r="OBZ1155" s="7"/>
      <c r="OCA1155" s="7"/>
      <c r="OCB1155" s="7"/>
      <c r="OCC1155" s="7"/>
      <c r="OCD1155" s="7"/>
      <c r="OCE1155" s="7"/>
      <c r="OCF1155" s="7"/>
      <c r="OCG1155" s="7"/>
      <c r="OCH1155" s="7"/>
      <c r="OCI1155" s="7"/>
      <c r="OCJ1155" s="7"/>
      <c r="OCK1155" s="7"/>
      <c r="OCL1155" s="7"/>
      <c r="OCM1155" s="7"/>
      <c r="OCN1155" s="7"/>
      <c r="OCO1155" s="7"/>
      <c r="OCP1155" s="7"/>
      <c r="OCQ1155" s="7"/>
      <c r="OCR1155" s="7"/>
      <c r="OCS1155" s="7"/>
      <c r="OCT1155" s="7"/>
      <c r="OCU1155" s="7"/>
      <c r="OCV1155" s="7"/>
      <c r="OCW1155" s="7"/>
      <c r="OCX1155" s="7"/>
      <c r="OCY1155" s="7"/>
      <c r="OCZ1155" s="7"/>
      <c r="ODA1155" s="7"/>
      <c r="ODB1155" s="7"/>
      <c r="ODC1155" s="7"/>
      <c r="ODD1155" s="7"/>
      <c r="ODE1155" s="7"/>
      <c r="ODF1155" s="7"/>
      <c r="ODG1155" s="7"/>
      <c r="ODH1155" s="7"/>
      <c r="ODI1155" s="7"/>
      <c r="ODJ1155" s="7"/>
      <c r="ODK1155" s="7"/>
      <c r="ODL1155" s="7"/>
      <c r="ODM1155" s="7"/>
      <c r="ODN1155" s="7"/>
      <c r="ODO1155" s="7"/>
      <c r="ODP1155" s="7"/>
      <c r="ODQ1155" s="7"/>
      <c r="ODR1155" s="7"/>
      <c r="ODS1155" s="7"/>
      <c r="ODT1155" s="7"/>
      <c r="ODU1155" s="7"/>
      <c r="ODV1155" s="7"/>
      <c r="ODW1155" s="7"/>
      <c r="ODX1155" s="7"/>
      <c r="ODY1155" s="7"/>
      <c r="ODZ1155" s="7"/>
      <c r="OEA1155" s="7"/>
      <c r="OEB1155" s="7"/>
      <c r="OEC1155" s="7"/>
      <c r="OED1155" s="7"/>
      <c r="OEE1155" s="7"/>
      <c r="OEF1155" s="7"/>
      <c r="OEG1155" s="7"/>
      <c r="OEH1155" s="7"/>
      <c r="OEI1155" s="7"/>
      <c r="OEJ1155" s="7"/>
      <c r="OEK1155" s="7"/>
      <c r="OEL1155" s="7"/>
      <c r="OEM1155" s="7"/>
      <c r="OEN1155" s="7"/>
      <c r="OEO1155" s="7"/>
      <c r="OEP1155" s="7"/>
      <c r="OEQ1155" s="7"/>
      <c r="OER1155" s="7"/>
      <c r="OES1155" s="7"/>
      <c r="OET1155" s="7"/>
      <c r="OEU1155" s="7"/>
      <c r="OEV1155" s="7"/>
      <c r="OEW1155" s="7"/>
      <c r="OEX1155" s="7"/>
      <c r="OEY1155" s="7"/>
      <c r="OEZ1155" s="7"/>
      <c r="OFA1155" s="7"/>
      <c r="OFB1155" s="7"/>
      <c r="OFC1155" s="7"/>
      <c r="OFD1155" s="7"/>
      <c r="OFE1155" s="7"/>
      <c r="OFF1155" s="7"/>
      <c r="OFG1155" s="7"/>
      <c r="OFH1155" s="7"/>
      <c r="OFI1155" s="7"/>
      <c r="OFJ1155" s="7"/>
      <c r="OFK1155" s="7"/>
      <c r="OFL1155" s="7"/>
      <c r="OFM1155" s="7"/>
      <c r="OFN1155" s="7"/>
      <c r="OFO1155" s="7"/>
      <c r="OFP1155" s="7"/>
      <c r="OFQ1155" s="7"/>
      <c r="OFR1155" s="7"/>
      <c r="OFS1155" s="7"/>
      <c r="OFT1155" s="7"/>
      <c r="OFU1155" s="7"/>
      <c r="OFV1155" s="7"/>
      <c r="OFW1155" s="7"/>
      <c r="OFX1155" s="7"/>
      <c r="OFY1155" s="7"/>
      <c r="OFZ1155" s="7"/>
      <c r="OGA1155" s="7"/>
      <c r="OGB1155" s="7"/>
      <c r="OGC1155" s="7"/>
      <c r="OGD1155" s="7"/>
      <c r="OGE1155" s="7"/>
      <c r="OGF1155" s="7"/>
      <c r="OGG1155" s="7"/>
      <c r="OGH1155" s="7"/>
      <c r="OGI1155" s="7"/>
      <c r="OGJ1155" s="7"/>
      <c r="OGK1155" s="7"/>
      <c r="OGL1155" s="7"/>
      <c r="OGM1155" s="7"/>
      <c r="OGN1155" s="7"/>
      <c r="OGO1155" s="7"/>
      <c r="OGP1155" s="7"/>
      <c r="OGQ1155" s="7"/>
      <c r="OGR1155" s="7"/>
      <c r="OGS1155" s="7"/>
      <c r="OGT1155" s="7"/>
      <c r="OGU1155" s="7"/>
      <c r="OGV1155" s="7"/>
      <c r="OGW1155" s="7"/>
      <c r="OGX1155" s="7"/>
      <c r="OGY1155" s="7"/>
      <c r="OGZ1155" s="7"/>
      <c r="OHA1155" s="7"/>
      <c r="OHB1155" s="7"/>
      <c r="OHC1155" s="7"/>
      <c r="OHD1155" s="7"/>
      <c r="OHE1155" s="7"/>
      <c r="OHF1155" s="7"/>
      <c r="OHG1155" s="7"/>
      <c r="OHH1155" s="7"/>
      <c r="OHI1155" s="7"/>
      <c r="OHJ1155" s="7"/>
      <c r="OHK1155" s="7"/>
      <c r="OHL1155" s="7"/>
      <c r="OHM1155" s="7"/>
      <c r="OHN1155" s="7"/>
      <c r="OHO1155" s="7"/>
      <c r="OHP1155" s="7"/>
      <c r="OHQ1155" s="7"/>
      <c r="OHR1155" s="7"/>
      <c r="OHS1155" s="7"/>
      <c r="OHT1155" s="7"/>
      <c r="OHU1155" s="7"/>
      <c r="OHV1155" s="7"/>
      <c r="OHW1155" s="7"/>
      <c r="OHX1155" s="7"/>
      <c r="OHY1155" s="7"/>
      <c r="OHZ1155" s="7"/>
      <c r="OIA1155" s="7"/>
      <c r="OIB1155" s="7"/>
      <c r="OIC1155" s="7"/>
      <c r="OID1155" s="7"/>
      <c r="OIE1155" s="7"/>
      <c r="OIF1155" s="7"/>
      <c r="OIG1155" s="7"/>
      <c r="OIH1155" s="7"/>
      <c r="OII1155" s="7"/>
      <c r="OIJ1155" s="7"/>
      <c r="OIK1155" s="7"/>
      <c r="OIL1155" s="7"/>
      <c r="OIM1155" s="7"/>
      <c r="OIN1155" s="7"/>
      <c r="OIO1155" s="7"/>
      <c r="OIP1155" s="7"/>
      <c r="OIQ1155" s="7"/>
      <c r="OIR1155" s="7"/>
      <c r="OIS1155" s="7"/>
      <c r="OIT1155" s="7"/>
      <c r="OIU1155" s="7"/>
      <c r="OIV1155" s="7"/>
      <c r="OIW1155" s="7"/>
      <c r="OIX1155" s="7"/>
      <c r="OIY1155" s="7"/>
      <c r="OIZ1155" s="7"/>
      <c r="OJA1155" s="7"/>
      <c r="OJB1155" s="7"/>
      <c r="OJC1155" s="7"/>
      <c r="OJD1155" s="7"/>
      <c r="OJE1155" s="7"/>
      <c r="OJF1155" s="7"/>
      <c r="OJG1155" s="7"/>
      <c r="OJH1155" s="7"/>
      <c r="OJI1155" s="7"/>
      <c r="OJJ1155" s="7"/>
      <c r="OJK1155" s="7"/>
      <c r="OJL1155" s="7"/>
      <c r="OJM1155" s="7"/>
      <c r="OJN1155" s="7"/>
      <c r="OJO1155" s="7"/>
      <c r="OJP1155" s="7"/>
      <c r="OJQ1155" s="7"/>
      <c r="OJR1155" s="7"/>
      <c r="OJS1155" s="7"/>
      <c r="OJT1155" s="7"/>
      <c r="OJU1155" s="7"/>
      <c r="OJV1155" s="7"/>
      <c r="OJW1155" s="7"/>
      <c r="OJX1155" s="7"/>
      <c r="OJY1155" s="7"/>
      <c r="OJZ1155" s="7"/>
      <c r="OKA1155" s="7"/>
      <c r="OKB1155" s="7"/>
      <c r="OKC1155" s="7"/>
      <c r="OKD1155" s="7"/>
      <c r="OKE1155" s="7"/>
      <c r="OKF1155" s="7"/>
      <c r="OKG1155" s="7"/>
      <c r="OKH1155" s="7"/>
      <c r="OKI1155" s="7"/>
      <c r="OKJ1155" s="7"/>
      <c r="OKK1155" s="7"/>
      <c r="OKL1155" s="7"/>
      <c r="OKM1155" s="7"/>
      <c r="OKN1155" s="7"/>
      <c r="OKO1155" s="7"/>
      <c r="OKP1155" s="7"/>
      <c r="OKQ1155" s="7"/>
      <c r="OKR1155" s="7"/>
      <c r="OKS1155" s="7"/>
      <c r="OKT1155" s="7"/>
      <c r="OKU1155" s="7"/>
      <c r="OKV1155" s="7"/>
      <c r="OKW1155" s="7"/>
      <c r="OKX1155" s="7"/>
      <c r="OKY1155" s="7"/>
      <c r="OKZ1155" s="7"/>
      <c r="OLA1155" s="7"/>
      <c r="OLB1155" s="7"/>
      <c r="OLC1155" s="7"/>
      <c r="OLD1155" s="7"/>
      <c r="OLE1155" s="7"/>
      <c r="OLF1155" s="7"/>
      <c r="OLG1155" s="7"/>
      <c r="OLH1155" s="7"/>
      <c r="OLI1155" s="7"/>
      <c r="OLJ1155" s="7"/>
      <c r="OLK1155" s="7"/>
      <c r="OLL1155" s="7"/>
      <c r="OLM1155" s="7"/>
      <c r="OLN1155" s="7"/>
      <c r="OLO1155" s="7"/>
      <c r="OLP1155" s="7"/>
      <c r="OLQ1155" s="7"/>
      <c r="OLR1155" s="7"/>
      <c r="OLS1155" s="7"/>
      <c r="OLT1155" s="7"/>
      <c r="OLU1155" s="7"/>
      <c r="OLV1155" s="7"/>
      <c r="OLW1155" s="7"/>
      <c r="OLX1155" s="7"/>
      <c r="OLY1155" s="7"/>
      <c r="OLZ1155" s="7"/>
      <c r="OMA1155" s="7"/>
      <c r="OMB1155" s="7"/>
      <c r="OMC1155" s="7"/>
      <c r="OMD1155" s="7"/>
      <c r="OME1155" s="7"/>
      <c r="OMF1155" s="7"/>
      <c r="OMG1155" s="7"/>
      <c r="OMH1155" s="7"/>
      <c r="OMI1155" s="7"/>
      <c r="OMJ1155" s="7"/>
      <c r="OMK1155" s="7"/>
      <c r="OML1155" s="7"/>
      <c r="OMM1155" s="7"/>
      <c r="OMN1155" s="7"/>
      <c r="OMO1155" s="7"/>
      <c r="OMP1155" s="7"/>
      <c r="OMQ1155" s="7"/>
      <c r="OMR1155" s="7"/>
      <c r="OMS1155" s="7"/>
      <c r="OMT1155" s="7"/>
      <c r="OMU1155" s="7"/>
      <c r="OMV1155" s="7"/>
      <c r="OMW1155" s="7"/>
      <c r="OMX1155" s="7"/>
      <c r="OMY1155" s="7"/>
      <c r="OMZ1155" s="7"/>
      <c r="ONA1155" s="7"/>
      <c r="ONB1155" s="7"/>
      <c r="ONC1155" s="7"/>
      <c r="OND1155" s="7"/>
      <c r="ONE1155" s="7"/>
      <c r="ONF1155" s="7"/>
      <c r="ONG1155" s="7"/>
      <c r="ONH1155" s="7"/>
      <c r="ONI1155" s="7"/>
      <c r="ONJ1155" s="7"/>
      <c r="ONK1155" s="7"/>
      <c r="ONL1155" s="7"/>
      <c r="ONM1155" s="7"/>
      <c r="ONN1155" s="7"/>
      <c r="ONO1155" s="7"/>
      <c r="ONP1155" s="7"/>
      <c r="ONQ1155" s="7"/>
      <c r="ONR1155" s="7"/>
      <c r="ONS1155" s="7"/>
      <c r="ONT1155" s="7"/>
      <c r="ONU1155" s="7"/>
      <c r="ONV1155" s="7"/>
      <c r="ONW1155" s="7"/>
      <c r="ONX1155" s="7"/>
      <c r="ONY1155" s="7"/>
      <c r="ONZ1155" s="7"/>
      <c r="OOA1155" s="7"/>
      <c r="OOB1155" s="7"/>
      <c r="OOC1155" s="7"/>
      <c r="OOD1155" s="7"/>
      <c r="OOE1155" s="7"/>
      <c r="OOF1155" s="7"/>
      <c r="OOG1155" s="7"/>
      <c r="OOH1155" s="7"/>
      <c r="OOI1155" s="7"/>
      <c r="OOJ1155" s="7"/>
      <c r="OOK1155" s="7"/>
      <c r="OOL1155" s="7"/>
      <c r="OOM1155" s="7"/>
      <c r="OON1155" s="7"/>
      <c r="OOO1155" s="7"/>
      <c r="OOP1155" s="7"/>
      <c r="OOQ1155" s="7"/>
      <c r="OOR1155" s="7"/>
      <c r="OOS1155" s="7"/>
      <c r="OOT1155" s="7"/>
      <c r="OOU1155" s="7"/>
      <c r="OOV1155" s="7"/>
      <c r="OOW1155" s="7"/>
      <c r="OOX1155" s="7"/>
      <c r="OOY1155" s="7"/>
      <c r="OOZ1155" s="7"/>
      <c r="OPA1155" s="7"/>
      <c r="OPB1155" s="7"/>
      <c r="OPC1155" s="7"/>
      <c r="OPD1155" s="7"/>
      <c r="OPE1155" s="7"/>
      <c r="OPF1155" s="7"/>
      <c r="OPG1155" s="7"/>
      <c r="OPH1155" s="7"/>
      <c r="OPI1155" s="7"/>
      <c r="OPJ1155" s="7"/>
      <c r="OPK1155" s="7"/>
      <c r="OPL1155" s="7"/>
      <c r="OPM1155" s="7"/>
      <c r="OPN1155" s="7"/>
      <c r="OPO1155" s="7"/>
      <c r="OPP1155" s="7"/>
      <c r="OPQ1155" s="7"/>
      <c r="OPR1155" s="7"/>
      <c r="OPS1155" s="7"/>
      <c r="OPT1155" s="7"/>
      <c r="OPU1155" s="7"/>
      <c r="OPV1155" s="7"/>
      <c r="OPW1155" s="7"/>
      <c r="OPX1155" s="7"/>
      <c r="OPY1155" s="7"/>
      <c r="OPZ1155" s="7"/>
      <c r="OQA1155" s="7"/>
      <c r="OQB1155" s="7"/>
      <c r="OQC1155" s="7"/>
      <c r="OQD1155" s="7"/>
      <c r="OQE1155" s="7"/>
      <c r="OQF1155" s="7"/>
      <c r="OQG1155" s="7"/>
      <c r="OQH1155" s="7"/>
      <c r="OQI1155" s="7"/>
      <c r="OQJ1155" s="7"/>
      <c r="OQK1155" s="7"/>
      <c r="OQL1155" s="7"/>
      <c r="OQM1155" s="7"/>
      <c r="OQN1155" s="7"/>
      <c r="OQO1155" s="7"/>
      <c r="OQP1155" s="7"/>
      <c r="OQQ1155" s="7"/>
      <c r="OQR1155" s="7"/>
      <c r="OQS1155" s="7"/>
      <c r="OQT1155" s="7"/>
      <c r="OQU1155" s="7"/>
      <c r="OQV1155" s="7"/>
      <c r="OQW1155" s="7"/>
      <c r="OQX1155" s="7"/>
      <c r="OQY1155" s="7"/>
      <c r="OQZ1155" s="7"/>
      <c r="ORA1155" s="7"/>
      <c r="ORB1155" s="7"/>
      <c r="ORC1155" s="7"/>
      <c r="ORD1155" s="7"/>
      <c r="ORE1155" s="7"/>
      <c r="ORF1155" s="7"/>
      <c r="ORG1155" s="7"/>
      <c r="ORH1155" s="7"/>
      <c r="ORI1155" s="7"/>
      <c r="ORJ1155" s="7"/>
      <c r="ORK1155" s="7"/>
      <c r="ORL1155" s="7"/>
      <c r="ORM1155" s="7"/>
      <c r="ORN1155" s="7"/>
      <c r="ORO1155" s="7"/>
      <c r="ORP1155" s="7"/>
      <c r="ORQ1155" s="7"/>
      <c r="ORR1155" s="7"/>
      <c r="ORS1155" s="7"/>
      <c r="ORT1155" s="7"/>
      <c r="ORU1155" s="7"/>
      <c r="ORV1155" s="7"/>
      <c r="ORW1155" s="7"/>
      <c r="ORX1155" s="7"/>
      <c r="ORY1155" s="7"/>
      <c r="ORZ1155" s="7"/>
      <c r="OSA1155" s="7"/>
      <c r="OSB1155" s="7"/>
      <c r="OSC1155" s="7"/>
      <c r="OSD1155" s="7"/>
      <c r="OSE1155" s="7"/>
      <c r="OSF1155" s="7"/>
      <c r="OSG1155" s="7"/>
      <c r="OSH1155" s="7"/>
      <c r="OSI1155" s="7"/>
      <c r="OSJ1155" s="7"/>
      <c r="OSK1155" s="7"/>
      <c r="OSL1155" s="7"/>
      <c r="OSM1155" s="7"/>
      <c r="OSN1155" s="7"/>
      <c r="OSO1155" s="7"/>
      <c r="OSP1155" s="7"/>
      <c r="OSQ1155" s="7"/>
      <c r="OSR1155" s="7"/>
      <c r="OSS1155" s="7"/>
      <c r="OST1155" s="7"/>
      <c r="OSU1155" s="7"/>
      <c r="OSV1155" s="7"/>
      <c r="OSW1155" s="7"/>
      <c r="OSX1155" s="7"/>
      <c r="OSY1155" s="7"/>
      <c r="OSZ1155" s="7"/>
      <c r="OTA1155" s="7"/>
      <c r="OTB1155" s="7"/>
      <c r="OTC1155" s="7"/>
      <c r="OTD1155" s="7"/>
      <c r="OTE1155" s="7"/>
      <c r="OTF1155" s="7"/>
      <c r="OTG1155" s="7"/>
      <c r="OTH1155" s="7"/>
      <c r="OTI1155" s="7"/>
      <c r="OTJ1155" s="7"/>
      <c r="OTK1155" s="7"/>
      <c r="OTL1155" s="7"/>
      <c r="OTM1155" s="7"/>
      <c r="OTN1155" s="7"/>
      <c r="OTO1155" s="7"/>
      <c r="OTP1155" s="7"/>
      <c r="OTQ1155" s="7"/>
      <c r="OTR1155" s="7"/>
      <c r="OTS1155" s="7"/>
      <c r="OTT1155" s="7"/>
      <c r="OTU1155" s="7"/>
      <c r="OTV1155" s="7"/>
      <c r="OTW1155" s="7"/>
      <c r="OTX1155" s="7"/>
      <c r="OTY1155" s="7"/>
      <c r="OTZ1155" s="7"/>
      <c r="OUA1155" s="7"/>
      <c r="OUB1155" s="7"/>
      <c r="OUC1155" s="7"/>
      <c r="OUD1155" s="7"/>
      <c r="OUE1155" s="7"/>
      <c r="OUF1155" s="7"/>
      <c r="OUG1155" s="7"/>
      <c r="OUH1155" s="7"/>
      <c r="OUI1155" s="7"/>
      <c r="OUJ1155" s="7"/>
      <c r="OUK1155" s="7"/>
      <c r="OUL1155" s="7"/>
      <c r="OUM1155" s="7"/>
      <c r="OUN1155" s="7"/>
      <c r="OUO1155" s="7"/>
      <c r="OUP1155" s="7"/>
      <c r="OUQ1155" s="7"/>
      <c r="OUR1155" s="7"/>
      <c r="OUS1155" s="7"/>
      <c r="OUT1155" s="7"/>
      <c r="OUU1155" s="7"/>
      <c r="OUV1155" s="7"/>
      <c r="OUW1155" s="7"/>
      <c r="OUX1155" s="7"/>
      <c r="OUY1155" s="7"/>
      <c r="OUZ1155" s="7"/>
      <c r="OVA1155" s="7"/>
      <c r="OVB1155" s="7"/>
      <c r="OVC1155" s="7"/>
      <c r="OVD1155" s="7"/>
      <c r="OVE1155" s="7"/>
      <c r="OVF1155" s="7"/>
      <c r="OVG1155" s="7"/>
      <c r="OVH1155" s="7"/>
      <c r="OVI1155" s="7"/>
      <c r="OVJ1155" s="7"/>
      <c r="OVK1155" s="7"/>
      <c r="OVL1155" s="7"/>
      <c r="OVM1155" s="7"/>
      <c r="OVN1155" s="7"/>
      <c r="OVO1155" s="7"/>
      <c r="OVP1155" s="7"/>
      <c r="OVQ1155" s="7"/>
      <c r="OVR1155" s="7"/>
      <c r="OVS1155" s="7"/>
      <c r="OVT1155" s="7"/>
      <c r="OVU1155" s="7"/>
      <c r="OVV1155" s="7"/>
      <c r="OVW1155" s="7"/>
      <c r="OVX1155" s="7"/>
      <c r="OVY1155" s="7"/>
      <c r="OVZ1155" s="7"/>
      <c r="OWA1155" s="7"/>
      <c r="OWB1155" s="7"/>
      <c r="OWC1155" s="7"/>
      <c r="OWD1155" s="7"/>
      <c r="OWE1155" s="7"/>
      <c r="OWF1155" s="7"/>
      <c r="OWG1155" s="7"/>
      <c r="OWH1155" s="7"/>
      <c r="OWI1155" s="7"/>
      <c r="OWJ1155" s="7"/>
      <c r="OWK1155" s="7"/>
      <c r="OWL1155" s="7"/>
      <c r="OWM1155" s="7"/>
      <c r="OWN1155" s="7"/>
      <c r="OWO1155" s="7"/>
      <c r="OWP1155" s="7"/>
      <c r="OWQ1155" s="7"/>
      <c r="OWR1155" s="7"/>
      <c r="OWS1155" s="7"/>
      <c r="OWT1155" s="7"/>
      <c r="OWU1155" s="7"/>
      <c r="OWV1155" s="7"/>
      <c r="OWW1155" s="7"/>
      <c r="OWX1155" s="7"/>
      <c r="OWY1155" s="7"/>
      <c r="OWZ1155" s="7"/>
      <c r="OXA1155" s="7"/>
      <c r="OXB1155" s="7"/>
      <c r="OXC1155" s="7"/>
      <c r="OXD1155" s="7"/>
      <c r="OXE1155" s="7"/>
      <c r="OXF1155" s="7"/>
      <c r="OXG1155" s="7"/>
      <c r="OXH1155" s="7"/>
      <c r="OXI1155" s="7"/>
      <c r="OXJ1155" s="7"/>
      <c r="OXK1155" s="7"/>
      <c r="OXL1155" s="7"/>
      <c r="OXM1155" s="7"/>
      <c r="OXN1155" s="7"/>
      <c r="OXO1155" s="7"/>
      <c r="OXP1155" s="7"/>
      <c r="OXQ1155" s="7"/>
      <c r="OXR1155" s="7"/>
      <c r="OXS1155" s="7"/>
      <c r="OXT1155" s="7"/>
      <c r="OXU1155" s="7"/>
      <c r="OXV1155" s="7"/>
      <c r="OXW1155" s="7"/>
      <c r="OXX1155" s="7"/>
      <c r="OXY1155" s="7"/>
      <c r="OXZ1155" s="7"/>
      <c r="OYA1155" s="7"/>
      <c r="OYB1155" s="7"/>
      <c r="OYC1155" s="7"/>
      <c r="OYD1155" s="7"/>
      <c r="OYE1155" s="7"/>
      <c r="OYF1155" s="7"/>
      <c r="OYG1155" s="7"/>
      <c r="OYH1155" s="7"/>
      <c r="OYI1155" s="7"/>
      <c r="OYJ1155" s="7"/>
      <c r="OYK1155" s="7"/>
      <c r="OYL1155" s="7"/>
      <c r="OYM1155" s="7"/>
      <c r="OYN1155" s="7"/>
      <c r="OYO1155" s="7"/>
      <c r="OYP1155" s="7"/>
      <c r="OYQ1155" s="7"/>
      <c r="OYR1155" s="7"/>
      <c r="OYS1155" s="7"/>
      <c r="OYT1155" s="7"/>
      <c r="OYU1155" s="7"/>
      <c r="OYV1155" s="7"/>
      <c r="OYW1155" s="7"/>
      <c r="OYX1155" s="7"/>
      <c r="OYY1155" s="7"/>
      <c r="OYZ1155" s="7"/>
      <c r="OZA1155" s="7"/>
      <c r="OZB1155" s="7"/>
      <c r="OZC1155" s="7"/>
      <c r="OZD1155" s="7"/>
      <c r="OZE1155" s="7"/>
      <c r="OZF1155" s="7"/>
      <c r="OZG1155" s="7"/>
      <c r="OZH1155" s="7"/>
      <c r="OZI1155" s="7"/>
      <c r="OZJ1155" s="7"/>
      <c r="OZK1155" s="7"/>
      <c r="OZL1155" s="7"/>
      <c r="OZM1155" s="7"/>
      <c r="OZN1155" s="7"/>
      <c r="OZO1155" s="7"/>
      <c r="OZP1155" s="7"/>
      <c r="OZQ1155" s="7"/>
      <c r="OZR1155" s="7"/>
      <c r="OZS1155" s="7"/>
      <c r="OZT1155" s="7"/>
      <c r="OZU1155" s="7"/>
      <c r="OZV1155" s="7"/>
      <c r="OZW1155" s="7"/>
      <c r="OZX1155" s="7"/>
      <c r="OZY1155" s="7"/>
      <c r="OZZ1155" s="7"/>
      <c r="PAA1155" s="7"/>
      <c r="PAB1155" s="7"/>
      <c r="PAC1155" s="7"/>
      <c r="PAD1155" s="7"/>
      <c r="PAE1155" s="7"/>
      <c r="PAF1155" s="7"/>
      <c r="PAG1155" s="7"/>
      <c r="PAH1155" s="7"/>
      <c r="PAI1155" s="7"/>
      <c r="PAJ1155" s="7"/>
      <c r="PAK1155" s="7"/>
      <c r="PAL1155" s="7"/>
      <c r="PAM1155" s="7"/>
      <c r="PAN1155" s="7"/>
      <c r="PAO1155" s="7"/>
      <c r="PAP1155" s="7"/>
      <c r="PAQ1155" s="7"/>
      <c r="PAR1155" s="7"/>
      <c r="PAS1155" s="7"/>
      <c r="PAT1155" s="7"/>
      <c r="PAU1155" s="7"/>
      <c r="PAV1155" s="7"/>
      <c r="PAW1155" s="7"/>
      <c r="PAX1155" s="7"/>
      <c r="PAY1155" s="7"/>
      <c r="PAZ1155" s="7"/>
      <c r="PBA1155" s="7"/>
      <c r="PBB1155" s="7"/>
      <c r="PBC1155" s="7"/>
      <c r="PBD1155" s="7"/>
      <c r="PBE1155" s="7"/>
      <c r="PBF1155" s="7"/>
      <c r="PBG1155" s="7"/>
      <c r="PBH1155" s="7"/>
      <c r="PBI1155" s="7"/>
      <c r="PBJ1155" s="7"/>
      <c r="PBK1155" s="7"/>
      <c r="PBL1155" s="7"/>
      <c r="PBM1155" s="7"/>
      <c r="PBN1155" s="7"/>
      <c r="PBO1155" s="7"/>
      <c r="PBP1155" s="7"/>
      <c r="PBQ1155" s="7"/>
      <c r="PBR1155" s="7"/>
      <c r="PBS1155" s="7"/>
      <c r="PBT1155" s="7"/>
      <c r="PBU1155" s="7"/>
      <c r="PBV1155" s="7"/>
      <c r="PBW1155" s="7"/>
      <c r="PBX1155" s="7"/>
      <c r="PBY1155" s="7"/>
      <c r="PBZ1155" s="7"/>
      <c r="PCA1155" s="7"/>
      <c r="PCB1155" s="7"/>
      <c r="PCC1155" s="7"/>
      <c r="PCD1155" s="7"/>
      <c r="PCE1155" s="7"/>
      <c r="PCF1155" s="7"/>
      <c r="PCG1155" s="7"/>
      <c r="PCH1155" s="7"/>
      <c r="PCI1155" s="7"/>
      <c r="PCJ1155" s="7"/>
      <c r="PCK1155" s="7"/>
      <c r="PCL1155" s="7"/>
      <c r="PCM1155" s="7"/>
      <c r="PCN1155" s="7"/>
      <c r="PCO1155" s="7"/>
      <c r="PCP1155" s="7"/>
      <c r="PCQ1155" s="7"/>
      <c r="PCR1155" s="7"/>
      <c r="PCS1155" s="7"/>
      <c r="PCT1155" s="7"/>
      <c r="PCU1155" s="7"/>
      <c r="PCV1155" s="7"/>
      <c r="PCW1155" s="7"/>
      <c r="PCX1155" s="7"/>
      <c r="PCY1155" s="7"/>
      <c r="PCZ1155" s="7"/>
      <c r="PDA1155" s="7"/>
      <c r="PDB1155" s="7"/>
      <c r="PDC1155" s="7"/>
      <c r="PDD1155" s="7"/>
      <c r="PDE1155" s="7"/>
      <c r="PDF1155" s="7"/>
      <c r="PDG1155" s="7"/>
      <c r="PDH1155" s="7"/>
      <c r="PDI1155" s="7"/>
      <c r="PDJ1155" s="7"/>
      <c r="PDK1155" s="7"/>
      <c r="PDL1155" s="7"/>
      <c r="PDM1155" s="7"/>
      <c r="PDN1155" s="7"/>
      <c r="PDO1155" s="7"/>
      <c r="PDP1155" s="7"/>
      <c r="PDQ1155" s="7"/>
      <c r="PDR1155" s="7"/>
      <c r="PDS1155" s="7"/>
      <c r="PDT1155" s="7"/>
      <c r="PDU1155" s="7"/>
      <c r="PDV1155" s="7"/>
      <c r="PDW1155" s="7"/>
      <c r="PDX1155" s="7"/>
      <c r="PDY1155" s="7"/>
      <c r="PDZ1155" s="7"/>
      <c r="PEA1155" s="7"/>
      <c r="PEB1155" s="7"/>
      <c r="PEC1155" s="7"/>
      <c r="PED1155" s="7"/>
      <c r="PEE1155" s="7"/>
      <c r="PEF1155" s="7"/>
      <c r="PEG1155" s="7"/>
      <c r="PEH1155" s="7"/>
      <c r="PEI1155" s="7"/>
      <c r="PEJ1155" s="7"/>
      <c r="PEK1155" s="7"/>
      <c r="PEL1155" s="7"/>
      <c r="PEM1155" s="7"/>
      <c r="PEN1155" s="7"/>
      <c r="PEO1155" s="7"/>
      <c r="PEP1155" s="7"/>
      <c r="PEQ1155" s="7"/>
      <c r="PER1155" s="7"/>
      <c r="PES1155" s="7"/>
      <c r="PET1155" s="7"/>
      <c r="PEU1155" s="7"/>
      <c r="PEV1155" s="7"/>
      <c r="PEW1155" s="7"/>
      <c r="PEX1155" s="7"/>
      <c r="PEY1155" s="7"/>
      <c r="PEZ1155" s="7"/>
      <c r="PFA1155" s="7"/>
      <c r="PFB1155" s="7"/>
      <c r="PFC1155" s="7"/>
      <c r="PFD1155" s="7"/>
      <c r="PFE1155" s="7"/>
      <c r="PFF1155" s="7"/>
      <c r="PFG1155" s="7"/>
      <c r="PFH1155" s="7"/>
      <c r="PFI1155" s="7"/>
      <c r="PFJ1155" s="7"/>
      <c r="PFK1155" s="7"/>
      <c r="PFL1155" s="7"/>
      <c r="PFM1155" s="7"/>
      <c r="PFN1155" s="7"/>
      <c r="PFO1155" s="7"/>
      <c r="PFP1155" s="7"/>
      <c r="PFQ1155" s="7"/>
      <c r="PFR1155" s="7"/>
      <c r="PFS1155" s="7"/>
      <c r="PFT1155" s="7"/>
      <c r="PFU1155" s="7"/>
      <c r="PFV1155" s="7"/>
      <c r="PFW1155" s="7"/>
      <c r="PFX1155" s="7"/>
      <c r="PFY1155" s="7"/>
      <c r="PFZ1155" s="7"/>
      <c r="PGA1155" s="7"/>
      <c r="PGB1155" s="7"/>
      <c r="PGC1155" s="7"/>
      <c r="PGD1155" s="7"/>
      <c r="PGE1155" s="7"/>
      <c r="PGF1155" s="7"/>
      <c r="PGG1155" s="7"/>
      <c r="PGH1155" s="7"/>
      <c r="PGI1155" s="7"/>
      <c r="PGJ1155" s="7"/>
      <c r="PGK1155" s="7"/>
      <c r="PGL1155" s="7"/>
      <c r="PGM1155" s="7"/>
      <c r="PGN1155" s="7"/>
      <c r="PGO1155" s="7"/>
      <c r="PGP1155" s="7"/>
      <c r="PGQ1155" s="7"/>
      <c r="PGR1155" s="7"/>
      <c r="PGS1155" s="7"/>
      <c r="PGT1155" s="7"/>
      <c r="PGU1155" s="7"/>
      <c r="PGV1155" s="7"/>
      <c r="PGW1155" s="7"/>
      <c r="PGX1155" s="7"/>
      <c r="PGY1155" s="7"/>
      <c r="PGZ1155" s="7"/>
      <c r="PHA1155" s="7"/>
      <c r="PHB1155" s="7"/>
      <c r="PHC1155" s="7"/>
      <c r="PHD1155" s="7"/>
      <c r="PHE1155" s="7"/>
      <c r="PHF1155" s="7"/>
      <c r="PHG1155" s="7"/>
      <c r="PHH1155" s="7"/>
      <c r="PHI1155" s="7"/>
      <c r="PHJ1155" s="7"/>
      <c r="PHK1155" s="7"/>
      <c r="PHL1155" s="7"/>
      <c r="PHM1155" s="7"/>
      <c r="PHN1155" s="7"/>
      <c r="PHO1155" s="7"/>
      <c r="PHP1155" s="7"/>
      <c r="PHQ1155" s="7"/>
      <c r="PHR1155" s="7"/>
      <c r="PHS1155" s="7"/>
      <c r="PHT1155" s="7"/>
      <c r="PHU1155" s="7"/>
      <c r="PHV1155" s="7"/>
      <c r="PHW1155" s="7"/>
      <c r="PHX1155" s="7"/>
      <c r="PHY1155" s="7"/>
      <c r="PHZ1155" s="7"/>
      <c r="PIA1155" s="7"/>
      <c r="PIB1155" s="7"/>
      <c r="PIC1155" s="7"/>
      <c r="PID1155" s="7"/>
      <c r="PIE1155" s="7"/>
      <c r="PIF1155" s="7"/>
      <c r="PIG1155" s="7"/>
      <c r="PIH1155" s="7"/>
      <c r="PII1155" s="7"/>
      <c r="PIJ1155" s="7"/>
      <c r="PIK1155" s="7"/>
      <c r="PIL1155" s="7"/>
      <c r="PIM1155" s="7"/>
      <c r="PIN1155" s="7"/>
      <c r="PIO1155" s="7"/>
      <c r="PIP1155" s="7"/>
      <c r="PIQ1155" s="7"/>
      <c r="PIR1155" s="7"/>
      <c r="PIS1155" s="7"/>
      <c r="PIT1155" s="7"/>
      <c r="PIU1155" s="7"/>
      <c r="PIV1155" s="7"/>
      <c r="PIW1155" s="7"/>
      <c r="PIX1155" s="7"/>
      <c r="PIY1155" s="7"/>
      <c r="PIZ1155" s="7"/>
      <c r="PJA1155" s="7"/>
      <c r="PJB1155" s="7"/>
      <c r="PJC1155" s="7"/>
      <c r="PJD1155" s="7"/>
      <c r="PJE1155" s="7"/>
      <c r="PJF1155" s="7"/>
      <c r="PJG1155" s="7"/>
      <c r="PJH1155" s="7"/>
      <c r="PJI1155" s="7"/>
      <c r="PJJ1155" s="7"/>
      <c r="PJK1155" s="7"/>
      <c r="PJL1155" s="7"/>
      <c r="PJM1155" s="7"/>
      <c r="PJN1155" s="7"/>
      <c r="PJO1155" s="7"/>
      <c r="PJP1155" s="7"/>
      <c r="PJQ1155" s="7"/>
      <c r="PJR1155" s="7"/>
      <c r="PJS1155" s="7"/>
      <c r="PJT1155" s="7"/>
      <c r="PJU1155" s="7"/>
      <c r="PJV1155" s="7"/>
      <c r="PJW1155" s="7"/>
      <c r="PJX1155" s="7"/>
      <c r="PJY1155" s="7"/>
      <c r="PJZ1155" s="7"/>
      <c r="PKA1155" s="7"/>
      <c r="PKB1155" s="7"/>
      <c r="PKC1155" s="7"/>
      <c r="PKD1155" s="7"/>
      <c r="PKE1155" s="7"/>
      <c r="PKF1155" s="7"/>
      <c r="PKG1155" s="7"/>
      <c r="PKH1155" s="7"/>
      <c r="PKI1155" s="7"/>
      <c r="PKJ1155" s="7"/>
      <c r="PKK1155" s="7"/>
      <c r="PKL1155" s="7"/>
      <c r="PKM1155" s="7"/>
      <c r="PKN1155" s="7"/>
      <c r="PKO1155" s="7"/>
      <c r="PKP1155" s="7"/>
      <c r="PKQ1155" s="7"/>
      <c r="PKR1155" s="7"/>
      <c r="PKS1155" s="7"/>
      <c r="PKT1155" s="7"/>
      <c r="PKU1155" s="7"/>
      <c r="PKV1155" s="7"/>
      <c r="PKW1155" s="7"/>
      <c r="PKX1155" s="7"/>
      <c r="PKY1155" s="7"/>
      <c r="PKZ1155" s="7"/>
      <c r="PLA1155" s="7"/>
      <c r="PLB1155" s="7"/>
      <c r="PLC1155" s="7"/>
      <c r="PLD1155" s="7"/>
      <c r="PLE1155" s="7"/>
      <c r="PLF1155" s="7"/>
      <c r="PLG1155" s="7"/>
      <c r="PLH1155" s="7"/>
      <c r="PLI1155" s="7"/>
      <c r="PLJ1155" s="7"/>
      <c r="PLK1155" s="7"/>
      <c r="PLL1155" s="7"/>
      <c r="PLM1155" s="7"/>
      <c r="PLN1155" s="7"/>
      <c r="PLO1155" s="7"/>
      <c r="PLP1155" s="7"/>
      <c r="PLQ1155" s="7"/>
      <c r="PLR1155" s="7"/>
      <c r="PLS1155" s="7"/>
      <c r="PLT1155" s="7"/>
      <c r="PLU1155" s="7"/>
      <c r="PLV1155" s="7"/>
      <c r="PLW1155" s="7"/>
      <c r="PLX1155" s="7"/>
      <c r="PLY1155" s="7"/>
      <c r="PLZ1155" s="7"/>
      <c r="PMA1155" s="7"/>
      <c r="PMB1155" s="7"/>
      <c r="PMC1155" s="7"/>
      <c r="PMD1155" s="7"/>
      <c r="PME1155" s="7"/>
      <c r="PMF1155" s="7"/>
      <c r="PMG1155" s="7"/>
      <c r="PMH1155" s="7"/>
      <c r="PMI1155" s="7"/>
      <c r="PMJ1155" s="7"/>
      <c r="PMK1155" s="7"/>
      <c r="PML1155" s="7"/>
      <c r="PMM1155" s="7"/>
      <c r="PMN1155" s="7"/>
      <c r="PMO1155" s="7"/>
      <c r="PMP1155" s="7"/>
      <c r="PMQ1155" s="7"/>
      <c r="PMR1155" s="7"/>
      <c r="PMS1155" s="7"/>
      <c r="PMT1155" s="7"/>
      <c r="PMU1155" s="7"/>
      <c r="PMV1155" s="7"/>
      <c r="PMW1155" s="7"/>
      <c r="PMX1155" s="7"/>
      <c r="PMY1155" s="7"/>
      <c r="PMZ1155" s="7"/>
      <c r="PNA1155" s="7"/>
      <c r="PNB1155" s="7"/>
      <c r="PNC1155" s="7"/>
      <c r="PND1155" s="7"/>
      <c r="PNE1155" s="7"/>
      <c r="PNF1155" s="7"/>
      <c r="PNG1155" s="7"/>
      <c r="PNH1155" s="7"/>
      <c r="PNI1155" s="7"/>
      <c r="PNJ1155" s="7"/>
      <c r="PNK1155" s="7"/>
      <c r="PNL1155" s="7"/>
      <c r="PNM1155" s="7"/>
      <c r="PNN1155" s="7"/>
      <c r="PNO1155" s="7"/>
      <c r="PNP1155" s="7"/>
      <c r="PNQ1155" s="7"/>
      <c r="PNR1155" s="7"/>
      <c r="PNS1155" s="7"/>
      <c r="PNT1155" s="7"/>
      <c r="PNU1155" s="7"/>
      <c r="PNV1155" s="7"/>
      <c r="PNW1155" s="7"/>
      <c r="PNX1155" s="7"/>
      <c r="PNY1155" s="7"/>
      <c r="PNZ1155" s="7"/>
      <c r="POA1155" s="7"/>
      <c r="POB1155" s="7"/>
      <c r="POC1155" s="7"/>
      <c r="POD1155" s="7"/>
      <c r="POE1155" s="7"/>
      <c r="POF1155" s="7"/>
      <c r="POG1155" s="7"/>
      <c r="POH1155" s="7"/>
      <c r="POI1155" s="7"/>
      <c r="POJ1155" s="7"/>
      <c r="POK1155" s="7"/>
      <c r="POL1155" s="7"/>
      <c r="POM1155" s="7"/>
      <c r="PON1155" s="7"/>
      <c r="POO1155" s="7"/>
      <c r="POP1155" s="7"/>
      <c r="POQ1155" s="7"/>
      <c r="POR1155" s="7"/>
      <c r="POS1155" s="7"/>
      <c r="POT1155" s="7"/>
      <c r="POU1155" s="7"/>
      <c r="POV1155" s="7"/>
      <c r="POW1155" s="7"/>
      <c r="POX1155" s="7"/>
      <c r="POY1155" s="7"/>
      <c r="POZ1155" s="7"/>
      <c r="PPA1155" s="7"/>
      <c r="PPB1155" s="7"/>
      <c r="PPC1155" s="7"/>
      <c r="PPD1155" s="7"/>
      <c r="PPE1155" s="7"/>
      <c r="PPF1155" s="7"/>
      <c r="PPG1155" s="7"/>
      <c r="PPH1155" s="7"/>
      <c r="PPI1155" s="7"/>
      <c r="PPJ1155" s="7"/>
      <c r="PPK1155" s="7"/>
      <c r="PPL1155" s="7"/>
      <c r="PPM1155" s="7"/>
      <c r="PPN1155" s="7"/>
      <c r="PPO1155" s="7"/>
      <c r="PPP1155" s="7"/>
      <c r="PPQ1155" s="7"/>
      <c r="PPR1155" s="7"/>
      <c r="PPS1155" s="7"/>
      <c r="PPT1155" s="7"/>
      <c r="PPU1155" s="7"/>
      <c r="PPV1155" s="7"/>
      <c r="PPW1155" s="7"/>
      <c r="PPX1155" s="7"/>
      <c r="PPY1155" s="7"/>
      <c r="PPZ1155" s="7"/>
      <c r="PQA1155" s="7"/>
      <c r="PQB1155" s="7"/>
      <c r="PQC1155" s="7"/>
      <c r="PQD1155" s="7"/>
      <c r="PQE1155" s="7"/>
      <c r="PQF1155" s="7"/>
      <c r="PQG1155" s="7"/>
      <c r="PQH1155" s="7"/>
      <c r="PQI1155" s="7"/>
      <c r="PQJ1155" s="7"/>
      <c r="PQK1155" s="7"/>
      <c r="PQL1155" s="7"/>
      <c r="PQM1155" s="7"/>
      <c r="PQN1155" s="7"/>
      <c r="PQO1155" s="7"/>
      <c r="PQP1155" s="7"/>
      <c r="PQQ1155" s="7"/>
      <c r="PQR1155" s="7"/>
      <c r="PQS1155" s="7"/>
      <c r="PQT1155" s="7"/>
      <c r="PQU1155" s="7"/>
      <c r="PQV1155" s="7"/>
      <c r="PQW1155" s="7"/>
      <c r="PQX1155" s="7"/>
      <c r="PQY1155" s="7"/>
      <c r="PQZ1155" s="7"/>
      <c r="PRA1155" s="7"/>
      <c r="PRB1155" s="7"/>
      <c r="PRC1155" s="7"/>
      <c r="PRD1155" s="7"/>
      <c r="PRE1155" s="7"/>
      <c r="PRF1155" s="7"/>
      <c r="PRG1155" s="7"/>
      <c r="PRH1155" s="7"/>
      <c r="PRI1155" s="7"/>
      <c r="PRJ1155" s="7"/>
      <c r="PRK1155" s="7"/>
      <c r="PRL1155" s="7"/>
      <c r="PRM1155" s="7"/>
      <c r="PRN1155" s="7"/>
      <c r="PRO1155" s="7"/>
      <c r="PRP1155" s="7"/>
      <c r="PRQ1155" s="7"/>
      <c r="PRR1155" s="7"/>
      <c r="PRS1155" s="7"/>
      <c r="PRT1155" s="7"/>
      <c r="PRU1155" s="7"/>
      <c r="PRV1155" s="7"/>
      <c r="PRW1155" s="7"/>
      <c r="PRX1155" s="7"/>
      <c r="PRY1155" s="7"/>
      <c r="PRZ1155" s="7"/>
      <c r="PSA1155" s="7"/>
      <c r="PSB1155" s="7"/>
      <c r="PSC1155" s="7"/>
      <c r="PSD1155" s="7"/>
      <c r="PSE1155" s="7"/>
      <c r="PSF1155" s="7"/>
      <c r="PSG1155" s="7"/>
      <c r="PSH1155" s="7"/>
      <c r="PSI1155" s="7"/>
      <c r="PSJ1155" s="7"/>
      <c r="PSK1155" s="7"/>
      <c r="PSL1155" s="7"/>
      <c r="PSM1155" s="7"/>
      <c r="PSN1155" s="7"/>
      <c r="PSO1155" s="7"/>
      <c r="PSP1155" s="7"/>
      <c r="PSQ1155" s="7"/>
      <c r="PSR1155" s="7"/>
      <c r="PSS1155" s="7"/>
      <c r="PST1155" s="7"/>
      <c r="PSU1155" s="7"/>
      <c r="PSV1155" s="7"/>
      <c r="PSW1155" s="7"/>
      <c r="PSX1155" s="7"/>
      <c r="PSY1155" s="7"/>
      <c r="PSZ1155" s="7"/>
      <c r="PTA1155" s="7"/>
      <c r="PTB1155" s="7"/>
      <c r="PTC1155" s="7"/>
      <c r="PTD1155" s="7"/>
      <c r="PTE1155" s="7"/>
      <c r="PTF1155" s="7"/>
      <c r="PTG1155" s="7"/>
      <c r="PTH1155" s="7"/>
      <c r="PTI1155" s="7"/>
      <c r="PTJ1155" s="7"/>
      <c r="PTK1155" s="7"/>
      <c r="PTL1155" s="7"/>
      <c r="PTM1155" s="7"/>
      <c r="PTN1155" s="7"/>
      <c r="PTO1155" s="7"/>
      <c r="PTP1155" s="7"/>
      <c r="PTQ1155" s="7"/>
      <c r="PTR1155" s="7"/>
      <c r="PTS1155" s="7"/>
      <c r="PTT1155" s="7"/>
      <c r="PTU1155" s="7"/>
      <c r="PTV1155" s="7"/>
      <c r="PTW1155" s="7"/>
      <c r="PTX1155" s="7"/>
      <c r="PTY1155" s="7"/>
      <c r="PTZ1155" s="7"/>
      <c r="PUA1155" s="7"/>
      <c r="PUB1155" s="7"/>
      <c r="PUC1155" s="7"/>
      <c r="PUD1155" s="7"/>
      <c r="PUE1155" s="7"/>
      <c r="PUF1155" s="7"/>
      <c r="PUG1155" s="7"/>
      <c r="PUH1155" s="7"/>
      <c r="PUI1155" s="7"/>
      <c r="PUJ1155" s="7"/>
      <c r="PUK1155" s="7"/>
      <c r="PUL1155" s="7"/>
      <c r="PUM1155" s="7"/>
      <c r="PUN1155" s="7"/>
      <c r="PUO1155" s="7"/>
      <c r="PUP1155" s="7"/>
      <c r="PUQ1155" s="7"/>
      <c r="PUR1155" s="7"/>
      <c r="PUS1155" s="7"/>
      <c r="PUT1155" s="7"/>
      <c r="PUU1155" s="7"/>
      <c r="PUV1155" s="7"/>
      <c r="PUW1155" s="7"/>
      <c r="PUX1155" s="7"/>
      <c r="PUY1155" s="7"/>
      <c r="PUZ1155" s="7"/>
      <c r="PVA1155" s="7"/>
      <c r="PVB1155" s="7"/>
      <c r="PVC1155" s="7"/>
      <c r="PVD1155" s="7"/>
      <c r="PVE1155" s="7"/>
      <c r="PVF1155" s="7"/>
      <c r="PVG1155" s="7"/>
      <c r="PVH1155" s="7"/>
      <c r="PVI1155" s="7"/>
      <c r="PVJ1155" s="7"/>
      <c r="PVK1155" s="7"/>
      <c r="PVL1155" s="7"/>
      <c r="PVM1155" s="7"/>
      <c r="PVN1155" s="7"/>
      <c r="PVO1155" s="7"/>
      <c r="PVP1155" s="7"/>
      <c r="PVQ1155" s="7"/>
      <c r="PVR1155" s="7"/>
      <c r="PVS1155" s="7"/>
      <c r="PVT1155" s="7"/>
      <c r="PVU1155" s="7"/>
      <c r="PVV1155" s="7"/>
      <c r="PVW1155" s="7"/>
      <c r="PVX1155" s="7"/>
      <c r="PVY1155" s="7"/>
      <c r="PVZ1155" s="7"/>
      <c r="PWA1155" s="7"/>
      <c r="PWB1155" s="7"/>
      <c r="PWC1155" s="7"/>
      <c r="PWD1155" s="7"/>
      <c r="PWE1155" s="7"/>
      <c r="PWF1155" s="7"/>
      <c r="PWG1155" s="7"/>
      <c r="PWH1155" s="7"/>
      <c r="PWI1155" s="7"/>
      <c r="PWJ1155" s="7"/>
      <c r="PWK1155" s="7"/>
      <c r="PWL1155" s="7"/>
      <c r="PWM1155" s="7"/>
      <c r="PWN1155" s="7"/>
      <c r="PWO1155" s="7"/>
      <c r="PWP1155" s="7"/>
      <c r="PWQ1155" s="7"/>
      <c r="PWR1155" s="7"/>
      <c r="PWS1155" s="7"/>
      <c r="PWT1155" s="7"/>
      <c r="PWU1155" s="7"/>
      <c r="PWV1155" s="7"/>
      <c r="PWW1155" s="7"/>
      <c r="PWX1155" s="7"/>
      <c r="PWY1155" s="7"/>
      <c r="PWZ1155" s="7"/>
      <c r="PXA1155" s="7"/>
      <c r="PXB1155" s="7"/>
      <c r="PXC1155" s="7"/>
      <c r="PXD1155" s="7"/>
      <c r="PXE1155" s="7"/>
      <c r="PXF1155" s="7"/>
      <c r="PXG1155" s="7"/>
      <c r="PXH1155" s="7"/>
      <c r="PXI1155" s="7"/>
      <c r="PXJ1155" s="7"/>
      <c r="PXK1155" s="7"/>
      <c r="PXL1155" s="7"/>
      <c r="PXM1155" s="7"/>
      <c r="PXN1155" s="7"/>
      <c r="PXO1155" s="7"/>
      <c r="PXP1155" s="7"/>
      <c r="PXQ1155" s="7"/>
      <c r="PXR1155" s="7"/>
      <c r="PXS1155" s="7"/>
      <c r="PXT1155" s="7"/>
      <c r="PXU1155" s="7"/>
      <c r="PXV1155" s="7"/>
      <c r="PXW1155" s="7"/>
      <c r="PXX1155" s="7"/>
      <c r="PXY1155" s="7"/>
      <c r="PXZ1155" s="7"/>
      <c r="PYA1155" s="7"/>
      <c r="PYB1155" s="7"/>
      <c r="PYC1155" s="7"/>
      <c r="PYD1155" s="7"/>
      <c r="PYE1155" s="7"/>
      <c r="PYF1155" s="7"/>
      <c r="PYG1155" s="7"/>
      <c r="PYH1155" s="7"/>
      <c r="PYI1155" s="7"/>
      <c r="PYJ1155" s="7"/>
      <c r="PYK1155" s="7"/>
      <c r="PYL1155" s="7"/>
      <c r="PYM1155" s="7"/>
      <c r="PYN1155" s="7"/>
      <c r="PYO1155" s="7"/>
      <c r="PYP1155" s="7"/>
      <c r="PYQ1155" s="7"/>
      <c r="PYR1155" s="7"/>
      <c r="PYS1155" s="7"/>
      <c r="PYT1155" s="7"/>
      <c r="PYU1155" s="7"/>
      <c r="PYV1155" s="7"/>
      <c r="PYW1155" s="7"/>
      <c r="PYX1155" s="7"/>
      <c r="PYY1155" s="7"/>
      <c r="PYZ1155" s="7"/>
      <c r="PZA1155" s="7"/>
      <c r="PZB1155" s="7"/>
      <c r="PZC1155" s="7"/>
      <c r="PZD1155" s="7"/>
      <c r="PZE1155" s="7"/>
      <c r="PZF1155" s="7"/>
      <c r="PZG1155" s="7"/>
      <c r="PZH1155" s="7"/>
      <c r="PZI1155" s="7"/>
      <c r="PZJ1155" s="7"/>
      <c r="PZK1155" s="7"/>
      <c r="PZL1155" s="7"/>
      <c r="PZM1155" s="7"/>
      <c r="PZN1155" s="7"/>
      <c r="PZO1155" s="7"/>
      <c r="PZP1155" s="7"/>
      <c r="PZQ1155" s="7"/>
      <c r="PZR1155" s="7"/>
      <c r="PZS1155" s="7"/>
      <c r="PZT1155" s="7"/>
      <c r="PZU1155" s="7"/>
      <c r="PZV1155" s="7"/>
      <c r="PZW1155" s="7"/>
      <c r="PZX1155" s="7"/>
      <c r="PZY1155" s="7"/>
      <c r="PZZ1155" s="7"/>
      <c r="QAA1155" s="7"/>
      <c r="QAB1155" s="7"/>
      <c r="QAC1155" s="7"/>
      <c r="QAD1155" s="7"/>
      <c r="QAE1155" s="7"/>
      <c r="QAF1155" s="7"/>
      <c r="QAG1155" s="7"/>
      <c r="QAH1155" s="7"/>
      <c r="QAI1155" s="7"/>
      <c r="QAJ1155" s="7"/>
      <c r="QAK1155" s="7"/>
      <c r="QAL1155" s="7"/>
      <c r="QAM1155" s="7"/>
      <c r="QAN1155" s="7"/>
      <c r="QAO1155" s="7"/>
      <c r="QAP1155" s="7"/>
      <c r="QAQ1155" s="7"/>
      <c r="QAR1155" s="7"/>
      <c r="QAS1155" s="7"/>
      <c r="QAT1155" s="7"/>
      <c r="QAU1155" s="7"/>
      <c r="QAV1155" s="7"/>
      <c r="QAW1155" s="7"/>
      <c r="QAX1155" s="7"/>
      <c r="QAY1155" s="7"/>
      <c r="QAZ1155" s="7"/>
      <c r="QBA1155" s="7"/>
      <c r="QBB1155" s="7"/>
      <c r="QBC1155" s="7"/>
      <c r="QBD1155" s="7"/>
      <c r="QBE1155" s="7"/>
      <c r="QBF1155" s="7"/>
      <c r="QBG1155" s="7"/>
      <c r="QBH1155" s="7"/>
      <c r="QBI1155" s="7"/>
      <c r="QBJ1155" s="7"/>
      <c r="QBK1155" s="7"/>
      <c r="QBL1155" s="7"/>
      <c r="QBM1155" s="7"/>
      <c r="QBN1155" s="7"/>
      <c r="QBO1155" s="7"/>
      <c r="QBP1155" s="7"/>
      <c r="QBQ1155" s="7"/>
      <c r="QBR1155" s="7"/>
      <c r="QBS1155" s="7"/>
      <c r="QBT1155" s="7"/>
      <c r="QBU1155" s="7"/>
      <c r="QBV1155" s="7"/>
      <c r="QBW1155" s="7"/>
      <c r="QBX1155" s="7"/>
      <c r="QBY1155" s="7"/>
      <c r="QBZ1155" s="7"/>
      <c r="QCA1155" s="7"/>
      <c r="QCB1155" s="7"/>
      <c r="QCC1155" s="7"/>
      <c r="QCD1155" s="7"/>
      <c r="QCE1155" s="7"/>
      <c r="QCF1155" s="7"/>
      <c r="QCG1155" s="7"/>
      <c r="QCH1155" s="7"/>
      <c r="QCI1155" s="7"/>
      <c r="QCJ1155" s="7"/>
      <c r="QCK1155" s="7"/>
      <c r="QCL1155" s="7"/>
      <c r="QCM1155" s="7"/>
      <c r="QCN1155" s="7"/>
      <c r="QCO1155" s="7"/>
      <c r="QCP1155" s="7"/>
      <c r="QCQ1155" s="7"/>
      <c r="QCR1155" s="7"/>
      <c r="QCS1155" s="7"/>
      <c r="QCT1155" s="7"/>
      <c r="QCU1155" s="7"/>
      <c r="QCV1155" s="7"/>
      <c r="QCW1155" s="7"/>
      <c r="QCX1155" s="7"/>
      <c r="QCY1155" s="7"/>
      <c r="QCZ1155" s="7"/>
      <c r="QDA1155" s="7"/>
      <c r="QDB1155" s="7"/>
      <c r="QDC1155" s="7"/>
      <c r="QDD1155" s="7"/>
      <c r="QDE1155" s="7"/>
      <c r="QDF1155" s="7"/>
      <c r="QDG1155" s="7"/>
      <c r="QDH1155" s="7"/>
      <c r="QDI1155" s="7"/>
      <c r="QDJ1155" s="7"/>
      <c r="QDK1155" s="7"/>
      <c r="QDL1155" s="7"/>
      <c r="QDM1155" s="7"/>
      <c r="QDN1155" s="7"/>
      <c r="QDO1155" s="7"/>
      <c r="QDP1155" s="7"/>
      <c r="QDQ1155" s="7"/>
      <c r="QDR1155" s="7"/>
      <c r="QDS1155" s="7"/>
      <c r="QDT1155" s="7"/>
      <c r="QDU1155" s="7"/>
      <c r="QDV1155" s="7"/>
      <c r="QDW1155" s="7"/>
      <c r="QDX1155" s="7"/>
      <c r="QDY1155" s="7"/>
      <c r="QDZ1155" s="7"/>
      <c r="QEA1155" s="7"/>
      <c r="QEB1155" s="7"/>
      <c r="QEC1155" s="7"/>
      <c r="QED1155" s="7"/>
      <c r="QEE1155" s="7"/>
      <c r="QEF1155" s="7"/>
      <c r="QEG1155" s="7"/>
      <c r="QEH1155" s="7"/>
      <c r="QEI1155" s="7"/>
      <c r="QEJ1155" s="7"/>
      <c r="QEK1155" s="7"/>
      <c r="QEL1155" s="7"/>
      <c r="QEM1155" s="7"/>
      <c r="QEN1155" s="7"/>
      <c r="QEO1155" s="7"/>
      <c r="QEP1155" s="7"/>
      <c r="QEQ1155" s="7"/>
      <c r="QER1155" s="7"/>
      <c r="QES1155" s="7"/>
      <c r="QET1155" s="7"/>
      <c r="QEU1155" s="7"/>
      <c r="QEV1155" s="7"/>
      <c r="QEW1155" s="7"/>
      <c r="QEX1155" s="7"/>
      <c r="QEY1155" s="7"/>
      <c r="QEZ1155" s="7"/>
      <c r="QFA1155" s="7"/>
      <c r="QFB1155" s="7"/>
      <c r="QFC1155" s="7"/>
      <c r="QFD1155" s="7"/>
      <c r="QFE1155" s="7"/>
      <c r="QFF1155" s="7"/>
      <c r="QFG1155" s="7"/>
      <c r="QFH1155" s="7"/>
      <c r="QFI1155" s="7"/>
      <c r="QFJ1155" s="7"/>
      <c r="QFK1155" s="7"/>
      <c r="QFL1155" s="7"/>
      <c r="QFM1155" s="7"/>
      <c r="QFN1155" s="7"/>
      <c r="QFO1155" s="7"/>
      <c r="QFP1155" s="7"/>
      <c r="QFQ1155" s="7"/>
      <c r="QFR1155" s="7"/>
      <c r="QFS1155" s="7"/>
      <c r="QFT1155" s="7"/>
      <c r="QFU1155" s="7"/>
      <c r="QFV1155" s="7"/>
      <c r="QFW1155" s="7"/>
      <c r="QFX1155" s="7"/>
      <c r="QFY1155" s="7"/>
      <c r="QFZ1155" s="7"/>
      <c r="QGA1155" s="7"/>
      <c r="QGB1155" s="7"/>
      <c r="QGC1155" s="7"/>
      <c r="QGD1155" s="7"/>
      <c r="QGE1155" s="7"/>
      <c r="QGF1155" s="7"/>
      <c r="QGG1155" s="7"/>
      <c r="QGH1155" s="7"/>
      <c r="QGI1155" s="7"/>
      <c r="QGJ1155" s="7"/>
      <c r="QGK1155" s="7"/>
      <c r="QGL1155" s="7"/>
      <c r="QGM1155" s="7"/>
      <c r="QGN1155" s="7"/>
      <c r="QGO1155" s="7"/>
      <c r="QGP1155" s="7"/>
      <c r="QGQ1155" s="7"/>
      <c r="QGR1155" s="7"/>
      <c r="QGS1155" s="7"/>
      <c r="QGT1155" s="7"/>
      <c r="QGU1155" s="7"/>
      <c r="QGV1155" s="7"/>
      <c r="QGW1155" s="7"/>
      <c r="QGX1155" s="7"/>
      <c r="QGY1155" s="7"/>
      <c r="QGZ1155" s="7"/>
      <c r="QHA1155" s="7"/>
      <c r="QHB1155" s="7"/>
      <c r="QHC1155" s="7"/>
      <c r="QHD1155" s="7"/>
      <c r="QHE1155" s="7"/>
      <c r="QHF1155" s="7"/>
      <c r="QHG1155" s="7"/>
      <c r="QHH1155" s="7"/>
      <c r="QHI1155" s="7"/>
      <c r="QHJ1155" s="7"/>
      <c r="QHK1155" s="7"/>
      <c r="QHL1155" s="7"/>
      <c r="QHM1155" s="7"/>
      <c r="QHN1155" s="7"/>
      <c r="QHO1155" s="7"/>
      <c r="QHP1155" s="7"/>
      <c r="QHQ1155" s="7"/>
      <c r="QHR1155" s="7"/>
      <c r="QHS1155" s="7"/>
      <c r="QHT1155" s="7"/>
      <c r="QHU1155" s="7"/>
      <c r="QHV1155" s="7"/>
      <c r="QHW1155" s="7"/>
      <c r="QHX1155" s="7"/>
      <c r="QHY1155" s="7"/>
      <c r="QHZ1155" s="7"/>
      <c r="QIA1155" s="7"/>
      <c r="QIB1155" s="7"/>
      <c r="QIC1155" s="7"/>
      <c r="QID1155" s="7"/>
      <c r="QIE1155" s="7"/>
      <c r="QIF1155" s="7"/>
      <c r="QIG1155" s="7"/>
      <c r="QIH1155" s="7"/>
      <c r="QII1155" s="7"/>
      <c r="QIJ1155" s="7"/>
      <c r="QIK1155" s="7"/>
      <c r="QIL1155" s="7"/>
      <c r="QIM1155" s="7"/>
      <c r="QIN1155" s="7"/>
      <c r="QIO1155" s="7"/>
      <c r="QIP1155" s="7"/>
      <c r="QIQ1155" s="7"/>
      <c r="QIR1155" s="7"/>
      <c r="QIS1155" s="7"/>
      <c r="QIT1155" s="7"/>
      <c r="QIU1155" s="7"/>
      <c r="QIV1155" s="7"/>
      <c r="QIW1155" s="7"/>
      <c r="QIX1155" s="7"/>
      <c r="QIY1155" s="7"/>
      <c r="QIZ1155" s="7"/>
      <c r="QJA1155" s="7"/>
      <c r="QJB1155" s="7"/>
      <c r="QJC1155" s="7"/>
      <c r="QJD1155" s="7"/>
      <c r="QJE1155" s="7"/>
      <c r="QJF1155" s="7"/>
      <c r="QJG1155" s="7"/>
      <c r="QJH1155" s="7"/>
      <c r="QJI1155" s="7"/>
      <c r="QJJ1155" s="7"/>
      <c r="QJK1155" s="7"/>
      <c r="QJL1155" s="7"/>
      <c r="QJM1155" s="7"/>
      <c r="QJN1155" s="7"/>
      <c r="QJO1155" s="7"/>
      <c r="QJP1155" s="7"/>
      <c r="QJQ1155" s="7"/>
      <c r="QJR1155" s="7"/>
      <c r="QJS1155" s="7"/>
      <c r="QJT1155" s="7"/>
      <c r="QJU1155" s="7"/>
      <c r="QJV1155" s="7"/>
      <c r="QJW1155" s="7"/>
      <c r="QJX1155" s="7"/>
      <c r="QJY1155" s="7"/>
      <c r="QJZ1155" s="7"/>
      <c r="QKA1155" s="7"/>
      <c r="QKB1155" s="7"/>
      <c r="QKC1155" s="7"/>
      <c r="QKD1155" s="7"/>
      <c r="QKE1155" s="7"/>
      <c r="QKF1155" s="7"/>
      <c r="QKG1155" s="7"/>
      <c r="QKH1155" s="7"/>
      <c r="QKI1155" s="7"/>
      <c r="QKJ1155" s="7"/>
      <c r="QKK1155" s="7"/>
      <c r="QKL1155" s="7"/>
      <c r="QKM1155" s="7"/>
      <c r="QKN1155" s="7"/>
      <c r="QKO1155" s="7"/>
      <c r="QKP1155" s="7"/>
      <c r="QKQ1155" s="7"/>
      <c r="QKR1155" s="7"/>
      <c r="QKS1155" s="7"/>
      <c r="QKT1155" s="7"/>
      <c r="QKU1155" s="7"/>
      <c r="QKV1155" s="7"/>
      <c r="QKW1155" s="7"/>
      <c r="QKX1155" s="7"/>
      <c r="QKY1155" s="7"/>
      <c r="QKZ1155" s="7"/>
      <c r="QLA1155" s="7"/>
      <c r="QLB1155" s="7"/>
      <c r="QLC1155" s="7"/>
      <c r="QLD1155" s="7"/>
      <c r="QLE1155" s="7"/>
      <c r="QLF1155" s="7"/>
      <c r="QLG1155" s="7"/>
      <c r="QLH1155" s="7"/>
      <c r="QLI1155" s="7"/>
      <c r="QLJ1155" s="7"/>
      <c r="QLK1155" s="7"/>
      <c r="QLL1155" s="7"/>
      <c r="QLM1155" s="7"/>
      <c r="QLN1155" s="7"/>
      <c r="QLO1155" s="7"/>
      <c r="QLP1155" s="7"/>
      <c r="QLQ1155" s="7"/>
      <c r="QLR1155" s="7"/>
      <c r="QLS1155" s="7"/>
      <c r="QLT1155" s="7"/>
      <c r="QLU1155" s="7"/>
      <c r="QLV1155" s="7"/>
      <c r="QLW1155" s="7"/>
      <c r="QLX1155" s="7"/>
      <c r="QLY1155" s="7"/>
      <c r="QLZ1155" s="7"/>
      <c r="QMA1155" s="7"/>
      <c r="QMB1155" s="7"/>
      <c r="QMC1155" s="7"/>
      <c r="QMD1155" s="7"/>
      <c r="QME1155" s="7"/>
      <c r="QMF1155" s="7"/>
      <c r="QMG1155" s="7"/>
      <c r="QMH1155" s="7"/>
      <c r="QMI1155" s="7"/>
      <c r="QMJ1155" s="7"/>
      <c r="QMK1155" s="7"/>
      <c r="QML1155" s="7"/>
      <c r="QMM1155" s="7"/>
      <c r="QMN1155" s="7"/>
      <c r="QMO1155" s="7"/>
      <c r="QMP1155" s="7"/>
      <c r="QMQ1155" s="7"/>
      <c r="QMR1155" s="7"/>
      <c r="QMS1155" s="7"/>
      <c r="QMT1155" s="7"/>
      <c r="QMU1155" s="7"/>
      <c r="QMV1155" s="7"/>
      <c r="QMW1155" s="7"/>
      <c r="QMX1155" s="7"/>
      <c r="QMY1155" s="7"/>
      <c r="QMZ1155" s="7"/>
      <c r="QNA1155" s="7"/>
      <c r="QNB1155" s="7"/>
      <c r="QNC1155" s="7"/>
      <c r="QND1155" s="7"/>
      <c r="QNE1155" s="7"/>
      <c r="QNF1155" s="7"/>
      <c r="QNG1155" s="7"/>
      <c r="QNH1155" s="7"/>
      <c r="QNI1155" s="7"/>
      <c r="QNJ1155" s="7"/>
      <c r="QNK1155" s="7"/>
      <c r="QNL1155" s="7"/>
      <c r="QNM1155" s="7"/>
      <c r="QNN1155" s="7"/>
      <c r="QNO1155" s="7"/>
      <c r="QNP1155" s="7"/>
      <c r="QNQ1155" s="7"/>
      <c r="QNR1155" s="7"/>
      <c r="QNS1155" s="7"/>
      <c r="QNT1155" s="7"/>
      <c r="QNU1155" s="7"/>
      <c r="QNV1155" s="7"/>
      <c r="QNW1155" s="7"/>
      <c r="QNX1155" s="7"/>
      <c r="QNY1155" s="7"/>
      <c r="QNZ1155" s="7"/>
      <c r="QOA1155" s="7"/>
      <c r="QOB1155" s="7"/>
      <c r="QOC1155" s="7"/>
      <c r="QOD1155" s="7"/>
      <c r="QOE1155" s="7"/>
      <c r="QOF1155" s="7"/>
      <c r="QOG1155" s="7"/>
      <c r="QOH1155" s="7"/>
      <c r="QOI1155" s="7"/>
      <c r="QOJ1155" s="7"/>
      <c r="QOK1155" s="7"/>
      <c r="QOL1155" s="7"/>
      <c r="QOM1155" s="7"/>
      <c r="QON1155" s="7"/>
      <c r="QOO1155" s="7"/>
      <c r="QOP1155" s="7"/>
      <c r="QOQ1155" s="7"/>
      <c r="QOR1155" s="7"/>
      <c r="QOS1155" s="7"/>
      <c r="QOT1155" s="7"/>
      <c r="QOU1155" s="7"/>
      <c r="QOV1155" s="7"/>
      <c r="QOW1155" s="7"/>
      <c r="QOX1155" s="7"/>
      <c r="QOY1155" s="7"/>
      <c r="QOZ1155" s="7"/>
      <c r="QPA1155" s="7"/>
      <c r="QPB1155" s="7"/>
      <c r="QPC1155" s="7"/>
      <c r="QPD1155" s="7"/>
      <c r="QPE1155" s="7"/>
      <c r="QPF1155" s="7"/>
      <c r="QPG1155" s="7"/>
      <c r="QPH1155" s="7"/>
      <c r="QPI1155" s="7"/>
      <c r="QPJ1155" s="7"/>
      <c r="QPK1155" s="7"/>
      <c r="QPL1155" s="7"/>
      <c r="QPM1155" s="7"/>
      <c r="QPN1155" s="7"/>
      <c r="QPO1155" s="7"/>
      <c r="QPP1155" s="7"/>
      <c r="QPQ1155" s="7"/>
      <c r="QPR1155" s="7"/>
      <c r="QPS1155" s="7"/>
      <c r="QPT1155" s="7"/>
      <c r="QPU1155" s="7"/>
      <c r="QPV1155" s="7"/>
      <c r="QPW1155" s="7"/>
      <c r="QPX1155" s="7"/>
      <c r="QPY1155" s="7"/>
      <c r="QPZ1155" s="7"/>
      <c r="QQA1155" s="7"/>
      <c r="QQB1155" s="7"/>
      <c r="QQC1155" s="7"/>
      <c r="QQD1155" s="7"/>
      <c r="QQE1155" s="7"/>
      <c r="QQF1155" s="7"/>
      <c r="QQG1155" s="7"/>
      <c r="QQH1155" s="7"/>
      <c r="QQI1155" s="7"/>
      <c r="QQJ1155" s="7"/>
      <c r="QQK1155" s="7"/>
      <c r="QQL1155" s="7"/>
      <c r="QQM1155" s="7"/>
      <c r="QQN1155" s="7"/>
      <c r="QQO1155" s="7"/>
      <c r="QQP1155" s="7"/>
      <c r="QQQ1155" s="7"/>
      <c r="QQR1155" s="7"/>
      <c r="QQS1155" s="7"/>
      <c r="QQT1155" s="7"/>
      <c r="QQU1155" s="7"/>
      <c r="QQV1155" s="7"/>
      <c r="QQW1155" s="7"/>
      <c r="QQX1155" s="7"/>
      <c r="QQY1155" s="7"/>
      <c r="QQZ1155" s="7"/>
      <c r="QRA1155" s="7"/>
      <c r="QRB1155" s="7"/>
      <c r="QRC1155" s="7"/>
      <c r="QRD1155" s="7"/>
      <c r="QRE1155" s="7"/>
      <c r="QRF1155" s="7"/>
      <c r="QRG1155" s="7"/>
      <c r="QRH1155" s="7"/>
      <c r="QRI1155" s="7"/>
      <c r="QRJ1155" s="7"/>
      <c r="QRK1155" s="7"/>
      <c r="QRL1155" s="7"/>
      <c r="QRM1155" s="7"/>
      <c r="QRN1155" s="7"/>
      <c r="QRO1155" s="7"/>
      <c r="QRP1155" s="7"/>
      <c r="QRQ1155" s="7"/>
      <c r="QRR1155" s="7"/>
      <c r="QRS1155" s="7"/>
      <c r="QRT1155" s="7"/>
      <c r="QRU1155" s="7"/>
      <c r="QRV1155" s="7"/>
      <c r="QRW1155" s="7"/>
      <c r="QRX1155" s="7"/>
      <c r="QRY1155" s="7"/>
      <c r="QRZ1155" s="7"/>
      <c r="QSA1155" s="7"/>
      <c r="QSB1155" s="7"/>
      <c r="QSC1155" s="7"/>
      <c r="QSD1155" s="7"/>
      <c r="QSE1155" s="7"/>
      <c r="QSF1155" s="7"/>
      <c r="QSG1155" s="7"/>
      <c r="QSH1155" s="7"/>
      <c r="QSI1155" s="7"/>
      <c r="QSJ1155" s="7"/>
      <c r="QSK1155" s="7"/>
      <c r="QSL1155" s="7"/>
      <c r="QSM1155" s="7"/>
      <c r="QSN1155" s="7"/>
      <c r="QSO1155" s="7"/>
      <c r="QSP1155" s="7"/>
      <c r="QSQ1155" s="7"/>
      <c r="QSR1155" s="7"/>
      <c r="QSS1155" s="7"/>
      <c r="QST1155" s="7"/>
      <c r="QSU1155" s="7"/>
      <c r="QSV1155" s="7"/>
      <c r="QSW1155" s="7"/>
      <c r="QSX1155" s="7"/>
      <c r="QSY1155" s="7"/>
      <c r="QSZ1155" s="7"/>
      <c r="QTA1155" s="7"/>
      <c r="QTB1155" s="7"/>
      <c r="QTC1155" s="7"/>
      <c r="QTD1155" s="7"/>
      <c r="QTE1155" s="7"/>
      <c r="QTF1155" s="7"/>
      <c r="QTG1155" s="7"/>
      <c r="QTH1155" s="7"/>
      <c r="QTI1155" s="7"/>
      <c r="QTJ1155" s="7"/>
      <c r="QTK1155" s="7"/>
      <c r="QTL1155" s="7"/>
      <c r="QTM1155" s="7"/>
      <c r="QTN1155" s="7"/>
      <c r="QTO1155" s="7"/>
      <c r="QTP1155" s="7"/>
      <c r="QTQ1155" s="7"/>
      <c r="QTR1155" s="7"/>
      <c r="QTS1155" s="7"/>
      <c r="QTT1155" s="7"/>
      <c r="QTU1155" s="7"/>
      <c r="QTV1155" s="7"/>
      <c r="QTW1155" s="7"/>
      <c r="QTX1155" s="7"/>
      <c r="QTY1155" s="7"/>
      <c r="QTZ1155" s="7"/>
      <c r="QUA1155" s="7"/>
      <c r="QUB1155" s="7"/>
      <c r="QUC1155" s="7"/>
      <c r="QUD1155" s="7"/>
      <c r="QUE1155" s="7"/>
      <c r="QUF1155" s="7"/>
      <c r="QUG1155" s="7"/>
      <c r="QUH1155" s="7"/>
      <c r="QUI1155" s="7"/>
      <c r="QUJ1155" s="7"/>
      <c r="QUK1155" s="7"/>
      <c r="QUL1155" s="7"/>
      <c r="QUM1155" s="7"/>
      <c r="QUN1155" s="7"/>
      <c r="QUO1155" s="7"/>
      <c r="QUP1155" s="7"/>
      <c r="QUQ1155" s="7"/>
      <c r="QUR1155" s="7"/>
      <c r="QUS1155" s="7"/>
      <c r="QUT1155" s="7"/>
      <c r="QUU1155" s="7"/>
      <c r="QUV1155" s="7"/>
      <c r="QUW1155" s="7"/>
      <c r="QUX1155" s="7"/>
      <c r="QUY1155" s="7"/>
      <c r="QUZ1155" s="7"/>
      <c r="QVA1155" s="7"/>
      <c r="QVB1155" s="7"/>
      <c r="QVC1155" s="7"/>
      <c r="QVD1155" s="7"/>
      <c r="QVE1155" s="7"/>
      <c r="QVF1155" s="7"/>
      <c r="QVG1155" s="7"/>
      <c r="QVH1155" s="7"/>
      <c r="QVI1155" s="7"/>
      <c r="QVJ1155" s="7"/>
      <c r="QVK1155" s="7"/>
      <c r="QVL1155" s="7"/>
      <c r="QVM1155" s="7"/>
      <c r="QVN1155" s="7"/>
      <c r="QVO1155" s="7"/>
      <c r="QVP1155" s="7"/>
      <c r="QVQ1155" s="7"/>
      <c r="QVR1155" s="7"/>
      <c r="QVS1155" s="7"/>
      <c r="QVT1155" s="7"/>
      <c r="QVU1155" s="7"/>
      <c r="QVV1155" s="7"/>
      <c r="QVW1155" s="7"/>
      <c r="QVX1155" s="7"/>
      <c r="QVY1155" s="7"/>
      <c r="QVZ1155" s="7"/>
      <c r="QWA1155" s="7"/>
      <c r="QWB1155" s="7"/>
      <c r="QWC1155" s="7"/>
      <c r="QWD1155" s="7"/>
      <c r="QWE1155" s="7"/>
      <c r="QWF1155" s="7"/>
      <c r="QWG1155" s="7"/>
      <c r="QWH1155" s="7"/>
      <c r="QWI1155" s="7"/>
      <c r="QWJ1155" s="7"/>
      <c r="QWK1155" s="7"/>
      <c r="QWL1155" s="7"/>
      <c r="QWM1155" s="7"/>
      <c r="QWN1155" s="7"/>
      <c r="QWO1155" s="7"/>
      <c r="QWP1155" s="7"/>
      <c r="QWQ1155" s="7"/>
      <c r="QWR1155" s="7"/>
      <c r="QWS1155" s="7"/>
      <c r="QWT1155" s="7"/>
      <c r="QWU1155" s="7"/>
      <c r="QWV1155" s="7"/>
      <c r="QWW1155" s="7"/>
      <c r="QWX1155" s="7"/>
      <c r="QWY1155" s="7"/>
      <c r="QWZ1155" s="7"/>
      <c r="QXA1155" s="7"/>
      <c r="QXB1155" s="7"/>
      <c r="QXC1155" s="7"/>
      <c r="QXD1155" s="7"/>
      <c r="QXE1155" s="7"/>
      <c r="QXF1155" s="7"/>
      <c r="QXG1155" s="7"/>
      <c r="QXH1155" s="7"/>
      <c r="QXI1155" s="7"/>
      <c r="QXJ1155" s="7"/>
      <c r="QXK1155" s="7"/>
      <c r="QXL1155" s="7"/>
      <c r="QXM1155" s="7"/>
      <c r="QXN1155" s="7"/>
      <c r="QXO1155" s="7"/>
      <c r="QXP1155" s="7"/>
      <c r="QXQ1155" s="7"/>
      <c r="QXR1155" s="7"/>
      <c r="QXS1155" s="7"/>
      <c r="QXT1155" s="7"/>
      <c r="QXU1155" s="7"/>
      <c r="QXV1155" s="7"/>
      <c r="QXW1155" s="7"/>
      <c r="QXX1155" s="7"/>
      <c r="QXY1155" s="7"/>
      <c r="QXZ1155" s="7"/>
      <c r="QYA1155" s="7"/>
      <c r="QYB1155" s="7"/>
      <c r="QYC1155" s="7"/>
      <c r="QYD1155" s="7"/>
      <c r="QYE1155" s="7"/>
      <c r="QYF1155" s="7"/>
      <c r="QYG1155" s="7"/>
      <c r="QYH1155" s="7"/>
      <c r="QYI1155" s="7"/>
      <c r="QYJ1155" s="7"/>
      <c r="QYK1155" s="7"/>
      <c r="QYL1155" s="7"/>
      <c r="QYM1155" s="7"/>
      <c r="QYN1155" s="7"/>
      <c r="QYO1155" s="7"/>
      <c r="QYP1155" s="7"/>
      <c r="QYQ1155" s="7"/>
      <c r="QYR1155" s="7"/>
      <c r="QYS1155" s="7"/>
      <c r="QYT1155" s="7"/>
      <c r="QYU1155" s="7"/>
      <c r="QYV1155" s="7"/>
      <c r="QYW1155" s="7"/>
      <c r="QYX1155" s="7"/>
      <c r="QYY1155" s="7"/>
      <c r="QYZ1155" s="7"/>
      <c r="QZA1155" s="7"/>
      <c r="QZB1155" s="7"/>
      <c r="QZC1155" s="7"/>
      <c r="QZD1155" s="7"/>
      <c r="QZE1155" s="7"/>
      <c r="QZF1155" s="7"/>
      <c r="QZG1155" s="7"/>
      <c r="QZH1155" s="7"/>
      <c r="QZI1155" s="7"/>
      <c r="QZJ1155" s="7"/>
      <c r="QZK1155" s="7"/>
      <c r="QZL1155" s="7"/>
      <c r="QZM1155" s="7"/>
      <c r="QZN1155" s="7"/>
      <c r="QZO1155" s="7"/>
      <c r="QZP1155" s="7"/>
      <c r="QZQ1155" s="7"/>
      <c r="QZR1155" s="7"/>
      <c r="QZS1155" s="7"/>
      <c r="QZT1155" s="7"/>
      <c r="QZU1155" s="7"/>
      <c r="QZV1155" s="7"/>
      <c r="QZW1155" s="7"/>
      <c r="QZX1155" s="7"/>
      <c r="QZY1155" s="7"/>
      <c r="QZZ1155" s="7"/>
      <c r="RAA1155" s="7"/>
      <c r="RAB1155" s="7"/>
      <c r="RAC1155" s="7"/>
      <c r="RAD1155" s="7"/>
      <c r="RAE1155" s="7"/>
      <c r="RAF1155" s="7"/>
      <c r="RAG1155" s="7"/>
      <c r="RAH1155" s="7"/>
      <c r="RAI1155" s="7"/>
      <c r="RAJ1155" s="7"/>
      <c r="RAK1155" s="7"/>
      <c r="RAL1155" s="7"/>
      <c r="RAM1155" s="7"/>
      <c r="RAN1155" s="7"/>
      <c r="RAO1155" s="7"/>
      <c r="RAP1155" s="7"/>
      <c r="RAQ1155" s="7"/>
      <c r="RAR1155" s="7"/>
      <c r="RAS1155" s="7"/>
      <c r="RAT1155" s="7"/>
      <c r="RAU1155" s="7"/>
      <c r="RAV1155" s="7"/>
      <c r="RAW1155" s="7"/>
      <c r="RAX1155" s="7"/>
      <c r="RAY1155" s="7"/>
      <c r="RAZ1155" s="7"/>
      <c r="RBA1155" s="7"/>
      <c r="RBB1155" s="7"/>
      <c r="RBC1155" s="7"/>
      <c r="RBD1155" s="7"/>
      <c r="RBE1155" s="7"/>
      <c r="RBF1155" s="7"/>
      <c r="RBG1155" s="7"/>
      <c r="RBH1155" s="7"/>
      <c r="RBI1155" s="7"/>
      <c r="RBJ1155" s="7"/>
      <c r="RBK1155" s="7"/>
      <c r="RBL1155" s="7"/>
      <c r="RBM1155" s="7"/>
      <c r="RBN1155" s="7"/>
      <c r="RBO1155" s="7"/>
      <c r="RBP1155" s="7"/>
      <c r="RBQ1155" s="7"/>
      <c r="RBR1155" s="7"/>
      <c r="RBS1155" s="7"/>
      <c r="RBT1155" s="7"/>
      <c r="RBU1155" s="7"/>
      <c r="RBV1155" s="7"/>
      <c r="RBW1155" s="7"/>
      <c r="RBX1155" s="7"/>
      <c r="RBY1155" s="7"/>
      <c r="RBZ1155" s="7"/>
      <c r="RCA1155" s="7"/>
      <c r="RCB1155" s="7"/>
      <c r="RCC1155" s="7"/>
      <c r="RCD1155" s="7"/>
      <c r="RCE1155" s="7"/>
      <c r="RCF1155" s="7"/>
      <c r="RCG1155" s="7"/>
      <c r="RCH1155" s="7"/>
      <c r="RCI1155" s="7"/>
      <c r="RCJ1155" s="7"/>
      <c r="RCK1155" s="7"/>
      <c r="RCL1155" s="7"/>
      <c r="RCM1155" s="7"/>
      <c r="RCN1155" s="7"/>
      <c r="RCO1155" s="7"/>
      <c r="RCP1155" s="7"/>
      <c r="RCQ1155" s="7"/>
      <c r="RCR1155" s="7"/>
      <c r="RCS1155" s="7"/>
      <c r="RCT1155" s="7"/>
      <c r="RCU1155" s="7"/>
      <c r="RCV1155" s="7"/>
      <c r="RCW1155" s="7"/>
      <c r="RCX1155" s="7"/>
      <c r="RCY1155" s="7"/>
      <c r="RCZ1155" s="7"/>
      <c r="RDA1155" s="7"/>
      <c r="RDB1155" s="7"/>
      <c r="RDC1155" s="7"/>
      <c r="RDD1155" s="7"/>
      <c r="RDE1155" s="7"/>
      <c r="RDF1155" s="7"/>
      <c r="RDG1155" s="7"/>
      <c r="RDH1155" s="7"/>
      <c r="RDI1155" s="7"/>
      <c r="RDJ1155" s="7"/>
      <c r="RDK1155" s="7"/>
      <c r="RDL1155" s="7"/>
      <c r="RDM1155" s="7"/>
      <c r="RDN1155" s="7"/>
      <c r="RDO1155" s="7"/>
      <c r="RDP1155" s="7"/>
      <c r="RDQ1155" s="7"/>
      <c r="RDR1155" s="7"/>
      <c r="RDS1155" s="7"/>
      <c r="RDT1155" s="7"/>
      <c r="RDU1155" s="7"/>
      <c r="RDV1155" s="7"/>
      <c r="RDW1155" s="7"/>
      <c r="RDX1155" s="7"/>
      <c r="RDY1155" s="7"/>
      <c r="RDZ1155" s="7"/>
      <c r="REA1155" s="7"/>
      <c r="REB1155" s="7"/>
      <c r="REC1155" s="7"/>
      <c r="RED1155" s="7"/>
      <c r="REE1155" s="7"/>
      <c r="REF1155" s="7"/>
      <c r="REG1155" s="7"/>
      <c r="REH1155" s="7"/>
      <c r="REI1155" s="7"/>
      <c r="REJ1155" s="7"/>
      <c r="REK1155" s="7"/>
      <c r="REL1155" s="7"/>
      <c r="REM1155" s="7"/>
      <c r="REN1155" s="7"/>
      <c r="REO1155" s="7"/>
      <c r="REP1155" s="7"/>
      <c r="REQ1155" s="7"/>
      <c r="RER1155" s="7"/>
      <c r="RES1155" s="7"/>
      <c r="RET1155" s="7"/>
      <c r="REU1155" s="7"/>
      <c r="REV1155" s="7"/>
      <c r="REW1155" s="7"/>
      <c r="REX1155" s="7"/>
      <c r="REY1155" s="7"/>
      <c r="REZ1155" s="7"/>
      <c r="RFA1155" s="7"/>
      <c r="RFB1155" s="7"/>
      <c r="RFC1155" s="7"/>
      <c r="RFD1155" s="7"/>
      <c r="RFE1155" s="7"/>
      <c r="RFF1155" s="7"/>
      <c r="RFG1155" s="7"/>
      <c r="RFH1155" s="7"/>
      <c r="RFI1155" s="7"/>
      <c r="RFJ1155" s="7"/>
      <c r="RFK1155" s="7"/>
      <c r="RFL1155" s="7"/>
      <c r="RFM1155" s="7"/>
      <c r="RFN1155" s="7"/>
      <c r="RFO1155" s="7"/>
      <c r="RFP1155" s="7"/>
      <c r="RFQ1155" s="7"/>
      <c r="RFR1155" s="7"/>
      <c r="RFS1155" s="7"/>
      <c r="RFT1155" s="7"/>
      <c r="RFU1155" s="7"/>
      <c r="RFV1155" s="7"/>
      <c r="RFW1155" s="7"/>
      <c r="RFX1155" s="7"/>
      <c r="RFY1155" s="7"/>
      <c r="RFZ1155" s="7"/>
      <c r="RGA1155" s="7"/>
      <c r="RGB1155" s="7"/>
      <c r="RGC1155" s="7"/>
      <c r="RGD1155" s="7"/>
      <c r="RGE1155" s="7"/>
      <c r="RGF1155" s="7"/>
      <c r="RGG1155" s="7"/>
      <c r="RGH1155" s="7"/>
      <c r="RGI1155" s="7"/>
      <c r="RGJ1155" s="7"/>
      <c r="RGK1155" s="7"/>
      <c r="RGL1155" s="7"/>
      <c r="RGM1155" s="7"/>
      <c r="RGN1155" s="7"/>
      <c r="RGO1155" s="7"/>
      <c r="RGP1155" s="7"/>
      <c r="RGQ1155" s="7"/>
      <c r="RGR1155" s="7"/>
      <c r="RGS1155" s="7"/>
      <c r="RGT1155" s="7"/>
      <c r="RGU1155" s="7"/>
      <c r="RGV1155" s="7"/>
      <c r="RGW1155" s="7"/>
      <c r="RGX1155" s="7"/>
      <c r="RGY1155" s="7"/>
      <c r="RGZ1155" s="7"/>
      <c r="RHA1155" s="7"/>
      <c r="RHB1155" s="7"/>
      <c r="RHC1155" s="7"/>
      <c r="RHD1155" s="7"/>
      <c r="RHE1155" s="7"/>
      <c r="RHF1155" s="7"/>
      <c r="RHG1155" s="7"/>
      <c r="RHH1155" s="7"/>
      <c r="RHI1155" s="7"/>
      <c r="RHJ1155" s="7"/>
      <c r="RHK1155" s="7"/>
      <c r="RHL1155" s="7"/>
      <c r="RHM1155" s="7"/>
      <c r="RHN1155" s="7"/>
      <c r="RHO1155" s="7"/>
      <c r="RHP1155" s="7"/>
      <c r="RHQ1155" s="7"/>
      <c r="RHR1155" s="7"/>
      <c r="RHS1155" s="7"/>
      <c r="RHT1155" s="7"/>
      <c r="RHU1155" s="7"/>
      <c r="RHV1155" s="7"/>
      <c r="RHW1155" s="7"/>
      <c r="RHX1155" s="7"/>
      <c r="RHY1155" s="7"/>
      <c r="RHZ1155" s="7"/>
      <c r="RIA1155" s="7"/>
      <c r="RIB1155" s="7"/>
      <c r="RIC1155" s="7"/>
      <c r="RID1155" s="7"/>
      <c r="RIE1155" s="7"/>
      <c r="RIF1155" s="7"/>
      <c r="RIG1155" s="7"/>
      <c r="RIH1155" s="7"/>
      <c r="RII1155" s="7"/>
      <c r="RIJ1155" s="7"/>
      <c r="RIK1155" s="7"/>
      <c r="RIL1155" s="7"/>
      <c r="RIM1155" s="7"/>
      <c r="RIN1155" s="7"/>
      <c r="RIO1155" s="7"/>
      <c r="RIP1155" s="7"/>
      <c r="RIQ1155" s="7"/>
      <c r="RIR1155" s="7"/>
      <c r="RIS1155" s="7"/>
      <c r="RIT1155" s="7"/>
      <c r="RIU1155" s="7"/>
      <c r="RIV1155" s="7"/>
      <c r="RIW1155" s="7"/>
      <c r="RIX1155" s="7"/>
      <c r="RIY1155" s="7"/>
      <c r="RIZ1155" s="7"/>
      <c r="RJA1155" s="7"/>
      <c r="RJB1155" s="7"/>
      <c r="RJC1155" s="7"/>
      <c r="RJD1155" s="7"/>
      <c r="RJE1155" s="7"/>
      <c r="RJF1155" s="7"/>
      <c r="RJG1155" s="7"/>
      <c r="RJH1155" s="7"/>
      <c r="RJI1155" s="7"/>
      <c r="RJJ1155" s="7"/>
      <c r="RJK1155" s="7"/>
      <c r="RJL1155" s="7"/>
      <c r="RJM1155" s="7"/>
      <c r="RJN1155" s="7"/>
      <c r="RJO1155" s="7"/>
      <c r="RJP1155" s="7"/>
      <c r="RJQ1155" s="7"/>
      <c r="RJR1155" s="7"/>
      <c r="RJS1155" s="7"/>
      <c r="RJT1155" s="7"/>
      <c r="RJU1155" s="7"/>
      <c r="RJV1155" s="7"/>
      <c r="RJW1155" s="7"/>
      <c r="RJX1155" s="7"/>
      <c r="RJY1155" s="7"/>
      <c r="RJZ1155" s="7"/>
      <c r="RKA1155" s="7"/>
      <c r="RKB1155" s="7"/>
      <c r="RKC1155" s="7"/>
      <c r="RKD1155" s="7"/>
      <c r="RKE1155" s="7"/>
      <c r="RKF1155" s="7"/>
      <c r="RKG1155" s="7"/>
      <c r="RKH1155" s="7"/>
      <c r="RKI1155" s="7"/>
      <c r="RKJ1155" s="7"/>
      <c r="RKK1155" s="7"/>
      <c r="RKL1155" s="7"/>
      <c r="RKM1155" s="7"/>
      <c r="RKN1155" s="7"/>
      <c r="RKO1155" s="7"/>
      <c r="RKP1155" s="7"/>
      <c r="RKQ1155" s="7"/>
      <c r="RKR1155" s="7"/>
      <c r="RKS1155" s="7"/>
      <c r="RKT1155" s="7"/>
      <c r="RKU1155" s="7"/>
      <c r="RKV1155" s="7"/>
      <c r="RKW1155" s="7"/>
      <c r="RKX1155" s="7"/>
      <c r="RKY1155" s="7"/>
      <c r="RKZ1155" s="7"/>
      <c r="RLA1155" s="7"/>
      <c r="RLB1155" s="7"/>
      <c r="RLC1155" s="7"/>
      <c r="RLD1155" s="7"/>
      <c r="RLE1155" s="7"/>
      <c r="RLF1155" s="7"/>
      <c r="RLG1155" s="7"/>
      <c r="RLH1155" s="7"/>
      <c r="RLI1155" s="7"/>
      <c r="RLJ1155" s="7"/>
      <c r="RLK1155" s="7"/>
      <c r="RLL1155" s="7"/>
      <c r="RLM1155" s="7"/>
      <c r="RLN1155" s="7"/>
      <c r="RLO1155" s="7"/>
      <c r="RLP1155" s="7"/>
      <c r="RLQ1155" s="7"/>
      <c r="RLR1155" s="7"/>
      <c r="RLS1155" s="7"/>
      <c r="RLT1155" s="7"/>
      <c r="RLU1155" s="7"/>
      <c r="RLV1155" s="7"/>
      <c r="RLW1155" s="7"/>
      <c r="RLX1155" s="7"/>
      <c r="RLY1155" s="7"/>
      <c r="RLZ1155" s="7"/>
      <c r="RMA1155" s="7"/>
      <c r="RMB1155" s="7"/>
      <c r="RMC1155" s="7"/>
      <c r="RMD1155" s="7"/>
      <c r="RME1155" s="7"/>
      <c r="RMF1155" s="7"/>
      <c r="RMG1155" s="7"/>
      <c r="RMH1155" s="7"/>
      <c r="RMI1155" s="7"/>
      <c r="RMJ1155" s="7"/>
      <c r="RMK1155" s="7"/>
      <c r="RML1155" s="7"/>
      <c r="RMM1155" s="7"/>
      <c r="RMN1155" s="7"/>
      <c r="RMO1155" s="7"/>
      <c r="RMP1155" s="7"/>
      <c r="RMQ1155" s="7"/>
      <c r="RMR1155" s="7"/>
      <c r="RMS1155" s="7"/>
      <c r="RMT1155" s="7"/>
      <c r="RMU1155" s="7"/>
      <c r="RMV1155" s="7"/>
      <c r="RMW1155" s="7"/>
      <c r="RMX1155" s="7"/>
      <c r="RMY1155" s="7"/>
      <c r="RMZ1155" s="7"/>
      <c r="RNA1155" s="7"/>
      <c r="RNB1155" s="7"/>
      <c r="RNC1155" s="7"/>
      <c r="RND1155" s="7"/>
      <c r="RNE1155" s="7"/>
      <c r="RNF1155" s="7"/>
      <c r="RNG1155" s="7"/>
      <c r="RNH1155" s="7"/>
      <c r="RNI1155" s="7"/>
      <c r="RNJ1155" s="7"/>
      <c r="RNK1155" s="7"/>
      <c r="RNL1155" s="7"/>
      <c r="RNM1155" s="7"/>
      <c r="RNN1155" s="7"/>
      <c r="RNO1155" s="7"/>
      <c r="RNP1155" s="7"/>
      <c r="RNQ1155" s="7"/>
      <c r="RNR1155" s="7"/>
      <c r="RNS1155" s="7"/>
      <c r="RNT1155" s="7"/>
      <c r="RNU1155" s="7"/>
      <c r="RNV1155" s="7"/>
      <c r="RNW1155" s="7"/>
      <c r="RNX1155" s="7"/>
      <c r="RNY1155" s="7"/>
      <c r="RNZ1155" s="7"/>
      <c r="ROA1155" s="7"/>
      <c r="ROB1155" s="7"/>
      <c r="ROC1155" s="7"/>
      <c r="ROD1155" s="7"/>
      <c r="ROE1155" s="7"/>
      <c r="ROF1155" s="7"/>
      <c r="ROG1155" s="7"/>
      <c r="ROH1155" s="7"/>
      <c r="ROI1155" s="7"/>
      <c r="ROJ1155" s="7"/>
      <c r="ROK1155" s="7"/>
      <c r="ROL1155" s="7"/>
      <c r="ROM1155" s="7"/>
      <c r="RON1155" s="7"/>
      <c r="ROO1155" s="7"/>
      <c r="ROP1155" s="7"/>
      <c r="ROQ1155" s="7"/>
      <c r="ROR1155" s="7"/>
      <c r="ROS1155" s="7"/>
      <c r="ROT1155" s="7"/>
      <c r="ROU1155" s="7"/>
      <c r="ROV1155" s="7"/>
      <c r="ROW1155" s="7"/>
      <c r="ROX1155" s="7"/>
      <c r="ROY1155" s="7"/>
      <c r="ROZ1155" s="7"/>
      <c r="RPA1155" s="7"/>
      <c r="RPB1155" s="7"/>
      <c r="RPC1155" s="7"/>
      <c r="RPD1155" s="7"/>
      <c r="RPE1155" s="7"/>
      <c r="RPF1155" s="7"/>
      <c r="RPG1155" s="7"/>
      <c r="RPH1155" s="7"/>
      <c r="RPI1155" s="7"/>
      <c r="RPJ1155" s="7"/>
      <c r="RPK1155" s="7"/>
      <c r="RPL1155" s="7"/>
      <c r="RPM1155" s="7"/>
      <c r="RPN1155" s="7"/>
      <c r="RPO1155" s="7"/>
      <c r="RPP1155" s="7"/>
      <c r="RPQ1155" s="7"/>
      <c r="RPR1155" s="7"/>
      <c r="RPS1155" s="7"/>
      <c r="RPT1155" s="7"/>
      <c r="RPU1155" s="7"/>
      <c r="RPV1155" s="7"/>
      <c r="RPW1155" s="7"/>
      <c r="RPX1155" s="7"/>
      <c r="RPY1155" s="7"/>
      <c r="RPZ1155" s="7"/>
      <c r="RQA1155" s="7"/>
      <c r="RQB1155" s="7"/>
      <c r="RQC1155" s="7"/>
      <c r="RQD1155" s="7"/>
      <c r="RQE1155" s="7"/>
      <c r="RQF1155" s="7"/>
      <c r="RQG1155" s="7"/>
      <c r="RQH1155" s="7"/>
      <c r="RQI1155" s="7"/>
      <c r="RQJ1155" s="7"/>
      <c r="RQK1155" s="7"/>
      <c r="RQL1155" s="7"/>
      <c r="RQM1155" s="7"/>
      <c r="RQN1155" s="7"/>
      <c r="RQO1155" s="7"/>
      <c r="RQP1155" s="7"/>
      <c r="RQQ1155" s="7"/>
      <c r="RQR1155" s="7"/>
      <c r="RQS1155" s="7"/>
      <c r="RQT1155" s="7"/>
      <c r="RQU1155" s="7"/>
      <c r="RQV1155" s="7"/>
      <c r="RQW1155" s="7"/>
      <c r="RQX1155" s="7"/>
      <c r="RQY1155" s="7"/>
      <c r="RQZ1155" s="7"/>
      <c r="RRA1155" s="7"/>
      <c r="RRB1155" s="7"/>
      <c r="RRC1155" s="7"/>
      <c r="RRD1155" s="7"/>
      <c r="RRE1155" s="7"/>
      <c r="RRF1155" s="7"/>
      <c r="RRG1155" s="7"/>
      <c r="RRH1155" s="7"/>
      <c r="RRI1155" s="7"/>
      <c r="RRJ1155" s="7"/>
      <c r="RRK1155" s="7"/>
      <c r="RRL1155" s="7"/>
      <c r="RRM1155" s="7"/>
      <c r="RRN1155" s="7"/>
      <c r="RRO1155" s="7"/>
      <c r="RRP1155" s="7"/>
      <c r="RRQ1155" s="7"/>
      <c r="RRR1155" s="7"/>
      <c r="RRS1155" s="7"/>
      <c r="RRT1155" s="7"/>
      <c r="RRU1155" s="7"/>
      <c r="RRV1155" s="7"/>
      <c r="RRW1155" s="7"/>
      <c r="RRX1155" s="7"/>
      <c r="RRY1155" s="7"/>
      <c r="RRZ1155" s="7"/>
      <c r="RSA1155" s="7"/>
      <c r="RSB1155" s="7"/>
      <c r="RSC1155" s="7"/>
      <c r="RSD1155" s="7"/>
      <c r="RSE1155" s="7"/>
      <c r="RSF1155" s="7"/>
      <c r="RSG1155" s="7"/>
      <c r="RSH1155" s="7"/>
      <c r="RSI1155" s="7"/>
      <c r="RSJ1155" s="7"/>
      <c r="RSK1155" s="7"/>
      <c r="RSL1155" s="7"/>
      <c r="RSM1155" s="7"/>
      <c r="RSN1155" s="7"/>
      <c r="RSO1155" s="7"/>
      <c r="RSP1155" s="7"/>
      <c r="RSQ1155" s="7"/>
      <c r="RSR1155" s="7"/>
      <c r="RSS1155" s="7"/>
      <c r="RST1155" s="7"/>
      <c r="RSU1155" s="7"/>
      <c r="RSV1155" s="7"/>
      <c r="RSW1155" s="7"/>
      <c r="RSX1155" s="7"/>
      <c r="RSY1155" s="7"/>
      <c r="RSZ1155" s="7"/>
      <c r="RTA1155" s="7"/>
      <c r="RTB1155" s="7"/>
      <c r="RTC1155" s="7"/>
      <c r="RTD1155" s="7"/>
      <c r="RTE1155" s="7"/>
      <c r="RTF1155" s="7"/>
      <c r="RTG1155" s="7"/>
      <c r="RTH1155" s="7"/>
      <c r="RTI1155" s="7"/>
      <c r="RTJ1155" s="7"/>
      <c r="RTK1155" s="7"/>
      <c r="RTL1155" s="7"/>
      <c r="RTM1155" s="7"/>
      <c r="RTN1155" s="7"/>
      <c r="RTO1155" s="7"/>
      <c r="RTP1155" s="7"/>
      <c r="RTQ1155" s="7"/>
      <c r="RTR1155" s="7"/>
      <c r="RTS1155" s="7"/>
      <c r="RTT1155" s="7"/>
      <c r="RTU1155" s="7"/>
      <c r="RTV1155" s="7"/>
      <c r="RTW1155" s="7"/>
      <c r="RTX1155" s="7"/>
      <c r="RTY1155" s="7"/>
      <c r="RTZ1155" s="7"/>
      <c r="RUA1155" s="7"/>
      <c r="RUB1155" s="7"/>
      <c r="RUC1155" s="7"/>
      <c r="RUD1155" s="7"/>
      <c r="RUE1155" s="7"/>
      <c r="RUF1155" s="7"/>
      <c r="RUG1155" s="7"/>
      <c r="RUH1155" s="7"/>
      <c r="RUI1155" s="7"/>
      <c r="RUJ1155" s="7"/>
      <c r="RUK1155" s="7"/>
      <c r="RUL1155" s="7"/>
      <c r="RUM1155" s="7"/>
      <c r="RUN1155" s="7"/>
      <c r="RUO1155" s="7"/>
      <c r="RUP1155" s="7"/>
      <c r="RUQ1155" s="7"/>
      <c r="RUR1155" s="7"/>
      <c r="RUS1155" s="7"/>
      <c r="RUT1155" s="7"/>
      <c r="RUU1155" s="7"/>
      <c r="RUV1155" s="7"/>
      <c r="RUW1155" s="7"/>
      <c r="RUX1155" s="7"/>
      <c r="RUY1155" s="7"/>
      <c r="RUZ1155" s="7"/>
      <c r="RVA1155" s="7"/>
      <c r="RVB1155" s="7"/>
      <c r="RVC1155" s="7"/>
      <c r="RVD1155" s="7"/>
      <c r="RVE1155" s="7"/>
      <c r="RVF1155" s="7"/>
      <c r="RVG1155" s="7"/>
      <c r="RVH1155" s="7"/>
      <c r="RVI1155" s="7"/>
      <c r="RVJ1155" s="7"/>
      <c r="RVK1155" s="7"/>
      <c r="RVL1155" s="7"/>
      <c r="RVM1155" s="7"/>
      <c r="RVN1155" s="7"/>
      <c r="RVO1155" s="7"/>
      <c r="RVP1155" s="7"/>
      <c r="RVQ1155" s="7"/>
      <c r="RVR1155" s="7"/>
      <c r="RVS1155" s="7"/>
      <c r="RVT1155" s="7"/>
      <c r="RVU1155" s="7"/>
      <c r="RVV1155" s="7"/>
      <c r="RVW1155" s="7"/>
      <c r="RVX1155" s="7"/>
      <c r="RVY1155" s="7"/>
      <c r="RVZ1155" s="7"/>
      <c r="RWA1155" s="7"/>
      <c r="RWB1155" s="7"/>
      <c r="RWC1155" s="7"/>
      <c r="RWD1155" s="7"/>
      <c r="RWE1155" s="7"/>
      <c r="RWF1155" s="7"/>
      <c r="RWG1155" s="7"/>
      <c r="RWH1155" s="7"/>
      <c r="RWI1155" s="7"/>
      <c r="RWJ1155" s="7"/>
      <c r="RWK1155" s="7"/>
      <c r="RWL1155" s="7"/>
      <c r="RWM1155" s="7"/>
      <c r="RWN1155" s="7"/>
      <c r="RWO1155" s="7"/>
      <c r="RWP1155" s="7"/>
      <c r="RWQ1155" s="7"/>
      <c r="RWR1155" s="7"/>
      <c r="RWS1155" s="7"/>
      <c r="RWT1155" s="7"/>
      <c r="RWU1155" s="7"/>
      <c r="RWV1155" s="7"/>
      <c r="RWW1155" s="7"/>
      <c r="RWX1155" s="7"/>
      <c r="RWY1155" s="7"/>
      <c r="RWZ1155" s="7"/>
      <c r="RXA1155" s="7"/>
      <c r="RXB1155" s="7"/>
      <c r="RXC1155" s="7"/>
      <c r="RXD1155" s="7"/>
      <c r="RXE1155" s="7"/>
      <c r="RXF1155" s="7"/>
      <c r="RXG1155" s="7"/>
      <c r="RXH1155" s="7"/>
      <c r="RXI1155" s="7"/>
      <c r="RXJ1155" s="7"/>
      <c r="RXK1155" s="7"/>
      <c r="RXL1155" s="7"/>
      <c r="RXM1155" s="7"/>
      <c r="RXN1155" s="7"/>
      <c r="RXO1155" s="7"/>
      <c r="RXP1155" s="7"/>
      <c r="RXQ1155" s="7"/>
      <c r="RXR1155" s="7"/>
      <c r="RXS1155" s="7"/>
      <c r="RXT1155" s="7"/>
      <c r="RXU1155" s="7"/>
      <c r="RXV1155" s="7"/>
      <c r="RXW1155" s="7"/>
      <c r="RXX1155" s="7"/>
      <c r="RXY1155" s="7"/>
      <c r="RXZ1155" s="7"/>
      <c r="RYA1155" s="7"/>
      <c r="RYB1155" s="7"/>
      <c r="RYC1155" s="7"/>
      <c r="RYD1155" s="7"/>
      <c r="RYE1155" s="7"/>
      <c r="RYF1155" s="7"/>
      <c r="RYG1155" s="7"/>
      <c r="RYH1155" s="7"/>
      <c r="RYI1155" s="7"/>
      <c r="RYJ1155" s="7"/>
      <c r="RYK1155" s="7"/>
      <c r="RYL1155" s="7"/>
      <c r="RYM1155" s="7"/>
      <c r="RYN1155" s="7"/>
      <c r="RYO1155" s="7"/>
      <c r="RYP1155" s="7"/>
      <c r="RYQ1155" s="7"/>
      <c r="RYR1155" s="7"/>
      <c r="RYS1155" s="7"/>
      <c r="RYT1155" s="7"/>
      <c r="RYU1155" s="7"/>
      <c r="RYV1155" s="7"/>
      <c r="RYW1155" s="7"/>
      <c r="RYX1155" s="7"/>
      <c r="RYY1155" s="7"/>
      <c r="RYZ1155" s="7"/>
      <c r="RZA1155" s="7"/>
      <c r="RZB1155" s="7"/>
      <c r="RZC1155" s="7"/>
      <c r="RZD1155" s="7"/>
      <c r="RZE1155" s="7"/>
      <c r="RZF1155" s="7"/>
      <c r="RZG1155" s="7"/>
      <c r="RZH1155" s="7"/>
      <c r="RZI1155" s="7"/>
      <c r="RZJ1155" s="7"/>
      <c r="RZK1155" s="7"/>
      <c r="RZL1155" s="7"/>
      <c r="RZM1155" s="7"/>
      <c r="RZN1155" s="7"/>
      <c r="RZO1155" s="7"/>
      <c r="RZP1155" s="7"/>
      <c r="RZQ1155" s="7"/>
      <c r="RZR1155" s="7"/>
      <c r="RZS1155" s="7"/>
      <c r="RZT1155" s="7"/>
      <c r="RZU1155" s="7"/>
      <c r="RZV1155" s="7"/>
      <c r="RZW1155" s="7"/>
      <c r="RZX1155" s="7"/>
      <c r="RZY1155" s="7"/>
      <c r="RZZ1155" s="7"/>
      <c r="SAA1155" s="7"/>
      <c r="SAB1155" s="7"/>
      <c r="SAC1155" s="7"/>
      <c r="SAD1155" s="7"/>
      <c r="SAE1155" s="7"/>
      <c r="SAF1155" s="7"/>
      <c r="SAG1155" s="7"/>
      <c r="SAH1155" s="7"/>
      <c r="SAI1155" s="7"/>
      <c r="SAJ1155" s="7"/>
      <c r="SAK1155" s="7"/>
      <c r="SAL1155" s="7"/>
      <c r="SAM1155" s="7"/>
      <c r="SAN1155" s="7"/>
      <c r="SAO1155" s="7"/>
      <c r="SAP1155" s="7"/>
      <c r="SAQ1155" s="7"/>
      <c r="SAR1155" s="7"/>
      <c r="SAS1155" s="7"/>
      <c r="SAT1155" s="7"/>
      <c r="SAU1155" s="7"/>
      <c r="SAV1155" s="7"/>
      <c r="SAW1155" s="7"/>
      <c r="SAX1155" s="7"/>
      <c r="SAY1155" s="7"/>
      <c r="SAZ1155" s="7"/>
      <c r="SBA1155" s="7"/>
      <c r="SBB1155" s="7"/>
      <c r="SBC1155" s="7"/>
      <c r="SBD1155" s="7"/>
      <c r="SBE1155" s="7"/>
      <c r="SBF1155" s="7"/>
      <c r="SBG1155" s="7"/>
      <c r="SBH1155" s="7"/>
      <c r="SBI1155" s="7"/>
      <c r="SBJ1155" s="7"/>
      <c r="SBK1155" s="7"/>
      <c r="SBL1155" s="7"/>
      <c r="SBM1155" s="7"/>
      <c r="SBN1155" s="7"/>
      <c r="SBO1155" s="7"/>
      <c r="SBP1155" s="7"/>
      <c r="SBQ1155" s="7"/>
      <c r="SBR1155" s="7"/>
      <c r="SBS1155" s="7"/>
      <c r="SBT1155" s="7"/>
      <c r="SBU1155" s="7"/>
      <c r="SBV1155" s="7"/>
      <c r="SBW1155" s="7"/>
      <c r="SBX1155" s="7"/>
      <c r="SBY1155" s="7"/>
      <c r="SBZ1155" s="7"/>
      <c r="SCA1155" s="7"/>
      <c r="SCB1155" s="7"/>
      <c r="SCC1155" s="7"/>
      <c r="SCD1155" s="7"/>
      <c r="SCE1155" s="7"/>
      <c r="SCF1155" s="7"/>
      <c r="SCG1155" s="7"/>
      <c r="SCH1155" s="7"/>
      <c r="SCI1155" s="7"/>
      <c r="SCJ1155" s="7"/>
      <c r="SCK1155" s="7"/>
      <c r="SCL1155" s="7"/>
      <c r="SCM1155" s="7"/>
      <c r="SCN1155" s="7"/>
      <c r="SCO1155" s="7"/>
      <c r="SCP1155" s="7"/>
      <c r="SCQ1155" s="7"/>
      <c r="SCR1155" s="7"/>
      <c r="SCS1155" s="7"/>
      <c r="SCT1155" s="7"/>
      <c r="SCU1155" s="7"/>
      <c r="SCV1155" s="7"/>
      <c r="SCW1155" s="7"/>
      <c r="SCX1155" s="7"/>
      <c r="SCY1155" s="7"/>
      <c r="SCZ1155" s="7"/>
      <c r="SDA1155" s="7"/>
      <c r="SDB1155" s="7"/>
      <c r="SDC1155" s="7"/>
      <c r="SDD1155" s="7"/>
      <c r="SDE1155" s="7"/>
      <c r="SDF1155" s="7"/>
      <c r="SDG1155" s="7"/>
      <c r="SDH1155" s="7"/>
      <c r="SDI1155" s="7"/>
      <c r="SDJ1155" s="7"/>
      <c r="SDK1155" s="7"/>
      <c r="SDL1155" s="7"/>
      <c r="SDM1155" s="7"/>
      <c r="SDN1155" s="7"/>
      <c r="SDO1155" s="7"/>
      <c r="SDP1155" s="7"/>
      <c r="SDQ1155" s="7"/>
      <c r="SDR1155" s="7"/>
      <c r="SDS1155" s="7"/>
      <c r="SDT1155" s="7"/>
      <c r="SDU1155" s="7"/>
      <c r="SDV1155" s="7"/>
      <c r="SDW1155" s="7"/>
      <c r="SDX1155" s="7"/>
      <c r="SDY1155" s="7"/>
      <c r="SDZ1155" s="7"/>
      <c r="SEA1155" s="7"/>
      <c r="SEB1155" s="7"/>
      <c r="SEC1155" s="7"/>
      <c r="SED1155" s="7"/>
      <c r="SEE1155" s="7"/>
      <c r="SEF1155" s="7"/>
      <c r="SEG1155" s="7"/>
      <c r="SEH1155" s="7"/>
      <c r="SEI1155" s="7"/>
      <c r="SEJ1155" s="7"/>
      <c r="SEK1155" s="7"/>
      <c r="SEL1155" s="7"/>
      <c r="SEM1155" s="7"/>
      <c r="SEN1155" s="7"/>
      <c r="SEO1155" s="7"/>
      <c r="SEP1155" s="7"/>
      <c r="SEQ1155" s="7"/>
      <c r="SER1155" s="7"/>
      <c r="SES1155" s="7"/>
      <c r="SET1155" s="7"/>
      <c r="SEU1155" s="7"/>
      <c r="SEV1155" s="7"/>
      <c r="SEW1155" s="7"/>
      <c r="SEX1155" s="7"/>
      <c r="SEY1155" s="7"/>
      <c r="SEZ1155" s="7"/>
      <c r="SFA1155" s="7"/>
      <c r="SFB1155" s="7"/>
      <c r="SFC1155" s="7"/>
      <c r="SFD1155" s="7"/>
      <c r="SFE1155" s="7"/>
      <c r="SFF1155" s="7"/>
      <c r="SFG1155" s="7"/>
      <c r="SFH1155" s="7"/>
      <c r="SFI1155" s="7"/>
      <c r="SFJ1155" s="7"/>
      <c r="SFK1155" s="7"/>
      <c r="SFL1155" s="7"/>
      <c r="SFM1155" s="7"/>
      <c r="SFN1155" s="7"/>
      <c r="SFO1155" s="7"/>
      <c r="SFP1155" s="7"/>
      <c r="SFQ1155" s="7"/>
      <c r="SFR1155" s="7"/>
      <c r="SFS1155" s="7"/>
      <c r="SFT1155" s="7"/>
      <c r="SFU1155" s="7"/>
      <c r="SFV1155" s="7"/>
      <c r="SFW1155" s="7"/>
      <c r="SFX1155" s="7"/>
      <c r="SFY1155" s="7"/>
      <c r="SFZ1155" s="7"/>
      <c r="SGA1155" s="7"/>
      <c r="SGB1155" s="7"/>
      <c r="SGC1155" s="7"/>
      <c r="SGD1155" s="7"/>
      <c r="SGE1155" s="7"/>
      <c r="SGF1155" s="7"/>
      <c r="SGG1155" s="7"/>
      <c r="SGH1155" s="7"/>
      <c r="SGI1155" s="7"/>
      <c r="SGJ1155" s="7"/>
      <c r="SGK1155" s="7"/>
      <c r="SGL1155" s="7"/>
      <c r="SGM1155" s="7"/>
      <c r="SGN1155" s="7"/>
      <c r="SGO1155" s="7"/>
      <c r="SGP1155" s="7"/>
      <c r="SGQ1155" s="7"/>
      <c r="SGR1155" s="7"/>
      <c r="SGS1155" s="7"/>
      <c r="SGT1155" s="7"/>
      <c r="SGU1155" s="7"/>
      <c r="SGV1155" s="7"/>
      <c r="SGW1155" s="7"/>
      <c r="SGX1155" s="7"/>
      <c r="SGY1155" s="7"/>
      <c r="SGZ1155" s="7"/>
      <c r="SHA1155" s="7"/>
      <c r="SHB1155" s="7"/>
      <c r="SHC1155" s="7"/>
      <c r="SHD1155" s="7"/>
      <c r="SHE1155" s="7"/>
      <c r="SHF1155" s="7"/>
      <c r="SHG1155" s="7"/>
      <c r="SHH1155" s="7"/>
      <c r="SHI1155" s="7"/>
      <c r="SHJ1155" s="7"/>
      <c r="SHK1155" s="7"/>
      <c r="SHL1155" s="7"/>
      <c r="SHM1155" s="7"/>
      <c r="SHN1155" s="7"/>
      <c r="SHO1155" s="7"/>
      <c r="SHP1155" s="7"/>
      <c r="SHQ1155" s="7"/>
      <c r="SHR1155" s="7"/>
      <c r="SHS1155" s="7"/>
      <c r="SHT1155" s="7"/>
      <c r="SHU1155" s="7"/>
      <c r="SHV1155" s="7"/>
      <c r="SHW1155" s="7"/>
      <c r="SHX1155" s="7"/>
      <c r="SHY1155" s="7"/>
      <c r="SHZ1155" s="7"/>
      <c r="SIA1155" s="7"/>
      <c r="SIB1155" s="7"/>
      <c r="SIC1155" s="7"/>
      <c r="SID1155" s="7"/>
      <c r="SIE1155" s="7"/>
      <c r="SIF1155" s="7"/>
      <c r="SIG1155" s="7"/>
      <c r="SIH1155" s="7"/>
      <c r="SII1155" s="7"/>
      <c r="SIJ1155" s="7"/>
      <c r="SIK1155" s="7"/>
      <c r="SIL1155" s="7"/>
      <c r="SIM1155" s="7"/>
      <c r="SIN1155" s="7"/>
      <c r="SIO1155" s="7"/>
      <c r="SIP1155" s="7"/>
      <c r="SIQ1155" s="7"/>
      <c r="SIR1155" s="7"/>
      <c r="SIS1155" s="7"/>
      <c r="SIT1155" s="7"/>
      <c r="SIU1155" s="7"/>
      <c r="SIV1155" s="7"/>
      <c r="SIW1155" s="7"/>
      <c r="SIX1155" s="7"/>
      <c r="SIY1155" s="7"/>
      <c r="SIZ1155" s="7"/>
      <c r="SJA1155" s="7"/>
      <c r="SJB1155" s="7"/>
      <c r="SJC1155" s="7"/>
      <c r="SJD1155" s="7"/>
      <c r="SJE1155" s="7"/>
      <c r="SJF1155" s="7"/>
      <c r="SJG1155" s="7"/>
      <c r="SJH1155" s="7"/>
      <c r="SJI1155" s="7"/>
      <c r="SJJ1155" s="7"/>
      <c r="SJK1155" s="7"/>
      <c r="SJL1155" s="7"/>
      <c r="SJM1155" s="7"/>
      <c r="SJN1155" s="7"/>
      <c r="SJO1155" s="7"/>
      <c r="SJP1155" s="7"/>
      <c r="SJQ1155" s="7"/>
      <c r="SJR1155" s="7"/>
      <c r="SJS1155" s="7"/>
      <c r="SJT1155" s="7"/>
      <c r="SJU1155" s="7"/>
      <c r="SJV1155" s="7"/>
      <c r="SJW1155" s="7"/>
      <c r="SJX1155" s="7"/>
      <c r="SJY1155" s="7"/>
      <c r="SJZ1155" s="7"/>
      <c r="SKA1155" s="7"/>
      <c r="SKB1155" s="7"/>
      <c r="SKC1155" s="7"/>
      <c r="SKD1155" s="7"/>
      <c r="SKE1155" s="7"/>
      <c r="SKF1155" s="7"/>
      <c r="SKG1155" s="7"/>
      <c r="SKH1155" s="7"/>
      <c r="SKI1155" s="7"/>
      <c r="SKJ1155" s="7"/>
      <c r="SKK1155" s="7"/>
      <c r="SKL1155" s="7"/>
      <c r="SKM1155" s="7"/>
      <c r="SKN1155" s="7"/>
      <c r="SKO1155" s="7"/>
      <c r="SKP1155" s="7"/>
      <c r="SKQ1155" s="7"/>
      <c r="SKR1155" s="7"/>
      <c r="SKS1155" s="7"/>
      <c r="SKT1155" s="7"/>
      <c r="SKU1155" s="7"/>
      <c r="SKV1155" s="7"/>
      <c r="SKW1155" s="7"/>
      <c r="SKX1155" s="7"/>
      <c r="SKY1155" s="7"/>
      <c r="SKZ1155" s="7"/>
      <c r="SLA1155" s="7"/>
      <c r="SLB1155" s="7"/>
      <c r="SLC1155" s="7"/>
      <c r="SLD1155" s="7"/>
      <c r="SLE1155" s="7"/>
      <c r="SLF1155" s="7"/>
      <c r="SLG1155" s="7"/>
      <c r="SLH1155" s="7"/>
      <c r="SLI1155" s="7"/>
      <c r="SLJ1155" s="7"/>
      <c r="SLK1155" s="7"/>
      <c r="SLL1155" s="7"/>
      <c r="SLM1155" s="7"/>
      <c r="SLN1155" s="7"/>
      <c r="SLO1155" s="7"/>
      <c r="SLP1155" s="7"/>
      <c r="SLQ1155" s="7"/>
      <c r="SLR1155" s="7"/>
      <c r="SLS1155" s="7"/>
      <c r="SLT1155" s="7"/>
      <c r="SLU1155" s="7"/>
      <c r="SLV1155" s="7"/>
      <c r="SLW1155" s="7"/>
      <c r="SLX1155" s="7"/>
      <c r="SLY1155" s="7"/>
      <c r="SLZ1155" s="7"/>
      <c r="SMA1155" s="7"/>
      <c r="SMB1155" s="7"/>
      <c r="SMC1155" s="7"/>
      <c r="SMD1155" s="7"/>
      <c r="SME1155" s="7"/>
      <c r="SMF1155" s="7"/>
      <c r="SMG1155" s="7"/>
      <c r="SMH1155" s="7"/>
      <c r="SMI1155" s="7"/>
      <c r="SMJ1155" s="7"/>
      <c r="SMK1155" s="7"/>
      <c r="SML1155" s="7"/>
      <c r="SMM1155" s="7"/>
      <c r="SMN1155" s="7"/>
      <c r="SMO1155" s="7"/>
      <c r="SMP1155" s="7"/>
      <c r="SMQ1155" s="7"/>
      <c r="SMR1155" s="7"/>
      <c r="SMS1155" s="7"/>
      <c r="SMT1155" s="7"/>
      <c r="SMU1155" s="7"/>
      <c r="SMV1155" s="7"/>
      <c r="SMW1155" s="7"/>
      <c r="SMX1155" s="7"/>
      <c r="SMY1155" s="7"/>
      <c r="SMZ1155" s="7"/>
      <c r="SNA1155" s="7"/>
      <c r="SNB1155" s="7"/>
      <c r="SNC1155" s="7"/>
      <c r="SND1155" s="7"/>
      <c r="SNE1155" s="7"/>
      <c r="SNF1155" s="7"/>
      <c r="SNG1155" s="7"/>
      <c r="SNH1155" s="7"/>
      <c r="SNI1155" s="7"/>
      <c r="SNJ1155" s="7"/>
      <c r="SNK1155" s="7"/>
      <c r="SNL1155" s="7"/>
      <c r="SNM1155" s="7"/>
      <c r="SNN1155" s="7"/>
      <c r="SNO1155" s="7"/>
      <c r="SNP1155" s="7"/>
      <c r="SNQ1155" s="7"/>
      <c r="SNR1155" s="7"/>
      <c r="SNS1155" s="7"/>
      <c r="SNT1155" s="7"/>
      <c r="SNU1155" s="7"/>
      <c r="SNV1155" s="7"/>
      <c r="SNW1155" s="7"/>
      <c r="SNX1155" s="7"/>
      <c r="SNY1155" s="7"/>
      <c r="SNZ1155" s="7"/>
      <c r="SOA1155" s="7"/>
      <c r="SOB1155" s="7"/>
      <c r="SOC1155" s="7"/>
      <c r="SOD1155" s="7"/>
      <c r="SOE1155" s="7"/>
      <c r="SOF1155" s="7"/>
      <c r="SOG1155" s="7"/>
      <c r="SOH1155" s="7"/>
      <c r="SOI1155" s="7"/>
      <c r="SOJ1155" s="7"/>
      <c r="SOK1155" s="7"/>
      <c r="SOL1155" s="7"/>
      <c r="SOM1155" s="7"/>
      <c r="SON1155" s="7"/>
      <c r="SOO1155" s="7"/>
      <c r="SOP1155" s="7"/>
      <c r="SOQ1155" s="7"/>
      <c r="SOR1155" s="7"/>
      <c r="SOS1155" s="7"/>
      <c r="SOT1155" s="7"/>
      <c r="SOU1155" s="7"/>
      <c r="SOV1155" s="7"/>
      <c r="SOW1155" s="7"/>
      <c r="SOX1155" s="7"/>
      <c r="SOY1155" s="7"/>
      <c r="SOZ1155" s="7"/>
      <c r="SPA1155" s="7"/>
      <c r="SPB1155" s="7"/>
      <c r="SPC1155" s="7"/>
      <c r="SPD1155" s="7"/>
      <c r="SPE1155" s="7"/>
      <c r="SPF1155" s="7"/>
      <c r="SPG1155" s="7"/>
      <c r="SPH1155" s="7"/>
      <c r="SPI1155" s="7"/>
      <c r="SPJ1155" s="7"/>
      <c r="SPK1155" s="7"/>
      <c r="SPL1155" s="7"/>
      <c r="SPM1155" s="7"/>
      <c r="SPN1155" s="7"/>
      <c r="SPO1155" s="7"/>
      <c r="SPP1155" s="7"/>
      <c r="SPQ1155" s="7"/>
      <c r="SPR1155" s="7"/>
      <c r="SPS1155" s="7"/>
      <c r="SPT1155" s="7"/>
      <c r="SPU1155" s="7"/>
      <c r="SPV1155" s="7"/>
      <c r="SPW1155" s="7"/>
      <c r="SPX1155" s="7"/>
      <c r="SPY1155" s="7"/>
      <c r="SPZ1155" s="7"/>
      <c r="SQA1155" s="7"/>
      <c r="SQB1155" s="7"/>
      <c r="SQC1155" s="7"/>
      <c r="SQD1155" s="7"/>
      <c r="SQE1155" s="7"/>
      <c r="SQF1155" s="7"/>
      <c r="SQG1155" s="7"/>
      <c r="SQH1155" s="7"/>
      <c r="SQI1155" s="7"/>
      <c r="SQJ1155" s="7"/>
      <c r="SQK1155" s="7"/>
      <c r="SQL1155" s="7"/>
      <c r="SQM1155" s="7"/>
      <c r="SQN1155" s="7"/>
      <c r="SQO1155" s="7"/>
      <c r="SQP1155" s="7"/>
      <c r="SQQ1155" s="7"/>
      <c r="SQR1155" s="7"/>
      <c r="SQS1155" s="7"/>
      <c r="SQT1155" s="7"/>
      <c r="SQU1155" s="7"/>
      <c r="SQV1155" s="7"/>
      <c r="SQW1155" s="7"/>
      <c r="SQX1155" s="7"/>
      <c r="SQY1155" s="7"/>
      <c r="SQZ1155" s="7"/>
      <c r="SRA1155" s="7"/>
      <c r="SRB1155" s="7"/>
      <c r="SRC1155" s="7"/>
      <c r="SRD1155" s="7"/>
      <c r="SRE1155" s="7"/>
      <c r="SRF1155" s="7"/>
      <c r="SRG1155" s="7"/>
      <c r="SRH1155" s="7"/>
      <c r="SRI1155" s="7"/>
      <c r="SRJ1155" s="7"/>
      <c r="SRK1155" s="7"/>
      <c r="SRL1155" s="7"/>
      <c r="SRM1155" s="7"/>
      <c r="SRN1155" s="7"/>
      <c r="SRO1155" s="7"/>
      <c r="SRP1155" s="7"/>
      <c r="SRQ1155" s="7"/>
      <c r="SRR1155" s="7"/>
      <c r="SRS1155" s="7"/>
      <c r="SRT1155" s="7"/>
      <c r="SRU1155" s="7"/>
      <c r="SRV1155" s="7"/>
      <c r="SRW1155" s="7"/>
      <c r="SRX1155" s="7"/>
      <c r="SRY1155" s="7"/>
      <c r="SRZ1155" s="7"/>
      <c r="SSA1155" s="7"/>
      <c r="SSB1155" s="7"/>
      <c r="SSC1155" s="7"/>
      <c r="SSD1155" s="7"/>
      <c r="SSE1155" s="7"/>
      <c r="SSF1155" s="7"/>
      <c r="SSG1155" s="7"/>
      <c r="SSH1155" s="7"/>
      <c r="SSI1155" s="7"/>
      <c r="SSJ1155" s="7"/>
      <c r="SSK1155" s="7"/>
      <c r="SSL1155" s="7"/>
      <c r="SSM1155" s="7"/>
      <c r="SSN1155" s="7"/>
      <c r="SSO1155" s="7"/>
      <c r="SSP1155" s="7"/>
      <c r="SSQ1155" s="7"/>
      <c r="SSR1155" s="7"/>
      <c r="SSS1155" s="7"/>
      <c r="SST1155" s="7"/>
      <c r="SSU1155" s="7"/>
      <c r="SSV1155" s="7"/>
      <c r="SSW1155" s="7"/>
      <c r="SSX1155" s="7"/>
      <c r="SSY1155" s="7"/>
      <c r="SSZ1155" s="7"/>
      <c r="STA1155" s="7"/>
      <c r="STB1155" s="7"/>
      <c r="STC1155" s="7"/>
      <c r="STD1155" s="7"/>
      <c r="STE1155" s="7"/>
      <c r="STF1155" s="7"/>
      <c r="STG1155" s="7"/>
      <c r="STH1155" s="7"/>
      <c r="STI1155" s="7"/>
      <c r="STJ1155" s="7"/>
      <c r="STK1155" s="7"/>
      <c r="STL1155" s="7"/>
      <c r="STM1155" s="7"/>
      <c r="STN1155" s="7"/>
      <c r="STO1155" s="7"/>
      <c r="STP1155" s="7"/>
      <c r="STQ1155" s="7"/>
      <c r="STR1155" s="7"/>
      <c r="STS1155" s="7"/>
      <c r="STT1155" s="7"/>
      <c r="STU1155" s="7"/>
      <c r="STV1155" s="7"/>
      <c r="STW1155" s="7"/>
      <c r="STX1155" s="7"/>
      <c r="STY1155" s="7"/>
      <c r="STZ1155" s="7"/>
      <c r="SUA1155" s="7"/>
      <c r="SUB1155" s="7"/>
      <c r="SUC1155" s="7"/>
      <c r="SUD1155" s="7"/>
      <c r="SUE1155" s="7"/>
      <c r="SUF1155" s="7"/>
      <c r="SUG1155" s="7"/>
      <c r="SUH1155" s="7"/>
      <c r="SUI1155" s="7"/>
      <c r="SUJ1155" s="7"/>
      <c r="SUK1155" s="7"/>
      <c r="SUL1155" s="7"/>
      <c r="SUM1155" s="7"/>
      <c r="SUN1155" s="7"/>
      <c r="SUO1155" s="7"/>
      <c r="SUP1155" s="7"/>
      <c r="SUQ1155" s="7"/>
      <c r="SUR1155" s="7"/>
      <c r="SUS1155" s="7"/>
      <c r="SUT1155" s="7"/>
      <c r="SUU1155" s="7"/>
      <c r="SUV1155" s="7"/>
      <c r="SUW1155" s="7"/>
      <c r="SUX1155" s="7"/>
      <c r="SUY1155" s="7"/>
      <c r="SUZ1155" s="7"/>
      <c r="SVA1155" s="7"/>
      <c r="SVB1155" s="7"/>
      <c r="SVC1155" s="7"/>
      <c r="SVD1155" s="7"/>
      <c r="SVE1155" s="7"/>
      <c r="SVF1155" s="7"/>
      <c r="SVG1155" s="7"/>
      <c r="SVH1155" s="7"/>
      <c r="SVI1155" s="7"/>
      <c r="SVJ1155" s="7"/>
      <c r="SVK1155" s="7"/>
      <c r="SVL1155" s="7"/>
      <c r="SVM1155" s="7"/>
      <c r="SVN1155" s="7"/>
      <c r="SVO1155" s="7"/>
      <c r="SVP1155" s="7"/>
      <c r="SVQ1155" s="7"/>
      <c r="SVR1155" s="7"/>
      <c r="SVS1155" s="7"/>
      <c r="SVT1155" s="7"/>
      <c r="SVU1155" s="7"/>
      <c r="SVV1155" s="7"/>
      <c r="SVW1155" s="7"/>
      <c r="SVX1155" s="7"/>
      <c r="SVY1155" s="7"/>
      <c r="SVZ1155" s="7"/>
      <c r="SWA1155" s="7"/>
      <c r="SWB1155" s="7"/>
      <c r="SWC1155" s="7"/>
      <c r="SWD1155" s="7"/>
      <c r="SWE1155" s="7"/>
      <c r="SWF1155" s="7"/>
      <c r="SWG1155" s="7"/>
      <c r="SWH1155" s="7"/>
      <c r="SWI1155" s="7"/>
      <c r="SWJ1155" s="7"/>
      <c r="SWK1155" s="7"/>
      <c r="SWL1155" s="7"/>
      <c r="SWM1155" s="7"/>
      <c r="SWN1155" s="7"/>
      <c r="SWO1155" s="7"/>
      <c r="SWP1155" s="7"/>
      <c r="SWQ1155" s="7"/>
      <c r="SWR1155" s="7"/>
      <c r="SWS1155" s="7"/>
      <c r="SWT1155" s="7"/>
      <c r="SWU1155" s="7"/>
      <c r="SWV1155" s="7"/>
      <c r="SWW1155" s="7"/>
      <c r="SWX1155" s="7"/>
      <c r="SWY1155" s="7"/>
      <c r="SWZ1155" s="7"/>
      <c r="SXA1155" s="7"/>
      <c r="SXB1155" s="7"/>
      <c r="SXC1155" s="7"/>
      <c r="SXD1155" s="7"/>
      <c r="SXE1155" s="7"/>
      <c r="SXF1155" s="7"/>
      <c r="SXG1155" s="7"/>
      <c r="SXH1155" s="7"/>
      <c r="SXI1155" s="7"/>
      <c r="SXJ1155" s="7"/>
      <c r="SXK1155" s="7"/>
      <c r="SXL1155" s="7"/>
      <c r="SXM1155" s="7"/>
      <c r="SXN1155" s="7"/>
      <c r="SXO1155" s="7"/>
      <c r="SXP1155" s="7"/>
      <c r="SXQ1155" s="7"/>
      <c r="SXR1155" s="7"/>
      <c r="SXS1155" s="7"/>
      <c r="SXT1155" s="7"/>
      <c r="SXU1155" s="7"/>
      <c r="SXV1155" s="7"/>
      <c r="SXW1155" s="7"/>
      <c r="SXX1155" s="7"/>
      <c r="SXY1155" s="7"/>
      <c r="SXZ1155" s="7"/>
      <c r="SYA1155" s="7"/>
      <c r="SYB1155" s="7"/>
      <c r="SYC1155" s="7"/>
      <c r="SYD1155" s="7"/>
      <c r="SYE1155" s="7"/>
      <c r="SYF1155" s="7"/>
      <c r="SYG1155" s="7"/>
      <c r="SYH1155" s="7"/>
      <c r="SYI1155" s="7"/>
      <c r="SYJ1155" s="7"/>
      <c r="SYK1155" s="7"/>
      <c r="SYL1155" s="7"/>
      <c r="SYM1155" s="7"/>
      <c r="SYN1155" s="7"/>
      <c r="SYO1155" s="7"/>
      <c r="SYP1155" s="7"/>
      <c r="SYQ1155" s="7"/>
      <c r="SYR1155" s="7"/>
      <c r="SYS1155" s="7"/>
      <c r="SYT1155" s="7"/>
      <c r="SYU1155" s="7"/>
      <c r="SYV1155" s="7"/>
      <c r="SYW1155" s="7"/>
      <c r="SYX1155" s="7"/>
      <c r="SYY1155" s="7"/>
      <c r="SYZ1155" s="7"/>
      <c r="SZA1155" s="7"/>
      <c r="SZB1155" s="7"/>
      <c r="SZC1155" s="7"/>
      <c r="SZD1155" s="7"/>
      <c r="SZE1155" s="7"/>
      <c r="SZF1155" s="7"/>
      <c r="SZG1155" s="7"/>
      <c r="SZH1155" s="7"/>
      <c r="SZI1155" s="7"/>
      <c r="SZJ1155" s="7"/>
      <c r="SZK1155" s="7"/>
      <c r="SZL1155" s="7"/>
      <c r="SZM1155" s="7"/>
      <c r="SZN1155" s="7"/>
      <c r="SZO1155" s="7"/>
      <c r="SZP1155" s="7"/>
      <c r="SZQ1155" s="7"/>
      <c r="SZR1155" s="7"/>
      <c r="SZS1155" s="7"/>
      <c r="SZT1155" s="7"/>
      <c r="SZU1155" s="7"/>
      <c r="SZV1155" s="7"/>
      <c r="SZW1155" s="7"/>
      <c r="SZX1155" s="7"/>
      <c r="SZY1155" s="7"/>
      <c r="SZZ1155" s="7"/>
      <c r="TAA1155" s="7"/>
      <c r="TAB1155" s="7"/>
      <c r="TAC1155" s="7"/>
      <c r="TAD1155" s="7"/>
      <c r="TAE1155" s="7"/>
      <c r="TAF1155" s="7"/>
      <c r="TAG1155" s="7"/>
      <c r="TAH1155" s="7"/>
      <c r="TAI1155" s="7"/>
      <c r="TAJ1155" s="7"/>
      <c r="TAK1155" s="7"/>
      <c r="TAL1155" s="7"/>
      <c r="TAM1155" s="7"/>
      <c r="TAN1155" s="7"/>
      <c r="TAO1155" s="7"/>
      <c r="TAP1155" s="7"/>
      <c r="TAQ1155" s="7"/>
      <c r="TAR1155" s="7"/>
      <c r="TAS1155" s="7"/>
      <c r="TAT1155" s="7"/>
      <c r="TAU1155" s="7"/>
      <c r="TAV1155" s="7"/>
      <c r="TAW1155" s="7"/>
      <c r="TAX1155" s="7"/>
      <c r="TAY1155" s="7"/>
      <c r="TAZ1155" s="7"/>
      <c r="TBA1155" s="7"/>
      <c r="TBB1155" s="7"/>
      <c r="TBC1155" s="7"/>
      <c r="TBD1155" s="7"/>
      <c r="TBE1155" s="7"/>
      <c r="TBF1155" s="7"/>
      <c r="TBG1155" s="7"/>
      <c r="TBH1155" s="7"/>
      <c r="TBI1155" s="7"/>
      <c r="TBJ1155" s="7"/>
      <c r="TBK1155" s="7"/>
      <c r="TBL1155" s="7"/>
      <c r="TBM1155" s="7"/>
      <c r="TBN1155" s="7"/>
      <c r="TBO1155" s="7"/>
      <c r="TBP1155" s="7"/>
      <c r="TBQ1155" s="7"/>
      <c r="TBR1155" s="7"/>
      <c r="TBS1155" s="7"/>
      <c r="TBT1155" s="7"/>
      <c r="TBU1155" s="7"/>
      <c r="TBV1155" s="7"/>
      <c r="TBW1155" s="7"/>
      <c r="TBX1155" s="7"/>
      <c r="TBY1155" s="7"/>
      <c r="TBZ1155" s="7"/>
      <c r="TCA1155" s="7"/>
      <c r="TCB1155" s="7"/>
      <c r="TCC1155" s="7"/>
      <c r="TCD1155" s="7"/>
      <c r="TCE1155" s="7"/>
      <c r="TCF1155" s="7"/>
      <c r="TCG1155" s="7"/>
      <c r="TCH1155" s="7"/>
      <c r="TCI1155" s="7"/>
      <c r="TCJ1155" s="7"/>
      <c r="TCK1155" s="7"/>
      <c r="TCL1155" s="7"/>
      <c r="TCM1155" s="7"/>
      <c r="TCN1155" s="7"/>
      <c r="TCO1155" s="7"/>
      <c r="TCP1155" s="7"/>
      <c r="TCQ1155" s="7"/>
      <c r="TCR1155" s="7"/>
      <c r="TCS1155" s="7"/>
      <c r="TCT1155" s="7"/>
      <c r="TCU1155" s="7"/>
      <c r="TCV1155" s="7"/>
      <c r="TCW1155" s="7"/>
      <c r="TCX1155" s="7"/>
      <c r="TCY1155" s="7"/>
      <c r="TCZ1155" s="7"/>
      <c r="TDA1155" s="7"/>
      <c r="TDB1155" s="7"/>
      <c r="TDC1155" s="7"/>
      <c r="TDD1155" s="7"/>
      <c r="TDE1155" s="7"/>
      <c r="TDF1155" s="7"/>
      <c r="TDG1155" s="7"/>
      <c r="TDH1155" s="7"/>
      <c r="TDI1155" s="7"/>
      <c r="TDJ1155" s="7"/>
      <c r="TDK1155" s="7"/>
      <c r="TDL1155" s="7"/>
      <c r="TDM1155" s="7"/>
      <c r="TDN1155" s="7"/>
      <c r="TDO1155" s="7"/>
      <c r="TDP1155" s="7"/>
      <c r="TDQ1155" s="7"/>
      <c r="TDR1155" s="7"/>
      <c r="TDS1155" s="7"/>
      <c r="TDT1155" s="7"/>
      <c r="TDU1155" s="7"/>
      <c r="TDV1155" s="7"/>
      <c r="TDW1155" s="7"/>
      <c r="TDX1155" s="7"/>
      <c r="TDY1155" s="7"/>
      <c r="TDZ1155" s="7"/>
      <c r="TEA1155" s="7"/>
      <c r="TEB1155" s="7"/>
      <c r="TEC1155" s="7"/>
      <c r="TED1155" s="7"/>
      <c r="TEE1155" s="7"/>
      <c r="TEF1155" s="7"/>
      <c r="TEG1155" s="7"/>
      <c r="TEH1155" s="7"/>
      <c r="TEI1155" s="7"/>
      <c r="TEJ1155" s="7"/>
      <c r="TEK1155" s="7"/>
      <c r="TEL1155" s="7"/>
      <c r="TEM1155" s="7"/>
      <c r="TEN1155" s="7"/>
      <c r="TEO1155" s="7"/>
      <c r="TEP1155" s="7"/>
      <c r="TEQ1155" s="7"/>
      <c r="TER1155" s="7"/>
      <c r="TES1155" s="7"/>
      <c r="TET1155" s="7"/>
      <c r="TEU1155" s="7"/>
      <c r="TEV1155" s="7"/>
      <c r="TEW1155" s="7"/>
      <c r="TEX1155" s="7"/>
      <c r="TEY1155" s="7"/>
      <c r="TEZ1155" s="7"/>
      <c r="TFA1155" s="7"/>
      <c r="TFB1155" s="7"/>
      <c r="TFC1155" s="7"/>
      <c r="TFD1155" s="7"/>
      <c r="TFE1155" s="7"/>
      <c r="TFF1155" s="7"/>
      <c r="TFG1155" s="7"/>
      <c r="TFH1155" s="7"/>
      <c r="TFI1155" s="7"/>
      <c r="TFJ1155" s="7"/>
      <c r="TFK1155" s="7"/>
      <c r="TFL1155" s="7"/>
      <c r="TFM1155" s="7"/>
      <c r="TFN1155" s="7"/>
      <c r="TFO1155" s="7"/>
      <c r="TFP1155" s="7"/>
      <c r="TFQ1155" s="7"/>
      <c r="TFR1155" s="7"/>
      <c r="TFS1155" s="7"/>
      <c r="TFT1155" s="7"/>
      <c r="TFU1155" s="7"/>
      <c r="TFV1155" s="7"/>
      <c r="TFW1155" s="7"/>
      <c r="TFX1155" s="7"/>
      <c r="TFY1155" s="7"/>
      <c r="TFZ1155" s="7"/>
      <c r="TGA1155" s="7"/>
      <c r="TGB1155" s="7"/>
      <c r="TGC1155" s="7"/>
      <c r="TGD1155" s="7"/>
      <c r="TGE1155" s="7"/>
      <c r="TGF1155" s="7"/>
      <c r="TGG1155" s="7"/>
      <c r="TGH1155" s="7"/>
      <c r="TGI1155" s="7"/>
      <c r="TGJ1155" s="7"/>
      <c r="TGK1155" s="7"/>
      <c r="TGL1155" s="7"/>
      <c r="TGM1155" s="7"/>
      <c r="TGN1155" s="7"/>
      <c r="TGO1155" s="7"/>
      <c r="TGP1155" s="7"/>
      <c r="TGQ1155" s="7"/>
      <c r="TGR1155" s="7"/>
      <c r="TGS1155" s="7"/>
      <c r="TGT1155" s="7"/>
      <c r="TGU1155" s="7"/>
      <c r="TGV1155" s="7"/>
      <c r="TGW1155" s="7"/>
      <c r="TGX1155" s="7"/>
      <c r="TGY1155" s="7"/>
      <c r="TGZ1155" s="7"/>
      <c r="THA1155" s="7"/>
      <c r="THB1155" s="7"/>
      <c r="THC1155" s="7"/>
      <c r="THD1155" s="7"/>
      <c r="THE1155" s="7"/>
      <c r="THF1155" s="7"/>
      <c r="THG1155" s="7"/>
      <c r="THH1155" s="7"/>
      <c r="THI1155" s="7"/>
      <c r="THJ1155" s="7"/>
      <c r="THK1155" s="7"/>
      <c r="THL1155" s="7"/>
      <c r="THM1155" s="7"/>
      <c r="THN1155" s="7"/>
      <c r="THO1155" s="7"/>
      <c r="THP1155" s="7"/>
      <c r="THQ1155" s="7"/>
      <c r="THR1155" s="7"/>
      <c r="THS1155" s="7"/>
      <c r="THT1155" s="7"/>
      <c r="THU1155" s="7"/>
      <c r="THV1155" s="7"/>
      <c r="THW1155" s="7"/>
      <c r="THX1155" s="7"/>
      <c r="THY1155" s="7"/>
      <c r="THZ1155" s="7"/>
      <c r="TIA1155" s="7"/>
      <c r="TIB1155" s="7"/>
      <c r="TIC1155" s="7"/>
      <c r="TID1155" s="7"/>
      <c r="TIE1155" s="7"/>
      <c r="TIF1155" s="7"/>
      <c r="TIG1155" s="7"/>
      <c r="TIH1155" s="7"/>
      <c r="TII1155" s="7"/>
      <c r="TIJ1155" s="7"/>
      <c r="TIK1155" s="7"/>
      <c r="TIL1155" s="7"/>
      <c r="TIM1155" s="7"/>
      <c r="TIN1155" s="7"/>
      <c r="TIO1155" s="7"/>
      <c r="TIP1155" s="7"/>
      <c r="TIQ1155" s="7"/>
      <c r="TIR1155" s="7"/>
      <c r="TIS1155" s="7"/>
      <c r="TIT1155" s="7"/>
      <c r="TIU1155" s="7"/>
      <c r="TIV1155" s="7"/>
      <c r="TIW1155" s="7"/>
      <c r="TIX1155" s="7"/>
      <c r="TIY1155" s="7"/>
      <c r="TIZ1155" s="7"/>
      <c r="TJA1155" s="7"/>
      <c r="TJB1155" s="7"/>
      <c r="TJC1155" s="7"/>
      <c r="TJD1155" s="7"/>
      <c r="TJE1155" s="7"/>
      <c r="TJF1155" s="7"/>
      <c r="TJG1155" s="7"/>
      <c r="TJH1155" s="7"/>
      <c r="TJI1155" s="7"/>
      <c r="TJJ1155" s="7"/>
      <c r="TJK1155" s="7"/>
      <c r="TJL1155" s="7"/>
      <c r="TJM1155" s="7"/>
      <c r="TJN1155" s="7"/>
      <c r="TJO1155" s="7"/>
      <c r="TJP1155" s="7"/>
      <c r="TJQ1155" s="7"/>
      <c r="TJR1155" s="7"/>
      <c r="TJS1155" s="7"/>
      <c r="TJT1155" s="7"/>
      <c r="TJU1155" s="7"/>
      <c r="TJV1155" s="7"/>
      <c r="TJW1155" s="7"/>
      <c r="TJX1155" s="7"/>
      <c r="TJY1155" s="7"/>
      <c r="TJZ1155" s="7"/>
      <c r="TKA1155" s="7"/>
      <c r="TKB1155" s="7"/>
      <c r="TKC1155" s="7"/>
      <c r="TKD1155" s="7"/>
      <c r="TKE1155" s="7"/>
      <c r="TKF1155" s="7"/>
      <c r="TKG1155" s="7"/>
      <c r="TKH1155" s="7"/>
      <c r="TKI1155" s="7"/>
      <c r="TKJ1155" s="7"/>
      <c r="TKK1155" s="7"/>
      <c r="TKL1155" s="7"/>
      <c r="TKM1155" s="7"/>
      <c r="TKN1155" s="7"/>
      <c r="TKO1155" s="7"/>
      <c r="TKP1155" s="7"/>
      <c r="TKQ1155" s="7"/>
      <c r="TKR1155" s="7"/>
      <c r="TKS1155" s="7"/>
      <c r="TKT1155" s="7"/>
      <c r="TKU1155" s="7"/>
      <c r="TKV1155" s="7"/>
      <c r="TKW1155" s="7"/>
      <c r="TKX1155" s="7"/>
      <c r="TKY1155" s="7"/>
      <c r="TKZ1155" s="7"/>
      <c r="TLA1155" s="7"/>
      <c r="TLB1155" s="7"/>
      <c r="TLC1155" s="7"/>
      <c r="TLD1155" s="7"/>
      <c r="TLE1155" s="7"/>
      <c r="TLF1155" s="7"/>
      <c r="TLG1155" s="7"/>
      <c r="TLH1155" s="7"/>
      <c r="TLI1155" s="7"/>
      <c r="TLJ1155" s="7"/>
      <c r="TLK1155" s="7"/>
      <c r="TLL1155" s="7"/>
      <c r="TLM1155" s="7"/>
      <c r="TLN1155" s="7"/>
      <c r="TLO1155" s="7"/>
      <c r="TLP1155" s="7"/>
      <c r="TLQ1155" s="7"/>
      <c r="TLR1155" s="7"/>
      <c r="TLS1155" s="7"/>
      <c r="TLT1155" s="7"/>
      <c r="TLU1155" s="7"/>
      <c r="TLV1155" s="7"/>
      <c r="TLW1155" s="7"/>
      <c r="TLX1155" s="7"/>
      <c r="TLY1155" s="7"/>
      <c r="TLZ1155" s="7"/>
      <c r="TMA1155" s="7"/>
      <c r="TMB1155" s="7"/>
      <c r="TMC1155" s="7"/>
      <c r="TMD1155" s="7"/>
      <c r="TME1155" s="7"/>
      <c r="TMF1155" s="7"/>
      <c r="TMG1155" s="7"/>
      <c r="TMH1155" s="7"/>
      <c r="TMI1155" s="7"/>
      <c r="TMJ1155" s="7"/>
      <c r="TMK1155" s="7"/>
      <c r="TML1155" s="7"/>
      <c r="TMM1155" s="7"/>
      <c r="TMN1155" s="7"/>
      <c r="TMO1155" s="7"/>
      <c r="TMP1155" s="7"/>
      <c r="TMQ1155" s="7"/>
      <c r="TMR1155" s="7"/>
      <c r="TMS1155" s="7"/>
      <c r="TMT1155" s="7"/>
      <c r="TMU1155" s="7"/>
      <c r="TMV1155" s="7"/>
      <c r="TMW1155" s="7"/>
      <c r="TMX1155" s="7"/>
      <c r="TMY1155" s="7"/>
      <c r="TMZ1155" s="7"/>
      <c r="TNA1155" s="7"/>
      <c r="TNB1155" s="7"/>
      <c r="TNC1155" s="7"/>
      <c r="TND1155" s="7"/>
      <c r="TNE1155" s="7"/>
      <c r="TNF1155" s="7"/>
      <c r="TNG1155" s="7"/>
      <c r="TNH1155" s="7"/>
      <c r="TNI1155" s="7"/>
      <c r="TNJ1155" s="7"/>
      <c r="TNK1155" s="7"/>
      <c r="TNL1155" s="7"/>
      <c r="TNM1155" s="7"/>
      <c r="TNN1155" s="7"/>
      <c r="TNO1155" s="7"/>
      <c r="TNP1155" s="7"/>
      <c r="TNQ1155" s="7"/>
      <c r="TNR1155" s="7"/>
      <c r="TNS1155" s="7"/>
      <c r="TNT1155" s="7"/>
      <c r="TNU1155" s="7"/>
      <c r="TNV1155" s="7"/>
      <c r="TNW1155" s="7"/>
      <c r="TNX1155" s="7"/>
      <c r="TNY1155" s="7"/>
      <c r="TNZ1155" s="7"/>
      <c r="TOA1155" s="7"/>
      <c r="TOB1155" s="7"/>
      <c r="TOC1155" s="7"/>
      <c r="TOD1155" s="7"/>
      <c r="TOE1155" s="7"/>
      <c r="TOF1155" s="7"/>
      <c r="TOG1155" s="7"/>
      <c r="TOH1155" s="7"/>
      <c r="TOI1155" s="7"/>
      <c r="TOJ1155" s="7"/>
      <c r="TOK1155" s="7"/>
      <c r="TOL1155" s="7"/>
      <c r="TOM1155" s="7"/>
      <c r="TON1155" s="7"/>
      <c r="TOO1155" s="7"/>
      <c r="TOP1155" s="7"/>
      <c r="TOQ1155" s="7"/>
      <c r="TOR1155" s="7"/>
      <c r="TOS1155" s="7"/>
      <c r="TOT1155" s="7"/>
      <c r="TOU1155" s="7"/>
      <c r="TOV1155" s="7"/>
      <c r="TOW1155" s="7"/>
      <c r="TOX1155" s="7"/>
      <c r="TOY1155" s="7"/>
      <c r="TOZ1155" s="7"/>
      <c r="TPA1155" s="7"/>
      <c r="TPB1155" s="7"/>
      <c r="TPC1155" s="7"/>
      <c r="TPD1155" s="7"/>
      <c r="TPE1155" s="7"/>
      <c r="TPF1155" s="7"/>
      <c r="TPG1155" s="7"/>
      <c r="TPH1155" s="7"/>
      <c r="TPI1155" s="7"/>
      <c r="TPJ1155" s="7"/>
      <c r="TPK1155" s="7"/>
      <c r="TPL1155" s="7"/>
      <c r="TPM1155" s="7"/>
      <c r="TPN1155" s="7"/>
      <c r="TPO1155" s="7"/>
      <c r="TPP1155" s="7"/>
      <c r="TPQ1155" s="7"/>
      <c r="TPR1155" s="7"/>
      <c r="TPS1155" s="7"/>
      <c r="TPT1155" s="7"/>
      <c r="TPU1155" s="7"/>
      <c r="TPV1155" s="7"/>
      <c r="TPW1155" s="7"/>
      <c r="TPX1155" s="7"/>
      <c r="TPY1155" s="7"/>
      <c r="TPZ1155" s="7"/>
      <c r="TQA1155" s="7"/>
      <c r="TQB1155" s="7"/>
      <c r="TQC1155" s="7"/>
      <c r="TQD1155" s="7"/>
      <c r="TQE1155" s="7"/>
      <c r="TQF1155" s="7"/>
      <c r="TQG1155" s="7"/>
      <c r="TQH1155" s="7"/>
      <c r="TQI1155" s="7"/>
      <c r="TQJ1155" s="7"/>
      <c r="TQK1155" s="7"/>
      <c r="TQL1155" s="7"/>
      <c r="TQM1155" s="7"/>
      <c r="TQN1155" s="7"/>
      <c r="TQO1155" s="7"/>
      <c r="TQP1155" s="7"/>
      <c r="TQQ1155" s="7"/>
      <c r="TQR1155" s="7"/>
      <c r="TQS1155" s="7"/>
      <c r="TQT1155" s="7"/>
      <c r="TQU1155" s="7"/>
      <c r="TQV1155" s="7"/>
      <c r="TQW1155" s="7"/>
      <c r="TQX1155" s="7"/>
      <c r="TQY1155" s="7"/>
      <c r="TQZ1155" s="7"/>
      <c r="TRA1155" s="7"/>
      <c r="TRB1155" s="7"/>
      <c r="TRC1155" s="7"/>
      <c r="TRD1155" s="7"/>
      <c r="TRE1155" s="7"/>
      <c r="TRF1155" s="7"/>
      <c r="TRG1155" s="7"/>
      <c r="TRH1155" s="7"/>
      <c r="TRI1155" s="7"/>
      <c r="TRJ1155" s="7"/>
      <c r="TRK1155" s="7"/>
      <c r="TRL1155" s="7"/>
      <c r="TRM1155" s="7"/>
      <c r="TRN1155" s="7"/>
      <c r="TRO1155" s="7"/>
      <c r="TRP1155" s="7"/>
      <c r="TRQ1155" s="7"/>
      <c r="TRR1155" s="7"/>
      <c r="TRS1155" s="7"/>
      <c r="TRT1155" s="7"/>
      <c r="TRU1155" s="7"/>
      <c r="TRV1155" s="7"/>
      <c r="TRW1155" s="7"/>
      <c r="TRX1155" s="7"/>
      <c r="TRY1155" s="7"/>
      <c r="TRZ1155" s="7"/>
      <c r="TSA1155" s="7"/>
      <c r="TSB1155" s="7"/>
      <c r="TSC1155" s="7"/>
      <c r="TSD1155" s="7"/>
      <c r="TSE1155" s="7"/>
      <c r="TSF1155" s="7"/>
      <c r="TSG1155" s="7"/>
      <c r="TSH1155" s="7"/>
      <c r="TSI1155" s="7"/>
      <c r="TSJ1155" s="7"/>
      <c r="TSK1155" s="7"/>
      <c r="TSL1155" s="7"/>
      <c r="TSM1155" s="7"/>
      <c r="TSN1155" s="7"/>
      <c r="TSO1155" s="7"/>
      <c r="TSP1155" s="7"/>
      <c r="TSQ1155" s="7"/>
      <c r="TSR1155" s="7"/>
      <c r="TSS1155" s="7"/>
      <c r="TST1155" s="7"/>
      <c r="TSU1155" s="7"/>
      <c r="TSV1155" s="7"/>
      <c r="TSW1155" s="7"/>
      <c r="TSX1155" s="7"/>
      <c r="TSY1155" s="7"/>
      <c r="TSZ1155" s="7"/>
      <c r="TTA1155" s="7"/>
      <c r="TTB1155" s="7"/>
      <c r="TTC1155" s="7"/>
      <c r="TTD1155" s="7"/>
      <c r="TTE1155" s="7"/>
      <c r="TTF1155" s="7"/>
      <c r="TTG1155" s="7"/>
      <c r="TTH1155" s="7"/>
      <c r="TTI1155" s="7"/>
      <c r="TTJ1155" s="7"/>
      <c r="TTK1155" s="7"/>
      <c r="TTL1155" s="7"/>
      <c r="TTM1155" s="7"/>
      <c r="TTN1155" s="7"/>
      <c r="TTO1155" s="7"/>
      <c r="TTP1155" s="7"/>
      <c r="TTQ1155" s="7"/>
      <c r="TTR1155" s="7"/>
      <c r="TTS1155" s="7"/>
      <c r="TTT1155" s="7"/>
      <c r="TTU1155" s="7"/>
      <c r="TTV1155" s="7"/>
      <c r="TTW1155" s="7"/>
      <c r="TTX1155" s="7"/>
      <c r="TTY1155" s="7"/>
      <c r="TTZ1155" s="7"/>
      <c r="TUA1155" s="7"/>
      <c r="TUB1155" s="7"/>
      <c r="TUC1155" s="7"/>
      <c r="TUD1155" s="7"/>
      <c r="TUE1155" s="7"/>
      <c r="TUF1155" s="7"/>
      <c r="TUG1155" s="7"/>
      <c r="TUH1155" s="7"/>
      <c r="TUI1155" s="7"/>
      <c r="TUJ1155" s="7"/>
      <c r="TUK1155" s="7"/>
      <c r="TUL1155" s="7"/>
      <c r="TUM1155" s="7"/>
      <c r="TUN1155" s="7"/>
      <c r="TUO1155" s="7"/>
      <c r="TUP1155" s="7"/>
      <c r="TUQ1155" s="7"/>
      <c r="TUR1155" s="7"/>
      <c r="TUS1155" s="7"/>
      <c r="TUT1155" s="7"/>
      <c r="TUU1155" s="7"/>
      <c r="TUV1155" s="7"/>
      <c r="TUW1155" s="7"/>
      <c r="TUX1155" s="7"/>
      <c r="TUY1155" s="7"/>
      <c r="TUZ1155" s="7"/>
      <c r="TVA1155" s="7"/>
      <c r="TVB1155" s="7"/>
      <c r="TVC1155" s="7"/>
      <c r="TVD1155" s="7"/>
      <c r="TVE1155" s="7"/>
      <c r="TVF1155" s="7"/>
      <c r="TVG1155" s="7"/>
      <c r="TVH1155" s="7"/>
      <c r="TVI1155" s="7"/>
      <c r="TVJ1155" s="7"/>
      <c r="TVK1155" s="7"/>
      <c r="TVL1155" s="7"/>
      <c r="TVM1155" s="7"/>
      <c r="TVN1155" s="7"/>
      <c r="TVO1155" s="7"/>
      <c r="TVP1155" s="7"/>
      <c r="TVQ1155" s="7"/>
      <c r="TVR1155" s="7"/>
      <c r="TVS1155" s="7"/>
      <c r="TVT1155" s="7"/>
      <c r="TVU1155" s="7"/>
      <c r="TVV1155" s="7"/>
      <c r="TVW1155" s="7"/>
      <c r="TVX1155" s="7"/>
      <c r="TVY1155" s="7"/>
      <c r="TVZ1155" s="7"/>
      <c r="TWA1155" s="7"/>
      <c r="TWB1155" s="7"/>
      <c r="TWC1155" s="7"/>
      <c r="TWD1155" s="7"/>
      <c r="TWE1155" s="7"/>
      <c r="TWF1155" s="7"/>
      <c r="TWG1155" s="7"/>
      <c r="TWH1155" s="7"/>
      <c r="TWI1155" s="7"/>
      <c r="TWJ1155" s="7"/>
      <c r="TWK1155" s="7"/>
      <c r="TWL1155" s="7"/>
      <c r="TWM1155" s="7"/>
      <c r="TWN1155" s="7"/>
      <c r="TWO1155" s="7"/>
      <c r="TWP1155" s="7"/>
      <c r="TWQ1155" s="7"/>
      <c r="TWR1155" s="7"/>
      <c r="TWS1155" s="7"/>
      <c r="TWT1155" s="7"/>
      <c r="TWU1155" s="7"/>
      <c r="TWV1155" s="7"/>
      <c r="TWW1155" s="7"/>
      <c r="TWX1155" s="7"/>
      <c r="TWY1155" s="7"/>
      <c r="TWZ1155" s="7"/>
      <c r="TXA1155" s="7"/>
      <c r="TXB1155" s="7"/>
      <c r="TXC1155" s="7"/>
      <c r="TXD1155" s="7"/>
      <c r="TXE1155" s="7"/>
      <c r="TXF1155" s="7"/>
      <c r="TXG1155" s="7"/>
      <c r="TXH1155" s="7"/>
      <c r="TXI1155" s="7"/>
      <c r="TXJ1155" s="7"/>
      <c r="TXK1155" s="7"/>
      <c r="TXL1155" s="7"/>
      <c r="TXM1155" s="7"/>
      <c r="TXN1155" s="7"/>
      <c r="TXO1155" s="7"/>
      <c r="TXP1155" s="7"/>
      <c r="TXQ1155" s="7"/>
      <c r="TXR1155" s="7"/>
      <c r="TXS1155" s="7"/>
      <c r="TXT1155" s="7"/>
      <c r="TXU1155" s="7"/>
      <c r="TXV1155" s="7"/>
      <c r="TXW1155" s="7"/>
      <c r="TXX1155" s="7"/>
      <c r="TXY1155" s="7"/>
      <c r="TXZ1155" s="7"/>
      <c r="TYA1155" s="7"/>
      <c r="TYB1155" s="7"/>
      <c r="TYC1155" s="7"/>
      <c r="TYD1155" s="7"/>
      <c r="TYE1155" s="7"/>
      <c r="TYF1155" s="7"/>
      <c r="TYG1155" s="7"/>
      <c r="TYH1155" s="7"/>
      <c r="TYI1155" s="7"/>
      <c r="TYJ1155" s="7"/>
      <c r="TYK1155" s="7"/>
      <c r="TYL1155" s="7"/>
      <c r="TYM1155" s="7"/>
      <c r="TYN1155" s="7"/>
      <c r="TYO1155" s="7"/>
      <c r="TYP1155" s="7"/>
      <c r="TYQ1155" s="7"/>
      <c r="TYR1155" s="7"/>
      <c r="TYS1155" s="7"/>
      <c r="TYT1155" s="7"/>
      <c r="TYU1155" s="7"/>
      <c r="TYV1155" s="7"/>
      <c r="TYW1155" s="7"/>
      <c r="TYX1155" s="7"/>
      <c r="TYY1155" s="7"/>
      <c r="TYZ1155" s="7"/>
      <c r="TZA1155" s="7"/>
      <c r="TZB1155" s="7"/>
      <c r="TZC1155" s="7"/>
      <c r="TZD1155" s="7"/>
      <c r="TZE1155" s="7"/>
      <c r="TZF1155" s="7"/>
      <c r="TZG1155" s="7"/>
      <c r="TZH1155" s="7"/>
      <c r="TZI1155" s="7"/>
      <c r="TZJ1155" s="7"/>
      <c r="TZK1155" s="7"/>
      <c r="TZL1155" s="7"/>
      <c r="TZM1155" s="7"/>
      <c r="TZN1155" s="7"/>
      <c r="TZO1155" s="7"/>
      <c r="TZP1155" s="7"/>
      <c r="TZQ1155" s="7"/>
      <c r="TZR1155" s="7"/>
      <c r="TZS1155" s="7"/>
      <c r="TZT1155" s="7"/>
      <c r="TZU1155" s="7"/>
      <c r="TZV1155" s="7"/>
      <c r="TZW1155" s="7"/>
      <c r="TZX1155" s="7"/>
      <c r="TZY1155" s="7"/>
      <c r="TZZ1155" s="7"/>
      <c r="UAA1155" s="7"/>
      <c r="UAB1155" s="7"/>
      <c r="UAC1155" s="7"/>
      <c r="UAD1155" s="7"/>
      <c r="UAE1155" s="7"/>
      <c r="UAF1155" s="7"/>
      <c r="UAG1155" s="7"/>
      <c r="UAH1155" s="7"/>
      <c r="UAI1155" s="7"/>
      <c r="UAJ1155" s="7"/>
      <c r="UAK1155" s="7"/>
      <c r="UAL1155" s="7"/>
      <c r="UAM1155" s="7"/>
      <c r="UAN1155" s="7"/>
      <c r="UAO1155" s="7"/>
      <c r="UAP1155" s="7"/>
      <c r="UAQ1155" s="7"/>
      <c r="UAR1155" s="7"/>
      <c r="UAS1155" s="7"/>
      <c r="UAT1155" s="7"/>
      <c r="UAU1155" s="7"/>
      <c r="UAV1155" s="7"/>
      <c r="UAW1155" s="7"/>
      <c r="UAX1155" s="7"/>
      <c r="UAY1155" s="7"/>
      <c r="UAZ1155" s="7"/>
      <c r="UBA1155" s="7"/>
      <c r="UBB1155" s="7"/>
      <c r="UBC1155" s="7"/>
      <c r="UBD1155" s="7"/>
      <c r="UBE1155" s="7"/>
      <c r="UBF1155" s="7"/>
      <c r="UBG1155" s="7"/>
      <c r="UBH1155" s="7"/>
      <c r="UBI1155" s="7"/>
      <c r="UBJ1155" s="7"/>
      <c r="UBK1155" s="7"/>
      <c r="UBL1155" s="7"/>
      <c r="UBM1155" s="7"/>
      <c r="UBN1155" s="7"/>
      <c r="UBO1155" s="7"/>
      <c r="UBP1155" s="7"/>
      <c r="UBQ1155" s="7"/>
      <c r="UBR1155" s="7"/>
      <c r="UBS1155" s="7"/>
      <c r="UBT1155" s="7"/>
      <c r="UBU1155" s="7"/>
      <c r="UBV1155" s="7"/>
      <c r="UBW1155" s="7"/>
      <c r="UBX1155" s="7"/>
      <c r="UBY1155" s="7"/>
      <c r="UBZ1155" s="7"/>
      <c r="UCA1155" s="7"/>
      <c r="UCB1155" s="7"/>
      <c r="UCC1155" s="7"/>
      <c r="UCD1155" s="7"/>
      <c r="UCE1155" s="7"/>
      <c r="UCF1155" s="7"/>
      <c r="UCG1155" s="7"/>
      <c r="UCH1155" s="7"/>
      <c r="UCI1155" s="7"/>
      <c r="UCJ1155" s="7"/>
      <c r="UCK1155" s="7"/>
      <c r="UCL1155" s="7"/>
      <c r="UCM1155" s="7"/>
      <c r="UCN1155" s="7"/>
      <c r="UCO1155" s="7"/>
      <c r="UCP1155" s="7"/>
      <c r="UCQ1155" s="7"/>
      <c r="UCR1155" s="7"/>
      <c r="UCS1155" s="7"/>
      <c r="UCT1155" s="7"/>
      <c r="UCU1155" s="7"/>
      <c r="UCV1155" s="7"/>
      <c r="UCW1155" s="7"/>
      <c r="UCX1155" s="7"/>
      <c r="UCY1155" s="7"/>
      <c r="UCZ1155" s="7"/>
      <c r="UDA1155" s="7"/>
      <c r="UDB1155" s="7"/>
      <c r="UDC1155" s="7"/>
      <c r="UDD1155" s="7"/>
      <c r="UDE1155" s="7"/>
      <c r="UDF1155" s="7"/>
      <c r="UDG1155" s="7"/>
      <c r="UDH1155" s="7"/>
      <c r="UDI1155" s="7"/>
      <c r="UDJ1155" s="7"/>
      <c r="UDK1155" s="7"/>
      <c r="UDL1155" s="7"/>
      <c r="UDM1155" s="7"/>
      <c r="UDN1155" s="7"/>
      <c r="UDO1155" s="7"/>
      <c r="UDP1155" s="7"/>
      <c r="UDQ1155" s="7"/>
      <c r="UDR1155" s="7"/>
      <c r="UDS1155" s="7"/>
      <c r="UDT1155" s="7"/>
      <c r="UDU1155" s="7"/>
      <c r="UDV1155" s="7"/>
      <c r="UDW1155" s="7"/>
      <c r="UDX1155" s="7"/>
      <c r="UDY1155" s="7"/>
      <c r="UDZ1155" s="7"/>
      <c r="UEA1155" s="7"/>
      <c r="UEB1155" s="7"/>
      <c r="UEC1155" s="7"/>
      <c r="UED1155" s="7"/>
      <c r="UEE1155" s="7"/>
      <c r="UEF1155" s="7"/>
      <c r="UEG1155" s="7"/>
      <c r="UEH1155" s="7"/>
      <c r="UEI1155" s="7"/>
      <c r="UEJ1155" s="7"/>
      <c r="UEK1155" s="7"/>
      <c r="UEL1155" s="7"/>
      <c r="UEM1155" s="7"/>
      <c r="UEN1155" s="7"/>
      <c r="UEO1155" s="7"/>
      <c r="UEP1155" s="7"/>
      <c r="UEQ1155" s="7"/>
      <c r="UER1155" s="7"/>
      <c r="UES1155" s="7"/>
      <c r="UET1155" s="7"/>
      <c r="UEU1155" s="7"/>
      <c r="UEV1155" s="7"/>
      <c r="UEW1155" s="7"/>
      <c r="UEX1155" s="7"/>
      <c r="UEY1155" s="7"/>
      <c r="UEZ1155" s="7"/>
      <c r="UFA1155" s="7"/>
      <c r="UFB1155" s="7"/>
      <c r="UFC1155" s="7"/>
      <c r="UFD1155" s="7"/>
      <c r="UFE1155" s="7"/>
      <c r="UFF1155" s="7"/>
      <c r="UFG1155" s="7"/>
      <c r="UFH1155" s="7"/>
      <c r="UFI1155" s="7"/>
      <c r="UFJ1155" s="7"/>
      <c r="UFK1155" s="7"/>
      <c r="UFL1155" s="7"/>
      <c r="UFM1155" s="7"/>
      <c r="UFN1155" s="7"/>
      <c r="UFO1155" s="7"/>
      <c r="UFP1155" s="7"/>
      <c r="UFQ1155" s="7"/>
      <c r="UFR1155" s="7"/>
      <c r="UFS1155" s="7"/>
      <c r="UFT1155" s="7"/>
      <c r="UFU1155" s="7"/>
      <c r="UFV1155" s="7"/>
      <c r="UFW1155" s="7"/>
      <c r="UFX1155" s="7"/>
      <c r="UFY1155" s="7"/>
      <c r="UFZ1155" s="7"/>
      <c r="UGA1155" s="7"/>
      <c r="UGB1155" s="7"/>
      <c r="UGC1155" s="7"/>
      <c r="UGD1155" s="7"/>
      <c r="UGE1155" s="7"/>
      <c r="UGF1155" s="7"/>
      <c r="UGG1155" s="7"/>
      <c r="UGH1155" s="7"/>
      <c r="UGI1155" s="7"/>
      <c r="UGJ1155" s="7"/>
      <c r="UGK1155" s="7"/>
      <c r="UGL1155" s="7"/>
      <c r="UGM1155" s="7"/>
      <c r="UGN1155" s="7"/>
      <c r="UGO1155" s="7"/>
      <c r="UGP1155" s="7"/>
      <c r="UGQ1155" s="7"/>
      <c r="UGR1155" s="7"/>
      <c r="UGS1155" s="7"/>
      <c r="UGT1155" s="7"/>
      <c r="UGU1155" s="7"/>
      <c r="UGV1155" s="7"/>
      <c r="UGW1155" s="7"/>
      <c r="UGX1155" s="7"/>
      <c r="UGY1155" s="7"/>
      <c r="UGZ1155" s="7"/>
      <c r="UHA1155" s="7"/>
      <c r="UHB1155" s="7"/>
      <c r="UHC1155" s="7"/>
      <c r="UHD1155" s="7"/>
      <c r="UHE1155" s="7"/>
      <c r="UHF1155" s="7"/>
      <c r="UHG1155" s="7"/>
      <c r="UHH1155" s="7"/>
      <c r="UHI1155" s="7"/>
      <c r="UHJ1155" s="7"/>
      <c r="UHK1155" s="7"/>
      <c r="UHL1155" s="7"/>
      <c r="UHM1155" s="7"/>
      <c r="UHN1155" s="7"/>
      <c r="UHO1155" s="7"/>
      <c r="UHP1155" s="7"/>
      <c r="UHQ1155" s="7"/>
      <c r="UHR1155" s="7"/>
      <c r="UHS1155" s="7"/>
      <c r="UHT1155" s="7"/>
      <c r="UHU1155" s="7"/>
      <c r="UHV1155" s="7"/>
      <c r="UHW1155" s="7"/>
      <c r="UHX1155" s="7"/>
      <c r="UHY1155" s="7"/>
      <c r="UHZ1155" s="7"/>
      <c r="UIA1155" s="7"/>
      <c r="UIB1155" s="7"/>
      <c r="UIC1155" s="7"/>
      <c r="UID1155" s="7"/>
      <c r="UIE1155" s="7"/>
      <c r="UIF1155" s="7"/>
      <c r="UIG1155" s="7"/>
      <c r="UIH1155" s="7"/>
      <c r="UII1155" s="7"/>
      <c r="UIJ1155" s="7"/>
      <c r="UIK1155" s="7"/>
      <c r="UIL1155" s="7"/>
      <c r="UIM1155" s="7"/>
      <c r="UIN1155" s="7"/>
      <c r="UIO1155" s="7"/>
      <c r="UIP1155" s="7"/>
      <c r="UIQ1155" s="7"/>
      <c r="UIR1155" s="7"/>
      <c r="UIS1155" s="7"/>
      <c r="UIT1155" s="7"/>
      <c r="UIU1155" s="7"/>
      <c r="UIV1155" s="7"/>
      <c r="UIW1155" s="7"/>
      <c r="UIX1155" s="7"/>
      <c r="UIY1155" s="7"/>
      <c r="UIZ1155" s="7"/>
      <c r="UJA1155" s="7"/>
      <c r="UJB1155" s="7"/>
      <c r="UJC1155" s="7"/>
      <c r="UJD1155" s="7"/>
      <c r="UJE1155" s="7"/>
      <c r="UJF1155" s="7"/>
      <c r="UJG1155" s="7"/>
      <c r="UJH1155" s="7"/>
      <c r="UJI1155" s="7"/>
      <c r="UJJ1155" s="7"/>
      <c r="UJK1155" s="7"/>
      <c r="UJL1155" s="7"/>
      <c r="UJM1155" s="7"/>
      <c r="UJN1155" s="7"/>
      <c r="UJO1155" s="7"/>
      <c r="UJP1155" s="7"/>
      <c r="UJQ1155" s="7"/>
      <c r="UJR1155" s="7"/>
      <c r="UJS1155" s="7"/>
      <c r="UJT1155" s="7"/>
      <c r="UJU1155" s="7"/>
      <c r="UJV1155" s="7"/>
      <c r="UJW1155" s="7"/>
      <c r="UJX1155" s="7"/>
      <c r="UJY1155" s="7"/>
      <c r="UJZ1155" s="7"/>
      <c r="UKA1155" s="7"/>
      <c r="UKB1155" s="7"/>
      <c r="UKC1155" s="7"/>
      <c r="UKD1155" s="7"/>
      <c r="UKE1155" s="7"/>
      <c r="UKF1155" s="7"/>
      <c r="UKG1155" s="7"/>
      <c r="UKH1155" s="7"/>
      <c r="UKI1155" s="7"/>
      <c r="UKJ1155" s="7"/>
      <c r="UKK1155" s="7"/>
      <c r="UKL1155" s="7"/>
      <c r="UKM1155" s="7"/>
      <c r="UKN1155" s="7"/>
      <c r="UKO1155" s="7"/>
      <c r="UKP1155" s="7"/>
      <c r="UKQ1155" s="7"/>
      <c r="UKR1155" s="7"/>
      <c r="UKS1155" s="7"/>
      <c r="UKT1155" s="7"/>
      <c r="UKU1155" s="7"/>
      <c r="UKV1155" s="7"/>
      <c r="UKW1155" s="7"/>
      <c r="UKX1155" s="7"/>
      <c r="UKY1155" s="7"/>
      <c r="UKZ1155" s="7"/>
      <c r="ULA1155" s="7"/>
      <c r="ULB1155" s="7"/>
      <c r="ULC1155" s="7"/>
      <c r="ULD1155" s="7"/>
      <c r="ULE1155" s="7"/>
      <c r="ULF1155" s="7"/>
      <c r="ULG1155" s="7"/>
      <c r="ULH1155" s="7"/>
      <c r="ULI1155" s="7"/>
      <c r="ULJ1155" s="7"/>
      <c r="ULK1155" s="7"/>
      <c r="ULL1155" s="7"/>
      <c r="ULM1155" s="7"/>
      <c r="ULN1155" s="7"/>
      <c r="ULO1155" s="7"/>
      <c r="ULP1155" s="7"/>
      <c r="ULQ1155" s="7"/>
      <c r="ULR1155" s="7"/>
      <c r="ULS1155" s="7"/>
      <c r="ULT1155" s="7"/>
      <c r="ULU1155" s="7"/>
      <c r="ULV1155" s="7"/>
      <c r="ULW1155" s="7"/>
      <c r="ULX1155" s="7"/>
      <c r="ULY1155" s="7"/>
      <c r="ULZ1155" s="7"/>
      <c r="UMA1155" s="7"/>
      <c r="UMB1155" s="7"/>
      <c r="UMC1155" s="7"/>
      <c r="UMD1155" s="7"/>
      <c r="UME1155" s="7"/>
      <c r="UMF1155" s="7"/>
      <c r="UMG1155" s="7"/>
      <c r="UMH1155" s="7"/>
      <c r="UMI1155" s="7"/>
      <c r="UMJ1155" s="7"/>
      <c r="UMK1155" s="7"/>
      <c r="UML1155" s="7"/>
      <c r="UMM1155" s="7"/>
      <c r="UMN1155" s="7"/>
      <c r="UMO1155" s="7"/>
      <c r="UMP1155" s="7"/>
      <c r="UMQ1155" s="7"/>
      <c r="UMR1155" s="7"/>
      <c r="UMS1155" s="7"/>
      <c r="UMT1155" s="7"/>
      <c r="UMU1155" s="7"/>
      <c r="UMV1155" s="7"/>
      <c r="UMW1155" s="7"/>
      <c r="UMX1155" s="7"/>
      <c r="UMY1155" s="7"/>
      <c r="UMZ1155" s="7"/>
      <c r="UNA1155" s="7"/>
      <c r="UNB1155" s="7"/>
      <c r="UNC1155" s="7"/>
      <c r="UND1155" s="7"/>
      <c r="UNE1155" s="7"/>
      <c r="UNF1155" s="7"/>
      <c r="UNG1155" s="7"/>
      <c r="UNH1155" s="7"/>
      <c r="UNI1155" s="7"/>
      <c r="UNJ1155" s="7"/>
      <c r="UNK1155" s="7"/>
      <c r="UNL1155" s="7"/>
      <c r="UNM1155" s="7"/>
      <c r="UNN1155" s="7"/>
      <c r="UNO1155" s="7"/>
      <c r="UNP1155" s="7"/>
      <c r="UNQ1155" s="7"/>
      <c r="UNR1155" s="7"/>
      <c r="UNS1155" s="7"/>
      <c r="UNT1155" s="7"/>
      <c r="UNU1155" s="7"/>
      <c r="UNV1155" s="7"/>
      <c r="UNW1155" s="7"/>
      <c r="UNX1155" s="7"/>
      <c r="UNY1155" s="7"/>
      <c r="UNZ1155" s="7"/>
      <c r="UOA1155" s="7"/>
      <c r="UOB1155" s="7"/>
      <c r="UOC1155" s="7"/>
      <c r="UOD1155" s="7"/>
      <c r="UOE1155" s="7"/>
      <c r="UOF1155" s="7"/>
      <c r="UOG1155" s="7"/>
      <c r="UOH1155" s="7"/>
      <c r="UOI1155" s="7"/>
      <c r="UOJ1155" s="7"/>
      <c r="UOK1155" s="7"/>
      <c r="UOL1155" s="7"/>
      <c r="UOM1155" s="7"/>
      <c r="UON1155" s="7"/>
      <c r="UOO1155" s="7"/>
      <c r="UOP1155" s="7"/>
      <c r="UOQ1155" s="7"/>
      <c r="UOR1155" s="7"/>
      <c r="UOS1155" s="7"/>
      <c r="UOT1155" s="7"/>
      <c r="UOU1155" s="7"/>
      <c r="UOV1155" s="7"/>
      <c r="UOW1155" s="7"/>
      <c r="UOX1155" s="7"/>
      <c r="UOY1155" s="7"/>
      <c r="UOZ1155" s="7"/>
      <c r="UPA1155" s="7"/>
      <c r="UPB1155" s="7"/>
      <c r="UPC1155" s="7"/>
      <c r="UPD1155" s="7"/>
      <c r="UPE1155" s="7"/>
      <c r="UPF1155" s="7"/>
      <c r="UPG1155" s="7"/>
      <c r="UPH1155" s="7"/>
      <c r="UPI1155" s="7"/>
      <c r="UPJ1155" s="7"/>
      <c r="UPK1155" s="7"/>
      <c r="UPL1155" s="7"/>
      <c r="UPM1155" s="7"/>
      <c r="UPN1155" s="7"/>
      <c r="UPO1155" s="7"/>
      <c r="UPP1155" s="7"/>
      <c r="UPQ1155" s="7"/>
      <c r="UPR1155" s="7"/>
      <c r="UPS1155" s="7"/>
      <c r="UPT1155" s="7"/>
      <c r="UPU1155" s="7"/>
      <c r="UPV1155" s="7"/>
      <c r="UPW1155" s="7"/>
      <c r="UPX1155" s="7"/>
      <c r="UPY1155" s="7"/>
      <c r="UPZ1155" s="7"/>
      <c r="UQA1155" s="7"/>
      <c r="UQB1155" s="7"/>
      <c r="UQC1155" s="7"/>
      <c r="UQD1155" s="7"/>
      <c r="UQE1155" s="7"/>
      <c r="UQF1155" s="7"/>
      <c r="UQG1155" s="7"/>
      <c r="UQH1155" s="7"/>
      <c r="UQI1155" s="7"/>
      <c r="UQJ1155" s="7"/>
      <c r="UQK1155" s="7"/>
      <c r="UQL1155" s="7"/>
      <c r="UQM1155" s="7"/>
      <c r="UQN1155" s="7"/>
      <c r="UQO1155" s="7"/>
      <c r="UQP1155" s="7"/>
      <c r="UQQ1155" s="7"/>
      <c r="UQR1155" s="7"/>
      <c r="UQS1155" s="7"/>
      <c r="UQT1155" s="7"/>
      <c r="UQU1155" s="7"/>
      <c r="UQV1155" s="7"/>
      <c r="UQW1155" s="7"/>
      <c r="UQX1155" s="7"/>
      <c r="UQY1155" s="7"/>
      <c r="UQZ1155" s="7"/>
      <c r="URA1155" s="7"/>
      <c r="URB1155" s="7"/>
      <c r="URC1155" s="7"/>
      <c r="URD1155" s="7"/>
      <c r="URE1155" s="7"/>
      <c r="URF1155" s="7"/>
      <c r="URG1155" s="7"/>
      <c r="URH1155" s="7"/>
      <c r="URI1155" s="7"/>
      <c r="URJ1155" s="7"/>
      <c r="URK1155" s="7"/>
      <c r="URL1155" s="7"/>
      <c r="URM1155" s="7"/>
      <c r="URN1155" s="7"/>
      <c r="URO1155" s="7"/>
      <c r="URP1155" s="7"/>
      <c r="URQ1155" s="7"/>
      <c r="URR1155" s="7"/>
      <c r="URS1155" s="7"/>
      <c r="URT1155" s="7"/>
      <c r="URU1155" s="7"/>
      <c r="URV1155" s="7"/>
      <c r="URW1155" s="7"/>
      <c r="URX1155" s="7"/>
      <c r="URY1155" s="7"/>
      <c r="URZ1155" s="7"/>
      <c r="USA1155" s="7"/>
      <c r="USB1155" s="7"/>
      <c r="USC1155" s="7"/>
      <c r="USD1155" s="7"/>
      <c r="USE1155" s="7"/>
      <c r="USF1155" s="7"/>
      <c r="USG1155" s="7"/>
      <c r="USH1155" s="7"/>
      <c r="USI1155" s="7"/>
      <c r="USJ1155" s="7"/>
      <c r="USK1155" s="7"/>
      <c r="USL1155" s="7"/>
      <c r="USM1155" s="7"/>
      <c r="USN1155" s="7"/>
      <c r="USO1155" s="7"/>
      <c r="USP1155" s="7"/>
      <c r="USQ1155" s="7"/>
      <c r="USR1155" s="7"/>
      <c r="USS1155" s="7"/>
      <c r="UST1155" s="7"/>
      <c r="USU1155" s="7"/>
      <c r="USV1155" s="7"/>
      <c r="USW1155" s="7"/>
      <c r="USX1155" s="7"/>
      <c r="USY1155" s="7"/>
      <c r="USZ1155" s="7"/>
      <c r="UTA1155" s="7"/>
      <c r="UTB1155" s="7"/>
      <c r="UTC1155" s="7"/>
      <c r="UTD1155" s="7"/>
      <c r="UTE1155" s="7"/>
      <c r="UTF1155" s="7"/>
      <c r="UTG1155" s="7"/>
      <c r="UTH1155" s="7"/>
      <c r="UTI1155" s="7"/>
      <c r="UTJ1155" s="7"/>
      <c r="UTK1155" s="7"/>
      <c r="UTL1155" s="7"/>
      <c r="UTM1155" s="7"/>
      <c r="UTN1155" s="7"/>
      <c r="UTO1155" s="7"/>
      <c r="UTP1155" s="7"/>
      <c r="UTQ1155" s="7"/>
      <c r="UTR1155" s="7"/>
      <c r="UTS1155" s="7"/>
      <c r="UTT1155" s="7"/>
      <c r="UTU1155" s="7"/>
      <c r="UTV1155" s="7"/>
      <c r="UTW1155" s="7"/>
      <c r="UTX1155" s="7"/>
      <c r="UTY1155" s="7"/>
      <c r="UTZ1155" s="7"/>
      <c r="UUA1155" s="7"/>
      <c r="UUB1155" s="7"/>
      <c r="UUC1155" s="7"/>
      <c r="UUD1155" s="7"/>
      <c r="UUE1155" s="7"/>
      <c r="UUF1155" s="7"/>
      <c r="UUG1155" s="7"/>
      <c r="UUH1155" s="7"/>
      <c r="UUI1155" s="7"/>
      <c r="UUJ1155" s="7"/>
      <c r="UUK1155" s="7"/>
      <c r="UUL1155" s="7"/>
      <c r="UUM1155" s="7"/>
      <c r="UUN1155" s="7"/>
      <c r="UUO1155" s="7"/>
      <c r="UUP1155" s="7"/>
      <c r="UUQ1155" s="7"/>
      <c r="UUR1155" s="7"/>
      <c r="UUS1155" s="7"/>
      <c r="UUT1155" s="7"/>
      <c r="UUU1155" s="7"/>
      <c r="UUV1155" s="7"/>
      <c r="UUW1155" s="7"/>
      <c r="UUX1155" s="7"/>
      <c r="UUY1155" s="7"/>
      <c r="UUZ1155" s="7"/>
      <c r="UVA1155" s="7"/>
      <c r="UVB1155" s="7"/>
      <c r="UVC1155" s="7"/>
      <c r="UVD1155" s="7"/>
      <c r="UVE1155" s="7"/>
      <c r="UVF1155" s="7"/>
      <c r="UVG1155" s="7"/>
      <c r="UVH1155" s="7"/>
      <c r="UVI1155" s="7"/>
      <c r="UVJ1155" s="7"/>
      <c r="UVK1155" s="7"/>
      <c r="UVL1155" s="7"/>
      <c r="UVM1155" s="7"/>
      <c r="UVN1155" s="7"/>
      <c r="UVO1155" s="7"/>
      <c r="UVP1155" s="7"/>
      <c r="UVQ1155" s="7"/>
      <c r="UVR1155" s="7"/>
      <c r="UVS1155" s="7"/>
      <c r="UVT1155" s="7"/>
      <c r="UVU1155" s="7"/>
      <c r="UVV1155" s="7"/>
      <c r="UVW1155" s="7"/>
      <c r="UVX1155" s="7"/>
      <c r="UVY1155" s="7"/>
      <c r="UVZ1155" s="7"/>
      <c r="UWA1155" s="7"/>
      <c r="UWB1155" s="7"/>
      <c r="UWC1155" s="7"/>
      <c r="UWD1155" s="7"/>
      <c r="UWE1155" s="7"/>
      <c r="UWF1155" s="7"/>
      <c r="UWG1155" s="7"/>
      <c r="UWH1155" s="7"/>
      <c r="UWI1155" s="7"/>
      <c r="UWJ1155" s="7"/>
      <c r="UWK1155" s="7"/>
      <c r="UWL1155" s="7"/>
      <c r="UWM1155" s="7"/>
      <c r="UWN1155" s="7"/>
      <c r="UWO1155" s="7"/>
      <c r="UWP1155" s="7"/>
      <c r="UWQ1155" s="7"/>
      <c r="UWR1155" s="7"/>
      <c r="UWS1155" s="7"/>
      <c r="UWT1155" s="7"/>
      <c r="UWU1155" s="7"/>
      <c r="UWV1155" s="7"/>
      <c r="UWW1155" s="7"/>
      <c r="UWX1155" s="7"/>
      <c r="UWY1155" s="7"/>
      <c r="UWZ1155" s="7"/>
      <c r="UXA1155" s="7"/>
      <c r="UXB1155" s="7"/>
      <c r="UXC1155" s="7"/>
      <c r="UXD1155" s="7"/>
      <c r="UXE1155" s="7"/>
      <c r="UXF1155" s="7"/>
      <c r="UXG1155" s="7"/>
      <c r="UXH1155" s="7"/>
      <c r="UXI1155" s="7"/>
      <c r="UXJ1155" s="7"/>
      <c r="UXK1155" s="7"/>
      <c r="UXL1155" s="7"/>
      <c r="UXM1155" s="7"/>
      <c r="UXN1155" s="7"/>
      <c r="UXO1155" s="7"/>
      <c r="UXP1155" s="7"/>
      <c r="UXQ1155" s="7"/>
      <c r="UXR1155" s="7"/>
      <c r="UXS1155" s="7"/>
      <c r="UXT1155" s="7"/>
      <c r="UXU1155" s="7"/>
      <c r="UXV1155" s="7"/>
      <c r="UXW1155" s="7"/>
      <c r="UXX1155" s="7"/>
      <c r="UXY1155" s="7"/>
      <c r="UXZ1155" s="7"/>
      <c r="UYA1155" s="7"/>
      <c r="UYB1155" s="7"/>
      <c r="UYC1155" s="7"/>
      <c r="UYD1155" s="7"/>
      <c r="UYE1155" s="7"/>
      <c r="UYF1155" s="7"/>
      <c r="UYG1155" s="7"/>
      <c r="UYH1155" s="7"/>
      <c r="UYI1155" s="7"/>
      <c r="UYJ1155" s="7"/>
      <c r="UYK1155" s="7"/>
      <c r="UYL1155" s="7"/>
      <c r="UYM1155" s="7"/>
      <c r="UYN1155" s="7"/>
      <c r="UYO1155" s="7"/>
      <c r="UYP1155" s="7"/>
      <c r="UYQ1155" s="7"/>
      <c r="UYR1155" s="7"/>
      <c r="UYS1155" s="7"/>
      <c r="UYT1155" s="7"/>
      <c r="UYU1155" s="7"/>
      <c r="UYV1155" s="7"/>
      <c r="UYW1155" s="7"/>
      <c r="UYX1155" s="7"/>
      <c r="UYY1155" s="7"/>
      <c r="UYZ1155" s="7"/>
      <c r="UZA1155" s="7"/>
      <c r="UZB1155" s="7"/>
      <c r="UZC1155" s="7"/>
      <c r="UZD1155" s="7"/>
      <c r="UZE1155" s="7"/>
      <c r="UZF1155" s="7"/>
      <c r="UZG1155" s="7"/>
      <c r="UZH1155" s="7"/>
      <c r="UZI1155" s="7"/>
      <c r="UZJ1155" s="7"/>
      <c r="UZK1155" s="7"/>
      <c r="UZL1155" s="7"/>
      <c r="UZM1155" s="7"/>
      <c r="UZN1155" s="7"/>
      <c r="UZO1155" s="7"/>
      <c r="UZP1155" s="7"/>
      <c r="UZQ1155" s="7"/>
      <c r="UZR1155" s="7"/>
      <c r="UZS1155" s="7"/>
      <c r="UZT1155" s="7"/>
      <c r="UZU1155" s="7"/>
      <c r="UZV1155" s="7"/>
      <c r="UZW1155" s="7"/>
      <c r="UZX1155" s="7"/>
      <c r="UZY1155" s="7"/>
      <c r="UZZ1155" s="7"/>
      <c r="VAA1155" s="7"/>
      <c r="VAB1155" s="7"/>
      <c r="VAC1155" s="7"/>
      <c r="VAD1155" s="7"/>
      <c r="VAE1155" s="7"/>
      <c r="VAF1155" s="7"/>
      <c r="VAG1155" s="7"/>
      <c r="VAH1155" s="7"/>
      <c r="VAI1155" s="7"/>
      <c r="VAJ1155" s="7"/>
      <c r="VAK1155" s="7"/>
      <c r="VAL1155" s="7"/>
      <c r="VAM1155" s="7"/>
      <c r="VAN1155" s="7"/>
      <c r="VAO1155" s="7"/>
      <c r="VAP1155" s="7"/>
      <c r="VAQ1155" s="7"/>
      <c r="VAR1155" s="7"/>
      <c r="VAS1155" s="7"/>
      <c r="VAT1155" s="7"/>
      <c r="VAU1155" s="7"/>
      <c r="VAV1155" s="7"/>
      <c r="VAW1155" s="7"/>
      <c r="VAX1155" s="7"/>
      <c r="VAY1155" s="7"/>
      <c r="VAZ1155" s="7"/>
      <c r="VBA1155" s="7"/>
      <c r="VBB1155" s="7"/>
      <c r="VBC1155" s="7"/>
      <c r="VBD1155" s="7"/>
      <c r="VBE1155" s="7"/>
      <c r="VBF1155" s="7"/>
      <c r="VBG1155" s="7"/>
      <c r="VBH1155" s="7"/>
      <c r="VBI1155" s="7"/>
      <c r="VBJ1155" s="7"/>
      <c r="VBK1155" s="7"/>
      <c r="VBL1155" s="7"/>
      <c r="VBM1155" s="7"/>
      <c r="VBN1155" s="7"/>
      <c r="VBO1155" s="7"/>
      <c r="VBP1155" s="7"/>
      <c r="VBQ1155" s="7"/>
      <c r="VBR1155" s="7"/>
      <c r="VBS1155" s="7"/>
      <c r="VBT1155" s="7"/>
      <c r="VBU1155" s="7"/>
      <c r="VBV1155" s="7"/>
      <c r="VBW1155" s="7"/>
      <c r="VBX1155" s="7"/>
      <c r="VBY1155" s="7"/>
      <c r="VBZ1155" s="7"/>
      <c r="VCA1155" s="7"/>
      <c r="VCB1155" s="7"/>
      <c r="VCC1155" s="7"/>
      <c r="VCD1155" s="7"/>
      <c r="VCE1155" s="7"/>
      <c r="VCF1155" s="7"/>
      <c r="VCG1155" s="7"/>
      <c r="VCH1155" s="7"/>
      <c r="VCI1155" s="7"/>
      <c r="VCJ1155" s="7"/>
      <c r="VCK1155" s="7"/>
      <c r="VCL1155" s="7"/>
      <c r="VCM1155" s="7"/>
      <c r="VCN1155" s="7"/>
      <c r="VCO1155" s="7"/>
      <c r="VCP1155" s="7"/>
      <c r="VCQ1155" s="7"/>
      <c r="VCR1155" s="7"/>
      <c r="VCS1155" s="7"/>
      <c r="VCT1155" s="7"/>
      <c r="VCU1155" s="7"/>
      <c r="VCV1155" s="7"/>
      <c r="VCW1155" s="7"/>
      <c r="VCX1155" s="7"/>
      <c r="VCY1155" s="7"/>
      <c r="VCZ1155" s="7"/>
      <c r="VDA1155" s="7"/>
      <c r="VDB1155" s="7"/>
      <c r="VDC1155" s="7"/>
      <c r="VDD1155" s="7"/>
      <c r="VDE1155" s="7"/>
      <c r="VDF1155" s="7"/>
      <c r="VDG1155" s="7"/>
      <c r="VDH1155" s="7"/>
      <c r="VDI1155" s="7"/>
      <c r="VDJ1155" s="7"/>
      <c r="VDK1155" s="7"/>
      <c r="VDL1155" s="7"/>
      <c r="VDM1155" s="7"/>
      <c r="VDN1155" s="7"/>
      <c r="VDO1155" s="7"/>
      <c r="VDP1155" s="7"/>
      <c r="VDQ1155" s="7"/>
      <c r="VDR1155" s="7"/>
      <c r="VDS1155" s="7"/>
      <c r="VDT1155" s="7"/>
      <c r="VDU1155" s="7"/>
      <c r="VDV1155" s="7"/>
      <c r="VDW1155" s="7"/>
      <c r="VDX1155" s="7"/>
      <c r="VDY1155" s="7"/>
      <c r="VDZ1155" s="7"/>
      <c r="VEA1155" s="7"/>
      <c r="VEB1155" s="7"/>
      <c r="VEC1155" s="7"/>
      <c r="VED1155" s="7"/>
      <c r="VEE1155" s="7"/>
      <c r="VEF1155" s="7"/>
      <c r="VEG1155" s="7"/>
      <c r="VEH1155" s="7"/>
      <c r="VEI1155" s="7"/>
      <c r="VEJ1155" s="7"/>
      <c r="VEK1155" s="7"/>
      <c r="VEL1155" s="7"/>
      <c r="VEM1155" s="7"/>
      <c r="VEN1155" s="7"/>
      <c r="VEO1155" s="7"/>
      <c r="VEP1155" s="7"/>
      <c r="VEQ1155" s="7"/>
      <c r="VER1155" s="7"/>
      <c r="VES1155" s="7"/>
      <c r="VET1155" s="7"/>
      <c r="VEU1155" s="7"/>
      <c r="VEV1155" s="7"/>
      <c r="VEW1155" s="7"/>
      <c r="VEX1155" s="7"/>
      <c r="VEY1155" s="7"/>
      <c r="VEZ1155" s="7"/>
      <c r="VFA1155" s="7"/>
      <c r="VFB1155" s="7"/>
      <c r="VFC1155" s="7"/>
      <c r="VFD1155" s="7"/>
      <c r="VFE1155" s="7"/>
      <c r="VFF1155" s="7"/>
      <c r="VFG1155" s="7"/>
      <c r="VFH1155" s="7"/>
      <c r="VFI1155" s="7"/>
      <c r="VFJ1155" s="7"/>
      <c r="VFK1155" s="7"/>
      <c r="VFL1155" s="7"/>
      <c r="VFM1155" s="7"/>
      <c r="VFN1155" s="7"/>
      <c r="VFO1155" s="7"/>
      <c r="VFP1155" s="7"/>
      <c r="VFQ1155" s="7"/>
      <c r="VFR1155" s="7"/>
      <c r="VFS1155" s="7"/>
      <c r="VFT1155" s="7"/>
      <c r="VFU1155" s="7"/>
      <c r="VFV1155" s="7"/>
      <c r="VFW1155" s="7"/>
      <c r="VFX1155" s="7"/>
      <c r="VFY1155" s="7"/>
      <c r="VFZ1155" s="7"/>
      <c r="VGA1155" s="7"/>
      <c r="VGB1155" s="7"/>
      <c r="VGC1155" s="7"/>
      <c r="VGD1155" s="7"/>
      <c r="VGE1155" s="7"/>
      <c r="VGF1155" s="7"/>
      <c r="VGG1155" s="7"/>
      <c r="VGH1155" s="7"/>
      <c r="VGI1155" s="7"/>
      <c r="VGJ1155" s="7"/>
      <c r="VGK1155" s="7"/>
      <c r="VGL1155" s="7"/>
      <c r="VGM1155" s="7"/>
      <c r="VGN1155" s="7"/>
      <c r="VGO1155" s="7"/>
      <c r="VGP1155" s="7"/>
      <c r="VGQ1155" s="7"/>
      <c r="VGR1155" s="7"/>
      <c r="VGS1155" s="7"/>
      <c r="VGT1155" s="7"/>
      <c r="VGU1155" s="7"/>
      <c r="VGV1155" s="7"/>
      <c r="VGW1155" s="7"/>
      <c r="VGX1155" s="7"/>
      <c r="VGY1155" s="7"/>
      <c r="VGZ1155" s="7"/>
      <c r="VHA1155" s="7"/>
      <c r="VHB1155" s="7"/>
      <c r="VHC1155" s="7"/>
      <c r="VHD1155" s="7"/>
      <c r="VHE1155" s="7"/>
      <c r="VHF1155" s="7"/>
      <c r="VHG1155" s="7"/>
      <c r="VHH1155" s="7"/>
      <c r="VHI1155" s="7"/>
      <c r="VHJ1155" s="7"/>
      <c r="VHK1155" s="7"/>
      <c r="VHL1155" s="7"/>
      <c r="VHM1155" s="7"/>
      <c r="VHN1155" s="7"/>
      <c r="VHO1155" s="7"/>
      <c r="VHP1155" s="7"/>
      <c r="VHQ1155" s="7"/>
      <c r="VHR1155" s="7"/>
      <c r="VHS1155" s="7"/>
      <c r="VHT1155" s="7"/>
      <c r="VHU1155" s="7"/>
      <c r="VHV1155" s="7"/>
      <c r="VHW1155" s="7"/>
      <c r="VHX1155" s="7"/>
      <c r="VHY1155" s="7"/>
      <c r="VHZ1155" s="7"/>
      <c r="VIA1155" s="7"/>
      <c r="VIB1155" s="7"/>
      <c r="VIC1155" s="7"/>
      <c r="VID1155" s="7"/>
      <c r="VIE1155" s="7"/>
      <c r="VIF1155" s="7"/>
      <c r="VIG1155" s="7"/>
      <c r="VIH1155" s="7"/>
      <c r="VII1155" s="7"/>
      <c r="VIJ1155" s="7"/>
      <c r="VIK1155" s="7"/>
      <c r="VIL1155" s="7"/>
      <c r="VIM1155" s="7"/>
      <c r="VIN1155" s="7"/>
      <c r="VIO1155" s="7"/>
      <c r="VIP1155" s="7"/>
      <c r="VIQ1155" s="7"/>
      <c r="VIR1155" s="7"/>
      <c r="VIS1155" s="7"/>
      <c r="VIT1155" s="7"/>
      <c r="VIU1155" s="7"/>
      <c r="VIV1155" s="7"/>
      <c r="VIW1155" s="7"/>
      <c r="VIX1155" s="7"/>
      <c r="VIY1155" s="7"/>
      <c r="VIZ1155" s="7"/>
      <c r="VJA1155" s="7"/>
      <c r="VJB1155" s="7"/>
      <c r="VJC1155" s="7"/>
      <c r="VJD1155" s="7"/>
      <c r="VJE1155" s="7"/>
      <c r="VJF1155" s="7"/>
      <c r="VJG1155" s="7"/>
      <c r="VJH1155" s="7"/>
      <c r="VJI1155" s="7"/>
      <c r="VJJ1155" s="7"/>
      <c r="VJK1155" s="7"/>
      <c r="VJL1155" s="7"/>
      <c r="VJM1155" s="7"/>
      <c r="VJN1155" s="7"/>
      <c r="VJO1155" s="7"/>
      <c r="VJP1155" s="7"/>
      <c r="VJQ1155" s="7"/>
      <c r="VJR1155" s="7"/>
      <c r="VJS1155" s="7"/>
      <c r="VJT1155" s="7"/>
      <c r="VJU1155" s="7"/>
      <c r="VJV1155" s="7"/>
      <c r="VJW1155" s="7"/>
      <c r="VJX1155" s="7"/>
      <c r="VJY1155" s="7"/>
      <c r="VJZ1155" s="7"/>
      <c r="VKA1155" s="7"/>
      <c r="VKB1155" s="7"/>
      <c r="VKC1155" s="7"/>
      <c r="VKD1155" s="7"/>
      <c r="VKE1155" s="7"/>
      <c r="VKF1155" s="7"/>
      <c r="VKG1155" s="7"/>
      <c r="VKH1155" s="7"/>
      <c r="VKI1155" s="7"/>
      <c r="VKJ1155" s="7"/>
      <c r="VKK1155" s="7"/>
      <c r="VKL1155" s="7"/>
      <c r="VKM1155" s="7"/>
      <c r="VKN1155" s="7"/>
      <c r="VKO1155" s="7"/>
      <c r="VKP1155" s="7"/>
      <c r="VKQ1155" s="7"/>
      <c r="VKR1155" s="7"/>
      <c r="VKS1155" s="7"/>
      <c r="VKT1155" s="7"/>
      <c r="VKU1155" s="7"/>
      <c r="VKV1155" s="7"/>
      <c r="VKW1155" s="7"/>
      <c r="VKX1155" s="7"/>
      <c r="VKY1155" s="7"/>
      <c r="VKZ1155" s="7"/>
      <c r="VLA1155" s="7"/>
      <c r="VLB1155" s="7"/>
      <c r="VLC1155" s="7"/>
      <c r="VLD1155" s="7"/>
      <c r="VLE1155" s="7"/>
      <c r="VLF1155" s="7"/>
      <c r="VLG1155" s="7"/>
      <c r="VLH1155" s="7"/>
      <c r="VLI1155" s="7"/>
      <c r="VLJ1155" s="7"/>
      <c r="VLK1155" s="7"/>
      <c r="VLL1155" s="7"/>
      <c r="VLM1155" s="7"/>
      <c r="VLN1155" s="7"/>
      <c r="VLO1155" s="7"/>
      <c r="VLP1155" s="7"/>
      <c r="VLQ1155" s="7"/>
      <c r="VLR1155" s="7"/>
      <c r="VLS1155" s="7"/>
      <c r="VLT1155" s="7"/>
      <c r="VLU1155" s="7"/>
      <c r="VLV1155" s="7"/>
      <c r="VLW1155" s="7"/>
      <c r="VLX1155" s="7"/>
      <c r="VLY1155" s="7"/>
      <c r="VLZ1155" s="7"/>
      <c r="VMA1155" s="7"/>
      <c r="VMB1155" s="7"/>
      <c r="VMC1155" s="7"/>
      <c r="VMD1155" s="7"/>
      <c r="VME1155" s="7"/>
      <c r="VMF1155" s="7"/>
      <c r="VMG1155" s="7"/>
      <c r="VMH1155" s="7"/>
      <c r="VMI1155" s="7"/>
      <c r="VMJ1155" s="7"/>
      <c r="VMK1155" s="7"/>
      <c r="VML1155" s="7"/>
      <c r="VMM1155" s="7"/>
      <c r="VMN1155" s="7"/>
      <c r="VMO1155" s="7"/>
      <c r="VMP1155" s="7"/>
      <c r="VMQ1155" s="7"/>
      <c r="VMR1155" s="7"/>
      <c r="VMS1155" s="7"/>
      <c r="VMT1155" s="7"/>
      <c r="VMU1155" s="7"/>
      <c r="VMV1155" s="7"/>
      <c r="VMW1155" s="7"/>
      <c r="VMX1155" s="7"/>
      <c r="VMY1155" s="7"/>
      <c r="VMZ1155" s="7"/>
      <c r="VNA1155" s="7"/>
      <c r="VNB1155" s="7"/>
      <c r="VNC1155" s="7"/>
      <c r="VND1155" s="7"/>
      <c r="VNE1155" s="7"/>
      <c r="VNF1155" s="7"/>
      <c r="VNG1155" s="7"/>
      <c r="VNH1155" s="7"/>
      <c r="VNI1155" s="7"/>
      <c r="VNJ1155" s="7"/>
      <c r="VNK1155" s="7"/>
      <c r="VNL1155" s="7"/>
      <c r="VNM1155" s="7"/>
      <c r="VNN1155" s="7"/>
      <c r="VNO1155" s="7"/>
      <c r="VNP1155" s="7"/>
      <c r="VNQ1155" s="7"/>
      <c r="VNR1155" s="7"/>
      <c r="VNS1155" s="7"/>
      <c r="VNT1155" s="7"/>
      <c r="VNU1155" s="7"/>
      <c r="VNV1155" s="7"/>
      <c r="VNW1155" s="7"/>
      <c r="VNX1155" s="7"/>
      <c r="VNY1155" s="7"/>
      <c r="VNZ1155" s="7"/>
      <c r="VOA1155" s="7"/>
      <c r="VOB1155" s="7"/>
      <c r="VOC1155" s="7"/>
      <c r="VOD1155" s="7"/>
      <c r="VOE1155" s="7"/>
      <c r="VOF1155" s="7"/>
      <c r="VOG1155" s="7"/>
      <c r="VOH1155" s="7"/>
      <c r="VOI1155" s="7"/>
      <c r="VOJ1155" s="7"/>
      <c r="VOK1155" s="7"/>
      <c r="VOL1155" s="7"/>
      <c r="VOM1155" s="7"/>
      <c r="VON1155" s="7"/>
      <c r="VOO1155" s="7"/>
      <c r="VOP1155" s="7"/>
      <c r="VOQ1155" s="7"/>
      <c r="VOR1155" s="7"/>
      <c r="VOS1155" s="7"/>
      <c r="VOT1155" s="7"/>
      <c r="VOU1155" s="7"/>
      <c r="VOV1155" s="7"/>
      <c r="VOW1155" s="7"/>
      <c r="VOX1155" s="7"/>
      <c r="VOY1155" s="7"/>
      <c r="VOZ1155" s="7"/>
      <c r="VPA1155" s="7"/>
      <c r="VPB1155" s="7"/>
      <c r="VPC1155" s="7"/>
      <c r="VPD1155" s="7"/>
      <c r="VPE1155" s="7"/>
      <c r="VPF1155" s="7"/>
      <c r="VPG1155" s="7"/>
      <c r="VPH1155" s="7"/>
      <c r="VPI1155" s="7"/>
      <c r="VPJ1155" s="7"/>
      <c r="VPK1155" s="7"/>
      <c r="VPL1155" s="7"/>
      <c r="VPM1155" s="7"/>
      <c r="VPN1155" s="7"/>
      <c r="VPO1155" s="7"/>
      <c r="VPP1155" s="7"/>
      <c r="VPQ1155" s="7"/>
      <c r="VPR1155" s="7"/>
      <c r="VPS1155" s="7"/>
      <c r="VPT1155" s="7"/>
      <c r="VPU1155" s="7"/>
      <c r="VPV1155" s="7"/>
      <c r="VPW1155" s="7"/>
      <c r="VPX1155" s="7"/>
      <c r="VPY1155" s="7"/>
      <c r="VPZ1155" s="7"/>
      <c r="VQA1155" s="7"/>
      <c r="VQB1155" s="7"/>
      <c r="VQC1155" s="7"/>
      <c r="VQD1155" s="7"/>
      <c r="VQE1155" s="7"/>
      <c r="VQF1155" s="7"/>
      <c r="VQG1155" s="7"/>
      <c r="VQH1155" s="7"/>
      <c r="VQI1155" s="7"/>
      <c r="VQJ1155" s="7"/>
      <c r="VQK1155" s="7"/>
      <c r="VQL1155" s="7"/>
      <c r="VQM1155" s="7"/>
      <c r="VQN1155" s="7"/>
      <c r="VQO1155" s="7"/>
      <c r="VQP1155" s="7"/>
      <c r="VQQ1155" s="7"/>
      <c r="VQR1155" s="7"/>
      <c r="VQS1155" s="7"/>
      <c r="VQT1155" s="7"/>
      <c r="VQU1155" s="7"/>
      <c r="VQV1155" s="7"/>
      <c r="VQW1155" s="7"/>
      <c r="VQX1155" s="7"/>
      <c r="VQY1155" s="7"/>
      <c r="VQZ1155" s="7"/>
      <c r="VRA1155" s="7"/>
      <c r="VRB1155" s="7"/>
      <c r="VRC1155" s="7"/>
      <c r="VRD1155" s="7"/>
      <c r="VRE1155" s="7"/>
      <c r="VRF1155" s="7"/>
      <c r="VRG1155" s="7"/>
      <c r="VRH1155" s="7"/>
      <c r="VRI1155" s="7"/>
      <c r="VRJ1155" s="7"/>
      <c r="VRK1155" s="7"/>
      <c r="VRL1155" s="7"/>
      <c r="VRM1155" s="7"/>
      <c r="VRN1155" s="7"/>
      <c r="VRO1155" s="7"/>
      <c r="VRP1155" s="7"/>
      <c r="VRQ1155" s="7"/>
      <c r="VRR1155" s="7"/>
      <c r="VRS1155" s="7"/>
      <c r="VRT1155" s="7"/>
      <c r="VRU1155" s="7"/>
      <c r="VRV1155" s="7"/>
      <c r="VRW1155" s="7"/>
      <c r="VRX1155" s="7"/>
      <c r="VRY1155" s="7"/>
      <c r="VRZ1155" s="7"/>
      <c r="VSA1155" s="7"/>
      <c r="VSB1155" s="7"/>
      <c r="VSC1155" s="7"/>
      <c r="VSD1155" s="7"/>
      <c r="VSE1155" s="7"/>
      <c r="VSF1155" s="7"/>
      <c r="VSG1155" s="7"/>
      <c r="VSH1155" s="7"/>
      <c r="VSI1155" s="7"/>
      <c r="VSJ1155" s="7"/>
      <c r="VSK1155" s="7"/>
      <c r="VSL1155" s="7"/>
      <c r="VSM1155" s="7"/>
      <c r="VSN1155" s="7"/>
      <c r="VSO1155" s="7"/>
      <c r="VSP1155" s="7"/>
      <c r="VSQ1155" s="7"/>
      <c r="VSR1155" s="7"/>
      <c r="VSS1155" s="7"/>
      <c r="VST1155" s="7"/>
      <c r="VSU1155" s="7"/>
      <c r="VSV1155" s="7"/>
      <c r="VSW1155" s="7"/>
      <c r="VSX1155" s="7"/>
      <c r="VSY1155" s="7"/>
      <c r="VSZ1155" s="7"/>
      <c r="VTA1155" s="7"/>
      <c r="VTB1155" s="7"/>
      <c r="VTC1155" s="7"/>
      <c r="VTD1155" s="7"/>
      <c r="VTE1155" s="7"/>
      <c r="VTF1155" s="7"/>
      <c r="VTG1155" s="7"/>
      <c r="VTH1155" s="7"/>
      <c r="VTI1155" s="7"/>
      <c r="VTJ1155" s="7"/>
      <c r="VTK1155" s="7"/>
      <c r="VTL1155" s="7"/>
      <c r="VTM1155" s="7"/>
      <c r="VTN1155" s="7"/>
      <c r="VTO1155" s="7"/>
      <c r="VTP1155" s="7"/>
      <c r="VTQ1155" s="7"/>
      <c r="VTR1155" s="7"/>
      <c r="VTS1155" s="7"/>
      <c r="VTT1155" s="7"/>
      <c r="VTU1155" s="7"/>
      <c r="VTV1155" s="7"/>
      <c r="VTW1155" s="7"/>
      <c r="VTX1155" s="7"/>
      <c r="VTY1155" s="7"/>
      <c r="VTZ1155" s="7"/>
      <c r="VUA1155" s="7"/>
      <c r="VUB1155" s="7"/>
      <c r="VUC1155" s="7"/>
      <c r="VUD1155" s="7"/>
      <c r="VUE1155" s="7"/>
      <c r="VUF1155" s="7"/>
      <c r="VUG1155" s="7"/>
      <c r="VUH1155" s="7"/>
      <c r="VUI1155" s="7"/>
      <c r="VUJ1155" s="7"/>
      <c r="VUK1155" s="7"/>
      <c r="VUL1155" s="7"/>
      <c r="VUM1155" s="7"/>
      <c r="VUN1155" s="7"/>
      <c r="VUO1155" s="7"/>
      <c r="VUP1155" s="7"/>
      <c r="VUQ1155" s="7"/>
      <c r="VUR1155" s="7"/>
      <c r="VUS1155" s="7"/>
      <c r="VUT1155" s="7"/>
      <c r="VUU1155" s="7"/>
      <c r="VUV1155" s="7"/>
      <c r="VUW1155" s="7"/>
      <c r="VUX1155" s="7"/>
      <c r="VUY1155" s="7"/>
      <c r="VUZ1155" s="7"/>
      <c r="VVA1155" s="7"/>
      <c r="VVB1155" s="7"/>
      <c r="VVC1155" s="7"/>
      <c r="VVD1155" s="7"/>
      <c r="VVE1155" s="7"/>
      <c r="VVF1155" s="7"/>
      <c r="VVG1155" s="7"/>
      <c r="VVH1155" s="7"/>
      <c r="VVI1155" s="7"/>
      <c r="VVJ1155" s="7"/>
      <c r="VVK1155" s="7"/>
      <c r="VVL1155" s="7"/>
      <c r="VVM1155" s="7"/>
      <c r="VVN1155" s="7"/>
      <c r="VVO1155" s="7"/>
      <c r="VVP1155" s="7"/>
      <c r="VVQ1155" s="7"/>
      <c r="VVR1155" s="7"/>
      <c r="VVS1155" s="7"/>
      <c r="VVT1155" s="7"/>
      <c r="VVU1155" s="7"/>
      <c r="VVV1155" s="7"/>
      <c r="VVW1155" s="7"/>
      <c r="VVX1155" s="7"/>
      <c r="VVY1155" s="7"/>
      <c r="VVZ1155" s="7"/>
      <c r="VWA1155" s="7"/>
      <c r="VWB1155" s="7"/>
      <c r="VWC1155" s="7"/>
      <c r="VWD1155" s="7"/>
      <c r="VWE1155" s="7"/>
      <c r="VWF1155" s="7"/>
      <c r="VWG1155" s="7"/>
      <c r="VWH1155" s="7"/>
      <c r="VWI1155" s="7"/>
      <c r="VWJ1155" s="7"/>
      <c r="VWK1155" s="7"/>
      <c r="VWL1155" s="7"/>
      <c r="VWM1155" s="7"/>
      <c r="VWN1155" s="7"/>
      <c r="VWO1155" s="7"/>
      <c r="VWP1155" s="7"/>
      <c r="VWQ1155" s="7"/>
      <c r="VWR1155" s="7"/>
      <c r="VWS1155" s="7"/>
      <c r="VWT1155" s="7"/>
      <c r="VWU1155" s="7"/>
      <c r="VWV1155" s="7"/>
      <c r="VWW1155" s="7"/>
      <c r="VWX1155" s="7"/>
      <c r="VWY1155" s="7"/>
      <c r="VWZ1155" s="7"/>
      <c r="VXA1155" s="7"/>
      <c r="VXB1155" s="7"/>
      <c r="VXC1155" s="7"/>
      <c r="VXD1155" s="7"/>
      <c r="VXE1155" s="7"/>
      <c r="VXF1155" s="7"/>
      <c r="VXG1155" s="7"/>
      <c r="VXH1155" s="7"/>
      <c r="VXI1155" s="7"/>
      <c r="VXJ1155" s="7"/>
      <c r="VXK1155" s="7"/>
      <c r="VXL1155" s="7"/>
      <c r="VXM1155" s="7"/>
      <c r="VXN1155" s="7"/>
      <c r="VXO1155" s="7"/>
      <c r="VXP1155" s="7"/>
      <c r="VXQ1155" s="7"/>
      <c r="VXR1155" s="7"/>
      <c r="VXS1155" s="7"/>
      <c r="VXT1155" s="7"/>
      <c r="VXU1155" s="7"/>
      <c r="VXV1155" s="7"/>
      <c r="VXW1155" s="7"/>
      <c r="VXX1155" s="7"/>
      <c r="VXY1155" s="7"/>
      <c r="VXZ1155" s="7"/>
      <c r="VYA1155" s="7"/>
      <c r="VYB1155" s="7"/>
      <c r="VYC1155" s="7"/>
      <c r="VYD1155" s="7"/>
      <c r="VYE1155" s="7"/>
      <c r="VYF1155" s="7"/>
      <c r="VYG1155" s="7"/>
      <c r="VYH1155" s="7"/>
      <c r="VYI1155" s="7"/>
      <c r="VYJ1155" s="7"/>
      <c r="VYK1155" s="7"/>
      <c r="VYL1155" s="7"/>
      <c r="VYM1155" s="7"/>
      <c r="VYN1155" s="7"/>
      <c r="VYO1155" s="7"/>
      <c r="VYP1155" s="7"/>
      <c r="VYQ1155" s="7"/>
      <c r="VYR1155" s="7"/>
      <c r="VYS1155" s="7"/>
      <c r="VYT1155" s="7"/>
      <c r="VYU1155" s="7"/>
      <c r="VYV1155" s="7"/>
      <c r="VYW1155" s="7"/>
      <c r="VYX1155" s="7"/>
      <c r="VYY1155" s="7"/>
      <c r="VYZ1155" s="7"/>
      <c r="VZA1155" s="7"/>
      <c r="VZB1155" s="7"/>
      <c r="VZC1155" s="7"/>
      <c r="VZD1155" s="7"/>
      <c r="VZE1155" s="7"/>
      <c r="VZF1155" s="7"/>
      <c r="VZG1155" s="7"/>
      <c r="VZH1155" s="7"/>
      <c r="VZI1155" s="7"/>
      <c r="VZJ1155" s="7"/>
      <c r="VZK1155" s="7"/>
      <c r="VZL1155" s="7"/>
      <c r="VZM1155" s="7"/>
      <c r="VZN1155" s="7"/>
      <c r="VZO1155" s="7"/>
      <c r="VZP1155" s="7"/>
      <c r="VZQ1155" s="7"/>
      <c r="VZR1155" s="7"/>
      <c r="VZS1155" s="7"/>
      <c r="VZT1155" s="7"/>
      <c r="VZU1155" s="7"/>
      <c r="VZV1155" s="7"/>
      <c r="VZW1155" s="7"/>
      <c r="VZX1155" s="7"/>
      <c r="VZY1155" s="7"/>
      <c r="VZZ1155" s="7"/>
      <c r="WAA1155" s="7"/>
      <c r="WAB1155" s="7"/>
      <c r="WAC1155" s="7"/>
      <c r="WAD1155" s="7"/>
      <c r="WAE1155" s="7"/>
      <c r="WAF1155" s="7"/>
      <c r="WAG1155" s="7"/>
      <c r="WAH1155" s="7"/>
      <c r="WAI1155" s="7"/>
      <c r="WAJ1155" s="7"/>
      <c r="WAK1155" s="7"/>
      <c r="WAL1155" s="7"/>
      <c r="WAM1155" s="7"/>
      <c r="WAN1155" s="7"/>
      <c r="WAO1155" s="7"/>
      <c r="WAP1155" s="7"/>
      <c r="WAQ1155" s="7"/>
      <c r="WAR1155" s="7"/>
      <c r="WAS1155" s="7"/>
      <c r="WAT1155" s="7"/>
      <c r="WAU1155" s="7"/>
      <c r="WAV1155" s="7"/>
      <c r="WAW1155" s="7"/>
      <c r="WAX1155" s="7"/>
      <c r="WAY1155" s="7"/>
      <c r="WAZ1155" s="7"/>
      <c r="WBA1155" s="7"/>
      <c r="WBB1155" s="7"/>
      <c r="WBC1155" s="7"/>
      <c r="WBD1155" s="7"/>
      <c r="WBE1155" s="7"/>
      <c r="WBF1155" s="7"/>
      <c r="WBG1155" s="7"/>
      <c r="WBH1155" s="7"/>
      <c r="WBI1155" s="7"/>
      <c r="WBJ1155" s="7"/>
      <c r="WBK1155" s="7"/>
      <c r="WBL1155" s="7"/>
      <c r="WBM1155" s="7"/>
      <c r="WBN1155" s="7"/>
      <c r="WBO1155" s="7"/>
      <c r="WBP1155" s="7"/>
      <c r="WBQ1155" s="7"/>
      <c r="WBR1155" s="7"/>
      <c r="WBS1155" s="7"/>
      <c r="WBT1155" s="7"/>
      <c r="WBU1155" s="7"/>
      <c r="WBV1155" s="7"/>
      <c r="WBW1155" s="7"/>
      <c r="WBX1155" s="7"/>
      <c r="WBY1155" s="7"/>
      <c r="WBZ1155" s="7"/>
      <c r="WCA1155" s="7"/>
      <c r="WCB1155" s="7"/>
      <c r="WCC1155" s="7"/>
      <c r="WCD1155" s="7"/>
      <c r="WCE1155" s="7"/>
      <c r="WCF1155" s="7"/>
      <c r="WCG1155" s="7"/>
      <c r="WCH1155" s="7"/>
      <c r="WCI1155" s="7"/>
      <c r="WCJ1155" s="7"/>
      <c r="WCK1155" s="7"/>
      <c r="WCL1155" s="7"/>
      <c r="WCM1155" s="7"/>
      <c r="WCN1155" s="7"/>
      <c r="WCO1155" s="7"/>
      <c r="WCP1155" s="7"/>
      <c r="WCQ1155" s="7"/>
      <c r="WCR1155" s="7"/>
      <c r="WCS1155" s="7"/>
      <c r="WCT1155" s="7"/>
      <c r="WCU1155" s="7"/>
      <c r="WCV1155" s="7"/>
      <c r="WCW1155" s="7"/>
      <c r="WCX1155" s="7"/>
      <c r="WCY1155" s="7"/>
      <c r="WCZ1155" s="7"/>
      <c r="WDA1155" s="7"/>
      <c r="WDB1155" s="7"/>
      <c r="WDC1155" s="7"/>
      <c r="WDD1155" s="7"/>
      <c r="WDE1155" s="7"/>
      <c r="WDF1155" s="7"/>
      <c r="WDG1155" s="7"/>
      <c r="WDH1155" s="7"/>
      <c r="WDI1155" s="7"/>
      <c r="WDJ1155" s="7"/>
      <c r="WDK1155" s="7"/>
      <c r="WDL1155" s="7"/>
      <c r="WDM1155" s="7"/>
      <c r="WDN1155" s="7"/>
      <c r="WDO1155" s="7"/>
      <c r="WDP1155" s="7"/>
      <c r="WDQ1155" s="7"/>
      <c r="WDR1155" s="7"/>
      <c r="WDS1155" s="7"/>
      <c r="WDT1155" s="7"/>
      <c r="WDU1155" s="7"/>
      <c r="WDV1155" s="7"/>
      <c r="WDW1155" s="7"/>
      <c r="WDX1155" s="7"/>
      <c r="WDY1155" s="7"/>
      <c r="WDZ1155" s="7"/>
      <c r="WEA1155" s="7"/>
      <c r="WEB1155" s="7"/>
      <c r="WEC1155" s="7"/>
      <c r="WED1155" s="7"/>
      <c r="WEE1155" s="7"/>
      <c r="WEF1155" s="7"/>
      <c r="WEG1155" s="7"/>
      <c r="WEH1155" s="7"/>
      <c r="WEI1155" s="7"/>
      <c r="WEJ1155" s="7"/>
      <c r="WEK1155" s="7"/>
      <c r="WEL1155" s="7"/>
      <c r="WEM1155" s="7"/>
      <c r="WEN1155" s="7"/>
      <c r="WEO1155" s="7"/>
      <c r="WEP1155" s="7"/>
      <c r="WEQ1155" s="7"/>
      <c r="WER1155" s="7"/>
      <c r="WES1155" s="7"/>
      <c r="WET1155" s="7"/>
      <c r="WEU1155" s="7"/>
      <c r="WEV1155" s="7"/>
      <c r="WEW1155" s="7"/>
      <c r="WEX1155" s="7"/>
      <c r="WEY1155" s="7"/>
      <c r="WEZ1155" s="7"/>
      <c r="WFA1155" s="7"/>
      <c r="WFB1155" s="7"/>
      <c r="WFC1155" s="7"/>
      <c r="WFD1155" s="7"/>
      <c r="WFE1155" s="7"/>
      <c r="WFF1155" s="7"/>
      <c r="WFG1155" s="7"/>
      <c r="WFH1155" s="7"/>
      <c r="WFI1155" s="7"/>
      <c r="WFJ1155" s="7"/>
      <c r="WFK1155" s="7"/>
      <c r="WFL1155" s="7"/>
      <c r="WFM1155" s="7"/>
      <c r="WFN1155" s="7"/>
      <c r="WFO1155" s="7"/>
      <c r="WFP1155" s="7"/>
      <c r="WFQ1155" s="7"/>
      <c r="WFR1155" s="7"/>
      <c r="WFS1155" s="7"/>
      <c r="WFT1155" s="7"/>
      <c r="WFU1155" s="7"/>
      <c r="WFV1155" s="7"/>
      <c r="WFW1155" s="7"/>
      <c r="WFX1155" s="7"/>
      <c r="WFY1155" s="7"/>
      <c r="WFZ1155" s="7"/>
      <c r="WGA1155" s="7"/>
      <c r="WGB1155" s="7"/>
      <c r="WGC1155" s="7"/>
      <c r="WGD1155" s="7"/>
      <c r="WGE1155" s="7"/>
      <c r="WGF1155" s="7"/>
      <c r="WGG1155" s="7"/>
      <c r="WGH1155" s="7"/>
      <c r="WGI1155" s="7"/>
      <c r="WGJ1155" s="7"/>
      <c r="WGK1155" s="7"/>
      <c r="WGL1155" s="7"/>
      <c r="WGM1155" s="7"/>
      <c r="WGN1155" s="7"/>
      <c r="WGO1155" s="7"/>
      <c r="WGP1155" s="7"/>
      <c r="WGQ1155" s="7"/>
      <c r="WGR1155" s="7"/>
      <c r="WGS1155" s="7"/>
      <c r="WGT1155" s="7"/>
      <c r="WGU1155" s="7"/>
      <c r="WGV1155" s="7"/>
      <c r="WGW1155" s="7"/>
      <c r="WGX1155" s="7"/>
      <c r="WGY1155" s="7"/>
      <c r="WGZ1155" s="7"/>
      <c r="WHA1155" s="7"/>
      <c r="WHB1155" s="7"/>
      <c r="WHC1155" s="7"/>
      <c r="WHD1155" s="7"/>
      <c r="WHE1155" s="7"/>
      <c r="WHF1155" s="7"/>
      <c r="WHG1155" s="7"/>
      <c r="WHH1155" s="7"/>
      <c r="WHI1155" s="7"/>
      <c r="WHJ1155" s="7"/>
      <c r="WHK1155" s="7"/>
      <c r="WHL1155" s="7"/>
      <c r="WHM1155" s="7"/>
      <c r="WHN1155" s="7"/>
      <c r="WHO1155" s="7"/>
      <c r="WHP1155" s="7"/>
      <c r="WHQ1155" s="7"/>
      <c r="WHR1155" s="7"/>
      <c r="WHS1155" s="7"/>
      <c r="WHT1155" s="7"/>
      <c r="WHU1155" s="7"/>
      <c r="WHV1155" s="7"/>
      <c r="WHW1155" s="7"/>
      <c r="WHX1155" s="7"/>
      <c r="WHY1155" s="7"/>
      <c r="WHZ1155" s="7"/>
      <c r="WIA1155" s="7"/>
      <c r="WIB1155" s="7"/>
      <c r="WIC1155" s="7"/>
      <c r="WID1155" s="7"/>
      <c r="WIE1155" s="7"/>
      <c r="WIF1155" s="7"/>
      <c r="WIG1155" s="7"/>
      <c r="WIH1155" s="7"/>
      <c r="WII1155" s="7"/>
      <c r="WIJ1155" s="7"/>
      <c r="WIK1155" s="7"/>
      <c r="WIL1155" s="7"/>
      <c r="WIM1155" s="7"/>
      <c r="WIN1155" s="7"/>
      <c r="WIO1155" s="7"/>
      <c r="WIP1155" s="7"/>
      <c r="WIQ1155" s="7"/>
      <c r="WIR1155" s="7"/>
      <c r="WIS1155" s="7"/>
      <c r="WIT1155" s="7"/>
      <c r="WIU1155" s="7"/>
      <c r="WIV1155" s="7"/>
      <c r="WIW1155" s="7"/>
      <c r="WIX1155" s="7"/>
      <c r="WIY1155" s="7"/>
      <c r="WIZ1155" s="7"/>
      <c r="WJA1155" s="7"/>
      <c r="WJB1155" s="7"/>
      <c r="WJC1155" s="7"/>
      <c r="WJD1155" s="7"/>
      <c r="WJE1155" s="7"/>
      <c r="WJF1155" s="7"/>
      <c r="WJG1155" s="7"/>
      <c r="WJH1155" s="7"/>
      <c r="WJI1155" s="7"/>
      <c r="WJJ1155" s="7"/>
      <c r="WJK1155" s="7"/>
      <c r="WJL1155" s="7"/>
      <c r="WJM1155" s="7"/>
      <c r="WJN1155" s="7"/>
      <c r="WJO1155" s="7"/>
      <c r="WJP1155" s="7"/>
      <c r="WJQ1155" s="7"/>
      <c r="WJR1155" s="7"/>
      <c r="WJS1155" s="7"/>
      <c r="WJT1155" s="7"/>
      <c r="WJU1155" s="7"/>
      <c r="WJV1155" s="7"/>
      <c r="WJW1155" s="7"/>
      <c r="WJX1155" s="7"/>
      <c r="WJY1155" s="7"/>
      <c r="WJZ1155" s="7"/>
      <c r="WKA1155" s="7"/>
      <c r="WKB1155" s="7"/>
      <c r="WKC1155" s="7"/>
      <c r="WKD1155" s="7"/>
      <c r="WKE1155" s="7"/>
      <c r="WKF1155" s="7"/>
      <c r="WKG1155" s="7"/>
      <c r="WKH1155" s="7"/>
      <c r="WKI1155" s="7"/>
      <c r="WKJ1155" s="7"/>
      <c r="WKK1155" s="7"/>
      <c r="WKL1155" s="7"/>
      <c r="WKM1155" s="7"/>
      <c r="WKN1155" s="7"/>
      <c r="WKO1155" s="7"/>
      <c r="WKP1155" s="7"/>
      <c r="WKQ1155" s="7"/>
      <c r="WKR1155" s="7"/>
      <c r="WKS1155" s="7"/>
      <c r="WKT1155" s="7"/>
      <c r="WKU1155" s="7"/>
      <c r="WKV1155" s="7"/>
      <c r="WKW1155" s="7"/>
      <c r="WKX1155" s="7"/>
      <c r="WKY1155" s="7"/>
      <c r="WKZ1155" s="7"/>
      <c r="WLA1155" s="7"/>
      <c r="WLB1155" s="7"/>
      <c r="WLC1155" s="7"/>
      <c r="WLD1155" s="7"/>
      <c r="WLE1155" s="7"/>
      <c r="WLF1155" s="7"/>
      <c r="WLG1155" s="7"/>
      <c r="WLH1155" s="7"/>
      <c r="WLI1155" s="7"/>
      <c r="WLJ1155" s="7"/>
      <c r="WLK1155" s="7"/>
      <c r="WLL1155" s="7"/>
      <c r="WLM1155" s="7"/>
      <c r="WLN1155" s="7"/>
      <c r="WLO1155" s="7"/>
      <c r="WLP1155" s="7"/>
      <c r="WLQ1155" s="7"/>
      <c r="WLR1155" s="7"/>
      <c r="WLS1155" s="7"/>
      <c r="WLT1155" s="7"/>
      <c r="WLU1155" s="7"/>
      <c r="WLV1155" s="7"/>
      <c r="WLW1155" s="7"/>
      <c r="WLX1155" s="7"/>
      <c r="WLY1155" s="7"/>
      <c r="WLZ1155" s="7"/>
      <c r="WMA1155" s="7"/>
      <c r="WMB1155" s="7"/>
      <c r="WMC1155" s="7"/>
      <c r="WMD1155" s="7"/>
      <c r="WME1155" s="7"/>
      <c r="WMF1155" s="7"/>
      <c r="WMG1155" s="7"/>
      <c r="WMH1155" s="7"/>
      <c r="WMI1155" s="7"/>
      <c r="WMJ1155" s="7"/>
      <c r="WMK1155" s="7"/>
      <c r="WML1155" s="7"/>
      <c r="WMM1155" s="7"/>
      <c r="WMN1155" s="7"/>
      <c r="WMO1155" s="7"/>
      <c r="WMP1155" s="7"/>
      <c r="WMQ1155" s="7"/>
      <c r="WMR1155" s="7"/>
      <c r="WMS1155" s="7"/>
      <c r="WMT1155" s="7"/>
      <c r="WMU1155" s="7"/>
      <c r="WMV1155" s="7"/>
      <c r="WMW1155" s="7"/>
      <c r="WMX1155" s="7"/>
      <c r="WMY1155" s="7"/>
      <c r="WMZ1155" s="7"/>
      <c r="WNA1155" s="7"/>
      <c r="WNB1155" s="7"/>
      <c r="WNC1155" s="7"/>
      <c r="WND1155" s="7"/>
      <c r="WNE1155" s="7"/>
      <c r="WNF1155" s="7"/>
      <c r="WNG1155" s="7"/>
      <c r="WNH1155" s="7"/>
      <c r="WNI1155" s="7"/>
      <c r="WNJ1155" s="7"/>
      <c r="WNK1155" s="7"/>
      <c r="WNL1155" s="7"/>
      <c r="WNM1155" s="7"/>
      <c r="WNN1155" s="7"/>
      <c r="WNO1155" s="7"/>
      <c r="WNP1155" s="7"/>
      <c r="WNQ1155" s="7"/>
      <c r="WNR1155" s="7"/>
      <c r="WNS1155" s="7"/>
      <c r="WNT1155" s="7"/>
      <c r="WNU1155" s="7"/>
      <c r="WNV1155" s="7"/>
      <c r="WNW1155" s="7"/>
      <c r="WNX1155" s="7"/>
      <c r="WNY1155" s="7"/>
      <c r="WNZ1155" s="7"/>
      <c r="WOA1155" s="7"/>
      <c r="WOB1155" s="7"/>
      <c r="WOC1155" s="7"/>
      <c r="WOD1155" s="7"/>
      <c r="WOE1155" s="7"/>
      <c r="WOF1155" s="7"/>
      <c r="WOG1155" s="7"/>
      <c r="WOH1155" s="7"/>
      <c r="WOI1155" s="7"/>
      <c r="WOJ1155" s="7"/>
      <c r="WOK1155" s="7"/>
      <c r="WOL1155" s="7"/>
      <c r="WOM1155" s="7"/>
      <c r="WON1155" s="7"/>
      <c r="WOO1155" s="7"/>
      <c r="WOP1155" s="7"/>
      <c r="WOQ1155" s="7"/>
      <c r="WOR1155" s="7"/>
      <c r="WOS1155" s="7"/>
      <c r="WOT1155" s="7"/>
      <c r="WOU1155" s="7"/>
      <c r="WOV1155" s="7"/>
      <c r="WOW1155" s="7"/>
      <c r="WOX1155" s="7"/>
      <c r="WOY1155" s="7"/>
      <c r="WOZ1155" s="7"/>
      <c r="WPA1155" s="7"/>
      <c r="WPB1155" s="7"/>
      <c r="WPC1155" s="7"/>
      <c r="WPD1155" s="7"/>
      <c r="WPE1155" s="7"/>
      <c r="WPF1155" s="7"/>
      <c r="WPG1155" s="7"/>
      <c r="WPH1155" s="7"/>
      <c r="WPI1155" s="7"/>
      <c r="WPJ1155" s="7"/>
      <c r="WPK1155" s="7"/>
      <c r="WPL1155" s="7"/>
      <c r="WPM1155" s="7"/>
      <c r="WPN1155" s="7"/>
      <c r="WPO1155" s="7"/>
      <c r="WPP1155" s="7"/>
      <c r="WPQ1155" s="7"/>
      <c r="WPR1155" s="7"/>
      <c r="WPS1155" s="7"/>
      <c r="WPT1155" s="7"/>
      <c r="WPU1155" s="7"/>
      <c r="WPV1155" s="7"/>
      <c r="WPW1155" s="7"/>
      <c r="WPX1155" s="7"/>
      <c r="WPY1155" s="7"/>
      <c r="WPZ1155" s="7"/>
      <c r="WQA1155" s="7"/>
      <c r="WQB1155" s="7"/>
      <c r="WQC1155" s="7"/>
      <c r="WQD1155" s="7"/>
      <c r="WQE1155" s="7"/>
      <c r="WQF1155" s="7"/>
      <c r="WQG1155" s="7"/>
      <c r="WQH1155" s="7"/>
      <c r="WQI1155" s="7"/>
      <c r="WQJ1155" s="7"/>
      <c r="WQK1155" s="7"/>
      <c r="WQL1155" s="7"/>
      <c r="WQM1155" s="7"/>
      <c r="WQN1155" s="7"/>
      <c r="WQO1155" s="7"/>
      <c r="WQP1155" s="7"/>
      <c r="WQQ1155" s="7"/>
      <c r="WQR1155" s="7"/>
      <c r="WQS1155" s="7"/>
      <c r="WQT1155" s="7"/>
      <c r="WQU1155" s="7"/>
      <c r="WQV1155" s="7"/>
      <c r="WQW1155" s="7"/>
      <c r="WQX1155" s="7"/>
      <c r="WQY1155" s="7"/>
      <c r="WQZ1155" s="7"/>
      <c r="WRA1155" s="7"/>
      <c r="WRB1155" s="7"/>
      <c r="WRC1155" s="7"/>
      <c r="WRD1155" s="7"/>
      <c r="WRE1155" s="7"/>
      <c r="WRF1155" s="7"/>
      <c r="WRG1155" s="7"/>
      <c r="WRH1155" s="7"/>
      <c r="WRI1155" s="7"/>
      <c r="WRJ1155" s="7"/>
      <c r="WRK1155" s="7"/>
      <c r="WRL1155" s="7"/>
      <c r="WRM1155" s="7"/>
      <c r="WRN1155" s="7"/>
      <c r="WRO1155" s="7"/>
      <c r="WRP1155" s="7"/>
      <c r="WRQ1155" s="7"/>
      <c r="WRR1155" s="7"/>
      <c r="WRS1155" s="7"/>
      <c r="WRT1155" s="7"/>
      <c r="WRU1155" s="7"/>
      <c r="WRV1155" s="7"/>
      <c r="WRW1155" s="7"/>
      <c r="WRX1155" s="7"/>
      <c r="WRY1155" s="7"/>
      <c r="WRZ1155" s="7"/>
      <c r="WSA1155" s="7"/>
      <c r="WSB1155" s="7"/>
      <c r="WSC1155" s="7"/>
      <c r="WSD1155" s="7"/>
      <c r="WSE1155" s="7"/>
      <c r="WSF1155" s="7"/>
      <c r="WSG1155" s="7"/>
      <c r="WSH1155" s="7"/>
      <c r="WSI1155" s="7"/>
      <c r="WSJ1155" s="7"/>
      <c r="WSK1155" s="7"/>
      <c r="WSL1155" s="7"/>
      <c r="WSM1155" s="7"/>
      <c r="WSN1155" s="7"/>
      <c r="WSO1155" s="7"/>
      <c r="WSP1155" s="7"/>
      <c r="WSQ1155" s="7"/>
      <c r="WSR1155" s="7"/>
      <c r="WSS1155" s="7"/>
      <c r="WST1155" s="7"/>
      <c r="WSU1155" s="7"/>
      <c r="WSV1155" s="7"/>
      <c r="WSW1155" s="7"/>
      <c r="WSX1155" s="7"/>
      <c r="WSY1155" s="7"/>
      <c r="WSZ1155" s="7"/>
      <c r="WTA1155" s="7"/>
      <c r="WTB1155" s="7"/>
      <c r="WTC1155" s="7"/>
      <c r="WTD1155" s="7"/>
      <c r="WTE1155" s="7"/>
      <c r="WTF1155" s="7"/>
      <c r="WTG1155" s="7"/>
      <c r="WTH1155" s="7"/>
      <c r="WTI1155" s="7"/>
      <c r="WTJ1155" s="7"/>
      <c r="WTK1155" s="7"/>
      <c r="WTL1155" s="7"/>
      <c r="WTM1155" s="7"/>
      <c r="WTN1155" s="7"/>
      <c r="WTO1155" s="7"/>
      <c r="WTP1155" s="7"/>
      <c r="WTQ1155" s="7"/>
      <c r="WTR1155" s="7"/>
      <c r="WTS1155" s="7"/>
      <c r="WTT1155" s="7"/>
      <c r="WTU1155" s="7"/>
      <c r="WTV1155" s="7"/>
      <c r="WTW1155" s="7"/>
      <c r="WTX1155" s="7"/>
      <c r="WTY1155" s="7"/>
      <c r="WTZ1155" s="7"/>
      <c r="WUA1155" s="7"/>
      <c r="WUB1155" s="7"/>
      <c r="WUC1155" s="7"/>
      <c r="WUD1155" s="7"/>
      <c r="WUE1155" s="7"/>
      <c r="WUF1155" s="7"/>
      <c r="WUG1155" s="7"/>
      <c r="WUH1155" s="7"/>
      <c r="WUI1155" s="7"/>
      <c r="WUJ1155" s="7"/>
      <c r="WUK1155" s="7"/>
      <c r="WUL1155" s="7"/>
      <c r="WUM1155" s="7"/>
      <c r="WUN1155" s="7"/>
      <c r="WUO1155" s="7"/>
      <c r="WUP1155" s="7"/>
      <c r="WUQ1155" s="7"/>
      <c r="WUR1155" s="7"/>
      <c r="WUS1155" s="7"/>
      <c r="WUT1155" s="7"/>
      <c r="WUU1155" s="7"/>
      <c r="WUV1155" s="7"/>
      <c r="WUW1155" s="7"/>
      <c r="WUX1155" s="7"/>
      <c r="WUY1155" s="7"/>
      <c r="WUZ1155" s="7"/>
      <c r="WVA1155" s="7"/>
      <c r="WVB1155" s="7"/>
      <c r="WVC1155" s="7"/>
      <c r="WVD1155" s="7"/>
      <c r="WVE1155" s="7"/>
      <c r="WVF1155" s="7"/>
      <c r="WVG1155" s="7"/>
      <c r="WVH1155" s="7"/>
      <c r="WVI1155" s="7"/>
      <c r="WVJ1155" s="7"/>
      <c r="WVK1155" s="7"/>
      <c r="WVL1155" s="7"/>
      <c r="WVM1155" s="7"/>
      <c r="WVN1155" s="7"/>
      <c r="WVO1155" s="7"/>
      <c r="WVP1155" s="7"/>
      <c r="WVQ1155" s="7"/>
      <c r="WVR1155" s="7"/>
      <c r="WVS1155" s="7"/>
      <c r="WVT1155" s="7"/>
      <c r="WVU1155" s="7"/>
      <c r="WVV1155" s="7"/>
      <c r="WVW1155" s="7"/>
      <c r="WVX1155" s="7"/>
      <c r="WVY1155" s="7"/>
      <c r="WVZ1155" s="7"/>
      <c r="WWA1155" s="7"/>
      <c r="WWB1155" s="7"/>
      <c r="WWC1155" s="7"/>
      <c r="WWD1155" s="7"/>
      <c r="WWE1155" s="7"/>
      <c r="WWF1155" s="7"/>
      <c r="WWG1155" s="7"/>
      <c r="WWH1155" s="7"/>
      <c r="WWI1155" s="7"/>
      <c r="WWJ1155" s="7"/>
      <c r="WWK1155" s="7"/>
      <c r="WWL1155" s="7"/>
      <c r="WWM1155" s="7"/>
      <c r="WWN1155" s="7"/>
      <c r="WWO1155" s="7"/>
      <c r="WWP1155" s="7"/>
      <c r="WWQ1155" s="7"/>
      <c r="WWR1155" s="7"/>
      <c r="WWS1155" s="7"/>
      <c r="WWT1155" s="7"/>
      <c r="WWU1155" s="7"/>
      <c r="WWV1155" s="7"/>
      <c r="WWW1155" s="7"/>
      <c r="WWX1155" s="7"/>
      <c r="WWY1155" s="7"/>
      <c r="WWZ1155" s="7"/>
      <c r="WXA1155" s="7"/>
      <c r="WXB1155" s="7"/>
      <c r="WXC1155" s="7"/>
      <c r="WXD1155" s="7"/>
      <c r="WXE1155" s="7"/>
      <c r="WXF1155" s="7"/>
      <c r="WXG1155" s="7"/>
      <c r="WXH1155" s="7"/>
      <c r="WXI1155" s="7"/>
      <c r="WXJ1155" s="7"/>
      <c r="WXK1155" s="7"/>
      <c r="WXL1155" s="7"/>
      <c r="WXM1155" s="7"/>
      <c r="WXN1155" s="7"/>
      <c r="WXO1155" s="7"/>
      <c r="WXP1155" s="7"/>
      <c r="WXQ1155" s="7"/>
      <c r="WXR1155" s="7"/>
      <c r="WXS1155" s="7"/>
      <c r="WXT1155" s="7"/>
      <c r="WXU1155" s="7"/>
      <c r="WXV1155" s="7"/>
      <c r="WXW1155" s="7"/>
      <c r="WXX1155" s="7"/>
      <c r="WXY1155" s="7"/>
      <c r="WXZ1155" s="7"/>
      <c r="WYA1155" s="7"/>
    </row>
    <row r="1156" spans="1:16199" customFormat="1" ht="61.5" x14ac:dyDescent="0.85">
      <c r="A1156" s="7">
        <v>1</v>
      </c>
      <c r="B1156" s="59">
        <f>SUBTOTAL(103,$A$1032:A1156)</f>
        <v>123</v>
      </c>
      <c r="C1156" s="160" t="s">
        <v>366</v>
      </c>
      <c r="D1156" s="60">
        <f t="shared" si="190"/>
        <v>2769575.78</v>
      </c>
      <c r="E1156" s="60">
        <v>0</v>
      </c>
      <c r="F1156" s="60">
        <v>0</v>
      </c>
      <c r="G1156" s="62">
        <v>1992760</v>
      </c>
      <c r="H1156" s="60">
        <v>0</v>
      </c>
      <c r="I1156" s="60">
        <v>0</v>
      </c>
      <c r="J1156" s="60">
        <v>0</v>
      </c>
      <c r="K1156" s="168">
        <v>0</v>
      </c>
      <c r="L1156" s="60">
        <v>0</v>
      </c>
      <c r="M1156" s="60">
        <v>0</v>
      </c>
      <c r="N1156" s="60">
        <v>0</v>
      </c>
      <c r="O1156" s="60">
        <v>0</v>
      </c>
      <c r="P1156" s="60">
        <v>0</v>
      </c>
      <c r="Q1156" s="60">
        <v>0</v>
      </c>
      <c r="R1156" s="60">
        <v>0</v>
      </c>
      <c r="S1156" s="60">
        <v>0</v>
      </c>
      <c r="T1156" s="60">
        <v>0</v>
      </c>
      <c r="U1156" s="60">
        <v>0</v>
      </c>
      <c r="V1156" s="60">
        <v>0</v>
      </c>
      <c r="W1156" s="60">
        <v>0</v>
      </c>
      <c r="X1156" s="60">
        <v>0</v>
      </c>
      <c r="Y1156" s="60">
        <v>0</v>
      </c>
      <c r="Z1156" s="60">
        <v>0</v>
      </c>
      <c r="AA1156" s="60">
        <v>0</v>
      </c>
      <c r="AB1156" s="60">
        <v>610599</v>
      </c>
      <c r="AC1156" s="60">
        <v>34559.589999999997</v>
      </c>
      <c r="AD1156" s="60">
        <v>131657.19</v>
      </c>
      <c r="AE1156" s="60">
        <v>0</v>
      </c>
      <c r="AF1156" s="170">
        <v>2022</v>
      </c>
      <c r="AG1156" s="170">
        <v>2022</v>
      </c>
      <c r="AH1156" s="63">
        <v>2022</v>
      </c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  <c r="BZ1156" s="7"/>
      <c r="CA1156" s="7"/>
      <c r="CB1156" s="7"/>
      <c r="CC1156" s="7"/>
      <c r="CD1156" s="7"/>
      <c r="CE1156" s="7"/>
      <c r="CF1156" s="7"/>
      <c r="CG1156" s="7"/>
      <c r="CH1156" s="7"/>
      <c r="CI1156" s="7"/>
      <c r="CJ1156" s="7"/>
      <c r="CK1156" s="7"/>
      <c r="CL1156" s="7"/>
      <c r="CM1156" s="7"/>
      <c r="CN1156" s="7"/>
      <c r="CO1156" s="7"/>
      <c r="CP1156" s="7"/>
      <c r="CQ1156" s="7"/>
      <c r="CR1156" s="7"/>
      <c r="CS1156" s="7"/>
      <c r="CT1156" s="7"/>
      <c r="CU1156" s="7"/>
      <c r="CV1156" s="7"/>
      <c r="CW1156" s="7"/>
      <c r="CX1156" s="7"/>
      <c r="CY1156" s="7"/>
      <c r="CZ1156" s="7"/>
      <c r="DA1156" s="7"/>
      <c r="DB1156" s="7"/>
      <c r="DC1156" s="7"/>
      <c r="DD1156" s="7"/>
      <c r="DE1156" s="7"/>
      <c r="DF1156" s="7"/>
      <c r="DG1156" s="7"/>
      <c r="DH1156" s="7"/>
      <c r="DI1156" s="7"/>
      <c r="DJ1156" s="7"/>
      <c r="DK1156" s="7"/>
      <c r="DL1156" s="7"/>
      <c r="DM1156" s="7"/>
      <c r="DN1156" s="7"/>
      <c r="DO1156" s="7"/>
      <c r="DP1156" s="7"/>
      <c r="DQ1156" s="7"/>
      <c r="DR1156" s="7"/>
      <c r="DS1156" s="7"/>
      <c r="DT1156" s="7"/>
      <c r="DU1156" s="7"/>
      <c r="DV1156" s="7"/>
      <c r="DW1156" s="7"/>
      <c r="DX1156" s="7"/>
      <c r="DY1156" s="7"/>
      <c r="DZ1156" s="7"/>
      <c r="EA1156" s="7"/>
      <c r="EB1156" s="7"/>
      <c r="EC1156" s="7"/>
      <c r="ED1156" s="7"/>
      <c r="EE1156" s="7"/>
      <c r="EF1156" s="7"/>
      <c r="EG1156" s="7"/>
      <c r="EH1156" s="7"/>
      <c r="EI1156" s="7"/>
      <c r="EJ1156" s="7"/>
      <c r="EK1156" s="7"/>
      <c r="EL1156" s="7"/>
      <c r="EM1156" s="7"/>
      <c r="EN1156" s="7"/>
      <c r="EO1156" s="7"/>
      <c r="EP1156" s="7"/>
      <c r="EQ1156" s="7"/>
      <c r="ER1156" s="7"/>
      <c r="ES1156" s="7"/>
      <c r="ET1156" s="7"/>
      <c r="EU1156" s="7"/>
      <c r="EV1156" s="7"/>
      <c r="EW1156" s="7"/>
      <c r="EX1156" s="7"/>
      <c r="EY1156" s="7"/>
      <c r="EZ1156" s="7"/>
      <c r="FA1156" s="7"/>
      <c r="FB1156" s="7"/>
      <c r="FC1156" s="7"/>
      <c r="FD1156" s="7"/>
      <c r="FE1156" s="7"/>
      <c r="FF1156" s="7"/>
      <c r="FG1156" s="7"/>
      <c r="FH1156" s="7"/>
      <c r="FI1156" s="7"/>
      <c r="FJ1156" s="7"/>
      <c r="FK1156" s="7"/>
      <c r="FL1156" s="7"/>
      <c r="FM1156" s="7"/>
      <c r="FN1156" s="7"/>
      <c r="FO1156" s="7"/>
      <c r="FP1156" s="7"/>
      <c r="FQ1156" s="7"/>
      <c r="FR1156" s="7"/>
      <c r="FS1156" s="7"/>
      <c r="FT1156" s="7"/>
      <c r="FU1156" s="7"/>
      <c r="FV1156" s="7"/>
      <c r="FW1156" s="7"/>
      <c r="FX1156" s="7"/>
      <c r="FY1156" s="7"/>
      <c r="FZ1156" s="7"/>
      <c r="GA1156" s="7"/>
      <c r="GB1156" s="7"/>
      <c r="GC1156" s="7"/>
      <c r="GD1156" s="7"/>
      <c r="GE1156" s="7"/>
      <c r="GF1156" s="7"/>
      <c r="GG1156" s="7"/>
      <c r="GH1156" s="7"/>
      <c r="GI1156" s="7"/>
      <c r="GJ1156" s="7"/>
      <c r="GK1156" s="7"/>
      <c r="GL1156" s="7"/>
      <c r="GM1156" s="7"/>
      <c r="GN1156" s="7"/>
      <c r="GO1156" s="7"/>
      <c r="GP1156" s="7"/>
      <c r="GQ1156" s="7"/>
      <c r="GR1156" s="7"/>
      <c r="GS1156" s="7"/>
      <c r="GT1156" s="7"/>
      <c r="GU1156" s="7"/>
      <c r="GV1156" s="7"/>
      <c r="GW1156" s="7"/>
      <c r="GX1156" s="7"/>
      <c r="GY1156" s="7"/>
      <c r="GZ1156" s="7"/>
      <c r="HA1156" s="7"/>
      <c r="HB1156" s="7"/>
      <c r="HC1156" s="7"/>
      <c r="HD1156" s="7"/>
      <c r="HE1156" s="7"/>
      <c r="HF1156" s="7"/>
      <c r="HG1156" s="7"/>
      <c r="HH1156" s="7"/>
      <c r="HI1156" s="7"/>
      <c r="HJ1156" s="7"/>
      <c r="HK1156" s="7"/>
      <c r="HL1156" s="7"/>
      <c r="HM1156" s="7"/>
      <c r="HN1156" s="7"/>
      <c r="HO1156" s="7"/>
      <c r="HP1156" s="7"/>
      <c r="HQ1156" s="7"/>
      <c r="HR1156" s="7"/>
      <c r="HS1156" s="7"/>
      <c r="HT1156" s="7"/>
      <c r="HU1156" s="7"/>
      <c r="HV1156" s="7"/>
      <c r="HW1156" s="7"/>
      <c r="HX1156" s="7"/>
      <c r="HY1156" s="7"/>
      <c r="HZ1156" s="7"/>
      <c r="IA1156" s="7"/>
      <c r="IB1156" s="7"/>
      <c r="IC1156" s="7"/>
      <c r="ID1156" s="7"/>
      <c r="IE1156" s="7"/>
      <c r="IF1156" s="7"/>
      <c r="IG1156" s="7"/>
      <c r="IH1156" s="7"/>
      <c r="II1156" s="7"/>
      <c r="IJ1156" s="7"/>
      <c r="IK1156" s="7"/>
      <c r="IL1156" s="7"/>
      <c r="IM1156" s="7"/>
      <c r="IN1156" s="7"/>
      <c r="IO1156" s="7"/>
      <c r="IP1156" s="7"/>
      <c r="IQ1156" s="7"/>
      <c r="IR1156" s="7"/>
      <c r="IS1156" s="7"/>
      <c r="IT1156" s="7"/>
      <c r="IU1156" s="7"/>
      <c r="IV1156" s="7"/>
      <c r="IW1156" s="7"/>
      <c r="IX1156" s="7"/>
      <c r="IY1156" s="7"/>
      <c r="IZ1156" s="7"/>
      <c r="JA1156" s="7"/>
      <c r="JB1156" s="7"/>
      <c r="JC1156" s="7"/>
      <c r="JD1156" s="7"/>
      <c r="JE1156" s="7"/>
      <c r="JF1156" s="7"/>
      <c r="JG1156" s="7"/>
      <c r="JH1156" s="7"/>
      <c r="JI1156" s="7"/>
      <c r="JJ1156" s="7"/>
      <c r="JK1156" s="7"/>
      <c r="JL1156" s="7"/>
      <c r="JM1156" s="7"/>
      <c r="JN1156" s="7"/>
      <c r="JO1156" s="7"/>
      <c r="JP1156" s="7"/>
      <c r="JQ1156" s="7"/>
      <c r="JR1156" s="7"/>
      <c r="JS1156" s="7"/>
      <c r="JT1156" s="7"/>
      <c r="JU1156" s="7"/>
      <c r="JV1156" s="7"/>
      <c r="JW1156" s="7"/>
      <c r="JX1156" s="7"/>
      <c r="JY1156" s="7"/>
      <c r="JZ1156" s="7"/>
      <c r="KA1156" s="7"/>
      <c r="KB1156" s="7"/>
      <c r="KC1156" s="7"/>
      <c r="KD1156" s="7"/>
      <c r="KE1156" s="7"/>
      <c r="KF1156" s="7"/>
      <c r="KG1156" s="7"/>
      <c r="KH1156" s="7"/>
      <c r="KI1156" s="7"/>
      <c r="KJ1156" s="7"/>
      <c r="KK1156" s="7"/>
      <c r="KL1156" s="7"/>
      <c r="KM1156" s="7"/>
      <c r="KN1156" s="7"/>
      <c r="KO1156" s="7"/>
      <c r="KP1156" s="7"/>
      <c r="KQ1156" s="7"/>
      <c r="KR1156" s="7"/>
      <c r="KS1156" s="7"/>
      <c r="KT1156" s="7"/>
      <c r="KU1156" s="7"/>
      <c r="KV1156" s="7"/>
      <c r="KW1156" s="7"/>
      <c r="KX1156" s="7"/>
      <c r="KY1156" s="7"/>
      <c r="KZ1156" s="7"/>
      <c r="LA1156" s="7"/>
      <c r="LB1156" s="7"/>
      <c r="LC1156" s="7"/>
      <c r="LD1156" s="7"/>
      <c r="LE1156" s="7"/>
      <c r="LF1156" s="7"/>
      <c r="LG1156" s="7"/>
      <c r="LH1156" s="7"/>
      <c r="LI1156" s="7"/>
      <c r="LJ1156" s="7"/>
      <c r="LK1156" s="7"/>
      <c r="LL1156" s="7"/>
      <c r="LM1156" s="7"/>
      <c r="LN1156" s="7"/>
      <c r="LO1156" s="7"/>
      <c r="LP1156" s="7"/>
      <c r="LQ1156" s="7"/>
      <c r="LR1156" s="7"/>
      <c r="LS1156" s="7"/>
      <c r="LT1156" s="7"/>
      <c r="LU1156" s="7"/>
      <c r="LV1156" s="7"/>
      <c r="LW1156" s="7"/>
      <c r="LX1156" s="7"/>
      <c r="LY1156" s="7"/>
      <c r="LZ1156" s="7"/>
      <c r="MA1156" s="7"/>
      <c r="MB1156" s="7"/>
      <c r="MC1156" s="7"/>
      <c r="MD1156" s="7"/>
      <c r="ME1156" s="7"/>
      <c r="MF1156" s="7"/>
      <c r="MG1156" s="7"/>
      <c r="MH1156" s="7"/>
      <c r="MI1156" s="7"/>
      <c r="MJ1156" s="7"/>
      <c r="MK1156" s="7"/>
      <c r="ML1156" s="7"/>
      <c r="MM1156" s="7"/>
      <c r="MN1156" s="7"/>
      <c r="MO1156" s="7"/>
      <c r="MP1156" s="7"/>
      <c r="MQ1156" s="7"/>
      <c r="MR1156" s="7"/>
      <c r="MS1156" s="7"/>
      <c r="MT1156" s="7"/>
      <c r="MU1156" s="7"/>
      <c r="MV1156" s="7"/>
      <c r="MW1156" s="7"/>
      <c r="MX1156" s="7"/>
      <c r="MY1156" s="7"/>
      <c r="MZ1156" s="7"/>
      <c r="NA1156" s="7"/>
      <c r="NB1156" s="7"/>
      <c r="NC1156" s="7"/>
      <c r="ND1156" s="7"/>
      <c r="NE1156" s="7"/>
      <c r="NF1156" s="7"/>
      <c r="NG1156" s="7"/>
      <c r="NH1156" s="7"/>
      <c r="NI1156" s="7"/>
      <c r="NJ1156" s="7"/>
      <c r="NK1156" s="7"/>
      <c r="NL1156" s="7"/>
      <c r="NM1156" s="7"/>
      <c r="NN1156" s="7"/>
      <c r="NO1156" s="7"/>
      <c r="NP1156" s="7"/>
      <c r="NQ1156" s="7"/>
      <c r="NR1156" s="7"/>
      <c r="NS1156" s="7"/>
      <c r="NT1156" s="7"/>
      <c r="NU1156" s="7"/>
      <c r="NV1156" s="7"/>
      <c r="NW1156" s="7"/>
      <c r="NX1156" s="7"/>
      <c r="NY1156" s="7"/>
      <c r="NZ1156" s="7"/>
      <c r="OA1156" s="7"/>
      <c r="OB1156" s="7"/>
      <c r="OC1156" s="7"/>
      <c r="OD1156" s="7"/>
      <c r="OE1156" s="7"/>
      <c r="OF1156" s="7"/>
      <c r="OG1156" s="7"/>
      <c r="OH1156" s="7"/>
      <c r="OI1156" s="7"/>
      <c r="OJ1156" s="7"/>
      <c r="OK1156" s="7"/>
      <c r="OL1156" s="7"/>
      <c r="OM1156" s="7"/>
      <c r="ON1156" s="7"/>
      <c r="OO1156" s="7"/>
      <c r="OP1156" s="7"/>
      <c r="OQ1156" s="7"/>
      <c r="OR1156" s="7"/>
      <c r="OS1156" s="7"/>
      <c r="OT1156" s="7"/>
      <c r="OU1156" s="7"/>
      <c r="OV1156" s="7"/>
      <c r="OW1156" s="7"/>
      <c r="OX1156" s="7"/>
      <c r="OY1156" s="7"/>
      <c r="OZ1156" s="7"/>
      <c r="PA1156" s="7"/>
      <c r="PB1156" s="7"/>
      <c r="PC1156" s="7"/>
      <c r="PD1156" s="7"/>
      <c r="PE1156" s="7"/>
      <c r="PF1156" s="7"/>
      <c r="PG1156" s="7"/>
      <c r="PH1156" s="7"/>
      <c r="PI1156" s="7"/>
      <c r="PJ1156" s="7"/>
      <c r="PK1156" s="7"/>
      <c r="PL1156" s="7"/>
      <c r="PM1156" s="7"/>
      <c r="PN1156" s="7"/>
      <c r="PO1156" s="7"/>
      <c r="PP1156" s="7"/>
      <c r="PQ1156" s="7"/>
      <c r="PR1156" s="7"/>
      <c r="PS1156" s="7"/>
      <c r="PT1156" s="7"/>
      <c r="PU1156" s="7"/>
      <c r="PV1156" s="7"/>
      <c r="PW1156" s="7"/>
      <c r="PX1156" s="7"/>
      <c r="PY1156" s="7"/>
      <c r="PZ1156" s="7"/>
      <c r="QA1156" s="7"/>
      <c r="QB1156" s="7"/>
      <c r="QC1156" s="7"/>
      <c r="QD1156" s="7"/>
      <c r="QE1156" s="7"/>
      <c r="QF1156" s="7"/>
      <c r="QG1156" s="7"/>
      <c r="QH1156" s="7"/>
      <c r="QI1156" s="7"/>
      <c r="QJ1156" s="7"/>
      <c r="QK1156" s="7"/>
      <c r="QL1156" s="7"/>
      <c r="QM1156" s="7"/>
      <c r="QN1156" s="7"/>
      <c r="QO1156" s="7"/>
      <c r="QP1156" s="7"/>
      <c r="QQ1156" s="7"/>
      <c r="QR1156" s="7"/>
      <c r="QS1156" s="7"/>
      <c r="QT1156" s="7"/>
      <c r="QU1156" s="7"/>
      <c r="QV1156" s="7"/>
      <c r="QW1156" s="7"/>
      <c r="QX1156" s="7"/>
      <c r="QY1156" s="7"/>
      <c r="QZ1156" s="7"/>
      <c r="RA1156" s="7"/>
      <c r="RB1156" s="7"/>
      <c r="RC1156" s="7"/>
      <c r="RD1156" s="7"/>
      <c r="RE1156" s="7"/>
      <c r="RF1156" s="7"/>
      <c r="RG1156" s="7"/>
      <c r="RH1156" s="7"/>
      <c r="RI1156" s="7"/>
      <c r="RJ1156" s="7"/>
      <c r="RK1156" s="7"/>
      <c r="RL1156" s="7"/>
      <c r="RM1156" s="7"/>
      <c r="RN1156" s="7"/>
      <c r="RO1156" s="7"/>
      <c r="RP1156" s="7"/>
      <c r="RQ1156" s="7"/>
      <c r="RR1156" s="7"/>
      <c r="RS1156" s="7"/>
      <c r="RT1156" s="7"/>
      <c r="RU1156" s="7"/>
      <c r="RV1156" s="7"/>
      <c r="RW1156" s="7"/>
      <c r="RX1156" s="7"/>
      <c r="RY1156" s="7"/>
      <c r="RZ1156" s="7"/>
      <c r="SA1156" s="7"/>
      <c r="SB1156" s="7"/>
      <c r="SC1156" s="7"/>
      <c r="SD1156" s="7"/>
      <c r="SE1156" s="7"/>
      <c r="SF1156" s="7"/>
      <c r="SG1156" s="7"/>
      <c r="SH1156" s="7"/>
      <c r="SI1156" s="7"/>
      <c r="SJ1156" s="7"/>
      <c r="SK1156" s="7"/>
      <c r="SL1156" s="7"/>
      <c r="SM1156" s="7"/>
      <c r="SN1156" s="7"/>
      <c r="SO1156" s="7"/>
      <c r="SP1156" s="7"/>
      <c r="SQ1156" s="7"/>
      <c r="SR1156" s="7"/>
      <c r="SS1156" s="7"/>
      <c r="ST1156" s="7"/>
      <c r="SU1156" s="7"/>
      <c r="SV1156" s="7"/>
      <c r="SW1156" s="7"/>
      <c r="SX1156" s="7"/>
      <c r="SY1156" s="7"/>
      <c r="SZ1156" s="7"/>
      <c r="TA1156" s="7"/>
      <c r="TB1156" s="7"/>
      <c r="TC1156" s="7"/>
      <c r="TD1156" s="7"/>
      <c r="TE1156" s="7"/>
      <c r="TF1156" s="7"/>
      <c r="TG1156" s="7"/>
      <c r="TH1156" s="7"/>
      <c r="TI1156" s="7"/>
      <c r="TJ1156" s="7"/>
      <c r="TK1156" s="7"/>
      <c r="TL1156" s="7"/>
      <c r="TM1156" s="7"/>
      <c r="TN1156" s="7"/>
      <c r="TO1156" s="7"/>
      <c r="TP1156" s="7"/>
      <c r="TQ1156" s="7"/>
      <c r="TR1156" s="7"/>
      <c r="TS1156" s="7"/>
      <c r="TT1156" s="7"/>
      <c r="TU1156" s="7"/>
      <c r="TV1156" s="7"/>
      <c r="TW1156" s="7"/>
      <c r="TX1156" s="7"/>
      <c r="TY1156" s="7"/>
      <c r="TZ1156" s="7"/>
      <c r="UA1156" s="7"/>
      <c r="UB1156" s="7"/>
      <c r="UC1156" s="7"/>
      <c r="UD1156" s="7"/>
      <c r="UE1156" s="7"/>
      <c r="UF1156" s="7"/>
      <c r="UG1156" s="7"/>
      <c r="UH1156" s="7"/>
      <c r="UI1156" s="7"/>
      <c r="UJ1156" s="7"/>
      <c r="UK1156" s="7"/>
      <c r="UL1156" s="7"/>
      <c r="UM1156" s="7"/>
      <c r="UN1156" s="7"/>
      <c r="UO1156" s="7"/>
      <c r="UP1156" s="7"/>
      <c r="UQ1156" s="7"/>
      <c r="UR1156" s="7"/>
      <c r="US1156" s="7"/>
      <c r="UT1156" s="7"/>
      <c r="UU1156" s="7"/>
      <c r="UV1156" s="7"/>
      <c r="UW1156" s="7"/>
      <c r="UX1156" s="7"/>
      <c r="UY1156" s="7"/>
      <c r="UZ1156" s="7"/>
      <c r="VA1156" s="7"/>
      <c r="VB1156" s="7"/>
      <c r="VC1156" s="7"/>
      <c r="VD1156" s="7"/>
      <c r="VE1156" s="7"/>
      <c r="VF1156" s="7"/>
      <c r="VG1156" s="7"/>
      <c r="VH1156" s="7"/>
      <c r="VI1156" s="7"/>
      <c r="VJ1156" s="7"/>
      <c r="VK1156" s="7"/>
      <c r="VL1156" s="7"/>
      <c r="VM1156" s="7"/>
      <c r="VN1156" s="7"/>
      <c r="VO1156" s="7"/>
      <c r="VP1156" s="7"/>
      <c r="VQ1156" s="7"/>
      <c r="VR1156" s="7"/>
      <c r="VS1156" s="7"/>
      <c r="VT1156" s="7"/>
      <c r="VU1156" s="7"/>
      <c r="VV1156" s="7"/>
      <c r="VW1156" s="7"/>
      <c r="VX1156" s="7"/>
      <c r="VY1156" s="7"/>
      <c r="VZ1156" s="7"/>
      <c r="WA1156" s="7"/>
      <c r="WB1156" s="7"/>
      <c r="WC1156" s="7"/>
      <c r="WD1156" s="7"/>
      <c r="WE1156" s="7"/>
      <c r="WF1156" s="7"/>
      <c r="WG1156" s="7"/>
      <c r="WH1156" s="7"/>
      <c r="WI1156" s="7"/>
      <c r="WJ1156" s="7"/>
      <c r="WK1156" s="7"/>
      <c r="WL1156" s="7"/>
      <c r="WM1156" s="7"/>
      <c r="WN1156" s="7"/>
      <c r="WO1156" s="7"/>
      <c r="WP1156" s="7"/>
      <c r="WQ1156" s="7"/>
      <c r="WR1156" s="7"/>
      <c r="WS1156" s="7"/>
      <c r="WT1156" s="7"/>
      <c r="WU1156" s="7"/>
      <c r="WV1156" s="7"/>
      <c r="WW1156" s="7"/>
      <c r="WX1156" s="7"/>
      <c r="WY1156" s="7"/>
      <c r="WZ1156" s="7"/>
      <c r="XA1156" s="7"/>
      <c r="XB1156" s="7"/>
      <c r="XC1156" s="7"/>
      <c r="XD1156" s="7"/>
      <c r="XE1156" s="7"/>
      <c r="XF1156" s="7"/>
      <c r="XG1156" s="7"/>
      <c r="XH1156" s="7"/>
      <c r="XI1156" s="7"/>
      <c r="XJ1156" s="7"/>
      <c r="XK1156" s="7"/>
      <c r="XL1156" s="7"/>
      <c r="XM1156" s="7"/>
      <c r="XN1156" s="7"/>
      <c r="XO1156" s="7"/>
      <c r="XP1156" s="7"/>
      <c r="XQ1156" s="7"/>
      <c r="XR1156" s="7"/>
      <c r="XS1156" s="7"/>
      <c r="XT1156" s="7"/>
      <c r="XU1156" s="7"/>
      <c r="XV1156" s="7"/>
      <c r="XW1156" s="7"/>
      <c r="XX1156" s="7"/>
      <c r="XY1156" s="7"/>
      <c r="XZ1156" s="7"/>
      <c r="YA1156" s="7"/>
      <c r="YB1156" s="7"/>
      <c r="YC1156" s="7"/>
      <c r="YD1156" s="7"/>
      <c r="YE1156" s="7"/>
      <c r="YF1156" s="7"/>
      <c r="YG1156" s="7"/>
      <c r="YH1156" s="7"/>
      <c r="YI1156" s="7"/>
      <c r="YJ1156" s="7"/>
      <c r="YK1156" s="7"/>
      <c r="YL1156" s="7"/>
      <c r="YM1156" s="7"/>
      <c r="YN1156" s="7"/>
      <c r="YO1156" s="7"/>
      <c r="YP1156" s="7"/>
      <c r="YQ1156" s="7"/>
      <c r="YR1156" s="7"/>
      <c r="YS1156" s="7"/>
      <c r="YT1156" s="7"/>
      <c r="YU1156" s="7"/>
      <c r="YV1156" s="7"/>
      <c r="YW1156" s="7"/>
      <c r="YX1156" s="7"/>
      <c r="YY1156" s="7"/>
      <c r="YZ1156" s="7"/>
      <c r="ZA1156" s="7"/>
      <c r="ZB1156" s="7"/>
      <c r="ZC1156" s="7"/>
      <c r="ZD1156" s="7"/>
      <c r="ZE1156" s="7"/>
      <c r="ZF1156" s="7"/>
      <c r="ZG1156" s="7"/>
      <c r="ZH1156" s="7"/>
      <c r="ZI1156" s="7"/>
      <c r="ZJ1156" s="7"/>
      <c r="ZK1156" s="7"/>
      <c r="ZL1156" s="7"/>
      <c r="ZM1156" s="7"/>
      <c r="ZN1156" s="7"/>
      <c r="ZO1156" s="7"/>
      <c r="ZP1156" s="7"/>
      <c r="ZQ1156" s="7"/>
      <c r="ZR1156" s="7"/>
      <c r="ZS1156" s="7"/>
      <c r="ZT1156" s="7"/>
      <c r="ZU1156" s="7"/>
      <c r="ZV1156" s="7"/>
      <c r="ZW1156" s="7"/>
      <c r="ZX1156" s="7"/>
      <c r="ZY1156" s="7"/>
      <c r="ZZ1156" s="7"/>
      <c r="AAA1156" s="7"/>
      <c r="AAB1156" s="7"/>
      <c r="AAC1156" s="7"/>
      <c r="AAD1156" s="7"/>
      <c r="AAE1156" s="7"/>
      <c r="AAF1156" s="7"/>
      <c r="AAG1156" s="7"/>
      <c r="AAH1156" s="7"/>
      <c r="AAI1156" s="7"/>
      <c r="AAJ1156" s="7"/>
      <c r="AAK1156" s="7"/>
      <c r="AAL1156" s="7"/>
      <c r="AAM1156" s="7"/>
      <c r="AAN1156" s="7"/>
      <c r="AAO1156" s="7"/>
      <c r="AAP1156" s="7"/>
      <c r="AAQ1156" s="7"/>
      <c r="AAR1156" s="7"/>
      <c r="AAS1156" s="7"/>
      <c r="AAT1156" s="7"/>
      <c r="AAU1156" s="7"/>
      <c r="AAV1156" s="7"/>
      <c r="AAW1156" s="7"/>
      <c r="AAX1156" s="7"/>
      <c r="AAY1156" s="7"/>
      <c r="AAZ1156" s="7"/>
      <c r="ABA1156" s="7"/>
      <c r="ABB1156" s="7"/>
      <c r="ABC1156" s="7"/>
      <c r="ABD1156" s="7"/>
      <c r="ABE1156" s="7"/>
      <c r="ABF1156" s="7"/>
      <c r="ABG1156" s="7"/>
      <c r="ABH1156" s="7"/>
      <c r="ABI1156" s="7"/>
      <c r="ABJ1156" s="7"/>
      <c r="ABK1156" s="7"/>
      <c r="ABL1156" s="7"/>
      <c r="ABM1156" s="7"/>
      <c r="ABN1156" s="7"/>
      <c r="ABO1156" s="7"/>
      <c r="ABP1156" s="7"/>
      <c r="ABQ1156" s="7"/>
      <c r="ABR1156" s="7"/>
      <c r="ABS1156" s="7"/>
      <c r="ABT1156" s="7"/>
      <c r="ABU1156" s="7"/>
      <c r="ABV1156" s="7"/>
      <c r="ABW1156" s="7"/>
      <c r="ABX1156" s="7"/>
      <c r="ABY1156" s="7"/>
      <c r="ABZ1156" s="7"/>
      <c r="ACA1156" s="7"/>
      <c r="ACB1156" s="7"/>
      <c r="ACC1156" s="7"/>
      <c r="ACD1156" s="7"/>
      <c r="ACE1156" s="7"/>
      <c r="ACF1156" s="7"/>
      <c r="ACG1156" s="7"/>
      <c r="ACH1156" s="7"/>
      <c r="ACI1156" s="7"/>
      <c r="ACJ1156" s="7"/>
      <c r="ACK1156" s="7"/>
      <c r="ACL1156" s="7"/>
      <c r="ACM1156" s="7"/>
      <c r="ACN1156" s="7"/>
      <c r="ACO1156" s="7"/>
      <c r="ACP1156" s="7"/>
      <c r="ACQ1156" s="7"/>
      <c r="ACR1156" s="7"/>
      <c r="ACS1156" s="7"/>
      <c r="ACT1156" s="7"/>
      <c r="ACU1156" s="7"/>
      <c r="ACV1156" s="7"/>
      <c r="ACW1156" s="7"/>
      <c r="ACX1156" s="7"/>
      <c r="ACY1156" s="7"/>
      <c r="ACZ1156" s="7"/>
      <c r="ADA1156" s="7"/>
      <c r="ADB1156" s="7"/>
      <c r="ADC1156" s="7"/>
      <c r="ADD1156" s="7"/>
      <c r="ADE1156" s="7"/>
      <c r="ADF1156" s="7"/>
      <c r="ADG1156" s="7"/>
      <c r="ADH1156" s="7"/>
      <c r="ADI1156" s="7"/>
      <c r="ADJ1156" s="7"/>
      <c r="ADK1156" s="7"/>
      <c r="ADL1156" s="7"/>
      <c r="ADM1156" s="7"/>
      <c r="ADN1156" s="7"/>
      <c r="ADO1156" s="7"/>
      <c r="ADP1156" s="7"/>
      <c r="ADQ1156" s="7"/>
      <c r="ADR1156" s="7"/>
      <c r="ADS1156" s="7"/>
      <c r="ADT1156" s="7"/>
      <c r="ADU1156" s="7"/>
      <c r="ADV1156" s="7"/>
      <c r="ADW1156" s="7"/>
      <c r="ADX1156" s="7"/>
      <c r="ADY1156" s="7"/>
      <c r="ADZ1156" s="7"/>
      <c r="AEA1156" s="7"/>
      <c r="AEB1156" s="7"/>
      <c r="AEC1156" s="7"/>
      <c r="AED1156" s="7"/>
      <c r="AEE1156" s="7"/>
      <c r="AEF1156" s="7"/>
      <c r="AEG1156" s="7"/>
      <c r="AEH1156" s="7"/>
      <c r="AEI1156" s="7"/>
      <c r="AEJ1156" s="7"/>
      <c r="AEK1156" s="7"/>
      <c r="AEL1156" s="7"/>
      <c r="AEM1156" s="7"/>
      <c r="AEN1156" s="7"/>
      <c r="AEO1156" s="7"/>
      <c r="AEP1156" s="7"/>
      <c r="AEQ1156" s="7"/>
      <c r="AER1156" s="7"/>
      <c r="AES1156" s="7"/>
      <c r="AET1156" s="7"/>
      <c r="AEU1156" s="7"/>
      <c r="AEV1156" s="7"/>
      <c r="AEW1156" s="7"/>
      <c r="AEX1156" s="7"/>
      <c r="AEY1156" s="7"/>
      <c r="AEZ1156" s="7"/>
      <c r="AFA1156" s="7"/>
      <c r="AFB1156" s="7"/>
      <c r="AFC1156" s="7"/>
      <c r="AFD1156" s="7"/>
      <c r="AFE1156" s="7"/>
      <c r="AFF1156" s="7"/>
      <c r="AFG1156" s="7"/>
      <c r="AFH1156" s="7"/>
      <c r="AFI1156" s="7"/>
      <c r="AFJ1156" s="7"/>
      <c r="AFK1156" s="7"/>
      <c r="AFL1156" s="7"/>
      <c r="AFM1156" s="7"/>
      <c r="AFN1156" s="7"/>
      <c r="AFO1156" s="7"/>
      <c r="AFP1156" s="7"/>
      <c r="AFQ1156" s="7"/>
      <c r="AFR1156" s="7"/>
      <c r="AFS1156" s="7"/>
      <c r="AFT1156" s="7"/>
      <c r="AFU1156" s="7"/>
      <c r="AFV1156" s="7"/>
      <c r="AFW1156" s="7"/>
      <c r="AFX1156" s="7"/>
      <c r="AFY1156" s="7"/>
      <c r="AFZ1156" s="7"/>
      <c r="AGA1156" s="7"/>
      <c r="AGB1156" s="7"/>
      <c r="AGC1156" s="7"/>
      <c r="AGD1156" s="7"/>
      <c r="AGE1156" s="7"/>
      <c r="AGF1156" s="7"/>
      <c r="AGG1156" s="7"/>
      <c r="AGH1156" s="7"/>
      <c r="AGI1156" s="7"/>
      <c r="AGJ1156" s="7"/>
      <c r="AGK1156" s="7"/>
      <c r="AGL1156" s="7"/>
      <c r="AGM1156" s="7"/>
      <c r="AGN1156" s="7"/>
      <c r="AGO1156" s="7"/>
      <c r="AGP1156" s="7"/>
      <c r="AGQ1156" s="7"/>
      <c r="AGR1156" s="7"/>
      <c r="AGS1156" s="7"/>
      <c r="AGT1156" s="7"/>
      <c r="AGU1156" s="7"/>
      <c r="AGV1156" s="7"/>
      <c r="AGW1156" s="7"/>
      <c r="AGX1156" s="7"/>
      <c r="AGY1156" s="7"/>
      <c r="AGZ1156" s="7"/>
      <c r="AHA1156" s="7"/>
      <c r="AHB1156" s="7"/>
      <c r="AHC1156" s="7"/>
      <c r="AHD1156" s="7"/>
      <c r="AHE1156" s="7"/>
      <c r="AHF1156" s="7"/>
      <c r="AHG1156" s="7"/>
      <c r="AHH1156" s="7"/>
      <c r="AHI1156" s="7"/>
      <c r="AHJ1156" s="7"/>
      <c r="AHK1156" s="7"/>
      <c r="AHL1156" s="7"/>
      <c r="AHM1156" s="7"/>
      <c r="AHN1156" s="7"/>
      <c r="AHO1156" s="7"/>
      <c r="AHP1156" s="7"/>
      <c r="AHQ1156" s="7"/>
      <c r="AHR1156" s="7"/>
      <c r="AHS1156" s="7"/>
      <c r="AHT1156" s="7"/>
      <c r="AHU1156" s="7"/>
      <c r="AHV1156" s="7"/>
      <c r="AHW1156" s="7"/>
      <c r="AHX1156" s="7"/>
      <c r="AHY1156" s="7"/>
      <c r="AHZ1156" s="7"/>
      <c r="AIA1156" s="7"/>
      <c r="AIB1156" s="7"/>
      <c r="AIC1156" s="7"/>
      <c r="AID1156" s="7"/>
      <c r="AIE1156" s="7"/>
      <c r="AIF1156" s="7"/>
      <c r="AIG1156" s="7"/>
      <c r="AIH1156" s="7"/>
      <c r="AII1156" s="7"/>
      <c r="AIJ1156" s="7"/>
      <c r="AIK1156" s="7"/>
      <c r="AIL1156" s="7"/>
      <c r="AIM1156" s="7"/>
      <c r="AIN1156" s="7"/>
      <c r="AIO1156" s="7"/>
      <c r="AIP1156" s="7"/>
      <c r="AIQ1156" s="7"/>
      <c r="AIR1156" s="7"/>
      <c r="AIS1156" s="7"/>
      <c r="AIT1156" s="7"/>
      <c r="AIU1156" s="7"/>
      <c r="AIV1156" s="7"/>
      <c r="AIW1156" s="7"/>
      <c r="AIX1156" s="7"/>
      <c r="AIY1156" s="7"/>
      <c r="AIZ1156" s="7"/>
      <c r="AJA1156" s="7"/>
      <c r="AJB1156" s="7"/>
      <c r="AJC1156" s="7"/>
      <c r="AJD1156" s="7"/>
      <c r="AJE1156" s="7"/>
      <c r="AJF1156" s="7"/>
      <c r="AJG1156" s="7"/>
      <c r="AJH1156" s="7"/>
      <c r="AJI1156" s="7"/>
      <c r="AJJ1156" s="7"/>
      <c r="AJK1156" s="7"/>
      <c r="AJL1156" s="7"/>
      <c r="AJM1156" s="7"/>
      <c r="AJN1156" s="7"/>
      <c r="AJO1156" s="7"/>
      <c r="AJP1156" s="7"/>
      <c r="AJQ1156" s="7"/>
      <c r="AJR1156" s="7"/>
      <c r="AJS1156" s="7"/>
      <c r="AJT1156" s="7"/>
      <c r="AJU1156" s="7"/>
      <c r="AJV1156" s="7"/>
      <c r="AJW1156" s="7"/>
      <c r="AJX1156" s="7"/>
      <c r="AJY1156" s="7"/>
      <c r="AJZ1156" s="7"/>
      <c r="AKA1156" s="7"/>
      <c r="AKB1156" s="7"/>
      <c r="AKC1156" s="7"/>
      <c r="AKD1156" s="7"/>
      <c r="AKE1156" s="7"/>
      <c r="AKF1156" s="7"/>
      <c r="AKG1156" s="7"/>
      <c r="AKH1156" s="7"/>
      <c r="AKI1156" s="7"/>
      <c r="AKJ1156" s="7"/>
      <c r="AKK1156" s="7"/>
      <c r="AKL1156" s="7"/>
      <c r="AKM1156" s="7"/>
      <c r="AKN1156" s="7"/>
      <c r="AKO1156" s="7"/>
      <c r="AKP1156" s="7"/>
      <c r="AKQ1156" s="7"/>
      <c r="AKR1156" s="7"/>
      <c r="AKS1156" s="7"/>
      <c r="AKT1156" s="7"/>
      <c r="AKU1156" s="7"/>
      <c r="AKV1156" s="7"/>
      <c r="AKW1156" s="7"/>
      <c r="AKX1156" s="7"/>
      <c r="AKY1156" s="7"/>
      <c r="AKZ1156" s="7"/>
      <c r="ALA1156" s="7"/>
      <c r="ALB1156" s="7"/>
      <c r="ALC1156" s="7"/>
      <c r="ALD1156" s="7"/>
      <c r="ALE1156" s="7"/>
      <c r="ALF1156" s="7"/>
      <c r="ALG1156" s="7"/>
      <c r="ALH1156" s="7"/>
      <c r="ALI1156" s="7"/>
      <c r="ALJ1156" s="7"/>
      <c r="ALK1156" s="7"/>
      <c r="ALL1156" s="7"/>
      <c r="ALM1156" s="7"/>
      <c r="ALN1156" s="7"/>
      <c r="ALO1156" s="7"/>
      <c r="ALP1156" s="7"/>
      <c r="ALQ1156" s="7"/>
      <c r="ALR1156" s="7"/>
      <c r="ALS1156" s="7"/>
      <c r="ALT1156" s="7"/>
      <c r="ALU1156" s="7"/>
      <c r="ALV1156" s="7"/>
      <c r="ALW1156" s="7"/>
      <c r="ALX1156" s="7"/>
      <c r="ALY1156" s="7"/>
      <c r="ALZ1156" s="7"/>
      <c r="AMA1156" s="7"/>
      <c r="AMB1156" s="7"/>
      <c r="AMC1156" s="7"/>
      <c r="AMD1156" s="7"/>
      <c r="AME1156" s="7"/>
      <c r="AMF1156" s="7"/>
      <c r="AMG1156" s="7"/>
      <c r="AMH1156" s="7"/>
      <c r="AMI1156" s="7"/>
      <c r="AMJ1156" s="7"/>
      <c r="AMK1156" s="7"/>
      <c r="AML1156" s="7"/>
      <c r="AMM1156" s="7"/>
      <c r="AMN1156" s="7"/>
      <c r="AMO1156" s="7"/>
      <c r="AMP1156" s="7"/>
      <c r="AMQ1156" s="7"/>
      <c r="AMR1156" s="7"/>
      <c r="AMS1156" s="7"/>
      <c r="AMT1156" s="7"/>
      <c r="AMU1156" s="7"/>
      <c r="AMV1156" s="7"/>
      <c r="AMW1156" s="7"/>
      <c r="AMX1156" s="7"/>
      <c r="AMY1156" s="7"/>
      <c r="AMZ1156" s="7"/>
      <c r="ANA1156" s="7"/>
      <c r="ANB1156" s="7"/>
      <c r="ANC1156" s="7"/>
      <c r="AND1156" s="7"/>
      <c r="ANE1156" s="7"/>
      <c r="ANF1156" s="7"/>
      <c r="ANG1156" s="7"/>
      <c r="ANH1156" s="7"/>
      <c r="ANI1156" s="7"/>
      <c r="ANJ1156" s="7"/>
      <c r="ANK1156" s="7"/>
      <c r="ANL1156" s="7"/>
      <c r="ANM1156" s="7"/>
      <c r="ANN1156" s="7"/>
      <c r="ANO1156" s="7"/>
      <c r="ANP1156" s="7"/>
      <c r="ANQ1156" s="7"/>
      <c r="ANR1156" s="7"/>
      <c r="ANS1156" s="7"/>
      <c r="ANT1156" s="7"/>
      <c r="ANU1156" s="7"/>
      <c r="ANV1156" s="7"/>
      <c r="ANW1156" s="7"/>
      <c r="ANX1156" s="7"/>
      <c r="ANY1156" s="7"/>
      <c r="ANZ1156" s="7"/>
      <c r="AOA1156" s="7"/>
      <c r="AOB1156" s="7"/>
      <c r="AOC1156" s="7"/>
      <c r="AOD1156" s="7"/>
      <c r="AOE1156" s="7"/>
      <c r="AOF1156" s="7"/>
      <c r="AOG1156" s="7"/>
      <c r="AOH1156" s="7"/>
      <c r="AOI1156" s="7"/>
      <c r="AOJ1156" s="7"/>
      <c r="AOK1156" s="7"/>
      <c r="AOL1156" s="7"/>
      <c r="AOM1156" s="7"/>
      <c r="AON1156" s="7"/>
      <c r="AOO1156" s="7"/>
      <c r="AOP1156" s="7"/>
      <c r="AOQ1156" s="7"/>
      <c r="AOR1156" s="7"/>
      <c r="AOS1156" s="7"/>
      <c r="AOT1156" s="7"/>
      <c r="AOU1156" s="7"/>
      <c r="AOV1156" s="7"/>
      <c r="AOW1156" s="7"/>
      <c r="AOX1156" s="7"/>
      <c r="AOY1156" s="7"/>
      <c r="AOZ1156" s="7"/>
      <c r="APA1156" s="7"/>
      <c r="APB1156" s="7"/>
      <c r="APC1156" s="7"/>
      <c r="APD1156" s="7"/>
      <c r="APE1156" s="7"/>
      <c r="APF1156" s="7"/>
      <c r="APG1156" s="7"/>
      <c r="APH1156" s="7"/>
      <c r="API1156" s="7"/>
      <c r="APJ1156" s="7"/>
      <c r="APK1156" s="7"/>
      <c r="APL1156" s="7"/>
      <c r="APM1156" s="7"/>
      <c r="APN1156" s="7"/>
      <c r="APO1156" s="7"/>
      <c r="APP1156" s="7"/>
      <c r="APQ1156" s="7"/>
      <c r="APR1156" s="7"/>
      <c r="APS1156" s="7"/>
      <c r="APT1156" s="7"/>
      <c r="APU1156" s="7"/>
      <c r="APV1156" s="7"/>
      <c r="APW1156" s="7"/>
      <c r="APX1156" s="7"/>
      <c r="APY1156" s="7"/>
      <c r="APZ1156" s="7"/>
      <c r="AQA1156" s="7"/>
      <c r="AQB1156" s="7"/>
      <c r="AQC1156" s="7"/>
      <c r="AQD1156" s="7"/>
      <c r="AQE1156" s="7"/>
      <c r="AQF1156" s="7"/>
      <c r="AQG1156" s="7"/>
      <c r="AQH1156" s="7"/>
      <c r="AQI1156" s="7"/>
      <c r="AQJ1156" s="7"/>
      <c r="AQK1156" s="7"/>
      <c r="AQL1156" s="7"/>
      <c r="AQM1156" s="7"/>
      <c r="AQN1156" s="7"/>
      <c r="AQO1156" s="7"/>
      <c r="AQP1156" s="7"/>
      <c r="AQQ1156" s="7"/>
      <c r="AQR1156" s="7"/>
      <c r="AQS1156" s="7"/>
      <c r="AQT1156" s="7"/>
      <c r="AQU1156" s="7"/>
      <c r="AQV1156" s="7"/>
      <c r="AQW1156" s="7"/>
      <c r="AQX1156" s="7"/>
      <c r="AQY1156" s="7"/>
      <c r="AQZ1156" s="7"/>
      <c r="ARA1156" s="7"/>
      <c r="ARB1156" s="7"/>
      <c r="ARC1156" s="7"/>
      <c r="ARD1156" s="7"/>
      <c r="ARE1156" s="7"/>
      <c r="ARF1156" s="7"/>
      <c r="ARG1156" s="7"/>
      <c r="ARH1156" s="7"/>
      <c r="ARI1156" s="7"/>
      <c r="ARJ1156" s="7"/>
      <c r="ARK1156" s="7"/>
      <c r="ARL1156" s="7"/>
      <c r="ARM1156" s="7"/>
      <c r="ARN1156" s="7"/>
      <c r="ARO1156" s="7"/>
      <c r="ARP1156" s="7"/>
      <c r="ARQ1156" s="7"/>
      <c r="ARR1156" s="7"/>
      <c r="ARS1156" s="7"/>
      <c r="ART1156" s="7"/>
      <c r="ARU1156" s="7"/>
      <c r="ARV1156" s="7"/>
      <c r="ARW1156" s="7"/>
      <c r="ARX1156" s="7"/>
      <c r="ARY1156" s="7"/>
      <c r="ARZ1156" s="7"/>
      <c r="ASA1156" s="7"/>
      <c r="ASB1156" s="7"/>
      <c r="ASC1156" s="7"/>
      <c r="ASD1156" s="7"/>
      <c r="ASE1156" s="7"/>
      <c r="ASF1156" s="7"/>
      <c r="ASG1156" s="7"/>
      <c r="ASH1156" s="7"/>
      <c r="ASI1156" s="7"/>
      <c r="ASJ1156" s="7"/>
      <c r="ASK1156" s="7"/>
      <c r="ASL1156" s="7"/>
      <c r="ASM1156" s="7"/>
      <c r="ASN1156" s="7"/>
      <c r="ASO1156" s="7"/>
      <c r="ASP1156" s="7"/>
      <c r="ASQ1156" s="7"/>
      <c r="ASR1156" s="7"/>
      <c r="ASS1156" s="7"/>
      <c r="AST1156" s="7"/>
      <c r="ASU1156" s="7"/>
      <c r="ASV1156" s="7"/>
      <c r="ASW1156" s="7"/>
      <c r="ASX1156" s="7"/>
      <c r="ASY1156" s="7"/>
      <c r="ASZ1156" s="7"/>
      <c r="ATA1156" s="7"/>
      <c r="ATB1156" s="7"/>
      <c r="ATC1156" s="7"/>
      <c r="ATD1156" s="7"/>
      <c r="ATE1156" s="7"/>
      <c r="ATF1156" s="7"/>
      <c r="ATG1156" s="7"/>
      <c r="ATH1156" s="7"/>
      <c r="ATI1156" s="7"/>
      <c r="ATJ1156" s="7"/>
      <c r="ATK1156" s="7"/>
      <c r="ATL1156" s="7"/>
      <c r="ATM1156" s="7"/>
      <c r="ATN1156" s="7"/>
      <c r="ATO1156" s="7"/>
      <c r="ATP1156" s="7"/>
      <c r="ATQ1156" s="7"/>
      <c r="ATR1156" s="7"/>
      <c r="ATS1156" s="7"/>
      <c r="ATT1156" s="7"/>
      <c r="ATU1156" s="7"/>
      <c r="ATV1156" s="7"/>
      <c r="ATW1156" s="7"/>
      <c r="ATX1156" s="7"/>
      <c r="ATY1156" s="7"/>
      <c r="ATZ1156" s="7"/>
      <c r="AUA1156" s="7"/>
      <c r="AUB1156" s="7"/>
      <c r="AUC1156" s="7"/>
      <c r="AUD1156" s="7"/>
      <c r="AUE1156" s="7"/>
      <c r="AUF1156" s="7"/>
      <c r="AUG1156" s="7"/>
      <c r="AUH1156" s="7"/>
      <c r="AUI1156" s="7"/>
      <c r="AUJ1156" s="7"/>
      <c r="AUK1156" s="7"/>
      <c r="AUL1156" s="7"/>
      <c r="AUM1156" s="7"/>
      <c r="AUN1156" s="7"/>
      <c r="AUO1156" s="7"/>
      <c r="AUP1156" s="7"/>
      <c r="AUQ1156" s="7"/>
      <c r="AUR1156" s="7"/>
      <c r="AUS1156" s="7"/>
      <c r="AUT1156" s="7"/>
      <c r="AUU1156" s="7"/>
      <c r="AUV1156" s="7"/>
      <c r="AUW1156" s="7"/>
      <c r="AUX1156" s="7"/>
      <c r="AUY1156" s="7"/>
      <c r="AUZ1156" s="7"/>
      <c r="AVA1156" s="7"/>
      <c r="AVB1156" s="7"/>
      <c r="AVC1156" s="7"/>
      <c r="AVD1156" s="7"/>
      <c r="AVE1156" s="7"/>
      <c r="AVF1156" s="7"/>
      <c r="AVG1156" s="7"/>
      <c r="AVH1156" s="7"/>
      <c r="AVI1156" s="7"/>
      <c r="AVJ1156" s="7"/>
      <c r="AVK1156" s="7"/>
      <c r="AVL1156" s="7"/>
      <c r="AVM1156" s="7"/>
      <c r="AVN1156" s="7"/>
      <c r="AVO1156" s="7"/>
      <c r="AVP1156" s="7"/>
      <c r="AVQ1156" s="7"/>
      <c r="AVR1156" s="7"/>
      <c r="AVS1156" s="7"/>
      <c r="AVT1156" s="7"/>
      <c r="AVU1156" s="7"/>
      <c r="AVV1156" s="7"/>
      <c r="AVW1156" s="7"/>
      <c r="AVX1156" s="7"/>
      <c r="AVY1156" s="7"/>
      <c r="AVZ1156" s="7"/>
      <c r="AWA1156" s="7"/>
      <c r="AWB1156" s="7"/>
      <c r="AWC1156" s="7"/>
      <c r="AWD1156" s="7"/>
      <c r="AWE1156" s="7"/>
      <c r="AWF1156" s="7"/>
      <c r="AWG1156" s="7"/>
      <c r="AWH1156" s="7"/>
      <c r="AWI1156" s="7"/>
      <c r="AWJ1156" s="7"/>
      <c r="AWK1156" s="7"/>
      <c r="AWL1156" s="7"/>
      <c r="AWM1156" s="7"/>
      <c r="AWN1156" s="7"/>
      <c r="AWO1156" s="7"/>
      <c r="AWP1156" s="7"/>
      <c r="AWQ1156" s="7"/>
      <c r="AWR1156" s="7"/>
      <c r="AWS1156" s="7"/>
      <c r="AWT1156" s="7"/>
      <c r="AWU1156" s="7"/>
      <c r="AWV1156" s="7"/>
      <c r="AWW1156" s="7"/>
      <c r="AWX1156" s="7"/>
      <c r="AWY1156" s="7"/>
      <c r="AWZ1156" s="7"/>
      <c r="AXA1156" s="7"/>
      <c r="AXB1156" s="7"/>
      <c r="AXC1156" s="7"/>
      <c r="AXD1156" s="7"/>
      <c r="AXE1156" s="7"/>
      <c r="AXF1156" s="7"/>
      <c r="AXG1156" s="7"/>
      <c r="AXH1156" s="7"/>
      <c r="AXI1156" s="7"/>
      <c r="AXJ1156" s="7"/>
      <c r="AXK1156" s="7"/>
      <c r="AXL1156" s="7"/>
      <c r="AXM1156" s="7"/>
      <c r="AXN1156" s="7"/>
      <c r="AXO1156" s="7"/>
      <c r="AXP1156" s="7"/>
      <c r="AXQ1156" s="7"/>
      <c r="AXR1156" s="7"/>
      <c r="AXS1156" s="7"/>
      <c r="AXT1156" s="7"/>
      <c r="AXU1156" s="7"/>
      <c r="AXV1156" s="7"/>
      <c r="AXW1156" s="7"/>
      <c r="AXX1156" s="7"/>
      <c r="AXY1156" s="7"/>
      <c r="AXZ1156" s="7"/>
      <c r="AYA1156" s="7"/>
      <c r="AYB1156" s="7"/>
      <c r="AYC1156" s="7"/>
      <c r="AYD1156" s="7"/>
      <c r="AYE1156" s="7"/>
      <c r="AYF1156" s="7"/>
      <c r="AYG1156" s="7"/>
      <c r="AYH1156" s="7"/>
      <c r="AYI1156" s="7"/>
      <c r="AYJ1156" s="7"/>
      <c r="AYK1156" s="7"/>
      <c r="AYL1156" s="7"/>
      <c r="AYM1156" s="7"/>
      <c r="AYN1156" s="7"/>
      <c r="AYO1156" s="7"/>
      <c r="AYP1156" s="7"/>
      <c r="AYQ1156" s="7"/>
      <c r="AYR1156" s="7"/>
      <c r="AYS1156" s="7"/>
      <c r="AYT1156" s="7"/>
      <c r="AYU1156" s="7"/>
      <c r="AYV1156" s="7"/>
      <c r="AYW1156" s="7"/>
      <c r="AYX1156" s="7"/>
      <c r="AYY1156" s="7"/>
      <c r="AYZ1156" s="7"/>
      <c r="AZA1156" s="7"/>
      <c r="AZB1156" s="7"/>
      <c r="AZC1156" s="7"/>
      <c r="AZD1156" s="7"/>
      <c r="AZE1156" s="7"/>
      <c r="AZF1156" s="7"/>
      <c r="AZG1156" s="7"/>
      <c r="AZH1156" s="7"/>
      <c r="AZI1156" s="7"/>
      <c r="AZJ1156" s="7"/>
      <c r="AZK1156" s="7"/>
      <c r="AZL1156" s="7"/>
      <c r="AZM1156" s="7"/>
      <c r="AZN1156" s="7"/>
      <c r="AZO1156" s="7"/>
      <c r="AZP1156" s="7"/>
      <c r="AZQ1156" s="7"/>
      <c r="AZR1156" s="7"/>
      <c r="AZS1156" s="7"/>
      <c r="AZT1156" s="7"/>
      <c r="AZU1156" s="7"/>
      <c r="AZV1156" s="7"/>
      <c r="AZW1156" s="7"/>
      <c r="AZX1156" s="7"/>
      <c r="AZY1156" s="7"/>
      <c r="AZZ1156" s="7"/>
      <c r="BAA1156" s="7"/>
      <c r="BAB1156" s="7"/>
      <c r="BAC1156" s="7"/>
      <c r="BAD1156" s="7"/>
      <c r="BAE1156" s="7"/>
      <c r="BAF1156" s="7"/>
      <c r="BAG1156" s="7"/>
      <c r="BAH1156" s="7"/>
      <c r="BAI1156" s="7"/>
      <c r="BAJ1156" s="7"/>
      <c r="BAK1156" s="7"/>
      <c r="BAL1156" s="7"/>
      <c r="BAM1156" s="7"/>
      <c r="BAN1156" s="7"/>
      <c r="BAO1156" s="7"/>
      <c r="BAP1156" s="7"/>
      <c r="BAQ1156" s="7"/>
      <c r="BAR1156" s="7"/>
      <c r="BAS1156" s="7"/>
      <c r="BAT1156" s="7"/>
      <c r="BAU1156" s="7"/>
      <c r="BAV1156" s="7"/>
      <c r="BAW1156" s="7"/>
      <c r="BAX1156" s="7"/>
      <c r="BAY1156" s="7"/>
      <c r="BAZ1156" s="7"/>
      <c r="BBA1156" s="7"/>
      <c r="BBB1156" s="7"/>
      <c r="BBC1156" s="7"/>
      <c r="BBD1156" s="7"/>
      <c r="BBE1156" s="7"/>
      <c r="BBF1156" s="7"/>
      <c r="BBG1156" s="7"/>
      <c r="BBH1156" s="7"/>
      <c r="BBI1156" s="7"/>
      <c r="BBJ1156" s="7"/>
      <c r="BBK1156" s="7"/>
      <c r="BBL1156" s="7"/>
      <c r="BBM1156" s="7"/>
      <c r="BBN1156" s="7"/>
      <c r="BBO1156" s="7"/>
      <c r="BBP1156" s="7"/>
      <c r="BBQ1156" s="7"/>
      <c r="BBR1156" s="7"/>
      <c r="BBS1156" s="7"/>
      <c r="BBT1156" s="7"/>
      <c r="BBU1156" s="7"/>
      <c r="BBV1156" s="7"/>
      <c r="BBW1156" s="7"/>
      <c r="BBX1156" s="7"/>
      <c r="BBY1156" s="7"/>
      <c r="BBZ1156" s="7"/>
      <c r="BCA1156" s="7"/>
      <c r="BCB1156" s="7"/>
      <c r="BCC1156" s="7"/>
      <c r="BCD1156" s="7"/>
      <c r="BCE1156" s="7"/>
      <c r="BCF1156" s="7"/>
      <c r="BCG1156" s="7"/>
      <c r="BCH1156" s="7"/>
      <c r="BCI1156" s="7"/>
      <c r="BCJ1156" s="7"/>
      <c r="BCK1156" s="7"/>
      <c r="BCL1156" s="7"/>
      <c r="BCM1156" s="7"/>
      <c r="BCN1156" s="7"/>
      <c r="BCO1156" s="7"/>
      <c r="BCP1156" s="7"/>
      <c r="BCQ1156" s="7"/>
      <c r="BCR1156" s="7"/>
      <c r="BCS1156" s="7"/>
      <c r="BCT1156" s="7"/>
      <c r="BCU1156" s="7"/>
      <c r="BCV1156" s="7"/>
      <c r="BCW1156" s="7"/>
      <c r="BCX1156" s="7"/>
      <c r="BCY1156" s="7"/>
      <c r="BCZ1156" s="7"/>
      <c r="BDA1156" s="7"/>
      <c r="BDB1156" s="7"/>
      <c r="BDC1156" s="7"/>
      <c r="BDD1156" s="7"/>
      <c r="BDE1156" s="7"/>
      <c r="BDF1156" s="7"/>
      <c r="BDG1156" s="7"/>
      <c r="BDH1156" s="7"/>
      <c r="BDI1156" s="7"/>
      <c r="BDJ1156" s="7"/>
      <c r="BDK1156" s="7"/>
      <c r="BDL1156" s="7"/>
      <c r="BDM1156" s="7"/>
      <c r="BDN1156" s="7"/>
      <c r="BDO1156" s="7"/>
      <c r="BDP1156" s="7"/>
      <c r="BDQ1156" s="7"/>
      <c r="BDR1156" s="7"/>
      <c r="BDS1156" s="7"/>
      <c r="BDT1156" s="7"/>
      <c r="BDU1156" s="7"/>
      <c r="BDV1156" s="7"/>
      <c r="BDW1156" s="7"/>
      <c r="BDX1156" s="7"/>
      <c r="BDY1156" s="7"/>
      <c r="BDZ1156" s="7"/>
      <c r="BEA1156" s="7"/>
      <c r="BEB1156" s="7"/>
      <c r="BEC1156" s="7"/>
      <c r="BED1156" s="7"/>
      <c r="BEE1156" s="7"/>
      <c r="BEF1156" s="7"/>
      <c r="BEG1156" s="7"/>
      <c r="BEH1156" s="7"/>
      <c r="BEI1156" s="7"/>
      <c r="BEJ1156" s="7"/>
      <c r="BEK1156" s="7"/>
      <c r="BEL1156" s="7"/>
      <c r="BEM1156" s="7"/>
      <c r="BEN1156" s="7"/>
      <c r="BEO1156" s="7"/>
      <c r="BEP1156" s="7"/>
      <c r="BEQ1156" s="7"/>
      <c r="BER1156" s="7"/>
      <c r="BES1156" s="7"/>
      <c r="BET1156" s="7"/>
      <c r="BEU1156" s="7"/>
      <c r="BEV1156" s="7"/>
      <c r="BEW1156" s="7"/>
      <c r="BEX1156" s="7"/>
      <c r="BEY1156" s="7"/>
      <c r="BEZ1156" s="7"/>
      <c r="BFA1156" s="7"/>
      <c r="BFB1156" s="7"/>
      <c r="BFC1156" s="7"/>
      <c r="BFD1156" s="7"/>
      <c r="BFE1156" s="7"/>
      <c r="BFF1156" s="7"/>
      <c r="BFG1156" s="7"/>
      <c r="BFH1156" s="7"/>
      <c r="BFI1156" s="7"/>
      <c r="BFJ1156" s="7"/>
      <c r="BFK1156" s="7"/>
      <c r="BFL1156" s="7"/>
      <c r="BFM1156" s="7"/>
      <c r="BFN1156" s="7"/>
      <c r="BFO1156" s="7"/>
      <c r="BFP1156" s="7"/>
      <c r="BFQ1156" s="7"/>
      <c r="BFR1156" s="7"/>
      <c r="BFS1156" s="7"/>
      <c r="BFT1156" s="7"/>
      <c r="BFU1156" s="7"/>
      <c r="BFV1156" s="7"/>
      <c r="BFW1156" s="7"/>
      <c r="BFX1156" s="7"/>
      <c r="BFY1156" s="7"/>
      <c r="BFZ1156" s="7"/>
      <c r="BGA1156" s="7"/>
      <c r="BGB1156" s="7"/>
      <c r="BGC1156" s="7"/>
      <c r="BGD1156" s="7"/>
      <c r="BGE1156" s="7"/>
      <c r="BGF1156" s="7"/>
      <c r="BGG1156" s="7"/>
      <c r="BGH1156" s="7"/>
      <c r="BGI1156" s="7"/>
      <c r="BGJ1156" s="7"/>
      <c r="BGK1156" s="7"/>
      <c r="BGL1156" s="7"/>
      <c r="BGM1156" s="7"/>
      <c r="BGN1156" s="7"/>
      <c r="BGO1156" s="7"/>
      <c r="BGP1156" s="7"/>
      <c r="BGQ1156" s="7"/>
      <c r="BGR1156" s="7"/>
      <c r="BGS1156" s="7"/>
      <c r="BGT1156" s="7"/>
      <c r="BGU1156" s="7"/>
      <c r="BGV1156" s="7"/>
      <c r="BGW1156" s="7"/>
      <c r="BGX1156" s="7"/>
      <c r="BGY1156" s="7"/>
      <c r="BGZ1156" s="7"/>
      <c r="BHA1156" s="7"/>
      <c r="BHB1156" s="7"/>
      <c r="BHC1156" s="7"/>
      <c r="BHD1156" s="7"/>
      <c r="BHE1156" s="7"/>
      <c r="BHF1156" s="7"/>
      <c r="BHG1156" s="7"/>
      <c r="BHH1156" s="7"/>
      <c r="BHI1156" s="7"/>
      <c r="BHJ1156" s="7"/>
      <c r="BHK1156" s="7"/>
      <c r="BHL1156" s="7"/>
      <c r="BHM1156" s="7"/>
      <c r="BHN1156" s="7"/>
      <c r="BHO1156" s="7"/>
      <c r="BHP1156" s="7"/>
      <c r="BHQ1156" s="7"/>
      <c r="BHR1156" s="7"/>
      <c r="BHS1156" s="7"/>
      <c r="BHT1156" s="7"/>
      <c r="BHU1156" s="7"/>
      <c r="BHV1156" s="7"/>
      <c r="BHW1156" s="7"/>
      <c r="BHX1156" s="7"/>
      <c r="BHY1156" s="7"/>
      <c r="BHZ1156" s="7"/>
      <c r="BIA1156" s="7"/>
      <c r="BIB1156" s="7"/>
      <c r="BIC1156" s="7"/>
      <c r="BID1156" s="7"/>
      <c r="BIE1156" s="7"/>
      <c r="BIF1156" s="7"/>
      <c r="BIG1156" s="7"/>
      <c r="BIH1156" s="7"/>
      <c r="BII1156" s="7"/>
      <c r="BIJ1156" s="7"/>
      <c r="BIK1156" s="7"/>
      <c r="BIL1156" s="7"/>
      <c r="BIM1156" s="7"/>
      <c r="BIN1156" s="7"/>
      <c r="BIO1156" s="7"/>
      <c r="BIP1156" s="7"/>
      <c r="BIQ1156" s="7"/>
      <c r="BIR1156" s="7"/>
      <c r="BIS1156" s="7"/>
      <c r="BIT1156" s="7"/>
      <c r="BIU1156" s="7"/>
      <c r="BIV1156" s="7"/>
      <c r="BIW1156" s="7"/>
      <c r="BIX1156" s="7"/>
      <c r="BIY1156" s="7"/>
      <c r="BIZ1156" s="7"/>
      <c r="BJA1156" s="7"/>
      <c r="BJB1156" s="7"/>
      <c r="BJC1156" s="7"/>
      <c r="BJD1156" s="7"/>
      <c r="BJE1156" s="7"/>
      <c r="BJF1156" s="7"/>
      <c r="BJG1156" s="7"/>
      <c r="BJH1156" s="7"/>
      <c r="BJI1156" s="7"/>
      <c r="BJJ1156" s="7"/>
      <c r="BJK1156" s="7"/>
      <c r="BJL1156" s="7"/>
      <c r="BJM1156" s="7"/>
      <c r="BJN1156" s="7"/>
      <c r="BJO1156" s="7"/>
      <c r="BJP1156" s="7"/>
      <c r="BJQ1156" s="7"/>
      <c r="BJR1156" s="7"/>
      <c r="BJS1156" s="7"/>
      <c r="BJT1156" s="7"/>
      <c r="BJU1156" s="7"/>
      <c r="BJV1156" s="7"/>
      <c r="BJW1156" s="7"/>
      <c r="BJX1156" s="7"/>
      <c r="BJY1156" s="7"/>
      <c r="BJZ1156" s="7"/>
      <c r="BKA1156" s="7"/>
      <c r="BKB1156" s="7"/>
      <c r="BKC1156" s="7"/>
      <c r="BKD1156" s="7"/>
      <c r="BKE1156" s="7"/>
      <c r="BKF1156" s="7"/>
      <c r="BKG1156" s="7"/>
      <c r="BKH1156" s="7"/>
      <c r="BKI1156" s="7"/>
      <c r="BKJ1156" s="7"/>
      <c r="BKK1156" s="7"/>
      <c r="BKL1156" s="7"/>
      <c r="BKM1156" s="7"/>
      <c r="BKN1156" s="7"/>
      <c r="BKO1156" s="7"/>
      <c r="BKP1156" s="7"/>
      <c r="BKQ1156" s="7"/>
      <c r="BKR1156" s="7"/>
      <c r="BKS1156" s="7"/>
      <c r="BKT1156" s="7"/>
      <c r="BKU1156" s="7"/>
      <c r="BKV1156" s="7"/>
      <c r="BKW1156" s="7"/>
      <c r="BKX1156" s="7"/>
      <c r="BKY1156" s="7"/>
      <c r="BKZ1156" s="7"/>
      <c r="BLA1156" s="7"/>
      <c r="BLB1156" s="7"/>
      <c r="BLC1156" s="7"/>
      <c r="BLD1156" s="7"/>
      <c r="BLE1156" s="7"/>
      <c r="BLF1156" s="7"/>
      <c r="BLG1156" s="7"/>
      <c r="BLH1156" s="7"/>
      <c r="BLI1156" s="7"/>
      <c r="BLJ1156" s="7"/>
      <c r="BLK1156" s="7"/>
      <c r="BLL1156" s="7"/>
      <c r="BLM1156" s="7"/>
      <c r="BLN1156" s="7"/>
      <c r="BLO1156" s="7"/>
      <c r="BLP1156" s="7"/>
      <c r="BLQ1156" s="7"/>
      <c r="BLR1156" s="7"/>
      <c r="BLS1156" s="7"/>
      <c r="BLT1156" s="7"/>
      <c r="BLU1156" s="7"/>
      <c r="BLV1156" s="7"/>
      <c r="BLW1156" s="7"/>
      <c r="BLX1156" s="7"/>
      <c r="BLY1156" s="7"/>
      <c r="BLZ1156" s="7"/>
      <c r="BMA1156" s="7"/>
      <c r="BMB1156" s="7"/>
      <c r="BMC1156" s="7"/>
      <c r="BMD1156" s="7"/>
      <c r="BME1156" s="7"/>
      <c r="BMF1156" s="7"/>
      <c r="BMG1156" s="7"/>
      <c r="BMH1156" s="7"/>
      <c r="BMI1156" s="7"/>
      <c r="BMJ1156" s="7"/>
      <c r="BMK1156" s="7"/>
      <c r="BML1156" s="7"/>
      <c r="BMM1156" s="7"/>
      <c r="BMN1156" s="7"/>
      <c r="BMO1156" s="7"/>
      <c r="BMP1156" s="7"/>
      <c r="BMQ1156" s="7"/>
      <c r="BMR1156" s="7"/>
      <c r="BMS1156" s="7"/>
      <c r="BMT1156" s="7"/>
      <c r="BMU1156" s="7"/>
      <c r="BMV1156" s="7"/>
      <c r="BMW1156" s="7"/>
      <c r="BMX1156" s="7"/>
      <c r="BMY1156" s="7"/>
      <c r="BMZ1156" s="7"/>
      <c r="BNA1156" s="7"/>
      <c r="BNB1156" s="7"/>
      <c r="BNC1156" s="7"/>
      <c r="BND1156" s="7"/>
      <c r="BNE1156" s="7"/>
      <c r="BNF1156" s="7"/>
      <c r="BNG1156" s="7"/>
      <c r="BNH1156" s="7"/>
      <c r="BNI1156" s="7"/>
      <c r="BNJ1156" s="7"/>
      <c r="BNK1156" s="7"/>
      <c r="BNL1156" s="7"/>
      <c r="BNM1156" s="7"/>
      <c r="BNN1156" s="7"/>
      <c r="BNO1156" s="7"/>
      <c r="BNP1156" s="7"/>
      <c r="BNQ1156" s="7"/>
      <c r="BNR1156" s="7"/>
      <c r="BNS1156" s="7"/>
      <c r="BNT1156" s="7"/>
      <c r="BNU1156" s="7"/>
      <c r="BNV1156" s="7"/>
      <c r="BNW1156" s="7"/>
      <c r="BNX1156" s="7"/>
      <c r="BNY1156" s="7"/>
      <c r="BNZ1156" s="7"/>
      <c r="BOA1156" s="7"/>
      <c r="BOB1156" s="7"/>
      <c r="BOC1156" s="7"/>
      <c r="BOD1156" s="7"/>
      <c r="BOE1156" s="7"/>
      <c r="BOF1156" s="7"/>
      <c r="BOG1156" s="7"/>
      <c r="BOH1156" s="7"/>
      <c r="BOI1156" s="7"/>
      <c r="BOJ1156" s="7"/>
      <c r="BOK1156" s="7"/>
      <c r="BOL1156" s="7"/>
      <c r="BOM1156" s="7"/>
      <c r="BON1156" s="7"/>
      <c r="BOO1156" s="7"/>
      <c r="BOP1156" s="7"/>
      <c r="BOQ1156" s="7"/>
      <c r="BOR1156" s="7"/>
      <c r="BOS1156" s="7"/>
      <c r="BOT1156" s="7"/>
      <c r="BOU1156" s="7"/>
      <c r="BOV1156" s="7"/>
      <c r="BOW1156" s="7"/>
      <c r="BOX1156" s="7"/>
      <c r="BOY1156" s="7"/>
      <c r="BOZ1156" s="7"/>
      <c r="BPA1156" s="7"/>
      <c r="BPB1156" s="7"/>
      <c r="BPC1156" s="7"/>
      <c r="BPD1156" s="7"/>
      <c r="BPE1156" s="7"/>
      <c r="BPF1156" s="7"/>
      <c r="BPG1156" s="7"/>
      <c r="BPH1156" s="7"/>
      <c r="BPI1156" s="7"/>
      <c r="BPJ1156" s="7"/>
      <c r="BPK1156" s="7"/>
      <c r="BPL1156" s="7"/>
      <c r="BPM1156" s="7"/>
      <c r="BPN1156" s="7"/>
      <c r="BPO1156" s="7"/>
      <c r="BPP1156" s="7"/>
      <c r="BPQ1156" s="7"/>
      <c r="BPR1156" s="7"/>
      <c r="BPS1156" s="7"/>
      <c r="BPT1156" s="7"/>
      <c r="BPU1156" s="7"/>
      <c r="BPV1156" s="7"/>
      <c r="BPW1156" s="7"/>
      <c r="BPX1156" s="7"/>
      <c r="BPY1156" s="7"/>
      <c r="BPZ1156" s="7"/>
      <c r="BQA1156" s="7"/>
      <c r="BQB1156" s="7"/>
      <c r="BQC1156" s="7"/>
      <c r="BQD1156" s="7"/>
      <c r="BQE1156" s="7"/>
      <c r="BQF1156" s="7"/>
      <c r="BQG1156" s="7"/>
      <c r="BQH1156" s="7"/>
      <c r="BQI1156" s="7"/>
      <c r="BQJ1156" s="7"/>
      <c r="BQK1156" s="7"/>
      <c r="BQL1156" s="7"/>
      <c r="BQM1156" s="7"/>
      <c r="BQN1156" s="7"/>
      <c r="BQO1156" s="7"/>
      <c r="BQP1156" s="7"/>
      <c r="BQQ1156" s="7"/>
      <c r="BQR1156" s="7"/>
      <c r="BQS1156" s="7"/>
      <c r="BQT1156" s="7"/>
      <c r="BQU1156" s="7"/>
      <c r="BQV1156" s="7"/>
      <c r="BQW1156" s="7"/>
      <c r="BQX1156" s="7"/>
      <c r="BQY1156" s="7"/>
      <c r="BQZ1156" s="7"/>
      <c r="BRA1156" s="7"/>
      <c r="BRB1156" s="7"/>
      <c r="BRC1156" s="7"/>
      <c r="BRD1156" s="7"/>
      <c r="BRE1156" s="7"/>
      <c r="BRF1156" s="7"/>
      <c r="BRG1156" s="7"/>
      <c r="BRH1156" s="7"/>
      <c r="BRI1156" s="7"/>
      <c r="BRJ1156" s="7"/>
      <c r="BRK1156" s="7"/>
      <c r="BRL1156" s="7"/>
      <c r="BRM1156" s="7"/>
      <c r="BRN1156" s="7"/>
      <c r="BRO1156" s="7"/>
      <c r="BRP1156" s="7"/>
      <c r="BRQ1156" s="7"/>
      <c r="BRR1156" s="7"/>
      <c r="BRS1156" s="7"/>
      <c r="BRT1156" s="7"/>
      <c r="BRU1156" s="7"/>
      <c r="BRV1156" s="7"/>
      <c r="BRW1156" s="7"/>
      <c r="BRX1156" s="7"/>
      <c r="BRY1156" s="7"/>
      <c r="BRZ1156" s="7"/>
      <c r="BSA1156" s="7"/>
      <c r="BSB1156" s="7"/>
      <c r="BSC1156" s="7"/>
      <c r="BSD1156" s="7"/>
      <c r="BSE1156" s="7"/>
      <c r="BSF1156" s="7"/>
      <c r="BSG1156" s="7"/>
      <c r="BSH1156" s="7"/>
      <c r="BSI1156" s="7"/>
      <c r="BSJ1156" s="7"/>
      <c r="BSK1156" s="7"/>
      <c r="BSL1156" s="7"/>
      <c r="BSM1156" s="7"/>
      <c r="BSN1156" s="7"/>
      <c r="BSO1156" s="7"/>
      <c r="BSP1156" s="7"/>
      <c r="BSQ1156" s="7"/>
      <c r="BSR1156" s="7"/>
      <c r="BSS1156" s="7"/>
      <c r="BST1156" s="7"/>
      <c r="BSU1156" s="7"/>
      <c r="BSV1156" s="7"/>
      <c r="BSW1156" s="7"/>
      <c r="BSX1156" s="7"/>
      <c r="BSY1156" s="7"/>
      <c r="BSZ1156" s="7"/>
      <c r="BTA1156" s="7"/>
      <c r="BTB1156" s="7"/>
      <c r="BTC1156" s="7"/>
      <c r="BTD1156" s="7"/>
      <c r="BTE1156" s="7"/>
      <c r="BTF1156" s="7"/>
      <c r="BTG1156" s="7"/>
      <c r="BTH1156" s="7"/>
      <c r="BTI1156" s="7"/>
      <c r="BTJ1156" s="7"/>
      <c r="BTK1156" s="7"/>
      <c r="BTL1156" s="7"/>
      <c r="BTM1156" s="7"/>
      <c r="BTN1156" s="7"/>
      <c r="BTO1156" s="7"/>
      <c r="BTP1156" s="7"/>
      <c r="BTQ1156" s="7"/>
      <c r="BTR1156" s="7"/>
      <c r="BTS1156" s="7"/>
      <c r="BTT1156" s="7"/>
      <c r="BTU1156" s="7"/>
      <c r="BTV1156" s="7"/>
      <c r="BTW1156" s="7"/>
      <c r="BTX1156" s="7"/>
      <c r="BTY1156" s="7"/>
      <c r="BTZ1156" s="7"/>
      <c r="BUA1156" s="7"/>
      <c r="BUB1156" s="7"/>
      <c r="BUC1156" s="7"/>
      <c r="BUD1156" s="7"/>
      <c r="BUE1156" s="7"/>
      <c r="BUF1156" s="7"/>
      <c r="BUG1156" s="7"/>
      <c r="BUH1156" s="7"/>
      <c r="BUI1156" s="7"/>
      <c r="BUJ1156" s="7"/>
      <c r="BUK1156" s="7"/>
      <c r="BUL1156" s="7"/>
      <c r="BUM1156" s="7"/>
      <c r="BUN1156" s="7"/>
      <c r="BUO1156" s="7"/>
      <c r="BUP1156" s="7"/>
      <c r="BUQ1156" s="7"/>
      <c r="BUR1156" s="7"/>
      <c r="BUS1156" s="7"/>
      <c r="BUT1156" s="7"/>
      <c r="BUU1156" s="7"/>
      <c r="BUV1156" s="7"/>
      <c r="BUW1156" s="7"/>
      <c r="BUX1156" s="7"/>
      <c r="BUY1156" s="7"/>
      <c r="BUZ1156" s="7"/>
      <c r="BVA1156" s="7"/>
      <c r="BVB1156" s="7"/>
      <c r="BVC1156" s="7"/>
      <c r="BVD1156" s="7"/>
      <c r="BVE1156" s="7"/>
      <c r="BVF1156" s="7"/>
      <c r="BVG1156" s="7"/>
      <c r="BVH1156" s="7"/>
      <c r="BVI1156" s="7"/>
      <c r="BVJ1156" s="7"/>
      <c r="BVK1156" s="7"/>
      <c r="BVL1156" s="7"/>
      <c r="BVM1156" s="7"/>
      <c r="BVN1156" s="7"/>
      <c r="BVO1156" s="7"/>
      <c r="BVP1156" s="7"/>
      <c r="BVQ1156" s="7"/>
      <c r="BVR1156" s="7"/>
      <c r="BVS1156" s="7"/>
      <c r="BVT1156" s="7"/>
      <c r="BVU1156" s="7"/>
      <c r="BVV1156" s="7"/>
      <c r="BVW1156" s="7"/>
      <c r="BVX1156" s="7"/>
      <c r="BVY1156" s="7"/>
      <c r="BVZ1156" s="7"/>
      <c r="BWA1156" s="7"/>
      <c r="BWB1156" s="7"/>
      <c r="BWC1156" s="7"/>
      <c r="BWD1156" s="7"/>
      <c r="BWE1156" s="7"/>
      <c r="BWF1156" s="7"/>
      <c r="BWG1156" s="7"/>
      <c r="BWH1156" s="7"/>
      <c r="BWI1156" s="7"/>
      <c r="BWJ1156" s="7"/>
      <c r="BWK1156" s="7"/>
      <c r="BWL1156" s="7"/>
      <c r="BWM1156" s="7"/>
      <c r="BWN1156" s="7"/>
      <c r="BWO1156" s="7"/>
      <c r="BWP1156" s="7"/>
      <c r="BWQ1156" s="7"/>
      <c r="BWR1156" s="7"/>
      <c r="BWS1156" s="7"/>
      <c r="BWT1156" s="7"/>
      <c r="BWU1156" s="7"/>
      <c r="BWV1156" s="7"/>
      <c r="BWW1156" s="7"/>
      <c r="BWX1156" s="7"/>
      <c r="BWY1156" s="7"/>
      <c r="BWZ1156" s="7"/>
      <c r="BXA1156" s="7"/>
      <c r="BXB1156" s="7"/>
      <c r="BXC1156" s="7"/>
      <c r="BXD1156" s="7"/>
      <c r="BXE1156" s="7"/>
      <c r="BXF1156" s="7"/>
      <c r="BXG1156" s="7"/>
      <c r="BXH1156" s="7"/>
      <c r="BXI1156" s="7"/>
      <c r="BXJ1156" s="7"/>
      <c r="BXK1156" s="7"/>
      <c r="BXL1156" s="7"/>
      <c r="BXM1156" s="7"/>
      <c r="BXN1156" s="7"/>
      <c r="BXO1156" s="7"/>
      <c r="BXP1156" s="7"/>
      <c r="BXQ1156" s="7"/>
      <c r="BXR1156" s="7"/>
      <c r="BXS1156" s="7"/>
      <c r="BXT1156" s="7"/>
      <c r="BXU1156" s="7"/>
      <c r="BXV1156" s="7"/>
      <c r="BXW1156" s="7"/>
      <c r="BXX1156" s="7"/>
      <c r="BXY1156" s="7"/>
      <c r="BXZ1156" s="7"/>
      <c r="BYA1156" s="7"/>
      <c r="BYB1156" s="7"/>
      <c r="BYC1156" s="7"/>
      <c r="BYD1156" s="7"/>
      <c r="BYE1156" s="7"/>
      <c r="BYF1156" s="7"/>
      <c r="BYG1156" s="7"/>
      <c r="BYH1156" s="7"/>
      <c r="BYI1156" s="7"/>
      <c r="BYJ1156" s="7"/>
      <c r="BYK1156" s="7"/>
      <c r="BYL1156" s="7"/>
      <c r="BYM1156" s="7"/>
      <c r="BYN1156" s="7"/>
      <c r="BYO1156" s="7"/>
      <c r="BYP1156" s="7"/>
      <c r="BYQ1156" s="7"/>
      <c r="BYR1156" s="7"/>
      <c r="BYS1156" s="7"/>
      <c r="BYT1156" s="7"/>
      <c r="BYU1156" s="7"/>
      <c r="BYV1156" s="7"/>
      <c r="BYW1156" s="7"/>
      <c r="BYX1156" s="7"/>
      <c r="BYY1156" s="7"/>
      <c r="BYZ1156" s="7"/>
      <c r="BZA1156" s="7"/>
      <c r="BZB1156" s="7"/>
      <c r="BZC1156" s="7"/>
      <c r="BZD1156" s="7"/>
      <c r="BZE1156" s="7"/>
      <c r="BZF1156" s="7"/>
      <c r="BZG1156" s="7"/>
      <c r="BZH1156" s="7"/>
      <c r="BZI1156" s="7"/>
      <c r="BZJ1156" s="7"/>
      <c r="BZK1156" s="7"/>
      <c r="BZL1156" s="7"/>
      <c r="BZM1156" s="7"/>
      <c r="BZN1156" s="7"/>
      <c r="BZO1156" s="7"/>
      <c r="BZP1156" s="7"/>
      <c r="BZQ1156" s="7"/>
      <c r="BZR1156" s="7"/>
      <c r="BZS1156" s="7"/>
      <c r="BZT1156" s="7"/>
      <c r="BZU1156" s="7"/>
      <c r="BZV1156" s="7"/>
      <c r="BZW1156" s="7"/>
      <c r="BZX1156" s="7"/>
      <c r="BZY1156" s="7"/>
      <c r="BZZ1156" s="7"/>
      <c r="CAA1156" s="7"/>
      <c r="CAB1156" s="7"/>
      <c r="CAC1156" s="7"/>
      <c r="CAD1156" s="7"/>
      <c r="CAE1156" s="7"/>
      <c r="CAF1156" s="7"/>
      <c r="CAG1156" s="7"/>
      <c r="CAH1156" s="7"/>
      <c r="CAI1156" s="7"/>
      <c r="CAJ1156" s="7"/>
      <c r="CAK1156" s="7"/>
      <c r="CAL1156" s="7"/>
      <c r="CAM1156" s="7"/>
      <c r="CAN1156" s="7"/>
      <c r="CAO1156" s="7"/>
      <c r="CAP1156" s="7"/>
      <c r="CAQ1156" s="7"/>
      <c r="CAR1156" s="7"/>
      <c r="CAS1156" s="7"/>
      <c r="CAT1156" s="7"/>
      <c r="CAU1156" s="7"/>
      <c r="CAV1156" s="7"/>
      <c r="CAW1156" s="7"/>
      <c r="CAX1156" s="7"/>
      <c r="CAY1156" s="7"/>
      <c r="CAZ1156" s="7"/>
      <c r="CBA1156" s="7"/>
      <c r="CBB1156" s="7"/>
      <c r="CBC1156" s="7"/>
      <c r="CBD1156" s="7"/>
      <c r="CBE1156" s="7"/>
      <c r="CBF1156" s="7"/>
      <c r="CBG1156" s="7"/>
      <c r="CBH1156" s="7"/>
      <c r="CBI1156" s="7"/>
      <c r="CBJ1156" s="7"/>
      <c r="CBK1156" s="7"/>
      <c r="CBL1156" s="7"/>
      <c r="CBM1156" s="7"/>
      <c r="CBN1156" s="7"/>
      <c r="CBO1156" s="7"/>
      <c r="CBP1156" s="7"/>
      <c r="CBQ1156" s="7"/>
      <c r="CBR1156" s="7"/>
      <c r="CBS1156" s="7"/>
      <c r="CBT1156" s="7"/>
      <c r="CBU1156" s="7"/>
      <c r="CBV1156" s="7"/>
      <c r="CBW1156" s="7"/>
      <c r="CBX1156" s="7"/>
      <c r="CBY1156" s="7"/>
      <c r="CBZ1156" s="7"/>
      <c r="CCA1156" s="7"/>
      <c r="CCB1156" s="7"/>
      <c r="CCC1156" s="7"/>
      <c r="CCD1156" s="7"/>
      <c r="CCE1156" s="7"/>
      <c r="CCF1156" s="7"/>
      <c r="CCG1156" s="7"/>
      <c r="CCH1156" s="7"/>
      <c r="CCI1156" s="7"/>
      <c r="CCJ1156" s="7"/>
      <c r="CCK1156" s="7"/>
      <c r="CCL1156" s="7"/>
      <c r="CCM1156" s="7"/>
      <c r="CCN1156" s="7"/>
      <c r="CCO1156" s="7"/>
      <c r="CCP1156" s="7"/>
      <c r="CCQ1156" s="7"/>
      <c r="CCR1156" s="7"/>
      <c r="CCS1156" s="7"/>
      <c r="CCT1156" s="7"/>
      <c r="CCU1156" s="7"/>
      <c r="CCV1156" s="7"/>
      <c r="CCW1156" s="7"/>
      <c r="CCX1156" s="7"/>
      <c r="CCY1156" s="7"/>
      <c r="CCZ1156" s="7"/>
      <c r="CDA1156" s="7"/>
      <c r="CDB1156" s="7"/>
      <c r="CDC1156" s="7"/>
      <c r="CDD1156" s="7"/>
      <c r="CDE1156" s="7"/>
      <c r="CDF1156" s="7"/>
      <c r="CDG1156" s="7"/>
      <c r="CDH1156" s="7"/>
      <c r="CDI1156" s="7"/>
      <c r="CDJ1156" s="7"/>
      <c r="CDK1156" s="7"/>
      <c r="CDL1156" s="7"/>
      <c r="CDM1156" s="7"/>
      <c r="CDN1156" s="7"/>
      <c r="CDO1156" s="7"/>
      <c r="CDP1156" s="7"/>
      <c r="CDQ1156" s="7"/>
      <c r="CDR1156" s="7"/>
      <c r="CDS1156" s="7"/>
      <c r="CDT1156" s="7"/>
      <c r="CDU1156" s="7"/>
      <c r="CDV1156" s="7"/>
      <c r="CDW1156" s="7"/>
      <c r="CDX1156" s="7"/>
      <c r="CDY1156" s="7"/>
      <c r="CDZ1156" s="7"/>
      <c r="CEA1156" s="7"/>
      <c r="CEB1156" s="7"/>
      <c r="CEC1156" s="7"/>
      <c r="CED1156" s="7"/>
      <c r="CEE1156" s="7"/>
      <c r="CEF1156" s="7"/>
      <c r="CEG1156" s="7"/>
      <c r="CEH1156" s="7"/>
      <c r="CEI1156" s="7"/>
      <c r="CEJ1156" s="7"/>
      <c r="CEK1156" s="7"/>
      <c r="CEL1156" s="7"/>
      <c r="CEM1156" s="7"/>
      <c r="CEN1156" s="7"/>
      <c r="CEO1156" s="7"/>
      <c r="CEP1156" s="7"/>
      <c r="CEQ1156" s="7"/>
      <c r="CER1156" s="7"/>
      <c r="CES1156" s="7"/>
      <c r="CET1156" s="7"/>
      <c r="CEU1156" s="7"/>
      <c r="CEV1156" s="7"/>
      <c r="CEW1156" s="7"/>
      <c r="CEX1156" s="7"/>
      <c r="CEY1156" s="7"/>
      <c r="CEZ1156" s="7"/>
      <c r="CFA1156" s="7"/>
      <c r="CFB1156" s="7"/>
      <c r="CFC1156" s="7"/>
      <c r="CFD1156" s="7"/>
      <c r="CFE1156" s="7"/>
      <c r="CFF1156" s="7"/>
      <c r="CFG1156" s="7"/>
      <c r="CFH1156" s="7"/>
      <c r="CFI1156" s="7"/>
      <c r="CFJ1156" s="7"/>
      <c r="CFK1156" s="7"/>
      <c r="CFL1156" s="7"/>
      <c r="CFM1156" s="7"/>
      <c r="CFN1156" s="7"/>
      <c r="CFO1156" s="7"/>
      <c r="CFP1156" s="7"/>
      <c r="CFQ1156" s="7"/>
      <c r="CFR1156" s="7"/>
      <c r="CFS1156" s="7"/>
      <c r="CFT1156" s="7"/>
      <c r="CFU1156" s="7"/>
      <c r="CFV1156" s="7"/>
      <c r="CFW1156" s="7"/>
      <c r="CFX1156" s="7"/>
      <c r="CFY1156" s="7"/>
      <c r="CFZ1156" s="7"/>
      <c r="CGA1156" s="7"/>
      <c r="CGB1156" s="7"/>
      <c r="CGC1156" s="7"/>
      <c r="CGD1156" s="7"/>
      <c r="CGE1156" s="7"/>
      <c r="CGF1156" s="7"/>
      <c r="CGG1156" s="7"/>
      <c r="CGH1156" s="7"/>
      <c r="CGI1156" s="7"/>
      <c r="CGJ1156" s="7"/>
      <c r="CGK1156" s="7"/>
      <c r="CGL1156" s="7"/>
      <c r="CGM1156" s="7"/>
      <c r="CGN1156" s="7"/>
      <c r="CGO1156" s="7"/>
      <c r="CGP1156" s="7"/>
      <c r="CGQ1156" s="7"/>
      <c r="CGR1156" s="7"/>
      <c r="CGS1156" s="7"/>
      <c r="CGT1156" s="7"/>
      <c r="CGU1156" s="7"/>
      <c r="CGV1156" s="7"/>
      <c r="CGW1156" s="7"/>
      <c r="CGX1156" s="7"/>
      <c r="CGY1156" s="7"/>
      <c r="CGZ1156" s="7"/>
      <c r="CHA1156" s="7"/>
      <c r="CHB1156" s="7"/>
      <c r="CHC1156" s="7"/>
      <c r="CHD1156" s="7"/>
      <c r="CHE1156" s="7"/>
      <c r="CHF1156" s="7"/>
      <c r="CHG1156" s="7"/>
      <c r="CHH1156" s="7"/>
      <c r="CHI1156" s="7"/>
      <c r="CHJ1156" s="7"/>
      <c r="CHK1156" s="7"/>
      <c r="CHL1156" s="7"/>
      <c r="CHM1156" s="7"/>
      <c r="CHN1156" s="7"/>
      <c r="CHO1156" s="7"/>
      <c r="CHP1156" s="7"/>
      <c r="CHQ1156" s="7"/>
      <c r="CHR1156" s="7"/>
      <c r="CHS1156" s="7"/>
      <c r="CHT1156" s="7"/>
      <c r="CHU1156" s="7"/>
      <c r="CHV1156" s="7"/>
      <c r="CHW1156" s="7"/>
      <c r="CHX1156" s="7"/>
      <c r="CHY1156" s="7"/>
      <c r="CHZ1156" s="7"/>
      <c r="CIA1156" s="7"/>
      <c r="CIB1156" s="7"/>
      <c r="CIC1156" s="7"/>
      <c r="CID1156" s="7"/>
      <c r="CIE1156" s="7"/>
      <c r="CIF1156" s="7"/>
      <c r="CIG1156" s="7"/>
      <c r="CIH1156" s="7"/>
      <c r="CII1156" s="7"/>
      <c r="CIJ1156" s="7"/>
      <c r="CIK1156" s="7"/>
      <c r="CIL1156" s="7"/>
      <c r="CIM1156" s="7"/>
      <c r="CIN1156" s="7"/>
      <c r="CIO1156" s="7"/>
      <c r="CIP1156" s="7"/>
      <c r="CIQ1156" s="7"/>
      <c r="CIR1156" s="7"/>
      <c r="CIS1156" s="7"/>
      <c r="CIT1156" s="7"/>
      <c r="CIU1156" s="7"/>
      <c r="CIV1156" s="7"/>
      <c r="CIW1156" s="7"/>
      <c r="CIX1156" s="7"/>
      <c r="CIY1156" s="7"/>
      <c r="CIZ1156" s="7"/>
      <c r="CJA1156" s="7"/>
      <c r="CJB1156" s="7"/>
      <c r="CJC1156" s="7"/>
      <c r="CJD1156" s="7"/>
      <c r="CJE1156" s="7"/>
      <c r="CJF1156" s="7"/>
      <c r="CJG1156" s="7"/>
      <c r="CJH1156" s="7"/>
      <c r="CJI1156" s="7"/>
      <c r="CJJ1156" s="7"/>
      <c r="CJK1156" s="7"/>
      <c r="CJL1156" s="7"/>
      <c r="CJM1156" s="7"/>
      <c r="CJN1156" s="7"/>
      <c r="CJO1156" s="7"/>
      <c r="CJP1156" s="7"/>
      <c r="CJQ1156" s="7"/>
      <c r="CJR1156" s="7"/>
      <c r="CJS1156" s="7"/>
      <c r="CJT1156" s="7"/>
      <c r="CJU1156" s="7"/>
      <c r="CJV1156" s="7"/>
      <c r="CJW1156" s="7"/>
      <c r="CJX1156" s="7"/>
      <c r="CJY1156" s="7"/>
      <c r="CJZ1156" s="7"/>
      <c r="CKA1156" s="7"/>
      <c r="CKB1156" s="7"/>
      <c r="CKC1156" s="7"/>
      <c r="CKD1156" s="7"/>
      <c r="CKE1156" s="7"/>
      <c r="CKF1156" s="7"/>
      <c r="CKG1156" s="7"/>
      <c r="CKH1156" s="7"/>
      <c r="CKI1156" s="7"/>
      <c r="CKJ1156" s="7"/>
      <c r="CKK1156" s="7"/>
      <c r="CKL1156" s="7"/>
      <c r="CKM1156" s="7"/>
      <c r="CKN1156" s="7"/>
      <c r="CKO1156" s="7"/>
      <c r="CKP1156" s="7"/>
      <c r="CKQ1156" s="7"/>
      <c r="CKR1156" s="7"/>
      <c r="CKS1156" s="7"/>
      <c r="CKT1156" s="7"/>
      <c r="CKU1156" s="7"/>
      <c r="CKV1156" s="7"/>
      <c r="CKW1156" s="7"/>
      <c r="CKX1156" s="7"/>
      <c r="CKY1156" s="7"/>
      <c r="CKZ1156" s="7"/>
      <c r="CLA1156" s="7"/>
      <c r="CLB1156" s="7"/>
      <c r="CLC1156" s="7"/>
      <c r="CLD1156" s="7"/>
      <c r="CLE1156" s="7"/>
      <c r="CLF1156" s="7"/>
      <c r="CLG1156" s="7"/>
      <c r="CLH1156" s="7"/>
      <c r="CLI1156" s="7"/>
      <c r="CLJ1156" s="7"/>
      <c r="CLK1156" s="7"/>
      <c r="CLL1156" s="7"/>
      <c r="CLM1156" s="7"/>
      <c r="CLN1156" s="7"/>
      <c r="CLO1156" s="7"/>
      <c r="CLP1156" s="7"/>
      <c r="CLQ1156" s="7"/>
      <c r="CLR1156" s="7"/>
      <c r="CLS1156" s="7"/>
      <c r="CLT1156" s="7"/>
      <c r="CLU1156" s="7"/>
      <c r="CLV1156" s="7"/>
      <c r="CLW1156" s="7"/>
      <c r="CLX1156" s="7"/>
      <c r="CLY1156" s="7"/>
      <c r="CLZ1156" s="7"/>
      <c r="CMA1156" s="7"/>
      <c r="CMB1156" s="7"/>
      <c r="CMC1156" s="7"/>
      <c r="CMD1156" s="7"/>
      <c r="CME1156" s="7"/>
      <c r="CMF1156" s="7"/>
      <c r="CMG1156" s="7"/>
      <c r="CMH1156" s="7"/>
      <c r="CMI1156" s="7"/>
      <c r="CMJ1156" s="7"/>
      <c r="CMK1156" s="7"/>
      <c r="CML1156" s="7"/>
      <c r="CMM1156" s="7"/>
      <c r="CMN1156" s="7"/>
      <c r="CMO1156" s="7"/>
      <c r="CMP1156" s="7"/>
      <c r="CMQ1156" s="7"/>
      <c r="CMR1156" s="7"/>
      <c r="CMS1156" s="7"/>
      <c r="CMT1156" s="7"/>
      <c r="CMU1156" s="7"/>
      <c r="CMV1156" s="7"/>
      <c r="CMW1156" s="7"/>
      <c r="CMX1156" s="7"/>
      <c r="CMY1156" s="7"/>
      <c r="CMZ1156" s="7"/>
      <c r="CNA1156" s="7"/>
      <c r="CNB1156" s="7"/>
      <c r="CNC1156" s="7"/>
      <c r="CND1156" s="7"/>
      <c r="CNE1156" s="7"/>
      <c r="CNF1156" s="7"/>
      <c r="CNG1156" s="7"/>
      <c r="CNH1156" s="7"/>
      <c r="CNI1156" s="7"/>
      <c r="CNJ1156" s="7"/>
      <c r="CNK1156" s="7"/>
      <c r="CNL1156" s="7"/>
      <c r="CNM1156" s="7"/>
      <c r="CNN1156" s="7"/>
      <c r="CNO1156" s="7"/>
      <c r="CNP1156" s="7"/>
      <c r="CNQ1156" s="7"/>
      <c r="CNR1156" s="7"/>
      <c r="CNS1156" s="7"/>
      <c r="CNT1156" s="7"/>
      <c r="CNU1156" s="7"/>
      <c r="CNV1156" s="7"/>
      <c r="CNW1156" s="7"/>
      <c r="CNX1156" s="7"/>
      <c r="CNY1156" s="7"/>
      <c r="CNZ1156" s="7"/>
      <c r="COA1156" s="7"/>
      <c r="COB1156" s="7"/>
      <c r="COC1156" s="7"/>
      <c r="COD1156" s="7"/>
      <c r="COE1156" s="7"/>
      <c r="COF1156" s="7"/>
      <c r="COG1156" s="7"/>
      <c r="COH1156" s="7"/>
      <c r="COI1156" s="7"/>
      <c r="COJ1156" s="7"/>
      <c r="COK1156" s="7"/>
      <c r="COL1156" s="7"/>
      <c r="COM1156" s="7"/>
      <c r="CON1156" s="7"/>
      <c r="COO1156" s="7"/>
      <c r="COP1156" s="7"/>
      <c r="COQ1156" s="7"/>
      <c r="COR1156" s="7"/>
      <c r="COS1156" s="7"/>
      <c r="COT1156" s="7"/>
      <c r="COU1156" s="7"/>
      <c r="COV1156" s="7"/>
      <c r="COW1156" s="7"/>
      <c r="COX1156" s="7"/>
      <c r="COY1156" s="7"/>
      <c r="COZ1156" s="7"/>
      <c r="CPA1156" s="7"/>
      <c r="CPB1156" s="7"/>
      <c r="CPC1156" s="7"/>
      <c r="CPD1156" s="7"/>
      <c r="CPE1156" s="7"/>
      <c r="CPF1156" s="7"/>
      <c r="CPG1156" s="7"/>
      <c r="CPH1156" s="7"/>
      <c r="CPI1156" s="7"/>
      <c r="CPJ1156" s="7"/>
      <c r="CPK1156" s="7"/>
      <c r="CPL1156" s="7"/>
      <c r="CPM1156" s="7"/>
      <c r="CPN1156" s="7"/>
      <c r="CPO1156" s="7"/>
      <c r="CPP1156" s="7"/>
      <c r="CPQ1156" s="7"/>
      <c r="CPR1156" s="7"/>
      <c r="CPS1156" s="7"/>
      <c r="CPT1156" s="7"/>
      <c r="CPU1156" s="7"/>
      <c r="CPV1156" s="7"/>
      <c r="CPW1156" s="7"/>
      <c r="CPX1156" s="7"/>
      <c r="CPY1156" s="7"/>
      <c r="CPZ1156" s="7"/>
      <c r="CQA1156" s="7"/>
      <c r="CQB1156" s="7"/>
      <c r="CQC1156" s="7"/>
      <c r="CQD1156" s="7"/>
      <c r="CQE1156" s="7"/>
      <c r="CQF1156" s="7"/>
      <c r="CQG1156" s="7"/>
      <c r="CQH1156" s="7"/>
      <c r="CQI1156" s="7"/>
      <c r="CQJ1156" s="7"/>
      <c r="CQK1156" s="7"/>
      <c r="CQL1156" s="7"/>
      <c r="CQM1156" s="7"/>
      <c r="CQN1156" s="7"/>
      <c r="CQO1156" s="7"/>
      <c r="CQP1156" s="7"/>
      <c r="CQQ1156" s="7"/>
      <c r="CQR1156" s="7"/>
      <c r="CQS1156" s="7"/>
      <c r="CQT1156" s="7"/>
      <c r="CQU1156" s="7"/>
      <c r="CQV1156" s="7"/>
      <c r="CQW1156" s="7"/>
      <c r="CQX1156" s="7"/>
      <c r="CQY1156" s="7"/>
      <c r="CQZ1156" s="7"/>
      <c r="CRA1156" s="7"/>
      <c r="CRB1156" s="7"/>
      <c r="CRC1156" s="7"/>
      <c r="CRD1156" s="7"/>
      <c r="CRE1156" s="7"/>
      <c r="CRF1156" s="7"/>
      <c r="CRG1156" s="7"/>
      <c r="CRH1156" s="7"/>
      <c r="CRI1156" s="7"/>
      <c r="CRJ1156" s="7"/>
      <c r="CRK1156" s="7"/>
      <c r="CRL1156" s="7"/>
      <c r="CRM1156" s="7"/>
      <c r="CRN1156" s="7"/>
      <c r="CRO1156" s="7"/>
      <c r="CRP1156" s="7"/>
      <c r="CRQ1156" s="7"/>
      <c r="CRR1156" s="7"/>
      <c r="CRS1156" s="7"/>
      <c r="CRT1156" s="7"/>
      <c r="CRU1156" s="7"/>
      <c r="CRV1156" s="7"/>
      <c r="CRW1156" s="7"/>
      <c r="CRX1156" s="7"/>
      <c r="CRY1156" s="7"/>
      <c r="CRZ1156" s="7"/>
      <c r="CSA1156" s="7"/>
      <c r="CSB1156" s="7"/>
      <c r="CSC1156" s="7"/>
      <c r="CSD1156" s="7"/>
      <c r="CSE1156" s="7"/>
      <c r="CSF1156" s="7"/>
      <c r="CSG1156" s="7"/>
      <c r="CSH1156" s="7"/>
      <c r="CSI1156" s="7"/>
      <c r="CSJ1156" s="7"/>
      <c r="CSK1156" s="7"/>
      <c r="CSL1156" s="7"/>
      <c r="CSM1156" s="7"/>
      <c r="CSN1156" s="7"/>
      <c r="CSO1156" s="7"/>
      <c r="CSP1156" s="7"/>
      <c r="CSQ1156" s="7"/>
      <c r="CSR1156" s="7"/>
      <c r="CSS1156" s="7"/>
      <c r="CST1156" s="7"/>
      <c r="CSU1156" s="7"/>
      <c r="CSV1156" s="7"/>
      <c r="CSW1156" s="7"/>
      <c r="CSX1156" s="7"/>
      <c r="CSY1156" s="7"/>
      <c r="CSZ1156" s="7"/>
      <c r="CTA1156" s="7"/>
      <c r="CTB1156" s="7"/>
      <c r="CTC1156" s="7"/>
      <c r="CTD1156" s="7"/>
      <c r="CTE1156" s="7"/>
      <c r="CTF1156" s="7"/>
      <c r="CTG1156" s="7"/>
      <c r="CTH1156" s="7"/>
      <c r="CTI1156" s="7"/>
      <c r="CTJ1156" s="7"/>
      <c r="CTK1156" s="7"/>
      <c r="CTL1156" s="7"/>
      <c r="CTM1156" s="7"/>
      <c r="CTN1156" s="7"/>
      <c r="CTO1156" s="7"/>
      <c r="CTP1156" s="7"/>
      <c r="CTQ1156" s="7"/>
      <c r="CTR1156" s="7"/>
      <c r="CTS1156" s="7"/>
      <c r="CTT1156" s="7"/>
      <c r="CTU1156" s="7"/>
      <c r="CTV1156" s="7"/>
      <c r="CTW1156" s="7"/>
      <c r="CTX1156" s="7"/>
      <c r="CTY1156" s="7"/>
      <c r="CTZ1156" s="7"/>
      <c r="CUA1156" s="7"/>
      <c r="CUB1156" s="7"/>
      <c r="CUC1156" s="7"/>
      <c r="CUD1156" s="7"/>
      <c r="CUE1156" s="7"/>
      <c r="CUF1156" s="7"/>
      <c r="CUG1156" s="7"/>
      <c r="CUH1156" s="7"/>
      <c r="CUI1156" s="7"/>
      <c r="CUJ1156" s="7"/>
      <c r="CUK1156" s="7"/>
      <c r="CUL1156" s="7"/>
      <c r="CUM1156" s="7"/>
      <c r="CUN1156" s="7"/>
      <c r="CUO1156" s="7"/>
      <c r="CUP1156" s="7"/>
      <c r="CUQ1156" s="7"/>
      <c r="CUR1156" s="7"/>
      <c r="CUS1156" s="7"/>
      <c r="CUT1156" s="7"/>
      <c r="CUU1156" s="7"/>
      <c r="CUV1156" s="7"/>
      <c r="CUW1156" s="7"/>
      <c r="CUX1156" s="7"/>
      <c r="CUY1156" s="7"/>
      <c r="CUZ1156" s="7"/>
      <c r="CVA1156" s="7"/>
      <c r="CVB1156" s="7"/>
      <c r="CVC1156" s="7"/>
      <c r="CVD1156" s="7"/>
      <c r="CVE1156" s="7"/>
      <c r="CVF1156" s="7"/>
      <c r="CVG1156" s="7"/>
      <c r="CVH1156" s="7"/>
      <c r="CVI1156" s="7"/>
      <c r="CVJ1156" s="7"/>
      <c r="CVK1156" s="7"/>
      <c r="CVL1156" s="7"/>
      <c r="CVM1156" s="7"/>
      <c r="CVN1156" s="7"/>
      <c r="CVO1156" s="7"/>
      <c r="CVP1156" s="7"/>
      <c r="CVQ1156" s="7"/>
      <c r="CVR1156" s="7"/>
      <c r="CVS1156" s="7"/>
      <c r="CVT1156" s="7"/>
      <c r="CVU1156" s="7"/>
      <c r="CVV1156" s="7"/>
      <c r="CVW1156" s="7"/>
      <c r="CVX1156" s="7"/>
      <c r="CVY1156" s="7"/>
      <c r="CVZ1156" s="7"/>
      <c r="CWA1156" s="7"/>
      <c r="CWB1156" s="7"/>
      <c r="CWC1156" s="7"/>
      <c r="CWD1156" s="7"/>
      <c r="CWE1156" s="7"/>
      <c r="CWF1156" s="7"/>
      <c r="CWG1156" s="7"/>
      <c r="CWH1156" s="7"/>
      <c r="CWI1156" s="7"/>
      <c r="CWJ1156" s="7"/>
      <c r="CWK1156" s="7"/>
      <c r="CWL1156" s="7"/>
      <c r="CWM1156" s="7"/>
      <c r="CWN1156" s="7"/>
      <c r="CWO1156" s="7"/>
      <c r="CWP1156" s="7"/>
      <c r="CWQ1156" s="7"/>
      <c r="CWR1156" s="7"/>
      <c r="CWS1156" s="7"/>
      <c r="CWT1156" s="7"/>
      <c r="CWU1156" s="7"/>
      <c r="CWV1156" s="7"/>
      <c r="CWW1156" s="7"/>
      <c r="CWX1156" s="7"/>
      <c r="CWY1156" s="7"/>
      <c r="CWZ1156" s="7"/>
      <c r="CXA1156" s="7"/>
      <c r="CXB1156" s="7"/>
      <c r="CXC1156" s="7"/>
      <c r="CXD1156" s="7"/>
      <c r="CXE1156" s="7"/>
      <c r="CXF1156" s="7"/>
      <c r="CXG1156" s="7"/>
      <c r="CXH1156" s="7"/>
      <c r="CXI1156" s="7"/>
      <c r="CXJ1156" s="7"/>
      <c r="CXK1156" s="7"/>
      <c r="CXL1156" s="7"/>
      <c r="CXM1156" s="7"/>
      <c r="CXN1156" s="7"/>
      <c r="CXO1156" s="7"/>
      <c r="CXP1156" s="7"/>
      <c r="CXQ1156" s="7"/>
      <c r="CXR1156" s="7"/>
      <c r="CXS1156" s="7"/>
      <c r="CXT1156" s="7"/>
      <c r="CXU1156" s="7"/>
      <c r="CXV1156" s="7"/>
      <c r="CXW1156" s="7"/>
      <c r="CXX1156" s="7"/>
      <c r="CXY1156" s="7"/>
      <c r="CXZ1156" s="7"/>
      <c r="CYA1156" s="7"/>
      <c r="CYB1156" s="7"/>
      <c r="CYC1156" s="7"/>
      <c r="CYD1156" s="7"/>
      <c r="CYE1156" s="7"/>
      <c r="CYF1156" s="7"/>
      <c r="CYG1156" s="7"/>
      <c r="CYH1156" s="7"/>
      <c r="CYI1156" s="7"/>
      <c r="CYJ1156" s="7"/>
      <c r="CYK1156" s="7"/>
      <c r="CYL1156" s="7"/>
      <c r="CYM1156" s="7"/>
      <c r="CYN1156" s="7"/>
      <c r="CYO1156" s="7"/>
      <c r="CYP1156" s="7"/>
      <c r="CYQ1156" s="7"/>
      <c r="CYR1156" s="7"/>
      <c r="CYS1156" s="7"/>
      <c r="CYT1156" s="7"/>
      <c r="CYU1156" s="7"/>
      <c r="CYV1156" s="7"/>
      <c r="CYW1156" s="7"/>
      <c r="CYX1156" s="7"/>
      <c r="CYY1156" s="7"/>
      <c r="CYZ1156" s="7"/>
      <c r="CZA1156" s="7"/>
      <c r="CZB1156" s="7"/>
      <c r="CZC1156" s="7"/>
      <c r="CZD1156" s="7"/>
      <c r="CZE1156" s="7"/>
      <c r="CZF1156" s="7"/>
      <c r="CZG1156" s="7"/>
      <c r="CZH1156" s="7"/>
      <c r="CZI1156" s="7"/>
      <c r="CZJ1156" s="7"/>
      <c r="CZK1156" s="7"/>
      <c r="CZL1156" s="7"/>
      <c r="CZM1156" s="7"/>
      <c r="CZN1156" s="7"/>
      <c r="CZO1156" s="7"/>
      <c r="CZP1156" s="7"/>
      <c r="CZQ1156" s="7"/>
      <c r="CZR1156" s="7"/>
      <c r="CZS1156" s="7"/>
      <c r="CZT1156" s="7"/>
      <c r="CZU1156" s="7"/>
      <c r="CZV1156" s="7"/>
      <c r="CZW1156" s="7"/>
      <c r="CZX1156" s="7"/>
      <c r="CZY1156" s="7"/>
      <c r="CZZ1156" s="7"/>
      <c r="DAA1156" s="7"/>
      <c r="DAB1156" s="7"/>
      <c r="DAC1156" s="7"/>
      <c r="DAD1156" s="7"/>
      <c r="DAE1156" s="7"/>
      <c r="DAF1156" s="7"/>
      <c r="DAG1156" s="7"/>
      <c r="DAH1156" s="7"/>
      <c r="DAI1156" s="7"/>
      <c r="DAJ1156" s="7"/>
      <c r="DAK1156" s="7"/>
      <c r="DAL1156" s="7"/>
      <c r="DAM1156" s="7"/>
      <c r="DAN1156" s="7"/>
      <c r="DAO1156" s="7"/>
      <c r="DAP1156" s="7"/>
      <c r="DAQ1156" s="7"/>
      <c r="DAR1156" s="7"/>
      <c r="DAS1156" s="7"/>
      <c r="DAT1156" s="7"/>
      <c r="DAU1156" s="7"/>
      <c r="DAV1156" s="7"/>
      <c r="DAW1156" s="7"/>
      <c r="DAX1156" s="7"/>
      <c r="DAY1156" s="7"/>
      <c r="DAZ1156" s="7"/>
      <c r="DBA1156" s="7"/>
      <c r="DBB1156" s="7"/>
      <c r="DBC1156" s="7"/>
      <c r="DBD1156" s="7"/>
      <c r="DBE1156" s="7"/>
      <c r="DBF1156" s="7"/>
      <c r="DBG1156" s="7"/>
      <c r="DBH1156" s="7"/>
      <c r="DBI1156" s="7"/>
      <c r="DBJ1156" s="7"/>
      <c r="DBK1156" s="7"/>
      <c r="DBL1156" s="7"/>
      <c r="DBM1156" s="7"/>
      <c r="DBN1156" s="7"/>
      <c r="DBO1156" s="7"/>
      <c r="DBP1156" s="7"/>
      <c r="DBQ1156" s="7"/>
      <c r="DBR1156" s="7"/>
      <c r="DBS1156" s="7"/>
      <c r="DBT1156" s="7"/>
      <c r="DBU1156" s="7"/>
      <c r="DBV1156" s="7"/>
      <c r="DBW1156" s="7"/>
      <c r="DBX1156" s="7"/>
      <c r="DBY1156" s="7"/>
      <c r="DBZ1156" s="7"/>
      <c r="DCA1156" s="7"/>
      <c r="DCB1156" s="7"/>
      <c r="DCC1156" s="7"/>
      <c r="DCD1156" s="7"/>
      <c r="DCE1156" s="7"/>
      <c r="DCF1156" s="7"/>
      <c r="DCG1156" s="7"/>
      <c r="DCH1156" s="7"/>
      <c r="DCI1156" s="7"/>
      <c r="DCJ1156" s="7"/>
      <c r="DCK1156" s="7"/>
      <c r="DCL1156" s="7"/>
      <c r="DCM1156" s="7"/>
      <c r="DCN1156" s="7"/>
      <c r="DCO1156" s="7"/>
      <c r="DCP1156" s="7"/>
      <c r="DCQ1156" s="7"/>
      <c r="DCR1156" s="7"/>
      <c r="DCS1156" s="7"/>
      <c r="DCT1156" s="7"/>
      <c r="DCU1156" s="7"/>
      <c r="DCV1156" s="7"/>
      <c r="DCW1156" s="7"/>
      <c r="DCX1156" s="7"/>
      <c r="DCY1156" s="7"/>
      <c r="DCZ1156" s="7"/>
      <c r="DDA1156" s="7"/>
      <c r="DDB1156" s="7"/>
      <c r="DDC1156" s="7"/>
      <c r="DDD1156" s="7"/>
      <c r="DDE1156" s="7"/>
      <c r="DDF1156" s="7"/>
      <c r="DDG1156" s="7"/>
      <c r="DDH1156" s="7"/>
      <c r="DDI1156" s="7"/>
      <c r="DDJ1156" s="7"/>
      <c r="DDK1156" s="7"/>
      <c r="DDL1156" s="7"/>
      <c r="DDM1156" s="7"/>
      <c r="DDN1156" s="7"/>
      <c r="DDO1156" s="7"/>
      <c r="DDP1156" s="7"/>
      <c r="DDQ1156" s="7"/>
      <c r="DDR1156" s="7"/>
      <c r="DDS1156" s="7"/>
      <c r="DDT1156" s="7"/>
      <c r="DDU1156" s="7"/>
      <c r="DDV1156" s="7"/>
      <c r="DDW1156" s="7"/>
      <c r="DDX1156" s="7"/>
      <c r="DDY1156" s="7"/>
      <c r="DDZ1156" s="7"/>
      <c r="DEA1156" s="7"/>
      <c r="DEB1156" s="7"/>
      <c r="DEC1156" s="7"/>
      <c r="DED1156" s="7"/>
      <c r="DEE1156" s="7"/>
      <c r="DEF1156" s="7"/>
      <c r="DEG1156" s="7"/>
      <c r="DEH1156" s="7"/>
      <c r="DEI1156" s="7"/>
      <c r="DEJ1156" s="7"/>
      <c r="DEK1156" s="7"/>
      <c r="DEL1156" s="7"/>
      <c r="DEM1156" s="7"/>
      <c r="DEN1156" s="7"/>
      <c r="DEO1156" s="7"/>
      <c r="DEP1156" s="7"/>
      <c r="DEQ1156" s="7"/>
      <c r="DER1156" s="7"/>
      <c r="DES1156" s="7"/>
      <c r="DET1156" s="7"/>
      <c r="DEU1156" s="7"/>
      <c r="DEV1156" s="7"/>
      <c r="DEW1156" s="7"/>
      <c r="DEX1156" s="7"/>
      <c r="DEY1156" s="7"/>
      <c r="DEZ1156" s="7"/>
      <c r="DFA1156" s="7"/>
      <c r="DFB1156" s="7"/>
      <c r="DFC1156" s="7"/>
      <c r="DFD1156" s="7"/>
      <c r="DFE1156" s="7"/>
      <c r="DFF1156" s="7"/>
      <c r="DFG1156" s="7"/>
      <c r="DFH1156" s="7"/>
      <c r="DFI1156" s="7"/>
      <c r="DFJ1156" s="7"/>
      <c r="DFK1156" s="7"/>
      <c r="DFL1156" s="7"/>
      <c r="DFM1156" s="7"/>
      <c r="DFN1156" s="7"/>
      <c r="DFO1156" s="7"/>
      <c r="DFP1156" s="7"/>
      <c r="DFQ1156" s="7"/>
      <c r="DFR1156" s="7"/>
      <c r="DFS1156" s="7"/>
      <c r="DFT1156" s="7"/>
      <c r="DFU1156" s="7"/>
      <c r="DFV1156" s="7"/>
      <c r="DFW1156" s="7"/>
      <c r="DFX1156" s="7"/>
      <c r="DFY1156" s="7"/>
      <c r="DFZ1156" s="7"/>
      <c r="DGA1156" s="7"/>
      <c r="DGB1156" s="7"/>
      <c r="DGC1156" s="7"/>
      <c r="DGD1156" s="7"/>
      <c r="DGE1156" s="7"/>
      <c r="DGF1156" s="7"/>
      <c r="DGG1156" s="7"/>
      <c r="DGH1156" s="7"/>
      <c r="DGI1156" s="7"/>
      <c r="DGJ1156" s="7"/>
      <c r="DGK1156" s="7"/>
      <c r="DGL1156" s="7"/>
      <c r="DGM1156" s="7"/>
      <c r="DGN1156" s="7"/>
      <c r="DGO1156" s="7"/>
      <c r="DGP1156" s="7"/>
      <c r="DGQ1156" s="7"/>
      <c r="DGR1156" s="7"/>
      <c r="DGS1156" s="7"/>
      <c r="DGT1156" s="7"/>
      <c r="DGU1156" s="7"/>
      <c r="DGV1156" s="7"/>
      <c r="DGW1156" s="7"/>
      <c r="DGX1156" s="7"/>
      <c r="DGY1156" s="7"/>
      <c r="DGZ1156" s="7"/>
      <c r="DHA1156" s="7"/>
      <c r="DHB1156" s="7"/>
      <c r="DHC1156" s="7"/>
      <c r="DHD1156" s="7"/>
      <c r="DHE1156" s="7"/>
      <c r="DHF1156" s="7"/>
      <c r="DHG1156" s="7"/>
      <c r="DHH1156" s="7"/>
      <c r="DHI1156" s="7"/>
      <c r="DHJ1156" s="7"/>
      <c r="DHK1156" s="7"/>
      <c r="DHL1156" s="7"/>
      <c r="DHM1156" s="7"/>
      <c r="DHN1156" s="7"/>
      <c r="DHO1156" s="7"/>
      <c r="DHP1156" s="7"/>
      <c r="DHQ1156" s="7"/>
      <c r="DHR1156" s="7"/>
      <c r="DHS1156" s="7"/>
      <c r="DHT1156" s="7"/>
      <c r="DHU1156" s="7"/>
      <c r="DHV1156" s="7"/>
      <c r="DHW1156" s="7"/>
      <c r="DHX1156" s="7"/>
      <c r="DHY1156" s="7"/>
      <c r="DHZ1156" s="7"/>
      <c r="DIA1156" s="7"/>
      <c r="DIB1156" s="7"/>
      <c r="DIC1156" s="7"/>
      <c r="DID1156" s="7"/>
      <c r="DIE1156" s="7"/>
      <c r="DIF1156" s="7"/>
      <c r="DIG1156" s="7"/>
      <c r="DIH1156" s="7"/>
      <c r="DII1156" s="7"/>
      <c r="DIJ1156" s="7"/>
      <c r="DIK1156" s="7"/>
      <c r="DIL1156" s="7"/>
      <c r="DIM1156" s="7"/>
      <c r="DIN1156" s="7"/>
      <c r="DIO1156" s="7"/>
      <c r="DIP1156" s="7"/>
      <c r="DIQ1156" s="7"/>
      <c r="DIR1156" s="7"/>
      <c r="DIS1156" s="7"/>
      <c r="DIT1156" s="7"/>
      <c r="DIU1156" s="7"/>
      <c r="DIV1156" s="7"/>
      <c r="DIW1156" s="7"/>
      <c r="DIX1156" s="7"/>
      <c r="DIY1156" s="7"/>
      <c r="DIZ1156" s="7"/>
      <c r="DJA1156" s="7"/>
      <c r="DJB1156" s="7"/>
      <c r="DJC1156" s="7"/>
      <c r="DJD1156" s="7"/>
      <c r="DJE1156" s="7"/>
      <c r="DJF1156" s="7"/>
      <c r="DJG1156" s="7"/>
      <c r="DJH1156" s="7"/>
      <c r="DJI1156" s="7"/>
      <c r="DJJ1156" s="7"/>
      <c r="DJK1156" s="7"/>
      <c r="DJL1156" s="7"/>
      <c r="DJM1156" s="7"/>
      <c r="DJN1156" s="7"/>
      <c r="DJO1156" s="7"/>
      <c r="DJP1156" s="7"/>
      <c r="DJQ1156" s="7"/>
      <c r="DJR1156" s="7"/>
      <c r="DJS1156" s="7"/>
      <c r="DJT1156" s="7"/>
      <c r="DJU1156" s="7"/>
      <c r="DJV1156" s="7"/>
      <c r="DJW1156" s="7"/>
      <c r="DJX1156" s="7"/>
      <c r="DJY1156" s="7"/>
      <c r="DJZ1156" s="7"/>
      <c r="DKA1156" s="7"/>
      <c r="DKB1156" s="7"/>
      <c r="DKC1156" s="7"/>
      <c r="DKD1156" s="7"/>
      <c r="DKE1156" s="7"/>
      <c r="DKF1156" s="7"/>
      <c r="DKG1156" s="7"/>
      <c r="DKH1156" s="7"/>
      <c r="DKI1156" s="7"/>
      <c r="DKJ1156" s="7"/>
      <c r="DKK1156" s="7"/>
      <c r="DKL1156" s="7"/>
      <c r="DKM1156" s="7"/>
      <c r="DKN1156" s="7"/>
      <c r="DKO1156" s="7"/>
      <c r="DKP1156" s="7"/>
      <c r="DKQ1156" s="7"/>
      <c r="DKR1156" s="7"/>
      <c r="DKS1156" s="7"/>
      <c r="DKT1156" s="7"/>
      <c r="DKU1156" s="7"/>
      <c r="DKV1156" s="7"/>
      <c r="DKW1156" s="7"/>
      <c r="DKX1156" s="7"/>
      <c r="DKY1156" s="7"/>
      <c r="DKZ1156" s="7"/>
      <c r="DLA1156" s="7"/>
      <c r="DLB1156" s="7"/>
      <c r="DLC1156" s="7"/>
      <c r="DLD1156" s="7"/>
      <c r="DLE1156" s="7"/>
      <c r="DLF1156" s="7"/>
      <c r="DLG1156" s="7"/>
      <c r="DLH1156" s="7"/>
      <c r="DLI1156" s="7"/>
      <c r="DLJ1156" s="7"/>
      <c r="DLK1156" s="7"/>
      <c r="DLL1156" s="7"/>
      <c r="DLM1156" s="7"/>
      <c r="DLN1156" s="7"/>
      <c r="DLO1156" s="7"/>
      <c r="DLP1156" s="7"/>
      <c r="DLQ1156" s="7"/>
      <c r="DLR1156" s="7"/>
      <c r="DLS1156" s="7"/>
      <c r="DLT1156" s="7"/>
      <c r="DLU1156" s="7"/>
      <c r="DLV1156" s="7"/>
      <c r="DLW1156" s="7"/>
      <c r="DLX1156" s="7"/>
      <c r="DLY1156" s="7"/>
      <c r="DLZ1156" s="7"/>
      <c r="DMA1156" s="7"/>
      <c r="DMB1156" s="7"/>
      <c r="DMC1156" s="7"/>
      <c r="DMD1156" s="7"/>
      <c r="DME1156" s="7"/>
      <c r="DMF1156" s="7"/>
      <c r="DMG1156" s="7"/>
      <c r="DMH1156" s="7"/>
      <c r="DMI1156" s="7"/>
      <c r="DMJ1156" s="7"/>
      <c r="DMK1156" s="7"/>
      <c r="DML1156" s="7"/>
      <c r="DMM1156" s="7"/>
      <c r="DMN1156" s="7"/>
      <c r="DMO1156" s="7"/>
      <c r="DMP1156" s="7"/>
      <c r="DMQ1156" s="7"/>
      <c r="DMR1156" s="7"/>
      <c r="DMS1156" s="7"/>
      <c r="DMT1156" s="7"/>
      <c r="DMU1156" s="7"/>
      <c r="DMV1156" s="7"/>
      <c r="DMW1156" s="7"/>
      <c r="DMX1156" s="7"/>
      <c r="DMY1156" s="7"/>
      <c r="DMZ1156" s="7"/>
      <c r="DNA1156" s="7"/>
      <c r="DNB1156" s="7"/>
      <c r="DNC1156" s="7"/>
      <c r="DND1156" s="7"/>
      <c r="DNE1156" s="7"/>
      <c r="DNF1156" s="7"/>
      <c r="DNG1156" s="7"/>
      <c r="DNH1156" s="7"/>
      <c r="DNI1156" s="7"/>
      <c r="DNJ1156" s="7"/>
      <c r="DNK1156" s="7"/>
      <c r="DNL1156" s="7"/>
      <c r="DNM1156" s="7"/>
      <c r="DNN1156" s="7"/>
      <c r="DNO1156" s="7"/>
      <c r="DNP1156" s="7"/>
      <c r="DNQ1156" s="7"/>
      <c r="DNR1156" s="7"/>
      <c r="DNS1156" s="7"/>
      <c r="DNT1156" s="7"/>
      <c r="DNU1156" s="7"/>
      <c r="DNV1156" s="7"/>
      <c r="DNW1156" s="7"/>
      <c r="DNX1156" s="7"/>
      <c r="DNY1156" s="7"/>
      <c r="DNZ1156" s="7"/>
      <c r="DOA1156" s="7"/>
      <c r="DOB1156" s="7"/>
      <c r="DOC1156" s="7"/>
      <c r="DOD1156" s="7"/>
      <c r="DOE1156" s="7"/>
      <c r="DOF1156" s="7"/>
      <c r="DOG1156" s="7"/>
      <c r="DOH1156" s="7"/>
      <c r="DOI1156" s="7"/>
      <c r="DOJ1156" s="7"/>
      <c r="DOK1156" s="7"/>
      <c r="DOL1156" s="7"/>
      <c r="DOM1156" s="7"/>
      <c r="DON1156" s="7"/>
      <c r="DOO1156" s="7"/>
      <c r="DOP1156" s="7"/>
      <c r="DOQ1156" s="7"/>
      <c r="DOR1156" s="7"/>
      <c r="DOS1156" s="7"/>
      <c r="DOT1156" s="7"/>
      <c r="DOU1156" s="7"/>
      <c r="DOV1156" s="7"/>
      <c r="DOW1156" s="7"/>
      <c r="DOX1156" s="7"/>
      <c r="DOY1156" s="7"/>
      <c r="DOZ1156" s="7"/>
      <c r="DPA1156" s="7"/>
      <c r="DPB1156" s="7"/>
      <c r="DPC1156" s="7"/>
      <c r="DPD1156" s="7"/>
      <c r="DPE1156" s="7"/>
      <c r="DPF1156" s="7"/>
      <c r="DPG1156" s="7"/>
      <c r="DPH1156" s="7"/>
      <c r="DPI1156" s="7"/>
      <c r="DPJ1156" s="7"/>
      <c r="DPK1156" s="7"/>
      <c r="DPL1156" s="7"/>
      <c r="DPM1156" s="7"/>
      <c r="DPN1156" s="7"/>
      <c r="DPO1156" s="7"/>
      <c r="DPP1156" s="7"/>
      <c r="DPQ1156" s="7"/>
      <c r="DPR1156" s="7"/>
      <c r="DPS1156" s="7"/>
      <c r="DPT1156" s="7"/>
      <c r="DPU1156" s="7"/>
      <c r="DPV1156" s="7"/>
      <c r="DPW1156" s="7"/>
      <c r="DPX1156" s="7"/>
      <c r="DPY1156" s="7"/>
      <c r="DPZ1156" s="7"/>
      <c r="DQA1156" s="7"/>
      <c r="DQB1156" s="7"/>
      <c r="DQC1156" s="7"/>
      <c r="DQD1156" s="7"/>
      <c r="DQE1156" s="7"/>
      <c r="DQF1156" s="7"/>
      <c r="DQG1156" s="7"/>
      <c r="DQH1156" s="7"/>
      <c r="DQI1156" s="7"/>
      <c r="DQJ1156" s="7"/>
      <c r="DQK1156" s="7"/>
      <c r="DQL1156" s="7"/>
      <c r="DQM1156" s="7"/>
      <c r="DQN1156" s="7"/>
      <c r="DQO1156" s="7"/>
      <c r="DQP1156" s="7"/>
      <c r="DQQ1156" s="7"/>
      <c r="DQR1156" s="7"/>
      <c r="DQS1156" s="7"/>
      <c r="DQT1156" s="7"/>
      <c r="DQU1156" s="7"/>
      <c r="DQV1156" s="7"/>
      <c r="DQW1156" s="7"/>
      <c r="DQX1156" s="7"/>
      <c r="DQY1156" s="7"/>
      <c r="DQZ1156" s="7"/>
      <c r="DRA1156" s="7"/>
      <c r="DRB1156" s="7"/>
      <c r="DRC1156" s="7"/>
      <c r="DRD1156" s="7"/>
      <c r="DRE1156" s="7"/>
      <c r="DRF1156" s="7"/>
      <c r="DRG1156" s="7"/>
      <c r="DRH1156" s="7"/>
      <c r="DRI1156" s="7"/>
      <c r="DRJ1156" s="7"/>
      <c r="DRK1156" s="7"/>
      <c r="DRL1156" s="7"/>
      <c r="DRM1156" s="7"/>
      <c r="DRN1156" s="7"/>
      <c r="DRO1156" s="7"/>
      <c r="DRP1156" s="7"/>
      <c r="DRQ1156" s="7"/>
      <c r="DRR1156" s="7"/>
      <c r="DRS1156" s="7"/>
      <c r="DRT1156" s="7"/>
      <c r="DRU1156" s="7"/>
      <c r="DRV1156" s="7"/>
      <c r="DRW1156" s="7"/>
      <c r="DRX1156" s="7"/>
      <c r="DRY1156" s="7"/>
      <c r="DRZ1156" s="7"/>
      <c r="DSA1156" s="7"/>
      <c r="DSB1156" s="7"/>
      <c r="DSC1156" s="7"/>
      <c r="DSD1156" s="7"/>
      <c r="DSE1156" s="7"/>
      <c r="DSF1156" s="7"/>
      <c r="DSG1156" s="7"/>
      <c r="DSH1156" s="7"/>
      <c r="DSI1156" s="7"/>
      <c r="DSJ1156" s="7"/>
      <c r="DSK1156" s="7"/>
      <c r="DSL1156" s="7"/>
      <c r="DSM1156" s="7"/>
      <c r="DSN1156" s="7"/>
      <c r="DSO1156" s="7"/>
      <c r="DSP1156" s="7"/>
      <c r="DSQ1156" s="7"/>
      <c r="DSR1156" s="7"/>
      <c r="DSS1156" s="7"/>
      <c r="DST1156" s="7"/>
      <c r="DSU1156" s="7"/>
      <c r="DSV1156" s="7"/>
      <c r="DSW1156" s="7"/>
      <c r="DSX1156" s="7"/>
      <c r="DSY1156" s="7"/>
      <c r="DSZ1156" s="7"/>
      <c r="DTA1156" s="7"/>
      <c r="DTB1156" s="7"/>
      <c r="DTC1156" s="7"/>
      <c r="DTD1156" s="7"/>
      <c r="DTE1156" s="7"/>
      <c r="DTF1156" s="7"/>
      <c r="DTG1156" s="7"/>
      <c r="DTH1156" s="7"/>
      <c r="DTI1156" s="7"/>
      <c r="DTJ1156" s="7"/>
      <c r="DTK1156" s="7"/>
      <c r="DTL1156" s="7"/>
      <c r="DTM1156" s="7"/>
      <c r="DTN1156" s="7"/>
      <c r="DTO1156" s="7"/>
      <c r="DTP1156" s="7"/>
      <c r="DTQ1156" s="7"/>
      <c r="DTR1156" s="7"/>
      <c r="DTS1156" s="7"/>
      <c r="DTT1156" s="7"/>
      <c r="DTU1156" s="7"/>
      <c r="DTV1156" s="7"/>
      <c r="DTW1156" s="7"/>
      <c r="DTX1156" s="7"/>
      <c r="DTY1156" s="7"/>
      <c r="DTZ1156" s="7"/>
      <c r="DUA1156" s="7"/>
      <c r="DUB1156" s="7"/>
      <c r="DUC1156" s="7"/>
      <c r="DUD1156" s="7"/>
      <c r="DUE1156" s="7"/>
      <c r="DUF1156" s="7"/>
      <c r="DUG1156" s="7"/>
      <c r="DUH1156" s="7"/>
      <c r="DUI1156" s="7"/>
      <c r="DUJ1156" s="7"/>
      <c r="DUK1156" s="7"/>
      <c r="DUL1156" s="7"/>
      <c r="DUM1156" s="7"/>
      <c r="DUN1156" s="7"/>
      <c r="DUO1156" s="7"/>
      <c r="DUP1156" s="7"/>
      <c r="DUQ1156" s="7"/>
      <c r="DUR1156" s="7"/>
      <c r="DUS1156" s="7"/>
      <c r="DUT1156" s="7"/>
      <c r="DUU1156" s="7"/>
      <c r="DUV1156" s="7"/>
      <c r="DUW1156" s="7"/>
      <c r="DUX1156" s="7"/>
      <c r="DUY1156" s="7"/>
      <c r="DUZ1156" s="7"/>
      <c r="DVA1156" s="7"/>
      <c r="DVB1156" s="7"/>
      <c r="DVC1156" s="7"/>
      <c r="DVD1156" s="7"/>
      <c r="DVE1156" s="7"/>
      <c r="DVF1156" s="7"/>
      <c r="DVG1156" s="7"/>
      <c r="DVH1156" s="7"/>
      <c r="DVI1156" s="7"/>
      <c r="DVJ1156" s="7"/>
      <c r="DVK1156" s="7"/>
      <c r="DVL1156" s="7"/>
      <c r="DVM1156" s="7"/>
      <c r="DVN1156" s="7"/>
      <c r="DVO1156" s="7"/>
      <c r="DVP1156" s="7"/>
      <c r="DVQ1156" s="7"/>
      <c r="DVR1156" s="7"/>
      <c r="DVS1156" s="7"/>
      <c r="DVT1156" s="7"/>
      <c r="DVU1156" s="7"/>
      <c r="DVV1156" s="7"/>
      <c r="DVW1156" s="7"/>
      <c r="DVX1156" s="7"/>
      <c r="DVY1156" s="7"/>
      <c r="DVZ1156" s="7"/>
      <c r="DWA1156" s="7"/>
      <c r="DWB1156" s="7"/>
      <c r="DWC1156" s="7"/>
      <c r="DWD1156" s="7"/>
      <c r="DWE1156" s="7"/>
      <c r="DWF1156" s="7"/>
      <c r="DWG1156" s="7"/>
      <c r="DWH1156" s="7"/>
      <c r="DWI1156" s="7"/>
      <c r="DWJ1156" s="7"/>
      <c r="DWK1156" s="7"/>
      <c r="DWL1156" s="7"/>
      <c r="DWM1156" s="7"/>
      <c r="DWN1156" s="7"/>
      <c r="DWO1156" s="7"/>
      <c r="DWP1156" s="7"/>
      <c r="DWQ1156" s="7"/>
      <c r="DWR1156" s="7"/>
      <c r="DWS1156" s="7"/>
      <c r="DWT1156" s="7"/>
      <c r="DWU1156" s="7"/>
      <c r="DWV1156" s="7"/>
      <c r="DWW1156" s="7"/>
      <c r="DWX1156" s="7"/>
      <c r="DWY1156" s="7"/>
      <c r="DWZ1156" s="7"/>
      <c r="DXA1156" s="7"/>
      <c r="DXB1156" s="7"/>
      <c r="DXC1156" s="7"/>
      <c r="DXD1156" s="7"/>
      <c r="DXE1156" s="7"/>
      <c r="DXF1156" s="7"/>
      <c r="DXG1156" s="7"/>
      <c r="DXH1156" s="7"/>
      <c r="DXI1156" s="7"/>
      <c r="DXJ1156" s="7"/>
      <c r="DXK1156" s="7"/>
      <c r="DXL1156" s="7"/>
      <c r="DXM1156" s="7"/>
      <c r="DXN1156" s="7"/>
      <c r="DXO1156" s="7"/>
      <c r="DXP1156" s="7"/>
      <c r="DXQ1156" s="7"/>
      <c r="DXR1156" s="7"/>
      <c r="DXS1156" s="7"/>
      <c r="DXT1156" s="7"/>
      <c r="DXU1156" s="7"/>
      <c r="DXV1156" s="7"/>
      <c r="DXW1156" s="7"/>
      <c r="DXX1156" s="7"/>
      <c r="DXY1156" s="7"/>
      <c r="DXZ1156" s="7"/>
      <c r="DYA1156" s="7"/>
      <c r="DYB1156" s="7"/>
      <c r="DYC1156" s="7"/>
      <c r="DYD1156" s="7"/>
      <c r="DYE1156" s="7"/>
      <c r="DYF1156" s="7"/>
      <c r="DYG1156" s="7"/>
      <c r="DYH1156" s="7"/>
      <c r="DYI1156" s="7"/>
      <c r="DYJ1156" s="7"/>
      <c r="DYK1156" s="7"/>
      <c r="DYL1156" s="7"/>
      <c r="DYM1156" s="7"/>
      <c r="DYN1156" s="7"/>
      <c r="DYO1156" s="7"/>
      <c r="DYP1156" s="7"/>
      <c r="DYQ1156" s="7"/>
      <c r="DYR1156" s="7"/>
      <c r="DYS1156" s="7"/>
      <c r="DYT1156" s="7"/>
      <c r="DYU1156" s="7"/>
      <c r="DYV1156" s="7"/>
      <c r="DYW1156" s="7"/>
      <c r="DYX1156" s="7"/>
      <c r="DYY1156" s="7"/>
      <c r="DYZ1156" s="7"/>
      <c r="DZA1156" s="7"/>
      <c r="DZB1156" s="7"/>
      <c r="DZC1156" s="7"/>
      <c r="DZD1156" s="7"/>
      <c r="DZE1156" s="7"/>
      <c r="DZF1156" s="7"/>
      <c r="DZG1156" s="7"/>
      <c r="DZH1156" s="7"/>
      <c r="DZI1156" s="7"/>
      <c r="DZJ1156" s="7"/>
      <c r="DZK1156" s="7"/>
      <c r="DZL1156" s="7"/>
      <c r="DZM1156" s="7"/>
      <c r="DZN1156" s="7"/>
      <c r="DZO1156" s="7"/>
      <c r="DZP1156" s="7"/>
      <c r="DZQ1156" s="7"/>
      <c r="DZR1156" s="7"/>
      <c r="DZS1156" s="7"/>
      <c r="DZT1156" s="7"/>
      <c r="DZU1156" s="7"/>
      <c r="DZV1156" s="7"/>
      <c r="DZW1156" s="7"/>
      <c r="DZX1156" s="7"/>
      <c r="DZY1156" s="7"/>
      <c r="DZZ1156" s="7"/>
      <c r="EAA1156" s="7"/>
      <c r="EAB1156" s="7"/>
      <c r="EAC1156" s="7"/>
      <c r="EAD1156" s="7"/>
      <c r="EAE1156" s="7"/>
      <c r="EAF1156" s="7"/>
      <c r="EAG1156" s="7"/>
      <c r="EAH1156" s="7"/>
      <c r="EAI1156" s="7"/>
      <c r="EAJ1156" s="7"/>
      <c r="EAK1156" s="7"/>
      <c r="EAL1156" s="7"/>
      <c r="EAM1156" s="7"/>
      <c r="EAN1156" s="7"/>
      <c r="EAO1156" s="7"/>
      <c r="EAP1156" s="7"/>
      <c r="EAQ1156" s="7"/>
      <c r="EAR1156" s="7"/>
      <c r="EAS1156" s="7"/>
      <c r="EAT1156" s="7"/>
      <c r="EAU1156" s="7"/>
      <c r="EAV1156" s="7"/>
      <c r="EAW1156" s="7"/>
      <c r="EAX1156" s="7"/>
      <c r="EAY1156" s="7"/>
      <c r="EAZ1156" s="7"/>
      <c r="EBA1156" s="7"/>
      <c r="EBB1156" s="7"/>
      <c r="EBC1156" s="7"/>
      <c r="EBD1156" s="7"/>
      <c r="EBE1156" s="7"/>
      <c r="EBF1156" s="7"/>
      <c r="EBG1156" s="7"/>
      <c r="EBH1156" s="7"/>
      <c r="EBI1156" s="7"/>
      <c r="EBJ1156" s="7"/>
      <c r="EBK1156" s="7"/>
      <c r="EBL1156" s="7"/>
      <c r="EBM1156" s="7"/>
      <c r="EBN1156" s="7"/>
      <c r="EBO1156" s="7"/>
      <c r="EBP1156" s="7"/>
      <c r="EBQ1156" s="7"/>
      <c r="EBR1156" s="7"/>
      <c r="EBS1156" s="7"/>
      <c r="EBT1156" s="7"/>
      <c r="EBU1156" s="7"/>
      <c r="EBV1156" s="7"/>
      <c r="EBW1156" s="7"/>
      <c r="EBX1156" s="7"/>
      <c r="EBY1156" s="7"/>
      <c r="EBZ1156" s="7"/>
      <c r="ECA1156" s="7"/>
      <c r="ECB1156" s="7"/>
      <c r="ECC1156" s="7"/>
      <c r="ECD1156" s="7"/>
      <c r="ECE1156" s="7"/>
      <c r="ECF1156" s="7"/>
      <c r="ECG1156" s="7"/>
      <c r="ECH1156" s="7"/>
      <c r="ECI1156" s="7"/>
      <c r="ECJ1156" s="7"/>
      <c r="ECK1156" s="7"/>
      <c r="ECL1156" s="7"/>
      <c r="ECM1156" s="7"/>
      <c r="ECN1156" s="7"/>
      <c r="ECO1156" s="7"/>
      <c r="ECP1156" s="7"/>
      <c r="ECQ1156" s="7"/>
      <c r="ECR1156" s="7"/>
      <c r="ECS1156" s="7"/>
      <c r="ECT1156" s="7"/>
      <c r="ECU1156" s="7"/>
      <c r="ECV1156" s="7"/>
      <c r="ECW1156" s="7"/>
      <c r="ECX1156" s="7"/>
      <c r="ECY1156" s="7"/>
      <c r="ECZ1156" s="7"/>
      <c r="EDA1156" s="7"/>
      <c r="EDB1156" s="7"/>
      <c r="EDC1156" s="7"/>
      <c r="EDD1156" s="7"/>
      <c r="EDE1156" s="7"/>
      <c r="EDF1156" s="7"/>
      <c r="EDG1156" s="7"/>
      <c r="EDH1156" s="7"/>
      <c r="EDI1156" s="7"/>
      <c r="EDJ1156" s="7"/>
      <c r="EDK1156" s="7"/>
      <c r="EDL1156" s="7"/>
      <c r="EDM1156" s="7"/>
      <c r="EDN1156" s="7"/>
      <c r="EDO1156" s="7"/>
      <c r="EDP1156" s="7"/>
      <c r="EDQ1156" s="7"/>
      <c r="EDR1156" s="7"/>
      <c r="EDS1156" s="7"/>
      <c r="EDT1156" s="7"/>
      <c r="EDU1156" s="7"/>
      <c r="EDV1156" s="7"/>
      <c r="EDW1156" s="7"/>
      <c r="EDX1156" s="7"/>
      <c r="EDY1156" s="7"/>
      <c r="EDZ1156" s="7"/>
      <c r="EEA1156" s="7"/>
      <c r="EEB1156" s="7"/>
      <c r="EEC1156" s="7"/>
      <c r="EED1156" s="7"/>
      <c r="EEE1156" s="7"/>
      <c r="EEF1156" s="7"/>
      <c r="EEG1156" s="7"/>
      <c r="EEH1156" s="7"/>
      <c r="EEI1156" s="7"/>
      <c r="EEJ1156" s="7"/>
      <c r="EEK1156" s="7"/>
      <c r="EEL1156" s="7"/>
      <c r="EEM1156" s="7"/>
      <c r="EEN1156" s="7"/>
      <c r="EEO1156" s="7"/>
      <c r="EEP1156" s="7"/>
      <c r="EEQ1156" s="7"/>
      <c r="EER1156" s="7"/>
      <c r="EES1156" s="7"/>
      <c r="EET1156" s="7"/>
      <c r="EEU1156" s="7"/>
      <c r="EEV1156" s="7"/>
      <c r="EEW1156" s="7"/>
      <c r="EEX1156" s="7"/>
      <c r="EEY1156" s="7"/>
      <c r="EEZ1156" s="7"/>
      <c r="EFA1156" s="7"/>
      <c r="EFB1156" s="7"/>
      <c r="EFC1156" s="7"/>
      <c r="EFD1156" s="7"/>
      <c r="EFE1156" s="7"/>
      <c r="EFF1156" s="7"/>
      <c r="EFG1156" s="7"/>
      <c r="EFH1156" s="7"/>
      <c r="EFI1156" s="7"/>
      <c r="EFJ1156" s="7"/>
      <c r="EFK1156" s="7"/>
      <c r="EFL1156" s="7"/>
      <c r="EFM1156" s="7"/>
      <c r="EFN1156" s="7"/>
      <c r="EFO1156" s="7"/>
      <c r="EFP1156" s="7"/>
      <c r="EFQ1156" s="7"/>
      <c r="EFR1156" s="7"/>
      <c r="EFS1156" s="7"/>
      <c r="EFT1156" s="7"/>
      <c r="EFU1156" s="7"/>
      <c r="EFV1156" s="7"/>
      <c r="EFW1156" s="7"/>
      <c r="EFX1156" s="7"/>
      <c r="EFY1156" s="7"/>
      <c r="EFZ1156" s="7"/>
      <c r="EGA1156" s="7"/>
      <c r="EGB1156" s="7"/>
      <c r="EGC1156" s="7"/>
      <c r="EGD1156" s="7"/>
      <c r="EGE1156" s="7"/>
      <c r="EGF1156" s="7"/>
      <c r="EGG1156" s="7"/>
      <c r="EGH1156" s="7"/>
      <c r="EGI1156" s="7"/>
      <c r="EGJ1156" s="7"/>
      <c r="EGK1156" s="7"/>
      <c r="EGL1156" s="7"/>
      <c r="EGM1156" s="7"/>
      <c r="EGN1156" s="7"/>
      <c r="EGO1156" s="7"/>
      <c r="EGP1156" s="7"/>
      <c r="EGQ1156" s="7"/>
      <c r="EGR1156" s="7"/>
      <c r="EGS1156" s="7"/>
      <c r="EGT1156" s="7"/>
      <c r="EGU1156" s="7"/>
      <c r="EGV1156" s="7"/>
      <c r="EGW1156" s="7"/>
      <c r="EGX1156" s="7"/>
      <c r="EGY1156" s="7"/>
      <c r="EGZ1156" s="7"/>
      <c r="EHA1156" s="7"/>
      <c r="EHB1156" s="7"/>
      <c r="EHC1156" s="7"/>
      <c r="EHD1156" s="7"/>
      <c r="EHE1156" s="7"/>
      <c r="EHF1156" s="7"/>
      <c r="EHG1156" s="7"/>
      <c r="EHH1156" s="7"/>
      <c r="EHI1156" s="7"/>
      <c r="EHJ1156" s="7"/>
      <c r="EHK1156" s="7"/>
      <c r="EHL1156" s="7"/>
      <c r="EHM1156" s="7"/>
      <c r="EHN1156" s="7"/>
      <c r="EHO1156" s="7"/>
      <c r="EHP1156" s="7"/>
      <c r="EHQ1156" s="7"/>
      <c r="EHR1156" s="7"/>
      <c r="EHS1156" s="7"/>
      <c r="EHT1156" s="7"/>
      <c r="EHU1156" s="7"/>
      <c r="EHV1156" s="7"/>
      <c r="EHW1156" s="7"/>
      <c r="EHX1156" s="7"/>
      <c r="EHY1156" s="7"/>
      <c r="EHZ1156" s="7"/>
      <c r="EIA1156" s="7"/>
      <c r="EIB1156" s="7"/>
      <c r="EIC1156" s="7"/>
      <c r="EID1156" s="7"/>
      <c r="EIE1156" s="7"/>
      <c r="EIF1156" s="7"/>
      <c r="EIG1156" s="7"/>
      <c r="EIH1156" s="7"/>
      <c r="EII1156" s="7"/>
      <c r="EIJ1156" s="7"/>
      <c r="EIK1156" s="7"/>
      <c r="EIL1156" s="7"/>
      <c r="EIM1156" s="7"/>
      <c r="EIN1156" s="7"/>
      <c r="EIO1156" s="7"/>
      <c r="EIP1156" s="7"/>
      <c r="EIQ1156" s="7"/>
      <c r="EIR1156" s="7"/>
      <c r="EIS1156" s="7"/>
      <c r="EIT1156" s="7"/>
      <c r="EIU1156" s="7"/>
      <c r="EIV1156" s="7"/>
      <c r="EIW1156" s="7"/>
      <c r="EIX1156" s="7"/>
      <c r="EIY1156" s="7"/>
      <c r="EIZ1156" s="7"/>
      <c r="EJA1156" s="7"/>
      <c r="EJB1156" s="7"/>
      <c r="EJC1156" s="7"/>
      <c r="EJD1156" s="7"/>
      <c r="EJE1156" s="7"/>
      <c r="EJF1156" s="7"/>
      <c r="EJG1156" s="7"/>
      <c r="EJH1156" s="7"/>
      <c r="EJI1156" s="7"/>
      <c r="EJJ1156" s="7"/>
      <c r="EJK1156" s="7"/>
      <c r="EJL1156" s="7"/>
      <c r="EJM1156" s="7"/>
      <c r="EJN1156" s="7"/>
      <c r="EJO1156" s="7"/>
      <c r="EJP1156" s="7"/>
      <c r="EJQ1156" s="7"/>
      <c r="EJR1156" s="7"/>
      <c r="EJS1156" s="7"/>
      <c r="EJT1156" s="7"/>
      <c r="EJU1156" s="7"/>
      <c r="EJV1156" s="7"/>
      <c r="EJW1156" s="7"/>
      <c r="EJX1156" s="7"/>
      <c r="EJY1156" s="7"/>
      <c r="EJZ1156" s="7"/>
      <c r="EKA1156" s="7"/>
      <c r="EKB1156" s="7"/>
      <c r="EKC1156" s="7"/>
      <c r="EKD1156" s="7"/>
      <c r="EKE1156" s="7"/>
      <c r="EKF1156" s="7"/>
      <c r="EKG1156" s="7"/>
      <c r="EKH1156" s="7"/>
      <c r="EKI1156" s="7"/>
      <c r="EKJ1156" s="7"/>
      <c r="EKK1156" s="7"/>
      <c r="EKL1156" s="7"/>
      <c r="EKM1156" s="7"/>
      <c r="EKN1156" s="7"/>
      <c r="EKO1156" s="7"/>
      <c r="EKP1156" s="7"/>
      <c r="EKQ1156" s="7"/>
      <c r="EKR1156" s="7"/>
      <c r="EKS1156" s="7"/>
      <c r="EKT1156" s="7"/>
      <c r="EKU1156" s="7"/>
      <c r="EKV1156" s="7"/>
      <c r="EKW1156" s="7"/>
      <c r="EKX1156" s="7"/>
      <c r="EKY1156" s="7"/>
      <c r="EKZ1156" s="7"/>
      <c r="ELA1156" s="7"/>
      <c r="ELB1156" s="7"/>
      <c r="ELC1156" s="7"/>
      <c r="ELD1156" s="7"/>
      <c r="ELE1156" s="7"/>
      <c r="ELF1156" s="7"/>
      <c r="ELG1156" s="7"/>
      <c r="ELH1156" s="7"/>
      <c r="ELI1156" s="7"/>
      <c r="ELJ1156" s="7"/>
      <c r="ELK1156" s="7"/>
      <c r="ELL1156" s="7"/>
      <c r="ELM1156" s="7"/>
      <c r="ELN1156" s="7"/>
      <c r="ELO1156" s="7"/>
      <c r="ELP1156" s="7"/>
      <c r="ELQ1156" s="7"/>
      <c r="ELR1156" s="7"/>
      <c r="ELS1156" s="7"/>
      <c r="ELT1156" s="7"/>
      <c r="ELU1156" s="7"/>
      <c r="ELV1156" s="7"/>
      <c r="ELW1156" s="7"/>
      <c r="ELX1156" s="7"/>
      <c r="ELY1156" s="7"/>
      <c r="ELZ1156" s="7"/>
      <c r="EMA1156" s="7"/>
      <c r="EMB1156" s="7"/>
      <c r="EMC1156" s="7"/>
      <c r="EMD1156" s="7"/>
      <c r="EME1156" s="7"/>
      <c r="EMF1156" s="7"/>
      <c r="EMG1156" s="7"/>
      <c r="EMH1156" s="7"/>
      <c r="EMI1156" s="7"/>
      <c r="EMJ1156" s="7"/>
      <c r="EMK1156" s="7"/>
      <c r="EML1156" s="7"/>
      <c r="EMM1156" s="7"/>
      <c r="EMN1156" s="7"/>
      <c r="EMO1156" s="7"/>
      <c r="EMP1156" s="7"/>
      <c r="EMQ1156" s="7"/>
      <c r="EMR1156" s="7"/>
      <c r="EMS1156" s="7"/>
      <c r="EMT1156" s="7"/>
      <c r="EMU1156" s="7"/>
      <c r="EMV1156" s="7"/>
      <c r="EMW1156" s="7"/>
      <c r="EMX1156" s="7"/>
      <c r="EMY1156" s="7"/>
      <c r="EMZ1156" s="7"/>
      <c r="ENA1156" s="7"/>
      <c r="ENB1156" s="7"/>
      <c r="ENC1156" s="7"/>
      <c r="END1156" s="7"/>
      <c r="ENE1156" s="7"/>
      <c r="ENF1156" s="7"/>
      <c r="ENG1156" s="7"/>
      <c r="ENH1156" s="7"/>
      <c r="ENI1156" s="7"/>
      <c r="ENJ1156" s="7"/>
      <c r="ENK1156" s="7"/>
      <c r="ENL1156" s="7"/>
      <c r="ENM1156" s="7"/>
      <c r="ENN1156" s="7"/>
      <c r="ENO1156" s="7"/>
      <c r="ENP1156" s="7"/>
      <c r="ENQ1156" s="7"/>
      <c r="ENR1156" s="7"/>
      <c r="ENS1156" s="7"/>
      <c r="ENT1156" s="7"/>
      <c r="ENU1156" s="7"/>
      <c r="ENV1156" s="7"/>
      <c r="ENW1156" s="7"/>
      <c r="ENX1156" s="7"/>
      <c r="ENY1156" s="7"/>
      <c r="ENZ1156" s="7"/>
      <c r="EOA1156" s="7"/>
      <c r="EOB1156" s="7"/>
      <c r="EOC1156" s="7"/>
      <c r="EOD1156" s="7"/>
      <c r="EOE1156" s="7"/>
      <c r="EOF1156" s="7"/>
      <c r="EOG1156" s="7"/>
      <c r="EOH1156" s="7"/>
      <c r="EOI1156" s="7"/>
      <c r="EOJ1156" s="7"/>
      <c r="EOK1156" s="7"/>
      <c r="EOL1156" s="7"/>
      <c r="EOM1156" s="7"/>
      <c r="EON1156" s="7"/>
      <c r="EOO1156" s="7"/>
      <c r="EOP1156" s="7"/>
      <c r="EOQ1156" s="7"/>
      <c r="EOR1156" s="7"/>
      <c r="EOS1156" s="7"/>
      <c r="EOT1156" s="7"/>
      <c r="EOU1156" s="7"/>
      <c r="EOV1156" s="7"/>
      <c r="EOW1156" s="7"/>
      <c r="EOX1156" s="7"/>
      <c r="EOY1156" s="7"/>
      <c r="EOZ1156" s="7"/>
      <c r="EPA1156" s="7"/>
      <c r="EPB1156" s="7"/>
      <c r="EPC1156" s="7"/>
      <c r="EPD1156" s="7"/>
      <c r="EPE1156" s="7"/>
      <c r="EPF1156" s="7"/>
      <c r="EPG1156" s="7"/>
      <c r="EPH1156" s="7"/>
      <c r="EPI1156" s="7"/>
      <c r="EPJ1156" s="7"/>
      <c r="EPK1156" s="7"/>
      <c r="EPL1156" s="7"/>
      <c r="EPM1156" s="7"/>
      <c r="EPN1156" s="7"/>
      <c r="EPO1156" s="7"/>
      <c r="EPP1156" s="7"/>
      <c r="EPQ1156" s="7"/>
      <c r="EPR1156" s="7"/>
      <c r="EPS1156" s="7"/>
      <c r="EPT1156" s="7"/>
      <c r="EPU1156" s="7"/>
      <c r="EPV1156" s="7"/>
      <c r="EPW1156" s="7"/>
      <c r="EPX1156" s="7"/>
      <c r="EPY1156" s="7"/>
      <c r="EPZ1156" s="7"/>
      <c r="EQA1156" s="7"/>
      <c r="EQB1156" s="7"/>
      <c r="EQC1156" s="7"/>
      <c r="EQD1156" s="7"/>
      <c r="EQE1156" s="7"/>
      <c r="EQF1156" s="7"/>
      <c r="EQG1156" s="7"/>
      <c r="EQH1156" s="7"/>
      <c r="EQI1156" s="7"/>
      <c r="EQJ1156" s="7"/>
      <c r="EQK1156" s="7"/>
      <c r="EQL1156" s="7"/>
      <c r="EQM1156" s="7"/>
      <c r="EQN1156" s="7"/>
      <c r="EQO1156" s="7"/>
      <c r="EQP1156" s="7"/>
      <c r="EQQ1156" s="7"/>
      <c r="EQR1156" s="7"/>
      <c r="EQS1156" s="7"/>
      <c r="EQT1156" s="7"/>
      <c r="EQU1156" s="7"/>
      <c r="EQV1156" s="7"/>
      <c r="EQW1156" s="7"/>
      <c r="EQX1156" s="7"/>
      <c r="EQY1156" s="7"/>
      <c r="EQZ1156" s="7"/>
      <c r="ERA1156" s="7"/>
      <c r="ERB1156" s="7"/>
      <c r="ERC1156" s="7"/>
      <c r="ERD1156" s="7"/>
      <c r="ERE1156" s="7"/>
      <c r="ERF1156" s="7"/>
      <c r="ERG1156" s="7"/>
      <c r="ERH1156" s="7"/>
      <c r="ERI1156" s="7"/>
      <c r="ERJ1156" s="7"/>
      <c r="ERK1156" s="7"/>
      <c r="ERL1156" s="7"/>
      <c r="ERM1156" s="7"/>
      <c r="ERN1156" s="7"/>
      <c r="ERO1156" s="7"/>
      <c r="ERP1156" s="7"/>
      <c r="ERQ1156" s="7"/>
      <c r="ERR1156" s="7"/>
      <c r="ERS1156" s="7"/>
      <c r="ERT1156" s="7"/>
      <c r="ERU1156" s="7"/>
      <c r="ERV1156" s="7"/>
      <c r="ERW1156" s="7"/>
      <c r="ERX1156" s="7"/>
      <c r="ERY1156" s="7"/>
      <c r="ERZ1156" s="7"/>
      <c r="ESA1156" s="7"/>
      <c r="ESB1156" s="7"/>
      <c r="ESC1156" s="7"/>
      <c r="ESD1156" s="7"/>
      <c r="ESE1156" s="7"/>
      <c r="ESF1156" s="7"/>
      <c r="ESG1156" s="7"/>
      <c r="ESH1156" s="7"/>
      <c r="ESI1156" s="7"/>
      <c r="ESJ1156" s="7"/>
      <c r="ESK1156" s="7"/>
      <c r="ESL1156" s="7"/>
      <c r="ESM1156" s="7"/>
      <c r="ESN1156" s="7"/>
      <c r="ESO1156" s="7"/>
      <c r="ESP1156" s="7"/>
      <c r="ESQ1156" s="7"/>
      <c r="ESR1156" s="7"/>
      <c r="ESS1156" s="7"/>
      <c r="EST1156" s="7"/>
      <c r="ESU1156" s="7"/>
      <c r="ESV1156" s="7"/>
      <c r="ESW1156" s="7"/>
      <c r="ESX1156" s="7"/>
      <c r="ESY1156" s="7"/>
      <c r="ESZ1156" s="7"/>
      <c r="ETA1156" s="7"/>
      <c r="ETB1156" s="7"/>
      <c r="ETC1156" s="7"/>
      <c r="ETD1156" s="7"/>
      <c r="ETE1156" s="7"/>
      <c r="ETF1156" s="7"/>
      <c r="ETG1156" s="7"/>
      <c r="ETH1156" s="7"/>
      <c r="ETI1156" s="7"/>
      <c r="ETJ1156" s="7"/>
      <c r="ETK1156" s="7"/>
      <c r="ETL1156" s="7"/>
      <c r="ETM1156" s="7"/>
      <c r="ETN1156" s="7"/>
      <c r="ETO1156" s="7"/>
      <c r="ETP1156" s="7"/>
      <c r="ETQ1156" s="7"/>
      <c r="ETR1156" s="7"/>
      <c r="ETS1156" s="7"/>
      <c r="ETT1156" s="7"/>
      <c r="ETU1156" s="7"/>
      <c r="ETV1156" s="7"/>
      <c r="ETW1156" s="7"/>
      <c r="ETX1156" s="7"/>
      <c r="ETY1156" s="7"/>
      <c r="ETZ1156" s="7"/>
      <c r="EUA1156" s="7"/>
      <c r="EUB1156" s="7"/>
      <c r="EUC1156" s="7"/>
      <c r="EUD1156" s="7"/>
      <c r="EUE1156" s="7"/>
      <c r="EUF1156" s="7"/>
      <c r="EUG1156" s="7"/>
      <c r="EUH1156" s="7"/>
      <c r="EUI1156" s="7"/>
      <c r="EUJ1156" s="7"/>
      <c r="EUK1156" s="7"/>
      <c r="EUL1156" s="7"/>
      <c r="EUM1156" s="7"/>
      <c r="EUN1156" s="7"/>
      <c r="EUO1156" s="7"/>
      <c r="EUP1156" s="7"/>
      <c r="EUQ1156" s="7"/>
      <c r="EUR1156" s="7"/>
      <c r="EUS1156" s="7"/>
      <c r="EUT1156" s="7"/>
      <c r="EUU1156" s="7"/>
      <c r="EUV1156" s="7"/>
      <c r="EUW1156" s="7"/>
      <c r="EUX1156" s="7"/>
      <c r="EUY1156" s="7"/>
      <c r="EUZ1156" s="7"/>
      <c r="EVA1156" s="7"/>
      <c r="EVB1156" s="7"/>
      <c r="EVC1156" s="7"/>
      <c r="EVD1156" s="7"/>
      <c r="EVE1156" s="7"/>
      <c r="EVF1156" s="7"/>
      <c r="EVG1156" s="7"/>
      <c r="EVH1156" s="7"/>
      <c r="EVI1156" s="7"/>
      <c r="EVJ1156" s="7"/>
      <c r="EVK1156" s="7"/>
      <c r="EVL1156" s="7"/>
      <c r="EVM1156" s="7"/>
      <c r="EVN1156" s="7"/>
      <c r="EVO1156" s="7"/>
      <c r="EVP1156" s="7"/>
      <c r="EVQ1156" s="7"/>
      <c r="EVR1156" s="7"/>
      <c r="EVS1156" s="7"/>
      <c r="EVT1156" s="7"/>
      <c r="EVU1156" s="7"/>
      <c r="EVV1156" s="7"/>
      <c r="EVW1156" s="7"/>
      <c r="EVX1156" s="7"/>
      <c r="EVY1156" s="7"/>
      <c r="EVZ1156" s="7"/>
      <c r="EWA1156" s="7"/>
      <c r="EWB1156" s="7"/>
      <c r="EWC1156" s="7"/>
      <c r="EWD1156" s="7"/>
      <c r="EWE1156" s="7"/>
      <c r="EWF1156" s="7"/>
      <c r="EWG1156" s="7"/>
      <c r="EWH1156" s="7"/>
      <c r="EWI1156" s="7"/>
      <c r="EWJ1156" s="7"/>
      <c r="EWK1156" s="7"/>
      <c r="EWL1156" s="7"/>
      <c r="EWM1156" s="7"/>
      <c r="EWN1156" s="7"/>
      <c r="EWO1156" s="7"/>
      <c r="EWP1156" s="7"/>
      <c r="EWQ1156" s="7"/>
      <c r="EWR1156" s="7"/>
      <c r="EWS1156" s="7"/>
      <c r="EWT1156" s="7"/>
      <c r="EWU1156" s="7"/>
      <c r="EWV1156" s="7"/>
      <c r="EWW1156" s="7"/>
      <c r="EWX1156" s="7"/>
      <c r="EWY1156" s="7"/>
      <c r="EWZ1156" s="7"/>
      <c r="EXA1156" s="7"/>
      <c r="EXB1156" s="7"/>
      <c r="EXC1156" s="7"/>
      <c r="EXD1156" s="7"/>
      <c r="EXE1156" s="7"/>
      <c r="EXF1156" s="7"/>
      <c r="EXG1156" s="7"/>
      <c r="EXH1156" s="7"/>
      <c r="EXI1156" s="7"/>
      <c r="EXJ1156" s="7"/>
      <c r="EXK1156" s="7"/>
      <c r="EXL1156" s="7"/>
      <c r="EXM1156" s="7"/>
      <c r="EXN1156" s="7"/>
      <c r="EXO1156" s="7"/>
      <c r="EXP1156" s="7"/>
      <c r="EXQ1156" s="7"/>
      <c r="EXR1156" s="7"/>
      <c r="EXS1156" s="7"/>
      <c r="EXT1156" s="7"/>
      <c r="EXU1156" s="7"/>
      <c r="EXV1156" s="7"/>
      <c r="EXW1156" s="7"/>
      <c r="EXX1156" s="7"/>
      <c r="EXY1156" s="7"/>
      <c r="EXZ1156" s="7"/>
      <c r="EYA1156" s="7"/>
      <c r="EYB1156" s="7"/>
      <c r="EYC1156" s="7"/>
      <c r="EYD1156" s="7"/>
      <c r="EYE1156" s="7"/>
      <c r="EYF1156" s="7"/>
      <c r="EYG1156" s="7"/>
      <c r="EYH1156" s="7"/>
      <c r="EYI1156" s="7"/>
      <c r="EYJ1156" s="7"/>
      <c r="EYK1156" s="7"/>
      <c r="EYL1156" s="7"/>
      <c r="EYM1156" s="7"/>
      <c r="EYN1156" s="7"/>
      <c r="EYO1156" s="7"/>
      <c r="EYP1156" s="7"/>
      <c r="EYQ1156" s="7"/>
      <c r="EYR1156" s="7"/>
      <c r="EYS1156" s="7"/>
      <c r="EYT1156" s="7"/>
      <c r="EYU1156" s="7"/>
      <c r="EYV1156" s="7"/>
      <c r="EYW1156" s="7"/>
      <c r="EYX1156" s="7"/>
      <c r="EYY1156" s="7"/>
      <c r="EYZ1156" s="7"/>
      <c r="EZA1156" s="7"/>
      <c r="EZB1156" s="7"/>
      <c r="EZC1156" s="7"/>
      <c r="EZD1156" s="7"/>
      <c r="EZE1156" s="7"/>
      <c r="EZF1156" s="7"/>
      <c r="EZG1156" s="7"/>
      <c r="EZH1156" s="7"/>
      <c r="EZI1156" s="7"/>
      <c r="EZJ1156" s="7"/>
      <c r="EZK1156" s="7"/>
      <c r="EZL1156" s="7"/>
      <c r="EZM1156" s="7"/>
      <c r="EZN1156" s="7"/>
      <c r="EZO1156" s="7"/>
      <c r="EZP1156" s="7"/>
      <c r="EZQ1156" s="7"/>
      <c r="EZR1156" s="7"/>
      <c r="EZS1156" s="7"/>
      <c r="EZT1156" s="7"/>
      <c r="EZU1156" s="7"/>
      <c r="EZV1156" s="7"/>
      <c r="EZW1156" s="7"/>
      <c r="EZX1156" s="7"/>
      <c r="EZY1156" s="7"/>
      <c r="EZZ1156" s="7"/>
      <c r="FAA1156" s="7"/>
      <c r="FAB1156" s="7"/>
      <c r="FAC1156" s="7"/>
      <c r="FAD1156" s="7"/>
      <c r="FAE1156" s="7"/>
      <c r="FAF1156" s="7"/>
      <c r="FAG1156" s="7"/>
      <c r="FAH1156" s="7"/>
      <c r="FAI1156" s="7"/>
      <c r="FAJ1156" s="7"/>
      <c r="FAK1156" s="7"/>
      <c r="FAL1156" s="7"/>
      <c r="FAM1156" s="7"/>
      <c r="FAN1156" s="7"/>
      <c r="FAO1156" s="7"/>
      <c r="FAP1156" s="7"/>
      <c r="FAQ1156" s="7"/>
      <c r="FAR1156" s="7"/>
      <c r="FAS1156" s="7"/>
      <c r="FAT1156" s="7"/>
      <c r="FAU1156" s="7"/>
      <c r="FAV1156" s="7"/>
      <c r="FAW1156" s="7"/>
      <c r="FAX1156" s="7"/>
      <c r="FAY1156" s="7"/>
      <c r="FAZ1156" s="7"/>
      <c r="FBA1156" s="7"/>
      <c r="FBB1156" s="7"/>
      <c r="FBC1156" s="7"/>
      <c r="FBD1156" s="7"/>
      <c r="FBE1156" s="7"/>
      <c r="FBF1156" s="7"/>
      <c r="FBG1156" s="7"/>
      <c r="FBH1156" s="7"/>
      <c r="FBI1156" s="7"/>
      <c r="FBJ1156" s="7"/>
      <c r="FBK1156" s="7"/>
      <c r="FBL1156" s="7"/>
      <c r="FBM1156" s="7"/>
      <c r="FBN1156" s="7"/>
      <c r="FBO1156" s="7"/>
      <c r="FBP1156" s="7"/>
      <c r="FBQ1156" s="7"/>
      <c r="FBR1156" s="7"/>
      <c r="FBS1156" s="7"/>
      <c r="FBT1156" s="7"/>
      <c r="FBU1156" s="7"/>
      <c r="FBV1156" s="7"/>
      <c r="FBW1156" s="7"/>
      <c r="FBX1156" s="7"/>
      <c r="FBY1156" s="7"/>
      <c r="FBZ1156" s="7"/>
      <c r="FCA1156" s="7"/>
      <c r="FCB1156" s="7"/>
      <c r="FCC1156" s="7"/>
      <c r="FCD1156" s="7"/>
      <c r="FCE1156" s="7"/>
      <c r="FCF1156" s="7"/>
      <c r="FCG1156" s="7"/>
      <c r="FCH1156" s="7"/>
      <c r="FCI1156" s="7"/>
      <c r="FCJ1156" s="7"/>
      <c r="FCK1156" s="7"/>
      <c r="FCL1156" s="7"/>
      <c r="FCM1156" s="7"/>
      <c r="FCN1156" s="7"/>
      <c r="FCO1156" s="7"/>
      <c r="FCP1156" s="7"/>
      <c r="FCQ1156" s="7"/>
      <c r="FCR1156" s="7"/>
      <c r="FCS1156" s="7"/>
      <c r="FCT1156" s="7"/>
      <c r="FCU1156" s="7"/>
      <c r="FCV1156" s="7"/>
      <c r="FCW1156" s="7"/>
      <c r="FCX1156" s="7"/>
      <c r="FCY1156" s="7"/>
      <c r="FCZ1156" s="7"/>
      <c r="FDA1156" s="7"/>
      <c r="FDB1156" s="7"/>
      <c r="FDC1156" s="7"/>
      <c r="FDD1156" s="7"/>
      <c r="FDE1156" s="7"/>
      <c r="FDF1156" s="7"/>
      <c r="FDG1156" s="7"/>
      <c r="FDH1156" s="7"/>
      <c r="FDI1156" s="7"/>
      <c r="FDJ1156" s="7"/>
      <c r="FDK1156" s="7"/>
      <c r="FDL1156" s="7"/>
      <c r="FDM1156" s="7"/>
      <c r="FDN1156" s="7"/>
      <c r="FDO1156" s="7"/>
      <c r="FDP1156" s="7"/>
      <c r="FDQ1156" s="7"/>
      <c r="FDR1156" s="7"/>
      <c r="FDS1156" s="7"/>
      <c r="FDT1156" s="7"/>
      <c r="FDU1156" s="7"/>
      <c r="FDV1156" s="7"/>
      <c r="FDW1156" s="7"/>
      <c r="FDX1156" s="7"/>
      <c r="FDY1156" s="7"/>
      <c r="FDZ1156" s="7"/>
      <c r="FEA1156" s="7"/>
      <c r="FEB1156" s="7"/>
      <c r="FEC1156" s="7"/>
      <c r="FED1156" s="7"/>
      <c r="FEE1156" s="7"/>
      <c r="FEF1156" s="7"/>
      <c r="FEG1156" s="7"/>
      <c r="FEH1156" s="7"/>
      <c r="FEI1156" s="7"/>
      <c r="FEJ1156" s="7"/>
      <c r="FEK1156" s="7"/>
      <c r="FEL1156" s="7"/>
      <c r="FEM1156" s="7"/>
      <c r="FEN1156" s="7"/>
      <c r="FEO1156" s="7"/>
      <c r="FEP1156" s="7"/>
      <c r="FEQ1156" s="7"/>
      <c r="FER1156" s="7"/>
      <c r="FES1156" s="7"/>
      <c r="FET1156" s="7"/>
      <c r="FEU1156" s="7"/>
      <c r="FEV1156" s="7"/>
      <c r="FEW1156" s="7"/>
      <c r="FEX1156" s="7"/>
      <c r="FEY1156" s="7"/>
      <c r="FEZ1156" s="7"/>
      <c r="FFA1156" s="7"/>
      <c r="FFB1156" s="7"/>
      <c r="FFC1156" s="7"/>
      <c r="FFD1156" s="7"/>
      <c r="FFE1156" s="7"/>
      <c r="FFF1156" s="7"/>
      <c r="FFG1156" s="7"/>
      <c r="FFH1156" s="7"/>
      <c r="FFI1156" s="7"/>
      <c r="FFJ1156" s="7"/>
      <c r="FFK1156" s="7"/>
      <c r="FFL1156" s="7"/>
      <c r="FFM1156" s="7"/>
      <c r="FFN1156" s="7"/>
      <c r="FFO1156" s="7"/>
      <c r="FFP1156" s="7"/>
      <c r="FFQ1156" s="7"/>
      <c r="FFR1156" s="7"/>
      <c r="FFS1156" s="7"/>
      <c r="FFT1156" s="7"/>
      <c r="FFU1156" s="7"/>
      <c r="FFV1156" s="7"/>
      <c r="FFW1156" s="7"/>
      <c r="FFX1156" s="7"/>
      <c r="FFY1156" s="7"/>
      <c r="FFZ1156" s="7"/>
      <c r="FGA1156" s="7"/>
      <c r="FGB1156" s="7"/>
      <c r="FGC1156" s="7"/>
      <c r="FGD1156" s="7"/>
      <c r="FGE1156" s="7"/>
      <c r="FGF1156" s="7"/>
      <c r="FGG1156" s="7"/>
      <c r="FGH1156" s="7"/>
      <c r="FGI1156" s="7"/>
      <c r="FGJ1156" s="7"/>
      <c r="FGK1156" s="7"/>
      <c r="FGL1156" s="7"/>
      <c r="FGM1156" s="7"/>
      <c r="FGN1156" s="7"/>
      <c r="FGO1156" s="7"/>
      <c r="FGP1156" s="7"/>
      <c r="FGQ1156" s="7"/>
      <c r="FGR1156" s="7"/>
      <c r="FGS1156" s="7"/>
      <c r="FGT1156" s="7"/>
      <c r="FGU1156" s="7"/>
      <c r="FGV1156" s="7"/>
      <c r="FGW1156" s="7"/>
      <c r="FGX1156" s="7"/>
      <c r="FGY1156" s="7"/>
      <c r="FGZ1156" s="7"/>
      <c r="FHA1156" s="7"/>
      <c r="FHB1156" s="7"/>
      <c r="FHC1156" s="7"/>
      <c r="FHD1156" s="7"/>
      <c r="FHE1156" s="7"/>
      <c r="FHF1156" s="7"/>
      <c r="FHG1156" s="7"/>
      <c r="FHH1156" s="7"/>
      <c r="FHI1156" s="7"/>
      <c r="FHJ1156" s="7"/>
      <c r="FHK1156" s="7"/>
      <c r="FHL1156" s="7"/>
      <c r="FHM1156" s="7"/>
      <c r="FHN1156" s="7"/>
      <c r="FHO1156" s="7"/>
      <c r="FHP1156" s="7"/>
      <c r="FHQ1156" s="7"/>
      <c r="FHR1156" s="7"/>
      <c r="FHS1156" s="7"/>
      <c r="FHT1156" s="7"/>
      <c r="FHU1156" s="7"/>
      <c r="FHV1156" s="7"/>
      <c r="FHW1156" s="7"/>
      <c r="FHX1156" s="7"/>
      <c r="FHY1156" s="7"/>
      <c r="FHZ1156" s="7"/>
      <c r="FIA1156" s="7"/>
      <c r="FIB1156" s="7"/>
      <c r="FIC1156" s="7"/>
      <c r="FID1156" s="7"/>
      <c r="FIE1156" s="7"/>
      <c r="FIF1156" s="7"/>
      <c r="FIG1156" s="7"/>
      <c r="FIH1156" s="7"/>
      <c r="FII1156" s="7"/>
      <c r="FIJ1156" s="7"/>
      <c r="FIK1156" s="7"/>
      <c r="FIL1156" s="7"/>
      <c r="FIM1156" s="7"/>
      <c r="FIN1156" s="7"/>
      <c r="FIO1156" s="7"/>
      <c r="FIP1156" s="7"/>
      <c r="FIQ1156" s="7"/>
      <c r="FIR1156" s="7"/>
      <c r="FIS1156" s="7"/>
      <c r="FIT1156" s="7"/>
      <c r="FIU1156" s="7"/>
      <c r="FIV1156" s="7"/>
      <c r="FIW1156" s="7"/>
      <c r="FIX1156" s="7"/>
      <c r="FIY1156" s="7"/>
      <c r="FIZ1156" s="7"/>
      <c r="FJA1156" s="7"/>
      <c r="FJB1156" s="7"/>
      <c r="FJC1156" s="7"/>
      <c r="FJD1156" s="7"/>
      <c r="FJE1156" s="7"/>
      <c r="FJF1156" s="7"/>
      <c r="FJG1156" s="7"/>
      <c r="FJH1156" s="7"/>
      <c r="FJI1156" s="7"/>
      <c r="FJJ1156" s="7"/>
      <c r="FJK1156" s="7"/>
      <c r="FJL1156" s="7"/>
      <c r="FJM1156" s="7"/>
      <c r="FJN1156" s="7"/>
      <c r="FJO1156" s="7"/>
      <c r="FJP1156" s="7"/>
      <c r="FJQ1156" s="7"/>
      <c r="FJR1156" s="7"/>
      <c r="FJS1156" s="7"/>
      <c r="FJT1156" s="7"/>
      <c r="FJU1156" s="7"/>
      <c r="FJV1156" s="7"/>
      <c r="FJW1156" s="7"/>
      <c r="FJX1156" s="7"/>
      <c r="FJY1156" s="7"/>
      <c r="FJZ1156" s="7"/>
      <c r="FKA1156" s="7"/>
      <c r="FKB1156" s="7"/>
      <c r="FKC1156" s="7"/>
      <c r="FKD1156" s="7"/>
      <c r="FKE1156" s="7"/>
      <c r="FKF1156" s="7"/>
      <c r="FKG1156" s="7"/>
      <c r="FKH1156" s="7"/>
      <c r="FKI1156" s="7"/>
      <c r="FKJ1156" s="7"/>
      <c r="FKK1156" s="7"/>
      <c r="FKL1156" s="7"/>
      <c r="FKM1156" s="7"/>
      <c r="FKN1156" s="7"/>
      <c r="FKO1156" s="7"/>
      <c r="FKP1156" s="7"/>
      <c r="FKQ1156" s="7"/>
      <c r="FKR1156" s="7"/>
      <c r="FKS1156" s="7"/>
      <c r="FKT1156" s="7"/>
      <c r="FKU1156" s="7"/>
      <c r="FKV1156" s="7"/>
      <c r="FKW1156" s="7"/>
      <c r="FKX1156" s="7"/>
      <c r="FKY1156" s="7"/>
      <c r="FKZ1156" s="7"/>
      <c r="FLA1156" s="7"/>
      <c r="FLB1156" s="7"/>
      <c r="FLC1156" s="7"/>
      <c r="FLD1156" s="7"/>
      <c r="FLE1156" s="7"/>
      <c r="FLF1156" s="7"/>
      <c r="FLG1156" s="7"/>
      <c r="FLH1156" s="7"/>
      <c r="FLI1156" s="7"/>
      <c r="FLJ1156" s="7"/>
      <c r="FLK1156" s="7"/>
      <c r="FLL1156" s="7"/>
      <c r="FLM1156" s="7"/>
      <c r="FLN1156" s="7"/>
      <c r="FLO1156" s="7"/>
      <c r="FLP1156" s="7"/>
      <c r="FLQ1156" s="7"/>
      <c r="FLR1156" s="7"/>
      <c r="FLS1156" s="7"/>
      <c r="FLT1156" s="7"/>
      <c r="FLU1156" s="7"/>
      <c r="FLV1156" s="7"/>
      <c r="FLW1156" s="7"/>
      <c r="FLX1156" s="7"/>
      <c r="FLY1156" s="7"/>
      <c r="FLZ1156" s="7"/>
      <c r="FMA1156" s="7"/>
      <c r="FMB1156" s="7"/>
      <c r="FMC1156" s="7"/>
      <c r="FMD1156" s="7"/>
      <c r="FME1156" s="7"/>
      <c r="FMF1156" s="7"/>
      <c r="FMG1156" s="7"/>
      <c r="FMH1156" s="7"/>
      <c r="FMI1156" s="7"/>
      <c r="FMJ1156" s="7"/>
      <c r="FMK1156" s="7"/>
      <c r="FML1156" s="7"/>
      <c r="FMM1156" s="7"/>
      <c r="FMN1156" s="7"/>
      <c r="FMO1156" s="7"/>
      <c r="FMP1156" s="7"/>
      <c r="FMQ1156" s="7"/>
      <c r="FMR1156" s="7"/>
      <c r="FMS1156" s="7"/>
      <c r="FMT1156" s="7"/>
      <c r="FMU1156" s="7"/>
      <c r="FMV1156" s="7"/>
      <c r="FMW1156" s="7"/>
      <c r="FMX1156" s="7"/>
      <c r="FMY1156" s="7"/>
      <c r="FMZ1156" s="7"/>
      <c r="FNA1156" s="7"/>
      <c r="FNB1156" s="7"/>
      <c r="FNC1156" s="7"/>
      <c r="FND1156" s="7"/>
      <c r="FNE1156" s="7"/>
      <c r="FNF1156" s="7"/>
      <c r="FNG1156" s="7"/>
      <c r="FNH1156" s="7"/>
      <c r="FNI1156" s="7"/>
      <c r="FNJ1156" s="7"/>
      <c r="FNK1156" s="7"/>
      <c r="FNL1156" s="7"/>
      <c r="FNM1156" s="7"/>
      <c r="FNN1156" s="7"/>
      <c r="FNO1156" s="7"/>
      <c r="FNP1156" s="7"/>
      <c r="FNQ1156" s="7"/>
      <c r="FNR1156" s="7"/>
      <c r="FNS1156" s="7"/>
      <c r="FNT1156" s="7"/>
      <c r="FNU1156" s="7"/>
      <c r="FNV1156" s="7"/>
      <c r="FNW1156" s="7"/>
      <c r="FNX1156" s="7"/>
      <c r="FNY1156" s="7"/>
      <c r="FNZ1156" s="7"/>
      <c r="FOA1156" s="7"/>
      <c r="FOB1156" s="7"/>
      <c r="FOC1156" s="7"/>
      <c r="FOD1156" s="7"/>
      <c r="FOE1156" s="7"/>
      <c r="FOF1156" s="7"/>
      <c r="FOG1156" s="7"/>
      <c r="FOH1156" s="7"/>
      <c r="FOI1156" s="7"/>
      <c r="FOJ1156" s="7"/>
      <c r="FOK1156" s="7"/>
      <c r="FOL1156" s="7"/>
      <c r="FOM1156" s="7"/>
      <c r="FON1156" s="7"/>
      <c r="FOO1156" s="7"/>
      <c r="FOP1156" s="7"/>
      <c r="FOQ1156" s="7"/>
      <c r="FOR1156" s="7"/>
      <c r="FOS1156" s="7"/>
      <c r="FOT1156" s="7"/>
      <c r="FOU1156" s="7"/>
      <c r="FOV1156" s="7"/>
      <c r="FOW1156" s="7"/>
      <c r="FOX1156" s="7"/>
      <c r="FOY1156" s="7"/>
      <c r="FOZ1156" s="7"/>
      <c r="FPA1156" s="7"/>
      <c r="FPB1156" s="7"/>
      <c r="FPC1156" s="7"/>
      <c r="FPD1156" s="7"/>
      <c r="FPE1156" s="7"/>
      <c r="FPF1156" s="7"/>
      <c r="FPG1156" s="7"/>
      <c r="FPH1156" s="7"/>
      <c r="FPI1156" s="7"/>
      <c r="FPJ1156" s="7"/>
      <c r="FPK1156" s="7"/>
      <c r="FPL1156" s="7"/>
      <c r="FPM1156" s="7"/>
      <c r="FPN1156" s="7"/>
      <c r="FPO1156" s="7"/>
      <c r="FPP1156" s="7"/>
      <c r="FPQ1156" s="7"/>
      <c r="FPR1156" s="7"/>
      <c r="FPS1156" s="7"/>
      <c r="FPT1156" s="7"/>
      <c r="FPU1156" s="7"/>
      <c r="FPV1156" s="7"/>
      <c r="FPW1156" s="7"/>
      <c r="FPX1156" s="7"/>
      <c r="FPY1156" s="7"/>
      <c r="FPZ1156" s="7"/>
      <c r="FQA1156" s="7"/>
      <c r="FQB1156" s="7"/>
      <c r="FQC1156" s="7"/>
      <c r="FQD1156" s="7"/>
      <c r="FQE1156" s="7"/>
      <c r="FQF1156" s="7"/>
      <c r="FQG1156" s="7"/>
      <c r="FQH1156" s="7"/>
      <c r="FQI1156" s="7"/>
      <c r="FQJ1156" s="7"/>
      <c r="FQK1156" s="7"/>
      <c r="FQL1156" s="7"/>
      <c r="FQM1156" s="7"/>
      <c r="FQN1156" s="7"/>
      <c r="FQO1156" s="7"/>
      <c r="FQP1156" s="7"/>
      <c r="FQQ1156" s="7"/>
      <c r="FQR1156" s="7"/>
      <c r="FQS1156" s="7"/>
      <c r="FQT1156" s="7"/>
      <c r="FQU1156" s="7"/>
      <c r="FQV1156" s="7"/>
      <c r="FQW1156" s="7"/>
      <c r="FQX1156" s="7"/>
      <c r="FQY1156" s="7"/>
      <c r="FQZ1156" s="7"/>
      <c r="FRA1156" s="7"/>
      <c r="FRB1156" s="7"/>
      <c r="FRC1156" s="7"/>
      <c r="FRD1156" s="7"/>
      <c r="FRE1156" s="7"/>
      <c r="FRF1156" s="7"/>
      <c r="FRG1156" s="7"/>
      <c r="FRH1156" s="7"/>
      <c r="FRI1156" s="7"/>
      <c r="FRJ1156" s="7"/>
      <c r="FRK1156" s="7"/>
      <c r="FRL1156" s="7"/>
      <c r="FRM1156" s="7"/>
      <c r="FRN1156" s="7"/>
      <c r="FRO1156" s="7"/>
      <c r="FRP1156" s="7"/>
      <c r="FRQ1156" s="7"/>
      <c r="FRR1156" s="7"/>
      <c r="FRS1156" s="7"/>
      <c r="FRT1156" s="7"/>
      <c r="FRU1156" s="7"/>
      <c r="FRV1156" s="7"/>
      <c r="FRW1156" s="7"/>
      <c r="FRX1156" s="7"/>
      <c r="FRY1156" s="7"/>
      <c r="FRZ1156" s="7"/>
      <c r="FSA1156" s="7"/>
      <c r="FSB1156" s="7"/>
      <c r="FSC1156" s="7"/>
      <c r="FSD1156" s="7"/>
      <c r="FSE1156" s="7"/>
      <c r="FSF1156" s="7"/>
      <c r="FSG1156" s="7"/>
      <c r="FSH1156" s="7"/>
      <c r="FSI1156" s="7"/>
      <c r="FSJ1156" s="7"/>
      <c r="FSK1156" s="7"/>
      <c r="FSL1156" s="7"/>
      <c r="FSM1156" s="7"/>
      <c r="FSN1156" s="7"/>
      <c r="FSO1156" s="7"/>
      <c r="FSP1156" s="7"/>
      <c r="FSQ1156" s="7"/>
      <c r="FSR1156" s="7"/>
      <c r="FSS1156" s="7"/>
      <c r="FST1156" s="7"/>
      <c r="FSU1156" s="7"/>
      <c r="FSV1156" s="7"/>
      <c r="FSW1156" s="7"/>
      <c r="FSX1156" s="7"/>
      <c r="FSY1156" s="7"/>
      <c r="FSZ1156" s="7"/>
      <c r="FTA1156" s="7"/>
      <c r="FTB1156" s="7"/>
      <c r="FTC1156" s="7"/>
      <c r="FTD1156" s="7"/>
      <c r="FTE1156" s="7"/>
      <c r="FTF1156" s="7"/>
      <c r="FTG1156" s="7"/>
      <c r="FTH1156" s="7"/>
      <c r="FTI1156" s="7"/>
      <c r="FTJ1156" s="7"/>
      <c r="FTK1156" s="7"/>
      <c r="FTL1156" s="7"/>
      <c r="FTM1156" s="7"/>
      <c r="FTN1156" s="7"/>
      <c r="FTO1156" s="7"/>
      <c r="FTP1156" s="7"/>
      <c r="FTQ1156" s="7"/>
      <c r="FTR1156" s="7"/>
      <c r="FTS1156" s="7"/>
      <c r="FTT1156" s="7"/>
      <c r="FTU1156" s="7"/>
      <c r="FTV1156" s="7"/>
      <c r="FTW1156" s="7"/>
      <c r="FTX1156" s="7"/>
      <c r="FTY1156" s="7"/>
      <c r="FTZ1156" s="7"/>
      <c r="FUA1156" s="7"/>
      <c r="FUB1156" s="7"/>
      <c r="FUC1156" s="7"/>
      <c r="FUD1156" s="7"/>
      <c r="FUE1156" s="7"/>
      <c r="FUF1156" s="7"/>
      <c r="FUG1156" s="7"/>
      <c r="FUH1156" s="7"/>
      <c r="FUI1156" s="7"/>
      <c r="FUJ1156" s="7"/>
      <c r="FUK1156" s="7"/>
      <c r="FUL1156" s="7"/>
      <c r="FUM1156" s="7"/>
      <c r="FUN1156" s="7"/>
      <c r="FUO1156" s="7"/>
      <c r="FUP1156" s="7"/>
      <c r="FUQ1156" s="7"/>
      <c r="FUR1156" s="7"/>
      <c r="FUS1156" s="7"/>
      <c r="FUT1156" s="7"/>
      <c r="FUU1156" s="7"/>
      <c r="FUV1156" s="7"/>
      <c r="FUW1156" s="7"/>
      <c r="FUX1156" s="7"/>
      <c r="FUY1156" s="7"/>
      <c r="FUZ1156" s="7"/>
      <c r="FVA1156" s="7"/>
      <c r="FVB1156" s="7"/>
      <c r="FVC1156" s="7"/>
      <c r="FVD1156" s="7"/>
      <c r="FVE1156" s="7"/>
      <c r="FVF1156" s="7"/>
      <c r="FVG1156" s="7"/>
      <c r="FVH1156" s="7"/>
      <c r="FVI1156" s="7"/>
      <c r="FVJ1156" s="7"/>
      <c r="FVK1156" s="7"/>
      <c r="FVL1156" s="7"/>
      <c r="FVM1156" s="7"/>
      <c r="FVN1156" s="7"/>
      <c r="FVO1156" s="7"/>
      <c r="FVP1156" s="7"/>
      <c r="FVQ1156" s="7"/>
      <c r="FVR1156" s="7"/>
      <c r="FVS1156" s="7"/>
      <c r="FVT1156" s="7"/>
      <c r="FVU1156" s="7"/>
      <c r="FVV1156" s="7"/>
      <c r="FVW1156" s="7"/>
      <c r="FVX1156" s="7"/>
      <c r="FVY1156" s="7"/>
      <c r="FVZ1156" s="7"/>
      <c r="FWA1156" s="7"/>
      <c r="FWB1156" s="7"/>
      <c r="FWC1156" s="7"/>
      <c r="FWD1156" s="7"/>
      <c r="FWE1156" s="7"/>
      <c r="FWF1156" s="7"/>
      <c r="FWG1156" s="7"/>
      <c r="FWH1156" s="7"/>
      <c r="FWI1156" s="7"/>
      <c r="FWJ1156" s="7"/>
      <c r="FWK1156" s="7"/>
      <c r="FWL1156" s="7"/>
      <c r="FWM1156" s="7"/>
      <c r="FWN1156" s="7"/>
      <c r="FWO1156" s="7"/>
      <c r="FWP1156" s="7"/>
      <c r="FWQ1156" s="7"/>
      <c r="FWR1156" s="7"/>
      <c r="FWS1156" s="7"/>
      <c r="FWT1156" s="7"/>
      <c r="FWU1156" s="7"/>
      <c r="FWV1156" s="7"/>
      <c r="FWW1156" s="7"/>
      <c r="FWX1156" s="7"/>
      <c r="FWY1156" s="7"/>
      <c r="FWZ1156" s="7"/>
      <c r="FXA1156" s="7"/>
      <c r="FXB1156" s="7"/>
      <c r="FXC1156" s="7"/>
      <c r="FXD1156" s="7"/>
      <c r="FXE1156" s="7"/>
      <c r="FXF1156" s="7"/>
      <c r="FXG1156" s="7"/>
      <c r="FXH1156" s="7"/>
      <c r="FXI1156" s="7"/>
      <c r="FXJ1156" s="7"/>
      <c r="FXK1156" s="7"/>
      <c r="FXL1156" s="7"/>
      <c r="FXM1156" s="7"/>
      <c r="FXN1156" s="7"/>
      <c r="FXO1156" s="7"/>
      <c r="FXP1156" s="7"/>
      <c r="FXQ1156" s="7"/>
      <c r="FXR1156" s="7"/>
      <c r="FXS1156" s="7"/>
      <c r="FXT1156" s="7"/>
      <c r="FXU1156" s="7"/>
      <c r="FXV1156" s="7"/>
      <c r="FXW1156" s="7"/>
      <c r="FXX1156" s="7"/>
      <c r="FXY1156" s="7"/>
      <c r="FXZ1156" s="7"/>
      <c r="FYA1156" s="7"/>
      <c r="FYB1156" s="7"/>
      <c r="FYC1156" s="7"/>
      <c r="FYD1156" s="7"/>
      <c r="FYE1156" s="7"/>
      <c r="FYF1156" s="7"/>
      <c r="FYG1156" s="7"/>
      <c r="FYH1156" s="7"/>
      <c r="FYI1156" s="7"/>
      <c r="FYJ1156" s="7"/>
      <c r="FYK1156" s="7"/>
      <c r="FYL1156" s="7"/>
      <c r="FYM1156" s="7"/>
      <c r="FYN1156" s="7"/>
      <c r="FYO1156" s="7"/>
      <c r="FYP1156" s="7"/>
      <c r="FYQ1156" s="7"/>
      <c r="FYR1156" s="7"/>
      <c r="FYS1156" s="7"/>
      <c r="FYT1156" s="7"/>
      <c r="FYU1156" s="7"/>
      <c r="FYV1156" s="7"/>
      <c r="FYW1156" s="7"/>
      <c r="FYX1156" s="7"/>
      <c r="FYY1156" s="7"/>
      <c r="FYZ1156" s="7"/>
      <c r="FZA1156" s="7"/>
      <c r="FZB1156" s="7"/>
      <c r="FZC1156" s="7"/>
      <c r="FZD1156" s="7"/>
      <c r="FZE1156" s="7"/>
      <c r="FZF1156" s="7"/>
      <c r="FZG1156" s="7"/>
      <c r="FZH1156" s="7"/>
      <c r="FZI1156" s="7"/>
      <c r="FZJ1156" s="7"/>
      <c r="FZK1156" s="7"/>
      <c r="FZL1156" s="7"/>
      <c r="FZM1156" s="7"/>
      <c r="FZN1156" s="7"/>
      <c r="FZO1156" s="7"/>
      <c r="FZP1156" s="7"/>
      <c r="FZQ1156" s="7"/>
      <c r="FZR1156" s="7"/>
      <c r="FZS1156" s="7"/>
      <c r="FZT1156" s="7"/>
      <c r="FZU1156" s="7"/>
      <c r="FZV1156" s="7"/>
      <c r="FZW1156" s="7"/>
      <c r="FZX1156" s="7"/>
      <c r="FZY1156" s="7"/>
      <c r="FZZ1156" s="7"/>
      <c r="GAA1156" s="7"/>
      <c r="GAB1156" s="7"/>
      <c r="GAC1156" s="7"/>
      <c r="GAD1156" s="7"/>
      <c r="GAE1156" s="7"/>
      <c r="GAF1156" s="7"/>
      <c r="GAG1156" s="7"/>
      <c r="GAH1156" s="7"/>
      <c r="GAI1156" s="7"/>
      <c r="GAJ1156" s="7"/>
      <c r="GAK1156" s="7"/>
      <c r="GAL1156" s="7"/>
      <c r="GAM1156" s="7"/>
      <c r="GAN1156" s="7"/>
      <c r="GAO1156" s="7"/>
      <c r="GAP1156" s="7"/>
      <c r="GAQ1156" s="7"/>
      <c r="GAR1156" s="7"/>
      <c r="GAS1156" s="7"/>
      <c r="GAT1156" s="7"/>
      <c r="GAU1156" s="7"/>
      <c r="GAV1156" s="7"/>
      <c r="GAW1156" s="7"/>
      <c r="GAX1156" s="7"/>
      <c r="GAY1156" s="7"/>
      <c r="GAZ1156" s="7"/>
      <c r="GBA1156" s="7"/>
      <c r="GBB1156" s="7"/>
      <c r="GBC1156" s="7"/>
      <c r="GBD1156" s="7"/>
      <c r="GBE1156" s="7"/>
      <c r="GBF1156" s="7"/>
      <c r="GBG1156" s="7"/>
      <c r="GBH1156" s="7"/>
      <c r="GBI1156" s="7"/>
      <c r="GBJ1156" s="7"/>
      <c r="GBK1156" s="7"/>
      <c r="GBL1156" s="7"/>
      <c r="GBM1156" s="7"/>
      <c r="GBN1156" s="7"/>
      <c r="GBO1156" s="7"/>
      <c r="GBP1156" s="7"/>
      <c r="GBQ1156" s="7"/>
      <c r="GBR1156" s="7"/>
      <c r="GBS1156" s="7"/>
      <c r="GBT1156" s="7"/>
      <c r="GBU1156" s="7"/>
      <c r="GBV1156" s="7"/>
      <c r="GBW1156" s="7"/>
      <c r="GBX1156" s="7"/>
      <c r="GBY1156" s="7"/>
      <c r="GBZ1156" s="7"/>
      <c r="GCA1156" s="7"/>
      <c r="GCB1156" s="7"/>
      <c r="GCC1156" s="7"/>
      <c r="GCD1156" s="7"/>
      <c r="GCE1156" s="7"/>
      <c r="GCF1156" s="7"/>
      <c r="GCG1156" s="7"/>
      <c r="GCH1156" s="7"/>
      <c r="GCI1156" s="7"/>
      <c r="GCJ1156" s="7"/>
      <c r="GCK1156" s="7"/>
      <c r="GCL1156" s="7"/>
      <c r="GCM1156" s="7"/>
      <c r="GCN1156" s="7"/>
      <c r="GCO1156" s="7"/>
      <c r="GCP1156" s="7"/>
      <c r="GCQ1156" s="7"/>
      <c r="GCR1156" s="7"/>
      <c r="GCS1156" s="7"/>
      <c r="GCT1156" s="7"/>
      <c r="GCU1156" s="7"/>
      <c r="GCV1156" s="7"/>
      <c r="GCW1156" s="7"/>
      <c r="GCX1156" s="7"/>
      <c r="GCY1156" s="7"/>
      <c r="GCZ1156" s="7"/>
      <c r="GDA1156" s="7"/>
      <c r="GDB1156" s="7"/>
      <c r="GDC1156" s="7"/>
      <c r="GDD1156" s="7"/>
      <c r="GDE1156" s="7"/>
      <c r="GDF1156" s="7"/>
      <c r="GDG1156" s="7"/>
      <c r="GDH1156" s="7"/>
      <c r="GDI1156" s="7"/>
      <c r="GDJ1156" s="7"/>
      <c r="GDK1156" s="7"/>
      <c r="GDL1156" s="7"/>
      <c r="GDM1156" s="7"/>
      <c r="GDN1156" s="7"/>
      <c r="GDO1156" s="7"/>
      <c r="GDP1156" s="7"/>
      <c r="GDQ1156" s="7"/>
      <c r="GDR1156" s="7"/>
      <c r="GDS1156" s="7"/>
      <c r="GDT1156" s="7"/>
      <c r="GDU1156" s="7"/>
      <c r="GDV1156" s="7"/>
      <c r="GDW1156" s="7"/>
      <c r="GDX1156" s="7"/>
      <c r="GDY1156" s="7"/>
      <c r="GDZ1156" s="7"/>
      <c r="GEA1156" s="7"/>
      <c r="GEB1156" s="7"/>
      <c r="GEC1156" s="7"/>
      <c r="GED1156" s="7"/>
      <c r="GEE1156" s="7"/>
      <c r="GEF1156" s="7"/>
      <c r="GEG1156" s="7"/>
      <c r="GEH1156" s="7"/>
      <c r="GEI1156" s="7"/>
      <c r="GEJ1156" s="7"/>
      <c r="GEK1156" s="7"/>
      <c r="GEL1156" s="7"/>
      <c r="GEM1156" s="7"/>
      <c r="GEN1156" s="7"/>
      <c r="GEO1156" s="7"/>
      <c r="GEP1156" s="7"/>
      <c r="GEQ1156" s="7"/>
      <c r="GER1156" s="7"/>
      <c r="GES1156" s="7"/>
      <c r="GET1156" s="7"/>
      <c r="GEU1156" s="7"/>
      <c r="GEV1156" s="7"/>
      <c r="GEW1156" s="7"/>
      <c r="GEX1156" s="7"/>
      <c r="GEY1156" s="7"/>
      <c r="GEZ1156" s="7"/>
      <c r="GFA1156" s="7"/>
      <c r="GFB1156" s="7"/>
      <c r="GFC1156" s="7"/>
      <c r="GFD1156" s="7"/>
      <c r="GFE1156" s="7"/>
      <c r="GFF1156" s="7"/>
      <c r="GFG1156" s="7"/>
      <c r="GFH1156" s="7"/>
      <c r="GFI1156" s="7"/>
      <c r="GFJ1156" s="7"/>
      <c r="GFK1156" s="7"/>
      <c r="GFL1156" s="7"/>
      <c r="GFM1156" s="7"/>
      <c r="GFN1156" s="7"/>
      <c r="GFO1156" s="7"/>
      <c r="GFP1156" s="7"/>
      <c r="GFQ1156" s="7"/>
      <c r="GFR1156" s="7"/>
      <c r="GFS1156" s="7"/>
      <c r="GFT1156" s="7"/>
      <c r="GFU1156" s="7"/>
      <c r="GFV1156" s="7"/>
      <c r="GFW1156" s="7"/>
      <c r="GFX1156" s="7"/>
      <c r="GFY1156" s="7"/>
      <c r="GFZ1156" s="7"/>
      <c r="GGA1156" s="7"/>
      <c r="GGB1156" s="7"/>
      <c r="GGC1156" s="7"/>
      <c r="GGD1156" s="7"/>
      <c r="GGE1156" s="7"/>
      <c r="GGF1156" s="7"/>
      <c r="GGG1156" s="7"/>
      <c r="GGH1156" s="7"/>
      <c r="GGI1156" s="7"/>
      <c r="GGJ1156" s="7"/>
      <c r="GGK1156" s="7"/>
      <c r="GGL1156" s="7"/>
      <c r="GGM1156" s="7"/>
      <c r="GGN1156" s="7"/>
      <c r="GGO1156" s="7"/>
      <c r="GGP1156" s="7"/>
      <c r="GGQ1156" s="7"/>
      <c r="GGR1156" s="7"/>
      <c r="GGS1156" s="7"/>
      <c r="GGT1156" s="7"/>
      <c r="GGU1156" s="7"/>
      <c r="GGV1156" s="7"/>
      <c r="GGW1156" s="7"/>
      <c r="GGX1156" s="7"/>
      <c r="GGY1156" s="7"/>
      <c r="GGZ1156" s="7"/>
      <c r="GHA1156" s="7"/>
      <c r="GHB1156" s="7"/>
      <c r="GHC1156" s="7"/>
      <c r="GHD1156" s="7"/>
      <c r="GHE1156" s="7"/>
      <c r="GHF1156" s="7"/>
      <c r="GHG1156" s="7"/>
      <c r="GHH1156" s="7"/>
      <c r="GHI1156" s="7"/>
      <c r="GHJ1156" s="7"/>
      <c r="GHK1156" s="7"/>
      <c r="GHL1156" s="7"/>
      <c r="GHM1156" s="7"/>
      <c r="GHN1156" s="7"/>
      <c r="GHO1156" s="7"/>
      <c r="GHP1156" s="7"/>
      <c r="GHQ1156" s="7"/>
      <c r="GHR1156" s="7"/>
      <c r="GHS1156" s="7"/>
      <c r="GHT1156" s="7"/>
      <c r="GHU1156" s="7"/>
      <c r="GHV1156" s="7"/>
      <c r="GHW1156" s="7"/>
      <c r="GHX1156" s="7"/>
      <c r="GHY1156" s="7"/>
      <c r="GHZ1156" s="7"/>
      <c r="GIA1156" s="7"/>
      <c r="GIB1156" s="7"/>
      <c r="GIC1156" s="7"/>
      <c r="GID1156" s="7"/>
      <c r="GIE1156" s="7"/>
      <c r="GIF1156" s="7"/>
      <c r="GIG1156" s="7"/>
      <c r="GIH1156" s="7"/>
      <c r="GII1156" s="7"/>
      <c r="GIJ1156" s="7"/>
      <c r="GIK1156" s="7"/>
      <c r="GIL1156" s="7"/>
      <c r="GIM1156" s="7"/>
      <c r="GIN1156" s="7"/>
      <c r="GIO1156" s="7"/>
      <c r="GIP1156" s="7"/>
      <c r="GIQ1156" s="7"/>
      <c r="GIR1156" s="7"/>
      <c r="GIS1156" s="7"/>
      <c r="GIT1156" s="7"/>
      <c r="GIU1156" s="7"/>
      <c r="GIV1156" s="7"/>
      <c r="GIW1156" s="7"/>
      <c r="GIX1156" s="7"/>
      <c r="GIY1156" s="7"/>
      <c r="GIZ1156" s="7"/>
      <c r="GJA1156" s="7"/>
      <c r="GJB1156" s="7"/>
      <c r="GJC1156" s="7"/>
      <c r="GJD1156" s="7"/>
      <c r="GJE1156" s="7"/>
      <c r="GJF1156" s="7"/>
      <c r="GJG1156" s="7"/>
      <c r="GJH1156" s="7"/>
      <c r="GJI1156" s="7"/>
      <c r="GJJ1156" s="7"/>
      <c r="GJK1156" s="7"/>
      <c r="GJL1156" s="7"/>
      <c r="GJM1156" s="7"/>
      <c r="GJN1156" s="7"/>
      <c r="GJO1156" s="7"/>
      <c r="GJP1156" s="7"/>
      <c r="GJQ1156" s="7"/>
      <c r="GJR1156" s="7"/>
      <c r="GJS1156" s="7"/>
      <c r="GJT1156" s="7"/>
      <c r="GJU1156" s="7"/>
      <c r="GJV1156" s="7"/>
      <c r="GJW1156" s="7"/>
      <c r="GJX1156" s="7"/>
      <c r="GJY1156" s="7"/>
      <c r="GJZ1156" s="7"/>
      <c r="GKA1156" s="7"/>
      <c r="GKB1156" s="7"/>
      <c r="GKC1156" s="7"/>
      <c r="GKD1156" s="7"/>
      <c r="GKE1156" s="7"/>
      <c r="GKF1156" s="7"/>
      <c r="GKG1156" s="7"/>
      <c r="GKH1156" s="7"/>
      <c r="GKI1156" s="7"/>
      <c r="GKJ1156" s="7"/>
      <c r="GKK1156" s="7"/>
      <c r="GKL1156" s="7"/>
      <c r="GKM1156" s="7"/>
      <c r="GKN1156" s="7"/>
      <c r="GKO1156" s="7"/>
      <c r="GKP1156" s="7"/>
      <c r="GKQ1156" s="7"/>
      <c r="GKR1156" s="7"/>
      <c r="GKS1156" s="7"/>
      <c r="GKT1156" s="7"/>
      <c r="GKU1156" s="7"/>
      <c r="GKV1156" s="7"/>
      <c r="GKW1156" s="7"/>
      <c r="GKX1156" s="7"/>
      <c r="GKY1156" s="7"/>
      <c r="GKZ1156" s="7"/>
      <c r="GLA1156" s="7"/>
      <c r="GLB1156" s="7"/>
      <c r="GLC1156" s="7"/>
      <c r="GLD1156" s="7"/>
      <c r="GLE1156" s="7"/>
      <c r="GLF1156" s="7"/>
      <c r="GLG1156" s="7"/>
      <c r="GLH1156" s="7"/>
      <c r="GLI1156" s="7"/>
      <c r="GLJ1156" s="7"/>
      <c r="GLK1156" s="7"/>
      <c r="GLL1156" s="7"/>
      <c r="GLM1156" s="7"/>
      <c r="GLN1156" s="7"/>
      <c r="GLO1156" s="7"/>
      <c r="GLP1156" s="7"/>
      <c r="GLQ1156" s="7"/>
      <c r="GLR1156" s="7"/>
      <c r="GLS1156" s="7"/>
      <c r="GLT1156" s="7"/>
      <c r="GLU1156" s="7"/>
      <c r="GLV1156" s="7"/>
      <c r="GLW1156" s="7"/>
      <c r="GLX1156" s="7"/>
      <c r="GLY1156" s="7"/>
      <c r="GLZ1156" s="7"/>
      <c r="GMA1156" s="7"/>
      <c r="GMB1156" s="7"/>
      <c r="GMC1156" s="7"/>
      <c r="GMD1156" s="7"/>
      <c r="GME1156" s="7"/>
      <c r="GMF1156" s="7"/>
      <c r="GMG1156" s="7"/>
      <c r="GMH1156" s="7"/>
      <c r="GMI1156" s="7"/>
      <c r="GMJ1156" s="7"/>
      <c r="GMK1156" s="7"/>
      <c r="GML1156" s="7"/>
      <c r="GMM1156" s="7"/>
      <c r="GMN1156" s="7"/>
      <c r="GMO1156" s="7"/>
      <c r="GMP1156" s="7"/>
      <c r="GMQ1156" s="7"/>
      <c r="GMR1156" s="7"/>
      <c r="GMS1156" s="7"/>
      <c r="GMT1156" s="7"/>
      <c r="GMU1156" s="7"/>
      <c r="GMV1156" s="7"/>
      <c r="GMW1156" s="7"/>
      <c r="GMX1156" s="7"/>
      <c r="GMY1156" s="7"/>
      <c r="GMZ1156" s="7"/>
      <c r="GNA1156" s="7"/>
      <c r="GNB1156" s="7"/>
      <c r="GNC1156" s="7"/>
      <c r="GND1156" s="7"/>
      <c r="GNE1156" s="7"/>
      <c r="GNF1156" s="7"/>
      <c r="GNG1156" s="7"/>
      <c r="GNH1156" s="7"/>
      <c r="GNI1156" s="7"/>
      <c r="GNJ1156" s="7"/>
      <c r="GNK1156" s="7"/>
      <c r="GNL1156" s="7"/>
      <c r="GNM1156" s="7"/>
      <c r="GNN1156" s="7"/>
      <c r="GNO1156" s="7"/>
      <c r="GNP1156" s="7"/>
      <c r="GNQ1156" s="7"/>
      <c r="GNR1156" s="7"/>
      <c r="GNS1156" s="7"/>
      <c r="GNT1156" s="7"/>
      <c r="GNU1156" s="7"/>
      <c r="GNV1156" s="7"/>
      <c r="GNW1156" s="7"/>
      <c r="GNX1156" s="7"/>
      <c r="GNY1156" s="7"/>
      <c r="GNZ1156" s="7"/>
      <c r="GOA1156" s="7"/>
      <c r="GOB1156" s="7"/>
      <c r="GOC1156" s="7"/>
      <c r="GOD1156" s="7"/>
      <c r="GOE1156" s="7"/>
      <c r="GOF1156" s="7"/>
      <c r="GOG1156" s="7"/>
      <c r="GOH1156" s="7"/>
      <c r="GOI1156" s="7"/>
      <c r="GOJ1156" s="7"/>
      <c r="GOK1156" s="7"/>
      <c r="GOL1156" s="7"/>
      <c r="GOM1156" s="7"/>
      <c r="GON1156" s="7"/>
      <c r="GOO1156" s="7"/>
      <c r="GOP1156" s="7"/>
      <c r="GOQ1156" s="7"/>
      <c r="GOR1156" s="7"/>
      <c r="GOS1156" s="7"/>
      <c r="GOT1156" s="7"/>
      <c r="GOU1156" s="7"/>
      <c r="GOV1156" s="7"/>
      <c r="GOW1156" s="7"/>
      <c r="GOX1156" s="7"/>
      <c r="GOY1156" s="7"/>
      <c r="GOZ1156" s="7"/>
      <c r="GPA1156" s="7"/>
      <c r="GPB1156" s="7"/>
      <c r="GPC1156" s="7"/>
      <c r="GPD1156" s="7"/>
      <c r="GPE1156" s="7"/>
      <c r="GPF1156" s="7"/>
      <c r="GPG1156" s="7"/>
      <c r="GPH1156" s="7"/>
      <c r="GPI1156" s="7"/>
      <c r="GPJ1156" s="7"/>
      <c r="GPK1156" s="7"/>
      <c r="GPL1156" s="7"/>
      <c r="GPM1156" s="7"/>
      <c r="GPN1156" s="7"/>
      <c r="GPO1156" s="7"/>
      <c r="GPP1156" s="7"/>
      <c r="GPQ1156" s="7"/>
      <c r="GPR1156" s="7"/>
      <c r="GPS1156" s="7"/>
      <c r="GPT1156" s="7"/>
      <c r="GPU1156" s="7"/>
      <c r="GPV1156" s="7"/>
      <c r="GPW1156" s="7"/>
      <c r="GPX1156" s="7"/>
      <c r="GPY1156" s="7"/>
      <c r="GPZ1156" s="7"/>
      <c r="GQA1156" s="7"/>
      <c r="GQB1156" s="7"/>
      <c r="GQC1156" s="7"/>
      <c r="GQD1156" s="7"/>
      <c r="GQE1156" s="7"/>
      <c r="GQF1156" s="7"/>
      <c r="GQG1156" s="7"/>
      <c r="GQH1156" s="7"/>
      <c r="GQI1156" s="7"/>
      <c r="GQJ1156" s="7"/>
      <c r="GQK1156" s="7"/>
      <c r="GQL1156" s="7"/>
      <c r="GQM1156" s="7"/>
      <c r="GQN1156" s="7"/>
      <c r="GQO1156" s="7"/>
      <c r="GQP1156" s="7"/>
      <c r="GQQ1156" s="7"/>
      <c r="GQR1156" s="7"/>
      <c r="GQS1156" s="7"/>
      <c r="GQT1156" s="7"/>
      <c r="GQU1156" s="7"/>
      <c r="GQV1156" s="7"/>
      <c r="GQW1156" s="7"/>
      <c r="GQX1156" s="7"/>
      <c r="GQY1156" s="7"/>
      <c r="GQZ1156" s="7"/>
      <c r="GRA1156" s="7"/>
      <c r="GRB1156" s="7"/>
      <c r="GRC1156" s="7"/>
      <c r="GRD1156" s="7"/>
      <c r="GRE1156" s="7"/>
      <c r="GRF1156" s="7"/>
      <c r="GRG1156" s="7"/>
      <c r="GRH1156" s="7"/>
      <c r="GRI1156" s="7"/>
      <c r="GRJ1156" s="7"/>
      <c r="GRK1156" s="7"/>
      <c r="GRL1156" s="7"/>
      <c r="GRM1156" s="7"/>
      <c r="GRN1156" s="7"/>
      <c r="GRO1156" s="7"/>
      <c r="GRP1156" s="7"/>
      <c r="GRQ1156" s="7"/>
      <c r="GRR1156" s="7"/>
      <c r="GRS1156" s="7"/>
      <c r="GRT1156" s="7"/>
      <c r="GRU1156" s="7"/>
      <c r="GRV1156" s="7"/>
      <c r="GRW1156" s="7"/>
      <c r="GRX1156" s="7"/>
      <c r="GRY1156" s="7"/>
      <c r="GRZ1156" s="7"/>
      <c r="GSA1156" s="7"/>
      <c r="GSB1156" s="7"/>
      <c r="GSC1156" s="7"/>
      <c r="GSD1156" s="7"/>
      <c r="GSE1156" s="7"/>
      <c r="GSF1156" s="7"/>
      <c r="GSG1156" s="7"/>
      <c r="GSH1156" s="7"/>
      <c r="GSI1156" s="7"/>
      <c r="GSJ1156" s="7"/>
      <c r="GSK1156" s="7"/>
      <c r="GSL1156" s="7"/>
      <c r="GSM1156" s="7"/>
      <c r="GSN1156" s="7"/>
      <c r="GSO1156" s="7"/>
      <c r="GSP1156" s="7"/>
      <c r="GSQ1156" s="7"/>
      <c r="GSR1156" s="7"/>
      <c r="GSS1156" s="7"/>
      <c r="GST1156" s="7"/>
      <c r="GSU1156" s="7"/>
      <c r="GSV1156" s="7"/>
      <c r="GSW1156" s="7"/>
      <c r="GSX1156" s="7"/>
      <c r="GSY1156" s="7"/>
      <c r="GSZ1156" s="7"/>
      <c r="GTA1156" s="7"/>
      <c r="GTB1156" s="7"/>
      <c r="GTC1156" s="7"/>
      <c r="GTD1156" s="7"/>
      <c r="GTE1156" s="7"/>
      <c r="GTF1156" s="7"/>
      <c r="GTG1156" s="7"/>
      <c r="GTH1156" s="7"/>
      <c r="GTI1156" s="7"/>
      <c r="GTJ1156" s="7"/>
      <c r="GTK1156" s="7"/>
      <c r="GTL1156" s="7"/>
      <c r="GTM1156" s="7"/>
      <c r="GTN1156" s="7"/>
      <c r="GTO1156" s="7"/>
      <c r="GTP1156" s="7"/>
      <c r="GTQ1156" s="7"/>
      <c r="GTR1156" s="7"/>
      <c r="GTS1156" s="7"/>
      <c r="GTT1156" s="7"/>
      <c r="GTU1156" s="7"/>
      <c r="GTV1156" s="7"/>
      <c r="GTW1156" s="7"/>
      <c r="GTX1156" s="7"/>
      <c r="GTY1156" s="7"/>
      <c r="GTZ1156" s="7"/>
      <c r="GUA1156" s="7"/>
      <c r="GUB1156" s="7"/>
      <c r="GUC1156" s="7"/>
      <c r="GUD1156" s="7"/>
      <c r="GUE1156" s="7"/>
      <c r="GUF1156" s="7"/>
      <c r="GUG1156" s="7"/>
      <c r="GUH1156" s="7"/>
      <c r="GUI1156" s="7"/>
      <c r="GUJ1156" s="7"/>
      <c r="GUK1156" s="7"/>
      <c r="GUL1156" s="7"/>
      <c r="GUM1156" s="7"/>
      <c r="GUN1156" s="7"/>
      <c r="GUO1156" s="7"/>
      <c r="GUP1156" s="7"/>
      <c r="GUQ1156" s="7"/>
      <c r="GUR1156" s="7"/>
      <c r="GUS1156" s="7"/>
      <c r="GUT1156" s="7"/>
      <c r="GUU1156" s="7"/>
      <c r="GUV1156" s="7"/>
      <c r="GUW1156" s="7"/>
      <c r="GUX1156" s="7"/>
      <c r="GUY1156" s="7"/>
      <c r="GUZ1156" s="7"/>
      <c r="GVA1156" s="7"/>
      <c r="GVB1156" s="7"/>
      <c r="GVC1156" s="7"/>
      <c r="GVD1156" s="7"/>
      <c r="GVE1156" s="7"/>
      <c r="GVF1156" s="7"/>
      <c r="GVG1156" s="7"/>
      <c r="GVH1156" s="7"/>
      <c r="GVI1156" s="7"/>
      <c r="GVJ1156" s="7"/>
      <c r="GVK1156" s="7"/>
      <c r="GVL1156" s="7"/>
      <c r="GVM1156" s="7"/>
      <c r="GVN1156" s="7"/>
      <c r="GVO1156" s="7"/>
      <c r="GVP1156" s="7"/>
      <c r="GVQ1156" s="7"/>
      <c r="GVR1156" s="7"/>
      <c r="GVS1156" s="7"/>
      <c r="GVT1156" s="7"/>
      <c r="GVU1156" s="7"/>
      <c r="GVV1156" s="7"/>
      <c r="GVW1156" s="7"/>
      <c r="GVX1156" s="7"/>
      <c r="GVY1156" s="7"/>
      <c r="GVZ1156" s="7"/>
      <c r="GWA1156" s="7"/>
      <c r="GWB1156" s="7"/>
      <c r="GWC1156" s="7"/>
      <c r="GWD1156" s="7"/>
      <c r="GWE1156" s="7"/>
      <c r="GWF1156" s="7"/>
      <c r="GWG1156" s="7"/>
      <c r="GWH1156" s="7"/>
      <c r="GWI1156" s="7"/>
      <c r="GWJ1156" s="7"/>
      <c r="GWK1156" s="7"/>
      <c r="GWL1156" s="7"/>
      <c r="GWM1156" s="7"/>
      <c r="GWN1156" s="7"/>
      <c r="GWO1156" s="7"/>
      <c r="GWP1156" s="7"/>
      <c r="GWQ1156" s="7"/>
      <c r="GWR1156" s="7"/>
      <c r="GWS1156" s="7"/>
      <c r="GWT1156" s="7"/>
      <c r="GWU1156" s="7"/>
      <c r="GWV1156" s="7"/>
      <c r="GWW1156" s="7"/>
      <c r="GWX1156" s="7"/>
      <c r="GWY1156" s="7"/>
      <c r="GWZ1156" s="7"/>
      <c r="GXA1156" s="7"/>
      <c r="GXB1156" s="7"/>
      <c r="GXC1156" s="7"/>
      <c r="GXD1156" s="7"/>
      <c r="GXE1156" s="7"/>
      <c r="GXF1156" s="7"/>
      <c r="GXG1156" s="7"/>
      <c r="GXH1156" s="7"/>
      <c r="GXI1156" s="7"/>
      <c r="GXJ1156" s="7"/>
      <c r="GXK1156" s="7"/>
      <c r="GXL1156" s="7"/>
      <c r="GXM1156" s="7"/>
      <c r="GXN1156" s="7"/>
      <c r="GXO1156" s="7"/>
      <c r="GXP1156" s="7"/>
      <c r="GXQ1156" s="7"/>
      <c r="GXR1156" s="7"/>
      <c r="GXS1156" s="7"/>
      <c r="GXT1156" s="7"/>
      <c r="GXU1156" s="7"/>
      <c r="GXV1156" s="7"/>
      <c r="GXW1156" s="7"/>
      <c r="GXX1156" s="7"/>
      <c r="GXY1156" s="7"/>
      <c r="GXZ1156" s="7"/>
      <c r="GYA1156" s="7"/>
      <c r="GYB1156" s="7"/>
      <c r="GYC1156" s="7"/>
      <c r="GYD1156" s="7"/>
      <c r="GYE1156" s="7"/>
      <c r="GYF1156" s="7"/>
      <c r="GYG1156" s="7"/>
      <c r="GYH1156" s="7"/>
      <c r="GYI1156" s="7"/>
      <c r="GYJ1156" s="7"/>
      <c r="GYK1156" s="7"/>
      <c r="GYL1156" s="7"/>
      <c r="GYM1156" s="7"/>
      <c r="GYN1156" s="7"/>
      <c r="GYO1156" s="7"/>
      <c r="GYP1156" s="7"/>
      <c r="GYQ1156" s="7"/>
      <c r="GYR1156" s="7"/>
      <c r="GYS1156" s="7"/>
      <c r="GYT1156" s="7"/>
      <c r="GYU1156" s="7"/>
      <c r="GYV1156" s="7"/>
      <c r="GYW1156" s="7"/>
      <c r="GYX1156" s="7"/>
      <c r="GYY1156" s="7"/>
      <c r="GYZ1156" s="7"/>
      <c r="GZA1156" s="7"/>
      <c r="GZB1156" s="7"/>
      <c r="GZC1156" s="7"/>
      <c r="GZD1156" s="7"/>
      <c r="GZE1156" s="7"/>
      <c r="GZF1156" s="7"/>
      <c r="GZG1156" s="7"/>
      <c r="GZH1156" s="7"/>
      <c r="GZI1156" s="7"/>
      <c r="GZJ1156" s="7"/>
      <c r="GZK1156" s="7"/>
      <c r="GZL1156" s="7"/>
      <c r="GZM1156" s="7"/>
      <c r="GZN1156" s="7"/>
      <c r="GZO1156" s="7"/>
      <c r="GZP1156" s="7"/>
      <c r="GZQ1156" s="7"/>
      <c r="GZR1156" s="7"/>
      <c r="GZS1156" s="7"/>
      <c r="GZT1156" s="7"/>
      <c r="GZU1156" s="7"/>
      <c r="GZV1156" s="7"/>
      <c r="GZW1156" s="7"/>
      <c r="GZX1156" s="7"/>
      <c r="GZY1156" s="7"/>
      <c r="GZZ1156" s="7"/>
      <c r="HAA1156" s="7"/>
      <c r="HAB1156" s="7"/>
      <c r="HAC1156" s="7"/>
      <c r="HAD1156" s="7"/>
      <c r="HAE1156" s="7"/>
      <c r="HAF1156" s="7"/>
      <c r="HAG1156" s="7"/>
      <c r="HAH1156" s="7"/>
      <c r="HAI1156" s="7"/>
      <c r="HAJ1156" s="7"/>
      <c r="HAK1156" s="7"/>
      <c r="HAL1156" s="7"/>
      <c r="HAM1156" s="7"/>
      <c r="HAN1156" s="7"/>
      <c r="HAO1156" s="7"/>
      <c r="HAP1156" s="7"/>
      <c r="HAQ1156" s="7"/>
      <c r="HAR1156" s="7"/>
      <c r="HAS1156" s="7"/>
      <c r="HAT1156" s="7"/>
      <c r="HAU1156" s="7"/>
      <c r="HAV1156" s="7"/>
      <c r="HAW1156" s="7"/>
      <c r="HAX1156" s="7"/>
      <c r="HAY1156" s="7"/>
      <c r="HAZ1156" s="7"/>
      <c r="HBA1156" s="7"/>
      <c r="HBB1156" s="7"/>
      <c r="HBC1156" s="7"/>
      <c r="HBD1156" s="7"/>
      <c r="HBE1156" s="7"/>
      <c r="HBF1156" s="7"/>
      <c r="HBG1156" s="7"/>
      <c r="HBH1156" s="7"/>
      <c r="HBI1156" s="7"/>
      <c r="HBJ1156" s="7"/>
      <c r="HBK1156" s="7"/>
      <c r="HBL1156" s="7"/>
      <c r="HBM1156" s="7"/>
      <c r="HBN1156" s="7"/>
      <c r="HBO1156" s="7"/>
      <c r="HBP1156" s="7"/>
      <c r="HBQ1156" s="7"/>
      <c r="HBR1156" s="7"/>
      <c r="HBS1156" s="7"/>
      <c r="HBT1156" s="7"/>
      <c r="HBU1156" s="7"/>
      <c r="HBV1156" s="7"/>
      <c r="HBW1156" s="7"/>
      <c r="HBX1156" s="7"/>
      <c r="HBY1156" s="7"/>
      <c r="HBZ1156" s="7"/>
      <c r="HCA1156" s="7"/>
      <c r="HCB1156" s="7"/>
      <c r="HCC1156" s="7"/>
      <c r="HCD1156" s="7"/>
      <c r="HCE1156" s="7"/>
      <c r="HCF1156" s="7"/>
      <c r="HCG1156" s="7"/>
      <c r="HCH1156" s="7"/>
      <c r="HCI1156" s="7"/>
      <c r="HCJ1156" s="7"/>
      <c r="HCK1156" s="7"/>
      <c r="HCL1156" s="7"/>
      <c r="HCM1156" s="7"/>
      <c r="HCN1156" s="7"/>
      <c r="HCO1156" s="7"/>
      <c r="HCP1156" s="7"/>
      <c r="HCQ1156" s="7"/>
      <c r="HCR1156" s="7"/>
      <c r="HCS1156" s="7"/>
      <c r="HCT1156" s="7"/>
      <c r="HCU1156" s="7"/>
      <c r="HCV1156" s="7"/>
      <c r="HCW1156" s="7"/>
      <c r="HCX1156" s="7"/>
      <c r="HCY1156" s="7"/>
      <c r="HCZ1156" s="7"/>
      <c r="HDA1156" s="7"/>
      <c r="HDB1156" s="7"/>
      <c r="HDC1156" s="7"/>
      <c r="HDD1156" s="7"/>
      <c r="HDE1156" s="7"/>
      <c r="HDF1156" s="7"/>
      <c r="HDG1156" s="7"/>
      <c r="HDH1156" s="7"/>
      <c r="HDI1156" s="7"/>
      <c r="HDJ1156" s="7"/>
      <c r="HDK1156" s="7"/>
      <c r="HDL1156" s="7"/>
      <c r="HDM1156" s="7"/>
      <c r="HDN1156" s="7"/>
      <c r="HDO1156" s="7"/>
      <c r="HDP1156" s="7"/>
      <c r="HDQ1156" s="7"/>
      <c r="HDR1156" s="7"/>
      <c r="HDS1156" s="7"/>
      <c r="HDT1156" s="7"/>
      <c r="HDU1156" s="7"/>
      <c r="HDV1156" s="7"/>
      <c r="HDW1156" s="7"/>
      <c r="HDX1156" s="7"/>
      <c r="HDY1156" s="7"/>
      <c r="HDZ1156" s="7"/>
      <c r="HEA1156" s="7"/>
      <c r="HEB1156" s="7"/>
      <c r="HEC1156" s="7"/>
      <c r="HED1156" s="7"/>
      <c r="HEE1156" s="7"/>
      <c r="HEF1156" s="7"/>
      <c r="HEG1156" s="7"/>
      <c r="HEH1156" s="7"/>
      <c r="HEI1156" s="7"/>
      <c r="HEJ1156" s="7"/>
      <c r="HEK1156" s="7"/>
      <c r="HEL1156" s="7"/>
      <c r="HEM1156" s="7"/>
      <c r="HEN1156" s="7"/>
      <c r="HEO1156" s="7"/>
      <c r="HEP1156" s="7"/>
      <c r="HEQ1156" s="7"/>
      <c r="HER1156" s="7"/>
      <c r="HES1156" s="7"/>
      <c r="HET1156" s="7"/>
      <c r="HEU1156" s="7"/>
      <c r="HEV1156" s="7"/>
      <c r="HEW1156" s="7"/>
      <c r="HEX1156" s="7"/>
      <c r="HEY1156" s="7"/>
      <c r="HEZ1156" s="7"/>
      <c r="HFA1156" s="7"/>
      <c r="HFB1156" s="7"/>
      <c r="HFC1156" s="7"/>
      <c r="HFD1156" s="7"/>
      <c r="HFE1156" s="7"/>
      <c r="HFF1156" s="7"/>
      <c r="HFG1156" s="7"/>
      <c r="HFH1156" s="7"/>
      <c r="HFI1156" s="7"/>
      <c r="HFJ1156" s="7"/>
      <c r="HFK1156" s="7"/>
      <c r="HFL1156" s="7"/>
      <c r="HFM1156" s="7"/>
      <c r="HFN1156" s="7"/>
      <c r="HFO1156" s="7"/>
      <c r="HFP1156" s="7"/>
      <c r="HFQ1156" s="7"/>
      <c r="HFR1156" s="7"/>
      <c r="HFS1156" s="7"/>
      <c r="HFT1156" s="7"/>
      <c r="HFU1156" s="7"/>
      <c r="HFV1156" s="7"/>
      <c r="HFW1156" s="7"/>
      <c r="HFX1156" s="7"/>
      <c r="HFY1156" s="7"/>
      <c r="HFZ1156" s="7"/>
      <c r="HGA1156" s="7"/>
      <c r="HGB1156" s="7"/>
      <c r="HGC1156" s="7"/>
      <c r="HGD1156" s="7"/>
      <c r="HGE1156" s="7"/>
      <c r="HGF1156" s="7"/>
      <c r="HGG1156" s="7"/>
      <c r="HGH1156" s="7"/>
      <c r="HGI1156" s="7"/>
      <c r="HGJ1156" s="7"/>
      <c r="HGK1156" s="7"/>
      <c r="HGL1156" s="7"/>
      <c r="HGM1156" s="7"/>
      <c r="HGN1156" s="7"/>
      <c r="HGO1156" s="7"/>
      <c r="HGP1156" s="7"/>
      <c r="HGQ1156" s="7"/>
      <c r="HGR1156" s="7"/>
      <c r="HGS1156" s="7"/>
      <c r="HGT1156" s="7"/>
      <c r="HGU1156" s="7"/>
      <c r="HGV1156" s="7"/>
      <c r="HGW1156" s="7"/>
      <c r="HGX1156" s="7"/>
      <c r="HGY1156" s="7"/>
      <c r="HGZ1156" s="7"/>
      <c r="HHA1156" s="7"/>
      <c r="HHB1156" s="7"/>
      <c r="HHC1156" s="7"/>
      <c r="HHD1156" s="7"/>
      <c r="HHE1156" s="7"/>
      <c r="HHF1156" s="7"/>
      <c r="HHG1156" s="7"/>
      <c r="HHH1156" s="7"/>
      <c r="HHI1156" s="7"/>
      <c r="HHJ1156" s="7"/>
      <c r="HHK1156" s="7"/>
      <c r="HHL1156" s="7"/>
      <c r="HHM1156" s="7"/>
      <c r="HHN1156" s="7"/>
      <c r="HHO1156" s="7"/>
      <c r="HHP1156" s="7"/>
      <c r="HHQ1156" s="7"/>
      <c r="HHR1156" s="7"/>
      <c r="HHS1156" s="7"/>
      <c r="HHT1156" s="7"/>
      <c r="HHU1156" s="7"/>
      <c r="HHV1156" s="7"/>
      <c r="HHW1156" s="7"/>
      <c r="HHX1156" s="7"/>
      <c r="HHY1156" s="7"/>
      <c r="HHZ1156" s="7"/>
      <c r="HIA1156" s="7"/>
      <c r="HIB1156" s="7"/>
      <c r="HIC1156" s="7"/>
      <c r="HID1156" s="7"/>
      <c r="HIE1156" s="7"/>
      <c r="HIF1156" s="7"/>
      <c r="HIG1156" s="7"/>
      <c r="HIH1156" s="7"/>
      <c r="HII1156" s="7"/>
      <c r="HIJ1156" s="7"/>
      <c r="HIK1156" s="7"/>
      <c r="HIL1156" s="7"/>
      <c r="HIM1156" s="7"/>
      <c r="HIN1156" s="7"/>
      <c r="HIO1156" s="7"/>
      <c r="HIP1156" s="7"/>
      <c r="HIQ1156" s="7"/>
      <c r="HIR1156" s="7"/>
      <c r="HIS1156" s="7"/>
      <c r="HIT1156" s="7"/>
      <c r="HIU1156" s="7"/>
      <c r="HIV1156" s="7"/>
      <c r="HIW1156" s="7"/>
      <c r="HIX1156" s="7"/>
      <c r="HIY1156" s="7"/>
      <c r="HIZ1156" s="7"/>
      <c r="HJA1156" s="7"/>
      <c r="HJB1156" s="7"/>
      <c r="HJC1156" s="7"/>
      <c r="HJD1156" s="7"/>
      <c r="HJE1156" s="7"/>
      <c r="HJF1156" s="7"/>
      <c r="HJG1156" s="7"/>
      <c r="HJH1156" s="7"/>
      <c r="HJI1156" s="7"/>
      <c r="HJJ1156" s="7"/>
      <c r="HJK1156" s="7"/>
      <c r="HJL1156" s="7"/>
      <c r="HJM1156" s="7"/>
      <c r="HJN1156" s="7"/>
      <c r="HJO1156" s="7"/>
      <c r="HJP1156" s="7"/>
      <c r="HJQ1156" s="7"/>
      <c r="HJR1156" s="7"/>
      <c r="HJS1156" s="7"/>
      <c r="HJT1156" s="7"/>
      <c r="HJU1156" s="7"/>
      <c r="HJV1156" s="7"/>
      <c r="HJW1156" s="7"/>
      <c r="HJX1156" s="7"/>
      <c r="HJY1156" s="7"/>
      <c r="HJZ1156" s="7"/>
      <c r="HKA1156" s="7"/>
      <c r="HKB1156" s="7"/>
      <c r="HKC1156" s="7"/>
      <c r="HKD1156" s="7"/>
      <c r="HKE1156" s="7"/>
      <c r="HKF1156" s="7"/>
      <c r="HKG1156" s="7"/>
      <c r="HKH1156" s="7"/>
      <c r="HKI1156" s="7"/>
      <c r="HKJ1156" s="7"/>
      <c r="HKK1156" s="7"/>
      <c r="HKL1156" s="7"/>
      <c r="HKM1156" s="7"/>
      <c r="HKN1156" s="7"/>
      <c r="HKO1156" s="7"/>
      <c r="HKP1156" s="7"/>
      <c r="HKQ1156" s="7"/>
      <c r="HKR1156" s="7"/>
      <c r="HKS1156" s="7"/>
      <c r="HKT1156" s="7"/>
      <c r="HKU1156" s="7"/>
      <c r="HKV1156" s="7"/>
      <c r="HKW1156" s="7"/>
      <c r="HKX1156" s="7"/>
      <c r="HKY1156" s="7"/>
      <c r="HKZ1156" s="7"/>
      <c r="HLA1156" s="7"/>
      <c r="HLB1156" s="7"/>
      <c r="HLC1156" s="7"/>
      <c r="HLD1156" s="7"/>
      <c r="HLE1156" s="7"/>
      <c r="HLF1156" s="7"/>
      <c r="HLG1156" s="7"/>
      <c r="HLH1156" s="7"/>
      <c r="HLI1156" s="7"/>
      <c r="HLJ1156" s="7"/>
      <c r="HLK1156" s="7"/>
      <c r="HLL1156" s="7"/>
      <c r="HLM1156" s="7"/>
      <c r="HLN1156" s="7"/>
      <c r="HLO1156" s="7"/>
      <c r="HLP1156" s="7"/>
      <c r="HLQ1156" s="7"/>
      <c r="HLR1156" s="7"/>
      <c r="HLS1156" s="7"/>
      <c r="HLT1156" s="7"/>
      <c r="HLU1156" s="7"/>
      <c r="HLV1156" s="7"/>
      <c r="HLW1156" s="7"/>
      <c r="HLX1156" s="7"/>
      <c r="HLY1156" s="7"/>
      <c r="HLZ1156" s="7"/>
      <c r="HMA1156" s="7"/>
      <c r="HMB1156" s="7"/>
      <c r="HMC1156" s="7"/>
      <c r="HMD1156" s="7"/>
      <c r="HME1156" s="7"/>
      <c r="HMF1156" s="7"/>
      <c r="HMG1156" s="7"/>
      <c r="HMH1156" s="7"/>
      <c r="HMI1156" s="7"/>
      <c r="HMJ1156" s="7"/>
      <c r="HMK1156" s="7"/>
      <c r="HML1156" s="7"/>
      <c r="HMM1156" s="7"/>
      <c r="HMN1156" s="7"/>
      <c r="HMO1156" s="7"/>
      <c r="HMP1156" s="7"/>
      <c r="HMQ1156" s="7"/>
      <c r="HMR1156" s="7"/>
      <c r="HMS1156" s="7"/>
      <c r="HMT1156" s="7"/>
      <c r="HMU1156" s="7"/>
      <c r="HMV1156" s="7"/>
      <c r="HMW1156" s="7"/>
      <c r="HMX1156" s="7"/>
      <c r="HMY1156" s="7"/>
      <c r="HMZ1156" s="7"/>
      <c r="HNA1156" s="7"/>
      <c r="HNB1156" s="7"/>
      <c r="HNC1156" s="7"/>
      <c r="HND1156" s="7"/>
      <c r="HNE1156" s="7"/>
      <c r="HNF1156" s="7"/>
      <c r="HNG1156" s="7"/>
      <c r="HNH1156" s="7"/>
      <c r="HNI1156" s="7"/>
      <c r="HNJ1156" s="7"/>
      <c r="HNK1156" s="7"/>
      <c r="HNL1156" s="7"/>
      <c r="HNM1156" s="7"/>
      <c r="HNN1156" s="7"/>
      <c r="HNO1156" s="7"/>
      <c r="HNP1156" s="7"/>
      <c r="HNQ1156" s="7"/>
      <c r="HNR1156" s="7"/>
      <c r="HNS1156" s="7"/>
      <c r="HNT1156" s="7"/>
      <c r="HNU1156" s="7"/>
      <c r="HNV1156" s="7"/>
      <c r="HNW1156" s="7"/>
      <c r="HNX1156" s="7"/>
      <c r="HNY1156" s="7"/>
      <c r="HNZ1156" s="7"/>
      <c r="HOA1156" s="7"/>
      <c r="HOB1156" s="7"/>
      <c r="HOC1156" s="7"/>
      <c r="HOD1156" s="7"/>
      <c r="HOE1156" s="7"/>
      <c r="HOF1156" s="7"/>
      <c r="HOG1156" s="7"/>
      <c r="HOH1156" s="7"/>
      <c r="HOI1156" s="7"/>
      <c r="HOJ1156" s="7"/>
      <c r="HOK1156" s="7"/>
      <c r="HOL1156" s="7"/>
      <c r="HOM1156" s="7"/>
      <c r="HON1156" s="7"/>
      <c r="HOO1156" s="7"/>
      <c r="HOP1156" s="7"/>
      <c r="HOQ1156" s="7"/>
      <c r="HOR1156" s="7"/>
      <c r="HOS1156" s="7"/>
      <c r="HOT1156" s="7"/>
      <c r="HOU1156" s="7"/>
      <c r="HOV1156" s="7"/>
      <c r="HOW1156" s="7"/>
      <c r="HOX1156" s="7"/>
      <c r="HOY1156" s="7"/>
      <c r="HOZ1156" s="7"/>
      <c r="HPA1156" s="7"/>
      <c r="HPB1156" s="7"/>
      <c r="HPC1156" s="7"/>
      <c r="HPD1156" s="7"/>
      <c r="HPE1156" s="7"/>
      <c r="HPF1156" s="7"/>
      <c r="HPG1156" s="7"/>
      <c r="HPH1156" s="7"/>
      <c r="HPI1156" s="7"/>
      <c r="HPJ1156" s="7"/>
      <c r="HPK1156" s="7"/>
      <c r="HPL1156" s="7"/>
      <c r="HPM1156" s="7"/>
      <c r="HPN1156" s="7"/>
      <c r="HPO1156" s="7"/>
      <c r="HPP1156" s="7"/>
      <c r="HPQ1156" s="7"/>
      <c r="HPR1156" s="7"/>
      <c r="HPS1156" s="7"/>
      <c r="HPT1156" s="7"/>
      <c r="HPU1156" s="7"/>
      <c r="HPV1156" s="7"/>
      <c r="HPW1156" s="7"/>
      <c r="HPX1156" s="7"/>
      <c r="HPY1156" s="7"/>
      <c r="HPZ1156" s="7"/>
      <c r="HQA1156" s="7"/>
      <c r="HQB1156" s="7"/>
      <c r="HQC1156" s="7"/>
      <c r="HQD1156" s="7"/>
      <c r="HQE1156" s="7"/>
      <c r="HQF1156" s="7"/>
      <c r="HQG1156" s="7"/>
      <c r="HQH1156" s="7"/>
      <c r="HQI1156" s="7"/>
      <c r="HQJ1156" s="7"/>
      <c r="HQK1156" s="7"/>
      <c r="HQL1156" s="7"/>
      <c r="HQM1156" s="7"/>
      <c r="HQN1156" s="7"/>
      <c r="HQO1156" s="7"/>
      <c r="HQP1156" s="7"/>
      <c r="HQQ1156" s="7"/>
      <c r="HQR1156" s="7"/>
      <c r="HQS1156" s="7"/>
      <c r="HQT1156" s="7"/>
      <c r="HQU1156" s="7"/>
      <c r="HQV1156" s="7"/>
      <c r="HQW1156" s="7"/>
      <c r="HQX1156" s="7"/>
      <c r="HQY1156" s="7"/>
      <c r="HQZ1156" s="7"/>
      <c r="HRA1156" s="7"/>
      <c r="HRB1156" s="7"/>
      <c r="HRC1156" s="7"/>
      <c r="HRD1156" s="7"/>
      <c r="HRE1156" s="7"/>
      <c r="HRF1156" s="7"/>
      <c r="HRG1156" s="7"/>
      <c r="HRH1156" s="7"/>
      <c r="HRI1156" s="7"/>
      <c r="HRJ1156" s="7"/>
      <c r="HRK1156" s="7"/>
      <c r="HRL1156" s="7"/>
      <c r="HRM1156" s="7"/>
      <c r="HRN1156" s="7"/>
      <c r="HRO1156" s="7"/>
      <c r="HRP1156" s="7"/>
      <c r="HRQ1156" s="7"/>
      <c r="HRR1156" s="7"/>
      <c r="HRS1156" s="7"/>
      <c r="HRT1156" s="7"/>
      <c r="HRU1156" s="7"/>
      <c r="HRV1156" s="7"/>
      <c r="HRW1156" s="7"/>
      <c r="HRX1156" s="7"/>
      <c r="HRY1156" s="7"/>
      <c r="HRZ1156" s="7"/>
      <c r="HSA1156" s="7"/>
      <c r="HSB1156" s="7"/>
      <c r="HSC1156" s="7"/>
      <c r="HSD1156" s="7"/>
      <c r="HSE1156" s="7"/>
      <c r="HSF1156" s="7"/>
      <c r="HSG1156" s="7"/>
      <c r="HSH1156" s="7"/>
      <c r="HSI1156" s="7"/>
      <c r="HSJ1156" s="7"/>
      <c r="HSK1156" s="7"/>
      <c r="HSL1156" s="7"/>
      <c r="HSM1156" s="7"/>
      <c r="HSN1156" s="7"/>
      <c r="HSO1156" s="7"/>
      <c r="HSP1156" s="7"/>
      <c r="HSQ1156" s="7"/>
      <c r="HSR1156" s="7"/>
      <c r="HSS1156" s="7"/>
      <c r="HST1156" s="7"/>
      <c r="HSU1156" s="7"/>
      <c r="HSV1156" s="7"/>
      <c r="HSW1156" s="7"/>
      <c r="HSX1156" s="7"/>
      <c r="HSY1156" s="7"/>
      <c r="HSZ1156" s="7"/>
      <c r="HTA1156" s="7"/>
      <c r="HTB1156" s="7"/>
      <c r="HTC1156" s="7"/>
      <c r="HTD1156" s="7"/>
      <c r="HTE1156" s="7"/>
      <c r="HTF1156" s="7"/>
      <c r="HTG1156" s="7"/>
      <c r="HTH1156" s="7"/>
      <c r="HTI1156" s="7"/>
      <c r="HTJ1156" s="7"/>
      <c r="HTK1156" s="7"/>
      <c r="HTL1156" s="7"/>
      <c r="HTM1156" s="7"/>
      <c r="HTN1156" s="7"/>
      <c r="HTO1156" s="7"/>
      <c r="HTP1156" s="7"/>
      <c r="HTQ1156" s="7"/>
      <c r="HTR1156" s="7"/>
      <c r="HTS1156" s="7"/>
      <c r="HTT1156" s="7"/>
      <c r="HTU1156" s="7"/>
      <c r="HTV1156" s="7"/>
      <c r="HTW1156" s="7"/>
      <c r="HTX1156" s="7"/>
      <c r="HTY1156" s="7"/>
      <c r="HTZ1156" s="7"/>
      <c r="HUA1156" s="7"/>
      <c r="HUB1156" s="7"/>
      <c r="HUC1156" s="7"/>
      <c r="HUD1156" s="7"/>
      <c r="HUE1156" s="7"/>
      <c r="HUF1156" s="7"/>
      <c r="HUG1156" s="7"/>
      <c r="HUH1156" s="7"/>
      <c r="HUI1156" s="7"/>
      <c r="HUJ1156" s="7"/>
      <c r="HUK1156" s="7"/>
      <c r="HUL1156" s="7"/>
      <c r="HUM1156" s="7"/>
      <c r="HUN1156" s="7"/>
      <c r="HUO1156" s="7"/>
      <c r="HUP1156" s="7"/>
      <c r="HUQ1156" s="7"/>
      <c r="HUR1156" s="7"/>
      <c r="HUS1156" s="7"/>
      <c r="HUT1156" s="7"/>
      <c r="HUU1156" s="7"/>
      <c r="HUV1156" s="7"/>
      <c r="HUW1156" s="7"/>
      <c r="HUX1156" s="7"/>
      <c r="HUY1156" s="7"/>
      <c r="HUZ1156" s="7"/>
      <c r="HVA1156" s="7"/>
      <c r="HVB1156" s="7"/>
      <c r="HVC1156" s="7"/>
      <c r="HVD1156" s="7"/>
      <c r="HVE1156" s="7"/>
      <c r="HVF1156" s="7"/>
      <c r="HVG1156" s="7"/>
      <c r="HVH1156" s="7"/>
      <c r="HVI1156" s="7"/>
      <c r="HVJ1156" s="7"/>
      <c r="HVK1156" s="7"/>
      <c r="HVL1156" s="7"/>
      <c r="HVM1156" s="7"/>
      <c r="HVN1156" s="7"/>
      <c r="HVO1156" s="7"/>
      <c r="HVP1156" s="7"/>
      <c r="HVQ1156" s="7"/>
      <c r="HVR1156" s="7"/>
      <c r="HVS1156" s="7"/>
      <c r="HVT1156" s="7"/>
      <c r="HVU1156" s="7"/>
      <c r="HVV1156" s="7"/>
      <c r="HVW1156" s="7"/>
      <c r="HVX1156" s="7"/>
      <c r="HVY1156" s="7"/>
      <c r="HVZ1156" s="7"/>
      <c r="HWA1156" s="7"/>
      <c r="HWB1156" s="7"/>
      <c r="HWC1156" s="7"/>
      <c r="HWD1156" s="7"/>
      <c r="HWE1156" s="7"/>
      <c r="HWF1156" s="7"/>
      <c r="HWG1156" s="7"/>
      <c r="HWH1156" s="7"/>
      <c r="HWI1156" s="7"/>
      <c r="HWJ1156" s="7"/>
      <c r="HWK1156" s="7"/>
      <c r="HWL1156" s="7"/>
      <c r="HWM1156" s="7"/>
      <c r="HWN1156" s="7"/>
      <c r="HWO1156" s="7"/>
      <c r="HWP1156" s="7"/>
      <c r="HWQ1156" s="7"/>
      <c r="HWR1156" s="7"/>
      <c r="HWS1156" s="7"/>
      <c r="HWT1156" s="7"/>
      <c r="HWU1156" s="7"/>
      <c r="HWV1156" s="7"/>
      <c r="HWW1156" s="7"/>
      <c r="HWX1156" s="7"/>
      <c r="HWY1156" s="7"/>
      <c r="HWZ1156" s="7"/>
      <c r="HXA1156" s="7"/>
      <c r="HXB1156" s="7"/>
      <c r="HXC1156" s="7"/>
      <c r="HXD1156" s="7"/>
      <c r="HXE1156" s="7"/>
      <c r="HXF1156" s="7"/>
      <c r="HXG1156" s="7"/>
      <c r="HXH1156" s="7"/>
      <c r="HXI1156" s="7"/>
      <c r="HXJ1156" s="7"/>
      <c r="HXK1156" s="7"/>
      <c r="HXL1156" s="7"/>
      <c r="HXM1156" s="7"/>
      <c r="HXN1156" s="7"/>
      <c r="HXO1156" s="7"/>
      <c r="HXP1156" s="7"/>
      <c r="HXQ1156" s="7"/>
      <c r="HXR1156" s="7"/>
      <c r="HXS1156" s="7"/>
      <c r="HXT1156" s="7"/>
      <c r="HXU1156" s="7"/>
      <c r="HXV1156" s="7"/>
      <c r="HXW1156" s="7"/>
      <c r="HXX1156" s="7"/>
      <c r="HXY1156" s="7"/>
      <c r="HXZ1156" s="7"/>
      <c r="HYA1156" s="7"/>
      <c r="HYB1156" s="7"/>
      <c r="HYC1156" s="7"/>
      <c r="HYD1156" s="7"/>
      <c r="HYE1156" s="7"/>
      <c r="HYF1156" s="7"/>
      <c r="HYG1156" s="7"/>
      <c r="HYH1156" s="7"/>
      <c r="HYI1156" s="7"/>
      <c r="HYJ1156" s="7"/>
      <c r="HYK1156" s="7"/>
      <c r="HYL1156" s="7"/>
      <c r="HYM1156" s="7"/>
      <c r="HYN1156" s="7"/>
      <c r="HYO1156" s="7"/>
      <c r="HYP1156" s="7"/>
      <c r="HYQ1156" s="7"/>
      <c r="HYR1156" s="7"/>
      <c r="HYS1156" s="7"/>
      <c r="HYT1156" s="7"/>
      <c r="HYU1156" s="7"/>
      <c r="HYV1156" s="7"/>
      <c r="HYW1156" s="7"/>
      <c r="HYX1156" s="7"/>
      <c r="HYY1156" s="7"/>
      <c r="HYZ1156" s="7"/>
      <c r="HZA1156" s="7"/>
      <c r="HZB1156" s="7"/>
      <c r="HZC1156" s="7"/>
      <c r="HZD1156" s="7"/>
      <c r="HZE1156" s="7"/>
      <c r="HZF1156" s="7"/>
      <c r="HZG1156" s="7"/>
      <c r="HZH1156" s="7"/>
      <c r="HZI1156" s="7"/>
      <c r="HZJ1156" s="7"/>
      <c r="HZK1156" s="7"/>
      <c r="HZL1156" s="7"/>
      <c r="HZM1156" s="7"/>
      <c r="HZN1156" s="7"/>
      <c r="HZO1156" s="7"/>
      <c r="HZP1156" s="7"/>
      <c r="HZQ1156" s="7"/>
      <c r="HZR1156" s="7"/>
      <c r="HZS1156" s="7"/>
      <c r="HZT1156" s="7"/>
      <c r="HZU1156" s="7"/>
      <c r="HZV1156" s="7"/>
      <c r="HZW1156" s="7"/>
      <c r="HZX1156" s="7"/>
      <c r="HZY1156" s="7"/>
      <c r="HZZ1156" s="7"/>
      <c r="IAA1156" s="7"/>
      <c r="IAB1156" s="7"/>
      <c r="IAC1156" s="7"/>
      <c r="IAD1156" s="7"/>
      <c r="IAE1156" s="7"/>
      <c r="IAF1156" s="7"/>
      <c r="IAG1156" s="7"/>
      <c r="IAH1156" s="7"/>
      <c r="IAI1156" s="7"/>
      <c r="IAJ1156" s="7"/>
      <c r="IAK1156" s="7"/>
      <c r="IAL1156" s="7"/>
      <c r="IAM1156" s="7"/>
      <c r="IAN1156" s="7"/>
      <c r="IAO1156" s="7"/>
      <c r="IAP1156" s="7"/>
      <c r="IAQ1156" s="7"/>
      <c r="IAR1156" s="7"/>
      <c r="IAS1156" s="7"/>
      <c r="IAT1156" s="7"/>
      <c r="IAU1156" s="7"/>
      <c r="IAV1156" s="7"/>
      <c r="IAW1156" s="7"/>
      <c r="IAX1156" s="7"/>
      <c r="IAY1156" s="7"/>
      <c r="IAZ1156" s="7"/>
      <c r="IBA1156" s="7"/>
      <c r="IBB1156" s="7"/>
      <c r="IBC1156" s="7"/>
      <c r="IBD1156" s="7"/>
      <c r="IBE1156" s="7"/>
      <c r="IBF1156" s="7"/>
      <c r="IBG1156" s="7"/>
      <c r="IBH1156" s="7"/>
      <c r="IBI1156" s="7"/>
      <c r="IBJ1156" s="7"/>
      <c r="IBK1156" s="7"/>
      <c r="IBL1156" s="7"/>
      <c r="IBM1156" s="7"/>
      <c r="IBN1156" s="7"/>
      <c r="IBO1156" s="7"/>
      <c r="IBP1156" s="7"/>
      <c r="IBQ1156" s="7"/>
      <c r="IBR1156" s="7"/>
      <c r="IBS1156" s="7"/>
      <c r="IBT1156" s="7"/>
      <c r="IBU1156" s="7"/>
      <c r="IBV1156" s="7"/>
      <c r="IBW1156" s="7"/>
      <c r="IBX1156" s="7"/>
      <c r="IBY1156" s="7"/>
      <c r="IBZ1156" s="7"/>
      <c r="ICA1156" s="7"/>
      <c r="ICB1156" s="7"/>
      <c r="ICC1156" s="7"/>
      <c r="ICD1156" s="7"/>
      <c r="ICE1156" s="7"/>
      <c r="ICF1156" s="7"/>
      <c r="ICG1156" s="7"/>
      <c r="ICH1156" s="7"/>
      <c r="ICI1156" s="7"/>
      <c r="ICJ1156" s="7"/>
      <c r="ICK1156" s="7"/>
      <c r="ICL1156" s="7"/>
      <c r="ICM1156" s="7"/>
      <c r="ICN1156" s="7"/>
      <c r="ICO1156" s="7"/>
      <c r="ICP1156" s="7"/>
      <c r="ICQ1156" s="7"/>
      <c r="ICR1156" s="7"/>
      <c r="ICS1156" s="7"/>
      <c r="ICT1156" s="7"/>
      <c r="ICU1156" s="7"/>
      <c r="ICV1156" s="7"/>
      <c r="ICW1156" s="7"/>
      <c r="ICX1156" s="7"/>
      <c r="ICY1156" s="7"/>
      <c r="ICZ1156" s="7"/>
      <c r="IDA1156" s="7"/>
      <c r="IDB1156" s="7"/>
      <c r="IDC1156" s="7"/>
      <c r="IDD1156" s="7"/>
      <c r="IDE1156" s="7"/>
      <c r="IDF1156" s="7"/>
      <c r="IDG1156" s="7"/>
      <c r="IDH1156" s="7"/>
      <c r="IDI1156" s="7"/>
      <c r="IDJ1156" s="7"/>
      <c r="IDK1156" s="7"/>
      <c r="IDL1156" s="7"/>
      <c r="IDM1156" s="7"/>
      <c r="IDN1156" s="7"/>
      <c r="IDO1156" s="7"/>
      <c r="IDP1156" s="7"/>
      <c r="IDQ1156" s="7"/>
      <c r="IDR1156" s="7"/>
      <c r="IDS1156" s="7"/>
      <c r="IDT1156" s="7"/>
      <c r="IDU1156" s="7"/>
      <c r="IDV1156" s="7"/>
      <c r="IDW1156" s="7"/>
      <c r="IDX1156" s="7"/>
      <c r="IDY1156" s="7"/>
      <c r="IDZ1156" s="7"/>
      <c r="IEA1156" s="7"/>
      <c r="IEB1156" s="7"/>
      <c r="IEC1156" s="7"/>
      <c r="IED1156" s="7"/>
      <c r="IEE1156" s="7"/>
      <c r="IEF1156" s="7"/>
      <c r="IEG1156" s="7"/>
      <c r="IEH1156" s="7"/>
      <c r="IEI1156" s="7"/>
      <c r="IEJ1156" s="7"/>
      <c r="IEK1156" s="7"/>
      <c r="IEL1156" s="7"/>
      <c r="IEM1156" s="7"/>
      <c r="IEN1156" s="7"/>
      <c r="IEO1156" s="7"/>
      <c r="IEP1156" s="7"/>
      <c r="IEQ1156" s="7"/>
      <c r="IER1156" s="7"/>
      <c r="IES1156" s="7"/>
      <c r="IET1156" s="7"/>
      <c r="IEU1156" s="7"/>
      <c r="IEV1156" s="7"/>
      <c r="IEW1156" s="7"/>
      <c r="IEX1156" s="7"/>
      <c r="IEY1156" s="7"/>
      <c r="IEZ1156" s="7"/>
      <c r="IFA1156" s="7"/>
      <c r="IFB1156" s="7"/>
      <c r="IFC1156" s="7"/>
      <c r="IFD1156" s="7"/>
      <c r="IFE1156" s="7"/>
      <c r="IFF1156" s="7"/>
      <c r="IFG1156" s="7"/>
      <c r="IFH1156" s="7"/>
      <c r="IFI1156" s="7"/>
      <c r="IFJ1156" s="7"/>
      <c r="IFK1156" s="7"/>
      <c r="IFL1156" s="7"/>
      <c r="IFM1156" s="7"/>
      <c r="IFN1156" s="7"/>
      <c r="IFO1156" s="7"/>
      <c r="IFP1156" s="7"/>
      <c r="IFQ1156" s="7"/>
      <c r="IFR1156" s="7"/>
      <c r="IFS1156" s="7"/>
      <c r="IFT1156" s="7"/>
      <c r="IFU1156" s="7"/>
      <c r="IFV1156" s="7"/>
      <c r="IFW1156" s="7"/>
      <c r="IFX1156" s="7"/>
      <c r="IFY1156" s="7"/>
      <c r="IFZ1156" s="7"/>
      <c r="IGA1156" s="7"/>
      <c r="IGB1156" s="7"/>
      <c r="IGC1156" s="7"/>
      <c r="IGD1156" s="7"/>
      <c r="IGE1156" s="7"/>
      <c r="IGF1156" s="7"/>
      <c r="IGG1156" s="7"/>
      <c r="IGH1156" s="7"/>
      <c r="IGI1156" s="7"/>
      <c r="IGJ1156" s="7"/>
      <c r="IGK1156" s="7"/>
      <c r="IGL1156" s="7"/>
      <c r="IGM1156" s="7"/>
      <c r="IGN1156" s="7"/>
      <c r="IGO1156" s="7"/>
      <c r="IGP1156" s="7"/>
      <c r="IGQ1156" s="7"/>
      <c r="IGR1156" s="7"/>
      <c r="IGS1156" s="7"/>
      <c r="IGT1156" s="7"/>
      <c r="IGU1156" s="7"/>
      <c r="IGV1156" s="7"/>
      <c r="IGW1156" s="7"/>
      <c r="IGX1156" s="7"/>
      <c r="IGY1156" s="7"/>
      <c r="IGZ1156" s="7"/>
      <c r="IHA1156" s="7"/>
      <c r="IHB1156" s="7"/>
      <c r="IHC1156" s="7"/>
      <c r="IHD1156" s="7"/>
      <c r="IHE1156" s="7"/>
      <c r="IHF1156" s="7"/>
      <c r="IHG1156" s="7"/>
      <c r="IHH1156" s="7"/>
      <c r="IHI1156" s="7"/>
      <c r="IHJ1156" s="7"/>
      <c r="IHK1156" s="7"/>
      <c r="IHL1156" s="7"/>
      <c r="IHM1156" s="7"/>
      <c r="IHN1156" s="7"/>
      <c r="IHO1156" s="7"/>
      <c r="IHP1156" s="7"/>
      <c r="IHQ1156" s="7"/>
      <c r="IHR1156" s="7"/>
      <c r="IHS1156" s="7"/>
      <c r="IHT1156" s="7"/>
      <c r="IHU1156" s="7"/>
      <c r="IHV1156" s="7"/>
      <c r="IHW1156" s="7"/>
      <c r="IHX1156" s="7"/>
      <c r="IHY1156" s="7"/>
      <c r="IHZ1156" s="7"/>
      <c r="IIA1156" s="7"/>
      <c r="IIB1156" s="7"/>
      <c r="IIC1156" s="7"/>
      <c r="IID1156" s="7"/>
      <c r="IIE1156" s="7"/>
      <c r="IIF1156" s="7"/>
      <c r="IIG1156" s="7"/>
      <c r="IIH1156" s="7"/>
      <c r="III1156" s="7"/>
      <c r="IIJ1156" s="7"/>
      <c r="IIK1156" s="7"/>
      <c r="IIL1156" s="7"/>
      <c r="IIM1156" s="7"/>
      <c r="IIN1156" s="7"/>
      <c r="IIO1156" s="7"/>
      <c r="IIP1156" s="7"/>
      <c r="IIQ1156" s="7"/>
      <c r="IIR1156" s="7"/>
      <c r="IIS1156" s="7"/>
      <c r="IIT1156" s="7"/>
      <c r="IIU1156" s="7"/>
      <c r="IIV1156" s="7"/>
      <c r="IIW1156" s="7"/>
      <c r="IIX1156" s="7"/>
      <c r="IIY1156" s="7"/>
      <c r="IIZ1156" s="7"/>
      <c r="IJA1156" s="7"/>
      <c r="IJB1156" s="7"/>
      <c r="IJC1156" s="7"/>
      <c r="IJD1156" s="7"/>
      <c r="IJE1156" s="7"/>
      <c r="IJF1156" s="7"/>
      <c r="IJG1156" s="7"/>
      <c r="IJH1156" s="7"/>
      <c r="IJI1156" s="7"/>
      <c r="IJJ1156" s="7"/>
      <c r="IJK1156" s="7"/>
      <c r="IJL1156" s="7"/>
      <c r="IJM1156" s="7"/>
      <c r="IJN1156" s="7"/>
      <c r="IJO1156" s="7"/>
      <c r="IJP1156" s="7"/>
      <c r="IJQ1156" s="7"/>
      <c r="IJR1156" s="7"/>
      <c r="IJS1156" s="7"/>
      <c r="IJT1156" s="7"/>
      <c r="IJU1156" s="7"/>
      <c r="IJV1156" s="7"/>
      <c r="IJW1156" s="7"/>
      <c r="IJX1156" s="7"/>
      <c r="IJY1156" s="7"/>
      <c r="IJZ1156" s="7"/>
      <c r="IKA1156" s="7"/>
      <c r="IKB1156" s="7"/>
      <c r="IKC1156" s="7"/>
      <c r="IKD1156" s="7"/>
      <c r="IKE1156" s="7"/>
      <c r="IKF1156" s="7"/>
      <c r="IKG1156" s="7"/>
      <c r="IKH1156" s="7"/>
      <c r="IKI1156" s="7"/>
      <c r="IKJ1156" s="7"/>
      <c r="IKK1156" s="7"/>
      <c r="IKL1156" s="7"/>
      <c r="IKM1156" s="7"/>
      <c r="IKN1156" s="7"/>
      <c r="IKO1156" s="7"/>
      <c r="IKP1156" s="7"/>
      <c r="IKQ1156" s="7"/>
      <c r="IKR1156" s="7"/>
      <c r="IKS1156" s="7"/>
      <c r="IKT1156" s="7"/>
      <c r="IKU1156" s="7"/>
      <c r="IKV1156" s="7"/>
      <c r="IKW1156" s="7"/>
      <c r="IKX1156" s="7"/>
      <c r="IKY1156" s="7"/>
      <c r="IKZ1156" s="7"/>
      <c r="ILA1156" s="7"/>
      <c r="ILB1156" s="7"/>
      <c r="ILC1156" s="7"/>
      <c r="ILD1156" s="7"/>
      <c r="ILE1156" s="7"/>
      <c r="ILF1156" s="7"/>
      <c r="ILG1156" s="7"/>
      <c r="ILH1156" s="7"/>
      <c r="ILI1156" s="7"/>
      <c r="ILJ1156" s="7"/>
      <c r="ILK1156" s="7"/>
      <c r="ILL1156" s="7"/>
      <c r="ILM1156" s="7"/>
      <c r="ILN1156" s="7"/>
      <c r="ILO1156" s="7"/>
      <c r="ILP1156" s="7"/>
      <c r="ILQ1156" s="7"/>
      <c r="ILR1156" s="7"/>
      <c r="ILS1156" s="7"/>
      <c r="ILT1156" s="7"/>
      <c r="ILU1156" s="7"/>
      <c r="ILV1156" s="7"/>
      <c r="ILW1156" s="7"/>
      <c r="ILX1156" s="7"/>
      <c r="ILY1156" s="7"/>
      <c r="ILZ1156" s="7"/>
      <c r="IMA1156" s="7"/>
      <c r="IMB1156" s="7"/>
      <c r="IMC1156" s="7"/>
      <c r="IMD1156" s="7"/>
      <c r="IME1156" s="7"/>
      <c r="IMF1156" s="7"/>
      <c r="IMG1156" s="7"/>
      <c r="IMH1156" s="7"/>
      <c r="IMI1156" s="7"/>
      <c r="IMJ1156" s="7"/>
      <c r="IMK1156" s="7"/>
      <c r="IML1156" s="7"/>
      <c r="IMM1156" s="7"/>
      <c r="IMN1156" s="7"/>
      <c r="IMO1156" s="7"/>
      <c r="IMP1156" s="7"/>
      <c r="IMQ1156" s="7"/>
      <c r="IMR1156" s="7"/>
      <c r="IMS1156" s="7"/>
      <c r="IMT1156" s="7"/>
      <c r="IMU1156" s="7"/>
      <c r="IMV1156" s="7"/>
      <c r="IMW1156" s="7"/>
      <c r="IMX1156" s="7"/>
      <c r="IMY1156" s="7"/>
      <c r="IMZ1156" s="7"/>
      <c r="INA1156" s="7"/>
      <c r="INB1156" s="7"/>
      <c r="INC1156" s="7"/>
      <c r="IND1156" s="7"/>
      <c r="INE1156" s="7"/>
      <c r="INF1156" s="7"/>
      <c r="ING1156" s="7"/>
      <c r="INH1156" s="7"/>
      <c r="INI1156" s="7"/>
      <c r="INJ1156" s="7"/>
      <c r="INK1156" s="7"/>
      <c r="INL1156" s="7"/>
      <c r="INM1156" s="7"/>
      <c r="INN1156" s="7"/>
      <c r="INO1156" s="7"/>
      <c r="INP1156" s="7"/>
      <c r="INQ1156" s="7"/>
      <c r="INR1156" s="7"/>
      <c r="INS1156" s="7"/>
      <c r="INT1156" s="7"/>
      <c r="INU1156" s="7"/>
      <c r="INV1156" s="7"/>
      <c r="INW1156" s="7"/>
      <c r="INX1156" s="7"/>
      <c r="INY1156" s="7"/>
      <c r="INZ1156" s="7"/>
      <c r="IOA1156" s="7"/>
      <c r="IOB1156" s="7"/>
      <c r="IOC1156" s="7"/>
      <c r="IOD1156" s="7"/>
      <c r="IOE1156" s="7"/>
      <c r="IOF1156" s="7"/>
      <c r="IOG1156" s="7"/>
      <c r="IOH1156" s="7"/>
      <c r="IOI1156" s="7"/>
      <c r="IOJ1156" s="7"/>
      <c r="IOK1156" s="7"/>
      <c r="IOL1156" s="7"/>
      <c r="IOM1156" s="7"/>
      <c r="ION1156" s="7"/>
      <c r="IOO1156" s="7"/>
      <c r="IOP1156" s="7"/>
      <c r="IOQ1156" s="7"/>
      <c r="IOR1156" s="7"/>
      <c r="IOS1156" s="7"/>
      <c r="IOT1156" s="7"/>
      <c r="IOU1156" s="7"/>
      <c r="IOV1156" s="7"/>
      <c r="IOW1156" s="7"/>
      <c r="IOX1156" s="7"/>
      <c r="IOY1156" s="7"/>
      <c r="IOZ1156" s="7"/>
      <c r="IPA1156" s="7"/>
      <c r="IPB1156" s="7"/>
      <c r="IPC1156" s="7"/>
      <c r="IPD1156" s="7"/>
      <c r="IPE1156" s="7"/>
      <c r="IPF1156" s="7"/>
      <c r="IPG1156" s="7"/>
      <c r="IPH1156" s="7"/>
      <c r="IPI1156" s="7"/>
      <c r="IPJ1156" s="7"/>
      <c r="IPK1156" s="7"/>
      <c r="IPL1156" s="7"/>
      <c r="IPM1156" s="7"/>
      <c r="IPN1156" s="7"/>
      <c r="IPO1156" s="7"/>
      <c r="IPP1156" s="7"/>
      <c r="IPQ1156" s="7"/>
      <c r="IPR1156" s="7"/>
      <c r="IPS1156" s="7"/>
      <c r="IPT1156" s="7"/>
      <c r="IPU1156" s="7"/>
      <c r="IPV1156" s="7"/>
      <c r="IPW1156" s="7"/>
      <c r="IPX1156" s="7"/>
      <c r="IPY1156" s="7"/>
      <c r="IPZ1156" s="7"/>
      <c r="IQA1156" s="7"/>
      <c r="IQB1156" s="7"/>
      <c r="IQC1156" s="7"/>
      <c r="IQD1156" s="7"/>
      <c r="IQE1156" s="7"/>
      <c r="IQF1156" s="7"/>
      <c r="IQG1156" s="7"/>
      <c r="IQH1156" s="7"/>
      <c r="IQI1156" s="7"/>
      <c r="IQJ1156" s="7"/>
      <c r="IQK1156" s="7"/>
      <c r="IQL1156" s="7"/>
      <c r="IQM1156" s="7"/>
      <c r="IQN1156" s="7"/>
      <c r="IQO1156" s="7"/>
      <c r="IQP1156" s="7"/>
      <c r="IQQ1156" s="7"/>
      <c r="IQR1156" s="7"/>
      <c r="IQS1156" s="7"/>
      <c r="IQT1156" s="7"/>
      <c r="IQU1156" s="7"/>
      <c r="IQV1156" s="7"/>
      <c r="IQW1156" s="7"/>
      <c r="IQX1156" s="7"/>
      <c r="IQY1156" s="7"/>
      <c r="IQZ1156" s="7"/>
      <c r="IRA1156" s="7"/>
      <c r="IRB1156" s="7"/>
      <c r="IRC1156" s="7"/>
      <c r="IRD1156" s="7"/>
      <c r="IRE1156" s="7"/>
      <c r="IRF1156" s="7"/>
      <c r="IRG1156" s="7"/>
      <c r="IRH1156" s="7"/>
      <c r="IRI1156" s="7"/>
      <c r="IRJ1156" s="7"/>
      <c r="IRK1156" s="7"/>
      <c r="IRL1156" s="7"/>
      <c r="IRM1156" s="7"/>
      <c r="IRN1156" s="7"/>
      <c r="IRO1156" s="7"/>
      <c r="IRP1156" s="7"/>
      <c r="IRQ1156" s="7"/>
      <c r="IRR1156" s="7"/>
      <c r="IRS1156" s="7"/>
      <c r="IRT1156" s="7"/>
      <c r="IRU1156" s="7"/>
      <c r="IRV1156" s="7"/>
      <c r="IRW1156" s="7"/>
      <c r="IRX1156" s="7"/>
      <c r="IRY1156" s="7"/>
      <c r="IRZ1156" s="7"/>
      <c r="ISA1156" s="7"/>
      <c r="ISB1156" s="7"/>
      <c r="ISC1156" s="7"/>
      <c r="ISD1156" s="7"/>
      <c r="ISE1156" s="7"/>
      <c r="ISF1156" s="7"/>
      <c r="ISG1156" s="7"/>
      <c r="ISH1156" s="7"/>
      <c r="ISI1156" s="7"/>
      <c r="ISJ1156" s="7"/>
      <c r="ISK1156" s="7"/>
      <c r="ISL1156" s="7"/>
      <c r="ISM1156" s="7"/>
      <c r="ISN1156" s="7"/>
      <c r="ISO1156" s="7"/>
      <c r="ISP1156" s="7"/>
      <c r="ISQ1156" s="7"/>
      <c r="ISR1156" s="7"/>
      <c r="ISS1156" s="7"/>
      <c r="IST1156" s="7"/>
      <c r="ISU1156" s="7"/>
      <c r="ISV1156" s="7"/>
      <c r="ISW1156" s="7"/>
      <c r="ISX1156" s="7"/>
      <c r="ISY1156" s="7"/>
      <c r="ISZ1156" s="7"/>
      <c r="ITA1156" s="7"/>
      <c r="ITB1156" s="7"/>
      <c r="ITC1156" s="7"/>
      <c r="ITD1156" s="7"/>
      <c r="ITE1156" s="7"/>
      <c r="ITF1156" s="7"/>
      <c r="ITG1156" s="7"/>
      <c r="ITH1156" s="7"/>
      <c r="ITI1156" s="7"/>
      <c r="ITJ1156" s="7"/>
      <c r="ITK1156" s="7"/>
      <c r="ITL1156" s="7"/>
      <c r="ITM1156" s="7"/>
      <c r="ITN1156" s="7"/>
      <c r="ITO1156" s="7"/>
      <c r="ITP1156" s="7"/>
      <c r="ITQ1156" s="7"/>
      <c r="ITR1156" s="7"/>
      <c r="ITS1156" s="7"/>
      <c r="ITT1156" s="7"/>
      <c r="ITU1156" s="7"/>
      <c r="ITV1156" s="7"/>
      <c r="ITW1156" s="7"/>
      <c r="ITX1156" s="7"/>
      <c r="ITY1156" s="7"/>
      <c r="ITZ1156" s="7"/>
      <c r="IUA1156" s="7"/>
      <c r="IUB1156" s="7"/>
      <c r="IUC1156" s="7"/>
      <c r="IUD1156" s="7"/>
      <c r="IUE1156" s="7"/>
      <c r="IUF1156" s="7"/>
      <c r="IUG1156" s="7"/>
      <c r="IUH1156" s="7"/>
      <c r="IUI1156" s="7"/>
      <c r="IUJ1156" s="7"/>
      <c r="IUK1156" s="7"/>
      <c r="IUL1156" s="7"/>
      <c r="IUM1156" s="7"/>
      <c r="IUN1156" s="7"/>
      <c r="IUO1156" s="7"/>
      <c r="IUP1156" s="7"/>
      <c r="IUQ1156" s="7"/>
      <c r="IUR1156" s="7"/>
      <c r="IUS1156" s="7"/>
      <c r="IUT1156" s="7"/>
      <c r="IUU1156" s="7"/>
      <c r="IUV1156" s="7"/>
      <c r="IUW1156" s="7"/>
      <c r="IUX1156" s="7"/>
      <c r="IUY1156" s="7"/>
      <c r="IUZ1156" s="7"/>
      <c r="IVA1156" s="7"/>
      <c r="IVB1156" s="7"/>
      <c r="IVC1156" s="7"/>
      <c r="IVD1156" s="7"/>
      <c r="IVE1156" s="7"/>
      <c r="IVF1156" s="7"/>
      <c r="IVG1156" s="7"/>
      <c r="IVH1156" s="7"/>
      <c r="IVI1156" s="7"/>
      <c r="IVJ1156" s="7"/>
      <c r="IVK1156" s="7"/>
      <c r="IVL1156" s="7"/>
      <c r="IVM1156" s="7"/>
      <c r="IVN1156" s="7"/>
      <c r="IVO1156" s="7"/>
      <c r="IVP1156" s="7"/>
      <c r="IVQ1156" s="7"/>
      <c r="IVR1156" s="7"/>
      <c r="IVS1156" s="7"/>
      <c r="IVT1156" s="7"/>
      <c r="IVU1156" s="7"/>
      <c r="IVV1156" s="7"/>
      <c r="IVW1156" s="7"/>
      <c r="IVX1156" s="7"/>
      <c r="IVY1156" s="7"/>
      <c r="IVZ1156" s="7"/>
      <c r="IWA1156" s="7"/>
      <c r="IWB1156" s="7"/>
      <c r="IWC1156" s="7"/>
      <c r="IWD1156" s="7"/>
      <c r="IWE1156" s="7"/>
      <c r="IWF1156" s="7"/>
      <c r="IWG1156" s="7"/>
      <c r="IWH1156" s="7"/>
      <c r="IWI1156" s="7"/>
      <c r="IWJ1156" s="7"/>
      <c r="IWK1156" s="7"/>
      <c r="IWL1156" s="7"/>
      <c r="IWM1156" s="7"/>
      <c r="IWN1156" s="7"/>
      <c r="IWO1156" s="7"/>
      <c r="IWP1156" s="7"/>
      <c r="IWQ1156" s="7"/>
      <c r="IWR1156" s="7"/>
      <c r="IWS1156" s="7"/>
      <c r="IWT1156" s="7"/>
      <c r="IWU1156" s="7"/>
      <c r="IWV1156" s="7"/>
      <c r="IWW1156" s="7"/>
      <c r="IWX1156" s="7"/>
      <c r="IWY1156" s="7"/>
      <c r="IWZ1156" s="7"/>
      <c r="IXA1156" s="7"/>
      <c r="IXB1156" s="7"/>
      <c r="IXC1156" s="7"/>
      <c r="IXD1156" s="7"/>
      <c r="IXE1156" s="7"/>
      <c r="IXF1156" s="7"/>
      <c r="IXG1156" s="7"/>
      <c r="IXH1156" s="7"/>
      <c r="IXI1156" s="7"/>
      <c r="IXJ1156" s="7"/>
      <c r="IXK1156" s="7"/>
      <c r="IXL1156" s="7"/>
      <c r="IXM1156" s="7"/>
      <c r="IXN1156" s="7"/>
      <c r="IXO1156" s="7"/>
      <c r="IXP1156" s="7"/>
      <c r="IXQ1156" s="7"/>
      <c r="IXR1156" s="7"/>
      <c r="IXS1156" s="7"/>
      <c r="IXT1156" s="7"/>
      <c r="IXU1156" s="7"/>
      <c r="IXV1156" s="7"/>
      <c r="IXW1156" s="7"/>
      <c r="IXX1156" s="7"/>
      <c r="IXY1156" s="7"/>
      <c r="IXZ1156" s="7"/>
      <c r="IYA1156" s="7"/>
      <c r="IYB1156" s="7"/>
      <c r="IYC1156" s="7"/>
      <c r="IYD1156" s="7"/>
      <c r="IYE1156" s="7"/>
      <c r="IYF1156" s="7"/>
      <c r="IYG1156" s="7"/>
      <c r="IYH1156" s="7"/>
      <c r="IYI1156" s="7"/>
      <c r="IYJ1156" s="7"/>
      <c r="IYK1156" s="7"/>
      <c r="IYL1156" s="7"/>
      <c r="IYM1156" s="7"/>
      <c r="IYN1156" s="7"/>
      <c r="IYO1156" s="7"/>
      <c r="IYP1156" s="7"/>
      <c r="IYQ1156" s="7"/>
      <c r="IYR1156" s="7"/>
      <c r="IYS1156" s="7"/>
      <c r="IYT1156" s="7"/>
      <c r="IYU1156" s="7"/>
      <c r="IYV1156" s="7"/>
      <c r="IYW1156" s="7"/>
      <c r="IYX1156" s="7"/>
      <c r="IYY1156" s="7"/>
      <c r="IYZ1156" s="7"/>
      <c r="IZA1156" s="7"/>
      <c r="IZB1156" s="7"/>
      <c r="IZC1156" s="7"/>
      <c r="IZD1156" s="7"/>
      <c r="IZE1156" s="7"/>
      <c r="IZF1156" s="7"/>
      <c r="IZG1156" s="7"/>
      <c r="IZH1156" s="7"/>
      <c r="IZI1156" s="7"/>
      <c r="IZJ1156" s="7"/>
      <c r="IZK1156" s="7"/>
      <c r="IZL1156" s="7"/>
      <c r="IZM1156" s="7"/>
      <c r="IZN1156" s="7"/>
      <c r="IZO1156" s="7"/>
      <c r="IZP1156" s="7"/>
      <c r="IZQ1156" s="7"/>
      <c r="IZR1156" s="7"/>
      <c r="IZS1156" s="7"/>
      <c r="IZT1156" s="7"/>
      <c r="IZU1156" s="7"/>
      <c r="IZV1156" s="7"/>
      <c r="IZW1156" s="7"/>
      <c r="IZX1156" s="7"/>
      <c r="IZY1156" s="7"/>
      <c r="IZZ1156" s="7"/>
      <c r="JAA1156" s="7"/>
      <c r="JAB1156" s="7"/>
      <c r="JAC1156" s="7"/>
      <c r="JAD1156" s="7"/>
      <c r="JAE1156" s="7"/>
      <c r="JAF1156" s="7"/>
      <c r="JAG1156" s="7"/>
      <c r="JAH1156" s="7"/>
      <c r="JAI1156" s="7"/>
      <c r="JAJ1156" s="7"/>
      <c r="JAK1156" s="7"/>
      <c r="JAL1156" s="7"/>
      <c r="JAM1156" s="7"/>
      <c r="JAN1156" s="7"/>
      <c r="JAO1156" s="7"/>
      <c r="JAP1156" s="7"/>
      <c r="JAQ1156" s="7"/>
      <c r="JAR1156" s="7"/>
      <c r="JAS1156" s="7"/>
      <c r="JAT1156" s="7"/>
      <c r="JAU1156" s="7"/>
      <c r="JAV1156" s="7"/>
      <c r="JAW1156" s="7"/>
      <c r="JAX1156" s="7"/>
      <c r="JAY1156" s="7"/>
      <c r="JAZ1156" s="7"/>
      <c r="JBA1156" s="7"/>
      <c r="JBB1156" s="7"/>
      <c r="JBC1156" s="7"/>
      <c r="JBD1156" s="7"/>
      <c r="JBE1156" s="7"/>
      <c r="JBF1156" s="7"/>
      <c r="JBG1156" s="7"/>
      <c r="JBH1156" s="7"/>
      <c r="JBI1156" s="7"/>
      <c r="JBJ1156" s="7"/>
      <c r="JBK1156" s="7"/>
      <c r="JBL1156" s="7"/>
      <c r="JBM1156" s="7"/>
      <c r="JBN1156" s="7"/>
      <c r="JBO1156" s="7"/>
      <c r="JBP1156" s="7"/>
      <c r="JBQ1156" s="7"/>
      <c r="JBR1156" s="7"/>
      <c r="JBS1156" s="7"/>
      <c r="JBT1156" s="7"/>
      <c r="JBU1156" s="7"/>
      <c r="JBV1156" s="7"/>
      <c r="JBW1156" s="7"/>
      <c r="JBX1156" s="7"/>
      <c r="JBY1156" s="7"/>
      <c r="JBZ1156" s="7"/>
      <c r="JCA1156" s="7"/>
      <c r="JCB1156" s="7"/>
      <c r="JCC1156" s="7"/>
      <c r="JCD1156" s="7"/>
      <c r="JCE1156" s="7"/>
      <c r="JCF1156" s="7"/>
      <c r="JCG1156" s="7"/>
      <c r="JCH1156" s="7"/>
      <c r="JCI1156" s="7"/>
      <c r="JCJ1156" s="7"/>
      <c r="JCK1156" s="7"/>
      <c r="JCL1156" s="7"/>
      <c r="JCM1156" s="7"/>
      <c r="JCN1156" s="7"/>
      <c r="JCO1156" s="7"/>
      <c r="JCP1156" s="7"/>
      <c r="JCQ1156" s="7"/>
      <c r="JCR1156" s="7"/>
      <c r="JCS1156" s="7"/>
      <c r="JCT1156" s="7"/>
      <c r="JCU1156" s="7"/>
      <c r="JCV1156" s="7"/>
      <c r="JCW1156" s="7"/>
      <c r="JCX1156" s="7"/>
      <c r="JCY1156" s="7"/>
      <c r="JCZ1156" s="7"/>
      <c r="JDA1156" s="7"/>
      <c r="JDB1156" s="7"/>
      <c r="JDC1156" s="7"/>
      <c r="JDD1156" s="7"/>
      <c r="JDE1156" s="7"/>
      <c r="JDF1156" s="7"/>
      <c r="JDG1156" s="7"/>
      <c r="JDH1156" s="7"/>
      <c r="JDI1156" s="7"/>
      <c r="JDJ1156" s="7"/>
      <c r="JDK1156" s="7"/>
      <c r="JDL1156" s="7"/>
      <c r="JDM1156" s="7"/>
      <c r="JDN1156" s="7"/>
      <c r="JDO1156" s="7"/>
      <c r="JDP1156" s="7"/>
      <c r="JDQ1156" s="7"/>
      <c r="JDR1156" s="7"/>
      <c r="JDS1156" s="7"/>
      <c r="JDT1156" s="7"/>
      <c r="JDU1156" s="7"/>
      <c r="JDV1156" s="7"/>
      <c r="JDW1156" s="7"/>
      <c r="JDX1156" s="7"/>
      <c r="JDY1156" s="7"/>
      <c r="JDZ1156" s="7"/>
      <c r="JEA1156" s="7"/>
      <c r="JEB1156" s="7"/>
      <c r="JEC1156" s="7"/>
      <c r="JED1156" s="7"/>
      <c r="JEE1156" s="7"/>
      <c r="JEF1156" s="7"/>
      <c r="JEG1156" s="7"/>
      <c r="JEH1156" s="7"/>
      <c r="JEI1156" s="7"/>
      <c r="JEJ1156" s="7"/>
      <c r="JEK1156" s="7"/>
      <c r="JEL1156" s="7"/>
      <c r="JEM1156" s="7"/>
      <c r="JEN1156" s="7"/>
      <c r="JEO1156" s="7"/>
      <c r="JEP1156" s="7"/>
      <c r="JEQ1156" s="7"/>
      <c r="JER1156" s="7"/>
      <c r="JES1156" s="7"/>
      <c r="JET1156" s="7"/>
      <c r="JEU1156" s="7"/>
      <c r="JEV1156" s="7"/>
      <c r="JEW1156" s="7"/>
      <c r="JEX1156" s="7"/>
      <c r="JEY1156" s="7"/>
      <c r="JEZ1156" s="7"/>
      <c r="JFA1156" s="7"/>
      <c r="JFB1156" s="7"/>
      <c r="JFC1156" s="7"/>
      <c r="JFD1156" s="7"/>
      <c r="JFE1156" s="7"/>
      <c r="JFF1156" s="7"/>
      <c r="JFG1156" s="7"/>
      <c r="JFH1156" s="7"/>
      <c r="JFI1156" s="7"/>
      <c r="JFJ1156" s="7"/>
      <c r="JFK1156" s="7"/>
      <c r="JFL1156" s="7"/>
      <c r="JFM1156" s="7"/>
      <c r="JFN1156" s="7"/>
      <c r="JFO1156" s="7"/>
      <c r="JFP1156" s="7"/>
      <c r="JFQ1156" s="7"/>
      <c r="JFR1156" s="7"/>
      <c r="JFS1156" s="7"/>
      <c r="JFT1156" s="7"/>
      <c r="JFU1156" s="7"/>
      <c r="JFV1156" s="7"/>
      <c r="JFW1156" s="7"/>
      <c r="JFX1156" s="7"/>
      <c r="JFY1156" s="7"/>
      <c r="JFZ1156" s="7"/>
      <c r="JGA1156" s="7"/>
      <c r="JGB1156" s="7"/>
      <c r="JGC1156" s="7"/>
      <c r="JGD1156" s="7"/>
      <c r="JGE1156" s="7"/>
      <c r="JGF1156" s="7"/>
      <c r="JGG1156" s="7"/>
      <c r="JGH1156" s="7"/>
      <c r="JGI1156" s="7"/>
      <c r="JGJ1156" s="7"/>
      <c r="JGK1156" s="7"/>
      <c r="JGL1156" s="7"/>
      <c r="JGM1156" s="7"/>
      <c r="JGN1156" s="7"/>
      <c r="JGO1156" s="7"/>
      <c r="JGP1156" s="7"/>
      <c r="JGQ1156" s="7"/>
      <c r="JGR1156" s="7"/>
      <c r="JGS1156" s="7"/>
      <c r="JGT1156" s="7"/>
      <c r="JGU1156" s="7"/>
      <c r="JGV1156" s="7"/>
      <c r="JGW1156" s="7"/>
      <c r="JGX1156" s="7"/>
      <c r="JGY1156" s="7"/>
      <c r="JGZ1156" s="7"/>
      <c r="JHA1156" s="7"/>
      <c r="JHB1156" s="7"/>
      <c r="JHC1156" s="7"/>
      <c r="JHD1156" s="7"/>
      <c r="JHE1156" s="7"/>
      <c r="JHF1156" s="7"/>
      <c r="JHG1156" s="7"/>
      <c r="JHH1156" s="7"/>
      <c r="JHI1156" s="7"/>
      <c r="JHJ1156" s="7"/>
      <c r="JHK1156" s="7"/>
      <c r="JHL1156" s="7"/>
      <c r="JHM1156" s="7"/>
      <c r="JHN1156" s="7"/>
      <c r="JHO1156" s="7"/>
      <c r="JHP1156" s="7"/>
      <c r="JHQ1156" s="7"/>
      <c r="JHR1156" s="7"/>
      <c r="JHS1156" s="7"/>
      <c r="JHT1156" s="7"/>
      <c r="JHU1156" s="7"/>
      <c r="JHV1156" s="7"/>
      <c r="JHW1156" s="7"/>
      <c r="JHX1156" s="7"/>
      <c r="JHY1156" s="7"/>
      <c r="JHZ1156" s="7"/>
      <c r="JIA1156" s="7"/>
      <c r="JIB1156" s="7"/>
      <c r="JIC1156" s="7"/>
      <c r="JID1156" s="7"/>
      <c r="JIE1156" s="7"/>
      <c r="JIF1156" s="7"/>
      <c r="JIG1156" s="7"/>
      <c r="JIH1156" s="7"/>
      <c r="JII1156" s="7"/>
      <c r="JIJ1156" s="7"/>
      <c r="JIK1156" s="7"/>
      <c r="JIL1156" s="7"/>
      <c r="JIM1156" s="7"/>
      <c r="JIN1156" s="7"/>
      <c r="JIO1156" s="7"/>
      <c r="JIP1156" s="7"/>
      <c r="JIQ1156" s="7"/>
      <c r="JIR1156" s="7"/>
      <c r="JIS1156" s="7"/>
      <c r="JIT1156" s="7"/>
      <c r="JIU1156" s="7"/>
      <c r="JIV1156" s="7"/>
      <c r="JIW1156" s="7"/>
      <c r="JIX1156" s="7"/>
      <c r="JIY1156" s="7"/>
      <c r="JIZ1156" s="7"/>
      <c r="JJA1156" s="7"/>
      <c r="JJB1156" s="7"/>
      <c r="JJC1156" s="7"/>
      <c r="JJD1156" s="7"/>
      <c r="JJE1156" s="7"/>
      <c r="JJF1156" s="7"/>
      <c r="JJG1156" s="7"/>
      <c r="JJH1156" s="7"/>
      <c r="JJI1156" s="7"/>
      <c r="JJJ1156" s="7"/>
      <c r="JJK1156" s="7"/>
      <c r="JJL1156" s="7"/>
      <c r="JJM1156" s="7"/>
      <c r="JJN1156" s="7"/>
      <c r="JJO1156" s="7"/>
      <c r="JJP1156" s="7"/>
      <c r="JJQ1156" s="7"/>
      <c r="JJR1156" s="7"/>
      <c r="JJS1156" s="7"/>
      <c r="JJT1156" s="7"/>
      <c r="JJU1156" s="7"/>
      <c r="JJV1156" s="7"/>
      <c r="JJW1156" s="7"/>
      <c r="JJX1156" s="7"/>
      <c r="JJY1156" s="7"/>
      <c r="JJZ1156" s="7"/>
      <c r="JKA1156" s="7"/>
      <c r="JKB1156" s="7"/>
      <c r="JKC1156" s="7"/>
      <c r="JKD1156" s="7"/>
      <c r="JKE1156" s="7"/>
      <c r="JKF1156" s="7"/>
      <c r="JKG1156" s="7"/>
      <c r="JKH1156" s="7"/>
      <c r="JKI1156" s="7"/>
      <c r="JKJ1156" s="7"/>
      <c r="JKK1156" s="7"/>
      <c r="JKL1156" s="7"/>
      <c r="JKM1156" s="7"/>
      <c r="JKN1156" s="7"/>
      <c r="JKO1156" s="7"/>
      <c r="JKP1156" s="7"/>
      <c r="JKQ1156" s="7"/>
      <c r="JKR1156" s="7"/>
      <c r="JKS1156" s="7"/>
      <c r="JKT1156" s="7"/>
      <c r="JKU1156" s="7"/>
      <c r="JKV1156" s="7"/>
      <c r="JKW1156" s="7"/>
      <c r="JKX1156" s="7"/>
      <c r="JKY1156" s="7"/>
      <c r="JKZ1156" s="7"/>
      <c r="JLA1156" s="7"/>
      <c r="JLB1156" s="7"/>
      <c r="JLC1156" s="7"/>
      <c r="JLD1156" s="7"/>
      <c r="JLE1156" s="7"/>
      <c r="JLF1156" s="7"/>
      <c r="JLG1156" s="7"/>
      <c r="JLH1156" s="7"/>
      <c r="JLI1156" s="7"/>
      <c r="JLJ1156" s="7"/>
      <c r="JLK1156" s="7"/>
      <c r="JLL1156" s="7"/>
      <c r="JLM1156" s="7"/>
      <c r="JLN1156" s="7"/>
      <c r="JLO1156" s="7"/>
      <c r="JLP1156" s="7"/>
      <c r="JLQ1156" s="7"/>
      <c r="JLR1156" s="7"/>
      <c r="JLS1156" s="7"/>
      <c r="JLT1156" s="7"/>
      <c r="JLU1156" s="7"/>
      <c r="JLV1156" s="7"/>
      <c r="JLW1156" s="7"/>
      <c r="JLX1156" s="7"/>
      <c r="JLY1156" s="7"/>
      <c r="JLZ1156" s="7"/>
      <c r="JMA1156" s="7"/>
      <c r="JMB1156" s="7"/>
      <c r="JMC1156" s="7"/>
      <c r="JMD1156" s="7"/>
      <c r="JME1156" s="7"/>
      <c r="JMF1156" s="7"/>
      <c r="JMG1156" s="7"/>
      <c r="JMH1156" s="7"/>
      <c r="JMI1156" s="7"/>
      <c r="JMJ1156" s="7"/>
      <c r="JMK1156" s="7"/>
      <c r="JML1156" s="7"/>
      <c r="JMM1156" s="7"/>
      <c r="JMN1156" s="7"/>
      <c r="JMO1156" s="7"/>
      <c r="JMP1156" s="7"/>
      <c r="JMQ1156" s="7"/>
      <c r="JMR1156" s="7"/>
      <c r="JMS1156" s="7"/>
      <c r="JMT1156" s="7"/>
      <c r="JMU1156" s="7"/>
      <c r="JMV1156" s="7"/>
      <c r="JMW1156" s="7"/>
      <c r="JMX1156" s="7"/>
      <c r="JMY1156" s="7"/>
      <c r="JMZ1156" s="7"/>
      <c r="JNA1156" s="7"/>
      <c r="JNB1156" s="7"/>
      <c r="JNC1156" s="7"/>
      <c r="JND1156" s="7"/>
      <c r="JNE1156" s="7"/>
      <c r="JNF1156" s="7"/>
      <c r="JNG1156" s="7"/>
      <c r="JNH1156" s="7"/>
      <c r="JNI1156" s="7"/>
      <c r="JNJ1156" s="7"/>
      <c r="JNK1156" s="7"/>
      <c r="JNL1156" s="7"/>
      <c r="JNM1156" s="7"/>
      <c r="JNN1156" s="7"/>
      <c r="JNO1156" s="7"/>
      <c r="JNP1156" s="7"/>
      <c r="JNQ1156" s="7"/>
      <c r="JNR1156" s="7"/>
      <c r="JNS1156" s="7"/>
      <c r="JNT1156" s="7"/>
      <c r="JNU1156" s="7"/>
      <c r="JNV1156" s="7"/>
      <c r="JNW1156" s="7"/>
      <c r="JNX1156" s="7"/>
      <c r="JNY1156" s="7"/>
      <c r="JNZ1156" s="7"/>
      <c r="JOA1156" s="7"/>
      <c r="JOB1156" s="7"/>
      <c r="JOC1156" s="7"/>
      <c r="JOD1156" s="7"/>
      <c r="JOE1156" s="7"/>
      <c r="JOF1156" s="7"/>
      <c r="JOG1156" s="7"/>
      <c r="JOH1156" s="7"/>
      <c r="JOI1156" s="7"/>
      <c r="JOJ1156" s="7"/>
      <c r="JOK1156" s="7"/>
      <c r="JOL1156" s="7"/>
      <c r="JOM1156" s="7"/>
      <c r="JON1156" s="7"/>
      <c r="JOO1156" s="7"/>
      <c r="JOP1156" s="7"/>
      <c r="JOQ1156" s="7"/>
      <c r="JOR1156" s="7"/>
      <c r="JOS1156" s="7"/>
      <c r="JOT1156" s="7"/>
      <c r="JOU1156" s="7"/>
      <c r="JOV1156" s="7"/>
      <c r="JOW1156" s="7"/>
      <c r="JOX1156" s="7"/>
      <c r="JOY1156" s="7"/>
      <c r="JOZ1156" s="7"/>
      <c r="JPA1156" s="7"/>
      <c r="JPB1156" s="7"/>
      <c r="JPC1156" s="7"/>
      <c r="JPD1156" s="7"/>
      <c r="JPE1156" s="7"/>
      <c r="JPF1156" s="7"/>
      <c r="JPG1156" s="7"/>
      <c r="JPH1156" s="7"/>
      <c r="JPI1156" s="7"/>
      <c r="JPJ1156" s="7"/>
      <c r="JPK1156" s="7"/>
      <c r="JPL1156" s="7"/>
      <c r="JPM1156" s="7"/>
      <c r="JPN1156" s="7"/>
      <c r="JPO1156" s="7"/>
      <c r="JPP1156" s="7"/>
      <c r="JPQ1156" s="7"/>
      <c r="JPR1156" s="7"/>
      <c r="JPS1156" s="7"/>
      <c r="JPT1156" s="7"/>
      <c r="JPU1156" s="7"/>
      <c r="JPV1156" s="7"/>
      <c r="JPW1156" s="7"/>
      <c r="JPX1156" s="7"/>
      <c r="JPY1156" s="7"/>
      <c r="JPZ1156" s="7"/>
      <c r="JQA1156" s="7"/>
      <c r="JQB1156" s="7"/>
      <c r="JQC1156" s="7"/>
      <c r="JQD1156" s="7"/>
      <c r="JQE1156" s="7"/>
      <c r="JQF1156" s="7"/>
      <c r="JQG1156" s="7"/>
      <c r="JQH1156" s="7"/>
      <c r="JQI1156" s="7"/>
      <c r="JQJ1156" s="7"/>
      <c r="JQK1156" s="7"/>
      <c r="JQL1156" s="7"/>
      <c r="JQM1156" s="7"/>
      <c r="JQN1156" s="7"/>
      <c r="JQO1156" s="7"/>
      <c r="JQP1156" s="7"/>
      <c r="JQQ1156" s="7"/>
      <c r="JQR1156" s="7"/>
      <c r="JQS1156" s="7"/>
      <c r="JQT1156" s="7"/>
      <c r="JQU1156" s="7"/>
      <c r="JQV1156" s="7"/>
      <c r="JQW1156" s="7"/>
      <c r="JQX1156" s="7"/>
      <c r="JQY1156" s="7"/>
      <c r="JQZ1156" s="7"/>
      <c r="JRA1156" s="7"/>
      <c r="JRB1156" s="7"/>
      <c r="JRC1156" s="7"/>
      <c r="JRD1156" s="7"/>
      <c r="JRE1156" s="7"/>
      <c r="JRF1156" s="7"/>
      <c r="JRG1156" s="7"/>
      <c r="JRH1156" s="7"/>
      <c r="JRI1156" s="7"/>
      <c r="JRJ1156" s="7"/>
      <c r="JRK1156" s="7"/>
      <c r="JRL1156" s="7"/>
      <c r="JRM1156" s="7"/>
      <c r="JRN1156" s="7"/>
      <c r="JRO1156" s="7"/>
      <c r="JRP1156" s="7"/>
      <c r="JRQ1156" s="7"/>
      <c r="JRR1156" s="7"/>
      <c r="JRS1156" s="7"/>
      <c r="JRT1156" s="7"/>
      <c r="JRU1156" s="7"/>
      <c r="JRV1156" s="7"/>
      <c r="JRW1156" s="7"/>
      <c r="JRX1156" s="7"/>
      <c r="JRY1156" s="7"/>
      <c r="JRZ1156" s="7"/>
      <c r="JSA1156" s="7"/>
      <c r="JSB1156" s="7"/>
      <c r="JSC1156" s="7"/>
      <c r="JSD1156" s="7"/>
      <c r="JSE1156" s="7"/>
      <c r="JSF1156" s="7"/>
      <c r="JSG1156" s="7"/>
      <c r="JSH1156" s="7"/>
      <c r="JSI1156" s="7"/>
      <c r="JSJ1156" s="7"/>
      <c r="JSK1156" s="7"/>
      <c r="JSL1156" s="7"/>
      <c r="JSM1156" s="7"/>
      <c r="JSN1156" s="7"/>
      <c r="JSO1156" s="7"/>
      <c r="JSP1156" s="7"/>
      <c r="JSQ1156" s="7"/>
      <c r="JSR1156" s="7"/>
      <c r="JSS1156" s="7"/>
      <c r="JST1156" s="7"/>
      <c r="JSU1156" s="7"/>
      <c r="JSV1156" s="7"/>
      <c r="JSW1156" s="7"/>
      <c r="JSX1156" s="7"/>
      <c r="JSY1156" s="7"/>
      <c r="JSZ1156" s="7"/>
      <c r="JTA1156" s="7"/>
      <c r="JTB1156" s="7"/>
      <c r="JTC1156" s="7"/>
      <c r="JTD1156" s="7"/>
      <c r="JTE1156" s="7"/>
      <c r="JTF1156" s="7"/>
      <c r="JTG1156" s="7"/>
      <c r="JTH1156" s="7"/>
      <c r="JTI1156" s="7"/>
      <c r="JTJ1156" s="7"/>
      <c r="JTK1156" s="7"/>
      <c r="JTL1156" s="7"/>
      <c r="JTM1156" s="7"/>
      <c r="JTN1156" s="7"/>
      <c r="JTO1156" s="7"/>
      <c r="JTP1156" s="7"/>
      <c r="JTQ1156" s="7"/>
      <c r="JTR1156" s="7"/>
      <c r="JTS1156" s="7"/>
      <c r="JTT1156" s="7"/>
      <c r="JTU1156" s="7"/>
      <c r="JTV1156" s="7"/>
      <c r="JTW1156" s="7"/>
      <c r="JTX1156" s="7"/>
      <c r="JTY1156" s="7"/>
      <c r="JTZ1156" s="7"/>
      <c r="JUA1156" s="7"/>
      <c r="JUB1156" s="7"/>
      <c r="JUC1156" s="7"/>
      <c r="JUD1156" s="7"/>
      <c r="JUE1156" s="7"/>
      <c r="JUF1156" s="7"/>
      <c r="JUG1156" s="7"/>
      <c r="JUH1156" s="7"/>
      <c r="JUI1156" s="7"/>
      <c r="JUJ1156" s="7"/>
      <c r="JUK1156" s="7"/>
      <c r="JUL1156" s="7"/>
      <c r="JUM1156" s="7"/>
      <c r="JUN1156" s="7"/>
      <c r="JUO1156" s="7"/>
      <c r="JUP1156" s="7"/>
      <c r="JUQ1156" s="7"/>
      <c r="JUR1156" s="7"/>
      <c r="JUS1156" s="7"/>
      <c r="JUT1156" s="7"/>
      <c r="JUU1156" s="7"/>
      <c r="JUV1156" s="7"/>
      <c r="JUW1156" s="7"/>
      <c r="JUX1156" s="7"/>
      <c r="JUY1156" s="7"/>
      <c r="JUZ1156" s="7"/>
      <c r="JVA1156" s="7"/>
      <c r="JVB1156" s="7"/>
      <c r="JVC1156" s="7"/>
      <c r="JVD1156" s="7"/>
      <c r="JVE1156" s="7"/>
      <c r="JVF1156" s="7"/>
      <c r="JVG1156" s="7"/>
      <c r="JVH1156" s="7"/>
      <c r="JVI1156" s="7"/>
      <c r="JVJ1156" s="7"/>
      <c r="JVK1156" s="7"/>
      <c r="JVL1156" s="7"/>
      <c r="JVM1156" s="7"/>
      <c r="JVN1156" s="7"/>
      <c r="JVO1156" s="7"/>
      <c r="JVP1156" s="7"/>
      <c r="JVQ1156" s="7"/>
      <c r="JVR1156" s="7"/>
      <c r="JVS1156" s="7"/>
      <c r="JVT1156" s="7"/>
      <c r="JVU1156" s="7"/>
      <c r="JVV1156" s="7"/>
      <c r="JVW1156" s="7"/>
      <c r="JVX1156" s="7"/>
      <c r="JVY1156" s="7"/>
      <c r="JVZ1156" s="7"/>
      <c r="JWA1156" s="7"/>
      <c r="JWB1156" s="7"/>
      <c r="JWC1156" s="7"/>
      <c r="JWD1156" s="7"/>
      <c r="JWE1156" s="7"/>
      <c r="JWF1156" s="7"/>
      <c r="JWG1156" s="7"/>
      <c r="JWH1156" s="7"/>
      <c r="JWI1156" s="7"/>
      <c r="JWJ1156" s="7"/>
      <c r="JWK1156" s="7"/>
      <c r="JWL1156" s="7"/>
      <c r="JWM1156" s="7"/>
      <c r="JWN1156" s="7"/>
      <c r="JWO1156" s="7"/>
      <c r="JWP1156" s="7"/>
      <c r="JWQ1156" s="7"/>
      <c r="JWR1156" s="7"/>
      <c r="JWS1156" s="7"/>
      <c r="JWT1156" s="7"/>
      <c r="JWU1156" s="7"/>
      <c r="JWV1156" s="7"/>
      <c r="JWW1156" s="7"/>
      <c r="JWX1156" s="7"/>
      <c r="JWY1156" s="7"/>
      <c r="JWZ1156" s="7"/>
      <c r="JXA1156" s="7"/>
      <c r="JXB1156" s="7"/>
      <c r="JXC1156" s="7"/>
      <c r="JXD1156" s="7"/>
      <c r="JXE1156" s="7"/>
      <c r="JXF1156" s="7"/>
      <c r="JXG1156" s="7"/>
      <c r="JXH1156" s="7"/>
      <c r="JXI1156" s="7"/>
      <c r="JXJ1156" s="7"/>
      <c r="JXK1156" s="7"/>
      <c r="JXL1156" s="7"/>
      <c r="JXM1156" s="7"/>
      <c r="JXN1156" s="7"/>
      <c r="JXO1156" s="7"/>
      <c r="JXP1156" s="7"/>
      <c r="JXQ1156" s="7"/>
      <c r="JXR1156" s="7"/>
      <c r="JXS1156" s="7"/>
      <c r="JXT1156" s="7"/>
      <c r="JXU1156" s="7"/>
      <c r="JXV1156" s="7"/>
      <c r="JXW1156" s="7"/>
      <c r="JXX1156" s="7"/>
      <c r="JXY1156" s="7"/>
      <c r="JXZ1156" s="7"/>
      <c r="JYA1156" s="7"/>
      <c r="JYB1156" s="7"/>
      <c r="JYC1156" s="7"/>
      <c r="JYD1156" s="7"/>
      <c r="JYE1156" s="7"/>
      <c r="JYF1156" s="7"/>
      <c r="JYG1156" s="7"/>
      <c r="JYH1156" s="7"/>
      <c r="JYI1156" s="7"/>
      <c r="JYJ1156" s="7"/>
      <c r="JYK1156" s="7"/>
      <c r="JYL1156" s="7"/>
      <c r="JYM1156" s="7"/>
      <c r="JYN1156" s="7"/>
      <c r="JYO1156" s="7"/>
      <c r="JYP1156" s="7"/>
      <c r="JYQ1156" s="7"/>
      <c r="JYR1156" s="7"/>
      <c r="JYS1156" s="7"/>
      <c r="JYT1156" s="7"/>
      <c r="JYU1156" s="7"/>
      <c r="JYV1156" s="7"/>
      <c r="JYW1156" s="7"/>
      <c r="JYX1156" s="7"/>
      <c r="JYY1156" s="7"/>
      <c r="JYZ1156" s="7"/>
      <c r="JZA1156" s="7"/>
      <c r="JZB1156" s="7"/>
      <c r="JZC1156" s="7"/>
      <c r="JZD1156" s="7"/>
      <c r="JZE1156" s="7"/>
      <c r="JZF1156" s="7"/>
      <c r="JZG1156" s="7"/>
      <c r="JZH1156" s="7"/>
      <c r="JZI1156" s="7"/>
      <c r="JZJ1156" s="7"/>
      <c r="JZK1156" s="7"/>
      <c r="JZL1156" s="7"/>
      <c r="JZM1156" s="7"/>
      <c r="JZN1156" s="7"/>
      <c r="JZO1156" s="7"/>
      <c r="JZP1156" s="7"/>
      <c r="JZQ1156" s="7"/>
      <c r="JZR1156" s="7"/>
      <c r="JZS1156" s="7"/>
      <c r="JZT1156" s="7"/>
      <c r="JZU1156" s="7"/>
      <c r="JZV1156" s="7"/>
      <c r="JZW1156" s="7"/>
      <c r="JZX1156" s="7"/>
      <c r="JZY1156" s="7"/>
      <c r="JZZ1156" s="7"/>
      <c r="KAA1156" s="7"/>
      <c r="KAB1156" s="7"/>
      <c r="KAC1156" s="7"/>
      <c r="KAD1156" s="7"/>
      <c r="KAE1156" s="7"/>
      <c r="KAF1156" s="7"/>
      <c r="KAG1156" s="7"/>
      <c r="KAH1156" s="7"/>
      <c r="KAI1156" s="7"/>
      <c r="KAJ1156" s="7"/>
      <c r="KAK1156" s="7"/>
      <c r="KAL1156" s="7"/>
      <c r="KAM1156" s="7"/>
      <c r="KAN1156" s="7"/>
      <c r="KAO1156" s="7"/>
      <c r="KAP1156" s="7"/>
      <c r="KAQ1156" s="7"/>
      <c r="KAR1156" s="7"/>
      <c r="KAS1156" s="7"/>
      <c r="KAT1156" s="7"/>
      <c r="KAU1156" s="7"/>
      <c r="KAV1156" s="7"/>
      <c r="KAW1156" s="7"/>
      <c r="KAX1156" s="7"/>
      <c r="KAY1156" s="7"/>
      <c r="KAZ1156" s="7"/>
      <c r="KBA1156" s="7"/>
      <c r="KBB1156" s="7"/>
      <c r="KBC1156" s="7"/>
      <c r="KBD1156" s="7"/>
      <c r="KBE1156" s="7"/>
      <c r="KBF1156" s="7"/>
      <c r="KBG1156" s="7"/>
      <c r="KBH1156" s="7"/>
      <c r="KBI1156" s="7"/>
      <c r="KBJ1156" s="7"/>
      <c r="KBK1156" s="7"/>
      <c r="KBL1156" s="7"/>
      <c r="KBM1156" s="7"/>
      <c r="KBN1156" s="7"/>
      <c r="KBO1156" s="7"/>
      <c r="KBP1156" s="7"/>
      <c r="KBQ1156" s="7"/>
      <c r="KBR1156" s="7"/>
      <c r="KBS1156" s="7"/>
      <c r="KBT1156" s="7"/>
      <c r="KBU1156" s="7"/>
      <c r="KBV1156" s="7"/>
      <c r="KBW1156" s="7"/>
      <c r="KBX1156" s="7"/>
      <c r="KBY1156" s="7"/>
      <c r="KBZ1156" s="7"/>
      <c r="KCA1156" s="7"/>
      <c r="KCB1156" s="7"/>
      <c r="KCC1156" s="7"/>
      <c r="KCD1156" s="7"/>
      <c r="KCE1156" s="7"/>
      <c r="KCF1156" s="7"/>
      <c r="KCG1156" s="7"/>
      <c r="KCH1156" s="7"/>
      <c r="KCI1156" s="7"/>
      <c r="KCJ1156" s="7"/>
      <c r="KCK1156" s="7"/>
      <c r="KCL1156" s="7"/>
      <c r="KCM1156" s="7"/>
      <c r="KCN1156" s="7"/>
      <c r="KCO1156" s="7"/>
      <c r="KCP1156" s="7"/>
      <c r="KCQ1156" s="7"/>
      <c r="KCR1156" s="7"/>
      <c r="KCS1156" s="7"/>
      <c r="KCT1156" s="7"/>
      <c r="KCU1156" s="7"/>
      <c r="KCV1156" s="7"/>
      <c r="KCW1156" s="7"/>
      <c r="KCX1156" s="7"/>
      <c r="KCY1156" s="7"/>
      <c r="KCZ1156" s="7"/>
      <c r="KDA1156" s="7"/>
      <c r="KDB1156" s="7"/>
      <c r="KDC1156" s="7"/>
      <c r="KDD1156" s="7"/>
      <c r="KDE1156" s="7"/>
      <c r="KDF1156" s="7"/>
      <c r="KDG1156" s="7"/>
      <c r="KDH1156" s="7"/>
      <c r="KDI1156" s="7"/>
      <c r="KDJ1156" s="7"/>
      <c r="KDK1156" s="7"/>
      <c r="KDL1156" s="7"/>
      <c r="KDM1156" s="7"/>
      <c r="KDN1156" s="7"/>
      <c r="KDO1156" s="7"/>
      <c r="KDP1156" s="7"/>
      <c r="KDQ1156" s="7"/>
      <c r="KDR1156" s="7"/>
      <c r="KDS1156" s="7"/>
      <c r="KDT1156" s="7"/>
      <c r="KDU1156" s="7"/>
      <c r="KDV1156" s="7"/>
      <c r="KDW1156" s="7"/>
      <c r="KDX1156" s="7"/>
      <c r="KDY1156" s="7"/>
      <c r="KDZ1156" s="7"/>
      <c r="KEA1156" s="7"/>
      <c r="KEB1156" s="7"/>
      <c r="KEC1156" s="7"/>
      <c r="KED1156" s="7"/>
      <c r="KEE1156" s="7"/>
      <c r="KEF1156" s="7"/>
      <c r="KEG1156" s="7"/>
      <c r="KEH1156" s="7"/>
      <c r="KEI1156" s="7"/>
      <c r="KEJ1156" s="7"/>
      <c r="KEK1156" s="7"/>
      <c r="KEL1156" s="7"/>
      <c r="KEM1156" s="7"/>
      <c r="KEN1156" s="7"/>
      <c r="KEO1156" s="7"/>
      <c r="KEP1156" s="7"/>
      <c r="KEQ1156" s="7"/>
      <c r="KER1156" s="7"/>
      <c r="KES1156" s="7"/>
      <c r="KET1156" s="7"/>
      <c r="KEU1156" s="7"/>
      <c r="KEV1156" s="7"/>
      <c r="KEW1156" s="7"/>
      <c r="KEX1156" s="7"/>
      <c r="KEY1156" s="7"/>
      <c r="KEZ1156" s="7"/>
      <c r="KFA1156" s="7"/>
      <c r="KFB1156" s="7"/>
      <c r="KFC1156" s="7"/>
      <c r="KFD1156" s="7"/>
      <c r="KFE1156" s="7"/>
      <c r="KFF1156" s="7"/>
      <c r="KFG1156" s="7"/>
      <c r="KFH1156" s="7"/>
      <c r="KFI1156" s="7"/>
      <c r="KFJ1156" s="7"/>
      <c r="KFK1156" s="7"/>
      <c r="KFL1156" s="7"/>
      <c r="KFM1156" s="7"/>
      <c r="KFN1156" s="7"/>
      <c r="KFO1156" s="7"/>
      <c r="KFP1156" s="7"/>
      <c r="KFQ1156" s="7"/>
      <c r="KFR1156" s="7"/>
      <c r="KFS1156" s="7"/>
      <c r="KFT1156" s="7"/>
      <c r="KFU1156" s="7"/>
      <c r="KFV1156" s="7"/>
      <c r="KFW1156" s="7"/>
      <c r="KFX1156" s="7"/>
      <c r="KFY1156" s="7"/>
      <c r="KFZ1156" s="7"/>
      <c r="KGA1156" s="7"/>
      <c r="KGB1156" s="7"/>
      <c r="KGC1156" s="7"/>
      <c r="KGD1156" s="7"/>
      <c r="KGE1156" s="7"/>
      <c r="KGF1156" s="7"/>
      <c r="KGG1156" s="7"/>
      <c r="KGH1156" s="7"/>
      <c r="KGI1156" s="7"/>
      <c r="KGJ1156" s="7"/>
      <c r="KGK1156" s="7"/>
      <c r="KGL1156" s="7"/>
      <c r="KGM1156" s="7"/>
      <c r="KGN1156" s="7"/>
      <c r="KGO1156" s="7"/>
      <c r="KGP1156" s="7"/>
      <c r="KGQ1156" s="7"/>
      <c r="KGR1156" s="7"/>
      <c r="KGS1156" s="7"/>
      <c r="KGT1156" s="7"/>
      <c r="KGU1156" s="7"/>
      <c r="KGV1156" s="7"/>
      <c r="KGW1156" s="7"/>
      <c r="KGX1156" s="7"/>
      <c r="KGY1156" s="7"/>
      <c r="KGZ1156" s="7"/>
      <c r="KHA1156" s="7"/>
      <c r="KHB1156" s="7"/>
      <c r="KHC1156" s="7"/>
      <c r="KHD1156" s="7"/>
      <c r="KHE1156" s="7"/>
      <c r="KHF1156" s="7"/>
      <c r="KHG1156" s="7"/>
      <c r="KHH1156" s="7"/>
      <c r="KHI1156" s="7"/>
      <c r="KHJ1156" s="7"/>
      <c r="KHK1156" s="7"/>
      <c r="KHL1156" s="7"/>
      <c r="KHM1156" s="7"/>
      <c r="KHN1156" s="7"/>
      <c r="KHO1156" s="7"/>
      <c r="KHP1156" s="7"/>
      <c r="KHQ1156" s="7"/>
      <c r="KHR1156" s="7"/>
      <c r="KHS1156" s="7"/>
      <c r="KHT1156" s="7"/>
      <c r="KHU1156" s="7"/>
      <c r="KHV1156" s="7"/>
      <c r="KHW1156" s="7"/>
      <c r="KHX1156" s="7"/>
      <c r="KHY1156" s="7"/>
      <c r="KHZ1156" s="7"/>
      <c r="KIA1156" s="7"/>
      <c r="KIB1156" s="7"/>
      <c r="KIC1156" s="7"/>
      <c r="KID1156" s="7"/>
      <c r="KIE1156" s="7"/>
      <c r="KIF1156" s="7"/>
      <c r="KIG1156" s="7"/>
      <c r="KIH1156" s="7"/>
      <c r="KII1156" s="7"/>
      <c r="KIJ1156" s="7"/>
      <c r="KIK1156" s="7"/>
      <c r="KIL1156" s="7"/>
      <c r="KIM1156" s="7"/>
      <c r="KIN1156" s="7"/>
      <c r="KIO1156" s="7"/>
      <c r="KIP1156" s="7"/>
      <c r="KIQ1156" s="7"/>
      <c r="KIR1156" s="7"/>
      <c r="KIS1156" s="7"/>
      <c r="KIT1156" s="7"/>
      <c r="KIU1156" s="7"/>
      <c r="KIV1156" s="7"/>
      <c r="KIW1156" s="7"/>
      <c r="KIX1156" s="7"/>
      <c r="KIY1156" s="7"/>
      <c r="KIZ1156" s="7"/>
      <c r="KJA1156" s="7"/>
      <c r="KJB1156" s="7"/>
      <c r="KJC1156" s="7"/>
      <c r="KJD1156" s="7"/>
      <c r="KJE1156" s="7"/>
      <c r="KJF1156" s="7"/>
      <c r="KJG1156" s="7"/>
      <c r="KJH1156" s="7"/>
      <c r="KJI1156" s="7"/>
      <c r="KJJ1156" s="7"/>
      <c r="KJK1156" s="7"/>
      <c r="KJL1156" s="7"/>
      <c r="KJM1156" s="7"/>
      <c r="KJN1156" s="7"/>
      <c r="KJO1156" s="7"/>
      <c r="KJP1156" s="7"/>
      <c r="KJQ1156" s="7"/>
      <c r="KJR1156" s="7"/>
      <c r="KJS1156" s="7"/>
      <c r="KJT1156" s="7"/>
      <c r="KJU1156" s="7"/>
      <c r="KJV1156" s="7"/>
      <c r="KJW1156" s="7"/>
      <c r="KJX1156" s="7"/>
      <c r="KJY1156" s="7"/>
      <c r="KJZ1156" s="7"/>
      <c r="KKA1156" s="7"/>
      <c r="KKB1156" s="7"/>
      <c r="KKC1156" s="7"/>
      <c r="KKD1156" s="7"/>
      <c r="KKE1156" s="7"/>
      <c r="KKF1156" s="7"/>
      <c r="KKG1156" s="7"/>
      <c r="KKH1156" s="7"/>
      <c r="KKI1156" s="7"/>
      <c r="KKJ1156" s="7"/>
      <c r="KKK1156" s="7"/>
      <c r="KKL1156" s="7"/>
      <c r="KKM1156" s="7"/>
      <c r="KKN1156" s="7"/>
      <c r="KKO1156" s="7"/>
      <c r="KKP1156" s="7"/>
      <c r="KKQ1156" s="7"/>
      <c r="KKR1156" s="7"/>
      <c r="KKS1156" s="7"/>
      <c r="KKT1156" s="7"/>
      <c r="KKU1156" s="7"/>
      <c r="KKV1156" s="7"/>
      <c r="KKW1156" s="7"/>
      <c r="KKX1156" s="7"/>
      <c r="KKY1156" s="7"/>
      <c r="KKZ1156" s="7"/>
      <c r="KLA1156" s="7"/>
      <c r="KLB1156" s="7"/>
      <c r="KLC1156" s="7"/>
      <c r="KLD1156" s="7"/>
      <c r="KLE1156" s="7"/>
      <c r="KLF1156" s="7"/>
      <c r="KLG1156" s="7"/>
      <c r="KLH1156" s="7"/>
      <c r="KLI1156" s="7"/>
      <c r="KLJ1156" s="7"/>
      <c r="KLK1156" s="7"/>
      <c r="KLL1156" s="7"/>
      <c r="KLM1156" s="7"/>
      <c r="KLN1156" s="7"/>
      <c r="KLO1156" s="7"/>
      <c r="KLP1156" s="7"/>
      <c r="KLQ1156" s="7"/>
      <c r="KLR1156" s="7"/>
      <c r="KLS1156" s="7"/>
      <c r="KLT1156" s="7"/>
      <c r="KLU1156" s="7"/>
      <c r="KLV1156" s="7"/>
      <c r="KLW1156" s="7"/>
      <c r="KLX1156" s="7"/>
      <c r="KLY1156" s="7"/>
      <c r="KLZ1156" s="7"/>
      <c r="KMA1156" s="7"/>
      <c r="KMB1156" s="7"/>
      <c r="KMC1156" s="7"/>
      <c r="KMD1156" s="7"/>
      <c r="KME1156" s="7"/>
      <c r="KMF1156" s="7"/>
      <c r="KMG1156" s="7"/>
      <c r="KMH1156" s="7"/>
      <c r="KMI1156" s="7"/>
      <c r="KMJ1156" s="7"/>
      <c r="KMK1156" s="7"/>
      <c r="KML1156" s="7"/>
      <c r="KMM1156" s="7"/>
      <c r="KMN1156" s="7"/>
      <c r="KMO1156" s="7"/>
      <c r="KMP1156" s="7"/>
      <c r="KMQ1156" s="7"/>
      <c r="KMR1156" s="7"/>
      <c r="KMS1156" s="7"/>
      <c r="KMT1156" s="7"/>
      <c r="KMU1156" s="7"/>
      <c r="KMV1156" s="7"/>
      <c r="KMW1156" s="7"/>
      <c r="KMX1156" s="7"/>
      <c r="KMY1156" s="7"/>
      <c r="KMZ1156" s="7"/>
      <c r="KNA1156" s="7"/>
      <c r="KNB1156" s="7"/>
      <c r="KNC1156" s="7"/>
      <c r="KND1156" s="7"/>
      <c r="KNE1156" s="7"/>
      <c r="KNF1156" s="7"/>
      <c r="KNG1156" s="7"/>
      <c r="KNH1156" s="7"/>
      <c r="KNI1156" s="7"/>
      <c r="KNJ1156" s="7"/>
      <c r="KNK1156" s="7"/>
      <c r="KNL1156" s="7"/>
      <c r="KNM1156" s="7"/>
      <c r="KNN1156" s="7"/>
      <c r="KNO1156" s="7"/>
      <c r="KNP1156" s="7"/>
      <c r="KNQ1156" s="7"/>
      <c r="KNR1156" s="7"/>
      <c r="KNS1156" s="7"/>
      <c r="KNT1156" s="7"/>
      <c r="KNU1156" s="7"/>
      <c r="KNV1156" s="7"/>
      <c r="KNW1156" s="7"/>
      <c r="KNX1156" s="7"/>
      <c r="KNY1156" s="7"/>
      <c r="KNZ1156" s="7"/>
      <c r="KOA1156" s="7"/>
      <c r="KOB1156" s="7"/>
      <c r="KOC1156" s="7"/>
      <c r="KOD1156" s="7"/>
      <c r="KOE1156" s="7"/>
      <c r="KOF1156" s="7"/>
      <c r="KOG1156" s="7"/>
      <c r="KOH1156" s="7"/>
      <c r="KOI1156" s="7"/>
      <c r="KOJ1156" s="7"/>
      <c r="KOK1156" s="7"/>
      <c r="KOL1156" s="7"/>
      <c r="KOM1156" s="7"/>
      <c r="KON1156" s="7"/>
      <c r="KOO1156" s="7"/>
      <c r="KOP1156" s="7"/>
      <c r="KOQ1156" s="7"/>
      <c r="KOR1156" s="7"/>
      <c r="KOS1156" s="7"/>
      <c r="KOT1156" s="7"/>
      <c r="KOU1156" s="7"/>
      <c r="KOV1156" s="7"/>
      <c r="KOW1156" s="7"/>
      <c r="KOX1156" s="7"/>
      <c r="KOY1156" s="7"/>
      <c r="KOZ1156" s="7"/>
      <c r="KPA1156" s="7"/>
      <c r="KPB1156" s="7"/>
      <c r="KPC1156" s="7"/>
      <c r="KPD1156" s="7"/>
      <c r="KPE1156" s="7"/>
      <c r="KPF1156" s="7"/>
      <c r="KPG1156" s="7"/>
      <c r="KPH1156" s="7"/>
      <c r="KPI1156" s="7"/>
      <c r="KPJ1156" s="7"/>
      <c r="KPK1156" s="7"/>
      <c r="KPL1156" s="7"/>
      <c r="KPM1156" s="7"/>
      <c r="KPN1156" s="7"/>
      <c r="KPO1156" s="7"/>
      <c r="KPP1156" s="7"/>
      <c r="KPQ1156" s="7"/>
      <c r="KPR1156" s="7"/>
      <c r="KPS1156" s="7"/>
      <c r="KPT1156" s="7"/>
      <c r="KPU1156" s="7"/>
      <c r="KPV1156" s="7"/>
      <c r="KPW1156" s="7"/>
      <c r="KPX1156" s="7"/>
      <c r="KPY1156" s="7"/>
      <c r="KPZ1156" s="7"/>
      <c r="KQA1156" s="7"/>
      <c r="KQB1156" s="7"/>
      <c r="KQC1156" s="7"/>
      <c r="KQD1156" s="7"/>
      <c r="KQE1156" s="7"/>
      <c r="KQF1156" s="7"/>
      <c r="KQG1156" s="7"/>
      <c r="KQH1156" s="7"/>
      <c r="KQI1156" s="7"/>
      <c r="KQJ1156" s="7"/>
      <c r="KQK1156" s="7"/>
      <c r="KQL1156" s="7"/>
      <c r="KQM1156" s="7"/>
      <c r="KQN1156" s="7"/>
      <c r="KQO1156" s="7"/>
      <c r="KQP1156" s="7"/>
      <c r="KQQ1156" s="7"/>
      <c r="KQR1156" s="7"/>
      <c r="KQS1156" s="7"/>
      <c r="KQT1156" s="7"/>
      <c r="KQU1156" s="7"/>
      <c r="KQV1156" s="7"/>
      <c r="KQW1156" s="7"/>
      <c r="KQX1156" s="7"/>
      <c r="KQY1156" s="7"/>
      <c r="KQZ1156" s="7"/>
      <c r="KRA1156" s="7"/>
      <c r="KRB1156" s="7"/>
      <c r="KRC1156" s="7"/>
      <c r="KRD1156" s="7"/>
      <c r="KRE1156" s="7"/>
      <c r="KRF1156" s="7"/>
      <c r="KRG1156" s="7"/>
      <c r="KRH1156" s="7"/>
      <c r="KRI1156" s="7"/>
      <c r="KRJ1156" s="7"/>
      <c r="KRK1156" s="7"/>
      <c r="KRL1156" s="7"/>
      <c r="KRM1156" s="7"/>
      <c r="KRN1156" s="7"/>
      <c r="KRO1156" s="7"/>
      <c r="KRP1156" s="7"/>
      <c r="KRQ1156" s="7"/>
      <c r="KRR1156" s="7"/>
      <c r="KRS1156" s="7"/>
      <c r="KRT1156" s="7"/>
      <c r="KRU1156" s="7"/>
      <c r="KRV1156" s="7"/>
      <c r="KRW1156" s="7"/>
      <c r="KRX1156" s="7"/>
      <c r="KRY1156" s="7"/>
      <c r="KRZ1156" s="7"/>
      <c r="KSA1156" s="7"/>
      <c r="KSB1156" s="7"/>
      <c r="KSC1156" s="7"/>
      <c r="KSD1156" s="7"/>
      <c r="KSE1156" s="7"/>
      <c r="KSF1156" s="7"/>
      <c r="KSG1156" s="7"/>
      <c r="KSH1156" s="7"/>
      <c r="KSI1156" s="7"/>
      <c r="KSJ1156" s="7"/>
      <c r="KSK1156" s="7"/>
      <c r="KSL1156" s="7"/>
      <c r="KSM1156" s="7"/>
      <c r="KSN1156" s="7"/>
      <c r="KSO1156" s="7"/>
      <c r="KSP1156" s="7"/>
      <c r="KSQ1156" s="7"/>
      <c r="KSR1156" s="7"/>
      <c r="KSS1156" s="7"/>
      <c r="KST1156" s="7"/>
      <c r="KSU1156" s="7"/>
      <c r="KSV1156" s="7"/>
      <c r="KSW1156" s="7"/>
      <c r="KSX1156" s="7"/>
      <c r="KSY1156" s="7"/>
      <c r="KSZ1156" s="7"/>
      <c r="KTA1156" s="7"/>
      <c r="KTB1156" s="7"/>
      <c r="KTC1156" s="7"/>
      <c r="KTD1156" s="7"/>
      <c r="KTE1156" s="7"/>
      <c r="KTF1156" s="7"/>
      <c r="KTG1156" s="7"/>
      <c r="KTH1156" s="7"/>
      <c r="KTI1156" s="7"/>
      <c r="KTJ1156" s="7"/>
      <c r="KTK1156" s="7"/>
      <c r="KTL1156" s="7"/>
      <c r="KTM1156" s="7"/>
      <c r="KTN1156" s="7"/>
      <c r="KTO1156" s="7"/>
      <c r="KTP1156" s="7"/>
      <c r="KTQ1156" s="7"/>
      <c r="KTR1156" s="7"/>
      <c r="KTS1156" s="7"/>
      <c r="KTT1156" s="7"/>
      <c r="KTU1156" s="7"/>
      <c r="KTV1156" s="7"/>
      <c r="KTW1156" s="7"/>
      <c r="KTX1156" s="7"/>
      <c r="KTY1156" s="7"/>
      <c r="KTZ1156" s="7"/>
      <c r="KUA1156" s="7"/>
      <c r="KUB1156" s="7"/>
      <c r="KUC1156" s="7"/>
      <c r="KUD1156" s="7"/>
      <c r="KUE1156" s="7"/>
      <c r="KUF1156" s="7"/>
      <c r="KUG1156" s="7"/>
      <c r="KUH1156" s="7"/>
      <c r="KUI1156" s="7"/>
      <c r="KUJ1156" s="7"/>
      <c r="KUK1156" s="7"/>
      <c r="KUL1156" s="7"/>
      <c r="KUM1156" s="7"/>
      <c r="KUN1156" s="7"/>
      <c r="KUO1156" s="7"/>
      <c r="KUP1156" s="7"/>
      <c r="KUQ1156" s="7"/>
      <c r="KUR1156" s="7"/>
      <c r="KUS1156" s="7"/>
      <c r="KUT1156" s="7"/>
      <c r="KUU1156" s="7"/>
      <c r="KUV1156" s="7"/>
      <c r="KUW1156" s="7"/>
      <c r="KUX1156" s="7"/>
      <c r="KUY1156" s="7"/>
      <c r="KUZ1156" s="7"/>
      <c r="KVA1156" s="7"/>
      <c r="KVB1156" s="7"/>
      <c r="KVC1156" s="7"/>
      <c r="KVD1156" s="7"/>
      <c r="KVE1156" s="7"/>
      <c r="KVF1156" s="7"/>
      <c r="KVG1156" s="7"/>
      <c r="KVH1156" s="7"/>
      <c r="KVI1156" s="7"/>
      <c r="KVJ1156" s="7"/>
      <c r="KVK1156" s="7"/>
      <c r="KVL1156" s="7"/>
      <c r="KVM1156" s="7"/>
      <c r="KVN1156" s="7"/>
      <c r="KVO1156" s="7"/>
      <c r="KVP1156" s="7"/>
      <c r="KVQ1156" s="7"/>
      <c r="KVR1156" s="7"/>
      <c r="KVS1156" s="7"/>
      <c r="KVT1156" s="7"/>
      <c r="KVU1156" s="7"/>
      <c r="KVV1156" s="7"/>
      <c r="KVW1156" s="7"/>
      <c r="KVX1156" s="7"/>
      <c r="KVY1156" s="7"/>
      <c r="KVZ1156" s="7"/>
      <c r="KWA1156" s="7"/>
      <c r="KWB1156" s="7"/>
      <c r="KWC1156" s="7"/>
      <c r="KWD1156" s="7"/>
      <c r="KWE1156" s="7"/>
      <c r="KWF1156" s="7"/>
      <c r="KWG1156" s="7"/>
      <c r="KWH1156" s="7"/>
      <c r="KWI1156" s="7"/>
      <c r="KWJ1156" s="7"/>
      <c r="KWK1156" s="7"/>
      <c r="KWL1156" s="7"/>
      <c r="KWM1156" s="7"/>
      <c r="KWN1156" s="7"/>
      <c r="KWO1156" s="7"/>
      <c r="KWP1156" s="7"/>
      <c r="KWQ1156" s="7"/>
      <c r="KWR1156" s="7"/>
      <c r="KWS1156" s="7"/>
      <c r="KWT1156" s="7"/>
      <c r="KWU1156" s="7"/>
      <c r="KWV1156" s="7"/>
      <c r="KWW1156" s="7"/>
      <c r="KWX1156" s="7"/>
      <c r="KWY1156" s="7"/>
      <c r="KWZ1156" s="7"/>
      <c r="KXA1156" s="7"/>
      <c r="KXB1156" s="7"/>
      <c r="KXC1156" s="7"/>
      <c r="KXD1156" s="7"/>
      <c r="KXE1156" s="7"/>
      <c r="KXF1156" s="7"/>
      <c r="KXG1156" s="7"/>
      <c r="KXH1156" s="7"/>
      <c r="KXI1156" s="7"/>
      <c r="KXJ1156" s="7"/>
      <c r="KXK1156" s="7"/>
      <c r="KXL1156" s="7"/>
      <c r="KXM1156" s="7"/>
      <c r="KXN1156" s="7"/>
      <c r="KXO1156" s="7"/>
      <c r="KXP1156" s="7"/>
      <c r="KXQ1156" s="7"/>
      <c r="KXR1156" s="7"/>
      <c r="KXS1156" s="7"/>
      <c r="KXT1156" s="7"/>
      <c r="KXU1156" s="7"/>
      <c r="KXV1156" s="7"/>
      <c r="KXW1156" s="7"/>
      <c r="KXX1156" s="7"/>
      <c r="KXY1156" s="7"/>
      <c r="KXZ1156" s="7"/>
      <c r="KYA1156" s="7"/>
      <c r="KYB1156" s="7"/>
      <c r="KYC1156" s="7"/>
      <c r="KYD1156" s="7"/>
      <c r="KYE1156" s="7"/>
      <c r="KYF1156" s="7"/>
      <c r="KYG1156" s="7"/>
      <c r="KYH1156" s="7"/>
      <c r="KYI1156" s="7"/>
      <c r="KYJ1156" s="7"/>
      <c r="KYK1156" s="7"/>
      <c r="KYL1156" s="7"/>
      <c r="KYM1156" s="7"/>
      <c r="KYN1156" s="7"/>
      <c r="KYO1156" s="7"/>
      <c r="KYP1156" s="7"/>
      <c r="KYQ1156" s="7"/>
      <c r="KYR1156" s="7"/>
      <c r="KYS1156" s="7"/>
      <c r="KYT1156" s="7"/>
      <c r="KYU1156" s="7"/>
      <c r="KYV1156" s="7"/>
      <c r="KYW1156" s="7"/>
      <c r="KYX1156" s="7"/>
      <c r="KYY1156" s="7"/>
      <c r="KYZ1156" s="7"/>
      <c r="KZA1156" s="7"/>
      <c r="KZB1156" s="7"/>
      <c r="KZC1156" s="7"/>
      <c r="KZD1156" s="7"/>
      <c r="KZE1156" s="7"/>
      <c r="KZF1156" s="7"/>
      <c r="KZG1156" s="7"/>
      <c r="KZH1156" s="7"/>
      <c r="KZI1156" s="7"/>
      <c r="KZJ1156" s="7"/>
      <c r="KZK1156" s="7"/>
      <c r="KZL1156" s="7"/>
      <c r="KZM1156" s="7"/>
      <c r="KZN1156" s="7"/>
      <c r="KZO1156" s="7"/>
      <c r="KZP1156" s="7"/>
      <c r="KZQ1156" s="7"/>
      <c r="KZR1156" s="7"/>
      <c r="KZS1156" s="7"/>
      <c r="KZT1156" s="7"/>
      <c r="KZU1156" s="7"/>
      <c r="KZV1156" s="7"/>
      <c r="KZW1156" s="7"/>
      <c r="KZX1156" s="7"/>
      <c r="KZY1156" s="7"/>
      <c r="KZZ1156" s="7"/>
      <c r="LAA1156" s="7"/>
      <c r="LAB1156" s="7"/>
      <c r="LAC1156" s="7"/>
      <c r="LAD1156" s="7"/>
      <c r="LAE1156" s="7"/>
      <c r="LAF1156" s="7"/>
      <c r="LAG1156" s="7"/>
      <c r="LAH1156" s="7"/>
      <c r="LAI1156" s="7"/>
      <c r="LAJ1156" s="7"/>
      <c r="LAK1156" s="7"/>
      <c r="LAL1156" s="7"/>
      <c r="LAM1156" s="7"/>
      <c r="LAN1156" s="7"/>
      <c r="LAO1156" s="7"/>
      <c r="LAP1156" s="7"/>
      <c r="LAQ1156" s="7"/>
      <c r="LAR1156" s="7"/>
      <c r="LAS1156" s="7"/>
      <c r="LAT1156" s="7"/>
      <c r="LAU1156" s="7"/>
      <c r="LAV1156" s="7"/>
      <c r="LAW1156" s="7"/>
      <c r="LAX1156" s="7"/>
      <c r="LAY1156" s="7"/>
      <c r="LAZ1156" s="7"/>
      <c r="LBA1156" s="7"/>
      <c r="LBB1156" s="7"/>
      <c r="LBC1156" s="7"/>
      <c r="LBD1156" s="7"/>
      <c r="LBE1156" s="7"/>
      <c r="LBF1156" s="7"/>
      <c r="LBG1156" s="7"/>
      <c r="LBH1156" s="7"/>
      <c r="LBI1156" s="7"/>
      <c r="LBJ1156" s="7"/>
      <c r="LBK1156" s="7"/>
      <c r="LBL1156" s="7"/>
      <c r="LBM1156" s="7"/>
      <c r="LBN1156" s="7"/>
      <c r="LBO1156" s="7"/>
      <c r="LBP1156" s="7"/>
      <c r="LBQ1156" s="7"/>
      <c r="LBR1156" s="7"/>
      <c r="LBS1156" s="7"/>
      <c r="LBT1156" s="7"/>
      <c r="LBU1156" s="7"/>
      <c r="LBV1156" s="7"/>
      <c r="LBW1156" s="7"/>
      <c r="LBX1156" s="7"/>
      <c r="LBY1156" s="7"/>
      <c r="LBZ1156" s="7"/>
      <c r="LCA1156" s="7"/>
      <c r="LCB1156" s="7"/>
      <c r="LCC1156" s="7"/>
      <c r="LCD1156" s="7"/>
      <c r="LCE1156" s="7"/>
      <c r="LCF1156" s="7"/>
      <c r="LCG1156" s="7"/>
      <c r="LCH1156" s="7"/>
      <c r="LCI1156" s="7"/>
      <c r="LCJ1156" s="7"/>
      <c r="LCK1156" s="7"/>
      <c r="LCL1156" s="7"/>
      <c r="LCM1156" s="7"/>
      <c r="LCN1156" s="7"/>
      <c r="LCO1156" s="7"/>
      <c r="LCP1156" s="7"/>
      <c r="LCQ1156" s="7"/>
      <c r="LCR1156" s="7"/>
      <c r="LCS1156" s="7"/>
      <c r="LCT1156" s="7"/>
      <c r="LCU1156" s="7"/>
      <c r="LCV1156" s="7"/>
      <c r="LCW1156" s="7"/>
      <c r="LCX1156" s="7"/>
      <c r="LCY1156" s="7"/>
      <c r="LCZ1156" s="7"/>
      <c r="LDA1156" s="7"/>
      <c r="LDB1156" s="7"/>
      <c r="LDC1156" s="7"/>
      <c r="LDD1156" s="7"/>
      <c r="LDE1156" s="7"/>
      <c r="LDF1156" s="7"/>
      <c r="LDG1156" s="7"/>
      <c r="LDH1156" s="7"/>
      <c r="LDI1156" s="7"/>
      <c r="LDJ1156" s="7"/>
      <c r="LDK1156" s="7"/>
      <c r="LDL1156" s="7"/>
      <c r="LDM1156" s="7"/>
      <c r="LDN1156" s="7"/>
      <c r="LDO1156" s="7"/>
      <c r="LDP1156" s="7"/>
      <c r="LDQ1156" s="7"/>
      <c r="LDR1156" s="7"/>
      <c r="LDS1156" s="7"/>
      <c r="LDT1156" s="7"/>
      <c r="LDU1156" s="7"/>
      <c r="LDV1156" s="7"/>
      <c r="LDW1156" s="7"/>
      <c r="LDX1156" s="7"/>
      <c r="LDY1156" s="7"/>
      <c r="LDZ1156" s="7"/>
      <c r="LEA1156" s="7"/>
      <c r="LEB1156" s="7"/>
      <c r="LEC1156" s="7"/>
      <c r="LED1156" s="7"/>
      <c r="LEE1156" s="7"/>
      <c r="LEF1156" s="7"/>
      <c r="LEG1156" s="7"/>
      <c r="LEH1156" s="7"/>
      <c r="LEI1156" s="7"/>
      <c r="LEJ1156" s="7"/>
      <c r="LEK1156" s="7"/>
      <c r="LEL1156" s="7"/>
      <c r="LEM1156" s="7"/>
      <c r="LEN1156" s="7"/>
      <c r="LEO1156" s="7"/>
      <c r="LEP1156" s="7"/>
      <c r="LEQ1156" s="7"/>
      <c r="LER1156" s="7"/>
      <c r="LES1156" s="7"/>
      <c r="LET1156" s="7"/>
      <c r="LEU1156" s="7"/>
      <c r="LEV1156" s="7"/>
      <c r="LEW1156" s="7"/>
      <c r="LEX1156" s="7"/>
      <c r="LEY1156" s="7"/>
      <c r="LEZ1156" s="7"/>
      <c r="LFA1156" s="7"/>
      <c r="LFB1156" s="7"/>
      <c r="LFC1156" s="7"/>
      <c r="LFD1156" s="7"/>
      <c r="LFE1156" s="7"/>
      <c r="LFF1156" s="7"/>
      <c r="LFG1156" s="7"/>
      <c r="LFH1156" s="7"/>
      <c r="LFI1156" s="7"/>
      <c r="LFJ1156" s="7"/>
      <c r="LFK1156" s="7"/>
      <c r="LFL1156" s="7"/>
      <c r="LFM1156" s="7"/>
      <c r="LFN1156" s="7"/>
      <c r="LFO1156" s="7"/>
      <c r="LFP1156" s="7"/>
      <c r="LFQ1156" s="7"/>
      <c r="LFR1156" s="7"/>
      <c r="LFS1156" s="7"/>
      <c r="LFT1156" s="7"/>
      <c r="LFU1156" s="7"/>
      <c r="LFV1156" s="7"/>
      <c r="LFW1156" s="7"/>
      <c r="LFX1156" s="7"/>
      <c r="LFY1156" s="7"/>
      <c r="LFZ1156" s="7"/>
      <c r="LGA1156" s="7"/>
      <c r="LGB1156" s="7"/>
      <c r="LGC1156" s="7"/>
      <c r="LGD1156" s="7"/>
      <c r="LGE1156" s="7"/>
      <c r="LGF1156" s="7"/>
      <c r="LGG1156" s="7"/>
      <c r="LGH1156" s="7"/>
      <c r="LGI1156" s="7"/>
      <c r="LGJ1156" s="7"/>
      <c r="LGK1156" s="7"/>
      <c r="LGL1156" s="7"/>
      <c r="LGM1156" s="7"/>
      <c r="LGN1156" s="7"/>
      <c r="LGO1156" s="7"/>
      <c r="LGP1156" s="7"/>
      <c r="LGQ1156" s="7"/>
      <c r="LGR1156" s="7"/>
      <c r="LGS1156" s="7"/>
      <c r="LGT1156" s="7"/>
      <c r="LGU1156" s="7"/>
      <c r="LGV1156" s="7"/>
      <c r="LGW1156" s="7"/>
      <c r="LGX1156" s="7"/>
      <c r="LGY1156" s="7"/>
      <c r="LGZ1156" s="7"/>
      <c r="LHA1156" s="7"/>
      <c r="LHB1156" s="7"/>
      <c r="LHC1156" s="7"/>
      <c r="LHD1156" s="7"/>
      <c r="LHE1156" s="7"/>
      <c r="LHF1156" s="7"/>
      <c r="LHG1156" s="7"/>
      <c r="LHH1156" s="7"/>
      <c r="LHI1156" s="7"/>
      <c r="LHJ1156" s="7"/>
      <c r="LHK1156" s="7"/>
      <c r="LHL1156" s="7"/>
      <c r="LHM1156" s="7"/>
      <c r="LHN1156" s="7"/>
      <c r="LHO1156" s="7"/>
      <c r="LHP1156" s="7"/>
      <c r="LHQ1156" s="7"/>
      <c r="LHR1156" s="7"/>
      <c r="LHS1156" s="7"/>
      <c r="LHT1156" s="7"/>
      <c r="LHU1156" s="7"/>
      <c r="LHV1156" s="7"/>
      <c r="LHW1156" s="7"/>
      <c r="LHX1156" s="7"/>
      <c r="LHY1156" s="7"/>
      <c r="LHZ1156" s="7"/>
      <c r="LIA1156" s="7"/>
      <c r="LIB1156" s="7"/>
      <c r="LIC1156" s="7"/>
      <c r="LID1156" s="7"/>
      <c r="LIE1156" s="7"/>
      <c r="LIF1156" s="7"/>
      <c r="LIG1156" s="7"/>
      <c r="LIH1156" s="7"/>
      <c r="LII1156" s="7"/>
      <c r="LIJ1156" s="7"/>
      <c r="LIK1156" s="7"/>
      <c r="LIL1156" s="7"/>
      <c r="LIM1156" s="7"/>
      <c r="LIN1156" s="7"/>
      <c r="LIO1156" s="7"/>
      <c r="LIP1156" s="7"/>
      <c r="LIQ1156" s="7"/>
      <c r="LIR1156" s="7"/>
      <c r="LIS1156" s="7"/>
      <c r="LIT1156" s="7"/>
      <c r="LIU1156" s="7"/>
      <c r="LIV1156" s="7"/>
      <c r="LIW1156" s="7"/>
      <c r="LIX1156" s="7"/>
      <c r="LIY1156" s="7"/>
      <c r="LIZ1156" s="7"/>
      <c r="LJA1156" s="7"/>
      <c r="LJB1156" s="7"/>
      <c r="LJC1156" s="7"/>
      <c r="LJD1156" s="7"/>
      <c r="LJE1156" s="7"/>
      <c r="LJF1156" s="7"/>
      <c r="LJG1156" s="7"/>
      <c r="LJH1156" s="7"/>
      <c r="LJI1156" s="7"/>
      <c r="LJJ1156" s="7"/>
      <c r="LJK1156" s="7"/>
      <c r="LJL1156" s="7"/>
      <c r="LJM1156" s="7"/>
      <c r="LJN1156" s="7"/>
      <c r="LJO1156" s="7"/>
      <c r="LJP1156" s="7"/>
      <c r="LJQ1156" s="7"/>
      <c r="LJR1156" s="7"/>
      <c r="LJS1156" s="7"/>
      <c r="LJT1156" s="7"/>
      <c r="LJU1156" s="7"/>
      <c r="LJV1156" s="7"/>
      <c r="LJW1156" s="7"/>
      <c r="LJX1156" s="7"/>
      <c r="LJY1156" s="7"/>
      <c r="LJZ1156" s="7"/>
      <c r="LKA1156" s="7"/>
      <c r="LKB1156" s="7"/>
      <c r="LKC1156" s="7"/>
      <c r="LKD1156" s="7"/>
      <c r="LKE1156" s="7"/>
      <c r="LKF1156" s="7"/>
      <c r="LKG1156" s="7"/>
      <c r="LKH1156" s="7"/>
      <c r="LKI1156" s="7"/>
      <c r="LKJ1156" s="7"/>
      <c r="LKK1156" s="7"/>
      <c r="LKL1156" s="7"/>
      <c r="LKM1156" s="7"/>
      <c r="LKN1156" s="7"/>
      <c r="LKO1156" s="7"/>
      <c r="LKP1156" s="7"/>
      <c r="LKQ1156" s="7"/>
      <c r="LKR1156" s="7"/>
      <c r="LKS1156" s="7"/>
      <c r="LKT1156" s="7"/>
      <c r="LKU1156" s="7"/>
      <c r="LKV1156" s="7"/>
      <c r="LKW1156" s="7"/>
      <c r="LKX1156" s="7"/>
      <c r="LKY1156" s="7"/>
      <c r="LKZ1156" s="7"/>
      <c r="LLA1156" s="7"/>
      <c r="LLB1156" s="7"/>
      <c r="LLC1156" s="7"/>
      <c r="LLD1156" s="7"/>
      <c r="LLE1156" s="7"/>
      <c r="LLF1156" s="7"/>
      <c r="LLG1156" s="7"/>
      <c r="LLH1156" s="7"/>
      <c r="LLI1156" s="7"/>
      <c r="LLJ1156" s="7"/>
      <c r="LLK1156" s="7"/>
      <c r="LLL1156" s="7"/>
      <c r="LLM1156" s="7"/>
      <c r="LLN1156" s="7"/>
      <c r="LLO1156" s="7"/>
      <c r="LLP1156" s="7"/>
      <c r="LLQ1156" s="7"/>
      <c r="LLR1156" s="7"/>
      <c r="LLS1156" s="7"/>
      <c r="LLT1156" s="7"/>
      <c r="LLU1156" s="7"/>
      <c r="LLV1156" s="7"/>
      <c r="LLW1156" s="7"/>
      <c r="LLX1156" s="7"/>
      <c r="LLY1156" s="7"/>
      <c r="LLZ1156" s="7"/>
      <c r="LMA1156" s="7"/>
      <c r="LMB1156" s="7"/>
      <c r="LMC1156" s="7"/>
      <c r="LMD1156" s="7"/>
      <c r="LME1156" s="7"/>
      <c r="LMF1156" s="7"/>
      <c r="LMG1156" s="7"/>
      <c r="LMH1156" s="7"/>
      <c r="LMI1156" s="7"/>
      <c r="LMJ1156" s="7"/>
      <c r="LMK1156" s="7"/>
      <c r="LML1156" s="7"/>
      <c r="LMM1156" s="7"/>
      <c r="LMN1156" s="7"/>
      <c r="LMO1156" s="7"/>
      <c r="LMP1156" s="7"/>
      <c r="LMQ1156" s="7"/>
      <c r="LMR1156" s="7"/>
      <c r="LMS1156" s="7"/>
      <c r="LMT1156" s="7"/>
      <c r="LMU1156" s="7"/>
      <c r="LMV1156" s="7"/>
      <c r="LMW1156" s="7"/>
      <c r="LMX1156" s="7"/>
      <c r="LMY1156" s="7"/>
      <c r="LMZ1156" s="7"/>
      <c r="LNA1156" s="7"/>
      <c r="LNB1156" s="7"/>
      <c r="LNC1156" s="7"/>
      <c r="LND1156" s="7"/>
      <c r="LNE1156" s="7"/>
      <c r="LNF1156" s="7"/>
      <c r="LNG1156" s="7"/>
      <c r="LNH1156" s="7"/>
      <c r="LNI1156" s="7"/>
      <c r="LNJ1156" s="7"/>
      <c r="LNK1156" s="7"/>
      <c r="LNL1156" s="7"/>
      <c r="LNM1156" s="7"/>
      <c r="LNN1156" s="7"/>
      <c r="LNO1156" s="7"/>
      <c r="LNP1156" s="7"/>
      <c r="LNQ1156" s="7"/>
      <c r="LNR1156" s="7"/>
      <c r="LNS1156" s="7"/>
      <c r="LNT1156" s="7"/>
      <c r="LNU1156" s="7"/>
      <c r="LNV1156" s="7"/>
      <c r="LNW1156" s="7"/>
      <c r="LNX1156" s="7"/>
      <c r="LNY1156" s="7"/>
      <c r="LNZ1156" s="7"/>
      <c r="LOA1156" s="7"/>
      <c r="LOB1156" s="7"/>
      <c r="LOC1156" s="7"/>
      <c r="LOD1156" s="7"/>
      <c r="LOE1156" s="7"/>
      <c r="LOF1156" s="7"/>
      <c r="LOG1156" s="7"/>
      <c r="LOH1156" s="7"/>
      <c r="LOI1156" s="7"/>
      <c r="LOJ1156" s="7"/>
      <c r="LOK1156" s="7"/>
      <c r="LOL1156" s="7"/>
      <c r="LOM1156" s="7"/>
      <c r="LON1156" s="7"/>
      <c r="LOO1156" s="7"/>
      <c r="LOP1156" s="7"/>
      <c r="LOQ1156" s="7"/>
      <c r="LOR1156" s="7"/>
      <c r="LOS1156" s="7"/>
      <c r="LOT1156" s="7"/>
      <c r="LOU1156" s="7"/>
      <c r="LOV1156" s="7"/>
      <c r="LOW1156" s="7"/>
      <c r="LOX1156" s="7"/>
      <c r="LOY1156" s="7"/>
      <c r="LOZ1156" s="7"/>
      <c r="LPA1156" s="7"/>
      <c r="LPB1156" s="7"/>
      <c r="LPC1156" s="7"/>
      <c r="LPD1156" s="7"/>
      <c r="LPE1156" s="7"/>
      <c r="LPF1156" s="7"/>
      <c r="LPG1156" s="7"/>
      <c r="LPH1156" s="7"/>
      <c r="LPI1156" s="7"/>
      <c r="LPJ1156" s="7"/>
      <c r="LPK1156" s="7"/>
      <c r="LPL1156" s="7"/>
      <c r="LPM1156" s="7"/>
      <c r="LPN1156" s="7"/>
      <c r="LPO1156" s="7"/>
      <c r="LPP1156" s="7"/>
      <c r="LPQ1156" s="7"/>
      <c r="LPR1156" s="7"/>
      <c r="LPS1156" s="7"/>
      <c r="LPT1156" s="7"/>
      <c r="LPU1156" s="7"/>
      <c r="LPV1156" s="7"/>
      <c r="LPW1156" s="7"/>
      <c r="LPX1156" s="7"/>
      <c r="LPY1156" s="7"/>
      <c r="LPZ1156" s="7"/>
      <c r="LQA1156" s="7"/>
      <c r="LQB1156" s="7"/>
      <c r="LQC1156" s="7"/>
      <c r="LQD1156" s="7"/>
      <c r="LQE1156" s="7"/>
      <c r="LQF1156" s="7"/>
      <c r="LQG1156" s="7"/>
      <c r="LQH1156" s="7"/>
      <c r="LQI1156" s="7"/>
      <c r="LQJ1156" s="7"/>
      <c r="LQK1156" s="7"/>
      <c r="LQL1156" s="7"/>
      <c r="LQM1156" s="7"/>
      <c r="LQN1156" s="7"/>
      <c r="LQO1156" s="7"/>
      <c r="LQP1156" s="7"/>
      <c r="LQQ1156" s="7"/>
      <c r="LQR1156" s="7"/>
      <c r="LQS1156" s="7"/>
      <c r="LQT1156" s="7"/>
      <c r="LQU1156" s="7"/>
      <c r="LQV1156" s="7"/>
      <c r="LQW1156" s="7"/>
      <c r="LQX1156" s="7"/>
      <c r="LQY1156" s="7"/>
      <c r="LQZ1156" s="7"/>
      <c r="LRA1156" s="7"/>
      <c r="LRB1156" s="7"/>
      <c r="LRC1156" s="7"/>
      <c r="LRD1156" s="7"/>
      <c r="LRE1156" s="7"/>
      <c r="LRF1156" s="7"/>
      <c r="LRG1156" s="7"/>
      <c r="LRH1156" s="7"/>
      <c r="LRI1156" s="7"/>
      <c r="LRJ1156" s="7"/>
      <c r="LRK1156" s="7"/>
      <c r="LRL1156" s="7"/>
      <c r="LRM1156" s="7"/>
      <c r="LRN1156" s="7"/>
      <c r="LRO1156" s="7"/>
      <c r="LRP1156" s="7"/>
      <c r="LRQ1156" s="7"/>
      <c r="LRR1156" s="7"/>
      <c r="LRS1156" s="7"/>
      <c r="LRT1156" s="7"/>
      <c r="LRU1156" s="7"/>
      <c r="LRV1156" s="7"/>
      <c r="LRW1156" s="7"/>
      <c r="LRX1156" s="7"/>
      <c r="LRY1156" s="7"/>
      <c r="LRZ1156" s="7"/>
      <c r="LSA1156" s="7"/>
      <c r="LSB1156" s="7"/>
      <c r="LSC1156" s="7"/>
      <c r="LSD1156" s="7"/>
      <c r="LSE1156" s="7"/>
      <c r="LSF1156" s="7"/>
      <c r="LSG1156" s="7"/>
      <c r="LSH1156" s="7"/>
      <c r="LSI1156" s="7"/>
      <c r="LSJ1156" s="7"/>
      <c r="LSK1156" s="7"/>
      <c r="LSL1156" s="7"/>
      <c r="LSM1156" s="7"/>
      <c r="LSN1156" s="7"/>
      <c r="LSO1156" s="7"/>
      <c r="LSP1156" s="7"/>
      <c r="LSQ1156" s="7"/>
      <c r="LSR1156" s="7"/>
      <c r="LSS1156" s="7"/>
      <c r="LST1156" s="7"/>
      <c r="LSU1156" s="7"/>
      <c r="LSV1156" s="7"/>
      <c r="LSW1156" s="7"/>
      <c r="LSX1156" s="7"/>
      <c r="LSY1156" s="7"/>
      <c r="LSZ1156" s="7"/>
      <c r="LTA1156" s="7"/>
      <c r="LTB1156" s="7"/>
      <c r="LTC1156" s="7"/>
      <c r="LTD1156" s="7"/>
      <c r="LTE1156" s="7"/>
      <c r="LTF1156" s="7"/>
      <c r="LTG1156" s="7"/>
      <c r="LTH1156" s="7"/>
      <c r="LTI1156" s="7"/>
      <c r="LTJ1156" s="7"/>
      <c r="LTK1156" s="7"/>
      <c r="LTL1156" s="7"/>
      <c r="LTM1156" s="7"/>
      <c r="LTN1156" s="7"/>
      <c r="LTO1156" s="7"/>
      <c r="LTP1156" s="7"/>
      <c r="LTQ1156" s="7"/>
      <c r="LTR1156" s="7"/>
      <c r="LTS1156" s="7"/>
      <c r="LTT1156" s="7"/>
      <c r="LTU1156" s="7"/>
      <c r="LTV1156" s="7"/>
      <c r="LTW1156" s="7"/>
      <c r="LTX1156" s="7"/>
      <c r="LTY1156" s="7"/>
      <c r="LTZ1156" s="7"/>
      <c r="LUA1156" s="7"/>
      <c r="LUB1156" s="7"/>
      <c r="LUC1156" s="7"/>
      <c r="LUD1156" s="7"/>
      <c r="LUE1156" s="7"/>
      <c r="LUF1156" s="7"/>
      <c r="LUG1156" s="7"/>
      <c r="LUH1156" s="7"/>
      <c r="LUI1156" s="7"/>
      <c r="LUJ1156" s="7"/>
      <c r="LUK1156" s="7"/>
      <c r="LUL1156" s="7"/>
      <c r="LUM1156" s="7"/>
      <c r="LUN1156" s="7"/>
      <c r="LUO1156" s="7"/>
      <c r="LUP1156" s="7"/>
      <c r="LUQ1156" s="7"/>
      <c r="LUR1156" s="7"/>
      <c r="LUS1156" s="7"/>
      <c r="LUT1156" s="7"/>
      <c r="LUU1156" s="7"/>
      <c r="LUV1156" s="7"/>
      <c r="LUW1156" s="7"/>
      <c r="LUX1156" s="7"/>
      <c r="LUY1156" s="7"/>
      <c r="LUZ1156" s="7"/>
      <c r="LVA1156" s="7"/>
      <c r="LVB1156" s="7"/>
      <c r="LVC1156" s="7"/>
      <c r="LVD1156" s="7"/>
      <c r="LVE1156" s="7"/>
      <c r="LVF1156" s="7"/>
      <c r="LVG1156" s="7"/>
      <c r="LVH1156" s="7"/>
      <c r="LVI1156" s="7"/>
      <c r="LVJ1156" s="7"/>
      <c r="LVK1156" s="7"/>
      <c r="LVL1156" s="7"/>
      <c r="LVM1156" s="7"/>
      <c r="LVN1156" s="7"/>
      <c r="LVO1156" s="7"/>
      <c r="LVP1156" s="7"/>
      <c r="LVQ1156" s="7"/>
      <c r="LVR1156" s="7"/>
      <c r="LVS1156" s="7"/>
      <c r="LVT1156" s="7"/>
      <c r="LVU1156" s="7"/>
      <c r="LVV1156" s="7"/>
      <c r="LVW1156" s="7"/>
      <c r="LVX1156" s="7"/>
      <c r="LVY1156" s="7"/>
      <c r="LVZ1156" s="7"/>
      <c r="LWA1156" s="7"/>
      <c r="LWB1156" s="7"/>
      <c r="LWC1156" s="7"/>
      <c r="LWD1156" s="7"/>
      <c r="LWE1156" s="7"/>
      <c r="LWF1156" s="7"/>
      <c r="LWG1156" s="7"/>
      <c r="LWH1156" s="7"/>
      <c r="LWI1156" s="7"/>
      <c r="LWJ1156" s="7"/>
      <c r="LWK1156" s="7"/>
      <c r="LWL1156" s="7"/>
      <c r="LWM1156" s="7"/>
      <c r="LWN1156" s="7"/>
      <c r="LWO1156" s="7"/>
      <c r="LWP1156" s="7"/>
      <c r="LWQ1156" s="7"/>
      <c r="LWR1156" s="7"/>
      <c r="LWS1156" s="7"/>
      <c r="LWT1156" s="7"/>
      <c r="LWU1156" s="7"/>
      <c r="LWV1156" s="7"/>
      <c r="LWW1156" s="7"/>
      <c r="LWX1156" s="7"/>
      <c r="LWY1156" s="7"/>
      <c r="LWZ1156" s="7"/>
      <c r="LXA1156" s="7"/>
      <c r="LXB1156" s="7"/>
      <c r="LXC1156" s="7"/>
      <c r="LXD1156" s="7"/>
      <c r="LXE1156" s="7"/>
      <c r="LXF1156" s="7"/>
      <c r="LXG1156" s="7"/>
      <c r="LXH1156" s="7"/>
      <c r="LXI1156" s="7"/>
      <c r="LXJ1156" s="7"/>
      <c r="LXK1156" s="7"/>
      <c r="LXL1156" s="7"/>
      <c r="LXM1156" s="7"/>
      <c r="LXN1156" s="7"/>
      <c r="LXO1156" s="7"/>
      <c r="LXP1156" s="7"/>
      <c r="LXQ1156" s="7"/>
      <c r="LXR1156" s="7"/>
      <c r="LXS1156" s="7"/>
      <c r="LXT1156" s="7"/>
      <c r="LXU1156" s="7"/>
      <c r="LXV1156" s="7"/>
      <c r="LXW1156" s="7"/>
      <c r="LXX1156" s="7"/>
      <c r="LXY1156" s="7"/>
      <c r="LXZ1156" s="7"/>
      <c r="LYA1156" s="7"/>
      <c r="LYB1156" s="7"/>
      <c r="LYC1156" s="7"/>
      <c r="LYD1156" s="7"/>
      <c r="LYE1156" s="7"/>
      <c r="LYF1156" s="7"/>
      <c r="LYG1156" s="7"/>
      <c r="LYH1156" s="7"/>
      <c r="LYI1156" s="7"/>
      <c r="LYJ1156" s="7"/>
      <c r="LYK1156" s="7"/>
      <c r="LYL1156" s="7"/>
      <c r="LYM1156" s="7"/>
      <c r="LYN1156" s="7"/>
      <c r="LYO1156" s="7"/>
      <c r="LYP1156" s="7"/>
      <c r="LYQ1156" s="7"/>
      <c r="LYR1156" s="7"/>
      <c r="LYS1156" s="7"/>
      <c r="LYT1156" s="7"/>
      <c r="LYU1156" s="7"/>
      <c r="LYV1156" s="7"/>
      <c r="LYW1156" s="7"/>
      <c r="LYX1156" s="7"/>
      <c r="LYY1156" s="7"/>
      <c r="LYZ1156" s="7"/>
      <c r="LZA1156" s="7"/>
      <c r="LZB1156" s="7"/>
      <c r="LZC1156" s="7"/>
      <c r="LZD1156" s="7"/>
      <c r="LZE1156" s="7"/>
      <c r="LZF1156" s="7"/>
      <c r="LZG1156" s="7"/>
      <c r="LZH1156" s="7"/>
      <c r="LZI1156" s="7"/>
      <c r="LZJ1156" s="7"/>
      <c r="LZK1156" s="7"/>
      <c r="LZL1156" s="7"/>
      <c r="LZM1156" s="7"/>
      <c r="LZN1156" s="7"/>
      <c r="LZO1156" s="7"/>
      <c r="LZP1156" s="7"/>
      <c r="LZQ1156" s="7"/>
      <c r="LZR1156" s="7"/>
      <c r="LZS1156" s="7"/>
      <c r="LZT1156" s="7"/>
      <c r="LZU1156" s="7"/>
      <c r="LZV1156" s="7"/>
      <c r="LZW1156" s="7"/>
      <c r="LZX1156" s="7"/>
      <c r="LZY1156" s="7"/>
      <c r="LZZ1156" s="7"/>
      <c r="MAA1156" s="7"/>
      <c r="MAB1156" s="7"/>
      <c r="MAC1156" s="7"/>
      <c r="MAD1156" s="7"/>
      <c r="MAE1156" s="7"/>
      <c r="MAF1156" s="7"/>
      <c r="MAG1156" s="7"/>
      <c r="MAH1156" s="7"/>
      <c r="MAI1156" s="7"/>
      <c r="MAJ1156" s="7"/>
      <c r="MAK1156" s="7"/>
      <c r="MAL1156" s="7"/>
      <c r="MAM1156" s="7"/>
      <c r="MAN1156" s="7"/>
      <c r="MAO1156" s="7"/>
      <c r="MAP1156" s="7"/>
      <c r="MAQ1156" s="7"/>
      <c r="MAR1156" s="7"/>
      <c r="MAS1156" s="7"/>
      <c r="MAT1156" s="7"/>
      <c r="MAU1156" s="7"/>
      <c r="MAV1156" s="7"/>
      <c r="MAW1156" s="7"/>
      <c r="MAX1156" s="7"/>
      <c r="MAY1156" s="7"/>
      <c r="MAZ1156" s="7"/>
      <c r="MBA1156" s="7"/>
      <c r="MBB1156" s="7"/>
      <c r="MBC1156" s="7"/>
      <c r="MBD1156" s="7"/>
      <c r="MBE1156" s="7"/>
      <c r="MBF1156" s="7"/>
      <c r="MBG1156" s="7"/>
      <c r="MBH1156" s="7"/>
      <c r="MBI1156" s="7"/>
      <c r="MBJ1156" s="7"/>
      <c r="MBK1156" s="7"/>
      <c r="MBL1156" s="7"/>
      <c r="MBM1156" s="7"/>
      <c r="MBN1156" s="7"/>
      <c r="MBO1156" s="7"/>
      <c r="MBP1156" s="7"/>
      <c r="MBQ1156" s="7"/>
      <c r="MBR1156" s="7"/>
      <c r="MBS1156" s="7"/>
      <c r="MBT1156" s="7"/>
      <c r="MBU1156" s="7"/>
      <c r="MBV1156" s="7"/>
      <c r="MBW1156" s="7"/>
      <c r="MBX1156" s="7"/>
      <c r="MBY1156" s="7"/>
      <c r="MBZ1156" s="7"/>
      <c r="MCA1156" s="7"/>
      <c r="MCB1156" s="7"/>
      <c r="MCC1156" s="7"/>
      <c r="MCD1156" s="7"/>
      <c r="MCE1156" s="7"/>
      <c r="MCF1156" s="7"/>
      <c r="MCG1156" s="7"/>
      <c r="MCH1156" s="7"/>
      <c r="MCI1156" s="7"/>
      <c r="MCJ1156" s="7"/>
      <c r="MCK1156" s="7"/>
      <c r="MCL1156" s="7"/>
      <c r="MCM1156" s="7"/>
      <c r="MCN1156" s="7"/>
      <c r="MCO1156" s="7"/>
      <c r="MCP1156" s="7"/>
      <c r="MCQ1156" s="7"/>
      <c r="MCR1156" s="7"/>
      <c r="MCS1156" s="7"/>
      <c r="MCT1156" s="7"/>
      <c r="MCU1156" s="7"/>
      <c r="MCV1156" s="7"/>
      <c r="MCW1156" s="7"/>
      <c r="MCX1156" s="7"/>
      <c r="MCY1156" s="7"/>
      <c r="MCZ1156" s="7"/>
      <c r="MDA1156" s="7"/>
      <c r="MDB1156" s="7"/>
      <c r="MDC1156" s="7"/>
      <c r="MDD1156" s="7"/>
      <c r="MDE1156" s="7"/>
      <c r="MDF1156" s="7"/>
      <c r="MDG1156" s="7"/>
      <c r="MDH1156" s="7"/>
      <c r="MDI1156" s="7"/>
      <c r="MDJ1156" s="7"/>
      <c r="MDK1156" s="7"/>
      <c r="MDL1156" s="7"/>
      <c r="MDM1156" s="7"/>
      <c r="MDN1156" s="7"/>
      <c r="MDO1156" s="7"/>
      <c r="MDP1156" s="7"/>
      <c r="MDQ1156" s="7"/>
      <c r="MDR1156" s="7"/>
      <c r="MDS1156" s="7"/>
      <c r="MDT1156" s="7"/>
      <c r="MDU1156" s="7"/>
      <c r="MDV1156" s="7"/>
      <c r="MDW1156" s="7"/>
      <c r="MDX1156" s="7"/>
      <c r="MDY1156" s="7"/>
      <c r="MDZ1156" s="7"/>
      <c r="MEA1156" s="7"/>
      <c r="MEB1156" s="7"/>
      <c r="MEC1156" s="7"/>
      <c r="MED1156" s="7"/>
      <c r="MEE1156" s="7"/>
      <c r="MEF1156" s="7"/>
      <c r="MEG1156" s="7"/>
      <c r="MEH1156" s="7"/>
      <c r="MEI1156" s="7"/>
      <c r="MEJ1156" s="7"/>
      <c r="MEK1156" s="7"/>
      <c r="MEL1156" s="7"/>
      <c r="MEM1156" s="7"/>
      <c r="MEN1156" s="7"/>
      <c r="MEO1156" s="7"/>
      <c r="MEP1156" s="7"/>
      <c r="MEQ1156" s="7"/>
      <c r="MER1156" s="7"/>
      <c r="MES1156" s="7"/>
      <c r="MET1156" s="7"/>
      <c r="MEU1156" s="7"/>
      <c r="MEV1156" s="7"/>
      <c r="MEW1156" s="7"/>
      <c r="MEX1156" s="7"/>
      <c r="MEY1156" s="7"/>
      <c r="MEZ1156" s="7"/>
      <c r="MFA1156" s="7"/>
      <c r="MFB1156" s="7"/>
      <c r="MFC1156" s="7"/>
      <c r="MFD1156" s="7"/>
      <c r="MFE1156" s="7"/>
      <c r="MFF1156" s="7"/>
      <c r="MFG1156" s="7"/>
      <c r="MFH1156" s="7"/>
      <c r="MFI1156" s="7"/>
      <c r="MFJ1156" s="7"/>
      <c r="MFK1156" s="7"/>
      <c r="MFL1156" s="7"/>
      <c r="MFM1156" s="7"/>
      <c r="MFN1156" s="7"/>
      <c r="MFO1156" s="7"/>
      <c r="MFP1156" s="7"/>
      <c r="MFQ1156" s="7"/>
      <c r="MFR1156" s="7"/>
      <c r="MFS1156" s="7"/>
      <c r="MFT1156" s="7"/>
      <c r="MFU1156" s="7"/>
      <c r="MFV1156" s="7"/>
      <c r="MFW1156" s="7"/>
      <c r="MFX1156" s="7"/>
      <c r="MFY1156" s="7"/>
      <c r="MFZ1156" s="7"/>
      <c r="MGA1156" s="7"/>
      <c r="MGB1156" s="7"/>
      <c r="MGC1156" s="7"/>
      <c r="MGD1156" s="7"/>
      <c r="MGE1156" s="7"/>
      <c r="MGF1156" s="7"/>
      <c r="MGG1156" s="7"/>
      <c r="MGH1156" s="7"/>
      <c r="MGI1156" s="7"/>
      <c r="MGJ1156" s="7"/>
      <c r="MGK1156" s="7"/>
      <c r="MGL1156" s="7"/>
      <c r="MGM1156" s="7"/>
      <c r="MGN1156" s="7"/>
      <c r="MGO1156" s="7"/>
      <c r="MGP1156" s="7"/>
      <c r="MGQ1156" s="7"/>
      <c r="MGR1156" s="7"/>
      <c r="MGS1156" s="7"/>
      <c r="MGT1156" s="7"/>
      <c r="MGU1156" s="7"/>
      <c r="MGV1156" s="7"/>
      <c r="MGW1156" s="7"/>
      <c r="MGX1156" s="7"/>
      <c r="MGY1156" s="7"/>
      <c r="MGZ1156" s="7"/>
      <c r="MHA1156" s="7"/>
      <c r="MHB1156" s="7"/>
      <c r="MHC1156" s="7"/>
      <c r="MHD1156" s="7"/>
      <c r="MHE1156" s="7"/>
      <c r="MHF1156" s="7"/>
      <c r="MHG1156" s="7"/>
      <c r="MHH1156" s="7"/>
      <c r="MHI1156" s="7"/>
      <c r="MHJ1156" s="7"/>
      <c r="MHK1156" s="7"/>
      <c r="MHL1156" s="7"/>
      <c r="MHM1156" s="7"/>
      <c r="MHN1156" s="7"/>
      <c r="MHO1156" s="7"/>
      <c r="MHP1156" s="7"/>
      <c r="MHQ1156" s="7"/>
      <c r="MHR1156" s="7"/>
      <c r="MHS1156" s="7"/>
      <c r="MHT1156" s="7"/>
      <c r="MHU1156" s="7"/>
      <c r="MHV1156" s="7"/>
      <c r="MHW1156" s="7"/>
      <c r="MHX1156" s="7"/>
      <c r="MHY1156" s="7"/>
      <c r="MHZ1156" s="7"/>
      <c r="MIA1156" s="7"/>
      <c r="MIB1156" s="7"/>
      <c r="MIC1156" s="7"/>
      <c r="MID1156" s="7"/>
      <c r="MIE1156" s="7"/>
      <c r="MIF1156" s="7"/>
      <c r="MIG1156" s="7"/>
      <c r="MIH1156" s="7"/>
      <c r="MII1156" s="7"/>
      <c r="MIJ1156" s="7"/>
      <c r="MIK1156" s="7"/>
      <c r="MIL1156" s="7"/>
      <c r="MIM1156" s="7"/>
      <c r="MIN1156" s="7"/>
      <c r="MIO1156" s="7"/>
      <c r="MIP1156" s="7"/>
      <c r="MIQ1156" s="7"/>
      <c r="MIR1156" s="7"/>
      <c r="MIS1156" s="7"/>
      <c r="MIT1156" s="7"/>
      <c r="MIU1156" s="7"/>
      <c r="MIV1156" s="7"/>
      <c r="MIW1156" s="7"/>
      <c r="MIX1156" s="7"/>
      <c r="MIY1156" s="7"/>
      <c r="MIZ1156" s="7"/>
      <c r="MJA1156" s="7"/>
      <c r="MJB1156" s="7"/>
      <c r="MJC1156" s="7"/>
      <c r="MJD1156" s="7"/>
      <c r="MJE1156" s="7"/>
      <c r="MJF1156" s="7"/>
      <c r="MJG1156" s="7"/>
      <c r="MJH1156" s="7"/>
      <c r="MJI1156" s="7"/>
      <c r="MJJ1156" s="7"/>
      <c r="MJK1156" s="7"/>
      <c r="MJL1156" s="7"/>
      <c r="MJM1156" s="7"/>
      <c r="MJN1156" s="7"/>
      <c r="MJO1156" s="7"/>
      <c r="MJP1156" s="7"/>
      <c r="MJQ1156" s="7"/>
      <c r="MJR1156" s="7"/>
      <c r="MJS1156" s="7"/>
      <c r="MJT1156" s="7"/>
      <c r="MJU1156" s="7"/>
      <c r="MJV1156" s="7"/>
      <c r="MJW1156" s="7"/>
      <c r="MJX1156" s="7"/>
      <c r="MJY1156" s="7"/>
      <c r="MJZ1156" s="7"/>
      <c r="MKA1156" s="7"/>
      <c r="MKB1156" s="7"/>
      <c r="MKC1156" s="7"/>
      <c r="MKD1156" s="7"/>
      <c r="MKE1156" s="7"/>
      <c r="MKF1156" s="7"/>
      <c r="MKG1156" s="7"/>
      <c r="MKH1156" s="7"/>
      <c r="MKI1156" s="7"/>
      <c r="MKJ1156" s="7"/>
      <c r="MKK1156" s="7"/>
      <c r="MKL1156" s="7"/>
      <c r="MKM1156" s="7"/>
      <c r="MKN1156" s="7"/>
      <c r="MKO1156" s="7"/>
      <c r="MKP1156" s="7"/>
      <c r="MKQ1156" s="7"/>
      <c r="MKR1156" s="7"/>
      <c r="MKS1156" s="7"/>
      <c r="MKT1156" s="7"/>
      <c r="MKU1156" s="7"/>
      <c r="MKV1156" s="7"/>
      <c r="MKW1156" s="7"/>
      <c r="MKX1156" s="7"/>
      <c r="MKY1156" s="7"/>
      <c r="MKZ1156" s="7"/>
      <c r="MLA1156" s="7"/>
      <c r="MLB1156" s="7"/>
      <c r="MLC1156" s="7"/>
      <c r="MLD1156" s="7"/>
      <c r="MLE1156" s="7"/>
      <c r="MLF1156" s="7"/>
      <c r="MLG1156" s="7"/>
      <c r="MLH1156" s="7"/>
      <c r="MLI1156" s="7"/>
      <c r="MLJ1156" s="7"/>
      <c r="MLK1156" s="7"/>
      <c r="MLL1156" s="7"/>
      <c r="MLM1156" s="7"/>
      <c r="MLN1156" s="7"/>
      <c r="MLO1156" s="7"/>
      <c r="MLP1156" s="7"/>
      <c r="MLQ1156" s="7"/>
      <c r="MLR1156" s="7"/>
      <c r="MLS1156" s="7"/>
      <c r="MLT1156" s="7"/>
      <c r="MLU1156" s="7"/>
      <c r="MLV1156" s="7"/>
      <c r="MLW1156" s="7"/>
      <c r="MLX1156" s="7"/>
      <c r="MLY1156" s="7"/>
      <c r="MLZ1156" s="7"/>
      <c r="MMA1156" s="7"/>
      <c r="MMB1156" s="7"/>
      <c r="MMC1156" s="7"/>
      <c r="MMD1156" s="7"/>
      <c r="MME1156" s="7"/>
      <c r="MMF1156" s="7"/>
      <c r="MMG1156" s="7"/>
      <c r="MMH1156" s="7"/>
      <c r="MMI1156" s="7"/>
      <c r="MMJ1156" s="7"/>
      <c r="MMK1156" s="7"/>
      <c r="MML1156" s="7"/>
      <c r="MMM1156" s="7"/>
      <c r="MMN1156" s="7"/>
      <c r="MMO1156" s="7"/>
      <c r="MMP1156" s="7"/>
      <c r="MMQ1156" s="7"/>
      <c r="MMR1156" s="7"/>
      <c r="MMS1156" s="7"/>
      <c r="MMT1156" s="7"/>
      <c r="MMU1156" s="7"/>
      <c r="MMV1156" s="7"/>
      <c r="MMW1156" s="7"/>
      <c r="MMX1156" s="7"/>
      <c r="MMY1156" s="7"/>
      <c r="MMZ1156" s="7"/>
      <c r="MNA1156" s="7"/>
      <c r="MNB1156" s="7"/>
      <c r="MNC1156" s="7"/>
      <c r="MND1156" s="7"/>
      <c r="MNE1156" s="7"/>
      <c r="MNF1156" s="7"/>
      <c r="MNG1156" s="7"/>
      <c r="MNH1156" s="7"/>
      <c r="MNI1156" s="7"/>
      <c r="MNJ1156" s="7"/>
      <c r="MNK1156" s="7"/>
      <c r="MNL1156" s="7"/>
      <c r="MNM1156" s="7"/>
      <c r="MNN1156" s="7"/>
      <c r="MNO1156" s="7"/>
      <c r="MNP1156" s="7"/>
      <c r="MNQ1156" s="7"/>
      <c r="MNR1156" s="7"/>
      <c r="MNS1156" s="7"/>
      <c r="MNT1156" s="7"/>
      <c r="MNU1156" s="7"/>
      <c r="MNV1156" s="7"/>
      <c r="MNW1156" s="7"/>
      <c r="MNX1156" s="7"/>
      <c r="MNY1156" s="7"/>
      <c r="MNZ1156" s="7"/>
      <c r="MOA1156" s="7"/>
      <c r="MOB1156" s="7"/>
      <c r="MOC1156" s="7"/>
      <c r="MOD1156" s="7"/>
      <c r="MOE1156" s="7"/>
      <c r="MOF1156" s="7"/>
      <c r="MOG1156" s="7"/>
      <c r="MOH1156" s="7"/>
      <c r="MOI1156" s="7"/>
      <c r="MOJ1156" s="7"/>
      <c r="MOK1156" s="7"/>
      <c r="MOL1156" s="7"/>
      <c r="MOM1156" s="7"/>
      <c r="MON1156" s="7"/>
      <c r="MOO1156" s="7"/>
      <c r="MOP1156" s="7"/>
      <c r="MOQ1156" s="7"/>
      <c r="MOR1156" s="7"/>
      <c r="MOS1156" s="7"/>
      <c r="MOT1156" s="7"/>
      <c r="MOU1156" s="7"/>
      <c r="MOV1156" s="7"/>
      <c r="MOW1156" s="7"/>
      <c r="MOX1156" s="7"/>
      <c r="MOY1156" s="7"/>
      <c r="MOZ1156" s="7"/>
      <c r="MPA1156" s="7"/>
      <c r="MPB1156" s="7"/>
      <c r="MPC1156" s="7"/>
      <c r="MPD1156" s="7"/>
      <c r="MPE1156" s="7"/>
      <c r="MPF1156" s="7"/>
      <c r="MPG1156" s="7"/>
      <c r="MPH1156" s="7"/>
      <c r="MPI1156" s="7"/>
      <c r="MPJ1156" s="7"/>
      <c r="MPK1156" s="7"/>
      <c r="MPL1156" s="7"/>
      <c r="MPM1156" s="7"/>
      <c r="MPN1156" s="7"/>
      <c r="MPO1156" s="7"/>
      <c r="MPP1156" s="7"/>
      <c r="MPQ1156" s="7"/>
      <c r="MPR1156" s="7"/>
      <c r="MPS1156" s="7"/>
      <c r="MPT1156" s="7"/>
      <c r="MPU1156" s="7"/>
      <c r="MPV1156" s="7"/>
      <c r="MPW1156" s="7"/>
      <c r="MPX1156" s="7"/>
      <c r="MPY1156" s="7"/>
      <c r="MPZ1156" s="7"/>
      <c r="MQA1156" s="7"/>
      <c r="MQB1156" s="7"/>
      <c r="MQC1156" s="7"/>
      <c r="MQD1156" s="7"/>
      <c r="MQE1156" s="7"/>
      <c r="MQF1156" s="7"/>
      <c r="MQG1156" s="7"/>
      <c r="MQH1156" s="7"/>
      <c r="MQI1156" s="7"/>
      <c r="MQJ1156" s="7"/>
      <c r="MQK1156" s="7"/>
      <c r="MQL1156" s="7"/>
      <c r="MQM1156" s="7"/>
      <c r="MQN1156" s="7"/>
      <c r="MQO1156" s="7"/>
      <c r="MQP1156" s="7"/>
      <c r="MQQ1156" s="7"/>
      <c r="MQR1156" s="7"/>
      <c r="MQS1156" s="7"/>
      <c r="MQT1156" s="7"/>
      <c r="MQU1156" s="7"/>
      <c r="MQV1156" s="7"/>
      <c r="MQW1156" s="7"/>
      <c r="MQX1156" s="7"/>
      <c r="MQY1156" s="7"/>
      <c r="MQZ1156" s="7"/>
      <c r="MRA1156" s="7"/>
      <c r="MRB1156" s="7"/>
      <c r="MRC1156" s="7"/>
      <c r="MRD1156" s="7"/>
      <c r="MRE1156" s="7"/>
      <c r="MRF1156" s="7"/>
      <c r="MRG1156" s="7"/>
      <c r="MRH1156" s="7"/>
      <c r="MRI1156" s="7"/>
      <c r="MRJ1156" s="7"/>
      <c r="MRK1156" s="7"/>
      <c r="MRL1156" s="7"/>
      <c r="MRM1156" s="7"/>
      <c r="MRN1156" s="7"/>
      <c r="MRO1156" s="7"/>
      <c r="MRP1156" s="7"/>
      <c r="MRQ1156" s="7"/>
      <c r="MRR1156" s="7"/>
      <c r="MRS1156" s="7"/>
      <c r="MRT1156" s="7"/>
      <c r="MRU1156" s="7"/>
      <c r="MRV1156" s="7"/>
      <c r="MRW1156" s="7"/>
      <c r="MRX1156" s="7"/>
      <c r="MRY1156" s="7"/>
      <c r="MRZ1156" s="7"/>
      <c r="MSA1156" s="7"/>
      <c r="MSB1156" s="7"/>
      <c r="MSC1156" s="7"/>
      <c r="MSD1156" s="7"/>
      <c r="MSE1156" s="7"/>
      <c r="MSF1156" s="7"/>
      <c r="MSG1156" s="7"/>
      <c r="MSH1156" s="7"/>
      <c r="MSI1156" s="7"/>
      <c r="MSJ1156" s="7"/>
      <c r="MSK1156" s="7"/>
      <c r="MSL1156" s="7"/>
      <c r="MSM1156" s="7"/>
      <c r="MSN1156" s="7"/>
      <c r="MSO1156" s="7"/>
      <c r="MSP1156" s="7"/>
      <c r="MSQ1156" s="7"/>
      <c r="MSR1156" s="7"/>
      <c r="MSS1156" s="7"/>
      <c r="MST1156" s="7"/>
      <c r="MSU1156" s="7"/>
      <c r="MSV1156" s="7"/>
      <c r="MSW1156" s="7"/>
      <c r="MSX1156" s="7"/>
      <c r="MSY1156" s="7"/>
      <c r="MSZ1156" s="7"/>
      <c r="MTA1156" s="7"/>
      <c r="MTB1156" s="7"/>
      <c r="MTC1156" s="7"/>
      <c r="MTD1156" s="7"/>
      <c r="MTE1156" s="7"/>
      <c r="MTF1156" s="7"/>
      <c r="MTG1156" s="7"/>
      <c r="MTH1156" s="7"/>
      <c r="MTI1156" s="7"/>
      <c r="MTJ1156" s="7"/>
      <c r="MTK1156" s="7"/>
      <c r="MTL1156" s="7"/>
      <c r="MTM1156" s="7"/>
      <c r="MTN1156" s="7"/>
      <c r="MTO1156" s="7"/>
      <c r="MTP1156" s="7"/>
      <c r="MTQ1156" s="7"/>
      <c r="MTR1156" s="7"/>
      <c r="MTS1156" s="7"/>
      <c r="MTT1156" s="7"/>
      <c r="MTU1156" s="7"/>
      <c r="MTV1156" s="7"/>
      <c r="MTW1156" s="7"/>
      <c r="MTX1156" s="7"/>
      <c r="MTY1156" s="7"/>
      <c r="MTZ1156" s="7"/>
      <c r="MUA1156" s="7"/>
      <c r="MUB1156" s="7"/>
      <c r="MUC1156" s="7"/>
      <c r="MUD1156" s="7"/>
      <c r="MUE1156" s="7"/>
      <c r="MUF1156" s="7"/>
      <c r="MUG1156" s="7"/>
      <c r="MUH1156" s="7"/>
      <c r="MUI1156" s="7"/>
      <c r="MUJ1156" s="7"/>
      <c r="MUK1156" s="7"/>
      <c r="MUL1156" s="7"/>
      <c r="MUM1156" s="7"/>
      <c r="MUN1156" s="7"/>
      <c r="MUO1156" s="7"/>
      <c r="MUP1156" s="7"/>
      <c r="MUQ1156" s="7"/>
      <c r="MUR1156" s="7"/>
      <c r="MUS1156" s="7"/>
      <c r="MUT1156" s="7"/>
      <c r="MUU1156" s="7"/>
      <c r="MUV1156" s="7"/>
      <c r="MUW1156" s="7"/>
      <c r="MUX1156" s="7"/>
      <c r="MUY1156" s="7"/>
      <c r="MUZ1156" s="7"/>
      <c r="MVA1156" s="7"/>
      <c r="MVB1156" s="7"/>
      <c r="MVC1156" s="7"/>
      <c r="MVD1156" s="7"/>
      <c r="MVE1156" s="7"/>
      <c r="MVF1156" s="7"/>
      <c r="MVG1156" s="7"/>
      <c r="MVH1156" s="7"/>
      <c r="MVI1156" s="7"/>
      <c r="MVJ1156" s="7"/>
      <c r="MVK1156" s="7"/>
      <c r="MVL1156" s="7"/>
      <c r="MVM1156" s="7"/>
      <c r="MVN1156" s="7"/>
      <c r="MVO1156" s="7"/>
      <c r="MVP1156" s="7"/>
      <c r="MVQ1156" s="7"/>
      <c r="MVR1156" s="7"/>
      <c r="MVS1156" s="7"/>
      <c r="MVT1156" s="7"/>
      <c r="MVU1156" s="7"/>
      <c r="MVV1156" s="7"/>
      <c r="MVW1156" s="7"/>
      <c r="MVX1156" s="7"/>
      <c r="MVY1156" s="7"/>
      <c r="MVZ1156" s="7"/>
      <c r="MWA1156" s="7"/>
      <c r="MWB1156" s="7"/>
      <c r="MWC1156" s="7"/>
      <c r="MWD1156" s="7"/>
      <c r="MWE1156" s="7"/>
      <c r="MWF1156" s="7"/>
      <c r="MWG1156" s="7"/>
      <c r="MWH1156" s="7"/>
      <c r="MWI1156" s="7"/>
      <c r="MWJ1156" s="7"/>
      <c r="MWK1156" s="7"/>
      <c r="MWL1156" s="7"/>
      <c r="MWM1156" s="7"/>
      <c r="MWN1156" s="7"/>
      <c r="MWO1156" s="7"/>
      <c r="MWP1156" s="7"/>
      <c r="MWQ1156" s="7"/>
      <c r="MWR1156" s="7"/>
      <c r="MWS1156" s="7"/>
      <c r="MWT1156" s="7"/>
      <c r="MWU1156" s="7"/>
      <c r="MWV1156" s="7"/>
      <c r="MWW1156" s="7"/>
      <c r="MWX1156" s="7"/>
      <c r="MWY1156" s="7"/>
      <c r="MWZ1156" s="7"/>
      <c r="MXA1156" s="7"/>
      <c r="MXB1156" s="7"/>
      <c r="MXC1156" s="7"/>
      <c r="MXD1156" s="7"/>
      <c r="MXE1156" s="7"/>
      <c r="MXF1156" s="7"/>
      <c r="MXG1156" s="7"/>
      <c r="MXH1156" s="7"/>
      <c r="MXI1156" s="7"/>
      <c r="MXJ1156" s="7"/>
      <c r="MXK1156" s="7"/>
      <c r="MXL1156" s="7"/>
      <c r="MXM1156" s="7"/>
      <c r="MXN1156" s="7"/>
      <c r="MXO1156" s="7"/>
      <c r="MXP1156" s="7"/>
      <c r="MXQ1156" s="7"/>
      <c r="MXR1156" s="7"/>
      <c r="MXS1156" s="7"/>
      <c r="MXT1156" s="7"/>
      <c r="MXU1156" s="7"/>
      <c r="MXV1156" s="7"/>
      <c r="MXW1156" s="7"/>
      <c r="MXX1156" s="7"/>
      <c r="MXY1156" s="7"/>
      <c r="MXZ1156" s="7"/>
      <c r="MYA1156" s="7"/>
      <c r="MYB1156" s="7"/>
      <c r="MYC1156" s="7"/>
      <c r="MYD1156" s="7"/>
      <c r="MYE1156" s="7"/>
      <c r="MYF1156" s="7"/>
      <c r="MYG1156" s="7"/>
      <c r="MYH1156" s="7"/>
      <c r="MYI1156" s="7"/>
      <c r="MYJ1156" s="7"/>
      <c r="MYK1156" s="7"/>
      <c r="MYL1156" s="7"/>
      <c r="MYM1156" s="7"/>
      <c r="MYN1156" s="7"/>
      <c r="MYO1156" s="7"/>
      <c r="MYP1156" s="7"/>
      <c r="MYQ1156" s="7"/>
      <c r="MYR1156" s="7"/>
      <c r="MYS1156" s="7"/>
      <c r="MYT1156" s="7"/>
      <c r="MYU1156" s="7"/>
      <c r="MYV1156" s="7"/>
      <c r="MYW1156" s="7"/>
      <c r="MYX1156" s="7"/>
      <c r="MYY1156" s="7"/>
      <c r="MYZ1156" s="7"/>
      <c r="MZA1156" s="7"/>
      <c r="MZB1156" s="7"/>
      <c r="MZC1156" s="7"/>
      <c r="MZD1156" s="7"/>
      <c r="MZE1156" s="7"/>
      <c r="MZF1156" s="7"/>
      <c r="MZG1156" s="7"/>
      <c r="MZH1156" s="7"/>
      <c r="MZI1156" s="7"/>
      <c r="MZJ1156" s="7"/>
      <c r="MZK1156" s="7"/>
      <c r="MZL1156" s="7"/>
      <c r="MZM1156" s="7"/>
      <c r="MZN1156" s="7"/>
      <c r="MZO1156" s="7"/>
      <c r="MZP1156" s="7"/>
      <c r="MZQ1156" s="7"/>
      <c r="MZR1156" s="7"/>
      <c r="MZS1156" s="7"/>
      <c r="MZT1156" s="7"/>
      <c r="MZU1156" s="7"/>
      <c r="MZV1156" s="7"/>
      <c r="MZW1156" s="7"/>
      <c r="MZX1156" s="7"/>
      <c r="MZY1156" s="7"/>
      <c r="MZZ1156" s="7"/>
      <c r="NAA1156" s="7"/>
      <c r="NAB1156" s="7"/>
      <c r="NAC1156" s="7"/>
      <c r="NAD1156" s="7"/>
      <c r="NAE1156" s="7"/>
      <c r="NAF1156" s="7"/>
      <c r="NAG1156" s="7"/>
      <c r="NAH1156" s="7"/>
      <c r="NAI1156" s="7"/>
      <c r="NAJ1156" s="7"/>
      <c r="NAK1156" s="7"/>
      <c r="NAL1156" s="7"/>
      <c r="NAM1156" s="7"/>
      <c r="NAN1156" s="7"/>
      <c r="NAO1156" s="7"/>
      <c r="NAP1156" s="7"/>
      <c r="NAQ1156" s="7"/>
      <c r="NAR1156" s="7"/>
      <c r="NAS1156" s="7"/>
      <c r="NAT1156" s="7"/>
      <c r="NAU1156" s="7"/>
      <c r="NAV1156" s="7"/>
      <c r="NAW1156" s="7"/>
      <c r="NAX1156" s="7"/>
      <c r="NAY1156" s="7"/>
      <c r="NAZ1156" s="7"/>
      <c r="NBA1156" s="7"/>
      <c r="NBB1156" s="7"/>
      <c r="NBC1156" s="7"/>
      <c r="NBD1156" s="7"/>
      <c r="NBE1156" s="7"/>
      <c r="NBF1156" s="7"/>
      <c r="NBG1156" s="7"/>
      <c r="NBH1156" s="7"/>
      <c r="NBI1156" s="7"/>
      <c r="NBJ1156" s="7"/>
      <c r="NBK1156" s="7"/>
      <c r="NBL1156" s="7"/>
      <c r="NBM1156" s="7"/>
      <c r="NBN1156" s="7"/>
      <c r="NBO1156" s="7"/>
      <c r="NBP1156" s="7"/>
      <c r="NBQ1156" s="7"/>
      <c r="NBR1156" s="7"/>
      <c r="NBS1156" s="7"/>
      <c r="NBT1156" s="7"/>
      <c r="NBU1156" s="7"/>
      <c r="NBV1156" s="7"/>
      <c r="NBW1156" s="7"/>
      <c r="NBX1156" s="7"/>
      <c r="NBY1156" s="7"/>
      <c r="NBZ1156" s="7"/>
      <c r="NCA1156" s="7"/>
      <c r="NCB1156" s="7"/>
      <c r="NCC1156" s="7"/>
      <c r="NCD1156" s="7"/>
      <c r="NCE1156" s="7"/>
      <c r="NCF1156" s="7"/>
      <c r="NCG1156" s="7"/>
      <c r="NCH1156" s="7"/>
      <c r="NCI1156" s="7"/>
      <c r="NCJ1156" s="7"/>
      <c r="NCK1156" s="7"/>
      <c r="NCL1156" s="7"/>
      <c r="NCM1156" s="7"/>
      <c r="NCN1156" s="7"/>
      <c r="NCO1156" s="7"/>
      <c r="NCP1156" s="7"/>
      <c r="NCQ1156" s="7"/>
      <c r="NCR1156" s="7"/>
      <c r="NCS1156" s="7"/>
      <c r="NCT1156" s="7"/>
      <c r="NCU1156" s="7"/>
      <c r="NCV1156" s="7"/>
      <c r="NCW1156" s="7"/>
      <c r="NCX1156" s="7"/>
      <c r="NCY1156" s="7"/>
      <c r="NCZ1156" s="7"/>
      <c r="NDA1156" s="7"/>
      <c r="NDB1156" s="7"/>
      <c r="NDC1156" s="7"/>
      <c r="NDD1156" s="7"/>
      <c r="NDE1156" s="7"/>
      <c r="NDF1156" s="7"/>
      <c r="NDG1156" s="7"/>
      <c r="NDH1156" s="7"/>
      <c r="NDI1156" s="7"/>
      <c r="NDJ1156" s="7"/>
      <c r="NDK1156" s="7"/>
      <c r="NDL1156" s="7"/>
      <c r="NDM1156" s="7"/>
      <c r="NDN1156" s="7"/>
      <c r="NDO1156" s="7"/>
      <c r="NDP1156" s="7"/>
      <c r="NDQ1156" s="7"/>
      <c r="NDR1156" s="7"/>
      <c r="NDS1156" s="7"/>
      <c r="NDT1156" s="7"/>
      <c r="NDU1156" s="7"/>
      <c r="NDV1156" s="7"/>
      <c r="NDW1156" s="7"/>
      <c r="NDX1156" s="7"/>
      <c r="NDY1156" s="7"/>
      <c r="NDZ1156" s="7"/>
      <c r="NEA1156" s="7"/>
      <c r="NEB1156" s="7"/>
      <c r="NEC1156" s="7"/>
      <c r="NED1156" s="7"/>
      <c r="NEE1156" s="7"/>
      <c r="NEF1156" s="7"/>
      <c r="NEG1156" s="7"/>
      <c r="NEH1156" s="7"/>
      <c r="NEI1156" s="7"/>
      <c r="NEJ1156" s="7"/>
      <c r="NEK1156" s="7"/>
      <c r="NEL1156" s="7"/>
      <c r="NEM1156" s="7"/>
      <c r="NEN1156" s="7"/>
      <c r="NEO1156" s="7"/>
      <c r="NEP1156" s="7"/>
      <c r="NEQ1156" s="7"/>
      <c r="NER1156" s="7"/>
      <c r="NES1156" s="7"/>
      <c r="NET1156" s="7"/>
      <c r="NEU1156" s="7"/>
      <c r="NEV1156" s="7"/>
      <c r="NEW1156" s="7"/>
      <c r="NEX1156" s="7"/>
      <c r="NEY1156" s="7"/>
      <c r="NEZ1156" s="7"/>
      <c r="NFA1156" s="7"/>
      <c r="NFB1156" s="7"/>
      <c r="NFC1156" s="7"/>
      <c r="NFD1156" s="7"/>
      <c r="NFE1156" s="7"/>
      <c r="NFF1156" s="7"/>
      <c r="NFG1156" s="7"/>
      <c r="NFH1156" s="7"/>
      <c r="NFI1156" s="7"/>
      <c r="NFJ1156" s="7"/>
      <c r="NFK1156" s="7"/>
      <c r="NFL1156" s="7"/>
      <c r="NFM1156" s="7"/>
      <c r="NFN1156" s="7"/>
      <c r="NFO1156" s="7"/>
      <c r="NFP1156" s="7"/>
      <c r="NFQ1156" s="7"/>
      <c r="NFR1156" s="7"/>
      <c r="NFS1156" s="7"/>
      <c r="NFT1156" s="7"/>
      <c r="NFU1156" s="7"/>
      <c r="NFV1156" s="7"/>
      <c r="NFW1156" s="7"/>
      <c r="NFX1156" s="7"/>
      <c r="NFY1156" s="7"/>
      <c r="NFZ1156" s="7"/>
      <c r="NGA1156" s="7"/>
      <c r="NGB1156" s="7"/>
      <c r="NGC1156" s="7"/>
      <c r="NGD1156" s="7"/>
      <c r="NGE1156" s="7"/>
      <c r="NGF1156" s="7"/>
      <c r="NGG1156" s="7"/>
      <c r="NGH1156" s="7"/>
      <c r="NGI1156" s="7"/>
      <c r="NGJ1156" s="7"/>
      <c r="NGK1156" s="7"/>
      <c r="NGL1156" s="7"/>
      <c r="NGM1156" s="7"/>
      <c r="NGN1156" s="7"/>
      <c r="NGO1156" s="7"/>
      <c r="NGP1156" s="7"/>
      <c r="NGQ1156" s="7"/>
      <c r="NGR1156" s="7"/>
      <c r="NGS1156" s="7"/>
      <c r="NGT1156" s="7"/>
      <c r="NGU1156" s="7"/>
      <c r="NGV1156" s="7"/>
      <c r="NGW1156" s="7"/>
      <c r="NGX1156" s="7"/>
      <c r="NGY1156" s="7"/>
      <c r="NGZ1156" s="7"/>
      <c r="NHA1156" s="7"/>
      <c r="NHB1156" s="7"/>
      <c r="NHC1156" s="7"/>
      <c r="NHD1156" s="7"/>
      <c r="NHE1156" s="7"/>
      <c r="NHF1156" s="7"/>
      <c r="NHG1156" s="7"/>
      <c r="NHH1156" s="7"/>
      <c r="NHI1156" s="7"/>
      <c r="NHJ1156" s="7"/>
      <c r="NHK1156" s="7"/>
      <c r="NHL1156" s="7"/>
      <c r="NHM1156" s="7"/>
      <c r="NHN1156" s="7"/>
      <c r="NHO1156" s="7"/>
      <c r="NHP1156" s="7"/>
      <c r="NHQ1156" s="7"/>
      <c r="NHR1156" s="7"/>
      <c r="NHS1156" s="7"/>
      <c r="NHT1156" s="7"/>
      <c r="NHU1156" s="7"/>
      <c r="NHV1156" s="7"/>
      <c r="NHW1156" s="7"/>
      <c r="NHX1156" s="7"/>
      <c r="NHY1156" s="7"/>
      <c r="NHZ1156" s="7"/>
      <c r="NIA1156" s="7"/>
      <c r="NIB1156" s="7"/>
      <c r="NIC1156" s="7"/>
      <c r="NID1156" s="7"/>
      <c r="NIE1156" s="7"/>
      <c r="NIF1156" s="7"/>
      <c r="NIG1156" s="7"/>
      <c r="NIH1156" s="7"/>
      <c r="NII1156" s="7"/>
      <c r="NIJ1156" s="7"/>
      <c r="NIK1156" s="7"/>
      <c r="NIL1156" s="7"/>
      <c r="NIM1156" s="7"/>
      <c r="NIN1156" s="7"/>
      <c r="NIO1156" s="7"/>
      <c r="NIP1156" s="7"/>
      <c r="NIQ1156" s="7"/>
      <c r="NIR1156" s="7"/>
      <c r="NIS1156" s="7"/>
      <c r="NIT1156" s="7"/>
      <c r="NIU1156" s="7"/>
      <c r="NIV1156" s="7"/>
      <c r="NIW1156" s="7"/>
      <c r="NIX1156" s="7"/>
      <c r="NIY1156" s="7"/>
      <c r="NIZ1156" s="7"/>
      <c r="NJA1156" s="7"/>
      <c r="NJB1156" s="7"/>
      <c r="NJC1156" s="7"/>
      <c r="NJD1156" s="7"/>
      <c r="NJE1156" s="7"/>
      <c r="NJF1156" s="7"/>
      <c r="NJG1156" s="7"/>
      <c r="NJH1156" s="7"/>
      <c r="NJI1156" s="7"/>
      <c r="NJJ1156" s="7"/>
      <c r="NJK1156" s="7"/>
      <c r="NJL1156" s="7"/>
      <c r="NJM1156" s="7"/>
      <c r="NJN1156" s="7"/>
      <c r="NJO1156" s="7"/>
      <c r="NJP1156" s="7"/>
      <c r="NJQ1156" s="7"/>
      <c r="NJR1156" s="7"/>
      <c r="NJS1156" s="7"/>
      <c r="NJT1156" s="7"/>
      <c r="NJU1156" s="7"/>
      <c r="NJV1156" s="7"/>
      <c r="NJW1156" s="7"/>
      <c r="NJX1156" s="7"/>
      <c r="NJY1156" s="7"/>
      <c r="NJZ1156" s="7"/>
      <c r="NKA1156" s="7"/>
      <c r="NKB1156" s="7"/>
      <c r="NKC1156" s="7"/>
      <c r="NKD1156" s="7"/>
      <c r="NKE1156" s="7"/>
      <c r="NKF1156" s="7"/>
      <c r="NKG1156" s="7"/>
      <c r="NKH1156" s="7"/>
      <c r="NKI1156" s="7"/>
      <c r="NKJ1156" s="7"/>
      <c r="NKK1156" s="7"/>
      <c r="NKL1156" s="7"/>
      <c r="NKM1156" s="7"/>
      <c r="NKN1156" s="7"/>
      <c r="NKO1156" s="7"/>
      <c r="NKP1156" s="7"/>
      <c r="NKQ1156" s="7"/>
      <c r="NKR1156" s="7"/>
      <c r="NKS1156" s="7"/>
      <c r="NKT1156" s="7"/>
      <c r="NKU1156" s="7"/>
      <c r="NKV1156" s="7"/>
      <c r="NKW1156" s="7"/>
      <c r="NKX1156" s="7"/>
      <c r="NKY1156" s="7"/>
      <c r="NKZ1156" s="7"/>
      <c r="NLA1156" s="7"/>
      <c r="NLB1156" s="7"/>
      <c r="NLC1156" s="7"/>
      <c r="NLD1156" s="7"/>
      <c r="NLE1156" s="7"/>
      <c r="NLF1156" s="7"/>
      <c r="NLG1156" s="7"/>
      <c r="NLH1156" s="7"/>
      <c r="NLI1156" s="7"/>
      <c r="NLJ1156" s="7"/>
      <c r="NLK1156" s="7"/>
      <c r="NLL1156" s="7"/>
      <c r="NLM1156" s="7"/>
      <c r="NLN1156" s="7"/>
      <c r="NLO1156" s="7"/>
      <c r="NLP1156" s="7"/>
      <c r="NLQ1156" s="7"/>
      <c r="NLR1156" s="7"/>
      <c r="NLS1156" s="7"/>
      <c r="NLT1156" s="7"/>
      <c r="NLU1156" s="7"/>
      <c r="NLV1156" s="7"/>
      <c r="NLW1156" s="7"/>
      <c r="NLX1156" s="7"/>
      <c r="NLY1156" s="7"/>
      <c r="NLZ1156" s="7"/>
      <c r="NMA1156" s="7"/>
      <c r="NMB1156" s="7"/>
      <c r="NMC1156" s="7"/>
      <c r="NMD1156" s="7"/>
      <c r="NME1156" s="7"/>
      <c r="NMF1156" s="7"/>
      <c r="NMG1156" s="7"/>
      <c r="NMH1156" s="7"/>
      <c r="NMI1156" s="7"/>
      <c r="NMJ1156" s="7"/>
      <c r="NMK1156" s="7"/>
      <c r="NML1156" s="7"/>
      <c r="NMM1156" s="7"/>
      <c r="NMN1156" s="7"/>
      <c r="NMO1156" s="7"/>
      <c r="NMP1156" s="7"/>
      <c r="NMQ1156" s="7"/>
      <c r="NMR1156" s="7"/>
      <c r="NMS1156" s="7"/>
      <c r="NMT1156" s="7"/>
      <c r="NMU1156" s="7"/>
      <c r="NMV1156" s="7"/>
      <c r="NMW1156" s="7"/>
      <c r="NMX1156" s="7"/>
      <c r="NMY1156" s="7"/>
      <c r="NMZ1156" s="7"/>
      <c r="NNA1156" s="7"/>
      <c r="NNB1156" s="7"/>
      <c r="NNC1156" s="7"/>
      <c r="NND1156" s="7"/>
      <c r="NNE1156" s="7"/>
      <c r="NNF1156" s="7"/>
      <c r="NNG1156" s="7"/>
      <c r="NNH1156" s="7"/>
      <c r="NNI1156" s="7"/>
      <c r="NNJ1156" s="7"/>
      <c r="NNK1156" s="7"/>
      <c r="NNL1156" s="7"/>
      <c r="NNM1156" s="7"/>
      <c r="NNN1156" s="7"/>
      <c r="NNO1156" s="7"/>
      <c r="NNP1156" s="7"/>
      <c r="NNQ1156" s="7"/>
      <c r="NNR1156" s="7"/>
      <c r="NNS1156" s="7"/>
      <c r="NNT1156" s="7"/>
      <c r="NNU1156" s="7"/>
      <c r="NNV1156" s="7"/>
      <c r="NNW1156" s="7"/>
      <c r="NNX1156" s="7"/>
      <c r="NNY1156" s="7"/>
      <c r="NNZ1156" s="7"/>
      <c r="NOA1156" s="7"/>
      <c r="NOB1156" s="7"/>
      <c r="NOC1156" s="7"/>
      <c r="NOD1156" s="7"/>
      <c r="NOE1156" s="7"/>
      <c r="NOF1156" s="7"/>
      <c r="NOG1156" s="7"/>
      <c r="NOH1156" s="7"/>
      <c r="NOI1156" s="7"/>
      <c r="NOJ1156" s="7"/>
      <c r="NOK1156" s="7"/>
      <c r="NOL1156" s="7"/>
      <c r="NOM1156" s="7"/>
      <c r="NON1156" s="7"/>
      <c r="NOO1156" s="7"/>
      <c r="NOP1156" s="7"/>
      <c r="NOQ1156" s="7"/>
      <c r="NOR1156" s="7"/>
      <c r="NOS1156" s="7"/>
      <c r="NOT1156" s="7"/>
      <c r="NOU1156" s="7"/>
      <c r="NOV1156" s="7"/>
      <c r="NOW1156" s="7"/>
      <c r="NOX1156" s="7"/>
      <c r="NOY1156" s="7"/>
      <c r="NOZ1156" s="7"/>
      <c r="NPA1156" s="7"/>
      <c r="NPB1156" s="7"/>
      <c r="NPC1156" s="7"/>
      <c r="NPD1156" s="7"/>
      <c r="NPE1156" s="7"/>
      <c r="NPF1156" s="7"/>
      <c r="NPG1156" s="7"/>
      <c r="NPH1156" s="7"/>
      <c r="NPI1156" s="7"/>
      <c r="NPJ1156" s="7"/>
      <c r="NPK1156" s="7"/>
      <c r="NPL1156" s="7"/>
      <c r="NPM1156" s="7"/>
      <c r="NPN1156" s="7"/>
      <c r="NPO1156" s="7"/>
      <c r="NPP1156" s="7"/>
      <c r="NPQ1156" s="7"/>
      <c r="NPR1156" s="7"/>
      <c r="NPS1156" s="7"/>
      <c r="NPT1156" s="7"/>
      <c r="NPU1156" s="7"/>
      <c r="NPV1156" s="7"/>
      <c r="NPW1156" s="7"/>
      <c r="NPX1156" s="7"/>
      <c r="NPY1156" s="7"/>
      <c r="NPZ1156" s="7"/>
      <c r="NQA1156" s="7"/>
      <c r="NQB1156" s="7"/>
      <c r="NQC1156" s="7"/>
      <c r="NQD1156" s="7"/>
      <c r="NQE1156" s="7"/>
      <c r="NQF1156" s="7"/>
      <c r="NQG1156" s="7"/>
      <c r="NQH1156" s="7"/>
      <c r="NQI1156" s="7"/>
      <c r="NQJ1156" s="7"/>
      <c r="NQK1156" s="7"/>
      <c r="NQL1156" s="7"/>
      <c r="NQM1156" s="7"/>
      <c r="NQN1156" s="7"/>
      <c r="NQO1156" s="7"/>
      <c r="NQP1156" s="7"/>
      <c r="NQQ1156" s="7"/>
      <c r="NQR1156" s="7"/>
      <c r="NQS1156" s="7"/>
      <c r="NQT1156" s="7"/>
      <c r="NQU1156" s="7"/>
      <c r="NQV1156" s="7"/>
      <c r="NQW1156" s="7"/>
      <c r="NQX1156" s="7"/>
      <c r="NQY1156" s="7"/>
      <c r="NQZ1156" s="7"/>
      <c r="NRA1156" s="7"/>
      <c r="NRB1156" s="7"/>
      <c r="NRC1156" s="7"/>
      <c r="NRD1156" s="7"/>
      <c r="NRE1156" s="7"/>
      <c r="NRF1156" s="7"/>
      <c r="NRG1156" s="7"/>
      <c r="NRH1156" s="7"/>
      <c r="NRI1156" s="7"/>
      <c r="NRJ1156" s="7"/>
      <c r="NRK1156" s="7"/>
      <c r="NRL1156" s="7"/>
      <c r="NRM1156" s="7"/>
      <c r="NRN1156" s="7"/>
      <c r="NRO1156" s="7"/>
      <c r="NRP1156" s="7"/>
      <c r="NRQ1156" s="7"/>
      <c r="NRR1156" s="7"/>
      <c r="NRS1156" s="7"/>
      <c r="NRT1156" s="7"/>
      <c r="NRU1156" s="7"/>
      <c r="NRV1156" s="7"/>
      <c r="NRW1156" s="7"/>
      <c r="NRX1156" s="7"/>
      <c r="NRY1156" s="7"/>
      <c r="NRZ1156" s="7"/>
      <c r="NSA1156" s="7"/>
      <c r="NSB1156" s="7"/>
      <c r="NSC1156" s="7"/>
      <c r="NSD1156" s="7"/>
      <c r="NSE1156" s="7"/>
      <c r="NSF1156" s="7"/>
      <c r="NSG1156" s="7"/>
      <c r="NSH1156" s="7"/>
      <c r="NSI1156" s="7"/>
      <c r="NSJ1156" s="7"/>
      <c r="NSK1156" s="7"/>
      <c r="NSL1156" s="7"/>
      <c r="NSM1156" s="7"/>
      <c r="NSN1156" s="7"/>
      <c r="NSO1156" s="7"/>
      <c r="NSP1156" s="7"/>
      <c r="NSQ1156" s="7"/>
      <c r="NSR1156" s="7"/>
      <c r="NSS1156" s="7"/>
      <c r="NST1156" s="7"/>
      <c r="NSU1156" s="7"/>
      <c r="NSV1156" s="7"/>
      <c r="NSW1156" s="7"/>
      <c r="NSX1156" s="7"/>
      <c r="NSY1156" s="7"/>
      <c r="NSZ1156" s="7"/>
      <c r="NTA1156" s="7"/>
      <c r="NTB1156" s="7"/>
      <c r="NTC1156" s="7"/>
      <c r="NTD1156" s="7"/>
      <c r="NTE1156" s="7"/>
      <c r="NTF1156" s="7"/>
      <c r="NTG1156" s="7"/>
      <c r="NTH1156" s="7"/>
      <c r="NTI1156" s="7"/>
      <c r="NTJ1156" s="7"/>
      <c r="NTK1156" s="7"/>
      <c r="NTL1156" s="7"/>
      <c r="NTM1156" s="7"/>
      <c r="NTN1156" s="7"/>
      <c r="NTO1156" s="7"/>
      <c r="NTP1156" s="7"/>
      <c r="NTQ1156" s="7"/>
      <c r="NTR1156" s="7"/>
      <c r="NTS1156" s="7"/>
      <c r="NTT1156" s="7"/>
      <c r="NTU1156" s="7"/>
      <c r="NTV1156" s="7"/>
      <c r="NTW1156" s="7"/>
      <c r="NTX1156" s="7"/>
      <c r="NTY1156" s="7"/>
      <c r="NTZ1156" s="7"/>
      <c r="NUA1156" s="7"/>
      <c r="NUB1156" s="7"/>
      <c r="NUC1156" s="7"/>
      <c r="NUD1156" s="7"/>
      <c r="NUE1156" s="7"/>
      <c r="NUF1156" s="7"/>
      <c r="NUG1156" s="7"/>
      <c r="NUH1156" s="7"/>
      <c r="NUI1156" s="7"/>
      <c r="NUJ1156" s="7"/>
      <c r="NUK1156" s="7"/>
      <c r="NUL1156" s="7"/>
      <c r="NUM1156" s="7"/>
      <c r="NUN1156" s="7"/>
      <c r="NUO1156" s="7"/>
      <c r="NUP1156" s="7"/>
      <c r="NUQ1156" s="7"/>
      <c r="NUR1156" s="7"/>
      <c r="NUS1156" s="7"/>
      <c r="NUT1156" s="7"/>
      <c r="NUU1156" s="7"/>
      <c r="NUV1156" s="7"/>
      <c r="NUW1156" s="7"/>
      <c r="NUX1156" s="7"/>
      <c r="NUY1156" s="7"/>
      <c r="NUZ1156" s="7"/>
      <c r="NVA1156" s="7"/>
      <c r="NVB1156" s="7"/>
      <c r="NVC1156" s="7"/>
      <c r="NVD1156" s="7"/>
      <c r="NVE1156" s="7"/>
      <c r="NVF1156" s="7"/>
      <c r="NVG1156" s="7"/>
      <c r="NVH1156" s="7"/>
      <c r="NVI1156" s="7"/>
      <c r="NVJ1156" s="7"/>
      <c r="NVK1156" s="7"/>
      <c r="NVL1156" s="7"/>
      <c r="NVM1156" s="7"/>
      <c r="NVN1156" s="7"/>
      <c r="NVO1156" s="7"/>
      <c r="NVP1156" s="7"/>
      <c r="NVQ1156" s="7"/>
      <c r="NVR1156" s="7"/>
      <c r="NVS1156" s="7"/>
      <c r="NVT1156" s="7"/>
      <c r="NVU1156" s="7"/>
      <c r="NVV1156" s="7"/>
      <c r="NVW1156" s="7"/>
      <c r="NVX1156" s="7"/>
      <c r="NVY1156" s="7"/>
      <c r="NVZ1156" s="7"/>
      <c r="NWA1156" s="7"/>
      <c r="NWB1156" s="7"/>
      <c r="NWC1156" s="7"/>
      <c r="NWD1156" s="7"/>
      <c r="NWE1156" s="7"/>
      <c r="NWF1156" s="7"/>
      <c r="NWG1156" s="7"/>
      <c r="NWH1156" s="7"/>
      <c r="NWI1156" s="7"/>
      <c r="NWJ1156" s="7"/>
      <c r="NWK1156" s="7"/>
      <c r="NWL1156" s="7"/>
      <c r="NWM1156" s="7"/>
      <c r="NWN1156" s="7"/>
      <c r="NWO1156" s="7"/>
      <c r="NWP1156" s="7"/>
      <c r="NWQ1156" s="7"/>
      <c r="NWR1156" s="7"/>
      <c r="NWS1156" s="7"/>
      <c r="NWT1156" s="7"/>
      <c r="NWU1156" s="7"/>
      <c r="NWV1156" s="7"/>
      <c r="NWW1156" s="7"/>
      <c r="NWX1156" s="7"/>
      <c r="NWY1156" s="7"/>
      <c r="NWZ1156" s="7"/>
      <c r="NXA1156" s="7"/>
      <c r="NXB1156" s="7"/>
      <c r="NXC1156" s="7"/>
      <c r="NXD1156" s="7"/>
      <c r="NXE1156" s="7"/>
      <c r="NXF1156" s="7"/>
      <c r="NXG1156" s="7"/>
      <c r="NXH1156" s="7"/>
      <c r="NXI1156" s="7"/>
      <c r="NXJ1156" s="7"/>
      <c r="NXK1156" s="7"/>
      <c r="NXL1156" s="7"/>
      <c r="NXM1156" s="7"/>
      <c r="NXN1156" s="7"/>
      <c r="NXO1156" s="7"/>
      <c r="NXP1156" s="7"/>
      <c r="NXQ1156" s="7"/>
      <c r="NXR1156" s="7"/>
      <c r="NXS1156" s="7"/>
      <c r="NXT1156" s="7"/>
      <c r="NXU1156" s="7"/>
      <c r="NXV1156" s="7"/>
      <c r="NXW1156" s="7"/>
      <c r="NXX1156" s="7"/>
      <c r="NXY1156" s="7"/>
      <c r="NXZ1156" s="7"/>
      <c r="NYA1156" s="7"/>
      <c r="NYB1156" s="7"/>
      <c r="NYC1156" s="7"/>
      <c r="NYD1156" s="7"/>
      <c r="NYE1156" s="7"/>
      <c r="NYF1156" s="7"/>
      <c r="NYG1156" s="7"/>
      <c r="NYH1156" s="7"/>
      <c r="NYI1156" s="7"/>
      <c r="NYJ1156" s="7"/>
      <c r="NYK1156" s="7"/>
      <c r="NYL1156" s="7"/>
      <c r="NYM1156" s="7"/>
      <c r="NYN1156" s="7"/>
      <c r="NYO1156" s="7"/>
      <c r="NYP1156" s="7"/>
      <c r="NYQ1156" s="7"/>
      <c r="NYR1156" s="7"/>
      <c r="NYS1156" s="7"/>
      <c r="NYT1156" s="7"/>
      <c r="NYU1156" s="7"/>
      <c r="NYV1156" s="7"/>
      <c r="NYW1156" s="7"/>
      <c r="NYX1156" s="7"/>
      <c r="NYY1156" s="7"/>
      <c r="NYZ1156" s="7"/>
      <c r="NZA1156" s="7"/>
      <c r="NZB1156" s="7"/>
      <c r="NZC1156" s="7"/>
      <c r="NZD1156" s="7"/>
      <c r="NZE1156" s="7"/>
      <c r="NZF1156" s="7"/>
      <c r="NZG1156" s="7"/>
      <c r="NZH1156" s="7"/>
      <c r="NZI1156" s="7"/>
      <c r="NZJ1156" s="7"/>
      <c r="NZK1156" s="7"/>
      <c r="NZL1156" s="7"/>
      <c r="NZM1156" s="7"/>
      <c r="NZN1156" s="7"/>
      <c r="NZO1156" s="7"/>
      <c r="NZP1156" s="7"/>
      <c r="NZQ1156" s="7"/>
      <c r="NZR1156" s="7"/>
      <c r="NZS1156" s="7"/>
      <c r="NZT1156" s="7"/>
      <c r="NZU1156" s="7"/>
      <c r="NZV1156" s="7"/>
      <c r="NZW1156" s="7"/>
      <c r="NZX1156" s="7"/>
      <c r="NZY1156" s="7"/>
      <c r="NZZ1156" s="7"/>
      <c r="OAA1156" s="7"/>
      <c r="OAB1156" s="7"/>
      <c r="OAC1156" s="7"/>
      <c r="OAD1156" s="7"/>
      <c r="OAE1156" s="7"/>
      <c r="OAF1156" s="7"/>
      <c r="OAG1156" s="7"/>
      <c r="OAH1156" s="7"/>
      <c r="OAI1156" s="7"/>
      <c r="OAJ1156" s="7"/>
      <c r="OAK1156" s="7"/>
      <c r="OAL1156" s="7"/>
      <c r="OAM1156" s="7"/>
      <c r="OAN1156" s="7"/>
      <c r="OAO1156" s="7"/>
      <c r="OAP1156" s="7"/>
      <c r="OAQ1156" s="7"/>
      <c r="OAR1156" s="7"/>
      <c r="OAS1156" s="7"/>
      <c r="OAT1156" s="7"/>
      <c r="OAU1156" s="7"/>
      <c r="OAV1156" s="7"/>
      <c r="OAW1156" s="7"/>
      <c r="OAX1156" s="7"/>
      <c r="OAY1156" s="7"/>
      <c r="OAZ1156" s="7"/>
      <c r="OBA1156" s="7"/>
      <c r="OBB1156" s="7"/>
      <c r="OBC1156" s="7"/>
      <c r="OBD1156" s="7"/>
      <c r="OBE1156" s="7"/>
      <c r="OBF1156" s="7"/>
      <c r="OBG1156" s="7"/>
      <c r="OBH1156" s="7"/>
      <c r="OBI1156" s="7"/>
      <c r="OBJ1156" s="7"/>
      <c r="OBK1156" s="7"/>
      <c r="OBL1156" s="7"/>
      <c r="OBM1156" s="7"/>
      <c r="OBN1156" s="7"/>
      <c r="OBO1156" s="7"/>
      <c r="OBP1156" s="7"/>
      <c r="OBQ1156" s="7"/>
      <c r="OBR1156" s="7"/>
      <c r="OBS1156" s="7"/>
      <c r="OBT1156" s="7"/>
      <c r="OBU1156" s="7"/>
      <c r="OBV1156" s="7"/>
      <c r="OBW1156" s="7"/>
      <c r="OBX1156" s="7"/>
      <c r="OBY1156" s="7"/>
      <c r="OBZ1156" s="7"/>
      <c r="OCA1156" s="7"/>
      <c r="OCB1156" s="7"/>
      <c r="OCC1156" s="7"/>
      <c r="OCD1156" s="7"/>
      <c r="OCE1156" s="7"/>
      <c r="OCF1156" s="7"/>
      <c r="OCG1156" s="7"/>
      <c r="OCH1156" s="7"/>
      <c r="OCI1156" s="7"/>
      <c r="OCJ1156" s="7"/>
      <c r="OCK1156" s="7"/>
      <c r="OCL1156" s="7"/>
      <c r="OCM1156" s="7"/>
      <c r="OCN1156" s="7"/>
      <c r="OCO1156" s="7"/>
      <c r="OCP1156" s="7"/>
      <c r="OCQ1156" s="7"/>
      <c r="OCR1156" s="7"/>
      <c r="OCS1156" s="7"/>
      <c r="OCT1156" s="7"/>
      <c r="OCU1156" s="7"/>
      <c r="OCV1156" s="7"/>
      <c r="OCW1156" s="7"/>
      <c r="OCX1156" s="7"/>
      <c r="OCY1156" s="7"/>
      <c r="OCZ1156" s="7"/>
      <c r="ODA1156" s="7"/>
      <c r="ODB1156" s="7"/>
      <c r="ODC1156" s="7"/>
      <c r="ODD1156" s="7"/>
      <c r="ODE1156" s="7"/>
      <c r="ODF1156" s="7"/>
      <c r="ODG1156" s="7"/>
      <c r="ODH1156" s="7"/>
      <c r="ODI1156" s="7"/>
      <c r="ODJ1156" s="7"/>
      <c r="ODK1156" s="7"/>
      <c r="ODL1156" s="7"/>
      <c r="ODM1156" s="7"/>
      <c r="ODN1156" s="7"/>
      <c r="ODO1156" s="7"/>
      <c r="ODP1156" s="7"/>
      <c r="ODQ1156" s="7"/>
      <c r="ODR1156" s="7"/>
      <c r="ODS1156" s="7"/>
      <c r="ODT1156" s="7"/>
      <c r="ODU1156" s="7"/>
      <c r="ODV1156" s="7"/>
      <c r="ODW1156" s="7"/>
      <c r="ODX1156" s="7"/>
      <c r="ODY1156" s="7"/>
      <c r="ODZ1156" s="7"/>
      <c r="OEA1156" s="7"/>
      <c r="OEB1156" s="7"/>
      <c r="OEC1156" s="7"/>
      <c r="OED1156" s="7"/>
      <c r="OEE1156" s="7"/>
      <c r="OEF1156" s="7"/>
      <c r="OEG1156" s="7"/>
      <c r="OEH1156" s="7"/>
      <c r="OEI1156" s="7"/>
      <c r="OEJ1156" s="7"/>
      <c r="OEK1156" s="7"/>
      <c r="OEL1156" s="7"/>
      <c r="OEM1156" s="7"/>
      <c r="OEN1156" s="7"/>
      <c r="OEO1156" s="7"/>
      <c r="OEP1156" s="7"/>
      <c r="OEQ1156" s="7"/>
      <c r="OER1156" s="7"/>
      <c r="OES1156" s="7"/>
      <c r="OET1156" s="7"/>
      <c r="OEU1156" s="7"/>
      <c r="OEV1156" s="7"/>
      <c r="OEW1156" s="7"/>
      <c r="OEX1156" s="7"/>
      <c r="OEY1156" s="7"/>
      <c r="OEZ1156" s="7"/>
      <c r="OFA1156" s="7"/>
      <c r="OFB1156" s="7"/>
      <c r="OFC1156" s="7"/>
      <c r="OFD1156" s="7"/>
      <c r="OFE1156" s="7"/>
      <c r="OFF1156" s="7"/>
      <c r="OFG1156" s="7"/>
      <c r="OFH1156" s="7"/>
      <c r="OFI1156" s="7"/>
      <c r="OFJ1156" s="7"/>
      <c r="OFK1156" s="7"/>
      <c r="OFL1156" s="7"/>
      <c r="OFM1156" s="7"/>
      <c r="OFN1156" s="7"/>
      <c r="OFO1156" s="7"/>
      <c r="OFP1156" s="7"/>
      <c r="OFQ1156" s="7"/>
      <c r="OFR1156" s="7"/>
      <c r="OFS1156" s="7"/>
      <c r="OFT1156" s="7"/>
      <c r="OFU1156" s="7"/>
      <c r="OFV1156" s="7"/>
      <c r="OFW1156" s="7"/>
      <c r="OFX1156" s="7"/>
      <c r="OFY1156" s="7"/>
      <c r="OFZ1156" s="7"/>
      <c r="OGA1156" s="7"/>
      <c r="OGB1156" s="7"/>
      <c r="OGC1156" s="7"/>
      <c r="OGD1156" s="7"/>
      <c r="OGE1156" s="7"/>
      <c r="OGF1156" s="7"/>
      <c r="OGG1156" s="7"/>
      <c r="OGH1156" s="7"/>
      <c r="OGI1156" s="7"/>
      <c r="OGJ1156" s="7"/>
      <c r="OGK1156" s="7"/>
      <c r="OGL1156" s="7"/>
      <c r="OGM1156" s="7"/>
      <c r="OGN1156" s="7"/>
      <c r="OGO1156" s="7"/>
      <c r="OGP1156" s="7"/>
      <c r="OGQ1156" s="7"/>
      <c r="OGR1156" s="7"/>
      <c r="OGS1156" s="7"/>
      <c r="OGT1156" s="7"/>
      <c r="OGU1156" s="7"/>
      <c r="OGV1156" s="7"/>
      <c r="OGW1156" s="7"/>
      <c r="OGX1156" s="7"/>
      <c r="OGY1156" s="7"/>
      <c r="OGZ1156" s="7"/>
      <c r="OHA1156" s="7"/>
      <c r="OHB1156" s="7"/>
      <c r="OHC1156" s="7"/>
      <c r="OHD1156" s="7"/>
      <c r="OHE1156" s="7"/>
      <c r="OHF1156" s="7"/>
      <c r="OHG1156" s="7"/>
      <c r="OHH1156" s="7"/>
      <c r="OHI1156" s="7"/>
      <c r="OHJ1156" s="7"/>
      <c r="OHK1156" s="7"/>
      <c r="OHL1156" s="7"/>
      <c r="OHM1156" s="7"/>
      <c r="OHN1156" s="7"/>
      <c r="OHO1156" s="7"/>
      <c r="OHP1156" s="7"/>
      <c r="OHQ1156" s="7"/>
      <c r="OHR1156" s="7"/>
      <c r="OHS1156" s="7"/>
      <c r="OHT1156" s="7"/>
      <c r="OHU1156" s="7"/>
      <c r="OHV1156" s="7"/>
      <c r="OHW1156" s="7"/>
      <c r="OHX1156" s="7"/>
      <c r="OHY1156" s="7"/>
      <c r="OHZ1156" s="7"/>
      <c r="OIA1156" s="7"/>
      <c r="OIB1156" s="7"/>
      <c r="OIC1156" s="7"/>
      <c r="OID1156" s="7"/>
      <c r="OIE1156" s="7"/>
      <c r="OIF1156" s="7"/>
      <c r="OIG1156" s="7"/>
      <c r="OIH1156" s="7"/>
      <c r="OII1156" s="7"/>
      <c r="OIJ1156" s="7"/>
      <c r="OIK1156" s="7"/>
      <c r="OIL1156" s="7"/>
      <c r="OIM1156" s="7"/>
      <c r="OIN1156" s="7"/>
      <c r="OIO1156" s="7"/>
      <c r="OIP1156" s="7"/>
      <c r="OIQ1156" s="7"/>
      <c r="OIR1156" s="7"/>
      <c r="OIS1156" s="7"/>
      <c r="OIT1156" s="7"/>
      <c r="OIU1156" s="7"/>
      <c r="OIV1156" s="7"/>
      <c r="OIW1156" s="7"/>
      <c r="OIX1156" s="7"/>
      <c r="OIY1156" s="7"/>
      <c r="OIZ1156" s="7"/>
      <c r="OJA1156" s="7"/>
      <c r="OJB1156" s="7"/>
      <c r="OJC1156" s="7"/>
      <c r="OJD1156" s="7"/>
      <c r="OJE1156" s="7"/>
      <c r="OJF1156" s="7"/>
      <c r="OJG1156" s="7"/>
      <c r="OJH1156" s="7"/>
      <c r="OJI1156" s="7"/>
      <c r="OJJ1156" s="7"/>
      <c r="OJK1156" s="7"/>
      <c r="OJL1156" s="7"/>
      <c r="OJM1156" s="7"/>
      <c r="OJN1156" s="7"/>
      <c r="OJO1156" s="7"/>
      <c r="OJP1156" s="7"/>
      <c r="OJQ1156" s="7"/>
      <c r="OJR1156" s="7"/>
      <c r="OJS1156" s="7"/>
      <c r="OJT1156" s="7"/>
      <c r="OJU1156" s="7"/>
      <c r="OJV1156" s="7"/>
      <c r="OJW1156" s="7"/>
      <c r="OJX1156" s="7"/>
      <c r="OJY1156" s="7"/>
      <c r="OJZ1156" s="7"/>
      <c r="OKA1156" s="7"/>
      <c r="OKB1156" s="7"/>
      <c r="OKC1156" s="7"/>
      <c r="OKD1156" s="7"/>
      <c r="OKE1156" s="7"/>
      <c r="OKF1156" s="7"/>
      <c r="OKG1156" s="7"/>
      <c r="OKH1156" s="7"/>
      <c r="OKI1156" s="7"/>
      <c r="OKJ1156" s="7"/>
      <c r="OKK1156" s="7"/>
      <c r="OKL1156" s="7"/>
      <c r="OKM1156" s="7"/>
      <c r="OKN1156" s="7"/>
      <c r="OKO1156" s="7"/>
      <c r="OKP1156" s="7"/>
      <c r="OKQ1156" s="7"/>
      <c r="OKR1156" s="7"/>
      <c r="OKS1156" s="7"/>
      <c r="OKT1156" s="7"/>
      <c r="OKU1156" s="7"/>
      <c r="OKV1156" s="7"/>
      <c r="OKW1156" s="7"/>
      <c r="OKX1156" s="7"/>
      <c r="OKY1156" s="7"/>
      <c r="OKZ1156" s="7"/>
      <c r="OLA1156" s="7"/>
      <c r="OLB1156" s="7"/>
      <c r="OLC1156" s="7"/>
      <c r="OLD1156" s="7"/>
      <c r="OLE1156" s="7"/>
      <c r="OLF1156" s="7"/>
      <c r="OLG1156" s="7"/>
      <c r="OLH1156" s="7"/>
      <c r="OLI1156" s="7"/>
      <c r="OLJ1156" s="7"/>
      <c r="OLK1156" s="7"/>
      <c r="OLL1156" s="7"/>
      <c r="OLM1156" s="7"/>
      <c r="OLN1156" s="7"/>
      <c r="OLO1156" s="7"/>
      <c r="OLP1156" s="7"/>
      <c r="OLQ1156" s="7"/>
      <c r="OLR1156" s="7"/>
      <c r="OLS1156" s="7"/>
      <c r="OLT1156" s="7"/>
      <c r="OLU1156" s="7"/>
      <c r="OLV1156" s="7"/>
      <c r="OLW1156" s="7"/>
      <c r="OLX1156" s="7"/>
      <c r="OLY1156" s="7"/>
      <c r="OLZ1156" s="7"/>
      <c r="OMA1156" s="7"/>
      <c r="OMB1156" s="7"/>
      <c r="OMC1156" s="7"/>
      <c r="OMD1156" s="7"/>
      <c r="OME1156" s="7"/>
      <c r="OMF1156" s="7"/>
      <c r="OMG1156" s="7"/>
      <c r="OMH1156" s="7"/>
      <c r="OMI1156" s="7"/>
      <c r="OMJ1156" s="7"/>
      <c r="OMK1156" s="7"/>
      <c r="OML1156" s="7"/>
      <c r="OMM1156" s="7"/>
      <c r="OMN1156" s="7"/>
      <c r="OMO1156" s="7"/>
      <c r="OMP1156" s="7"/>
      <c r="OMQ1156" s="7"/>
      <c r="OMR1156" s="7"/>
      <c r="OMS1156" s="7"/>
      <c r="OMT1156" s="7"/>
      <c r="OMU1156" s="7"/>
      <c r="OMV1156" s="7"/>
      <c r="OMW1156" s="7"/>
      <c r="OMX1156" s="7"/>
      <c r="OMY1156" s="7"/>
      <c r="OMZ1156" s="7"/>
      <c r="ONA1156" s="7"/>
      <c r="ONB1156" s="7"/>
      <c r="ONC1156" s="7"/>
      <c r="OND1156" s="7"/>
      <c r="ONE1156" s="7"/>
      <c r="ONF1156" s="7"/>
      <c r="ONG1156" s="7"/>
      <c r="ONH1156" s="7"/>
      <c r="ONI1156" s="7"/>
      <c r="ONJ1156" s="7"/>
      <c r="ONK1156" s="7"/>
      <c r="ONL1156" s="7"/>
      <c r="ONM1156" s="7"/>
      <c r="ONN1156" s="7"/>
      <c r="ONO1156" s="7"/>
      <c r="ONP1156" s="7"/>
      <c r="ONQ1156" s="7"/>
      <c r="ONR1156" s="7"/>
      <c r="ONS1156" s="7"/>
      <c r="ONT1156" s="7"/>
      <c r="ONU1156" s="7"/>
      <c r="ONV1156" s="7"/>
      <c r="ONW1156" s="7"/>
      <c r="ONX1156" s="7"/>
      <c r="ONY1156" s="7"/>
      <c r="ONZ1156" s="7"/>
      <c r="OOA1156" s="7"/>
      <c r="OOB1156" s="7"/>
      <c r="OOC1156" s="7"/>
      <c r="OOD1156" s="7"/>
      <c r="OOE1156" s="7"/>
      <c r="OOF1156" s="7"/>
      <c r="OOG1156" s="7"/>
      <c r="OOH1156" s="7"/>
      <c r="OOI1156" s="7"/>
      <c r="OOJ1156" s="7"/>
      <c r="OOK1156" s="7"/>
      <c r="OOL1156" s="7"/>
      <c r="OOM1156" s="7"/>
      <c r="OON1156" s="7"/>
      <c r="OOO1156" s="7"/>
      <c r="OOP1156" s="7"/>
      <c r="OOQ1156" s="7"/>
      <c r="OOR1156" s="7"/>
      <c r="OOS1156" s="7"/>
      <c r="OOT1156" s="7"/>
      <c r="OOU1156" s="7"/>
      <c r="OOV1156" s="7"/>
      <c r="OOW1156" s="7"/>
      <c r="OOX1156" s="7"/>
      <c r="OOY1156" s="7"/>
      <c r="OOZ1156" s="7"/>
      <c r="OPA1156" s="7"/>
      <c r="OPB1156" s="7"/>
      <c r="OPC1156" s="7"/>
      <c r="OPD1156" s="7"/>
      <c r="OPE1156" s="7"/>
      <c r="OPF1156" s="7"/>
      <c r="OPG1156" s="7"/>
      <c r="OPH1156" s="7"/>
      <c r="OPI1156" s="7"/>
      <c r="OPJ1156" s="7"/>
      <c r="OPK1156" s="7"/>
      <c r="OPL1156" s="7"/>
      <c r="OPM1156" s="7"/>
      <c r="OPN1156" s="7"/>
      <c r="OPO1156" s="7"/>
      <c r="OPP1156" s="7"/>
      <c r="OPQ1156" s="7"/>
      <c r="OPR1156" s="7"/>
      <c r="OPS1156" s="7"/>
      <c r="OPT1156" s="7"/>
      <c r="OPU1156" s="7"/>
      <c r="OPV1156" s="7"/>
      <c r="OPW1156" s="7"/>
      <c r="OPX1156" s="7"/>
      <c r="OPY1156" s="7"/>
      <c r="OPZ1156" s="7"/>
      <c r="OQA1156" s="7"/>
      <c r="OQB1156" s="7"/>
      <c r="OQC1156" s="7"/>
      <c r="OQD1156" s="7"/>
      <c r="OQE1156" s="7"/>
      <c r="OQF1156" s="7"/>
      <c r="OQG1156" s="7"/>
      <c r="OQH1156" s="7"/>
      <c r="OQI1156" s="7"/>
      <c r="OQJ1156" s="7"/>
      <c r="OQK1156" s="7"/>
      <c r="OQL1156" s="7"/>
      <c r="OQM1156" s="7"/>
      <c r="OQN1156" s="7"/>
      <c r="OQO1156" s="7"/>
      <c r="OQP1156" s="7"/>
      <c r="OQQ1156" s="7"/>
      <c r="OQR1156" s="7"/>
      <c r="OQS1156" s="7"/>
      <c r="OQT1156" s="7"/>
      <c r="OQU1156" s="7"/>
      <c r="OQV1156" s="7"/>
      <c r="OQW1156" s="7"/>
      <c r="OQX1156" s="7"/>
      <c r="OQY1156" s="7"/>
      <c r="OQZ1156" s="7"/>
      <c r="ORA1156" s="7"/>
      <c r="ORB1156" s="7"/>
      <c r="ORC1156" s="7"/>
      <c r="ORD1156" s="7"/>
      <c r="ORE1156" s="7"/>
      <c r="ORF1156" s="7"/>
      <c r="ORG1156" s="7"/>
      <c r="ORH1156" s="7"/>
      <c r="ORI1156" s="7"/>
      <c r="ORJ1156" s="7"/>
      <c r="ORK1156" s="7"/>
      <c r="ORL1156" s="7"/>
      <c r="ORM1156" s="7"/>
      <c r="ORN1156" s="7"/>
      <c r="ORO1156" s="7"/>
      <c r="ORP1156" s="7"/>
      <c r="ORQ1156" s="7"/>
      <c r="ORR1156" s="7"/>
      <c r="ORS1156" s="7"/>
      <c r="ORT1156" s="7"/>
      <c r="ORU1156" s="7"/>
      <c r="ORV1156" s="7"/>
      <c r="ORW1156" s="7"/>
      <c r="ORX1156" s="7"/>
      <c r="ORY1156" s="7"/>
      <c r="ORZ1156" s="7"/>
      <c r="OSA1156" s="7"/>
      <c r="OSB1156" s="7"/>
      <c r="OSC1156" s="7"/>
      <c r="OSD1156" s="7"/>
      <c r="OSE1156" s="7"/>
      <c r="OSF1156" s="7"/>
      <c r="OSG1156" s="7"/>
      <c r="OSH1156" s="7"/>
      <c r="OSI1156" s="7"/>
      <c r="OSJ1156" s="7"/>
      <c r="OSK1156" s="7"/>
      <c r="OSL1156" s="7"/>
      <c r="OSM1156" s="7"/>
      <c r="OSN1156" s="7"/>
      <c r="OSO1156" s="7"/>
      <c r="OSP1156" s="7"/>
      <c r="OSQ1156" s="7"/>
      <c r="OSR1156" s="7"/>
      <c r="OSS1156" s="7"/>
      <c r="OST1156" s="7"/>
      <c r="OSU1156" s="7"/>
      <c r="OSV1156" s="7"/>
      <c r="OSW1156" s="7"/>
      <c r="OSX1156" s="7"/>
      <c r="OSY1156" s="7"/>
      <c r="OSZ1156" s="7"/>
      <c r="OTA1156" s="7"/>
      <c r="OTB1156" s="7"/>
      <c r="OTC1156" s="7"/>
      <c r="OTD1156" s="7"/>
      <c r="OTE1156" s="7"/>
      <c r="OTF1156" s="7"/>
      <c r="OTG1156" s="7"/>
      <c r="OTH1156" s="7"/>
      <c r="OTI1156" s="7"/>
      <c r="OTJ1156" s="7"/>
      <c r="OTK1156" s="7"/>
      <c r="OTL1156" s="7"/>
      <c r="OTM1156" s="7"/>
      <c r="OTN1156" s="7"/>
      <c r="OTO1156" s="7"/>
      <c r="OTP1156" s="7"/>
      <c r="OTQ1156" s="7"/>
      <c r="OTR1156" s="7"/>
      <c r="OTS1156" s="7"/>
      <c r="OTT1156" s="7"/>
      <c r="OTU1156" s="7"/>
      <c r="OTV1156" s="7"/>
      <c r="OTW1156" s="7"/>
      <c r="OTX1156" s="7"/>
      <c r="OTY1156" s="7"/>
      <c r="OTZ1156" s="7"/>
      <c r="OUA1156" s="7"/>
      <c r="OUB1156" s="7"/>
      <c r="OUC1156" s="7"/>
      <c r="OUD1156" s="7"/>
      <c r="OUE1156" s="7"/>
      <c r="OUF1156" s="7"/>
      <c r="OUG1156" s="7"/>
      <c r="OUH1156" s="7"/>
      <c r="OUI1156" s="7"/>
      <c r="OUJ1156" s="7"/>
      <c r="OUK1156" s="7"/>
      <c r="OUL1156" s="7"/>
      <c r="OUM1156" s="7"/>
      <c r="OUN1156" s="7"/>
      <c r="OUO1156" s="7"/>
      <c r="OUP1156" s="7"/>
      <c r="OUQ1156" s="7"/>
      <c r="OUR1156" s="7"/>
      <c r="OUS1156" s="7"/>
      <c r="OUT1156" s="7"/>
      <c r="OUU1156" s="7"/>
      <c r="OUV1156" s="7"/>
      <c r="OUW1156" s="7"/>
      <c r="OUX1156" s="7"/>
      <c r="OUY1156" s="7"/>
      <c r="OUZ1156" s="7"/>
      <c r="OVA1156" s="7"/>
      <c r="OVB1156" s="7"/>
      <c r="OVC1156" s="7"/>
      <c r="OVD1156" s="7"/>
      <c r="OVE1156" s="7"/>
      <c r="OVF1156" s="7"/>
      <c r="OVG1156" s="7"/>
      <c r="OVH1156" s="7"/>
      <c r="OVI1156" s="7"/>
      <c r="OVJ1156" s="7"/>
      <c r="OVK1156" s="7"/>
      <c r="OVL1156" s="7"/>
      <c r="OVM1156" s="7"/>
      <c r="OVN1156" s="7"/>
      <c r="OVO1156" s="7"/>
      <c r="OVP1156" s="7"/>
      <c r="OVQ1156" s="7"/>
      <c r="OVR1156" s="7"/>
      <c r="OVS1156" s="7"/>
      <c r="OVT1156" s="7"/>
      <c r="OVU1156" s="7"/>
      <c r="OVV1156" s="7"/>
      <c r="OVW1156" s="7"/>
      <c r="OVX1156" s="7"/>
      <c r="OVY1156" s="7"/>
      <c r="OVZ1156" s="7"/>
      <c r="OWA1156" s="7"/>
      <c r="OWB1156" s="7"/>
      <c r="OWC1156" s="7"/>
      <c r="OWD1156" s="7"/>
      <c r="OWE1156" s="7"/>
      <c r="OWF1156" s="7"/>
      <c r="OWG1156" s="7"/>
      <c r="OWH1156" s="7"/>
      <c r="OWI1156" s="7"/>
      <c r="OWJ1156" s="7"/>
      <c r="OWK1156" s="7"/>
      <c r="OWL1156" s="7"/>
      <c r="OWM1156" s="7"/>
      <c r="OWN1156" s="7"/>
      <c r="OWO1156" s="7"/>
      <c r="OWP1156" s="7"/>
      <c r="OWQ1156" s="7"/>
      <c r="OWR1156" s="7"/>
      <c r="OWS1156" s="7"/>
      <c r="OWT1156" s="7"/>
      <c r="OWU1156" s="7"/>
      <c r="OWV1156" s="7"/>
      <c r="OWW1156" s="7"/>
      <c r="OWX1156" s="7"/>
      <c r="OWY1156" s="7"/>
      <c r="OWZ1156" s="7"/>
      <c r="OXA1156" s="7"/>
      <c r="OXB1156" s="7"/>
      <c r="OXC1156" s="7"/>
      <c r="OXD1156" s="7"/>
      <c r="OXE1156" s="7"/>
      <c r="OXF1156" s="7"/>
      <c r="OXG1156" s="7"/>
      <c r="OXH1156" s="7"/>
      <c r="OXI1156" s="7"/>
      <c r="OXJ1156" s="7"/>
      <c r="OXK1156" s="7"/>
      <c r="OXL1156" s="7"/>
      <c r="OXM1156" s="7"/>
      <c r="OXN1156" s="7"/>
      <c r="OXO1156" s="7"/>
      <c r="OXP1156" s="7"/>
      <c r="OXQ1156" s="7"/>
      <c r="OXR1156" s="7"/>
      <c r="OXS1156" s="7"/>
      <c r="OXT1156" s="7"/>
      <c r="OXU1156" s="7"/>
      <c r="OXV1156" s="7"/>
      <c r="OXW1156" s="7"/>
      <c r="OXX1156" s="7"/>
      <c r="OXY1156" s="7"/>
      <c r="OXZ1156" s="7"/>
      <c r="OYA1156" s="7"/>
      <c r="OYB1156" s="7"/>
      <c r="OYC1156" s="7"/>
      <c r="OYD1156" s="7"/>
      <c r="OYE1156" s="7"/>
      <c r="OYF1156" s="7"/>
      <c r="OYG1156" s="7"/>
      <c r="OYH1156" s="7"/>
      <c r="OYI1156" s="7"/>
      <c r="OYJ1156" s="7"/>
      <c r="OYK1156" s="7"/>
      <c r="OYL1156" s="7"/>
      <c r="OYM1156" s="7"/>
      <c r="OYN1156" s="7"/>
      <c r="OYO1156" s="7"/>
      <c r="OYP1156" s="7"/>
      <c r="OYQ1156" s="7"/>
      <c r="OYR1156" s="7"/>
      <c r="OYS1156" s="7"/>
      <c r="OYT1156" s="7"/>
      <c r="OYU1156" s="7"/>
      <c r="OYV1156" s="7"/>
      <c r="OYW1156" s="7"/>
      <c r="OYX1156" s="7"/>
      <c r="OYY1156" s="7"/>
      <c r="OYZ1156" s="7"/>
      <c r="OZA1156" s="7"/>
      <c r="OZB1156" s="7"/>
      <c r="OZC1156" s="7"/>
      <c r="OZD1156" s="7"/>
      <c r="OZE1156" s="7"/>
      <c r="OZF1156" s="7"/>
      <c r="OZG1156" s="7"/>
      <c r="OZH1156" s="7"/>
      <c r="OZI1156" s="7"/>
      <c r="OZJ1156" s="7"/>
      <c r="OZK1156" s="7"/>
      <c r="OZL1156" s="7"/>
      <c r="OZM1156" s="7"/>
      <c r="OZN1156" s="7"/>
      <c r="OZO1156" s="7"/>
      <c r="OZP1156" s="7"/>
      <c r="OZQ1156" s="7"/>
      <c r="OZR1156" s="7"/>
      <c r="OZS1156" s="7"/>
      <c r="OZT1156" s="7"/>
      <c r="OZU1156" s="7"/>
      <c r="OZV1156" s="7"/>
      <c r="OZW1156" s="7"/>
      <c r="OZX1156" s="7"/>
      <c r="OZY1156" s="7"/>
      <c r="OZZ1156" s="7"/>
      <c r="PAA1156" s="7"/>
      <c r="PAB1156" s="7"/>
      <c r="PAC1156" s="7"/>
      <c r="PAD1156" s="7"/>
      <c r="PAE1156" s="7"/>
      <c r="PAF1156" s="7"/>
      <c r="PAG1156" s="7"/>
      <c r="PAH1156" s="7"/>
      <c r="PAI1156" s="7"/>
      <c r="PAJ1156" s="7"/>
      <c r="PAK1156" s="7"/>
      <c r="PAL1156" s="7"/>
      <c r="PAM1156" s="7"/>
      <c r="PAN1156" s="7"/>
      <c r="PAO1156" s="7"/>
      <c r="PAP1156" s="7"/>
      <c r="PAQ1156" s="7"/>
      <c r="PAR1156" s="7"/>
      <c r="PAS1156" s="7"/>
      <c r="PAT1156" s="7"/>
      <c r="PAU1156" s="7"/>
      <c r="PAV1156" s="7"/>
      <c r="PAW1156" s="7"/>
      <c r="PAX1156" s="7"/>
      <c r="PAY1156" s="7"/>
      <c r="PAZ1156" s="7"/>
      <c r="PBA1156" s="7"/>
      <c r="PBB1156" s="7"/>
      <c r="PBC1156" s="7"/>
      <c r="PBD1156" s="7"/>
      <c r="PBE1156" s="7"/>
      <c r="PBF1156" s="7"/>
      <c r="PBG1156" s="7"/>
      <c r="PBH1156" s="7"/>
      <c r="PBI1156" s="7"/>
      <c r="PBJ1156" s="7"/>
      <c r="PBK1156" s="7"/>
      <c r="PBL1156" s="7"/>
      <c r="PBM1156" s="7"/>
      <c r="PBN1156" s="7"/>
      <c r="PBO1156" s="7"/>
      <c r="PBP1156" s="7"/>
      <c r="PBQ1156" s="7"/>
      <c r="PBR1156" s="7"/>
      <c r="PBS1156" s="7"/>
      <c r="PBT1156" s="7"/>
      <c r="PBU1156" s="7"/>
      <c r="PBV1156" s="7"/>
      <c r="PBW1156" s="7"/>
      <c r="PBX1156" s="7"/>
      <c r="PBY1156" s="7"/>
      <c r="PBZ1156" s="7"/>
      <c r="PCA1156" s="7"/>
      <c r="PCB1156" s="7"/>
      <c r="PCC1156" s="7"/>
      <c r="PCD1156" s="7"/>
      <c r="PCE1156" s="7"/>
      <c r="PCF1156" s="7"/>
      <c r="PCG1156" s="7"/>
      <c r="PCH1156" s="7"/>
      <c r="PCI1156" s="7"/>
      <c r="PCJ1156" s="7"/>
      <c r="PCK1156" s="7"/>
      <c r="PCL1156" s="7"/>
      <c r="PCM1156" s="7"/>
      <c r="PCN1156" s="7"/>
      <c r="PCO1156" s="7"/>
      <c r="PCP1156" s="7"/>
      <c r="PCQ1156" s="7"/>
      <c r="PCR1156" s="7"/>
      <c r="PCS1156" s="7"/>
      <c r="PCT1156" s="7"/>
      <c r="PCU1156" s="7"/>
      <c r="PCV1156" s="7"/>
      <c r="PCW1156" s="7"/>
      <c r="PCX1156" s="7"/>
      <c r="PCY1156" s="7"/>
      <c r="PCZ1156" s="7"/>
      <c r="PDA1156" s="7"/>
      <c r="PDB1156" s="7"/>
      <c r="PDC1156" s="7"/>
      <c r="PDD1156" s="7"/>
      <c r="PDE1156" s="7"/>
      <c r="PDF1156" s="7"/>
      <c r="PDG1156" s="7"/>
      <c r="PDH1156" s="7"/>
      <c r="PDI1156" s="7"/>
      <c r="PDJ1156" s="7"/>
      <c r="PDK1156" s="7"/>
      <c r="PDL1156" s="7"/>
      <c r="PDM1156" s="7"/>
      <c r="PDN1156" s="7"/>
      <c r="PDO1156" s="7"/>
      <c r="PDP1156" s="7"/>
      <c r="PDQ1156" s="7"/>
      <c r="PDR1156" s="7"/>
      <c r="PDS1156" s="7"/>
      <c r="PDT1156" s="7"/>
      <c r="PDU1156" s="7"/>
      <c r="PDV1156" s="7"/>
      <c r="PDW1156" s="7"/>
      <c r="PDX1156" s="7"/>
      <c r="PDY1156" s="7"/>
      <c r="PDZ1156" s="7"/>
      <c r="PEA1156" s="7"/>
      <c r="PEB1156" s="7"/>
      <c r="PEC1156" s="7"/>
      <c r="PED1156" s="7"/>
      <c r="PEE1156" s="7"/>
      <c r="PEF1156" s="7"/>
      <c r="PEG1156" s="7"/>
      <c r="PEH1156" s="7"/>
      <c r="PEI1156" s="7"/>
      <c r="PEJ1156" s="7"/>
      <c r="PEK1156" s="7"/>
      <c r="PEL1156" s="7"/>
      <c r="PEM1156" s="7"/>
      <c r="PEN1156" s="7"/>
      <c r="PEO1156" s="7"/>
      <c r="PEP1156" s="7"/>
      <c r="PEQ1156" s="7"/>
      <c r="PER1156" s="7"/>
      <c r="PES1156" s="7"/>
      <c r="PET1156" s="7"/>
      <c r="PEU1156" s="7"/>
      <c r="PEV1156" s="7"/>
      <c r="PEW1156" s="7"/>
      <c r="PEX1156" s="7"/>
      <c r="PEY1156" s="7"/>
      <c r="PEZ1156" s="7"/>
      <c r="PFA1156" s="7"/>
      <c r="PFB1156" s="7"/>
      <c r="PFC1156" s="7"/>
      <c r="PFD1156" s="7"/>
      <c r="PFE1156" s="7"/>
      <c r="PFF1156" s="7"/>
      <c r="PFG1156" s="7"/>
      <c r="PFH1156" s="7"/>
      <c r="PFI1156" s="7"/>
      <c r="PFJ1156" s="7"/>
      <c r="PFK1156" s="7"/>
      <c r="PFL1156" s="7"/>
      <c r="PFM1156" s="7"/>
      <c r="PFN1156" s="7"/>
      <c r="PFO1156" s="7"/>
      <c r="PFP1156" s="7"/>
      <c r="PFQ1156" s="7"/>
      <c r="PFR1156" s="7"/>
      <c r="PFS1156" s="7"/>
      <c r="PFT1156" s="7"/>
      <c r="PFU1156" s="7"/>
      <c r="PFV1156" s="7"/>
      <c r="PFW1156" s="7"/>
      <c r="PFX1156" s="7"/>
      <c r="PFY1156" s="7"/>
      <c r="PFZ1156" s="7"/>
      <c r="PGA1156" s="7"/>
      <c r="PGB1156" s="7"/>
      <c r="PGC1156" s="7"/>
      <c r="PGD1156" s="7"/>
      <c r="PGE1156" s="7"/>
      <c r="PGF1156" s="7"/>
      <c r="PGG1156" s="7"/>
      <c r="PGH1156" s="7"/>
      <c r="PGI1156" s="7"/>
      <c r="PGJ1156" s="7"/>
      <c r="PGK1156" s="7"/>
      <c r="PGL1156" s="7"/>
      <c r="PGM1156" s="7"/>
      <c r="PGN1156" s="7"/>
      <c r="PGO1156" s="7"/>
      <c r="PGP1156" s="7"/>
      <c r="PGQ1156" s="7"/>
      <c r="PGR1156" s="7"/>
      <c r="PGS1156" s="7"/>
      <c r="PGT1156" s="7"/>
      <c r="PGU1156" s="7"/>
      <c r="PGV1156" s="7"/>
      <c r="PGW1156" s="7"/>
      <c r="PGX1156" s="7"/>
      <c r="PGY1156" s="7"/>
      <c r="PGZ1156" s="7"/>
      <c r="PHA1156" s="7"/>
      <c r="PHB1156" s="7"/>
      <c r="PHC1156" s="7"/>
      <c r="PHD1156" s="7"/>
      <c r="PHE1156" s="7"/>
      <c r="PHF1156" s="7"/>
      <c r="PHG1156" s="7"/>
      <c r="PHH1156" s="7"/>
      <c r="PHI1156" s="7"/>
      <c r="PHJ1156" s="7"/>
      <c r="PHK1156" s="7"/>
      <c r="PHL1156" s="7"/>
      <c r="PHM1156" s="7"/>
      <c r="PHN1156" s="7"/>
      <c r="PHO1156" s="7"/>
      <c r="PHP1156" s="7"/>
      <c r="PHQ1156" s="7"/>
      <c r="PHR1156" s="7"/>
      <c r="PHS1156" s="7"/>
      <c r="PHT1156" s="7"/>
      <c r="PHU1156" s="7"/>
      <c r="PHV1156" s="7"/>
      <c r="PHW1156" s="7"/>
      <c r="PHX1156" s="7"/>
      <c r="PHY1156" s="7"/>
      <c r="PHZ1156" s="7"/>
      <c r="PIA1156" s="7"/>
      <c r="PIB1156" s="7"/>
      <c r="PIC1156" s="7"/>
      <c r="PID1156" s="7"/>
      <c r="PIE1156" s="7"/>
      <c r="PIF1156" s="7"/>
      <c r="PIG1156" s="7"/>
      <c r="PIH1156" s="7"/>
      <c r="PII1156" s="7"/>
      <c r="PIJ1156" s="7"/>
      <c r="PIK1156" s="7"/>
      <c r="PIL1156" s="7"/>
      <c r="PIM1156" s="7"/>
      <c r="PIN1156" s="7"/>
      <c r="PIO1156" s="7"/>
      <c r="PIP1156" s="7"/>
      <c r="PIQ1156" s="7"/>
      <c r="PIR1156" s="7"/>
      <c r="PIS1156" s="7"/>
      <c r="PIT1156" s="7"/>
      <c r="PIU1156" s="7"/>
      <c r="PIV1156" s="7"/>
      <c r="PIW1156" s="7"/>
      <c r="PIX1156" s="7"/>
      <c r="PIY1156" s="7"/>
      <c r="PIZ1156" s="7"/>
      <c r="PJA1156" s="7"/>
      <c r="PJB1156" s="7"/>
      <c r="PJC1156" s="7"/>
      <c r="PJD1156" s="7"/>
      <c r="PJE1156" s="7"/>
      <c r="PJF1156" s="7"/>
      <c r="PJG1156" s="7"/>
      <c r="PJH1156" s="7"/>
      <c r="PJI1156" s="7"/>
      <c r="PJJ1156" s="7"/>
      <c r="PJK1156" s="7"/>
      <c r="PJL1156" s="7"/>
      <c r="PJM1156" s="7"/>
      <c r="PJN1156" s="7"/>
      <c r="PJO1156" s="7"/>
      <c r="PJP1156" s="7"/>
      <c r="PJQ1156" s="7"/>
      <c r="PJR1156" s="7"/>
      <c r="PJS1156" s="7"/>
      <c r="PJT1156" s="7"/>
      <c r="PJU1156" s="7"/>
      <c r="PJV1156" s="7"/>
      <c r="PJW1156" s="7"/>
      <c r="PJX1156" s="7"/>
      <c r="PJY1156" s="7"/>
      <c r="PJZ1156" s="7"/>
      <c r="PKA1156" s="7"/>
      <c r="PKB1156" s="7"/>
      <c r="PKC1156" s="7"/>
      <c r="PKD1156" s="7"/>
      <c r="PKE1156" s="7"/>
      <c r="PKF1156" s="7"/>
      <c r="PKG1156" s="7"/>
      <c r="PKH1156" s="7"/>
      <c r="PKI1156" s="7"/>
      <c r="PKJ1156" s="7"/>
      <c r="PKK1156" s="7"/>
      <c r="PKL1156" s="7"/>
      <c r="PKM1156" s="7"/>
      <c r="PKN1156" s="7"/>
      <c r="PKO1156" s="7"/>
      <c r="PKP1156" s="7"/>
      <c r="PKQ1156" s="7"/>
      <c r="PKR1156" s="7"/>
      <c r="PKS1156" s="7"/>
      <c r="PKT1156" s="7"/>
      <c r="PKU1156" s="7"/>
      <c r="PKV1156" s="7"/>
      <c r="PKW1156" s="7"/>
      <c r="PKX1156" s="7"/>
      <c r="PKY1156" s="7"/>
      <c r="PKZ1156" s="7"/>
      <c r="PLA1156" s="7"/>
      <c r="PLB1156" s="7"/>
      <c r="PLC1156" s="7"/>
      <c r="PLD1156" s="7"/>
      <c r="PLE1156" s="7"/>
      <c r="PLF1156" s="7"/>
      <c r="PLG1156" s="7"/>
      <c r="PLH1156" s="7"/>
      <c r="PLI1156" s="7"/>
      <c r="PLJ1156" s="7"/>
      <c r="PLK1156" s="7"/>
      <c r="PLL1156" s="7"/>
      <c r="PLM1156" s="7"/>
      <c r="PLN1156" s="7"/>
      <c r="PLO1156" s="7"/>
      <c r="PLP1156" s="7"/>
      <c r="PLQ1156" s="7"/>
      <c r="PLR1156" s="7"/>
      <c r="PLS1156" s="7"/>
      <c r="PLT1156" s="7"/>
      <c r="PLU1156" s="7"/>
      <c r="PLV1156" s="7"/>
      <c r="PLW1156" s="7"/>
      <c r="PLX1156" s="7"/>
      <c r="PLY1156" s="7"/>
      <c r="PLZ1156" s="7"/>
      <c r="PMA1156" s="7"/>
      <c r="PMB1156" s="7"/>
      <c r="PMC1156" s="7"/>
      <c r="PMD1156" s="7"/>
      <c r="PME1156" s="7"/>
      <c r="PMF1156" s="7"/>
      <c r="PMG1156" s="7"/>
      <c r="PMH1156" s="7"/>
      <c r="PMI1156" s="7"/>
      <c r="PMJ1156" s="7"/>
      <c r="PMK1156" s="7"/>
      <c r="PML1156" s="7"/>
      <c r="PMM1156" s="7"/>
      <c r="PMN1156" s="7"/>
      <c r="PMO1156" s="7"/>
      <c r="PMP1156" s="7"/>
      <c r="PMQ1156" s="7"/>
      <c r="PMR1156" s="7"/>
      <c r="PMS1156" s="7"/>
      <c r="PMT1156" s="7"/>
      <c r="PMU1156" s="7"/>
      <c r="PMV1156" s="7"/>
      <c r="PMW1156" s="7"/>
      <c r="PMX1156" s="7"/>
      <c r="PMY1156" s="7"/>
      <c r="PMZ1156" s="7"/>
      <c r="PNA1156" s="7"/>
      <c r="PNB1156" s="7"/>
      <c r="PNC1156" s="7"/>
      <c r="PND1156" s="7"/>
      <c r="PNE1156" s="7"/>
      <c r="PNF1156" s="7"/>
      <c r="PNG1156" s="7"/>
      <c r="PNH1156" s="7"/>
      <c r="PNI1156" s="7"/>
      <c r="PNJ1156" s="7"/>
      <c r="PNK1156" s="7"/>
      <c r="PNL1156" s="7"/>
      <c r="PNM1156" s="7"/>
      <c r="PNN1156" s="7"/>
      <c r="PNO1156" s="7"/>
      <c r="PNP1156" s="7"/>
      <c r="PNQ1156" s="7"/>
      <c r="PNR1156" s="7"/>
      <c r="PNS1156" s="7"/>
      <c r="PNT1156" s="7"/>
      <c r="PNU1156" s="7"/>
      <c r="PNV1156" s="7"/>
      <c r="PNW1156" s="7"/>
      <c r="PNX1156" s="7"/>
      <c r="PNY1156" s="7"/>
      <c r="PNZ1156" s="7"/>
      <c r="POA1156" s="7"/>
      <c r="POB1156" s="7"/>
      <c r="POC1156" s="7"/>
      <c r="POD1156" s="7"/>
      <c r="POE1156" s="7"/>
      <c r="POF1156" s="7"/>
      <c r="POG1156" s="7"/>
      <c r="POH1156" s="7"/>
      <c r="POI1156" s="7"/>
      <c r="POJ1156" s="7"/>
      <c r="POK1156" s="7"/>
      <c r="POL1156" s="7"/>
      <c r="POM1156" s="7"/>
      <c r="PON1156" s="7"/>
      <c r="POO1156" s="7"/>
      <c r="POP1156" s="7"/>
      <c r="POQ1156" s="7"/>
      <c r="POR1156" s="7"/>
      <c r="POS1156" s="7"/>
      <c r="POT1156" s="7"/>
      <c r="POU1156" s="7"/>
      <c r="POV1156" s="7"/>
      <c r="POW1156" s="7"/>
      <c r="POX1156" s="7"/>
      <c r="POY1156" s="7"/>
      <c r="POZ1156" s="7"/>
      <c r="PPA1156" s="7"/>
      <c r="PPB1156" s="7"/>
      <c r="PPC1156" s="7"/>
      <c r="PPD1156" s="7"/>
      <c r="PPE1156" s="7"/>
      <c r="PPF1156" s="7"/>
      <c r="PPG1156" s="7"/>
      <c r="PPH1156" s="7"/>
      <c r="PPI1156" s="7"/>
      <c r="PPJ1156" s="7"/>
      <c r="PPK1156" s="7"/>
      <c r="PPL1156" s="7"/>
      <c r="PPM1156" s="7"/>
      <c r="PPN1156" s="7"/>
      <c r="PPO1156" s="7"/>
      <c r="PPP1156" s="7"/>
      <c r="PPQ1156" s="7"/>
      <c r="PPR1156" s="7"/>
      <c r="PPS1156" s="7"/>
      <c r="PPT1156" s="7"/>
      <c r="PPU1156" s="7"/>
      <c r="PPV1156" s="7"/>
      <c r="PPW1156" s="7"/>
      <c r="PPX1156" s="7"/>
      <c r="PPY1156" s="7"/>
      <c r="PPZ1156" s="7"/>
      <c r="PQA1156" s="7"/>
      <c r="PQB1156" s="7"/>
      <c r="PQC1156" s="7"/>
      <c r="PQD1156" s="7"/>
      <c r="PQE1156" s="7"/>
      <c r="PQF1156" s="7"/>
      <c r="PQG1156" s="7"/>
      <c r="PQH1156" s="7"/>
      <c r="PQI1156" s="7"/>
      <c r="PQJ1156" s="7"/>
      <c r="PQK1156" s="7"/>
      <c r="PQL1156" s="7"/>
      <c r="PQM1156" s="7"/>
      <c r="PQN1156" s="7"/>
      <c r="PQO1156" s="7"/>
      <c r="PQP1156" s="7"/>
      <c r="PQQ1156" s="7"/>
      <c r="PQR1156" s="7"/>
      <c r="PQS1156" s="7"/>
      <c r="PQT1156" s="7"/>
      <c r="PQU1156" s="7"/>
      <c r="PQV1156" s="7"/>
      <c r="PQW1156" s="7"/>
      <c r="PQX1156" s="7"/>
      <c r="PQY1156" s="7"/>
      <c r="PQZ1156" s="7"/>
      <c r="PRA1156" s="7"/>
      <c r="PRB1156" s="7"/>
      <c r="PRC1156" s="7"/>
      <c r="PRD1156" s="7"/>
      <c r="PRE1156" s="7"/>
      <c r="PRF1156" s="7"/>
      <c r="PRG1156" s="7"/>
      <c r="PRH1156" s="7"/>
      <c r="PRI1156" s="7"/>
      <c r="PRJ1156" s="7"/>
      <c r="PRK1156" s="7"/>
      <c r="PRL1156" s="7"/>
      <c r="PRM1156" s="7"/>
      <c r="PRN1156" s="7"/>
      <c r="PRO1156" s="7"/>
      <c r="PRP1156" s="7"/>
      <c r="PRQ1156" s="7"/>
      <c r="PRR1156" s="7"/>
      <c r="PRS1156" s="7"/>
      <c r="PRT1156" s="7"/>
      <c r="PRU1156" s="7"/>
      <c r="PRV1156" s="7"/>
      <c r="PRW1156" s="7"/>
      <c r="PRX1156" s="7"/>
      <c r="PRY1156" s="7"/>
      <c r="PRZ1156" s="7"/>
      <c r="PSA1156" s="7"/>
      <c r="PSB1156" s="7"/>
      <c r="PSC1156" s="7"/>
      <c r="PSD1156" s="7"/>
      <c r="PSE1156" s="7"/>
      <c r="PSF1156" s="7"/>
      <c r="PSG1156" s="7"/>
      <c r="PSH1156" s="7"/>
      <c r="PSI1156" s="7"/>
      <c r="PSJ1156" s="7"/>
      <c r="PSK1156" s="7"/>
      <c r="PSL1156" s="7"/>
      <c r="PSM1156" s="7"/>
      <c r="PSN1156" s="7"/>
      <c r="PSO1156" s="7"/>
      <c r="PSP1156" s="7"/>
      <c r="PSQ1156" s="7"/>
      <c r="PSR1156" s="7"/>
      <c r="PSS1156" s="7"/>
      <c r="PST1156" s="7"/>
      <c r="PSU1156" s="7"/>
      <c r="PSV1156" s="7"/>
      <c r="PSW1156" s="7"/>
      <c r="PSX1156" s="7"/>
      <c r="PSY1156" s="7"/>
      <c r="PSZ1156" s="7"/>
      <c r="PTA1156" s="7"/>
      <c r="PTB1156" s="7"/>
      <c r="PTC1156" s="7"/>
      <c r="PTD1156" s="7"/>
      <c r="PTE1156" s="7"/>
      <c r="PTF1156" s="7"/>
      <c r="PTG1156" s="7"/>
      <c r="PTH1156" s="7"/>
      <c r="PTI1156" s="7"/>
      <c r="PTJ1156" s="7"/>
      <c r="PTK1156" s="7"/>
      <c r="PTL1156" s="7"/>
      <c r="PTM1156" s="7"/>
      <c r="PTN1156" s="7"/>
      <c r="PTO1156" s="7"/>
      <c r="PTP1156" s="7"/>
      <c r="PTQ1156" s="7"/>
      <c r="PTR1156" s="7"/>
      <c r="PTS1156" s="7"/>
      <c r="PTT1156" s="7"/>
      <c r="PTU1156" s="7"/>
      <c r="PTV1156" s="7"/>
      <c r="PTW1156" s="7"/>
      <c r="PTX1156" s="7"/>
      <c r="PTY1156" s="7"/>
      <c r="PTZ1156" s="7"/>
      <c r="PUA1156" s="7"/>
      <c r="PUB1156" s="7"/>
      <c r="PUC1156" s="7"/>
      <c r="PUD1156" s="7"/>
      <c r="PUE1156" s="7"/>
      <c r="PUF1156" s="7"/>
      <c r="PUG1156" s="7"/>
      <c r="PUH1156" s="7"/>
      <c r="PUI1156" s="7"/>
      <c r="PUJ1156" s="7"/>
      <c r="PUK1156" s="7"/>
      <c r="PUL1156" s="7"/>
      <c r="PUM1156" s="7"/>
      <c r="PUN1156" s="7"/>
      <c r="PUO1156" s="7"/>
      <c r="PUP1156" s="7"/>
      <c r="PUQ1156" s="7"/>
      <c r="PUR1156" s="7"/>
      <c r="PUS1156" s="7"/>
      <c r="PUT1156" s="7"/>
      <c r="PUU1156" s="7"/>
      <c r="PUV1156" s="7"/>
      <c r="PUW1156" s="7"/>
      <c r="PUX1156" s="7"/>
      <c r="PUY1156" s="7"/>
      <c r="PUZ1156" s="7"/>
      <c r="PVA1156" s="7"/>
      <c r="PVB1156" s="7"/>
      <c r="PVC1156" s="7"/>
      <c r="PVD1156" s="7"/>
      <c r="PVE1156" s="7"/>
      <c r="PVF1156" s="7"/>
      <c r="PVG1156" s="7"/>
      <c r="PVH1156" s="7"/>
      <c r="PVI1156" s="7"/>
      <c r="PVJ1156" s="7"/>
      <c r="PVK1156" s="7"/>
      <c r="PVL1156" s="7"/>
      <c r="PVM1156" s="7"/>
      <c r="PVN1156" s="7"/>
      <c r="PVO1156" s="7"/>
      <c r="PVP1156" s="7"/>
      <c r="PVQ1156" s="7"/>
      <c r="PVR1156" s="7"/>
      <c r="PVS1156" s="7"/>
      <c r="PVT1156" s="7"/>
      <c r="PVU1156" s="7"/>
      <c r="PVV1156" s="7"/>
      <c r="PVW1156" s="7"/>
      <c r="PVX1156" s="7"/>
      <c r="PVY1156" s="7"/>
      <c r="PVZ1156" s="7"/>
      <c r="PWA1156" s="7"/>
      <c r="PWB1156" s="7"/>
      <c r="PWC1156" s="7"/>
      <c r="PWD1156" s="7"/>
      <c r="PWE1156" s="7"/>
      <c r="PWF1156" s="7"/>
      <c r="PWG1156" s="7"/>
      <c r="PWH1156" s="7"/>
      <c r="PWI1156" s="7"/>
      <c r="PWJ1156" s="7"/>
      <c r="PWK1156" s="7"/>
      <c r="PWL1156" s="7"/>
      <c r="PWM1156" s="7"/>
      <c r="PWN1156" s="7"/>
      <c r="PWO1156" s="7"/>
      <c r="PWP1156" s="7"/>
      <c r="PWQ1156" s="7"/>
      <c r="PWR1156" s="7"/>
      <c r="PWS1156" s="7"/>
      <c r="PWT1156" s="7"/>
      <c r="PWU1156" s="7"/>
      <c r="PWV1156" s="7"/>
      <c r="PWW1156" s="7"/>
      <c r="PWX1156" s="7"/>
      <c r="PWY1156" s="7"/>
      <c r="PWZ1156" s="7"/>
      <c r="PXA1156" s="7"/>
      <c r="PXB1156" s="7"/>
      <c r="PXC1156" s="7"/>
      <c r="PXD1156" s="7"/>
      <c r="PXE1156" s="7"/>
      <c r="PXF1156" s="7"/>
      <c r="PXG1156" s="7"/>
      <c r="PXH1156" s="7"/>
      <c r="PXI1156" s="7"/>
      <c r="PXJ1156" s="7"/>
      <c r="PXK1156" s="7"/>
      <c r="PXL1156" s="7"/>
      <c r="PXM1156" s="7"/>
      <c r="PXN1156" s="7"/>
      <c r="PXO1156" s="7"/>
      <c r="PXP1156" s="7"/>
      <c r="PXQ1156" s="7"/>
      <c r="PXR1156" s="7"/>
      <c r="PXS1156" s="7"/>
      <c r="PXT1156" s="7"/>
      <c r="PXU1156" s="7"/>
      <c r="PXV1156" s="7"/>
      <c r="PXW1156" s="7"/>
      <c r="PXX1156" s="7"/>
      <c r="PXY1156" s="7"/>
      <c r="PXZ1156" s="7"/>
      <c r="PYA1156" s="7"/>
      <c r="PYB1156" s="7"/>
      <c r="PYC1156" s="7"/>
      <c r="PYD1156" s="7"/>
      <c r="PYE1156" s="7"/>
      <c r="PYF1156" s="7"/>
      <c r="PYG1156" s="7"/>
      <c r="PYH1156" s="7"/>
      <c r="PYI1156" s="7"/>
      <c r="PYJ1156" s="7"/>
      <c r="PYK1156" s="7"/>
      <c r="PYL1156" s="7"/>
      <c r="PYM1156" s="7"/>
      <c r="PYN1156" s="7"/>
      <c r="PYO1156" s="7"/>
      <c r="PYP1156" s="7"/>
      <c r="PYQ1156" s="7"/>
      <c r="PYR1156" s="7"/>
      <c r="PYS1156" s="7"/>
      <c r="PYT1156" s="7"/>
      <c r="PYU1156" s="7"/>
      <c r="PYV1156" s="7"/>
      <c r="PYW1156" s="7"/>
      <c r="PYX1156" s="7"/>
      <c r="PYY1156" s="7"/>
      <c r="PYZ1156" s="7"/>
      <c r="PZA1156" s="7"/>
      <c r="PZB1156" s="7"/>
      <c r="PZC1156" s="7"/>
      <c r="PZD1156" s="7"/>
      <c r="PZE1156" s="7"/>
      <c r="PZF1156" s="7"/>
      <c r="PZG1156" s="7"/>
      <c r="PZH1156" s="7"/>
      <c r="PZI1156" s="7"/>
      <c r="PZJ1156" s="7"/>
      <c r="PZK1156" s="7"/>
      <c r="PZL1156" s="7"/>
      <c r="PZM1156" s="7"/>
      <c r="PZN1156" s="7"/>
      <c r="PZO1156" s="7"/>
      <c r="PZP1156" s="7"/>
      <c r="PZQ1156" s="7"/>
      <c r="PZR1156" s="7"/>
      <c r="PZS1156" s="7"/>
      <c r="PZT1156" s="7"/>
      <c r="PZU1156" s="7"/>
      <c r="PZV1156" s="7"/>
      <c r="PZW1156" s="7"/>
      <c r="PZX1156" s="7"/>
      <c r="PZY1156" s="7"/>
      <c r="PZZ1156" s="7"/>
      <c r="QAA1156" s="7"/>
      <c r="QAB1156" s="7"/>
      <c r="QAC1156" s="7"/>
      <c r="QAD1156" s="7"/>
      <c r="QAE1156" s="7"/>
      <c r="QAF1156" s="7"/>
      <c r="QAG1156" s="7"/>
      <c r="QAH1156" s="7"/>
      <c r="QAI1156" s="7"/>
      <c r="QAJ1156" s="7"/>
      <c r="QAK1156" s="7"/>
      <c r="QAL1156" s="7"/>
      <c r="QAM1156" s="7"/>
      <c r="QAN1156" s="7"/>
      <c r="QAO1156" s="7"/>
      <c r="QAP1156" s="7"/>
      <c r="QAQ1156" s="7"/>
      <c r="QAR1156" s="7"/>
      <c r="QAS1156" s="7"/>
      <c r="QAT1156" s="7"/>
      <c r="QAU1156" s="7"/>
      <c r="QAV1156" s="7"/>
      <c r="QAW1156" s="7"/>
      <c r="QAX1156" s="7"/>
      <c r="QAY1156" s="7"/>
      <c r="QAZ1156" s="7"/>
      <c r="QBA1156" s="7"/>
      <c r="QBB1156" s="7"/>
      <c r="QBC1156" s="7"/>
      <c r="QBD1156" s="7"/>
      <c r="QBE1156" s="7"/>
      <c r="QBF1156" s="7"/>
      <c r="QBG1156" s="7"/>
      <c r="QBH1156" s="7"/>
      <c r="QBI1156" s="7"/>
      <c r="QBJ1156" s="7"/>
      <c r="QBK1156" s="7"/>
      <c r="QBL1156" s="7"/>
      <c r="QBM1156" s="7"/>
      <c r="QBN1156" s="7"/>
      <c r="QBO1156" s="7"/>
      <c r="QBP1156" s="7"/>
      <c r="QBQ1156" s="7"/>
      <c r="QBR1156" s="7"/>
      <c r="QBS1156" s="7"/>
      <c r="QBT1156" s="7"/>
      <c r="QBU1156" s="7"/>
      <c r="QBV1156" s="7"/>
      <c r="QBW1156" s="7"/>
      <c r="QBX1156" s="7"/>
      <c r="QBY1156" s="7"/>
      <c r="QBZ1156" s="7"/>
      <c r="QCA1156" s="7"/>
      <c r="QCB1156" s="7"/>
      <c r="QCC1156" s="7"/>
      <c r="QCD1156" s="7"/>
      <c r="QCE1156" s="7"/>
      <c r="QCF1156" s="7"/>
      <c r="QCG1156" s="7"/>
      <c r="QCH1156" s="7"/>
      <c r="QCI1156" s="7"/>
      <c r="QCJ1156" s="7"/>
      <c r="QCK1156" s="7"/>
      <c r="QCL1156" s="7"/>
      <c r="QCM1156" s="7"/>
      <c r="QCN1156" s="7"/>
      <c r="QCO1156" s="7"/>
      <c r="QCP1156" s="7"/>
      <c r="QCQ1156" s="7"/>
      <c r="QCR1156" s="7"/>
      <c r="QCS1156" s="7"/>
      <c r="QCT1156" s="7"/>
      <c r="QCU1156" s="7"/>
      <c r="QCV1156" s="7"/>
      <c r="QCW1156" s="7"/>
      <c r="QCX1156" s="7"/>
      <c r="QCY1156" s="7"/>
      <c r="QCZ1156" s="7"/>
      <c r="QDA1156" s="7"/>
      <c r="QDB1156" s="7"/>
      <c r="QDC1156" s="7"/>
      <c r="QDD1156" s="7"/>
      <c r="QDE1156" s="7"/>
      <c r="QDF1156" s="7"/>
      <c r="QDG1156" s="7"/>
      <c r="QDH1156" s="7"/>
      <c r="QDI1156" s="7"/>
      <c r="QDJ1156" s="7"/>
      <c r="QDK1156" s="7"/>
      <c r="QDL1156" s="7"/>
      <c r="QDM1156" s="7"/>
      <c r="QDN1156" s="7"/>
      <c r="QDO1156" s="7"/>
      <c r="QDP1156" s="7"/>
      <c r="QDQ1156" s="7"/>
      <c r="QDR1156" s="7"/>
      <c r="QDS1156" s="7"/>
      <c r="QDT1156" s="7"/>
      <c r="QDU1156" s="7"/>
      <c r="QDV1156" s="7"/>
      <c r="QDW1156" s="7"/>
      <c r="QDX1156" s="7"/>
      <c r="QDY1156" s="7"/>
      <c r="QDZ1156" s="7"/>
      <c r="QEA1156" s="7"/>
      <c r="QEB1156" s="7"/>
      <c r="QEC1156" s="7"/>
      <c r="QED1156" s="7"/>
      <c r="QEE1156" s="7"/>
      <c r="QEF1156" s="7"/>
      <c r="QEG1156" s="7"/>
      <c r="QEH1156" s="7"/>
      <c r="QEI1156" s="7"/>
      <c r="QEJ1156" s="7"/>
      <c r="QEK1156" s="7"/>
      <c r="QEL1156" s="7"/>
      <c r="QEM1156" s="7"/>
      <c r="QEN1156" s="7"/>
      <c r="QEO1156" s="7"/>
      <c r="QEP1156" s="7"/>
      <c r="QEQ1156" s="7"/>
      <c r="QER1156" s="7"/>
      <c r="QES1156" s="7"/>
      <c r="QET1156" s="7"/>
      <c r="QEU1156" s="7"/>
      <c r="QEV1156" s="7"/>
      <c r="QEW1156" s="7"/>
      <c r="QEX1156" s="7"/>
      <c r="QEY1156" s="7"/>
      <c r="QEZ1156" s="7"/>
      <c r="QFA1156" s="7"/>
      <c r="QFB1156" s="7"/>
      <c r="QFC1156" s="7"/>
      <c r="QFD1156" s="7"/>
      <c r="QFE1156" s="7"/>
      <c r="QFF1156" s="7"/>
      <c r="QFG1156" s="7"/>
      <c r="QFH1156" s="7"/>
      <c r="QFI1156" s="7"/>
      <c r="QFJ1156" s="7"/>
      <c r="QFK1156" s="7"/>
      <c r="QFL1156" s="7"/>
      <c r="QFM1156" s="7"/>
      <c r="QFN1156" s="7"/>
      <c r="QFO1156" s="7"/>
      <c r="QFP1156" s="7"/>
      <c r="QFQ1156" s="7"/>
      <c r="QFR1156" s="7"/>
      <c r="QFS1156" s="7"/>
      <c r="QFT1156" s="7"/>
      <c r="QFU1156" s="7"/>
      <c r="QFV1156" s="7"/>
      <c r="QFW1156" s="7"/>
      <c r="QFX1156" s="7"/>
      <c r="QFY1156" s="7"/>
      <c r="QFZ1156" s="7"/>
      <c r="QGA1156" s="7"/>
      <c r="QGB1156" s="7"/>
      <c r="QGC1156" s="7"/>
      <c r="QGD1156" s="7"/>
      <c r="QGE1156" s="7"/>
      <c r="QGF1156" s="7"/>
      <c r="QGG1156" s="7"/>
      <c r="QGH1156" s="7"/>
      <c r="QGI1156" s="7"/>
      <c r="QGJ1156" s="7"/>
      <c r="QGK1156" s="7"/>
      <c r="QGL1156" s="7"/>
      <c r="QGM1156" s="7"/>
      <c r="QGN1156" s="7"/>
      <c r="QGO1156" s="7"/>
      <c r="QGP1156" s="7"/>
      <c r="QGQ1156" s="7"/>
      <c r="QGR1156" s="7"/>
      <c r="QGS1156" s="7"/>
      <c r="QGT1156" s="7"/>
      <c r="QGU1156" s="7"/>
      <c r="QGV1156" s="7"/>
      <c r="QGW1156" s="7"/>
      <c r="QGX1156" s="7"/>
      <c r="QGY1156" s="7"/>
      <c r="QGZ1156" s="7"/>
      <c r="QHA1156" s="7"/>
      <c r="QHB1156" s="7"/>
      <c r="QHC1156" s="7"/>
      <c r="QHD1156" s="7"/>
      <c r="QHE1156" s="7"/>
      <c r="QHF1156" s="7"/>
      <c r="QHG1156" s="7"/>
      <c r="QHH1156" s="7"/>
      <c r="QHI1156" s="7"/>
      <c r="QHJ1156" s="7"/>
      <c r="QHK1156" s="7"/>
      <c r="QHL1156" s="7"/>
      <c r="QHM1156" s="7"/>
      <c r="QHN1156" s="7"/>
      <c r="QHO1156" s="7"/>
      <c r="QHP1156" s="7"/>
      <c r="QHQ1156" s="7"/>
      <c r="QHR1156" s="7"/>
      <c r="QHS1156" s="7"/>
      <c r="QHT1156" s="7"/>
      <c r="QHU1156" s="7"/>
      <c r="QHV1156" s="7"/>
      <c r="QHW1156" s="7"/>
      <c r="QHX1156" s="7"/>
      <c r="QHY1156" s="7"/>
      <c r="QHZ1156" s="7"/>
      <c r="QIA1156" s="7"/>
      <c r="QIB1156" s="7"/>
      <c r="QIC1156" s="7"/>
      <c r="QID1156" s="7"/>
      <c r="QIE1156" s="7"/>
      <c r="QIF1156" s="7"/>
      <c r="QIG1156" s="7"/>
      <c r="QIH1156" s="7"/>
      <c r="QII1156" s="7"/>
      <c r="QIJ1156" s="7"/>
      <c r="QIK1156" s="7"/>
      <c r="QIL1156" s="7"/>
      <c r="QIM1156" s="7"/>
      <c r="QIN1156" s="7"/>
      <c r="QIO1156" s="7"/>
      <c r="QIP1156" s="7"/>
      <c r="QIQ1156" s="7"/>
      <c r="QIR1156" s="7"/>
      <c r="QIS1156" s="7"/>
      <c r="QIT1156" s="7"/>
      <c r="QIU1156" s="7"/>
      <c r="QIV1156" s="7"/>
      <c r="QIW1156" s="7"/>
      <c r="QIX1156" s="7"/>
      <c r="QIY1156" s="7"/>
      <c r="QIZ1156" s="7"/>
      <c r="QJA1156" s="7"/>
      <c r="QJB1156" s="7"/>
      <c r="QJC1156" s="7"/>
      <c r="QJD1156" s="7"/>
      <c r="QJE1156" s="7"/>
      <c r="QJF1156" s="7"/>
      <c r="QJG1156" s="7"/>
      <c r="QJH1156" s="7"/>
      <c r="QJI1156" s="7"/>
      <c r="QJJ1156" s="7"/>
      <c r="QJK1156" s="7"/>
      <c r="QJL1156" s="7"/>
      <c r="QJM1156" s="7"/>
      <c r="QJN1156" s="7"/>
      <c r="QJO1156" s="7"/>
      <c r="QJP1156" s="7"/>
      <c r="QJQ1156" s="7"/>
      <c r="QJR1156" s="7"/>
      <c r="QJS1156" s="7"/>
      <c r="QJT1156" s="7"/>
      <c r="QJU1156" s="7"/>
      <c r="QJV1156" s="7"/>
      <c r="QJW1156" s="7"/>
      <c r="QJX1156" s="7"/>
      <c r="QJY1156" s="7"/>
      <c r="QJZ1156" s="7"/>
      <c r="QKA1156" s="7"/>
      <c r="QKB1156" s="7"/>
      <c r="QKC1156" s="7"/>
      <c r="QKD1156" s="7"/>
      <c r="QKE1156" s="7"/>
      <c r="QKF1156" s="7"/>
      <c r="QKG1156" s="7"/>
      <c r="QKH1156" s="7"/>
      <c r="QKI1156" s="7"/>
      <c r="QKJ1156" s="7"/>
      <c r="QKK1156" s="7"/>
      <c r="QKL1156" s="7"/>
      <c r="QKM1156" s="7"/>
      <c r="QKN1156" s="7"/>
      <c r="QKO1156" s="7"/>
      <c r="QKP1156" s="7"/>
      <c r="QKQ1156" s="7"/>
      <c r="QKR1156" s="7"/>
      <c r="QKS1156" s="7"/>
      <c r="QKT1156" s="7"/>
      <c r="QKU1156" s="7"/>
      <c r="QKV1156" s="7"/>
      <c r="QKW1156" s="7"/>
      <c r="QKX1156" s="7"/>
      <c r="QKY1156" s="7"/>
      <c r="QKZ1156" s="7"/>
      <c r="QLA1156" s="7"/>
      <c r="QLB1156" s="7"/>
      <c r="QLC1156" s="7"/>
      <c r="QLD1156" s="7"/>
      <c r="QLE1156" s="7"/>
      <c r="QLF1156" s="7"/>
      <c r="QLG1156" s="7"/>
      <c r="QLH1156" s="7"/>
      <c r="QLI1156" s="7"/>
      <c r="QLJ1156" s="7"/>
      <c r="QLK1156" s="7"/>
      <c r="QLL1156" s="7"/>
      <c r="QLM1156" s="7"/>
      <c r="QLN1156" s="7"/>
      <c r="QLO1156" s="7"/>
      <c r="QLP1156" s="7"/>
      <c r="QLQ1156" s="7"/>
      <c r="QLR1156" s="7"/>
      <c r="QLS1156" s="7"/>
      <c r="QLT1156" s="7"/>
      <c r="QLU1156" s="7"/>
      <c r="QLV1156" s="7"/>
      <c r="QLW1156" s="7"/>
      <c r="QLX1156" s="7"/>
      <c r="QLY1156" s="7"/>
      <c r="QLZ1156" s="7"/>
      <c r="QMA1156" s="7"/>
      <c r="QMB1156" s="7"/>
      <c r="QMC1156" s="7"/>
      <c r="QMD1156" s="7"/>
      <c r="QME1156" s="7"/>
      <c r="QMF1156" s="7"/>
      <c r="QMG1156" s="7"/>
      <c r="QMH1156" s="7"/>
      <c r="QMI1156" s="7"/>
      <c r="QMJ1156" s="7"/>
      <c r="QMK1156" s="7"/>
      <c r="QML1156" s="7"/>
      <c r="QMM1156" s="7"/>
      <c r="QMN1156" s="7"/>
      <c r="QMO1156" s="7"/>
      <c r="QMP1156" s="7"/>
      <c r="QMQ1156" s="7"/>
      <c r="QMR1156" s="7"/>
      <c r="QMS1156" s="7"/>
      <c r="QMT1156" s="7"/>
      <c r="QMU1156" s="7"/>
      <c r="QMV1156" s="7"/>
      <c r="QMW1156" s="7"/>
      <c r="QMX1156" s="7"/>
      <c r="QMY1156" s="7"/>
      <c r="QMZ1156" s="7"/>
      <c r="QNA1156" s="7"/>
      <c r="QNB1156" s="7"/>
      <c r="QNC1156" s="7"/>
      <c r="QND1156" s="7"/>
      <c r="QNE1156" s="7"/>
      <c r="QNF1156" s="7"/>
      <c r="QNG1156" s="7"/>
      <c r="QNH1156" s="7"/>
      <c r="QNI1156" s="7"/>
      <c r="QNJ1156" s="7"/>
      <c r="QNK1156" s="7"/>
      <c r="QNL1156" s="7"/>
      <c r="QNM1156" s="7"/>
      <c r="QNN1156" s="7"/>
      <c r="QNO1156" s="7"/>
      <c r="QNP1156" s="7"/>
      <c r="QNQ1156" s="7"/>
      <c r="QNR1156" s="7"/>
      <c r="QNS1156" s="7"/>
      <c r="QNT1156" s="7"/>
      <c r="QNU1156" s="7"/>
      <c r="QNV1156" s="7"/>
      <c r="QNW1156" s="7"/>
      <c r="QNX1156" s="7"/>
      <c r="QNY1156" s="7"/>
      <c r="QNZ1156" s="7"/>
      <c r="QOA1156" s="7"/>
      <c r="QOB1156" s="7"/>
      <c r="QOC1156" s="7"/>
      <c r="QOD1156" s="7"/>
      <c r="QOE1156" s="7"/>
      <c r="QOF1156" s="7"/>
      <c r="QOG1156" s="7"/>
      <c r="QOH1156" s="7"/>
      <c r="QOI1156" s="7"/>
      <c r="QOJ1156" s="7"/>
      <c r="QOK1156" s="7"/>
      <c r="QOL1156" s="7"/>
      <c r="QOM1156" s="7"/>
      <c r="QON1156" s="7"/>
      <c r="QOO1156" s="7"/>
      <c r="QOP1156" s="7"/>
      <c r="QOQ1156" s="7"/>
      <c r="QOR1156" s="7"/>
      <c r="QOS1156" s="7"/>
      <c r="QOT1156" s="7"/>
      <c r="QOU1156" s="7"/>
      <c r="QOV1156" s="7"/>
      <c r="QOW1156" s="7"/>
      <c r="QOX1156" s="7"/>
      <c r="QOY1156" s="7"/>
      <c r="QOZ1156" s="7"/>
      <c r="QPA1156" s="7"/>
      <c r="QPB1156" s="7"/>
      <c r="QPC1156" s="7"/>
      <c r="QPD1156" s="7"/>
      <c r="QPE1156" s="7"/>
      <c r="QPF1156" s="7"/>
      <c r="QPG1156" s="7"/>
      <c r="QPH1156" s="7"/>
      <c r="QPI1156" s="7"/>
      <c r="QPJ1156" s="7"/>
      <c r="QPK1156" s="7"/>
      <c r="QPL1156" s="7"/>
      <c r="QPM1156" s="7"/>
      <c r="QPN1156" s="7"/>
      <c r="QPO1156" s="7"/>
      <c r="QPP1156" s="7"/>
      <c r="QPQ1156" s="7"/>
      <c r="QPR1156" s="7"/>
      <c r="QPS1156" s="7"/>
      <c r="QPT1156" s="7"/>
      <c r="QPU1156" s="7"/>
      <c r="QPV1156" s="7"/>
      <c r="QPW1156" s="7"/>
      <c r="QPX1156" s="7"/>
      <c r="QPY1156" s="7"/>
      <c r="QPZ1156" s="7"/>
      <c r="QQA1156" s="7"/>
      <c r="QQB1156" s="7"/>
      <c r="QQC1156" s="7"/>
      <c r="QQD1156" s="7"/>
      <c r="QQE1156" s="7"/>
      <c r="QQF1156" s="7"/>
      <c r="QQG1156" s="7"/>
      <c r="QQH1156" s="7"/>
      <c r="QQI1156" s="7"/>
      <c r="QQJ1156" s="7"/>
      <c r="QQK1156" s="7"/>
      <c r="QQL1156" s="7"/>
      <c r="QQM1156" s="7"/>
      <c r="QQN1156" s="7"/>
      <c r="QQO1156" s="7"/>
      <c r="QQP1156" s="7"/>
      <c r="QQQ1156" s="7"/>
      <c r="QQR1156" s="7"/>
      <c r="QQS1156" s="7"/>
      <c r="QQT1156" s="7"/>
      <c r="QQU1156" s="7"/>
      <c r="QQV1156" s="7"/>
      <c r="QQW1156" s="7"/>
      <c r="QQX1156" s="7"/>
      <c r="QQY1156" s="7"/>
      <c r="QQZ1156" s="7"/>
      <c r="QRA1156" s="7"/>
      <c r="QRB1156" s="7"/>
      <c r="QRC1156" s="7"/>
      <c r="QRD1156" s="7"/>
      <c r="QRE1156" s="7"/>
      <c r="QRF1156" s="7"/>
      <c r="QRG1156" s="7"/>
      <c r="QRH1156" s="7"/>
      <c r="QRI1156" s="7"/>
      <c r="QRJ1156" s="7"/>
      <c r="QRK1156" s="7"/>
      <c r="QRL1156" s="7"/>
      <c r="QRM1156" s="7"/>
      <c r="QRN1156" s="7"/>
      <c r="QRO1156" s="7"/>
      <c r="QRP1156" s="7"/>
      <c r="QRQ1156" s="7"/>
      <c r="QRR1156" s="7"/>
      <c r="QRS1156" s="7"/>
      <c r="QRT1156" s="7"/>
      <c r="QRU1156" s="7"/>
      <c r="QRV1156" s="7"/>
      <c r="QRW1156" s="7"/>
      <c r="QRX1156" s="7"/>
      <c r="QRY1156" s="7"/>
      <c r="QRZ1156" s="7"/>
      <c r="QSA1156" s="7"/>
      <c r="QSB1156" s="7"/>
      <c r="QSC1156" s="7"/>
      <c r="QSD1156" s="7"/>
      <c r="QSE1156" s="7"/>
      <c r="QSF1156" s="7"/>
      <c r="QSG1156" s="7"/>
      <c r="QSH1156" s="7"/>
      <c r="QSI1156" s="7"/>
      <c r="QSJ1156" s="7"/>
      <c r="QSK1156" s="7"/>
      <c r="QSL1156" s="7"/>
      <c r="QSM1156" s="7"/>
      <c r="QSN1156" s="7"/>
      <c r="QSO1156" s="7"/>
      <c r="QSP1156" s="7"/>
      <c r="QSQ1156" s="7"/>
      <c r="QSR1156" s="7"/>
      <c r="QSS1156" s="7"/>
      <c r="QST1156" s="7"/>
      <c r="QSU1156" s="7"/>
      <c r="QSV1156" s="7"/>
      <c r="QSW1156" s="7"/>
      <c r="QSX1156" s="7"/>
      <c r="QSY1156" s="7"/>
      <c r="QSZ1156" s="7"/>
      <c r="QTA1156" s="7"/>
      <c r="QTB1156" s="7"/>
      <c r="QTC1156" s="7"/>
      <c r="QTD1156" s="7"/>
      <c r="QTE1156" s="7"/>
      <c r="QTF1156" s="7"/>
      <c r="QTG1156" s="7"/>
      <c r="QTH1156" s="7"/>
      <c r="QTI1156" s="7"/>
      <c r="QTJ1156" s="7"/>
      <c r="QTK1156" s="7"/>
      <c r="QTL1156" s="7"/>
      <c r="QTM1156" s="7"/>
      <c r="QTN1156" s="7"/>
      <c r="QTO1156" s="7"/>
      <c r="QTP1156" s="7"/>
      <c r="QTQ1156" s="7"/>
      <c r="QTR1156" s="7"/>
      <c r="QTS1156" s="7"/>
      <c r="QTT1156" s="7"/>
      <c r="QTU1156" s="7"/>
      <c r="QTV1156" s="7"/>
      <c r="QTW1156" s="7"/>
      <c r="QTX1156" s="7"/>
      <c r="QTY1156" s="7"/>
      <c r="QTZ1156" s="7"/>
      <c r="QUA1156" s="7"/>
      <c r="QUB1156" s="7"/>
      <c r="QUC1156" s="7"/>
      <c r="QUD1156" s="7"/>
      <c r="QUE1156" s="7"/>
      <c r="QUF1156" s="7"/>
      <c r="QUG1156" s="7"/>
      <c r="QUH1156" s="7"/>
      <c r="QUI1156" s="7"/>
      <c r="QUJ1156" s="7"/>
      <c r="QUK1156" s="7"/>
      <c r="QUL1156" s="7"/>
      <c r="QUM1156" s="7"/>
      <c r="QUN1156" s="7"/>
      <c r="QUO1156" s="7"/>
      <c r="QUP1156" s="7"/>
      <c r="QUQ1156" s="7"/>
      <c r="QUR1156" s="7"/>
      <c r="QUS1156" s="7"/>
      <c r="QUT1156" s="7"/>
      <c r="QUU1156" s="7"/>
      <c r="QUV1156" s="7"/>
      <c r="QUW1156" s="7"/>
      <c r="QUX1156" s="7"/>
      <c r="QUY1156" s="7"/>
      <c r="QUZ1156" s="7"/>
      <c r="QVA1156" s="7"/>
      <c r="QVB1156" s="7"/>
      <c r="QVC1156" s="7"/>
      <c r="QVD1156" s="7"/>
      <c r="QVE1156" s="7"/>
      <c r="QVF1156" s="7"/>
      <c r="QVG1156" s="7"/>
      <c r="QVH1156" s="7"/>
      <c r="QVI1156" s="7"/>
      <c r="QVJ1156" s="7"/>
      <c r="QVK1156" s="7"/>
      <c r="QVL1156" s="7"/>
      <c r="QVM1156" s="7"/>
      <c r="QVN1156" s="7"/>
      <c r="QVO1156" s="7"/>
      <c r="QVP1156" s="7"/>
      <c r="QVQ1156" s="7"/>
      <c r="QVR1156" s="7"/>
      <c r="QVS1156" s="7"/>
      <c r="QVT1156" s="7"/>
      <c r="QVU1156" s="7"/>
      <c r="QVV1156" s="7"/>
      <c r="QVW1156" s="7"/>
      <c r="QVX1156" s="7"/>
      <c r="QVY1156" s="7"/>
      <c r="QVZ1156" s="7"/>
      <c r="QWA1156" s="7"/>
      <c r="QWB1156" s="7"/>
      <c r="QWC1156" s="7"/>
      <c r="QWD1156" s="7"/>
      <c r="QWE1156" s="7"/>
      <c r="QWF1156" s="7"/>
      <c r="QWG1156" s="7"/>
      <c r="QWH1156" s="7"/>
      <c r="QWI1156" s="7"/>
      <c r="QWJ1156" s="7"/>
      <c r="QWK1156" s="7"/>
      <c r="QWL1156" s="7"/>
      <c r="QWM1156" s="7"/>
      <c r="QWN1156" s="7"/>
      <c r="QWO1156" s="7"/>
      <c r="QWP1156" s="7"/>
      <c r="QWQ1156" s="7"/>
      <c r="QWR1156" s="7"/>
      <c r="QWS1156" s="7"/>
      <c r="QWT1156" s="7"/>
      <c r="QWU1156" s="7"/>
      <c r="QWV1156" s="7"/>
      <c r="QWW1156" s="7"/>
      <c r="QWX1156" s="7"/>
      <c r="QWY1156" s="7"/>
      <c r="QWZ1156" s="7"/>
      <c r="QXA1156" s="7"/>
      <c r="QXB1156" s="7"/>
      <c r="QXC1156" s="7"/>
      <c r="QXD1156" s="7"/>
      <c r="QXE1156" s="7"/>
      <c r="QXF1156" s="7"/>
      <c r="QXG1156" s="7"/>
      <c r="QXH1156" s="7"/>
      <c r="QXI1156" s="7"/>
      <c r="QXJ1156" s="7"/>
      <c r="QXK1156" s="7"/>
      <c r="QXL1156" s="7"/>
      <c r="QXM1156" s="7"/>
      <c r="QXN1156" s="7"/>
      <c r="QXO1156" s="7"/>
      <c r="QXP1156" s="7"/>
      <c r="QXQ1156" s="7"/>
      <c r="QXR1156" s="7"/>
      <c r="QXS1156" s="7"/>
      <c r="QXT1156" s="7"/>
      <c r="QXU1156" s="7"/>
      <c r="QXV1156" s="7"/>
      <c r="QXW1156" s="7"/>
      <c r="QXX1156" s="7"/>
      <c r="QXY1156" s="7"/>
      <c r="QXZ1156" s="7"/>
      <c r="QYA1156" s="7"/>
      <c r="QYB1156" s="7"/>
      <c r="QYC1156" s="7"/>
      <c r="QYD1156" s="7"/>
      <c r="QYE1156" s="7"/>
      <c r="QYF1156" s="7"/>
      <c r="QYG1156" s="7"/>
      <c r="QYH1156" s="7"/>
      <c r="QYI1156" s="7"/>
      <c r="QYJ1156" s="7"/>
      <c r="QYK1156" s="7"/>
      <c r="QYL1156" s="7"/>
      <c r="QYM1156" s="7"/>
      <c r="QYN1156" s="7"/>
      <c r="QYO1156" s="7"/>
      <c r="QYP1156" s="7"/>
      <c r="QYQ1156" s="7"/>
      <c r="QYR1156" s="7"/>
      <c r="QYS1156" s="7"/>
      <c r="QYT1156" s="7"/>
      <c r="QYU1156" s="7"/>
      <c r="QYV1156" s="7"/>
      <c r="QYW1156" s="7"/>
      <c r="QYX1156" s="7"/>
      <c r="QYY1156" s="7"/>
      <c r="QYZ1156" s="7"/>
      <c r="QZA1156" s="7"/>
      <c r="QZB1156" s="7"/>
      <c r="QZC1156" s="7"/>
      <c r="QZD1156" s="7"/>
      <c r="QZE1156" s="7"/>
      <c r="QZF1156" s="7"/>
      <c r="QZG1156" s="7"/>
      <c r="QZH1156" s="7"/>
      <c r="QZI1156" s="7"/>
      <c r="QZJ1156" s="7"/>
      <c r="QZK1156" s="7"/>
      <c r="QZL1156" s="7"/>
      <c r="QZM1156" s="7"/>
      <c r="QZN1156" s="7"/>
      <c r="QZO1156" s="7"/>
      <c r="QZP1156" s="7"/>
      <c r="QZQ1156" s="7"/>
      <c r="QZR1156" s="7"/>
      <c r="QZS1156" s="7"/>
      <c r="QZT1156" s="7"/>
      <c r="QZU1156" s="7"/>
      <c r="QZV1156" s="7"/>
      <c r="QZW1156" s="7"/>
      <c r="QZX1156" s="7"/>
      <c r="QZY1156" s="7"/>
      <c r="QZZ1156" s="7"/>
      <c r="RAA1156" s="7"/>
      <c r="RAB1156" s="7"/>
      <c r="RAC1156" s="7"/>
      <c r="RAD1156" s="7"/>
      <c r="RAE1156" s="7"/>
      <c r="RAF1156" s="7"/>
      <c r="RAG1156" s="7"/>
      <c r="RAH1156" s="7"/>
      <c r="RAI1156" s="7"/>
      <c r="RAJ1156" s="7"/>
      <c r="RAK1156" s="7"/>
      <c r="RAL1156" s="7"/>
      <c r="RAM1156" s="7"/>
      <c r="RAN1156" s="7"/>
      <c r="RAO1156" s="7"/>
      <c r="RAP1156" s="7"/>
      <c r="RAQ1156" s="7"/>
      <c r="RAR1156" s="7"/>
      <c r="RAS1156" s="7"/>
      <c r="RAT1156" s="7"/>
      <c r="RAU1156" s="7"/>
      <c r="RAV1156" s="7"/>
      <c r="RAW1156" s="7"/>
      <c r="RAX1156" s="7"/>
      <c r="RAY1156" s="7"/>
      <c r="RAZ1156" s="7"/>
      <c r="RBA1156" s="7"/>
      <c r="RBB1156" s="7"/>
      <c r="RBC1156" s="7"/>
      <c r="RBD1156" s="7"/>
      <c r="RBE1156" s="7"/>
      <c r="RBF1156" s="7"/>
      <c r="RBG1156" s="7"/>
      <c r="RBH1156" s="7"/>
      <c r="RBI1156" s="7"/>
      <c r="RBJ1156" s="7"/>
      <c r="RBK1156" s="7"/>
      <c r="RBL1156" s="7"/>
      <c r="RBM1156" s="7"/>
      <c r="RBN1156" s="7"/>
      <c r="RBO1156" s="7"/>
      <c r="RBP1156" s="7"/>
      <c r="RBQ1156" s="7"/>
      <c r="RBR1156" s="7"/>
      <c r="RBS1156" s="7"/>
      <c r="RBT1156" s="7"/>
      <c r="RBU1156" s="7"/>
      <c r="RBV1156" s="7"/>
      <c r="RBW1156" s="7"/>
      <c r="RBX1156" s="7"/>
      <c r="RBY1156" s="7"/>
      <c r="RBZ1156" s="7"/>
      <c r="RCA1156" s="7"/>
      <c r="RCB1156" s="7"/>
      <c r="RCC1156" s="7"/>
      <c r="RCD1156" s="7"/>
      <c r="RCE1156" s="7"/>
      <c r="RCF1156" s="7"/>
      <c r="RCG1156" s="7"/>
      <c r="RCH1156" s="7"/>
      <c r="RCI1156" s="7"/>
      <c r="RCJ1156" s="7"/>
      <c r="RCK1156" s="7"/>
      <c r="RCL1156" s="7"/>
      <c r="RCM1156" s="7"/>
      <c r="RCN1156" s="7"/>
      <c r="RCO1156" s="7"/>
      <c r="RCP1156" s="7"/>
      <c r="RCQ1156" s="7"/>
      <c r="RCR1156" s="7"/>
      <c r="RCS1156" s="7"/>
      <c r="RCT1156" s="7"/>
      <c r="RCU1156" s="7"/>
      <c r="RCV1156" s="7"/>
      <c r="RCW1156" s="7"/>
      <c r="RCX1156" s="7"/>
      <c r="RCY1156" s="7"/>
      <c r="RCZ1156" s="7"/>
      <c r="RDA1156" s="7"/>
      <c r="RDB1156" s="7"/>
      <c r="RDC1156" s="7"/>
      <c r="RDD1156" s="7"/>
      <c r="RDE1156" s="7"/>
      <c r="RDF1156" s="7"/>
      <c r="RDG1156" s="7"/>
      <c r="RDH1156" s="7"/>
      <c r="RDI1156" s="7"/>
      <c r="RDJ1156" s="7"/>
      <c r="RDK1156" s="7"/>
      <c r="RDL1156" s="7"/>
      <c r="RDM1156" s="7"/>
      <c r="RDN1156" s="7"/>
      <c r="RDO1156" s="7"/>
      <c r="RDP1156" s="7"/>
      <c r="RDQ1156" s="7"/>
      <c r="RDR1156" s="7"/>
      <c r="RDS1156" s="7"/>
      <c r="RDT1156" s="7"/>
      <c r="RDU1156" s="7"/>
      <c r="RDV1156" s="7"/>
      <c r="RDW1156" s="7"/>
      <c r="RDX1156" s="7"/>
      <c r="RDY1156" s="7"/>
      <c r="RDZ1156" s="7"/>
      <c r="REA1156" s="7"/>
      <c r="REB1156" s="7"/>
      <c r="REC1156" s="7"/>
      <c r="RED1156" s="7"/>
      <c r="REE1156" s="7"/>
      <c r="REF1156" s="7"/>
      <c r="REG1156" s="7"/>
      <c r="REH1156" s="7"/>
      <c r="REI1156" s="7"/>
      <c r="REJ1156" s="7"/>
      <c r="REK1156" s="7"/>
      <c r="REL1156" s="7"/>
      <c r="REM1156" s="7"/>
      <c r="REN1156" s="7"/>
      <c r="REO1156" s="7"/>
      <c r="REP1156" s="7"/>
      <c r="REQ1156" s="7"/>
      <c r="RER1156" s="7"/>
      <c r="RES1156" s="7"/>
      <c r="RET1156" s="7"/>
      <c r="REU1156" s="7"/>
      <c r="REV1156" s="7"/>
      <c r="REW1156" s="7"/>
      <c r="REX1156" s="7"/>
      <c r="REY1156" s="7"/>
      <c r="REZ1156" s="7"/>
      <c r="RFA1156" s="7"/>
      <c r="RFB1156" s="7"/>
      <c r="RFC1156" s="7"/>
      <c r="RFD1156" s="7"/>
      <c r="RFE1156" s="7"/>
      <c r="RFF1156" s="7"/>
      <c r="RFG1156" s="7"/>
      <c r="RFH1156" s="7"/>
      <c r="RFI1156" s="7"/>
      <c r="RFJ1156" s="7"/>
      <c r="RFK1156" s="7"/>
      <c r="RFL1156" s="7"/>
      <c r="RFM1156" s="7"/>
      <c r="RFN1156" s="7"/>
      <c r="RFO1156" s="7"/>
      <c r="RFP1156" s="7"/>
      <c r="RFQ1156" s="7"/>
      <c r="RFR1156" s="7"/>
      <c r="RFS1156" s="7"/>
      <c r="RFT1156" s="7"/>
      <c r="RFU1156" s="7"/>
      <c r="RFV1156" s="7"/>
      <c r="RFW1156" s="7"/>
      <c r="RFX1156" s="7"/>
      <c r="RFY1156" s="7"/>
      <c r="RFZ1156" s="7"/>
      <c r="RGA1156" s="7"/>
      <c r="RGB1156" s="7"/>
      <c r="RGC1156" s="7"/>
      <c r="RGD1156" s="7"/>
      <c r="RGE1156" s="7"/>
      <c r="RGF1156" s="7"/>
      <c r="RGG1156" s="7"/>
      <c r="RGH1156" s="7"/>
      <c r="RGI1156" s="7"/>
      <c r="RGJ1156" s="7"/>
      <c r="RGK1156" s="7"/>
      <c r="RGL1156" s="7"/>
      <c r="RGM1156" s="7"/>
      <c r="RGN1156" s="7"/>
      <c r="RGO1156" s="7"/>
      <c r="RGP1156" s="7"/>
      <c r="RGQ1156" s="7"/>
      <c r="RGR1156" s="7"/>
      <c r="RGS1156" s="7"/>
      <c r="RGT1156" s="7"/>
      <c r="RGU1156" s="7"/>
      <c r="RGV1156" s="7"/>
      <c r="RGW1156" s="7"/>
      <c r="RGX1156" s="7"/>
      <c r="RGY1156" s="7"/>
      <c r="RGZ1156" s="7"/>
      <c r="RHA1156" s="7"/>
      <c r="RHB1156" s="7"/>
      <c r="RHC1156" s="7"/>
      <c r="RHD1156" s="7"/>
      <c r="RHE1156" s="7"/>
      <c r="RHF1156" s="7"/>
      <c r="RHG1156" s="7"/>
      <c r="RHH1156" s="7"/>
      <c r="RHI1156" s="7"/>
      <c r="RHJ1156" s="7"/>
      <c r="RHK1156" s="7"/>
      <c r="RHL1156" s="7"/>
      <c r="RHM1156" s="7"/>
      <c r="RHN1156" s="7"/>
      <c r="RHO1156" s="7"/>
      <c r="RHP1156" s="7"/>
      <c r="RHQ1156" s="7"/>
      <c r="RHR1156" s="7"/>
      <c r="RHS1156" s="7"/>
      <c r="RHT1156" s="7"/>
      <c r="RHU1156" s="7"/>
      <c r="RHV1156" s="7"/>
      <c r="RHW1156" s="7"/>
      <c r="RHX1156" s="7"/>
      <c r="RHY1156" s="7"/>
      <c r="RHZ1156" s="7"/>
      <c r="RIA1156" s="7"/>
      <c r="RIB1156" s="7"/>
      <c r="RIC1156" s="7"/>
      <c r="RID1156" s="7"/>
      <c r="RIE1156" s="7"/>
      <c r="RIF1156" s="7"/>
      <c r="RIG1156" s="7"/>
      <c r="RIH1156" s="7"/>
      <c r="RII1156" s="7"/>
      <c r="RIJ1156" s="7"/>
      <c r="RIK1156" s="7"/>
      <c r="RIL1156" s="7"/>
      <c r="RIM1156" s="7"/>
      <c r="RIN1156" s="7"/>
      <c r="RIO1156" s="7"/>
      <c r="RIP1156" s="7"/>
      <c r="RIQ1156" s="7"/>
      <c r="RIR1156" s="7"/>
      <c r="RIS1156" s="7"/>
      <c r="RIT1156" s="7"/>
      <c r="RIU1156" s="7"/>
      <c r="RIV1156" s="7"/>
      <c r="RIW1156" s="7"/>
      <c r="RIX1156" s="7"/>
      <c r="RIY1156" s="7"/>
      <c r="RIZ1156" s="7"/>
      <c r="RJA1156" s="7"/>
      <c r="RJB1156" s="7"/>
      <c r="RJC1156" s="7"/>
      <c r="RJD1156" s="7"/>
      <c r="RJE1156" s="7"/>
      <c r="RJF1156" s="7"/>
      <c r="RJG1156" s="7"/>
      <c r="RJH1156" s="7"/>
      <c r="RJI1156" s="7"/>
      <c r="RJJ1156" s="7"/>
      <c r="RJK1156" s="7"/>
      <c r="RJL1156" s="7"/>
      <c r="RJM1156" s="7"/>
      <c r="RJN1156" s="7"/>
      <c r="RJO1156" s="7"/>
      <c r="RJP1156" s="7"/>
      <c r="RJQ1156" s="7"/>
      <c r="RJR1156" s="7"/>
      <c r="RJS1156" s="7"/>
      <c r="RJT1156" s="7"/>
      <c r="RJU1156" s="7"/>
      <c r="RJV1156" s="7"/>
      <c r="RJW1156" s="7"/>
      <c r="RJX1156" s="7"/>
      <c r="RJY1156" s="7"/>
      <c r="RJZ1156" s="7"/>
      <c r="RKA1156" s="7"/>
      <c r="RKB1156" s="7"/>
      <c r="RKC1156" s="7"/>
      <c r="RKD1156" s="7"/>
      <c r="RKE1156" s="7"/>
      <c r="RKF1156" s="7"/>
      <c r="RKG1156" s="7"/>
      <c r="RKH1156" s="7"/>
      <c r="RKI1156" s="7"/>
      <c r="RKJ1156" s="7"/>
      <c r="RKK1156" s="7"/>
      <c r="RKL1156" s="7"/>
      <c r="RKM1156" s="7"/>
      <c r="RKN1156" s="7"/>
      <c r="RKO1156" s="7"/>
      <c r="RKP1156" s="7"/>
      <c r="RKQ1156" s="7"/>
      <c r="RKR1156" s="7"/>
      <c r="RKS1156" s="7"/>
      <c r="RKT1156" s="7"/>
      <c r="RKU1156" s="7"/>
      <c r="RKV1156" s="7"/>
      <c r="RKW1156" s="7"/>
      <c r="RKX1156" s="7"/>
      <c r="RKY1156" s="7"/>
      <c r="RKZ1156" s="7"/>
      <c r="RLA1156" s="7"/>
      <c r="RLB1156" s="7"/>
      <c r="RLC1156" s="7"/>
      <c r="RLD1156" s="7"/>
      <c r="RLE1156" s="7"/>
      <c r="RLF1156" s="7"/>
      <c r="RLG1156" s="7"/>
      <c r="RLH1156" s="7"/>
      <c r="RLI1156" s="7"/>
      <c r="RLJ1156" s="7"/>
      <c r="RLK1156" s="7"/>
      <c r="RLL1156" s="7"/>
      <c r="RLM1156" s="7"/>
      <c r="RLN1156" s="7"/>
      <c r="RLO1156" s="7"/>
      <c r="RLP1156" s="7"/>
      <c r="RLQ1156" s="7"/>
      <c r="RLR1156" s="7"/>
      <c r="RLS1156" s="7"/>
      <c r="RLT1156" s="7"/>
      <c r="RLU1156" s="7"/>
      <c r="RLV1156" s="7"/>
      <c r="RLW1156" s="7"/>
      <c r="RLX1156" s="7"/>
      <c r="RLY1156" s="7"/>
      <c r="RLZ1156" s="7"/>
      <c r="RMA1156" s="7"/>
      <c r="RMB1156" s="7"/>
      <c r="RMC1156" s="7"/>
      <c r="RMD1156" s="7"/>
      <c r="RME1156" s="7"/>
      <c r="RMF1156" s="7"/>
      <c r="RMG1156" s="7"/>
      <c r="RMH1156" s="7"/>
      <c r="RMI1156" s="7"/>
      <c r="RMJ1156" s="7"/>
      <c r="RMK1156" s="7"/>
      <c r="RML1156" s="7"/>
      <c r="RMM1156" s="7"/>
      <c r="RMN1156" s="7"/>
      <c r="RMO1156" s="7"/>
      <c r="RMP1156" s="7"/>
      <c r="RMQ1156" s="7"/>
      <c r="RMR1156" s="7"/>
      <c r="RMS1156" s="7"/>
      <c r="RMT1156" s="7"/>
      <c r="RMU1156" s="7"/>
      <c r="RMV1156" s="7"/>
      <c r="RMW1156" s="7"/>
      <c r="RMX1156" s="7"/>
      <c r="RMY1156" s="7"/>
      <c r="RMZ1156" s="7"/>
      <c r="RNA1156" s="7"/>
      <c r="RNB1156" s="7"/>
      <c r="RNC1156" s="7"/>
      <c r="RND1156" s="7"/>
      <c r="RNE1156" s="7"/>
      <c r="RNF1156" s="7"/>
      <c r="RNG1156" s="7"/>
      <c r="RNH1156" s="7"/>
      <c r="RNI1156" s="7"/>
      <c r="RNJ1156" s="7"/>
      <c r="RNK1156" s="7"/>
      <c r="RNL1156" s="7"/>
      <c r="RNM1156" s="7"/>
      <c r="RNN1156" s="7"/>
      <c r="RNO1156" s="7"/>
      <c r="RNP1156" s="7"/>
      <c r="RNQ1156" s="7"/>
      <c r="RNR1156" s="7"/>
      <c r="RNS1156" s="7"/>
      <c r="RNT1156" s="7"/>
      <c r="RNU1156" s="7"/>
      <c r="RNV1156" s="7"/>
      <c r="RNW1156" s="7"/>
      <c r="RNX1156" s="7"/>
      <c r="RNY1156" s="7"/>
      <c r="RNZ1156" s="7"/>
      <c r="ROA1156" s="7"/>
      <c r="ROB1156" s="7"/>
      <c r="ROC1156" s="7"/>
      <c r="ROD1156" s="7"/>
      <c r="ROE1156" s="7"/>
      <c r="ROF1156" s="7"/>
      <c r="ROG1156" s="7"/>
      <c r="ROH1156" s="7"/>
      <c r="ROI1156" s="7"/>
      <c r="ROJ1156" s="7"/>
      <c r="ROK1156" s="7"/>
      <c r="ROL1156" s="7"/>
      <c r="ROM1156" s="7"/>
      <c r="RON1156" s="7"/>
      <c r="ROO1156" s="7"/>
      <c r="ROP1156" s="7"/>
      <c r="ROQ1156" s="7"/>
      <c r="ROR1156" s="7"/>
      <c r="ROS1156" s="7"/>
      <c r="ROT1156" s="7"/>
      <c r="ROU1156" s="7"/>
      <c r="ROV1156" s="7"/>
      <c r="ROW1156" s="7"/>
      <c r="ROX1156" s="7"/>
      <c r="ROY1156" s="7"/>
      <c r="ROZ1156" s="7"/>
      <c r="RPA1156" s="7"/>
      <c r="RPB1156" s="7"/>
      <c r="RPC1156" s="7"/>
      <c r="RPD1156" s="7"/>
      <c r="RPE1156" s="7"/>
      <c r="RPF1156" s="7"/>
      <c r="RPG1156" s="7"/>
      <c r="RPH1156" s="7"/>
      <c r="RPI1156" s="7"/>
      <c r="RPJ1156" s="7"/>
      <c r="RPK1156" s="7"/>
      <c r="RPL1156" s="7"/>
      <c r="RPM1156" s="7"/>
      <c r="RPN1156" s="7"/>
      <c r="RPO1156" s="7"/>
      <c r="RPP1156" s="7"/>
      <c r="RPQ1156" s="7"/>
      <c r="RPR1156" s="7"/>
      <c r="RPS1156" s="7"/>
      <c r="RPT1156" s="7"/>
      <c r="RPU1156" s="7"/>
      <c r="RPV1156" s="7"/>
      <c r="RPW1156" s="7"/>
      <c r="RPX1156" s="7"/>
      <c r="RPY1156" s="7"/>
      <c r="RPZ1156" s="7"/>
      <c r="RQA1156" s="7"/>
      <c r="RQB1156" s="7"/>
      <c r="RQC1156" s="7"/>
      <c r="RQD1156" s="7"/>
      <c r="RQE1156" s="7"/>
      <c r="RQF1156" s="7"/>
      <c r="RQG1156" s="7"/>
      <c r="RQH1156" s="7"/>
      <c r="RQI1156" s="7"/>
      <c r="RQJ1156" s="7"/>
      <c r="RQK1156" s="7"/>
      <c r="RQL1156" s="7"/>
      <c r="RQM1156" s="7"/>
      <c r="RQN1156" s="7"/>
      <c r="RQO1156" s="7"/>
      <c r="RQP1156" s="7"/>
      <c r="RQQ1156" s="7"/>
      <c r="RQR1156" s="7"/>
      <c r="RQS1156" s="7"/>
      <c r="RQT1156" s="7"/>
      <c r="RQU1156" s="7"/>
      <c r="RQV1156" s="7"/>
      <c r="RQW1156" s="7"/>
      <c r="RQX1156" s="7"/>
      <c r="RQY1156" s="7"/>
      <c r="RQZ1156" s="7"/>
      <c r="RRA1156" s="7"/>
      <c r="RRB1156" s="7"/>
      <c r="RRC1156" s="7"/>
      <c r="RRD1156" s="7"/>
      <c r="RRE1156" s="7"/>
      <c r="RRF1156" s="7"/>
      <c r="RRG1156" s="7"/>
      <c r="RRH1156" s="7"/>
      <c r="RRI1156" s="7"/>
      <c r="RRJ1156" s="7"/>
      <c r="RRK1156" s="7"/>
      <c r="RRL1156" s="7"/>
      <c r="RRM1156" s="7"/>
      <c r="RRN1156" s="7"/>
      <c r="RRO1156" s="7"/>
      <c r="RRP1156" s="7"/>
      <c r="RRQ1156" s="7"/>
      <c r="RRR1156" s="7"/>
      <c r="RRS1156" s="7"/>
      <c r="RRT1156" s="7"/>
      <c r="RRU1156" s="7"/>
      <c r="RRV1156" s="7"/>
      <c r="RRW1156" s="7"/>
      <c r="RRX1156" s="7"/>
      <c r="RRY1156" s="7"/>
      <c r="RRZ1156" s="7"/>
      <c r="RSA1156" s="7"/>
      <c r="RSB1156" s="7"/>
      <c r="RSC1156" s="7"/>
      <c r="RSD1156" s="7"/>
      <c r="RSE1156" s="7"/>
      <c r="RSF1156" s="7"/>
      <c r="RSG1156" s="7"/>
      <c r="RSH1156" s="7"/>
      <c r="RSI1156" s="7"/>
      <c r="RSJ1156" s="7"/>
      <c r="RSK1156" s="7"/>
      <c r="RSL1156" s="7"/>
      <c r="RSM1156" s="7"/>
      <c r="RSN1156" s="7"/>
      <c r="RSO1156" s="7"/>
      <c r="RSP1156" s="7"/>
      <c r="RSQ1156" s="7"/>
      <c r="RSR1156" s="7"/>
      <c r="RSS1156" s="7"/>
      <c r="RST1156" s="7"/>
      <c r="RSU1156" s="7"/>
      <c r="RSV1156" s="7"/>
      <c r="RSW1156" s="7"/>
      <c r="RSX1156" s="7"/>
      <c r="RSY1156" s="7"/>
      <c r="RSZ1156" s="7"/>
      <c r="RTA1156" s="7"/>
      <c r="RTB1156" s="7"/>
      <c r="RTC1156" s="7"/>
      <c r="RTD1156" s="7"/>
      <c r="RTE1156" s="7"/>
      <c r="RTF1156" s="7"/>
      <c r="RTG1156" s="7"/>
      <c r="RTH1156" s="7"/>
      <c r="RTI1156" s="7"/>
      <c r="RTJ1156" s="7"/>
      <c r="RTK1156" s="7"/>
      <c r="RTL1156" s="7"/>
      <c r="RTM1156" s="7"/>
      <c r="RTN1156" s="7"/>
      <c r="RTO1156" s="7"/>
      <c r="RTP1156" s="7"/>
      <c r="RTQ1156" s="7"/>
      <c r="RTR1156" s="7"/>
      <c r="RTS1156" s="7"/>
      <c r="RTT1156" s="7"/>
      <c r="RTU1156" s="7"/>
      <c r="RTV1156" s="7"/>
      <c r="RTW1156" s="7"/>
      <c r="RTX1156" s="7"/>
      <c r="RTY1156" s="7"/>
      <c r="RTZ1156" s="7"/>
      <c r="RUA1156" s="7"/>
      <c r="RUB1156" s="7"/>
      <c r="RUC1156" s="7"/>
      <c r="RUD1156" s="7"/>
      <c r="RUE1156" s="7"/>
      <c r="RUF1156" s="7"/>
      <c r="RUG1156" s="7"/>
      <c r="RUH1156" s="7"/>
      <c r="RUI1156" s="7"/>
      <c r="RUJ1156" s="7"/>
      <c r="RUK1156" s="7"/>
      <c r="RUL1156" s="7"/>
      <c r="RUM1156" s="7"/>
      <c r="RUN1156" s="7"/>
      <c r="RUO1156" s="7"/>
      <c r="RUP1156" s="7"/>
      <c r="RUQ1156" s="7"/>
      <c r="RUR1156" s="7"/>
      <c r="RUS1156" s="7"/>
      <c r="RUT1156" s="7"/>
      <c r="RUU1156" s="7"/>
      <c r="RUV1156" s="7"/>
      <c r="RUW1156" s="7"/>
      <c r="RUX1156" s="7"/>
      <c r="RUY1156" s="7"/>
      <c r="RUZ1156" s="7"/>
      <c r="RVA1156" s="7"/>
      <c r="RVB1156" s="7"/>
      <c r="RVC1156" s="7"/>
      <c r="RVD1156" s="7"/>
      <c r="RVE1156" s="7"/>
      <c r="RVF1156" s="7"/>
      <c r="RVG1156" s="7"/>
      <c r="RVH1156" s="7"/>
      <c r="RVI1156" s="7"/>
      <c r="RVJ1156" s="7"/>
      <c r="RVK1156" s="7"/>
      <c r="RVL1156" s="7"/>
      <c r="RVM1156" s="7"/>
      <c r="RVN1156" s="7"/>
      <c r="RVO1156" s="7"/>
      <c r="RVP1156" s="7"/>
      <c r="RVQ1156" s="7"/>
      <c r="RVR1156" s="7"/>
      <c r="RVS1156" s="7"/>
      <c r="RVT1156" s="7"/>
      <c r="RVU1156" s="7"/>
      <c r="RVV1156" s="7"/>
      <c r="RVW1156" s="7"/>
      <c r="RVX1156" s="7"/>
      <c r="RVY1156" s="7"/>
      <c r="RVZ1156" s="7"/>
      <c r="RWA1156" s="7"/>
      <c r="RWB1156" s="7"/>
      <c r="RWC1156" s="7"/>
      <c r="RWD1156" s="7"/>
      <c r="RWE1156" s="7"/>
      <c r="RWF1156" s="7"/>
      <c r="RWG1156" s="7"/>
      <c r="RWH1156" s="7"/>
      <c r="RWI1156" s="7"/>
      <c r="RWJ1156" s="7"/>
      <c r="RWK1156" s="7"/>
      <c r="RWL1156" s="7"/>
      <c r="RWM1156" s="7"/>
      <c r="RWN1156" s="7"/>
      <c r="RWO1156" s="7"/>
      <c r="RWP1156" s="7"/>
      <c r="RWQ1156" s="7"/>
      <c r="RWR1156" s="7"/>
      <c r="RWS1156" s="7"/>
      <c r="RWT1156" s="7"/>
      <c r="RWU1156" s="7"/>
      <c r="RWV1156" s="7"/>
      <c r="RWW1156" s="7"/>
      <c r="RWX1156" s="7"/>
      <c r="RWY1156" s="7"/>
      <c r="RWZ1156" s="7"/>
      <c r="RXA1156" s="7"/>
      <c r="RXB1156" s="7"/>
      <c r="RXC1156" s="7"/>
      <c r="RXD1156" s="7"/>
      <c r="RXE1156" s="7"/>
      <c r="RXF1156" s="7"/>
      <c r="RXG1156" s="7"/>
      <c r="RXH1156" s="7"/>
      <c r="RXI1156" s="7"/>
      <c r="RXJ1156" s="7"/>
      <c r="RXK1156" s="7"/>
      <c r="RXL1156" s="7"/>
      <c r="RXM1156" s="7"/>
      <c r="RXN1156" s="7"/>
      <c r="RXO1156" s="7"/>
      <c r="RXP1156" s="7"/>
      <c r="RXQ1156" s="7"/>
      <c r="RXR1156" s="7"/>
      <c r="RXS1156" s="7"/>
      <c r="RXT1156" s="7"/>
      <c r="RXU1156" s="7"/>
      <c r="RXV1156" s="7"/>
      <c r="RXW1156" s="7"/>
      <c r="RXX1156" s="7"/>
      <c r="RXY1156" s="7"/>
      <c r="RXZ1156" s="7"/>
      <c r="RYA1156" s="7"/>
      <c r="RYB1156" s="7"/>
      <c r="RYC1156" s="7"/>
      <c r="RYD1156" s="7"/>
      <c r="RYE1156" s="7"/>
      <c r="RYF1156" s="7"/>
      <c r="RYG1156" s="7"/>
      <c r="RYH1156" s="7"/>
      <c r="RYI1156" s="7"/>
      <c r="RYJ1156" s="7"/>
      <c r="RYK1156" s="7"/>
      <c r="RYL1156" s="7"/>
      <c r="RYM1156" s="7"/>
      <c r="RYN1156" s="7"/>
      <c r="RYO1156" s="7"/>
      <c r="RYP1156" s="7"/>
      <c r="RYQ1156" s="7"/>
      <c r="RYR1156" s="7"/>
      <c r="RYS1156" s="7"/>
      <c r="RYT1156" s="7"/>
      <c r="RYU1156" s="7"/>
      <c r="RYV1156" s="7"/>
      <c r="RYW1156" s="7"/>
      <c r="RYX1156" s="7"/>
      <c r="RYY1156" s="7"/>
      <c r="RYZ1156" s="7"/>
      <c r="RZA1156" s="7"/>
      <c r="RZB1156" s="7"/>
      <c r="RZC1156" s="7"/>
      <c r="RZD1156" s="7"/>
      <c r="RZE1156" s="7"/>
      <c r="RZF1156" s="7"/>
      <c r="RZG1156" s="7"/>
      <c r="RZH1156" s="7"/>
      <c r="RZI1156" s="7"/>
      <c r="RZJ1156" s="7"/>
      <c r="RZK1156" s="7"/>
      <c r="RZL1156" s="7"/>
      <c r="RZM1156" s="7"/>
      <c r="RZN1156" s="7"/>
      <c r="RZO1156" s="7"/>
      <c r="RZP1156" s="7"/>
      <c r="RZQ1156" s="7"/>
      <c r="RZR1156" s="7"/>
      <c r="RZS1156" s="7"/>
      <c r="RZT1156" s="7"/>
      <c r="RZU1156" s="7"/>
      <c r="RZV1156" s="7"/>
      <c r="RZW1156" s="7"/>
      <c r="RZX1156" s="7"/>
      <c r="RZY1156" s="7"/>
      <c r="RZZ1156" s="7"/>
      <c r="SAA1156" s="7"/>
      <c r="SAB1156" s="7"/>
      <c r="SAC1156" s="7"/>
      <c r="SAD1156" s="7"/>
      <c r="SAE1156" s="7"/>
      <c r="SAF1156" s="7"/>
      <c r="SAG1156" s="7"/>
      <c r="SAH1156" s="7"/>
      <c r="SAI1156" s="7"/>
      <c r="SAJ1156" s="7"/>
      <c r="SAK1156" s="7"/>
      <c r="SAL1156" s="7"/>
      <c r="SAM1156" s="7"/>
      <c r="SAN1156" s="7"/>
      <c r="SAO1156" s="7"/>
      <c r="SAP1156" s="7"/>
      <c r="SAQ1156" s="7"/>
      <c r="SAR1156" s="7"/>
      <c r="SAS1156" s="7"/>
      <c r="SAT1156" s="7"/>
      <c r="SAU1156" s="7"/>
      <c r="SAV1156" s="7"/>
      <c r="SAW1156" s="7"/>
      <c r="SAX1156" s="7"/>
      <c r="SAY1156" s="7"/>
      <c r="SAZ1156" s="7"/>
      <c r="SBA1156" s="7"/>
      <c r="SBB1156" s="7"/>
      <c r="SBC1156" s="7"/>
      <c r="SBD1156" s="7"/>
      <c r="SBE1156" s="7"/>
      <c r="SBF1156" s="7"/>
      <c r="SBG1156" s="7"/>
      <c r="SBH1156" s="7"/>
      <c r="SBI1156" s="7"/>
      <c r="SBJ1156" s="7"/>
      <c r="SBK1156" s="7"/>
      <c r="SBL1156" s="7"/>
      <c r="SBM1156" s="7"/>
      <c r="SBN1156" s="7"/>
      <c r="SBO1156" s="7"/>
      <c r="SBP1156" s="7"/>
      <c r="SBQ1156" s="7"/>
      <c r="SBR1156" s="7"/>
      <c r="SBS1156" s="7"/>
      <c r="SBT1156" s="7"/>
      <c r="SBU1156" s="7"/>
      <c r="SBV1156" s="7"/>
      <c r="SBW1156" s="7"/>
      <c r="SBX1156" s="7"/>
      <c r="SBY1156" s="7"/>
      <c r="SBZ1156" s="7"/>
      <c r="SCA1156" s="7"/>
      <c r="SCB1156" s="7"/>
      <c r="SCC1156" s="7"/>
      <c r="SCD1156" s="7"/>
      <c r="SCE1156" s="7"/>
      <c r="SCF1156" s="7"/>
      <c r="SCG1156" s="7"/>
      <c r="SCH1156" s="7"/>
      <c r="SCI1156" s="7"/>
      <c r="SCJ1156" s="7"/>
      <c r="SCK1156" s="7"/>
      <c r="SCL1156" s="7"/>
      <c r="SCM1156" s="7"/>
      <c r="SCN1156" s="7"/>
      <c r="SCO1156" s="7"/>
      <c r="SCP1156" s="7"/>
      <c r="SCQ1156" s="7"/>
      <c r="SCR1156" s="7"/>
      <c r="SCS1156" s="7"/>
      <c r="SCT1156" s="7"/>
      <c r="SCU1156" s="7"/>
      <c r="SCV1156" s="7"/>
      <c r="SCW1156" s="7"/>
      <c r="SCX1156" s="7"/>
      <c r="SCY1156" s="7"/>
      <c r="SCZ1156" s="7"/>
      <c r="SDA1156" s="7"/>
      <c r="SDB1156" s="7"/>
      <c r="SDC1156" s="7"/>
      <c r="SDD1156" s="7"/>
      <c r="SDE1156" s="7"/>
      <c r="SDF1156" s="7"/>
      <c r="SDG1156" s="7"/>
      <c r="SDH1156" s="7"/>
      <c r="SDI1156" s="7"/>
      <c r="SDJ1156" s="7"/>
      <c r="SDK1156" s="7"/>
      <c r="SDL1156" s="7"/>
      <c r="SDM1156" s="7"/>
      <c r="SDN1156" s="7"/>
      <c r="SDO1156" s="7"/>
      <c r="SDP1156" s="7"/>
      <c r="SDQ1156" s="7"/>
      <c r="SDR1156" s="7"/>
      <c r="SDS1156" s="7"/>
      <c r="SDT1156" s="7"/>
      <c r="SDU1156" s="7"/>
      <c r="SDV1156" s="7"/>
      <c r="SDW1156" s="7"/>
      <c r="SDX1156" s="7"/>
      <c r="SDY1156" s="7"/>
      <c r="SDZ1156" s="7"/>
      <c r="SEA1156" s="7"/>
      <c r="SEB1156" s="7"/>
      <c r="SEC1156" s="7"/>
      <c r="SED1156" s="7"/>
      <c r="SEE1156" s="7"/>
      <c r="SEF1156" s="7"/>
      <c r="SEG1156" s="7"/>
      <c r="SEH1156" s="7"/>
      <c r="SEI1156" s="7"/>
      <c r="SEJ1156" s="7"/>
      <c r="SEK1156" s="7"/>
      <c r="SEL1156" s="7"/>
      <c r="SEM1156" s="7"/>
      <c r="SEN1156" s="7"/>
      <c r="SEO1156" s="7"/>
      <c r="SEP1156" s="7"/>
      <c r="SEQ1156" s="7"/>
      <c r="SER1156" s="7"/>
      <c r="SES1156" s="7"/>
      <c r="SET1156" s="7"/>
      <c r="SEU1156" s="7"/>
      <c r="SEV1156" s="7"/>
      <c r="SEW1156" s="7"/>
      <c r="SEX1156" s="7"/>
      <c r="SEY1156" s="7"/>
      <c r="SEZ1156" s="7"/>
      <c r="SFA1156" s="7"/>
      <c r="SFB1156" s="7"/>
      <c r="SFC1156" s="7"/>
      <c r="SFD1156" s="7"/>
      <c r="SFE1156" s="7"/>
      <c r="SFF1156" s="7"/>
      <c r="SFG1156" s="7"/>
      <c r="SFH1156" s="7"/>
      <c r="SFI1156" s="7"/>
      <c r="SFJ1156" s="7"/>
      <c r="SFK1156" s="7"/>
      <c r="SFL1156" s="7"/>
      <c r="SFM1156" s="7"/>
      <c r="SFN1156" s="7"/>
      <c r="SFO1156" s="7"/>
      <c r="SFP1156" s="7"/>
      <c r="SFQ1156" s="7"/>
      <c r="SFR1156" s="7"/>
      <c r="SFS1156" s="7"/>
      <c r="SFT1156" s="7"/>
      <c r="SFU1156" s="7"/>
      <c r="SFV1156" s="7"/>
      <c r="SFW1156" s="7"/>
      <c r="SFX1156" s="7"/>
      <c r="SFY1156" s="7"/>
      <c r="SFZ1156" s="7"/>
      <c r="SGA1156" s="7"/>
      <c r="SGB1156" s="7"/>
      <c r="SGC1156" s="7"/>
      <c r="SGD1156" s="7"/>
      <c r="SGE1156" s="7"/>
      <c r="SGF1156" s="7"/>
      <c r="SGG1156" s="7"/>
      <c r="SGH1156" s="7"/>
      <c r="SGI1156" s="7"/>
      <c r="SGJ1156" s="7"/>
      <c r="SGK1156" s="7"/>
      <c r="SGL1156" s="7"/>
      <c r="SGM1156" s="7"/>
      <c r="SGN1156" s="7"/>
      <c r="SGO1156" s="7"/>
      <c r="SGP1156" s="7"/>
      <c r="SGQ1156" s="7"/>
      <c r="SGR1156" s="7"/>
      <c r="SGS1156" s="7"/>
      <c r="SGT1156" s="7"/>
      <c r="SGU1156" s="7"/>
      <c r="SGV1156" s="7"/>
      <c r="SGW1156" s="7"/>
      <c r="SGX1156" s="7"/>
      <c r="SGY1156" s="7"/>
      <c r="SGZ1156" s="7"/>
      <c r="SHA1156" s="7"/>
      <c r="SHB1156" s="7"/>
      <c r="SHC1156" s="7"/>
      <c r="SHD1156" s="7"/>
      <c r="SHE1156" s="7"/>
      <c r="SHF1156" s="7"/>
      <c r="SHG1156" s="7"/>
      <c r="SHH1156" s="7"/>
      <c r="SHI1156" s="7"/>
      <c r="SHJ1156" s="7"/>
      <c r="SHK1156" s="7"/>
      <c r="SHL1156" s="7"/>
      <c r="SHM1156" s="7"/>
      <c r="SHN1156" s="7"/>
      <c r="SHO1156" s="7"/>
      <c r="SHP1156" s="7"/>
      <c r="SHQ1156" s="7"/>
      <c r="SHR1156" s="7"/>
      <c r="SHS1156" s="7"/>
      <c r="SHT1156" s="7"/>
      <c r="SHU1156" s="7"/>
      <c r="SHV1156" s="7"/>
      <c r="SHW1156" s="7"/>
      <c r="SHX1156" s="7"/>
      <c r="SHY1156" s="7"/>
      <c r="SHZ1156" s="7"/>
      <c r="SIA1156" s="7"/>
      <c r="SIB1156" s="7"/>
      <c r="SIC1156" s="7"/>
      <c r="SID1156" s="7"/>
      <c r="SIE1156" s="7"/>
      <c r="SIF1156" s="7"/>
      <c r="SIG1156" s="7"/>
      <c r="SIH1156" s="7"/>
      <c r="SII1156" s="7"/>
      <c r="SIJ1156" s="7"/>
      <c r="SIK1156" s="7"/>
      <c r="SIL1156" s="7"/>
      <c r="SIM1156" s="7"/>
      <c r="SIN1156" s="7"/>
      <c r="SIO1156" s="7"/>
      <c r="SIP1156" s="7"/>
      <c r="SIQ1156" s="7"/>
      <c r="SIR1156" s="7"/>
      <c r="SIS1156" s="7"/>
      <c r="SIT1156" s="7"/>
      <c r="SIU1156" s="7"/>
      <c r="SIV1156" s="7"/>
      <c r="SIW1156" s="7"/>
      <c r="SIX1156" s="7"/>
      <c r="SIY1156" s="7"/>
      <c r="SIZ1156" s="7"/>
      <c r="SJA1156" s="7"/>
      <c r="SJB1156" s="7"/>
      <c r="SJC1156" s="7"/>
      <c r="SJD1156" s="7"/>
      <c r="SJE1156" s="7"/>
      <c r="SJF1156" s="7"/>
      <c r="SJG1156" s="7"/>
      <c r="SJH1156" s="7"/>
      <c r="SJI1156" s="7"/>
      <c r="SJJ1156" s="7"/>
      <c r="SJK1156" s="7"/>
      <c r="SJL1156" s="7"/>
      <c r="SJM1156" s="7"/>
      <c r="SJN1156" s="7"/>
      <c r="SJO1156" s="7"/>
      <c r="SJP1156" s="7"/>
      <c r="SJQ1156" s="7"/>
      <c r="SJR1156" s="7"/>
      <c r="SJS1156" s="7"/>
      <c r="SJT1156" s="7"/>
      <c r="SJU1156" s="7"/>
      <c r="SJV1156" s="7"/>
      <c r="SJW1156" s="7"/>
      <c r="SJX1156" s="7"/>
      <c r="SJY1156" s="7"/>
      <c r="SJZ1156" s="7"/>
      <c r="SKA1156" s="7"/>
      <c r="SKB1156" s="7"/>
      <c r="SKC1156" s="7"/>
      <c r="SKD1156" s="7"/>
      <c r="SKE1156" s="7"/>
      <c r="SKF1156" s="7"/>
      <c r="SKG1156" s="7"/>
      <c r="SKH1156" s="7"/>
      <c r="SKI1156" s="7"/>
      <c r="SKJ1156" s="7"/>
      <c r="SKK1156" s="7"/>
      <c r="SKL1156" s="7"/>
      <c r="SKM1156" s="7"/>
      <c r="SKN1156" s="7"/>
      <c r="SKO1156" s="7"/>
      <c r="SKP1156" s="7"/>
      <c r="SKQ1156" s="7"/>
      <c r="SKR1156" s="7"/>
      <c r="SKS1156" s="7"/>
      <c r="SKT1156" s="7"/>
      <c r="SKU1156" s="7"/>
      <c r="SKV1156" s="7"/>
      <c r="SKW1156" s="7"/>
      <c r="SKX1156" s="7"/>
      <c r="SKY1156" s="7"/>
      <c r="SKZ1156" s="7"/>
      <c r="SLA1156" s="7"/>
      <c r="SLB1156" s="7"/>
      <c r="SLC1156" s="7"/>
      <c r="SLD1156" s="7"/>
      <c r="SLE1156" s="7"/>
      <c r="SLF1156" s="7"/>
      <c r="SLG1156" s="7"/>
      <c r="SLH1156" s="7"/>
      <c r="SLI1156" s="7"/>
      <c r="SLJ1156" s="7"/>
      <c r="SLK1156" s="7"/>
      <c r="SLL1156" s="7"/>
      <c r="SLM1156" s="7"/>
      <c r="SLN1156" s="7"/>
      <c r="SLO1156" s="7"/>
      <c r="SLP1156" s="7"/>
      <c r="SLQ1156" s="7"/>
      <c r="SLR1156" s="7"/>
      <c r="SLS1156" s="7"/>
      <c r="SLT1156" s="7"/>
      <c r="SLU1156" s="7"/>
      <c r="SLV1156" s="7"/>
      <c r="SLW1156" s="7"/>
      <c r="SLX1156" s="7"/>
      <c r="SLY1156" s="7"/>
      <c r="SLZ1156" s="7"/>
      <c r="SMA1156" s="7"/>
      <c r="SMB1156" s="7"/>
      <c r="SMC1156" s="7"/>
      <c r="SMD1156" s="7"/>
      <c r="SME1156" s="7"/>
      <c r="SMF1156" s="7"/>
      <c r="SMG1156" s="7"/>
      <c r="SMH1156" s="7"/>
      <c r="SMI1156" s="7"/>
      <c r="SMJ1156" s="7"/>
      <c r="SMK1156" s="7"/>
      <c r="SML1156" s="7"/>
      <c r="SMM1156" s="7"/>
      <c r="SMN1156" s="7"/>
      <c r="SMO1156" s="7"/>
      <c r="SMP1156" s="7"/>
      <c r="SMQ1156" s="7"/>
      <c r="SMR1156" s="7"/>
      <c r="SMS1156" s="7"/>
      <c r="SMT1156" s="7"/>
      <c r="SMU1156" s="7"/>
      <c r="SMV1156" s="7"/>
      <c r="SMW1156" s="7"/>
      <c r="SMX1156" s="7"/>
      <c r="SMY1156" s="7"/>
      <c r="SMZ1156" s="7"/>
      <c r="SNA1156" s="7"/>
      <c r="SNB1156" s="7"/>
      <c r="SNC1156" s="7"/>
      <c r="SND1156" s="7"/>
      <c r="SNE1156" s="7"/>
      <c r="SNF1156" s="7"/>
      <c r="SNG1156" s="7"/>
      <c r="SNH1156" s="7"/>
      <c r="SNI1156" s="7"/>
      <c r="SNJ1156" s="7"/>
      <c r="SNK1156" s="7"/>
      <c r="SNL1156" s="7"/>
      <c r="SNM1156" s="7"/>
      <c r="SNN1156" s="7"/>
      <c r="SNO1156" s="7"/>
      <c r="SNP1156" s="7"/>
      <c r="SNQ1156" s="7"/>
      <c r="SNR1156" s="7"/>
      <c r="SNS1156" s="7"/>
      <c r="SNT1156" s="7"/>
      <c r="SNU1156" s="7"/>
      <c r="SNV1156" s="7"/>
      <c r="SNW1156" s="7"/>
      <c r="SNX1156" s="7"/>
      <c r="SNY1156" s="7"/>
      <c r="SNZ1156" s="7"/>
      <c r="SOA1156" s="7"/>
      <c r="SOB1156" s="7"/>
      <c r="SOC1156" s="7"/>
      <c r="SOD1156" s="7"/>
      <c r="SOE1156" s="7"/>
      <c r="SOF1156" s="7"/>
      <c r="SOG1156" s="7"/>
      <c r="SOH1156" s="7"/>
      <c r="SOI1156" s="7"/>
      <c r="SOJ1156" s="7"/>
      <c r="SOK1156" s="7"/>
      <c r="SOL1156" s="7"/>
      <c r="SOM1156" s="7"/>
      <c r="SON1156" s="7"/>
      <c r="SOO1156" s="7"/>
      <c r="SOP1156" s="7"/>
      <c r="SOQ1156" s="7"/>
      <c r="SOR1156" s="7"/>
      <c r="SOS1156" s="7"/>
      <c r="SOT1156" s="7"/>
      <c r="SOU1156" s="7"/>
      <c r="SOV1156" s="7"/>
      <c r="SOW1156" s="7"/>
      <c r="SOX1156" s="7"/>
      <c r="SOY1156" s="7"/>
      <c r="SOZ1156" s="7"/>
      <c r="SPA1156" s="7"/>
      <c r="SPB1156" s="7"/>
      <c r="SPC1156" s="7"/>
      <c r="SPD1156" s="7"/>
      <c r="SPE1156" s="7"/>
      <c r="SPF1156" s="7"/>
      <c r="SPG1156" s="7"/>
      <c r="SPH1156" s="7"/>
      <c r="SPI1156" s="7"/>
      <c r="SPJ1156" s="7"/>
      <c r="SPK1156" s="7"/>
      <c r="SPL1156" s="7"/>
      <c r="SPM1156" s="7"/>
      <c r="SPN1156" s="7"/>
      <c r="SPO1156" s="7"/>
      <c r="SPP1156" s="7"/>
      <c r="SPQ1156" s="7"/>
      <c r="SPR1156" s="7"/>
      <c r="SPS1156" s="7"/>
      <c r="SPT1156" s="7"/>
      <c r="SPU1156" s="7"/>
      <c r="SPV1156" s="7"/>
      <c r="SPW1156" s="7"/>
      <c r="SPX1156" s="7"/>
      <c r="SPY1156" s="7"/>
      <c r="SPZ1156" s="7"/>
      <c r="SQA1156" s="7"/>
      <c r="SQB1156" s="7"/>
      <c r="SQC1156" s="7"/>
      <c r="SQD1156" s="7"/>
      <c r="SQE1156" s="7"/>
      <c r="SQF1156" s="7"/>
      <c r="SQG1156" s="7"/>
      <c r="SQH1156" s="7"/>
      <c r="SQI1156" s="7"/>
      <c r="SQJ1156" s="7"/>
      <c r="SQK1156" s="7"/>
      <c r="SQL1156" s="7"/>
      <c r="SQM1156" s="7"/>
      <c r="SQN1156" s="7"/>
      <c r="SQO1156" s="7"/>
      <c r="SQP1156" s="7"/>
      <c r="SQQ1156" s="7"/>
      <c r="SQR1156" s="7"/>
      <c r="SQS1156" s="7"/>
      <c r="SQT1156" s="7"/>
      <c r="SQU1156" s="7"/>
      <c r="SQV1156" s="7"/>
      <c r="SQW1156" s="7"/>
      <c r="SQX1156" s="7"/>
      <c r="SQY1156" s="7"/>
      <c r="SQZ1156" s="7"/>
      <c r="SRA1156" s="7"/>
      <c r="SRB1156" s="7"/>
      <c r="SRC1156" s="7"/>
      <c r="SRD1156" s="7"/>
      <c r="SRE1156" s="7"/>
      <c r="SRF1156" s="7"/>
      <c r="SRG1156" s="7"/>
      <c r="SRH1156" s="7"/>
      <c r="SRI1156" s="7"/>
      <c r="SRJ1156" s="7"/>
      <c r="SRK1156" s="7"/>
      <c r="SRL1156" s="7"/>
      <c r="SRM1156" s="7"/>
      <c r="SRN1156" s="7"/>
      <c r="SRO1156" s="7"/>
      <c r="SRP1156" s="7"/>
      <c r="SRQ1156" s="7"/>
      <c r="SRR1156" s="7"/>
      <c r="SRS1156" s="7"/>
      <c r="SRT1156" s="7"/>
      <c r="SRU1156" s="7"/>
      <c r="SRV1156" s="7"/>
      <c r="SRW1156" s="7"/>
      <c r="SRX1156" s="7"/>
      <c r="SRY1156" s="7"/>
      <c r="SRZ1156" s="7"/>
      <c r="SSA1156" s="7"/>
      <c r="SSB1156" s="7"/>
      <c r="SSC1156" s="7"/>
      <c r="SSD1156" s="7"/>
      <c r="SSE1156" s="7"/>
      <c r="SSF1156" s="7"/>
      <c r="SSG1156" s="7"/>
      <c r="SSH1156" s="7"/>
      <c r="SSI1156" s="7"/>
      <c r="SSJ1156" s="7"/>
      <c r="SSK1156" s="7"/>
      <c r="SSL1156" s="7"/>
      <c r="SSM1156" s="7"/>
      <c r="SSN1156" s="7"/>
      <c r="SSO1156" s="7"/>
      <c r="SSP1156" s="7"/>
      <c r="SSQ1156" s="7"/>
      <c r="SSR1156" s="7"/>
      <c r="SSS1156" s="7"/>
      <c r="SST1156" s="7"/>
      <c r="SSU1156" s="7"/>
      <c r="SSV1156" s="7"/>
      <c r="SSW1156" s="7"/>
      <c r="SSX1156" s="7"/>
      <c r="SSY1156" s="7"/>
      <c r="SSZ1156" s="7"/>
      <c r="STA1156" s="7"/>
      <c r="STB1156" s="7"/>
      <c r="STC1156" s="7"/>
      <c r="STD1156" s="7"/>
      <c r="STE1156" s="7"/>
      <c r="STF1156" s="7"/>
      <c r="STG1156" s="7"/>
      <c r="STH1156" s="7"/>
      <c r="STI1156" s="7"/>
      <c r="STJ1156" s="7"/>
      <c r="STK1156" s="7"/>
      <c r="STL1156" s="7"/>
      <c r="STM1156" s="7"/>
      <c r="STN1156" s="7"/>
      <c r="STO1156" s="7"/>
      <c r="STP1156" s="7"/>
      <c r="STQ1156" s="7"/>
      <c r="STR1156" s="7"/>
      <c r="STS1156" s="7"/>
      <c r="STT1156" s="7"/>
      <c r="STU1156" s="7"/>
      <c r="STV1156" s="7"/>
      <c r="STW1156" s="7"/>
      <c r="STX1156" s="7"/>
      <c r="STY1156" s="7"/>
      <c r="STZ1156" s="7"/>
      <c r="SUA1156" s="7"/>
      <c r="SUB1156" s="7"/>
      <c r="SUC1156" s="7"/>
      <c r="SUD1156" s="7"/>
      <c r="SUE1156" s="7"/>
      <c r="SUF1156" s="7"/>
      <c r="SUG1156" s="7"/>
      <c r="SUH1156" s="7"/>
      <c r="SUI1156" s="7"/>
      <c r="SUJ1156" s="7"/>
      <c r="SUK1156" s="7"/>
      <c r="SUL1156" s="7"/>
      <c r="SUM1156" s="7"/>
      <c r="SUN1156" s="7"/>
      <c r="SUO1156" s="7"/>
      <c r="SUP1156" s="7"/>
      <c r="SUQ1156" s="7"/>
      <c r="SUR1156" s="7"/>
      <c r="SUS1156" s="7"/>
      <c r="SUT1156" s="7"/>
      <c r="SUU1156" s="7"/>
      <c r="SUV1156" s="7"/>
      <c r="SUW1156" s="7"/>
      <c r="SUX1156" s="7"/>
      <c r="SUY1156" s="7"/>
      <c r="SUZ1156" s="7"/>
      <c r="SVA1156" s="7"/>
      <c r="SVB1156" s="7"/>
      <c r="SVC1156" s="7"/>
      <c r="SVD1156" s="7"/>
      <c r="SVE1156" s="7"/>
      <c r="SVF1156" s="7"/>
      <c r="SVG1156" s="7"/>
      <c r="SVH1156" s="7"/>
      <c r="SVI1156" s="7"/>
      <c r="SVJ1156" s="7"/>
      <c r="SVK1156" s="7"/>
      <c r="SVL1156" s="7"/>
      <c r="SVM1156" s="7"/>
      <c r="SVN1156" s="7"/>
      <c r="SVO1156" s="7"/>
      <c r="SVP1156" s="7"/>
      <c r="SVQ1156" s="7"/>
      <c r="SVR1156" s="7"/>
      <c r="SVS1156" s="7"/>
      <c r="SVT1156" s="7"/>
      <c r="SVU1156" s="7"/>
      <c r="SVV1156" s="7"/>
      <c r="SVW1156" s="7"/>
      <c r="SVX1156" s="7"/>
      <c r="SVY1156" s="7"/>
      <c r="SVZ1156" s="7"/>
      <c r="SWA1156" s="7"/>
      <c r="SWB1156" s="7"/>
      <c r="SWC1156" s="7"/>
      <c r="SWD1156" s="7"/>
      <c r="SWE1156" s="7"/>
      <c r="SWF1156" s="7"/>
      <c r="SWG1156" s="7"/>
      <c r="SWH1156" s="7"/>
      <c r="SWI1156" s="7"/>
      <c r="SWJ1156" s="7"/>
      <c r="SWK1156" s="7"/>
      <c r="SWL1156" s="7"/>
      <c r="SWM1156" s="7"/>
      <c r="SWN1156" s="7"/>
      <c r="SWO1156" s="7"/>
      <c r="SWP1156" s="7"/>
      <c r="SWQ1156" s="7"/>
      <c r="SWR1156" s="7"/>
      <c r="SWS1156" s="7"/>
      <c r="SWT1156" s="7"/>
      <c r="SWU1156" s="7"/>
      <c r="SWV1156" s="7"/>
      <c r="SWW1156" s="7"/>
      <c r="SWX1156" s="7"/>
      <c r="SWY1156" s="7"/>
      <c r="SWZ1156" s="7"/>
      <c r="SXA1156" s="7"/>
      <c r="SXB1156" s="7"/>
      <c r="SXC1156" s="7"/>
      <c r="SXD1156" s="7"/>
      <c r="SXE1156" s="7"/>
      <c r="SXF1156" s="7"/>
      <c r="SXG1156" s="7"/>
      <c r="SXH1156" s="7"/>
      <c r="SXI1156" s="7"/>
      <c r="SXJ1156" s="7"/>
      <c r="SXK1156" s="7"/>
      <c r="SXL1156" s="7"/>
      <c r="SXM1156" s="7"/>
      <c r="SXN1156" s="7"/>
      <c r="SXO1156" s="7"/>
      <c r="SXP1156" s="7"/>
      <c r="SXQ1156" s="7"/>
      <c r="SXR1156" s="7"/>
      <c r="SXS1156" s="7"/>
      <c r="SXT1156" s="7"/>
      <c r="SXU1156" s="7"/>
      <c r="SXV1156" s="7"/>
      <c r="SXW1156" s="7"/>
      <c r="SXX1156" s="7"/>
      <c r="SXY1156" s="7"/>
      <c r="SXZ1156" s="7"/>
      <c r="SYA1156" s="7"/>
      <c r="SYB1156" s="7"/>
      <c r="SYC1156" s="7"/>
      <c r="SYD1156" s="7"/>
      <c r="SYE1156" s="7"/>
      <c r="SYF1156" s="7"/>
      <c r="SYG1156" s="7"/>
      <c r="SYH1156" s="7"/>
      <c r="SYI1156" s="7"/>
      <c r="SYJ1156" s="7"/>
      <c r="SYK1156" s="7"/>
      <c r="SYL1156" s="7"/>
      <c r="SYM1156" s="7"/>
      <c r="SYN1156" s="7"/>
      <c r="SYO1156" s="7"/>
      <c r="SYP1156" s="7"/>
      <c r="SYQ1156" s="7"/>
      <c r="SYR1156" s="7"/>
      <c r="SYS1156" s="7"/>
      <c r="SYT1156" s="7"/>
      <c r="SYU1156" s="7"/>
      <c r="SYV1156" s="7"/>
      <c r="SYW1156" s="7"/>
      <c r="SYX1156" s="7"/>
      <c r="SYY1156" s="7"/>
      <c r="SYZ1156" s="7"/>
      <c r="SZA1156" s="7"/>
      <c r="SZB1156" s="7"/>
      <c r="SZC1156" s="7"/>
      <c r="SZD1156" s="7"/>
      <c r="SZE1156" s="7"/>
      <c r="SZF1156" s="7"/>
      <c r="SZG1156" s="7"/>
      <c r="SZH1156" s="7"/>
      <c r="SZI1156" s="7"/>
      <c r="SZJ1156" s="7"/>
      <c r="SZK1156" s="7"/>
      <c r="SZL1156" s="7"/>
      <c r="SZM1156" s="7"/>
      <c r="SZN1156" s="7"/>
      <c r="SZO1156" s="7"/>
      <c r="SZP1156" s="7"/>
      <c r="SZQ1156" s="7"/>
      <c r="SZR1156" s="7"/>
      <c r="SZS1156" s="7"/>
      <c r="SZT1156" s="7"/>
      <c r="SZU1156" s="7"/>
      <c r="SZV1156" s="7"/>
      <c r="SZW1156" s="7"/>
      <c r="SZX1156" s="7"/>
      <c r="SZY1156" s="7"/>
      <c r="SZZ1156" s="7"/>
      <c r="TAA1156" s="7"/>
      <c r="TAB1156" s="7"/>
      <c r="TAC1156" s="7"/>
      <c r="TAD1156" s="7"/>
      <c r="TAE1156" s="7"/>
      <c r="TAF1156" s="7"/>
      <c r="TAG1156" s="7"/>
      <c r="TAH1156" s="7"/>
      <c r="TAI1156" s="7"/>
      <c r="TAJ1156" s="7"/>
      <c r="TAK1156" s="7"/>
      <c r="TAL1156" s="7"/>
      <c r="TAM1156" s="7"/>
      <c r="TAN1156" s="7"/>
      <c r="TAO1156" s="7"/>
      <c r="TAP1156" s="7"/>
      <c r="TAQ1156" s="7"/>
      <c r="TAR1156" s="7"/>
      <c r="TAS1156" s="7"/>
      <c r="TAT1156" s="7"/>
      <c r="TAU1156" s="7"/>
      <c r="TAV1156" s="7"/>
      <c r="TAW1156" s="7"/>
      <c r="TAX1156" s="7"/>
      <c r="TAY1156" s="7"/>
      <c r="TAZ1156" s="7"/>
      <c r="TBA1156" s="7"/>
      <c r="TBB1156" s="7"/>
      <c r="TBC1156" s="7"/>
      <c r="TBD1156" s="7"/>
      <c r="TBE1156" s="7"/>
      <c r="TBF1156" s="7"/>
      <c r="TBG1156" s="7"/>
      <c r="TBH1156" s="7"/>
      <c r="TBI1156" s="7"/>
      <c r="TBJ1156" s="7"/>
      <c r="TBK1156" s="7"/>
      <c r="TBL1156" s="7"/>
      <c r="TBM1156" s="7"/>
      <c r="TBN1156" s="7"/>
      <c r="TBO1156" s="7"/>
      <c r="TBP1156" s="7"/>
      <c r="TBQ1156" s="7"/>
      <c r="TBR1156" s="7"/>
      <c r="TBS1156" s="7"/>
      <c r="TBT1156" s="7"/>
      <c r="TBU1156" s="7"/>
      <c r="TBV1156" s="7"/>
      <c r="TBW1156" s="7"/>
      <c r="TBX1156" s="7"/>
      <c r="TBY1156" s="7"/>
      <c r="TBZ1156" s="7"/>
      <c r="TCA1156" s="7"/>
      <c r="TCB1156" s="7"/>
      <c r="TCC1156" s="7"/>
      <c r="TCD1156" s="7"/>
      <c r="TCE1156" s="7"/>
      <c r="TCF1156" s="7"/>
      <c r="TCG1156" s="7"/>
      <c r="TCH1156" s="7"/>
      <c r="TCI1156" s="7"/>
      <c r="TCJ1156" s="7"/>
      <c r="TCK1156" s="7"/>
      <c r="TCL1156" s="7"/>
      <c r="TCM1156" s="7"/>
      <c r="TCN1156" s="7"/>
      <c r="TCO1156" s="7"/>
      <c r="TCP1156" s="7"/>
      <c r="TCQ1156" s="7"/>
      <c r="TCR1156" s="7"/>
      <c r="TCS1156" s="7"/>
      <c r="TCT1156" s="7"/>
      <c r="TCU1156" s="7"/>
      <c r="TCV1156" s="7"/>
      <c r="TCW1156" s="7"/>
      <c r="TCX1156" s="7"/>
      <c r="TCY1156" s="7"/>
      <c r="TCZ1156" s="7"/>
      <c r="TDA1156" s="7"/>
      <c r="TDB1156" s="7"/>
      <c r="TDC1156" s="7"/>
      <c r="TDD1156" s="7"/>
      <c r="TDE1156" s="7"/>
      <c r="TDF1156" s="7"/>
      <c r="TDG1156" s="7"/>
      <c r="TDH1156" s="7"/>
      <c r="TDI1156" s="7"/>
      <c r="TDJ1156" s="7"/>
      <c r="TDK1156" s="7"/>
      <c r="TDL1156" s="7"/>
      <c r="TDM1156" s="7"/>
      <c r="TDN1156" s="7"/>
      <c r="TDO1156" s="7"/>
      <c r="TDP1156" s="7"/>
      <c r="TDQ1156" s="7"/>
      <c r="TDR1156" s="7"/>
      <c r="TDS1156" s="7"/>
      <c r="TDT1156" s="7"/>
      <c r="TDU1156" s="7"/>
      <c r="TDV1156" s="7"/>
      <c r="TDW1156" s="7"/>
      <c r="TDX1156" s="7"/>
      <c r="TDY1156" s="7"/>
      <c r="TDZ1156" s="7"/>
      <c r="TEA1156" s="7"/>
      <c r="TEB1156" s="7"/>
      <c r="TEC1156" s="7"/>
      <c r="TED1156" s="7"/>
      <c r="TEE1156" s="7"/>
      <c r="TEF1156" s="7"/>
      <c r="TEG1156" s="7"/>
      <c r="TEH1156" s="7"/>
      <c r="TEI1156" s="7"/>
      <c r="TEJ1156" s="7"/>
      <c r="TEK1156" s="7"/>
      <c r="TEL1156" s="7"/>
      <c r="TEM1156" s="7"/>
      <c r="TEN1156" s="7"/>
      <c r="TEO1156" s="7"/>
      <c r="TEP1156" s="7"/>
      <c r="TEQ1156" s="7"/>
      <c r="TER1156" s="7"/>
      <c r="TES1156" s="7"/>
      <c r="TET1156" s="7"/>
      <c r="TEU1156" s="7"/>
      <c r="TEV1156" s="7"/>
      <c r="TEW1156" s="7"/>
      <c r="TEX1156" s="7"/>
      <c r="TEY1156" s="7"/>
      <c r="TEZ1156" s="7"/>
      <c r="TFA1156" s="7"/>
      <c r="TFB1156" s="7"/>
      <c r="TFC1156" s="7"/>
      <c r="TFD1156" s="7"/>
      <c r="TFE1156" s="7"/>
      <c r="TFF1156" s="7"/>
      <c r="TFG1156" s="7"/>
      <c r="TFH1156" s="7"/>
      <c r="TFI1156" s="7"/>
      <c r="TFJ1156" s="7"/>
      <c r="TFK1156" s="7"/>
      <c r="TFL1156" s="7"/>
      <c r="TFM1156" s="7"/>
      <c r="TFN1156" s="7"/>
      <c r="TFO1156" s="7"/>
      <c r="TFP1156" s="7"/>
      <c r="TFQ1156" s="7"/>
      <c r="TFR1156" s="7"/>
      <c r="TFS1156" s="7"/>
      <c r="TFT1156" s="7"/>
      <c r="TFU1156" s="7"/>
      <c r="TFV1156" s="7"/>
      <c r="TFW1156" s="7"/>
      <c r="TFX1156" s="7"/>
      <c r="TFY1156" s="7"/>
      <c r="TFZ1156" s="7"/>
      <c r="TGA1156" s="7"/>
      <c r="TGB1156" s="7"/>
      <c r="TGC1156" s="7"/>
      <c r="TGD1156" s="7"/>
      <c r="TGE1156" s="7"/>
      <c r="TGF1156" s="7"/>
      <c r="TGG1156" s="7"/>
      <c r="TGH1156" s="7"/>
      <c r="TGI1156" s="7"/>
      <c r="TGJ1156" s="7"/>
      <c r="TGK1156" s="7"/>
      <c r="TGL1156" s="7"/>
      <c r="TGM1156" s="7"/>
      <c r="TGN1156" s="7"/>
      <c r="TGO1156" s="7"/>
      <c r="TGP1156" s="7"/>
      <c r="TGQ1156" s="7"/>
      <c r="TGR1156" s="7"/>
      <c r="TGS1156" s="7"/>
      <c r="TGT1156" s="7"/>
      <c r="TGU1156" s="7"/>
      <c r="TGV1156" s="7"/>
      <c r="TGW1156" s="7"/>
      <c r="TGX1156" s="7"/>
      <c r="TGY1156" s="7"/>
      <c r="TGZ1156" s="7"/>
      <c r="THA1156" s="7"/>
      <c r="THB1156" s="7"/>
      <c r="THC1156" s="7"/>
      <c r="THD1156" s="7"/>
      <c r="THE1156" s="7"/>
      <c r="THF1156" s="7"/>
      <c r="THG1156" s="7"/>
      <c r="THH1156" s="7"/>
      <c r="THI1156" s="7"/>
      <c r="THJ1156" s="7"/>
      <c r="THK1156" s="7"/>
      <c r="THL1156" s="7"/>
      <c r="THM1156" s="7"/>
      <c r="THN1156" s="7"/>
      <c r="THO1156" s="7"/>
      <c r="THP1156" s="7"/>
      <c r="THQ1156" s="7"/>
      <c r="THR1156" s="7"/>
      <c r="THS1156" s="7"/>
      <c r="THT1156" s="7"/>
      <c r="THU1156" s="7"/>
      <c r="THV1156" s="7"/>
      <c r="THW1156" s="7"/>
      <c r="THX1156" s="7"/>
      <c r="THY1156" s="7"/>
      <c r="THZ1156" s="7"/>
      <c r="TIA1156" s="7"/>
      <c r="TIB1156" s="7"/>
      <c r="TIC1156" s="7"/>
      <c r="TID1156" s="7"/>
      <c r="TIE1156" s="7"/>
      <c r="TIF1156" s="7"/>
      <c r="TIG1156" s="7"/>
      <c r="TIH1156" s="7"/>
      <c r="TII1156" s="7"/>
      <c r="TIJ1156" s="7"/>
      <c r="TIK1156" s="7"/>
      <c r="TIL1156" s="7"/>
      <c r="TIM1156" s="7"/>
      <c r="TIN1156" s="7"/>
      <c r="TIO1156" s="7"/>
      <c r="TIP1156" s="7"/>
      <c r="TIQ1156" s="7"/>
      <c r="TIR1156" s="7"/>
      <c r="TIS1156" s="7"/>
      <c r="TIT1156" s="7"/>
      <c r="TIU1156" s="7"/>
      <c r="TIV1156" s="7"/>
      <c r="TIW1156" s="7"/>
      <c r="TIX1156" s="7"/>
      <c r="TIY1156" s="7"/>
      <c r="TIZ1156" s="7"/>
      <c r="TJA1156" s="7"/>
      <c r="TJB1156" s="7"/>
      <c r="TJC1156" s="7"/>
      <c r="TJD1156" s="7"/>
      <c r="TJE1156" s="7"/>
      <c r="TJF1156" s="7"/>
      <c r="TJG1156" s="7"/>
      <c r="TJH1156" s="7"/>
      <c r="TJI1156" s="7"/>
      <c r="TJJ1156" s="7"/>
      <c r="TJK1156" s="7"/>
      <c r="TJL1156" s="7"/>
      <c r="TJM1156" s="7"/>
      <c r="TJN1156" s="7"/>
      <c r="TJO1156" s="7"/>
      <c r="TJP1156" s="7"/>
      <c r="TJQ1156" s="7"/>
      <c r="TJR1156" s="7"/>
      <c r="TJS1156" s="7"/>
      <c r="TJT1156" s="7"/>
      <c r="TJU1156" s="7"/>
      <c r="TJV1156" s="7"/>
      <c r="TJW1156" s="7"/>
      <c r="TJX1156" s="7"/>
      <c r="TJY1156" s="7"/>
      <c r="TJZ1156" s="7"/>
      <c r="TKA1156" s="7"/>
      <c r="TKB1156" s="7"/>
      <c r="TKC1156" s="7"/>
      <c r="TKD1156" s="7"/>
      <c r="TKE1156" s="7"/>
      <c r="TKF1156" s="7"/>
      <c r="TKG1156" s="7"/>
      <c r="TKH1156" s="7"/>
      <c r="TKI1156" s="7"/>
      <c r="TKJ1156" s="7"/>
      <c r="TKK1156" s="7"/>
      <c r="TKL1156" s="7"/>
      <c r="TKM1156" s="7"/>
      <c r="TKN1156" s="7"/>
      <c r="TKO1156" s="7"/>
      <c r="TKP1156" s="7"/>
      <c r="TKQ1156" s="7"/>
      <c r="TKR1156" s="7"/>
      <c r="TKS1156" s="7"/>
      <c r="TKT1156" s="7"/>
      <c r="TKU1156" s="7"/>
      <c r="TKV1156" s="7"/>
      <c r="TKW1156" s="7"/>
      <c r="TKX1156" s="7"/>
      <c r="TKY1156" s="7"/>
      <c r="TKZ1156" s="7"/>
      <c r="TLA1156" s="7"/>
      <c r="TLB1156" s="7"/>
      <c r="TLC1156" s="7"/>
      <c r="TLD1156" s="7"/>
      <c r="TLE1156" s="7"/>
      <c r="TLF1156" s="7"/>
      <c r="TLG1156" s="7"/>
      <c r="TLH1156" s="7"/>
      <c r="TLI1156" s="7"/>
      <c r="TLJ1156" s="7"/>
      <c r="TLK1156" s="7"/>
      <c r="TLL1156" s="7"/>
      <c r="TLM1156" s="7"/>
      <c r="TLN1156" s="7"/>
      <c r="TLO1156" s="7"/>
      <c r="TLP1156" s="7"/>
      <c r="TLQ1156" s="7"/>
      <c r="TLR1156" s="7"/>
      <c r="TLS1156" s="7"/>
      <c r="TLT1156" s="7"/>
      <c r="TLU1156" s="7"/>
      <c r="TLV1156" s="7"/>
      <c r="TLW1156" s="7"/>
      <c r="TLX1156" s="7"/>
      <c r="TLY1156" s="7"/>
      <c r="TLZ1156" s="7"/>
      <c r="TMA1156" s="7"/>
      <c r="TMB1156" s="7"/>
      <c r="TMC1156" s="7"/>
      <c r="TMD1156" s="7"/>
      <c r="TME1156" s="7"/>
      <c r="TMF1156" s="7"/>
      <c r="TMG1156" s="7"/>
      <c r="TMH1156" s="7"/>
      <c r="TMI1156" s="7"/>
      <c r="TMJ1156" s="7"/>
      <c r="TMK1156" s="7"/>
      <c r="TML1156" s="7"/>
      <c r="TMM1156" s="7"/>
      <c r="TMN1156" s="7"/>
      <c r="TMO1156" s="7"/>
      <c r="TMP1156" s="7"/>
      <c r="TMQ1156" s="7"/>
      <c r="TMR1156" s="7"/>
      <c r="TMS1156" s="7"/>
      <c r="TMT1156" s="7"/>
      <c r="TMU1156" s="7"/>
      <c r="TMV1156" s="7"/>
      <c r="TMW1156" s="7"/>
      <c r="TMX1156" s="7"/>
      <c r="TMY1156" s="7"/>
      <c r="TMZ1156" s="7"/>
      <c r="TNA1156" s="7"/>
      <c r="TNB1156" s="7"/>
      <c r="TNC1156" s="7"/>
      <c r="TND1156" s="7"/>
      <c r="TNE1156" s="7"/>
      <c r="TNF1156" s="7"/>
      <c r="TNG1156" s="7"/>
      <c r="TNH1156" s="7"/>
      <c r="TNI1156" s="7"/>
      <c r="TNJ1156" s="7"/>
      <c r="TNK1156" s="7"/>
      <c r="TNL1156" s="7"/>
      <c r="TNM1156" s="7"/>
      <c r="TNN1156" s="7"/>
      <c r="TNO1156" s="7"/>
      <c r="TNP1156" s="7"/>
      <c r="TNQ1156" s="7"/>
      <c r="TNR1156" s="7"/>
      <c r="TNS1156" s="7"/>
      <c r="TNT1156" s="7"/>
      <c r="TNU1156" s="7"/>
      <c r="TNV1156" s="7"/>
      <c r="TNW1156" s="7"/>
      <c r="TNX1156" s="7"/>
      <c r="TNY1156" s="7"/>
      <c r="TNZ1156" s="7"/>
      <c r="TOA1156" s="7"/>
      <c r="TOB1156" s="7"/>
      <c r="TOC1156" s="7"/>
      <c r="TOD1156" s="7"/>
      <c r="TOE1156" s="7"/>
      <c r="TOF1156" s="7"/>
      <c r="TOG1156" s="7"/>
      <c r="TOH1156" s="7"/>
      <c r="TOI1156" s="7"/>
      <c r="TOJ1156" s="7"/>
      <c r="TOK1156" s="7"/>
      <c r="TOL1156" s="7"/>
      <c r="TOM1156" s="7"/>
      <c r="TON1156" s="7"/>
      <c r="TOO1156" s="7"/>
      <c r="TOP1156" s="7"/>
      <c r="TOQ1156" s="7"/>
      <c r="TOR1156" s="7"/>
      <c r="TOS1156" s="7"/>
      <c r="TOT1156" s="7"/>
      <c r="TOU1156" s="7"/>
      <c r="TOV1156" s="7"/>
      <c r="TOW1156" s="7"/>
      <c r="TOX1156" s="7"/>
      <c r="TOY1156" s="7"/>
      <c r="TOZ1156" s="7"/>
      <c r="TPA1156" s="7"/>
      <c r="TPB1156" s="7"/>
      <c r="TPC1156" s="7"/>
      <c r="TPD1156" s="7"/>
      <c r="TPE1156" s="7"/>
      <c r="TPF1156" s="7"/>
      <c r="TPG1156" s="7"/>
      <c r="TPH1156" s="7"/>
      <c r="TPI1156" s="7"/>
      <c r="TPJ1156" s="7"/>
      <c r="TPK1156" s="7"/>
      <c r="TPL1156" s="7"/>
      <c r="TPM1156" s="7"/>
      <c r="TPN1156" s="7"/>
      <c r="TPO1156" s="7"/>
      <c r="TPP1156" s="7"/>
      <c r="TPQ1156" s="7"/>
      <c r="TPR1156" s="7"/>
      <c r="TPS1156" s="7"/>
      <c r="TPT1156" s="7"/>
      <c r="TPU1156" s="7"/>
      <c r="TPV1156" s="7"/>
      <c r="TPW1156" s="7"/>
      <c r="TPX1156" s="7"/>
      <c r="TPY1156" s="7"/>
      <c r="TPZ1156" s="7"/>
      <c r="TQA1156" s="7"/>
      <c r="TQB1156" s="7"/>
      <c r="TQC1156" s="7"/>
      <c r="TQD1156" s="7"/>
      <c r="TQE1156" s="7"/>
      <c r="TQF1156" s="7"/>
      <c r="TQG1156" s="7"/>
      <c r="TQH1156" s="7"/>
      <c r="TQI1156" s="7"/>
      <c r="TQJ1156" s="7"/>
      <c r="TQK1156" s="7"/>
      <c r="TQL1156" s="7"/>
      <c r="TQM1156" s="7"/>
      <c r="TQN1156" s="7"/>
      <c r="TQO1156" s="7"/>
      <c r="TQP1156" s="7"/>
      <c r="TQQ1156" s="7"/>
      <c r="TQR1156" s="7"/>
      <c r="TQS1156" s="7"/>
      <c r="TQT1156" s="7"/>
      <c r="TQU1156" s="7"/>
      <c r="TQV1156" s="7"/>
      <c r="TQW1156" s="7"/>
      <c r="TQX1156" s="7"/>
      <c r="TQY1156" s="7"/>
      <c r="TQZ1156" s="7"/>
      <c r="TRA1156" s="7"/>
      <c r="TRB1156" s="7"/>
      <c r="TRC1156" s="7"/>
      <c r="TRD1156" s="7"/>
      <c r="TRE1156" s="7"/>
      <c r="TRF1156" s="7"/>
      <c r="TRG1156" s="7"/>
      <c r="TRH1156" s="7"/>
      <c r="TRI1156" s="7"/>
      <c r="TRJ1156" s="7"/>
      <c r="TRK1156" s="7"/>
      <c r="TRL1156" s="7"/>
      <c r="TRM1156" s="7"/>
      <c r="TRN1156" s="7"/>
      <c r="TRO1156" s="7"/>
      <c r="TRP1156" s="7"/>
      <c r="TRQ1156" s="7"/>
      <c r="TRR1156" s="7"/>
      <c r="TRS1156" s="7"/>
      <c r="TRT1156" s="7"/>
      <c r="TRU1156" s="7"/>
      <c r="TRV1156" s="7"/>
      <c r="TRW1156" s="7"/>
      <c r="TRX1156" s="7"/>
      <c r="TRY1156" s="7"/>
      <c r="TRZ1156" s="7"/>
      <c r="TSA1156" s="7"/>
      <c r="TSB1156" s="7"/>
      <c r="TSC1156" s="7"/>
      <c r="TSD1156" s="7"/>
      <c r="TSE1156" s="7"/>
      <c r="TSF1156" s="7"/>
      <c r="TSG1156" s="7"/>
      <c r="TSH1156" s="7"/>
      <c r="TSI1156" s="7"/>
      <c r="TSJ1156" s="7"/>
      <c r="TSK1156" s="7"/>
      <c r="TSL1156" s="7"/>
      <c r="TSM1156" s="7"/>
      <c r="TSN1156" s="7"/>
      <c r="TSO1156" s="7"/>
      <c r="TSP1156" s="7"/>
      <c r="TSQ1156" s="7"/>
      <c r="TSR1156" s="7"/>
      <c r="TSS1156" s="7"/>
      <c r="TST1156" s="7"/>
      <c r="TSU1156" s="7"/>
      <c r="TSV1156" s="7"/>
      <c r="TSW1156" s="7"/>
      <c r="TSX1156" s="7"/>
      <c r="TSY1156" s="7"/>
      <c r="TSZ1156" s="7"/>
      <c r="TTA1156" s="7"/>
      <c r="TTB1156" s="7"/>
      <c r="TTC1156" s="7"/>
      <c r="TTD1156" s="7"/>
      <c r="TTE1156" s="7"/>
      <c r="TTF1156" s="7"/>
      <c r="TTG1156" s="7"/>
      <c r="TTH1156" s="7"/>
      <c r="TTI1156" s="7"/>
      <c r="TTJ1156" s="7"/>
      <c r="TTK1156" s="7"/>
      <c r="TTL1156" s="7"/>
      <c r="TTM1156" s="7"/>
      <c r="TTN1156" s="7"/>
      <c r="TTO1156" s="7"/>
      <c r="TTP1156" s="7"/>
      <c r="TTQ1156" s="7"/>
      <c r="TTR1156" s="7"/>
      <c r="TTS1156" s="7"/>
      <c r="TTT1156" s="7"/>
      <c r="TTU1156" s="7"/>
      <c r="TTV1156" s="7"/>
      <c r="TTW1156" s="7"/>
      <c r="TTX1156" s="7"/>
      <c r="TTY1156" s="7"/>
      <c r="TTZ1156" s="7"/>
      <c r="TUA1156" s="7"/>
      <c r="TUB1156" s="7"/>
      <c r="TUC1156" s="7"/>
      <c r="TUD1156" s="7"/>
      <c r="TUE1156" s="7"/>
      <c r="TUF1156" s="7"/>
      <c r="TUG1156" s="7"/>
      <c r="TUH1156" s="7"/>
      <c r="TUI1156" s="7"/>
      <c r="TUJ1156" s="7"/>
      <c r="TUK1156" s="7"/>
      <c r="TUL1156" s="7"/>
      <c r="TUM1156" s="7"/>
      <c r="TUN1156" s="7"/>
      <c r="TUO1156" s="7"/>
      <c r="TUP1156" s="7"/>
      <c r="TUQ1156" s="7"/>
      <c r="TUR1156" s="7"/>
      <c r="TUS1156" s="7"/>
      <c r="TUT1156" s="7"/>
      <c r="TUU1156" s="7"/>
      <c r="TUV1156" s="7"/>
      <c r="TUW1156" s="7"/>
      <c r="TUX1156" s="7"/>
      <c r="TUY1156" s="7"/>
      <c r="TUZ1156" s="7"/>
      <c r="TVA1156" s="7"/>
      <c r="TVB1156" s="7"/>
      <c r="TVC1156" s="7"/>
      <c r="TVD1156" s="7"/>
      <c r="TVE1156" s="7"/>
      <c r="TVF1156" s="7"/>
      <c r="TVG1156" s="7"/>
      <c r="TVH1156" s="7"/>
      <c r="TVI1156" s="7"/>
      <c r="TVJ1156" s="7"/>
      <c r="TVK1156" s="7"/>
      <c r="TVL1156" s="7"/>
      <c r="TVM1156" s="7"/>
      <c r="TVN1156" s="7"/>
      <c r="TVO1156" s="7"/>
      <c r="TVP1156" s="7"/>
      <c r="TVQ1156" s="7"/>
      <c r="TVR1156" s="7"/>
      <c r="TVS1156" s="7"/>
      <c r="TVT1156" s="7"/>
      <c r="TVU1156" s="7"/>
      <c r="TVV1156" s="7"/>
      <c r="TVW1156" s="7"/>
      <c r="TVX1156" s="7"/>
      <c r="TVY1156" s="7"/>
      <c r="TVZ1156" s="7"/>
      <c r="TWA1156" s="7"/>
      <c r="TWB1156" s="7"/>
      <c r="TWC1156" s="7"/>
      <c r="TWD1156" s="7"/>
      <c r="TWE1156" s="7"/>
      <c r="TWF1156" s="7"/>
      <c r="TWG1156" s="7"/>
      <c r="TWH1156" s="7"/>
      <c r="TWI1156" s="7"/>
      <c r="TWJ1156" s="7"/>
      <c r="TWK1156" s="7"/>
      <c r="TWL1156" s="7"/>
      <c r="TWM1156" s="7"/>
      <c r="TWN1156" s="7"/>
      <c r="TWO1156" s="7"/>
      <c r="TWP1156" s="7"/>
      <c r="TWQ1156" s="7"/>
      <c r="TWR1156" s="7"/>
      <c r="TWS1156" s="7"/>
      <c r="TWT1156" s="7"/>
      <c r="TWU1156" s="7"/>
      <c r="TWV1156" s="7"/>
      <c r="TWW1156" s="7"/>
      <c r="TWX1156" s="7"/>
      <c r="TWY1156" s="7"/>
      <c r="TWZ1156" s="7"/>
      <c r="TXA1156" s="7"/>
      <c r="TXB1156" s="7"/>
      <c r="TXC1156" s="7"/>
      <c r="TXD1156" s="7"/>
      <c r="TXE1156" s="7"/>
      <c r="TXF1156" s="7"/>
      <c r="TXG1156" s="7"/>
      <c r="TXH1156" s="7"/>
      <c r="TXI1156" s="7"/>
      <c r="TXJ1156" s="7"/>
      <c r="TXK1156" s="7"/>
      <c r="TXL1156" s="7"/>
      <c r="TXM1156" s="7"/>
      <c r="TXN1156" s="7"/>
      <c r="TXO1156" s="7"/>
      <c r="TXP1156" s="7"/>
      <c r="TXQ1156" s="7"/>
      <c r="TXR1156" s="7"/>
      <c r="TXS1156" s="7"/>
      <c r="TXT1156" s="7"/>
      <c r="TXU1156" s="7"/>
      <c r="TXV1156" s="7"/>
      <c r="TXW1156" s="7"/>
      <c r="TXX1156" s="7"/>
      <c r="TXY1156" s="7"/>
      <c r="TXZ1156" s="7"/>
      <c r="TYA1156" s="7"/>
      <c r="TYB1156" s="7"/>
      <c r="TYC1156" s="7"/>
      <c r="TYD1156" s="7"/>
      <c r="TYE1156" s="7"/>
      <c r="TYF1156" s="7"/>
      <c r="TYG1156" s="7"/>
      <c r="TYH1156" s="7"/>
      <c r="TYI1156" s="7"/>
      <c r="TYJ1156" s="7"/>
      <c r="TYK1156" s="7"/>
      <c r="TYL1156" s="7"/>
      <c r="TYM1156" s="7"/>
      <c r="TYN1156" s="7"/>
      <c r="TYO1156" s="7"/>
      <c r="TYP1156" s="7"/>
      <c r="TYQ1156" s="7"/>
      <c r="TYR1156" s="7"/>
      <c r="TYS1156" s="7"/>
      <c r="TYT1156" s="7"/>
      <c r="TYU1156" s="7"/>
      <c r="TYV1156" s="7"/>
      <c r="TYW1156" s="7"/>
      <c r="TYX1156" s="7"/>
      <c r="TYY1156" s="7"/>
      <c r="TYZ1156" s="7"/>
      <c r="TZA1156" s="7"/>
      <c r="TZB1156" s="7"/>
      <c r="TZC1156" s="7"/>
      <c r="TZD1156" s="7"/>
      <c r="TZE1156" s="7"/>
      <c r="TZF1156" s="7"/>
      <c r="TZG1156" s="7"/>
      <c r="TZH1156" s="7"/>
      <c r="TZI1156" s="7"/>
      <c r="TZJ1156" s="7"/>
      <c r="TZK1156" s="7"/>
      <c r="TZL1156" s="7"/>
      <c r="TZM1156" s="7"/>
      <c r="TZN1156" s="7"/>
      <c r="TZO1156" s="7"/>
      <c r="TZP1156" s="7"/>
      <c r="TZQ1156" s="7"/>
      <c r="TZR1156" s="7"/>
      <c r="TZS1156" s="7"/>
      <c r="TZT1156" s="7"/>
      <c r="TZU1156" s="7"/>
      <c r="TZV1156" s="7"/>
      <c r="TZW1156" s="7"/>
      <c r="TZX1156" s="7"/>
      <c r="TZY1156" s="7"/>
      <c r="TZZ1156" s="7"/>
      <c r="UAA1156" s="7"/>
      <c r="UAB1156" s="7"/>
      <c r="UAC1156" s="7"/>
      <c r="UAD1156" s="7"/>
      <c r="UAE1156" s="7"/>
      <c r="UAF1156" s="7"/>
      <c r="UAG1156" s="7"/>
      <c r="UAH1156" s="7"/>
      <c r="UAI1156" s="7"/>
      <c r="UAJ1156" s="7"/>
      <c r="UAK1156" s="7"/>
      <c r="UAL1156" s="7"/>
      <c r="UAM1156" s="7"/>
      <c r="UAN1156" s="7"/>
      <c r="UAO1156" s="7"/>
      <c r="UAP1156" s="7"/>
      <c r="UAQ1156" s="7"/>
      <c r="UAR1156" s="7"/>
      <c r="UAS1156" s="7"/>
      <c r="UAT1156" s="7"/>
      <c r="UAU1156" s="7"/>
      <c r="UAV1156" s="7"/>
      <c r="UAW1156" s="7"/>
      <c r="UAX1156" s="7"/>
      <c r="UAY1156" s="7"/>
      <c r="UAZ1156" s="7"/>
      <c r="UBA1156" s="7"/>
      <c r="UBB1156" s="7"/>
      <c r="UBC1156" s="7"/>
      <c r="UBD1156" s="7"/>
      <c r="UBE1156" s="7"/>
      <c r="UBF1156" s="7"/>
      <c r="UBG1156" s="7"/>
      <c r="UBH1156" s="7"/>
      <c r="UBI1156" s="7"/>
      <c r="UBJ1156" s="7"/>
      <c r="UBK1156" s="7"/>
      <c r="UBL1156" s="7"/>
      <c r="UBM1156" s="7"/>
      <c r="UBN1156" s="7"/>
      <c r="UBO1156" s="7"/>
      <c r="UBP1156" s="7"/>
      <c r="UBQ1156" s="7"/>
      <c r="UBR1156" s="7"/>
      <c r="UBS1156" s="7"/>
      <c r="UBT1156" s="7"/>
      <c r="UBU1156" s="7"/>
      <c r="UBV1156" s="7"/>
      <c r="UBW1156" s="7"/>
      <c r="UBX1156" s="7"/>
      <c r="UBY1156" s="7"/>
      <c r="UBZ1156" s="7"/>
      <c r="UCA1156" s="7"/>
      <c r="UCB1156" s="7"/>
      <c r="UCC1156" s="7"/>
      <c r="UCD1156" s="7"/>
      <c r="UCE1156" s="7"/>
      <c r="UCF1156" s="7"/>
      <c r="UCG1156" s="7"/>
      <c r="UCH1156" s="7"/>
      <c r="UCI1156" s="7"/>
      <c r="UCJ1156" s="7"/>
      <c r="UCK1156" s="7"/>
      <c r="UCL1156" s="7"/>
      <c r="UCM1156" s="7"/>
      <c r="UCN1156" s="7"/>
      <c r="UCO1156" s="7"/>
      <c r="UCP1156" s="7"/>
      <c r="UCQ1156" s="7"/>
      <c r="UCR1156" s="7"/>
      <c r="UCS1156" s="7"/>
      <c r="UCT1156" s="7"/>
      <c r="UCU1156" s="7"/>
      <c r="UCV1156" s="7"/>
      <c r="UCW1156" s="7"/>
      <c r="UCX1156" s="7"/>
      <c r="UCY1156" s="7"/>
      <c r="UCZ1156" s="7"/>
      <c r="UDA1156" s="7"/>
      <c r="UDB1156" s="7"/>
      <c r="UDC1156" s="7"/>
      <c r="UDD1156" s="7"/>
      <c r="UDE1156" s="7"/>
      <c r="UDF1156" s="7"/>
      <c r="UDG1156" s="7"/>
      <c r="UDH1156" s="7"/>
      <c r="UDI1156" s="7"/>
      <c r="UDJ1156" s="7"/>
      <c r="UDK1156" s="7"/>
      <c r="UDL1156" s="7"/>
      <c r="UDM1156" s="7"/>
      <c r="UDN1156" s="7"/>
      <c r="UDO1156" s="7"/>
      <c r="UDP1156" s="7"/>
      <c r="UDQ1156" s="7"/>
      <c r="UDR1156" s="7"/>
      <c r="UDS1156" s="7"/>
      <c r="UDT1156" s="7"/>
      <c r="UDU1156" s="7"/>
      <c r="UDV1156" s="7"/>
      <c r="UDW1156" s="7"/>
      <c r="UDX1156" s="7"/>
      <c r="UDY1156" s="7"/>
      <c r="UDZ1156" s="7"/>
      <c r="UEA1156" s="7"/>
      <c r="UEB1156" s="7"/>
      <c r="UEC1156" s="7"/>
      <c r="UED1156" s="7"/>
      <c r="UEE1156" s="7"/>
      <c r="UEF1156" s="7"/>
      <c r="UEG1156" s="7"/>
      <c r="UEH1156" s="7"/>
      <c r="UEI1156" s="7"/>
      <c r="UEJ1156" s="7"/>
      <c r="UEK1156" s="7"/>
      <c r="UEL1156" s="7"/>
      <c r="UEM1156" s="7"/>
      <c r="UEN1156" s="7"/>
      <c r="UEO1156" s="7"/>
      <c r="UEP1156" s="7"/>
      <c r="UEQ1156" s="7"/>
      <c r="UER1156" s="7"/>
      <c r="UES1156" s="7"/>
      <c r="UET1156" s="7"/>
      <c r="UEU1156" s="7"/>
      <c r="UEV1156" s="7"/>
      <c r="UEW1156" s="7"/>
      <c r="UEX1156" s="7"/>
      <c r="UEY1156" s="7"/>
      <c r="UEZ1156" s="7"/>
      <c r="UFA1156" s="7"/>
      <c r="UFB1156" s="7"/>
      <c r="UFC1156" s="7"/>
      <c r="UFD1156" s="7"/>
      <c r="UFE1156" s="7"/>
      <c r="UFF1156" s="7"/>
      <c r="UFG1156" s="7"/>
      <c r="UFH1156" s="7"/>
      <c r="UFI1156" s="7"/>
      <c r="UFJ1156" s="7"/>
      <c r="UFK1156" s="7"/>
      <c r="UFL1156" s="7"/>
      <c r="UFM1156" s="7"/>
      <c r="UFN1156" s="7"/>
      <c r="UFO1156" s="7"/>
      <c r="UFP1156" s="7"/>
      <c r="UFQ1156" s="7"/>
      <c r="UFR1156" s="7"/>
      <c r="UFS1156" s="7"/>
      <c r="UFT1156" s="7"/>
      <c r="UFU1156" s="7"/>
      <c r="UFV1156" s="7"/>
      <c r="UFW1156" s="7"/>
      <c r="UFX1156" s="7"/>
      <c r="UFY1156" s="7"/>
      <c r="UFZ1156" s="7"/>
      <c r="UGA1156" s="7"/>
      <c r="UGB1156" s="7"/>
      <c r="UGC1156" s="7"/>
      <c r="UGD1156" s="7"/>
      <c r="UGE1156" s="7"/>
      <c r="UGF1156" s="7"/>
      <c r="UGG1156" s="7"/>
      <c r="UGH1156" s="7"/>
      <c r="UGI1156" s="7"/>
      <c r="UGJ1156" s="7"/>
      <c r="UGK1156" s="7"/>
      <c r="UGL1156" s="7"/>
      <c r="UGM1156" s="7"/>
      <c r="UGN1156" s="7"/>
      <c r="UGO1156" s="7"/>
      <c r="UGP1156" s="7"/>
      <c r="UGQ1156" s="7"/>
      <c r="UGR1156" s="7"/>
      <c r="UGS1156" s="7"/>
      <c r="UGT1156" s="7"/>
      <c r="UGU1156" s="7"/>
      <c r="UGV1156" s="7"/>
      <c r="UGW1156" s="7"/>
      <c r="UGX1156" s="7"/>
      <c r="UGY1156" s="7"/>
      <c r="UGZ1156" s="7"/>
      <c r="UHA1156" s="7"/>
      <c r="UHB1156" s="7"/>
      <c r="UHC1156" s="7"/>
      <c r="UHD1156" s="7"/>
      <c r="UHE1156" s="7"/>
      <c r="UHF1156" s="7"/>
      <c r="UHG1156" s="7"/>
      <c r="UHH1156" s="7"/>
      <c r="UHI1156" s="7"/>
      <c r="UHJ1156" s="7"/>
      <c r="UHK1156" s="7"/>
      <c r="UHL1156" s="7"/>
      <c r="UHM1156" s="7"/>
      <c r="UHN1156" s="7"/>
      <c r="UHO1156" s="7"/>
      <c r="UHP1156" s="7"/>
      <c r="UHQ1156" s="7"/>
      <c r="UHR1156" s="7"/>
      <c r="UHS1156" s="7"/>
      <c r="UHT1156" s="7"/>
      <c r="UHU1156" s="7"/>
      <c r="UHV1156" s="7"/>
      <c r="UHW1156" s="7"/>
      <c r="UHX1156" s="7"/>
      <c r="UHY1156" s="7"/>
      <c r="UHZ1156" s="7"/>
      <c r="UIA1156" s="7"/>
      <c r="UIB1156" s="7"/>
      <c r="UIC1156" s="7"/>
      <c r="UID1156" s="7"/>
      <c r="UIE1156" s="7"/>
      <c r="UIF1156" s="7"/>
      <c r="UIG1156" s="7"/>
      <c r="UIH1156" s="7"/>
      <c r="UII1156" s="7"/>
      <c r="UIJ1156" s="7"/>
      <c r="UIK1156" s="7"/>
      <c r="UIL1156" s="7"/>
      <c r="UIM1156" s="7"/>
      <c r="UIN1156" s="7"/>
      <c r="UIO1156" s="7"/>
      <c r="UIP1156" s="7"/>
      <c r="UIQ1156" s="7"/>
      <c r="UIR1156" s="7"/>
      <c r="UIS1156" s="7"/>
      <c r="UIT1156" s="7"/>
      <c r="UIU1156" s="7"/>
      <c r="UIV1156" s="7"/>
      <c r="UIW1156" s="7"/>
      <c r="UIX1156" s="7"/>
      <c r="UIY1156" s="7"/>
      <c r="UIZ1156" s="7"/>
      <c r="UJA1156" s="7"/>
      <c r="UJB1156" s="7"/>
      <c r="UJC1156" s="7"/>
      <c r="UJD1156" s="7"/>
      <c r="UJE1156" s="7"/>
      <c r="UJF1156" s="7"/>
      <c r="UJG1156" s="7"/>
      <c r="UJH1156" s="7"/>
      <c r="UJI1156" s="7"/>
      <c r="UJJ1156" s="7"/>
      <c r="UJK1156" s="7"/>
      <c r="UJL1156" s="7"/>
      <c r="UJM1156" s="7"/>
      <c r="UJN1156" s="7"/>
      <c r="UJO1156" s="7"/>
      <c r="UJP1156" s="7"/>
      <c r="UJQ1156" s="7"/>
      <c r="UJR1156" s="7"/>
      <c r="UJS1156" s="7"/>
      <c r="UJT1156" s="7"/>
      <c r="UJU1156" s="7"/>
      <c r="UJV1156" s="7"/>
      <c r="UJW1156" s="7"/>
      <c r="UJX1156" s="7"/>
      <c r="UJY1156" s="7"/>
      <c r="UJZ1156" s="7"/>
      <c r="UKA1156" s="7"/>
      <c r="UKB1156" s="7"/>
      <c r="UKC1156" s="7"/>
      <c r="UKD1156" s="7"/>
      <c r="UKE1156" s="7"/>
      <c r="UKF1156" s="7"/>
      <c r="UKG1156" s="7"/>
      <c r="UKH1156" s="7"/>
      <c r="UKI1156" s="7"/>
      <c r="UKJ1156" s="7"/>
      <c r="UKK1156" s="7"/>
      <c r="UKL1156" s="7"/>
      <c r="UKM1156" s="7"/>
      <c r="UKN1156" s="7"/>
      <c r="UKO1156" s="7"/>
      <c r="UKP1156" s="7"/>
      <c r="UKQ1156" s="7"/>
      <c r="UKR1156" s="7"/>
      <c r="UKS1156" s="7"/>
      <c r="UKT1156" s="7"/>
      <c r="UKU1156" s="7"/>
      <c r="UKV1156" s="7"/>
      <c r="UKW1156" s="7"/>
      <c r="UKX1156" s="7"/>
      <c r="UKY1156" s="7"/>
      <c r="UKZ1156" s="7"/>
      <c r="ULA1156" s="7"/>
      <c r="ULB1156" s="7"/>
      <c r="ULC1156" s="7"/>
      <c r="ULD1156" s="7"/>
      <c r="ULE1156" s="7"/>
      <c r="ULF1156" s="7"/>
      <c r="ULG1156" s="7"/>
      <c r="ULH1156" s="7"/>
      <c r="ULI1156" s="7"/>
      <c r="ULJ1156" s="7"/>
      <c r="ULK1156" s="7"/>
      <c r="ULL1156" s="7"/>
      <c r="ULM1156" s="7"/>
      <c r="ULN1156" s="7"/>
      <c r="ULO1156" s="7"/>
      <c r="ULP1156" s="7"/>
      <c r="ULQ1156" s="7"/>
      <c r="ULR1156" s="7"/>
      <c r="ULS1156" s="7"/>
      <c r="ULT1156" s="7"/>
      <c r="ULU1156" s="7"/>
      <c r="ULV1156" s="7"/>
      <c r="ULW1156" s="7"/>
      <c r="ULX1156" s="7"/>
      <c r="ULY1156" s="7"/>
      <c r="ULZ1156" s="7"/>
      <c r="UMA1156" s="7"/>
      <c r="UMB1156" s="7"/>
      <c r="UMC1156" s="7"/>
      <c r="UMD1156" s="7"/>
      <c r="UME1156" s="7"/>
      <c r="UMF1156" s="7"/>
      <c r="UMG1156" s="7"/>
      <c r="UMH1156" s="7"/>
      <c r="UMI1156" s="7"/>
      <c r="UMJ1156" s="7"/>
      <c r="UMK1156" s="7"/>
      <c r="UML1156" s="7"/>
      <c r="UMM1156" s="7"/>
      <c r="UMN1156" s="7"/>
      <c r="UMO1156" s="7"/>
      <c r="UMP1156" s="7"/>
      <c r="UMQ1156" s="7"/>
      <c r="UMR1156" s="7"/>
      <c r="UMS1156" s="7"/>
      <c r="UMT1156" s="7"/>
      <c r="UMU1156" s="7"/>
      <c r="UMV1156" s="7"/>
      <c r="UMW1156" s="7"/>
      <c r="UMX1156" s="7"/>
      <c r="UMY1156" s="7"/>
      <c r="UMZ1156" s="7"/>
      <c r="UNA1156" s="7"/>
      <c r="UNB1156" s="7"/>
      <c r="UNC1156" s="7"/>
      <c r="UND1156" s="7"/>
      <c r="UNE1156" s="7"/>
      <c r="UNF1156" s="7"/>
      <c r="UNG1156" s="7"/>
      <c r="UNH1156" s="7"/>
      <c r="UNI1156" s="7"/>
      <c r="UNJ1156" s="7"/>
      <c r="UNK1156" s="7"/>
      <c r="UNL1156" s="7"/>
      <c r="UNM1156" s="7"/>
      <c r="UNN1156" s="7"/>
      <c r="UNO1156" s="7"/>
      <c r="UNP1156" s="7"/>
      <c r="UNQ1156" s="7"/>
      <c r="UNR1156" s="7"/>
      <c r="UNS1156" s="7"/>
      <c r="UNT1156" s="7"/>
      <c r="UNU1156" s="7"/>
      <c r="UNV1156" s="7"/>
      <c r="UNW1156" s="7"/>
      <c r="UNX1156" s="7"/>
      <c r="UNY1156" s="7"/>
      <c r="UNZ1156" s="7"/>
      <c r="UOA1156" s="7"/>
      <c r="UOB1156" s="7"/>
      <c r="UOC1156" s="7"/>
      <c r="UOD1156" s="7"/>
      <c r="UOE1156" s="7"/>
      <c r="UOF1156" s="7"/>
      <c r="UOG1156" s="7"/>
      <c r="UOH1156" s="7"/>
      <c r="UOI1156" s="7"/>
      <c r="UOJ1156" s="7"/>
      <c r="UOK1156" s="7"/>
      <c r="UOL1156" s="7"/>
      <c r="UOM1156" s="7"/>
      <c r="UON1156" s="7"/>
      <c r="UOO1156" s="7"/>
      <c r="UOP1156" s="7"/>
      <c r="UOQ1156" s="7"/>
      <c r="UOR1156" s="7"/>
      <c r="UOS1156" s="7"/>
      <c r="UOT1156" s="7"/>
      <c r="UOU1156" s="7"/>
      <c r="UOV1156" s="7"/>
      <c r="UOW1156" s="7"/>
      <c r="UOX1156" s="7"/>
      <c r="UOY1156" s="7"/>
      <c r="UOZ1156" s="7"/>
      <c r="UPA1156" s="7"/>
      <c r="UPB1156" s="7"/>
      <c r="UPC1156" s="7"/>
      <c r="UPD1156" s="7"/>
      <c r="UPE1156" s="7"/>
      <c r="UPF1156" s="7"/>
      <c r="UPG1156" s="7"/>
      <c r="UPH1156" s="7"/>
      <c r="UPI1156" s="7"/>
      <c r="UPJ1156" s="7"/>
      <c r="UPK1156" s="7"/>
      <c r="UPL1156" s="7"/>
      <c r="UPM1156" s="7"/>
      <c r="UPN1156" s="7"/>
      <c r="UPO1156" s="7"/>
      <c r="UPP1156" s="7"/>
      <c r="UPQ1156" s="7"/>
      <c r="UPR1156" s="7"/>
      <c r="UPS1156" s="7"/>
      <c r="UPT1156" s="7"/>
      <c r="UPU1156" s="7"/>
      <c r="UPV1156" s="7"/>
      <c r="UPW1156" s="7"/>
      <c r="UPX1156" s="7"/>
      <c r="UPY1156" s="7"/>
      <c r="UPZ1156" s="7"/>
      <c r="UQA1156" s="7"/>
      <c r="UQB1156" s="7"/>
      <c r="UQC1156" s="7"/>
      <c r="UQD1156" s="7"/>
      <c r="UQE1156" s="7"/>
      <c r="UQF1156" s="7"/>
      <c r="UQG1156" s="7"/>
      <c r="UQH1156" s="7"/>
      <c r="UQI1156" s="7"/>
      <c r="UQJ1156" s="7"/>
      <c r="UQK1156" s="7"/>
      <c r="UQL1156" s="7"/>
      <c r="UQM1156" s="7"/>
      <c r="UQN1156" s="7"/>
      <c r="UQO1156" s="7"/>
      <c r="UQP1156" s="7"/>
      <c r="UQQ1156" s="7"/>
      <c r="UQR1156" s="7"/>
      <c r="UQS1156" s="7"/>
      <c r="UQT1156" s="7"/>
      <c r="UQU1156" s="7"/>
      <c r="UQV1156" s="7"/>
      <c r="UQW1156" s="7"/>
      <c r="UQX1156" s="7"/>
      <c r="UQY1156" s="7"/>
      <c r="UQZ1156" s="7"/>
      <c r="URA1156" s="7"/>
      <c r="URB1156" s="7"/>
      <c r="URC1156" s="7"/>
      <c r="URD1156" s="7"/>
      <c r="URE1156" s="7"/>
      <c r="URF1156" s="7"/>
      <c r="URG1156" s="7"/>
      <c r="URH1156" s="7"/>
      <c r="URI1156" s="7"/>
      <c r="URJ1156" s="7"/>
      <c r="URK1156" s="7"/>
      <c r="URL1156" s="7"/>
      <c r="URM1156" s="7"/>
      <c r="URN1156" s="7"/>
      <c r="URO1156" s="7"/>
      <c r="URP1156" s="7"/>
      <c r="URQ1156" s="7"/>
      <c r="URR1156" s="7"/>
      <c r="URS1156" s="7"/>
      <c r="URT1156" s="7"/>
      <c r="URU1156" s="7"/>
      <c r="URV1156" s="7"/>
      <c r="URW1156" s="7"/>
      <c r="URX1156" s="7"/>
      <c r="URY1156" s="7"/>
      <c r="URZ1156" s="7"/>
      <c r="USA1156" s="7"/>
      <c r="USB1156" s="7"/>
      <c r="USC1156" s="7"/>
      <c r="USD1156" s="7"/>
      <c r="USE1156" s="7"/>
      <c r="USF1156" s="7"/>
      <c r="USG1156" s="7"/>
      <c r="USH1156" s="7"/>
      <c r="USI1156" s="7"/>
      <c r="USJ1156" s="7"/>
      <c r="USK1156" s="7"/>
      <c r="USL1156" s="7"/>
      <c r="USM1156" s="7"/>
      <c r="USN1156" s="7"/>
      <c r="USO1156" s="7"/>
      <c r="USP1156" s="7"/>
      <c r="USQ1156" s="7"/>
      <c r="USR1156" s="7"/>
      <c r="USS1156" s="7"/>
      <c r="UST1156" s="7"/>
      <c r="USU1156" s="7"/>
      <c r="USV1156" s="7"/>
      <c r="USW1156" s="7"/>
      <c r="USX1156" s="7"/>
      <c r="USY1156" s="7"/>
      <c r="USZ1156" s="7"/>
      <c r="UTA1156" s="7"/>
      <c r="UTB1156" s="7"/>
      <c r="UTC1156" s="7"/>
      <c r="UTD1156" s="7"/>
      <c r="UTE1156" s="7"/>
      <c r="UTF1156" s="7"/>
      <c r="UTG1156" s="7"/>
      <c r="UTH1156" s="7"/>
      <c r="UTI1156" s="7"/>
      <c r="UTJ1156" s="7"/>
      <c r="UTK1156" s="7"/>
      <c r="UTL1156" s="7"/>
      <c r="UTM1156" s="7"/>
      <c r="UTN1156" s="7"/>
      <c r="UTO1156" s="7"/>
      <c r="UTP1156" s="7"/>
      <c r="UTQ1156" s="7"/>
      <c r="UTR1156" s="7"/>
      <c r="UTS1156" s="7"/>
      <c r="UTT1156" s="7"/>
      <c r="UTU1156" s="7"/>
      <c r="UTV1156" s="7"/>
      <c r="UTW1156" s="7"/>
      <c r="UTX1156" s="7"/>
      <c r="UTY1156" s="7"/>
      <c r="UTZ1156" s="7"/>
      <c r="UUA1156" s="7"/>
      <c r="UUB1156" s="7"/>
      <c r="UUC1156" s="7"/>
      <c r="UUD1156" s="7"/>
      <c r="UUE1156" s="7"/>
      <c r="UUF1156" s="7"/>
      <c r="UUG1156" s="7"/>
      <c r="UUH1156" s="7"/>
      <c r="UUI1156" s="7"/>
      <c r="UUJ1156" s="7"/>
      <c r="UUK1156" s="7"/>
      <c r="UUL1156" s="7"/>
      <c r="UUM1156" s="7"/>
      <c r="UUN1156" s="7"/>
      <c r="UUO1156" s="7"/>
      <c r="UUP1156" s="7"/>
      <c r="UUQ1156" s="7"/>
      <c r="UUR1156" s="7"/>
      <c r="UUS1156" s="7"/>
      <c r="UUT1156" s="7"/>
      <c r="UUU1156" s="7"/>
      <c r="UUV1156" s="7"/>
      <c r="UUW1156" s="7"/>
      <c r="UUX1156" s="7"/>
      <c r="UUY1156" s="7"/>
      <c r="UUZ1156" s="7"/>
      <c r="UVA1156" s="7"/>
      <c r="UVB1156" s="7"/>
      <c r="UVC1156" s="7"/>
      <c r="UVD1156" s="7"/>
      <c r="UVE1156" s="7"/>
      <c r="UVF1156" s="7"/>
      <c r="UVG1156" s="7"/>
      <c r="UVH1156" s="7"/>
      <c r="UVI1156" s="7"/>
      <c r="UVJ1156" s="7"/>
      <c r="UVK1156" s="7"/>
      <c r="UVL1156" s="7"/>
      <c r="UVM1156" s="7"/>
      <c r="UVN1156" s="7"/>
      <c r="UVO1156" s="7"/>
      <c r="UVP1156" s="7"/>
      <c r="UVQ1156" s="7"/>
      <c r="UVR1156" s="7"/>
      <c r="UVS1156" s="7"/>
      <c r="UVT1156" s="7"/>
      <c r="UVU1156" s="7"/>
      <c r="UVV1156" s="7"/>
      <c r="UVW1156" s="7"/>
      <c r="UVX1156" s="7"/>
      <c r="UVY1156" s="7"/>
      <c r="UVZ1156" s="7"/>
      <c r="UWA1156" s="7"/>
      <c r="UWB1156" s="7"/>
      <c r="UWC1156" s="7"/>
      <c r="UWD1156" s="7"/>
      <c r="UWE1156" s="7"/>
      <c r="UWF1156" s="7"/>
      <c r="UWG1156" s="7"/>
      <c r="UWH1156" s="7"/>
      <c r="UWI1156" s="7"/>
      <c r="UWJ1156" s="7"/>
      <c r="UWK1156" s="7"/>
      <c r="UWL1156" s="7"/>
      <c r="UWM1156" s="7"/>
      <c r="UWN1156" s="7"/>
      <c r="UWO1156" s="7"/>
      <c r="UWP1156" s="7"/>
      <c r="UWQ1156" s="7"/>
      <c r="UWR1156" s="7"/>
      <c r="UWS1156" s="7"/>
      <c r="UWT1156" s="7"/>
      <c r="UWU1156" s="7"/>
      <c r="UWV1156" s="7"/>
      <c r="UWW1156" s="7"/>
      <c r="UWX1156" s="7"/>
      <c r="UWY1156" s="7"/>
      <c r="UWZ1156" s="7"/>
      <c r="UXA1156" s="7"/>
      <c r="UXB1156" s="7"/>
      <c r="UXC1156" s="7"/>
      <c r="UXD1156" s="7"/>
      <c r="UXE1156" s="7"/>
      <c r="UXF1156" s="7"/>
      <c r="UXG1156" s="7"/>
      <c r="UXH1156" s="7"/>
      <c r="UXI1156" s="7"/>
      <c r="UXJ1156" s="7"/>
      <c r="UXK1156" s="7"/>
      <c r="UXL1156" s="7"/>
      <c r="UXM1156" s="7"/>
      <c r="UXN1156" s="7"/>
      <c r="UXO1156" s="7"/>
      <c r="UXP1156" s="7"/>
      <c r="UXQ1156" s="7"/>
      <c r="UXR1156" s="7"/>
      <c r="UXS1156" s="7"/>
      <c r="UXT1156" s="7"/>
      <c r="UXU1156" s="7"/>
      <c r="UXV1156" s="7"/>
      <c r="UXW1156" s="7"/>
      <c r="UXX1156" s="7"/>
      <c r="UXY1156" s="7"/>
      <c r="UXZ1156" s="7"/>
      <c r="UYA1156" s="7"/>
      <c r="UYB1156" s="7"/>
      <c r="UYC1156" s="7"/>
      <c r="UYD1156" s="7"/>
      <c r="UYE1156" s="7"/>
      <c r="UYF1156" s="7"/>
      <c r="UYG1156" s="7"/>
      <c r="UYH1156" s="7"/>
      <c r="UYI1156" s="7"/>
      <c r="UYJ1156" s="7"/>
      <c r="UYK1156" s="7"/>
      <c r="UYL1156" s="7"/>
      <c r="UYM1156" s="7"/>
      <c r="UYN1156" s="7"/>
      <c r="UYO1156" s="7"/>
      <c r="UYP1156" s="7"/>
      <c r="UYQ1156" s="7"/>
      <c r="UYR1156" s="7"/>
      <c r="UYS1156" s="7"/>
      <c r="UYT1156" s="7"/>
      <c r="UYU1156" s="7"/>
      <c r="UYV1156" s="7"/>
      <c r="UYW1156" s="7"/>
      <c r="UYX1156" s="7"/>
      <c r="UYY1156" s="7"/>
      <c r="UYZ1156" s="7"/>
      <c r="UZA1156" s="7"/>
      <c r="UZB1156" s="7"/>
      <c r="UZC1156" s="7"/>
      <c r="UZD1156" s="7"/>
      <c r="UZE1156" s="7"/>
      <c r="UZF1156" s="7"/>
      <c r="UZG1156" s="7"/>
      <c r="UZH1156" s="7"/>
      <c r="UZI1156" s="7"/>
      <c r="UZJ1156" s="7"/>
      <c r="UZK1156" s="7"/>
      <c r="UZL1156" s="7"/>
      <c r="UZM1156" s="7"/>
      <c r="UZN1156" s="7"/>
      <c r="UZO1156" s="7"/>
      <c r="UZP1156" s="7"/>
      <c r="UZQ1156" s="7"/>
      <c r="UZR1156" s="7"/>
      <c r="UZS1156" s="7"/>
      <c r="UZT1156" s="7"/>
      <c r="UZU1156" s="7"/>
      <c r="UZV1156" s="7"/>
      <c r="UZW1156" s="7"/>
      <c r="UZX1156" s="7"/>
      <c r="UZY1156" s="7"/>
      <c r="UZZ1156" s="7"/>
      <c r="VAA1156" s="7"/>
      <c r="VAB1156" s="7"/>
      <c r="VAC1156" s="7"/>
      <c r="VAD1156" s="7"/>
      <c r="VAE1156" s="7"/>
      <c r="VAF1156" s="7"/>
      <c r="VAG1156" s="7"/>
      <c r="VAH1156" s="7"/>
      <c r="VAI1156" s="7"/>
      <c r="VAJ1156" s="7"/>
      <c r="VAK1156" s="7"/>
      <c r="VAL1156" s="7"/>
      <c r="VAM1156" s="7"/>
      <c r="VAN1156" s="7"/>
      <c r="VAO1156" s="7"/>
      <c r="VAP1156" s="7"/>
      <c r="VAQ1156" s="7"/>
      <c r="VAR1156" s="7"/>
      <c r="VAS1156" s="7"/>
      <c r="VAT1156" s="7"/>
      <c r="VAU1156" s="7"/>
      <c r="VAV1156" s="7"/>
      <c r="VAW1156" s="7"/>
      <c r="VAX1156" s="7"/>
      <c r="VAY1156" s="7"/>
      <c r="VAZ1156" s="7"/>
      <c r="VBA1156" s="7"/>
      <c r="VBB1156" s="7"/>
      <c r="VBC1156" s="7"/>
      <c r="VBD1156" s="7"/>
      <c r="VBE1156" s="7"/>
      <c r="VBF1156" s="7"/>
      <c r="VBG1156" s="7"/>
      <c r="VBH1156" s="7"/>
      <c r="VBI1156" s="7"/>
      <c r="VBJ1156" s="7"/>
      <c r="VBK1156" s="7"/>
      <c r="VBL1156" s="7"/>
      <c r="VBM1156" s="7"/>
      <c r="VBN1156" s="7"/>
      <c r="VBO1156" s="7"/>
      <c r="VBP1156" s="7"/>
      <c r="VBQ1156" s="7"/>
      <c r="VBR1156" s="7"/>
      <c r="VBS1156" s="7"/>
      <c r="VBT1156" s="7"/>
      <c r="VBU1156" s="7"/>
      <c r="VBV1156" s="7"/>
      <c r="VBW1156" s="7"/>
      <c r="VBX1156" s="7"/>
      <c r="VBY1156" s="7"/>
      <c r="VBZ1156" s="7"/>
      <c r="VCA1156" s="7"/>
      <c r="VCB1156" s="7"/>
      <c r="VCC1156" s="7"/>
      <c r="VCD1156" s="7"/>
      <c r="VCE1156" s="7"/>
      <c r="VCF1156" s="7"/>
      <c r="VCG1156" s="7"/>
      <c r="VCH1156" s="7"/>
      <c r="VCI1156" s="7"/>
      <c r="VCJ1156" s="7"/>
      <c r="VCK1156" s="7"/>
      <c r="VCL1156" s="7"/>
      <c r="VCM1156" s="7"/>
      <c r="VCN1156" s="7"/>
      <c r="VCO1156" s="7"/>
      <c r="VCP1156" s="7"/>
      <c r="VCQ1156" s="7"/>
      <c r="VCR1156" s="7"/>
      <c r="VCS1156" s="7"/>
      <c r="VCT1156" s="7"/>
      <c r="VCU1156" s="7"/>
      <c r="VCV1156" s="7"/>
      <c r="VCW1156" s="7"/>
      <c r="VCX1156" s="7"/>
      <c r="VCY1156" s="7"/>
      <c r="VCZ1156" s="7"/>
      <c r="VDA1156" s="7"/>
      <c r="VDB1156" s="7"/>
      <c r="VDC1156" s="7"/>
      <c r="VDD1156" s="7"/>
      <c r="VDE1156" s="7"/>
      <c r="VDF1156" s="7"/>
      <c r="VDG1156" s="7"/>
      <c r="VDH1156" s="7"/>
      <c r="VDI1156" s="7"/>
      <c r="VDJ1156" s="7"/>
      <c r="VDK1156" s="7"/>
      <c r="VDL1156" s="7"/>
      <c r="VDM1156" s="7"/>
      <c r="VDN1156" s="7"/>
      <c r="VDO1156" s="7"/>
      <c r="VDP1156" s="7"/>
      <c r="VDQ1156" s="7"/>
      <c r="VDR1156" s="7"/>
      <c r="VDS1156" s="7"/>
      <c r="VDT1156" s="7"/>
      <c r="VDU1156" s="7"/>
      <c r="VDV1156" s="7"/>
      <c r="VDW1156" s="7"/>
      <c r="VDX1156" s="7"/>
      <c r="VDY1156" s="7"/>
      <c r="VDZ1156" s="7"/>
      <c r="VEA1156" s="7"/>
      <c r="VEB1156" s="7"/>
      <c r="VEC1156" s="7"/>
      <c r="VED1156" s="7"/>
      <c r="VEE1156" s="7"/>
      <c r="VEF1156" s="7"/>
      <c r="VEG1156" s="7"/>
      <c r="VEH1156" s="7"/>
      <c r="VEI1156" s="7"/>
      <c r="VEJ1156" s="7"/>
      <c r="VEK1156" s="7"/>
      <c r="VEL1156" s="7"/>
      <c r="VEM1156" s="7"/>
      <c r="VEN1156" s="7"/>
      <c r="VEO1156" s="7"/>
      <c r="VEP1156" s="7"/>
      <c r="VEQ1156" s="7"/>
      <c r="VER1156" s="7"/>
      <c r="VES1156" s="7"/>
      <c r="VET1156" s="7"/>
      <c r="VEU1156" s="7"/>
      <c r="VEV1156" s="7"/>
      <c r="VEW1156" s="7"/>
      <c r="VEX1156" s="7"/>
      <c r="VEY1156" s="7"/>
      <c r="VEZ1156" s="7"/>
      <c r="VFA1156" s="7"/>
      <c r="VFB1156" s="7"/>
      <c r="VFC1156" s="7"/>
      <c r="VFD1156" s="7"/>
      <c r="VFE1156" s="7"/>
      <c r="VFF1156" s="7"/>
      <c r="VFG1156" s="7"/>
      <c r="VFH1156" s="7"/>
      <c r="VFI1156" s="7"/>
      <c r="VFJ1156" s="7"/>
      <c r="VFK1156" s="7"/>
      <c r="VFL1156" s="7"/>
      <c r="VFM1156" s="7"/>
      <c r="VFN1156" s="7"/>
      <c r="VFO1156" s="7"/>
      <c r="VFP1156" s="7"/>
      <c r="VFQ1156" s="7"/>
      <c r="VFR1156" s="7"/>
      <c r="VFS1156" s="7"/>
      <c r="VFT1156" s="7"/>
      <c r="VFU1156" s="7"/>
      <c r="VFV1156" s="7"/>
      <c r="VFW1156" s="7"/>
      <c r="VFX1156" s="7"/>
      <c r="VFY1156" s="7"/>
      <c r="VFZ1156" s="7"/>
      <c r="VGA1156" s="7"/>
      <c r="VGB1156" s="7"/>
      <c r="VGC1156" s="7"/>
      <c r="VGD1156" s="7"/>
      <c r="VGE1156" s="7"/>
      <c r="VGF1156" s="7"/>
      <c r="VGG1156" s="7"/>
      <c r="VGH1156" s="7"/>
      <c r="VGI1156" s="7"/>
      <c r="VGJ1156" s="7"/>
      <c r="VGK1156" s="7"/>
      <c r="VGL1156" s="7"/>
      <c r="VGM1156" s="7"/>
      <c r="VGN1156" s="7"/>
      <c r="VGO1156" s="7"/>
      <c r="VGP1156" s="7"/>
      <c r="VGQ1156" s="7"/>
      <c r="VGR1156" s="7"/>
      <c r="VGS1156" s="7"/>
      <c r="VGT1156" s="7"/>
      <c r="VGU1156" s="7"/>
      <c r="VGV1156" s="7"/>
      <c r="VGW1156" s="7"/>
      <c r="VGX1156" s="7"/>
      <c r="VGY1156" s="7"/>
      <c r="VGZ1156" s="7"/>
      <c r="VHA1156" s="7"/>
      <c r="VHB1156" s="7"/>
      <c r="VHC1156" s="7"/>
      <c r="VHD1156" s="7"/>
      <c r="VHE1156" s="7"/>
      <c r="VHF1156" s="7"/>
      <c r="VHG1156" s="7"/>
      <c r="VHH1156" s="7"/>
      <c r="VHI1156" s="7"/>
      <c r="VHJ1156" s="7"/>
      <c r="VHK1156" s="7"/>
      <c r="VHL1156" s="7"/>
      <c r="VHM1156" s="7"/>
      <c r="VHN1156" s="7"/>
      <c r="VHO1156" s="7"/>
      <c r="VHP1156" s="7"/>
      <c r="VHQ1156" s="7"/>
      <c r="VHR1156" s="7"/>
      <c r="VHS1156" s="7"/>
      <c r="VHT1156" s="7"/>
      <c r="VHU1156" s="7"/>
      <c r="VHV1156" s="7"/>
      <c r="VHW1156" s="7"/>
      <c r="VHX1156" s="7"/>
      <c r="VHY1156" s="7"/>
      <c r="VHZ1156" s="7"/>
      <c r="VIA1156" s="7"/>
      <c r="VIB1156" s="7"/>
      <c r="VIC1156" s="7"/>
      <c r="VID1156" s="7"/>
      <c r="VIE1156" s="7"/>
      <c r="VIF1156" s="7"/>
      <c r="VIG1156" s="7"/>
      <c r="VIH1156" s="7"/>
      <c r="VII1156" s="7"/>
      <c r="VIJ1156" s="7"/>
      <c r="VIK1156" s="7"/>
      <c r="VIL1156" s="7"/>
      <c r="VIM1156" s="7"/>
      <c r="VIN1156" s="7"/>
      <c r="VIO1156" s="7"/>
      <c r="VIP1156" s="7"/>
      <c r="VIQ1156" s="7"/>
      <c r="VIR1156" s="7"/>
      <c r="VIS1156" s="7"/>
      <c r="VIT1156" s="7"/>
      <c r="VIU1156" s="7"/>
      <c r="VIV1156" s="7"/>
      <c r="VIW1156" s="7"/>
      <c r="VIX1156" s="7"/>
      <c r="VIY1156" s="7"/>
      <c r="VIZ1156" s="7"/>
      <c r="VJA1156" s="7"/>
      <c r="VJB1156" s="7"/>
      <c r="VJC1156" s="7"/>
      <c r="VJD1156" s="7"/>
      <c r="VJE1156" s="7"/>
      <c r="VJF1156" s="7"/>
      <c r="VJG1156" s="7"/>
      <c r="VJH1156" s="7"/>
      <c r="VJI1156" s="7"/>
      <c r="VJJ1156" s="7"/>
      <c r="VJK1156" s="7"/>
      <c r="VJL1156" s="7"/>
      <c r="VJM1156" s="7"/>
      <c r="VJN1156" s="7"/>
      <c r="VJO1156" s="7"/>
      <c r="VJP1156" s="7"/>
      <c r="VJQ1156" s="7"/>
      <c r="VJR1156" s="7"/>
      <c r="VJS1156" s="7"/>
      <c r="VJT1156" s="7"/>
      <c r="VJU1156" s="7"/>
      <c r="VJV1156" s="7"/>
      <c r="VJW1156" s="7"/>
      <c r="VJX1156" s="7"/>
      <c r="VJY1156" s="7"/>
      <c r="VJZ1156" s="7"/>
      <c r="VKA1156" s="7"/>
      <c r="VKB1156" s="7"/>
      <c r="VKC1156" s="7"/>
      <c r="VKD1156" s="7"/>
      <c r="VKE1156" s="7"/>
      <c r="VKF1156" s="7"/>
      <c r="VKG1156" s="7"/>
      <c r="VKH1156" s="7"/>
      <c r="VKI1156" s="7"/>
      <c r="VKJ1156" s="7"/>
      <c r="VKK1156" s="7"/>
      <c r="VKL1156" s="7"/>
      <c r="VKM1156" s="7"/>
      <c r="VKN1156" s="7"/>
      <c r="VKO1156" s="7"/>
      <c r="VKP1156" s="7"/>
      <c r="VKQ1156" s="7"/>
      <c r="VKR1156" s="7"/>
      <c r="VKS1156" s="7"/>
      <c r="VKT1156" s="7"/>
      <c r="VKU1156" s="7"/>
      <c r="VKV1156" s="7"/>
      <c r="VKW1156" s="7"/>
      <c r="VKX1156" s="7"/>
      <c r="VKY1156" s="7"/>
      <c r="VKZ1156" s="7"/>
      <c r="VLA1156" s="7"/>
      <c r="VLB1156" s="7"/>
      <c r="VLC1156" s="7"/>
      <c r="VLD1156" s="7"/>
      <c r="VLE1156" s="7"/>
      <c r="VLF1156" s="7"/>
      <c r="VLG1156" s="7"/>
      <c r="VLH1156" s="7"/>
      <c r="VLI1156" s="7"/>
      <c r="VLJ1156" s="7"/>
      <c r="VLK1156" s="7"/>
      <c r="VLL1156" s="7"/>
      <c r="VLM1156" s="7"/>
      <c r="VLN1156" s="7"/>
      <c r="VLO1156" s="7"/>
      <c r="VLP1156" s="7"/>
      <c r="VLQ1156" s="7"/>
      <c r="VLR1156" s="7"/>
      <c r="VLS1156" s="7"/>
      <c r="VLT1156" s="7"/>
      <c r="VLU1156" s="7"/>
      <c r="VLV1156" s="7"/>
      <c r="VLW1156" s="7"/>
      <c r="VLX1156" s="7"/>
      <c r="VLY1156" s="7"/>
      <c r="VLZ1156" s="7"/>
      <c r="VMA1156" s="7"/>
      <c r="VMB1156" s="7"/>
      <c r="VMC1156" s="7"/>
      <c r="VMD1156" s="7"/>
      <c r="VME1156" s="7"/>
      <c r="VMF1156" s="7"/>
      <c r="VMG1156" s="7"/>
      <c r="VMH1156" s="7"/>
      <c r="VMI1156" s="7"/>
      <c r="VMJ1156" s="7"/>
      <c r="VMK1156" s="7"/>
      <c r="VML1156" s="7"/>
      <c r="VMM1156" s="7"/>
      <c r="VMN1156" s="7"/>
      <c r="VMO1156" s="7"/>
      <c r="VMP1156" s="7"/>
      <c r="VMQ1156" s="7"/>
      <c r="VMR1156" s="7"/>
      <c r="VMS1156" s="7"/>
      <c r="VMT1156" s="7"/>
      <c r="VMU1156" s="7"/>
      <c r="VMV1156" s="7"/>
      <c r="VMW1156" s="7"/>
      <c r="VMX1156" s="7"/>
      <c r="VMY1156" s="7"/>
      <c r="VMZ1156" s="7"/>
      <c r="VNA1156" s="7"/>
      <c r="VNB1156" s="7"/>
      <c r="VNC1156" s="7"/>
      <c r="VND1156" s="7"/>
      <c r="VNE1156" s="7"/>
      <c r="VNF1156" s="7"/>
      <c r="VNG1156" s="7"/>
      <c r="VNH1156" s="7"/>
      <c r="VNI1156" s="7"/>
      <c r="VNJ1156" s="7"/>
      <c r="VNK1156" s="7"/>
      <c r="VNL1156" s="7"/>
      <c r="VNM1156" s="7"/>
      <c r="VNN1156" s="7"/>
      <c r="VNO1156" s="7"/>
      <c r="VNP1156" s="7"/>
      <c r="VNQ1156" s="7"/>
      <c r="VNR1156" s="7"/>
      <c r="VNS1156" s="7"/>
      <c r="VNT1156" s="7"/>
      <c r="VNU1156" s="7"/>
      <c r="VNV1156" s="7"/>
      <c r="VNW1156" s="7"/>
      <c r="VNX1156" s="7"/>
      <c r="VNY1156" s="7"/>
      <c r="VNZ1156" s="7"/>
      <c r="VOA1156" s="7"/>
      <c r="VOB1156" s="7"/>
      <c r="VOC1156" s="7"/>
      <c r="VOD1156" s="7"/>
      <c r="VOE1156" s="7"/>
      <c r="VOF1156" s="7"/>
      <c r="VOG1156" s="7"/>
      <c r="VOH1156" s="7"/>
      <c r="VOI1156" s="7"/>
      <c r="VOJ1156" s="7"/>
      <c r="VOK1156" s="7"/>
      <c r="VOL1156" s="7"/>
      <c r="VOM1156" s="7"/>
      <c r="VON1156" s="7"/>
      <c r="VOO1156" s="7"/>
      <c r="VOP1156" s="7"/>
      <c r="VOQ1156" s="7"/>
      <c r="VOR1156" s="7"/>
      <c r="VOS1156" s="7"/>
      <c r="VOT1156" s="7"/>
      <c r="VOU1156" s="7"/>
      <c r="VOV1156" s="7"/>
      <c r="VOW1156" s="7"/>
      <c r="VOX1156" s="7"/>
      <c r="VOY1156" s="7"/>
      <c r="VOZ1156" s="7"/>
      <c r="VPA1156" s="7"/>
      <c r="VPB1156" s="7"/>
      <c r="VPC1156" s="7"/>
      <c r="VPD1156" s="7"/>
      <c r="VPE1156" s="7"/>
      <c r="VPF1156" s="7"/>
      <c r="VPG1156" s="7"/>
      <c r="VPH1156" s="7"/>
      <c r="VPI1156" s="7"/>
      <c r="VPJ1156" s="7"/>
      <c r="VPK1156" s="7"/>
      <c r="VPL1156" s="7"/>
      <c r="VPM1156" s="7"/>
      <c r="VPN1156" s="7"/>
      <c r="VPO1156" s="7"/>
      <c r="VPP1156" s="7"/>
      <c r="VPQ1156" s="7"/>
      <c r="VPR1156" s="7"/>
      <c r="VPS1156" s="7"/>
      <c r="VPT1156" s="7"/>
      <c r="VPU1156" s="7"/>
      <c r="VPV1156" s="7"/>
      <c r="VPW1156" s="7"/>
      <c r="VPX1156" s="7"/>
      <c r="VPY1156" s="7"/>
      <c r="VPZ1156" s="7"/>
      <c r="VQA1156" s="7"/>
      <c r="VQB1156" s="7"/>
      <c r="VQC1156" s="7"/>
      <c r="VQD1156" s="7"/>
      <c r="VQE1156" s="7"/>
      <c r="VQF1156" s="7"/>
      <c r="VQG1156" s="7"/>
      <c r="VQH1156" s="7"/>
      <c r="VQI1156" s="7"/>
      <c r="VQJ1156" s="7"/>
      <c r="VQK1156" s="7"/>
      <c r="VQL1156" s="7"/>
      <c r="VQM1156" s="7"/>
      <c r="VQN1156" s="7"/>
      <c r="VQO1156" s="7"/>
      <c r="VQP1156" s="7"/>
      <c r="VQQ1156" s="7"/>
      <c r="VQR1156" s="7"/>
      <c r="VQS1156" s="7"/>
      <c r="VQT1156" s="7"/>
      <c r="VQU1156" s="7"/>
      <c r="VQV1156" s="7"/>
      <c r="VQW1156" s="7"/>
      <c r="VQX1156" s="7"/>
      <c r="VQY1156" s="7"/>
      <c r="VQZ1156" s="7"/>
      <c r="VRA1156" s="7"/>
      <c r="VRB1156" s="7"/>
      <c r="VRC1156" s="7"/>
      <c r="VRD1156" s="7"/>
      <c r="VRE1156" s="7"/>
      <c r="VRF1156" s="7"/>
      <c r="VRG1156" s="7"/>
      <c r="VRH1156" s="7"/>
      <c r="VRI1156" s="7"/>
      <c r="VRJ1156" s="7"/>
      <c r="VRK1156" s="7"/>
      <c r="VRL1156" s="7"/>
      <c r="VRM1156" s="7"/>
      <c r="VRN1156" s="7"/>
      <c r="VRO1156" s="7"/>
      <c r="VRP1156" s="7"/>
      <c r="VRQ1156" s="7"/>
      <c r="VRR1156" s="7"/>
      <c r="VRS1156" s="7"/>
      <c r="VRT1156" s="7"/>
      <c r="VRU1156" s="7"/>
      <c r="VRV1156" s="7"/>
      <c r="VRW1156" s="7"/>
      <c r="VRX1156" s="7"/>
      <c r="VRY1156" s="7"/>
      <c r="VRZ1156" s="7"/>
      <c r="VSA1156" s="7"/>
      <c r="VSB1156" s="7"/>
      <c r="VSC1156" s="7"/>
      <c r="VSD1156" s="7"/>
      <c r="VSE1156" s="7"/>
      <c r="VSF1156" s="7"/>
      <c r="VSG1156" s="7"/>
      <c r="VSH1156" s="7"/>
      <c r="VSI1156" s="7"/>
      <c r="VSJ1156" s="7"/>
      <c r="VSK1156" s="7"/>
      <c r="VSL1156" s="7"/>
      <c r="VSM1156" s="7"/>
      <c r="VSN1156" s="7"/>
      <c r="VSO1156" s="7"/>
      <c r="VSP1156" s="7"/>
      <c r="VSQ1156" s="7"/>
      <c r="VSR1156" s="7"/>
      <c r="VSS1156" s="7"/>
      <c r="VST1156" s="7"/>
      <c r="VSU1156" s="7"/>
      <c r="VSV1156" s="7"/>
      <c r="VSW1156" s="7"/>
      <c r="VSX1156" s="7"/>
      <c r="VSY1156" s="7"/>
      <c r="VSZ1156" s="7"/>
      <c r="VTA1156" s="7"/>
      <c r="VTB1156" s="7"/>
      <c r="VTC1156" s="7"/>
      <c r="VTD1156" s="7"/>
      <c r="VTE1156" s="7"/>
      <c r="VTF1156" s="7"/>
      <c r="VTG1156" s="7"/>
      <c r="VTH1156" s="7"/>
      <c r="VTI1156" s="7"/>
      <c r="VTJ1156" s="7"/>
      <c r="VTK1156" s="7"/>
      <c r="VTL1156" s="7"/>
      <c r="VTM1156" s="7"/>
      <c r="VTN1156" s="7"/>
      <c r="VTO1156" s="7"/>
      <c r="VTP1156" s="7"/>
      <c r="VTQ1156" s="7"/>
      <c r="VTR1156" s="7"/>
      <c r="VTS1156" s="7"/>
      <c r="VTT1156" s="7"/>
      <c r="VTU1156" s="7"/>
      <c r="VTV1156" s="7"/>
      <c r="VTW1156" s="7"/>
      <c r="VTX1156" s="7"/>
      <c r="VTY1156" s="7"/>
      <c r="VTZ1156" s="7"/>
      <c r="VUA1156" s="7"/>
      <c r="VUB1156" s="7"/>
      <c r="VUC1156" s="7"/>
      <c r="VUD1156" s="7"/>
      <c r="VUE1156" s="7"/>
      <c r="VUF1156" s="7"/>
      <c r="VUG1156" s="7"/>
      <c r="VUH1156" s="7"/>
      <c r="VUI1156" s="7"/>
      <c r="VUJ1156" s="7"/>
      <c r="VUK1156" s="7"/>
      <c r="VUL1156" s="7"/>
      <c r="VUM1156" s="7"/>
      <c r="VUN1156" s="7"/>
      <c r="VUO1156" s="7"/>
      <c r="VUP1156" s="7"/>
      <c r="VUQ1156" s="7"/>
      <c r="VUR1156" s="7"/>
      <c r="VUS1156" s="7"/>
      <c r="VUT1156" s="7"/>
      <c r="VUU1156" s="7"/>
      <c r="VUV1156" s="7"/>
      <c r="VUW1156" s="7"/>
      <c r="VUX1156" s="7"/>
      <c r="VUY1156" s="7"/>
      <c r="VUZ1156" s="7"/>
      <c r="VVA1156" s="7"/>
      <c r="VVB1156" s="7"/>
      <c r="VVC1156" s="7"/>
      <c r="VVD1156" s="7"/>
      <c r="VVE1156" s="7"/>
      <c r="VVF1156" s="7"/>
      <c r="VVG1156" s="7"/>
      <c r="VVH1156" s="7"/>
      <c r="VVI1156" s="7"/>
      <c r="VVJ1156" s="7"/>
      <c r="VVK1156" s="7"/>
      <c r="VVL1156" s="7"/>
      <c r="VVM1156" s="7"/>
      <c r="VVN1156" s="7"/>
      <c r="VVO1156" s="7"/>
      <c r="VVP1156" s="7"/>
      <c r="VVQ1156" s="7"/>
      <c r="VVR1156" s="7"/>
      <c r="VVS1156" s="7"/>
      <c r="VVT1156" s="7"/>
      <c r="VVU1156" s="7"/>
      <c r="VVV1156" s="7"/>
      <c r="VVW1156" s="7"/>
      <c r="VVX1156" s="7"/>
      <c r="VVY1156" s="7"/>
      <c r="VVZ1156" s="7"/>
      <c r="VWA1156" s="7"/>
      <c r="VWB1156" s="7"/>
      <c r="VWC1156" s="7"/>
      <c r="VWD1156" s="7"/>
      <c r="VWE1156" s="7"/>
      <c r="VWF1156" s="7"/>
      <c r="VWG1156" s="7"/>
      <c r="VWH1156" s="7"/>
      <c r="VWI1156" s="7"/>
      <c r="VWJ1156" s="7"/>
      <c r="VWK1156" s="7"/>
      <c r="VWL1156" s="7"/>
      <c r="VWM1156" s="7"/>
      <c r="VWN1156" s="7"/>
      <c r="VWO1156" s="7"/>
      <c r="VWP1156" s="7"/>
      <c r="VWQ1156" s="7"/>
      <c r="VWR1156" s="7"/>
      <c r="VWS1156" s="7"/>
      <c r="VWT1156" s="7"/>
      <c r="VWU1156" s="7"/>
      <c r="VWV1156" s="7"/>
      <c r="VWW1156" s="7"/>
      <c r="VWX1156" s="7"/>
      <c r="VWY1156" s="7"/>
      <c r="VWZ1156" s="7"/>
      <c r="VXA1156" s="7"/>
      <c r="VXB1156" s="7"/>
      <c r="VXC1156" s="7"/>
      <c r="VXD1156" s="7"/>
      <c r="VXE1156" s="7"/>
      <c r="VXF1156" s="7"/>
      <c r="VXG1156" s="7"/>
      <c r="VXH1156" s="7"/>
      <c r="VXI1156" s="7"/>
      <c r="VXJ1156" s="7"/>
      <c r="VXK1156" s="7"/>
      <c r="VXL1156" s="7"/>
      <c r="VXM1156" s="7"/>
      <c r="VXN1156" s="7"/>
      <c r="VXO1156" s="7"/>
      <c r="VXP1156" s="7"/>
      <c r="VXQ1156" s="7"/>
      <c r="VXR1156" s="7"/>
      <c r="VXS1156" s="7"/>
      <c r="VXT1156" s="7"/>
      <c r="VXU1156" s="7"/>
      <c r="VXV1156" s="7"/>
      <c r="VXW1156" s="7"/>
      <c r="VXX1156" s="7"/>
      <c r="VXY1156" s="7"/>
      <c r="VXZ1156" s="7"/>
      <c r="VYA1156" s="7"/>
      <c r="VYB1156" s="7"/>
      <c r="VYC1156" s="7"/>
      <c r="VYD1156" s="7"/>
      <c r="VYE1156" s="7"/>
      <c r="VYF1156" s="7"/>
      <c r="VYG1156" s="7"/>
      <c r="VYH1156" s="7"/>
      <c r="VYI1156" s="7"/>
      <c r="VYJ1156" s="7"/>
      <c r="VYK1156" s="7"/>
      <c r="VYL1156" s="7"/>
      <c r="VYM1156" s="7"/>
      <c r="VYN1156" s="7"/>
      <c r="VYO1156" s="7"/>
      <c r="VYP1156" s="7"/>
      <c r="VYQ1156" s="7"/>
      <c r="VYR1156" s="7"/>
      <c r="VYS1156" s="7"/>
      <c r="VYT1156" s="7"/>
      <c r="VYU1156" s="7"/>
      <c r="VYV1156" s="7"/>
      <c r="VYW1156" s="7"/>
      <c r="VYX1156" s="7"/>
      <c r="VYY1156" s="7"/>
      <c r="VYZ1156" s="7"/>
      <c r="VZA1156" s="7"/>
      <c r="VZB1156" s="7"/>
      <c r="VZC1156" s="7"/>
      <c r="VZD1156" s="7"/>
      <c r="VZE1156" s="7"/>
      <c r="VZF1156" s="7"/>
      <c r="VZG1156" s="7"/>
      <c r="VZH1156" s="7"/>
      <c r="VZI1156" s="7"/>
      <c r="VZJ1156" s="7"/>
      <c r="VZK1156" s="7"/>
      <c r="VZL1156" s="7"/>
      <c r="VZM1156" s="7"/>
      <c r="VZN1156" s="7"/>
      <c r="VZO1156" s="7"/>
      <c r="VZP1156" s="7"/>
      <c r="VZQ1156" s="7"/>
      <c r="VZR1156" s="7"/>
      <c r="VZS1156" s="7"/>
      <c r="VZT1156" s="7"/>
      <c r="VZU1156" s="7"/>
      <c r="VZV1156" s="7"/>
      <c r="VZW1156" s="7"/>
      <c r="VZX1156" s="7"/>
      <c r="VZY1156" s="7"/>
      <c r="VZZ1156" s="7"/>
      <c r="WAA1156" s="7"/>
      <c r="WAB1156" s="7"/>
      <c r="WAC1156" s="7"/>
      <c r="WAD1156" s="7"/>
      <c r="WAE1156" s="7"/>
      <c r="WAF1156" s="7"/>
      <c r="WAG1156" s="7"/>
      <c r="WAH1156" s="7"/>
      <c r="WAI1156" s="7"/>
      <c r="WAJ1156" s="7"/>
      <c r="WAK1156" s="7"/>
      <c r="WAL1156" s="7"/>
      <c r="WAM1156" s="7"/>
      <c r="WAN1156" s="7"/>
      <c r="WAO1156" s="7"/>
      <c r="WAP1156" s="7"/>
      <c r="WAQ1156" s="7"/>
      <c r="WAR1156" s="7"/>
      <c r="WAS1156" s="7"/>
      <c r="WAT1156" s="7"/>
      <c r="WAU1156" s="7"/>
      <c r="WAV1156" s="7"/>
      <c r="WAW1156" s="7"/>
      <c r="WAX1156" s="7"/>
      <c r="WAY1156" s="7"/>
      <c r="WAZ1156" s="7"/>
      <c r="WBA1156" s="7"/>
      <c r="WBB1156" s="7"/>
      <c r="WBC1156" s="7"/>
      <c r="WBD1156" s="7"/>
      <c r="WBE1156" s="7"/>
      <c r="WBF1156" s="7"/>
      <c r="WBG1156" s="7"/>
      <c r="WBH1156" s="7"/>
      <c r="WBI1156" s="7"/>
      <c r="WBJ1156" s="7"/>
      <c r="WBK1156" s="7"/>
      <c r="WBL1156" s="7"/>
      <c r="WBM1156" s="7"/>
      <c r="WBN1156" s="7"/>
      <c r="WBO1156" s="7"/>
      <c r="WBP1156" s="7"/>
      <c r="WBQ1156" s="7"/>
      <c r="WBR1156" s="7"/>
      <c r="WBS1156" s="7"/>
      <c r="WBT1156" s="7"/>
      <c r="WBU1156" s="7"/>
      <c r="WBV1156" s="7"/>
      <c r="WBW1156" s="7"/>
      <c r="WBX1156" s="7"/>
      <c r="WBY1156" s="7"/>
      <c r="WBZ1156" s="7"/>
      <c r="WCA1156" s="7"/>
      <c r="WCB1156" s="7"/>
      <c r="WCC1156" s="7"/>
      <c r="WCD1156" s="7"/>
      <c r="WCE1156" s="7"/>
      <c r="WCF1156" s="7"/>
      <c r="WCG1156" s="7"/>
      <c r="WCH1156" s="7"/>
      <c r="WCI1156" s="7"/>
      <c r="WCJ1156" s="7"/>
      <c r="WCK1156" s="7"/>
      <c r="WCL1156" s="7"/>
      <c r="WCM1156" s="7"/>
      <c r="WCN1156" s="7"/>
      <c r="WCO1156" s="7"/>
      <c r="WCP1156" s="7"/>
      <c r="WCQ1156" s="7"/>
      <c r="WCR1156" s="7"/>
      <c r="WCS1156" s="7"/>
      <c r="WCT1156" s="7"/>
      <c r="WCU1156" s="7"/>
      <c r="WCV1156" s="7"/>
      <c r="WCW1156" s="7"/>
      <c r="WCX1156" s="7"/>
      <c r="WCY1156" s="7"/>
      <c r="WCZ1156" s="7"/>
      <c r="WDA1156" s="7"/>
      <c r="WDB1156" s="7"/>
      <c r="WDC1156" s="7"/>
      <c r="WDD1156" s="7"/>
      <c r="WDE1156" s="7"/>
      <c r="WDF1156" s="7"/>
      <c r="WDG1156" s="7"/>
      <c r="WDH1156" s="7"/>
      <c r="WDI1156" s="7"/>
      <c r="WDJ1156" s="7"/>
      <c r="WDK1156" s="7"/>
      <c r="WDL1156" s="7"/>
      <c r="WDM1156" s="7"/>
      <c r="WDN1156" s="7"/>
      <c r="WDO1156" s="7"/>
      <c r="WDP1156" s="7"/>
      <c r="WDQ1156" s="7"/>
      <c r="WDR1156" s="7"/>
      <c r="WDS1156" s="7"/>
      <c r="WDT1156" s="7"/>
      <c r="WDU1156" s="7"/>
      <c r="WDV1156" s="7"/>
      <c r="WDW1156" s="7"/>
      <c r="WDX1156" s="7"/>
      <c r="WDY1156" s="7"/>
      <c r="WDZ1156" s="7"/>
      <c r="WEA1156" s="7"/>
      <c r="WEB1156" s="7"/>
      <c r="WEC1156" s="7"/>
      <c r="WED1156" s="7"/>
      <c r="WEE1156" s="7"/>
      <c r="WEF1156" s="7"/>
      <c r="WEG1156" s="7"/>
      <c r="WEH1156" s="7"/>
      <c r="WEI1156" s="7"/>
      <c r="WEJ1156" s="7"/>
      <c r="WEK1156" s="7"/>
      <c r="WEL1156" s="7"/>
      <c r="WEM1156" s="7"/>
      <c r="WEN1156" s="7"/>
      <c r="WEO1156" s="7"/>
      <c r="WEP1156" s="7"/>
      <c r="WEQ1156" s="7"/>
      <c r="WER1156" s="7"/>
      <c r="WES1156" s="7"/>
      <c r="WET1156" s="7"/>
      <c r="WEU1156" s="7"/>
      <c r="WEV1156" s="7"/>
      <c r="WEW1156" s="7"/>
      <c r="WEX1156" s="7"/>
      <c r="WEY1156" s="7"/>
      <c r="WEZ1156" s="7"/>
      <c r="WFA1156" s="7"/>
      <c r="WFB1156" s="7"/>
      <c r="WFC1156" s="7"/>
      <c r="WFD1156" s="7"/>
      <c r="WFE1156" s="7"/>
      <c r="WFF1156" s="7"/>
      <c r="WFG1156" s="7"/>
      <c r="WFH1156" s="7"/>
      <c r="WFI1156" s="7"/>
      <c r="WFJ1156" s="7"/>
      <c r="WFK1156" s="7"/>
      <c r="WFL1156" s="7"/>
      <c r="WFM1156" s="7"/>
      <c r="WFN1156" s="7"/>
      <c r="WFO1156" s="7"/>
      <c r="WFP1156" s="7"/>
      <c r="WFQ1156" s="7"/>
      <c r="WFR1156" s="7"/>
      <c r="WFS1156" s="7"/>
      <c r="WFT1156" s="7"/>
      <c r="WFU1156" s="7"/>
      <c r="WFV1156" s="7"/>
      <c r="WFW1156" s="7"/>
      <c r="WFX1156" s="7"/>
      <c r="WFY1156" s="7"/>
      <c r="WFZ1156" s="7"/>
      <c r="WGA1156" s="7"/>
      <c r="WGB1156" s="7"/>
      <c r="WGC1156" s="7"/>
      <c r="WGD1156" s="7"/>
      <c r="WGE1156" s="7"/>
      <c r="WGF1156" s="7"/>
      <c r="WGG1156" s="7"/>
      <c r="WGH1156" s="7"/>
      <c r="WGI1156" s="7"/>
      <c r="WGJ1156" s="7"/>
      <c r="WGK1156" s="7"/>
      <c r="WGL1156" s="7"/>
      <c r="WGM1156" s="7"/>
      <c r="WGN1156" s="7"/>
      <c r="WGO1156" s="7"/>
      <c r="WGP1156" s="7"/>
      <c r="WGQ1156" s="7"/>
      <c r="WGR1156" s="7"/>
      <c r="WGS1156" s="7"/>
      <c r="WGT1156" s="7"/>
      <c r="WGU1156" s="7"/>
      <c r="WGV1156" s="7"/>
      <c r="WGW1156" s="7"/>
      <c r="WGX1156" s="7"/>
      <c r="WGY1156" s="7"/>
      <c r="WGZ1156" s="7"/>
      <c r="WHA1156" s="7"/>
      <c r="WHB1156" s="7"/>
      <c r="WHC1156" s="7"/>
      <c r="WHD1156" s="7"/>
      <c r="WHE1156" s="7"/>
      <c r="WHF1156" s="7"/>
      <c r="WHG1156" s="7"/>
      <c r="WHH1156" s="7"/>
      <c r="WHI1156" s="7"/>
      <c r="WHJ1156" s="7"/>
      <c r="WHK1156" s="7"/>
      <c r="WHL1156" s="7"/>
      <c r="WHM1156" s="7"/>
      <c r="WHN1156" s="7"/>
      <c r="WHO1156" s="7"/>
      <c r="WHP1156" s="7"/>
      <c r="WHQ1156" s="7"/>
      <c r="WHR1156" s="7"/>
      <c r="WHS1156" s="7"/>
      <c r="WHT1156" s="7"/>
      <c r="WHU1156" s="7"/>
      <c r="WHV1156" s="7"/>
      <c r="WHW1156" s="7"/>
      <c r="WHX1156" s="7"/>
      <c r="WHY1156" s="7"/>
      <c r="WHZ1156" s="7"/>
      <c r="WIA1156" s="7"/>
      <c r="WIB1156" s="7"/>
      <c r="WIC1156" s="7"/>
      <c r="WID1156" s="7"/>
      <c r="WIE1156" s="7"/>
      <c r="WIF1156" s="7"/>
      <c r="WIG1156" s="7"/>
      <c r="WIH1156" s="7"/>
      <c r="WII1156" s="7"/>
      <c r="WIJ1156" s="7"/>
      <c r="WIK1156" s="7"/>
      <c r="WIL1156" s="7"/>
      <c r="WIM1156" s="7"/>
      <c r="WIN1156" s="7"/>
      <c r="WIO1156" s="7"/>
      <c r="WIP1156" s="7"/>
      <c r="WIQ1156" s="7"/>
      <c r="WIR1156" s="7"/>
      <c r="WIS1156" s="7"/>
      <c r="WIT1156" s="7"/>
      <c r="WIU1156" s="7"/>
      <c r="WIV1156" s="7"/>
      <c r="WIW1156" s="7"/>
      <c r="WIX1156" s="7"/>
      <c r="WIY1156" s="7"/>
      <c r="WIZ1156" s="7"/>
      <c r="WJA1156" s="7"/>
      <c r="WJB1156" s="7"/>
      <c r="WJC1156" s="7"/>
      <c r="WJD1156" s="7"/>
      <c r="WJE1156" s="7"/>
      <c r="WJF1156" s="7"/>
      <c r="WJG1156" s="7"/>
      <c r="WJH1156" s="7"/>
      <c r="WJI1156" s="7"/>
      <c r="WJJ1156" s="7"/>
      <c r="WJK1156" s="7"/>
      <c r="WJL1156" s="7"/>
      <c r="WJM1156" s="7"/>
      <c r="WJN1156" s="7"/>
      <c r="WJO1156" s="7"/>
      <c r="WJP1156" s="7"/>
      <c r="WJQ1156" s="7"/>
      <c r="WJR1156" s="7"/>
      <c r="WJS1156" s="7"/>
      <c r="WJT1156" s="7"/>
      <c r="WJU1156" s="7"/>
      <c r="WJV1156" s="7"/>
      <c r="WJW1156" s="7"/>
      <c r="WJX1156" s="7"/>
      <c r="WJY1156" s="7"/>
      <c r="WJZ1156" s="7"/>
      <c r="WKA1156" s="7"/>
      <c r="WKB1156" s="7"/>
      <c r="WKC1156" s="7"/>
      <c r="WKD1156" s="7"/>
      <c r="WKE1156" s="7"/>
      <c r="WKF1156" s="7"/>
      <c r="WKG1156" s="7"/>
      <c r="WKH1156" s="7"/>
      <c r="WKI1156" s="7"/>
      <c r="WKJ1156" s="7"/>
      <c r="WKK1156" s="7"/>
      <c r="WKL1156" s="7"/>
      <c r="WKM1156" s="7"/>
      <c r="WKN1156" s="7"/>
      <c r="WKO1156" s="7"/>
      <c r="WKP1156" s="7"/>
      <c r="WKQ1156" s="7"/>
      <c r="WKR1156" s="7"/>
      <c r="WKS1156" s="7"/>
      <c r="WKT1156" s="7"/>
      <c r="WKU1156" s="7"/>
      <c r="WKV1156" s="7"/>
      <c r="WKW1156" s="7"/>
      <c r="WKX1156" s="7"/>
      <c r="WKY1156" s="7"/>
      <c r="WKZ1156" s="7"/>
      <c r="WLA1156" s="7"/>
      <c r="WLB1156" s="7"/>
      <c r="WLC1156" s="7"/>
      <c r="WLD1156" s="7"/>
      <c r="WLE1156" s="7"/>
      <c r="WLF1156" s="7"/>
      <c r="WLG1156" s="7"/>
      <c r="WLH1156" s="7"/>
      <c r="WLI1156" s="7"/>
      <c r="WLJ1156" s="7"/>
      <c r="WLK1156" s="7"/>
      <c r="WLL1156" s="7"/>
      <c r="WLM1156" s="7"/>
      <c r="WLN1156" s="7"/>
      <c r="WLO1156" s="7"/>
      <c r="WLP1156" s="7"/>
      <c r="WLQ1156" s="7"/>
      <c r="WLR1156" s="7"/>
      <c r="WLS1156" s="7"/>
      <c r="WLT1156" s="7"/>
      <c r="WLU1156" s="7"/>
      <c r="WLV1156" s="7"/>
      <c r="WLW1156" s="7"/>
      <c r="WLX1156" s="7"/>
      <c r="WLY1156" s="7"/>
      <c r="WLZ1156" s="7"/>
      <c r="WMA1156" s="7"/>
      <c r="WMB1156" s="7"/>
      <c r="WMC1156" s="7"/>
      <c r="WMD1156" s="7"/>
      <c r="WME1156" s="7"/>
      <c r="WMF1156" s="7"/>
      <c r="WMG1156" s="7"/>
      <c r="WMH1156" s="7"/>
      <c r="WMI1156" s="7"/>
      <c r="WMJ1156" s="7"/>
      <c r="WMK1156" s="7"/>
      <c r="WML1156" s="7"/>
      <c r="WMM1156" s="7"/>
      <c r="WMN1156" s="7"/>
      <c r="WMO1156" s="7"/>
      <c r="WMP1156" s="7"/>
      <c r="WMQ1156" s="7"/>
      <c r="WMR1156" s="7"/>
      <c r="WMS1156" s="7"/>
      <c r="WMT1156" s="7"/>
      <c r="WMU1156" s="7"/>
      <c r="WMV1156" s="7"/>
      <c r="WMW1156" s="7"/>
      <c r="WMX1156" s="7"/>
      <c r="WMY1156" s="7"/>
      <c r="WMZ1156" s="7"/>
      <c r="WNA1156" s="7"/>
      <c r="WNB1156" s="7"/>
      <c r="WNC1156" s="7"/>
      <c r="WND1156" s="7"/>
      <c r="WNE1156" s="7"/>
      <c r="WNF1156" s="7"/>
      <c r="WNG1156" s="7"/>
      <c r="WNH1156" s="7"/>
      <c r="WNI1156" s="7"/>
      <c r="WNJ1156" s="7"/>
      <c r="WNK1156" s="7"/>
      <c r="WNL1156" s="7"/>
      <c r="WNM1156" s="7"/>
      <c r="WNN1156" s="7"/>
      <c r="WNO1156" s="7"/>
      <c r="WNP1156" s="7"/>
      <c r="WNQ1156" s="7"/>
      <c r="WNR1156" s="7"/>
      <c r="WNS1156" s="7"/>
      <c r="WNT1156" s="7"/>
      <c r="WNU1156" s="7"/>
      <c r="WNV1156" s="7"/>
      <c r="WNW1156" s="7"/>
      <c r="WNX1156" s="7"/>
      <c r="WNY1156" s="7"/>
      <c r="WNZ1156" s="7"/>
      <c r="WOA1156" s="7"/>
      <c r="WOB1156" s="7"/>
      <c r="WOC1156" s="7"/>
      <c r="WOD1156" s="7"/>
      <c r="WOE1156" s="7"/>
      <c r="WOF1156" s="7"/>
      <c r="WOG1156" s="7"/>
      <c r="WOH1156" s="7"/>
      <c r="WOI1156" s="7"/>
      <c r="WOJ1156" s="7"/>
      <c r="WOK1156" s="7"/>
      <c r="WOL1156" s="7"/>
      <c r="WOM1156" s="7"/>
      <c r="WON1156" s="7"/>
      <c r="WOO1156" s="7"/>
      <c r="WOP1156" s="7"/>
      <c r="WOQ1156" s="7"/>
      <c r="WOR1156" s="7"/>
      <c r="WOS1156" s="7"/>
      <c r="WOT1156" s="7"/>
      <c r="WOU1156" s="7"/>
      <c r="WOV1156" s="7"/>
      <c r="WOW1156" s="7"/>
      <c r="WOX1156" s="7"/>
      <c r="WOY1156" s="7"/>
      <c r="WOZ1156" s="7"/>
      <c r="WPA1156" s="7"/>
      <c r="WPB1156" s="7"/>
      <c r="WPC1156" s="7"/>
      <c r="WPD1156" s="7"/>
      <c r="WPE1156" s="7"/>
      <c r="WPF1156" s="7"/>
      <c r="WPG1156" s="7"/>
      <c r="WPH1156" s="7"/>
      <c r="WPI1156" s="7"/>
      <c r="WPJ1156" s="7"/>
      <c r="WPK1156" s="7"/>
      <c r="WPL1156" s="7"/>
      <c r="WPM1156" s="7"/>
      <c r="WPN1156" s="7"/>
      <c r="WPO1156" s="7"/>
      <c r="WPP1156" s="7"/>
      <c r="WPQ1156" s="7"/>
      <c r="WPR1156" s="7"/>
      <c r="WPS1156" s="7"/>
      <c r="WPT1156" s="7"/>
      <c r="WPU1156" s="7"/>
      <c r="WPV1156" s="7"/>
      <c r="WPW1156" s="7"/>
      <c r="WPX1156" s="7"/>
      <c r="WPY1156" s="7"/>
      <c r="WPZ1156" s="7"/>
      <c r="WQA1156" s="7"/>
      <c r="WQB1156" s="7"/>
      <c r="WQC1156" s="7"/>
      <c r="WQD1156" s="7"/>
      <c r="WQE1156" s="7"/>
      <c r="WQF1156" s="7"/>
      <c r="WQG1156" s="7"/>
      <c r="WQH1156" s="7"/>
      <c r="WQI1156" s="7"/>
      <c r="WQJ1156" s="7"/>
      <c r="WQK1156" s="7"/>
      <c r="WQL1156" s="7"/>
      <c r="WQM1156" s="7"/>
      <c r="WQN1156" s="7"/>
      <c r="WQO1156" s="7"/>
      <c r="WQP1156" s="7"/>
      <c r="WQQ1156" s="7"/>
      <c r="WQR1156" s="7"/>
      <c r="WQS1156" s="7"/>
      <c r="WQT1156" s="7"/>
      <c r="WQU1156" s="7"/>
      <c r="WQV1156" s="7"/>
      <c r="WQW1156" s="7"/>
      <c r="WQX1156" s="7"/>
      <c r="WQY1156" s="7"/>
      <c r="WQZ1156" s="7"/>
      <c r="WRA1156" s="7"/>
      <c r="WRB1156" s="7"/>
      <c r="WRC1156" s="7"/>
      <c r="WRD1156" s="7"/>
      <c r="WRE1156" s="7"/>
      <c r="WRF1156" s="7"/>
      <c r="WRG1156" s="7"/>
      <c r="WRH1156" s="7"/>
      <c r="WRI1156" s="7"/>
      <c r="WRJ1156" s="7"/>
      <c r="WRK1156" s="7"/>
      <c r="WRL1156" s="7"/>
      <c r="WRM1156" s="7"/>
      <c r="WRN1156" s="7"/>
      <c r="WRO1156" s="7"/>
      <c r="WRP1156" s="7"/>
      <c r="WRQ1156" s="7"/>
      <c r="WRR1156" s="7"/>
      <c r="WRS1156" s="7"/>
      <c r="WRT1156" s="7"/>
      <c r="WRU1156" s="7"/>
      <c r="WRV1156" s="7"/>
      <c r="WRW1156" s="7"/>
      <c r="WRX1156" s="7"/>
      <c r="WRY1156" s="7"/>
      <c r="WRZ1156" s="7"/>
      <c r="WSA1156" s="7"/>
      <c r="WSB1156" s="7"/>
      <c r="WSC1156" s="7"/>
      <c r="WSD1156" s="7"/>
      <c r="WSE1156" s="7"/>
      <c r="WSF1156" s="7"/>
      <c r="WSG1156" s="7"/>
      <c r="WSH1156" s="7"/>
      <c r="WSI1156" s="7"/>
      <c r="WSJ1156" s="7"/>
      <c r="WSK1156" s="7"/>
      <c r="WSL1156" s="7"/>
      <c r="WSM1156" s="7"/>
      <c r="WSN1156" s="7"/>
      <c r="WSO1156" s="7"/>
      <c r="WSP1156" s="7"/>
      <c r="WSQ1156" s="7"/>
      <c r="WSR1156" s="7"/>
      <c r="WSS1156" s="7"/>
      <c r="WST1156" s="7"/>
      <c r="WSU1156" s="7"/>
      <c r="WSV1156" s="7"/>
      <c r="WSW1156" s="7"/>
      <c r="WSX1156" s="7"/>
      <c r="WSY1156" s="7"/>
      <c r="WSZ1156" s="7"/>
      <c r="WTA1156" s="7"/>
      <c r="WTB1156" s="7"/>
      <c r="WTC1156" s="7"/>
      <c r="WTD1156" s="7"/>
      <c r="WTE1156" s="7"/>
      <c r="WTF1156" s="7"/>
      <c r="WTG1156" s="7"/>
      <c r="WTH1156" s="7"/>
      <c r="WTI1156" s="7"/>
      <c r="WTJ1156" s="7"/>
      <c r="WTK1156" s="7"/>
      <c r="WTL1156" s="7"/>
      <c r="WTM1156" s="7"/>
      <c r="WTN1156" s="7"/>
      <c r="WTO1156" s="7"/>
      <c r="WTP1156" s="7"/>
      <c r="WTQ1156" s="7"/>
      <c r="WTR1156" s="7"/>
      <c r="WTS1156" s="7"/>
      <c r="WTT1156" s="7"/>
      <c r="WTU1156" s="7"/>
      <c r="WTV1156" s="7"/>
      <c r="WTW1156" s="7"/>
      <c r="WTX1156" s="7"/>
      <c r="WTY1156" s="7"/>
      <c r="WTZ1156" s="7"/>
      <c r="WUA1156" s="7"/>
      <c r="WUB1156" s="7"/>
      <c r="WUC1156" s="7"/>
      <c r="WUD1156" s="7"/>
      <c r="WUE1156" s="7"/>
      <c r="WUF1156" s="7"/>
      <c r="WUG1156" s="7"/>
      <c r="WUH1156" s="7"/>
      <c r="WUI1156" s="7"/>
      <c r="WUJ1156" s="7"/>
      <c r="WUK1156" s="7"/>
      <c r="WUL1156" s="7"/>
      <c r="WUM1156" s="7"/>
      <c r="WUN1156" s="7"/>
      <c r="WUO1156" s="7"/>
      <c r="WUP1156" s="7"/>
      <c r="WUQ1156" s="7"/>
      <c r="WUR1156" s="7"/>
      <c r="WUS1156" s="7"/>
      <c r="WUT1156" s="7"/>
      <c r="WUU1156" s="7"/>
      <c r="WUV1156" s="7"/>
      <c r="WUW1156" s="7"/>
      <c r="WUX1156" s="7"/>
      <c r="WUY1156" s="7"/>
      <c r="WUZ1156" s="7"/>
      <c r="WVA1156" s="7"/>
      <c r="WVB1156" s="7"/>
      <c r="WVC1156" s="7"/>
      <c r="WVD1156" s="7"/>
      <c r="WVE1156" s="7"/>
      <c r="WVF1156" s="7"/>
      <c r="WVG1156" s="7"/>
      <c r="WVH1156" s="7"/>
      <c r="WVI1156" s="7"/>
      <c r="WVJ1156" s="7"/>
      <c r="WVK1156" s="7"/>
      <c r="WVL1156" s="7"/>
      <c r="WVM1156" s="7"/>
      <c r="WVN1156" s="7"/>
      <c r="WVO1156" s="7"/>
      <c r="WVP1156" s="7"/>
      <c r="WVQ1156" s="7"/>
      <c r="WVR1156" s="7"/>
      <c r="WVS1156" s="7"/>
      <c r="WVT1156" s="7"/>
      <c r="WVU1156" s="7"/>
      <c r="WVV1156" s="7"/>
      <c r="WVW1156" s="7"/>
      <c r="WVX1156" s="7"/>
      <c r="WVY1156" s="7"/>
      <c r="WVZ1156" s="7"/>
      <c r="WWA1156" s="7"/>
      <c r="WWB1156" s="7"/>
      <c r="WWC1156" s="7"/>
      <c r="WWD1156" s="7"/>
      <c r="WWE1156" s="7"/>
      <c r="WWF1156" s="7"/>
      <c r="WWG1156" s="7"/>
      <c r="WWH1156" s="7"/>
      <c r="WWI1156" s="7"/>
      <c r="WWJ1156" s="7"/>
      <c r="WWK1156" s="7"/>
      <c r="WWL1156" s="7"/>
      <c r="WWM1156" s="7"/>
      <c r="WWN1156" s="7"/>
      <c r="WWO1156" s="7"/>
      <c r="WWP1156" s="7"/>
      <c r="WWQ1156" s="7"/>
      <c r="WWR1156" s="7"/>
      <c r="WWS1156" s="7"/>
      <c r="WWT1156" s="7"/>
      <c r="WWU1156" s="7"/>
      <c r="WWV1156" s="7"/>
      <c r="WWW1156" s="7"/>
      <c r="WWX1156" s="7"/>
      <c r="WWY1156" s="7"/>
      <c r="WWZ1156" s="7"/>
      <c r="WXA1156" s="7"/>
      <c r="WXB1156" s="7"/>
      <c r="WXC1156" s="7"/>
      <c r="WXD1156" s="7"/>
      <c r="WXE1156" s="7"/>
      <c r="WXF1156" s="7"/>
      <c r="WXG1156" s="7"/>
      <c r="WXH1156" s="7"/>
      <c r="WXI1156" s="7"/>
      <c r="WXJ1156" s="7"/>
      <c r="WXK1156" s="7"/>
      <c r="WXL1156" s="7"/>
      <c r="WXM1156" s="7"/>
      <c r="WXN1156" s="7"/>
      <c r="WXO1156" s="7"/>
      <c r="WXP1156" s="7"/>
      <c r="WXQ1156" s="7"/>
      <c r="WXR1156" s="7"/>
      <c r="WXS1156" s="7"/>
      <c r="WXT1156" s="7"/>
      <c r="WXU1156" s="7"/>
      <c r="WXV1156" s="7"/>
      <c r="WXW1156" s="7"/>
      <c r="WXX1156" s="7"/>
      <c r="WXY1156" s="7"/>
      <c r="WXZ1156" s="7"/>
      <c r="WYA1156" s="7"/>
    </row>
    <row r="1157" spans="1:16199" customFormat="1" ht="61.5" x14ac:dyDescent="0.85">
      <c r="A1157" s="7">
        <v>1</v>
      </c>
      <c r="B1157" s="59">
        <f>SUBTOTAL(103,$A$1032:A1157)</f>
        <v>124</v>
      </c>
      <c r="C1157" s="160" t="s">
        <v>759</v>
      </c>
      <c r="D1157" s="60">
        <f t="shared" si="190"/>
        <v>5567571.0200000005</v>
      </c>
      <c r="E1157" s="60">
        <v>0</v>
      </c>
      <c r="F1157" s="60">
        <v>0</v>
      </c>
      <c r="G1157" s="60">
        <v>0</v>
      </c>
      <c r="H1157" s="60">
        <v>0</v>
      </c>
      <c r="I1157" s="60">
        <v>0</v>
      </c>
      <c r="J1157" s="60">
        <v>0</v>
      </c>
      <c r="K1157" s="168">
        <v>3</v>
      </c>
      <c r="L1157" s="60">
        <v>5527359.4800000004</v>
      </c>
      <c r="M1157" s="60">
        <v>0</v>
      </c>
      <c r="N1157" s="60">
        <v>0</v>
      </c>
      <c r="O1157" s="60">
        <v>0</v>
      </c>
      <c r="P1157" s="60">
        <v>0</v>
      </c>
      <c r="Q1157" s="60">
        <v>0</v>
      </c>
      <c r="R1157" s="60">
        <v>0</v>
      </c>
      <c r="S1157" s="60">
        <v>0</v>
      </c>
      <c r="T1157" s="60">
        <v>0</v>
      </c>
      <c r="U1157" s="60">
        <v>0</v>
      </c>
      <c r="V1157" s="60">
        <v>0</v>
      </c>
      <c r="W1157" s="60">
        <v>0</v>
      </c>
      <c r="X1157" s="60">
        <v>0</v>
      </c>
      <c r="Y1157" s="60">
        <v>0</v>
      </c>
      <c r="Z1157" s="60">
        <v>0</v>
      </c>
      <c r="AA1157" s="60">
        <v>0</v>
      </c>
      <c r="AB1157" s="60">
        <v>0</v>
      </c>
      <c r="AC1157" s="60">
        <v>40211.54</v>
      </c>
      <c r="AD1157" s="60">
        <v>0</v>
      </c>
      <c r="AE1157" s="60">
        <v>0</v>
      </c>
      <c r="AF1157" s="170" t="s">
        <v>257</v>
      </c>
      <c r="AG1157" s="170">
        <v>2022</v>
      </c>
      <c r="AH1157" s="63">
        <v>2022</v>
      </c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  <c r="BZ1157" s="7"/>
      <c r="CA1157" s="7"/>
      <c r="CB1157" s="7"/>
      <c r="CC1157" s="7"/>
      <c r="CD1157" s="7"/>
      <c r="CE1157" s="7"/>
      <c r="CF1157" s="7"/>
      <c r="CG1157" s="7"/>
      <c r="CH1157" s="7"/>
      <c r="CI1157" s="7"/>
      <c r="CJ1157" s="7"/>
      <c r="CK1157" s="7"/>
      <c r="CL1157" s="7"/>
      <c r="CM1157" s="7"/>
      <c r="CN1157" s="7"/>
      <c r="CO1157" s="7"/>
      <c r="CP1157" s="7"/>
      <c r="CQ1157" s="7"/>
      <c r="CR1157" s="7"/>
      <c r="CS1157" s="7"/>
      <c r="CT1157" s="7"/>
      <c r="CU1157" s="7"/>
      <c r="CV1157" s="7"/>
      <c r="CW1157" s="7"/>
      <c r="CX1157" s="7"/>
      <c r="CY1157" s="7"/>
      <c r="CZ1157" s="7"/>
      <c r="DA1157" s="7"/>
      <c r="DB1157" s="7"/>
      <c r="DC1157" s="7"/>
      <c r="DD1157" s="7"/>
      <c r="DE1157" s="7"/>
      <c r="DF1157" s="7"/>
      <c r="DG1157" s="7"/>
      <c r="DH1157" s="7"/>
      <c r="DI1157" s="7"/>
      <c r="DJ1157" s="7"/>
      <c r="DK1157" s="7"/>
      <c r="DL1157" s="7"/>
      <c r="DM1157" s="7"/>
      <c r="DN1157" s="7"/>
      <c r="DO1157" s="7"/>
      <c r="DP1157" s="7"/>
      <c r="DQ1157" s="7"/>
      <c r="DR1157" s="7"/>
      <c r="DS1157" s="7"/>
      <c r="DT1157" s="7"/>
      <c r="DU1157" s="7"/>
      <c r="DV1157" s="7"/>
      <c r="DW1157" s="7"/>
      <c r="DX1157" s="7"/>
      <c r="DY1157" s="7"/>
      <c r="DZ1157" s="7"/>
      <c r="EA1157" s="7"/>
      <c r="EB1157" s="7"/>
      <c r="EC1157" s="7"/>
      <c r="ED1157" s="7"/>
      <c r="EE1157" s="7"/>
      <c r="EF1157" s="7"/>
      <c r="EG1157" s="7"/>
      <c r="EH1157" s="7"/>
      <c r="EI1157" s="7"/>
      <c r="EJ1157" s="7"/>
      <c r="EK1157" s="7"/>
      <c r="EL1157" s="7"/>
      <c r="EM1157" s="7"/>
      <c r="EN1157" s="7"/>
      <c r="EO1157" s="7"/>
      <c r="EP1157" s="7"/>
      <c r="EQ1157" s="7"/>
      <c r="ER1157" s="7"/>
      <c r="ES1157" s="7"/>
      <c r="ET1157" s="7"/>
      <c r="EU1157" s="7"/>
      <c r="EV1157" s="7"/>
      <c r="EW1157" s="7"/>
      <c r="EX1157" s="7"/>
      <c r="EY1157" s="7"/>
      <c r="EZ1157" s="7"/>
      <c r="FA1157" s="7"/>
      <c r="FB1157" s="7"/>
      <c r="FC1157" s="7"/>
      <c r="FD1157" s="7"/>
      <c r="FE1157" s="7"/>
      <c r="FF1157" s="7"/>
      <c r="FG1157" s="7"/>
      <c r="FH1157" s="7"/>
      <c r="FI1157" s="7"/>
      <c r="FJ1157" s="7"/>
      <c r="FK1157" s="7"/>
      <c r="FL1157" s="7"/>
      <c r="FM1157" s="7"/>
      <c r="FN1157" s="7"/>
      <c r="FO1157" s="7"/>
      <c r="FP1157" s="7"/>
      <c r="FQ1157" s="7"/>
      <c r="FR1157" s="7"/>
      <c r="FS1157" s="7"/>
      <c r="FT1157" s="7"/>
      <c r="FU1157" s="7"/>
      <c r="FV1157" s="7"/>
      <c r="FW1157" s="7"/>
      <c r="FX1157" s="7"/>
      <c r="FY1157" s="7"/>
      <c r="FZ1157" s="7"/>
      <c r="GA1157" s="7"/>
      <c r="GB1157" s="7"/>
      <c r="GC1157" s="7"/>
      <c r="GD1157" s="7"/>
      <c r="GE1157" s="7"/>
      <c r="GF1157" s="7"/>
      <c r="GG1157" s="7"/>
      <c r="GH1157" s="7"/>
      <c r="GI1157" s="7"/>
      <c r="GJ1157" s="7"/>
      <c r="GK1157" s="7"/>
      <c r="GL1157" s="7"/>
      <c r="GM1157" s="7"/>
      <c r="GN1157" s="7"/>
      <c r="GO1157" s="7"/>
      <c r="GP1157" s="7"/>
      <c r="GQ1157" s="7"/>
      <c r="GR1157" s="7"/>
      <c r="GS1157" s="7"/>
      <c r="GT1157" s="7"/>
      <c r="GU1157" s="7"/>
      <c r="GV1157" s="7"/>
      <c r="GW1157" s="7"/>
      <c r="GX1157" s="7"/>
      <c r="GY1157" s="7"/>
      <c r="GZ1157" s="7"/>
      <c r="HA1157" s="7"/>
      <c r="HB1157" s="7"/>
      <c r="HC1157" s="7"/>
      <c r="HD1157" s="7"/>
      <c r="HE1157" s="7"/>
      <c r="HF1157" s="7"/>
      <c r="HG1157" s="7"/>
      <c r="HH1157" s="7"/>
      <c r="HI1157" s="7"/>
      <c r="HJ1157" s="7"/>
      <c r="HK1157" s="7"/>
      <c r="HL1157" s="7"/>
      <c r="HM1157" s="7"/>
      <c r="HN1157" s="7"/>
      <c r="HO1157" s="7"/>
      <c r="HP1157" s="7"/>
      <c r="HQ1157" s="7"/>
      <c r="HR1157" s="7"/>
      <c r="HS1157" s="7"/>
      <c r="HT1157" s="7"/>
      <c r="HU1157" s="7"/>
      <c r="HV1157" s="7"/>
      <c r="HW1157" s="7"/>
      <c r="HX1157" s="7"/>
      <c r="HY1157" s="7"/>
      <c r="HZ1157" s="7"/>
      <c r="IA1157" s="7"/>
      <c r="IB1157" s="7"/>
      <c r="IC1157" s="7"/>
      <c r="ID1157" s="7"/>
      <c r="IE1157" s="7"/>
      <c r="IF1157" s="7"/>
      <c r="IG1157" s="7"/>
      <c r="IH1157" s="7"/>
      <c r="II1157" s="7"/>
      <c r="IJ1157" s="7"/>
      <c r="IK1157" s="7"/>
      <c r="IL1157" s="7"/>
      <c r="IM1157" s="7"/>
      <c r="IN1157" s="7"/>
      <c r="IO1157" s="7"/>
      <c r="IP1157" s="7"/>
      <c r="IQ1157" s="7"/>
      <c r="IR1157" s="7"/>
      <c r="IS1157" s="7"/>
      <c r="IT1157" s="7"/>
      <c r="IU1157" s="7"/>
      <c r="IV1157" s="7"/>
      <c r="IW1157" s="7"/>
      <c r="IX1157" s="7"/>
      <c r="IY1157" s="7"/>
      <c r="IZ1157" s="7"/>
      <c r="JA1157" s="7"/>
      <c r="JB1157" s="7"/>
      <c r="JC1157" s="7"/>
      <c r="JD1157" s="7"/>
      <c r="JE1157" s="7"/>
      <c r="JF1157" s="7"/>
      <c r="JG1157" s="7"/>
      <c r="JH1157" s="7"/>
      <c r="JI1157" s="7"/>
      <c r="JJ1157" s="7"/>
      <c r="JK1157" s="7"/>
      <c r="JL1157" s="7"/>
      <c r="JM1157" s="7"/>
      <c r="JN1157" s="7"/>
      <c r="JO1157" s="7"/>
      <c r="JP1157" s="7"/>
      <c r="JQ1157" s="7"/>
      <c r="JR1157" s="7"/>
      <c r="JS1157" s="7"/>
      <c r="JT1157" s="7"/>
      <c r="JU1157" s="7"/>
      <c r="JV1157" s="7"/>
      <c r="JW1157" s="7"/>
      <c r="JX1157" s="7"/>
      <c r="JY1157" s="7"/>
      <c r="JZ1157" s="7"/>
      <c r="KA1157" s="7"/>
      <c r="KB1157" s="7"/>
      <c r="KC1157" s="7"/>
      <c r="KD1157" s="7"/>
      <c r="KE1157" s="7"/>
      <c r="KF1157" s="7"/>
      <c r="KG1157" s="7"/>
      <c r="KH1157" s="7"/>
      <c r="KI1157" s="7"/>
      <c r="KJ1157" s="7"/>
      <c r="KK1157" s="7"/>
      <c r="KL1157" s="7"/>
      <c r="KM1157" s="7"/>
      <c r="KN1157" s="7"/>
      <c r="KO1157" s="7"/>
      <c r="KP1157" s="7"/>
      <c r="KQ1157" s="7"/>
      <c r="KR1157" s="7"/>
      <c r="KS1157" s="7"/>
      <c r="KT1157" s="7"/>
      <c r="KU1157" s="7"/>
      <c r="KV1157" s="7"/>
      <c r="KW1157" s="7"/>
      <c r="KX1157" s="7"/>
      <c r="KY1157" s="7"/>
      <c r="KZ1157" s="7"/>
      <c r="LA1157" s="7"/>
      <c r="LB1157" s="7"/>
      <c r="LC1157" s="7"/>
      <c r="LD1157" s="7"/>
      <c r="LE1157" s="7"/>
      <c r="LF1157" s="7"/>
      <c r="LG1157" s="7"/>
      <c r="LH1157" s="7"/>
      <c r="LI1157" s="7"/>
      <c r="LJ1157" s="7"/>
      <c r="LK1157" s="7"/>
      <c r="LL1157" s="7"/>
      <c r="LM1157" s="7"/>
      <c r="LN1157" s="7"/>
      <c r="LO1157" s="7"/>
      <c r="LP1157" s="7"/>
      <c r="LQ1157" s="7"/>
      <c r="LR1157" s="7"/>
      <c r="LS1157" s="7"/>
      <c r="LT1157" s="7"/>
      <c r="LU1157" s="7"/>
      <c r="LV1157" s="7"/>
      <c r="LW1157" s="7"/>
      <c r="LX1157" s="7"/>
      <c r="LY1157" s="7"/>
      <c r="LZ1157" s="7"/>
      <c r="MA1157" s="7"/>
      <c r="MB1157" s="7"/>
      <c r="MC1157" s="7"/>
      <c r="MD1157" s="7"/>
      <c r="ME1157" s="7"/>
      <c r="MF1157" s="7"/>
      <c r="MG1157" s="7"/>
      <c r="MH1157" s="7"/>
      <c r="MI1157" s="7"/>
      <c r="MJ1157" s="7"/>
      <c r="MK1157" s="7"/>
      <c r="ML1157" s="7"/>
      <c r="MM1157" s="7"/>
      <c r="MN1157" s="7"/>
      <c r="MO1157" s="7"/>
      <c r="MP1157" s="7"/>
      <c r="MQ1157" s="7"/>
      <c r="MR1157" s="7"/>
      <c r="MS1157" s="7"/>
      <c r="MT1157" s="7"/>
      <c r="MU1157" s="7"/>
      <c r="MV1157" s="7"/>
      <c r="MW1157" s="7"/>
      <c r="MX1157" s="7"/>
      <c r="MY1157" s="7"/>
      <c r="MZ1157" s="7"/>
      <c r="NA1157" s="7"/>
      <c r="NB1157" s="7"/>
      <c r="NC1157" s="7"/>
      <c r="ND1157" s="7"/>
      <c r="NE1157" s="7"/>
      <c r="NF1157" s="7"/>
      <c r="NG1157" s="7"/>
      <c r="NH1157" s="7"/>
      <c r="NI1157" s="7"/>
      <c r="NJ1157" s="7"/>
      <c r="NK1157" s="7"/>
      <c r="NL1157" s="7"/>
      <c r="NM1157" s="7"/>
      <c r="NN1157" s="7"/>
      <c r="NO1157" s="7"/>
      <c r="NP1157" s="7"/>
      <c r="NQ1157" s="7"/>
      <c r="NR1157" s="7"/>
      <c r="NS1157" s="7"/>
      <c r="NT1157" s="7"/>
      <c r="NU1157" s="7"/>
      <c r="NV1157" s="7"/>
      <c r="NW1157" s="7"/>
      <c r="NX1157" s="7"/>
      <c r="NY1157" s="7"/>
      <c r="NZ1157" s="7"/>
      <c r="OA1157" s="7"/>
      <c r="OB1157" s="7"/>
      <c r="OC1157" s="7"/>
      <c r="OD1157" s="7"/>
      <c r="OE1157" s="7"/>
      <c r="OF1157" s="7"/>
      <c r="OG1157" s="7"/>
      <c r="OH1157" s="7"/>
      <c r="OI1157" s="7"/>
      <c r="OJ1157" s="7"/>
      <c r="OK1157" s="7"/>
      <c r="OL1157" s="7"/>
      <c r="OM1157" s="7"/>
      <c r="ON1157" s="7"/>
      <c r="OO1157" s="7"/>
      <c r="OP1157" s="7"/>
      <c r="OQ1157" s="7"/>
      <c r="OR1157" s="7"/>
      <c r="OS1157" s="7"/>
      <c r="OT1157" s="7"/>
      <c r="OU1157" s="7"/>
      <c r="OV1157" s="7"/>
      <c r="OW1157" s="7"/>
      <c r="OX1157" s="7"/>
      <c r="OY1157" s="7"/>
      <c r="OZ1157" s="7"/>
      <c r="PA1157" s="7"/>
      <c r="PB1157" s="7"/>
      <c r="PC1157" s="7"/>
      <c r="PD1157" s="7"/>
      <c r="PE1157" s="7"/>
      <c r="PF1157" s="7"/>
      <c r="PG1157" s="7"/>
      <c r="PH1157" s="7"/>
      <c r="PI1157" s="7"/>
      <c r="PJ1157" s="7"/>
      <c r="PK1157" s="7"/>
      <c r="PL1157" s="7"/>
      <c r="PM1157" s="7"/>
      <c r="PN1157" s="7"/>
      <c r="PO1157" s="7"/>
      <c r="PP1157" s="7"/>
      <c r="PQ1157" s="7"/>
      <c r="PR1157" s="7"/>
      <c r="PS1157" s="7"/>
      <c r="PT1157" s="7"/>
      <c r="PU1157" s="7"/>
      <c r="PV1157" s="7"/>
      <c r="PW1157" s="7"/>
      <c r="PX1157" s="7"/>
      <c r="PY1157" s="7"/>
      <c r="PZ1157" s="7"/>
      <c r="QA1157" s="7"/>
      <c r="QB1157" s="7"/>
      <c r="QC1157" s="7"/>
      <c r="QD1157" s="7"/>
      <c r="QE1157" s="7"/>
      <c r="QF1157" s="7"/>
      <c r="QG1157" s="7"/>
      <c r="QH1157" s="7"/>
      <c r="QI1157" s="7"/>
      <c r="QJ1157" s="7"/>
      <c r="QK1157" s="7"/>
      <c r="QL1157" s="7"/>
      <c r="QM1157" s="7"/>
      <c r="QN1157" s="7"/>
      <c r="QO1157" s="7"/>
      <c r="QP1157" s="7"/>
      <c r="QQ1157" s="7"/>
      <c r="QR1157" s="7"/>
      <c r="QS1157" s="7"/>
      <c r="QT1157" s="7"/>
      <c r="QU1157" s="7"/>
      <c r="QV1157" s="7"/>
      <c r="QW1157" s="7"/>
      <c r="QX1157" s="7"/>
      <c r="QY1157" s="7"/>
      <c r="QZ1157" s="7"/>
      <c r="RA1157" s="7"/>
      <c r="RB1157" s="7"/>
      <c r="RC1157" s="7"/>
      <c r="RD1157" s="7"/>
      <c r="RE1157" s="7"/>
      <c r="RF1157" s="7"/>
      <c r="RG1157" s="7"/>
      <c r="RH1157" s="7"/>
      <c r="RI1157" s="7"/>
      <c r="RJ1157" s="7"/>
      <c r="RK1157" s="7"/>
      <c r="RL1157" s="7"/>
      <c r="RM1157" s="7"/>
      <c r="RN1157" s="7"/>
      <c r="RO1157" s="7"/>
      <c r="RP1157" s="7"/>
      <c r="RQ1157" s="7"/>
      <c r="RR1157" s="7"/>
      <c r="RS1157" s="7"/>
      <c r="RT1157" s="7"/>
      <c r="RU1157" s="7"/>
      <c r="RV1157" s="7"/>
      <c r="RW1157" s="7"/>
      <c r="RX1157" s="7"/>
      <c r="RY1157" s="7"/>
      <c r="RZ1157" s="7"/>
      <c r="SA1157" s="7"/>
      <c r="SB1157" s="7"/>
      <c r="SC1157" s="7"/>
      <c r="SD1157" s="7"/>
      <c r="SE1157" s="7"/>
      <c r="SF1157" s="7"/>
      <c r="SG1157" s="7"/>
      <c r="SH1157" s="7"/>
      <c r="SI1157" s="7"/>
      <c r="SJ1157" s="7"/>
      <c r="SK1157" s="7"/>
      <c r="SL1157" s="7"/>
      <c r="SM1157" s="7"/>
      <c r="SN1157" s="7"/>
      <c r="SO1157" s="7"/>
      <c r="SP1157" s="7"/>
      <c r="SQ1157" s="7"/>
      <c r="SR1157" s="7"/>
      <c r="SS1157" s="7"/>
      <c r="ST1157" s="7"/>
      <c r="SU1157" s="7"/>
      <c r="SV1157" s="7"/>
      <c r="SW1157" s="7"/>
      <c r="SX1157" s="7"/>
      <c r="SY1157" s="7"/>
      <c r="SZ1157" s="7"/>
      <c r="TA1157" s="7"/>
      <c r="TB1157" s="7"/>
      <c r="TC1157" s="7"/>
      <c r="TD1157" s="7"/>
      <c r="TE1157" s="7"/>
      <c r="TF1157" s="7"/>
      <c r="TG1157" s="7"/>
      <c r="TH1157" s="7"/>
      <c r="TI1157" s="7"/>
      <c r="TJ1157" s="7"/>
      <c r="TK1157" s="7"/>
      <c r="TL1157" s="7"/>
      <c r="TM1157" s="7"/>
      <c r="TN1157" s="7"/>
      <c r="TO1157" s="7"/>
      <c r="TP1157" s="7"/>
      <c r="TQ1157" s="7"/>
      <c r="TR1157" s="7"/>
      <c r="TS1157" s="7"/>
      <c r="TT1157" s="7"/>
      <c r="TU1157" s="7"/>
      <c r="TV1157" s="7"/>
      <c r="TW1157" s="7"/>
      <c r="TX1157" s="7"/>
      <c r="TY1157" s="7"/>
      <c r="TZ1157" s="7"/>
      <c r="UA1157" s="7"/>
      <c r="UB1157" s="7"/>
      <c r="UC1157" s="7"/>
      <c r="UD1157" s="7"/>
      <c r="UE1157" s="7"/>
      <c r="UF1157" s="7"/>
      <c r="UG1157" s="7"/>
      <c r="UH1157" s="7"/>
      <c r="UI1157" s="7"/>
      <c r="UJ1157" s="7"/>
      <c r="UK1157" s="7"/>
      <c r="UL1157" s="7"/>
      <c r="UM1157" s="7"/>
      <c r="UN1157" s="7"/>
      <c r="UO1157" s="7"/>
      <c r="UP1157" s="7"/>
      <c r="UQ1157" s="7"/>
      <c r="UR1157" s="7"/>
      <c r="US1157" s="7"/>
      <c r="UT1157" s="7"/>
      <c r="UU1157" s="7"/>
      <c r="UV1157" s="7"/>
      <c r="UW1157" s="7"/>
      <c r="UX1157" s="7"/>
      <c r="UY1157" s="7"/>
      <c r="UZ1157" s="7"/>
      <c r="VA1157" s="7"/>
      <c r="VB1157" s="7"/>
      <c r="VC1157" s="7"/>
      <c r="VD1157" s="7"/>
      <c r="VE1157" s="7"/>
      <c r="VF1157" s="7"/>
      <c r="VG1157" s="7"/>
      <c r="VH1157" s="7"/>
      <c r="VI1157" s="7"/>
      <c r="VJ1157" s="7"/>
      <c r="VK1157" s="7"/>
      <c r="VL1157" s="7"/>
      <c r="VM1157" s="7"/>
      <c r="VN1157" s="7"/>
      <c r="VO1157" s="7"/>
      <c r="VP1157" s="7"/>
      <c r="VQ1157" s="7"/>
      <c r="VR1157" s="7"/>
      <c r="VS1157" s="7"/>
      <c r="VT1157" s="7"/>
      <c r="VU1157" s="7"/>
      <c r="VV1157" s="7"/>
      <c r="VW1157" s="7"/>
      <c r="VX1157" s="7"/>
      <c r="VY1157" s="7"/>
      <c r="VZ1157" s="7"/>
      <c r="WA1157" s="7"/>
      <c r="WB1157" s="7"/>
      <c r="WC1157" s="7"/>
      <c r="WD1157" s="7"/>
      <c r="WE1157" s="7"/>
      <c r="WF1157" s="7"/>
      <c r="WG1157" s="7"/>
      <c r="WH1157" s="7"/>
      <c r="WI1157" s="7"/>
      <c r="WJ1157" s="7"/>
      <c r="WK1157" s="7"/>
      <c r="WL1157" s="7"/>
      <c r="WM1157" s="7"/>
      <c r="WN1157" s="7"/>
      <c r="WO1157" s="7"/>
      <c r="WP1157" s="7"/>
      <c r="WQ1157" s="7"/>
      <c r="WR1157" s="7"/>
      <c r="WS1157" s="7"/>
      <c r="WT1157" s="7"/>
      <c r="WU1157" s="7"/>
      <c r="WV1157" s="7"/>
      <c r="WW1157" s="7"/>
      <c r="WX1157" s="7"/>
      <c r="WY1157" s="7"/>
      <c r="WZ1157" s="7"/>
      <c r="XA1157" s="7"/>
      <c r="XB1157" s="7"/>
      <c r="XC1157" s="7"/>
      <c r="XD1157" s="7"/>
      <c r="XE1157" s="7"/>
      <c r="XF1157" s="7"/>
      <c r="XG1157" s="7"/>
      <c r="XH1157" s="7"/>
      <c r="XI1157" s="7"/>
      <c r="XJ1157" s="7"/>
      <c r="XK1157" s="7"/>
      <c r="XL1157" s="7"/>
      <c r="XM1157" s="7"/>
      <c r="XN1157" s="7"/>
      <c r="XO1157" s="7"/>
      <c r="XP1157" s="7"/>
      <c r="XQ1157" s="7"/>
      <c r="XR1157" s="7"/>
      <c r="XS1157" s="7"/>
      <c r="XT1157" s="7"/>
      <c r="XU1157" s="7"/>
      <c r="XV1157" s="7"/>
      <c r="XW1157" s="7"/>
      <c r="XX1157" s="7"/>
      <c r="XY1157" s="7"/>
      <c r="XZ1157" s="7"/>
      <c r="YA1157" s="7"/>
      <c r="YB1157" s="7"/>
      <c r="YC1157" s="7"/>
      <c r="YD1157" s="7"/>
      <c r="YE1157" s="7"/>
      <c r="YF1157" s="7"/>
      <c r="YG1157" s="7"/>
      <c r="YH1157" s="7"/>
      <c r="YI1157" s="7"/>
      <c r="YJ1157" s="7"/>
      <c r="YK1157" s="7"/>
      <c r="YL1157" s="7"/>
      <c r="YM1157" s="7"/>
      <c r="YN1157" s="7"/>
      <c r="YO1157" s="7"/>
      <c r="YP1157" s="7"/>
      <c r="YQ1157" s="7"/>
      <c r="YR1157" s="7"/>
      <c r="YS1157" s="7"/>
      <c r="YT1157" s="7"/>
      <c r="YU1157" s="7"/>
      <c r="YV1157" s="7"/>
      <c r="YW1157" s="7"/>
      <c r="YX1157" s="7"/>
      <c r="YY1157" s="7"/>
      <c r="YZ1157" s="7"/>
      <c r="ZA1157" s="7"/>
      <c r="ZB1157" s="7"/>
      <c r="ZC1157" s="7"/>
      <c r="ZD1157" s="7"/>
      <c r="ZE1157" s="7"/>
      <c r="ZF1157" s="7"/>
      <c r="ZG1157" s="7"/>
      <c r="ZH1157" s="7"/>
      <c r="ZI1157" s="7"/>
      <c r="ZJ1157" s="7"/>
      <c r="ZK1157" s="7"/>
      <c r="ZL1157" s="7"/>
      <c r="ZM1157" s="7"/>
      <c r="ZN1157" s="7"/>
      <c r="ZO1157" s="7"/>
      <c r="ZP1157" s="7"/>
      <c r="ZQ1157" s="7"/>
      <c r="ZR1157" s="7"/>
      <c r="ZS1157" s="7"/>
      <c r="ZT1157" s="7"/>
      <c r="ZU1157" s="7"/>
      <c r="ZV1157" s="7"/>
      <c r="ZW1157" s="7"/>
      <c r="ZX1157" s="7"/>
      <c r="ZY1157" s="7"/>
      <c r="ZZ1157" s="7"/>
      <c r="AAA1157" s="7"/>
      <c r="AAB1157" s="7"/>
      <c r="AAC1157" s="7"/>
      <c r="AAD1157" s="7"/>
      <c r="AAE1157" s="7"/>
      <c r="AAF1157" s="7"/>
      <c r="AAG1157" s="7"/>
      <c r="AAH1157" s="7"/>
      <c r="AAI1157" s="7"/>
      <c r="AAJ1157" s="7"/>
      <c r="AAK1157" s="7"/>
      <c r="AAL1157" s="7"/>
      <c r="AAM1157" s="7"/>
      <c r="AAN1157" s="7"/>
      <c r="AAO1157" s="7"/>
      <c r="AAP1157" s="7"/>
      <c r="AAQ1157" s="7"/>
      <c r="AAR1157" s="7"/>
      <c r="AAS1157" s="7"/>
      <c r="AAT1157" s="7"/>
      <c r="AAU1157" s="7"/>
      <c r="AAV1157" s="7"/>
      <c r="AAW1157" s="7"/>
      <c r="AAX1157" s="7"/>
      <c r="AAY1157" s="7"/>
      <c r="AAZ1157" s="7"/>
      <c r="ABA1157" s="7"/>
      <c r="ABB1157" s="7"/>
      <c r="ABC1157" s="7"/>
      <c r="ABD1157" s="7"/>
      <c r="ABE1157" s="7"/>
      <c r="ABF1157" s="7"/>
      <c r="ABG1157" s="7"/>
      <c r="ABH1157" s="7"/>
      <c r="ABI1157" s="7"/>
      <c r="ABJ1157" s="7"/>
      <c r="ABK1157" s="7"/>
      <c r="ABL1157" s="7"/>
      <c r="ABM1157" s="7"/>
      <c r="ABN1157" s="7"/>
      <c r="ABO1157" s="7"/>
      <c r="ABP1157" s="7"/>
      <c r="ABQ1157" s="7"/>
      <c r="ABR1157" s="7"/>
      <c r="ABS1157" s="7"/>
      <c r="ABT1157" s="7"/>
      <c r="ABU1157" s="7"/>
      <c r="ABV1157" s="7"/>
      <c r="ABW1157" s="7"/>
      <c r="ABX1157" s="7"/>
      <c r="ABY1157" s="7"/>
      <c r="ABZ1157" s="7"/>
      <c r="ACA1157" s="7"/>
      <c r="ACB1157" s="7"/>
      <c r="ACC1157" s="7"/>
      <c r="ACD1157" s="7"/>
      <c r="ACE1157" s="7"/>
      <c r="ACF1157" s="7"/>
      <c r="ACG1157" s="7"/>
      <c r="ACH1157" s="7"/>
      <c r="ACI1157" s="7"/>
      <c r="ACJ1157" s="7"/>
      <c r="ACK1157" s="7"/>
      <c r="ACL1157" s="7"/>
      <c r="ACM1157" s="7"/>
      <c r="ACN1157" s="7"/>
      <c r="ACO1157" s="7"/>
      <c r="ACP1157" s="7"/>
      <c r="ACQ1157" s="7"/>
      <c r="ACR1157" s="7"/>
      <c r="ACS1157" s="7"/>
      <c r="ACT1157" s="7"/>
      <c r="ACU1157" s="7"/>
      <c r="ACV1157" s="7"/>
      <c r="ACW1157" s="7"/>
      <c r="ACX1157" s="7"/>
      <c r="ACY1157" s="7"/>
      <c r="ACZ1157" s="7"/>
      <c r="ADA1157" s="7"/>
      <c r="ADB1157" s="7"/>
      <c r="ADC1157" s="7"/>
      <c r="ADD1157" s="7"/>
      <c r="ADE1157" s="7"/>
      <c r="ADF1157" s="7"/>
      <c r="ADG1157" s="7"/>
      <c r="ADH1157" s="7"/>
      <c r="ADI1157" s="7"/>
      <c r="ADJ1157" s="7"/>
      <c r="ADK1157" s="7"/>
      <c r="ADL1157" s="7"/>
      <c r="ADM1157" s="7"/>
      <c r="ADN1157" s="7"/>
      <c r="ADO1157" s="7"/>
      <c r="ADP1157" s="7"/>
      <c r="ADQ1157" s="7"/>
      <c r="ADR1157" s="7"/>
      <c r="ADS1157" s="7"/>
      <c r="ADT1157" s="7"/>
      <c r="ADU1157" s="7"/>
      <c r="ADV1157" s="7"/>
      <c r="ADW1157" s="7"/>
      <c r="ADX1157" s="7"/>
      <c r="ADY1157" s="7"/>
      <c r="ADZ1157" s="7"/>
      <c r="AEA1157" s="7"/>
      <c r="AEB1157" s="7"/>
      <c r="AEC1157" s="7"/>
      <c r="AED1157" s="7"/>
      <c r="AEE1157" s="7"/>
      <c r="AEF1157" s="7"/>
      <c r="AEG1157" s="7"/>
      <c r="AEH1157" s="7"/>
      <c r="AEI1157" s="7"/>
      <c r="AEJ1157" s="7"/>
      <c r="AEK1157" s="7"/>
      <c r="AEL1157" s="7"/>
      <c r="AEM1157" s="7"/>
      <c r="AEN1157" s="7"/>
      <c r="AEO1157" s="7"/>
      <c r="AEP1157" s="7"/>
      <c r="AEQ1157" s="7"/>
      <c r="AER1157" s="7"/>
      <c r="AES1157" s="7"/>
      <c r="AET1157" s="7"/>
      <c r="AEU1157" s="7"/>
      <c r="AEV1157" s="7"/>
      <c r="AEW1157" s="7"/>
      <c r="AEX1157" s="7"/>
      <c r="AEY1157" s="7"/>
      <c r="AEZ1157" s="7"/>
      <c r="AFA1157" s="7"/>
      <c r="AFB1157" s="7"/>
      <c r="AFC1157" s="7"/>
      <c r="AFD1157" s="7"/>
      <c r="AFE1157" s="7"/>
      <c r="AFF1157" s="7"/>
      <c r="AFG1157" s="7"/>
      <c r="AFH1157" s="7"/>
      <c r="AFI1157" s="7"/>
      <c r="AFJ1157" s="7"/>
      <c r="AFK1157" s="7"/>
      <c r="AFL1157" s="7"/>
      <c r="AFM1157" s="7"/>
      <c r="AFN1157" s="7"/>
      <c r="AFO1157" s="7"/>
      <c r="AFP1157" s="7"/>
      <c r="AFQ1157" s="7"/>
      <c r="AFR1157" s="7"/>
      <c r="AFS1157" s="7"/>
      <c r="AFT1157" s="7"/>
      <c r="AFU1157" s="7"/>
      <c r="AFV1157" s="7"/>
      <c r="AFW1157" s="7"/>
      <c r="AFX1157" s="7"/>
      <c r="AFY1157" s="7"/>
      <c r="AFZ1157" s="7"/>
      <c r="AGA1157" s="7"/>
      <c r="AGB1157" s="7"/>
      <c r="AGC1157" s="7"/>
      <c r="AGD1157" s="7"/>
      <c r="AGE1157" s="7"/>
      <c r="AGF1157" s="7"/>
      <c r="AGG1157" s="7"/>
      <c r="AGH1157" s="7"/>
      <c r="AGI1157" s="7"/>
      <c r="AGJ1157" s="7"/>
      <c r="AGK1157" s="7"/>
      <c r="AGL1157" s="7"/>
      <c r="AGM1157" s="7"/>
      <c r="AGN1157" s="7"/>
      <c r="AGO1157" s="7"/>
      <c r="AGP1157" s="7"/>
      <c r="AGQ1157" s="7"/>
      <c r="AGR1157" s="7"/>
      <c r="AGS1157" s="7"/>
      <c r="AGT1157" s="7"/>
      <c r="AGU1157" s="7"/>
      <c r="AGV1157" s="7"/>
      <c r="AGW1157" s="7"/>
      <c r="AGX1157" s="7"/>
      <c r="AGY1157" s="7"/>
      <c r="AGZ1157" s="7"/>
      <c r="AHA1157" s="7"/>
      <c r="AHB1157" s="7"/>
      <c r="AHC1157" s="7"/>
      <c r="AHD1157" s="7"/>
      <c r="AHE1157" s="7"/>
      <c r="AHF1157" s="7"/>
      <c r="AHG1157" s="7"/>
      <c r="AHH1157" s="7"/>
      <c r="AHI1157" s="7"/>
      <c r="AHJ1157" s="7"/>
      <c r="AHK1157" s="7"/>
      <c r="AHL1157" s="7"/>
      <c r="AHM1157" s="7"/>
      <c r="AHN1157" s="7"/>
      <c r="AHO1157" s="7"/>
      <c r="AHP1157" s="7"/>
      <c r="AHQ1157" s="7"/>
      <c r="AHR1157" s="7"/>
      <c r="AHS1157" s="7"/>
      <c r="AHT1157" s="7"/>
      <c r="AHU1157" s="7"/>
      <c r="AHV1157" s="7"/>
      <c r="AHW1157" s="7"/>
      <c r="AHX1157" s="7"/>
      <c r="AHY1157" s="7"/>
      <c r="AHZ1157" s="7"/>
      <c r="AIA1157" s="7"/>
      <c r="AIB1157" s="7"/>
      <c r="AIC1157" s="7"/>
      <c r="AID1157" s="7"/>
      <c r="AIE1157" s="7"/>
      <c r="AIF1157" s="7"/>
      <c r="AIG1157" s="7"/>
      <c r="AIH1157" s="7"/>
      <c r="AII1157" s="7"/>
      <c r="AIJ1157" s="7"/>
      <c r="AIK1157" s="7"/>
      <c r="AIL1157" s="7"/>
      <c r="AIM1157" s="7"/>
      <c r="AIN1157" s="7"/>
      <c r="AIO1157" s="7"/>
      <c r="AIP1157" s="7"/>
      <c r="AIQ1157" s="7"/>
      <c r="AIR1157" s="7"/>
      <c r="AIS1157" s="7"/>
      <c r="AIT1157" s="7"/>
      <c r="AIU1157" s="7"/>
      <c r="AIV1157" s="7"/>
      <c r="AIW1157" s="7"/>
      <c r="AIX1157" s="7"/>
      <c r="AIY1157" s="7"/>
      <c r="AIZ1157" s="7"/>
      <c r="AJA1157" s="7"/>
      <c r="AJB1157" s="7"/>
      <c r="AJC1157" s="7"/>
      <c r="AJD1157" s="7"/>
      <c r="AJE1157" s="7"/>
      <c r="AJF1157" s="7"/>
      <c r="AJG1157" s="7"/>
      <c r="AJH1157" s="7"/>
      <c r="AJI1157" s="7"/>
      <c r="AJJ1157" s="7"/>
      <c r="AJK1157" s="7"/>
      <c r="AJL1157" s="7"/>
      <c r="AJM1157" s="7"/>
      <c r="AJN1157" s="7"/>
      <c r="AJO1157" s="7"/>
      <c r="AJP1157" s="7"/>
      <c r="AJQ1157" s="7"/>
      <c r="AJR1157" s="7"/>
      <c r="AJS1157" s="7"/>
      <c r="AJT1157" s="7"/>
      <c r="AJU1157" s="7"/>
      <c r="AJV1157" s="7"/>
      <c r="AJW1157" s="7"/>
      <c r="AJX1157" s="7"/>
      <c r="AJY1157" s="7"/>
      <c r="AJZ1157" s="7"/>
      <c r="AKA1157" s="7"/>
      <c r="AKB1157" s="7"/>
      <c r="AKC1157" s="7"/>
      <c r="AKD1157" s="7"/>
      <c r="AKE1157" s="7"/>
      <c r="AKF1157" s="7"/>
      <c r="AKG1157" s="7"/>
      <c r="AKH1157" s="7"/>
      <c r="AKI1157" s="7"/>
      <c r="AKJ1157" s="7"/>
      <c r="AKK1157" s="7"/>
      <c r="AKL1157" s="7"/>
      <c r="AKM1157" s="7"/>
      <c r="AKN1157" s="7"/>
      <c r="AKO1157" s="7"/>
      <c r="AKP1157" s="7"/>
      <c r="AKQ1157" s="7"/>
      <c r="AKR1157" s="7"/>
      <c r="AKS1157" s="7"/>
      <c r="AKT1157" s="7"/>
      <c r="AKU1157" s="7"/>
      <c r="AKV1157" s="7"/>
      <c r="AKW1157" s="7"/>
      <c r="AKX1157" s="7"/>
      <c r="AKY1157" s="7"/>
      <c r="AKZ1157" s="7"/>
      <c r="ALA1157" s="7"/>
      <c r="ALB1157" s="7"/>
      <c r="ALC1157" s="7"/>
      <c r="ALD1157" s="7"/>
      <c r="ALE1157" s="7"/>
      <c r="ALF1157" s="7"/>
      <c r="ALG1157" s="7"/>
      <c r="ALH1157" s="7"/>
      <c r="ALI1157" s="7"/>
      <c r="ALJ1157" s="7"/>
      <c r="ALK1157" s="7"/>
      <c r="ALL1157" s="7"/>
      <c r="ALM1157" s="7"/>
      <c r="ALN1157" s="7"/>
      <c r="ALO1157" s="7"/>
      <c r="ALP1157" s="7"/>
      <c r="ALQ1157" s="7"/>
      <c r="ALR1157" s="7"/>
      <c r="ALS1157" s="7"/>
      <c r="ALT1157" s="7"/>
      <c r="ALU1157" s="7"/>
      <c r="ALV1157" s="7"/>
      <c r="ALW1157" s="7"/>
      <c r="ALX1157" s="7"/>
      <c r="ALY1157" s="7"/>
      <c r="ALZ1157" s="7"/>
      <c r="AMA1157" s="7"/>
      <c r="AMB1157" s="7"/>
      <c r="AMC1157" s="7"/>
      <c r="AMD1157" s="7"/>
      <c r="AME1157" s="7"/>
      <c r="AMF1157" s="7"/>
      <c r="AMG1157" s="7"/>
      <c r="AMH1157" s="7"/>
      <c r="AMI1157" s="7"/>
      <c r="AMJ1157" s="7"/>
      <c r="AMK1157" s="7"/>
      <c r="AML1157" s="7"/>
      <c r="AMM1157" s="7"/>
      <c r="AMN1157" s="7"/>
      <c r="AMO1157" s="7"/>
      <c r="AMP1157" s="7"/>
      <c r="AMQ1157" s="7"/>
      <c r="AMR1157" s="7"/>
      <c r="AMS1157" s="7"/>
      <c r="AMT1157" s="7"/>
      <c r="AMU1157" s="7"/>
      <c r="AMV1157" s="7"/>
      <c r="AMW1157" s="7"/>
      <c r="AMX1157" s="7"/>
      <c r="AMY1157" s="7"/>
      <c r="AMZ1157" s="7"/>
      <c r="ANA1157" s="7"/>
      <c r="ANB1157" s="7"/>
      <c r="ANC1157" s="7"/>
      <c r="AND1157" s="7"/>
      <c r="ANE1157" s="7"/>
      <c r="ANF1157" s="7"/>
      <c r="ANG1157" s="7"/>
      <c r="ANH1157" s="7"/>
      <c r="ANI1157" s="7"/>
      <c r="ANJ1157" s="7"/>
      <c r="ANK1157" s="7"/>
      <c r="ANL1157" s="7"/>
      <c r="ANM1157" s="7"/>
      <c r="ANN1157" s="7"/>
      <c r="ANO1157" s="7"/>
      <c r="ANP1157" s="7"/>
      <c r="ANQ1157" s="7"/>
      <c r="ANR1157" s="7"/>
      <c r="ANS1157" s="7"/>
      <c r="ANT1157" s="7"/>
      <c r="ANU1157" s="7"/>
      <c r="ANV1157" s="7"/>
      <c r="ANW1157" s="7"/>
      <c r="ANX1157" s="7"/>
      <c r="ANY1157" s="7"/>
      <c r="ANZ1157" s="7"/>
      <c r="AOA1157" s="7"/>
      <c r="AOB1157" s="7"/>
      <c r="AOC1157" s="7"/>
      <c r="AOD1157" s="7"/>
      <c r="AOE1157" s="7"/>
      <c r="AOF1157" s="7"/>
      <c r="AOG1157" s="7"/>
      <c r="AOH1157" s="7"/>
      <c r="AOI1157" s="7"/>
      <c r="AOJ1157" s="7"/>
      <c r="AOK1157" s="7"/>
      <c r="AOL1157" s="7"/>
      <c r="AOM1157" s="7"/>
      <c r="AON1157" s="7"/>
      <c r="AOO1157" s="7"/>
      <c r="AOP1157" s="7"/>
      <c r="AOQ1157" s="7"/>
      <c r="AOR1157" s="7"/>
      <c r="AOS1157" s="7"/>
      <c r="AOT1157" s="7"/>
      <c r="AOU1157" s="7"/>
      <c r="AOV1157" s="7"/>
      <c r="AOW1157" s="7"/>
      <c r="AOX1157" s="7"/>
      <c r="AOY1157" s="7"/>
      <c r="AOZ1157" s="7"/>
      <c r="APA1157" s="7"/>
      <c r="APB1157" s="7"/>
      <c r="APC1157" s="7"/>
      <c r="APD1157" s="7"/>
      <c r="APE1157" s="7"/>
      <c r="APF1157" s="7"/>
      <c r="APG1157" s="7"/>
      <c r="APH1157" s="7"/>
      <c r="API1157" s="7"/>
      <c r="APJ1157" s="7"/>
      <c r="APK1157" s="7"/>
      <c r="APL1157" s="7"/>
      <c r="APM1157" s="7"/>
      <c r="APN1157" s="7"/>
      <c r="APO1157" s="7"/>
      <c r="APP1157" s="7"/>
      <c r="APQ1157" s="7"/>
      <c r="APR1157" s="7"/>
      <c r="APS1157" s="7"/>
      <c r="APT1157" s="7"/>
      <c r="APU1157" s="7"/>
      <c r="APV1157" s="7"/>
      <c r="APW1157" s="7"/>
      <c r="APX1157" s="7"/>
      <c r="APY1157" s="7"/>
      <c r="APZ1157" s="7"/>
      <c r="AQA1157" s="7"/>
      <c r="AQB1157" s="7"/>
      <c r="AQC1157" s="7"/>
      <c r="AQD1157" s="7"/>
      <c r="AQE1157" s="7"/>
      <c r="AQF1157" s="7"/>
      <c r="AQG1157" s="7"/>
      <c r="AQH1157" s="7"/>
      <c r="AQI1157" s="7"/>
      <c r="AQJ1157" s="7"/>
      <c r="AQK1157" s="7"/>
      <c r="AQL1157" s="7"/>
      <c r="AQM1157" s="7"/>
      <c r="AQN1157" s="7"/>
      <c r="AQO1157" s="7"/>
      <c r="AQP1157" s="7"/>
      <c r="AQQ1157" s="7"/>
      <c r="AQR1157" s="7"/>
      <c r="AQS1157" s="7"/>
      <c r="AQT1157" s="7"/>
      <c r="AQU1157" s="7"/>
      <c r="AQV1157" s="7"/>
      <c r="AQW1157" s="7"/>
      <c r="AQX1157" s="7"/>
      <c r="AQY1157" s="7"/>
      <c r="AQZ1157" s="7"/>
      <c r="ARA1157" s="7"/>
      <c r="ARB1157" s="7"/>
      <c r="ARC1157" s="7"/>
      <c r="ARD1157" s="7"/>
      <c r="ARE1157" s="7"/>
      <c r="ARF1157" s="7"/>
      <c r="ARG1157" s="7"/>
      <c r="ARH1157" s="7"/>
      <c r="ARI1157" s="7"/>
      <c r="ARJ1157" s="7"/>
      <c r="ARK1157" s="7"/>
      <c r="ARL1157" s="7"/>
      <c r="ARM1157" s="7"/>
      <c r="ARN1157" s="7"/>
      <c r="ARO1157" s="7"/>
      <c r="ARP1157" s="7"/>
      <c r="ARQ1157" s="7"/>
      <c r="ARR1157" s="7"/>
      <c r="ARS1157" s="7"/>
      <c r="ART1157" s="7"/>
      <c r="ARU1157" s="7"/>
      <c r="ARV1157" s="7"/>
      <c r="ARW1157" s="7"/>
      <c r="ARX1157" s="7"/>
      <c r="ARY1157" s="7"/>
      <c r="ARZ1157" s="7"/>
      <c r="ASA1157" s="7"/>
      <c r="ASB1157" s="7"/>
      <c r="ASC1157" s="7"/>
      <c r="ASD1157" s="7"/>
      <c r="ASE1157" s="7"/>
      <c r="ASF1157" s="7"/>
      <c r="ASG1157" s="7"/>
      <c r="ASH1157" s="7"/>
      <c r="ASI1157" s="7"/>
      <c r="ASJ1157" s="7"/>
      <c r="ASK1157" s="7"/>
      <c r="ASL1157" s="7"/>
      <c r="ASM1157" s="7"/>
      <c r="ASN1157" s="7"/>
      <c r="ASO1157" s="7"/>
      <c r="ASP1157" s="7"/>
      <c r="ASQ1157" s="7"/>
      <c r="ASR1157" s="7"/>
      <c r="ASS1157" s="7"/>
      <c r="AST1157" s="7"/>
      <c r="ASU1157" s="7"/>
      <c r="ASV1157" s="7"/>
      <c r="ASW1157" s="7"/>
      <c r="ASX1157" s="7"/>
      <c r="ASY1157" s="7"/>
      <c r="ASZ1157" s="7"/>
      <c r="ATA1157" s="7"/>
      <c r="ATB1157" s="7"/>
      <c r="ATC1157" s="7"/>
      <c r="ATD1157" s="7"/>
      <c r="ATE1157" s="7"/>
      <c r="ATF1157" s="7"/>
      <c r="ATG1157" s="7"/>
      <c r="ATH1157" s="7"/>
      <c r="ATI1157" s="7"/>
      <c r="ATJ1157" s="7"/>
      <c r="ATK1157" s="7"/>
      <c r="ATL1157" s="7"/>
      <c r="ATM1157" s="7"/>
      <c r="ATN1157" s="7"/>
      <c r="ATO1157" s="7"/>
      <c r="ATP1157" s="7"/>
      <c r="ATQ1157" s="7"/>
      <c r="ATR1157" s="7"/>
      <c r="ATS1157" s="7"/>
      <c r="ATT1157" s="7"/>
      <c r="ATU1157" s="7"/>
      <c r="ATV1157" s="7"/>
      <c r="ATW1157" s="7"/>
      <c r="ATX1157" s="7"/>
      <c r="ATY1157" s="7"/>
      <c r="ATZ1157" s="7"/>
      <c r="AUA1157" s="7"/>
      <c r="AUB1157" s="7"/>
      <c r="AUC1157" s="7"/>
      <c r="AUD1157" s="7"/>
      <c r="AUE1157" s="7"/>
      <c r="AUF1157" s="7"/>
      <c r="AUG1157" s="7"/>
      <c r="AUH1157" s="7"/>
      <c r="AUI1157" s="7"/>
      <c r="AUJ1157" s="7"/>
      <c r="AUK1157" s="7"/>
      <c r="AUL1157" s="7"/>
      <c r="AUM1157" s="7"/>
      <c r="AUN1157" s="7"/>
      <c r="AUO1157" s="7"/>
      <c r="AUP1157" s="7"/>
      <c r="AUQ1157" s="7"/>
      <c r="AUR1157" s="7"/>
      <c r="AUS1157" s="7"/>
      <c r="AUT1157" s="7"/>
      <c r="AUU1157" s="7"/>
      <c r="AUV1157" s="7"/>
      <c r="AUW1157" s="7"/>
      <c r="AUX1157" s="7"/>
      <c r="AUY1157" s="7"/>
      <c r="AUZ1157" s="7"/>
      <c r="AVA1157" s="7"/>
      <c r="AVB1157" s="7"/>
      <c r="AVC1157" s="7"/>
      <c r="AVD1157" s="7"/>
      <c r="AVE1157" s="7"/>
      <c r="AVF1157" s="7"/>
      <c r="AVG1157" s="7"/>
      <c r="AVH1157" s="7"/>
      <c r="AVI1157" s="7"/>
      <c r="AVJ1157" s="7"/>
      <c r="AVK1157" s="7"/>
      <c r="AVL1157" s="7"/>
      <c r="AVM1157" s="7"/>
      <c r="AVN1157" s="7"/>
      <c r="AVO1157" s="7"/>
      <c r="AVP1157" s="7"/>
      <c r="AVQ1157" s="7"/>
      <c r="AVR1157" s="7"/>
      <c r="AVS1157" s="7"/>
      <c r="AVT1157" s="7"/>
      <c r="AVU1157" s="7"/>
      <c r="AVV1157" s="7"/>
      <c r="AVW1157" s="7"/>
      <c r="AVX1157" s="7"/>
      <c r="AVY1157" s="7"/>
      <c r="AVZ1157" s="7"/>
      <c r="AWA1157" s="7"/>
      <c r="AWB1157" s="7"/>
      <c r="AWC1157" s="7"/>
      <c r="AWD1157" s="7"/>
      <c r="AWE1157" s="7"/>
      <c r="AWF1157" s="7"/>
      <c r="AWG1157" s="7"/>
      <c r="AWH1157" s="7"/>
      <c r="AWI1157" s="7"/>
      <c r="AWJ1157" s="7"/>
      <c r="AWK1157" s="7"/>
      <c r="AWL1157" s="7"/>
      <c r="AWM1157" s="7"/>
      <c r="AWN1157" s="7"/>
      <c r="AWO1157" s="7"/>
      <c r="AWP1157" s="7"/>
      <c r="AWQ1157" s="7"/>
      <c r="AWR1157" s="7"/>
      <c r="AWS1157" s="7"/>
      <c r="AWT1157" s="7"/>
      <c r="AWU1157" s="7"/>
      <c r="AWV1157" s="7"/>
      <c r="AWW1157" s="7"/>
      <c r="AWX1157" s="7"/>
      <c r="AWY1157" s="7"/>
      <c r="AWZ1157" s="7"/>
      <c r="AXA1157" s="7"/>
      <c r="AXB1157" s="7"/>
      <c r="AXC1157" s="7"/>
      <c r="AXD1157" s="7"/>
      <c r="AXE1157" s="7"/>
      <c r="AXF1157" s="7"/>
      <c r="AXG1157" s="7"/>
      <c r="AXH1157" s="7"/>
      <c r="AXI1157" s="7"/>
      <c r="AXJ1157" s="7"/>
      <c r="AXK1157" s="7"/>
      <c r="AXL1157" s="7"/>
      <c r="AXM1157" s="7"/>
      <c r="AXN1157" s="7"/>
      <c r="AXO1157" s="7"/>
      <c r="AXP1157" s="7"/>
      <c r="AXQ1157" s="7"/>
      <c r="AXR1157" s="7"/>
      <c r="AXS1157" s="7"/>
      <c r="AXT1157" s="7"/>
      <c r="AXU1157" s="7"/>
      <c r="AXV1157" s="7"/>
      <c r="AXW1157" s="7"/>
      <c r="AXX1157" s="7"/>
      <c r="AXY1157" s="7"/>
      <c r="AXZ1157" s="7"/>
      <c r="AYA1157" s="7"/>
      <c r="AYB1157" s="7"/>
      <c r="AYC1157" s="7"/>
      <c r="AYD1157" s="7"/>
      <c r="AYE1157" s="7"/>
      <c r="AYF1157" s="7"/>
      <c r="AYG1157" s="7"/>
      <c r="AYH1157" s="7"/>
      <c r="AYI1157" s="7"/>
      <c r="AYJ1157" s="7"/>
      <c r="AYK1157" s="7"/>
      <c r="AYL1157" s="7"/>
      <c r="AYM1157" s="7"/>
      <c r="AYN1157" s="7"/>
      <c r="AYO1157" s="7"/>
      <c r="AYP1157" s="7"/>
      <c r="AYQ1157" s="7"/>
      <c r="AYR1157" s="7"/>
      <c r="AYS1157" s="7"/>
      <c r="AYT1157" s="7"/>
      <c r="AYU1157" s="7"/>
      <c r="AYV1157" s="7"/>
      <c r="AYW1157" s="7"/>
      <c r="AYX1157" s="7"/>
      <c r="AYY1157" s="7"/>
      <c r="AYZ1157" s="7"/>
      <c r="AZA1157" s="7"/>
      <c r="AZB1157" s="7"/>
      <c r="AZC1157" s="7"/>
      <c r="AZD1157" s="7"/>
      <c r="AZE1157" s="7"/>
      <c r="AZF1157" s="7"/>
      <c r="AZG1157" s="7"/>
      <c r="AZH1157" s="7"/>
      <c r="AZI1157" s="7"/>
      <c r="AZJ1157" s="7"/>
      <c r="AZK1157" s="7"/>
      <c r="AZL1157" s="7"/>
      <c r="AZM1157" s="7"/>
      <c r="AZN1157" s="7"/>
      <c r="AZO1157" s="7"/>
      <c r="AZP1157" s="7"/>
      <c r="AZQ1157" s="7"/>
      <c r="AZR1157" s="7"/>
      <c r="AZS1157" s="7"/>
      <c r="AZT1157" s="7"/>
      <c r="AZU1157" s="7"/>
      <c r="AZV1157" s="7"/>
      <c r="AZW1157" s="7"/>
      <c r="AZX1157" s="7"/>
      <c r="AZY1157" s="7"/>
      <c r="AZZ1157" s="7"/>
      <c r="BAA1157" s="7"/>
      <c r="BAB1157" s="7"/>
      <c r="BAC1157" s="7"/>
      <c r="BAD1157" s="7"/>
      <c r="BAE1157" s="7"/>
      <c r="BAF1157" s="7"/>
      <c r="BAG1157" s="7"/>
      <c r="BAH1157" s="7"/>
      <c r="BAI1157" s="7"/>
      <c r="BAJ1157" s="7"/>
      <c r="BAK1157" s="7"/>
      <c r="BAL1157" s="7"/>
      <c r="BAM1157" s="7"/>
      <c r="BAN1157" s="7"/>
      <c r="BAO1157" s="7"/>
      <c r="BAP1157" s="7"/>
      <c r="BAQ1157" s="7"/>
      <c r="BAR1157" s="7"/>
      <c r="BAS1157" s="7"/>
      <c r="BAT1157" s="7"/>
      <c r="BAU1157" s="7"/>
      <c r="BAV1157" s="7"/>
      <c r="BAW1157" s="7"/>
      <c r="BAX1157" s="7"/>
      <c r="BAY1157" s="7"/>
      <c r="BAZ1157" s="7"/>
      <c r="BBA1157" s="7"/>
      <c r="BBB1157" s="7"/>
      <c r="BBC1157" s="7"/>
      <c r="BBD1157" s="7"/>
      <c r="BBE1157" s="7"/>
      <c r="BBF1157" s="7"/>
      <c r="BBG1157" s="7"/>
      <c r="BBH1157" s="7"/>
      <c r="BBI1157" s="7"/>
      <c r="BBJ1157" s="7"/>
      <c r="BBK1157" s="7"/>
      <c r="BBL1157" s="7"/>
      <c r="BBM1157" s="7"/>
      <c r="BBN1157" s="7"/>
      <c r="BBO1157" s="7"/>
      <c r="BBP1157" s="7"/>
      <c r="BBQ1157" s="7"/>
      <c r="BBR1157" s="7"/>
      <c r="BBS1157" s="7"/>
      <c r="BBT1157" s="7"/>
      <c r="BBU1157" s="7"/>
      <c r="BBV1157" s="7"/>
      <c r="BBW1157" s="7"/>
      <c r="BBX1157" s="7"/>
      <c r="BBY1157" s="7"/>
      <c r="BBZ1157" s="7"/>
      <c r="BCA1157" s="7"/>
      <c r="BCB1157" s="7"/>
      <c r="BCC1157" s="7"/>
      <c r="BCD1157" s="7"/>
      <c r="BCE1157" s="7"/>
      <c r="BCF1157" s="7"/>
      <c r="BCG1157" s="7"/>
      <c r="BCH1157" s="7"/>
      <c r="BCI1157" s="7"/>
      <c r="BCJ1157" s="7"/>
      <c r="BCK1157" s="7"/>
      <c r="BCL1157" s="7"/>
      <c r="BCM1157" s="7"/>
      <c r="BCN1157" s="7"/>
      <c r="BCO1157" s="7"/>
      <c r="BCP1157" s="7"/>
      <c r="BCQ1157" s="7"/>
      <c r="BCR1157" s="7"/>
      <c r="BCS1157" s="7"/>
      <c r="BCT1157" s="7"/>
      <c r="BCU1157" s="7"/>
      <c r="BCV1157" s="7"/>
      <c r="BCW1157" s="7"/>
      <c r="BCX1157" s="7"/>
      <c r="BCY1157" s="7"/>
      <c r="BCZ1157" s="7"/>
      <c r="BDA1157" s="7"/>
      <c r="BDB1157" s="7"/>
      <c r="BDC1157" s="7"/>
      <c r="BDD1157" s="7"/>
      <c r="BDE1157" s="7"/>
      <c r="BDF1157" s="7"/>
      <c r="BDG1157" s="7"/>
      <c r="BDH1157" s="7"/>
      <c r="BDI1157" s="7"/>
      <c r="BDJ1157" s="7"/>
      <c r="BDK1157" s="7"/>
      <c r="BDL1157" s="7"/>
      <c r="BDM1157" s="7"/>
      <c r="BDN1157" s="7"/>
      <c r="BDO1157" s="7"/>
      <c r="BDP1157" s="7"/>
      <c r="BDQ1157" s="7"/>
      <c r="BDR1157" s="7"/>
      <c r="BDS1157" s="7"/>
      <c r="BDT1157" s="7"/>
      <c r="BDU1157" s="7"/>
      <c r="BDV1157" s="7"/>
      <c r="BDW1157" s="7"/>
      <c r="BDX1157" s="7"/>
      <c r="BDY1157" s="7"/>
      <c r="BDZ1157" s="7"/>
      <c r="BEA1157" s="7"/>
      <c r="BEB1157" s="7"/>
      <c r="BEC1157" s="7"/>
      <c r="BED1157" s="7"/>
      <c r="BEE1157" s="7"/>
      <c r="BEF1157" s="7"/>
      <c r="BEG1157" s="7"/>
      <c r="BEH1157" s="7"/>
      <c r="BEI1157" s="7"/>
      <c r="BEJ1157" s="7"/>
      <c r="BEK1157" s="7"/>
      <c r="BEL1157" s="7"/>
      <c r="BEM1157" s="7"/>
      <c r="BEN1157" s="7"/>
      <c r="BEO1157" s="7"/>
      <c r="BEP1157" s="7"/>
      <c r="BEQ1157" s="7"/>
      <c r="BER1157" s="7"/>
      <c r="BES1157" s="7"/>
      <c r="BET1157" s="7"/>
      <c r="BEU1157" s="7"/>
      <c r="BEV1157" s="7"/>
      <c r="BEW1157" s="7"/>
      <c r="BEX1157" s="7"/>
      <c r="BEY1157" s="7"/>
      <c r="BEZ1157" s="7"/>
      <c r="BFA1157" s="7"/>
      <c r="BFB1157" s="7"/>
      <c r="BFC1157" s="7"/>
      <c r="BFD1157" s="7"/>
      <c r="BFE1157" s="7"/>
      <c r="BFF1157" s="7"/>
      <c r="BFG1157" s="7"/>
      <c r="BFH1157" s="7"/>
      <c r="BFI1157" s="7"/>
      <c r="BFJ1157" s="7"/>
      <c r="BFK1157" s="7"/>
      <c r="BFL1157" s="7"/>
      <c r="BFM1157" s="7"/>
      <c r="BFN1157" s="7"/>
      <c r="BFO1157" s="7"/>
      <c r="BFP1157" s="7"/>
      <c r="BFQ1157" s="7"/>
      <c r="BFR1157" s="7"/>
      <c r="BFS1157" s="7"/>
      <c r="BFT1157" s="7"/>
      <c r="BFU1157" s="7"/>
      <c r="BFV1157" s="7"/>
      <c r="BFW1157" s="7"/>
      <c r="BFX1157" s="7"/>
      <c r="BFY1157" s="7"/>
      <c r="BFZ1157" s="7"/>
      <c r="BGA1157" s="7"/>
      <c r="BGB1157" s="7"/>
      <c r="BGC1157" s="7"/>
      <c r="BGD1157" s="7"/>
      <c r="BGE1157" s="7"/>
      <c r="BGF1157" s="7"/>
      <c r="BGG1157" s="7"/>
      <c r="BGH1157" s="7"/>
      <c r="BGI1157" s="7"/>
      <c r="BGJ1157" s="7"/>
      <c r="BGK1157" s="7"/>
      <c r="BGL1157" s="7"/>
      <c r="BGM1157" s="7"/>
      <c r="BGN1157" s="7"/>
      <c r="BGO1157" s="7"/>
      <c r="BGP1157" s="7"/>
      <c r="BGQ1157" s="7"/>
      <c r="BGR1157" s="7"/>
      <c r="BGS1157" s="7"/>
      <c r="BGT1157" s="7"/>
      <c r="BGU1157" s="7"/>
      <c r="BGV1157" s="7"/>
      <c r="BGW1157" s="7"/>
      <c r="BGX1157" s="7"/>
      <c r="BGY1157" s="7"/>
      <c r="BGZ1157" s="7"/>
      <c r="BHA1157" s="7"/>
      <c r="BHB1157" s="7"/>
      <c r="BHC1157" s="7"/>
      <c r="BHD1157" s="7"/>
      <c r="BHE1157" s="7"/>
      <c r="BHF1157" s="7"/>
      <c r="BHG1157" s="7"/>
      <c r="BHH1157" s="7"/>
      <c r="BHI1157" s="7"/>
      <c r="BHJ1157" s="7"/>
      <c r="BHK1157" s="7"/>
      <c r="BHL1157" s="7"/>
      <c r="BHM1157" s="7"/>
      <c r="BHN1157" s="7"/>
      <c r="BHO1157" s="7"/>
      <c r="BHP1157" s="7"/>
      <c r="BHQ1157" s="7"/>
      <c r="BHR1157" s="7"/>
      <c r="BHS1157" s="7"/>
      <c r="BHT1157" s="7"/>
      <c r="BHU1157" s="7"/>
      <c r="BHV1157" s="7"/>
      <c r="BHW1157" s="7"/>
      <c r="BHX1157" s="7"/>
      <c r="BHY1157" s="7"/>
      <c r="BHZ1157" s="7"/>
      <c r="BIA1157" s="7"/>
      <c r="BIB1157" s="7"/>
      <c r="BIC1157" s="7"/>
      <c r="BID1157" s="7"/>
      <c r="BIE1157" s="7"/>
      <c r="BIF1157" s="7"/>
      <c r="BIG1157" s="7"/>
      <c r="BIH1157" s="7"/>
      <c r="BII1157" s="7"/>
      <c r="BIJ1157" s="7"/>
      <c r="BIK1157" s="7"/>
      <c r="BIL1157" s="7"/>
      <c r="BIM1157" s="7"/>
      <c r="BIN1157" s="7"/>
      <c r="BIO1157" s="7"/>
      <c r="BIP1157" s="7"/>
      <c r="BIQ1157" s="7"/>
      <c r="BIR1157" s="7"/>
      <c r="BIS1157" s="7"/>
      <c r="BIT1157" s="7"/>
      <c r="BIU1157" s="7"/>
      <c r="BIV1157" s="7"/>
      <c r="BIW1157" s="7"/>
      <c r="BIX1157" s="7"/>
      <c r="BIY1157" s="7"/>
      <c r="BIZ1157" s="7"/>
      <c r="BJA1157" s="7"/>
      <c r="BJB1157" s="7"/>
      <c r="BJC1157" s="7"/>
      <c r="BJD1157" s="7"/>
      <c r="BJE1157" s="7"/>
      <c r="BJF1157" s="7"/>
      <c r="BJG1157" s="7"/>
      <c r="BJH1157" s="7"/>
      <c r="BJI1157" s="7"/>
      <c r="BJJ1157" s="7"/>
      <c r="BJK1157" s="7"/>
      <c r="BJL1157" s="7"/>
      <c r="BJM1157" s="7"/>
      <c r="BJN1157" s="7"/>
      <c r="BJO1157" s="7"/>
      <c r="BJP1157" s="7"/>
      <c r="BJQ1157" s="7"/>
      <c r="BJR1157" s="7"/>
      <c r="BJS1157" s="7"/>
      <c r="BJT1157" s="7"/>
      <c r="BJU1157" s="7"/>
      <c r="BJV1157" s="7"/>
      <c r="BJW1157" s="7"/>
      <c r="BJX1157" s="7"/>
      <c r="BJY1157" s="7"/>
      <c r="BJZ1157" s="7"/>
      <c r="BKA1157" s="7"/>
      <c r="BKB1157" s="7"/>
      <c r="BKC1157" s="7"/>
      <c r="BKD1157" s="7"/>
      <c r="BKE1157" s="7"/>
      <c r="BKF1157" s="7"/>
      <c r="BKG1157" s="7"/>
      <c r="BKH1157" s="7"/>
      <c r="BKI1157" s="7"/>
      <c r="BKJ1157" s="7"/>
      <c r="BKK1157" s="7"/>
      <c r="BKL1157" s="7"/>
      <c r="BKM1157" s="7"/>
      <c r="BKN1157" s="7"/>
      <c r="BKO1157" s="7"/>
      <c r="BKP1157" s="7"/>
      <c r="BKQ1157" s="7"/>
      <c r="BKR1157" s="7"/>
      <c r="BKS1157" s="7"/>
      <c r="BKT1157" s="7"/>
      <c r="BKU1157" s="7"/>
      <c r="BKV1157" s="7"/>
      <c r="BKW1157" s="7"/>
      <c r="BKX1157" s="7"/>
      <c r="BKY1157" s="7"/>
      <c r="BKZ1157" s="7"/>
      <c r="BLA1157" s="7"/>
      <c r="BLB1157" s="7"/>
      <c r="BLC1157" s="7"/>
      <c r="BLD1157" s="7"/>
      <c r="BLE1157" s="7"/>
      <c r="BLF1157" s="7"/>
      <c r="BLG1157" s="7"/>
      <c r="BLH1157" s="7"/>
      <c r="BLI1157" s="7"/>
      <c r="BLJ1157" s="7"/>
      <c r="BLK1157" s="7"/>
      <c r="BLL1157" s="7"/>
      <c r="BLM1157" s="7"/>
      <c r="BLN1157" s="7"/>
      <c r="BLO1157" s="7"/>
      <c r="BLP1157" s="7"/>
      <c r="BLQ1157" s="7"/>
      <c r="BLR1157" s="7"/>
      <c r="BLS1157" s="7"/>
      <c r="BLT1157" s="7"/>
      <c r="BLU1157" s="7"/>
      <c r="BLV1157" s="7"/>
      <c r="BLW1157" s="7"/>
      <c r="BLX1157" s="7"/>
      <c r="BLY1157" s="7"/>
      <c r="BLZ1157" s="7"/>
      <c r="BMA1157" s="7"/>
      <c r="BMB1157" s="7"/>
      <c r="BMC1157" s="7"/>
      <c r="BMD1157" s="7"/>
      <c r="BME1157" s="7"/>
      <c r="BMF1157" s="7"/>
      <c r="BMG1157" s="7"/>
      <c r="BMH1157" s="7"/>
      <c r="BMI1157" s="7"/>
      <c r="BMJ1157" s="7"/>
      <c r="BMK1157" s="7"/>
      <c r="BML1157" s="7"/>
      <c r="BMM1157" s="7"/>
      <c r="BMN1157" s="7"/>
      <c r="BMO1157" s="7"/>
      <c r="BMP1157" s="7"/>
      <c r="BMQ1157" s="7"/>
      <c r="BMR1157" s="7"/>
      <c r="BMS1157" s="7"/>
      <c r="BMT1157" s="7"/>
      <c r="BMU1157" s="7"/>
      <c r="BMV1157" s="7"/>
      <c r="BMW1157" s="7"/>
      <c r="BMX1157" s="7"/>
      <c r="BMY1157" s="7"/>
      <c r="BMZ1157" s="7"/>
      <c r="BNA1157" s="7"/>
      <c r="BNB1157" s="7"/>
      <c r="BNC1157" s="7"/>
      <c r="BND1157" s="7"/>
      <c r="BNE1157" s="7"/>
      <c r="BNF1157" s="7"/>
      <c r="BNG1157" s="7"/>
      <c r="BNH1157" s="7"/>
      <c r="BNI1157" s="7"/>
      <c r="BNJ1157" s="7"/>
      <c r="BNK1157" s="7"/>
      <c r="BNL1157" s="7"/>
      <c r="BNM1157" s="7"/>
      <c r="BNN1157" s="7"/>
      <c r="BNO1157" s="7"/>
      <c r="BNP1157" s="7"/>
      <c r="BNQ1157" s="7"/>
      <c r="BNR1157" s="7"/>
      <c r="BNS1157" s="7"/>
      <c r="BNT1157" s="7"/>
      <c r="BNU1157" s="7"/>
      <c r="BNV1157" s="7"/>
      <c r="BNW1157" s="7"/>
      <c r="BNX1157" s="7"/>
      <c r="BNY1157" s="7"/>
      <c r="BNZ1157" s="7"/>
      <c r="BOA1157" s="7"/>
      <c r="BOB1157" s="7"/>
      <c r="BOC1157" s="7"/>
      <c r="BOD1157" s="7"/>
      <c r="BOE1157" s="7"/>
      <c r="BOF1157" s="7"/>
      <c r="BOG1157" s="7"/>
      <c r="BOH1157" s="7"/>
      <c r="BOI1157" s="7"/>
      <c r="BOJ1157" s="7"/>
      <c r="BOK1157" s="7"/>
      <c r="BOL1157" s="7"/>
      <c r="BOM1157" s="7"/>
      <c r="BON1157" s="7"/>
      <c r="BOO1157" s="7"/>
      <c r="BOP1157" s="7"/>
      <c r="BOQ1157" s="7"/>
      <c r="BOR1157" s="7"/>
      <c r="BOS1157" s="7"/>
      <c r="BOT1157" s="7"/>
      <c r="BOU1157" s="7"/>
      <c r="BOV1157" s="7"/>
      <c r="BOW1157" s="7"/>
      <c r="BOX1157" s="7"/>
      <c r="BOY1157" s="7"/>
      <c r="BOZ1157" s="7"/>
      <c r="BPA1157" s="7"/>
      <c r="BPB1157" s="7"/>
      <c r="BPC1157" s="7"/>
      <c r="BPD1157" s="7"/>
      <c r="BPE1157" s="7"/>
      <c r="BPF1157" s="7"/>
      <c r="BPG1157" s="7"/>
      <c r="BPH1157" s="7"/>
      <c r="BPI1157" s="7"/>
      <c r="BPJ1157" s="7"/>
      <c r="BPK1157" s="7"/>
      <c r="BPL1157" s="7"/>
      <c r="BPM1157" s="7"/>
      <c r="BPN1157" s="7"/>
      <c r="BPO1157" s="7"/>
      <c r="BPP1157" s="7"/>
      <c r="BPQ1157" s="7"/>
      <c r="BPR1157" s="7"/>
      <c r="BPS1157" s="7"/>
      <c r="BPT1157" s="7"/>
      <c r="BPU1157" s="7"/>
      <c r="BPV1157" s="7"/>
      <c r="BPW1157" s="7"/>
      <c r="BPX1157" s="7"/>
      <c r="BPY1157" s="7"/>
      <c r="BPZ1157" s="7"/>
      <c r="BQA1157" s="7"/>
      <c r="BQB1157" s="7"/>
      <c r="BQC1157" s="7"/>
      <c r="BQD1157" s="7"/>
      <c r="BQE1157" s="7"/>
      <c r="BQF1157" s="7"/>
      <c r="BQG1157" s="7"/>
      <c r="BQH1157" s="7"/>
      <c r="BQI1157" s="7"/>
      <c r="BQJ1157" s="7"/>
      <c r="BQK1157" s="7"/>
      <c r="BQL1157" s="7"/>
      <c r="BQM1157" s="7"/>
      <c r="BQN1157" s="7"/>
      <c r="BQO1157" s="7"/>
      <c r="BQP1157" s="7"/>
      <c r="BQQ1157" s="7"/>
      <c r="BQR1157" s="7"/>
      <c r="BQS1157" s="7"/>
      <c r="BQT1157" s="7"/>
      <c r="BQU1157" s="7"/>
      <c r="BQV1157" s="7"/>
      <c r="BQW1157" s="7"/>
      <c r="BQX1157" s="7"/>
      <c r="BQY1157" s="7"/>
      <c r="BQZ1157" s="7"/>
      <c r="BRA1157" s="7"/>
      <c r="BRB1157" s="7"/>
      <c r="BRC1157" s="7"/>
      <c r="BRD1157" s="7"/>
      <c r="BRE1157" s="7"/>
      <c r="BRF1157" s="7"/>
      <c r="BRG1157" s="7"/>
      <c r="BRH1157" s="7"/>
      <c r="BRI1157" s="7"/>
      <c r="BRJ1157" s="7"/>
      <c r="BRK1157" s="7"/>
      <c r="BRL1157" s="7"/>
      <c r="BRM1157" s="7"/>
      <c r="BRN1157" s="7"/>
      <c r="BRO1157" s="7"/>
      <c r="BRP1157" s="7"/>
      <c r="BRQ1157" s="7"/>
      <c r="BRR1157" s="7"/>
      <c r="BRS1157" s="7"/>
      <c r="BRT1157" s="7"/>
      <c r="BRU1157" s="7"/>
      <c r="BRV1157" s="7"/>
      <c r="BRW1157" s="7"/>
      <c r="BRX1157" s="7"/>
      <c r="BRY1157" s="7"/>
      <c r="BRZ1157" s="7"/>
      <c r="BSA1157" s="7"/>
      <c r="BSB1157" s="7"/>
      <c r="BSC1157" s="7"/>
      <c r="BSD1157" s="7"/>
      <c r="BSE1157" s="7"/>
      <c r="BSF1157" s="7"/>
      <c r="BSG1157" s="7"/>
      <c r="BSH1157" s="7"/>
      <c r="BSI1157" s="7"/>
      <c r="BSJ1157" s="7"/>
      <c r="BSK1157" s="7"/>
      <c r="BSL1157" s="7"/>
      <c r="BSM1157" s="7"/>
      <c r="BSN1157" s="7"/>
      <c r="BSO1157" s="7"/>
      <c r="BSP1157" s="7"/>
      <c r="BSQ1157" s="7"/>
      <c r="BSR1157" s="7"/>
      <c r="BSS1157" s="7"/>
      <c r="BST1157" s="7"/>
      <c r="BSU1157" s="7"/>
      <c r="BSV1157" s="7"/>
      <c r="BSW1157" s="7"/>
      <c r="BSX1157" s="7"/>
      <c r="BSY1157" s="7"/>
      <c r="BSZ1157" s="7"/>
      <c r="BTA1157" s="7"/>
      <c r="BTB1157" s="7"/>
      <c r="BTC1157" s="7"/>
      <c r="BTD1157" s="7"/>
      <c r="BTE1157" s="7"/>
      <c r="BTF1157" s="7"/>
      <c r="BTG1157" s="7"/>
      <c r="BTH1157" s="7"/>
      <c r="BTI1157" s="7"/>
      <c r="BTJ1157" s="7"/>
      <c r="BTK1157" s="7"/>
      <c r="BTL1157" s="7"/>
      <c r="BTM1157" s="7"/>
      <c r="BTN1157" s="7"/>
      <c r="BTO1157" s="7"/>
      <c r="BTP1157" s="7"/>
      <c r="BTQ1157" s="7"/>
      <c r="BTR1157" s="7"/>
      <c r="BTS1157" s="7"/>
      <c r="BTT1157" s="7"/>
      <c r="BTU1157" s="7"/>
      <c r="BTV1157" s="7"/>
      <c r="BTW1157" s="7"/>
      <c r="BTX1157" s="7"/>
      <c r="BTY1157" s="7"/>
      <c r="BTZ1157" s="7"/>
      <c r="BUA1157" s="7"/>
      <c r="BUB1157" s="7"/>
      <c r="BUC1157" s="7"/>
      <c r="BUD1157" s="7"/>
      <c r="BUE1157" s="7"/>
      <c r="BUF1157" s="7"/>
      <c r="BUG1157" s="7"/>
      <c r="BUH1157" s="7"/>
      <c r="BUI1157" s="7"/>
      <c r="BUJ1157" s="7"/>
      <c r="BUK1157" s="7"/>
      <c r="BUL1157" s="7"/>
      <c r="BUM1157" s="7"/>
      <c r="BUN1157" s="7"/>
      <c r="BUO1157" s="7"/>
      <c r="BUP1157" s="7"/>
      <c r="BUQ1157" s="7"/>
      <c r="BUR1157" s="7"/>
      <c r="BUS1157" s="7"/>
      <c r="BUT1157" s="7"/>
      <c r="BUU1157" s="7"/>
      <c r="BUV1157" s="7"/>
      <c r="BUW1157" s="7"/>
      <c r="BUX1157" s="7"/>
      <c r="BUY1157" s="7"/>
      <c r="BUZ1157" s="7"/>
      <c r="BVA1157" s="7"/>
      <c r="BVB1157" s="7"/>
      <c r="BVC1157" s="7"/>
      <c r="BVD1157" s="7"/>
      <c r="BVE1157" s="7"/>
      <c r="BVF1157" s="7"/>
      <c r="BVG1157" s="7"/>
      <c r="BVH1157" s="7"/>
      <c r="BVI1157" s="7"/>
      <c r="BVJ1157" s="7"/>
      <c r="BVK1157" s="7"/>
      <c r="BVL1157" s="7"/>
      <c r="BVM1157" s="7"/>
      <c r="BVN1157" s="7"/>
      <c r="BVO1157" s="7"/>
      <c r="BVP1157" s="7"/>
      <c r="BVQ1157" s="7"/>
      <c r="BVR1157" s="7"/>
      <c r="BVS1157" s="7"/>
      <c r="BVT1157" s="7"/>
      <c r="BVU1157" s="7"/>
      <c r="BVV1157" s="7"/>
      <c r="BVW1157" s="7"/>
      <c r="BVX1157" s="7"/>
      <c r="BVY1157" s="7"/>
      <c r="BVZ1157" s="7"/>
      <c r="BWA1157" s="7"/>
      <c r="BWB1157" s="7"/>
      <c r="BWC1157" s="7"/>
      <c r="BWD1157" s="7"/>
      <c r="BWE1157" s="7"/>
      <c r="BWF1157" s="7"/>
      <c r="BWG1157" s="7"/>
      <c r="BWH1157" s="7"/>
      <c r="BWI1157" s="7"/>
      <c r="BWJ1157" s="7"/>
      <c r="BWK1157" s="7"/>
      <c r="BWL1157" s="7"/>
      <c r="BWM1157" s="7"/>
      <c r="BWN1157" s="7"/>
      <c r="BWO1157" s="7"/>
      <c r="BWP1157" s="7"/>
      <c r="BWQ1157" s="7"/>
      <c r="BWR1157" s="7"/>
      <c r="BWS1157" s="7"/>
      <c r="BWT1157" s="7"/>
      <c r="BWU1157" s="7"/>
      <c r="BWV1157" s="7"/>
      <c r="BWW1157" s="7"/>
      <c r="BWX1157" s="7"/>
      <c r="BWY1157" s="7"/>
      <c r="BWZ1157" s="7"/>
      <c r="BXA1157" s="7"/>
      <c r="BXB1157" s="7"/>
      <c r="BXC1157" s="7"/>
      <c r="BXD1157" s="7"/>
      <c r="BXE1157" s="7"/>
      <c r="BXF1157" s="7"/>
      <c r="BXG1157" s="7"/>
      <c r="BXH1157" s="7"/>
      <c r="BXI1157" s="7"/>
      <c r="BXJ1157" s="7"/>
      <c r="BXK1157" s="7"/>
      <c r="BXL1157" s="7"/>
      <c r="BXM1157" s="7"/>
      <c r="BXN1157" s="7"/>
      <c r="BXO1157" s="7"/>
      <c r="BXP1157" s="7"/>
      <c r="BXQ1157" s="7"/>
      <c r="BXR1157" s="7"/>
      <c r="BXS1157" s="7"/>
      <c r="BXT1157" s="7"/>
      <c r="BXU1157" s="7"/>
      <c r="BXV1157" s="7"/>
      <c r="BXW1157" s="7"/>
      <c r="BXX1157" s="7"/>
      <c r="BXY1157" s="7"/>
      <c r="BXZ1157" s="7"/>
      <c r="BYA1157" s="7"/>
      <c r="BYB1157" s="7"/>
      <c r="BYC1157" s="7"/>
      <c r="BYD1157" s="7"/>
      <c r="BYE1157" s="7"/>
      <c r="BYF1157" s="7"/>
      <c r="BYG1157" s="7"/>
      <c r="BYH1157" s="7"/>
      <c r="BYI1157" s="7"/>
      <c r="BYJ1157" s="7"/>
      <c r="BYK1157" s="7"/>
      <c r="BYL1157" s="7"/>
      <c r="BYM1157" s="7"/>
      <c r="BYN1157" s="7"/>
      <c r="BYO1157" s="7"/>
      <c r="BYP1157" s="7"/>
      <c r="BYQ1157" s="7"/>
      <c r="BYR1157" s="7"/>
      <c r="BYS1157" s="7"/>
      <c r="BYT1157" s="7"/>
      <c r="BYU1157" s="7"/>
      <c r="BYV1157" s="7"/>
      <c r="BYW1157" s="7"/>
      <c r="BYX1157" s="7"/>
      <c r="BYY1157" s="7"/>
      <c r="BYZ1157" s="7"/>
      <c r="BZA1157" s="7"/>
      <c r="BZB1157" s="7"/>
      <c r="BZC1157" s="7"/>
      <c r="BZD1157" s="7"/>
      <c r="BZE1157" s="7"/>
      <c r="BZF1157" s="7"/>
      <c r="BZG1157" s="7"/>
      <c r="BZH1157" s="7"/>
      <c r="BZI1157" s="7"/>
      <c r="BZJ1157" s="7"/>
      <c r="BZK1157" s="7"/>
      <c r="BZL1157" s="7"/>
      <c r="BZM1157" s="7"/>
      <c r="BZN1157" s="7"/>
      <c r="BZO1157" s="7"/>
      <c r="BZP1157" s="7"/>
      <c r="BZQ1157" s="7"/>
      <c r="BZR1157" s="7"/>
      <c r="BZS1157" s="7"/>
      <c r="BZT1157" s="7"/>
      <c r="BZU1157" s="7"/>
      <c r="BZV1157" s="7"/>
      <c r="BZW1157" s="7"/>
      <c r="BZX1157" s="7"/>
      <c r="BZY1157" s="7"/>
      <c r="BZZ1157" s="7"/>
      <c r="CAA1157" s="7"/>
      <c r="CAB1157" s="7"/>
      <c r="CAC1157" s="7"/>
      <c r="CAD1157" s="7"/>
      <c r="CAE1157" s="7"/>
      <c r="CAF1157" s="7"/>
      <c r="CAG1157" s="7"/>
      <c r="CAH1157" s="7"/>
      <c r="CAI1157" s="7"/>
      <c r="CAJ1157" s="7"/>
      <c r="CAK1157" s="7"/>
      <c r="CAL1157" s="7"/>
      <c r="CAM1157" s="7"/>
      <c r="CAN1157" s="7"/>
      <c r="CAO1157" s="7"/>
      <c r="CAP1157" s="7"/>
      <c r="CAQ1157" s="7"/>
      <c r="CAR1157" s="7"/>
      <c r="CAS1157" s="7"/>
      <c r="CAT1157" s="7"/>
      <c r="CAU1157" s="7"/>
      <c r="CAV1157" s="7"/>
      <c r="CAW1157" s="7"/>
      <c r="CAX1157" s="7"/>
      <c r="CAY1157" s="7"/>
      <c r="CAZ1157" s="7"/>
      <c r="CBA1157" s="7"/>
      <c r="CBB1157" s="7"/>
      <c r="CBC1157" s="7"/>
      <c r="CBD1157" s="7"/>
      <c r="CBE1157" s="7"/>
      <c r="CBF1157" s="7"/>
      <c r="CBG1157" s="7"/>
      <c r="CBH1157" s="7"/>
      <c r="CBI1157" s="7"/>
      <c r="CBJ1157" s="7"/>
      <c r="CBK1157" s="7"/>
      <c r="CBL1157" s="7"/>
      <c r="CBM1157" s="7"/>
      <c r="CBN1157" s="7"/>
      <c r="CBO1157" s="7"/>
      <c r="CBP1157" s="7"/>
      <c r="CBQ1157" s="7"/>
      <c r="CBR1157" s="7"/>
      <c r="CBS1157" s="7"/>
      <c r="CBT1157" s="7"/>
      <c r="CBU1157" s="7"/>
      <c r="CBV1157" s="7"/>
      <c r="CBW1157" s="7"/>
      <c r="CBX1157" s="7"/>
      <c r="CBY1157" s="7"/>
      <c r="CBZ1157" s="7"/>
      <c r="CCA1157" s="7"/>
      <c r="CCB1157" s="7"/>
      <c r="CCC1157" s="7"/>
      <c r="CCD1157" s="7"/>
      <c r="CCE1157" s="7"/>
      <c r="CCF1157" s="7"/>
      <c r="CCG1157" s="7"/>
      <c r="CCH1157" s="7"/>
      <c r="CCI1157" s="7"/>
      <c r="CCJ1157" s="7"/>
      <c r="CCK1157" s="7"/>
      <c r="CCL1157" s="7"/>
      <c r="CCM1157" s="7"/>
      <c r="CCN1157" s="7"/>
      <c r="CCO1157" s="7"/>
      <c r="CCP1157" s="7"/>
      <c r="CCQ1157" s="7"/>
      <c r="CCR1157" s="7"/>
      <c r="CCS1157" s="7"/>
      <c r="CCT1157" s="7"/>
      <c r="CCU1157" s="7"/>
      <c r="CCV1157" s="7"/>
      <c r="CCW1157" s="7"/>
      <c r="CCX1157" s="7"/>
      <c r="CCY1157" s="7"/>
      <c r="CCZ1157" s="7"/>
      <c r="CDA1157" s="7"/>
      <c r="CDB1157" s="7"/>
      <c r="CDC1157" s="7"/>
      <c r="CDD1157" s="7"/>
      <c r="CDE1157" s="7"/>
      <c r="CDF1157" s="7"/>
      <c r="CDG1157" s="7"/>
      <c r="CDH1157" s="7"/>
      <c r="CDI1157" s="7"/>
      <c r="CDJ1157" s="7"/>
      <c r="CDK1157" s="7"/>
      <c r="CDL1157" s="7"/>
      <c r="CDM1157" s="7"/>
      <c r="CDN1157" s="7"/>
      <c r="CDO1157" s="7"/>
      <c r="CDP1157" s="7"/>
      <c r="CDQ1157" s="7"/>
      <c r="CDR1157" s="7"/>
      <c r="CDS1157" s="7"/>
      <c r="CDT1157" s="7"/>
      <c r="CDU1157" s="7"/>
      <c r="CDV1157" s="7"/>
      <c r="CDW1157" s="7"/>
      <c r="CDX1157" s="7"/>
      <c r="CDY1157" s="7"/>
      <c r="CDZ1157" s="7"/>
      <c r="CEA1157" s="7"/>
      <c r="CEB1157" s="7"/>
      <c r="CEC1157" s="7"/>
      <c r="CED1157" s="7"/>
      <c r="CEE1157" s="7"/>
      <c r="CEF1157" s="7"/>
      <c r="CEG1157" s="7"/>
      <c r="CEH1157" s="7"/>
      <c r="CEI1157" s="7"/>
      <c r="CEJ1157" s="7"/>
      <c r="CEK1157" s="7"/>
      <c r="CEL1157" s="7"/>
      <c r="CEM1157" s="7"/>
      <c r="CEN1157" s="7"/>
      <c r="CEO1157" s="7"/>
      <c r="CEP1157" s="7"/>
      <c r="CEQ1157" s="7"/>
      <c r="CER1157" s="7"/>
      <c r="CES1157" s="7"/>
      <c r="CET1157" s="7"/>
      <c r="CEU1157" s="7"/>
      <c r="CEV1157" s="7"/>
      <c r="CEW1157" s="7"/>
      <c r="CEX1157" s="7"/>
      <c r="CEY1157" s="7"/>
      <c r="CEZ1157" s="7"/>
      <c r="CFA1157" s="7"/>
      <c r="CFB1157" s="7"/>
      <c r="CFC1157" s="7"/>
      <c r="CFD1157" s="7"/>
      <c r="CFE1157" s="7"/>
      <c r="CFF1157" s="7"/>
      <c r="CFG1157" s="7"/>
      <c r="CFH1157" s="7"/>
      <c r="CFI1157" s="7"/>
      <c r="CFJ1157" s="7"/>
      <c r="CFK1157" s="7"/>
      <c r="CFL1157" s="7"/>
      <c r="CFM1157" s="7"/>
      <c r="CFN1157" s="7"/>
      <c r="CFO1157" s="7"/>
      <c r="CFP1157" s="7"/>
      <c r="CFQ1157" s="7"/>
      <c r="CFR1157" s="7"/>
      <c r="CFS1157" s="7"/>
      <c r="CFT1157" s="7"/>
      <c r="CFU1157" s="7"/>
      <c r="CFV1157" s="7"/>
      <c r="CFW1157" s="7"/>
      <c r="CFX1157" s="7"/>
      <c r="CFY1157" s="7"/>
      <c r="CFZ1157" s="7"/>
      <c r="CGA1157" s="7"/>
      <c r="CGB1157" s="7"/>
      <c r="CGC1157" s="7"/>
      <c r="CGD1157" s="7"/>
      <c r="CGE1157" s="7"/>
      <c r="CGF1157" s="7"/>
      <c r="CGG1157" s="7"/>
      <c r="CGH1157" s="7"/>
      <c r="CGI1157" s="7"/>
      <c r="CGJ1157" s="7"/>
      <c r="CGK1157" s="7"/>
      <c r="CGL1157" s="7"/>
      <c r="CGM1157" s="7"/>
      <c r="CGN1157" s="7"/>
      <c r="CGO1157" s="7"/>
      <c r="CGP1157" s="7"/>
      <c r="CGQ1157" s="7"/>
      <c r="CGR1157" s="7"/>
      <c r="CGS1157" s="7"/>
      <c r="CGT1157" s="7"/>
      <c r="CGU1157" s="7"/>
      <c r="CGV1157" s="7"/>
      <c r="CGW1157" s="7"/>
      <c r="CGX1157" s="7"/>
      <c r="CGY1157" s="7"/>
      <c r="CGZ1157" s="7"/>
      <c r="CHA1157" s="7"/>
      <c r="CHB1157" s="7"/>
      <c r="CHC1157" s="7"/>
      <c r="CHD1157" s="7"/>
      <c r="CHE1157" s="7"/>
      <c r="CHF1157" s="7"/>
      <c r="CHG1157" s="7"/>
      <c r="CHH1157" s="7"/>
      <c r="CHI1157" s="7"/>
      <c r="CHJ1157" s="7"/>
      <c r="CHK1157" s="7"/>
      <c r="CHL1157" s="7"/>
      <c r="CHM1157" s="7"/>
      <c r="CHN1157" s="7"/>
      <c r="CHO1157" s="7"/>
      <c r="CHP1157" s="7"/>
      <c r="CHQ1157" s="7"/>
      <c r="CHR1157" s="7"/>
      <c r="CHS1157" s="7"/>
      <c r="CHT1157" s="7"/>
      <c r="CHU1157" s="7"/>
      <c r="CHV1157" s="7"/>
      <c r="CHW1157" s="7"/>
      <c r="CHX1157" s="7"/>
      <c r="CHY1157" s="7"/>
      <c r="CHZ1157" s="7"/>
      <c r="CIA1157" s="7"/>
      <c r="CIB1157" s="7"/>
      <c r="CIC1157" s="7"/>
      <c r="CID1157" s="7"/>
      <c r="CIE1157" s="7"/>
      <c r="CIF1157" s="7"/>
      <c r="CIG1157" s="7"/>
      <c r="CIH1157" s="7"/>
      <c r="CII1157" s="7"/>
      <c r="CIJ1157" s="7"/>
      <c r="CIK1157" s="7"/>
      <c r="CIL1157" s="7"/>
      <c r="CIM1157" s="7"/>
      <c r="CIN1157" s="7"/>
      <c r="CIO1157" s="7"/>
      <c r="CIP1157" s="7"/>
      <c r="CIQ1157" s="7"/>
      <c r="CIR1157" s="7"/>
      <c r="CIS1157" s="7"/>
      <c r="CIT1157" s="7"/>
      <c r="CIU1157" s="7"/>
      <c r="CIV1157" s="7"/>
      <c r="CIW1157" s="7"/>
      <c r="CIX1157" s="7"/>
      <c r="CIY1157" s="7"/>
      <c r="CIZ1157" s="7"/>
      <c r="CJA1157" s="7"/>
      <c r="CJB1157" s="7"/>
      <c r="CJC1157" s="7"/>
      <c r="CJD1157" s="7"/>
      <c r="CJE1157" s="7"/>
      <c r="CJF1157" s="7"/>
      <c r="CJG1157" s="7"/>
      <c r="CJH1157" s="7"/>
      <c r="CJI1157" s="7"/>
      <c r="CJJ1157" s="7"/>
      <c r="CJK1157" s="7"/>
      <c r="CJL1157" s="7"/>
      <c r="CJM1157" s="7"/>
      <c r="CJN1157" s="7"/>
      <c r="CJO1157" s="7"/>
      <c r="CJP1157" s="7"/>
      <c r="CJQ1157" s="7"/>
      <c r="CJR1157" s="7"/>
      <c r="CJS1157" s="7"/>
      <c r="CJT1157" s="7"/>
      <c r="CJU1157" s="7"/>
      <c r="CJV1157" s="7"/>
      <c r="CJW1157" s="7"/>
      <c r="CJX1157" s="7"/>
      <c r="CJY1157" s="7"/>
      <c r="CJZ1157" s="7"/>
      <c r="CKA1157" s="7"/>
      <c r="CKB1157" s="7"/>
      <c r="CKC1157" s="7"/>
      <c r="CKD1157" s="7"/>
      <c r="CKE1157" s="7"/>
      <c r="CKF1157" s="7"/>
      <c r="CKG1157" s="7"/>
      <c r="CKH1157" s="7"/>
      <c r="CKI1157" s="7"/>
      <c r="CKJ1157" s="7"/>
      <c r="CKK1157" s="7"/>
      <c r="CKL1157" s="7"/>
      <c r="CKM1157" s="7"/>
      <c r="CKN1157" s="7"/>
      <c r="CKO1157" s="7"/>
      <c r="CKP1157" s="7"/>
      <c r="CKQ1157" s="7"/>
      <c r="CKR1157" s="7"/>
      <c r="CKS1157" s="7"/>
      <c r="CKT1157" s="7"/>
      <c r="CKU1157" s="7"/>
      <c r="CKV1157" s="7"/>
      <c r="CKW1157" s="7"/>
      <c r="CKX1157" s="7"/>
      <c r="CKY1157" s="7"/>
      <c r="CKZ1157" s="7"/>
      <c r="CLA1157" s="7"/>
      <c r="CLB1157" s="7"/>
      <c r="CLC1157" s="7"/>
      <c r="CLD1157" s="7"/>
      <c r="CLE1157" s="7"/>
      <c r="CLF1157" s="7"/>
      <c r="CLG1157" s="7"/>
      <c r="CLH1157" s="7"/>
      <c r="CLI1157" s="7"/>
      <c r="CLJ1157" s="7"/>
      <c r="CLK1157" s="7"/>
      <c r="CLL1157" s="7"/>
      <c r="CLM1157" s="7"/>
      <c r="CLN1157" s="7"/>
      <c r="CLO1157" s="7"/>
      <c r="CLP1157" s="7"/>
      <c r="CLQ1157" s="7"/>
      <c r="CLR1157" s="7"/>
      <c r="CLS1157" s="7"/>
      <c r="CLT1157" s="7"/>
      <c r="CLU1157" s="7"/>
      <c r="CLV1157" s="7"/>
      <c r="CLW1157" s="7"/>
      <c r="CLX1157" s="7"/>
      <c r="CLY1157" s="7"/>
      <c r="CLZ1157" s="7"/>
      <c r="CMA1157" s="7"/>
      <c r="CMB1157" s="7"/>
      <c r="CMC1157" s="7"/>
      <c r="CMD1157" s="7"/>
      <c r="CME1157" s="7"/>
      <c r="CMF1157" s="7"/>
      <c r="CMG1157" s="7"/>
      <c r="CMH1157" s="7"/>
      <c r="CMI1157" s="7"/>
      <c r="CMJ1157" s="7"/>
      <c r="CMK1157" s="7"/>
      <c r="CML1157" s="7"/>
      <c r="CMM1157" s="7"/>
      <c r="CMN1157" s="7"/>
      <c r="CMO1157" s="7"/>
      <c r="CMP1157" s="7"/>
      <c r="CMQ1157" s="7"/>
      <c r="CMR1157" s="7"/>
      <c r="CMS1157" s="7"/>
      <c r="CMT1157" s="7"/>
      <c r="CMU1157" s="7"/>
      <c r="CMV1157" s="7"/>
      <c r="CMW1157" s="7"/>
      <c r="CMX1157" s="7"/>
      <c r="CMY1157" s="7"/>
      <c r="CMZ1157" s="7"/>
      <c r="CNA1157" s="7"/>
      <c r="CNB1157" s="7"/>
      <c r="CNC1157" s="7"/>
      <c r="CND1157" s="7"/>
      <c r="CNE1157" s="7"/>
      <c r="CNF1157" s="7"/>
      <c r="CNG1157" s="7"/>
      <c r="CNH1157" s="7"/>
      <c r="CNI1157" s="7"/>
      <c r="CNJ1157" s="7"/>
      <c r="CNK1157" s="7"/>
      <c r="CNL1157" s="7"/>
      <c r="CNM1157" s="7"/>
      <c r="CNN1157" s="7"/>
      <c r="CNO1157" s="7"/>
      <c r="CNP1157" s="7"/>
      <c r="CNQ1157" s="7"/>
      <c r="CNR1157" s="7"/>
      <c r="CNS1157" s="7"/>
      <c r="CNT1157" s="7"/>
      <c r="CNU1157" s="7"/>
      <c r="CNV1157" s="7"/>
      <c r="CNW1157" s="7"/>
      <c r="CNX1157" s="7"/>
      <c r="CNY1157" s="7"/>
      <c r="CNZ1157" s="7"/>
      <c r="COA1157" s="7"/>
      <c r="COB1157" s="7"/>
      <c r="COC1157" s="7"/>
      <c r="COD1157" s="7"/>
      <c r="COE1157" s="7"/>
      <c r="COF1157" s="7"/>
      <c r="COG1157" s="7"/>
      <c r="COH1157" s="7"/>
      <c r="COI1157" s="7"/>
      <c r="COJ1157" s="7"/>
      <c r="COK1157" s="7"/>
      <c r="COL1157" s="7"/>
      <c r="COM1157" s="7"/>
      <c r="CON1157" s="7"/>
      <c r="COO1157" s="7"/>
      <c r="COP1157" s="7"/>
      <c r="COQ1157" s="7"/>
      <c r="COR1157" s="7"/>
      <c r="COS1157" s="7"/>
      <c r="COT1157" s="7"/>
      <c r="COU1157" s="7"/>
      <c r="COV1157" s="7"/>
      <c r="COW1157" s="7"/>
      <c r="COX1157" s="7"/>
      <c r="COY1157" s="7"/>
      <c r="COZ1157" s="7"/>
      <c r="CPA1157" s="7"/>
      <c r="CPB1157" s="7"/>
      <c r="CPC1157" s="7"/>
      <c r="CPD1157" s="7"/>
      <c r="CPE1157" s="7"/>
      <c r="CPF1157" s="7"/>
      <c r="CPG1157" s="7"/>
      <c r="CPH1157" s="7"/>
      <c r="CPI1157" s="7"/>
      <c r="CPJ1157" s="7"/>
      <c r="CPK1157" s="7"/>
      <c r="CPL1157" s="7"/>
      <c r="CPM1157" s="7"/>
      <c r="CPN1157" s="7"/>
      <c r="CPO1157" s="7"/>
      <c r="CPP1157" s="7"/>
      <c r="CPQ1157" s="7"/>
      <c r="CPR1157" s="7"/>
      <c r="CPS1157" s="7"/>
      <c r="CPT1157" s="7"/>
      <c r="CPU1157" s="7"/>
      <c r="CPV1157" s="7"/>
      <c r="CPW1157" s="7"/>
      <c r="CPX1157" s="7"/>
      <c r="CPY1157" s="7"/>
      <c r="CPZ1157" s="7"/>
      <c r="CQA1157" s="7"/>
      <c r="CQB1157" s="7"/>
      <c r="CQC1157" s="7"/>
      <c r="CQD1157" s="7"/>
      <c r="CQE1157" s="7"/>
      <c r="CQF1157" s="7"/>
      <c r="CQG1157" s="7"/>
      <c r="CQH1157" s="7"/>
      <c r="CQI1157" s="7"/>
      <c r="CQJ1157" s="7"/>
      <c r="CQK1157" s="7"/>
      <c r="CQL1157" s="7"/>
      <c r="CQM1157" s="7"/>
      <c r="CQN1157" s="7"/>
      <c r="CQO1157" s="7"/>
      <c r="CQP1157" s="7"/>
      <c r="CQQ1157" s="7"/>
      <c r="CQR1157" s="7"/>
      <c r="CQS1157" s="7"/>
      <c r="CQT1157" s="7"/>
      <c r="CQU1157" s="7"/>
      <c r="CQV1157" s="7"/>
      <c r="CQW1157" s="7"/>
      <c r="CQX1157" s="7"/>
      <c r="CQY1157" s="7"/>
      <c r="CQZ1157" s="7"/>
      <c r="CRA1157" s="7"/>
      <c r="CRB1157" s="7"/>
      <c r="CRC1157" s="7"/>
      <c r="CRD1157" s="7"/>
      <c r="CRE1157" s="7"/>
      <c r="CRF1157" s="7"/>
      <c r="CRG1157" s="7"/>
      <c r="CRH1157" s="7"/>
      <c r="CRI1157" s="7"/>
      <c r="CRJ1157" s="7"/>
      <c r="CRK1157" s="7"/>
      <c r="CRL1157" s="7"/>
      <c r="CRM1157" s="7"/>
      <c r="CRN1157" s="7"/>
      <c r="CRO1157" s="7"/>
      <c r="CRP1157" s="7"/>
      <c r="CRQ1157" s="7"/>
      <c r="CRR1157" s="7"/>
      <c r="CRS1157" s="7"/>
      <c r="CRT1157" s="7"/>
      <c r="CRU1157" s="7"/>
      <c r="CRV1157" s="7"/>
      <c r="CRW1157" s="7"/>
      <c r="CRX1157" s="7"/>
      <c r="CRY1157" s="7"/>
      <c r="CRZ1157" s="7"/>
      <c r="CSA1157" s="7"/>
      <c r="CSB1157" s="7"/>
      <c r="CSC1157" s="7"/>
      <c r="CSD1157" s="7"/>
      <c r="CSE1157" s="7"/>
      <c r="CSF1157" s="7"/>
      <c r="CSG1157" s="7"/>
      <c r="CSH1157" s="7"/>
      <c r="CSI1157" s="7"/>
      <c r="CSJ1157" s="7"/>
      <c r="CSK1157" s="7"/>
      <c r="CSL1157" s="7"/>
      <c r="CSM1157" s="7"/>
      <c r="CSN1157" s="7"/>
      <c r="CSO1157" s="7"/>
      <c r="CSP1157" s="7"/>
      <c r="CSQ1157" s="7"/>
      <c r="CSR1157" s="7"/>
      <c r="CSS1157" s="7"/>
      <c r="CST1157" s="7"/>
      <c r="CSU1157" s="7"/>
      <c r="CSV1157" s="7"/>
      <c r="CSW1157" s="7"/>
      <c r="CSX1157" s="7"/>
      <c r="CSY1157" s="7"/>
      <c r="CSZ1157" s="7"/>
      <c r="CTA1157" s="7"/>
      <c r="CTB1157" s="7"/>
      <c r="CTC1157" s="7"/>
      <c r="CTD1157" s="7"/>
      <c r="CTE1157" s="7"/>
      <c r="CTF1157" s="7"/>
      <c r="CTG1157" s="7"/>
      <c r="CTH1157" s="7"/>
      <c r="CTI1157" s="7"/>
      <c r="CTJ1157" s="7"/>
      <c r="CTK1157" s="7"/>
      <c r="CTL1157" s="7"/>
      <c r="CTM1157" s="7"/>
      <c r="CTN1157" s="7"/>
      <c r="CTO1157" s="7"/>
      <c r="CTP1157" s="7"/>
      <c r="CTQ1157" s="7"/>
      <c r="CTR1157" s="7"/>
      <c r="CTS1157" s="7"/>
      <c r="CTT1157" s="7"/>
      <c r="CTU1157" s="7"/>
      <c r="CTV1157" s="7"/>
      <c r="CTW1157" s="7"/>
      <c r="CTX1157" s="7"/>
      <c r="CTY1157" s="7"/>
      <c r="CTZ1157" s="7"/>
      <c r="CUA1157" s="7"/>
      <c r="CUB1157" s="7"/>
      <c r="CUC1157" s="7"/>
      <c r="CUD1157" s="7"/>
      <c r="CUE1157" s="7"/>
      <c r="CUF1157" s="7"/>
      <c r="CUG1157" s="7"/>
      <c r="CUH1157" s="7"/>
      <c r="CUI1157" s="7"/>
      <c r="CUJ1157" s="7"/>
      <c r="CUK1157" s="7"/>
      <c r="CUL1157" s="7"/>
      <c r="CUM1157" s="7"/>
      <c r="CUN1157" s="7"/>
      <c r="CUO1157" s="7"/>
      <c r="CUP1157" s="7"/>
      <c r="CUQ1157" s="7"/>
      <c r="CUR1157" s="7"/>
      <c r="CUS1157" s="7"/>
      <c r="CUT1157" s="7"/>
      <c r="CUU1157" s="7"/>
      <c r="CUV1157" s="7"/>
      <c r="CUW1157" s="7"/>
      <c r="CUX1157" s="7"/>
      <c r="CUY1157" s="7"/>
      <c r="CUZ1157" s="7"/>
      <c r="CVA1157" s="7"/>
      <c r="CVB1157" s="7"/>
      <c r="CVC1157" s="7"/>
      <c r="CVD1157" s="7"/>
      <c r="CVE1157" s="7"/>
      <c r="CVF1157" s="7"/>
      <c r="CVG1157" s="7"/>
      <c r="CVH1157" s="7"/>
      <c r="CVI1157" s="7"/>
      <c r="CVJ1157" s="7"/>
      <c r="CVK1157" s="7"/>
      <c r="CVL1157" s="7"/>
      <c r="CVM1157" s="7"/>
      <c r="CVN1157" s="7"/>
      <c r="CVO1157" s="7"/>
      <c r="CVP1157" s="7"/>
      <c r="CVQ1157" s="7"/>
      <c r="CVR1157" s="7"/>
      <c r="CVS1157" s="7"/>
      <c r="CVT1157" s="7"/>
      <c r="CVU1157" s="7"/>
      <c r="CVV1157" s="7"/>
      <c r="CVW1157" s="7"/>
      <c r="CVX1157" s="7"/>
      <c r="CVY1157" s="7"/>
      <c r="CVZ1157" s="7"/>
      <c r="CWA1157" s="7"/>
      <c r="CWB1157" s="7"/>
      <c r="CWC1157" s="7"/>
      <c r="CWD1157" s="7"/>
      <c r="CWE1157" s="7"/>
      <c r="CWF1157" s="7"/>
      <c r="CWG1157" s="7"/>
      <c r="CWH1157" s="7"/>
      <c r="CWI1157" s="7"/>
      <c r="CWJ1157" s="7"/>
      <c r="CWK1157" s="7"/>
      <c r="CWL1157" s="7"/>
      <c r="CWM1157" s="7"/>
      <c r="CWN1157" s="7"/>
      <c r="CWO1157" s="7"/>
      <c r="CWP1157" s="7"/>
      <c r="CWQ1157" s="7"/>
      <c r="CWR1157" s="7"/>
      <c r="CWS1157" s="7"/>
      <c r="CWT1157" s="7"/>
      <c r="CWU1157" s="7"/>
      <c r="CWV1157" s="7"/>
      <c r="CWW1157" s="7"/>
      <c r="CWX1157" s="7"/>
      <c r="CWY1157" s="7"/>
      <c r="CWZ1157" s="7"/>
      <c r="CXA1157" s="7"/>
      <c r="CXB1157" s="7"/>
      <c r="CXC1157" s="7"/>
      <c r="CXD1157" s="7"/>
      <c r="CXE1157" s="7"/>
      <c r="CXF1157" s="7"/>
      <c r="CXG1157" s="7"/>
      <c r="CXH1157" s="7"/>
      <c r="CXI1157" s="7"/>
      <c r="CXJ1157" s="7"/>
      <c r="CXK1157" s="7"/>
      <c r="CXL1157" s="7"/>
      <c r="CXM1157" s="7"/>
      <c r="CXN1157" s="7"/>
      <c r="CXO1157" s="7"/>
      <c r="CXP1157" s="7"/>
      <c r="CXQ1157" s="7"/>
      <c r="CXR1157" s="7"/>
      <c r="CXS1157" s="7"/>
      <c r="CXT1157" s="7"/>
      <c r="CXU1157" s="7"/>
      <c r="CXV1157" s="7"/>
      <c r="CXW1157" s="7"/>
      <c r="CXX1157" s="7"/>
      <c r="CXY1157" s="7"/>
      <c r="CXZ1157" s="7"/>
      <c r="CYA1157" s="7"/>
      <c r="CYB1157" s="7"/>
      <c r="CYC1157" s="7"/>
      <c r="CYD1157" s="7"/>
      <c r="CYE1157" s="7"/>
      <c r="CYF1157" s="7"/>
      <c r="CYG1157" s="7"/>
      <c r="CYH1157" s="7"/>
      <c r="CYI1157" s="7"/>
      <c r="CYJ1157" s="7"/>
      <c r="CYK1157" s="7"/>
      <c r="CYL1157" s="7"/>
      <c r="CYM1157" s="7"/>
      <c r="CYN1157" s="7"/>
      <c r="CYO1157" s="7"/>
      <c r="CYP1157" s="7"/>
      <c r="CYQ1157" s="7"/>
      <c r="CYR1157" s="7"/>
      <c r="CYS1157" s="7"/>
      <c r="CYT1157" s="7"/>
      <c r="CYU1157" s="7"/>
      <c r="CYV1157" s="7"/>
      <c r="CYW1157" s="7"/>
      <c r="CYX1157" s="7"/>
      <c r="CYY1157" s="7"/>
      <c r="CYZ1157" s="7"/>
      <c r="CZA1157" s="7"/>
      <c r="CZB1157" s="7"/>
      <c r="CZC1157" s="7"/>
      <c r="CZD1157" s="7"/>
      <c r="CZE1157" s="7"/>
      <c r="CZF1157" s="7"/>
      <c r="CZG1157" s="7"/>
      <c r="CZH1157" s="7"/>
      <c r="CZI1157" s="7"/>
      <c r="CZJ1157" s="7"/>
      <c r="CZK1157" s="7"/>
      <c r="CZL1157" s="7"/>
      <c r="CZM1157" s="7"/>
      <c r="CZN1157" s="7"/>
      <c r="CZO1157" s="7"/>
      <c r="CZP1157" s="7"/>
      <c r="CZQ1157" s="7"/>
      <c r="CZR1157" s="7"/>
      <c r="CZS1157" s="7"/>
      <c r="CZT1157" s="7"/>
      <c r="CZU1157" s="7"/>
      <c r="CZV1157" s="7"/>
      <c r="CZW1157" s="7"/>
      <c r="CZX1157" s="7"/>
      <c r="CZY1157" s="7"/>
      <c r="CZZ1157" s="7"/>
      <c r="DAA1157" s="7"/>
      <c r="DAB1157" s="7"/>
      <c r="DAC1157" s="7"/>
      <c r="DAD1157" s="7"/>
      <c r="DAE1157" s="7"/>
      <c r="DAF1157" s="7"/>
      <c r="DAG1157" s="7"/>
      <c r="DAH1157" s="7"/>
      <c r="DAI1157" s="7"/>
      <c r="DAJ1157" s="7"/>
      <c r="DAK1157" s="7"/>
      <c r="DAL1157" s="7"/>
      <c r="DAM1157" s="7"/>
      <c r="DAN1157" s="7"/>
      <c r="DAO1157" s="7"/>
      <c r="DAP1157" s="7"/>
      <c r="DAQ1157" s="7"/>
      <c r="DAR1157" s="7"/>
      <c r="DAS1157" s="7"/>
      <c r="DAT1157" s="7"/>
      <c r="DAU1157" s="7"/>
      <c r="DAV1157" s="7"/>
      <c r="DAW1157" s="7"/>
      <c r="DAX1157" s="7"/>
      <c r="DAY1157" s="7"/>
      <c r="DAZ1157" s="7"/>
      <c r="DBA1157" s="7"/>
      <c r="DBB1157" s="7"/>
      <c r="DBC1157" s="7"/>
      <c r="DBD1157" s="7"/>
      <c r="DBE1157" s="7"/>
      <c r="DBF1157" s="7"/>
      <c r="DBG1157" s="7"/>
      <c r="DBH1157" s="7"/>
      <c r="DBI1157" s="7"/>
      <c r="DBJ1157" s="7"/>
      <c r="DBK1157" s="7"/>
      <c r="DBL1157" s="7"/>
      <c r="DBM1157" s="7"/>
      <c r="DBN1157" s="7"/>
      <c r="DBO1157" s="7"/>
      <c r="DBP1157" s="7"/>
      <c r="DBQ1157" s="7"/>
      <c r="DBR1157" s="7"/>
      <c r="DBS1157" s="7"/>
      <c r="DBT1157" s="7"/>
      <c r="DBU1157" s="7"/>
      <c r="DBV1157" s="7"/>
      <c r="DBW1157" s="7"/>
      <c r="DBX1157" s="7"/>
      <c r="DBY1157" s="7"/>
      <c r="DBZ1157" s="7"/>
      <c r="DCA1157" s="7"/>
      <c r="DCB1157" s="7"/>
      <c r="DCC1157" s="7"/>
      <c r="DCD1157" s="7"/>
      <c r="DCE1157" s="7"/>
      <c r="DCF1157" s="7"/>
      <c r="DCG1157" s="7"/>
      <c r="DCH1157" s="7"/>
      <c r="DCI1157" s="7"/>
      <c r="DCJ1157" s="7"/>
      <c r="DCK1157" s="7"/>
      <c r="DCL1157" s="7"/>
      <c r="DCM1157" s="7"/>
      <c r="DCN1157" s="7"/>
      <c r="DCO1157" s="7"/>
      <c r="DCP1157" s="7"/>
      <c r="DCQ1157" s="7"/>
      <c r="DCR1157" s="7"/>
      <c r="DCS1157" s="7"/>
      <c r="DCT1157" s="7"/>
      <c r="DCU1157" s="7"/>
      <c r="DCV1157" s="7"/>
      <c r="DCW1157" s="7"/>
      <c r="DCX1157" s="7"/>
      <c r="DCY1157" s="7"/>
      <c r="DCZ1157" s="7"/>
      <c r="DDA1157" s="7"/>
      <c r="DDB1157" s="7"/>
      <c r="DDC1157" s="7"/>
      <c r="DDD1157" s="7"/>
      <c r="DDE1157" s="7"/>
      <c r="DDF1157" s="7"/>
      <c r="DDG1157" s="7"/>
      <c r="DDH1157" s="7"/>
      <c r="DDI1157" s="7"/>
      <c r="DDJ1157" s="7"/>
      <c r="DDK1157" s="7"/>
      <c r="DDL1157" s="7"/>
      <c r="DDM1157" s="7"/>
      <c r="DDN1157" s="7"/>
      <c r="DDO1157" s="7"/>
      <c r="DDP1157" s="7"/>
      <c r="DDQ1157" s="7"/>
      <c r="DDR1157" s="7"/>
      <c r="DDS1157" s="7"/>
      <c r="DDT1157" s="7"/>
      <c r="DDU1157" s="7"/>
      <c r="DDV1157" s="7"/>
      <c r="DDW1157" s="7"/>
      <c r="DDX1157" s="7"/>
      <c r="DDY1157" s="7"/>
      <c r="DDZ1157" s="7"/>
      <c r="DEA1157" s="7"/>
      <c r="DEB1157" s="7"/>
      <c r="DEC1157" s="7"/>
      <c r="DED1157" s="7"/>
      <c r="DEE1157" s="7"/>
      <c r="DEF1157" s="7"/>
      <c r="DEG1157" s="7"/>
      <c r="DEH1157" s="7"/>
      <c r="DEI1157" s="7"/>
      <c r="DEJ1157" s="7"/>
      <c r="DEK1157" s="7"/>
      <c r="DEL1157" s="7"/>
      <c r="DEM1157" s="7"/>
      <c r="DEN1157" s="7"/>
      <c r="DEO1157" s="7"/>
      <c r="DEP1157" s="7"/>
      <c r="DEQ1157" s="7"/>
      <c r="DER1157" s="7"/>
      <c r="DES1157" s="7"/>
      <c r="DET1157" s="7"/>
      <c r="DEU1157" s="7"/>
      <c r="DEV1157" s="7"/>
      <c r="DEW1157" s="7"/>
      <c r="DEX1157" s="7"/>
      <c r="DEY1157" s="7"/>
      <c r="DEZ1157" s="7"/>
      <c r="DFA1157" s="7"/>
      <c r="DFB1157" s="7"/>
      <c r="DFC1157" s="7"/>
      <c r="DFD1157" s="7"/>
      <c r="DFE1157" s="7"/>
      <c r="DFF1157" s="7"/>
      <c r="DFG1157" s="7"/>
      <c r="DFH1157" s="7"/>
      <c r="DFI1157" s="7"/>
      <c r="DFJ1157" s="7"/>
      <c r="DFK1157" s="7"/>
      <c r="DFL1157" s="7"/>
      <c r="DFM1157" s="7"/>
      <c r="DFN1157" s="7"/>
      <c r="DFO1157" s="7"/>
      <c r="DFP1157" s="7"/>
      <c r="DFQ1157" s="7"/>
      <c r="DFR1157" s="7"/>
      <c r="DFS1157" s="7"/>
      <c r="DFT1157" s="7"/>
      <c r="DFU1157" s="7"/>
      <c r="DFV1157" s="7"/>
      <c r="DFW1157" s="7"/>
      <c r="DFX1157" s="7"/>
      <c r="DFY1157" s="7"/>
      <c r="DFZ1157" s="7"/>
      <c r="DGA1157" s="7"/>
      <c r="DGB1157" s="7"/>
      <c r="DGC1157" s="7"/>
      <c r="DGD1157" s="7"/>
      <c r="DGE1157" s="7"/>
      <c r="DGF1157" s="7"/>
      <c r="DGG1157" s="7"/>
      <c r="DGH1157" s="7"/>
      <c r="DGI1157" s="7"/>
      <c r="DGJ1157" s="7"/>
      <c r="DGK1157" s="7"/>
      <c r="DGL1157" s="7"/>
      <c r="DGM1157" s="7"/>
      <c r="DGN1157" s="7"/>
      <c r="DGO1157" s="7"/>
      <c r="DGP1157" s="7"/>
      <c r="DGQ1157" s="7"/>
      <c r="DGR1157" s="7"/>
      <c r="DGS1157" s="7"/>
      <c r="DGT1157" s="7"/>
      <c r="DGU1157" s="7"/>
      <c r="DGV1157" s="7"/>
      <c r="DGW1157" s="7"/>
      <c r="DGX1157" s="7"/>
      <c r="DGY1157" s="7"/>
      <c r="DGZ1157" s="7"/>
      <c r="DHA1157" s="7"/>
      <c r="DHB1157" s="7"/>
      <c r="DHC1157" s="7"/>
      <c r="DHD1157" s="7"/>
      <c r="DHE1157" s="7"/>
      <c r="DHF1157" s="7"/>
      <c r="DHG1157" s="7"/>
      <c r="DHH1157" s="7"/>
      <c r="DHI1157" s="7"/>
      <c r="DHJ1157" s="7"/>
      <c r="DHK1157" s="7"/>
      <c r="DHL1157" s="7"/>
      <c r="DHM1157" s="7"/>
      <c r="DHN1157" s="7"/>
      <c r="DHO1157" s="7"/>
      <c r="DHP1157" s="7"/>
      <c r="DHQ1157" s="7"/>
      <c r="DHR1157" s="7"/>
      <c r="DHS1157" s="7"/>
      <c r="DHT1157" s="7"/>
      <c r="DHU1157" s="7"/>
      <c r="DHV1157" s="7"/>
      <c r="DHW1157" s="7"/>
      <c r="DHX1157" s="7"/>
      <c r="DHY1157" s="7"/>
      <c r="DHZ1157" s="7"/>
      <c r="DIA1157" s="7"/>
      <c r="DIB1157" s="7"/>
      <c r="DIC1157" s="7"/>
      <c r="DID1157" s="7"/>
      <c r="DIE1157" s="7"/>
      <c r="DIF1157" s="7"/>
      <c r="DIG1157" s="7"/>
      <c r="DIH1157" s="7"/>
      <c r="DII1157" s="7"/>
      <c r="DIJ1157" s="7"/>
      <c r="DIK1157" s="7"/>
      <c r="DIL1157" s="7"/>
      <c r="DIM1157" s="7"/>
      <c r="DIN1157" s="7"/>
      <c r="DIO1157" s="7"/>
      <c r="DIP1157" s="7"/>
      <c r="DIQ1157" s="7"/>
      <c r="DIR1157" s="7"/>
      <c r="DIS1157" s="7"/>
      <c r="DIT1157" s="7"/>
      <c r="DIU1157" s="7"/>
      <c r="DIV1157" s="7"/>
      <c r="DIW1157" s="7"/>
      <c r="DIX1157" s="7"/>
      <c r="DIY1157" s="7"/>
      <c r="DIZ1157" s="7"/>
      <c r="DJA1157" s="7"/>
      <c r="DJB1157" s="7"/>
      <c r="DJC1157" s="7"/>
      <c r="DJD1157" s="7"/>
      <c r="DJE1157" s="7"/>
      <c r="DJF1157" s="7"/>
      <c r="DJG1157" s="7"/>
      <c r="DJH1157" s="7"/>
      <c r="DJI1157" s="7"/>
      <c r="DJJ1157" s="7"/>
      <c r="DJK1157" s="7"/>
      <c r="DJL1157" s="7"/>
      <c r="DJM1157" s="7"/>
      <c r="DJN1157" s="7"/>
      <c r="DJO1157" s="7"/>
      <c r="DJP1157" s="7"/>
      <c r="DJQ1157" s="7"/>
      <c r="DJR1157" s="7"/>
      <c r="DJS1157" s="7"/>
      <c r="DJT1157" s="7"/>
      <c r="DJU1157" s="7"/>
      <c r="DJV1157" s="7"/>
      <c r="DJW1157" s="7"/>
      <c r="DJX1157" s="7"/>
      <c r="DJY1157" s="7"/>
      <c r="DJZ1157" s="7"/>
      <c r="DKA1157" s="7"/>
      <c r="DKB1157" s="7"/>
      <c r="DKC1157" s="7"/>
      <c r="DKD1157" s="7"/>
      <c r="DKE1157" s="7"/>
      <c r="DKF1157" s="7"/>
      <c r="DKG1157" s="7"/>
      <c r="DKH1157" s="7"/>
      <c r="DKI1157" s="7"/>
      <c r="DKJ1157" s="7"/>
      <c r="DKK1157" s="7"/>
      <c r="DKL1157" s="7"/>
      <c r="DKM1157" s="7"/>
      <c r="DKN1157" s="7"/>
      <c r="DKO1157" s="7"/>
      <c r="DKP1157" s="7"/>
      <c r="DKQ1157" s="7"/>
      <c r="DKR1157" s="7"/>
      <c r="DKS1157" s="7"/>
      <c r="DKT1157" s="7"/>
      <c r="DKU1157" s="7"/>
      <c r="DKV1157" s="7"/>
      <c r="DKW1157" s="7"/>
      <c r="DKX1157" s="7"/>
      <c r="DKY1157" s="7"/>
      <c r="DKZ1157" s="7"/>
      <c r="DLA1157" s="7"/>
      <c r="DLB1157" s="7"/>
      <c r="DLC1157" s="7"/>
      <c r="DLD1157" s="7"/>
      <c r="DLE1157" s="7"/>
      <c r="DLF1157" s="7"/>
      <c r="DLG1157" s="7"/>
      <c r="DLH1157" s="7"/>
      <c r="DLI1157" s="7"/>
      <c r="DLJ1157" s="7"/>
      <c r="DLK1157" s="7"/>
      <c r="DLL1157" s="7"/>
      <c r="DLM1157" s="7"/>
      <c r="DLN1157" s="7"/>
      <c r="DLO1157" s="7"/>
      <c r="DLP1157" s="7"/>
      <c r="DLQ1157" s="7"/>
      <c r="DLR1157" s="7"/>
      <c r="DLS1157" s="7"/>
      <c r="DLT1157" s="7"/>
      <c r="DLU1157" s="7"/>
      <c r="DLV1157" s="7"/>
      <c r="DLW1157" s="7"/>
      <c r="DLX1157" s="7"/>
      <c r="DLY1157" s="7"/>
      <c r="DLZ1157" s="7"/>
      <c r="DMA1157" s="7"/>
      <c r="DMB1157" s="7"/>
      <c r="DMC1157" s="7"/>
      <c r="DMD1157" s="7"/>
      <c r="DME1157" s="7"/>
      <c r="DMF1157" s="7"/>
      <c r="DMG1157" s="7"/>
      <c r="DMH1157" s="7"/>
      <c r="DMI1157" s="7"/>
      <c r="DMJ1157" s="7"/>
      <c r="DMK1157" s="7"/>
      <c r="DML1157" s="7"/>
      <c r="DMM1157" s="7"/>
      <c r="DMN1157" s="7"/>
      <c r="DMO1157" s="7"/>
      <c r="DMP1157" s="7"/>
      <c r="DMQ1157" s="7"/>
      <c r="DMR1157" s="7"/>
      <c r="DMS1157" s="7"/>
      <c r="DMT1157" s="7"/>
      <c r="DMU1157" s="7"/>
      <c r="DMV1157" s="7"/>
      <c r="DMW1157" s="7"/>
      <c r="DMX1157" s="7"/>
      <c r="DMY1157" s="7"/>
      <c r="DMZ1157" s="7"/>
      <c r="DNA1157" s="7"/>
      <c r="DNB1157" s="7"/>
      <c r="DNC1157" s="7"/>
      <c r="DND1157" s="7"/>
      <c r="DNE1157" s="7"/>
      <c r="DNF1157" s="7"/>
      <c r="DNG1157" s="7"/>
      <c r="DNH1157" s="7"/>
      <c r="DNI1157" s="7"/>
      <c r="DNJ1157" s="7"/>
      <c r="DNK1157" s="7"/>
      <c r="DNL1157" s="7"/>
      <c r="DNM1157" s="7"/>
      <c r="DNN1157" s="7"/>
      <c r="DNO1157" s="7"/>
      <c r="DNP1157" s="7"/>
      <c r="DNQ1157" s="7"/>
      <c r="DNR1157" s="7"/>
      <c r="DNS1157" s="7"/>
      <c r="DNT1157" s="7"/>
      <c r="DNU1157" s="7"/>
      <c r="DNV1157" s="7"/>
      <c r="DNW1157" s="7"/>
      <c r="DNX1157" s="7"/>
      <c r="DNY1157" s="7"/>
      <c r="DNZ1157" s="7"/>
      <c r="DOA1157" s="7"/>
      <c r="DOB1157" s="7"/>
      <c r="DOC1157" s="7"/>
      <c r="DOD1157" s="7"/>
      <c r="DOE1157" s="7"/>
      <c r="DOF1157" s="7"/>
      <c r="DOG1157" s="7"/>
      <c r="DOH1157" s="7"/>
      <c r="DOI1157" s="7"/>
      <c r="DOJ1157" s="7"/>
      <c r="DOK1157" s="7"/>
      <c r="DOL1157" s="7"/>
      <c r="DOM1157" s="7"/>
      <c r="DON1157" s="7"/>
      <c r="DOO1157" s="7"/>
      <c r="DOP1157" s="7"/>
      <c r="DOQ1157" s="7"/>
      <c r="DOR1157" s="7"/>
      <c r="DOS1157" s="7"/>
      <c r="DOT1157" s="7"/>
      <c r="DOU1157" s="7"/>
      <c r="DOV1157" s="7"/>
      <c r="DOW1157" s="7"/>
      <c r="DOX1157" s="7"/>
      <c r="DOY1157" s="7"/>
      <c r="DOZ1157" s="7"/>
      <c r="DPA1157" s="7"/>
      <c r="DPB1157" s="7"/>
      <c r="DPC1157" s="7"/>
      <c r="DPD1157" s="7"/>
      <c r="DPE1157" s="7"/>
      <c r="DPF1157" s="7"/>
      <c r="DPG1157" s="7"/>
      <c r="DPH1157" s="7"/>
      <c r="DPI1157" s="7"/>
      <c r="DPJ1157" s="7"/>
      <c r="DPK1157" s="7"/>
      <c r="DPL1157" s="7"/>
      <c r="DPM1157" s="7"/>
      <c r="DPN1157" s="7"/>
      <c r="DPO1157" s="7"/>
      <c r="DPP1157" s="7"/>
      <c r="DPQ1157" s="7"/>
      <c r="DPR1157" s="7"/>
      <c r="DPS1157" s="7"/>
      <c r="DPT1157" s="7"/>
      <c r="DPU1157" s="7"/>
      <c r="DPV1157" s="7"/>
      <c r="DPW1157" s="7"/>
      <c r="DPX1157" s="7"/>
      <c r="DPY1157" s="7"/>
      <c r="DPZ1157" s="7"/>
      <c r="DQA1157" s="7"/>
      <c r="DQB1157" s="7"/>
      <c r="DQC1157" s="7"/>
      <c r="DQD1157" s="7"/>
      <c r="DQE1157" s="7"/>
      <c r="DQF1157" s="7"/>
      <c r="DQG1157" s="7"/>
      <c r="DQH1157" s="7"/>
      <c r="DQI1157" s="7"/>
      <c r="DQJ1157" s="7"/>
      <c r="DQK1157" s="7"/>
      <c r="DQL1157" s="7"/>
      <c r="DQM1157" s="7"/>
      <c r="DQN1157" s="7"/>
      <c r="DQO1157" s="7"/>
      <c r="DQP1157" s="7"/>
      <c r="DQQ1157" s="7"/>
      <c r="DQR1157" s="7"/>
      <c r="DQS1157" s="7"/>
      <c r="DQT1157" s="7"/>
      <c r="DQU1157" s="7"/>
      <c r="DQV1157" s="7"/>
      <c r="DQW1157" s="7"/>
      <c r="DQX1157" s="7"/>
      <c r="DQY1157" s="7"/>
      <c r="DQZ1157" s="7"/>
      <c r="DRA1157" s="7"/>
      <c r="DRB1157" s="7"/>
      <c r="DRC1157" s="7"/>
      <c r="DRD1157" s="7"/>
      <c r="DRE1157" s="7"/>
      <c r="DRF1157" s="7"/>
      <c r="DRG1157" s="7"/>
      <c r="DRH1157" s="7"/>
      <c r="DRI1157" s="7"/>
      <c r="DRJ1157" s="7"/>
      <c r="DRK1157" s="7"/>
      <c r="DRL1157" s="7"/>
      <c r="DRM1157" s="7"/>
      <c r="DRN1157" s="7"/>
      <c r="DRO1157" s="7"/>
      <c r="DRP1157" s="7"/>
      <c r="DRQ1157" s="7"/>
      <c r="DRR1157" s="7"/>
      <c r="DRS1157" s="7"/>
      <c r="DRT1157" s="7"/>
      <c r="DRU1157" s="7"/>
      <c r="DRV1157" s="7"/>
      <c r="DRW1157" s="7"/>
      <c r="DRX1157" s="7"/>
      <c r="DRY1157" s="7"/>
      <c r="DRZ1157" s="7"/>
      <c r="DSA1157" s="7"/>
      <c r="DSB1157" s="7"/>
      <c r="DSC1157" s="7"/>
      <c r="DSD1157" s="7"/>
      <c r="DSE1157" s="7"/>
      <c r="DSF1157" s="7"/>
      <c r="DSG1157" s="7"/>
      <c r="DSH1157" s="7"/>
      <c r="DSI1157" s="7"/>
      <c r="DSJ1157" s="7"/>
      <c r="DSK1157" s="7"/>
      <c r="DSL1157" s="7"/>
      <c r="DSM1157" s="7"/>
      <c r="DSN1157" s="7"/>
      <c r="DSO1157" s="7"/>
      <c r="DSP1157" s="7"/>
      <c r="DSQ1157" s="7"/>
      <c r="DSR1157" s="7"/>
      <c r="DSS1157" s="7"/>
      <c r="DST1157" s="7"/>
      <c r="DSU1157" s="7"/>
      <c r="DSV1157" s="7"/>
      <c r="DSW1157" s="7"/>
      <c r="DSX1157" s="7"/>
      <c r="DSY1157" s="7"/>
      <c r="DSZ1157" s="7"/>
      <c r="DTA1157" s="7"/>
      <c r="DTB1157" s="7"/>
      <c r="DTC1157" s="7"/>
      <c r="DTD1157" s="7"/>
      <c r="DTE1157" s="7"/>
      <c r="DTF1157" s="7"/>
      <c r="DTG1157" s="7"/>
      <c r="DTH1157" s="7"/>
      <c r="DTI1157" s="7"/>
      <c r="DTJ1157" s="7"/>
      <c r="DTK1157" s="7"/>
      <c r="DTL1157" s="7"/>
      <c r="DTM1157" s="7"/>
      <c r="DTN1157" s="7"/>
      <c r="DTO1157" s="7"/>
      <c r="DTP1157" s="7"/>
      <c r="DTQ1157" s="7"/>
      <c r="DTR1157" s="7"/>
      <c r="DTS1157" s="7"/>
      <c r="DTT1157" s="7"/>
      <c r="DTU1157" s="7"/>
      <c r="DTV1157" s="7"/>
      <c r="DTW1157" s="7"/>
      <c r="DTX1157" s="7"/>
      <c r="DTY1157" s="7"/>
      <c r="DTZ1157" s="7"/>
      <c r="DUA1157" s="7"/>
      <c r="DUB1157" s="7"/>
      <c r="DUC1157" s="7"/>
      <c r="DUD1157" s="7"/>
      <c r="DUE1157" s="7"/>
      <c r="DUF1157" s="7"/>
      <c r="DUG1157" s="7"/>
      <c r="DUH1157" s="7"/>
      <c r="DUI1157" s="7"/>
      <c r="DUJ1157" s="7"/>
      <c r="DUK1157" s="7"/>
      <c r="DUL1157" s="7"/>
      <c r="DUM1157" s="7"/>
      <c r="DUN1157" s="7"/>
      <c r="DUO1157" s="7"/>
      <c r="DUP1157" s="7"/>
      <c r="DUQ1157" s="7"/>
      <c r="DUR1157" s="7"/>
      <c r="DUS1157" s="7"/>
      <c r="DUT1157" s="7"/>
      <c r="DUU1157" s="7"/>
      <c r="DUV1157" s="7"/>
      <c r="DUW1157" s="7"/>
      <c r="DUX1157" s="7"/>
      <c r="DUY1157" s="7"/>
      <c r="DUZ1157" s="7"/>
      <c r="DVA1157" s="7"/>
      <c r="DVB1157" s="7"/>
      <c r="DVC1157" s="7"/>
      <c r="DVD1157" s="7"/>
      <c r="DVE1157" s="7"/>
      <c r="DVF1157" s="7"/>
      <c r="DVG1157" s="7"/>
      <c r="DVH1157" s="7"/>
      <c r="DVI1157" s="7"/>
      <c r="DVJ1157" s="7"/>
      <c r="DVK1157" s="7"/>
      <c r="DVL1157" s="7"/>
      <c r="DVM1157" s="7"/>
      <c r="DVN1157" s="7"/>
      <c r="DVO1157" s="7"/>
      <c r="DVP1157" s="7"/>
      <c r="DVQ1157" s="7"/>
      <c r="DVR1157" s="7"/>
      <c r="DVS1157" s="7"/>
      <c r="DVT1157" s="7"/>
      <c r="DVU1157" s="7"/>
      <c r="DVV1157" s="7"/>
      <c r="DVW1157" s="7"/>
      <c r="DVX1157" s="7"/>
      <c r="DVY1157" s="7"/>
      <c r="DVZ1157" s="7"/>
      <c r="DWA1157" s="7"/>
      <c r="DWB1157" s="7"/>
      <c r="DWC1157" s="7"/>
      <c r="DWD1157" s="7"/>
      <c r="DWE1157" s="7"/>
      <c r="DWF1157" s="7"/>
      <c r="DWG1157" s="7"/>
      <c r="DWH1157" s="7"/>
      <c r="DWI1157" s="7"/>
      <c r="DWJ1157" s="7"/>
      <c r="DWK1157" s="7"/>
      <c r="DWL1157" s="7"/>
      <c r="DWM1157" s="7"/>
      <c r="DWN1157" s="7"/>
      <c r="DWO1157" s="7"/>
      <c r="DWP1157" s="7"/>
      <c r="DWQ1157" s="7"/>
      <c r="DWR1157" s="7"/>
      <c r="DWS1157" s="7"/>
      <c r="DWT1157" s="7"/>
      <c r="DWU1157" s="7"/>
      <c r="DWV1157" s="7"/>
      <c r="DWW1157" s="7"/>
      <c r="DWX1157" s="7"/>
      <c r="DWY1157" s="7"/>
      <c r="DWZ1157" s="7"/>
      <c r="DXA1157" s="7"/>
      <c r="DXB1157" s="7"/>
      <c r="DXC1157" s="7"/>
      <c r="DXD1157" s="7"/>
      <c r="DXE1157" s="7"/>
      <c r="DXF1157" s="7"/>
      <c r="DXG1157" s="7"/>
      <c r="DXH1157" s="7"/>
      <c r="DXI1157" s="7"/>
      <c r="DXJ1157" s="7"/>
      <c r="DXK1157" s="7"/>
      <c r="DXL1157" s="7"/>
      <c r="DXM1157" s="7"/>
      <c r="DXN1157" s="7"/>
      <c r="DXO1157" s="7"/>
      <c r="DXP1157" s="7"/>
      <c r="DXQ1157" s="7"/>
      <c r="DXR1157" s="7"/>
      <c r="DXS1157" s="7"/>
      <c r="DXT1157" s="7"/>
      <c r="DXU1157" s="7"/>
      <c r="DXV1157" s="7"/>
      <c r="DXW1157" s="7"/>
      <c r="DXX1157" s="7"/>
      <c r="DXY1157" s="7"/>
      <c r="DXZ1157" s="7"/>
      <c r="DYA1157" s="7"/>
      <c r="DYB1157" s="7"/>
      <c r="DYC1157" s="7"/>
      <c r="DYD1157" s="7"/>
      <c r="DYE1157" s="7"/>
      <c r="DYF1157" s="7"/>
      <c r="DYG1157" s="7"/>
      <c r="DYH1157" s="7"/>
      <c r="DYI1157" s="7"/>
      <c r="DYJ1157" s="7"/>
      <c r="DYK1157" s="7"/>
      <c r="DYL1157" s="7"/>
      <c r="DYM1157" s="7"/>
      <c r="DYN1157" s="7"/>
      <c r="DYO1157" s="7"/>
      <c r="DYP1157" s="7"/>
      <c r="DYQ1157" s="7"/>
      <c r="DYR1157" s="7"/>
      <c r="DYS1157" s="7"/>
      <c r="DYT1157" s="7"/>
      <c r="DYU1157" s="7"/>
      <c r="DYV1157" s="7"/>
      <c r="DYW1157" s="7"/>
      <c r="DYX1157" s="7"/>
      <c r="DYY1157" s="7"/>
      <c r="DYZ1157" s="7"/>
      <c r="DZA1157" s="7"/>
      <c r="DZB1157" s="7"/>
      <c r="DZC1157" s="7"/>
      <c r="DZD1157" s="7"/>
      <c r="DZE1157" s="7"/>
      <c r="DZF1157" s="7"/>
      <c r="DZG1157" s="7"/>
      <c r="DZH1157" s="7"/>
      <c r="DZI1157" s="7"/>
      <c r="DZJ1157" s="7"/>
      <c r="DZK1157" s="7"/>
      <c r="DZL1157" s="7"/>
      <c r="DZM1157" s="7"/>
      <c r="DZN1157" s="7"/>
      <c r="DZO1157" s="7"/>
      <c r="DZP1157" s="7"/>
      <c r="DZQ1157" s="7"/>
      <c r="DZR1157" s="7"/>
      <c r="DZS1157" s="7"/>
      <c r="DZT1157" s="7"/>
      <c r="DZU1157" s="7"/>
      <c r="DZV1157" s="7"/>
      <c r="DZW1157" s="7"/>
      <c r="DZX1157" s="7"/>
      <c r="DZY1157" s="7"/>
      <c r="DZZ1157" s="7"/>
      <c r="EAA1157" s="7"/>
      <c r="EAB1157" s="7"/>
      <c r="EAC1157" s="7"/>
      <c r="EAD1157" s="7"/>
      <c r="EAE1157" s="7"/>
      <c r="EAF1157" s="7"/>
      <c r="EAG1157" s="7"/>
      <c r="EAH1157" s="7"/>
      <c r="EAI1157" s="7"/>
      <c r="EAJ1157" s="7"/>
      <c r="EAK1157" s="7"/>
      <c r="EAL1157" s="7"/>
      <c r="EAM1157" s="7"/>
      <c r="EAN1157" s="7"/>
      <c r="EAO1157" s="7"/>
      <c r="EAP1157" s="7"/>
      <c r="EAQ1157" s="7"/>
      <c r="EAR1157" s="7"/>
      <c r="EAS1157" s="7"/>
      <c r="EAT1157" s="7"/>
      <c r="EAU1157" s="7"/>
      <c r="EAV1157" s="7"/>
      <c r="EAW1157" s="7"/>
      <c r="EAX1157" s="7"/>
      <c r="EAY1157" s="7"/>
      <c r="EAZ1157" s="7"/>
      <c r="EBA1157" s="7"/>
      <c r="EBB1157" s="7"/>
      <c r="EBC1157" s="7"/>
      <c r="EBD1157" s="7"/>
      <c r="EBE1157" s="7"/>
      <c r="EBF1157" s="7"/>
      <c r="EBG1157" s="7"/>
      <c r="EBH1157" s="7"/>
      <c r="EBI1157" s="7"/>
      <c r="EBJ1157" s="7"/>
      <c r="EBK1157" s="7"/>
      <c r="EBL1157" s="7"/>
      <c r="EBM1157" s="7"/>
      <c r="EBN1157" s="7"/>
      <c r="EBO1157" s="7"/>
      <c r="EBP1157" s="7"/>
      <c r="EBQ1157" s="7"/>
      <c r="EBR1157" s="7"/>
      <c r="EBS1157" s="7"/>
      <c r="EBT1157" s="7"/>
      <c r="EBU1157" s="7"/>
      <c r="EBV1157" s="7"/>
      <c r="EBW1157" s="7"/>
      <c r="EBX1157" s="7"/>
      <c r="EBY1157" s="7"/>
      <c r="EBZ1157" s="7"/>
      <c r="ECA1157" s="7"/>
      <c r="ECB1157" s="7"/>
      <c r="ECC1157" s="7"/>
      <c r="ECD1157" s="7"/>
      <c r="ECE1157" s="7"/>
      <c r="ECF1157" s="7"/>
      <c r="ECG1157" s="7"/>
      <c r="ECH1157" s="7"/>
      <c r="ECI1157" s="7"/>
      <c r="ECJ1157" s="7"/>
      <c r="ECK1157" s="7"/>
      <c r="ECL1157" s="7"/>
      <c r="ECM1157" s="7"/>
      <c r="ECN1157" s="7"/>
      <c r="ECO1157" s="7"/>
      <c r="ECP1157" s="7"/>
      <c r="ECQ1157" s="7"/>
      <c r="ECR1157" s="7"/>
      <c r="ECS1157" s="7"/>
      <c r="ECT1157" s="7"/>
      <c r="ECU1157" s="7"/>
      <c r="ECV1157" s="7"/>
      <c r="ECW1157" s="7"/>
      <c r="ECX1157" s="7"/>
      <c r="ECY1157" s="7"/>
      <c r="ECZ1157" s="7"/>
      <c r="EDA1157" s="7"/>
      <c r="EDB1157" s="7"/>
      <c r="EDC1157" s="7"/>
      <c r="EDD1157" s="7"/>
      <c r="EDE1157" s="7"/>
      <c r="EDF1157" s="7"/>
      <c r="EDG1157" s="7"/>
      <c r="EDH1157" s="7"/>
      <c r="EDI1157" s="7"/>
      <c r="EDJ1157" s="7"/>
      <c r="EDK1157" s="7"/>
      <c r="EDL1157" s="7"/>
      <c r="EDM1157" s="7"/>
      <c r="EDN1157" s="7"/>
      <c r="EDO1157" s="7"/>
      <c r="EDP1157" s="7"/>
      <c r="EDQ1157" s="7"/>
      <c r="EDR1157" s="7"/>
      <c r="EDS1157" s="7"/>
      <c r="EDT1157" s="7"/>
      <c r="EDU1157" s="7"/>
      <c r="EDV1157" s="7"/>
      <c r="EDW1157" s="7"/>
      <c r="EDX1157" s="7"/>
      <c r="EDY1157" s="7"/>
      <c r="EDZ1157" s="7"/>
      <c r="EEA1157" s="7"/>
      <c r="EEB1157" s="7"/>
      <c r="EEC1157" s="7"/>
      <c r="EED1157" s="7"/>
      <c r="EEE1157" s="7"/>
      <c r="EEF1157" s="7"/>
      <c r="EEG1157" s="7"/>
      <c r="EEH1157" s="7"/>
      <c r="EEI1157" s="7"/>
      <c r="EEJ1157" s="7"/>
      <c r="EEK1157" s="7"/>
      <c r="EEL1157" s="7"/>
      <c r="EEM1157" s="7"/>
      <c r="EEN1157" s="7"/>
      <c r="EEO1157" s="7"/>
      <c r="EEP1157" s="7"/>
      <c r="EEQ1157" s="7"/>
      <c r="EER1157" s="7"/>
      <c r="EES1157" s="7"/>
      <c r="EET1157" s="7"/>
      <c r="EEU1157" s="7"/>
      <c r="EEV1157" s="7"/>
      <c r="EEW1157" s="7"/>
      <c r="EEX1157" s="7"/>
      <c r="EEY1157" s="7"/>
      <c r="EEZ1157" s="7"/>
      <c r="EFA1157" s="7"/>
      <c r="EFB1157" s="7"/>
      <c r="EFC1157" s="7"/>
      <c r="EFD1157" s="7"/>
      <c r="EFE1157" s="7"/>
      <c r="EFF1157" s="7"/>
      <c r="EFG1157" s="7"/>
      <c r="EFH1157" s="7"/>
      <c r="EFI1157" s="7"/>
      <c r="EFJ1157" s="7"/>
      <c r="EFK1157" s="7"/>
      <c r="EFL1157" s="7"/>
      <c r="EFM1157" s="7"/>
      <c r="EFN1157" s="7"/>
      <c r="EFO1157" s="7"/>
      <c r="EFP1157" s="7"/>
      <c r="EFQ1157" s="7"/>
      <c r="EFR1157" s="7"/>
      <c r="EFS1157" s="7"/>
      <c r="EFT1157" s="7"/>
      <c r="EFU1157" s="7"/>
      <c r="EFV1157" s="7"/>
      <c r="EFW1157" s="7"/>
      <c r="EFX1157" s="7"/>
      <c r="EFY1157" s="7"/>
      <c r="EFZ1157" s="7"/>
      <c r="EGA1157" s="7"/>
      <c r="EGB1157" s="7"/>
      <c r="EGC1157" s="7"/>
      <c r="EGD1157" s="7"/>
      <c r="EGE1157" s="7"/>
      <c r="EGF1157" s="7"/>
      <c r="EGG1157" s="7"/>
      <c r="EGH1157" s="7"/>
      <c r="EGI1157" s="7"/>
      <c r="EGJ1157" s="7"/>
      <c r="EGK1157" s="7"/>
      <c r="EGL1157" s="7"/>
      <c r="EGM1157" s="7"/>
      <c r="EGN1157" s="7"/>
      <c r="EGO1157" s="7"/>
      <c r="EGP1157" s="7"/>
      <c r="EGQ1157" s="7"/>
      <c r="EGR1157" s="7"/>
      <c r="EGS1157" s="7"/>
      <c r="EGT1157" s="7"/>
      <c r="EGU1157" s="7"/>
      <c r="EGV1157" s="7"/>
      <c r="EGW1157" s="7"/>
      <c r="EGX1157" s="7"/>
      <c r="EGY1157" s="7"/>
      <c r="EGZ1157" s="7"/>
      <c r="EHA1157" s="7"/>
      <c r="EHB1157" s="7"/>
      <c r="EHC1157" s="7"/>
      <c r="EHD1157" s="7"/>
      <c r="EHE1157" s="7"/>
      <c r="EHF1157" s="7"/>
      <c r="EHG1157" s="7"/>
      <c r="EHH1157" s="7"/>
      <c r="EHI1157" s="7"/>
      <c r="EHJ1157" s="7"/>
      <c r="EHK1157" s="7"/>
      <c r="EHL1157" s="7"/>
      <c r="EHM1157" s="7"/>
      <c r="EHN1157" s="7"/>
      <c r="EHO1157" s="7"/>
      <c r="EHP1157" s="7"/>
      <c r="EHQ1157" s="7"/>
      <c r="EHR1157" s="7"/>
      <c r="EHS1157" s="7"/>
      <c r="EHT1157" s="7"/>
      <c r="EHU1157" s="7"/>
      <c r="EHV1157" s="7"/>
      <c r="EHW1157" s="7"/>
      <c r="EHX1157" s="7"/>
      <c r="EHY1157" s="7"/>
      <c r="EHZ1157" s="7"/>
      <c r="EIA1157" s="7"/>
      <c r="EIB1157" s="7"/>
      <c r="EIC1157" s="7"/>
      <c r="EID1157" s="7"/>
      <c r="EIE1157" s="7"/>
      <c r="EIF1157" s="7"/>
      <c r="EIG1157" s="7"/>
      <c r="EIH1157" s="7"/>
      <c r="EII1157" s="7"/>
      <c r="EIJ1157" s="7"/>
      <c r="EIK1157" s="7"/>
      <c r="EIL1157" s="7"/>
      <c r="EIM1157" s="7"/>
      <c r="EIN1157" s="7"/>
      <c r="EIO1157" s="7"/>
      <c r="EIP1157" s="7"/>
      <c r="EIQ1157" s="7"/>
      <c r="EIR1157" s="7"/>
      <c r="EIS1157" s="7"/>
      <c r="EIT1157" s="7"/>
      <c r="EIU1157" s="7"/>
      <c r="EIV1157" s="7"/>
      <c r="EIW1157" s="7"/>
      <c r="EIX1157" s="7"/>
      <c r="EIY1157" s="7"/>
      <c r="EIZ1157" s="7"/>
      <c r="EJA1157" s="7"/>
      <c r="EJB1157" s="7"/>
      <c r="EJC1157" s="7"/>
      <c r="EJD1157" s="7"/>
      <c r="EJE1157" s="7"/>
      <c r="EJF1157" s="7"/>
      <c r="EJG1157" s="7"/>
      <c r="EJH1157" s="7"/>
      <c r="EJI1157" s="7"/>
      <c r="EJJ1157" s="7"/>
      <c r="EJK1157" s="7"/>
      <c r="EJL1157" s="7"/>
      <c r="EJM1157" s="7"/>
      <c r="EJN1157" s="7"/>
      <c r="EJO1157" s="7"/>
      <c r="EJP1157" s="7"/>
      <c r="EJQ1157" s="7"/>
      <c r="EJR1157" s="7"/>
      <c r="EJS1157" s="7"/>
      <c r="EJT1157" s="7"/>
      <c r="EJU1157" s="7"/>
      <c r="EJV1157" s="7"/>
      <c r="EJW1157" s="7"/>
      <c r="EJX1157" s="7"/>
      <c r="EJY1157" s="7"/>
      <c r="EJZ1157" s="7"/>
      <c r="EKA1157" s="7"/>
      <c r="EKB1157" s="7"/>
      <c r="EKC1157" s="7"/>
      <c r="EKD1157" s="7"/>
      <c r="EKE1157" s="7"/>
      <c r="EKF1157" s="7"/>
      <c r="EKG1157" s="7"/>
      <c r="EKH1157" s="7"/>
      <c r="EKI1157" s="7"/>
      <c r="EKJ1157" s="7"/>
      <c r="EKK1157" s="7"/>
      <c r="EKL1157" s="7"/>
      <c r="EKM1157" s="7"/>
      <c r="EKN1157" s="7"/>
      <c r="EKO1157" s="7"/>
      <c r="EKP1157" s="7"/>
      <c r="EKQ1157" s="7"/>
      <c r="EKR1157" s="7"/>
      <c r="EKS1157" s="7"/>
      <c r="EKT1157" s="7"/>
      <c r="EKU1157" s="7"/>
      <c r="EKV1157" s="7"/>
      <c r="EKW1157" s="7"/>
      <c r="EKX1157" s="7"/>
      <c r="EKY1157" s="7"/>
      <c r="EKZ1157" s="7"/>
      <c r="ELA1157" s="7"/>
      <c r="ELB1157" s="7"/>
      <c r="ELC1157" s="7"/>
      <c r="ELD1157" s="7"/>
      <c r="ELE1157" s="7"/>
      <c r="ELF1157" s="7"/>
      <c r="ELG1157" s="7"/>
      <c r="ELH1157" s="7"/>
      <c r="ELI1157" s="7"/>
      <c r="ELJ1157" s="7"/>
      <c r="ELK1157" s="7"/>
      <c r="ELL1157" s="7"/>
      <c r="ELM1157" s="7"/>
      <c r="ELN1157" s="7"/>
      <c r="ELO1157" s="7"/>
      <c r="ELP1157" s="7"/>
      <c r="ELQ1157" s="7"/>
      <c r="ELR1157" s="7"/>
      <c r="ELS1157" s="7"/>
      <c r="ELT1157" s="7"/>
      <c r="ELU1157" s="7"/>
      <c r="ELV1157" s="7"/>
      <c r="ELW1157" s="7"/>
      <c r="ELX1157" s="7"/>
      <c r="ELY1157" s="7"/>
      <c r="ELZ1157" s="7"/>
      <c r="EMA1157" s="7"/>
      <c r="EMB1157" s="7"/>
      <c r="EMC1157" s="7"/>
      <c r="EMD1157" s="7"/>
      <c r="EME1157" s="7"/>
      <c r="EMF1157" s="7"/>
      <c r="EMG1157" s="7"/>
      <c r="EMH1157" s="7"/>
      <c r="EMI1157" s="7"/>
      <c r="EMJ1157" s="7"/>
      <c r="EMK1157" s="7"/>
      <c r="EML1157" s="7"/>
      <c r="EMM1157" s="7"/>
      <c r="EMN1157" s="7"/>
      <c r="EMO1157" s="7"/>
      <c r="EMP1157" s="7"/>
      <c r="EMQ1157" s="7"/>
      <c r="EMR1157" s="7"/>
      <c r="EMS1157" s="7"/>
      <c r="EMT1157" s="7"/>
      <c r="EMU1157" s="7"/>
      <c r="EMV1157" s="7"/>
      <c r="EMW1157" s="7"/>
      <c r="EMX1157" s="7"/>
      <c r="EMY1157" s="7"/>
      <c r="EMZ1157" s="7"/>
      <c r="ENA1157" s="7"/>
      <c r="ENB1157" s="7"/>
      <c r="ENC1157" s="7"/>
      <c r="END1157" s="7"/>
      <c r="ENE1157" s="7"/>
      <c r="ENF1157" s="7"/>
      <c r="ENG1157" s="7"/>
      <c r="ENH1157" s="7"/>
      <c r="ENI1157" s="7"/>
      <c r="ENJ1157" s="7"/>
      <c r="ENK1157" s="7"/>
      <c r="ENL1157" s="7"/>
      <c r="ENM1157" s="7"/>
      <c r="ENN1157" s="7"/>
      <c r="ENO1157" s="7"/>
      <c r="ENP1157" s="7"/>
      <c r="ENQ1157" s="7"/>
      <c r="ENR1157" s="7"/>
      <c r="ENS1157" s="7"/>
      <c r="ENT1157" s="7"/>
      <c r="ENU1157" s="7"/>
      <c r="ENV1157" s="7"/>
      <c r="ENW1157" s="7"/>
      <c r="ENX1157" s="7"/>
      <c r="ENY1157" s="7"/>
      <c r="ENZ1157" s="7"/>
      <c r="EOA1157" s="7"/>
      <c r="EOB1157" s="7"/>
      <c r="EOC1157" s="7"/>
      <c r="EOD1157" s="7"/>
      <c r="EOE1157" s="7"/>
      <c r="EOF1157" s="7"/>
      <c r="EOG1157" s="7"/>
      <c r="EOH1157" s="7"/>
      <c r="EOI1157" s="7"/>
      <c r="EOJ1157" s="7"/>
      <c r="EOK1157" s="7"/>
      <c r="EOL1157" s="7"/>
      <c r="EOM1157" s="7"/>
      <c r="EON1157" s="7"/>
      <c r="EOO1157" s="7"/>
      <c r="EOP1157" s="7"/>
      <c r="EOQ1157" s="7"/>
      <c r="EOR1157" s="7"/>
      <c r="EOS1157" s="7"/>
      <c r="EOT1157" s="7"/>
      <c r="EOU1157" s="7"/>
      <c r="EOV1157" s="7"/>
      <c r="EOW1157" s="7"/>
      <c r="EOX1157" s="7"/>
      <c r="EOY1157" s="7"/>
      <c r="EOZ1157" s="7"/>
      <c r="EPA1157" s="7"/>
      <c r="EPB1157" s="7"/>
      <c r="EPC1157" s="7"/>
      <c r="EPD1157" s="7"/>
      <c r="EPE1157" s="7"/>
      <c r="EPF1157" s="7"/>
      <c r="EPG1157" s="7"/>
      <c r="EPH1157" s="7"/>
      <c r="EPI1157" s="7"/>
      <c r="EPJ1157" s="7"/>
      <c r="EPK1157" s="7"/>
      <c r="EPL1157" s="7"/>
      <c r="EPM1157" s="7"/>
      <c r="EPN1157" s="7"/>
      <c r="EPO1157" s="7"/>
      <c r="EPP1157" s="7"/>
      <c r="EPQ1157" s="7"/>
      <c r="EPR1157" s="7"/>
      <c r="EPS1157" s="7"/>
      <c r="EPT1157" s="7"/>
      <c r="EPU1157" s="7"/>
      <c r="EPV1157" s="7"/>
      <c r="EPW1157" s="7"/>
      <c r="EPX1157" s="7"/>
      <c r="EPY1157" s="7"/>
      <c r="EPZ1157" s="7"/>
      <c r="EQA1157" s="7"/>
      <c r="EQB1157" s="7"/>
      <c r="EQC1157" s="7"/>
      <c r="EQD1157" s="7"/>
      <c r="EQE1157" s="7"/>
      <c r="EQF1157" s="7"/>
      <c r="EQG1157" s="7"/>
      <c r="EQH1157" s="7"/>
      <c r="EQI1157" s="7"/>
      <c r="EQJ1157" s="7"/>
      <c r="EQK1157" s="7"/>
      <c r="EQL1157" s="7"/>
      <c r="EQM1157" s="7"/>
      <c r="EQN1157" s="7"/>
      <c r="EQO1157" s="7"/>
      <c r="EQP1157" s="7"/>
      <c r="EQQ1157" s="7"/>
      <c r="EQR1157" s="7"/>
      <c r="EQS1157" s="7"/>
      <c r="EQT1157" s="7"/>
      <c r="EQU1157" s="7"/>
      <c r="EQV1157" s="7"/>
      <c r="EQW1157" s="7"/>
      <c r="EQX1157" s="7"/>
      <c r="EQY1157" s="7"/>
      <c r="EQZ1157" s="7"/>
      <c r="ERA1157" s="7"/>
      <c r="ERB1157" s="7"/>
      <c r="ERC1157" s="7"/>
      <c r="ERD1157" s="7"/>
      <c r="ERE1157" s="7"/>
      <c r="ERF1157" s="7"/>
      <c r="ERG1157" s="7"/>
      <c r="ERH1157" s="7"/>
      <c r="ERI1157" s="7"/>
      <c r="ERJ1157" s="7"/>
      <c r="ERK1157" s="7"/>
      <c r="ERL1157" s="7"/>
      <c r="ERM1157" s="7"/>
      <c r="ERN1157" s="7"/>
      <c r="ERO1157" s="7"/>
      <c r="ERP1157" s="7"/>
      <c r="ERQ1157" s="7"/>
      <c r="ERR1157" s="7"/>
      <c r="ERS1157" s="7"/>
      <c r="ERT1157" s="7"/>
      <c r="ERU1157" s="7"/>
      <c r="ERV1157" s="7"/>
      <c r="ERW1157" s="7"/>
      <c r="ERX1157" s="7"/>
      <c r="ERY1157" s="7"/>
      <c r="ERZ1157" s="7"/>
      <c r="ESA1157" s="7"/>
      <c r="ESB1157" s="7"/>
      <c r="ESC1157" s="7"/>
      <c r="ESD1157" s="7"/>
      <c r="ESE1157" s="7"/>
      <c r="ESF1157" s="7"/>
      <c r="ESG1157" s="7"/>
      <c r="ESH1157" s="7"/>
      <c r="ESI1157" s="7"/>
      <c r="ESJ1157" s="7"/>
      <c r="ESK1157" s="7"/>
      <c r="ESL1157" s="7"/>
      <c r="ESM1157" s="7"/>
      <c r="ESN1157" s="7"/>
      <c r="ESO1157" s="7"/>
      <c r="ESP1157" s="7"/>
      <c r="ESQ1157" s="7"/>
      <c r="ESR1157" s="7"/>
      <c r="ESS1157" s="7"/>
      <c r="EST1157" s="7"/>
      <c r="ESU1157" s="7"/>
      <c r="ESV1157" s="7"/>
      <c r="ESW1157" s="7"/>
      <c r="ESX1157" s="7"/>
      <c r="ESY1157" s="7"/>
      <c r="ESZ1157" s="7"/>
      <c r="ETA1157" s="7"/>
      <c r="ETB1157" s="7"/>
      <c r="ETC1157" s="7"/>
      <c r="ETD1157" s="7"/>
      <c r="ETE1157" s="7"/>
      <c r="ETF1157" s="7"/>
      <c r="ETG1157" s="7"/>
      <c r="ETH1157" s="7"/>
      <c r="ETI1157" s="7"/>
      <c r="ETJ1157" s="7"/>
      <c r="ETK1157" s="7"/>
      <c r="ETL1157" s="7"/>
      <c r="ETM1157" s="7"/>
      <c r="ETN1157" s="7"/>
      <c r="ETO1157" s="7"/>
      <c r="ETP1157" s="7"/>
      <c r="ETQ1157" s="7"/>
      <c r="ETR1157" s="7"/>
      <c r="ETS1157" s="7"/>
      <c r="ETT1157" s="7"/>
      <c r="ETU1157" s="7"/>
      <c r="ETV1157" s="7"/>
      <c r="ETW1157" s="7"/>
      <c r="ETX1157" s="7"/>
      <c r="ETY1157" s="7"/>
      <c r="ETZ1157" s="7"/>
      <c r="EUA1157" s="7"/>
      <c r="EUB1157" s="7"/>
      <c r="EUC1157" s="7"/>
      <c r="EUD1157" s="7"/>
      <c r="EUE1157" s="7"/>
      <c r="EUF1157" s="7"/>
      <c r="EUG1157" s="7"/>
      <c r="EUH1157" s="7"/>
      <c r="EUI1157" s="7"/>
      <c r="EUJ1157" s="7"/>
      <c r="EUK1157" s="7"/>
      <c r="EUL1157" s="7"/>
      <c r="EUM1157" s="7"/>
      <c r="EUN1157" s="7"/>
      <c r="EUO1157" s="7"/>
      <c r="EUP1157" s="7"/>
      <c r="EUQ1157" s="7"/>
      <c r="EUR1157" s="7"/>
      <c r="EUS1157" s="7"/>
      <c r="EUT1157" s="7"/>
      <c r="EUU1157" s="7"/>
      <c r="EUV1157" s="7"/>
      <c r="EUW1157" s="7"/>
      <c r="EUX1157" s="7"/>
      <c r="EUY1157" s="7"/>
      <c r="EUZ1157" s="7"/>
      <c r="EVA1157" s="7"/>
      <c r="EVB1157" s="7"/>
      <c r="EVC1157" s="7"/>
      <c r="EVD1157" s="7"/>
      <c r="EVE1157" s="7"/>
      <c r="EVF1157" s="7"/>
      <c r="EVG1157" s="7"/>
      <c r="EVH1157" s="7"/>
      <c r="EVI1157" s="7"/>
      <c r="EVJ1157" s="7"/>
      <c r="EVK1157" s="7"/>
      <c r="EVL1157" s="7"/>
      <c r="EVM1157" s="7"/>
      <c r="EVN1157" s="7"/>
      <c r="EVO1157" s="7"/>
      <c r="EVP1157" s="7"/>
      <c r="EVQ1157" s="7"/>
      <c r="EVR1157" s="7"/>
      <c r="EVS1157" s="7"/>
      <c r="EVT1157" s="7"/>
      <c r="EVU1157" s="7"/>
      <c r="EVV1157" s="7"/>
      <c r="EVW1157" s="7"/>
      <c r="EVX1157" s="7"/>
      <c r="EVY1157" s="7"/>
      <c r="EVZ1157" s="7"/>
      <c r="EWA1157" s="7"/>
      <c r="EWB1157" s="7"/>
      <c r="EWC1157" s="7"/>
      <c r="EWD1157" s="7"/>
      <c r="EWE1157" s="7"/>
      <c r="EWF1157" s="7"/>
      <c r="EWG1157" s="7"/>
      <c r="EWH1157" s="7"/>
      <c r="EWI1157" s="7"/>
      <c r="EWJ1157" s="7"/>
      <c r="EWK1157" s="7"/>
      <c r="EWL1157" s="7"/>
      <c r="EWM1157" s="7"/>
      <c r="EWN1157" s="7"/>
      <c r="EWO1157" s="7"/>
      <c r="EWP1157" s="7"/>
      <c r="EWQ1157" s="7"/>
      <c r="EWR1157" s="7"/>
      <c r="EWS1157" s="7"/>
      <c r="EWT1157" s="7"/>
      <c r="EWU1157" s="7"/>
      <c r="EWV1157" s="7"/>
      <c r="EWW1157" s="7"/>
      <c r="EWX1157" s="7"/>
      <c r="EWY1157" s="7"/>
      <c r="EWZ1157" s="7"/>
      <c r="EXA1157" s="7"/>
      <c r="EXB1157" s="7"/>
      <c r="EXC1157" s="7"/>
      <c r="EXD1157" s="7"/>
      <c r="EXE1157" s="7"/>
      <c r="EXF1157" s="7"/>
      <c r="EXG1157" s="7"/>
      <c r="EXH1157" s="7"/>
      <c r="EXI1157" s="7"/>
      <c r="EXJ1157" s="7"/>
      <c r="EXK1157" s="7"/>
      <c r="EXL1157" s="7"/>
      <c r="EXM1157" s="7"/>
      <c r="EXN1157" s="7"/>
      <c r="EXO1157" s="7"/>
      <c r="EXP1157" s="7"/>
      <c r="EXQ1157" s="7"/>
      <c r="EXR1157" s="7"/>
      <c r="EXS1157" s="7"/>
      <c r="EXT1157" s="7"/>
      <c r="EXU1157" s="7"/>
      <c r="EXV1157" s="7"/>
      <c r="EXW1157" s="7"/>
      <c r="EXX1157" s="7"/>
      <c r="EXY1157" s="7"/>
      <c r="EXZ1157" s="7"/>
      <c r="EYA1157" s="7"/>
      <c r="EYB1157" s="7"/>
      <c r="EYC1157" s="7"/>
      <c r="EYD1157" s="7"/>
      <c r="EYE1157" s="7"/>
      <c r="EYF1157" s="7"/>
      <c r="EYG1157" s="7"/>
      <c r="EYH1157" s="7"/>
      <c r="EYI1157" s="7"/>
      <c r="EYJ1157" s="7"/>
      <c r="EYK1157" s="7"/>
      <c r="EYL1157" s="7"/>
      <c r="EYM1157" s="7"/>
      <c r="EYN1157" s="7"/>
      <c r="EYO1157" s="7"/>
      <c r="EYP1157" s="7"/>
      <c r="EYQ1157" s="7"/>
      <c r="EYR1157" s="7"/>
      <c r="EYS1157" s="7"/>
      <c r="EYT1157" s="7"/>
      <c r="EYU1157" s="7"/>
      <c r="EYV1157" s="7"/>
      <c r="EYW1157" s="7"/>
      <c r="EYX1157" s="7"/>
      <c r="EYY1157" s="7"/>
      <c r="EYZ1157" s="7"/>
      <c r="EZA1157" s="7"/>
      <c r="EZB1157" s="7"/>
      <c r="EZC1157" s="7"/>
      <c r="EZD1157" s="7"/>
      <c r="EZE1157" s="7"/>
      <c r="EZF1157" s="7"/>
      <c r="EZG1157" s="7"/>
      <c r="EZH1157" s="7"/>
      <c r="EZI1157" s="7"/>
      <c r="EZJ1157" s="7"/>
      <c r="EZK1157" s="7"/>
      <c r="EZL1157" s="7"/>
      <c r="EZM1157" s="7"/>
      <c r="EZN1157" s="7"/>
      <c r="EZO1157" s="7"/>
      <c r="EZP1157" s="7"/>
      <c r="EZQ1157" s="7"/>
      <c r="EZR1157" s="7"/>
      <c r="EZS1157" s="7"/>
      <c r="EZT1157" s="7"/>
      <c r="EZU1157" s="7"/>
      <c r="EZV1157" s="7"/>
      <c r="EZW1157" s="7"/>
      <c r="EZX1157" s="7"/>
      <c r="EZY1157" s="7"/>
      <c r="EZZ1157" s="7"/>
      <c r="FAA1157" s="7"/>
      <c r="FAB1157" s="7"/>
      <c r="FAC1157" s="7"/>
      <c r="FAD1157" s="7"/>
      <c r="FAE1157" s="7"/>
      <c r="FAF1157" s="7"/>
      <c r="FAG1157" s="7"/>
      <c r="FAH1157" s="7"/>
      <c r="FAI1157" s="7"/>
      <c r="FAJ1157" s="7"/>
      <c r="FAK1157" s="7"/>
      <c r="FAL1157" s="7"/>
      <c r="FAM1157" s="7"/>
      <c r="FAN1157" s="7"/>
      <c r="FAO1157" s="7"/>
      <c r="FAP1157" s="7"/>
      <c r="FAQ1157" s="7"/>
      <c r="FAR1157" s="7"/>
      <c r="FAS1157" s="7"/>
      <c r="FAT1157" s="7"/>
      <c r="FAU1157" s="7"/>
      <c r="FAV1157" s="7"/>
      <c r="FAW1157" s="7"/>
      <c r="FAX1157" s="7"/>
      <c r="FAY1157" s="7"/>
      <c r="FAZ1157" s="7"/>
      <c r="FBA1157" s="7"/>
      <c r="FBB1157" s="7"/>
      <c r="FBC1157" s="7"/>
      <c r="FBD1157" s="7"/>
      <c r="FBE1157" s="7"/>
      <c r="FBF1157" s="7"/>
      <c r="FBG1157" s="7"/>
      <c r="FBH1157" s="7"/>
      <c r="FBI1157" s="7"/>
      <c r="FBJ1157" s="7"/>
      <c r="FBK1157" s="7"/>
      <c r="FBL1157" s="7"/>
      <c r="FBM1157" s="7"/>
      <c r="FBN1157" s="7"/>
      <c r="FBO1157" s="7"/>
      <c r="FBP1157" s="7"/>
      <c r="FBQ1157" s="7"/>
      <c r="FBR1157" s="7"/>
      <c r="FBS1157" s="7"/>
      <c r="FBT1157" s="7"/>
      <c r="FBU1157" s="7"/>
      <c r="FBV1157" s="7"/>
      <c r="FBW1157" s="7"/>
      <c r="FBX1157" s="7"/>
      <c r="FBY1157" s="7"/>
      <c r="FBZ1157" s="7"/>
      <c r="FCA1157" s="7"/>
      <c r="FCB1157" s="7"/>
      <c r="FCC1157" s="7"/>
      <c r="FCD1157" s="7"/>
      <c r="FCE1157" s="7"/>
      <c r="FCF1157" s="7"/>
      <c r="FCG1157" s="7"/>
      <c r="FCH1157" s="7"/>
      <c r="FCI1157" s="7"/>
      <c r="FCJ1157" s="7"/>
      <c r="FCK1157" s="7"/>
      <c r="FCL1157" s="7"/>
      <c r="FCM1157" s="7"/>
      <c r="FCN1157" s="7"/>
      <c r="FCO1157" s="7"/>
      <c r="FCP1157" s="7"/>
      <c r="FCQ1157" s="7"/>
      <c r="FCR1157" s="7"/>
      <c r="FCS1157" s="7"/>
      <c r="FCT1157" s="7"/>
      <c r="FCU1157" s="7"/>
      <c r="FCV1157" s="7"/>
      <c r="FCW1157" s="7"/>
      <c r="FCX1157" s="7"/>
      <c r="FCY1157" s="7"/>
      <c r="FCZ1157" s="7"/>
      <c r="FDA1157" s="7"/>
      <c r="FDB1157" s="7"/>
      <c r="FDC1157" s="7"/>
      <c r="FDD1157" s="7"/>
      <c r="FDE1157" s="7"/>
      <c r="FDF1157" s="7"/>
      <c r="FDG1157" s="7"/>
      <c r="FDH1157" s="7"/>
      <c r="FDI1157" s="7"/>
      <c r="FDJ1157" s="7"/>
      <c r="FDK1157" s="7"/>
      <c r="FDL1157" s="7"/>
      <c r="FDM1157" s="7"/>
      <c r="FDN1157" s="7"/>
      <c r="FDO1157" s="7"/>
      <c r="FDP1157" s="7"/>
      <c r="FDQ1157" s="7"/>
      <c r="FDR1157" s="7"/>
      <c r="FDS1157" s="7"/>
      <c r="FDT1157" s="7"/>
      <c r="FDU1157" s="7"/>
      <c r="FDV1157" s="7"/>
      <c r="FDW1157" s="7"/>
      <c r="FDX1157" s="7"/>
      <c r="FDY1157" s="7"/>
      <c r="FDZ1157" s="7"/>
      <c r="FEA1157" s="7"/>
      <c r="FEB1157" s="7"/>
      <c r="FEC1157" s="7"/>
      <c r="FED1157" s="7"/>
      <c r="FEE1157" s="7"/>
      <c r="FEF1157" s="7"/>
      <c r="FEG1157" s="7"/>
      <c r="FEH1157" s="7"/>
      <c r="FEI1157" s="7"/>
      <c r="FEJ1157" s="7"/>
      <c r="FEK1157" s="7"/>
      <c r="FEL1157" s="7"/>
      <c r="FEM1157" s="7"/>
      <c r="FEN1157" s="7"/>
      <c r="FEO1157" s="7"/>
      <c r="FEP1157" s="7"/>
      <c r="FEQ1157" s="7"/>
      <c r="FER1157" s="7"/>
      <c r="FES1157" s="7"/>
      <c r="FET1157" s="7"/>
      <c r="FEU1157" s="7"/>
      <c r="FEV1157" s="7"/>
      <c r="FEW1157" s="7"/>
      <c r="FEX1157" s="7"/>
      <c r="FEY1157" s="7"/>
      <c r="FEZ1157" s="7"/>
      <c r="FFA1157" s="7"/>
      <c r="FFB1157" s="7"/>
      <c r="FFC1157" s="7"/>
      <c r="FFD1157" s="7"/>
      <c r="FFE1157" s="7"/>
      <c r="FFF1157" s="7"/>
      <c r="FFG1157" s="7"/>
      <c r="FFH1157" s="7"/>
      <c r="FFI1157" s="7"/>
      <c r="FFJ1157" s="7"/>
      <c r="FFK1157" s="7"/>
      <c r="FFL1157" s="7"/>
      <c r="FFM1157" s="7"/>
      <c r="FFN1157" s="7"/>
      <c r="FFO1157" s="7"/>
      <c r="FFP1157" s="7"/>
      <c r="FFQ1157" s="7"/>
      <c r="FFR1157" s="7"/>
      <c r="FFS1157" s="7"/>
      <c r="FFT1157" s="7"/>
      <c r="FFU1157" s="7"/>
      <c r="FFV1157" s="7"/>
      <c r="FFW1157" s="7"/>
      <c r="FFX1157" s="7"/>
      <c r="FFY1157" s="7"/>
      <c r="FFZ1157" s="7"/>
      <c r="FGA1157" s="7"/>
      <c r="FGB1157" s="7"/>
      <c r="FGC1157" s="7"/>
      <c r="FGD1157" s="7"/>
      <c r="FGE1157" s="7"/>
      <c r="FGF1157" s="7"/>
      <c r="FGG1157" s="7"/>
      <c r="FGH1157" s="7"/>
      <c r="FGI1157" s="7"/>
      <c r="FGJ1157" s="7"/>
      <c r="FGK1157" s="7"/>
      <c r="FGL1157" s="7"/>
      <c r="FGM1157" s="7"/>
      <c r="FGN1157" s="7"/>
      <c r="FGO1157" s="7"/>
      <c r="FGP1157" s="7"/>
      <c r="FGQ1157" s="7"/>
      <c r="FGR1157" s="7"/>
      <c r="FGS1157" s="7"/>
      <c r="FGT1157" s="7"/>
      <c r="FGU1157" s="7"/>
      <c r="FGV1157" s="7"/>
      <c r="FGW1157" s="7"/>
      <c r="FGX1157" s="7"/>
      <c r="FGY1157" s="7"/>
      <c r="FGZ1157" s="7"/>
      <c r="FHA1157" s="7"/>
      <c r="FHB1157" s="7"/>
      <c r="FHC1157" s="7"/>
      <c r="FHD1157" s="7"/>
      <c r="FHE1157" s="7"/>
      <c r="FHF1157" s="7"/>
      <c r="FHG1157" s="7"/>
      <c r="FHH1157" s="7"/>
      <c r="FHI1157" s="7"/>
      <c r="FHJ1157" s="7"/>
      <c r="FHK1157" s="7"/>
      <c r="FHL1157" s="7"/>
      <c r="FHM1157" s="7"/>
      <c r="FHN1157" s="7"/>
      <c r="FHO1157" s="7"/>
      <c r="FHP1157" s="7"/>
      <c r="FHQ1157" s="7"/>
      <c r="FHR1157" s="7"/>
      <c r="FHS1157" s="7"/>
      <c r="FHT1157" s="7"/>
      <c r="FHU1157" s="7"/>
      <c r="FHV1157" s="7"/>
      <c r="FHW1157" s="7"/>
      <c r="FHX1157" s="7"/>
      <c r="FHY1157" s="7"/>
      <c r="FHZ1157" s="7"/>
      <c r="FIA1157" s="7"/>
      <c r="FIB1157" s="7"/>
      <c r="FIC1157" s="7"/>
      <c r="FID1157" s="7"/>
      <c r="FIE1157" s="7"/>
      <c r="FIF1157" s="7"/>
      <c r="FIG1157" s="7"/>
      <c r="FIH1157" s="7"/>
      <c r="FII1157" s="7"/>
      <c r="FIJ1157" s="7"/>
      <c r="FIK1157" s="7"/>
      <c r="FIL1157" s="7"/>
      <c r="FIM1157" s="7"/>
      <c r="FIN1157" s="7"/>
      <c r="FIO1157" s="7"/>
      <c r="FIP1157" s="7"/>
      <c r="FIQ1157" s="7"/>
      <c r="FIR1157" s="7"/>
      <c r="FIS1157" s="7"/>
      <c r="FIT1157" s="7"/>
      <c r="FIU1157" s="7"/>
      <c r="FIV1157" s="7"/>
      <c r="FIW1157" s="7"/>
      <c r="FIX1157" s="7"/>
      <c r="FIY1157" s="7"/>
      <c r="FIZ1157" s="7"/>
      <c r="FJA1157" s="7"/>
      <c r="FJB1157" s="7"/>
      <c r="FJC1157" s="7"/>
      <c r="FJD1157" s="7"/>
      <c r="FJE1157" s="7"/>
      <c r="FJF1157" s="7"/>
      <c r="FJG1157" s="7"/>
      <c r="FJH1157" s="7"/>
      <c r="FJI1157" s="7"/>
      <c r="FJJ1157" s="7"/>
      <c r="FJK1157" s="7"/>
      <c r="FJL1157" s="7"/>
      <c r="FJM1157" s="7"/>
      <c r="FJN1157" s="7"/>
      <c r="FJO1157" s="7"/>
      <c r="FJP1157" s="7"/>
      <c r="FJQ1157" s="7"/>
      <c r="FJR1157" s="7"/>
      <c r="FJS1157" s="7"/>
      <c r="FJT1157" s="7"/>
      <c r="FJU1157" s="7"/>
      <c r="FJV1157" s="7"/>
      <c r="FJW1157" s="7"/>
      <c r="FJX1157" s="7"/>
      <c r="FJY1157" s="7"/>
      <c r="FJZ1157" s="7"/>
      <c r="FKA1157" s="7"/>
      <c r="FKB1157" s="7"/>
      <c r="FKC1157" s="7"/>
      <c r="FKD1157" s="7"/>
      <c r="FKE1157" s="7"/>
      <c r="FKF1157" s="7"/>
      <c r="FKG1157" s="7"/>
      <c r="FKH1157" s="7"/>
      <c r="FKI1157" s="7"/>
      <c r="FKJ1157" s="7"/>
      <c r="FKK1157" s="7"/>
      <c r="FKL1157" s="7"/>
      <c r="FKM1157" s="7"/>
      <c r="FKN1157" s="7"/>
      <c r="FKO1157" s="7"/>
      <c r="FKP1157" s="7"/>
      <c r="FKQ1157" s="7"/>
      <c r="FKR1157" s="7"/>
      <c r="FKS1157" s="7"/>
      <c r="FKT1157" s="7"/>
      <c r="FKU1157" s="7"/>
      <c r="FKV1157" s="7"/>
      <c r="FKW1157" s="7"/>
      <c r="FKX1157" s="7"/>
      <c r="FKY1157" s="7"/>
      <c r="FKZ1157" s="7"/>
      <c r="FLA1157" s="7"/>
      <c r="FLB1157" s="7"/>
      <c r="FLC1157" s="7"/>
      <c r="FLD1157" s="7"/>
      <c r="FLE1157" s="7"/>
      <c r="FLF1157" s="7"/>
      <c r="FLG1157" s="7"/>
      <c r="FLH1157" s="7"/>
      <c r="FLI1157" s="7"/>
      <c r="FLJ1157" s="7"/>
      <c r="FLK1157" s="7"/>
      <c r="FLL1157" s="7"/>
      <c r="FLM1157" s="7"/>
      <c r="FLN1157" s="7"/>
      <c r="FLO1157" s="7"/>
      <c r="FLP1157" s="7"/>
      <c r="FLQ1157" s="7"/>
      <c r="FLR1157" s="7"/>
      <c r="FLS1157" s="7"/>
      <c r="FLT1157" s="7"/>
      <c r="FLU1157" s="7"/>
      <c r="FLV1157" s="7"/>
      <c r="FLW1157" s="7"/>
      <c r="FLX1157" s="7"/>
      <c r="FLY1157" s="7"/>
      <c r="FLZ1157" s="7"/>
      <c r="FMA1157" s="7"/>
      <c r="FMB1157" s="7"/>
      <c r="FMC1157" s="7"/>
      <c r="FMD1157" s="7"/>
      <c r="FME1157" s="7"/>
      <c r="FMF1157" s="7"/>
      <c r="FMG1157" s="7"/>
      <c r="FMH1157" s="7"/>
      <c r="FMI1157" s="7"/>
      <c r="FMJ1157" s="7"/>
      <c r="FMK1157" s="7"/>
      <c r="FML1157" s="7"/>
      <c r="FMM1157" s="7"/>
      <c r="FMN1157" s="7"/>
      <c r="FMO1157" s="7"/>
      <c r="FMP1157" s="7"/>
      <c r="FMQ1157" s="7"/>
      <c r="FMR1157" s="7"/>
      <c r="FMS1157" s="7"/>
      <c r="FMT1157" s="7"/>
      <c r="FMU1157" s="7"/>
      <c r="FMV1157" s="7"/>
      <c r="FMW1157" s="7"/>
      <c r="FMX1157" s="7"/>
      <c r="FMY1157" s="7"/>
      <c r="FMZ1157" s="7"/>
      <c r="FNA1157" s="7"/>
      <c r="FNB1157" s="7"/>
      <c r="FNC1157" s="7"/>
      <c r="FND1157" s="7"/>
      <c r="FNE1157" s="7"/>
      <c r="FNF1157" s="7"/>
      <c r="FNG1157" s="7"/>
      <c r="FNH1157" s="7"/>
      <c r="FNI1157" s="7"/>
      <c r="FNJ1157" s="7"/>
      <c r="FNK1157" s="7"/>
      <c r="FNL1157" s="7"/>
      <c r="FNM1157" s="7"/>
      <c r="FNN1157" s="7"/>
      <c r="FNO1157" s="7"/>
      <c r="FNP1157" s="7"/>
      <c r="FNQ1157" s="7"/>
      <c r="FNR1157" s="7"/>
      <c r="FNS1157" s="7"/>
      <c r="FNT1157" s="7"/>
      <c r="FNU1157" s="7"/>
      <c r="FNV1157" s="7"/>
      <c r="FNW1157" s="7"/>
      <c r="FNX1157" s="7"/>
      <c r="FNY1157" s="7"/>
      <c r="FNZ1157" s="7"/>
      <c r="FOA1157" s="7"/>
      <c r="FOB1157" s="7"/>
      <c r="FOC1157" s="7"/>
      <c r="FOD1157" s="7"/>
      <c r="FOE1157" s="7"/>
      <c r="FOF1157" s="7"/>
      <c r="FOG1157" s="7"/>
      <c r="FOH1157" s="7"/>
      <c r="FOI1157" s="7"/>
      <c r="FOJ1157" s="7"/>
      <c r="FOK1157" s="7"/>
      <c r="FOL1157" s="7"/>
      <c r="FOM1157" s="7"/>
      <c r="FON1157" s="7"/>
      <c r="FOO1157" s="7"/>
      <c r="FOP1157" s="7"/>
      <c r="FOQ1157" s="7"/>
      <c r="FOR1157" s="7"/>
      <c r="FOS1157" s="7"/>
      <c r="FOT1157" s="7"/>
      <c r="FOU1157" s="7"/>
      <c r="FOV1157" s="7"/>
      <c r="FOW1157" s="7"/>
      <c r="FOX1157" s="7"/>
      <c r="FOY1157" s="7"/>
      <c r="FOZ1157" s="7"/>
      <c r="FPA1157" s="7"/>
      <c r="FPB1157" s="7"/>
      <c r="FPC1157" s="7"/>
      <c r="FPD1157" s="7"/>
      <c r="FPE1157" s="7"/>
      <c r="FPF1157" s="7"/>
      <c r="FPG1157" s="7"/>
      <c r="FPH1157" s="7"/>
      <c r="FPI1157" s="7"/>
      <c r="FPJ1157" s="7"/>
      <c r="FPK1157" s="7"/>
      <c r="FPL1157" s="7"/>
      <c r="FPM1157" s="7"/>
      <c r="FPN1157" s="7"/>
      <c r="FPO1157" s="7"/>
      <c r="FPP1157" s="7"/>
      <c r="FPQ1157" s="7"/>
      <c r="FPR1157" s="7"/>
      <c r="FPS1157" s="7"/>
      <c r="FPT1157" s="7"/>
      <c r="FPU1157" s="7"/>
      <c r="FPV1157" s="7"/>
      <c r="FPW1157" s="7"/>
      <c r="FPX1157" s="7"/>
      <c r="FPY1157" s="7"/>
      <c r="FPZ1157" s="7"/>
      <c r="FQA1157" s="7"/>
      <c r="FQB1157" s="7"/>
      <c r="FQC1157" s="7"/>
      <c r="FQD1157" s="7"/>
      <c r="FQE1157" s="7"/>
      <c r="FQF1157" s="7"/>
      <c r="FQG1157" s="7"/>
      <c r="FQH1157" s="7"/>
      <c r="FQI1157" s="7"/>
      <c r="FQJ1157" s="7"/>
      <c r="FQK1157" s="7"/>
      <c r="FQL1157" s="7"/>
      <c r="FQM1157" s="7"/>
      <c r="FQN1157" s="7"/>
      <c r="FQO1157" s="7"/>
      <c r="FQP1157" s="7"/>
      <c r="FQQ1157" s="7"/>
      <c r="FQR1157" s="7"/>
      <c r="FQS1157" s="7"/>
      <c r="FQT1157" s="7"/>
      <c r="FQU1157" s="7"/>
      <c r="FQV1157" s="7"/>
      <c r="FQW1157" s="7"/>
      <c r="FQX1157" s="7"/>
      <c r="FQY1157" s="7"/>
      <c r="FQZ1157" s="7"/>
      <c r="FRA1157" s="7"/>
      <c r="FRB1157" s="7"/>
      <c r="FRC1157" s="7"/>
      <c r="FRD1157" s="7"/>
      <c r="FRE1157" s="7"/>
      <c r="FRF1157" s="7"/>
      <c r="FRG1157" s="7"/>
      <c r="FRH1157" s="7"/>
      <c r="FRI1157" s="7"/>
      <c r="FRJ1157" s="7"/>
      <c r="FRK1157" s="7"/>
      <c r="FRL1157" s="7"/>
      <c r="FRM1157" s="7"/>
      <c r="FRN1157" s="7"/>
      <c r="FRO1157" s="7"/>
      <c r="FRP1157" s="7"/>
      <c r="FRQ1157" s="7"/>
      <c r="FRR1157" s="7"/>
      <c r="FRS1157" s="7"/>
      <c r="FRT1157" s="7"/>
      <c r="FRU1157" s="7"/>
      <c r="FRV1157" s="7"/>
      <c r="FRW1157" s="7"/>
      <c r="FRX1157" s="7"/>
      <c r="FRY1157" s="7"/>
      <c r="FRZ1157" s="7"/>
      <c r="FSA1157" s="7"/>
      <c r="FSB1157" s="7"/>
      <c r="FSC1157" s="7"/>
      <c r="FSD1157" s="7"/>
      <c r="FSE1157" s="7"/>
      <c r="FSF1157" s="7"/>
      <c r="FSG1157" s="7"/>
      <c r="FSH1157" s="7"/>
      <c r="FSI1157" s="7"/>
      <c r="FSJ1157" s="7"/>
      <c r="FSK1157" s="7"/>
      <c r="FSL1157" s="7"/>
      <c r="FSM1157" s="7"/>
      <c r="FSN1157" s="7"/>
      <c r="FSO1157" s="7"/>
      <c r="FSP1157" s="7"/>
      <c r="FSQ1157" s="7"/>
      <c r="FSR1157" s="7"/>
      <c r="FSS1157" s="7"/>
      <c r="FST1157" s="7"/>
      <c r="FSU1157" s="7"/>
      <c r="FSV1157" s="7"/>
      <c r="FSW1157" s="7"/>
      <c r="FSX1157" s="7"/>
      <c r="FSY1157" s="7"/>
      <c r="FSZ1157" s="7"/>
      <c r="FTA1157" s="7"/>
      <c r="FTB1157" s="7"/>
      <c r="FTC1157" s="7"/>
      <c r="FTD1157" s="7"/>
      <c r="FTE1157" s="7"/>
      <c r="FTF1157" s="7"/>
      <c r="FTG1157" s="7"/>
      <c r="FTH1157" s="7"/>
      <c r="FTI1157" s="7"/>
      <c r="FTJ1157" s="7"/>
      <c r="FTK1157" s="7"/>
      <c r="FTL1157" s="7"/>
      <c r="FTM1157" s="7"/>
      <c r="FTN1157" s="7"/>
      <c r="FTO1157" s="7"/>
      <c r="FTP1157" s="7"/>
      <c r="FTQ1157" s="7"/>
      <c r="FTR1157" s="7"/>
      <c r="FTS1157" s="7"/>
      <c r="FTT1157" s="7"/>
      <c r="FTU1157" s="7"/>
      <c r="FTV1157" s="7"/>
      <c r="FTW1157" s="7"/>
      <c r="FTX1157" s="7"/>
      <c r="FTY1157" s="7"/>
      <c r="FTZ1157" s="7"/>
      <c r="FUA1157" s="7"/>
      <c r="FUB1157" s="7"/>
      <c r="FUC1157" s="7"/>
      <c r="FUD1157" s="7"/>
      <c r="FUE1157" s="7"/>
      <c r="FUF1157" s="7"/>
      <c r="FUG1157" s="7"/>
      <c r="FUH1157" s="7"/>
      <c r="FUI1157" s="7"/>
      <c r="FUJ1157" s="7"/>
      <c r="FUK1157" s="7"/>
      <c r="FUL1157" s="7"/>
      <c r="FUM1157" s="7"/>
      <c r="FUN1157" s="7"/>
      <c r="FUO1157" s="7"/>
      <c r="FUP1157" s="7"/>
      <c r="FUQ1157" s="7"/>
      <c r="FUR1157" s="7"/>
      <c r="FUS1157" s="7"/>
      <c r="FUT1157" s="7"/>
      <c r="FUU1157" s="7"/>
      <c r="FUV1157" s="7"/>
      <c r="FUW1157" s="7"/>
      <c r="FUX1157" s="7"/>
      <c r="FUY1157" s="7"/>
      <c r="FUZ1157" s="7"/>
      <c r="FVA1157" s="7"/>
      <c r="FVB1157" s="7"/>
      <c r="FVC1157" s="7"/>
      <c r="FVD1157" s="7"/>
      <c r="FVE1157" s="7"/>
      <c r="FVF1157" s="7"/>
      <c r="FVG1157" s="7"/>
      <c r="FVH1157" s="7"/>
      <c r="FVI1157" s="7"/>
      <c r="FVJ1157" s="7"/>
      <c r="FVK1157" s="7"/>
      <c r="FVL1157" s="7"/>
      <c r="FVM1157" s="7"/>
      <c r="FVN1157" s="7"/>
      <c r="FVO1157" s="7"/>
      <c r="FVP1157" s="7"/>
      <c r="FVQ1157" s="7"/>
      <c r="FVR1157" s="7"/>
      <c r="FVS1157" s="7"/>
      <c r="FVT1157" s="7"/>
      <c r="FVU1157" s="7"/>
      <c r="FVV1157" s="7"/>
      <c r="FVW1157" s="7"/>
      <c r="FVX1157" s="7"/>
      <c r="FVY1157" s="7"/>
      <c r="FVZ1157" s="7"/>
      <c r="FWA1157" s="7"/>
      <c r="FWB1157" s="7"/>
      <c r="FWC1157" s="7"/>
      <c r="FWD1157" s="7"/>
      <c r="FWE1157" s="7"/>
      <c r="FWF1157" s="7"/>
      <c r="FWG1157" s="7"/>
      <c r="FWH1157" s="7"/>
      <c r="FWI1157" s="7"/>
      <c r="FWJ1157" s="7"/>
      <c r="FWK1157" s="7"/>
      <c r="FWL1157" s="7"/>
      <c r="FWM1157" s="7"/>
      <c r="FWN1157" s="7"/>
      <c r="FWO1157" s="7"/>
      <c r="FWP1157" s="7"/>
      <c r="FWQ1157" s="7"/>
      <c r="FWR1157" s="7"/>
      <c r="FWS1157" s="7"/>
      <c r="FWT1157" s="7"/>
      <c r="FWU1157" s="7"/>
      <c r="FWV1157" s="7"/>
      <c r="FWW1157" s="7"/>
      <c r="FWX1157" s="7"/>
      <c r="FWY1157" s="7"/>
      <c r="FWZ1157" s="7"/>
      <c r="FXA1157" s="7"/>
      <c r="FXB1157" s="7"/>
      <c r="FXC1157" s="7"/>
      <c r="FXD1157" s="7"/>
      <c r="FXE1157" s="7"/>
      <c r="FXF1157" s="7"/>
      <c r="FXG1157" s="7"/>
      <c r="FXH1157" s="7"/>
      <c r="FXI1157" s="7"/>
      <c r="FXJ1157" s="7"/>
      <c r="FXK1157" s="7"/>
      <c r="FXL1157" s="7"/>
      <c r="FXM1157" s="7"/>
      <c r="FXN1157" s="7"/>
      <c r="FXO1157" s="7"/>
      <c r="FXP1157" s="7"/>
      <c r="FXQ1157" s="7"/>
      <c r="FXR1157" s="7"/>
      <c r="FXS1157" s="7"/>
      <c r="FXT1157" s="7"/>
      <c r="FXU1157" s="7"/>
      <c r="FXV1157" s="7"/>
      <c r="FXW1157" s="7"/>
      <c r="FXX1157" s="7"/>
      <c r="FXY1157" s="7"/>
      <c r="FXZ1157" s="7"/>
      <c r="FYA1157" s="7"/>
      <c r="FYB1157" s="7"/>
      <c r="FYC1157" s="7"/>
      <c r="FYD1157" s="7"/>
      <c r="FYE1157" s="7"/>
      <c r="FYF1157" s="7"/>
      <c r="FYG1157" s="7"/>
      <c r="FYH1157" s="7"/>
      <c r="FYI1157" s="7"/>
      <c r="FYJ1157" s="7"/>
      <c r="FYK1157" s="7"/>
      <c r="FYL1157" s="7"/>
      <c r="FYM1157" s="7"/>
      <c r="FYN1157" s="7"/>
      <c r="FYO1157" s="7"/>
      <c r="FYP1157" s="7"/>
      <c r="FYQ1157" s="7"/>
      <c r="FYR1157" s="7"/>
      <c r="FYS1157" s="7"/>
      <c r="FYT1157" s="7"/>
      <c r="FYU1157" s="7"/>
      <c r="FYV1157" s="7"/>
      <c r="FYW1157" s="7"/>
      <c r="FYX1157" s="7"/>
      <c r="FYY1157" s="7"/>
      <c r="FYZ1157" s="7"/>
      <c r="FZA1157" s="7"/>
      <c r="FZB1157" s="7"/>
      <c r="FZC1157" s="7"/>
      <c r="FZD1157" s="7"/>
      <c r="FZE1157" s="7"/>
      <c r="FZF1157" s="7"/>
      <c r="FZG1157" s="7"/>
      <c r="FZH1157" s="7"/>
      <c r="FZI1157" s="7"/>
      <c r="FZJ1157" s="7"/>
      <c r="FZK1157" s="7"/>
      <c r="FZL1157" s="7"/>
      <c r="FZM1157" s="7"/>
      <c r="FZN1157" s="7"/>
      <c r="FZO1157" s="7"/>
      <c r="FZP1157" s="7"/>
      <c r="FZQ1157" s="7"/>
      <c r="FZR1157" s="7"/>
      <c r="FZS1157" s="7"/>
      <c r="FZT1157" s="7"/>
      <c r="FZU1157" s="7"/>
      <c r="FZV1157" s="7"/>
      <c r="FZW1157" s="7"/>
      <c r="FZX1157" s="7"/>
      <c r="FZY1157" s="7"/>
      <c r="FZZ1157" s="7"/>
      <c r="GAA1157" s="7"/>
      <c r="GAB1157" s="7"/>
      <c r="GAC1157" s="7"/>
      <c r="GAD1157" s="7"/>
      <c r="GAE1157" s="7"/>
      <c r="GAF1157" s="7"/>
      <c r="GAG1157" s="7"/>
      <c r="GAH1157" s="7"/>
      <c r="GAI1157" s="7"/>
      <c r="GAJ1157" s="7"/>
      <c r="GAK1157" s="7"/>
      <c r="GAL1157" s="7"/>
      <c r="GAM1157" s="7"/>
      <c r="GAN1157" s="7"/>
      <c r="GAO1157" s="7"/>
      <c r="GAP1157" s="7"/>
      <c r="GAQ1157" s="7"/>
      <c r="GAR1157" s="7"/>
      <c r="GAS1157" s="7"/>
      <c r="GAT1157" s="7"/>
      <c r="GAU1157" s="7"/>
      <c r="GAV1157" s="7"/>
      <c r="GAW1157" s="7"/>
      <c r="GAX1157" s="7"/>
      <c r="GAY1157" s="7"/>
      <c r="GAZ1157" s="7"/>
      <c r="GBA1157" s="7"/>
      <c r="GBB1157" s="7"/>
      <c r="GBC1157" s="7"/>
      <c r="GBD1157" s="7"/>
      <c r="GBE1157" s="7"/>
      <c r="GBF1157" s="7"/>
      <c r="GBG1157" s="7"/>
      <c r="GBH1157" s="7"/>
      <c r="GBI1157" s="7"/>
      <c r="GBJ1157" s="7"/>
      <c r="GBK1157" s="7"/>
      <c r="GBL1157" s="7"/>
      <c r="GBM1157" s="7"/>
      <c r="GBN1157" s="7"/>
      <c r="GBO1157" s="7"/>
      <c r="GBP1157" s="7"/>
      <c r="GBQ1157" s="7"/>
      <c r="GBR1157" s="7"/>
      <c r="GBS1157" s="7"/>
      <c r="GBT1157" s="7"/>
      <c r="GBU1157" s="7"/>
      <c r="GBV1157" s="7"/>
      <c r="GBW1157" s="7"/>
      <c r="GBX1157" s="7"/>
      <c r="GBY1157" s="7"/>
      <c r="GBZ1157" s="7"/>
      <c r="GCA1157" s="7"/>
      <c r="GCB1157" s="7"/>
      <c r="GCC1157" s="7"/>
      <c r="GCD1157" s="7"/>
      <c r="GCE1157" s="7"/>
      <c r="GCF1157" s="7"/>
      <c r="GCG1157" s="7"/>
      <c r="GCH1157" s="7"/>
      <c r="GCI1157" s="7"/>
      <c r="GCJ1157" s="7"/>
      <c r="GCK1157" s="7"/>
      <c r="GCL1157" s="7"/>
      <c r="GCM1157" s="7"/>
      <c r="GCN1157" s="7"/>
      <c r="GCO1157" s="7"/>
      <c r="GCP1157" s="7"/>
      <c r="GCQ1157" s="7"/>
      <c r="GCR1157" s="7"/>
      <c r="GCS1157" s="7"/>
      <c r="GCT1157" s="7"/>
      <c r="GCU1157" s="7"/>
      <c r="GCV1157" s="7"/>
      <c r="GCW1157" s="7"/>
      <c r="GCX1157" s="7"/>
      <c r="GCY1157" s="7"/>
      <c r="GCZ1157" s="7"/>
      <c r="GDA1157" s="7"/>
      <c r="GDB1157" s="7"/>
      <c r="GDC1157" s="7"/>
      <c r="GDD1157" s="7"/>
      <c r="GDE1157" s="7"/>
      <c r="GDF1157" s="7"/>
      <c r="GDG1157" s="7"/>
      <c r="GDH1157" s="7"/>
      <c r="GDI1157" s="7"/>
      <c r="GDJ1157" s="7"/>
      <c r="GDK1157" s="7"/>
      <c r="GDL1157" s="7"/>
      <c r="GDM1157" s="7"/>
      <c r="GDN1157" s="7"/>
      <c r="GDO1157" s="7"/>
      <c r="GDP1157" s="7"/>
      <c r="GDQ1157" s="7"/>
      <c r="GDR1157" s="7"/>
      <c r="GDS1157" s="7"/>
      <c r="GDT1157" s="7"/>
      <c r="GDU1157" s="7"/>
      <c r="GDV1157" s="7"/>
      <c r="GDW1157" s="7"/>
      <c r="GDX1157" s="7"/>
      <c r="GDY1157" s="7"/>
      <c r="GDZ1157" s="7"/>
      <c r="GEA1157" s="7"/>
      <c r="GEB1157" s="7"/>
      <c r="GEC1157" s="7"/>
      <c r="GED1157" s="7"/>
      <c r="GEE1157" s="7"/>
      <c r="GEF1157" s="7"/>
      <c r="GEG1157" s="7"/>
      <c r="GEH1157" s="7"/>
      <c r="GEI1157" s="7"/>
      <c r="GEJ1157" s="7"/>
      <c r="GEK1157" s="7"/>
      <c r="GEL1157" s="7"/>
      <c r="GEM1157" s="7"/>
      <c r="GEN1157" s="7"/>
      <c r="GEO1157" s="7"/>
      <c r="GEP1157" s="7"/>
      <c r="GEQ1157" s="7"/>
      <c r="GER1157" s="7"/>
      <c r="GES1157" s="7"/>
      <c r="GET1157" s="7"/>
      <c r="GEU1157" s="7"/>
      <c r="GEV1157" s="7"/>
      <c r="GEW1157" s="7"/>
      <c r="GEX1157" s="7"/>
      <c r="GEY1157" s="7"/>
      <c r="GEZ1157" s="7"/>
      <c r="GFA1157" s="7"/>
      <c r="GFB1157" s="7"/>
      <c r="GFC1157" s="7"/>
      <c r="GFD1157" s="7"/>
      <c r="GFE1157" s="7"/>
      <c r="GFF1157" s="7"/>
      <c r="GFG1157" s="7"/>
      <c r="GFH1157" s="7"/>
      <c r="GFI1157" s="7"/>
      <c r="GFJ1157" s="7"/>
      <c r="GFK1157" s="7"/>
      <c r="GFL1157" s="7"/>
      <c r="GFM1157" s="7"/>
      <c r="GFN1157" s="7"/>
      <c r="GFO1157" s="7"/>
      <c r="GFP1157" s="7"/>
      <c r="GFQ1157" s="7"/>
      <c r="GFR1157" s="7"/>
      <c r="GFS1157" s="7"/>
      <c r="GFT1157" s="7"/>
      <c r="GFU1157" s="7"/>
      <c r="GFV1157" s="7"/>
      <c r="GFW1157" s="7"/>
      <c r="GFX1157" s="7"/>
      <c r="GFY1157" s="7"/>
      <c r="GFZ1157" s="7"/>
      <c r="GGA1157" s="7"/>
      <c r="GGB1157" s="7"/>
      <c r="GGC1157" s="7"/>
      <c r="GGD1157" s="7"/>
      <c r="GGE1157" s="7"/>
      <c r="GGF1157" s="7"/>
      <c r="GGG1157" s="7"/>
      <c r="GGH1157" s="7"/>
      <c r="GGI1157" s="7"/>
      <c r="GGJ1157" s="7"/>
      <c r="GGK1157" s="7"/>
      <c r="GGL1157" s="7"/>
      <c r="GGM1157" s="7"/>
      <c r="GGN1157" s="7"/>
      <c r="GGO1157" s="7"/>
      <c r="GGP1157" s="7"/>
      <c r="GGQ1157" s="7"/>
      <c r="GGR1157" s="7"/>
      <c r="GGS1157" s="7"/>
      <c r="GGT1157" s="7"/>
      <c r="GGU1157" s="7"/>
      <c r="GGV1157" s="7"/>
      <c r="GGW1157" s="7"/>
      <c r="GGX1157" s="7"/>
      <c r="GGY1157" s="7"/>
      <c r="GGZ1157" s="7"/>
      <c r="GHA1157" s="7"/>
      <c r="GHB1157" s="7"/>
      <c r="GHC1157" s="7"/>
      <c r="GHD1157" s="7"/>
      <c r="GHE1157" s="7"/>
      <c r="GHF1157" s="7"/>
      <c r="GHG1157" s="7"/>
      <c r="GHH1157" s="7"/>
      <c r="GHI1157" s="7"/>
      <c r="GHJ1157" s="7"/>
      <c r="GHK1157" s="7"/>
      <c r="GHL1157" s="7"/>
      <c r="GHM1157" s="7"/>
      <c r="GHN1157" s="7"/>
      <c r="GHO1157" s="7"/>
      <c r="GHP1157" s="7"/>
      <c r="GHQ1157" s="7"/>
      <c r="GHR1157" s="7"/>
      <c r="GHS1157" s="7"/>
      <c r="GHT1157" s="7"/>
      <c r="GHU1157" s="7"/>
      <c r="GHV1157" s="7"/>
      <c r="GHW1157" s="7"/>
      <c r="GHX1157" s="7"/>
      <c r="GHY1157" s="7"/>
      <c r="GHZ1157" s="7"/>
      <c r="GIA1157" s="7"/>
      <c r="GIB1157" s="7"/>
      <c r="GIC1157" s="7"/>
      <c r="GID1157" s="7"/>
      <c r="GIE1157" s="7"/>
      <c r="GIF1157" s="7"/>
      <c r="GIG1157" s="7"/>
      <c r="GIH1157" s="7"/>
      <c r="GII1157" s="7"/>
      <c r="GIJ1157" s="7"/>
      <c r="GIK1157" s="7"/>
      <c r="GIL1157" s="7"/>
      <c r="GIM1157" s="7"/>
      <c r="GIN1157" s="7"/>
      <c r="GIO1157" s="7"/>
      <c r="GIP1157" s="7"/>
      <c r="GIQ1157" s="7"/>
      <c r="GIR1157" s="7"/>
      <c r="GIS1157" s="7"/>
      <c r="GIT1157" s="7"/>
      <c r="GIU1157" s="7"/>
      <c r="GIV1157" s="7"/>
      <c r="GIW1157" s="7"/>
      <c r="GIX1157" s="7"/>
      <c r="GIY1157" s="7"/>
      <c r="GIZ1157" s="7"/>
      <c r="GJA1157" s="7"/>
      <c r="GJB1157" s="7"/>
      <c r="GJC1157" s="7"/>
      <c r="GJD1157" s="7"/>
      <c r="GJE1157" s="7"/>
      <c r="GJF1157" s="7"/>
      <c r="GJG1157" s="7"/>
      <c r="GJH1157" s="7"/>
      <c r="GJI1157" s="7"/>
      <c r="GJJ1157" s="7"/>
      <c r="GJK1157" s="7"/>
      <c r="GJL1157" s="7"/>
      <c r="GJM1157" s="7"/>
      <c r="GJN1157" s="7"/>
      <c r="GJO1157" s="7"/>
      <c r="GJP1157" s="7"/>
      <c r="GJQ1157" s="7"/>
      <c r="GJR1157" s="7"/>
      <c r="GJS1157" s="7"/>
      <c r="GJT1157" s="7"/>
      <c r="GJU1157" s="7"/>
      <c r="GJV1157" s="7"/>
      <c r="GJW1157" s="7"/>
      <c r="GJX1157" s="7"/>
      <c r="GJY1157" s="7"/>
      <c r="GJZ1157" s="7"/>
      <c r="GKA1157" s="7"/>
      <c r="GKB1157" s="7"/>
      <c r="GKC1157" s="7"/>
      <c r="GKD1157" s="7"/>
      <c r="GKE1157" s="7"/>
      <c r="GKF1157" s="7"/>
      <c r="GKG1157" s="7"/>
      <c r="GKH1157" s="7"/>
      <c r="GKI1157" s="7"/>
      <c r="GKJ1157" s="7"/>
      <c r="GKK1157" s="7"/>
      <c r="GKL1157" s="7"/>
      <c r="GKM1157" s="7"/>
      <c r="GKN1157" s="7"/>
      <c r="GKO1157" s="7"/>
      <c r="GKP1157" s="7"/>
      <c r="GKQ1157" s="7"/>
      <c r="GKR1157" s="7"/>
      <c r="GKS1157" s="7"/>
      <c r="GKT1157" s="7"/>
      <c r="GKU1157" s="7"/>
      <c r="GKV1157" s="7"/>
      <c r="GKW1157" s="7"/>
      <c r="GKX1157" s="7"/>
      <c r="GKY1157" s="7"/>
      <c r="GKZ1157" s="7"/>
      <c r="GLA1157" s="7"/>
      <c r="GLB1157" s="7"/>
      <c r="GLC1157" s="7"/>
      <c r="GLD1157" s="7"/>
      <c r="GLE1157" s="7"/>
      <c r="GLF1157" s="7"/>
      <c r="GLG1157" s="7"/>
      <c r="GLH1157" s="7"/>
      <c r="GLI1157" s="7"/>
      <c r="GLJ1157" s="7"/>
      <c r="GLK1157" s="7"/>
      <c r="GLL1157" s="7"/>
      <c r="GLM1157" s="7"/>
      <c r="GLN1157" s="7"/>
      <c r="GLO1157" s="7"/>
      <c r="GLP1157" s="7"/>
      <c r="GLQ1157" s="7"/>
      <c r="GLR1157" s="7"/>
      <c r="GLS1157" s="7"/>
      <c r="GLT1157" s="7"/>
      <c r="GLU1157" s="7"/>
      <c r="GLV1157" s="7"/>
      <c r="GLW1157" s="7"/>
      <c r="GLX1157" s="7"/>
      <c r="GLY1157" s="7"/>
      <c r="GLZ1157" s="7"/>
      <c r="GMA1157" s="7"/>
      <c r="GMB1157" s="7"/>
      <c r="GMC1157" s="7"/>
      <c r="GMD1157" s="7"/>
      <c r="GME1157" s="7"/>
      <c r="GMF1157" s="7"/>
      <c r="GMG1157" s="7"/>
      <c r="GMH1157" s="7"/>
      <c r="GMI1157" s="7"/>
      <c r="GMJ1157" s="7"/>
      <c r="GMK1157" s="7"/>
      <c r="GML1157" s="7"/>
      <c r="GMM1157" s="7"/>
      <c r="GMN1157" s="7"/>
      <c r="GMO1157" s="7"/>
      <c r="GMP1157" s="7"/>
      <c r="GMQ1157" s="7"/>
      <c r="GMR1157" s="7"/>
      <c r="GMS1157" s="7"/>
      <c r="GMT1157" s="7"/>
      <c r="GMU1157" s="7"/>
      <c r="GMV1157" s="7"/>
      <c r="GMW1157" s="7"/>
      <c r="GMX1157" s="7"/>
      <c r="GMY1157" s="7"/>
      <c r="GMZ1157" s="7"/>
      <c r="GNA1157" s="7"/>
      <c r="GNB1157" s="7"/>
      <c r="GNC1157" s="7"/>
      <c r="GND1157" s="7"/>
      <c r="GNE1157" s="7"/>
      <c r="GNF1157" s="7"/>
      <c r="GNG1157" s="7"/>
      <c r="GNH1157" s="7"/>
      <c r="GNI1157" s="7"/>
      <c r="GNJ1157" s="7"/>
      <c r="GNK1157" s="7"/>
      <c r="GNL1157" s="7"/>
      <c r="GNM1157" s="7"/>
      <c r="GNN1157" s="7"/>
      <c r="GNO1157" s="7"/>
      <c r="GNP1157" s="7"/>
      <c r="GNQ1157" s="7"/>
      <c r="GNR1157" s="7"/>
      <c r="GNS1157" s="7"/>
      <c r="GNT1157" s="7"/>
      <c r="GNU1157" s="7"/>
      <c r="GNV1157" s="7"/>
      <c r="GNW1157" s="7"/>
      <c r="GNX1157" s="7"/>
      <c r="GNY1157" s="7"/>
      <c r="GNZ1157" s="7"/>
      <c r="GOA1157" s="7"/>
      <c r="GOB1157" s="7"/>
      <c r="GOC1157" s="7"/>
      <c r="GOD1157" s="7"/>
      <c r="GOE1157" s="7"/>
      <c r="GOF1157" s="7"/>
      <c r="GOG1157" s="7"/>
      <c r="GOH1157" s="7"/>
      <c r="GOI1157" s="7"/>
      <c r="GOJ1157" s="7"/>
      <c r="GOK1157" s="7"/>
      <c r="GOL1157" s="7"/>
      <c r="GOM1157" s="7"/>
      <c r="GON1157" s="7"/>
      <c r="GOO1157" s="7"/>
      <c r="GOP1157" s="7"/>
      <c r="GOQ1157" s="7"/>
      <c r="GOR1157" s="7"/>
      <c r="GOS1157" s="7"/>
      <c r="GOT1157" s="7"/>
      <c r="GOU1157" s="7"/>
      <c r="GOV1157" s="7"/>
      <c r="GOW1157" s="7"/>
      <c r="GOX1157" s="7"/>
      <c r="GOY1157" s="7"/>
      <c r="GOZ1157" s="7"/>
      <c r="GPA1157" s="7"/>
      <c r="GPB1157" s="7"/>
      <c r="GPC1157" s="7"/>
      <c r="GPD1157" s="7"/>
      <c r="GPE1157" s="7"/>
      <c r="GPF1157" s="7"/>
      <c r="GPG1157" s="7"/>
      <c r="GPH1157" s="7"/>
      <c r="GPI1157" s="7"/>
      <c r="GPJ1157" s="7"/>
      <c r="GPK1157" s="7"/>
      <c r="GPL1157" s="7"/>
      <c r="GPM1157" s="7"/>
      <c r="GPN1157" s="7"/>
      <c r="GPO1157" s="7"/>
      <c r="GPP1157" s="7"/>
      <c r="GPQ1157" s="7"/>
      <c r="GPR1157" s="7"/>
      <c r="GPS1157" s="7"/>
      <c r="GPT1157" s="7"/>
      <c r="GPU1157" s="7"/>
      <c r="GPV1157" s="7"/>
      <c r="GPW1157" s="7"/>
      <c r="GPX1157" s="7"/>
      <c r="GPY1157" s="7"/>
      <c r="GPZ1157" s="7"/>
      <c r="GQA1157" s="7"/>
      <c r="GQB1157" s="7"/>
      <c r="GQC1157" s="7"/>
      <c r="GQD1157" s="7"/>
      <c r="GQE1157" s="7"/>
      <c r="GQF1157" s="7"/>
      <c r="GQG1157" s="7"/>
      <c r="GQH1157" s="7"/>
      <c r="GQI1157" s="7"/>
      <c r="GQJ1157" s="7"/>
      <c r="GQK1157" s="7"/>
      <c r="GQL1157" s="7"/>
      <c r="GQM1157" s="7"/>
      <c r="GQN1157" s="7"/>
      <c r="GQO1157" s="7"/>
      <c r="GQP1157" s="7"/>
      <c r="GQQ1157" s="7"/>
      <c r="GQR1157" s="7"/>
      <c r="GQS1157" s="7"/>
      <c r="GQT1157" s="7"/>
      <c r="GQU1157" s="7"/>
      <c r="GQV1157" s="7"/>
      <c r="GQW1157" s="7"/>
      <c r="GQX1157" s="7"/>
      <c r="GQY1157" s="7"/>
      <c r="GQZ1157" s="7"/>
      <c r="GRA1157" s="7"/>
      <c r="GRB1157" s="7"/>
      <c r="GRC1157" s="7"/>
      <c r="GRD1157" s="7"/>
      <c r="GRE1157" s="7"/>
      <c r="GRF1157" s="7"/>
      <c r="GRG1157" s="7"/>
      <c r="GRH1157" s="7"/>
      <c r="GRI1157" s="7"/>
      <c r="GRJ1157" s="7"/>
      <c r="GRK1157" s="7"/>
      <c r="GRL1157" s="7"/>
      <c r="GRM1157" s="7"/>
      <c r="GRN1157" s="7"/>
      <c r="GRO1157" s="7"/>
      <c r="GRP1157" s="7"/>
      <c r="GRQ1157" s="7"/>
      <c r="GRR1157" s="7"/>
      <c r="GRS1157" s="7"/>
      <c r="GRT1157" s="7"/>
      <c r="GRU1157" s="7"/>
      <c r="GRV1157" s="7"/>
      <c r="GRW1157" s="7"/>
      <c r="GRX1157" s="7"/>
      <c r="GRY1157" s="7"/>
      <c r="GRZ1157" s="7"/>
      <c r="GSA1157" s="7"/>
      <c r="GSB1157" s="7"/>
      <c r="GSC1157" s="7"/>
      <c r="GSD1157" s="7"/>
      <c r="GSE1157" s="7"/>
      <c r="GSF1157" s="7"/>
      <c r="GSG1157" s="7"/>
      <c r="GSH1157" s="7"/>
      <c r="GSI1157" s="7"/>
      <c r="GSJ1157" s="7"/>
      <c r="GSK1157" s="7"/>
      <c r="GSL1157" s="7"/>
      <c r="GSM1157" s="7"/>
      <c r="GSN1157" s="7"/>
      <c r="GSO1157" s="7"/>
      <c r="GSP1157" s="7"/>
      <c r="GSQ1157" s="7"/>
      <c r="GSR1157" s="7"/>
      <c r="GSS1157" s="7"/>
      <c r="GST1157" s="7"/>
      <c r="GSU1157" s="7"/>
      <c r="GSV1157" s="7"/>
      <c r="GSW1157" s="7"/>
      <c r="GSX1157" s="7"/>
      <c r="GSY1157" s="7"/>
      <c r="GSZ1157" s="7"/>
      <c r="GTA1157" s="7"/>
      <c r="GTB1157" s="7"/>
      <c r="GTC1157" s="7"/>
      <c r="GTD1157" s="7"/>
      <c r="GTE1157" s="7"/>
      <c r="GTF1157" s="7"/>
      <c r="GTG1157" s="7"/>
      <c r="GTH1157" s="7"/>
      <c r="GTI1157" s="7"/>
      <c r="GTJ1157" s="7"/>
      <c r="GTK1157" s="7"/>
      <c r="GTL1157" s="7"/>
      <c r="GTM1157" s="7"/>
      <c r="GTN1157" s="7"/>
      <c r="GTO1157" s="7"/>
      <c r="GTP1157" s="7"/>
      <c r="GTQ1157" s="7"/>
      <c r="GTR1157" s="7"/>
      <c r="GTS1157" s="7"/>
      <c r="GTT1157" s="7"/>
      <c r="GTU1157" s="7"/>
      <c r="GTV1157" s="7"/>
      <c r="GTW1157" s="7"/>
      <c r="GTX1157" s="7"/>
      <c r="GTY1157" s="7"/>
      <c r="GTZ1157" s="7"/>
      <c r="GUA1157" s="7"/>
      <c r="GUB1157" s="7"/>
      <c r="GUC1157" s="7"/>
      <c r="GUD1157" s="7"/>
      <c r="GUE1157" s="7"/>
      <c r="GUF1157" s="7"/>
      <c r="GUG1157" s="7"/>
      <c r="GUH1157" s="7"/>
      <c r="GUI1157" s="7"/>
      <c r="GUJ1157" s="7"/>
      <c r="GUK1157" s="7"/>
      <c r="GUL1157" s="7"/>
      <c r="GUM1157" s="7"/>
      <c r="GUN1157" s="7"/>
      <c r="GUO1157" s="7"/>
      <c r="GUP1157" s="7"/>
      <c r="GUQ1157" s="7"/>
      <c r="GUR1157" s="7"/>
      <c r="GUS1157" s="7"/>
      <c r="GUT1157" s="7"/>
      <c r="GUU1157" s="7"/>
      <c r="GUV1157" s="7"/>
      <c r="GUW1157" s="7"/>
      <c r="GUX1157" s="7"/>
      <c r="GUY1157" s="7"/>
      <c r="GUZ1157" s="7"/>
      <c r="GVA1157" s="7"/>
      <c r="GVB1157" s="7"/>
      <c r="GVC1157" s="7"/>
      <c r="GVD1157" s="7"/>
      <c r="GVE1157" s="7"/>
      <c r="GVF1157" s="7"/>
      <c r="GVG1157" s="7"/>
      <c r="GVH1157" s="7"/>
      <c r="GVI1157" s="7"/>
      <c r="GVJ1157" s="7"/>
      <c r="GVK1157" s="7"/>
      <c r="GVL1157" s="7"/>
      <c r="GVM1157" s="7"/>
      <c r="GVN1157" s="7"/>
      <c r="GVO1157" s="7"/>
      <c r="GVP1157" s="7"/>
      <c r="GVQ1157" s="7"/>
      <c r="GVR1157" s="7"/>
      <c r="GVS1157" s="7"/>
      <c r="GVT1157" s="7"/>
      <c r="GVU1157" s="7"/>
      <c r="GVV1157" s="7"/>
      <c r="GVW1157" s="7"/>
      <c r="GVX1157" s="7"/>
      <c r="GVY1157" s="7"/>
      <c r="GVZ1157" s="7"/>
      <c r="GWA1157" s="7"/>
      <c r="GWB1157" s="7"/>
      <c r="GWC1157" s="7"/>
      <c r="GWD1157" s="7"/>
      <c r="GWE1157" s="7"/>
      <c r="GWF1157" s="7"/>
      <c r="GWG1157" s="7"/>
      <c r="GWH1157" s="7"/>
      <c r="GWI1157" s="7"/>
      <c r="GWJ1157" s="7"/>
      <c r="GWK1157" s="7"/>
      <c r="GWL1157" s="7"/>
      <c r="GWM1157" s="7"/>
      <c r="GWN1157" s="7"/>
      <c r="GWO1157" s="7"/>
      <c r="GWP1157" s="7"/>
      <c r="GWQ1157" s="7"/>
      <c r="GWR1157" s="7"/>
      <c r="GWS1157" s="7"/>
      <c r="GWT1157" s="7"/>
      <c r="GWU1157" s="7"/>
      <c r="GWV1157" s="7"/>
      <c r="GWW1157" s="7"/>
      <c r="GWX1157" s="7"/>
      <c r="GWY1157" s="7"/>
      <c r="GWZ1157" s="7"/>
      <c r="GXA1157" s="7"/>
      <c r="GXB1157" s="7"/>
      <c r="GXC1157" s="7"/>
      <c r="GXD1157" s="7"/>
      <c r="GXE1157" s="7"/>
      <c r="GXF1157" s="7"/>
      <c r="GXG1157" s="7"/>
      <c r="GXH1157" s="7"/>
      <c r="GXI1157" s="7"/>
      <c r="GXJ1157" s="7"/>
      <c r="GXK1157" s="7"/>
      <c r="GXL1157" s="7"/>
      <c r="GXM1157" s="7"/>
      <c r="GXN1157" s="7"/>
      <c r="GXO1157" s="7"/>
      <c r="GXP1157" s="7"/>
      <c r="GXQ1157" s="7"/>
      <c r="GXR1157" s="7"/>
      <c r="GXS1157" s="7"/>
      <c r="GXT1157" s="7"/>
      <c r="GXU1157" s="7"/>
      <c r="GXV1157" s="7"/>
      <c r="GXW1157" s="7"/>
      <c r="GXX1157" s="7"/>
      <c r="GXY1157" s="7"/>
      <c r="GXZ1157" s="7"/>
      <c r="GYA1157" s="7"/>
      <c r="GYB1157" s="7"/>
      <c r="GYC1157" s="7"/>
      <c r="GYD1157" s="7"/>
      <c r="GYE1157" s="7"/>
      <c r="GYF1157" s="7"/>
      <c r="GYG1157" s="7"/>
      <c r="GYH1157" s="7"/>
      <c r="GYI1157" s="7"/>
      <c r="GYJ1157" s="7"/>
      <c r="GYK1157" s="7"/>
      <c r="GYL1157" s="7"/>
      <c r="GYM1157" s="7"/>
      <c r="GYN1157" s="7"/>
      <c r="GYO1157" s="7"/>
      <c r="GYP1157" s="7"/>
      <c r="GYQ1157" s="7"/>
      <c r="GYR1157" s="7"/>
      <c r="GYS1157" s="7"/>
      <c r="GYT1157" s="7"/>
      <c r="GYU1157" s="7"/>
      <c r="GYV1157" s="7"/>
      <c r="GYW1157" s="7"/>
      <c r="GYX1157" s="7"/>
      <c r="GYY1157" s="7"/>
      <c r="GYZ1157" s="7"/>
      <c r="GZA1157" s="7"/>
      <c r="GZB1157" s="7"/>
      <c r="GZC1157" s="7"/>
      <c r="GZD1157" s="7"/>
      <c r="GZE1157" s="7"/>
      <c r="GZF1157" s="7"/>
      <c r="GZG1157" s="7"/>
      <c r="GZH1157" s="7"/>
      <c r="GZI1157" s="7"/>
      <c r="GZJ1157" s="7"/>
      <c r="GZK1157" s="7"/>
      <c r="GZL1157" s="7"/>
      <c r="GZM1157" s="7"/>
      <c r="GZN1157" s="7"/>
      <c r="GZO1157" s="7"/>
      <c r="GZP1157" s="7"/>
      <c r="GZQ1157" s="7"/>
      <c r="GZR1157" s="7"/>
      <c r="GZS1157" s="7"/>
      <c r="GZT1157" s="7"/>
      <c r="GZU1157" s="7"/>
      <c r="GZV1157" s="7"/>
      <c r="GZW1157" s="7"/>
      <c r="GZX1157" s="7"/>
      <c r="GZY1157" s="7"/>
      <c r="GZZ1157" s="7"/>
      <c r="HAA1157" s="7"/>
      <c r="HAB1157" s="7"/>
      <c r="HAC1157" s="7"/>
      <c r="HAD1157" s="7"/>
      <c r="HAE1157" s="7"/>
      <c r="HAF1157" s="7"/>
      <c r="HAG1157" s="7"/>
      <c r="HAH1157" s="7"/>
      <c r="HAI1157" s="7"/>
      <c r="HAJ1157" s="7"/>
      <c r="HAK1157" s="7"/>
      <c r="HAL1157" s="7"/>
      <c r="HAM1157" s="7"/>
      <c r="HAN1157" s="7"/>
      <c r="HAO1157" s="7"/>
      <c r="HAP1157" s="7"/>
      <c r="HAQ1157" s="7"/>
      <c r="HAR1157" s="7"/>
      <c r="HAS1157" s="7"/>
      <c r="HAT1157" s="7"/>
      <c r="HAU1157" s="7"/>
      <c r="HAV1157" s="7"/>
      <c r="HAW1157" s="7"/>
      <c r="HAX1157" s="7"/>
      <c r="HAY1157" s="7"/>
      <c r="HAZ1157" s="7"/>
      <c r="HBA1157" s="7"/>
      <c r="HBB1157" s="7"/>
      <c r="HBC1157" s="7"/>
      <c r="HBD1157" s="7"/>
      <c r="HBE1157" s="7"/>
      <c r="HBF1157" s="7"/>
      <c r="HBG1157" s="7"/>
      <c r="HBH1157" s="7"/>
      <c r="HBI1157" s="7"/>
      <c r="HBJ1157" s="7"/>
      <c r="HBK1157" s="7"/>
      <c r="HBL1157" s="7"/>
      <c r="HBM1157" s="7"/>
      <c r="HBN1157" s="7"/>
      <c r="HBO1157" s="7"/>
      <c r="HBP1157" s="7"/>
      <c r="HBQ1157" s="7"/>
      <c r="HBR1157" s="7"/>
      <c r="HBS1157" s="7"/>
      <c r="HBT1157" s="7"/>
      <c r="HBU1157" s="7"/>
      <c r="HBV1157" s="7"/>
      <c r="HBW1157" s="7"/>
      <c r="HBX1157" s="7"/>
      <c r="HBY1157" s="7"/>
      <c r="HBZ1157" s="7"/>
      <c r="HCA1157" s="7"/>
      <c r="HCB1157" s="7"/>
      <c r="HCC1157" s="7"/>
      <c r="HCD1157" s="7"/>
      <c r="HCE1157" s="7"/>
      <c r="HCF1157" s="7"/>
      <c r="HCG1157" s="7"/>
      <c r="HCH1157" s="7"/>
      <c r="HCI1157" s="7"/>
      <c r="HCJ1157" s="7"/>
      <c r="HCK1157" s="7"/>
      <c r="HCL1157" s="7"/>
      <c r="HCM1157" s="7"/>
      <c r="HCN1157" s="7"/>
      <c r="HCO1157" s="7"/>
      <c r="HCP1157" s="7"/>
      <c r="HCQ1157" s="7"/>
      <c r="HCR1157" s="7"/>
      <c r="HCS1157" s="7"/>
      <c r="HCT1157" s="7"/>
      <c r="HCU1157" s="7"/>
      <c r="HCV1157" s="7"/>
      <c r="HCW1157" s="7"/>
      <c r="HCX1157" s="7"/>
      <c r="HCY1157" s="7"/>
      <c r="HCZ1157" s="7"/>
      <c r="HDA1157" s="7"/>
      <c r="HDB1157" s="7"/>
      <c r="HDC1157" s="7"/>
      <c r="HDD1157" s="7"/>
      <c r="HDE1157" s="7"/>
      <c r="HDF1157" s="7"/>
      <c r="HDG1157" s="7"/>
      <c r="HDH1157" s="7"/>
      <c r="HDI1157" s="7"/>
      <c r="HDJ1157" s="7"/>
      <c r="HDK1157" s="7"/>
      <c r="HDL1157" s="7"/>
      <c r="HDM1157" s="7"/>
      <c r="HDN1157" s="7"/>
      <c r="HDO1157" s="7"/>
      <c r="HDP1157" s="7"/>
      <c r="HDQ1157" s="7"/>
      <c r="HDR1157" s="7"/>
      <c r="HDS1157" s="7"/>
      <c r="HDT1157" s="7"/>
      <c r="HDU1157" s="7"/>
      <c r="HDV1157" s="7"/>
      <c r="HDW1157" s="7"/>
      <c r="HDX1157" s="7"/>
      <c r="HDY1157" s="7"/>
      <c r="HDZ1157" s="7"/>
      <c r="HEA1157" s="7"/>
      <c r="HEB1157" s="7"/>
      <c r="HEC1157" s="7"/>
      <c r="HED1157" s="7"/>
      <c r="HEE1157" s="7"/>
      <c r="HEF1157" s="7"/>
      <c r="HEG1157" s="7"/>
      <c r="HEH1157" s="7"/>
      <c r="HEI1157" s="7"/>
      <c r="HEJ1157" s="7"/>
      <c r="HEK1157" s="7"/>
      <c r="HEL1157" s="7"/>
      <c r="HEM1157" s="7"/>
      <c r="HEN1157" s="7"/>
      <c r="HEO1157" s="7"/>
      <c r="HEP1157" s="7"/>
      <c r="HEQ1157" s="7"/>
      <c r="HER1157" s="7"/>
      <c r="HES1157" s="7"/>
      <c r="HET1157" s="7"/>
      <c r="HEU1157" s="7"/>
      <c r="HEV1157" s="7"/>
      <c r="HEW1157" s="7"/>
      <c r="HEX1157" s="7"/>
      <c r="HEY1157" s="7"/>
      <c r="HEZ1157" s="7"/>
      <c r="HFA1157" s="7"/>
      <c r="HFB1157" s="7"/>
      <c r="HFC1157" s="7"/>
      <c r="HFD1157" s="7"/>
      <c r="HFE1157" s="7"/>
      <c r="HFF1157" s="7"/>
      <c r="HFG1157" s="7"/>
      <c r="HFH1157" s="7"/>
      <c r="HFI1157" s="7"/>
      <c r="HFJ1157" s="7"/>
      <c r="HFK1157" s="7"/>
      <c r="HFL1157" s="7"/>
      <c r="HFM1157" s="7"/>
      <c r="HFN1157" s="7"/>
      <c r="HFO1157" s="7"/>
      <c r="HFP1157" s="7"/>
      <c r="HFQ1157" s="7"/>
      <c r="HFR1157" s="7"/>
      <c r="HFS1157" s="7"/>
      <c r="HFT1157" s="7"/>
      <c r="HFU1157" s="7"/>
      <c r="HFV1157" s="7"/>
      <c r="HFW1157" s="7"/>
      <c r="HFX1157" s="7"/>
      <c r="HFY1157" s="7"/>
      <c r="HFZ1157" s="7"/>
      <c r="HGA1157" s="7"/>
      <c r="HGB1157" s="7"/>
      <c r="HGC1157" s="7"/>
      <c r="HGD1157" s="7"/>
      <c r="HGE1157" s="7"/>
      <c r="HGF1157" s="7"/>
      <c r="HGG1157" s="7"/>
      <c r="HGH1157" s="7"/>
      <c r="HGI1157" s="7"/>
      <c r="HGJ1157" s="7"/>
      <c r="HGK1157" s="7"/>
      <c r="HGL1157" s="7"/>
      <c r="HGM1157" s="7"/>
      <c r="HGN1157" s="7"/>
      <c r="HGO1157" s="7"/>
      <c r="HGP1157" s="7"/>
      <c r="HGQ1157" s="7"/>
      <c r="HGR1157" s="7"/>
      <c r="HGS1157" s="7"/>
      <c r="HGT1157" s="7"/>
      <c r="HGU1157" s="7"/>
      <c r="HGV1157" s="7"/>
      <c r="HGW1157" s="7"/>
      <c r="HGX1157" s="7"/>
      <c r="HGY1157" s="7"/>
      <c r="HGZ1157" s="7"/>
      <c r="HHA1157" s="7"/>
      <c r="HHB1157" s="7"/>
      <c r="HHC1157" s="7"/>
      <c r="HHD1157" s="7"/>
      <c r="HHE1157" s="7"/>
      <c r="HHF1157" s="7"/>
      <c r="HHG1157" s="7"/>
      <c r="HHH1157" s="7"/>
      <c r="HHI1157" s="7"/>
      <c r="HHJ1157" s="7"/>
      <c r="HHK1157" s="7"/>
      <c r="HHL1157" s="7"/>
      <c r="HHM1157" s="7"/>
      <c r="HHN1157" s="7"/>
      <c r="HHO1157" s="7"/>
      <c r="HHP1157" s="7"/>
      <c r="HHQ1157" s="7"/>
      <c r="HHR1157" s="7"/>
      <c r="HHS1157" s="7"/>
      <c r="HHT1157" s="7"/>
      <c r="HHU1157" s="7"/>
      <c r="HHV1157" s="7"/>
      <c r="HHW1157" s="7"/>
      <c r="HHX1157" s="7"/>
      <c r="HHY1157" s="7"/>
      <c r="HHZ1157" s="7"/>
      <c r="HIA1157" s="7"/>
      <c r="HIB1157" s="7"/>
      <c r="HIC1157" s="7"/>
      <c r="HID1157" s="7"/>
      <c r="HIE1157" s="7"/>
      <c r="HIF1157" s="7"/>
      <c r="HIG1157" s="7"/>
      <c r="HIH1157" s="7"/>
      <c r="HII1157" s="7"/>
      <c r="HIJ1157" s="7"/>
      <c r="HIK1157" s="7"/>
      <c r="HIL1157" s="7"/>
      <c r="HIM1157" s="7"/>
      <c r="HIN1157" s="7"/>
      <c r="HIO1157" s="7"/>
      <c r="HIP1157" s="7"/>
      <c r="HIQ1157" s="7"/>
      <c r="HIR1157" s="7"/>
      <c r="HIS1157" s="7"/>
      <c r="HIT1157" s="7"/>
      <c r="HIU1157" s="7"/>
      <c r="HIV1157" s="7"/>
      <c r="HIW1157" s="7"/>
      <c r="HIX1157" s="7"/>
      <c r="HIY1157" s="7"/>
      <c r="HIZ1157" s="7"/>
      <c r="HJA1157" s="7"/>
      <c r="HJB1157" s="7"/>
      <c r="HJC1157" s="7"/>
      <c r="HJD1157" s="7"/>
      <c r="HJE1157" s="7"/>
      <c r="HJF1157" s="7"/>
      <c r="HJG1157" s="7"/>
      <c r="HJH1157" s="7"/>
      <c r="HJI1157" s="7"/>
      <c r="HJJ1157" s="7"/>
      <c r="HJK1157" s="7"/>
      <c r="HJL1157" s="7"/>
      <c r="HJM1157" s="7"/>
      <c r="HJN1157" s="7"/>
      <c r="HJO1157" s="7"/>
      <c r="HJP1157" s="7"/>
      <c r="HJQ1157" s="7"/>
      <c r="HJR1157" s="7"/>
      <c r="HJS1157" s="7"/>
      <c r="HJT1157" s="7"/>
      <c r="HJU1157" s="7"/>
      <c r="HJV1157" s="7"/>
      <c r="HJW1157" s="7"/>
      <c r="HJX1157" s="7"/>
      <c r="HJY1157" s="7"/>
      <c r="HJZ1157" s="7"/>
      <c r="HKA1157" s="7"/>
      <c r="HKB1157" s="7"/>
      <c r="HKC1157" s="7"/>
      <c r="HKD1157" s="7"/>
      <c r="HKE1157" s="7"/>
      <c r="HKF1157" s="7"/>
      <c r="HKG1157" s="7"/>
      <c r="HKH1157" s="7"/>
      <c r="HKI1157" s="7"/>
      <c r="HKJ1157" s="7"/>
      <c r="HKK1157" s="7"/>
      <c r="HKL1157" s="7"/>
      <c r="HKM1157" s="7"/>
      <c r="HKN1157" s="7"/>
      <c r="HKO1157" s="7"/>
      <c r="HKP1157" s="7"/>
      <c r="HKQ1157" s="7"/>
      <c r="HKR1157" s="7"/>
      <c r="HKS1157" s="7"/>
      <c r="HKT1157" s="7"/>
      <c r="HKU1157" s="7"/>
      <c r="HKV1157" s="7"/>
      <c r="HKW1157" s="7"/>
      <c r="HKX1157" s="7"/>
      <c r="HKY1157" s="7"/>
      <c r="HKZ1157" s="7"/>
      <c r="HLA1157" s="7"/>
      <c r="HLB1157" s="7"/>
      <c r="HLC1157" s="7"/>
      <c r="HLD1157" s="7"/>
      <c r="HLE1157" s="7"/>
      <c r="HLF1157" s="7"/>
      <c r="HLG1157" s="7"/>
      <c r="HLH1157" s="7"/>
      <c r="HLI1157" s="7"/>
      <c r="HLJ1157" s="7"/>
      <c r="HLK1157" s="7"/>
      <c r="HLL1157" s="7"/>
      <c r="HLM1157" s="7"/>
      <c r="HLN1157" s="7"/>
      <c r="HLO1157" s="7"/>
      <c r="HLP1157" s="7"/>
      <c r="HLQ1157" s="7"/>
      <c r="HLR1157" s="7"/>
      <c r="HLS1157" s="7"/>
      <c r="HLT1157" s="7"/>
      <c r="HLU1157" s="7"/>
      <c r="HLV1157" s="7"/>
      <c r="HLW1157" s="7"/>
      <c r="HLX1157" s="7"/>
      <c r="HLY1157" s="7"/>
      <c r="HLZ1157" s="7"/>
      <c r="HMA1157" s="7"/>
      <c r="HMB1157" s="7"/>
      <c r="HMC1157" s="7"/>
      <c r="HMD1157" s="7"/>
      <c r="HME1157" s="7"/>
      <c r="HMF1157" s="7"/>
      <c r="HMG1157" s="7"/>
      <c r="HMH1157" s="7"/>
      <c r="HMI1157" s="7"/>
      <c r="HMJ1157" s="7"/>
      <c r="HMK1157" s="7"/>
      <c r="HML1157" s="7"/>
      <c r="HMM1157" s="7"/>
      <c r="HMN1157" s="7"/>
      <c r="HMO1157" s="7"/>
      <c r="HMP1157" s="7"/>
      <c r="HMQ1157" s="7"/>
      <c r="HMR1157" s="7"/>
      <c r="HMS1157" s="7"/>
      <c r="HMT1157" s="7"/>
      <c r="HMU1157" s="7"/>
      <c r="HMV1157" s="7"/>
      <c r="HMW1157" s="7"/>
      <c r="HMX1157" s="7"/>
      <c r="HMY1157" s="7"/>
      <c r="HMZ1157" s="7"/>
      <c r="HNA1157" s="7"/>
      <c r="HNB1157" s="7"/>
      <c r="HNC1157" s="7"/>
      <c r="HND1157" s="7"/>
      <c r="HNE1157" s="7"/>
      <c r="HNF1157" s="7"/>
      <c r="HNG1157" s="7"/>
      <c r="HNH1157" s="7"/>
      <c r="HNI1157" s="7"/>
      <c r="HNJ1157" s="7"/>
      <c r="HNK1157" s="7"/>
      <c r="HNL1157" s="7"/>
      <c r="HNM1157" s="7"/>
      <c r="HNN1157" s="7"/>
      <c r="HNO1157" s="7"/>
      <c r="HNP1157" s="7"/>
      <c r="HNQ1157" s="7"/>
      <c r="HNR1157" s="7"/>
      <c r="HNS1157" s="7"/>
      <c r="HNT1157" s="7"/>
      <c r="HNU1157" s="7"/>
      <c r="HNV1157" s="7"/>
      <c r="HNW1157" s="7"/>
      <c r="HNX1157" s="7"/>
      <c r="HNY1157" s="7"/>
      <c r="HNZ1157" s="7"/>
      <c r="HOA1157" s="7"/>
      <c r="HOB1157" s="7"/>
      <c r="HOC1157" s="7"/>
      <c r="HOD1157" s="7"/>
      <c r="HOE1157" s="7"/>
      <c r="HOF1157" s="7"/>
      <c r="HOG1157" s="7"/>
      <c r="HOH1157" s="7"/>
      <c r="HOI1157" s="7"/>
      <c r="HOJ1157" s="7"/>
      <c r="HOK1157" s="7"/>
      <c r="HOL1157" s="7"/>
      <c r="HOM1157" s="7"/>
      <c r="HON1157" s="7"/>
      <c r="HOO1157" s="7"/>
      <c r="HOP1157" s="7"/>
      <c r="HOQ1157" s="7"/>
      <c r="HOR1157" s="7"/>
      <c r="HOS1157" s="7"/>
      <c r="HOT1157" s="7"/>
      <c r="HOU1157" s="7"/>
      <c r="HOV1157" s="7"/>
      <c r="HOW1157" s="7"/>
      <c r="HOX1157" s="7"/>
      <c r="HOY1157" s="7"/>
      <c r="HOZ1157" s="7"/>
      <c r="HPA1157" s="7"/>
      <c r="HPB1157" s="7"/>
      <c r="HPC1157" s="7"/>
      <c r="HPD1157" s="7"/>
      <c r="HPE1157" s="7"/>
      <c r="HPF1157" s="7"/>
      <c r="HPG1157" s="7"/>
      <c r="HPH1157" s="7"/>
      <c r="HPI1157" s="7"/>
      <c r="HPJ1157" s="7"/>
      <c r="HPK1157" s="7"/>
      <c r="HPL1157" s="7"/>
      <c r="HPM1157" s="7"/>
      <c r="HPN1157" s="7"/>
      <c r="HPO1157" s="7"/>
      <c r="HPP1157" s="7"/>
      <c r="HPQ1157" s="7"/>
      <c r="HPR1157" s="7"/>
      <c r="HPS1157" s="7"/>
      <c r="HPT1157" s="7"/>
      <c r="HPU1157" s="7"/>
      <c r="HPV1157" s="7"/>
      <c r="HPW1157" s="7"/>
      <c r="HPX1157" s="7"/>
      <c r="HPY1157" s="7"/>
      <c r="HPZ1157" s="7"/>
      <c r="HQA1157" s="7"/>
      <c r="HQB1157" s="7"/>
      <c r="HQC1157" s="7"/>
      <c r="HQD1157" s="7"/>
      <c r="HQE1157" s="7"/>
      <c r="HQF1157" s="7"/>
      <c r="HQG1157" s="7"/>
      <c r="HQH1157" s="7"/>
      <c r="HQI1157" s="7"/>
      <c r="HQJ1157" s="7"/>
      <c r="HQK1157" s="7"/>
      <c r="HQL1157" s="7"/>
      <c r="HQM1157" s="7"/>
      <c r="HQN1157" s="7"/>
      <c r="HQO1157" s="7"/>
      <c r="HQP1157" s="7"/>
      <c r="HQQ1157" s="7"/>
      <c r="HQR1157" s="7"/>
      <c r="HQS1157" s="7"/>
      <c r="HQT1157" s="7"/>
      <c r="HQU1157" s="7"/>
      <c r="HQV1157" s="7"/>
      <c r="HQW1157" s="7"/>
      <c r="HQX1157" s="7"/>
      <c r="HQY1157" s="7"/>
      <c r="HQZ1157" s="7"/>
      <c r="HRA1157" s="7"/>
      <c r="HRB1157" s="7"/>
      <c r="HRC1157" s="7"/>
      <c r="HRD1157" s="7"/>
      <c r="HRE1157" s="7"/>
      <c r="HRF1157" s="7"/>
      <c r="HRG1157" s="7"/>
      <c r="HRH1157" s="7"/>
      <c r="HRI1157" s="7"/>
      <c r="HRJ1157" s="7"/>
      <c r="HRK1157" s="7"/>
      <c r="HRL1157" s="7"/>
      <c r="HRM1157" s="7"/>
      <c r="HRN1157" s="7"/>
      <c r="HRO1157" s="7"/>
      <c r="HRP1157" s="7"/>
      <c r="HRQ1157" s="7"/>
      <c r="HRR1157" s="7"/>
      <c r="HRS1157" s="7"/>
      <c r="HRT1157" s="7"/>
      <c r="HRU1157" s="7"/>
      <c r="HRV1157" s="7"/>
      <c r="HRW1157" s="7"/>
      <c r="HRX1157" s="7"/>
      <c r="HRY1157" s="7"/>
      <c r="HRZ1157" s="7"/>
      <c r="HSA1157" s="7"/>
      <c r="HSB1157" s="7"/>
      <c r="HSC1157" s="7"/>
      <c r="HSD1157" s="7"/>
      <c r="HSE1157" s="7"/>
      <c r="HSF1157" s="7"/>
      <c r="HSG1157" s="7"/>
      <c r="HSH1157" s="7"/>
      <c r="HSI1157" s="7"/>
      <c r="HSJ1157" s="7"/>
      <c r="HSK1157" s="7"/>
      <c r="HSL1157" s="7"/>
      <c r="HSM1157" s="7"/>
      <c r="HSN1157" s="7"/>
      <c r="HSO1157" s="7"/>
      <c r="HSP1157" s="7"/>
      <c r="HSQ1157" s="7"/>
      <c r="HSR1157" s="7"/>
      <c r="HSS1157" s="7"/>
      <c r="HST1157" s="7"/>
      <c r="HSU1157" s="7"/>
      <c r="HSV1157" s="7"/>
      <c r="HSW1157" s="7"/>
      <c r="HSX1157" s="7"/>
      <c r="HSY1157" s="7"/>
      <c r="HSZ1157" s="7"/>
      <c r="HTA1157" s="7"/>
      <c r="HTB1157" s="7"/>
      <c r="HTC1157" s="7"/>
      <c r="HTD1157" s="7"/>
      <c r="HTE1157" s="7"/>
      <c r="HTF1157" s="7"/>
      <c r="HTG1157" s="7"/>
      <c r="HTH1157" s="7"/>
      <c r="HTI1157" s="7"/>
      <c r="HTJ1157" s="7"/>
      <c r="HTK1157" s="7"/>
      <c r="HTL1157" s="7"/>
      <c r="HTM1157" s="7"/>
      <c r="HTN1157" s="7"/>
      <c r="HTO1157" s="7"/>
      <c r="HTP1157" s="7"/>
      <c r="HTQ1157" s="7"/>
      <c r="HTR1157" s="7"/>
      <c r="HTS1157" s="7"/>
      <c r="HTT1157" s="7"/>
      <c r="HTU1157" s="7"/>
      <c r="HTV1157" s="7"/>
      <c r="HTW1157" s="7"/>
      <c r="HTX1157" s="7"/>
      <c r="HTY1157" s="7"/>
      <c r="HTZ1157" s="7"/>
      <c r="HUA1157" s="7"/>
      <c r="HUB1157" s="7"/>
      <c r="HUC1157" s="7"/>
      <c r="HUD1157" s="7"/>
      <c r="HUE1157" s="7"/>
      <c r="HUF1157" s="7"/>
      <c r="HUG1157" s="7"/>
      <c r="HUH1157" s="7"/>
      <c r="HUI1157" s="7"/>
      <c r="HUJ1157" s="7"/>
      <c r="HUK1157" s="7"/>
      <c r="HUL1157" s="7"/>
      <c r="HUM1157" s="7"/>
      <c r="HUN1157" s="7"/>
      <c r="HUO1157" s="7"/>
      <c r="HUP1157" s="7"/>
      <c r="HUQ1157" s="7"/>
      <c r="HUR1157" s="7"/>
      <c r="HUS1157" s="7"/>
      <c r="HUT1157" s="7"/>
      <c r="HUU1157" s="7"/>
      <c r="HUV1157" s="7"/>
      <c r="HUW1157" s="7"/>
      <c r="HUX1157" s="7"/>
      <c r="HUY1157" s="7"/>
      <c r="HUZ1157" s="7"/>
      <c r="HVA1157" s="7"/>
      <c r="HVB1157" s="7"/>
      <c r="HVC1157" s="7"/>
      <c r="HVD1157" s="7"/>
      <c r="HVE1157" s="7"/>
      <c r="HVF1157" s="7"/>
      <c r="HVG1157" s="7"/>
      <c r="HVH1157" s="7"/>
      <c r="HVI1157" s="7"/>
      <c r="HVJ1157" s="7"/>
      <c r="HVK1157" s="7"/>
      <c r="HVL1157" s="7"/>
      <c r="HVM1157" s="7"/>
      <c r="HVN1157" s="7"/>
      <c r="HVO1157" s="7"/>
      <c r="HVP1157" s="7"/>
      <c r="HVQ1157" s="7"/>
      <c r="HVR1157" s="7"/>
      <c r="HVS1157" s="7"/>
      <c r="HVT1157" s="7"/>
      <c r="HVU1157" s="7"/>
      <c r="HVV1157" s="7"/>
      <c r="HVW1157" s="7"/>
      <c r="HVX1157" s="7"/>
      <c r="HVY1157" s="7"/>
      <c r="HVZ1157" s="7"/>
      <c r="HWA1157" s="7"/>
      <c r="HWB1157" s="7"/>
      <c r="HWC1157" s="7"/>
      <c r="HWD1157" s="7"/>
      <c r="HWE1157" s="7"/>
      <c r="HWF1157" s="7"/>
      <c r="HWG1157" s="7"/>
      <c r="HWH1157" s="7"/>
      <c r="HWI1157" s="7"/>
      <c r="HWJ1157" s="7"/>
      <c r="HWK1157" s="7"/>
      <c r="HWL1157" s="7"/>
      <c r="HWM1157" s="7"/>
      <c r="HWN1157" s="7"/>
      <c r="HWO1157" s="7"/>
      <c r="HWP1157" s="7"/>
      <c r="HWQ1157" s="7"/>
      <c r="HWR1157" s="7"/>
      <c r="HWS1157" s="7"/>
      <c r="HWT1157" s="7"/>
      <c r="HWU1157" s="7"/>
      <c r="HWV1157" s="7"/>
      <c r="HWW1157" s="7"/>
      <c r="HWX1157" s="7"/>
      <c r="HWY1157" s="7"/>
      <c r="HWZ1157" s="7"/>
      <c r="HXA1157" s="7"/>
      <c r="HXB1157" s="7"/>
      <c r="HXC1157" s="7"/>
      <c r="HXD1157" s="7"/>
      <c r="HXE1157" s="7"/>
      <c r="HXF1157" s="7"/>
      <c r="HXG1157" s="7"/>
      <c r="HXH1157" s="7"/>
      <c r="HXI1157" s="7"/>
      <c r="HXJ1157" s="7"/>
      <c r="HXK1157" s="7"/>
      <c r="HXL1157" s="7"/>
      <c r="HXM1157" s="7"/>
      <c r="HXN1157" s="7"/>
      <c r="HXO1157" s="7"/>
      <c r="HXP1157" s="7"/>
      <c r="HXQ1157" s="7"/>
      <c r="HXR1157" s="7"/>
      <c r="HXS1157" s="7"/>
      <c r="HXT1157" s="7"/>
      <c r="HXU1157" s="7"/>
      <c r="HXV1157" s="7"/>
      <c r="HXW1157" s="7"/>
      <c r="HXX1157" s="7"/>
      <c r="HXY1157" s="7"/>
      <c r="HXZ1157" s="7"/>
      <c r="HYA1157" s="7"/>
      <c r="HYB1157" s="7"/>
      <c r="HYC1157" s="7"/>
      <c r="HYD1157" s="7"/>
      <c r="HYE1157" s="7"/>
      <c r="HYF1157" s="7"/>
      <c r="HYG1157" s="7"/>
      <c r="HYH1157" s="7"/>
      <c r="HYI1157" s="7"/>
      <c r="HYJ1157" s="7"/>
      <c r="HYK1157" s="7"/>
      <c r="HYL1157" s="7"/>
      <c r="HYM1157" s="7"/>
      <c r="HYN1157" s="7"/>
      <c r="HYO1157" s="7"/>
      <c r="HYP1157" s="7"/>
      <c r="HYQ1157" s="7"/>
      <c r="HYR1157" s="7"/>
      <c r="HYS1157" s="7"/>
      <c r="HYT1157" s="7"/>
      <c r="HYU1157" s="7"/>
      <c r="HYV1157" s="7"/>
      <c r="HYW1157" s="7"/>
      <c r="HYX1157" s="7"/>
      <c r="HYY1157" s="7"/>
      <c r="HYZ1157" s="7"/>
      <c r="HZA1157" s="7"/>
      <c r="HZB1157" s="7"/>
      <c r="HZC1157" s="7"/>
      <c r="HZD1157" s="7"/>
      <c r="HZE1157" s="7"/>
      <c r="HZF1157" s="7"/>
      <c r="HZG1157" s="7"/>
      <c r="HZH1157" s="7"/>
      <c r="HZI1157" s="7"/>
      <c r="HZJ1157" s="7"/>
      <c r="HZK1157" s="7"/>
      <c r="HZL1157" s="7"/>
      <c r="HZM1157" s="7"/>
      <c r="HZN1157" s="7"/>
      <c r="HZO1157" s="7"/>
      <c r="HZP1157" s="7"/>
      <c r="HZQ1157" s="7"/>
      <c r="HZR1157" s="7"/>
      <c r="HZS1157" s="7"/>
      <c r="HZT1157" s="7"/>
      <c r="HZU1157" s="7"/>
      <c r="HZV1157" s="7"/>
      <c r="HZW1157" s="7"/>
      <c r="HZX1157" s="7"/>
      <c r="HZY1157" s="7"/>
      <c r="HZZ1157" s="7"/>
      <c r="IAA1157" s="7"/>
      <c r="IAB1157" s="7"/>
      <c r="IAC1157" s="7"/>
      <c r="IAD1157" s="7"/>
      <c r="IAE1157" s="7"/>
      <c r="IAF1157" s="7"/>
      <c r="IAG1157" s="7"/>
      <c r="IAH1157" s="7"/>
      <c r="IAI1157" s="7"/>
      <c r="IAJ1157" s="7"/>
      <c r="IAK1157" s="7"/>
      <c r="IAL1157" s="7"/>
      <c r="IAM1157" s="7"/>
      <c r="IAN1157" s="7"/>
      <c r="IAO1157" s="7"/>
      <c r="IAP1157" s="7"/>
      <c r="IAQ1157" s="7"/>
      <c r="IAR1157" s="7"/>
      <c r="IAS1157" s="7"/>
      <c r="IAT1157" s="7"/>
      <c r="IAU1157" s="7"/>
      <c r="IAV1157" s="7"/>
      <c r="IAW1157" s="7"/>
      <c r="IAX1157" s="7"/>
      <c r="IAY1157" s="7"/>
      <c r="IAZ1157" s="7"/>
      <c r="IBA1157" s="7"/>
      <c r="IBB1157" s="7"/>
      <c r="IBC1157" s="7"/>
      <c r="IBD1157" s="7"/>
      <c r="IBE1157" s="7"/>
      <c r="IBF1157" s="7"/>
      <c r="IBG1157" s="7"/>
      <c r="IBH1157" s="7"/>
      <c r="IBI1157" s="7"/>
      <c r="IBJ1157" s="7"/>
      <c r="IBK1157" s="7"/>
      <c r="IBL1157" s="7"/>
      <c r="IBM1157" s="7"/>
      <c r="IBN1157" s="7"/>
      <c r="IBO1157" s="7"/>
      <c r="IBP1157" s="7"/>
      <c r="IBQ1157" s="7"/>
      <c r="IBR1157" s="7"/>
      <c r="IBS1157" s="7"/>
      <c r="IBT1157" s="7"/>
      <c r="IBU1157" s="7"/>
      <c r="IBV1157" s="7"/>
      <c r="IBW1157" s="7"/>
      <c r="IBX1157" s="7"/>
      <c r="IBY1157" s="7"/>
      <c r="IBZ1157" s="7"/>
      <c r="ICA1157" s="7"/>
      <c r="ICB1157" s="7"/>
      <c r="ICC1157" s="7"/>
      <c r="ICD1157" s="7"/>
      <c r="ICE1157" s="7"/>
      <c r="ICF1157" s="7"/>
      <c r="ICG1157" s="7"/>
      <c r="ICH1157" s="7"/>
      <c r="ICI1157" s="7"/>
      <c r="ICJ1157" s="7"/>
      <c r="ICK1157" s="7"/>
      <c r="ICL1157" s="7"/>
      <c r="ICM1157" s="7"/>
      <c r="ICN1157" s="7"/>
      <c r="ICO1157" s="7"/>
      <c r="ICP1157" s="7"/>
      <c r="ICQ1157" s="7"/>
      <c r="ICR1157" s="7"/>
      <c r="ICS1157" s="7"/>
      <c r="ICT1157" s="7"/>
      <c r="ICU1157" s="7"/>
      <c r="ICV1157" s="7"/>
      <c r="ICW1157" s="7"/>
      <c r="ICX1157" s="7"/>
      <c r="ICY1157" s="7"/>
      <c r="ICZ1157" s="7"/>
      <c r="IDA1157" s="7"/>
      <c r="IDB1157" s="7"/>
      <c r="IDC1157" s="7"/>
      <c r="IDD1157" s="7"/>
      <c r="IDE1157" s="7"/>
      <c r="IDF1157" s="7"/>
      <c r="IDG1157" s="7"/>
      <c r="IDH1157" s="7"/>
      <c r="IDI1157" s="7"/>
      <c r="IDJ1157" s="7"/>
      <c r="IDK1157" s="7"/>
      <c r="IDL1157" s="7"/>
      <c r="IDM1157" s="7"/>
      <c r="IDN1157" s="7"/>
      <c r="IDO1157" s="7"/>
      <c r="IDP1157" s="7"/>
      <c r="IDQ1157" s="7"/>
      <c r="IDR1157" s="7"/>
      <c r="IDS1157" s="7"/>
      <c r="IDT1157" s="7"/>
      <c r="IDU1157" s="7"/>
      <c r="IDV1157" s="7"/>
      <c r="IDW1157" s="7"/>
      <c r="IDX1157" s="7"/>
      <c r="IDY1157" s="7"/>
      <c r="IDZ1157" s="7"/>
      <c r="IEA1157" s="7"/>
      <c r="IEB1157" s="7"/>
      <c r="IEC1157" s="7"/>
      <c r="IED1157" s="7"/>
      <c r="IEE1157" s="7"/>
      <c r="IEF1157" s="7"/>
      <c r="IEG1157" s="7"/>
      <c r="IEH1157" s="7"/>
      <c r="IEI1157" s="7"/>
      <c r="IEJ1157" s="7"/>
      <c r="IEK1157" s="7"/>
      <c r="IEL1157" s="7"/>
      <c r="IEM1157" s="7"/>
      <c r="IEN1157" s="7"/>
      <c r="IEO1157" s="7"/>
      <c r="IEP1157" s="7"/>
      <c r="IEQ1157" s="7"/>
      <c r="IER1157" s="7"/>
      <c r="IES1157" s="7"/>
      <c r="IET1157" s="7"/>
      <c r="IEU1157" s="7"/>
      <c r="IEV1157" s="7"/>
      <c r="IEW1157" s="7"/>
      <c r="IEX1157" s="7"/>
      <c r="IEY1157" s="7"/>
      <c r="IEZ1157" s="7"/>
      <c r="IFA1157" s="7"/>
      <c r="IFB1157" s="7"/>
      <c r="IFC1157" s="7"/>
      <c r="IFD1157" s="7"/>
      <c r="IFE1157" s="7"/>
      <c r="IFF1157" s="7"/>
      <c r="IFG1157" s="7"/>
      <c r="IFH1157" s="7"/>
      <c r="IFI1157" s="7"/>
      <c r="IFJ1157" s="7"/>
      <c r="IFK1157" s="7"/>
      <c r="IFL1157" s="7"/>
      <c r="IFM1157" s="7"/>
      <c r="IFN1157" s="7"/>
      <c r="IFO1157" s="7"/>
      <c r="IFP1157" s="7"/>
      <c r="IFQ1157" s="7"/>
      <c r="IFR1157" s="7"/>
      <c r="IFS1157" s="7"/>
      <c r="IFT1157" s="7"/>
      <c r="IFU1157" s="7"/>
      <c r="IFV1157" s="7"/>
      <c r="IFW1157" s="7"/>
      <c r="IFX1157" s="7"/>
      <c r="IFY1157" s="7"/>
      <c r="IFZ1157" s="7"/>
      <c r="IGA1157" s="7"/>
      <c r="IGB1157" s="7"/>
      <c r="IGC1157" s="7"/>
      <c r="IGD1157" s="7"/>
      <c r="IGE1157" s="7"/>
      <c r="IGF1157" s="7"/>
      <c r="IGG1157" s="7"/>
      <c r="IGH1157" s="7"/>
      <c r="IGI1157" s="7"/>
      <c r="IGJ1157" s="7"/>
      <c r="IGK1157" s="7"/>
      <c r="IGL1157" s="7"/>
      <c r="IGM1157" s="7"/>
      <c r="IGN1157" s="7"/>
      <c r="IGO1157" s="7"/>
      <c r="IGP1157" s="7"/>
      <c r="IGQ1157" s="7"/>
      <c r="IGR1157" s="7"/>
      <c r="IGS1157" s="7"/>
      <c r="IGT1157" s="7"/>
      <c r="IGU1157" s="7"/>
      <c r="IGV1157" s="7"/>
      <c r="IGW1157" s="7"/>
      <c r="IGX1157" s="7"/>
      <c r="IGY1157" s="7"/>
      <c r="IGZ1157" s="7"/>
      <c r="IHA1157" s="7"/>
      <c r="IHB1157" s="7"/>
      <c r="IHC1157" s="7"/>
      <c r="IHD1157" s="7"/>
      <c r="IHE1157" s="7"/>
      <c r="IHF1157" s="7"/>
      <c r="IHG1157" s="7"/>
      <c r="IHH1157" s="7"/>
      <c r="IHI1157" s="7"/>
      <c r="IHJ1157" s="7"/>
      <c r="IHK1157" s="7"/>
      <c r="IHL1157" s="7"/>
      <c r="IHM1157" s="7"/>
      <c r="IHN1157" s="7"/>
      <c r="IHO1157" s="7"/>
      <c r="IHP1157" s="7"/>
      <c r="IHQ1157" s="7"/>
      <c r="IHR1157" s="7"/>
      <c r="IHS1157" s="7"/>
      <c r="IHT1157" s="7"/>
      <c r="IHU1157" s="7"/>
      <c r="IHV1157" s="7"/>
      <c r="IHW1157" s="7"/>
      <c r="IHX1157" s="7"/>
      <c r="IHY1157" s="7"/>
      <c r="IHZ1157" s="7"/>
      <c r="IIA1157" s="7"/>
      <c r="IIB1157" s="7"/>
      <c r="IIC1157" s="7"/>
      <c r="IID1157" s="7"/>
      <c r="IIE1157" s="7"/>
      <c r="IIF1157" s="7"/>
      <c r="IIG1157" s="7"/>
      <c r="IIH1157" s="7"/>
      <c r="III1157" s="7"/>
      <c r="IIJ1157" s="7"/>
      <c r="IIK1157" s="7"/>
      <c r="IIL1157" s="7"/>
      <c r="IIM1157" s="7"/>
      <c r="IIN1157" s="7"/>
      <c r="IIO1157" s="7"/>
      <c r="IIP1157" s="7"/>
      <c r="IIQ1157" s="7"/>
      <c r="IIR1157" s="7"/>
      <c r="IIS1157" s="7"/>
      <c r="IIT1157" s="7"/>
      <c r="IIU1157" s="7"/>
      <c r="IIV1157" s="7"/>
      <c r="IIW1157" s="7"/>
      <c r="IIX1157" s="7"/>
      <c r="IIY1157" s="7"/>
      <c r="IIZ1157" s="7"/>
      <c r="IJA1157" s="7"/>
      <c r="IJB1157" s="7"/>
      <c r="IJC1157" s="7"/>
      <c r="IJD1157" s="7"/>
      <c r="IJE1157" s="7"/>
      <c r="IJF1157" s="7"/>
      <c r="IJG1157" s="7"/>
      <c r="IJH1157" s="7"/>
      <c r="IJI1157" s="7"/>
      <c r="IJJ1157" s="7"/>
      <c r="IJK1157" s="7"/>
      <c r="IJL1157" s="7"/>
      <c r="IJM1157" s="7"/>
      <c r="IJN1157" s="7"/>
      <c r="IJO1157" s="7"/>
      <c r="IJP1157" s="7"/>
      <c r="IJQ1157" s="7"/>
      <c r="IJR1157" s="7"/>
      <c r="IJS1157" s="7"/>
      <c r="IJT1157" s="7"/>
      <c r="IJU1157" s="7"/>
      <c r="IJV1157" s="7"/>
      <c r="IJW1157" s="7"/>
      <c r="IJX1157" s="7"/>
      <c r="IJY1157" s="7"/>
      <c r="IJZ1157" s="7"/>
      <c r="IKA1157" s="7"/>
      <c r="IKB1157" s="7"/>
      <c r="IKC1157" s="7"/>
      <c r="IKD1157" s="7"/>
      <c r="IKE1157" s="7"/>
      <c r="IKF1157" s="7"/>
      <c r="IKG1157" s="7"/>
      <c r="IKH1157" s="7"/>
      <c r="IKI1157" s="7"/>
      <c r="IKJ1157" s="7"/>
      <c r="IKK1157" s="7"/>
      <c r="IKL1157" s="7"/>
      <c r="IKM1157" s="7"/>
      <c r="IKN1157" s="7"/>
      <c r="IKO1157" s="7"/>
      <c r="IKP1157" s="7"/>
      <c r="IKQ1157" s="7"/>
      <c r="IKR1157" s="7"/>
      <c r="IKS1157" s="7"/>
      <c r="IKT1157" s="7"/>
      <c r="IKU1157" s="7"/>
      <c r="IKV1157" s="7"/>
      <c r="IKW1157" s="7"/>
      <c r="IKX1157" s="7"/>
      <c r="IKY1157" s="7"/>
      <c r="IKZ1157" s="7"/>
      <c r="ILA1157" s="7"/>
      <c r="ILB1157" s="7"/>
      <c r="ILC1157" s="7"/>
      <c r="ILD1157" s="7"/>
      <c r="ILE1157" s="7"/>
      <c r="ILF1157" s="7"/>
      <c r="ILG1157" s="7"/>
      <c r="ILH1157" s="7"/>
      <c r="ILI1157" s="7"/>
      <c r="ILJ1157" s="7"/>
      <c r="ILK1157" s="7"/>
      <c r="ILL1157" s="7"/>
      <c r="ILM1157" s="7"/>
      <c r="ILN1157" s="7"/>
      <c r="ILO1157" s="7"/>
      <c r="ILP1157" s="7"/>
      <c r="ILQ1157" s="7"/>
      <c r="ILR1157" s="7"/>
      <c r="ILS1157" s="7"/>
      <c r="ILT1157" s="7"/>
      <c r="ILU1157" s="7"/>
      <c r="ILV1157" s="7"/>
      <c r="ILW1157" s="7"/>
      <c r="ILX1157" s="7"/>
      <c r="ILY1157" s="7"/>
      <c r="ILZ1157" s="7"/>
      <c r="IMA1157" s="7"/>
      <c r="IMB1157" s="7"/>
      <c r="IMC1157" s="7"/>
      <c r="IMD1157" s="7"/>
      <c r="IME1157" s="7"/>
      <c r="IMF1157" s="7"/>
      <c r="IMG1157" s="7"/>
      <c r="IMH1157" s="7"/>
      <c r="IMI1157" s="7"/>
      <c r="IMJ1157" s="7"/>
      <c r="IMK1157" s="7"/>
      <c r="IML1157" s="7"/>
      <c r="IMM1157" s="7"/>
      <c r="IMN1157" s="7"/>
      <c r="IMO1157" s="7"/>
      <c r="IMP1157" s="7"/>
      <c r="IMQ1157" s="7"/>
      <c r="IMR1157" s="7"/>
      <c r="IMS1157" s="7"/>
      <c r="IMT1157" s="7"/>
      <c r="IMU1157" s="7"/>
      <c r="IMV1157" s="7"/>
      <c r="IMW1157" s="7"/>
      <c r="IMX1157" s="7"/>
      <c r="IMY1157" s="7"/>
      <c r="IMZ1157" s="7"/>
      <c r="INA1157" s="7"/>
      <c r="INB1157" s="7"/>
      <c r="INC1157" s="7"/>
      <c r="IND1157" s="7"/>
      <c r="INE1157" s="7"/>
      <c r="INF1157" s="7"/>
      <c r="ING1157" s="7"/>
      <c r="INH1157" s="7"/>
      <c r="INI1157" s="7"/>
      <c r="INJ1157" s="7"/>
      <c r="INK1157" s="7"/>
      <c r="INL1157" s="7"/>
      <c r="INM1157" s="7"/>
      <c r="INN1157" s="7"/>
      <c r="INO1157" s="7"/>
      <c r="INP1157" s="7"/>
      <c r="INQ1157" s="7"/>
      <c r="INR1157" s="7"/>
      <c r="INS1157" s="7"/>
      <c r="INT1157" s="7"/>
      <c r="INU1157" s="7"/>
      <c r="INV1157" s="7"/>
      <c r="INW1157" s="7"/>
      <c r="INX1157" s="7"/>
      <c r="INY1157" s="7"/>
      <c r="INZ1157" s="7"/>
      <c r="IOA1157" s="7"/>
      <c r="IOB1157" s="7"/>
      <c r="IOC1157" s="7"/>
      <c r="IOD1157" s="7"/>
      <c r="IOE1157" s="7"/>
      <c r="IOF1157" s="7"/>
      <c r="IOG1157" s="7"/>
      <c r="IOH1157" s="7"/>
      <c r="IOI1157" s="7"/>
      <c r="IOJ1157" s="7"/>
      <c r="IOK1157" s="7"/>
      <c r="IOL1157" s="7"/>
      <c r="IOM1157" s="7"/>
      <c r="ION1157" s="7"/>
      <c r="IOO1157" s="7"/>
      <c r="IOP1157" s="7"/>
      <c r="IOQ1157" s="7"/>
      <c r="IOR1157" s="7"/>
      <c r="IOS1157" s="7"/>
      <c r="IOT1157" s="7"/>
      <c r="IOU1157" s="7"/>
      <c r="IOV1157" s="7"/>
      <c r="IOW1157" s="7"/>
      <c r="IOX1157" s="7"/>
      <c r="IOY1157" s="7"/>
      <c r="IOZ1157" s="7"/>
      <c r="IPA1157" s="7"/>
      <c r="IPB1157" s="7"/>
      <c r="IPC1157" s="7"/>
      <c r="IPD1157" s="7"/>
      <c r="IPE1157" s="7"/>
      <c r="IPF1157" s="7"/>
      <c r="IPG1157" s="7"/>
      <c r="IPH1157" s="7"/>
      <c r="IPI1157" s="7"/>
      <c r="IPJ1157" s="7"/>
      <c r="IPK1157" s="7"/>
      <c r="IPL1157" s="7"/>
      <c r="IPM1157" s="7"/>
      <c r="IPN1157" s="7"/>
      <c r="IPO1157" s="7"/>
      <c r="IPP1157" s="7"/>
      <c r="IPQ1157" s="7"/>
      <c r="IPR1157" s="7"/>
      <c r="IPS1157" s="7"/>
      <c r="IPT1157" s="7"/>
      <c r="IPU1157" s="7"/>
      <c r="IPV1157" s="7"/>
      <c r="IPW1157" s="7"/>
      <c r="IPX1157" s="7"/>
      <c r="IPY1157" s="7"/>
      <c r="IPZ1157" s="7"/>
      <c r="IQA1157" s="7"/>
      <c r="IQB1157" s="7"/>
      <c r="IQC1157" s="7"/>
      <c r="IQD1157" s="7"/>
      <c r="IQE1157" s="7"/>
      <c r="IQF1157" s="7"/>
      <c r="IQG1157" s="7"/>
      <c r="IQH1157" s="7"/>
      <c r="IQI1157" s="7"/>
      <c r="IQJ1157" s="7"/>
      <c r="IQK1157" s="7"/>
      <c r="IQL1157" s="7"/>
      <c r="IQM1157" s="7"/>
      <c r="IQN1157" s="7"/>
      <c r="IQO1157" s="7"/>
      <c r="IQP1157" s="7"/>
      <c r="IQQ1157" s="7"/>
      <c r="IQR1157" s="7"/>
      <c r="IQS1157" s="7"/>
      <c r="IQT1157" s="7"/>
      <c r="IQU1157" s="7"/>
      <c r="IQV1157" s="7"/>
      <c r="IQW1157" s="7"/>
      <c r="IQX1157" s="7"/>
      <c r="IQY1157" s="7"/>
      <c r="IQZ1157" s="7"/>
      <c r="IRA1157" s="7"/>
      <c r="IRB1157" s="7"/>
      <c r="IRC1157" s="7"/>
      <c r="IRD1157" s="7"/>
      <c r="IRE1157" s="7"/>
      <c r="IRF1157" s="7"/>
      <c r="IRG1157" s="7"/>
      <c r="IRH1157" s="7"/>
      <c r="IRI1157" s="7"/>
      <c r="IRJ1157" s="7"/>
      <c r="IRK1157" s="7"/>
      <c r="IRL1157" s="7"/>
      <c r="IRM1157" s="7"/>
      <c r="IRN1157" s="7"/>
      <c r="IRO1157" s="7"/>
      <c r="IRP1157" s="7"/>
      <c r="IRQ1157" s="7"/>
      <c r="IRR1157" s="7"/>
      <c r="IRS1157" s="7"/>
      <c r="IRT1157" s="7"/>
      <c r="IRU1157" s="7"/>
      <c r="IRV1157" s="7"/>
      <c r="IRW1157" s="7"/>
      <c r="IRX1157" s="7"/>
      <c r="IRY1157" s="7"/>
      <c r="IRZ1157" s="7"/>
      <c r="ISA1157" s="7"/>
      <c r="ISB1157" s="7"/>
      <c r="ISC1157" s="7"/>
      <c r="ISD1157" s="7"/>
      <c r="ISE1157" s="7"/>
      <c r="ISF1157" s="7"/>
      <c r="ISG1157" s="7"/>
      <c r="ISH1157" s="7"/>
      <c r="ISI1157" s="7"/>
      <c r="ISJ1157" s="7"/>
      <c r="ISK1157" s="7"/>
      <c r="ISL1157" s="7"/>
      <c r="ISM1157" s="7"/>
      <c r="ISN1157" s="7"/>
      <c r="ISO1157" s="7"/>
      <c r="ISP1157" s="7"/>
      <c r="ISQ1157" s="7"/>
      <c r="ISR1157" s="7"/>
      <c r="ISS1157" s="7"/>
      <c r="IST1157" s="7"/>
      <c r="ISU1157" s="7"/>
      <c r="ISV1157" s="7"/>
      <c r="ISW1157" s="7"/>
      <c r="ISX1157" s="7"/>
      <c r="ISY1157" s="7"/>
      <c r="ISZ1157" s="7"/>
      <c r="ITA1157" s="7"/>
      <c r="ITB1157" s="7"/>
      <c r="ITC1157" s="7"/>
      <c r="ITD1157" s="7"/>
      <c r="ITE1157" s="7"/>
      <c r="ITF1157" s="7"/>
      <c r="ITG1157" s="7"/>
      <c r="ITH1157" s="7"/>
      <c r="ITI1157" s="7"/>
      <c r="ITJ1157" s="7"/>
      <c r="ITK1157" s="7"/>
      <c r="ITL1157" s="7"/>
      <c r="ITM1157" s="7"/>
      <c r="ITN1157" s="7"/>
      <c r="ITO1157" s="7"/>
      <c r="ITP1157" s="7"/>
      <c r="ITQ1157" s="7"/>
      <c r="ITR1157" s="7"/>
      <c r="ITS1157" s="7"/>
      <c r="ITT1157" s="7"/>
      <c r="ITU1157" s="7"/>
      <c r="ITV1157" s="7"/>
      <c r="ITW1157" s="7"/>
      <c r="ITX1157" s="7"/>
      <c r="ITY1157" s="7"/>
      <c r="ITZ1157" s="7"/>
      <c r="IUA1157" s="7"/>
      <c r="IUB1157" s="7"/>
      <c r="IUC1157" s="7"/>
      <c r="IUD1157" s="7"/>
      <c r="IUE1157" s="7"/>
      <c r="IUF1157" s="7"/>
      <c r="IUG1157" s="7"/>
      <c r="IUH1157" s="7"/>
      <c r="IUI1157" s="7"/>
      <c r="IUJ1157" s="7"/>
      <c r="IUK1157" s="7"/>
      <c r="IUL1157" s="7"/>
      <c r="IUM1157" s="7"/>
      <c r="IUN1157" s="7"/>
      <c r="IUO1157" s="7"/>
      <c r="IUP1157" s="7"/>
      <c r="IUQ1157" s="7"/>
      <c r="IUR1157" s="7"/>
      <c r="IUS1157" s="7"/>
      <c r="IUT1157" s="7"/>
      <c r="IUU1157" s="7"/>
      <c r="IUV1157" s="7"/>
      <c r="IUW1157" s="7"/>
      <c r="IUX1157" s="7"/>
      <c r="IUY1157" s="7"/>
      <c r="IUZ1157" s="7"/>
      <c r="IVA1157" s="7"/>
      <c r="IVB1157" s="7"/>
      <c r="IVC1157" s="7"/>
      <c r="IVD1157" s="7"/>
      <c r="IVE1157" s="7"/>
      <c r="IVF1157" s="7"/>
      <c r="IVG1157" s="7"/>
      <c r="IVH1157" s="7"/>
      <c r="IVI1157" s="7"/>
      <c r="IVJ1157" s="7"/>
      <c r="IVK1157" s="7"/>
      <c r="IVL1157" s="7"/>
      <c r="IVM1157" s="7"/>
      <c r="IVN1157" s="7"/>
      <c r="IVO1157" s="7"/>
      <c r="IVP1157" s="7"/>
      <c r="IVQ1157" s="7"/>
      <c r="IVR1157" s="7"/>
      <c r="IVS1157" s="7"/>
      <c r="IVT1157" s="7"/>
      <c r="IVU1157" s="7"/>
      <c r="IVV1157" s="7"/>
      <c r="IVW1157" s="7"/>
      <c r="IVX1157" s="7"/>
      <c r="IVY1157" s="7"/>
      <c r="IVZ1157" s="7"/>
      <c r="IWA1157" s="7"/>
      <c r="IWB1157" s="7"/>
      <c r="IWC1157" s="7"/>
      <c r="IWD1157" s="7"/>
      <c r="IWE1157" s="7"/>
      <c r="IWF1157" s="7"/>
      <c r="IWG1157" s="7"/>
      <c r="IWH1157" s="7"/>
      <c r="IWI1157" s="7"/>
      <c r="IWJ1157" s="7"/>
      <c r="IWK1157" s="7"/>
      <c r="IWL1157" s="7"/>
      <c r="IWM1157" s="7"/>
      <c r="IWN1157" s="7"/>
      <c r="IWO1157" s="7"/>
      <c r="IWP1157" s="7"/>
      <c r="IWQ1157" s="7"/>
      <c r="IWR1157" s="7"/>
      <c r="IWS1157" s="7"/>
      <c r="IWT1157" s="7"/>
      <c r="IWU1157" s="7"/>
      <c r="IWV1157" s="7"/>
      <c r="IWW1157" s="7"/>
      <c r="IWX1157" s="7"/>
      <c r="IWY1157" s="7"/>
      <c r="IWZ1157" s="7"/>
      <c r="IXA1157" s="7"/>
      <c r="IXB1157" s="7"/>
      <c r="IXC1157" s="7"/>
      <c r="IXD1157" s="7"/>
      <c r="IXE1157" s="7"/>
      <c r="IXF1157" s="7"/>
      <c r="IXG1157" s="7"/>
      <c r="IXH1157" s="7"/>
      <c r="IXI1157" s="7"/>
      <c r="IXJ1157" s="7"/>
      <c r="IXK1157" s="7"/>
      <c r="IXL1157" s="7"/>
      <c r="IXM1157" s="7"/>
      <c r="IXN1157" s="7"/>
      <c r="IXO1157" s="7"/>
      <c r="IXP1157" s="7"/>
      <c r="IXQ1157" s="7"/>
      <c r="IXR1157" s="7"/>
      <c r="IXS1157" s="7"/>
      <c r="IXT1157" s="7"/>
      <c r="IXU1157" s="7"/>
      <c r="IXV1157" s="7"/>
      <c r="IXW1157" s="7"/>
      <c r="IXX1157" s="7"/>
      <c r="IXY1157" s="7"/>
      <c r="IXZ1157" s="7"/>
      <c r="IYA1157" s="7"/>
      <c r="IYB1157" s="7"/>
      <c r="IYC1157" s="7"/>
      <c r="IYD1157" s="7"/>
      <c r="IYE1157" s="7"/>
      <c r="IYF1157" s="7"/>
      <c r="IYG1157" s="7"/>
      <c r="IYH1157" s="7"/>
      <c r="IYI1157" s="7"/>
      <c r="IYJ1157" s="7"/>
      <c r="IYK1157" s="7"/>
      <c r="IYL1157" s="7"/>
      <c r="IYM1157" s="7"/>
      <c r="IYN1157" s="7"/>
      <c r="IYO1157" s="7"/>
      <c r="IYP1157" s="7"/>
      <c r="IYQ1157" s="7"/>
      <c r="IYR1157" s="7"/>
      <c r="IYS1157" s="7"/>
      <c r="IYT1157" s="7"/>
      <c r="IYU1157" s="7"/>
      <c r="IYV1157" s="7"/>
      <c r="IYW1157" s="7"/>
      <c r="IYX1157" s="7"/>
      <c r="IYY1157" s="7"/>
      <c r="IYZ1157" s="7"/>
      <c r="IZA1157" s="7"/>
      <c r="IZB1157" s="7"/>
      <c r="IZC1157" s="7"/>
      <c r="IZD1157" s="7"/>
      <c r="IZE1157" s="7"/>
      <c r="IZF1157" s="7"/>
      <c r="IZG1157" s="7"/>
      <c r="IZH1157" s="7"/>
      <c r="IZI1157" s="7"/>
      <c r="IZJ1157" s="7"/>
      <c r="IZK1157" s="7"/>
      <c r="IZL1157" s="7"/>
      <c r="IZM1157" s="7"/>
      <c r="IZN1157" s="7"/>
      <c r="IZO1157" s="7"/>
      <c r="IZP1157" s="7"/>
      <c r="IZQ1157" s="7"/>
      <c r="IZR1157" s="7"/>
      <c r="IZS1157" s="7"/>
      <c r="IZT1157" s="7"/>
      <c r="IZU1157" s="7"/>
      <c r="IZV1157" s="7"/>
      <c r="IZW1157" s="7"/>
      <c r="IZX1157" s="7"/>
      <c r="IZY1157" s="7"/>
      <c r="IZZ1157" s="7"/>
      <c r="JAA1157" s="7"/>
      <c r="JAB1157" s="7"/>
      <c r="JAC1157" s="7"/>
      <c r="JAD1157" s="7"/>
      <c r="JAE1157" s="7"/>
      <c r="JAF1157" s="7"/>
      <c r="JAG1157" s="7"/>
      <c r="JAH1157" s="7"/>
      <c r="JAI1157" s="7"/>
      <c r="JAJ1157" s="7"/>
      <c r="JAK1157" s="7"/>
      <c r="JAL1157" s="7"/>
      <c r="JAM1157" s="7"/>
      <c r="JAN1157" s="7"/>
      <c r="JAO1157" s="7"/>
      <c r="JAP1157" s="7"/>
      <c r="JAQ1157" s="7"/>
      <c r="JAR1157" s="7"/>
      <c r="JAS1157" s="7"/>
      <c r="JAT1157" s="7"/>
      <c r="JAU1157" s="7"/>
      <c r="JAV1157" s="7"/>
      <c r="JAW1157" s="7"/>
      <c r="JAX1157" s="7"/>
      <c r="JAY1157" s="7"/>
      <c r="JAZ1157" s="7"/>
      <c r="JBA1157" s="7"/>
      <c r="JBB1157" s="7"/>
      <c r="JBC1157" s="7"/>
      <c r="JBD1157" s="7"/>
      <c r="JBE1157" s="7"/>
      <c r="JBF1157" s="7"/>
      <c r="JBG1157" s="7"/>
      <c r="JBH1157" s="7"/>
      <c r="JBI1157" s="7"/>
      <c r="JBJ1157" s="7"/>
      <c r="JBK1157" s="7"/>
      <c r="JBL1157" s="7"/>
      <c r="JBM1157" s="7"/>
      <c r="JBN1157" s="7"/>
      <c r="JBO1157" s="7"/>
      <c r="JBP1157" s="7"/>
      <c r="JBQ1157" s="7"/>
      <c r="JBR1157" s="7"/>
      <c r="JBS1157" s="7"/>
      <c r="JBT1157" s="7"/>
      <c r="JBU1157" s="7"/>
      <c r="JBV1157" s="7"/>
      <c r="JBW1157" s="7"/>
      <c r="JBX1157" s="7"/>
      <c r="JBY1157" s="7"/>
      <c r="JBZ1157" s="7"/>
      <c r="JCA1157" s="7"/>
      <c r="JCB1157" s="7"/>
      <c r="JCC1157" s="7"/>
      <c r="JCD1157" s="7"/>
      <c r="JCE1157" s="7"/>
      <c r="JCF1157" s="7"/>
      <c r="JCG1157" s="7"/>
      <c r="JCH1157" s="7"/>
      <c r="JCI1157" s="7"/>
      <c r="JCJ1157" s="7"/>
      <c r="JCK1157" s="7"/>
      <c r="JCL1157" s="7"/>
      <c r="JCM1157" s="7"/>
      <c r="JCN1157" s="7"/>
      <c r="JCO1157" s="7"/>
      <c r="JCP1157" s="7"/>
      <c r="JCQ1157" s="7"/>
      <c r="JCR1157" s="7"/>
      <c r="JCS1157" s="7"/>
      <c r="JCT1157" s="7"/>
      <c r="JCU1157" s="7"/>
      <c r="JCV1157" s="7"/>
      <c r="JCW1157" s="7"/>
      <c r="JCX1157" s="7"/>
      <c r="JCY1157" s="7"/>
      <c r="JCZ1157" s="7"/>
      <c r="JDA1157" s="7"/>
      <c r="JDB1157" s="7"/>
      <c r="JDC1157" s="7"/>
      <c r="JDD1157" s="7"/>
      <c r="JDE1157" s="7"/>
      <c r="JDF1157" s="7"/>
      <c r="JDG1157" s="7"/>
      <c r="JDH1157" s="7"/>
      <c r="JDI1157" s="7"/>
      <c r="JDJ1157" s="7"/>
      <c r="JDK1157" s="7"/>
      <c r="JDL1157" s="7"/>
      <c r="JDM1157" s="7"/>
      <c r="JDN1157" s="7"/>
      <c r="JDO1157" s="7"/>
      <c r="JDP1157" s="7"/>
      <c r="JDQ1157" s="7"/>
      <c r="JDR1157" s="7"/>
      <c r="JDS1157" s="7"/>
      <c r="JDT1157" s="7"/>
      <c r="JDU1157" s="7"/>
      <c r="JDV1157" s="7"/>
      <c r="JDW1157" s="7"/>
      <c r="JDX1157" s="7"/>
      <c r="JDY1157" s="7"/>
      <c r="JDZ1157" s="7"/>
      <c r="JEA1157" s="7"/>
      <c r="JEB1157" s="7"/>
      <c r="JEC1157" s="7"/>
      <c r="JED1157" s="7"/>
      <c r="JEE1157" s="7"/>
      <c r="JEF1157" s="7"/>
      <c r="JEG1157" s="7"/>
      <c r="JEH1157" s="7"/>
      <c r="JEI1157" s="7"/>
      <c r="JEJ1157" s="7"/>
      <c r="JEK1157" s="7"/>
      <c r="JEL1157" s="7"/>
      <c r="JEM1157" s="7"/>
      <c r="JEN1157" s="7"/>
      <c r="JEO1157" s="7"/>
      <c r="JEP1157" s="7"/>
      <c r="JEQ1157" s="7"/>
      <c r="JER1157" s="7"/>
      <c r="JES1157" s="7"/>
      <c r="JET1157" s="7"/>
      <c r="JEU1157" s="7"/>
      <c r="JEV1157" s="7"/>
      <c r="JEW1157" s="7"/>
      <c r="JEX1157" s="7"/>
      <c r="JEY1157" s="7"/>
      <c r="JEZ1157" s="7"/>
      <c r="JFA1157" s="7"/>
      <c r="JFB1157" s="7"/>
      <c r="JFC1157" s="7"/>
      <c r="JFD1157" s="7"/>
      <c r="JFE1157" s="7"/>
      <c r="JFF1157" s="7"/>
      <c r="JFG1157" s="7"/>
      <c r="JFH1157" s="7"/>
      <c r="JFI1157" s="7"/>
      <c r="JFJ1157" s="7"/>
      <c r="JFK1157" s="7"/>
      <c r="JFL1157" s="7"/>
      <c r="JFM1157" s="7"/>
      <c r="JFN1157" s="7"/>
      <c r="JFO1157" s="7"/>
      <c r="JFP1157" s="7"/>
      <c r="JFQ1157" s="7"/>
      <c r="JFR1157" s="7"/>
      <c r="JFS1157" s="7"/>
      <c r="JFT1157" s="7"/>
      <c r="JFU1157" s="7"/>
      <c r="JFV1157" s="7"/>
      <c r="JFW1157" s="7"/>
      <c r="JFX1157" s="7"/>
      <c r="JFY1157" s="7"/>
      <c r="JFZ1157" s="7"/>
      <c r="JGA1157" s="7"/>
      <c r="JGB1157" s="7"/>
      <c r="JGC1157" s="7"/>
      <c r="JGD1157" s="7"/>
      <c r="JGE1157" s="7"/>
      <c r="JGF1157" s="7"/>
      <c r="JGG1157" s="7"/>
      <c r="JGH1157" s="7"/>
      <c r="JGI1157" s="7"/>
      <c r="JGJ1157" s="7"/>
      <c r="JGK1157" s="7"/>
      <c r="JGL1157" s="7"/>
      <c r="JGM1157" s="7"/>
      <c r="JGN1157" s="7"/>
      <c r="JGO1157" s="7"/>
      <c r="JGP1157" s="7"/>
      <c r="JGQ1157" s="7"/>
      <c r="JGR1157" s="7"/>
      <c r="JGS1157" s="7"/>
      <c r="JGT1157" s="7"/>
      <c r="JGU1157" s="7"/>
      <c r="JGV1157" s="7"/>
      <c r="JGW1157" s="7"/>
      <c r="JGX1157" s="7"/>
      <c r="JGY1157" s="7"/>
      <c r="JGZ1157" s="7"/>
      <c r="JHA1157" s="7"/>
      <c r="JHB1157" s="7"/>
      <c r="JHC1157" s="7"/>
      <c r="JHD1157" s="7"/>
      <c r="JHE1157" s="7"/>
      <c r="JHF1157" s="7"/>
      <c r="JHG1157" s="7"/>
      <c r="JHH1157" s="7"/>
      <c r="JHI1157" s="7"/>
      <c r="JHJ1157" s="7"/>
      <c r="JHK1157" s="7"/>
      <c r="JHL1157" s="7"/>
      <c r="JHM1157" s="7"/>
      <c r="JHN1157" s="7"/>
      <c r="JHO1157" s="7"/>
      <c r="JHP1157" s="7"/>
      <c r="JHQ1157" s="7"/>
      <c r="JHR1157" s="7"/>
      <c r="JHS1157" s="7"/>
      <c r="JHT1157" s="7"/>
      <c r="JHU1157" s="7"/>
      <c r="JHV1157" s="7"/>
      <c r="JHW1157" s="7"/>
      <c r="JHX1157" s="7"/>
      <c r="JHY1157" s="7"/>
      <c r="JHZ1157" s="7"/>
      <c r="JIA1157" s="7"/>
      <c r="JIB1157" s="7"/>
      <c r="JIC1157" s="7"/>
      <c r="JID1157" s="7"/>
      <c r="JIE1157" s="7"/>
      <c r="JIF1157" s="7"/>
      <c r="JIG1157" s="7"/>
      <c r="JIH1157" s="7"/>
      <c r="JII1157" s="7"/>
      <c r="JIJ1157" s="7"/>
      <c r="JIK1157" s="7"/>
      <c r="JIL1157" s="7"/>
      <c r="JIM1157" s="7"/>
      <c r="JIN1157" s="7"/>
      <c r="JIO1157" s="7"/>
      <c r="JIP1157" s="7"/>
      <c r="JIQ1157" s="7"/>
      <c r="JIR1157" s="7"/>
      <c r="JIS1157" s="7"/>
      <c r="JIT1157" s="7"/>
      <c r="JIU1157" s="7"/>
      <c r="JIV1157" s="7"/>
      <c r="JIW1157" s="7"/>
      <c r="JIX1157" s="7"/>
      <c r="JIY1157" s="7"/>
      <c r="JIZ1157" s="7"/>
      <c r="JJA1157" s="7"/>
      <c r="JJB1157" s="7"/>
      <c r="JJC1157" s="7"/>
      <c r="JJD1157" s="7"/>
      <c r="JJE1157" s="7"/>
      <c r="JJF1157" s="7"/>
      <c r="JJG1157" s="7"/>
      <c r="JJH1157" s="7"/>
      <c r="JJI1157" s="7"/>
      <c r="JJJ1157" s="7"/>
      <c r="JJK1157" s="7"/>
      <c r="JJL1157" s="7"/>
      <c r="JJM1157" s="7"/>
      <c r="JJN1157" s="7"/>
      <c r="JJO1157" s="7"/>
      <c r="JJP1157" s="7"/>
      <c r="JJQ1157" s="7"/>
      <c r="JJR1157" s="7"/>
      <c r="JJS1157" s="7"/>
      <c r="JJT1157" s="7"/>
      <c r="JJU1157" s="7"/>
      <c r="JJV1157" s="7"/>
      <c r="JJW1157" s="7"/>
      <c r="JJX1157" s="7"/>
      <c r="JJY1157" s="7"/>
      <c r="JJZ1157" s="7"/>
      <c r="JKA1157" s="7"/>
      <c r="JKB1157" s="7"/>
      <c r="JKC1157" s="7"/>
      <c r="JKD1157" s="7"/>
      <c r="JKE1157" s="7"/>
      <c r="JKF1157" s="7"/>
      <c r="JKG1157" s="7"/>
      <c r="JKH1157" s="7"/>
      <c r="JKI1157" s="7"/>
      <c r="JKJ1157" s="7"/>
      <c r="JKK1157" s="7"/>
      <c r="JKL1157" s="7"/>
      <c r="JKM1157" s="7"/>
      <c r="JKN1157" s="7"/>
      <c r="JKO1157" s="7"/>
      <c r="JKP1157" s="7"/>
      <c r="JKQ1157" s="7"/>
      <c r="JKR1157" s="7"/>
      <c r="JKS1157" s="7"/>
      <c r="JKT1157" s="7"/>
      <c r="JKU1157" s="7"/>
      <c r="JKV1157" s="7"/>
      <c r="JKW1157" s="7"/>
      <c r="JKX1157" s="7"/>
      <c r="JKY1157" s="7"/>
      <c r="JKZ1157" s="7"/>
      <c r="JLA1157" s="7"/>
      <c r="JLB1157" s="7"/>
      <c r="JLC1157" s="7"/>
      <c r="JLD1157" s="7"/>
      <c r="JLE1157" s="7"/>
      <c r="JLF1157" s="7"/>
      <c r="JLG1157" s="7"/>
      <c r="JLH1157" s="7"/>
      <c r="JLI1157" s="7"/>
      <c r="JLJ1157" s="7"/>
      <c r="JLK1157" s="7"/>
      <c r="JLL1157" s="7"/>
      <c r="JLM1157" s="7"/>
      <c r="JLN1157" s="7"/>
      <c r="JLO1157" s="7"/>
      <c r="JLP1157" s="7"/>
      <c r="JLQ1157" s="7"/>
      <c r="JLR1157" s="7"/>
      <c r="JLS1157" s="7"/>
      <c r="JLT1157" s="7"/>
      <c r="JLU1157" s="7"/>
      <c r="JLV1157" s="7"/>
      <c r="JLW1157" s="7"/>
      <c r="JLX1157" s="7"/>
      <c r="JLY1157" s="7"/>
      <c r="JLZ1157" s="7"/>
      <c r="JMA1157" s="7"/>
      <c r="JMB1157" s="7"/>
      <c r="JMC1157" s="7"/>
      <c r="JMD1157" s="7"/>
      <c r="JME1157" s="7"/>
      <c r="JMF1157" s="7"/>
      <c r="JMG1157" s="7"/>
      <c r="JMH1157" s="7"/>
      <c r="JMI1157" s="7"/>
      <c r="JMJ1157" s="7"/>
      <c r="JMK1157" s="7"/>
      <c r="JML1157" s="7"/>
      <c r="JMM1157" s="7"/>
      <c r="JMN1157" s="7"/>
      <c r="JMO1157" s="7"/>
      <c r="JMP1157" s="7"/>
      <c r="JMQ1157" s="7"/>
      <c r="JMR1157" s="7"/>
      <c r="JMS1157" s="7"/>
      <c r="JMT1157" s="7"/>
      <c r="JMU1157" s="7"/>
      <c r="JMV1157" s="7"/>
      <c r="JMW1157" s="7"/>
      <c r="JMX1157" s="7"/>
      <c r="JMY1157" s="7"/>
      <c r="JMZ1157" s="7"/>
      <c r="JNA1157" s="7"/>
      <c r="JNB1157" s="7"/>
      <c r="JNC1157" s="7"/>
      <c r="JND1157" s="7"/>
      <c r="JNE1157" s="7"/>
      <c r="JNF1157" s="7"/>
      <c r="JNG1157" s="7"/>
      <c r="JNH1157" s="7"/>
      <c r="JNI1157" s="7"/>
      <c r="JNJ1157" s="7"/>
      <c r="JNK1157" s="7"/>
      <c r="JNL1157" s="7"/>
      <c r="JNM1157" s="7"/>
      <c r="JNN1157" s="7"/>
      <c r="JNO1157" s="7"/>
      <c r="JNP1157" s="7"/>
      <c r="JNQ1157" s="7"/>
      <c r="JNR1157" s="7"/>
      <c r="JNS1157" s="7"/>
      <c r="JNT1157" s="7"/>
      <c r="JNU1157" s="7"/>
      <c r="JNV1157" s="7"/>
      <c r="JNW1157" s="7"/>
      <c r="JNX1157" s="7"/>
      <c r="JNY1157" s="7"/>
      <c r="JNZ1157" s="7"/>
      <c r="JOA1157" s="7"/>
      <c r="JOB1157" s="7"/>
      <c r="JOC1157" s="7"/>
      <c r="JOD1157" s="7"/>
      <c r="JOE1157" s="7"/>
      <c r="JOF1157" s="7"/>
      <c r="JOG1157" s="7"/>
      <c r="JOH1157" s="7"/>
      <c r="JOI1157" s="7"/>
      <c r="JOJ1157" s="7"/>
      <c r="JOK1157" s="7"/>
      <c r="JOL1157" s="7"/>
      <c r="JOM1157" s="7"/>
      <c r="JON1157" s="7"/>
      <c r="JOO1157" s="7"/>
      <c r="JOP1157" s="7"/>
      <c r="JOQ1157" s="7"/>
      <c r="JOR1157" s="7"/>
      <c r="JOS1157" s="7"/>
      <c r="JOT1157" s="7"/>
      <c r="JOU1157" s="7"/>
      <c r="JOV1157" s="7"/>
      <c r="JOW1157" s="7"/>
      <c r="JOX1157" s="7"/>
      <c r="JOY1157" s="7"/>
      <c r="JOZ1157" s="7"/>
      <c r="JPA1157" s="7"/>
      <c r="JPB1157" s="7"/>
      <c r="JPC1157" s="7"/>
      <c r="JPD1157" s="7"/>
      <c r="JPE1157" s="7"/>
      <c r="JPF1157" s="7"/>
      <c r="JPG1157" s="7"/>
      <c r="JPH1157" s="7"/>
      <c r="JPI1157" s="7"/>
      <c r="JPJ1157" s="7"/>
      <c r="JPK1157" s="7"/>
      <c r="JPL1157" s="7"/>
      <c r="JPM1157" s="7"/>
      <c r="JPN1157" s="7"/>
      <c r="JPO1157" s="7"/>
      <c r="JPP1157" s="7"/>
      <c r="JPQ1157" s="7"/>
      <c r="JPR1157" s="7"/>
      <c r="JPS1157" s="7"/>
      <c r="JPT1157" s="7"/>
      <c r="JPU1157" s="7"/>
      <c r="JPV1157" s="7"/>
      <c r="JPW1157" s="7"/>
      <c r="JPX1157" s="7"/>
      <c r="JPY1157" s="7"/>
      <c r="JPZ1157" s="7"/>
      <c r="JQA1157" s="7"/>
      <c r="JQB1157" s="7"/>
      <c r="JQC1157" s="7"/>
      <c r="JQD1157" s="7"/>
      <c r="JQE1157" s="7"/>
      <c r="JQF1157" s="7"/>
      <c r="JQG1157" s="7"/>
      <c r="JQH1157" s="7"/>
      <c r="JQI1157" s="7"/>
      <c r="JQJ1157" s="7"/>
      <c r="JQK1157" s="7"/>
      <c r="JQL1157" s="7"/>
      <c r="JQM1157" s="7"/>
      <c r="JQN1157" s="7"/>
      <c r="JQO1157" s="7"/>
      <c r="JQP1157" s="7"/>
      <c r="JQQ1157" s="7"/>
      <c r="JQR1157" s="7"/>
      <c r="JQS1157" s="7"/>
      <c r="JQT1157" s="7"/>
      <c r="JQU1157" s="7"/>
      <c r="JQV1157" s="7"/>
      <c r="JQW1157" s="7"/>
      <c r="JQX1157" s="7"/>
      <c r="JQY1157" s="7"/>
      <c r="JQZ1157" s="7"/>
      <c r="JRA1157" s="7"/>
      <c r="JRB1157" s="7"/>
      <c r="JRC1157" s="7"/>
      <c r="JRD1157" s="7"/>
      <c r="JRE1157" s="7"/>
      <c r="JRF1157" s="7"/>
      <c r="JRG1157" s="7"/>
      <c r="JRH1157" s="7"/>
      <c r="JRI1157" s="7"/>
      <c r="JRJ1157" s="7"/>
      <c r="JRK1157" s="7"/>
      <c r="JRL1157" s="7"/>
      <c r="JRM1157" s="7"/>
      <c r="JRN1157" s="7"/>
      <c r="JRO1157" s="7"/>
      <c r="JRP1157" s="7"/>
      <c r="JRQ1157" s="7"/>
      <c r="JRR1157" s="7"/>
      <c r="JRS1157" s="7"/>
      <c r="JRT1157" s="7"/>
      <c r="JRU1157" s="7"/>
      <c r="JRV1157" s="7"/>
      <c r="JRW1157" s="7"/>
      <c r="JRX1157" s="7"/>
      <c r="JRY1157" s="7"/>
      <c r="JRZ1157" s="7"/>
      <c r="JSA1157" s="7"/>
      <c r="JSB1157" s="7"/>
      <c r="JSC1157" s="7"/>
      <c r="JSD1157" s="7"/>
      <c r="JSE1157" s="7"/>
      <c r="JSF1157" s="7"/>
      <c r="JSG1157" s="7"/>
      <c r="JSH1157" s="7"/>
      <c r="JSI1157" s="7"/>
      <c r="JSJ1157" s="7"/>
      <c r="JSK1157" s="7"/>
      <c r="JSL1157" s="7"/>
      <c r="JSM1157" s="7"/>
      <c r="JSN1157" s="7"/>
      <c r="JSO1157" s="7"/>
      <c r="JSP1157" s="7"/>
      <c r="JSQ1157" s="7"/>
      <c r="JSR1157" s="7"/>
      <c r="JSS1157" s="7"/>
      <c r="JST1157" s="7"/>
      <c r="JSU1157" s="7"/>
      <c r="JSV1157" s="7"/>
      <c r="JSW1157" s="7"/>
      <c r="JSX1157" s="7"/>
      <c r="JSY1157" s="7"/>
      <c r="JSZ1157" s="7"/>
      <c r="JTA1157" s="7"/>
      <c r="JTB1157" s="7"/>
      <c r="JTC1157" s="7"/>
      <c r="JTD1157" s="7"/>
      <c r="JTE1157" s="7"/>
      <c r="JTF1157" s="7"/>
      <c r="JTG1157" s="7"/>
      <c r="JTH1157" s="7"/>
      <c r="JTI1157" s="7"/>
      <c r="JTJ1157" s="7"/>
      <c r="JTK1157" s="7"/>
      <c r="JTL1157" s="7"/>
      <c r="JTM1157" s="7"/>
      <c r="JTN1157" s="7"/>
      <c r="JTO1157" s="7"/>
      <c r="JTP1157" s="7"/>
      <c r="JTQ1157" s="7"/>
      <c r="JTR1157" s="7"/>
      <c r="JTS1157" s="7"/>
      <c r="JTT1157" s="7"/>
      <c r="JTU1157" s="7"/>
      <c r="JTV1157" s="7"/>
      <c r="JTW1157" s="7"/>
      <c r="JTX1157" s="7"/>
      <c r="JTY1157" s="7"/>
      <c r="JTZ1157" s="7"/>
      <c r="JUA1157" s="7"/>
      <c r="JUB1157" s="7"/>
      <c r="JUC1157" s="7"/>
      <c r="JUD1157" s="7"/>
      <c r="JUE1157" s="7"/>
      <c r="JUF1157" s="7"/>
      <c r="JUG1157" s="7"/>
      <c r="JUH1157" s="7"/>
      <c r="JUI1157" s="7"/>
      <c r="JUJ1157" s="7"/>
      <c r="JUK1157" s="7"/>
      <c r="JUL1157" s="7"/>
      <c r="JUM1157" s="7"/>
      <c r="JUN1157" s="7"/>
      <c r="JUO1157" s="7"/>
      <c r="JUP1157" s="7"/>
      <c r="JUQ1157" s="7"/>
      <c r="JUR1157" s="7"/>
      <c r="JUS1157" s="7"/>
      <c r="JUT1157" s="7"/>
      <c r="JUU1157" s="7"/>
      <c r="JUV1157" s="7"/>
      <c r="JUW1157" s="7"/>
      <c r="JUX1157" s="7"/>
      <c r="JUY1157" s="7"/>
      <c r="JUZ1157" s="7"/>
      <c r="JVA1157" s="7"/>
      <c r="JVB1157" s="7"/>
      <c r="JVC1157" s="7"/>
      <c r="JVD1157" s="7"/>
      <c r="JVE1157" s="7"/>
      <c r="JVF1157" s="7"/>
      <c r="JVG1157" s="7"/>
      <c r="JVH1157" s="7"/>
      <c r="JVI1157" s="7"/>
      <c r="JVJ1157" s="7"/>
      <c r="JVK1157" s="7"/>
      <c r="JVL1157" s="7"/>
      <c r="JVM1157" s="7"/>
      <c r="JVN1157" s="7"/>
      <c r="JVO1157" s="7"/>
      <c r="JVP1157" s="7"/>
      <c r="JVQ1157" s="7"/>
      <c r="JVR1157" s="7"/>
      <c r="JVS1157" s="7"/>
      <c r="JVT1157" s="7"/>
      <c r="JVU1157" s="7"/>
      <c r="JVV1157" s="7"/>
      <c r="JVW1157" s="7"/>
      <c r="JVX1157" s="7"/>
      <c r="JVY1157" s="7"/>
      <c r="JVZ1157" s="7"/>
      <c r="JWA1157" s="7"/>
      <c r="JWB1157" s="7"/>
      <c r="JWC1157" s="7"/>
      <c r="JWD1157" s="7"/>
      <c r="JWE1157" s="7"/>
      <c r="JWF1157" s="7"/>
      <c r="JWG1157" s="7"/>
      <c r="JWH1157" s="7"/>
      <c r="JWI1157" s="7"/>
      <c r="JWJ1157" s="7"/>
      <c r="JWK1157" s="7"/>
      <c r="JWL1157" s="7"/>
      <c r="JWM1157" s="7"/>
      <c r="JWN1157" s="7"/>
      <c r="JWO1157" s="7"/>
      <c r="JWP1157" s="7"/>
      <c r="JWQ1157" s="7"/>
      <c r="JWR1157" s="7"/>
      <c r="JWS1157" s="7"/>
      <c r="JWT1157" s="7"/>
      <c r="JWU1157" s="7"/>
      <c r="JWV1157" s="7"/>
      <c r="JWW1157" s="7"/>
      <c r="JWX1157" s="7"/>
      <c r="JWY1157" s="7"/>
      <c r="JWZ1157" s="7"/>
      <c r="JXA1157" s="7"/>
      <c r="JXB1157" s="7"/>
      <c r="JXC1157" s="7"/>
      <c r="JXD1157" s="7"/>
      <c r="JXE1157" s="7"/>
      <c r="JXF1157" s="7"/>
      <c r="JXG1157" s="7"/>
      <c r="JXH1157" s="7"/>
      <c r="JXI1157" s="7"/>
      <c r="JXJ1157" s="7"/>
      <c r="JXK1157" s="7"/>
      <c r="JXL1157" s="7"/>
      <c r="JXM1157" s="7"/>
      <c r="JXN1157" s="7"/>
      <c r="JXO1157" s="7"/>
      <c r="JXP1157" s="7"/>
      <c r="JXQ1157" s="7"/>
      <c r="JXR1157" s="7"/>
      <c r="JXS1157" s="7"/>
      <c r="JXT1157" s="7"/>
      <c r="JXU1157" s="7"/>
      <c r="JXV1157" s="7"/>
      <c r="JXW1157" s="7"/>
      <c r="JXX1157" s="7"/>
      <c r="JXY1157" s="7"/>
      <c r="JXZ1157" s="7"/>
      <c r="JYA1157" s="7"/>
      <c r="JYB1157" s="7"/>
      <c r="JYC1157" s="7"/>
      <c r="JYD1157" s="7"/>
      <c r="JYE1157" s="7"/>
      <c r="JYF1157" s="7"/>
      <c r="JYG1157" s="7"/>
      <c r="JYH1157" s="7"/>
      <c r="JYI1157" s="7"/>
      <c r="JYJ1157" s="7"/>
      <c r="JYK1157" s="7"/>
      <c r="JYL1157" s="7"/>
      <c r="JYM1157" s="7"/>
      <c r="JYN1157" s="7"/>
      <c r="JYO1157" s="7"/>
      <c r="JYP1157" s="7"/>
      <c r="JYQ1157" s="7"/>
      <c r="JYR1157" s="7"/>
      <c r="JYS1157" s="7"/>
      <c r="JYT1157" s="7"/>
      <c r="JYU1157" s="7"/>
      <c r="JYV1157" s="7"/>
      <c r="JYW1157" s="7"/>
      <c r="JYX1157" s="7"/>
      <c r="JYY1157" s="7"/>
      <c r="JYZ1157" s="7"/>
      <c r="JZA1157" s="7"/>
      <c r="JZB1157" s="7"/>
      <c r="JZC1157" s="7"/>
      <c r="JZD1157" s="7"/>
      <c r="JZE1157" s="7"/>
      <c r="JZF1157" s="7"/>
      <c r="JZG1157" s="7"/>
      <c r="JZH1157" s="7"/>
      <c r="JZI1157" s="7"/>
      <c r="JZJ1157" s="7"/>
      <c r="JZK1157" s="7"/>
      <c r="JZL1157" s="7"/>
      <c r="JZM1157" s="7"/>
      <c r="JZN1157" s="7"/>
      <c r="JZO1157" s="7"/>
      <c r="JZP1157" s="7"/>
      <c r="JZQ1157" s="7"/>
      <c r="JZR1157" s="7"/>
      <c r="JZS1157" s="7"/>
      <c r="JZT1157" s="7"/>
      <c r="JZU1157" s="7"/>
      <c r="JZV1157" s="7"/>
      <c r="JZW1157" s="7"/>
      <c r="JZX1157" s="7"/>
      <c r="JZY1157" s="7"/>
      <c r="JZZ1157" s="7"/>
      <c r="KAA1157" s="7"/>
      <c r="KAB1157" s="7"/>
      <c r="KAC1157" s="7"/>
      <c r="KAD1157" s="7"/>
      <c r="KAE1157" s="7"/>
      <c r="KAF1157" s="7"/>
      <c r="KAG1157" s="7"/>
      <c r="KAH1157" s="7"/>
      <c r="KAI1157" s="7"/>
      <c r="KAJ1157" s="7"/>
      <c r="KAK1157" s="7"/>
      <c r="KAL1157" s="7"/>
      <c r="KAM1157" s="7"/>
      <c r="KAN1157" s="7"/>
      <c r="KAO1157" s="7"/>
      <c r="KAP1157" s="7"/>
      <c r="KAQ1157" s="7"/>
      <c r="KAR1157" s="7"/>
      <c r="KAS1157" s="7"/>
      <c r="KAT1157" s="7"/>
      <c r="KAU1157" s="7"/>
      <c r="KAV1157" s="7"/>
      <c r="KAW1157" s="7"/>
      <c r="KAX1157" s="7"/>
      <c r="KAY1157" s="7"/>
      <c r="KAZ1157" s="7"/>
      <c r="KBA1157" s="7"/>
      <c r="KBB1157" s="7"/>
      <c r="KBC1157" s="7"/>
      <c r="KBD1157" s="7"/>
      <c r="KBE1157" s="7"/>
      <c r="KBF1157" s="7"/>
      <c r="KBG1157" s="7"/>
      <c r="KBH1157" s="7"/>
      <c r="KBI1157" s="7"/>
      <c r="KBJ1157" s="7"/>
      <c r="KBK1157" s="7"/>
      <c r="KBL1157" s="7"/>
      <c r="KBM1157" s="7"/>
      <c r="KBN1157" s="7"/>
      <c r="KBO1157" s="7"/>
      <c r="KBP1157" s="7"/>
      <c r="KBQ1157" s="7"/>
      <c r="KBR1157" s="7"/>
      <c r="KBS1157" s="7"/>
      <c r="KBT1157" s="7"/>
      <c r="KBU1157" s="7"/>
      <c r="KBV1157" s="7"/>
      <c r="KBW1157" s="7"/>
      <c r="KBX1157" s="7"/>
      <c r="KBY1157" s="7"/>
      <c r="KBZ1157" s="7"/>
      <c r="KCA1157" s="7"/>
      <c r="KCB1157" s="7"/>
      <c r="KCC1157" s="7"/>
      <c r="KCD1157" s="7"/>
      <c r="KCE1157" s="7"/>
      <c r="KCF1157" s="7"/>
      <c r="KCG1157" s="7"/>
      <c r="KCH1157" s="7"/>
      <c r="KCI1157" s="7"/>
      <c r="KCJ1157" s="7"/>
      <c r="KCK1157" s="7"/>
      <c r="KCL1157" s="7"/>
      <c r="KCM1157" s="7"/>
      <c r="KCN1157" s="7"/>
      <c r="KCO1157" s="7"/>
      <c r="KCP1157" s="7"/>
      <c r="KCQ1157" s="7"/>
      <c r="KCR1157" s="7"/>
      <c r="KCS1157" s="7"/>
      <c r="KCT1157" s="7"/>
      <c r="KCU1157" s="7"/>
      <c r="KCV1157" s="7"/>
      <c r="KCW1157" s="7"/>
      <c r="KCX1157" s="7"/>
      <c r="KCY1157" s="7"/>
      <c r="KCZ1157" s="7"/>
      <c r="KDA1157" s="7"/>
      <c r="KDB1157" s="7"/>
      <c r="KDC1157" s="7"/>
      <c r="KDD1157" s="7"/>
      <c r="KDE1157" s="7"/>
      <c r="KDF1157" s="7"/>
      <c r="KDG1157" s="7"/>
      <c r="KDH1157" s="7"/>
      <c r="KDI1157" s="7"/>
      <c r="KDJ1157" s="7"/>
      <c r="KDK1157" s="7"/>
      <c r="KDL1157" s="7"/>
      <c r="KDM1157" s="7"/>
      <c r="KDN1157" s="7"/>
      <c r="KDO1157" s="7"/>
      <c r="KDP1157" s="7"/>
      <c r="KDQ1157" s="7"/>
      <c r="KDR1157" s="7"/>
      <c r="KDS1157" s="7"/>
      <c r="KDT1157" s="7"/>
      <c r="KDU1157" s="7"/>
      <c r="KDV1157" s="7"/>
      <c r="KDW1157" s="7"/>
      <c r="KDX1157" s="7"/>
      <c r="KDY1157" s="7"/>
      <c r="KDZ1157" s="7"/>
      <c r="KEA1157" s="7"/>
      <c r="KEB1157" s="7"/>
      <c r="KEC1157" s="7"/>
      <c r="KED1157" s="7"/>
      <c r="KEE1157" s="7"/>
      <c r="KEF1157" s="7"/>
      <c r="KEG1157" s="7"/>
      <c r="KEH1157" s="7"/>
      <c r="KEI1157" s="7"/>
      <c r="KEJ1157" s="7"/>
      <c r="KEK1157" s="7"/>
      <c r="KEL1157" s="7"/>
      <c r="KEM1157" s="7"/>
      <c r="KEN1157" s="7"/>
      <c r="KEO1157" s="7"/>
      <c r="KEP1157" s="7"/>
      <c r="KEQ1157" s="7"/>
      <c r="KER1157" s="7"/>
      <c r="KES1157" s="7"/>
      <c r="KET1157" s="7"/>
      <c r="KEU1157" s="7"/>
      <c r="KEV1157" s="7"/>
      <c r="KEW1157" s="7"/>
      <c r="KEX1157" s="7"/>
      <c r="KEY1157" s="7"/>
      <c r="KEZ1157" s="7"/>
      <c r="KFA1157" s="7"/>
      <c r="KFB1157" s="7"/>
      <c r="KFC1157" s="7"/>
      <c r="KFD1157" s="7"/>
      <c r="KFE1157" s="7"/>
      <c r="KFF1157" s="7"/>
      <c r="KFG1157" s="7"/>
      <c r="KFH1157" s="7"/>
      <c r="KFI1157" s="7"/>
      <c r="KFJ1157" s="7"/>
      <c r="KFK1157" s="7"/>
      <c r="KFL1157" s="7"/>
      <c r="KFM1157" s="7"/>
      <c r="KFN1157" s="7"/>
      <c r="KFO1157" s="7"/>
      <c r="KFP1157" s="7"/>
      <c r="KFQ1157" s="7"/>
      <c r="KFR1157" s="7"/>
      <c r="KFS1157" s="7"/>
      <c r="KFT1157" s="7"/>
      <c r="KFU1157" s="7"/>
      <c r="KFV1157" s="7"/>
      <c r="KFW1157" s="7"/>
      <c r="KFX1157" s="7"/>
      <c r="KFY1157" s="7"/>
      <c r="KFZ1157" s="7"/>
      <c r="KGA1157" s="7"/>
      <c r="KGB1157" s="7"/>
      <c r="KGC1157" s="7"/>
      <c r="KGD1157" s="7"/>
      <c r="KGE1157" s="7"/>
      <c r="KGF1157" s="7"/>
      <c r="KGG1157" s="7"/>
      <c r="KGH1157" s="7"/>
      <c r="KGI1157" s="7"/>
      <c r="KGJ1157" s="7"/>
      <c r="KGK1157" s="7"/>
      <c r="KGL1157" s="7"/>
      <c r="KGM1157" s="7"/>
      <c r="KGN1157" s="7"/>
      <c r="KGO1157" s="7"/>
      <c r="KGP1157" s="7"/>
      <c r="KGQ1157" s="7"/>
      <c r="KGR1157" s="7"/>
      <c r="KGS1157" s="7"/>
      <c r="KGT1157" s="7"/>
      <c r="KGU1157" s="7"/>
      <c r="KGV1157" s="7"/>
      <c r="KGW1157" s="7"/>
      <c r="KGX1157" s="7"/>
      <c r="KGY1157" s="7"/>
      <c r="KGZ1157" s="7"/>
      <c r="KHA1157" s="7"/>
      <c r="KHB1157" s="7"/>
      <c r="KHC1157" s="7"/>
      <c r="KHD1157" s="7"/>
      <c r="KHE1157" s="7"/>
      <c r="KHF1157" s="7"/>
      <c r="KHG1157" s="7"/>
      <c r="KHH1157" s="7"/>
      <c r="KHI1157" s="7"/>
      <c r="KHJ1157" s="7"/>
      <c r="KHK1157" s="7"/>
      <c r="KHL1157" s="7"/>
      <c r="KHM1157" s="7"/>
      <c r="KHN1157" s="7"/>
      <c r="KHO1157" s="7"/>
      <c r="KHP1157" s="7"/>
      <c r="KHQ1157" s="7"/>
      <c r="KHR1157" s="7"/>
      <c r="KHS1157" s="7"/>
      <c r="KHT1157" s="7"/>
      <c r="KHU1157" s="7"/>
      <c r="KHV1157" s="7"/>
      <c r="KHW1157" s="7"/>
      <c r="KHX1157" s="7"/>
      <c r="KHY1157" s="7"/>
      <c r="KHZ1157" s="7"/>
      <c r="KIA1157" s="7"/>
      <c r="KIB1157" s="7"/>
      <c r="KIC1157" s="7"/>
      <c r="KID1157" s="7"/>
      <c r="KIE1157" s="7"/>
      <c r="KIF1157" s="7"/>
      <c r="KIG1157" s="7"/>
      <c r="KIH1157" s="7"/>
      <c r="KII1157" s="7"/>
      <c r="KIJ1157" s="7"/>
      <c r="KIK1157" s="7"/>
      <c r="KIL1157" s="7"/>
      <c r="KIM1157" s="7"/>
      <c r="KIN1157" s="7"/>
      <c r="KIO1157" s="7"/>
      <c r="KIP1157" s="7"/>
      <c r="KIQ1157" s="7"/>
      <c r="KIR1157" s="7"/>
      <c r="KIS1157" s="7"/>
      <c r="KIT1157" s="7"/>
      <c r="KIU1157" s="7"/>
      <c r="KIV1157" s="7"/>
      <c r="KIW1157" s="7"/>
      <c r="KIX1157" s="7"/>
      <c r="KIY1157" s="7"/>
      <c r="KIZ1157" s="7"/>
      <c r="KJA1157" s="7"/>
      <c r="KJB1157" s="7"/>
      <c r="KJC1157" s="7"/>
      <c r="KJD1157" s="7"/>
      <c r="KJE1157" s="7"/>
      <c r="KJF1157" s="7"/>
      <c r="KJG1157" s="7"/>
      <c r="KJH1157" s="7"/>
      <c r="KJI1157" s="7"/>
      <c r="KJJ1157" s="7"/>
      <c r="KJK1157" s="7"/>
      <c r="KJL1157" s="7"/>
      <c r="KJM1157" s="7"/>
      <c r="KJN1157" s="7"/>
      <c r="KJO1157" s="7"/>
      <c r="KJP1157" s="7"/>
      <c r="KJQ1157" s="7"/>
      <c r="KJR1157" s="7"/>
      <c r="KJS1157" s="7"/>
      <c r="KJT1157" s="7"/>
      <c r="KJU1157" s="7"/>
      <c r="KJV1157" s="7"/>
      <c r="KJW1157" s="7"/>
      <c r="KJX1157" s="7"/>
      <c r="KJY1157" s="7"/>
      <c r="KJZ1157" s="7"/>
      <c r="KKA1157" s="7"/>
      <c r="KKB1157" s="7"/>
      <c r="KKC1157" s="7"/>
      <c r="KKD1157" s="7"/>
      <c r="KKE1157" s="7"/>
      <c r="KKF1157" s="7"/>
      <c r="KKG1157" s="7"/>
      <c r="KKH1157" s="7"/>
      <c r="KKI1157" s="7"/>
      <c r="KKJ1157" s="7"/>
      <c r="KKK1157" s="7"/>
      <c r="KKL1157" s="7"/>
      <c r="KKM1157" s="7"/>
      <c r="KKN1157" s="7"/>
      <c r="KKO1157" s="7"/>
      <c r="KKP1157" s="7"/>
      <c r="KKQ1157" s="7"/>
      <c r="KKR1157" s="7"/>
      <c r="KKS1157" s="7"/>
      <c r="KKT1157" s="7"/>
      <c r="KKU1157" s="7"/>
      <c r="KKV1157" s="7"/>
      <c r="KKW1157" s="7"/>
      <c r="KKX1157" s="7"/>
      <c r="KKY1157" s="7"/>
      <c r="KKZ1157" s="7"/>
      <c r="KLA1157" s="7"/>
      <c r="KLB1157" s="7"/>
      <c r="KLC1157" s="7"/>
      <c r="KLD1157" s="7"/>
      <c r="KLE1157" s="7"/>
      <c r="KLF1157" s="7"/>
      <c r="KLG1157" s="7"/>
      <c r="KLH1157" s="7"/>
      <c r="KLI1157" s="7"/>
      <c r="KLJ1157" s="7"/>
      <c r="KLK1157" s="7"/>
      <c r="KLL1157" s="7"/>
      <c r="KLM1157" s="7"/>
      <c r="KLN1157" s="7"/>
      <c r="KLO1157" s="7"/>
      <c r="KLP1157" s="7"/>
      <c r="KLQ1157" s="7"/>
      <c r="KLR1157" s="7"/>
      <c r="KLS1157" s="7"/>
      <c r="KLT1157" s="7"/>
      <c r="KLU1157" s="7"/>
      <c r="KLV1157" s="7"/>
      <c r="KLW1157" s="7"/>
      <c r="KLX1157" s="7"/>
      <c r="KLY1157" s="7"/>
      <c r="KLZ1157" s="7"/>
      <c r="KMA1157" s="7"/>
      <c r="KMB1157" s="7"/>
      <c r="KMC1157" s="7"/>
      <c r="KMD1157" s="7"/>
      <c r="KME1157" s="7"/>
      <c r="KMF1157" s="7"/>
      <c r="KMG1157" s="7"/>
      <c r="KMH1157" s="7"/>
      <c r="KMI1157" s="7"/>
      <c r="KMJ1157" s="7"/>
      <c r="KMK1157" s="7"/>
      <c r="KML1157" s="7"/>
      <c r="KMM1157" s="7"/>
      <c r="KMN1157" s="7"/>
      <c r="KMO1157" s="7"/>
      <c r="KMP1157" s="7"/>
      <c r="KMQ1157" s="7"/>
      <c r="KMR1157" s="7"/>
      <c r="KMS1157" s="7"/>
      <c r="KMT1157" s="7"/>
      <c r="KMU1157" s="7"/>
      <c r="KMV1157" s="7"/>
      <c r="KMW1157" s="7"/>
      <c r="KMX1157" s="7"/>
      <c r="KMY1157" s="7"/>
      <c r="KMZ1157" s="7"/>
      <c r="KNA1157" s="7"/>
      <c r="KNB1157" s="7"/>
      <c r="KNC1157" s="7"/>
      <c r="KND1157" s="7"/>
      <c r="KNE1157" s="7"/>
      <c r="KNF1157" s="7"/>
      <c r="KNG1157" s="7"/>
      <c r="KNH1157" s="7"/>
      <c r="KNI1157" s="7"/>
      <c r="KNJ1157" s="7"/>
      <c r="KNK1157" s="7"/>
      <c r="KNL1157" s="7"/>
      <c r="KNM1157" s="7"/>
      <c r="KNN1157" s="7"/>
      <c r="KNO1157" s="7"/>
      <c r="KNP1157" s="7"/>
      <c r="KNQ1157" s="7"/>
      <c r="KNR1157" s="7"/>
      <c r="KNS1157" s="7"/>
      <c r="KNT1157" s="7"/>
      <c r="KNU1157" s="7"/>
      <c r="KNV1157" s="7"/>
      <c r="KNW1157" s="7"/>
      <c r="KNX1157" s="7"/>
      <c r="KNY1157" s="7"/>
      <c r="KNZ1157" s="7"/>
      <c r="KOA1157" s="7"/>
      <c r="KOB1157" s="7"/>
      <c r="KOC1157" s="7"/>
      <c r="KOD1157" s="7"/>
      <c r="KOE1157" s="7"/>
      <c r="KOF1157" s="7"/>
      <c r="KOG1157" s="7"/>
      <c r="KOH1157" s="7"/>
      <c r="KOI1157" s="7"/>
      <c r="KOJ1157" s="7"/>
      <c r="KOK1157" s="7"/>
      <c r="KOL1157" s="7"/>
      <c r="KOM1157" s="7"/>
      <c r="KON1157" s="7"/>
      <c r="KOO1157" s="7"/>
      <c r="KOP1157" s="7"/>
      <c r="KOQ1157" s="7"/>
      <c r="KOR1157" s="7"/>
      <c r="KOS1157" s="7"/>
      <c r="KOT1157" s="7"/>
      <c r="KOU1157" s="7"/>
      <c r="KOV1157" s="7"/>
      <c r="KOW1157" s="7"/>
      <c r="KOX1157" s="7"/>
      <c r="KOY1157" s="7"/>
      <c r="KOZ1157" s="7"/>
      <c r="KPA1157" s="7"/>
      <c r="KPB1157" s="7"/>
      <c r="KPC1157" s="7"/>
      <c r="KPD1157" s="7"/>
      <c r="KPE1157" s="7"/>
      <c r="KPF1157" s="7"/>
      <c r="KPG1157" s="7"/>
      <c r="KPH1157" s="7"/>
      <c r="KPI1157" s="7"/>
      <c r="KPJ1157" s="7"/>
      <c r="KPK1157" s="7"/>
      <c r="KPL1157" s="7"/>
      <c r="KPM1157" s="7"/>
      <c r="KPN1157" s="7"/>
      <c r="KPO1157" s="7"/>
      <c r="KPP1157" s="7"/>
      <c r="KPQ1157" s="7"/>
      <c r="KPR1157" s="7"/>
      <c r="KPS1157" s="7"/>
      <c r="KPT1157" s="7"/>
      <c r="KPU1157" s="7"/>
      <c r="KPV1157" s="7"/>
      <c r="KPW1157" s="7"/>
      <c r="KPX1157" s="7"/>
      <c r="KPY1157" s="7"/>
      <c r="KPZ1157" s="7"/>
      <c r="KQA1157" s="7"/>
      <c r="KQB1157" s="7"/>
      <c r="KQC1157" s="7"/>
      <c r="KQD1157" s="7"/>
      <c r="KQE1157" s="7"/>
      <c r="KQF1157" s="7"/>
      <c r="KQG1157" s="7"/>
      <c r="KQH1157" s="7"/>
      <c r="KQI1157" s="7"/>
      <c r="KQJ1157" s="7"/>
      <c r="KQK1157" s="7"/>
      <c r="KQL1157" s="7"/>
      <c r="KQM1157" s="7"/>
      <c r="KQN1157" s="7"/>
      <c r="KQO1157" s="7"/>
      <c r="KQP1157" s="7"/>
      <c r="KQQ1157" s="7"/>
      <c r="KQR1157" s="7"/>
      <c r="KQS1157" s="7"/>
      <c r="KQT1157" s="7"/>
      <c r="KQU1157" s="7"/>
      <c r="KQV1157" s="7"/>
      <c r="KQW1157" s="7"/>
      <c r="KQX1157" s="7"/>
      <c r="KQY1157" s="7"/>
      <c r="KQZ1157" s="7"/>
      <c r="KRA1157" s="7"/>
      <c r="KRB1157" s="7"/>
      <c r="KRC1157" s="7"/>
      <c r="KRD1157" s="7"/>
      <c r="KRE1157" s="7"/>
      <c r="KRF1157" s="7"/>
      <c r="KRG1157" s="7"/>
      <c r="KRH1157" s="7"/>
      <c r="KRI1157" s="7"/>
      <c r="KRJ1157" s="7"/>
      <c r="KRK1157" s="7"/>
      <c r="KRL1157" s="7"/>
      <c r="KRM1157" s="7"/>
      <c r="KRN1157" s="7"/>
      <c r="KRO1157" s="7"/>
      <c r="KRP1157" s="7"/>
      <c r="KRQ1157" s="7"/>
      <c r="KRR1157" s="7"/>
      <c r="KRS1157" s="7"/>
      <c r="KRT1157" s="7"/>
      <c r="KRU1157" s="7"/>
      <c r="KRV1157" s="7"/>
      <c r="KRW1157" s="7"/>
      <c r="KRX1157" s="7"/>
      <c r="KRY1157" s="7"/>
      <c r="KRZ1157" s="7"/>
      <c r="KSA1157" s="7"/>
      <c r="KSB1157" s="7"/>
      <c r="KSC1157" s="7"/>
      <c r="KSD1157" s="7"/>
      <c r="KSE1157" s="7"/>
      <c r="KSF1157" s="7"/>
      <c r="KSG1157" s="7"/>
      <c r="KSH1157" s="7"/>
      <c r="KSI1157" s="7"/>
      <c r="KSJ1157" s="7"/>
      <c r="KSK1157" s="7"/>
      <c r="KSL1157" s="7"/>
      <c r="KSM1157" s="7"/>
      <c r="KSN1157" s="7"/>
      <c r="KSO1157" s="7"/>
      <c r="KSP1157" s="7"/>
      <c r="KSQ1157" s="7"/>
      <c r="KSR1157" s="7"/>
      <c r="KSS1157" s="7"/>
      <c r="KST1157" s="7"/>
      <c r="KSU1157" s="7"/>
      <c r="KSV1157" s="7"/>
      <c r="KSW1157" s="7"/>
      <c r="KSX1157" s="7"/>
      <c r="KSY1157" s="7"/>
      <c r="KSZ1157" s="7"/>
      <c r="KTA1157" s="7"/>
      <c r="KTB1157" s="7"/>
      <c r="KTC1157" s="7"/>
      <c r="KTD1157" s="7"/>
      <c r="KTE1157" s="7"/>
      <c r="KTF1157" s="7"/>
      <c r="KTG1157" s="7"/>
      <c r="KTH1157" s="7"/>
      <c r="KTI1157" s="7"/>
      <c r="KTJ1157" s="7"/>
      <c r="KTK1157" s="7"/>
      <c r="KTL1157" s="7"/>
      <c r="KTM1157" s="7"/>
      <c r="KTN1157" s="7"/>
      <c r="KTO1157" s="7"/>
      <c r="KTP1157" s="7"/>
      <c r="KTQ1157" s="7"/>
      <c r="KTR1157" s="7"/>
      <c r="KTS1157" s="7"/>
      <c r="KTT1157" s="7"/>
      <c r="KTU1157" s="7"/>
      <c r="KTV1157" s="7"/>
      <c r="KTW1157" s="7"/>
      <c r="KTX1157" s="7"/>
      <c r="KTY1157" s="7"/>
      <c r="KTZ1157" s="7"/>
      <c r="KUA1157" s="7"/>
      <c r="KUB1157" s="7"/>
      <c r="KUC1157" s="7"/>
      <c r="KUD1157" s="7"/>
      <c r="KUE1157" s="7"/>
      <c r="KUF1157" s="7"/>
      <c r="KUG1157" s="7"/>
      <c r="KUH1157" s="7"/>
      <c r="KUI1157" s="7"/>
      <c r="KUJ1157" s="7"/>
      <c r="KUK1157" s="7"/>
      <c r="KUL1157" s="7"/>
      <c r="KUM1157" s="7"/>
      <c r="KUN1157" s="7"/>
      <c r="KUO1157" s="7"/>
      <c r="KUP1157" s="7"/>
      <c r="KUQ1157" s="7"/>
      <c r="KUR1157" s="7"/>
      <c r="KUS1157" s="7"/>
      <c r="KUT1157" s="7"/>
      <c r="KUU1157" s="7"/>
      <c r="KUV1157" s="7"/>
      <c r="KUW1157" s="7"/>
      <c r="KUX1157" s="7"/>
      <c r="KUY1157" s="7"/>
      <c r="KUZ1157" s="7"/>
      <c r="KVA1157" s="7"/>
      <c r="KVB1157" s="7"/>
      <c r="KVC1157" s="7"/>
      <c r="KVD1157" s="7"/>
      <c r="KVE1157" s="7"/>
      <c r="KVF1157" s="7"/>
      <c r="KVG1157" s="7"/>
      <c r="KVH1157" s="7"/>
      <c r="KVI1157" s="7"/>
      <c r="KVJ1157" s="7"/>
      <c r="KVK1157" s="7"/>
      <c r="KVL1157" s="7"/>
      <c r="KVM1157" s="7"/>
      <c r="KVN1157" s="7"/>
      <c r="KVO1157" s="7"/>
      <c r="KVP1157" s="7"/>
      <c r="KVQ1157" s="7"/>
      <c r="KVR1157" s="7"/>
      <c r="KVS1157" s="7"/>
      <c r="KVT1157" s="7"/>
      <c r="KVU1157" s="7"/>
      <c r="KVV1157" s="7"/>
      <c r="KVW1157" s="7"/>
      <c r="KVX1157" s="7"/>
      <c r="KVY1157" s="7"/>
      <c r="KVZ1157" s="7"/>
      <c r="KWA1157" s="7"/>
      <c r="KWB1157" s="7"/>
      <c r="KWC1157" s="7"/>
      <c r="KWD1157" s="7"/>
      <c r="KWE1157" s="7"/>
      <c r="KWF1157" s="7"/>
      <c r="KWG1157" s="7"/>
      <c r="KWH1157" s="7"/>
      <c r="KWI1157" s="7"/>
      <c r="KWJ1157" s="7"/>
      <c r="KWK1157" s="7"/>
      <c r="KWL1157" s="7"/>
      <c r="KWM1157" s="7"/>
      <c r="KWN1157" s="7"/>
      <c r="KWO1157" s="7"/>
      <c r="KWP1157" s="7"/>
      <c r="KWQ1157" s="7"/>
      <c r="KWR1157" s="7"/>
      <c r="KWS1157" s="7"/>
      <c r="KWT1157" s="7"/>
      <c r="KWU1157" s="7"/>
      <c r="KWV1157" s="7"/>
      <c r="KWW1157" s="7"/>
      <c r="KWX1157" s="7"/>
      <c r="KWY1157" s="7"/>
      <c r="KWZ1157" s="7"/>
      <c r="KXA1157" s="7"/>
      <c r="KXB1157" s="7"/>
      <c r="KXC1157" s="7"/>
      <c r="KXD1157" s="7"/>
      <c r="KXE1157" s="7"/>
      <c r="KXF1157" s="7"/>
      <c r="KXG1157" s="7"/>
      <c r="KXH1157" s="7"/>
      <c r="KXI1157" s="7"/>
      <c r="KXJ1157" s="7"/>
      <c r="KXK1157" s="7"/>
      <c r="KXL1157" s="7"/>
      <c r="KXM1157" s="7"/>
      <c r="KXN1157" s="7"/>
      <c r="KXO1157" s="7"/>
      <c r="KXP1157" s="7"/>
      <c r="KXQ1157" s="7"/>
      <c r="KXR1157" s="7"/>
      <c r="KXS1157" s="7"/>
      <c r="KXT1157" s="7"/>
      <c r="KXU1157" s="7"/>
      <c r="KXV1157" s="7"/>
      <c r="KXW1157" s="7"/>
      <c r="KXX1157" s="7"/>
      <c r="KXY1157" s="7"/>
      <c r="KXZ1157" s="7"/>
      <c r="KYA1157" s="7"/>
      <c r="KYB1157" s="7"/>
      <c r="KYC1157" s="7"/>
      <c r="KYD1157" s="7"/>
      <c r="KYE1157" s="7"/>
      <c r="KYF1157" s="7"/>
      <c r="KYG1157" s="7"/>
      <c r="KYH1157" s="7"/>
      <c r="KYI1157" s="7"/>
      <c r="KYJ1157" s="7"/>
      <c r="KYK1157" s="7"/>
      <c r="KYL1157" s="7"/>
      <c r="KYM1157" s="7"/>
      <c r="KYN1157" s="7"/>
      <c r="KYO1157" s="7"/>
      <c r="KYP1157" s="7"/>
      <c r="KYQ1157" s="7"/>
      <c r="KYR1157" s="7"/>
      <c r="KYS1157" s="7"/>
      <c r="KYT1157" s="7"/>
      <c r="KYU1157" s="7"/>
      <c r="KYV1157" s="7"/>
      <c r="KYW1157" s="7"/>
      <c r="KYX1157" s="7"/>
      <c r="KYY1157" s="7"/>
      <c r="KYZ1157" s="7"/>
      <c r="KZA1157" s="7"/>
      <c r="KZB1157" s="7"/>
      <c r="KZC1157" s="7"/>
      <c r="KZD1157" s="7"/>
      <c r="KZE1157" s="7"/>
      <c r="KZF1157" s="7"/>
      <c r="KZG1157" s="7"/>
      <c r="KZH1157" s="7"/>
      <c r="KZI1157" s="7"/>
      <c r="KZJ1157" s="7"/>
      <c r="KZK1157" s="7"/>
      <c r="KZL1157" s="7"/>
      <c r="KZM1157" s="7"/>
      <c r="KZN1157" s="7"/>
      <c r="KZO1157" s="7"/>
      <c r="KZP1157" s="7"/>
      <c r="KZQ1157" s="7"/>
      <c r="KZR1157" s="7"/>
      <c r="KZS1157" s="7"/>
      <c r="KZT1157" s="7"/>
      <c r="KZU1157" s="7"/>
      <c r="KZV1157" s="7"/>
      <c r="KZW1157" s="7"/>
      <c r="KZX1157" s="7"/>
      <c r="KZY1157" s="7"/>
      <c r="KZZ1157" s="7"/>
      <c r="LAA1157" s="7"/>
      <c r="LAB1157" s="7"/>
      <c r="LAC1157" s="7"/>
      <c r="LAD1157" s="7"/>
      <c r="LAE1157" s="7"/>
      <c r="LAF1157" s="7"/>
      <c r="LAG1157" s="7"/>
      <c r="LAH1157" s="7"/>
      <c r="LAI1157" s="7"/>
      <c r="LAJ1157" s="7"/>
      <c r="LAK1157" s="7"/>
      <c r="LAL1157" s="7"/>
      <c r="LAM1157" s="7"/>
      <c r="LAN1157" s="7"/>
      <c r="LAO1157" s="7"/>
      <c r="LAP1157" s="7"/>
      <c r="LAQ1157" s="7"/>
      <c r="LAR1157" s="7"/>
      <c r="LAS1157" s="7"/>
      <c r="LAT1157" s="7"/>
      <c r="LAU1157" s="7"/>
      <c r="LAV1157" s="7"/>
      <c r="LAW1157" s="7"/>
      <c r="LAX1157" s="7"/>
      <c r="LAY1157" s="7"/>
      <c r="LAZ1157" s="7"/>
      <c r="LBA1157" s="7"/>
      <c r="LBB1157" s="7"/>
      <c r="LBC1157" s="7"/>
      <c r="LBD1157" s="7"/>
      <c r="LBE1157" s="7"/>
      <c r="LBF1157" s="7"/>
      <c r="LBG1157" s="7"/>
      <c r="LBH1157" s="7"/>
      <c r="LBI1157" s="7"/>
      <c r="LBJ1157" s="7"/>
      <c r="LBK1157" s="7"/>
      <c r="LBL1157" s="7"/>
      <c r="LBM1157" s="7"/>
      <c r="LBN1157" s="7"/>
      <c r="LBO1157" s="7"/>
      <c r="LBP1157" s="7"/>
      <c r="LBQ1157" s="7"/>
      <c r="LBR1157" s="7"/>
      <c r="LBS1157" s="7"/>
      <c r="LBT1157" s="7"/>
      <c r="LBU1157" s="7"/>
      <c r="LBV1157" s="7"/>
      <c r="LBW1157" s="7"/>
      <c r="LBX1157" s="7"/>
      <c r="LBY1157" s="7"/>
      <c r="LBZ1157" s="7"/>
      <c r="LCA1157" s="7"/>
      <c r="LCB1157" s="7"/>
      <c r="LCC1157" s="7"/>
      <c r="LCD1157" s="7"/>
      <c r="LCE1157" s="7"/>
      <c r="LCF1157" s="7"/>
      <c r="LCG1157" s="7"/>
      <c r="LCH1157" s="7"/>
      <c r="LCI1157" s="7"/>
      <c r="LCJ1157" s="7"/>
      <c r="LCK1157" s="7"/>
      <c r="LCL1157" s="7"/>
      <c r="LCM1157" s="7"/>
      <c r="LCN1157" s="7"/>
      <c r="LCO1157" s="7"/>
      <c r="LCP1157" s="7"/>
      <c r="LCQ1157" s="7"/>
      <c r="LCR1157" s="7"/>
      <c r="LCS1157" s="7"/>
      <c r="LCT1157" s="7"/>
      <c r="LCU1157" s="7"/>
      <c r="LCV1157" s="7"/>
      <c r="LCW1157" s="7"/>
      <c r="LCX1157" s="7"/>
      <c r="LCY1157" s="7"/>
      <c r="LCZ1157" s="7"/>
      <c r="LDA1157" s="7"/>
      <c r="LDB1157" s="7"/>
      <c r="LDC1157" s="7"/>
      <c r="LDD1157" s="7"/>
      <c r="LDE1157" s="7"/>
      <c r="LDF1157" s="7"/>
      <c r="LDG1157" s="7"/>
      <c r="LDH1157" s="7"/>
      <c r="LDI1157" s="7"/>
      <c r="LDJ1157" s="7"/>
      <c r="LDK1157" s="7"/>
      <c r="LDL1157" s="7"/>
      <c r="LDM1157" s="7"/>
      <c r="LDN1157" s="7"/>
      <c r="LDO1157" s="7"/>
      <c r="LDP1157" s="7"/>
      <c r="LDQ1157" s="7"/>
      <c r="LDR1157" s="7"/>
      <c r="LDS1157" s="7"/>
      <c r="LDT1157" s="7"/>
      <c r="LDU1157" s="7"/>
      <c r="LDV1157" s="7"/>
      <c r="LDW1157" s="7"/>
      <c r="LDX1157" s="7"/>
      <c r="LDY1157" s="7"/>
      <c r="LDZ1157" s="7"/>
      <c r="LEA1157" s="7"/>
      <c r="LEB1157" s="7"/>
      <c r="LEC1157" s="7"/>
      <c r="LED1157" s="7"/>
      <c r="LEE1157" s="7"/>
      <c r="LEF1157" s="7"/>
      <c r="LEG1157" s="7"/>
      <c r="LEH1157" s="7"/>
      <c r="LEI1157" s="7"/>
      <c r="LEJ1157" s="7"/>
      <c r="LEK1157" s="7"/>
      <c r="LEL1157" s="7"/>
      <c r="LEM1157" s="7"/>
      <c r="LEN1157" s="7"/>
      <c r="LEO1157" s="7"/>
      <c r="LEP1157" s="7"/>
      <c r="LEQ1157" s="7"/>
      <c r="LER1157" s="7"/>
      <c r="LES1157" s="7"/>
      <c r="LET1157" s="7"/>
      <c r="LEU1157" s="7"/>
      <c r="LEV1157" s="7"/>
      <c r="LEW1157" s="7"/>
      <c r="LEX1157" s="7"/>
      <c r="LEY1157" s="7"/>
      <c r="LEZ1157" s="7"/>
      <c r="LFA1157" s="7"/>
      <c r="LFB1157" s="7"/>
      <c r="LFC1157" s="7"/>
      <c r="LFD1157" s="7"/>
      <c r="LFE1157" s="7"/>
      <c r="LFF1157" s="7"/>
      <c r="LFG1157" s="7"/>
      <c r="LFH1157" s="7"/>
      <c r="LFI1157" s="7"/>
      <c r="LFJ1157" s="7"/>
      <c r="LFK1157" s="7"/>
      <c r="LFL1157" s="7"/>
      <c r="LFM1157" s="7"/>
      <c r="LFN1157" s="7"/>
      <c r="LFO1157" s="7"/>
      <c r="LFP1157" s="7"/>
      <c r="LFQ1157" s="7"/>
      <c r="LFR1157" s="7"/>
      <c r="LFS1157" s="7"/>
      <c r="LFT1157" s="7"/>
      <c r="LFU1157" s="7"/>
      <c r="LFV1157" s="7"/>
      <c r="LFW1157" s="7"/>
      <c r="LFX1157" s="7"/>
      <c r="LFY1157" s="7"/>
      <c r="LFZ1157" s="7"/>
      <c r="LGA1157" s="7"/>
      <c r="LGB1157" s="7"/>
      <c r="LGC1157" s="7"/>
      <c r="LGD1157" s="7"/>
      <c r="LGE1157" s="7"/>
      <c r="LGF1157" s="7"/>
      <c r="LGG1157" s="7"/>
      <c r="LGH1157" s="7"/>
      <c r="LGI1157" s="7"/>
      <c r="LGJ1157" s="7"/>
      <c r="LGK1157" s="7"/>
      <c r="LGL1157" s="7"/>
      <c r="LGM1157" s="7"/>
      <c r="LGN1157" s="7"/>
      <c r="LGO1157" s="7"/>
      <c r="LGP1157" s="7"/>
      <c r="LGQ1157" s="7"/>
      <c r="LGR1157" s="7"/>
      <c r="LGS1157" s="7"/>
      <c r="LGT1157" s="7"/>
      <c r="LGU1157" s="7"/>
      <c r="LGV1157" s="7"/>
      <c r="LGW1157" s="7"/>
      <c r="LGX1157" s="7"/>
      <c r="LGY1157" s="7"/>
      <c r="LGZ1157" s="7"/>
      <c r="LHA1157" s="7"/>
      <c r="LHB1157" s="7"/>
      <c r="LHC1157" s="7"/>
      <c r="LHD1157" s="7"/>
      <c r="LHE1157" s="7"/>
      <c r="LHF1157" s="7"/>
      <c r="LHG1157" s="7"/>
      <c r="LHH1157" s="7"/>
      <c r="LHI1157" s="7"/>
      <c r="LHJ1157" s="7"/>
      <c r="LHK1157" s="7"/>
      <c r="LHL1157" s="7"/>
      <c r="LHM1157" s="7"/>
      <c r="LHN1157" s="7"/>
      <c r="LHO1157" s="7"/>
      <c r="LHP1157" s="7"/>
      <c r="LHQ1157" s="7"/>
      <c r="LHR1157" s="7"/>
      <c r="LHS1157" s="7"/>
      <c r="LHT1157" s="7"/>
      <c r="LHU1157" s="7"/>
      <c r="LHV1157" s="7"/>
      <c r="LHW1157" s="7"/>
      <c r="LHX1157" s="7"/>
      <c r="LHY1157" s="7"/>
      <c r="LHZ1157" s="7"/>
      <c r="LIA1157" s="7"/>
      <c r="LIB1157" s="7"/>
      <c r="LIC1157" s="7"/>
      <c r="LID1157" s="7"/>
      <c r="LIE1157" s="7"/>
      <c r="LIF1157" s="7"/>
      <c r="LIG1157" s="7"/>
      <c r="LIH1157" s="7"/>
      <c r="LII1157" s="7"/>
      <c r="LIJ1157" s="7"/>
      <c r="LIK1157" s="7"/>
      <c r="LIL1157" s="7"/>
      <c r="LIM1157" s="7"/>
      <c r="LIN1157" s="7"/>
      <c r="LIO1157" s="7"/>
      <c r="LIP1157" s="7"/>
      <c r="LIQ1157" s="7"/>
      <c r="LIR1157" s="7"/>
      <c r="LIS1157" s="7"/>
      <c r="LIT1157" s="7"/>
      <c r="LIU1157" s="7"/>
      <c r="LIV1157" s="7"/>
      <c r="LIW1157" s="7"/>
      <c r="LIX1157" s="7"/>
      <c r="LIY1157" s="7"/>
      <c r="LIZ1157" s="7"/>
      <c r="LJA1157" s="7"/>
      <c r="LJB1157" s="7"/>
      <c r="LJC1157" s="7"/>
      <c r="LJD1157" s="7"/>
      <c r="LJE1157" s="7"/>
      <c r="LJF1157" s="7"/>
      <c r="LJG1157" s="7"/>
      <c r="LJH1157" s="7"/>
      <c r="LJI1157" s="7"/>
      <c r="LJJ1157" s="7"/>
      <c r="LJK1157" s="7"/>
      <c r="LJL1157" s="7"/>
      <c r="LJM1157" s="7"/>
      <c r="LJN1157" s="7"/>
      <c r="LJO1157" s="7"/>
      <c r="LJP1157" s="7"/>
      <c r="LJQ1157" s="7"/>
      <c r="LJR1157" s="7"/>
      <c r="LJS1157" s="7"/>
      <c r="LJT1157" s="7"/>
      <c r="LJU1157" s="7"/>
      <c r="LJV1157" s="7"/>
      <c r="LJW1157" s="7"/>
      <c r="LJX1157" s="7"/>
      <c r="LJY1157" s="7"/>
      <c r="LJZ1157" s="7"/>
      <c r="LKA1157" s="7"/>
      <c r="LKB1157" s="7"/>
      <c r="LKC1157" s="7"/>
      <c r="LKD1157" s="7"/>
      <c r="LKE1157" s="7"/>
      <c r="LKF1157" s="7"/>
      <c r="LKG1157" s="7"/>
      <c r="LKH1157" s="7"/>
      <c r="LKI1157" s="7"/>
      <c r="LKJ1157" s="7"/>
      <c r="LKK1157" s="7"/>
      <c r="LKL1157" s="7"/>
      <c r="LKM1157" s="7"/>
      <c r="LKN1157" s="7"/>
      <c r="LKO1157" s="7"/>
      <c r="LKP1157" s="7"/>
      <c r="LKQ1157" s="7"/>
      <c r="LKR1157" s="7"/>
      <c r="LKS1157" s="7"/>
      <c r="LKT1157" s="7"/>
      <c r="LKU1157" s="7"/>
      <c r="LKV1157" s="7"/>
      <c r="LKW1157" s="7"/>
      <c r="LKX1157" s="7"/>
      <c r="LKY1157" s="7"/>
      <c r="LKZ1157" s="7"/>
      <c r="LLA1157" s="7"/>
      <c r="LLB1157" s="7"/>
      <c r="LLC1157" s="7"/>
      <c r="LLD1157" s="7"/>
      <c r="LLE1157" s="7"/>
      <c r="LLF1157" s="7"/>
      <c r="LLG1157" s="7"/>
      <c r="LLH1157" s="7"/>
      <c r="LLI1157" s="7"/>
      <c r="LLJ1157" s="7"/>
      <c r="LLK1157" s="7"/>
      <c r="LLL1157" s="7"/>
      <c r="LLM1157" s="7"/>
      <c r="LLN1157" s="7"/>
      <c r="LLO1157" s="7"/>
      <c r="LLP1157" s="7"/>
      <c r="LLQ1157" s="7"/>
      <c r="LLR1157" s="7"/>
      <c r="LLS1157" s="7"/>
      <c r="LLT1157" s="7"/>
      <c r="LLU1157" s="7"/>
      <c r="LLV1157" s="7"/>
      <c r="LLW1157" s="7"/>
      <c r="LLX1157" s="7"/>
      <c r="LLY1157" s="7"/>
      <c r="LLZ1157" s="7"/>
      <c r="LMA1157" s="7"/>
      <c r="LMB1157" s="7"/>
      <c r="LMC1157" s="7"/>
      <c r="LMD1157" s="7"/>
      <c r="LME1157" s="7"/>
      <c r="LMF1157" s="7"/>
      <c r="LMG1157" s="7"/>
      <c r="LMH1157" s="7"/>
      <c r="LMI1157" s="7"/>
      <c r="LMJ1157" s="7"/>
      <c r="LMK1157" s="7"/>
      <c r="LML1157" s="7"/>
      <c r="LMM1157" s="7"/>
      <c r="LMN1157" s="7"/>
      <c r="LMO1157" s="7"/>
      <c r="LMP1157" s="7"/>
      <c r="LMQ1157" s="7"/>
      <c r="LMR1157" s="7"/>
      <c r="LMS1157" s="7"/>
      <c r="LMT1157" s="7"/>
      <c r="LMU1157" s="7"/>
      <c r="LMV1157" s="7"/>
      <c r="LMW1157" s="7"/>
      <c r="LMX1157" s="7"/>
      <c r="LMY1157" s="7"/>
      <c r="LMZ1157" s="7"/>
      <c r="LNA1157" s="7"/>
      <c r="LNB1157" s="7"/>
      <c r="LNC1157" s="7"/>
      <c r="LND1157" s="7"/>
      <c r="LNE1157" s="7"/>
      <c r="LNF1157" s="7"/>
      <c r="LNG1157" s="7"/>
      <c r="LNH1157" s="7"/>
      <c r="LNI1157" s="7"/>
      <c r="LNJ1157" s="7"/>
      <c r="LNK1157" s="7"/>
      <c r="LNL1157" s="7"/>
      <c r="LNM1157" s="7"/>
      <c r="LNN1157" s="7"/>
      <c r="LNO1157" s="7"/>
      <c r="LNP1157" s="7"/>
      <c r="LNQ1157" s="7"/>
      <c r="LNR1157" s="7"/>
      <c r="LNS1157" s="7"/>
      <c r="LNT1157" s="7"/>
      <c r="LNU1157" s="7"/>
      <c r="LNV1157" s="7"/>
      <c r="LNW1157" s="7"/>
      <c r="LNX1157" s="7"/>
      <c r="LNY1157" s="7"/>
      <c r="LNZ1157" s="7"/>
      <c r="LOA1157" s="7"/>
      <c r="LOB1157" s="7"/>
      <c r="LOC1157" s="7"/>
      <c r="LOD1157" s="7"/>
      <c r="LOE1157" s="7"/>
      <c r="LOF1157" s="7"/>
      <c r="LOG1157" s="7"/>
      <c r="LOH1157" s="7"/>
      <c r="LOI1157" s="7"/>
      <c r="LOJ1157" s="7"/>
      <c r="LOK1157" s="7"/>
      <c r="LOL1157" s="7"/>
      <c r="LOM1157" s="7"/>
      <c r="LON1157" s="7"/>
      <c r="LOO1157" s="7"/>
      <c r="LOP1157" s="7"/>
      <c r="LOQ1157" s="7"/>
      <c r="LOR1157" s="7"/>
      <c r="LOS1157" s="7"/>
      <c r="LOT1157" s="7"/>
      <c r="LOU1157" s="7"/>
      <c r="LOV1157" s="7"/>
      <c r="LOW1157" s="7"/>
      <c r="LOX1157" s="7"/>
      <c r="LOY1157" s="7"/>
      <c r="LOZ1157" s="7"/>
      <c r="LPA1157" s="7"/>
      <c r="LPB1157" s="7"/>
      <c r="LPC1157" s="7"/>
      <c r="LPD1157" s="7"/>
      <c r="LPE1157" s="7"/>
      <c r="LPF1157" s="7"/>
      <c r="LPG1157" s="7"/>
      <c r="LPH1157" s="7"/>
      <c r="LPI1157" s="7"/>
      <c r="LPJ1157" s="7"/>
      <c r="LPK1157" s="7"/>
      <c r="LPL1157" s="7"/>
      <c r="LPM1157" s="7"/>
      <c r="LPN1157" s="7"/>
      <c r="LPO1157" s="7"/>
      <c r="LPP1157" s="7"/>
      <c r="LPQ1157" s="7"/>
      <c r="LPR1157" s="7"/>
      <c r="LPS1157" s="7"/>
      <c r="LPT1157" s="7"/>
      <c r="LPU1157" s="7"/>
      <c r="LPV1157" s="7"/>
      <c r="LPW1157" s="7"/>
      <c r="LPX1157" s="7"/>
      <c r="LPY1157" s="7"/>
      <c r="LPZ1157" s="7"/>
      <c r="LQA1157" s="7"/>
      <c r="LQB1157" s="7"/>
      <c r="LQC1157" s="7"/>
      <c r="LQD1157" s="7"/>
      <c r="LQE1157" s="7"/>
      <c r="LQF1157" s="7"/>
      <c r="LQG1157" s="7"/>
      <c r="LQH1157" s="7"/>
      <c r="LQI1157" s="7"/>
      <c r="LQJ1157" s="7"/>
      <c r="LQK1157" s="7"/>
      <c r="LQL1157" s="7"/>
      <c r="LQM1157" s="7"/>
      <c r="LQN1157" s="7"/>
      <c r="LQO1157" s="7"/>
      <c r="LQP1157" s="7"/>
      <c r="LQQ1157" s="7"/>
      <c r="LQR1157" s="7"/>
      <c r="LQS1157" s="7"/>
      <c r="LQT1157" s="7"/>
      <c r="LQU1157" s="7"/>
      <c r="LQV1157" s="7"/>
      <c r="LQW1157" s="7"/>
      <c r="LQX1157" s="7"/>
      <c r="LQY1157" s="7"/>
      <c r="LQZ1157" s="7"/>
      <c r="LRA1157" s="7"/>
      <c r="LRB1157" s="7"/>
      <c r="LRC1157" s="7"/>
      <c r="LRD1157" s="7"/>
      <c r="LRE1157" s="7"/>
      <c r="LRF1157" s="7"/>
      <c r="LRG1157" s="7"/>
      <c r="LRH1157" s="7"/>
      <c r="LRI1157" s="7"/>
      <c r="LRJ1157" s="7"/>
      <c r="LRK1157" s="7"/>
      <c r="LRL1157" s="7"/>
      <c r="LRM1157" s="7"/>
      <c r="LRN1157" s="7"/>
      <c r="LRO1157" s="7"/>
      <c r="LRP1157" s="7"/>
      <c r="LRQ1157" s="7"/>
      <c r="LRR1157" s="7"/>
      <c r="LRS1157" s="7"/>
      <c r="LRT1157" s="7"/>
      <c r="LRU1157" s="7"/>
      <c r="LRV1157" s="7"/>
      <c r="LRW1157" s="7"/>
      <c r="LRX1157" s="7"/>
      <c r="LRY1157" s="7"/>
      <c r="LRZ1157" s="7"/>
      <c r="LSA1157" s="7"/>
      <c r="LSB1157" s="7"/>
      <c r="LSC1157" s="7"/>
      <c r="LSD1157" s="7"/>
      <c r="LSE1157" s="7"/>
      <c r="LSF1157" s="7"/>
      <c r="LSG1157" s="7"/>
      <c r="LSH1157" s="7"/>
      <c r="LSI1157" s="7"/>
      <c r="LSJ1157" s="7"/>
      <c r="LSK1157" s="7"/>
      <c r="LSL1157" s="7"/>
      <c r="LSM1157" s="7"/>
      <c r="LSN1157" s="7"/>
      <c r="LSO1157" s="7"/>
      <c r="LSP1157" s="7"/>
      <c r="LSQ1157" s="7"/>
      <c r="LSR1157" s="7"/>
      <c r="LSS1157" s="7"/>
      <c r="LST1157" s="7"/>
      <c r="LSU1157" s="7"/>
      <c r="LSV1157" s="7"/>
      <c r="LSW1157" s="7"/>
      <c r="LSX1157" s="7"/>
      <c r="LSY1157" s="7"/>
      <c r="LSZ1157" s="7"/>
      <c r="LTA1157" s="7"/>
      <c r="LTB1157" s="7"/>
      <c r="LTC1157" s="7"/>
      <c r="LTD1157" s="7"/>
      <c r="LTE1157" s="7"/>
      <c r="LTF1157" s="7"/>
      <c r="LTG1157" s="7"/>
      <c r="LTH1157" s="7"/>
      <c r="LTI1157" s="7"/>
      <c r="LTJ1157" s="7"/>
      <c r="LTK1157" s="7"/>
      <c r="LTL1157" s="7"/>
      <c r="LTM1157" s="7"/>
      <c r="LTN1157" s="7"/>
      <c r="LTO1157" s="7"/>
      <c r="LTP1157" s="7"/>
      <c r="LTQ1157" s="7"/>
      <c r="LTR1157" s="7"/>
      <c r="LTS1157" s="7"/>
      <c r="LTT1157" s="7"/>
      <c r="LTU1157" s="7"/>
      <c r="LTV1157" s="7"/>
      <c r="LTW1157" s="7"/>
      <c r="LTX1157" s="7"/>
      <c r="LTY1157" s="7"/>
      <c r="LTZ1157" s="7"/>
      <c r="LUA1157" s="7"/>
      <c r="LUB1157" s="7"/>
      <c r="LUC1157" s="7"/>
      <c r="LUD1157" s="7"/>
      <c r="LUE1157" s="7"/>
      <c r="LUF1157" s="7"/>
      <c r="LUG1157" s="7"/>
      <c r="LUH1157" s="7"/>
      <c r="LUI1157" s="7"/>
      <c r="LUJ1157" s="7"/>
      <c r="LUK1157" s="7"/>
      <c r="LUL1157" s="7"/>
      <c r="LUM1157" s="7"/>
      <c r="LUN1157" s="7"/>
      <c r="LUO1157" s="7"/>
      <c r="LUP1157" s="7"/>
      <c r="LUQ1157" s="7"/>
      <c r="LUR1157" s="7"/>
      <c r="LUS1157" s="7"/>
      <c r="LUT1157" s="7"/>
      <c r="LUU1157" s="7"/>
      <c r="LUV1157" s="7"/>
      <c r="LUW1157" s="7"/>
      <c r="LUX1157" s="7"/>
      <c r="LUY1157" s="7"/>
      <c r="LUZ1157" s="7"/>
      <c r="LVA1157" s="7"/>
      <c r="LVB1157" s="7"/>
      <c r="LVC1157" s="7"/>
      <c r="LVD1157" s="7"/>
      <c r="LVE1157" s="7"/>
      <c r="LVF1157" s="7"/>
      <c r="LVG1157" s="7"/>
      <c r="LVH1157" s="7"/>
      <c r="LVI1157" s="7"/>
      <c r="LVJ1157" s="7"/>
      <c r="LVK1157" s="7"/>
      <c r="LVL1157" s="7"/>
      <c r="LVM1157" s="7"/>
      <c r="LVN1157" s="7"/>
      <c r="LVO1157" s="7"/>
      <c r="LVP1157" s="7"/>
      <c r="LVQ1157" s="7"/>
      <c r="LVR1157" s="7"/>
      <c r="LVS1157" s="7"/>
      <c r="LVT1157" s="7"/>
      <c r="LVU1157" s="7"/>
      <c r="LVV1157" s="7"/>
      <c r="LVW1157" s="7"/>
      <c r="LVX1157" s="7"/>
      <c r="LVY1157" s="7"/>
      <c r="LVZ1157" s="7"/>
      <c r="LWA1157" s="7"/>
      <c r="LWB1157" s="7"/>
      <c r="LWC1157" s="7"/>
      <c r="LWD1157" s="7"/>
      <c r="LWE1157" s="7"/>
      <c r="LWF1157" s="7"/>
      <c r="LWG1157" s="7"/>
      <c r="LWH1157" s="7"/>
      <c r="LWI1157" s="7"/>
      <c r="LWJ1157" s="7"/>
      <c r="LWK1157" s="7"/>
      <c r="LWL1157" s="7"/>
      <c r="LWM1157" s="7"/>
      <c r="LWN1157" s="7"/>
      <c r="LWO1157" s="7"/>
      <c r="LWP1157" s="7"/>
      <c r="LWQ1157" s="7"/>
      <c r="LWR1157" s="7"/>
      <c r="LWS1157" s="7"/>
      <c r="LWT1157" s="7"/>
      <c r="LWU1157" s="7"/>
      <c r="LWV1157" s="7"/>
      <c r="LWW1157" s="7"/>
      <c r="LWX1157" s="7"/>
      <c r="LWY1157" s="7"/>
      <c r="LWZ1157" s="7"/>
      <c r="LXA1157" s="7"/>
      <c r="LXB1157" s="7"/>
      <c r="LXC1157" s="7"/>
      <c r="LXD1157" s="7"/>
      <c r="LXE1157" s="7"/>
      <c r="LXF1157" s="7"/>
      <c r="LXG1157" s="7"/>
      <c r="LXH1157" s="7"/>
      <c r="LXI1157" s="7"/>
      <c r="LXJ1157" s="7"/>
      <c r="LXK1157" s="7"/>
      <c r="LXL1157" s="7"/>
      <c r="LXM1157" s="7"/>
      <c r="LXN1157" s="7"/>
      <c r="LXO1157" s="7"/>
      <c r="LXP1157" s="7"/>
      <c r="LXQ1157" s="7"/>
      <c r="LXR1157" s="7"/>
      <c r="LXS1157" s="7"/>
      <c r="LXT1157" s="7"/>
      <c r="LXU1157" s="7"/>
      <c r="LXV1157" s="7"/>
      <c r="LXW1157" s="7"/>
      <c r="LXX1157" s="7"/>
      <c r="LXY1157" s="7"/>
      <c r="LXZ1157" s="7"/>
      <c r="LYA1157" s="7"/>
      <c r="LYB1157" s="7"/>
      <c r="LYC1157" s="7"/>
      <c r="LYD1157" s="7"/>
      <c r="LYE1157" s="7"/>
      <c r="LYF1157" s="7"/>
      <c r="LYG1157" s="7"/>
      <c r="LYH1157" s="7"/>
      <c r="LYI1157" s="7"/>
      <c r="LYJ1157" s="7"/>
      <c r="LYK1157" s="7"/>
      <c r="LYL1157" s="7"/>
      <c r="LYM1157" s="7"/>
      <c r="LYN1157" s="7"/>
      <c r="LYO1157" s="7"/>
      <c r="LYP1157" s="7"/>
      <c r="LYQ1157" s="7"/>
      <c r="LYR1157" s="7"/>
      <c r="LYS1157" s="7"/>
      <c r="LYT1157" s="7"/>
      <c r="LYU1157" s="7"/>
      <c r="LYV1157" s="7"/>
      <c r="LYW1157" s="7"/>
      <c r="LYX1157" s="7"/>
      <c r="LYY1157" s="7"/>
      <c r="LYZ1157" s="7"/>
      <c r="LZA1157" s="7"/>
      <c r="LZB1157" s="7"/>
      <c r="LZC1157" s="7"/>
      <c r="LZD1157" s="7"/>
      <c r="LZE1157" s="7"/>
      <c r="LZF1157" s="7"/>
      <c r="LZG1157" s="7"/>
      <c r="LZH1157" s="7"/>
      <c r="LZI1157" s="7"/>
      <c r="LZJ1157" s="7"/>
      <c r="LZK1157" s="7"/>
      <c r="LZL1157" s="7"/>
      <c r="LZM1157" s="7"/>
      <c r="LZN1157" s="7"/>
      <c r="LZO1157" s="7"/>
      <c r="LZP1157" s="7"/>
      <c r="LZQ1157" s="7"/>
      <c r="LZR1157" s="7"/>
      <c r="LZS1157" s="7"/>
      <c r="LZT1157" s="7"/>
      <c r="LZU1157" s="7"/>
      <c r="LZV1157" s="7"/>
      <c r="LZW1157" s="7"/>
      <c r="LZX1157" s="7"/>
      <c r="LZY1157" s="7"/>
      <c r="LZZ1157" s="7"/>
      <c r="MAA1157" s="7"/>
      <c r="MAB1157" s="7"/>
      <c r="MAC1157" s="7"/>
      <c r="MAD1157" s="7"/>
      <c r="MAE1157" s="7"/>
      <c r="MAF1157" s="7"/>
      <c r="MAG1157" s="7"/>
      <c r="MAH1157" s="7"/>
      <c r="MAI1157" s="7"/>
      <c r="MAJ1157" s="7"/>
      <c r="MAK1157" s="7"/>
      <c r="MAL1157" s="7"/>
      <c r="MAM1157" s="7"/>
      <c r="MAN1157" s="7"/>
      <c r="MAO1157" s="7"/>
      <c r="MAP1157" s="7"/>
      <c r="MAQ1157" s="7"/>
      <c r="MAR1157" s="7"/>
      <c r="MAS1157" s="7"/>
      <c r="MAT1157" s="7"/>
      <c r="MAU1157" s="7"/>
      <c r="MAV1157" s="7"/>
      <c r="MAW1157" s="7"/>
      <c r="MAX1157" s="7"/>
      <c r="MAY1157" s="7"/>
      <c r="MAZ1157" s="7"/>
      <c r="MBA1157" s="7"/>
      <c r="MBB1157" s="7"/>
      <c r="MBC1157" s="7"/>
      <c r="MBD1157" s="7"/>
      <c r="MBE1157" s="7"/>
      <c r="MBF1157" s="7"/>
      <c r="MBG1157" s="7"/>
      <c r="MBH1157" s="7"/>
      <c r="MBI1157" s="7"/>
      <c r="MBJ1157" s="7"/>
      <c r="MBK1157" s="7"/>
      <c r="MBL1157" s="7"/>
      <c r="MBM1157" s="7"/>
      <c r="MBN1157" s="7"/>
      <c r="MBO1157" s="7"/>
      <c r="MBP1157" s="7"/>
      <c r="MBQ1157" s="7"/>
      <c r="MBR1157" s="7"/>
      <c r="MBS1157" s="7"/>
      <c r="MBT1157" s="7"/>
      <c r="MBU1157" s="7"/>
      <c r="MBV1157" s="7"/>
      <c r="MBW1157" s="7"/>
      <c r="MBX1157" s="7"/>
      <c r="MBY1157" s="7"/>
      <c r="MBZ1157" s="7"/>
      <c r="MCA1157" s="7"/>
      <c r="MCB1157" s="7"/>
      <c r="MCC1157" s="7"/>
      <c r="MCD1157" s="7"/>
      <c r="MCE1157" s="7"/>
      <c r="MCF1157" s="7"/>
      <c r="MCG1157" s="7"/>
      <c r="MCH1157" s="7"/>
      <c r="MCI1157" s="7"/>
      <c r="MCJ1157" s="7"/>
      <c r="MCK1157" s="7"/>
      <c r="MCL1157" s="7"/>
      <c r="MCM1157" s="7"/>
      <c r="MCN1157" s="7"/>
      <c r="MCO1157" s="7"/>
      <c r="MCP1157" s="7"/>
      <c r="MCQ1157" s="7"/>
      <c r="MCR1157" s="7"/>
      <c r="MCS1157" s="7"/>
      <c r="MCT1157" s="7"/>
      <c r="MCU1157" s="7"/>
      <c r="MCV1157" s="7"/>
      <c r="MCW1157" s="7"/>
      <c r="MCX1157" s="7"/>
      <c r="MCY1157" s="7"/>
      <c r="MCZ1157" s="7"/>
      <c r="MDA1157" s="7"/>
      <c r="MDB1157" s="7"/>
      <c r="MDC1157" s="7"/>
      <c r="MDD1157" s="7"/>
      <c r="MDE1157" s="7"/>
      <c r="MDF1157" s="7"/>
      <c r="MDG1157" s="7"/>
      <c r="MDH1157" s="7"/>
      <c r="MDI1157" s="7"/>
      <c r="MDJ1157" s="7"/>
      <c r="MDK1157" s="7"/>
      <c r="MDL1157" s="7"/>
      <c r="MDM1157" s="7"/>
      <c r="MDN1157" s="7"/>
      <c r="MDO1157" s="7"/>
      <c r="MDP1157" s="7"/>
      <c r="MDQ1157" s="7"/>
      <c r="MDR1157" s="7"/>
      <c r="MDS1157" s="7"/>
      <c r="MDT1157" s="7"/>
      <c r="MDU1157" s="7"/>
      <c r="MDV1157" s="7"/>
      <c r="MDW1157" s="7"/>
      <c r="MDX1157" s="7"/>
      <c r="MDY1157" s="7"/>
      <c r="MDZ1157" s="7"/>
      <c r="MEA1157" s="7"/>
      <c r="MEB1157" s="7"/>
      <c r="MEC1157" s="7"/>
      <c r="MED1157" s="7"/>
      <c r="MEE1157" s="7"/>
      <c r="MEF1157" s="7"/>
      <c r="MEG1157" s="7"/>
      <c r="MEH1157" s="7"/>
      <c r="MEI1157" s="7"/>
      <c r="MEJ1157" s="7"/>
      <c r="MEK1157" s="7"/>
      <c r="MEL1157" s="7"/>
      <c r="MEM1157" s="7"/>
      <c r="MEN1157" s="7"/>
      <c r="MEO1157" s="7"/>
      <c r="MEP1157" s="7"/>
      <c r="MEQ1157" s="7"/>
      <c r="MER1157" s="7"/>
      <c r="MES1157" s="7"/>
      <c r="MET1157" s="7"/>
      <c r="MEU1157" s="7"/>
      <c r="MEV1157" s="7"/>
      <c r="MEW1157" s="7"/>
      <c r="MEX1157" s="7"/>
      <c r="MEY1157" s="7"/>
      <c r="MEZ1157" s="7"/>
      <c r="MFA1157" s="7"/>
      <c r="MFB1157" s="7"/>
      <c r="MFC1157" s="7"/>
      <c r="MFD1157" s="7"/>
      <c r="MFE1157" s="7"/>
      <c r="MFF1157" s="7"/>
      <c r="MFG1157" s="7"/>
      <c r="MFH1157" s="7"/>
      <c r="MFI1157" s="7"/>
      <c r="MFJ1157" s="7"/>
      <c r="MFK1157" s="7"/>
      <c r="MFL1157" s="7"/>
      <c r="MFM1157" s="7"/>
      <c r="MFN1157" s="7"/>
      <c r="MFO1157" s="7"/>
      <c r="MFP1157" s="7"/>
      <c r="MFQ1157" s="7"/>
      <c r="MFR1157" s="7"/>
      <c r="MFS1157" s="7"/>
      <c r="MFT1157" s="7"/>
      <c r="MFU1157" s="7"/>
      <c r="MFV1157" s="7"/>
      <c r="MFW1157" s="7"/>
      <c r="MFX1157" s="7"/>
      <c r="MFY1157" s="7"/>
      <c r="MFZ1157" s="7"/>
      <c r="MGA1157" s="7"/>
      <c r="MGB1157" s="7"/>
      <c r="MGC1157" s="7"/>
      <c r="MGD1157" s="7"/>
      <c r="MGE1157" s="7"/>
      <c r="MGF1157" s="7"/>
      <c r="MGG1157" s="7"/>
      <c r="MGH1157" s="7"/>
      <c r="MGI1157" s="7"/>
      <c r="MGJ1157" s="7"/>
      <c r="MGK1157" s="7"/>
      <c r="MGL1157" s="7"/>
      <c r="MGM1157" s="7"/>
      <c r="MGN1157" s="7"/>
      <c r="MGO1157" s="7"/>
      <c r="MGP1157" s="7"/>
      <c r="MGQ1157" s="7"/>
      <c r="MGR1157" s="7"/>
      <c r="MGS1157" s="7"/>
      <c r="MGT1157" s="7"/>
      <c r="MGU1157" s="7"/>
      <c r="MGV1157" s="7"/>
      <c r="MGW1157" s="7"/>
      <c r="MGX1157" s="7"/>
      <c r="MGY1157" s="7"/>
      <c r="MGZ1157" s="7"/>
      <c r="MHA1157" s="7"/>
      <c r="MHB1157" s="7"/>
      <c r="MHC1157" s="7"/>
      <c r="MHD1157" s="7"/>
      <c r="MHE1157" s="7"/>
      <c r="MHF1157" s="7"/>
      <c r="MHG1157" s="7"/>
      <c r="MHH1157" s="7"/>
      <c r="MHI1157" s="7"/>
      <c r="MHJ1157" s="7"/>
      <c r="MHK1157" s="7"/>
      <c r="MHL1157" s="7"/>
      <c r="MHM1157" s="7"/>
      <c r="MHN1157" s="7"/>
      <c r="MHO1157" s="7"/>
      <c r="MHP1157" s="7"/>
      <c r="MHQ1157" s="7"/>
      <c r="MHR1157" s="7"/>
      <c r="MHS1157" s="7"/>
      <c r="MHT1157" s="7"/>
      <c r="MHU1157" s="7"/>
      <c r="MHV1157" s="7"/>
      <c r="MHW1157" s="7"/>
      <c r="MHX1157" s="7"/>
      <c r="MHY1157" s="7"/>
      <c r="MHZ1157" s="7"/>
      <c r="MIA1157" s="7"/>
      <c r="MIB1157" s="7"/>
      <c r="MIC1157" s="7"/>
      <c r="MID1157" s="7"/>
      <c r="MIE1157" s="7"/>
      <c r="MIF1157" s="7"/>
      <c r="MIG1157" s="7"/>
      <c r="MIH1157" s="7"/>
      <c r="MII1157" s="7"/>
      <c r="MIJ1157" s="7"/>
      <c r="MIK1157" s="7"/>
      <c r="MIL1157" s="7"/>
      <c r="MIM1157" s="7"/>
      <c r="MIN1157" s="7"/>
      <c r="MIO1157" s="7"/>
      <c r="MIP1157" s="7"/>
      <c r="MIQ1157" s="7"/>
      <c r="MIR1157" s="7"/>
      <c r="MIS1157" s="7"/>
      <c r="MIT1157" s="7"/>
      <c r="MIU1157" s="7"/>
      <c r="MIV1157" s="7"/>
      <c r="MIW1157" s="7"/>
      <c r="MIX1157" s="7"/>
      <c r="MIY1157" s="7"/>
      <c r="MIZ1157" s="7"/>
      <c r="MJA1157" s="7"/>
      <c r="MJB1157" s="7"/>
      <c r="MJC1157" s="7"/>
      <c r="MJD1157" s="7"/>
      <c r="MJE1157" s="7"/>
      <c r="MJF1157" s="7"/>
      <c r="MJG1157" s="7"/>
      <c r="MJH1157" s="7"/>
      <c r="MJI1157" s="7"/>
      <c r="MJJ1157" s="7"/>
      <c r="MJK1157" s="7"/>
      <c r="MJL1157" s="7"/>
      <c r="MJM1157" s="7"/>
      <c r="MJN1157" s="7"/>
      <c r="MJO1157" s="7"/>
      <c r="MJP1157" s="7"/>
      <c r="MJQ1157" s="7"/>
      <c r="MJR1157" s="7"/>
      <c r="MJS1157" s="7"/>
      <c r="MJT1157" s="7"/>
      <c r="MJU1157" s="7"/>
      <c r="MJV1157" s="7"/>
      <c r="MJW1157" s="7"/>
      <c r="MJX1157" s="7"/>
      <c r="MJY1157" s="7"/>
      <c r="MJZ1157" s="7"/>
      <c r="MKA1157" s="7"/>
      <c r="MKB1157" s="7"/>
      <c r="MKC1157" s="7"/>
      <c r="MKD1157" s="7"/>
      <c r="MKE1157" s="7"/>
      <c r="MKF1157" s="7"/>
      <c r="MKG1157" s="7"/>
      <c r="MKH1157" s="7"/>
      <c r="MKI1157" s="7"/>
      <c r="MKJ1157" s="7"/>
      <c r="MKK1157" s="7"/>
      <c r="MKL1157" s="7"/>
      <c r="MKM1157" s="7"/>
      <c r="MKN1157" s="7"/>
      <c r="MKO1157" s="7"/>
      <c r="MKP1157" s="7"/>
      <c r="MKQ1157" s="7"/>
      <c r="MKR1157" s="7"/>
      <c r="MKS1157" s="7"/>
      <c r="MKT1157" s="7"/>
      <c r="MKU1157" s="7"/>
      <c r="MKV1157" s="7"/>
      <c r="MKW1157" s="7"/>
      <c r="MKX1157" s="7"/>
      <c r="MKY1157" s="7"/>
      <c r="MKZ1157" s="7"/>
      <c r="MLA1157" s="7"/>
      <c r="MLB1157" s="7"/>
      <c r="MLC1157" s="7"/>
      <c r="MLD1157" s="7"/>
      <c r="MLE1157" s="7"/>
      <c r="MLF1157" s="7"/>
      <c r="MLG1157" s="7"/>
      <c r="MLH1157" s="7"/>
      <c r="MLI1157" s="7"/>
      <c r="MLJ1157" s="7"/>
      <c r="MLK1157" s="7"/>
      <c r="MLL1157" s="7"/>
      <c r="MLM1157" s="7"/>
      <c r="MLN1157" s="7"/>
      <c r="MLO1157" s="7"/>
      <c r="MLP1157" s="7"/>
      <c r="MLQ1157" s="7"/>
      <c r="MLR1157" s="7"/>
      <c r="MLS1157" s="7"/>
      <c r="MLT1157" s="7"/>
      <c r="MLU1157" s="7"/>
      <c r="MLV1157" s="7"/>
      <c r="MLW1157" s="7"/>
      <c r="MLX1157" s="7"/>
      <c r="MLY1157" s="7"/>
      <c r="MLZ1157" s="7"/>
      <c r="MMA1157" s="7"/>
      <c r="MMB1157" s="7"/>
      <c r="MMC1157" s="7"/>
      <c r="MMD1157" s="7"/>
      <c r="MME1157" s="7"/>
      <c r="MMF1157" s="7"/>
      <c r="MMG1157" s="7"/>
      <c r="MMH1157" s="7"/>
      <c r="MMI1157" s="7"/>
      <c r="MMJ1157" s="7"/>
      <c r="MMK1157" s="7"/>
      <c r="MML1157" s="7"/>
      <c r="MMM1157" s="7"/>
      <c r="MMN1157" s="7"/>
      <c r="MMO1157" s="7"/>
      <c r="MMP1157" s="7"/>
      <c r="MMQ1157" s="7"/>
      <c r="MMR1157" s="7"/>
      <c r="MMS1157" s="7"/>
      <c r="MMT1157" s="7"/>
      <c r="MMU1157" s="7"/>
      <c r="MMV1157" s="7"/>
      <c r="MMW1157" s="7"/>
      <c r="MMX1157" s="7"/>
      <c r="MMY1157" s="7"/>
      <c r="MMZ1157" s="7"/>
      <c r="MNA1157" s="7"/>
      <c r="MNB1157" s="7"/>
      <c r="MNC1157" s="7"/>
      <c r="MND1157" s="7"/>
      <c r="MNE1157" s="7"/>
      <c r="MNF1157" s="7"/>
      <c r="MNG1157" s="7"/>
      <c r="MNH1157" s="7"/>
      <c r="MNI1157" s="7"/>
      <c r="MNJ1157" s="7"/>
      <c r="MNK1157" s="7"/>
      <c r="MNL1157" s="7"/>
      <c r="MNM1157" s="7"/>
      <c r="MNN1157" s="7"/>
      <c r="MNO1157" s="7"/>
      <c r="MNP1157" s="7"/>
      <c r="MNQ1157" s="7"/>
      <c r="MNR1157" s="7"/>
      <c r="MNS1157" s="7"/>
      <c r="MNT1157" s="7"/>
      <c r="MNU1157" s="7"/>
      <c r="MNV1157" s="7"/>
      <c r="MNW1157" s="7"/>
      <c r="MNX1157" s="7"/>
      <c r="MNY1157" s="7"/>
      <c r="MNZ1157" s="7"/>
      <c r="MOA1157" s="7"/>
      <c r="MOB1157" s="7"/>
      <c r="MOC1157" s="7"/>
      <c r="MOD1157" s="7"/>
      <c r="MOE1157" s="7"/>
      <c r="MOF1157" s="7"/>
      <c r="MOG1157" s="7"/>
      <c r="MOH1157" s="7"/>
      <c r="MOI1157" s="7"/>
      <c r="MOJ1157" s="7"/>
      <c r="MOK1157" s="7"/>
      <c r="MOL1157" s="7"/>
      <c r="MOM1157" s="7"/>
      <c r="MON1157" s="7"/>
      <c r="MOO1157" s="7"/>
      <c r="MOP1157" s="7"/>
      <c r="MOQ1157" s="7"/>
      <c r="MOR1157" s="7"/>
      <c r="MOS1157" s="7"/>
      <c r="MOT1157" s="7"/>
      <c r="MOU1157" s="7"/>
      <c r="MOV1157" s="7"/>
      <c r="MOW1157" s="7"/>
      <c r="MOX1157" s="7"/>
      <c r="MOY1157" s="7"/>
      <c r="MOZ1157" s="7"/>
      <c r="MPA1157" s="7"/>
      <c r="MPB1157" s="7"/>
      <c r="MPC1157" s="7"/>
      <c r="MPD1157" s="7"/>
      <c r="MPE1157" s="7"/>
      <c r="MPF1157" s="7"/>
      <c r="MPG1157" s="7"/>
      <c r="MPH1157" s="7"/>
      <c r="MPI1157" s="7"/>
      <c r="MPJ1157" s="7"/>
      <c r="MPK1157" s="7"/>
      <c r="MPL1157" s="7"/>
      <c r="MPM1157" s="7"/>
      <c r="MPN1157" s="7"/>
      <c r="MPO1157" s="7"/>
      <c r="MPP1157" s="7"/>
      <c r="MPQ1157" s="7"/>
      <c r="MPR1157" s="7"/>
      <c r="MPS1157" s="7"/>
      <c r="MPT1157" s="7"/>
      <c r="MPU1157" s="7"/>
      <c r="MPV1157" s="7"/>
      <c r="MPW1157" s="7"/>
      <c r="MPX1157" s="7"/>
      <c r="MPY1157" s="7"/>
      <c r="MPZ1157" s="7"/>
      <c r="MQA1157" s="7"/>
      <c r="MQB1157" s="7"/>
      <c r="MQC1157" s="7"/>
      <c r="MQD1157" s="7"/>
      <c r="MQE1157" s="7"/>
      <c r="MQF1157" s="7"/>
      <c r="MQG1157" s="7"/>
      <c r="MQH1157" s="7"/>
      <c r="MQI1157" s="7"/>
      <c r="MQJ1157" s="7"/>
      <c r="MQK1157" s="7"/>
      <c r="MQL1157" s="7"/>
      <c r="MQM1157" s="7"/>
      <c r="MQN1157" s="7"/>
      <c r="MQO1157" s="7"/>
      <c r="MQP1157" s="7"/>
      <c r="MQQ1157" s="7"/>
      <c r="MQR1157" s="7"/>
      <c r="MQS1157" s="7"/>
      <c r="MQT1157" s="7"/>
      <c r="MQU1157" s="7"/>
      <c r="MQV1157" s="7"/>
      <c r="MQW1157" s="7"/>
      <c r="MQX1157" s="7"/>
      <c r="MQY1157" s="7"/>
      <c r="MQZ1157" s="7"/>
      <c r="MRA1157" s="7"/>
      <c r="MRB1157" s="7"/>
      <c r="MRC1157" s="7"/>
      <c r="MRD1157" s="7"/>
      <c r="MRE1157" s="7"/>
      <c r="MRF1157" s="7"/>
      <c r="MRG1157" s="7"/>
      <c r="MRH1157" s="7"/>
      <c r="MRI1157" s="7"/>
      <c r="MRJ1157" s="7"/>
      <c r="MRK1157" s="7"/>
      <c r="MRL1157" s="7"/>
      <c r="MRM1157" s="7"/>
      <c r="MRN1157" s="7"/>
      <c r="MRO1157" s="7"/>
      <c r="MRP1157" s="7"/>
      <c r="MRQ1157" s="7"/>
      <c r="MRR1157" s="7"/>
      <c r="MRS1157" s="7"/>
      <c r="MRT1157" s="7"/>
      <c r="MRU1157" s="7"/>
      <c r="MRV1157" s="7"/>
      <c r="MRW1157" s="7"/>
      <c r="MRX1157" s="7"/>
      <c r="MRY1157" s="7"/>
      <c r="MRZ1157" s="7"/>
      <c r="MSA1157" s="7"/>
      <c r="MSB1157" s="7"/>
      <c r="MSC1157" s="7"/>
      <c r="MSD1157" s="7"/>
      <c r="MSE1157" s="7"/>
      <c r="MSF1157" s="7"/>
      <c r="MSG1157" s="7"/>
      <c r="MSH1157" s="7"/>
      <c r="MSI1157" s="7"/>
      <c r="MSJ1157" s="7"/>
      <c r="MSK1157" s="7"/>
      <c r="MSL1157" s="7"/>
      <c r="MSM1157" s="7"/>
      <c r="MSN1157" s="7"/>
      <c r="MSO1157" s="7"/>
      <c r="MSP1157" s="7"/>
      <c r="MSQ1157" s="7"/>
      <c r="MSR1157" s="7"/>
      <c r="MSS1157" s="7"/>
      <c r="MST1157" s="7"/>
      <c r="MSU1157" s="7"/>
      <c r="MSV1157" s="7"/>
      <c r="MSW1157" s="7"/>
      <c r="MSX1157" s="7"/>
      <c r="MSY1157" s="7"/>
      <c r="MSZ1157" s="7"/>
      <c r="MTA1157" s="7"/>
      <c r="MTB1157" s="7"/>
      <c r="MTC1157" s="7"/>
      <c r="MTD1157" s="7"/>
      <c r="MTE1157" s="7"/>
      <c r="MTF1157" s="7"/>
      <c r="MTG1157" s="7"/>
      <c r="MTH1157" s="7"/>
      <c r="MTI1157" s="7"/>
      <c r="MTJ1157" s="7"/>
      <c r="MTK1157" s="7"/>
      <c r="MTL1157" s="7"/>
      <c r="MTM1157" s="7"/>
      <c r="MTN1157" s="7"/>
      <c r="MTO1157" s="7"/>
      <c r="MTP1157" s="7"/>
      <c r="MTQ1157" s="7"/>
      <c r="MTR1157" s="7"/>
      <c r="MTS1157" s="7"/>
      <c r="MTT1157" s="7"/>
      <c r="MTU1157" s="7"/>
      <c r="MTV1157" s="7"/>
      <c r="MTW1157" s="7"/>
      <c r="MTX1157" s="7"/>
      <c r="MTY1157" s="7"/>
      <c r="MTZ1157" s="7"/>
      <c r="MUA1157" s="7"/>
      <c r="MUB1157" s="7"/>
      <c r="MUC1157" s="7"/>
      <c r="MUD1157" s="7"/>
      <c r="MUE1157" s="7"/>
      <c r="MUF1157" s="7"/>
      <c r="MUG1157" s="7"/>
      <c r="MUH1157" s="7"/>
      <c r="MUI1157" s="7"/>
      <c r="MUJ1157" s="7"/>
      <c r="MUK1157" s="7"/>
      <c r="MUL1157" s="7"/>
      <c r="MUM1157" s="7"/>
      <c r="MUN1157" s="7"/>
      <c r="MUO1157" s="7"/>
      <c r="MUP1157" s="7"/>
      <c r="MUQ1157" s="7"/>
      <c r="MUR1157" s="7"/>
      <c r="MUS1157" s="7"/>
      <c r="MUT1157" s="7"/>
      <c r="MUU1157" s="7"/>
      <c r="MUV1157" s="7"/>
      <c r="MUW1157" s="7"/>
      <c r="MUX1157" s="7"/>
      <c r="MUY1157" s="7"/>
      <c r="MUZ1157" s="7"/>
      <c r="MVA1157" s="7"/>
      <c r="MVB1157" s="7"/>
      <c r="MVC1157" s="7"/>
      <c r="MVD1157" s="7"/>
      <c r="MVE1157" s="7"/>
      <c r="MVF1157" s="7"/>
      <c r="MVG1157" s="7"/>
      <c r="MVH1157" s="7"/>
      <c r="MVI1157" s="7"/>
      <c r="MVJ1157" s="7"/>
      <c r="MVK1157" s="7"/>
      <c r="MVL1157" s="7"/>
      <c r="MVM1157" s="7"/>
      <c r="MVN1157" s="7"/>
      <c r="MVO1157" s="7"/>
      <c r="MVP1157" s="7"/>
      <c r="MVQ1157" s="7"/>
      <c r="MVR1157" s="7"/>
      <c r="MVS1157" s="7"/>
      <c r="MVT1157" s="7"/>
      <c r="MVU1157" s="7"/>
      <c r="MVV1157" s="7"/>
      <c r="MVW1157" s="7"/>
      <c r="MVX1157" s="7"/>
      <c r="MVY1157" s="7"/>
      <c r="MVZ1157" s="7"/>
      <c r="MWA1157" s="7"/>
      <c r="MWB1157" s="7"/>
      <c r="MWC1157" s="7"/>
      <c r="MWD1157" s="7"/>
      <c r="MWE1157" s="7"/>
      <c r="MWF1157" s="7"/>
      <c r="MWG1157" s="7"/>
      <c r="MWH1157" s="7"/>
      <c r="MWI1157" s="7"/>
      <c r="MWJ1157" s="7"/>
      <c r="MWK1157" s="7"/>
      <c r="MWL1157" s="7"/>
      <c r="MWM1157" s="7"/>
      <c r="MWN1157" s="7"/>
      <c r="MWO1157" s="7"/>
      <c r="MWP1157" s="7"/>
      <c r="MWQ1157" s="7"/>
      <c r="MWR1157" s="7"/>
      <c r="MWS1157" s="7"/>
      <c r="MWT1157" s="7"/>
      <c r="MWU1157" s="7"/>
      <c r="MWV1157" s="7"/>
      <c r="MWW1157" s="7"/>
      <c r="MWX1157" s="7"/>
      <c r="MWY1157" s="7"/>
      <c r="MWZ1157" s="7"/>
      <c r="MXA1157" s="7"/>
      <c r="MXB1157" s="7"/>
      <c r="MXC1157" s="7"/>
      <c r="MXD1157" s="7"/>
      <c r="MXE1157" s="7"/>
      <c r="MXF1157" s="7"/>
      <c r="MXG1157" s="7"/>
      <c r="MXH1157" s="7"/>
      <c r="MXI1157" s="7"/>
      <c r="MXJ1157" s="7"/>
      <c r="MXK1157" s="7"/>
      <c r="MXL1157" s="7"/>
      <c r="MXM1157" s="7"/>
      <c r="MXN1157" s="7"/>
      <c r="MXO1157" s="7"/>
      <c r="MXP1157" s="7"/>
      <c r="MXQ1157" s="7"/>
      <c r="MXR1157" s="7"/>
      <c r="MXS1157" s="7"/>
      <c r="MXT1157" s="7"/>
      <c r="MXU1157" s="7"/>
      <c r="MXV1157" s="7"/>
      <c r="MXW1157" s="7"/>
      <c r="MXX1157" s="7"/>
      <c r="MXY1157" s="7"/>
      <c r="MXZ1157" s="7"/>
      <c r="MYA1157" s="7"/>
      <c r="MYB1157" s="7"/>
      <c r="MYC1157" s="7"/>
      <c r="MYD1157" s="7"/>
      <c r="MYE1157" s="7"/>
      <c r="MYF1157" s="7"/>
      <c r="MYG1157" s="7"/>
      <c r="MYH1157" s="7"/>
      <c r="MYI1157" s="7"/>
      <c r="MYJ1157" s="7"/>
      <c r="MYK1157" s="7"/>
      <c r="MYL1157" s="7"/>
      <c r="MYM1157" s="7"/>
      <c r="MYN1157" s="7"/>
      <c r="MYO1157" s="7"/>
      <c r="MYP1157" s="7"/>
      <c r="MYQ1157" s="7"/>
      <c r="MYR1157" s="7"/>
      <c r="MYS1157" s="7"/>
      <c r="MYT1157" s="7"/>
      <c r="MYU1157" s="7"/>
      <c r="MYV1157" s="7"/>
      <c r="MYW1157" s="7"/>
      <c r="MYX1157" s="7"/>
      <c r="MYY1157" s="7"/>
      <c r="MYZ1157" s="7"/>
      <c r="MZA1157" s="7"/>
      <c r="MZB1157" s="7"/>
      <c r="MZC1157" s="7"/>
      <c r="MZD1157" s="7"/>
      <c r="MZE1157" s="7"/>
      <c r="MZF1157" s="7"/>
      <c r="MZG1157" s="7"/>
      <c r="MZH1157" s="7"/>
      <c r="MZI1157" s="7"/>
      <c r="MZJ1157" s="7"/>
      <c r="MZK1157" s="7"/>
      <c r="MZL1157" s="7"/>
      <c r="MZM1157" s="7"/>
      <c r="MZN1157" s="7"/>
      <c r="MZO1157" s="7"/>
      <c r="MZP1157" s="7"/>
      <c r="MZQ1157" s="7"/>
      <c r="MZR1157" s="7"/>
      <c r="MZS1157" s="7"/>
      <c r="MZT1157" s="7"/>
      <c r="MZU1157" s="7"/>
      <c r="MZV1157" s="7"/>
      <c r="MZW1157" s="7"/>
      <c r="MZX1157" s="7"/>
      <c r="MZY1157" s="7"/>
      <c r="MZZ1157" s="7"/>
      <c r="NAA1157" s="7"/>
      <c r="NAB1157" s="7"/>
      <c r="NAC1157" s="7"/>
      <c r="NAD1157" s="7"/>
      <c r="NAE1157" s="7"/>
      <c r="NAF1157" s="7"/>
      <c r="NAG1157" s="7"/>
      <c r="NAH1157" s="7"/>
      <c r="NAI1157" s="7"/>
      <c r="NAJ1157" s="7"/>
      <c r="NAK1157" s="7"/>
      <c r="NAL1157" s="7"/>
      <c r="NAM1157" s="7"/>
      <c r="NAN1157" s="7"/>
      <c r="NAO1157" s="7"/>
      <c r="NAP1157" s="7"/>
      <c r="NAQ1157" s="7"/>
      <c r="NAR1157" s="7"/>
      <c r="NAS1157" s="7"/>
      <c r="NAT1157" s="7"/>
      <c r="NAU1157" s="7"/>
      <c r="NAV1157" s="7"/>
      <c r="NAW1157" s="7"/>
      <c r="NAX1157" s="7"/>
      <c r="NAY1157" s="7"/>
      <c r="NAZ1157" s="7"/>
      <c r="NBA1157" s="7"/>
      <c r="NBB1157" s="7"/>
      <c r="NBC1157" s="7"/>
      <c r="NBD1157" s="7"/>
      <c r="NBE1157" s="7"/>
      <c r="NBF1157" s="7"/>
      <c r="NBG1157" s="7"/>
      <c r="NBH1157" s="7"/>
      <c r="NBI1157" s="7"/>
      <c r="NBJ1157" s="7"/>
      <c r="NBK1157" s="7"/>
      <c r="NBL1157" s="7"/>
      <c r="NBM1157" s="7"/>
      <c r="NBN1157" s="7"/>
      <c r="NBO1157" s="7"/>
      <c r="NBP1157" s="7"/>
      <c r="NBQ1157" s="7"/>
      <c r="NBR1157" s="7"/>
      <c r="NBS1157" s="7"/>
      <c r="NBT1157" s="7"/>
      <c r="NBU1157" s="7"/>
      <c r="NBV1157" s="7"/>
      <c r="NBW1157" s="7"/>
      <c r="NBX1157" s="7"/>
      <c r="NBY1157" s="7"/>
      <c r="NBZ1157" s="7"/>
      <c r="NCA1157" s="7"/>
      <c r="NCB1157" s="7"/>
      <c r="NCC1157" s="7"/>
      <c r="NCD1157" s="7"/>
      <c r="NCE1157" s="7"/>
      <c r="NCF1157" s="7"/>
      <c r="NCG1157" s="7"/>
      <c r="NCH1157" s="7"/>
      <c r="NCI1157" s="7"/>
      <c r="NCJ1157" s="7"/>
      <c r="NCK1157" s="7"/>
      <c r="NCL1157" s="7"/>
      <c r="NCM1157" s="7"/>
      <c r="NCN1157" s="7"/>
      <c r="NCO1157" s="7"/>
      <c r="NCP1157" s="7"/>
      <c r="NCQ1157" s="7"/>
      <c r="NCR1157" s="7"/>
      <c r="NCS1157" s="7"/>
      <c r="NCT1157" s="7"/>
      <c r="NCU1157" s="7"/>
      <c r="NCV1157" s="7"/>
      <c r="NCW1157" s="7"/>
      <c r="NCX1157" s="7"/>
      <c r="NCY1157" s="7"/>
      <c r="NCZ1157" s="7"/>
      <c r="NDA1157" s="7"/>
      <c r="NDB1157" s="7"/>
      <c r="NDC1157" s="7"/>
      <c r="NDD1157" s="7"/>
      <c r="NDE1157" s="7"/>
      <c r="NDF1157" s="7"/>
      <c r="NDG1157" s="7"/>
      <c r="NDH1157" s="7"/>
      <c r="NDI1157" s="7"/>
      <c r="NDJ1157" s="7"/>
      <c r="NDK1157" s="7"/>
      <c r="NDL1157" s="7"/>
      <c r="NDM1157" s="7"/>
      <c r="NDN1157" s="7"/>
      <c r="NDO1157" s="7"/>
      <c r="NDP1157" s="7"/>
      <c r="NDQ1157" s="7"/>
      <c r="NDR1157" s="7"/>
      <c r="NDS1157" s="7"/>
      <c r="NDT1157" s="7"/>
      <c r="NDU1157" s="7"/>
      <c r="NDV1157" s="7"/>
      <c r="NDW1157" s="7"/>
      <c r="NDX1157" s="7"/>
      <c r="NDY1157" s="7"/>
      <c r="NDZ1157" s="7"/>
      <c r="NEA1157" s="7"/>
      <c r="NEB1157" s="7"/>
      <c r="NEC1157" s="7"/>
      <c r="NED1157" s="7"/>
      <c r="NEE1157" s="7"/>
      <c r="NEF1157" s="7"/>
      <c r="NEG1157" s="7"/>
      <c r="NEH1157" s="7"/>
      <c r="NEI1157" s="7"/>
      <c r="NEJ1157" s="7"/>
      <c r="NEK1157" s="7"/>
      <c r="NEL1157" s="7"/>
      <c r="NEM1157" s="7"/>
      <c r="NEN1157" s="7"/>
      <c r="NEO1157" s="7"/>
      <c r="NEP1157" s="7"/>
      <c r="NEQ1157" s="7"/>
      <c r="NER1157" s="7"/>
      <c r="NES1157" s="7"/>
      <c r="NET1157" s="7"/>
      <c r="NEU1157" s="7"/>
      <c r="NEV1157" s="7"/>
      <c r="NEW1157" s="7"/>
      <c r="NEX1157" s="7"/>
      <c r="NEY1157" s="7"/>
      <c r="NEZ1157" s="7"/>
      <c r="NFA1157" s="7"/>
      <c r="NFB1157" s="7"/>
      <c r="NFC1157" s="7"/>
      <c r="NFD1157" s="7"/>
      <c r="NFE1157" s="7"/>
      <c r="NFF1157" s="7"/>
      <c r="NFG1157" s="7"/>
      <c r="NFH1157" s="7"/>
      <c r="NFI1157" s="7"/>
      <c r="NFJ1157" s="7"/>
      <c r="NFK1157" s="7"/>
      <c r="NFL1157" s="7"/>
      <c r="NFM1157" s="7"/>
      <c r="NFN1157" s="7"/>
      <c r="NFO1157" s="7"/>
      <c r="NFP1157" s="7"/>
      <c r="NFQ1157" s="7"/>
      <c r="NFR1157" s="7"/>
      <c r="NFS1157" s="7"/>
      <c r="NFT1157" s="7"/>
      <c r="NFU1157" s="7"/>
      <c r="NFV1157" s="7"/>
      <c r="NFW1157" s="7"/>
      <c r="NFX1157" s="7"/>
      <c r="NFY1157" s="7"/>
      <c r="NFZ1157" s="7"/>
      <c r="NGA1157" s="7"/>
      <c r="NGB1157" s="7"/>
      <c r="NGC1157" s="7"/>
      <c r="NGD1157" s="7"/>
      <c r="NGE1157" s="7"/>
      <c r="NGF1157" s="7"/>
      <c r="NGG1157" s="7"/>
      <c r="NGH1157" s="7"/>
      <c r="NGI1157" s="7"/>
      <c r="NGJ1157" s="7"/>
      <c r="NGK1157" s="7"/>
      <c r="NGL1157" s="7"/>
      <c r="NGM1157" s="7"/>
      <c r="NGN1157" s="7"/>
      <c r="NGO1157" s="7"/>
      <c r="NGP1157" s="7"/>
      <c r="NGQ1157" s="7"/>
      <c r="NGR1157" s="7"/>
      <c r="NGS1157" s="7"/>
      <c r="NGT1157" s="7"/>
      <c r="NGU1157" s="7"/>
      <c r="NGV1157" s="7"/>
      <c r="NGW1157" s="7"/>
      <c r="NGX1157" s="7"/>
      <c r="NGY1157" s="7"/>
      <c r="NGZ1157" s="7"/>
      <c r="NHA1157" s="7"/>
      <c r="NHB1157" s="7"/>
      <c r="NHC1157" s="7"/>
      <c r="NHD1157" s="7"/>
      <c r="NHE1157" s="7"/>
      <c r="NHF1157" s="7"/>
      <c r="NHG1157" s="7"/>
      <c r="NHH1157" s="7"/>
      <c r="NHI1157" s="7"/>
      <c r="NHJ1157" s="7"/>
      <c r="NHK1157" s="7"/>
      <c r="NHL1157" s="7"/>
      <c r="NHM1157" s="7"/>
      <c r="NHN1157" s="7"/>
      <c r="NHO1157" s="7"/>
      <c r="NHP1157" s="7"/>
      <c r="NHQ1157" s="7"/>
      <c r="NHR1157" s="7"/>
      <c r="NHS1157" s="7"/>
      <c r="NHT1157" s="7"/>
      <c r="NHU1157" s="7"/>
      <c r="NHV1157" s="7"/>
      <c r="NHW1157" s="7"/>
      <c r="NHX1157" s="7"/>
      <c r="NHY1157" s="7"/>
      <c r="NHZ1157" s="7"/>
      <c r="NIA1157" s="7"/>
      <c r="NIB1157" s="7"/>
      <c r="NIC1157" s="7"/>
      <c r="NID1157" s="7"/>
      <c r="NIE1157" s="7"/>
      <c r="NIF1157" s="7"/>
      <c r="NIG1157" s="7"/>
      <c r="NIH1157" s="7"/>
      <c r="NII1157" s="7"/>
      <c r="NIJ1157" s="7"/>
      <c r="NIK1157" s="7"/>
      <c r="NIL1157" s="7"/>
      <c r="NIM1157" s="7"/>
      <c r="NIN1157" s="7"/>
      <c r="NIO1157" s="7"/>
      <c r="NIP1157" s="7"/>
      <c r="NIQ1157" s="7"/>
      <c r="NIR1157" s="7"/>
      <c r="NIS1157" s="7"/>
      <c r="NIT1157" s="7"/>
      <c r="NIU1157" s="7"/>
      <c r="NIV1157" s="7"/>
      <c r="NIW1157" s="7"/>
      <c r="NIX1157" s="7"/>
      <c r="NIY1157" s="7"/>
      <c r="NIZ1157" s="7"/>
      <c r="NJA1157" s="7"/>
      <c r="NJB1157" s="7"/>
      <c r="NJC1157" s="7"/>
      <c r="NJD1157" s="7"/>
      <c r="NJE1157" s="7"/>
      <c r="NJF1157" s="7"/>
      <c r="NJG1157" s="7"/>
      <c r="NJH1157" s="7"/>
      <c r="NJI1157" s="7"/>
      <c r="NJJ1157" s="7"/>
      <c r="NJK1157" s="7"/>
      <c r="NJL1157" s="7"/>
      <c r="NJM1157" s="7"/>
      <c r="NJN1157" s="7"/>
      <c r="NJO1157" s="7"/>
      <c r="NJP1157" s="7"/>
      <c r="NJQ1157" s="7"/>
      <c r="NJR1157" s="7"/>
      <c r="NJS1157" s="7"/>
      <c r="NJT1157" s="7"/>
      <c r="NJU1157" s="7"/>
      <c r="NJV1157" s="7"/>
      <c r="NJW1157" s="7"/>
      <c r="NJX1157" s="7"/>
      <c r="NJY1157" s="7"/>
      <c r="NJZ1157" s="7"/>
      <c r="NKA1157" s="7"/>
      <c r="NKB1157" s="7"/>
      <c r="NKC1157" s="7"/>
      <c r="NKD1157" s="7"/>
      <c r="NKE1157" s="7"/>
      <c r="NKF1157" s="7"/>
      <c r="NKG1157" s="7"/>
      <c r="NKH1157" s="7"/>
      <c r="NKI1157" s="7"/>
      <c r="NKJ1157" s="7"/>
      <c r="NKK1157" s="7"/>
      <c r="NKL1157" s="7"/>
      <c r="NKM1157" s="7"/>
      <c r="NKN1157" s="7"/>
      <c r="NKO1157" s="7"/>
      <c r="NKP1157" s="7"/>
      <c r="NKQ1157" s="7"/>
      <c r="NKR1157" s="7"/>
      <c r="NKS1157" s="7"/>
      <c r="NKT1157" s="7"/>
      <c r="NKU1157" s="7"/>
      <c r="NKV1157" s="7"/>
      <c r="NKW1157" s="7"/>
      <c r="NKX1157" s="7"/>
      <c r="NKY1157" s="7"/>
      <c r="NKZ1157" s="7"/>
      <c r="NLA1157" s="7"/>
      <c r="NLB1157" s="7"/>
      <c r="NLC1157" s="7"/>
      <c r="NLD1157" s="7"/>
      <c r="NLE1157" s="7"/>
      <c r="NLF1157" s="7"/>
      <c r="NLG1157" s="7"/>
      <c r="NLH1157" s="7"/>
      <c r="NLI1157" s="7"/>
      <c r="NLJ1157" s="7"/>
      <c r="NLK1157" s="7"/>
      <c r="NLL1157" s="7"/>
      <c r="NLM1157" s="7"/>
      <c r="NLN1157" s="7"/>
      <c r="NLO1157" s="7"/>
      <c r="NLP1157" s="7"/>
      <c r="NLQ1157" s="7"/>
      <c r="NLR1157" s="7"/>
      <c r="NLS1157" s="7"/>
      <c r="NLT1157" s="7"/>
      <c r="NLU1157" s="7"/>
      <c r="NLV1157" s="7"/>
      <c r="NLW1157" s="7"/>
      <c r="NLX1157" s="7"/>
      <c r="NLY1157" s="7"/>
      <c r="NLZ1157" s="7"/>
      <c r="NMA1157" s="7"/>
      <c r="NMB1157" s="7"/>
      <c r="NMC1157" s="7"/>
      <c r="NMD1157" s="7"/>
      <c r="NME1157" s="7"/>
      <c r="NMF1157" s="7"/>
      <c r="NMG1157" s="7"/>
      <c r="NMH1157" s="7"/>
      <c r="NMI1157" s="7"/>
      <c r="NMJ1157" s="7"/>
      <c r="NMK1157" s="7"/>
      <c r="NML1157" s="7"/>
      <c r="NMM1157" s="7"/>
      <c r="NMN1157" s="7"/>
      <c r="NMO1157" s="7"/>
      <c r="NMP1157" s="7"/>
      <c r="NMQ1157" s="7"/>
      <c r="NMR1157" s="7"/>
      <c r="NMS1157" s="7"/>
      <c r="NMT1157" s="7"/>
      <c r="NMU1157" s="7"/>
      <c r="NMV1157" s="7"/>
      <c r="NMW1157" s="7"/>
      <c r="NMX1157" s="7"/>
      <c r="NMY1157" s="7"/>
      <c r="NMZ1157" s="7"/>
      <c r="NNA1157" s="7"/>
      <c r="NNB1157" s="7"/>
      <c r="NNC1157" s="7"/>
      <c r="NND1157" s="7"/>
      <c r="NNE1157" s="7"/>
      <c r="NNF1157" s="7"/>
      <c r="NNG1157" s="7"/>
      <c r="NNH1157" s="7"/>
      <c r="NNI1157" s="7"/>
      <c r="NNJ1157" s="7"/>
      <c r="NNK1157" s="7"/>
      <c r="NNL1157" s="7"/>
      <c r="NNM1157" s="7"/>
      <c r="NNN1157" s="7"/>
      <c r="NNO1157" s="7"/>
      <c r="NNP1157" s="7"/>
      <c r="NNQ1157" s="7"/>
      <c r="NNR1157" s="7"/>
      <c r="NNS1157" s="7"/>
      <c r="NNT1157" s="7"/>
      <c r="NNU1157" s="7"/>
      <c r="NNV1157" s="7"/>
      <c r="NNW1157" s="7"/>
      <c r="NNX1157" s="7"/>
      <c r="NNY1157" s="7"/>
      <c r="NNZ1157" s="7"/>
      <c r="NOA1157" s="7"/>
      <c r="NOB1157" s="7"/>
      <c r="NOC1157" s="7"/>
      <c r="NOD1157" s="7"/>
      <c r="NOE1157" s="7"/>
      <c r="NOF1157" s="7"/>
      <c r="NOG1157" s="7"/>
      <c r="NOH1157" s="7"/>
      <c r="NOI1157" s="7"/>
      <c r="NOJ1157" s="7"/>
      <c r="NOK1157" s="7"/>
      <c r="NOL1157" s="7"/>
      <c r="NOM1157" s="7"/>
      <c r="NON1157" s="7"/>
      <c r="NOO1157" s="7"/>
      <c r="NOP1157" s="7"/>
      <c r="NOQ1157" s="7"/>
      <c r="NOR1157" s="7"/>
      <c r="NOS1157" s="7"/>
      <c r="NOT1157" s="7"/>
      <c r="NOU1157" s="7"/>
      <c r="NOV1157" s="7"/>
      <c r="NOW1157" s="7"/>
      <c r="NOX1157" s="7"/>
      <c r="NOY1157" s="7"/>
      <c r="NOZ1157" s="7"/>
      <c r="NPA1157" s="7"/>
      <c r="NPB1157" s="7"/>
      <c r="NPC1157" s="7"/>
      <c r="NPD1157" s="7"/>
      <c r="NPE1157" s="7"/>
      <c r="NPF1157" s="7"/>
      <c r="NPG1157" s="7"/>
      <c r="NPH1157" s="7"/>
      <c r="NPI1157" s="7"/>
      <c r="NPJ1157" s="7"/>
      <c r="NPK1157" s="7"/>
      <c r="NPL1157" s="7"/>
      <c r="NPM1157" s="7"/>
      <c r="NPN1157" s="7"/>
      <c r="NPO1157" s="7"/>
      <c r="NPP1157" s="7"/>
      <c r="NPQ1157" s="7"/>
      <c r="NPR1157" s="7"/>
      <c r="NPS1157" s="7"/>
      <c r="NPT1157" s="7"/>
      <c r="NPU1157" s="7"/>
      <c r="NPV1157" s="7"/>
      <c r="NPW1157" s="7"/>
      <c r="NPX1157" s="7"/>
      <c r="NPY1157" s="7"/>
      <c r="NPZ1157" s="7"/>
      <c r="NQA1157" s="7"/>
      <c r="NQB1157" s="7"/>
      <c r="NQC1157" s="7"/>
      <c r="NQD1157" s="7"/>
      <c r="NQE1157" s="7"/>
      <c r="NQF1157" s="7"/>
      <c r="NQG1157" s="7"/>
      <c r="NQH1157" s="7"/>
      <c r="NQI1157" s="7"/>
      <c r="NQJ1157" s="7"/>
      <c r="NQK1157" s="7"/>
      <c r="NQL1157" s="7"/>
      <c r="NQM1157" s="7"/>
      <c r="NQN1157" s="7"/>
      <c r="NQO1157" s="7"/>
      <c r="NQP1157" s="7"/>
      <c r="NQQ1157" s="7"/>
      <c r="NQR1157" s="7"/>
      <c r="NQS1157" s="7"/>
      <c r="NQT1157" s="7"/>
      <c r="NQU1157" s="7"/>
      <c r="NQV1157" s="7"/>
      <c r="NQW1157" s="7"/>
      <c r="NQX1157" s="7"/>
      <c r="NQY1157" s="7"/>
      <c r="NQZ1157" s="7"/>
      <c r="NRA1157" s="7"/>
      <c r="NRB1157" s="7"/>
      <c r="NRC1157" s="7"/>
      <c r="NRD1157" s="7"/>
      <c r="NRE1157" s="7"/>
      <c r="NRF1157" s="7"/>
      <c r="NRG1157" s="7"/>
      <c r="NRH1157" s="7"/>
      <c r="NRI1157" s="7"/>
      <c r="NRJ1157" s="7"/>
      <c r="NRK1157" s="7"/>
      <c r="NRL1157" s="7"/>
      <c r="NRM1157" s="7"/>
      <c r="NRN1157" s="7"/>
      <c r="NRO1157" s="7"/>
      <c r="NRP1157" s="7"/>
      <c r="NRQ1157" s="7"/>
      <c r="NRR1157" s="7"/>
      <c r="NRS1157" s="7"/>
      <c r="NRT1157" s="7"/>
      <c r="NRU1157" s="7"/>
      <c r="NRV1157" s="7"/>
      <c r="NRW1157" s="7"/>
      <c r="NRX1157" s="7"/>
      <c r="NRY1157" s="7"/>
      <c r="NRZ1157" s="7"/>
      <c r="NSA1157" s="7"/>
      <c r="NSB1157" s="7"/>
      <c r="NSC1157" s="7"/>
      <c r="NSD1157" s="7"/>
      <c r="NSE1157" s="7"/>
      <c r="NSF1157" s="7"/>
      <c r="NSG1157" s="7"/>
      <c r="NSH1157" s="7"/>
      <c r="NSI1157" s="7"/>
      <c r="NSJ1157" s="7"/>
      <c r="NSK1157" s="7"/>
      <c r="NSL1157" s="7"/>
      <c r="NSM1157" s="7"/>
      <c r="NSN1157" s="7"/>
      <c r="NSO1157" s="7"/>
      <c r="NSP1157" s="7"/>
      <c r="NSQ1157" s="7"/>
      <c r="NSR1157" s="7"/>
      <c r="NSS1157" s="7"/>
      <c r="NST1157" s="7"/>
      <c r="NSU1157" s="7"/>
      <c r="NSV1157" s="7"/>
      <c r="NSW1157" s="7"/>
      <c r="NSX1157" s="7"/>
      <c r="NSY1157" s="7"/>
      <c r="NSZ1157" s="7"/>
      <c r="NTA1157" s="7"/>
      <c r="NTB1157" s="7"/>
      <c r="NTC1157" s="7"/>
      <c r="NTD1157" s="7"/>
      <c r="NTE1157" s="7"/>
      <c r="NTF1157" s="7"/>
      <c r="NTG1157" s="7"/>
      <c r="NTH1157" s="7"/>
      <c r="NTI1157" s="7"/>
      <c r="NTJ1157" s="7"/>
      <c r="NTK1157" s="7"/>
      <c r="NTL1157" s="7"/>
      <c r="NTM1157" s="7"/>
      <c r="NTN1157" s="7"/>
      <c r="NTO1157" s="7"/>
      <c r="NTP1157" s="7"/>
      <c r="NTQ1157" s="7"/>
      <c r="NTR1157" s="7"/>
      <c r="NTS1157" s="7"/>
      <c r="NTT1157" s="7"/>
      <c r="NTU1157" s="7"/>
      <c r="NTV1157" s="7"/>
      <c r="NTW1157" s="7"/>
      <c r="NTX1157" s="7"/>
      <c r="NTY1157" s="7"/>
      <c r="NTZ1157" s="7"/>
      <c r="NUA1157" s="7"/>
      <c r="NUB1157" s="7"/>
      <c r="NUC1157" s="7"/>
      <c r="NUD1157" s="7"/>
      <c r="NUE1157" s="7"/>
      <c r="NUF1157" s="7"/>
      <c r="NUG1157" s="7"/>
      <c r="NUH1157" s="7"/>
      <c r="NUI1157" s="7"/>
      <c r="NUJ1157" s="7"/>
      <c r="NUK1157" s="7"/>
      <c r="NUL1157" s="7"/>
      <c r="NUM1157" s="7"/>
      <c r="NUN1157" s="7"/>
      <c r="NUO1157" s="7"/>
      <c r="NUP1157" s="7"/>
      <c r="NUQ1157" s="7"/>
      <c r="NUR1157" s="7"/>
      <c r="NUS1157" s="7"/>
      <c r="NUT1157" s="7"/>
      <c r="NUU1157" s="7"/>
      <c r="NUV1157" s="7"/>
      <c r="NUW1157" s="7"/>
      <c r="NUX1157" s="7"/>
      <c r="NUY1157" s="7"/>
      <c r="NUZ1157" s="7"/>
      <c r="NVA1157" s="7"/>
      <c r="NVB1157" s="7"/>
      <c r="NVC1157" s="7"/>
      <c r="NVD1157" s="7"/>
      <c r="NVE1157" s="7"/>
      <c r="NVF1157" s="7"/>
      <c r="NVG1157" s="7"/>
      <c r="NVH1157" s="7"/>
      <c r="NVI1157" s="7"/>
      <c r="NVJ1157" s="7"/>
      <c r="NVK1157" s="7"/>
      <c r="NVL1157" s="7"/>
      <c r="NVM1157" s="7"/>
      <c r="NVN1157" s="7"/>
      <c r="NVO1157" s="7"/>
      <c r="NVP1157" s="7"/>
      <c r="NVQ1157" s="7"/>
      <c r="NVR1157" s="7"/>
      <c r="NVS1157" s="7"/>
      <c r="NVT1157" s="7"/>
      <c r="NVU1157" s="7"/>
      <c r="NVV1157" s="7"/>
      <c r="NVW1157" s="7"/>
      <c r="NVX1157" s="7"/>
      <c r="NVY1157" s="7"/>
      <c r="NVZ1157" s="7"/>
      <c r="NWA1157" s="7"/>
      <c r="NWB1157" s="7"/>
      <c r="NWC1157" s="7"/>
      <c r="NWD1157" s="7"/>
      <c r="NWE1157" s="7"/>
      <c r="NWF1157" s="7"/>
      <c r="NWG1157" s="7"/>
      <c r="NWH1157" s="7"/>
      <c r="NWI1157" s="7"/>
      <c r="NWJ1157" s="7"/>
      <c r="NWK1157" s="7"/>
      <c r="NWL1157" s="7"/>
      <c r="NWM1157" s="7"/>
      <c r="NWN1157" s="7"/>
      <c r="NWO1157" s="7"/>
      <c r="NWP1157" s="7"/>
      <c r="NWQ1157" s="7"/>
      <c r="NWR1157" s="7"/>
      <c r="NWS1157" s="7"/>
      <c r="NWT1157" s="7"/>
      <c r="NWU1157" s="7"/>
      <c r="NWV1157" s="7"/>
      <c r="NWW1157" s="7"/>
      <c r="NWX1157" s="7"/>
      <c r="NWY1157" s="7"/>
      <c r="NWZ1157" s="7"/>
      <c r="NXA1157" s="7"/>
      <c r="NXB1157" s="7"/>
      <c r="NXC1157" s="7"/>
      <c r="NXD1157" s="7"/>
      <c r="NXE1157" s="7"/>
      <c r="NXF1157" s="7"/>
      <c r="NXG1157" s="7"/>
      <c r="NXH1157" s="7"/>
      <c r="NXI1157" s="7"/>
      <c r="NXJ1157" s="7"/>
      <c r="NXK1157" s="7"/>
      <c r="NXL1157" s="7"/>
      <c r="NXM1157" s="7"/>
      <c r="NXN1157" s="7"/>
      <c r="NXO1157" s="7"/>
      <c r="NXP1157" s="7"/>
      <c r="NXQ1157" s="7"/>
      <c r="NXR1157" s="7"/>
      <c r="NXS1157" s="7"/>
      <c r="NXT1157" s="7"/>
      <c r="NXU1157" s="7"/>
      <c r="NXV1157" s="7"/>
      <c r="NXW1157" s="7"/>
      <c r="NXX1157" s="7"/>
      <c r="NXY1157" s="7"/>
      <c r="NXZ1157" s="7"/>
      <c r="NYA1157" s="7"/>
      <c r="NYB1157" s="7"/>
      <c r="NYC1157" s="7"/>
      <c r="NYD1157" s="7"/>
      <c r="NYE1157" s="7"/>
      <c r="NYF1157" s="7"/>
      <c r="NYG1157" s="7"/>
      <c r="NYH1157" s="7"/>
      <c r="NYI1157" s="7"/>
      <c r="NYJ1157" s="7"/>
      <c r="NYK1157" s="7"/>
      <c r="NYL1157" s="7"/>
      <c r="NYM1157" s="7"/>
      <c r="NYN1157" s="7"/>
      <c r="NYO1157" s="7"/>
      <c r="NYP1157" s="7"/>
      <c r="NYQ1157" s="7"/>
      <c r="NYR1157" s="7"/>
      <c r="NYS1157" s="7"/>
      <c r="NYT1157" s="7"/>
      <c r="NYU1157" s="7"/>
      <c r="NYV1157" s="7"/>
      <c r="NYW1157" s="7"/>
      <c r="NYX1157" s="7"/>
      <c r="NYY1157" s="7"/>
      <c r="NYZ1157" s="7"/>
      <c r="NZA1157" s="7"/>
      <c r="NZB1157" s="7"/>
      <c r="NZC1157" s="7"/>
      <c r="NZD1157" s="7"/>
      <c r="NZE1157" s="7"/>
      <c r="NZF1157" s="7"/>
      <c r="NZG1157" s="7"/>
      <c r="NZH1157" s="7"/>
      <c r="NZI1157" s="7"/>
      <c r="NZJ1157" s="7"/>
      <c r="NZK1157" s="7"/>
      <c r="NZL1157" s="7"/>
      <c r="NZM1157" s="7"/>
      <c r="NZN1157" s="7"/>
      <c r="NZO1157" s="7"/>
      <c r="NZP1157" s="7"/>
      <c r="NZQ1157" s="7"/>
      <c r="NZR1157" s="7"/>
      <c r="NZS1157" s="7"/>
      <c r="NZT1157" s="7"/>
      <c r="NZU1157" s="7"/>
      <c r="NZV1157" s="7"/>
      <c r="NZW1157" s="7"/>
      <c r="NZX1157" s="7"/>
      <c r="NZY1157" s="7"/>
      <c r="NZZ1157" s="7"/>
      <c r="OAA1157" s="7"/>
      <c r="OAB1157" s="7"/>
      <c r="OAC1157" s="7"/>
      <c r="OAD1157" s="7"/>
      <c r="OAE1157" s="7"/>
      <c r="OAF1157" s="7"/>
      <c r="OAG1157" s="7"/>
      <c r="OAH1157" s="7"/>
      <c r="OAI1157" s="7"/>
      <c r="OAJ1157" s="7"/>
      <c r="OAK1157" s="7"/>
      <c r="OAL1157" s="7"/>
      <c r="OAM1157" s="7"/>
      <c r="OAN1157" s="7"/>
      <c r="OAO1157" s="7"/>
      <c r="OAP1157" s="7"/>
      <c r="OAQ1157" s="7"/>
      <c r="OAR1157" s="7"/>
      <c r="OAS1157" s="7"/>
      <c r="OAT1157" s="7"/>
      <c r="OAU1157" s="7"/>
      <c r="OAV1157" s="7"/>
      <c r="OAW1157" s="7"/>
      <c r="OAX1157" s="7"/>
      <c r="OAY1157" s="7"/>
      <c r="OAZ1157" s="7"/>
      <c r="OBA1157" s="7"/>
      <c r="OBB1157" s="7"/>
      <c r="OBC1157" s="7"/>
      <c r="OBD1157" s="7"/>
      <c r="OBE1157" s="7"/>
      <c r="OBF1157" s="7"/>
      <c r="OBG1157" s="7"/>
      <c r="OBH1157" s="7"/>
      <c r="OBI1157" s="7"/>
      <c r="OBJ1157" s="7"/>
      <c r="OBK1157" s="7"/>
      <c r="OBL1157" s="7"/>
      <c r="OBM1157" s="7"/>
      <c r="OBN1157" s="7"/>
      <c r="OBO1157" s="7"/>
      <c r="OBP1157" s="7"/>
      <c r="OBQ1157" s="7"/>
      <c r="OBR1157" s="7"/>
      <c r="OBS1157" s="7"/>
      <c r="OBT1157" s="7"/>
      <c r="OBU1157" s="7"/>
      <c r="OBV1157" s="7"/>
      <c r="OBW1157" s="7"/>
      <c r="OBX1157" s="7"/>
      <c r="OBY1157" s="7"/>
      <c r="OBZ1157" s="7"/>
      <c r="OCA1157" s="7"/>
      <c r="OCB1157" s="7"/>
      <c r="OCC1157" s="7"/>
      <c r="OCD1157" s="7"/>
      <c r="OCE1157" s="7"/>
      <c r="OCF1157" s="7"/>
      <c r="OCG1157" s="7"/>
      <c r="OCH1157" s="7"/>
      <c r="OCI1157" s="7"/>
      <c r="OCJ1157" s="7"/>
      <c r="OCK1157" s="7"/>
      <c r="OCL1157" s="7"/>
      <c r="OCM1157" s="7"/>
      <c r="OCN1157" s="7"/>
      <c r="OCO1157" s="7"/>
      <c r="OCP1157" s="7"/>
      <c r="OCQ1157" s="7"/>
      <c r="OCR1157" s="7"/>
      <c r="OCS1157" s="7"/>
      <c r="OCT1157" s="7"/>
      <c r="OCU1157" s="7"/>
      <c r="OCV1157" s="7"/>
      <c r="OCW1157" s="7"/>
      <c r="OCX1157" s="7"/>
      <c r="OCY1157" s="7"/>
      <c r="OCZ1157" s="7"/>
      <c r="ODA1157" s="7"/>
      <c r="ODB1157" s="7"/>
      <c r="ODC1157" s="7"/>
      <c r="ODD1157" s="7"/>
      <c r="ODE1157" s="7"/>
      <c r="ODF1157" s="7"/>
      <c r="ODG1157" s="7"/>
      <c r="ODH1157" s="7"/>
      <c r="ODI1157" s="7"/>
      <c r="ODJ1157" s="7"/>
      <c r="ODK1157" s="7"/>
      <c r="ODL1157" s="7"/>
      <c r="ODM1157" s="7"/>
      <c r="ODN1157" s="7"/>
      <c r="ODO1157" s="7"/>
      <c r="ODP1157" s="7"/>
      <c r="ODQ1157" s="7"/>
      <c r="ODR1157" s="7"/>
      <c r="ODS1157" s="7"/>
      <c r="ODT1157" s="7"/>
      <c r="ODU1157" s="7"/>
      <c r="ODV1157" s="7"/>
      <c r="ODW1157" s="7"/>
      <c r="ODX1157" s="7"/>
      <c r="ODY1157" s="7"/>
      <c r="ODZ1157" s="7"/>
      <c r="OEA1157" s="7"/>
      <c r="OEB1157" s="7"/>
      <c r="OEC1157" s="7"/>
      <c r="OED1157" s="7"/>
      <c r="OEE1157" s="7"/>
      <c r="OEF1157" s="7"/>
      <c r="OEG1157" s="7"/>
      <c r="OEH1157" s="7"/>
      <c r="OEI1157" s="7"/>
      <c r="OEJ1157" s="7"/>
      <c r="OEK1157" s="7"/>
      <c r="OEL1157" s="7"/>
      <c r="OEM1157" s="7"/>
      <c r="OEN1157" s="7"/>
      <c r="OEO1157" s="7"/>
      <c r="OEP1157" s="7"/>
      <c r="OEQ1157" s="7"/>
      <c r="OER1157" s="7"/>
      <c r="OES1157" s="7"/>
      <c r="OET1157" s="7"/>
      <c r="OEU1157" s="7"/>
      <c r="OEV1157" s="7"/>
      <c r="OEW1157" s="7"/>
      <c r="OEX1157" s="7"/>
      <c r="OEY1157" s="7"/>
      <c r="OEZ1157" s="7"/>
      <c r="OFA1157" s="7"/>
      <c r="OFB1157" s="7"/>
      <c r="OFC1157" s="7"/>
      <c r="OFD1157" s="7"/>
      <c r="OFE1157" s="7"/>
      <c r="OFF1157" s="7"/>
      <c r="OFG1157" s="7"/>
      <c r="OFH1157" s="7"/>
      <c r="OFI1157" s="7"/>
      <c r="OFJ1157" s="7"/>
      <c r="OFK1157" s="7"/>
      <c r="OFL1157" s="7"/>
      <c r="OFM1157" s="7"/>
      <c r="OFN1157" s="7"/>
      <c r="OFO1157" s="7"/>
      <c r="OFP1157" s="7"/>
      <c r="OFQ1157" s="7"/>
      <c r="OFR1157" s="7"/>
      <c r="OFS1157" s="7"/>
      <c r="OFT1157" s="7"/>
      <c r="OFU1157" s="7"/>
      <c r="OFV1157" s="7"/>
      <c r="OFW1157" s="7"/>
      <c r="OFX1157" s="7"/>
      <c r="OFY1157" s="7"/>
      <c r="OFZ1157" s="7"/>
      <c r="OGA1157" s="7"/>
      <c r="OGB1157" s="7"/>
      <c r="OGC1157" s="7"/>
      <c r="OGD1157" s="7"/>
      <c r="OGE1157" s="7"/>
      <c r="OGF1157" s="7"/>
      <c r="OGG1157" s="7"/>
      <c r="OGH1157" s="7"/>
      <c r="OGI1157" s="7"/>
      <c r="OGJ1157" s="7"/>
      <c r="OGK1157" s="7"/>
      <c r="OGL1157" s="7"/>
      <c r="OGM1157" s="7"/>
      <c r="OGN1157" s="7"/>
      <c r="OGO1157" s="7"/>
      <c r="OGP1157" s="7"/>
      <c r="OGQ1157" s="7"/>
      <c r="OGR1157" s="7"/>
      <c r="OGS1157" s="7"/>
      <c r="OGT1157" s="7"/>
      <c r="OGU1157" s="7"/>
      <c r="OGV1157" s="7"/>
      <c r="OGW1157" s="7"/>
      <c r="OGX1157" s="7"/>
      <c r="OGY1157" s="7"/>
      <c r="OGZ1157" s="7"/>
      <c r="OHA1157" s="7"/>
      <c r="OHB1157" s="7"/>
      <c r="OHC1157" s="7"/>
      <c r="OHD1157" s="7"/>
      <c r="OHE1157" s="7"/>
      <c r="OHF1157" s="7"/>
      <c r="OHG1157" s="7"/>
      <c r="OHH1157" s="7"/>
      <c r="OHI1157" s="7"/>
      <c r="OHJ1157" s="7"/>
      <c r="OHK1157" s="7"/>
      <c r="OHL1157" s="7"/>
      <c r="OHM1157" s="7"/>
      <c r="OHN1157" s="7"/>
      <c r="OHO1157" s="7"/>
      <c r="OHP1157" s="7"/>
      <c r="OHQ1157" s="7"/>
      <c r="OHR1157" s="7"/>
      <c r="OHS1157" s="7"/>
      <c r="OHT1157" s="7"/>
      <c r="OHU1157" s="7"/>
      <c r="OHV1157" s="7"/>
      <c r="OHW1157" s="7"/>
      <c r="OHX1157" s="7"/>
      <c r="OHY1157" s="7"/>
      <c r="OHZ1157" s="7"/>
      <c r="OIA1157" s="7"/>
      <c r="OIB1157" s="7"/>
      <c r="OIC1157" s="7"/>
      <c r="OID1157" s="7"/>
      <c r="OIE1157" s="7"/>
      <c r="OIF1157" s="7"/>
      <c r="OIG1157" s="7"/>
      <c r="OIH1157" s="7"/>
      <c r="OII1157" s="7"/>
      <c r="OIJ1157" s="7"/>
      <c r="OIK1157" s="7"/>
      <c r="OIL1157" s="7"/>
      <c r="OIM1157" s="7"/>
      <c r="OIN1157" s="7"/>
      <c r="OIO1157" s="7"/>
      <c r="OIP1157" s="7"/>
      <c r="OIQ1157" s="7"/>
      <c r="OIR1157" s="7"/>
      <c r="OIS1157" s="7"/>
      <c r="OIT1157" s="7"/>
      <c r="OIU1157" s="7"/>
      <c r="OIV1157" s="7"/>
      <c r="OIW1157" s="7"/>
      <c r="OIX1157" s="7"/>
      <c r="OIY1157" s="7"/>
      <c r="OIZ1157" s="7"/>
      <c r="OJA1157" s="7"/>
      <c r="OJB1157" s="7"/>
      <c r="OJC1157" s="7"/>
      <c r="OJD1157" s="7"/>
      <c r="OJE1157" s="7"/>
      <c r="OJF1157" s="7"/>
      <c r="OJG1157" s="7"/>
      <c r="OJH1157" s="7"/>
      <c r="OJI1157" s="7"/>
      <c r="OJJ1157" s="7"/>
      <c r="OJK1157" s="7"/>
      <c r="OJL1157" s="7"/>
      <c r="OJM1157" s="7"/>
      <c r="OJN1157" s="7"/>
      <c r="OJO1157" s="7"/>
      <c r="OJP1157" s="7"/>
      <c r="OJQ1157" s="7"/>
      <c r="OJR1157" s="7"/>
      <c r="OJS1157" s="7"/>
      <c r="OJT1157" s="7"/>
      <c r="OJU1157" s="7"/>
      <c r="OJV1157" s="7"/>
      <c r="OJW1157" s="7"/>
      <c r="OJX1157" s="7"/>
      <c r="OJY1157" s="7"/>
      <c r="OJZ1157" s="7"/>
      <c r="OKA1157" s="7"/>
      <c r="OKB1157" s="7"/>
      <c r="OKC1157" s="7"/>
      <c r="OKD1157" s="7"/>
      <c r="OKE1157" s="7"/>
      <c r="OKF1157" s="7"/>
      <c r="OKG1157" s="7"/>
      <c r="OKH1157" s="7"/>
      <c r="OKI1157" s="7"/>
      <c r="OKJ1157" s="7"/>
      <c r="OKK1157" s="7"/>
      <c r="OKL1157" s="7"/>
      <c r="OKM1157" s="7"/>
      <c r="OKN1157" s="7"/>
      <c r="OKO1157" s="7"/>
      <c r="OKP1157" s="7"/>
      <c r="OKQ1157" s="7"/>
      <c r="OKR1157" s="7"/>
      <c r="OKS1157" s="7"/>
      <c r="OKT1157" s="7"/>
      <c r="OKU1157" s="7"/>
      <c r="OKV1157" s="7"/>
      <c r="OKW1157" s="7"/>
      <c r="OKX1157" s="7"/>
      <c r="OKY1157" s="7"/>
      <c r="OKZ1157" s="7"/>
      <c r="OLA1157" s="7"/>
      <c r="OLB1157" s="7"/>
      <c r="OLC1157" s="7"/>
      <c r="OLD1157" s="7"/>
      <c r="OLE1157" s="7"/>
      <c r="OLF1157" s="7"/>
      <c r="OLG1157" s="7"/>
      <c r="OLH1157" s="7"/>
      <c r="OLI1157" s="7"/>
      <c r="OLJ1157" s="7"/>
      <c r="OLK1157" s="7"/>
      <c r="OLL1157" s="7"/>
      <c r="OLM1157" s="7"/>
      <c r="OLN1157" s="7"/>
      <c r="OLO1157" s="7"/>
      <c r="OLP1157" s="7"/>
      <c r="OLQ1157" s="7"/>
      <c r="OLR1157" s="7"/>
      <c r="OLS1157" s="7"/>
      <c r="OLT1157" s="7"/>
      <c r="OLU1157" s="7"/>
      <c r="OLV1157" s="7"/>
      <c r="OLW1157" s="7"/>
      <c r="OLX1157" s="7"/>
      <c r="OLY1157" s="7"/>
      <c r="OLZ1157" s="7"/>
      <c r="OMA1157" s="7"/>
      <c r="OMB1157" s="7"/>
      <c r="OMC1157" s="7"/>
      <c r="OMD1157" s="7"/>
      <c r="OME1157" s="7"/>
      <c r="OMF1157" s="7"/>
      <c r="OMG1157" s="7"/>
      <c r="OMH1157" s="7"/>
      <c r="OMI1157" s="7"/>
      <c r="OMJ1157" s="7"/>
      <c r="OMK1157" s="7"/>
      <c r="OML1157" s="7"/>
      <c r="OMM1157" s="7"/>
      <c r="OMN1157" s="7"/>
      <c r="OMO1157" s="7"/>
      <c r="OMP1157" s="7"/>
      <c r="OMQ1157" s="7"/>
      <c r="OMR1157" s="7"/>
      <c r="OMS1157" s="7"/>
      <c r="OMT1157" s="7"/>
      <c r="OMU1157" s="7"/>
      <c r="OMV1157" s="7"/>
      <c r="OMW1157" s="7"/>
      <c r="OMX1157" s="7"/>
      <c r="OMY1157" s="7"/>
      <c r="OMZ1157" s="7"/>
      <c r="ONA1157" s="7"/>
      <c r="ONB1157" s="7"/>
      <c r="ONC1157" s="7"/>
      <c r="OND1157" s="7"/>
      <c r="ONE1157" s="7"/>
      <c r="ONF1157" s="7"/>
      <c r="ONG1157" s="7"/>
      <c r="ONH1157" s="7"/>
      <c r="ONI1157" s="7"/>
      <c r="ONJ1157" s="7"/>
      <c r="ONK1157" s="7"/>
      <c r="ONL1157" s="7"/>
      <c r="ONM1157" s="7"/>
      <c r="ONN1157" s="7"/>
      <c r="ONO1157" s="7"/>
      <c r="ONP1157" s="7"/>
      <c r="ONQ1157" s="7"/>
      <c r="ONR1157" s="7"/>
      <c r="ONS1157" s="7"/>
      <c r="ONT1157" s="7"/>
      <c r="ONU1157" s="7"/>
      <c r="ONV1157" s="7"/>
      <c r="ONW1157" s="7"/>
      <c r="ONX1157" s="7"/>
      <c r="ONY1157" s="7"/>
      <c r="ONZ1157" s="7"/>
      <c r="OOA1157" s="7"/>
      <c r="OOB1157" s="7"/>
      <c r="OOC1157" s="7"/>
      <c r="OOD1157" s="7"/>
      <c r="OOE1157" s="7"/>
      <c r="OOF1157" s="7"/>
      <c r="OOG1157" s="7"/>
      <c r="OOH1157" s="7"/>
      <c r="OOI1157" s="7"/>
      <c r="OOJ1157" s="7"/>
      <c r="OOK1157" s="7"/>
      <c r="OOL1157" s="7"/>
      <c r="OOM1157" s="7"/>
      <c r="OON1157" s="7"/>
      <c r="OOO1157" s="7"/>
      <c r="OOP1157" s="7"/>
      <c r="OOQ1157" s="7"/>
      <c r="OOR1157" s="7"/>
      <c r="OOS1157" s="7"/>
      <c r="OOT1157" s="7"/>
      <c r="OOU1157" s="7"/>
      <c r="OOV1157" s="7"/>
      <c r="OOW1157" s="7"/>
      <c r="OOX1157" s="7"/>
      <c r="OOY1157" s="7"/>
      <c r="OOZ1157" s="7"/>
      <c r="OPA1157" s="7"/>
      <c r="OPB1157" s="7"/>
      <c r="OPC1157" s="7"/>
      <c r="OPD1157" s="7"/>
      <c r="OPE1157" s="7"/>
      <c r="OPF1157" s="7"/>
      <c r="OPG1157" s="7"/>
      <c r="OPH1157" s="7"/>
      <c r="OPI1157" s="7"/>
      <c r="OPJ1157" s="7"/>
      <c r="OPK1157" s="7"/>
      <c r="OPL1157" s="7"/>
      <c r="OPM1157" s="7"/>
      <c r="OPN1157" s="7"/>
      <c r="OPO1157" s="7"/>
      <c r="OPP1157" s="7"/>
      <c r="OPQ1157" s="7"/>
      <c r="OPR1157" s="7"/>
      <c r="OPS1157" s="7"/>
      <c r="OPT1157" s="7"/>
      <c r="OPU1157" s="7"/>
      <c r="OPV1157" s="7"/>
      <c r="OPW1157" s="7"/>
      <c r="OPX1157" s="7"/>
      <c r="OPY1157" s="7"/>
      <c r="OPZ1157" s="7"/>
      <c r="OQA1157" s="7"/>
      <c r="OQB1157" s="7"/>
      <c r="OQC1157" s="7"/>
      <c r="OQD1157" s="7"/>
      <c r="OQE1157" s="7"/>
      <c r="OQF1157" s="7"/>
      <c r="OQG1157" s="7"/>
      <c r="OQH1157" s="7"/>
      <c r="OQI1157" s="7"/>
      <c r="OQJ1157" s="7"/>
      <c r="OQK1157" s="7"/>
      <c r="OQL1157" s="7"/>
      <c r="OQM1157" s="7"/>
      <c r="OQN1157" s="7"/>
      <c r="OQO1157" s="7"/>
      <c r="OQP1157" s="7"/>
      <c r="OQQ1157" s="7"/>
      <c r="OQR1157" s="7"/>
      <c r="OQS1157" s="7"/>
      <c r="OQT1157" s="7"/>
      <c r="OQU1157" s="7"/>
      <c r="OQV1157" s="7"/>
      <c r="OQW1157" s="7"/>
      <c r="OQX1157" s="7"/>
      <c r="OQY1157" s="7"/>
      <c r="OQZ1157" s="7"/>
      <c r="ORA1157" s="7"/>
      <c r="ORB1157" s="7"/>
      <c r="ORC1157" s="7"/>
      <c r="ORD1157" s="7"/>
      <c r="ORE1157" s="7"/>
      <c r="ORF1157" s="7"/>
      <c r="ORG1157" s="7"/>
      <c r="ORH1157" s="7"/>
      <c r="ORI1157" s="7"/>
      <c r="ORJ1157" s="7"/>
      <c r="ORK1157" s="7"/>
      <c r="ORL1157" s="7"/>
      <c r="ORM1157" s="7"/>
      <c r="ORN1157" s="7"/>
      <c r="ORO1157" s="7"/>
      <c r="ORP1157" s="7"/>
      <c r="ORQ1157" s="7"/>
      <c r="ORR1157" s="7"/>
      <c r="ORS1157" s="7"/>
      <c r="ORT1157" s="7"/>
      <c r="ORU1157" s="7"/>
      <c r="ORV1157" s="7"/>
      <c r="ORW1157" s="7"/>
      <c r="ORX1157" s="7"/>
      <c r="ORY1157" s="7"/>
      <c r="ORZ1157" s="7"/>
      <c r="OSA1157" s="7"/>
      <c r="OSB1157" s="7"/>
      <c r="OSC1157" s="7"/>
      <c r="OSD1157" s="7"/>
      <c r="OSE1157" s="7"/>
      <c r="OSF1157" s="7"/>
      <c r="OSG1157" s="7"/>
      <c r="OSH1157" s="7"/>
      <c r="OSI1157" s="7"/>
      <c r="OSJ1157" s="7"/>
      <c r="OSK1157" s="7"/>
      <c r="OSL1157" s="7"/>
      <c r="OSM1157" s="7"/>
      <c r="OSN1157" s="7"/>
      <c r="OSO1157" s="7"/>
      <c r="OSP1157" s="7"/>
      <c r="OSQ1157" s="7"/>
      <c r="OSR1157" s="7"/>
      <c r="OSS1157" s="7"/>
      <c r="OST1157" s="7"/>
      <c r="OSU1157" s="7"/>
      <c r="OSV1157" s="7"/>
      <c r="OSW1157" s="7"/>
      <c r="OSX1157" s="7"/>
      <c r="OSY1157" s="7"/>
      <c r="OSZ1157" s="7"/>
      <c r="OTA1157" s="7"/>
      <c r="OTB1157" s="7"/>
      <c r="OTC1157" s="7"/>
      <c r="OTD1157" s="7"/>
      <c r="OTE1157" s="7"/>
      <c r="OTF1157" s="7"/>
      <c r="OTG1157" s="7"/>
      <c r="OTH1157" s="7"/>
      <c r="OTI1157" s="7"/>
      <c r="OTJ1157" s="7"/>
      <c r="OTK1157" s="7"/>
      <c r="OTL1157" s="7"/>
      <c r="OTM1157" s="7"/>
      <c r="OTN1157" s="7"/>
      <c r="OTO1157" s="7"/>
      <c r="OTP1157" s="7"/>
      <c r="OTQ1157" s="7"/>
      <c r="OTR1157" s="7"/>
      <c r="OTS1157" s="7"/>
      <c r="OTT1157" s="7"/>
      <c r="OTU1157" s="7"/>
      <c r="OTV1157" s="7"/>
      <c r="OTW1157" s="7"/>
      <c r="OTX1157" s="7"/>
      <c r="OTY1157" s="7"/>
      <c r="OTZ1157" s="7"/>
      <c r="OUA1157" s="7"/>
      <c r="OUB1157" s="7"/>
      <c r="OUC1157" s="7"/>
      <c r="OUD1157" s="7"/>
      <c r="OUE1157" s="7"/>
      <c r="OUF1157" s="7"/>
      <c r="OUG1157" s="7"/>
      <c r="OUH1157" s="7"/>
      <c r="OUI1157" s="7"/>
      <c r="OUJ1157" s="7"/>
      <c r="OUK1157" s="7"/>
      <c r="OUL1157" s="7"/>
      <c r="OUM1157" s="7"/>
      <c r="OUN1157" s="7"/>
      <c r="OUO1157" s="7"/>
      <c r="OUP1157" s="7"/>
      <c r="OUQ1157" s="7"/>
      <c r="OUR1157" s="7"/>
      <c r="OUS1157" s="7"/>
      <c r="OUT1157" s="7"/>
      <c r="OUU1157" s="7"/>
      <c r="OUV1157" s="7"/>
      <c r="OUW1157" s="7"/>
      <c r="OUX1157" s="7"/>
      <c r="OUY1157" s="7"/>
      <c r="OUZ1157" s="7"/>
      <c r="OVA1157" s="7"/>
      <c r="OVB1157" s="7"/>
      <c r="OVC1157" s="7"/>
      <c r="OVD1157" s="7"/>
      <c r="OVE1157" s="7"/>
      <c r="OVF1157" s="7"/>
      <c r="OVG1157" s="7"/>
      <c r="OVH1157" s="7"/>
      <c r="OVI1157" s="7"/>
      <c r="OVJ1157" s="7"/>
      <c r="OVK1157" s="7"/>
      <c r="OVL1157" s="7"/>
      <c r="OVM1157" s="7"/>
      <c r="OVN1157" s="7"/>
      <c r="OVO1157" s="7"/>
      <c r="OVP1157" s="7"/>
      <c r="OVQ1157" s="7"/>
      <c r="OVR1157" s="7"/>
      <c r="OVS1157" s="7"/>
      <c r="OVT1157" s="7"/>
      <c r="OVU1157" s="7"/>
      <c r="OVV1157" s="7"/>
      <c r="OVW1157" s="7"/>
      <c r="OVX1157" s="7"/>
      <c r="OVY1157" s="7"/>
      <c r="OVZ1157" s="7"/>
      <c r="OWA1157" s="7"/>
      <c r="OWB1157" s="7"/>
      <c r="OWC1157" s="7"/>
      <c r="OWD1157" s="7"/>
      <c r="OWE1157" s="7"/>
      <c r="OWF1157" s="7"/>
      <c r="OWG1157" s="7"/>
      <c r="OWH1157" s="7"/>
      <c r="OWI1157" s="7"/>
      <c r="OWJ1157" s="7"/>
      <c r="OWK1157" s="7"/>
      <c r="OWL1157" s="7"/>
      <c r="OWM1157" s="7"/>
      <c r="OWN1157" s="7"/>
      <c r="OWO1157" s="7"/>
      <c r="OWP1157" s="7"/>
      <c r="OWQ1157" s="7"/>
      <c r="OWR1157" s="7"/>
      <c r="OWS1157" s="7"/>
      <c r="OWT1157" s="7"/>
      <c r="OWU1157" s="7"/>
      <c r="OWV1157" s="7"/>
      <c r="OWW1157" s="7"/>
      <c r="OWX1157" s="7"/>
      <c r="OWY1157" s="7"/>
      <c r="OWZ1157" s="7"/>
      <c r="OXA1157" s="7"/>
      <c r="OXB1157" s="7"/>
      <c r="OXC1157" s="7"/>
      <c r="OXD1157" s="7"/>
      <c r="OXE1157" s="7"/>
      <c r="OXF1157" s="7"/>
      <c r="OXG1157" s="7"/>
      <c r="OXH1157" s="7"/>
      <c r="OXI1157" s="7"/>
      <c r="OXJ1157" s="7"/>
      <c r="OXK1157" s="7"/>
      <c r="OXL1157" s="7"/>
      <c r="OXM1157" s="7"/>
      <c r="OXN1157" s="7"/>
      <c r="OXO1157" s="7"/>
      <c r="OXP1157" s="7"/>
      <c r="OXQ1157" s="7"/>
      <c r="OXR1157" s="7"/>
      <c r="OXS1157" s="7"/>
      <c r="OXT1157" s="7"/>
      <c r="OXU1157" s="7"/>
      <c r="OXV1157" s="7"/>
      <c r="OXW1157" s="7"/>
      <c r="OXX1157" s="7"/>
      <c r="OXY1157" s="7"/>
      <c r="OXZ1157" s="7"/>
      <c r="OYA1157" s="7"/>
      <c r="OYB1157" s="7"/>
      <c r="OYC1157" s="7"/>
      <c r="OYD1157" s="7"/>
      <c r="OYE1157" s="7"/>
      <c r="OYF1157" s="7"/>
      <c r="OYG1157" s="7"/>
      <c r="OYH1157" s="7"/>
      <c r="OYI1157" s="7"/>
      <c r="OYJ1157" s="7"/>
      <c r="OYK1157" s="7"/>
      <c r="OYL1157" s="7"/>
      <c r="OYM1157" s="7"/>
      <c r="OYN1157" s="7"/>
      <c r="OYO1157" s="7"/>
      <c r="OYP1157" s="7"/>
      <c r="OYQ1157" s="7"/>
      <c r="OYR1157" s="7"/>
      <c r="OYS1157" s="7"/>
      <c r="OYT1157" s="7"/>
      <c r="OYU1157" s="7"/>
      <c r="OYV1157" s="7"/>
      <c r="OYW1157" s="7"/>
      <c r="OYX1157" s="7"/>
      <c r="OYY1157" s="7"/>
      <c r="OYZ1157" s="7"/>
      <c r="OZA1157" s="7"/>
      <c r="OZB1157" s="7"/>
      <c r="OZC1157" s="7"/>
      <c r="OZD1157" s="7"/>
      <c r="OZE1157" s="7"/>
      <c r="OZF1157" s="7"/>
      <c r="OZG1157" s="7"/>
      <c r="OZH1157" s="7"/>
      <c r="OZI1157" s="7"/>
      <c r="OZJ1157" s="7"/>
      <c r="OZK1157" s="7"/>
      <c r="OZL1157" s="7"/>
      <c r="OZM1157" s="7"/>
      <c r="OZN1157" s="7"/>
      <c r="OZO1157" s="7"/>
      <c r="OZP1157" s="7"/>
      <c r="OZQ1157" s="7"/>
      <c r="OZR1157" s="7"/>
      <c r="OZS1157" s="7"/>
      <c r="OZT1157" s="7"/>
      <c r="OZU1157" s="7"/>
      <c r="OZV1157" s="7"/>
      <c r="OZW1157" s="7"/>
      <c r="OZX1157" s="7"/>
      <c r="OZY1157" s="7"/>
      <c r="OZZ1157" s="7"/>
      <c r="PAA1157" s="7"/>
      <c r="PAB1157" s="7"/>
      <c r="PAC1157" s="7"/>
      <c r="PAD1157" s="7"/>
      <c r="PAE1157" s="7"/>
      <c r="PAF1157" s="7"/>
      <c r="PAG1157" s="7"/>
      <c r="PAH1157" s="7"/>
      <c r="PAI1157" s="7"/>
      <c r="PAJ1157" s="7"/>
      <c r="PAK1157" s="7"/>
      <c r="PAL1157" s="7"/>
      <c r="PAM1157" s="7"/>
      <c r="PAN1157" s="7"/>
      <c r="PAO1157" s="7"/>
      <c r="PAP1157" s="7"/>
      <c r="PAQ1157" s="7"/>
      <c r="PAR1157" s="7"/>
      <c r="PAS1157" s="7"/>
      <c r="PAT1157" s="7"/>
      <c r="PAU1157" s="7"/>
      <c r="PAV1157" s="7"/>
      <c r="PAW1157" s="7"/>
      <c r="PAX1157" s="7"/>
      <c r="PAY1157" s="7"/>
      <c r="PAZ1157" s="7"/>
      <c r="PBA1157" s="7"/>
      <c r="PBB1157" s="7"/>
      <c r="PBC1157" s="7"/>
      <c r="PBD1157" s="7"/>
      <c r="PBE1157" s="7"/>
      <c r="PBF1157" s="7"/>
      <c r="PBG1157" s="7"/>
      <c r="PBH1157" s="7"/>
      <c r="PBI1157" s="7"/>
      <c r="PBJ1157" s="7"/>
      <c r="PBK1157" s="7"/>
      <c r="PBL1157" s="7"/>
      <c r="PBM1157" s="7"/>
      <c r="PBN1157" s="7"/>
      <c r="PBO1157" s="7"/>
      <c r="PBP1157" s="7"/>
      <c r="PBQ1157" s="7"/>
      <c r="PBR1157" s="7"/>
      <c r="PBS1157" s="7"/>
      <c r="PBT1157" s="7"/>
      <c r="PBU1157" s="7"/>
      <c r="PBV1157" s="7"/>
      <c r="PBW1157" s="7"/>
      <c r="PBX1157" s="7"/>
      <c r="PBY1157" s="7"/>
      <c r="PBZ1157" s="7"/>
      <c r="PCA1157" s="7"/>
      <c r="PCB1157" s="7"/>
      <c r="PCC1157" s="7"/>
      <c r="PCD1157" s="7"/>
      <c r="PCE1157" s="7"/>
      <c r="PCF1157" s="7"/>
      <c r="PCG1157" s="7"/>
      <c r="PCH1157" s="7"/>
      <c r="PCI1157" s="7"/>
      <c r="PCJ1157" s="7"/>
      <c r="PCK1157" s="7"/>
      <c r="PCL1157" s="7"/>
      <c r="PCM1157" s="7"/>
      <c r="PCN1157" s="7"/>
      <c r="PCO1157" s="7"/>
      <c r="PCP1157" s="7"/>
      <c r="PCQ1157" s="7"/>
      <c r="PCR1157" s="7"/>
      <c r="PCS1157" s="7"/>
      <c r="PCT1157" s="7"/>
      <c r="PCU1157" s="7"/>
      <c r="PCV1157" s="7"/>
      <c r="PCW1157" s="7"/>
      <c r="PCX1157" s="7"/>
      <c r="PCY1157" s="7"/>
      <c r="PCZ1157" s="7"/>
      <c r="PDA1157" s="7"/>
      <c r="PDB1157" s="7"/>
      <c r="PDC1157" s="7"/>
      <c r="PDD1157" s="7"/>
      <c r="PDE1157" s="7"/>
      <c r="PDF1157" s="7"/>
      <c r="PDG1157" s="7"/>
      <c r="PDH1157" s="7"/>
      <c r="PDI1157" s="7"/>
      <c r="PDJ1157" s="7"/>
      <c r="PDK1157" s="7"/>
      <c r="PDL1157" s="7"/>
      <c r="PDM1157" s="7"/>
      <c r="PDN1157" s="7"/>
      <c r="PDO1157" s="7"/>
      <c r="PDP1157" s="7"/>
      <c r="PDQ1157" s="7"/>
      <c r="PDR1157" s="7"/>
      <c r="PDS1157" s="7"/>
      <c r="PDT1157" s="7"/>
      <c r="PDU1157" s="7"/>
      <c r="PDV1157" s="7"/>
      <c r="PDW1157" s="7"/>
      <c r="PDX1157" s="7"/>
      <c r="PDY1157" s="7"/>
      <c r="PDZ1157" s="7"/>
      <c r="PEA1157" s="7"/>
      <c r="PEB1157" s="7"/>
      <c r="PEC1157" s="7"/>
      <c r="PED1157" s="7"/>
      <c r="PEE1157" s="7"/>
      <c r="PEF1157" s="7"/>
      <c r="PEG1157" s="7"/>
      <c r="PEH1157" s="7"/>
      <c r="PEI1157" s="7"/>
      <c r="PEJ1157" s="7"/>
      <c r="PEK1157" s="7"/>
      <c r="PEL1157" s="7"/>
      <c r="PEM1157" s="7"/>
      <c r="PEN1157" s="7"/>
      <c r="PEO1157" s="7"/>
      <c r="PEP1157" s="7"/>
      <c r="PEQ1157" s="7"/>
      <c r="PER1157" s="7"/>
      <c r="PES1157" s="7"/>
      <c r="PET1157" s="7"/>
      <c r="PEU1157" s="7"/>
      <c r="PEV1157" s="7"/>
      <c r="PEW1157" s="7"/>
      <c r="PEX1157" s="7"/>
      <c r="PEY1157" s="7"/>
      <c r="PEZ1157" s="7"/>
      <c r="PFA1157" s="7"/>
      <c r="PFB1157" s="7"/>
      <c r="PFC1157" s="7"/>
      <c r="PFD1157" s="7"/>
      <c r="PFE1157" s="7"/>
      <c r="PFF1157" s="7"/>
      <c r="PFG1157" s="7"/>
      <c r="PFH1157" s="7"/>
      <c r="PFI1157" s="7"/>
      <c r="PFJ1157" s="7"/>
      <c r="PFK1157" s="7"/>
      <c r="PFL1157" s="7"/>
      <c r="PFM1157" s="7"/>
      <c r="PFN1157" s="7"/>
      <c r="PFO1157" s="7"/>
      <c r="PFP1157" s="7"/>
      <c r="PFQ1157" s="7"/>
      <c r="PFR1157" s="7"/>
      <c r="PFS1157" s="7"/>
      <c r="PFT1157" s="7"/>
      <c r="PFU1157" s="7"/>
      <c r="PFV1157" s="7"/>
      <c r="PFW1157" s="7"/>
      <c r="PFX1157" s="7"/>
      <c r="PFY1157" s="7"/>
      <c r="PFZ1157" s="7"/>
      <c r="PGA1157" s="7"/>
      <c r="PGB1157" s="7"/>
      <c r="PGC1157" s="7"/>
      <c r="PGD1157" s="7"/>
      <c r="PGE1157" s="7"/>
      <c r="PGF1157" s="7"/>
      <c r="PGG1157" s="7"/>
      <c r="PGH1157" s="7"/>
      <c r="PGI1157" s="7"/>
      <c r="PGJ1157" s="7"/>
      <c r="PGK1157" s="7"/>
      <c r="PGL1157" s="7"/>
      <c r="PGM1157" s="7"/>
      <c r="PGN1157" s="7"/>
      <c r="PGO1157" s="7"/>
      <c r="PGP1157" s="7"/>
      <c r="PGQ1157" s="7"/>
      <c r="PGR1157" s="7"/>
      <c r="PGS1157" s="7"/>
      <c r="PGT1157" s="7"/>
      <c r="PGU1157" s="7"/>
      <c r="PGV1157" s="7"/>
      <c r="PGW1157" s="7"/>
      <c r="PGX1157" s="7"/>
      <c r="PGY1157" s="7"/>
      <c r="PGZ1157" s="7"/>
      <c r="PHA1157" s="7"/>
      <c r="PHB1157" s="7"/>
      <c r="PHC1157" s="7"/>
      <c r="PHD1157" s="7"/>
      <c r="PHE1157" s="7"/>
      <c r="PHF1157" s="7"/>
      <c r="PHG1157" s="7"/>
      <c r="PHH1157" s="7"/>
      <c r="PHI1157" s="7"/>
      <c r="PHJ1157" s="7"/>
      <c r="PHK1157" s="7"/>
      <c r="PHL1157" s="7"/>
      <c r="PHM1157" s="7"/>
      <c r="PHN1157" s="7"/>
      <c r="PHO1157" s="7"/>
      <c r="PHP1157" s="7"/>
      <c r="PHQ1157" s="7"/>
      <c r="PHR1157" s="7"/>
      <c r="PHS1157" s="7"/>
      <c r="PHT1157" s="7"/>
      <c r="PHU1157" s="7"/>
      <c r="PHV1157" s="7"/>
      <c r="PHW1157" s="7"/>
      <c r="PHX1157" s="7"/>
      <c r="PHY1157" s="7"/>
      <c r="PHZ1157" s="7"/>
      <c r="PIA1157" s="7"/>
      <c r="PIB1157" s="7"/>
      <c r="PIC1157" s="7"/>
      <c r="PID1157" s="7"/>
      <c r="PIE1157" s="7"/>
      <c r="PIF1157" s="7"/>
      <c r="PIG1157" s="7"/>
      <c r="PIH1157" s="7"/>
      <c r="PII1157" s="7"/>
      <c r="PIJ1157" s="7"/>
      <c r="PIK1157" s="7"/>
      <c r="PIL1157" s="7"/>
      <c r="PIM1157" s="7"/>
      <c r="PIN1157" s="7"/>
      <c r="PIO1157" s="7"/>
      <c r="PIP1157" s="7"/>
      <c r="PIQ1157" s="7"/>
      <c r="PIR1157" s="7"/>
      <c r="PIS1157" s="7"/>
      <c r="PIT1157" s="7"/>
      <c r="PIU1157" s="7"/>
      <c r="PIV1157" s="7"/>
      <c r="PIW1157" s="7"/>
      <c r="PIX1157" s="7"/>
      <c r="PIY1157" s="7"/>
      <c r="PIZ1157" s="7"/>
      <c r="PJA1157" s="7"/>
      <c r="PJB1157" s="7"/>
      <c r="PJC1157" s="7"/>
      <c r="PJD1157" s="7"/>
      <c r="PJE1157" s="7"/>
      <c r="PJF1157" s="7"/>
      <c r="PJG1157" s="7"/>
      <c r="PJH1157" s="7"/>
      <c r="PJI1157" s="7"/>
      <c r="PJJ1157" s="7"/>
      <c r="PJK1157" s="7"/>
      <c r="PJL1157" s="7"/>
      <c r="PJM1157" s="7"/>
      <c r="PJN1157" s="7"/>
      <c r="PJO1157" s="7"/>
      <c r="PJP1157" s="7"/>
      <c r="PJQ1157" s="7"/>
      <c r="PJR1157" s="7"/>
      <c r="PJS1157" s="7"/>
      <c r="PJT1157" s="7"/>
      <c r="PJU1157" s="7"/>
      <c r="PJV1157" s="7"/>
      <c r="PJW1157" s="7"/>
      <c r="PJX1157" s="7"/>
      <c r="PJY1157" s="7"/>
      <c r="PJZ1157" s="7"/>
      <c r="PKA1157" s="7"/>
      <c r="PKB1157" s="7"/>
      <c r="PKC1157" s="7"/>
      <c r="PKD1157" s="7"/>
      <c r="PKE1157" s="7"/>
      <c r="PKF1157" s="7"/>
      <c r="PKG1157" s="7"/>
      <c r="PKH1157" s="7"/>
      <c r="PKI1157" s="7"/>
      <c r="PKJ1157" s="7"/>
      <c r="PKK1157" s="7"/>
      <c r="PKL1157" s="7"/>
      <c r="PKM1157" s="7"/>
      <c r="PKN1157" s="7"/>
      <c r="PKO1157" s="7"/>
      <c r="PKP1157" s="7"/>
      <c r="PKQ1157" s="7"/>
      <c r="PKR1157" s="7"/>
      <c r="PKS1157" s="7"/>
      <c r="PKT1157" s="7"/>
      <c r="PKU1157" s="7"/>
      <c r="PKV1157" s="7"/>
      <c r="PKW1157" s="7"/>
      <c r="PKX1157" s="7"/>
      <c r="PKY1157" s="7"/>
      <c r="PKZ1157" s="7"/>
      <c r="PLA1157" s="7"/>
      <c r="PLB1157" s="7"/>
      <c r="PLC1157" s="7"/>
      <c r="PLD1157" s="7"/>
      <c r="PLE1157" s="7"/>
      <c r="PLF1157" s="7"/>
      <c r="PLG1157" s="7"/>
      <c r="PLH1157" s="7"/>
      <c r="PLI1157" s="7"/>
      <c r="PLJ1157" s="7"/>
      <c r="PLK1157" s="7"/>
      <c r="PLL1157" s="7"/>
      <c r="PLM1157" s="7"/>
      <c r="PLN1157" s="7"/>
      <c r="PLO1157" s="7"/>
      <c r="PLP1157" s="7"/>
      <c r="PLQ1157" s="7"/>
      <c r="PLR1157" s="7"/>
      <c r="PLS1157" s="7"/>
      <c r="PLT1157" s="7"/>
      <c r="PLU1157" s="7"/>
      <c r="PLV1157" s="7"/>
      <c r="PLW1157" s="7"/>
      <c r="PLX1157" s="7"/>
      <c r="PLY1157" s="7"/>
      <c r="PLZ1157" s="7"/>
      <c r="PMA1157" s="7"/>
      <c r="PMB1157" s="7"/>
      <c r="PMC1157" s="7"/>
      <c r="PMD1157" s="7"/>
      <c r="PME1157" s="7"/>
      <c r="PMF1157" s="7"/>
      <c r="PMG1157" s="7"/>
      <c r="PMH1157" s="7"/>
      <c r="PMI1157" s="7"/>
      <c r="PMJ1157" s="7"/>
      <c r="PMK1157" s="7"/>
      <c r="PML1157" s="7"/>
      <c r="PMM1157" s="7"/>
      <c r="PMN1157" s="7"/>
      <c r="PMO1157" s="7"/>
      <c r="PMP1157" s="7"/>
      <c r="PMQ1157" s="7"/>
      <c r="PMR1157" s="7"/>
      <c r="PMS1157" s="7"/>
      <c r="PMT1157" s="7"/>
      <c r="PMU1157" s="7"/>
      <c r="PMV1157" s="7"/>
      <c r="PMW1157" s="7"/>
      <c r="PMX1157" s="7"/>
      <c r="PMY1157" s="7"/>
      <c r="PMZ1157" s="7"/>
      <c r="PNA1157" s="7"/>
      <c r="PNB1157" s="7"/>
      <c r="PNC1157" s="7"/>
      <c r="PND1157" s="7"/>
      <c r="PNE1157" s="7"/>
      <c r="PNF1157" s="7"/>
      <c r="PNG1157" s="7"/>
      <c r="PNH1157" s="7"/>
      <c r="PNI1157" s="7"/>
      <c r="PNJ1157" s="7"/>
      <c r="PNK1157" s="7"/>
      <c r="PNL1157" s="7"/>
      <c r="PNM1157" s="7"/>
      <c r="PNN1157" s="7"/>
      <c r="PNO1157" s="7"/>
      <c r="PNP1157" s="7"/>
      <c r="PNQ1157" s="7"/>
      <c r="PNR1157" s="7"/>
      <c r="PNS1157" s="7"/>
      <c r="PNT1157" s="7"/>
      <c r="PNU1157" s="7"/>
      <c r="PNV1157" s="7"/>
      <c r="PNW1157" s="7"/>
      <c r="PNX1157" s="7"/>
      <c r="PNY1157" s="7"/>
      <c r="PNZ1157" s="7"/>
      <c r="POA1157" s="7"/>
      <c r="POB1157" s="7"/>
      <c r="POC1157" s="7"/>
      <c r="POD1157" s="7"/>
      <c r="POE1157" s="7"/>
      <c r="POF1157" s="7"/>
      <c r="POG1157" s="7"/>
      <c r="POH1157" s="7"/>
      <c r="POI1157" s="7"/>
      <c r="POJ1157" s="7"/>
      <c r="POK1157" s="7"/>
      <c r="POL1157" s="7"/>
      <c r="POM1157" s="7"/>
      <c r="PON1157" s="7"/>
      <c r="POO1157" s="7"/>
      <c r="POP1157" s="7"/>
      <c r="POQ1157" s="7"/>
      <c r="POR1157" s="7"/>
      <c r="POS1157" s="7"/>
      <c r="POT1157" s="7"/>
      <c r="POU1157" s="7"/>
      <c r="POV1157" s="7"/>
      <c r="POW1157" s="7"/>
      <c r="POX1157" s="7"/>
      <c r="POY1157" s="7"/>
      <c r="POZ1157" s="7"/>
      <c r="PPA1157" s="7"/>
      <c r="PPB1157" s="7"/>
      <c r="PPC1157" s="7"/>
      <c r="PPD1157" s="7"/>
      <c r="PPE1157" s="7"/>
      <c r="PPF1157" s="7"/>
      <c r="PPG1157" s="7"/>
      <c r="PPH1157" s="7"/>
      <c r="PPI1157" s="7"/>
      <c r="PPJ1157" s="7"/>
      <c r="PPK1157" s="7"/>
      <c r="PPL1157" s="7"/>
      <c r="PPM1157" s="7"/>
      <c r="PPN1157" s="7"/>
      <c r="PPO1157" s="7"/>
      <c r="PPP1157" s="7"/>
      <c r="PPQ1157" s="7"/>
      <c r="PPR1157" s="7"/>
      <c r="PPS1157" s="7"/>
      <c r="PPT1157" s="7"/>
      <c r="PPU1157" s="7"/>
      <c r="PPV1157" s="7"/>
      <c r="PPW1157" s="7"/>
      <c r="PPX1157" s="7"/>
      <c r="PPY1157" s="7"/>
      <c r="PPZ1157" s="7"/>
      <c r="PQA1157" s="7"/>
      <c r="PQB1157" s="7"/>
      <c r="PQC1157" s="7"/>
      <c r="PQD1157" s="7"/>
      <c r="PQE1157" s="7"/>
      <c r="PQF1157" s="7"/>
      <c r="PQG1157" s="7"/>
      <c r="PQH1157" s="7"/>
      <c r="PQI1157" s="7"/>
      <c r="PQJ1157" s="7"/>
      <c r="PQK1157" s="7"/>
      <c r="PQL1157" s="7"/>
      <c r="PQM1157" s="7"/>
      <c r="PQN1157" s="7"/>
      <c r="PQO1157" s="7"/>
      <c r="PQP1157" s="7"/>
      <c r="PQQ1157" s="7"/>
      <c r="PQR1157" s="7"/>
      <c r="PQS1157" s="7"/>
      <c r="PQT1157" s="7"/>
      <c r="PQU1157" s="7"/>
      <c r="PQV1157" s="7"/>
      <c r="PQW1157" s="7"/>
      <c r="PQX1157" s="7"/>
      <c r="PQY1157" s="7"/>
      <c r="PQZ1157" s="7"/>
      <c r="PRA1157" s="7"/>
      <c r="PRB1157" s="7"/>
      <c r="PRC1157" s="7"/>
      <c r="PRD1157" s="7"/>
      <c r="PRE1157" s="7"/>
      <c r="PRF1157" s="7"/>
      <c r="PRG1157" s="7"/>
      <c r="PRH1157" s="7"/>
      <c r="PRI1157" s="7"/>
      <c r="PRJ1157" s="7"/>
      <c r="PRK1157" s="7"/>
      <c r="PRL1157" s="7"/>
      <c r="PRM1157" s="7"/>
      <c r="PRN1157" s="7"/>
      <c r="PRO1157" s="7"/>
      <c r="PRP1157" s="7"/>
      <c r="PRQ1157" s="7"/>
      <c r="PRR1157" s="7"/>
      <c r="PRS1157" s="7"/>
      <c r="PRT1157" s="7"/>
      <c r="PRU1157" s="7"/>
      <c r="PRV1157" s="7"/>
      <c r="PRW1157" s="7"/>
      <c r="PRX1157" s="7"/>
      <c r="PRY1157" s="7"/>
      <c r="PRZ1157" s="7"/>
      <c r="PSA1157" s="7"/>
      <c r="PSB1157" s="7"/>
      <c r="PSC1157" s="7"/>
      <c r="PSD1157" s="7"/>
      <c r="PSE1157" s="7"/>
      <c r="PSF1157" s="7"/>
      <c r="PSG1157" s="7"/>
      <c r="PSH1157" s="7"/>
      <c r="PSI1157" s="7"/>
      <c r="PSJ1157" s="7"/>
      <c r="PSK1157" s="7"/>
      <c r="PSL1157" s="7"/>
      <c r="PSM1157" s="7"/>
      <c r="PSN1157" s="7"/>
      <c r="PSO1157" s="7"/>
      <c r="PSP1157" s="7"/>
      <c r="PSQ1157" s="7"/>
      <c r="PSR1157" s="7"/>
      <c r="PSS1157" s="7"/>
      <c r="PST1157" s="7"/>
      <c r="PSU1157" s="7"/>
      <c r="PSV1157" s="7"/>
      <c r="PSW1157" s="7"/>
      <c r="PSX1157" s="7"/>
      <c r="PSY1157" s="7"/>
      <c r="PSZ1157" s="7"/>
      <c r="PTA1157" s="7"/>
      <c r="PTB1157" s="7"/>
      <c r="PTC1157" s="7"/>
      <c r="PTD1157" s="7"/>
      <c r="PTE1157" s="7"/>
      <c r="PTF1157" s="7"/>
      <c r="PTG1157" s="7"/>
      <c r="PTH1157" s="7"/>
      <c r="PTI1157" s="7"/>
      <c r="PTJ1157" s="7"/>
      <c r="PTK1157" s="7"/>
      <c r="PTL1157" s="7"/>
      <c r="PTM1157" s="7"/>
      <c r="PTN1157" s="7"/>
      <c r="PTO1157" s="7"/>
      <c r="PTP1157" s="7"/>
      <c r="PTQ1157" s="7"/>
      <c r="PTR1157" s="7"/>
      <c r="PTS1157" s="7"/>
      <c r="PTT1157" s="7"/>
      <c r="PTU1157" s="7"/>
      <c r="PTV1157" s="7"/>
      <c r="PTW1157" s="7"/>
      <c r="PTX1157" s="7"/>
      <c r="PTY1157" s="7"/>
      <c r="PTZ1157" s="7"/>
      <c r="PUA1157" s="7"/>
      <c r="PUB1157" s="7"/>
      <c r="PUC1157" s="7"/>
      <c r="PUD1157" s="7"/>
      <c r="PUE1157" s="7"/>
      <c r="PUF1157" s="7"/>
      <c r="PUG1157" s="7"/>
      <c r="PUH1157" s="7"/>
      <c r="PUI1157" s="7"/>
      <c r="PUJ1157" s="7"/>
      <c r="PUK1157" s="7"/>
      <c r="PUL1157" s="7"/>
      <c r="PUM1157" s="7"/>
      <c r="PUN1157" s="7"/>
      <c r="PUO1157" s="7"/>
      <c r="PUP1157" s="7"/>
      <c r="PUQ1157" s="7"/>
      <c r="PUR1157" s="7"/>
      <c r="PUS1157" s="7"/>
      <c r="PUT1157" s="7"/>
      <c r="PUU1157" s="7"/>
      <c r="PUV1157" s="7"/>
      <c r="PUW1157" s="7"/>
      <c r="PUX1157" s="7"/>
      <c r="PUY1157" s="7"/>
      <c r="PUZ1157" s="7"/>
      <c r="PVA1157" s="7"/>
      <c r="PVB1157" s="7"/>
      <c r="PVC1157" s="7"/>
      <c r="PVD1157" s="7"/>
      <c r="PVE1157" s="7"/>
      <c r="PVF1157" s="7"/>
      <c r="PVG1157" s="7"/>
      <c r="PVH1157" s="7"/>
      <c r="PVI1157" s="7"/>
      <c r="PVJ1157" s="7"/>
      <c r="PVK1157" s="7"/>
      <c r="PVL1157" s="7"/>
      <c r="PVM1157" s="7"/>
      <c r="PVN1157" s="7"/>
      <c r="PVO1157" s="7"/>
      <c r="PVP1157" s="7"/>
      <c r="PVQ1157" s="7"/>
      <c r="PVR1157" s="7"/>
      <c r="PVS1157" s="7"/>
      <c r="PVT1157" s="7"/>
      <c r="PVU1157" s="7"/>
      <c r="PVV1157" s="7"/>
      <c r="PVW1157" s="7"/>
      <c r="PVX1157" s="7"/>
      <c r="PVY1157" s="7"/>
      <c r="PVZ1157" s="7"/>
      <c r="PWA1157" s="7"/>
      <c r="PWB1157" s="7"/>
      <c r="PWC1157" s="7"/>
      <c r="PWD1157" s="7"/>
      <c r="PWE1157" s="7"/>
      <c r="PWF1157" s="7"/>
      <c r="PWG1157" s="7"/>
      <c r="PWH1157" s="7"/>
      <c r="PWI1157" s="7"/>
      <c r="PWJ1157" s="7"/>
      <c r="PWK1157" s="7"/>
      <c r="PWL1157" s="7"/>
      <c r="PWM1157" s="7"/>
      <c r="PWN1157" s="7"/>
      <c r="PWO1157" s="7"/>
      <c r="PWP1157" s="7"/>
      <c r="PWQ1157" s="7"/>
      <c r="PWR1157" s="7"/>
      <c r="PWS1157" s="7"/>
      <c r="PWT1157" s="7"/>
      <c r="PWU1157" s="7"/>
      <c r="PWV1157" s="7"/>
      <c r="PWW1157" s="7"/>
      <c r="PWX1157" s="7"/>
      <c r="PWY1157" s="7"/>
      <c r="PWZ1157" s="7"/>
      <c r="PXA1157" s="7"/>
      <c r="PXB1157" s="7"/>
      <c r="PXC1157" s="7"/>
      <c r="PXD1157" s="7"/>
      <c r="PXE1157" s="7"/>
      <c r="PXF1157" s="7"/>
      <c r="PXG1157" s="7"/>
      <c r="PXH1157" s="7"/>
      <c r="PXI1157" s="7"/>
      <c r="PXJ1157" s="7"/>
      <c r="PXK1157" s="7"/>
      <c r="PXL1157" s="7"/>
      <c r="PXM1157" s="7"/>
      <c r="PXN1157" s="7"/>
      <c r="PXO1157" s="7"/>
      <c r="PXP1157" s="7"/>
      <c r="PXQ1157" s="7"/>
      <c r="PXR1157" s="7"/>
      <c r="PXS1157" s="7"/>
      <c r="PXT1157" s="7"/>
      <c r="PXU1157" s="7"/>
      <c r="PXV1157" s="7"/>
      <c r="PXW1157" s="7"/>
      <c r="PXX1157" s="7"/>
      <c r="PXY1157" s="7"/>
      <c r="PXZ1157" s="7"/>
      <c r="PYA1157" s="7"/>
      <c r="PYB1157" s="7"/>
      <c r="PYC1157" s="7"/>
      <c r="PYD1157" s="7"/>
      <c r="PYE1157" s="7"/>
      <c r="PYF1157" s="7"/>
      <c r="PYG1157" s="7"/>
      <c r="PYH1157" s="7"/>
      <c r="PYI1157" s="7"/>
      <c r="PYJ1157" s="7"/>
      <c r="PYK1157" s="7"/>
      <c r="PYL1157" s="7"/>
      <c r="PYM1157" s="7"/>
      <c r="PYN1157" s="7"/>
      <c r="PYO1157" s="7"/>
      <c r="PYP1157" s="7"/>
      <c r="PYQ1157" s="7"/>
      <c r="PYR1157" s="7"/>
      <c r="PYS1157" s="7"/>
      <c r="PYT1157" s="7"/>
      <c r="PYU1157" s="7"/>
      <c r="PYV1157" s="7"/>
      <c r="PYW1157" s="7"/>
      <c r="PYX1157" s="7"/>
      <c r="PYY1157" s="7"/>
      <c r="PYZ1157" s="7"/>
      <c r="PZA1157" s="7"/>
      <c r="PZB1157" s="7"/>
      <c r="PZC1157" s="7"/>
      <c r="PZD1157" s="7"/>
      <c r="PZE1157" s="7"/>
      <c r="PZF1157" s="7"/>
      <c r="PZG1157" s="7"/>
      <c r="PZH1157" s="7"/>
      <c r="PZI1157" s="7"/>
      <c r="PZJ1157" s="7"/>
      <c r="PZK1157" s="7"/>
      <c r="PZL1157" s="7"/>
      <c r="PZM1157" s="7"/>
      <c r="PZN1157" s="7"/>
      <c r="PZO1157" s="7"/>
      <c r="PZP1157" s="7"/>
      <c r="PZQ1157" s="7"/>
      <c r="PZR1157" s="7"/>
      <c r="PZS1157" s="7"/>
      <c r="PZT1157" s="7"/>
      <c r="PZU1157" s="7"/>
      <c r="PZV1157" s="7"/>
      <c r="PZW1157" s="7"/>
      <c r="PZX1157" s="7"/>
      <c r="PZY1157" s="7"/>
      <c r="PZZ1157" s="7"/>
      <c r="QAA1157" s="7"/>
      <c r="QAB1157" s="7"/>
      <c r="QAC1157" s="7"/>
      <c r="QAD1157" s="7"/>
      <c r="QAE1157" s="7"/>
      <c r="QAF1157" s="7"/>
      <c r="QAG1157" s="7"/>
      <c r="QAH1157" s="7"/>
      <c r="QAI1157" s="7"/>
      <c r="QAJ1157" s="7"/>
      <c r="QAK1157" s="7"/>
      <c r="QAL1157" s="7"/>
      <c r="QAM1157" s="7"/>
      <c r="QAN1157" s="7"/>
      <c r="QAO1157" s="7"/>
      <c r="QAP1157" s="7"/>
      <c r="QAQ1157" s="7"/>
      <c r="QAR1157" s="7"/>
      <c r="QAS1157" s="7"/>
      <c r="QAT1157" s="7"/>
      <c r="QAU1157" s="7"/>
      <c r="QAV1157" s="7"/>
      <c r="QAW1157" s="7"/>
      <c r="QAX1157" s="7"/>
      <c r="QAY1157" s="7"/>
      <c r="QAZ1157" s="7"/>
      <c r="QBA1157" s="7"/>
      <c r="QBB1157" s="7"/>
      <c r="QBC1157" s="7"/>
      <c r="QBD1157" s="7"/>
      <c r="QBE1157" s="7"/>
      <c r="QBF1157" s="7"/>
      <c r="QBG1157" s="7"/>
      <c r="QBH1157" s="7"/>
      <c r="QBI1157" s="7"/>
      <c r="QBJ1157" s="7"/>
      <c r="QBK1157" s="7"/>
      <c r="QBL1157" s="7"/>
      <c r="QBM1157" s="7"/>
      <c r="QBN1157" s="7"/>
      <c r="QBO1157" s="7"/>
      <c r="QBP1157" s="7"/>
      <c r="QBQ1157" s="7"/>
      <c r="QBR1157" s="7"/>
      <c r="QBS1157" s="7"/>
      <c r="QBT1157" s="7"/>
      <c r="QBU1157" s="7"/>
      <c r="QBV1157" s="7"/>
      <c r="QBW1157" s="7"/>
      <c r="QBX1157" s="7"/>
      <c r="QBY1157" s="7"/>
      <c r="QBZ1157" s="7"/>
      <c r="QCA1157" s="7"/>
      <c r="QCB1157" s="7"/>
      <c r="QCC1157" s="7"/>
      <c r="QCD1157" s="7"/>
      <c r="QCE1157" s="7"/>
      <c r="QCF1157" s="7"/>
      <c r="QCG1157" s="7"/>
      <c r="QCH1157" s="7"/>
      <c r="QCI1157" s="7"/>
      <c r="QCJ1157" s="7"/>
      <c r="QCK1157" s="7"/>
      <c r="QCL1157" s="7"/>
      <c r="QCM1157" s="7"/>
      <c r="QCN1157" s="7"/>
      <c r="QCO1157" s="7"/>
      <c r="QCP1157" s="7"/>
      <c r="QCQ1157" s="7"/>
      <c r="QCR1157" s="7"/>
      <c r="QCS1157" s="7"/>
      <c r="QCT1157" s="7"/>
      <c r="QCU1157" s="7"/>
      <c r="QCV1157" s="7"/>
      <c r="QCW1157" s="7"/>
      <c r="QCX1157" s="7"/>
      <c r="QCY1157" s="7"/>
      <c r="QCZ1157" s="7"/>
      <c r="QDA1157" s="7"/>
      <c r="QDB1157" s="7"/>
      <c r="QDC1157" s="7"/>
      <c r="QDD1157" s="7"/>
      <c r="QDE1157" s="7"/>
      <c r="QDF1157" s="7"/>
      <c r="QDG1157" s="7"/>
      <c r="QDH1157" s="7"/>
      <c r="QDI1157" s="7"/>
      <c r="QDJ1157" s="7"/>
      <c r="QDK1157" s="7"/>
      <c r="QDL1157" s="7"/>
      <c r="QDM1157" s="7"/>
      <c r="QDN1157" s="7"/>
      <c r="QDO1157" s="7"/>
      <c r="QDP1157" s="7"/>
      <c r="QDQ1157" s="7"/>
      <c r="QDR1157" s="7"/>
      <c r="QDS1157" s="7"/>
      <c r="QDT1157" s="7"/>
      <c r="QDU1157" s="7"/>
      <c r="QDV1157" s="7"/>
      <c r="QDW1157" s="7"/>
      <c r="QDX1157" s="7"/>
      <c r="QDY1157" s="7"/>
      <c r="QDZ1157" s="7"/>
      <c r="QEA1157" s="7"/>
      <c r="QEB1157" s="7"/>
      <c r="QEC1157" s="7"/>
      <c r="QED1157" s="7"/>
      <c r="QEE1157" s="7"/>
      <c r="QEF1157" s="7"/>
      <c r="QEG1157" s="7"/>
      <c r="QEH1157" s="7"/>
      <c r="QEI1157" s="7"/>
      <c r="QEJ1157" s="7"/>
      <c r="QEK1157" s="7"/>
      <c r="QEL1157" s="7"/>
      <c r="QEM1157" s="7"/>
      <c r="QEN1157" s="7"/>
      <c r="QEO1157" s="7"/>
      <c r="QEP1157" s="7"/>
      <c r="QEQ1157" s="7"/>
      <c r="QER1157" s="7"/>
      <c r="QES1157" s="7"/>
      <c r="QET1157" s="7"/>
      <c r="QEU1157" s="7"/>
      <c r="QEV1157" s="7"/>
      <c r="QEW1157" s="7"/>
      <c r="QEX1157" s="7"/>
      <c r="QEY1157" s="7"/>
      <c r="QEZ1157" s="7"/>
      <c r="QFA1157" s="7"/>
      <c r="QFB1157" s="7"/>
      <c r="QFC1157" s="7"/>
      <c r="QFD1157" s="7"/>
      <c r="QFE1157" s="7"/>
      <c r="QFF1157" s="7"/>
      <c r="QFG1157" s="7"/>
      <c r="QFH1157" s="7"/>
      <c r="QFI1157" s="7"/>
      <c r="QFJ1157" s="7"/>
      <c r="QFK1157" s="7"/>
      <c r="QFL1157" s="7"/>
      <c r="QFM1157" s="7"/>
      <c r="QFN1157" s="7"/>
      <c r="QFO1157" s="7"/>
      <c r="QFP1157" s="7"/>
      <c r="QFQ1157" s="7"/>
      <c r="QFR1157" s="7"/>
      <c r="QFS1157" s="7"/>
      <c r="QFT1157" s="7"/>
      <c r="QFU1157" s="7"/>
      <c r="QFV1157" s="7"/>
      <c r="QFW1157" s="7"/>
      <c r="QFX1157" s="7"/>
      <c r="QFY1157" s="7"/>
      <c r="QFZ1157" s="7"/>
      <c r="QGA1157" s="7"/>
      <c r="QGB1157" s="7"/>
      <c r="QGC1157" s="7"/>
      <c r="QGD1157" s="7"/>
      <c r="QGE1157" s="7"/>
      <c r="QGF1157" s="7"/>
      <c r="QGG1157" s="7"/>
      <c r="QGH1157" s="7"/>
      <c r="QGI1157" s="7"/>
      <c r="QGJ1157" s="7"/>
      <c r="QGK1157" s="7"/>
      <c r="QGL1157" s="7"/>
      <c r="QGM1157" s="7"/>
      <c r="QGN1157" s="7"/>
      <c r="QGO1157" s="7"/>
      <c r="QGP1157" s="7"/>
      <c r="QGQ1157" s="7"/>
      <c r="QGR1157" s="7"/>
      <c r="QGS1157" s="7"/>
      <c r="QGT1157" s="7"/>
      <c r="QGU1157" s="7"/>
      <c r="QGV1157" s="7"/>
      <c r="QGW1157" s="7"/>
      <c r="QGX1157" s="7"/>
      <c r="QGY1157" s="7"/>
      <c r="QGZ1157" s="7"/>
      <c r="QHA1157" s="7"/>
      <c r="QHB1157" s="7"/>
      <c r="QHC1157" s="7"/>
      <c r="QHD1157" s="7"/>
      <c r="QHE1157" s="7"/>
      <c r="QHF1157" s="7"/>
      <c r="QHG1157" s="7"/>
      <c r="QHH1157" s="7"/>
      <c r="QHI1157" s="7"/>
      <c r="QHJ1157" s="7"/>
      <c r="QHK1157" s="7"/>
      <c r="QHL1157" s="7"/>
      <c r="QHM1157" s="7"/>
      <c r="QHN1157" s="7"/>
      <c r="QHO1157" s="7"/>
      <c r="QHP1157" s="7"/>
      <c r="QHQ1157" s="7"/>
      <c r="QHR1157" s="7"/>
      <c r="QHS1157" s="7"/>
      <c r="QHT1157" s="7"/>
      <c r="QHU1157" s="7"/>
      <c r="QHV1157" s="7"/>
      <c r="QHW1157" s="7"/>
      <c r="QHX1157" s="7"/>
      <c r="QHY1157" s="7"/>
      <c r="QHZ1157" s="7"/>
      <c r="QIA1157" s="7"/>
      <c r="QIB1157" s="7"/>
      <c r="QIC1157" s="7"/>
      <c r="QID1157" s="7"/>
      <c r="QIE1157" s="7"/>
      <c r="QIF1157" s="7"/>
      <c r="QIG1157" s="7"/>
      <c r="QIH1157" s="7"/>
      <c r="QII1157" s="7"/>
      <c r="QIJ1157" s="7"/>
      <c r="QIK1157" s="7"/>
      <c r="QIL1157" s="7"/>
      <c r="QIM1157" s="7"/>
      <c r="QIN1157" s="7"/>
      <c r="QIO1157" s="7"/>
      <c r="QIP1157" s="7"/>
      <c r="QIQ1157" s="7"/>
      <c r="QIR1157" s="7"/>
      <c r="QIS1157" s="7"/>
      <c r="QIT1157" s="7"/>
      <c r="QIU1157" s="7"/>
      <c r="QIV1157" s="7"/>
      <c r="QIW1157" s="7"/>
      <c r="QIX1157" s="7"/>
      <c r="QIY1157" s="7"/>
      <c r="QIZ1157" s="7"/>
      <c r="QJA1157" s="7"/>
      <c r="QJB1157" s="7"/>
      <c r="QJC1157" s="7"/>
      <c r="QJD1157" s="7"/>
      <c r="QJE1157" s="7"/>
      <c r="QJF1157" s="7"/>
      <c r="QJG1157" s="7"/>
      <c r="QJH1157" s="7"/>
      <c r="QJI1157" s="7"/>
      <c r="QJJ1157" s="7"/>
      <c r="QJK1157" s="7"/>
      <c r="QJL1157" s="7"/>
      <c r="QJM1157" s="7"/>
      <c r="QJN1157" s="7"/>
      <c r="QJO1157" s="7"/>
      <c r="QJP1157" s="7"/>
      <c r="QJQ1157" s="7"/>
      <c r="QJR1157" s="7"/>
      <c r="QJS1157" s="7"/>
      <c r="QJT1157" s="7"/>
      <c r="QJU1157" s="7"/>
      <c r="QJV1157" s="7"/>
      <c r="QJW1157" s="7"/>
      <c r="QJX1157" s="7"/>
      <c r="QJY1157" s="7"/>
      <c r="QJZ1157" s="7"/>
      <c r="QKA1157" s="7"/>
      <c r="QKB1157" s="7"/>
      <c r="QKC1157" s="7"/>
      <c r="QKD1157" s="7"/>
      <c r="QKE1157" s="7"/>
      <c r="QKF1157" s="7"/>
      <c r="QKG1157" s="7"/>
      <c r="QKH1157" s="7"/>
      <c r="QKI1157" s="7"/>
      <c r="QKJ1157" s="7"/>
      <c r="QKK1157" s="7"/>
      <c r="QKL1157" s="7"/>
      <c r="QKM1157" s="7"/>
      <c r="QKN1157" s="7"/>
      <c r="QKO1157" s="7"/>
      <c r="QKP1157" s="7"/>
      <c r="QKQ1157" s="7"/>
      <c r="QKR1157" s="7"/>
      <c r="QKS1157" s="7"/>
      <c r="QKT1157" s="7"/>
      <c r="QKU1157" s="7"/>
      <c r="QKV1157" s="7"/>
      <c r="QKW1157" s="7"/>
      <c r="QKX1157" s="7"/>
      <c r="QKY1157" s="7"/>
      <c r="QKZ1157" s="7"/>
      <c r="QLA1157" s="7"/>
      <c r="QLB1157" s="7"/>
      <c r="QLC1157" s="7"/>
      <c r="QLD1157" s="7"/>
      <c r="QLE1157" s="7"/>
      <c r="QLF1157" s="7"/>
      <c r="QLG1157" s="7"/>
      <c r="QLH1157" s="7"/>
      <c r="QLI1157" s="7"/>
      <c r="QLJ1157" s="7"/>
      <c r="QLK1157" s="7"/>
      <c r="QLL1157" s="7"/>
      <c r="QLM1157" s="7"/>
      <c r="QLN1157" s="7"/>
      <c r="QLO1157" s="7"/>
      <c r="QLP1157" s="7"/>
      <c r="QLQ1157" s="7"/>
      <c r="QLR1157" s="7"/>
      <c r="QLS1157" s="7"/>
      <c r="QLT1157" s="7"/>
      <c r="QLU1157" s="7"/>
      <c r="QLV1157" s="7"/>
      <c r="QLW1157" s="7"/>
      <c r="QLX1157" s="7"/>
      <c r="QLY1157" s="7"/>
      <c r="QLZ1157" s="7"/>
      <c r="QMA1157" s="7"/>
      <c r="QMB1157" s="7"/>
      <c r="QMC1157" s="7"/>
      <c r="QMD1157" s="7"/>
      <c r="QME1157" s="7"/>
      <c r="QMF1157" s="7"/>
      <c r="QMG1157" s="7"/>
      <c r="QMH1157" s="7"/>
      <c r="QMI1157" s="7"/>
      <c r="QMJ1157" s="7"/>
      <c r="QMK1157" s="7"/>
      <c r="QML1157" s="7"/>
      <c r="QMM1157" s="7"/>
      <c r="QMN1157" s="7"/>
      <c r="QMO1157" s="7"/>
      <c r="QMP1157" s="7"/>
      <c r="QMQ1157" s="7"/>
      <c r="QMR1157" s="7"/>
      <c r="QMS1157" s="7"/>
      <c r="QMT1157" s="7"/>
      <c r="QMU1157" s="7"/>
      <c r="QMV1157" s="7"/>
      <c r="QMW1157" s="7"/>
      <c r="QMX1157" s="7"/>
      <c r="QMY1157" s="7"/>
      <c r="QMZ1157" s="7"/>
      <c r="QNA1157" s="7"/>
      <c r="QNB1157" s="7"/>
      <c r="QNC1157" s="7"/>
      <c r="QND1157" s="7"/>
      <c r="QNE1157" s="7"/>
      <c r="QNF1157" s="7"/>
      <c r="QNG1157" s="7"/>
      <c r="QNH1157" s="7"/>
      <c r="QNI1157" s="7"/>
      <c r="QNJ1157" s="7"/>
      <c r="QNK1157" s="7"/>
      <c r="QNL1157" s="7"/>
      <c r="QNM1157" s="7"/>
      <c r="QNN1157" s="7"/>
      <c r="QNO1157" s="7"/>
      <c r="QNP1157" s="7"/>
      <c r="QNQ1157" s="7"/>
      <c r="QNR1157" s="7"/>
      <c r="QNS1157" s="7"/>
      <c r="QNT1157" s="7"/>
      <c r="QNU1157" s="7"/>
      <c r="QNV1157" s="7"/>
      <c r="QNW1157" s="7"/>
      <c r="QNX1157" s="7"/>
      <c r="QNY1157" s="7"/>
      <c r="QNZ1157" s="7"/>
      <c r="QOA1157" s="7"/>
      <c r="QOB1157" s="7"/>
      <c r="QOC1157" s="7"/>
      <c r="QOD1157" s="7"/>
      <c r="QOE1157" s="7"/>
      <c r="QOF1157" s="7"/>
      <c r="QOG1157" s="7"/>
      <c r="QOH1157" s="7"/>
      <c r="QOI1157" s="7"/>
      <c r="QOJ1157" s="7"/>
      <c r="QOK1157" s="7"/>
      <c r="QOL1157" s="7"/>
      <c r="QOM1157" s="7"/>
      <c r="QON1157" s="7"/>
      <c r="QOO1157" s="7"/>
      <c r="QOP1157" s="7"/>
      <c r="QOQ1157" s="7"/>
      <c r="QOR1157" s="7"/>
      <c r="QOS1157" s="7"/>
      <c r="QOT1157" s="7"/>
      <c r="QOU1157" s="7"/>
      <c r="QOV1157" s="7"/>
      <c r="QOW1157" s="7"/>
      <c r="QOX1157" s="7"/>
      <c r="QOY1157" s="7"/>
      <c r="QOZ1157" s="7"/>
      <c r="QPA1157" s="7"/>
      <c r="QPB1157" s="7"/>
      <c r="QPC1157" s="7"/>
      <c r="QPD1157" s="7"/>
      <c r="QPE1157" s="7"/>
      <c r="QPF1157" s="7"/>
      <c r="QPG1157" s="7"/>
      <c r="QPH1157" s="7"/>
      <c r="QPI1157" s="7"/>
      <c r="QPJ1157" s="7"/>
      <c r="QPK1157" s="7"/>
      <c r="QPL1157" s="7"/>
      <c r="QPM1157" s="7"/>
      <c r="QPN1157" s="7"/>
      <c r="QPO1157" s="7"/>
      <c r="QPP1157" s="7"/>
      <c r="QPQ1157" s="7"/>
      <c r="QPR1157" s="7"/>
      <c r="QPS1157" s="7"/>
      <c r="QPT1157" s="7"/>
      <c r="QPU1157" s="7"/>
      <c r="QPV1157" s="7"/>
      <c r="QPW1157" s="7"/>
      <c r="QPX1157" s="7"/>
      <c r="QPY1157" s="7"/>
      <c r="QPZ1157" s="7"/>
      <c r="QQA1157" s="7"/>
      <c r="QQB1157" s="7"/>
      <c r="QQC1157" s="7"/>
      <c r="QQD1157" s="7"/>
      <c r="QQE1157" s="7"/>
      <c r="QQF1157" s="7"/>
      <c r="QQG1157" s="7"/>
      <c r="QQH1157" s="7"/>
      <c r="QQI1157" s="7"/>
      <c r="QQJ1157" s="7"/>
      <c r="QQK1157" s="7"/>
      <c r="QQL1157" s="7"/>
      <c r="QQM1157" s="7"/>
      <c r="QQN1157" s="7"/>
      <c r="QQO1157" s="7"/>
      <c r="QQP1157" s="7"/>
      <c r="QQQ1157" s="7"/>
      <c r="QQR1157" s="7"/>
      <c r="QQS1157" s="7"/>
      <c r="QQT1157" s="7"/>
      <c r="QQU1157" s="7"/>
      <c r="QQV1157" s="7"/>
      <c r="QQW1157" s="7"/>
      <c r="QQX1157" s="7"/>
      <c r="QQY1157" s="7"/>
      <c r="QQZ1157" s="7"/>
      <c r="QRA1157" s="7"/>
      <c r="QRB1157" s="7"/>
      <c r="QRC1157" s="7"/>
      <c r="QRD1157" s="7"/>
      <c r="QRE1157" s="7"/>
      <c r="QRF1157" s="7"/>
      <c r="QRG1157" s="7"/>
      <c r="QRH1157" s="7"/>
      <c r="QRI1157" s="7"/>
      <c r="QRJ1157" s="7"/>
      <c r="QRK1157" s="7"/>
      <c r="QRL1157" s="7"/>
      <c r="QRM1157" s="7"/>
      <c r="QRN1157" s="7"/>
      <c r="QRO1157" s="7"/>
      <c r="QRP1157" s="7"/>
      <c r="QRQ1157" s="7"/>
      <c r="QRR1157" s="7"/>
      <c r="QRS1157" s="7"/>
      <c r="QRT1157" s="7"/>
      <c r="QRU1157" s="7"/>
      <c r="QRV1157" s="7"/>
      <c r="QRW1157" s="7"/>
      <c r="QRX1157" s="7"/>
      <c r="QRY1157" s="7"/>
      <c r="QRZ1157" s="7"/>
      <c r="QSA1157" s="7"/>
      <c r="QSB1157" s="7"/>
      <c r="QSC1157" s="7"/>
      <c r="QSD1157" s="7"/>
      <c r="QSE1157" s="7"/>
      <c r="QSF1157" s="7"/>
      <c r="QSG1157" s="7"/>
      <c r="QSH1157" s="7"/>
      <c r="QSI1157" s="7"/>
      <c r="QSJ1157" s="7"/>
      <c r="QSK1157" s="7"/>
      <c r="QSL1157" s="7"/>
      <c r="QSM1157" s="7"/>
      <c r="QSN1157" s="7"/>
      <c r="QSO1157" s="7"/>
      <c r="QSP1157" s="7"/>
      <c r="QSQ1157" s="7"/>
      <c r="QSR1157" s="7"/>
      <c r="QSS1157" s="7"/>
      <c r="QST1157" s="7"/>
      <c r="QSU1157" s="7"/>
      <c r="QSV1157" s="7"/>
      <c r="QSW1157" s="7"/>
      <c r="QSX1157" s="7"/>
      <c r="QSY1157" s="7"/>
      <c r="QSZ1157" s="7"/>
      <c r="QTA1157" s="7"/>
      <c r="QTB1157" s="7"/>
      <c r="QTC1157" s="7"/>
      <c r="QTD1157" s="7"/>
      <c r="QTE1157" s="7"/>
      <c r="QTF1157" s="7"/>
      <c r="QTG1157" s="7"/>
      <c r="QTH1157" s="7"/>
      <c r="QTI1157" s="7"/>
      <c r="QTJ1157" s="7"/>
      <c r="QTK1157" s="7"/>
      <c r="QTL1157" s="7"/>
      <c r="QTM1157" s="7"/>
      <c r="QTN1157" s="7"/>
      <c r="QTO1157" s="7"/>
      <c r="QTP1157" s="7"/>
      <c r="QTQ1157" s="7"/>
      <c r="QTR1157" s="7"/>
      <c r="QTS1157" s="7"/>
      <c r="QTT1157" s="7"/>
      <c r="QTU1157" s="7"/>
      <c r="QTV1157" s="7"/>
      <c r="QTW1157" s="7"/>
      <c r="QTX1157" s="7"/>
      <c r="QTY1157" s="7"/>
      <c r="QTZ1157" s="7"/>
      <c r="QUA1157" s="7"/>
      <c r="QUB1157" s="7"/>
      <c r="QUC1157" s="7"/>
      <c r="QUD1157" s="7"/>
      <c r="QUE1157" s="7"/>
      <c r="QUF1157" s="7"/>
      <c r="QUG1157" s="7"/>
      <c r="QUH1157" s="7"/>
      <c r="QUI1157" s="7"/>
      <c r="QUJ1157" s="7"/>
      <c r="QUK1157" s="7"/>
      <c r="QUL1157" s="7"/>
      <c r="QUM1157" s="7"/>
      <c r="QUN1157" s="7"/>
      <c r="QUO1157" s="7"/>
      <c r="QUP1157" s="7"/>
      <c r="QUQ1157" s="7"/>
      <c r="QUR1157" s="7"/>
      <c r="QUS1157" s="7"/>
      <c r="QUT1157" s="7"/>
      <c r="QUU1157" s="7"/>
      <c r="QUV1157" s="7"/>
      <c r="QUW1157" s="7"/>
      <c r="QUX1157" s="7"/>
      <c r="QUY1157" s="7"/>
      <c r="QUZ1157" s="7"/>
      <c r="QVA1157" s="7"/>
      <c r="QVB1157" s="7"/>
      <c r="QVC1157" s="7"/>
      <c r="QVD1157" s="7"/>
      <c r="QVE1157" s="7"/>
      <c r="QVF1157" s="7"/>
      <c r="QVG1157" s="7"/>
      <c r="QVH1157" s="7"/>
      <c r="QVI1157" s="7"/>
      <c r="QVJ1157" s="7"/>
      <c r="QVK1157" s="7"/>
      <c r="QVL1157" s="7"/>
      <c r="QVM1157" s="7"/>
      <c r="QVN1157" s="7"/>
      <c r="QVO1157" s="7"/>
      <c r="QVP1157" s="7"/>
      <c r="QVQ1157" s="7"/>
      <c r="QVR1157" s="7"/>
      <c r="QVS1157" s="7"/>
      <c r="QVT1157" s="7"/>
      <c r="QVU1157" s="7"/>
      <c r="QVV1157" s="7"/>
      <c r="QVW1157" s="7"/>
      <c r="QVX1157" s="7"/>
      <c r="QVY1157" s="7"/>
      <c r="QVZ1157" s="7"/>
      <c r="QWA1157" s="7"/>
      <c r="QWB1157" s="7"/>
      <c r="QWC1157" s="7"/>
      <c r="QWD1157" s="7"/>
      <c r="QWE1157" s="7"/>
      <c r="QWF1157" s="7"/>
      <c r="QWG1157" s="7"/>
      <c r="QWH1157" s="7"/>
      <c r="QWI1157" s="7"/>
      <c r="QWJ1157" s="7"/>
      <c r="QWK1157" s="7"/>
      <c r="QWL1157" s="7"/>
      <c r="QWM1157" s="7"/>
      <c r="QWN1157" s="7"/>
      <c r="QWO1157" s="7"/>
      <c r="QWP1157" s="7"/>
      <c r="QWQ1157" s="7"/>
      <c r="QWR1157" s="7"/>
      <c r="QWS1157" s="7"/>
      <c r="QWT1157" s="7"/>
      <c r="QWU1157" s="7"/>
      <c r="QWV1157" s="7"/>
      <c r="QWW1157" s="7"/>
      <c r="QWX1157" s="7"/>
      <c r="QWY1157" s="7"/>
      <c r="QWZ1157" s="7"/>
      <c r="QXA1157" s="7"/>
      <c r="QXB1157" s="7"/>
      <c r="QXC1157" s="7"/>
      <c r="QXD1157" s="7"/>
      <c r="QXE1157" s="7"/>
      <c r="QXF1157" s="7"/>
      <c r="QXG1157" s="7"/>
      <c r="QXH1157" s="7"/>
      <c r="QXI1157" s="7"/>
      <c r="QXJ1157" s="7"/>
      <c r="QXK1157" s="7"/>
      <c r="QXL1157" s="7"/>
      <c r="QXM1157" s="7"/>
      <c r="QXN1157" s="7"/>
      <c r="QXO1157" s="7"/>
      <c r="QXP1157" s="7"/>
      <c r="QXQ1157" s="7"/>
      <c r="QXR1157" s="7"/>
      <c r="QXS1157" s="7"/>
      <c r="QXT1157" s="7"/>
      <c r="QXU1157" s="7"/>
      <c r="QXV1157" s="7"/>
      <c r="QXW1157" s="7"/>
      <c r="QXX1157" s="7"/>
      <c r="QXY1157" s="7"/>
      <c r="QXZ1157" s="7"/>
      <c r="QYA1157" s="7"/>
      <c r="QYB1157" s="7"/>
      <c r="QYC1157" s="7"/>
      <c r="QYD1157" s="7"/>
      <c r="QYE1157" s="7"/>
      <c r="QYF1157" s="7"/>
      <c r="QYG1157" s="7"/>
      <c r="QYH1157" s="7"/>
      <c r="QYI1157" s="7"/>
      <c r="QYJ1157" s="7"/>
      <c r="QYK1157" s="7"/>
      <c r="QYL1157" s="7"/>
      <c r="QYM1157" s="7"/>
      <c r="QYN1157" s="7"/>
      <c r="QYO1157" s="7"/>
      <c r="QYP1157" s="7"/>
      <c r="QYQ1157" s="7"/>
      <c r="QYR1157" s="7"/>
      <c r="QYS1157" s="7"/>
      <c r="QYT1157" s="7"/>
      <c r="QYU1157" s="7"/>
      <c r="QYV1157" s="7"/>
      <c r="QYW1157" s="7"/>
      <c r="QYX1157" s="7"/>
      <c r="QYY1157" s="7"/>
      <c r="QYZ1157" s="7"/>
      <c r="QZA1157" s="7"/>
      <c r="QZB1157" s="7"/>
      <c r="QZC1157" s="7"/>
      <c r="QZD1157" s="7"/>
      <c r="QZE1157" s="7"/>
      <c r="QZF1157" s="7"/>
      <c r="QZG1157" s="7"/>
      <c r="QZH1157" s="7"/>
      <c r="QZI1157" s="7"/>
      <c r="QZJ1157" s="7"/>
      <c r="QZK1157" s="7"/>
      <c r="QZL1157" s="7"/>
      <c r="QZM1157" s="7"/>
      <c r="QZN1157" s="7"/>
      <c r="QZO1157" s="7"/>
      <c r="QZP1157" s="7"/>
      <c r="QZQ1157" s="7"/>
      <c r="QZR1157" s="7"/>
      <c r="QZS1157" s="7"/>
      <c r="QZT1157" s="7"/>
      <c r="QZU1157" s="7"/>
      <c r="QZV1157" s="7"/>
      <c r="QZW1157" s="7"/>
      <c r="QZX1157" s="7"/>
      <c r="QZY1157" s="7"/>
      <c r="QZZ1157" s="7"/>
      <c r="RAA1157" s="7"/>
      <c r="RAB1157" s="7"/>
      <c r="RAC1157" s="7"/>
      <c r="RAD1157" s="7"/>
      <c r="RAE1157" s="7"/>
      <c r="RAF1157" s="7"/>
      <c r="RAG1157" s="7"/>
      <c r="RAH1157" s="7"/>
      <c r="RAI1157" s="7"/>
      <c r="RAJ1157" s="7"/>
      <c r="RAK1157" s="7"/>
      <c r="RAL1157" s="7"/>
      <c r="RAM1157" s="7"/>
      <c r="RAN1157" s="7"/>
      <c r="RAO1157" s="7"/>
      <c r="RAP1157" s="7"/>
      <c r="RAQ1157" s="7"/>
      <c r="RAR1157" s="7"/>
      <c r="RAS1157" s="7"/>
      <c r="RAT1157" s="7"/>
      <c r="RAU1157" s="7"/>
      <c r="RAV1157" s="7"/>
      <c r="RAW1157" s="7"/>
      <c r="RAX1157" s="7"/>
      <c r="RAY1157" s="7"/>
      <c r="RAZ1157" s="7"/>
      <c r="RBA1157" s="7"/>
      <c r="RBB1157" s="7"/>
      <c r="RBC1157" s="7"/>
      <c r="RBD1157" s="7"/>
      <c r="RBE1157" s="7"/>
      <c r="RBF1157" s="7"/>
      <c r="RBG1157" s="7"/>
      <c r="RBH1157" s="7"/>
      <c r="RBI1157" s="7"/>
      <c r="RBJ1157" s="7"/>
      <c r="RBK1157" s="7"/>
      <c r="RBL1157" s="7"/>
      <c r="RBM1157" s="7"/>
      <c r="RBN1157" s="7"/>
      <c r="RBO1157" s="7"/>
      <c r="RBP1157" s="7"/>
      <c r="RBQ1157" s="7"/>
      <c r="RBR1157" s="7"/>
      <c r="RBS1157" s="7"/>
      <c r="RBT1157" s="7"/>
      <c r="RBU1157" s="7"/>
      <c r="RBV1157" s="7"/>
      <c r="RBW1157" s="7"/>
      <c r="RBX1157" s="7"/>
      <c r="RBY1157" s="7"/>
      <c r="RBZ1157" s="7"/>
      <c r="RCA1157" s="7"/>
      <c r="RCB1157" s="7"/>
      <c r="RCC1157" s="7"/>
      <c r="RCD1157" s="7"/>
      <c r="RCE1157" s="7"/>
      <c r="RCF1157" s="7"/>
      <c r="RCG1157" s="7"/>
      <c r="RCH1157" s="7"/>
      <c r="RCI1157" s="7"/>
      <c r="RCJ1157" s="7"/>
      <c r="RCK1157" s="7"/>
      <c r="RCL1157" s="7"/>
      <c r="RCM1157" s="7"/>
      <c r="RCN1157" s="7"/>
      <c r="RCO1157" s="7"/>
      <c r="RCP1157" s="7"/>
      <c r="RCQ1157" s="7"/>
      <c r="RCR1157" s="7"/>
      <c r="RCS1157" s="7"/>
      <c r="RCT1157" s="7"/>
      <c r="RCU1157" s="7"/>
      <c r="RCV1157" s="7"/>
      <c r="RCW1157" s="7"/>
      <c r="RCX1157" s="7"/>
      <c r="RCY1157" s="7"/>
      <c r="RCZ1157" s="7"/>
      <c r="RDA1157" s="7"/>
      <c r="RDB1157" s="7"/>
      <c r="RDC1157" s="7"/>
      <c r="RDD1157" s="7"/>
      <c r="RDE1157" s="7"/>
      <c r="RDF1157" s="7"/>
      <c r="RDG1157" s="7"/>
      <c r="RDH1157" s="7"/>
      <c r="RDI1157" s="7"/>
      <c r="RDJ1157" s="7"/>
      <c r="RDK1157" s="7"/>
      <c r="RDL1157" s="7"/>
      <c r="RDM1157" s="7"/>
      <c r="RDN1157" s="7"/>
      <c r="RDO1157" s="7"/>
      <c r="RDP1157" s="7"/>
      <c r="RDQ1157" s="7"/>
      <c r="RDR1157" s="7"/>
      <c r="RDS1157" s="7"/>
      <c r="RDT1157" s="7"/>
      <c r="RDU1157" s="7"/>
      <c r="RDV1157" s="7"/>
      <c r="RDW1157" s="7"/>
      <c r="RDX1157" s="7"/>
      <c r="RDY1157" s="7"/>
      <c r="RDZ1157" s="7"/>
      <c r="REA1157" s="7"/>
      <c r="REB1157" s="7"/>
      <c r="REC1157" s="7"/>
      <c r="RED1157" s="7"/>
      <c r="REE1157" s="7"/>
      <c r="REF1157" s="7"/>
      <c r="REG1157" s="7"/>
      <c r="REH1157" s="7"/>
      <c r="REI1157" s="7"/>
      <c r="REJ1157" s="7"/>
      <c r="REK1157" s="7"/>
      <c r="REL1157" s="7"/>
      <c r="REM1157" s="7"/>
      <c r="REN1157" s="7"/>
      <c r="REO1157" s="7"/>
      <c r="REP1157" s="7"/>
      <c r="REQ1157" s="7"/>
      <c r="RER1157" s="7"/>
      <c r="RES1157" s="7"/>
      <c r="RET1157" s="7"/>
      <c r="REU1157" s="7"/>
      <c r="REV1157" s="7"/>
      <c r="REW1157" s="7"/>
      <c r="REX1157" s="7"/>
      <c r="REY1157" s="7"/>
      <c r="REZ1157" s="7"/>
      <c r="RFA1157" s="7"/>
      <c r="RFB1157" s="7"/>
      <c r="RFC1157" s="7"/>
      <c r="RFD1157" s="7"/>
      <c r="RFE1157" s="7"/>
      <c r="RFF1157" s="7"/>
      <c r="RFG1157" s="7"/>
      <c r="RFH1157" s="7"/>
      <c r="RFI1157" s="7"/>
      <c r="RFJ1157" s="7"/>
      <c r="RFK1157" s="7"/>
      <c r="RFL1157" s="7"/>
      <c r="RFM1157" s="7"/>
      <c r="RFN1157" s="7"/>
      <c r="RFO1157" s="7"/>
      <c r="RFP1157" s="7"/>
      <c r="RFQ1157" s="7"/>
      <c r="RFR1157" s="7"/>
      <c r="RFS1157" s="7"/>
      <c r="RFT1157" s="7"/>
      <c r="RFU1157" s="7"/>
      <c r="RFV1157" s="7"/>
      <c r="RFW1157" s="7"/>
      <c r="RFX1157" s="7"/>
      <c r="RFY1157" s="7"/>
      <c r="RFZ1157" s="7"/>
      <c r="RGA1157" s="7"/>
      <c r="RGB1157" s="7"/>
      <c r="RGC1157" s="7"/>
      <c r="RGD1157" s="7"/>
      <c r="RGE1157" s="7"/>
      <c r="RGF1157" s="7"/>
      <c r="RGG1157" s="7"/>
      <c r="RGH1157" s="7"/>
      <c r="RGI1157" s="7"/>
      <c r="RGJ1157" s="7"/>
      <c r="RGK1157" s="7"/>
      <c r="RGL1157" s="7"/>
      <c r="RGM1157" s="7"/>
      <c r="RGN1157" s="7"/>
      <c r="RGO1157" s="7"/>
      <c r="RGP1157" s="7"/>
      <c r="RGQ1157" s="7"/>
      <c r="RGR1157" s="7"/>
      <c r="RGS1157" s="7"/>
      <c r="RGT1157" s="7"/>
      <c r="RGU1157" s="7"/>
      <c r="RGV1157" s="7"/>
      <c r="RGW1157" s="7"/>
      <c r="RGX1157" s="7"/>
      <c r="RGY1157" s="7"/>
      <c r="RGZ1157" s="7"/>
      <c r="RHA1157" s="7"/>
      <c r="RHB1157" s="7"/>
      <c r="RHC1157" s="7"/>
      <c r="RHD1157" s="7"/>
      <c r="RHE1157" s="7"/>
      <c r="RHF1157" s="7"/>
      <c r="RHG1157" s="7"/>
      <c r="RHH1157" s="7"/>
      <c r="RHI1157" s="7"/>
      <c r="RHJ1157" s="7"/>
      <c r="RHK1157" s="7"/>
      <c r="RHL1157" s="7"/>
      <c r="RHM1157" s="7"/>
      <c r="RHN1157" s="7"/>
      <c r="RHO1157" s="7"/>
      <c r="RHP1157" s="7"/>
      <c r="RHQ1157" s="7"/>
      <c r="RHR1157" s="7"/>
      <c r="RHS1157" s="7"/>
      <c r="RHT1157" s="7"/>
      <c r="RHU1157" s="7"/>
      <c r="RHV1157" s="7"/>
      <c r="RHW1157" s="7"/>
      <c r="RHX1157" s="7"/>
      <c r="RHY1157" s="7"/>
      <c r="RHZ1157" s="7"/>
      <c r="RIA1157" s="7"/>
      <c r="RIB1157" s="7"/>
      <c r="RIC1157" s="7"/>
      <c r="RID1157" s="7"/>
      <c r="RIE1157" s="7"/>
      <c r="RIF1157" s="7"/>
      <c r="RIG1157" s="7"/>
      <c r="RIH1157" s="7"/>
      <c r="RII1157" s="7"/>
      <c r="RIJ1157" s="7"/>
      <c r="RIK1157" s="7"/>
      <c r="RIL1157" s="7"/>
      <c r="RIM1157" s="7"/>
      <c r="RIN1157" s="7"/>
      <c r="RIO1157" s="7"/>
      <c r="RIP1157" s="7"/>
      <c r="RIQ1157" s="7"/>
      <c r="RIR1157" s="7"/>
      <c r="RIS1157" s="7"/>
      <c r="RIT1157" s="7"/>
      <c r="RIU1157" s="7"/>
      <c r="RIV1157" s="7"/>
      <c r="RIW1157" s="7"/>
      <c r="RIX1157" s="7"/>
      <c r="RIY1157" s="7"/>
      <c r="RIZ1157" s="7"/>
      <c r="RJA1157" s="7"/>
      <c r="RJB1157" s="7"/>
      <c r="RJC1157" s="7"/>
      <c r="RJD1157" s="7"/>
      <c r="RJE1157" s="7"/>
      <c r="RJF1157" s="7"/>
      <c r="RJG1157" s="7"/>
      <c r="RJH1157" s="7"/>
      <c r="RJI1157" s="7"/>
      <c r="RJJ1157" s="7"/>
      <c r="RJK1157" s="7"/>
      <c r="RJL1157" s="7"/>
      <c r="RJM1157" s="7"/>
      <c r="RJN1157" s="7"/>
      <c r="RJO1157" s="7"/>
      <c r="RJP1157" s="7"/>
      <c r="RJQ1157" s="7"/>
      <c r="RJR1157" s="7"/>
      <c r="RJS1157" s="7"/>
      <c r="RJT1157" s="7"/>
      <c r="RJU1157" s="7"/>
      <c r="RJV1157" s="7"/>
      <c r="RJW1157" s="7"/>
      <c r="RJX1157" s="7"/>
      <c r="RJY1157" s="7"/>
      <c r="RJZ1157" s="7"/>
      <c r="RKA1157" s="7"/>
      <c r="RKB1157" s="7"/>
      <c r="RKC1157" s="7"/>
      <c r="RKD1157" s="7"/>
      <c r="RKE1157" s="7"/>
      <c r="RKF1157" s="7"/>
      <c r="RKG1157" s="7"/>
      <c r="RKH1157" s="7"/>
      <c r="RKI1157" s="7"/>
      <c r="RKJ1157" s="7"/>
      <c r="RKK1157" s="7"/>
      <c r="RKL1157" s="7"/>
      <c r="RKM1157" s="7"/>
      <c r="RKN1157" s="7"/>
      <c r="RKO1157" s="7"/>
      <c r="RKP1157" s="7"/>
      <c r="RKQ1157" s="7"/>
      <c r="RKR1157" s="7"/>
      <c r="RKS1157" s="7"/>
      <c r="RKT1157" s="7"/>
      <c r="RKU1157" s="7"/>
      <c r="RKV1157" s="7"/>
      <c r="RKW1157" s="7"/>
      <c r="RKX1157" s="7"/>
      <c r="RKY1157" s="7"/>
      <c r="RKZ1157" s="7"/>
      <c r="RLA1157" s="7"/>
      <c r="RLB1157" s="7"/>
      <c r="RLC1157" s="7"/>
      <c r="RLD1157" s="7"/>
      <c r="RLE1157" s="7"/>
      <c r="RLF1157" s="7"/>
      <c r="RLG1157" s="7"/>
      <c r="RLH1157" s="7"/>
      <c r="RLI1157" s="7"/>
      <c r="RLJ1157" s="7"/>
      <c r="RLK1157" s="7"/>
      <c r="RLL1157" s="7"/>
      <c r="RLM1157" s="7"/>
      <c r="RLN1157" s="7"/>
      <c r="RLO1157" s="7"/>
      <c r="RLP1157" s="7"/>
      <c r="RLQ1157" s="7"/>
      <c r="RLR1157" s="7"/>
      <c r="RLS1157" s="7"/>
      <c r="RLT1157" s="7"/>
      <c r="RLU1157" s="7"/>
      <c r="RLV1157" s="7"/>
      <c r="RLW1157" s="7"/>
      <c r="RLX1157" s="7"/>
      <c r="RLY1157" s="7"/>
      <c r="RLZ1157" s="7"/>
      <c r="RMA1157" s="7"/>
      <c r="RMB1157" s="7"/>
      <c r="RMC1157" s="7"/>
      <c r="RMD1157" s="7"/>
      <c r="RME1157" s="7"/>
      <c r="RMF1157" s="7"/>
      <c r="RMG1157" s="7"/>
      <c r="RMH1157" s="7"/>
      <c r="RMI1157" s="7"/>
      <c r="RMJ1157" s="7"/>
      <c r="RMK1157" s="7"/>
      <c r="RML1157" s="7"/>
      <c r="RMM1157" s="7"/>
      <c r="RMN1157" s="7"/>
      <c r="RMO1157" s="7"/>
      <c r="RMP1157" s="7"/>
      <c r="RMQ1157" s="7"/>
      <c r="RMR1157" s="7"/>
      <c r="RMS1157" s="7"/>
      <c r="RMT1157" s="7"/>
      <c r="RMU1157" s="7"/>
      <c r="RMV1157" s="7"/>
      <c r="RMW1157" s="7"/>
      <c r="RMX1157" s="7"/>
      <c r="RMY1157" s="7"/>
      <c r="RMZ1157" s="7"/>
      <c r="RNA1157" s="7"/>
      <c r="RNB1157" s="7"/>
      <c r="RNC1157" s="7"/>
      <c r="RND1157" s="7"/>
      <c r="RNE1157" s="7"/>
      <c r="RNF1157" s="7"/>
      <c r="RNG1157" s="7"/>
      <c r="RNH1157" s="7"/>
      <c r="RNI1157" s="7"/>
      <c r="RNJ1157" s="7"/>
      <c r="RNK1157" s="7"/>
      <c r="RNL1157" s="7"/>
      <c r="RNM1157" s="7"/>
      <c r="RNN1157" s="7"/>
      <c r="RNO1157" s="7"/>
      <c r="RNP1157" s="7"/>
      <c r="RNQ1157" s="7"/>
      <c r="RNR1157" s="7"/>
      <c r="RNS1157" s="7"/>
      <c r="RNT1157" s="7"/>
      <c r="RNU1157" s="7"/>
      <c r="RNV1157" s="7"/>
      <c r="RNW1157" s="7"/>
      <c r="RNX1157" s="7"/>
      <c r="RNY1157" s="7"/>
      <c r="RNZ1157" s="7"/>
      <c r="ROA1157" s="7"/>
      <c r="ROB1157" s="7"/>
      <c r="ROC1157" s="7"/>
      <c r="ROD1157" s="7"/>
      <c r="ROE1157" s="7"/>
      <c r="ROF1157" s="7"/>
      <c r="ROG1157" s="7"/>
      <c r="ROH1157" s="7"/>
      <c r="ROI1157" s="7"/>
      <c r="ROJ1157" s="7"/>
      <c r="ROK1157" s="7"/>
      <c r="ROL1157" s="7"/>
      <c r="ROM1157" s="7"/>
      <c r="RON1157" s="7"/>
      <c r="ROO1157" s="7"/>
      <c r="ROP1157" s="7"/>
      <c r="ROQ1157" s="7"/>
      <c r="ROR1157" s="7"/>
      <c r="ROS1157" s="7"/>
      <c r="ROT1157" s="7"/>
      <c r="ROU1157" s="7"/>
      <c r="ROV1157" s="7"/>
      <c r="ROW1157" s="7"/>
      <c r="ROX1157" s="7"/>
      <c r="ROY1157" s="7"/>
      <c r="ROZ1157" s="7"/>
      <c r="RPA1157" s="7"/>
      <c r="RPB1157" s="7"/>
      <c r="RPC1157" s="7"/>
      <c r="RPD1157" s="7"/>
      <c r="RPE1157" s="7"/>
      <c r="RPF1157" s="7"/>
      <c r="RPG1157" s="7"/>
      <c r="RPH1157" s="7"/>
      <c r="RPI1157" s="7"/>
      <c r="RPJ1157" s="7"/>
      <c r="RPK1157" s="7"/>
      <c r="RPL1157" s="7"/>
      <c r="RPM1157" s="7"/>
      <c r="RPN1157" s="7"/>
      <c r="RPO1157" s="7"/>
      <c r="RPP1157" s="7"/>
      <c r="RPQ1157" s="7"/>
      <c r="RPR1157" s="7"/>
      <c r="RPS1157" s="7"/>
      <c r="RPT1157" s="7"/>
      <c r="RPU1157" s="7"/>
      <c r="RPV1157" s="7"/>
      <c r="RPW1157" s="7"/>
      <c r="RPX1157" s="7"/>
      <c r="RPY1157" s="7"/>
      <c r="RPZ1157" s="7"/>
      <c r="RQA1157" s="7"/>
      <c r="RQB1157" s="7"/>
      <c r="RQC1157" s="7"/>
      <c r="RQD1157" s="7"/>
      <c r="RQE1157" s="7"/>
      <c r="RQF1157" s="7"/>
      <c r="RQG1157" s="7"/>
      <c r="RQH1157" s="7"/>
      <c r="RQI1157" s="7"/>
      <c r="RQJ1157" s="7"/>
      <c r="RQK1157" s="7"/>
      <c r="RQL1157" s="7"/>
      <c r="RQM1157" s="7"/>
      <c r="RQN1157" s="7"/>
      <c r="RQO1157" s="7"/>
      <c r="RQP1157" s="7"/>
      <c r="RQQ1157" s="7"/>
      <c r="RQR1157" s="7"/>
      <c r="RQS1157" s="7"/>
      <c r="RQT1157" s="7"/>
      <c r="RQU1157" s="7"/>
      <c r="RQV1157" s="7"/>
      <c r="RQW1157" s="7"/>
      <c r="RQX1157" s="7"/>
      <c r="RQY1157" s="7"/>
      <c r="RQZ1157" s="7"/>
      <c r="RRA1157" s="7"/>
      <c r="RRB1157" s="7"/>
      <c r="RRC1157" s="7"/>
      <c r="RRD1157" s="7"/>
      <c r="RRE1157" s="7"/>
      <c r="RRF1157" s="7"/>
      <c r="RRG1157" s="7"/>
      <c r="RRH1157" s="7"/>
      <c r="RRI1157" s="7"/>
      <c r="RRJ1157" s="7"/>
      <c r="RRK1157" s="7"/>
      <c r="RRL1157" s="7"/>
      <c r="RRM1157" s="7"/>
      <c r="RRN1157" s="7"/>
      <c r="RRO1157" s="7"/>
      <c r="RRP1157" s="7"/>
      <c r="RRQ1157" s="7"/>
      <c r="RRR1157" s="7"/>
      <c r="RRS1157" s="7"/>
      <c r="RRT1157" s="7"/>
      <c r="RRU1157" s="7"/>
      <c r="RRV1157" s="7"/>
      <c r="RRW1157" s="7"/>
      <c r="RRX1157" s="7"/>
      <c r="RRY1157" s="7"/>
      <c r="RRZ1157" s="7"/>
      <c r="RSA1157" s="7"/>
      <c r="RSB1157" s="7"/>
      <c r="RSC1157" s="7"/>
      <c r="RSD1157" s="7"/>
      <c r="RSE1157" s="7"/>
      <c r="RSF1157" s="7"/>
      <c r="RSG1157" s="7"/>
      <c r="RSH1157" s="7"/>
      <c r="RSI1157" s="7"/>
      <c r="RSJ1157" s="7"/>
      <c r="RSK1157" s="7"/>
      <c r="RSL1157" s="7"/>
      <c r="RSM1157" s="7"/>
      <c r="RSN1157" s="7"/>
      <c r="RSO1157" s="7"/>
      <c r="RSP1157" s="7"/>
      <c r="RSQ1157" s="7"/>
      <c r="RSR1157" s="7"/>
      <c r="RSS1157" s="7"/>
      <c r="RST1157" s="7"/>
      <c r="RSU1157" s="7"/>
      <c r="RSV1157" s="7"/>
      <c r="RSW1157" s="7"/>
      <c r="RSX1157" s="7"/>
      <c r="RSY1157" s="7"/>
      <c r="RSZ1157" s="7"/>
      <c r="RTA1157" s="7"/>
      <c r="RTB1157" s="7"/>
      <c r="RTC1157" s="7"/>
      <c r="RTD1157" s="7"/>
      <c r="RTE1157" s="7"/>
      <c r="RTF1157" s="7"/>
      <c r="RTG1157" s="7"/>
      <c r="RTH1157" s="7"/>
      <c r="RTI1157" s="7"/>
      <c r="RTJ1157" s="7"/>
      <c r="RTK1157" s="7"/>
      <c r="RTL1157" s="7"/>
      <c r="RTM1157" s="7"/>
      <c r="RTN1157" s="7"/>
      <c r="RTO1157" s="7"/>
      <c r="RTP1157" s="7"/>
      <c r="RTQ1157" s="7"/>
      <c r="RTR1157" s="7"/>
      <c r="RTS1157" s="7"/>
      <c r="RTT1157" s="7"/>
      <c r="RTU1157" s="7"/>
      <c r="RTV1157" s="7"/>
      <c r="RTW1157" s="7"/>
      <c r="RTX1157" s="7"/>
      <c r="RTY1157" s="7"/>
      <c r="RTZ1157" s="7"/>
      <c r="RUA1157" s="7"/>
      <c r="RUB1157" s="7"/>
      <c r="RUC1157" s="7"/>
      <c r="RUD1157" s="7"/>
      <c r="RUE1157" s="7"/>
      <c r="RUF1157" s="7"/>
      <c r="RUG1157" s="7"/>
      <c r="RUH1157" s="7"/>
      <c r="RUI1157" s="7"/>
      <c r="RUJ1157" s="7"/>
      <c r="RUK1157" s="7"/>
      <c r="RUL1157" s="7"/>
      <c r="RUM1157" s="7"/>
      <c r="RUN1157" s="7"/>
      <c r="RUO1157" s="7"/>
      <c r="RUP1157" s="7"/>
      <c r="RUQ1157" s="7"/>
      <c r="RUR1157" s="7"/>
      <c r="RUS1157" s="7"/>
      <c r="RUT1157" s="7"/>
      <c r="RUU1157" s="7"/>
      <c r="RUV1157" s="7"/>
      <c r="RUW1157" s="7"/>
      <c r="RUX1157" s="7"/>
      <c r="RUY1157" s="7"/>
      <c r="RUZ1157" s="7"/>
      <c r="RVA1157" s="7"/>
      <c r="RVB1157" s="7"/>
      <c r="RVC1157" s="7"/>
      <c r="RVD1157" s="7"/>
      <c r="RVE1157" s="7"/>
      <c r="RVF1157" s="7"/>
      <c r="RVG1157" s="7"/>
      <c r="RVH1157" s="7"/>
      <c r="RVI1157" s="7"/>
      <c r="RVJ1157" s="7"/>
      <c r="RVK1157" s="7"/>
      <c r="RVL1157" s="7"/>
      <c r="RVM1157" s="7"/>
      <c r="RVN1157" s="7"/>
      <c r="RVO1157" s="7"/>
      <c r="RVP1157" s="7"/>
      <c r="RVQ1157" s="7"/>
      <c r="RVR1157" s="7"/>
      <c r="RVS1157" s="7"/>
      <c r="RVT1157" s="7"/>
      <c r="RVU1157" s="7"/>
      <c r="RVV1157" s="7"/>
      <c r="RVW1157" s="7"/>
      <c r="RVX1157" s="7"/>
      <c r="RVY1157" s="7"/>
      <c r="RVZ1157" s="7"/>
      <c r="RWA1157" s="7"/>
      <c r="RWB1157" s="7"/>
      <c r="RWC1157" s="7"/>
      <c r="RWD1157" s="7"/>
      <c r="RWE1157" s="7"/>
      <c r="RWF1157" s="7"/>
      <c r="RWG1157" s="7"/>
      <c r="RWH1157" s="7"/>
      <c r="RWI1157" s="7"/>
      <c r="RWJ1157" s="7"/>
      <c r="RWK1157" s="7"/>
      <c r="RWL1157" s="7"/>
      <c r="RWM1157" s="7"/>
      <c r="RWN1157" s="7"/>
      <c r="RWO1157" s="7"/>
      <c r="RWP1157" s="7"/>
      <c r="RWQ1157" s="7"/>
      <c r="RWR1157" s="7"/>
      <c r="RWS1157" s="7"/>
      <c r="RWT1157" s="7"/>
      <c r="RWU1157" s="7"/>
      <c r="RWV1157" s="7"/>
      <c r="RWW1157" s="7"/>
      <c r="RWX1157" s="7"/>
      <c r="RWY1157" s="7"/>
      <c r="RWZ1157" s="7"/>
      <c r="RXA1157" s="7"/>
      <c r="RXB1157" s="7"/>
      <c r="RXC1157" s="7"/>
      <c r="RXD1157" s="7"/>
      <c r="RXE1157" s="7"/>
      <c r="RXF1157" s="7"/>
      <c r="RXG1157" s="7"/>
      <c r="RXH1157" s="7"/>
      <c r="RXI1157" s="7"/>
      <c r="RXJ1157" s="7"/>
      <c r="RXK1157" s="7"/>
      <c r="RXL1157" s="7"/>
      <c r="RXM1157" s="7"/>
      <c r="RXN1157" s="7"/>
      <c r="RXO1157" s="7"/>
      <c r="RXP1157" s="7"/>
      <c r="RXQ1157" s="7"/>
      <c r="RXR1157" s="7"/>
      <c r="RXS1157" s="7"/>
      <c r="RXT1157" s="7"/>
      <c r="RXU1157" s="7"/>
      <c r="RXV1157" s="7"/>
      <c r="RXW1157" s="7"/>
      <c r="RXX1157" s="7"/>
      <c r="RXY1157" s="7"/>
      <c r="RXZ1157" s="7"/>
      <c r="RYA1157" s="7"/>
      <c r="RYB1157" s="7"/>
      <c r="RYC1157" s="7"/>
      <c r="RYD1157" s="7"/>
      <c r="RYE1157" s="7"/>
      <c r="RYF1157" s="7"/>
      <c r="RYG1157" s="7"/>
      <c r="RYH1157" s="7"/>
      <c r="RYI1157" s="7"/>
      <c r="RYJ1157" s="7"/>
      <c r="RYK1157" s="7"/>
      <c r="RYL1157" s="7"/>
      <c r="RYM1157" s="7"/>
      <c r="RYN1157" s="7"/>
      <c r="RYO1157" s="7"/>
      <c r="RYP1157" s="7"/>
      <c r="RYQ1157" s="7"/>
      <c r="RYR1157" s="7"/>
      <c r="RYS1157" s="7"/>
      <c r="RYT1157" s="7"/>
      <c r="RYU1157" s="7"/>
      <c r="RYV1157" s="7"/>
      <c r="RYW1157" s="7"/>
      <c r="RYX1157" s="7"/>
      <c r="RYY1157" s="7"/>
      <c r="RYZ1157" s="7"/>
      <c r="RZA1157" s="7"/>
      <c r="RZB1157" s="7"/>
      <c r="RZC1157" s="7"/>
      <c r="RZD1157" s="7"/>
      <c r="RZE1157" s="7"/>
      <c r="RZF1157" s="7"/>
      <c r="RZG1157" s="7"/>
      <c r="RZH1157" s="7"/>
      <c r="RZI1157" s="7"/>
      <c r="RZJ1157" s="7"/>
      <c r="RZK1157" s="7"/>
      <c r="RZL1157" s="7"/>
      <c r="RZM1157" s="7"/>
      <c r="RZN1157" s="7"/>
      <c r="RZO1157" s="7"/>
      <c r="RZP1157" s="7"/>
      <c r="RZQ1157" s="7"/>
      <c r="RZR1157" s="7"/>
      <c r="RZS1157" s="7"/>
      <c r="RZT1157" s="7"/>
      <c r="RZU1157" s="7"/>
      <c r="RZV1157" s="7"/>
      <c r="RZW1157" s="7"/>
      <c r="RZX1157" s="7"/>
      <c r="RZY1157" s="7"/>
      <c r="RZZ1157" s="7"/>
      <c r="SAA1157" s="7"/>
      <c r="SAB1157" s="7"/>
      <c r="SAC1157" s="7"/>
      <c r="SAD1157" s="7"/>
      <c r="SAE1157" s="7"/>
      <c r="SAF1157" s="7"/>
      <c r="SAG1157" s="7"/>
      <c r="SAH1157" s="7"/>
      <c r="SAI1157" s="7"/>
      <c r="SAJ1157" s="7"/>
      <c r="SAK1157" s="7"/>
      <c r="SAL1157" s="7"/>
      <c r="SAM1157" s="7"/>
      <c r="SAN1157" s="7"/>
      <c r="SAO1157" s="7"/>
      <c r="SAP1157" s="7"/>
      <c r="SAQ1157" s="7"/>
      <c r="SAR1157" s="7"/>
      <c r="SAS1157" s="7"/>
      <c r="SAT1157" s="7"/>
      <c r="SAU1157" s="7"/>
      <c r="SAV1157" s="7"/>
      <c r="SAW1157" s="7"/>
      <c r="SAX1157" s="7"/>
      <c r="SAY1157" s="7"/>
      <c r="SAZ1157" s="7"/>
      <c r="SBA1157" s="7"/>
      <c r="SBB1157" s="7"/>
      <c r="SBC1157" s="7"/>
      <c r="SBD1157" s="7"/>
      <c r="SBE1157" s="7"/>
      <c r="SBF1157" s="7"/>
      <c r="SBG1157" s="7"/>
      <c r="SBH1157" s="7"/>
      <c r="SBI1157" s="7"/>
      <c r="SBJ1157" s="7"/>
      <c r="SBK1157" s="7"/>
      <c r="SBL1157" s="7"/>
      <c r="SBM1157" s="7"/>
      <c r="SBN1157" s="7"/>
      <c r="SBO1157" s="7"/>
      <c r="SBP1157" s="7"/>
      <c r="SBQ1157" s="7"/>
      <c r="SBR1157" s="7"/>
      <c r="SBS1157" s="7"/>
      <c r="SBT1157" s="7"/>
      <c r="SBU1157" s="7"/>
      <c r="SBV1157" s="7"/>
      <c r="SBW1157" s="7"/>
      <c r="SBX1157" s="7"/>
      <c r="SBY1157" s="7"/>
      <c r="SBZ1157" s="7"/>
      <c r="SCA1157" s="7"/>
      <c r="SCB1157" s="7"/>
      <c r="SCC1157" s="7"/>
      <c r="SCD1157" s="7"/>
      <c r="SCE1157" s="7"/>
      <c r="SCF1157" s="7"/>
      <c r="SCG1157" s="7"/>
      <c r="SCH1157" s="7"/>
      <c r="SCI1157" s="7"/>
      <c r="SCJ1157" s="7"/>
      <c r="SCK1157" s="7"/>
      <c r="SCL1157" s="7"/>
      <c r="SCM1157" s="7"/>
      <c r="SCN1157" s="7"/>
      <c r="SCO1157" s="7"/>
      <c r="SCP1157" s="7"/>
      <c r="SCQ1157" s="7"/>
      <c r="SCR1157" s="7"/>
      <c r="SCS1157" s="7"/>
      <c r="SCT1157" s="7"/>
      <c r="SCU1157" s="7"/>
      <c r="SCV1157" s="7"/>
      <c r="SCW1157" s="7"/>
      <c r="SCX1157" s="7"/>
      <c r="SCY1157" s="7"/>
      <c r="SCZ1157" s="7"/>
      <c r="SDA1157" s="7"/>
      <c r="SDB1157" s="7"/>
      <c r="SDC1157" s="7"/>
      <c r="SDD1157" s="7"/>
      <c r="SDE1157" s="7"/>
      <c r="SDF1157" s="7"/>
      <c r="SDG1157" s="7"/>
      <c r="SDH1157" s="7"/>
      <c r="SDI1157" s="7"/>
      <c r="SDJ1157" s="7"/>
      <c r="SDK1157" s="7"/>
      <c r="SDL1157" s="7"/>
      <c r="SDM1157" s="7"/>
      <c r="SDN1157" s="7"/>
      <c r="SDO1157" s="7"/>
      <c r="SDP1157" s="7"/>
      <c r="SDQ1157" s="7"/>
      <c r="SDR1157" s="7"/>
      <c r="SDS1157" s="7"/>
      <c r="SDT1157" s="7"/>
      <c r="SDU1157" s="7"/>
      <c r="SDV1157" s="7"/>
      <c r="SDW1157" s="7"/>
      <c r="SDX1157" s="7"/>
      <c r="SDY1157" s="7"/>
      <c r="SDZ1157" s="7"/>
      <c r="SEA1157" s="7"/>
      <c r="SEB1157" s="7"/>
      <c r="SEC1157" s="7"/>
      <c r="SED1157" s="7"/>
      <c r="SEE1157" s="7"/>
      <c r="SEF1157" s="7"/>
      <c r="SEG1157" s="7"/>
      <c r="SEH1157" s="7"/>
      <c r="SEI1157" s="7"/>
      <c r="SEJ1157" s="7"/>
      <c r="SEK1157" s="7"/>
      <c r="SEL1157" s="7"/>
      <c r="SEM1157" s="7"/>
      <c r="SEN1157" s="7"/>
      <c r="SEO1157" s="7"/>
      <c r="SEP1157" s="7"/>
      <c r="SEQ1157" s="7"/>
      <c r="SER1157" s="7"/>
      <c r="SES1157" s="7"/>
      <c r="SET1157" s="7"/>
      <c r="SEU1157" s="7"/>
      <c r="SEV1157" s="7"/>
      <c r="SEW1157" s="7"/>
      <c r="SEX1157" s="7"/>
      <c r="SEY1157" s="7"/>
      <c r="SEZ1157" s="7"/>
      <c r="SFA1157" s="7"/>
      <c r="SFB1157" s="7"/>
      <c r="SFC1157" s="7"/>
      <c r="SFD1157" s="7"/>
      <c r="SFE1157" s="7"/>
      <c r="SFF1157" s="7"/>
      <c r="SFG1157" s="7"/>
      <c r="SFH1157" s="7"/>
      <c r="SFI1157" s="7"/>
      <c r="SFJ1157" s="7"/>
      <c r="SFK1157" s="7"/>
      <c r="SFL1157" s="7"/>
      <c r="SFM1157" s="7"/>
      <c r="SFN1157" s="7"/>
      <c r="SFO1157" s="7"/>
      <c r="SFP1157" s="7"/>
      <c r="SFQ1157" s="7"/>
      <c r="SFR1157" s="7"/>
      <c r="SFS1157" s="7"/>
      <c r="SFT1157" s="7"/>
      <c r="SFU1157" s="7"/>
      <c r="SFV1157" s="7"/>
      <c r="SFW1157" s="7"/>
      <c r="SFX1157" s="7"/>
      <c r="SFY1157" s="7"/>
      <c r="SFZ1157" s="7"/>
      <c r="SGA1157" s="7"/>
      <c r="SGB1157" s="7"/>
      <c r="SGC1157" s="7"/>
      <c r="SGD1157" s="7"/>
      <c r="SGE1157" s="7"/>
      <c r="SGF1157" s="7"/>
      <c r="SGG1157" s="7"/>
      <c r="SGH1157" s="7"/>
      <c r="SGI1157" s="7"/>
      <c r="SGJ1157" s="7"/>
      <c r="SGK1157" s="7"/>
      <c r="SGL1157" s="7"/>
      <c r="SGM1157" s="7"/>
      <c r="SGN1157" s="7"/>
      <c r="SGO1157" s="7"/>
      <c r="SGP1157" s="7"/>
      <c r="SGQ1157" s="7"/>
      <c r="SGR1157" s="7"/>
      <c r="SGS1157" s="7"/>
      <c r="SGT1157" s="7"/>
      <c r="SGU1157" s="7"/>
      <c r="SGV1157" s="7"/>
      <c r="SGW1157" s="7"/>
      <c r="SGX1157" s="7"/>
      <c r="SGY1157" s="7"/>
      <c r="SGZ1157" s="7"/>
      <c r="SHA1157" s="7"/>
      <c r="SHB1157" s="7"/>
      <c r="SHC1157" s="7"/>
      <c r="SHD1157" s="7"/>
      <c r="SHE1157" s="7"/>
      <c r="SHF1157" s="7"/>
      <c r="SHG1157" s="7"/>
      <c r="SHH1157" s="7"/>
      <c r="SHI1157" s="7"/>
      <c r="SHJ1157" s="7"/>
      <c r="SHK1157" s="7"/>
      <c r="SHL1157" s="7"/>
      <c r="SHM1157" s="7"/>
      <c r="SHN1157" s="7"/>
      <c r="SHO1157" s="7"/>
      <c r="SHP1157" s="7"/>
      <c r="SHQ1157" s="7"/>
      <c r="SHR1157" s="7"/>
      <c r="SHS1157" s="7"/>
      <c r="SHT1157" s="7"/>
      <c r="SHU1157" s="7"/>
      <c r="SHV1157" s="7"/>
      <c r="SHW1157" s="7"/>
      <c r="SHX1157" s="7"/>
      <c r="SHY1157" s="7"/>
      <c r="SHZ1157" s="7"/>
      <c r="SIA1157" s="7"/>
      <c r="SIB1157" s="7"/>
      <c r="SIC1157" s="7"/>
      <c r="SID1157" s="7"/>
      <c r="SIE1157" s="7"/>
      <c r="SIF1157" s="7"/>
      <c r="SIG1157" s="7"/>
      <c r="SIH1157" s="7"/>
      <c r="SII1157" s="7"/>
      <c r="SIJ1157" s="7"/>
      <c r="SIK1157" s="7"/>
      <c r="SIL1157" s="7"/>
      <c r="SIM1157" s="7"/>
      <c r="SIN1157" s="7"/>
      <c r="SIO1157" s="7"/>
      <c r="SIP1157" s="7"/>
      <c r="SIQ1157" s="7"/>
      <c r="SIR1157" s="7"/>
      <c r="SIS1157" s="7"/>
      <c r="SIT1157" s="7"/>
      <c r="SIU1157" s="7"/>
      <c r="SIV1157" s="7"/>
      <c r="SIW1157" s="7"/>
      <c r="SIX1157" s="7"/>
      <c r="SIY1157" s="7"/>
      <c r="SIZ1157" s="7"/>
      <c r="SJA1157" s="7"/>
      <c r="SJB1157" s="7"/>
      <c r="SJC1157" s="7"/>
      <c r="SJD1157" s="7"/>
      <c r="SJE1157" s="7"/>
      <c r="SJF1157" s="7"/>
      <c r="SJG1157" s="7"/>
      <c r="SJH1157" s="7"/>
      <c r="SJI1157" s="7"/>
      <c r="SJJ1157" s="7"/>
      <c r="SJK1157" s="7"/>
      <c r="SJL1157" s="7"/>
      <c r="SJM1157" s="7"/>
      <c r="SJN1157" s="7"/>
      <c r="SJO1157" s="7"/>
      <c r="SJP1157" s="7"/>
      <c r="SJQ1157" s="7"/>
      <c r="SJR1157" s="7"/>
      <c r="SJS1157" s="7"/>
      <c r="SJT1157" s="7"/>
      <c r="SJU1157" s="7"/>
      <c r="SJV1157" s="7"/>
      <c r="SJW1157" s="7"/>
      <c r="SJX1157" s="7"/>
      <c r="SJY1157" s="7"/>
      <c r="SJZ1157" s="7"/>
      <c r="SKA1157" s="7"/>
      <c r="SKB1157" s="7"/>
      <c r="SKC1157" s="7"/>
      <c r="SKD1157" s="7"/>
      <c r="SKE1157" s="7"/>
      <c r="SKF1157" s="7"/>
      <c r="SKG1157" s="7"/>
      <c r="SKH1157" s="7"/>
      <c r="SKI1157" s="7"/>
      <c r="SKJ1157" s="7"/>
      <c r="SKK1157" s="7"/>
      <c r="SKL1157" s="7"/>
      <c r="SKM1157" s="7"/>
      <c r="SKN1157" s="7"/>
      <c r="SKO1157" s="7"/>
      <c r="SKP1157" s="7"/>
      <c r="SKQ1157" s="7"/>
      <c r="SKR1157" s="7"/>
      <c r="SKS1157" s="7"/>
      <c r="SKT1157" s="7"/>
      <c r="SKU1157" s="7"/>
      <c r="SKV1157" s="7"/>
      <c r="SKW1157" s="7"/>
      <c r="SKX1157" s="7"/>
      <c r="SKY1157" s="7"/>
      <c r="SKZ1157" s="7"/>
      <c r="SLA1157" s="7"/>
      <c r="SLB1157" s="7"/>
      <c r="SLC1157" s="7"/>
      <c r="SLD1157" s="7"/>
      <c r="SLE1157" s="7"/>
      <c r="SLF1157" s="7"/>
      <c r="SLG1157" s="7"/>
      <c r="SLH1157" s="7"/>
      <c r="SLI1157" s="7"/>
      <c r="SLJ1157" s="7"/>
      <c r="SLK1157" s="7"/>
      <c r="SLL1157" s="7"/>
      <c r="SLM1157" s="7"/>
      <c r="SLN1157" s="7"/>
      <c r="SLO1157" s="7"/>
      <c r="SLP1157" s="7"/>
      <c r="SLQ1157" s="7"/>
      <c r="SLR1157" s="7"/>
      <c r="SLS1157" s="7"/>
      <c r="SLT1157" s="7"/>
      <c r="SLU1157" s="7"/>
      <c r="SLV1157" s="7"/>
      <c r="SLW1157" s="7"/>
      <c r="SLX1157" s="7"/>
      <c r="SLY1157" s="7"/>
      <c r="SLZ1157" s="7"/>
      <c r="SMA1157" s="7"/>
      <c r="SMB1157" s="7"/>
      <c r="SMC1157" s="7"/>
      <c r="SMD1157" s="7"/>
      <c r="SME1157" s="7"/>
      <c r="SMF1157" s="7"/>
      <c r="SMG1157" s="7"/>
      <c r="SMH1157" s="7"/>
      <c r="SMI1157" s="7"/>
      <c r="SMJ1157" s="7"/>
      <c r="SMK1157" s="7"/>
      <c r="SML1157" s="7"/>
      <c r="SMM1157" s="7"/>
      <c r="SMN1157" s="7"/>
      <c r="SMO1157" s="7"/>
      <c r="SMP1157" s="7"/>
      <c r="SMQ1157" s="7"/>
      <c r="SMR1157" s="7"/>
      <c r="SMS1157" s="7"/>
      <c r="SMT1157" s="7"/>
      <c r="SMU1157" s="7"/>
      <c r="SMV1157" s="7"/>
      <c r="SMW1157" s="7"/>
      <c r="SMX1157" s="7"/>
      <c r="SMY1157" s="7"/>
      <c r="SMZ1157" s="7"/>
      <c r="SNA1157" s="7"/>
      <c r="SNB1157" s="7"/>
      <c r="SNC1157" s="7"/>
      <c r="SND1157" s="7"/>
      <c r="SNE1157" s="7"/>
      <c r="SNF1157" s="7"/>
      <c r="SNG1157" s="7"/>
      <c r="SNH1157" s="7"/>
      <c r="SNI1157" s="7"/>
      <c r="SNJ1157" s="7"/>
      <c r="SNK1157" s="7"/>
      <c r="SNL1157" s="7"/>
      <c r="SNM1157" s="7"/>
      <c r="SNN1157" s="7"/>
      <c r="SNO1157" s="7"/>
      <c r="SNP1157" s="7"/>
      <c r="SNQ1157" s="7"/>
      <c r="SNR1157" s="7"/>
      <c r="SNS1157" s="7"/>
      <c r="SNT1157" s="7"/>
      <c r="SNU1157" s="7"/>
      <c r="SNV1157" s="7"/>
      <c r="SNW1157" s="7"/>
      <c r="SNX1157" s="7"/>
      <c r="SNY1157" s="7"/>
      <c r="SNZ1157" s="7"/>
      <c r="SOA1157" s="7"/>
      <c r="SOB1157" s="7"/>
      <c r="SOC1157" s="7"/>
      <c r="SOD1157" s="7"/>
      <c r="SOE1157" s="7"/>
      <c r="SOF1157" s="7"/>
      <c r="SOG1157" s="7"/>
      <c r="SOH1157" s="7"/>
      <c r="SOI1157" s="7"/>
      <c r="SOJ1157" s="7"/>
      <c r="SOK1157" s="7"/>
      <c r="SOL1157" s="7"/>
      <c r="SOM1157" s="7"/>
      <c r="SON1157" s="7"/>
      <c r="SOO1157" s="7"/>
      <c r="SOP1157" s="7"/>
      <c r="SOQ1157" s="7"/>
      <c r="SOR1157" s="7"/>
      <c r="SOS1157" s="7"/>
      <c r="SOT1157" s="7"/>
      <c r="SOU1157" s="7"/>
      <c r="SOV1157" s="7"/>
      <c r="SOW1157" s="7"/>
      <c r="SOX1157" s="7"/>
      <c r="SOY1157" s="7"/>
      <c r="SOZ1157" s="7"/>
      <c r="SPA1157" s="7"/>
      <c r="SPB1157" s="7"/>
      <c r="SPC1157" s="7"/>
      <c r="SPD1157" s="7"/>
      <c r="SPE1157" s="7"/>
      <c r="SPF1157" s="7"/>
      <c r="SPG1157" s="7"/>
      <c r="SPH1157" s="7"/>
      <c r="SPI1157" s="7"/>
      <c r="SPJ1157" s="7"/>
      <c r="SPK1157" s="7"/>
      <c r="SPL1157" s="7"/>
      <c r="SPM1157" s="7"/>
      <c r="SPN1157" s="7"/>
      <c r="SPO1157" s="7"/>
      <c r="SPP1157" s="7"/>
      <c r="SPQ1157" s="7"/>
      <c r="SPR1157" s="7"/>
      <c r="SPS1157" s="7"/>
      <c r="SPT1157" s="7"/>
      <c r="SPU1157" s="7"/>
      <c r="SPV1157" s="7"/>
      <c r="SPW1157" s="7"/>
      <c r="SPX1157" s="7"/>
      <c r="SPY1157" s="7"/>
      <c r="SPZ1157" s="7"/>
      <c r="SQA1157" s="7"/>
      <c r="SQB1157" s="7"/>
      <c r="SQC1157" s="7"/>
      <c r="SQD1157" s="7"/>
      <c r="SQE1157" s="7"/>
      <c r="SQF1157" s="7"/>
      <c r="SQG1157" s="7"/>
      <c r="SQH1157" s="7"/>
      <c r="SQI1157" s="7"/>
      <c r="SQJ1157" s="7"/>
      <c r="SQK1157" s="7"/>
      <c r="SQL1157" s="7"/>
      <c r="SQM1157" s="7"/>
      <c r="SQN1157" s="7"/>
      <c r="SQO1157" s="7"/>
      <c r="SQP1157" s="7"/>
      <c r="SQQ1157" s="7"/>
      <c r="SQR1157" s="7"/>
      <c r="SQS1157" s="7"/>
      <c r="SQT1157" s="7"/>
      <c r="SQU1157" s="7"/>
      <c r="SQV1157" s="7"/>
      <c r="SQW1157" s="7"/>
      <c r="SQX1157" s="7"/>
      <c r="SQY1157" s="7"/>
      <c r="SQZ1157" s="7"/>
      <c r="SRA1157" s="7"/>
      <c r="SRB1157" s="7"/>
      <c r="SRC1157" s="7"/>
      <c r="SRD1157" s="7"/>
      <c r="SRE1157" s="7"/>
      <c r="SRF1157" s="7"/>
      <c r="SRG1157" s="7"/>
      <c r="SRH1157" s="7"/>
      <c r="SRI1157" s="7"/>
      <c r="SRJ1157" s="7"/>
      <c r="SRK1157" s="7"/>
      <c r="SRL1157" s="7"/>
      <c r="SRM1157" s="7"/>
      <c r="SRN1157" s="7"/>
      <c r="SRO1157" s="7"/>
      <c r="SRP1157" s="7"/>
      <c r="SRQ1157" s="7"/>
      <c r="SRR1157" s="7"/>
      <c r="SRS1157" s="7"/>
      <c r="SRT1157" s="7"/>
      <c r="SRU1157" s="7"/>
      <c r="SRV1157" s="7"/>
      <c r="SRW1157" s="7"/>
      <c r="SRX1157" s="7"/>
      <c r="SRY1157" s="7"/>
      <c r="SRZ1157" s="7"/>
      <c r="SSA1157" s="7"/>
      <c r="SSB1157" s="7"/>
      <c r="SSC1157" s="7"/>
      <c r="SSD1157" s="7"/>
      <c r="SSE1157" s="7"/>
      <c r="SSF1157" s="7"/>
      <c r="SSG1157" s="7"/>
      <c r="SSH1157" s="7"/>
      <c r="SSI1157" s="7"/>
      <c r="SSJ1157" s="7"/>
      <c r="SSK1157" s="7"/>
      <c r="SSL1157" s="7"/>
      <c r="SSM1157" s="7"/>
      <c r="SSN1157" s="7"/>
      <c r="SSO1157" s="7"/>
      <c r="SSP1157" s="7"/>
      <c r="SSQ1157" s="7"/>
      <c r="SSR1157" s="7"/>
      <c r="SSS1157" s="7"/>
      <c r="SST1157" s="7"/>
      <c r="SSU1157" s="7"/>
      <c r="SSV1157" s="7"/>
      <c r="SSW1157" s="7"/>
      <c r="SSX1157" s="7"/>
      <c r="SSY1157" s="7"/>
      <c r="SSZ1157" s="7"/>
      <c r="STA1157" s="7"/>
      <c r="STB1157" s="7"/>
      <c r="STC1157" s="7"/>
      <c r="STD1157" s="7"/>
      <c r="STE1157" s="7"/>
      <c r="STF1157" s="7"/>
      <c r="STG1157" s="7"/>
      <c r="STH1157" s="7"/>
      <c r="STI1157" s="7"/>
      <c r="STJ1157" s="7"/>
      <c r="STK1157" s="7"/>
      <c r="STL1157" s="7"/>
      <c r="STM1157" s="7"/>
      <c r="STN1157" s="7"/>
      <c r="STO1157" s="7"/>
      <c r="STP1157" s="7"/>
      <c r="STQ1157" s="7"/>
      <c r="STR1157" s="7"/>
      <c r="STS1157" s="7"/>
      <c r="STT1157" s="7"/>
      <c r="STU1157" s="7"/>
      <c r="STV1157" s="7"/>
      <c r="STW1157" s="7"/>
      <c r="STX1157" s="7"/>
      <c r="STY1157" s="7"/>
      <c r="STZ1157" s="7"/>
      <c r="SUA1157" s="7"/>
      <c r="SUB1157" s="7"/>
      <c r="SUC1157" s="7"/>
      <c r="SUD1157" s="7"/>
      <c r="SUE1157" s="7"/>
      <c r="SUF1157" s="7"/>
      <c r="SUG1157" s="7"/>
      <c r="SUH1157" s="7"/>
      <c r="SUI1157" s="7"/>
      <c r="SUJ1157" s="7"/>
      <c r="SUK1157" s="7"/>
      <c r="SUL1157" s="7"/>
      <c r="SUM1157" s="7"/>
      <c r="SUN1157" s="7"/>
      <c r="SUO1157" s="7"/>
      <c r="SUP1157" s="7"/>
      <c r="SUQ1157" s="7"/>
      <c r="SUR1157" s="7"/>
      <c r="SUS1157" s="7"/>
      <c r="SUT1157" s="7"/>
      <c r="SUU1157" s="7"/>
      <c r="SUV1157" s="7"/>
      <c r="SUW1157" s="7"/>
      <c r="SUX1157" s="7"/>
      <c r="SUY1157" s="7"/>
      <c r="SUZ1157" s="7"/>
      <c r="SVA1157" s="7"/>
      <c r="SVB1157" s="7"/>
      <c r="SVC1157" s="7"/>
      <c r="SVD1157" s="7"/>
      <c r="SVE1157" s="7"/>
      <c r="SVF1157" s="7"/>
      <c r="SVG1157" s="7"/>
      <c r="SVH1157" s="7"/>
      <c r="SVI1157" s="7"/>
      <c r="SVJ1157" s="7"/>
      <c r="SVK1157" s="7"/>
      <c r="SVL1157" s="7"/>
      <c r="SVM1157" s="7"/>
      <c r="SVN1157" s="7"/>
      <c r="SVO1157" s="7"/>
      <c r="SVP1157" s="7"/>
      <c r="SVQ1157" s="7"/>
      <c r="SVR1157" s="7"/>
      <c r="SVS1157" s="7"/>
      <c r="SVT1157" s="7"/>
      <c r="SVU1157" s="7"/>
      <c r="SVV1157" s="7"/>
      <c r="SVW1157" s="7"/>
      <c r="SVX1157" s="7"/>
      <c r="SVY1157" s="7"/>
      <c r="SVZ1157" s="7"/>
      <c r="SWA1157" s="7"/>
      <c r="SWB1157" s="7"/>
      <c r="SWC1157" s="7"/>
      <c r="SWD1157" s="7"/>
      <c r="SWE1157" s="7"/>
      <c r="SWF1157" s="7"/>
      <c r="SWG1157" s="7"/>
      <c r="SWH1157" s="7"/>
      <c r="SWI1157" s="7"/>
      <c r="SWJ1157" s="7"/>
      <c r="SWK1157" s="7"/>
      <c r="SWL1157" s="7"/>
      <c r="SWM1157" s="7"/>
      <c r="SWN1157" s="7"/>
      <c r="SWO1157" s="7"/>
      <c r="SWP1157" s="7"/>
      <c r="SWQ1157" s="7"/>
      <c r="SWR1157" s="7"/>
      <c r="SWS1157" s="7"/>
      <c r="SWT1157" s="7"/>
      <c r="SWU1157" s="7"/>
      <c r="SWV1157" s="7"/>
      <c r="SWW1157" s="7"/>
      <c r="SWX1157" s="7"/>
      <c r="SWY1157" s="7"/>
      <c r="SWZ1157" s="7"/>
      <c r="SXA1157" s="7"/>
      <c r="SXB1157" s="7"/>
      <c r="SXC1157" s="7"/>
      <c r="SXD1157" s="7"/>
      <c r="SXE1157" s="7"/>
      <c r="SXF1157" s="7"/>
      <c r="SXG1157" s="7"/>
      <c r="SXH1157" s="7"/>
      <c r="SXI1157" s="7"/>
      <c r="SXJ1157" s="7"/>
      <c r="SXK1157" s="7"/>
      <c r="SXL1157" s="7"/>
      <c r="SXM1157" s="7"/>
      <c r="SXN1157" s="7"/>
      <c r="SXO1157" s="7"/>
      <c r="SXP1157" s="7"/>
      <c r="SXQ1157" s="7"/>
      <c r="SXR1157" s="7"/>
      <c r="SXS1157" s="7"/>
      <c r="SXT1157" s="7"/>
      <c r="SXU1157" s="7"/>
      <c r="SXV1157" s="7"/>
      <c r="SXW1157" s="7"/>
      <c r="SXX1157" s="7"/>
      <c r="SXY1157" s="7"/>
      <c r="SXZ1157" s="7"/>
      <c r="SYA1157" s="7"/>
      <c r="SYB1157" s="7"/>
      <c r="SYC1157" s="7"/>
      <c r="SYD1157" s="7"/>
      <c r="SYE1157" s="7"/>
      <c r="SYF1157" s="7"/>
      <c r="SYG1157" s="7"/>
      <c r="SYH1157" s="7"/>
      <c r="SYI1157" s="7"/>
      <c r="SYJ1157" s="7"/>
      <c r="SYK1157" s="7"/>
      <c r="SYL1157" s="7"/>
      <c r="SYM1157" s="7"/>
      <c r="SYN1157" s="7"/>
      <c r="SYO1157" s="7"/>
      <c r="SYP1157" s="7"/>
      <c r="SYQ1157" s="7"/>
      <c r="SYR1157" s="7"/>
      <c r="SYS1157" s="7"/>
      <c r="SYT1157" s="7"/>
      <c r="SYU1157" s="7"/>
      <c r="SYV1157" s="7"/>
      <c r="SYW1157" s="7"/>
      <c r="SYX1157" s="7"/>
      <c r="SYY1157" s="7"/>
      <c r="SYZ1157" s="7"/>
      <c r="SZA1157" s="7"/>
      <c r="SZB1157" s="7"/>
      <c r="SZC1157" s="7"/>
      <c r="SZD1157" s="7"/>
      <c r="SZE1157" s="7"/>
      <c r="SZF1157" s="7"/>
      <c r="SZG1157" s="7"/>
      <c r="SZH1157" s="7"/>
      <c r="SZI1157" s="7"/>
      <c r="SZJ1157" s="7"/>
      <c r="SZK1157" s="7"/>
      <c r="SZL1157" s="7"/>
      <c r="SZM1157" s="7"/>
      <c r="SZN1157" s="7"/>
      <c r="SZO1157" s="7"/>
      <c r="SZP1157" s="7"/>
      <c r="SZQ1157" s="7"/>
      <c r="SZR1157" s="7"/>
      <c r="SZS1157" s="7"/>
      <c r="SZT1157" s="7"/>
      <c r="SZU1157" s="7"/>
      <c r="SZV1157" s="7"/>
      <c r="SZW1157" s="7"/>
      <c r="SZX1157" s="7"/>
      <c r="SZY1157" s="7"/>
      <c r="SZZ1157" s="7"/>
      <c r="TAA1157" s="7"/>
      <c r="TAB1157" s="7"/>
      <c r="TAC1157" s="7"/>
      <c r="TAD1157" s="7"/>
      <c r="TAE1157" s="7"/>
      <c r="TAF1157" s="7"/>
      <c r="TAG1157" s="7"/>
      <c r="TAH1157" s="7"/>
      <c r="TAI1157" s="7"/>
      <c r="TAJ1157" s="7"/>
      <c r="TAK1157" s="7"/>
      <c r="TAL1157" s="7"/>
      <c r="TAM1157" s="7"/>
      <c r="TAN1157" s="7"/>
      <c r="TAO1157" s="7"/>
      <c r="TAP1157" s="7"/>
      <c r="TAQ1157" s="7"/>
      <c r="TAR1157" s="7"/>
      <c r="TAS1157" s="7"/>
      <c r="TAT1157" s="7"/>
      <c r="TAU1157" s="7"/>
      <c r="TAV1157" s="7"/>
      <c r="TAW1157" s="7"/>
      <c r="TAX1157" s="7"/>
      <c r="TAY1157" s="7"/>
      <c r="TAZ1157" s="7"/>
      <c r="TBA1157" s="7"/>
      <c r="TBB1157" s="7"/>
      <c r="TBC1157" s="7"/>
      <c r="TBD1157" s="7"/>
      <c r="TBE1157" s="7"/>
      <c r="TBF1157" s="7"/>
      <c r="TBG1157" s="7"/>
      <c r="TBH1157" s="7"/>
      <c r="TBI1157" s="7"/>
      <c r="TBJ1157" s="7"/>
      <c r="TBK1157" s="7"/>
      <c r="TBL1157" s="7"/>
      <c r="TBM1157" s="7"/>
      <c r="TBN1157" s="7"/>
      <c r="TBO1157" s="7"/>
      <c r="TBP1157" s="7"/>
      <c r="TBQ1157" s="7"/>
      <c r="TBR1157" s="7"/>
      <c r="TBS1157" s="7"/>
      <c r="TBT1157" s="7"/>
      <c r="TBU1157" s="7"/>
      <c r="TBV1157" s="7"/>
      <c r="TBW1157" s="7"/>
      <c r="TBX1157" s="7"/>
      <c r="TBY1157" s="7"/>
      <c r="TBZ1157" s="7"/>
      <c r="TCA1157" s="7"/>
      <c r="TCB1157" s="7"/>
      <c r="TCC1157" s="7"/>
      <c r="TCD1157" s="7"/>
      <c r="TCE1157" s="7"/>
      <c r="TCF1157" s="7"/>
      <c r="TCG1157" s="7"/>
      <c r="TCH1157" s="7"/>
      <c r="TCI1157" s="7"/>
      <c r="TCJ1157" s="7"/>
      <c r="TCK1157" s="7"/>
      <c r="TCL1157" s="7"/>
      <c r="TCM1157" s="7"/>
      <c r="TCN1157" s="7"/>
      <c r="TCO1157" s="7"/>
      <c r="TCP1157" s="7"/>
      <c r="TCQ1157" s="7"/>
      <c r="TCR1157" s="7"/>
      <c r="TCS1157" s="7"/>
      <c r="TCT1157" s="7"/>
      <c r="TCU1157" s="7"/>
      <c r="TCV1157" s="7"/>
      <c r="TCW1157" s="7"/>
      <c r="TCX1157" s="7"/>
      <c r="TCY1157" s="7"/>
      <c r="TCZ1157" s="7"/>
      <c r="TDA1157" s="7"/>
      <c r="TDB1157" s="7"/>
      <c r="TDC1157" s="7"/>
      <c r="TDD1157" s="7"/>
      <c r="TDE1157" s="7"/>
      <c r="TDF1157" s="7"/>
      <c r="TDG1157" s="7"/>
      <c r="TDH1157" s="7"/>
      <c r="TDI1157" s="7"/>
      <c r="TDJ1157" s="7"/>
      <c r="TDK1157" s="7"/>
      <c r="TDL1157" s="7"/>
      <c r="TDM1157" s="7"/>
      <c r="TDN1157" s="7"/>
      <c r="TDO1157" s="7"/>
      <c r="TDP1157" s="7"/>
      <c r="TDQ1157" s="7"/>
      <c r="TDR1157" s="7"/>
      <c r="TDS1157" s="7"/>
      <c r="TDT1157" s="7"/>
      <c r="TDU1157" s="7"/>
      <c r="TDV1157" s="7"/>
      <c r="TDW1157" s="7"/>
      <c r="TDX1157" s="7"/>
      <c r="TDY1157" s="7"/>
      <c r="TDZ1157" s="7"/>
      <c r="TEA1157" s="7"/>
      <c r="TEB1157" s="7"/>
      <c r="TEC1157" s="7"/>
      <c r="TED1157" s="7"/>
      <c r="TEE1157" s="7"/>
      <c r="TEF1157" s="7"/>
      <c r="TEG1157" s="7"/>
      <c r="TEH1157" s="7"/>
      <c r="TEI1157" s="7"/>
      <c r="TEJ1157" s="7"/>
      <c r="TEK1157" s="7"/>
      <c r="TEL1157" s="7"/>
      <c r="TEM1157" s="7"/>
      <c r="TEN1157" s="7"/>
      <c r="TEO1157" s="7"/>
      <c r="TEP1157" s="7"/>
      <c r="TEQ1157" s="7"/>
      <c r="TER1157" s="7"/>
      <c r="TES1157" s="7"/>
      <c r="TET1157" s="7"/>
      <c r="TEU1157" s="7"/>
      <c r="TEV1157" s="7"/>
      <c r="TEW1157" s="7"/>
      <c r="TEX1157" s="7"/>
      <c r="TEY1157" s="7"/>
      <c r="TEZ1157" s="7"/>
      <c r="TFA1157" s="7"/>
      <c r="TFB1157" s="7"/>
      <c r="TFC1157" s="7"/>
      <c r="TFD1157" s="7"/>
      <c r="TFE1157" s="7"/>
      <c r="TFF1157" s="7"/>
      <c r="TFG1157" s="7"/>
      <c r="TFH1157" s="7"/>
      <c r="TFI1157" s="7"/>
      <c r="TFJ1157" s="7"/>
      <c r="TFK1157" s="7"/>
      <c r="TFL1157" s="7"/>
      <c r="TFM1157" s="7"/>
      <c r="TFN1157" s="7"/>
      <c r="TFO1157" s="7"/>
      <c r="TFP1157" s="7"/>
      <c r="TFQ1157" s="7"/>
      <c r="TFR1157" s="7"/>
      <c r="TFS1157" s="7"/>
      <c r="TFT1157" s="7"/>
      <c r="TFU1157" s="7"/>
      <c r="TFV1157" s="7"/>
      <c r="TFW1157" s="7"/>
      <c r="TFX1157" s="7"/>
      <c r="TFY1157" s="7"/>
      <c r="TFZ1157" s="7"/>
      <c r="TGA1157" s="7"/>
      <c r="TGB1157" s="7"/>
      <c r="TGC1157" s="7"/>
      <c r="TGD1157" s="7"/>
      <c r="TGE1157" s="7"/>
      <c r="TGF1157" s="7"/>
      <c r="TGG1157" s="7"/>
      <c r="TGH1157" s="7"/>
      <c r="TGI1157" s="7"/>
      <c r="TGJ1157" s="7"/>
      <c r="TGK1157" s="7"/>
      <c r="TGL1157" s="7"/>
      <c r="TGM1157" s="7"/>
      <c r="TGN1157" s="7"/>
      <c r="TGO1157" s="7"/>
      <c r="TGP1157" s="7"/>
      <c r="TGQ1157" s="7"/>
      <c r="TGR1157" s="7"/>
      <c r="TGS1157" s="7"/>
      <c r="TGT1157" s="7"/>
      <c r="TGU1157" s="7"/>
      <c r="TGV1157" s="7"/>
      <c r="TGW1157" s="7"/>
      <c r="TGX1157" s="7"/>
      <c r="TGY1157" s="7"/>
      <c r="TGZ1157" s="7"/>
      <c r="THA1157" s="7"/>
      <c r="THB1157" s="7"/>
      <c r="THC1157" s="7"/>
      <c r="THD1157" s="7"/>
      <c r="THE1157" s="7"/>
      <c r="THF1157" s="7"/>
      <c r="THG1157" s="7"/>
      <c r="THH1157" s="7"/>
      <c r="THI1157" s="7"/>
      <c r="THJ1157" s="7"/>
      <c r="THK1157" s="7"/>
      <c r="THL1157" s="7"/>
      <c r="THM1157" s="7"/>
      <c r="THN1157" s="7"/>
      <c r="THO1157" s="7"/>
      <c r="THP1157" s="7"/>
      <c r="THQ1157" s="7"/>
      <c r="THR1157" s="7"/>
      <c r="THS1157" s="7"/>
      <c r="THT1157" s="7"/>
      <c r="THU1157" s="7"/>
      <c r="THV1157" s="7"/>
      <c r="THW1157" s="7"/>
      <c r="THX1157" s="7"/>
      <c r="THY1157" s="7"/>
      <c r="THZ1157" s="7"/>
      <c r="TIA1157" s="7"/>
      <c r="TIB1157" s="7"/>
      <c r="TIC1157" s="7"/>
      <c r="TID1157" s="7"/>
      <c r="TIE1157" s="7"/>
      <c r="TIF1157" s="7"/>
      <c r="TIG1157" s="7"/>
      <c r="TIH1157" s="7"/>
      <c r="TII1157" s="7"/>
      <c r="TIJ1157" s="7"/>
      <c r="TIK1157" s="7"/>
      <c r="TIL1157" s="7"/>
      <c r="TIM1157" s="7"/>
      <c r="TIN1157" s="7"/>
      <c r="TIO1157" s="7"/>
      <c r="TIP1157" s="7"/>
      <c r="TIQ1157" s="7"/>
      <c r="TIR1157" s="7"/>
      <c r="TIS1157" s="7"/>
      <c r="TIT1157" s="7"/>
      <c r="TIU1157" s="7"/>
      <c r="TIV1157" s="7"/>
      <c r="TIW1157" s="7"/>
      <c r="TIX1157" s="7"/>
      <c r="TIY1157" s="7"/>
      <c r="TIZ1157" s="7"/>
      <c r="TJA1157" s="7"/>
      <c r="TJB1157" s="7"/>
      <c r="TJC1157" s="7"/>
      <c r="TJD1157" s="7"/>
      <c r="TJE1157" s="7"/>
      <c r="TJF1157" s="7"/>
      <c r="TJG1157" s="7"/>
      <c r="TJH1157" s="7"/>
      <c r="TJI1157" s="7"/>
      <c r="TJJ1157" s="7"/>
      <c r="TJK1157" s="7"/>
      <c r="TJL1157" s="7"/>
      <c r="TJM1157" s="7"/>
      <c r="TJN1157" s="7"/>
      <c r="TJO1157" s="7"/>
      <c r="TJP1157" s="7"/>
      <c r="TJQ1157" s="7"/>
      <c r="TJR1157" s="7"/>
      <c r="TJS1157" s="7"/>
      <c r="TJT1157" s="7"/>
      <c r="TJU1157" s="7"/>
      <c r="TJV1157" s="7"/>
      <c r="TJW1157" s="7"/>
      <c r="TJX1157" s="7"/>
      <c r="TJY1157" s="7"/>
      <c r="TJZ1157" s="7"/>
      <c r="TKA1157" s="7"/>
      <c r="TKB1157" s="7"/>
      <c r="TKC1157" s="7"/>
      <c r="TKD1157" s="7"/>
      <c r="TKE1157" s="7"/>
      <c r="TKF1157" s="7"/>
      <c r="TKG1157" s="7"/>
      <c r="TKH1157" s="7"/>
      <c r="TKI1157" s="7"/>
      <c r="TKJ1157" s="7"/>
      <c r="TKK1157" s="7"/>
      <c r="TKL1157" s="7"/>
      <c r="TKM1157" s="7"/>
      <c r="TKN1157" s="7"/>
      <c r="TKO1157" s="7"/>
      <c r="TKP1157" s="7"/>
      <c r="TKQ1157" s="7"/>
      <c r="TKR1157" s="7"/>
      <c r="TKS1157" s="7"/>
      <c r="TKT1157" s="7"/>
      <c r="TKU1157" s="7"/>
      <c r="TKV1157" s="7"/>
      <c r="TKW1157" s="7"/>
      <c r="TKX1157" s="7"/>
      <c r="TKY1157" s="7"/>
      <c r="TKZ1157" s="7"/>
      <c r="TLA1157" s="7"/>
      <c r="TLB1157" s="7"/>
      <c r="TLC1157" s="7"/>
      <c r="TLD1157" s="7"/>
      <c r="TLE1157" s="7"/>
      <c r="TLF1157" s="7"/>
      <c r="TLG1157" s="7"/>
      <c r="TLH1157" s="7"/>
      <c r="TLI1157" s="7"/>
      <c r="TLJ1157" s="7"/>
      <c r="TLK1157" s="7"/>
      <c r="TLL1157" s="7"/>
      <c r="TLM1157" s="7"/>
      <c r="TLN1157" s="7"/>
      <c r="TLO1157" s="7"/>
      <c r="TLP1157" s="7"/>
      <c r="TLQ1157" s="7"/>
      <c r="TLR1157" s="7"/>
      <c r="TLS1157" s="7"/>
      <c r="TLT1157" s="7"/>
      <c r="TLU1157" s="7"/>
      <c r="TLV1157" s="7"/>
      <c r="TLW1157" s="7"/>
      <c r="TLX1157" s="7"/>
      <c r="TLY1157" s="7"/>
      <c r="TLZ1157" s="7"/>
      <c r="TMA1157" s="7"/>
      <c r="TMB1157" s="7"/>
      <c r="TMC1157" s="7"/>
      <c r="TMD1157" s="7"/>
      <c r="TME1157" s="7"/>
      <c r="TMF1157" s="7"/>
      <c r="TMG1157" s="7"/>
      <c r="TMH1157" s="7"/>
      <c r="TMI1157" s="7"/>
      <c r="TMJ1157" s="7"/>
      <c r="TMK1157" s="7"/>
      <c r="TML1157" s="7"/>
      <c r="TMM1157" s="7"/>
      <c r="TMN1157" s="7"/>
      <c r="TMO1157" s="7"/>
      <c r="TMP1157" s="7"/>
      <c r="TMQ1157" s="7"/>
      <c r="TMR1157" s="7"/>
      <c r="TMS1157" s="7"/>
      <c r="TMT1157" s="7"/>
      <c r="TMU1157" s="7"/>
      <c r="TMV1157" s="7"/>
      <c r="TMW1157" s="7"/>
      <c r="TMX1157" s="7"/>
      <c r="TMY1157" s="7"/>
      <c r="TMZ1157" s="7"/>
      <c r="TNA1157" s="7"/>
      <c r="TNB1157" s="7"/>
      <c r="TNC1157" s="7"/>
      <c r="TND1157" s="7"/>
      <c r="TNE1157" s="7"/>
      <c r="TNF1157" s="7"/>
      <c r="TNG1157" s="7"/>
      <c r="TNH1157" s="7"/>
      <c r="TNI1157" s="7"/>
      <c r="TNJ1157" s="7"/>
      <c r="TNK1157" s="7"/>
      <c r="TNL1157" s="7"/>
      <c r="TNM1157" s="7"/>
      <c r="TNN1157" s="7"/>
      <c r="TNO1157" s="7"/>
      <c r="TNP1157" s="7"/>
      <c r="TNQ1157" s="7"/>
      <c r="TNR1157" s="7"/>
      <c r="TNS1157" s="7"/>
      <c r="TNT1157" s="7"/>
      <c r="TNU1157" s="7"/>
      <c r="TNV1157" s="7"/>
      <c r="TNW1157" s="7"/>
      <c r="TNX1157" s="7"/>
      <c r="TNY1157" s="7"/>
      <c r="TNZ1157" s="7"/>
      <c r="TOA1157" s="7"/>
      <c r="TOB1157" s="7"/>
      <c r="TOC1157" s="7"/>
      <c r="TOD1157" s="7"/>
      <c r="TOE1157" s="7"/>
      <c r="TOF1157" s="7"/>
      <c r="TOG1157" s="7"/>
      <c r="TOH1157" s="7"/>
      <c r="TOI1157" s="7"/>
      <c r="TOJ1157" s="7"/>
      <c r="TOK1157" s="7"/>
      <c r="TOL1157" s="7"/>
      <c r="TOM1157" s="7"/>
      <c r="TON1157" s="7"/>
      <c r="TOO1157" s="7"/>
      <c r="TOP1157" s="7"/>
      <c r="TOQ1157" s="7"/>
      <c r="TOR1157" s="7"/>
      <c r="TOS1157" s="7"/>
      <c r="TOT1157" s="7"/>
      <c r="TOU1157" s="7"/>
      <c r="TOV1157" s="7"/>
      <c r="TOW1157" s="7"/>
      <c r="TOX1157" s="7"/>
      <c r="TOY1157" s="7"/>
      <c r="TOZ1157" s="7"/>
      <c r="TPA1157" s="7"/>
      <c r="TPB1157" s="7"/>
      <c r="TPC1157" s="7"/>
      <c r="TPD1157" s="7"/>
      <c r="TPE1157" s="7"/>
      <c r="TPF1157" s="7"/>
      <c r="TPG1157" s="7"/>
      <c r="TPH1157" s="7"/>
      <c r="TPI1157" s="7"/>
      <c r="TPJ1157" s="7"/>
      <c r="TPK1157" s="7"/>
      <c r="TPL1157" s="7"/>
      <c r="TPM1157" s="7"/>
      <c r="TPN1157" s="7"/>
      <c r="TPO1157" s="7"/>
      <c r="TPP1157" s="7"/>
      <c r="TPQ1157" s="7"/>
      <c r="TPR1157" s="7"/>
      <c r="TPS1157" s="7"/>
      <c r="TPT1157" s="7"/>
      <c r="TPU1157" s="7"/>
      <c r="TPV1157" s="7"/>
      <c r="TPW1157" s="7"/>
      <c r="TPX1157" s="7"/>
      <c r="TPY1157" s="7"/>
      <c r="TPZ1157" s="7"/>
      <c r="TQA1157" s="7"/>
      <c r="TQB1157" s="7"/>
      <c r="TQC1157" s="7"/>
      <c r="TQD1157" s="7"/>
      <c r="TQE1157" s="7"/>
      <c r="TQF1157" s="7"/>
      <c r="TQG1157" s="7"/>
      <c r="TQH1157" s="7"/>
      <c r="TQI1157" s="7"/>
      <c r="TQJ1157" s="7"/>
      <c r="TQK1157" s="7"/>
      <c r="TQL1157" s="7"/>
      <c r="TQM1157" s="7"/>
      <c r="TQN1157" s="7"/>
      <c r="TQO1157" s="7"/>
      <c r="TQP1157" s="7"/>
      <c r="TQQ1157" s="7"/>
      <c r="TQR1157" s="7"/>
      <c r="TQS1157" s="7"/>
      <c r="TQT1157" s="7"/>
      <c r="TQU1157" s="7"/>
      <c r="TQV1157" s="7"/>
      <c r="TQW1157" s="7"/>
      <c r="TQX1157" s="7"/>
      <c r="TQY1157" s="7"/>
      <c r="TQZ1157" s="7"/>
      <c r="TRA1157" s="7"/>
      <c r="TRB1157" s="7"/>
      <c r="TRC1157" s="7"/>
      <c r="TRD1157" s="7"/>
      <c r="TRE1157" s="7"/>
      <c r="TRF1157" s="7"/>
      <c r="TRG1157" s="7"/>
      <c r="TRH1157" s="7"/>
      <c r="TRI1157" s="7"/>
      <c r="TRJ1157" s="7"/>
      <c r="TRK1157" s="7"/>
      <c r="TRL1157" s="7"/>
      <c r="TRM1157" s="7"/>
      <c r="TRN1157" s="7"/>
      <c r="TRO1157" s="7"/>
      <c r="TRP1157" s="7"/>
      <c r="TRQ1157" s="7"/>
      <c r="TRR1157" s="7"/>
      <c r="TRS1157" s="7"/>
      <c r="TRT1157" s="7"/>
      <c r="TRU1157" s="7"/>
      <c r="TRV1157" s="7"/>
      <c r="TRW1157" s="7"/>
      <c r="TRX1157" s="7"/>
      <c r="TRY1157" s="7"/>
      <c r="TRZ1157" s="7"/>
      <c r="TSA1157" s="7"/>
      <c r="TSB1157" s="7"/>
      <c r="TSC1157" s="7"/>
      <c r="TSD1157" s="7"/>
      <c r="TSE1157" s="7"/>
      <c r="TSF1157" s="7"/>
      <c r="TSG1157" s="7"/>
      <c r="TSH1157" s="7"/>
      <c r="TSI1157" s="7"/>
      <c r="TSJ1157" s="7"/>
      <c r="TSK1157" s="7"/>
      <c r="TSL1157" s="7"/>
      <c r="TSM1157" s="7"/>
      <c r="TSN1157" s="7"/>
      <c r="TSO1157" s="7"/>
      <c r="TSP1157" s="7"/>
      <c r="TSQ1157" s="7"/>
      <c r="TSR1157" s="7"/>
      <c r="TSS1157" s="7"/>
      <c r="TST1157" s="7"/>
      <c r="TSU1157" s="7"/>
      <c r="TSV1157" s="7"/>
      <c r="TSW1157" s="7"/>
      <c r="TSX1157" s="7"/>
      <c r="TSY1157" s="7"/>
      <c r="TSZ1157" s="7"/>
      <c r="TTA1157" s="7"/>
      <c r="TTB1157" s="7"/>
      <c r="TTC1157" s="7"/>
      <c r="TTD1157" s="7"/>
      <c r="TTE1157" s="7"/>
      <c r="TTF1157" s="7"/>
      <c r="TTG1157" s="7"/>
      <c r="TTH1157" s="7"/>
      <c r="TTI1157" s="7"/>
      <c r="TTJ1157" s="7"/>
      <c r="TTK1157" s="7"/>
      <c r="TTL1157" s="7"/>
      <c r="TTM1157" s="7"/>
      <c r="TTN1157" s="7"/>
      <c r="TTO1157" s="7"/>
      <c r="TTP1157" s="7"/>
      <c r="TTQ1157" s="7"/>
      <c r="TTR1157" s="7"/>
      <c r="TTS1157" s="7"/>
      <c r="TTT1157" s="7"/>
      <c r="TTU1157" s="7"/>
      <c r="TTV1157" s="7"/>
      <c r="TTW1157" s="7"/>
      <c r="TTX1157" s="7"/>
      <c r="TTY1157" s="7"/>
      <c r="TTZ1157" s="7"/>
      <c r="TUA1157" s="7"/>
      <c r="TUB1157" s="7"/>
      <c r="TUC1157" s="7"/>
      <c r="TUD1157" s="7"/>
      <c r="TUE1157" s="7"/>
      <c r="TUF1157" s="7"/>
      <c r="TUG1157" s="7"/>
      <c r="TUH1157" s="7"/>
      <c r="TUI1157" s="7"/>
      <c r="TUJ1157" s="7"/>
      <c r="TUK1157" s="7"/>
      <c r="TUL1157" s="7"/>
      <c r="TUM1157" s="7"/>
      <c r="TUN1157" s="7"/>
      <c r="TUO1157" s="7"/>
      <c r="TUP1157" s="7"/>
      <c r="TUQ1157" s="7"/>
      <c r="TUR1157" s="7"/>
      <c r="TUS1157" s="7"/>
      <c r="TUT1157" s="7"/>
      <c r="TUU1157" s="7"/>
      <c r="TUV1157" s="7"/>
      <c r="TUW1157" s="7"/>
      <c r="TUX1157" s="7"/>
      <c r="TUY1157" s="7"/>
      <c r="TUZ1157" s="7"/>
      <c r="TVA1157" s="7"/>
      <c r="TVB1157" s="7"/>
      <c r="TVC1157" s="7"/>
      <c r="TVD1157" s="7"/>
      <c r="TVE1157" s="7"/>
      <c r="TVF1157" s="7"/>
      <c r="TVG1157" s="7"/>
      <c r="TVH1157" s="7"/>
      <c r="TVI1157" s="7"/>
      <c r="TVJ1157" s="7"/>
      <c r="TVK1157" s="7"/>
      <c r="TVL1157" s="7"/>
      <c r="TVM1157" s="7"/>
      <c r="TVN1157" s="7"/>
      <c r="TVO1157" s="7"/>
      <c r="TVP1157" s="7"/>
      <c r="TVQ1157" s="7"/>
      <c r="TVR1157" s="7"/>
      <c r="TVS1157" s="7"/>
      <c r="TVT1157" s="7"/>
      <c r="TVU1157" s="7"/>
      <c r="TVV1157" s="7"/>
      <c r="TVW1157" s="7"/>
      <c r="TVX1157" s="7"/>
      <c r="TVY1157" s="7"/>
      <c r="TVZ1157" s="7"/>
      <c r="TWA1157" s="7"/>
      <c r="TWB1157" s="7"/>
      <c r="TWC1157" s="7"/>
      <c r="TWD1157" s="7"/>
      <c r="TWE1157" s="7"/>
      <c r="TWF1157" s="7"/>
      <c r="TWG1157" s="7"/>
      <c r="TWH1157" s="7"/>
      <c r="TWI1157" s="7"/>
      <c r="TWJ1157" s="7"/>
      <c r="TWK1157" s="7"/>
      <c r="TWL1157" s="7"/>
      <c r="TWM1157" s="7"/>
      <c r="TWN1157" s="7"/>
      <c r="TWO1157" s="7"/>
      <c r="TWP1157" s="7"/>
      <c r="TWQ1157" s="7"/>
      <c r="TWR1157" s="7"/>
      <c r="TWS1157" s="7"/>
      <c r="TWT1157" s="7"/>
      <c r="TWU1157" s="7"/>
      <c r="TWV1157" s="7"/>
      <c r="TWW1157" s="7"/>
      <c r="TWX1157" s="7"/>
      <c r="TWY1157" s="7"/>
      <c r="TWZ1157" s="7"/>
      <c r="TXA1157" s="7"/>
      <c r="TXB1157" s="7"/>
      <c r="TXC1157" s="7"/>
      <c r="TXD1157" s="7"/>
      <c r="TXE1157" s="7"/>
      <c r="TXF1157" s="7"/>
      <c r="TXG1157" s="7"/>
      <c r="TXH1157" s="7"/>
      <c r="TXI1157" s="7"/>
      <c r="TXJ1157" s="7"/>
      <c r="TXK1157" s="7"/>
      <c r="TXL1157" s="7"/>
      <c r="TXM1157" s="7"/>
      <c r="TXN1157" s="7"/>
      <c r="TXO1157" s="7"/>
      <c r="TXP1157" s="7"/>
      <c r="TXQ1157" s="7"/>
      <c r="TXR1157" s="7"/>
      <c r="TXS1157" s="7"/>
      <c r="TXT1157" s="7"/>
      <c r="TXU1157" s="7"/>
      <c r="TXV1157" s="7"/>
      <c r="TXW1157" s="7"/>
      <c r="TXX1157" s="7"/>
      <c r="TXY1157" s="7"/>
      <c r="TXZ1157" s="7"/>
      <c r="TYA1157" s="7"/>
      <c r="TYB1157" s="7"/>
      <c r="TYC1157" s="7"/>
      <c r="TYD1157" s="7"/>
      <c r="TYE1157" s="7"/>
      <c r="TYF1157" s="7"/>
      <c r="TYG1157" s="7"/>
      <c r="TYH1157" s="7"/>
      <c r="TYI1157" s="7"/>
      <c r="TYJ1157" s="7"/>
      <c r="TYK1157" s="7"/>
      <c r="TYL1157" s="7"/>
      <c r="TYM1157" s="7"/>
      <c r="TYN1157" s="7"/>
      <c r="TYO1157" s="7"/>
      <c r="TYP1157" s="7"/>
      <c r="TYQ1157" s="7"/>
      <c r="TYR1157" s="7"/>
      <c r="TYS1157" s="7"/>
      <c r="TYT1157" s="7"/>
      <c r="TYU1157" s="7"/>
      <c r="TYV1157" s="7"/>
      <c r="TYW1157" s="7"/>
      <c r="TYX1157" s="7"/>
      <c r="TYY1157" s="7"/>
      <c r="TYZ1157" s="7"/>
      <c r="TZA1157" s="7"/>
      <c r="TZB1157" s="7"/>
      <c r="TZC1157" s="7"/>
      <c r="TZD1157" s="7"/>
      <c r="TZE1157" s="7"/>
      <c r="TZF1157" s="7"/>
      <c r="TZG1157" s="7"/>
      <c r="TZH1157" s="7"/>
      <c r="TZI1157" s="7"/>
      <c r="TZJ1157" s="7"/>
      <c r="TZK1157" s="7"/>
      <c r="TZL1157" s="7"/>
      <c r="TZM1157" s="7"/>
      <c r="TZN1157" s="7"/>
      <c r="TZO1157" s="7"/>
      <c r="TZP1157" s="7"/>
      <c r="TZQ1157" s="7"/>
      <c r="TZR1157" s="7"/>
      <c r="TZS1157" s="7"/>
      <c r="TZT1157" s="7"/>
      <c r="TZU1157" s="7"/>
      <c r="TZV1157" s="7"/>
      <c r="TZW1157" s="7"/>
      <c r="TZX1157" s="7"/>
      <c r="TZY1157" s="7"/>
      <c r="TZZ1157" s="7"/>
      <c r="UAA1157" s="7"/>
      <c r="UAB1157" s="7"/>
      <c r="UAC1157" s="7"/>
      <c r="UAD1157" s="7"/>
      <c r="UAE1157" s="7"/>
      <c r="UAF1157" s="7"/>
      <c r="UAG1157" s="7"/>
      <c r="UAH1157" s="7"/>
      <c r="UAI1157" s="7"/>
      <c r="UAJ1157" s="7"/>
      <c r="UAK1157" s="7"/>
      <c r="UAL1157" s="7"/>
      <c r="UAM1157" s="7"/>
      <c r="UAN1157" s="7"/>
      <c r="UAO1157" s="7"/>
      <c r="UAP1157" s="7"/>
      <c r="UAQ1157" s="7"/>
      <c r="UAR1157" s="7"/>
      <c r="UAS1157" s="7"/>
      <c r="UAT1157" s="7"/>
      <c r="UAU1157" s="7"/>
      <c r="UAV1157" s="7"/>
      <c r="UAW1157" s="7"/>
      <c r="UAX1157" s="7"/>
      <c r="UAY1157" s="7"/>
      <c r="UAZ1157" s="7"/>
      <c r="UBA1157" s="7"/>
      <c r="UBB1157" s="7"/>
      <c r="UBC1157" s="7"/>
      <c r="UBD1157" s="7"/>
      <c r="UBE1157" s="7"/>
      <c r="UBF1157" s="7"/>
      <c r="UBG1157" s="7"/>
      <c r="UBH1157" s="7"/>
      <c r="UBI1157" s="7"/>
      <c r="UBJ1157" s="7"/>
      <c r="UBK1157" s="7"/>
      <c r="UBL1157" s="7"/>
      <c r="UBM1157" s="7"/>
      <c r="UBN1157" s="7"/>
      <c r="UBO1157" s="7"/>
      <c r="UBP1157" s="7"/>
      <c r="UBQ1157" s="7"/>
      <c r="UBR1157" s="7"/>
      <c r="UBS1157" s="7"/>
      <c r="UBT1157" s="7"/>
      <c r="UBU1157" s="7"/>
      <c r="UBV1157" s="7"/>
      <c r="UBW1157" s="7"/>
      <c r="UBX1157" s="7"/>
      <c r="UBY1157" s="7"/>
      <c r="UBZ1157" s="7"/>
      <c r="UCA1157" s="7"/>
      <c r="UCB1157" s="7"/>
      <c r="UCC1157" s="7"/>
      <c r="UCD1157" s="7"/>
      <c r="UCE1157" s="7"/>
      <c r="UCF1157" s="7"/>
      <c r="UCG1157" s="7"/>
      <c r="UCH1157" s="7"/>
      <c r="UCI1157" s="7"/>
      <c r="UCJ1157" s="7"/>
      <c r="UCK1157" s="7"/>
      <c r="UCL1157" s="7"/>
      <c r="UCM1157" s="7"/>
      <c r="UCN1157" s="7"/>
      <c r="UCO1157" s="7"/>
      <c r="UCP1157" s="7"/>
      <c r="UCQ1157" s="7"/>
      <c r="UCR1157" s="7"/>
      <c r="UCS1157" s="7"/>
      <c r="UCT1157" s="7"/>
      <c r="UCU1157" s="7"/>
      <c r="UCV1157" s="7"/>
      <c r="UCW1157" s="7"/>
      <c r="UCX1157" s="7"/>
      <c r="UCY1157" s="7"/>
      <c r="UCZ1157" s="7"/>
      <c r="UDA1157" s="7"/>
      <c r="UDB1157" s="7"/>
      <c r="UDC1157" s="7"/>
      <c r="UDD1157" s="7"/>
      <c r="UDE1157" s="7"/>
      <c r="UDF1157" s="7"/>
      <c r="UDG1157" s="7"/>
      <c r="UDH1157" s="7"/>
      <c r="UDI1157" s="7"/>
      <c r="UDJ1157" s="7"/>
      <c r="UDK1157" s="7"/>
      <c r="UDL1157" s="7"/>
      <c r="UDM1157" s="7"/>
      <c r="UDN1157" s="7"/>
      <c r="UDO1157" s="7"/>
      <c r="UDP1157" s="7"/>
      <c r="UDQ1157" s="7"/>
      <c r="UDR1157" s="7"/>
      <c r="UDS1157" s="7"/>
      <c r="UDT1157" s="7"/>
      <c r="UDU1157" s="7"/>
      <c r="UDV1157" s="7"/>
      <c r="UDW1157" s="7"/>
      <c r="UDX1157" s="7"/>
      <c r="UDY1157" s="7"/>
      <c r="UDZ1157" s="7"/>
      <c r="UEA1157" s="7"/>
      <c r="UEB1157" s="7"/>
      <c r="UEC1157" s="7"/>
      <c r="UED1157" s="7"/>
      <c r="UEE1157" s="7"/>
      <c r="UEF1157" s="7"/>
      <c r="UEG1157" s="7"/>
      <c r="UEH1157" s="7"/>
      <c r="UEI1157" s="7"/>
      <c r="UEJ1157" s="7"/>
      <c r="UEK1157" s="7"/>
      <c r="UEL1157" s="7"/>
      <c r="UEM1157" s="7"/>
      <c r="UEN1157" s="7"/>
      <c r="UEO1157" s="7"/>
      <c r="UEP1157" s="7"/>
      <c r="UEQ1157" s="7"/>
      <c r="UER1157" s="7"/>
      <c r="UES1157" s="7"/>
      <c r="UET1157" s="7"/>
      <c r="UEU1157" s="7"/>
      <c r="UEV1157" s="7"/>
      <c r="UEW1157" s="7"/>
      <c r="UEX1157" s="7"/>
      <c r="UEY1157" s="7"/>
      <c r="UEZ1157" s="7"/>
      <c r="UFA1157" s="7"/>
      <c r="UFB1157" s="7"/>
      <c r="UFC1157" s="7"/>
      <c r="UFD1157" s="7"/>
      <c r="UFE1157" s="7"/>
      <c r="UFF1157" s="7"/>
      <c r="UFG1157" s="7"/>
      <c r="UFH1157" s="7"/>
      <c r="UFI1157" s="7"/>
      <c r="UFJ1157" s="7"/>
      <c r="UFK1157" s="7"/>
      <c r="UFL1157" s="7"/>
      <c r="UFM1157" s="7"/>
      <c r="UFN1157" s="7"/>
      <c r="UFO1157" s="7"/>
      <c r="UFP1157" s="7"/>
      <c r="UFQ1157" s="7"/>
      <c r="UFR1157" s="7"/>
      <c r="UFS1157" s="7"/>
      <c r="UFT1157" s="7"/>
      <c r="UFU1157" s="7"/>
      <c r="UFV1157" s="7"/>
      <c r="UFW1157" s="7"/>
      <c r="UFX1157" s="7"/>
      <c r="UFY1157" s="7"/>
      <c r="UFZ1157" s="7"/>
      <c r="UGA1157" s="7"/>
      <c r="UGB1157" s="7"/>
      <c r="UGC1157" s="7"/>
      <c r="UGD1157" s="7"/>
      <c r="UGE1157" s="7"/>
      <c r="UGF1157" s="7"/>
      <c r="UGG1157" s="7"/>
      <c r="UGH1157" s="7"/>
      <c r="UGI1157" s="7"/>
      <c r="UGJ1157" s="7"/>
      <c r="UGK1157" s="7"/>
      <c r="UGL1157" s="7"/>
      <c r="UGM1157" s="7"/>
      <c r="UGN1157" s="7"/>
      <c r="UGO1157" s="7"/>
      <c r="UGP1157" s="7"/>
      <c r="UGQ1157" s="7"/>
      <c r="UGR1157" s="7"/>
      <c r="UGS1157" s="7"/>
      <c r="UGT1157" s="7"/>
      <c r="UGU1157" s="7"/>
      <c r="UGV1157" s="7"/>
      <c r="UGW1157" s="7"/>
      <c r="UGX1157" s="7"/>
      <c r="UGY1157" s="7"/>
      <c r="UGZ1157" s="7"/>
      <c r="UHA1157" s="7"/>
      <c r="UHB1157" s="7"/>
      <c r="UHC1157" s="7"/>
      <c r="UHD1157" s="7"/>
      <c r="UHE1157" s="7"/>
      <c r="UHF1157" s="7"/>
      <c r="UHG1157" s="7"/>
      <c r="UHH1157" s="7"/>
      <c r="UHI1157" s="7"/>
      <c r="UHJ1157" s="7"/>
      <c r="UHK1157" s="7"/>
      <c r="UHL1157" s="7"/>
      <c r="UHM1157" s="7"/>
      <c r="UHN1157" s="7"/>
      <c r="UHO1157" s="7"/>
      <c r="UHP1157" s="7"/>
      <c r="UHQ1157" s="7"/>
      <c r="UHR1157" s="7"/>
      <c r="UHS1157" s="7"/>
      <c r="UHT1157" s="7"/>
      <c r="UHU1157" s="7"/>
      <c r="UHV1157" s="7"/>
      <c r="UHW1157" s="7"/>
      <c r="UHX1157" s="7"/>
      <c r="UHY1157" s="7"/>
      <c r="UHZ1157" s="7"/>
      <c r="UIA1157" s="7"/>
      <c r="UIB1157" s="7"/>
      <c r="UIC1157" s="7"/>
      <c r="UID1157" s="7"/>
      <c r="UIE1157" s="7"/>
      <c r="UIF1157" s="7"/>
      <c r="UIG1157" s="7"/>
      <c r="UIH1157" s="7"/>
      <c r="UII1157" s="7"/>
      <c r="UIJ1157" s="7"/>
      <c r="UIK1157" s="7"/>
      <c r="UIL1157" s="7"/>
      <c r="UIM1157" s="7"/>
      <c r="UIN1157" s="7"/>
      <c r="UIO1157" s="7"/>
      <c r="UIP1157" s="7"/>
      <c r="UIQ1157" s="7"/>
      <c r="UIR1157" s="7"/>
      <c r="UIS1157" s="7"/>
      <c r="UIT1157" s="7"/>
      <c r="UIU1157" s="7"/>
      <c r="UIV1157" s="7"/>
      <c r="UIW1157" s="7"/>
      <c r="UIX1157" s="7"/>
      <c r="UIY1157" s="7"/>
      <c r="UIZ1157" s="7"/>
      <c r="UJA1157" s="7"/>
      <c r="UJB1157" s="7"/>
      <c r="UJC1157" s="7"/>
      <c r="UJD1157" s="7"/>
      <c r="UJE1157" s="7"/>
      <c r="UJF1157" s="7"/>
      <c r="UJG1157" s="7"/>
      <c r="UJH1157" s="7"/>
      <c r="UJI1157" s="7"/>
      <c r="UJJ1157" s="7"/>
      <c r="UJK1157" s="7"/>
      <c r="UJL1157" s="7"/>
      <c r="UJM1157" s="7"/>
      <c r="UJN1157" s="7"/>
      <c r="UJO1157" s="7"/>
      <c r="UJP1157" s="7"/>
      <c r="UJQ1157" s="7"/>
      <c r="UJR1157" s="7"/>
      <c r="UJS1157" s="7"/>
      <c r="UJT1157" s="7"/>
      <c r="UJU1157" s="7"/>
      <c r="UJV1157" s="7"/>
      <c r="UJW1157" s="7"/>
      <c r="UJX1157" s="7"/>
      <c r="UJY1157" s="7"/>
      <c r="UJZ1157" s="7"/>
      <c r="UKA1157" s="7"/>
      <c r="UKB1157" s="7"/>
      <c r="UKC1157" s="7"/>
      <c r="UKD1157" s="7"/>
      <c r="UKE1157" s="7"/>
      <c r="UKF1157" s="7"/>
      <c r="UKG1157" s="7"/>
      <c r="UKH1157" s="7"/>
      <c r="UKI1157" s="7"/>
      <c r="UKJ1157" s="7"/>
      <c r="UKK1157" s="7"/>
      <c r="UKL1157" s="7"/>
      <c r="UKM1157" s="7"/>
      <c r="UKN1157" s="7"/>
      <c r="UKO1157" s="7"/>
      <c r="UKP1157" s="7"/>
      <c r="UKQ1157" s="7"/>
      <c r="UKR1157" s="7"/>
      <c r="UKS1157" s="7"/>
      <c r="UKT1157" s="7"/>
      <c r="UKU1157" s="7"/>
      <c r="UKV1157" s="7"/>
      <c r="UKW1157" s="7"/>
      <c r="UKX1157" s="7"/>
      <c r="UKY1157" s="7"/>
      <c r="UKZ1157" s="7"/>
      <c r="ULA1157" s="7"/>
      <c r="ULB1157" s="7"/>
      <c r="ULC1157" s="7"/>
      <c r="ULD1157" s="7"/>
      <c r="ULE1157" s="7"/>
      <c r="ULF1157" s="7"/>
      <c r="ULG1157" s="7"/>
      <c r="ULH1157" s="7"/>
      <c r="ULI1157" s="7"/>
      <c r="ULJ1157" s="7"/>
      <c r="ULK1157" s="7"/>
      <c r="ULL1157" s="7"/>
      <c r="ULM1157" s="7"/>
      <c r="ULN1157" s="7"/>
      <c r="ULO1157" s="7"/>
      <c r="ULP1157" s="7"/>
      <c r="ULQ1157" s="7"/>
      <c r="ULR1157" s="7"/>
      <c r="ULS1157" s="7"/>
      <c r="ULT1157" s="7"/>
      <c r="ULU1157" s="7"/>
      <c r="ULV1157" s="7"/>
      <c r="ULW1157" s="7"/>
      <c r="ULX1157" s="7"/>
      <c r="ULY1157" s="7"/>
      <c r="ULZ1157" s="7"/>
      <c r="UMA1157" s="7"/>
      <c r="UMB1157" s="7"/>
      <c r="UMC1157" s="7"/>
      <c r="UMD1157" s="7"/>
      <c r="UME1157" s="7"/>
      <c r="UMF1157" s="7"/>
      <c r="UMG1157" s="7"/>
      <c r="UMH1157" s="7"/>
      <c r="UMI1157" s="7"/>
      <c r="UMJ1157" s="7"/>
      <c r="UMK1157" s="7"/>
      <c r="UML1157" s="7"/>
      <c r="UMM1157" s="7"/>
      <c r="UMN1157" s="7"/>
      <c r="UMO1157" s="7"/>
      <c r="UMP1157" s="7"/>
      <c r="UMQ1157" s="7"/>
      <c r="UMR1157" s="7"/>
      <c r="UMS1157" s="7"/>
      <c r="UMT1157" s="7"/>
      <c r="UMU1157" s="7"/>
      <c r="UMV1157" s="7"/>
      <c r="UMW1157" s="7"/>
      <c r="UMX1157" s="7"/>
      <c r="UMY1157" s="7"/>
      <c r="UMZ1157" s="7"/>
      <c r="UNA1157" s="7"/>
      <c r="UNB1157" s="7"/>
      <c r="UNC1157" s="7"/>
      <c r="UND1157" s="7"/>
      <c r="UNE1157" s="7"/>
      <c r="UNF1157" s="7"/>
      <c r="UNG1157" s="7"/>
      <c r="UNH1157" s="7"/>
      <c r="UNI1157" s="7"/>
      <c r="UNJ1157" s="7"/>
      <c r="UNK1157" s="7"/>
      <c r="UNL1157" s="7"/>
      <c r="UNM1157" s="7"/>
      <c r="UNN1157" s="7"/>
      <c r="UNO1157" s="7"/>
      <c r="UNP1157" s="7"/>
      <c r="UNQ1157" s="7"/>
      <c r="UNR1157" s="7"/>
      <c r="UNS1157" s="7"/>
      <c r="UNT1157" s="7"/>
      <c r="UNU1157" s="7"/>
      <c r="UNV1157" s="7"/>
      <c r="UNW1157" s="7"/>
      <c r="UNX1157" s="7"/>
      <c r="UNY1157" s="7"/>
      <c r="UNZ1157" s="7"/>
      <c r="UOA1157" s="7"/>
      <c r="UOB1157" s="7"/>
      <c r="UOC1157" s="7"/>
      <c r="UOD1157" s="7"/>
      <c r="UOE1157" s="7"/>
      <c r="UOF1157" s="7"/>
      <c r="UOG1157" s="7"/>
      <c r="UOH1157" s="7"/>
      <c r="UOI1157" s="7"/>
      <c r="UOJ1157" s="7"/>
      <c r="UOK1157" s="7"/>
      <c r="UOL1157" s="7"/>
      <c r="UOM1157" s="7"/>
      <c r="UON1157" s="7"/>
      <c r="UOO1157" s="7"/>
      <c r="UOP1157" s="7"/>
      <c r="UOQ1157" s="7"/>
      <c r="UOR1157" s="7"/>
      <c r="UOS1157" s="7"/>
      <c r="UOT1157" s="7"/>
      <c r="UOU1157" s="7"/>
      <c r="UOV1157" s="7"/>
      <c r="UOW1157" s="7"/>
      <c r="UOX1157" s="7"/>
      <c r="UOY1157" s="7"/>
      <c r="UOZ1157" s="7"/>
      <c r="UPA1157" s="7"/>
      <c r="UPB1157" s="7"/>
      <c r="UPC1157" s="7"/>
      <c r="UPD1157" s="7"/>
      <c r="UPE1157" s="7"/>
      <c r="UPF1157" s="7"/>
      <c r="UPG1157" s="7"/>
      <c r="UPH1157" s="7"/>
      <c r="UPI1157" s="7"/>
      <c r="UPJ1157" s="7"/>
      <c r="UPK1157" s="7"/>
      <c r="UPL1157" s="7"/>
      <c r="UPM1157" s="7"/>
      <c r="UPN1157" s="7"/>
      <c r="UPO1157" s="7"/>
      <c r="UPP1157" s="7"/>
      <c r="UPQ1157" s="7"/>
      <c r="UPR1157" s="7"/>
      <c r="UPS1157" s="7"/>
      <c r="UPT1157" s="7"/>
      <c r="UPU1157" s="7"/>
      <c r="UPV1157" s="7"/>
      <c r="UPW1157" s="7"/>
      <c r="UPX1157" s="7"/>
      <c r="UPY1157" s="7"/>
      <c r="UPZ1157" s="7"/>
      <c r="UQA1157" s="7"/>
      <c r="UQB1157" s="7"/>
      <c r="UQC1157" s="7"/>
      <c r="UQD1157" s="7"/>
      <c r="UQE1157" s="7"/>
      <c r="UQF1157" s="7"/>
      <c r="UQG1157" s="7"/>
      <c r="UQH1157" s="7"/>
      <c r="UQI1157" s="7"/>
      <c r="UQJ1157" s="7"/>
      <c r="UQK1157" s="7"/>
      <c r="UQL1157" s="7"/>
      <c r="UQM1157" s="7"/>
      <c r="UQN1157" s="7"/>
      <c r="UQO1157" s="7"/>
      <c r="UQP1157" s="7"/>
      <c r="UQQ1157" s="7"/>
      <c r="UQR1157" s="7"/>
      <c r="UQS1157" s="7"/>
      <c r="UQT1157" s="7"/>
      <c r="UQU1157" s="7"/>
      <c r="UQV1157" s="7"/>
      <c r="UQW1157" s="7"/>
      <c r="UQX1157" s="7"/>
      <c r="UQY1157" s="7"/>
      <c r="UQZ1157" s="7"/>
      <c r="URA1157" s="7"/>
      <c r="URB1157" s="7"/>
      <c r="URC1157" s="7"/>
      <c r="URD1157" s="7"/>
      <c r="URE1157" s="7"/>
      <c r="URF1157" s="7"/>
      <c r="URG1157" s="7"/>
      <c r="URH1157" s="7"/>
      <c r="URI1157" s="7"/>
      <c r="URJ1157" s="7"/>
      <c r="URK1157" s="7"/>
      <c r="URL1157" s="7"/>
      <c r="URM1157" s="7"/>
      <c r="URN1157" s="7"/>
      <c r="URO1157" s="7"/>
      <c r="URP1157" s="7"/>
      <c r="URQ1157" s="7"/>
      <c r="URR1157" s="7"/>
      <c r="URS1157" s="7"/>
      <c r="URT1157" s="7"/>
      <c r="URU1157" s="7"/>
      <c r="URV1157" s="7"/>
      <c r="URW1157" s="7"/>
      <c r="URX1157" s="7"/>
      <c r="URY1157" s="7"/>
      <c r="URZ1157" s="7"/>
      <c r="USA1157" s="7"/>
      <c r="USB1157" s="7"/>
      <c r="USC1157" s="7"/>
      <c r="USD1157" s="7"/>
      <c r="USE1157" s="7"/>
      <c r="USF1157" s="7"/>
      <c r="USG1157" s="7"/>
      <c r="USH1157" s="7"/>
      <c r="USI1157" s="7"/>
      <c r="USJ1157" s="7"/>
      <c r="USK1157" s="7"/>
      <c r="USL1157" s="7"/>
      <c r="USM1157" s="7"/>
      <c r="USN1157" s="7"/>
      <c r="USO1157" s="7"/>
      <c r="USP1157" s="7"/>
      <c r="USQ1157" s="7"/>
      <c r="USR1157" s="7"/>
      <c r="USS1157" s="7"/>
      <c r="UST1157" s="7"/>
      <c r="USU1157" s="7"/>
      <c r="USV1157" s="7"/>
      <c r="USW1157" s="7"/>
      <c r="USX1157" s="7"/>
      <c r="USY1157" s="7"/>
      <c r="USZ1157" s="7"/>
      <c r="UTA1157" s="7"/>
      <c r="UTB1157" s="7"/>
      <c r="UTC1157" s="7"/>
      <c r="UTD1157" s="7"/>
      <c r="UTE1157" s="7"/>
      <c r="UTF1157" s="7"/>
      <c r="UTG1157" s="7"/>
      <c r="UTH1157" s="7"/>
      <c r="UTI1157" s="7"/>
      <c r="UTJ1157" s="7"/>
      <c r="UTK1157" s="7"/>
      <c r="UTL1157" s="7"/>
      <c r="UTM1157" s="7"/>
      <c r="UTN1157" s="7"/>
      <c r="UTO1157" s="7"/>
      <c r="UTP1157" s="7"/>
      <c r="UTQ1157" s="7"/>
      <c r="UTR1157" s="7"/>
      <c r="UTS1157" s="7"/>
      <c r="UTT1157" s="7"/>
      <c r="UTU1157" s="7"/>
      <c r="UTV1157" s="7"/>
      <c r="UTW1157" s="7"/>
      <c r="UTX1157" s="7"/>
      <c r="UTY1157" s="7"/>
      <c r="UTZ1157" s="7"/>
      <c r="UUA1157" s="7"/>
      <c r="UUB1157" s="7"/>
      <c r="UUC1157" s="7"/>
      <c r="UUD1157" s="7"/>
      <c r="UUE1157" s="7"/>
      <c r="UUF1157" s="7"/>
      <c r="UUG1157" s="7"/>
      <c r="UUH1157" s="7"/>
      <c r="UUI1157" s="7"/>
      <c r="UUJ1157" s="7"/>
      <c r="UUK1157" s="7"/>
      <c r="UUL1157" s="7"/>
      <c r="UUM1157" s="7"/>
      <c r="UUN1157" s="7"/>
      <c r="UUO1157" s="7"/>
      <c r="UUP1157" s="7"/>
      <c r="UUQ1157" s="7"/>
      <c r="UUR1157" s="7"/>
      <c r="UUS1157" s="7"/>
      <c r="UUT1157" s="7"/>
      <c r="UUU1157" s="7"/>
      <c r="UUV1157" s="7"/>
      <c r="UUW1157" s="7"/>
      <c r="UUX1157" s="7"/>
      <c r="UUY1157" s="7"/>
      <c r="UUZ1157" s="7"/>
      <c r="UVA1157" s="7"/>
      <c r="UVB1157" s="7"/>
      <c r="UVC1157" s="7"/>
      <c r="UVD1157" s="7"/>
      <c r="UVE1157" s="7"/>
      <c r="UVF1157" s="7"/>
      <c r="UVG1157" s="7"/>
      <c r="UVH1157" s="7"/>
      <c r="UVI1157" s="7"/>
      <c r="UVJ1157" s="7"/>
      <c r="UVK1157" s="7"/>
      <c r="UVL1157" s="7"/>
      <c r="UVM1157" s="7"/>
      <c r="UVN1157" s="7"/>
      <c r="UVO1157" s="7"/>
      <c r="UVP1157" s="7"/>
      <c r="UVQ1157" s="7"/>
      <c r="UVR1157" s="7"/>
      <c r="UVS1157" s="7"/>
      <c r="UVT1157" s="7"/>
      <c r="UVU1157" s="7"/>
      <c r="UVV1157" s="7"/>
      <c r="UVW1157" s="7"/>
      <c r="UVX1157" s="7"/>
      <c r="UVY1157" s="7"/>
      <c r="UVZ1157" s="7"/>
      <c r="UWA1157" s="7"/>
      <c r="UWB1157" s="7"/>
      <c r="UWC1157" s="7"/>
      <c r="UWD1157" s="7"/>
      <c r="UWE1157" s="7"/>
      <c r="UWF1157" s="7"/>
      <c r="UWG1157" s="7"/>
      <c r="UWH1157" s="7"/>
      <c r="UWI1157" s="7"/>
      <c r="UWJ1157" s="7"/>
      <c r="UWK1157" s="7"/>
      <c r="UWL1157" s="7"/>
      <c r="UWM1157" s="7"/>
      <c r="UWN1157" s="7"/>
      <c r="UWO1157" s="7"/>
      <c r="UWP1157" s="7"/>
      <c r="UWQ1157" s="7"/>
      <c r="UWR1157" s="7"/>
      <c r="UWS1157" s="7"/>
      <c r="UWT1157" s="7"/>
      <c r="UWU1157" s="7"/>
      <c r="UWV1157" s="7"/>
      <c r="UWW1157" s="7"/>
      <c r="UWX1157" s="7"/>
      <c r="UWY1157" s="7"/>
      <c r="UWZ1157" s="7"/>
      <c r="UXA1157" s="7"/>
      <c r="UXB1157" s="7"/>
      <c r="UXC1157" s="7"/>
      <c r="UXD1157" s="7"/>
      <c r="UXE1157" s="7"/>
      <c r="UXF1157" s="7"/>
      <c r="UXG1157" s="7"/>
      <c r="UXH1157" s="7"/>
      <c r="UXI1157" s="7"/>
      <c r="UXJ1157" s="7"/>
      <c r="UXK1157" s="7"/>
      <c r="UXL1157" s="7"/>
      <c r="UXM1157" s="7"/>
      <c r="UXN1157" s="7"/>
      <c r="UXO1157" s="7"/>
      <c r="UXP1157" s="7"/>
      <c r="UXQ1157" s="7"/>
      <c r="UXR1157" s="7"/>
      <c r="UXS1157" s="7"/>
      <c r="UXT1157" s="7"/>
      <c r="UXU1157" s="7"/>
      <c r="UXV1157" s="7"/>
      <c r="UXW1157" s="7"/>
      <c r="UXX1157" s="7"/>
      <c r="UXY1157" s="7"/>
      <c r="UXZ1157" s="7"/>
      <c r="UYA1157" s="7"/>
      <c r="UYB1157" s="7"/>
      <c r="UYC1157" s="7"/>
      <c r="UYD1157" s="7"/>
      <c r="UYE1157" s="7"/>
      <c r="UYF1157" s="7"/>
      <c r="UYG1157" s="7"/>
      <c r="UYH1157" s="7"/>
      <c r="UYI1157" s="7"/>
      <c r="UYJ1157" s="7"/>
      <c r="UYK1157" s="7"/>
      <c r="UYL1157" s="7"/>
      <c r="UYM1157" s="7"/>
      <c r="UYN1157" s="7"/>
      <c r="UYO1157" s="7"/>
      <c r="UYP1157" s="7"/>
      <c r="UYQ1157" s="7"/>
      <c r="UYR1157" s="7"/>
      <c r="UYS1157" s="7"/>
      <c r="UYT1157" s="7"/>
      <c r="UYU1157" s="7"/>
      <c r="UYV1157" s="7"/>
      <c r="UYW1157" s="7"/>
      <c r="UYX1157" s="7"/>
      <c r="UYY1157" s="7"/>
      <c r="UYZ1157" s="7"/>
      <c r="UZA1157" s="7"/>
      <c r="UZB1157" s="7"/>
      <c r="UZC1157" s="7"/>
      <c r="UZD1157" s="7"/>
      <c r="UZE1157" s="7"/>
      <c r="UZF1157" s="7"/>
      <c r="UZG1157" s="7"/>
      <c r="UZH1157" s="7"/>
      <c r="UZI1157" s="7"/>
      <c r="UZJ1157" s="7"/>
      <c r="UZK1157" s="7"/>
      <c r="UZL1157" s="7"/>
      <c r="UZM1157" s="7"/>
      <c r="UZN1157" s="7"/>
      <c r="UZO1157" s="7"/>
      <c r="UZP1157" s="7"/>
      <c r="UZQ1157" s="7"/>
      <c r="UZR1157" s="7"/>
      <c r="UZS1157" s="7"/>
      <c r="UZT1157" s="7"/>
      <c r="UZU1157" s="7"/>
      <c r="UZV1157" s="7"/>
      <c r="UZW1157" s="7"/>
      <c r="UZX1157" s="7"/>
      <c r="UZY1157" s="7"/>
      <c r="UZZ1157" s="7"/>
      <c r="VAA1157" s="7"/>
      <c r="VAB1157" s="7"/>
      <c r="VAC1157" s="7"/>
      <c r="VAD1157" s="7"/>
      <c r="VAE1157" s="7"/>
      <c r="VAF1157" s="7"/>
      <c r="VAG1157" s="7"/>
      <c r="VAH1157" s="7"/>
      <c r="VAI1157" s="7"/>
      <c r="VAJ1157" s="7"/>
      <c r="VAK1157" s="7"/>
      <c r="VAL1157" s="7"/>
      <c r="VAM1157" s="7"/>
      <c r="VAN1157" s="7"/>
      <c r="VAO1157" s="7"/>
      <c r="VAP1157" s="7"/>
      <c r="VAQ1157" s="7"/>
      <c r="VAR1157" s="7"/>
      <c r="VAS1157" s="7"/>
      <c r="VAT1157" s="7"/>
      <c r="VAU1157" s="7"/>
      <c r="VAV1157" s="7"/>
      <c r="VAW1157" s="7"/>
      <c r="VAX1157" s="7"/>
      <c r="VAY1157" s="7"/>
      <c r="VAZ1157" s="7"/>
      <c r="VBA1157" s="7"/>
      <c r="VBB1157" s="7"/>
      <c r="VBC1157" s="7"/>
      <c r="VBD1157" s="7"/>
      <c r="VBE1157" s="7"/>
      <c r="VBF1157" s="7"/>
      <c r="VBG1157" s="7"/>
      <c r="VBH1157" s="7"/>
      <c r="VBI1157" s="7"/>
      <c r="VBJ1157" s="7"/>
      <c r="VBK1157" s="7"/>
      <c r="VBL1157" s="7"/>
      <c r="VBM1157" s="7"/>
      <c r="VBN1157" s="7"/>
      <c r="VBO1157" s="7"/>
      <c r="VBP1157" s="7"/>
      <c r="VBQ1157" s="7"/>
      <c r="VBR1157" s="7"/>
      <c r="VBS1157" s="7"/>
      <c r="VBT1157" s="7"/>
      <c r="VBU1157" s="7"/>
      <c r="VBV1157" s="7"/>
      <c r="VBW1157" s="7"/>
      <c r="VBX1157" s="7"/>
      <c r="VBY1157" s="7"/>
      <c r="VBZ1157" s="7"/>
      <c r="VCA1157" s="7"/>
      <c r="VCB1157" s="7"/>
      <c r="VCC1157" s="7"/>
      <c r="VCD1157" s="7"/>
      <c r="VCE1157" s="7"/>
      <c r="VCF1157" s="7"/>
      <c r="VCG1157" s="7"/>
      <c r="VCH1157" s="7"/>
      <c r="VCI1157" s="7"/>
      <c r="VCJ1157" s="7"/>
      <c r="VCK1157" s="7"/>
      <c r="VCL1157" s="7"/>
      <c r="VCM1157" s="7"/>
      <c r="VCN1157" s="7"/>
      <c r="VCO1157" s="7"/>
      <c r="VCP1157" s="7"/>
      <c r="VCQ1157" s="7"/>
      <c r="VCR1157" s="7"/>
      <c r="VCS1157" s="7"/>
      <c r="VCT1157" s="7"/>
      <c r="VCU1157" s="7"/>
      <c r="VCV1157" s="7"/>
      <c r="VCW1157" s="7"/>
      <c r="VCX1157" s="7"/>
      <c r="VCY1157" s="7"/>
      <c r="VCZ1157" s="7"/>
      <c r="VDA1157" s="7"/>
      <c r="VDB1157" s="7"/>
      <c r="VDC1157" s="7"/>
      <c r="VDD1157" s="7"/>
      <c r="VDE1157" s="7"/>
      <c r="VDF1157" s="7"/>
      <c r="VDG1157" s="7"/>
      <c r="VDH1157" s="7"/>
      <c r="VDI1157" s="7"/>
      <c r="VDJ1157" s="7"/>
      <c r="VDK1157" s="7"/>
      <c r="VDL1157" s="7"/>
      <c r="VDM1157" s="7"/>
      <c r="VDN1157" s="7"/>
      <c r="VDO1157" s="7"/>
      <c r="VDP1157" s="7"/>
      <c r="VDQ1157" s="7"/>
      <c r="VDR1157" s="7"/>
      <c r="VDS1157" s="7"/>
      <c r="VDT1157" s="7"/>
      <c r="VDU1157" s="7"/>
      <c r="VDV1157" s="7"/>
      <c r="VDW1157" s="7"/>
      <c r="VDX1157" s="7"/>
      <c r="VDY1157" s="7"/>
      <c r="VDZ1157" s="7"/>
      <c r="VEA1157" s="7"/>
      <c r="VEB1157" s="7"/>
      <c r="VEC1157" s="7"/>
      <c r="VED1157" s="7"/>
      <c r="VEE1157" s="7"/>
      <c r="VEF1157" s="7"/>
      <c r="VEG1157" s="7"/>
      <c r="VEH1157" s="7"/>
      <c r="VEI1157" s="7"/>
      <c r="VEJ1157" s="7"/>
      <c r="VEK1157" s="7"/>
      <c r="VEL1157" s="7"/>
      <c r="VEM1157" s="7"/>
      <c r="VEN1157" s="7"/>
      <c r="VEO1157" s="7"/>
      <c r="VEP1157" s="7"/>
      <c r="VEQ1157" s="7"/>
      <c r="VER1157" s="7"/>
      <c r="VES1157" s="7"/>
      <c r="VET1157" s="7"/>
      <c r="VEU1157" s="7"/>
      <c r="VEV1157" s="7"/>
      <c r="VEW1157" s="7"/>
      <c r="VEX1157" s="7"/>
      <c r="VEY1157" s="7"/>
      <c r="VEZ1157" s="7"/>
      <c r="VFA1157" s="7"/>
      <c r="VFB1157" s="7"/>
      <c r="VFC1157" s="7"/>
      <c r="VFD1157" s="7"/>
      <c r="VFE1157" s="7"/>
      <c r="VFF1157" s="7"/>
      <c r="VFG1157" s="7"/>
      <c r="VFH1157" s="7"/>
      <c r="VFI1157" s="7"/>
      <c r="VFJ1157" s="7"/>
      <c r="VFK1157" s="7"/>
      <c r="VFL1157" s="7"/>
      <c r="VFM1157" s="7"/>
      <c r="VFN1157" s="7"/>
      <c r="VFO1157" s="7"/>
      <c r="VFP1157" s="7"/>
      <c r="VFQ1157" s="7"/>
      <c r="VFR1157" s="7"/>
      <c r="VFS1157" s="7"/>
      <c r="VFT1157" s="7"/>
      <c r="VFU1157" s="7"/>
      <c r="VFV1157" s="7"/>
      <c r="VFW1157" s="7"/>
      <c r="VFX1157" s="7"/>
      <c r="VFY1157" s="7"/>
      <c r="VFZ1157" s="7"/>
      <c r="VGA1157" s="7"/>
      <c r="VGB1157" s="7"/>
      <c r="VGC1157" s="7"/>
      <c r="VGD1157" s="7"/>
      <c r="VGE1157" s="7"/>
      <c r="VGF1157" s="7"/>
      <c r="VGG1157" s="7"/>
      <c r="VGH1157" s="7"/>
      <c r="VGI1157" s="7"/>
      <c r="VGJ1157" s="7"/>
      <c r="VGK1157" s="7"/>
      <c r="VGL1157" s="7"/>
      <c r="VGM1157" s="7"/>
      <c r="VGN1157" s="7"/>
      <c r="VGO1157" s="7"/>
      <c r="VGP1157" s="7"/>
      <c r="VGQ1157" s="7"/>
      <c r="VGR1157" s="7"/>
      <c r="VGS1157" s="7"/>
      <c r="VGT1157" s="7"/>
      <c r="VGU1157" s="7"/>
      <c r="VGV1157" s="7"/>
      <c r="VGW1157" s="7"/>
      <c r="VGX1157" s="7"/>
      <c r="VGY1157" s="7"/>
      <c r="VGZ1157" s="7"/>
      <c r="VHA1157" s="7"/>
      <c r="VHB1157" s="7"/>
      <c r="VHC1157" s="7"/>
      <c r="VHD1157" s="7"/>
      <c r="VHE1157" s="7"/>
      <c r="VHF1157" s="7"/>
      <c r="VHG1157" s="7"/>
      <c r="VHH1157" s="7"/>
      <c r="VHI1157" s="7"/>
      <c r="VHJ1157" s="7"/>
      <c r="VHK1157" s="7"/>
      <c r="VHL1157" s="7"/>
      <c r="VHM1157" s="7"/>
      <c r="VHN1157" s="7"/>
      <c r="VHO1157" s="7"/>
      <c r="VHP1157" s="7"/>
      <c r="VHQ1157" s="7"/>
      <c r="VHR1157" s="7"/>
      <c r="VHS1157" s="7"/>
      <c r="VHT1157" s="7"/>
      <c r="VHU1157" s="7"/>
      <c r="VHV1157" s="7"/>
      <c r="VHW1157" s="7"/>
      <c r="VHX1157" s="7"/>
      <c r="VHY1157" s="7"/>
      <c r="VHZ1157" s="7"/>
      <c r="VIA1157" s="7"/>
      <c r="VIB1157" s="7"/>
      <c r="VIC1157" s="7"/>
      <c r="VID1157" s="7"/>
      <c r="VIE1157" s="7"/>
      <c r="VIF1157" s="7"/>
      <c r="VIG1157" s="7"/>
      <c r="VIH1157" s="7"/>
      <c r="VII1157" s="7"/>
      <c r="VIJ1157" s="7"/>
      <c r="VIK1157" s="7"/>
      <c r="VIL1157" s="7"/>
      <c r="VIM1157" s="7"/>
      <c r="VIN1157" s="7"/>
      <c r="VIO1157" s="7"/>
      <c r="VIP1157" s="7"/>
      <c r="VIQ1157" s="7"/>
      <c r="VIR1157" s="7"/>
      <c r="VIS1157" s="7"/>
      <c r="VIT1157" s="7"/>
      <c r="VIU1157" s="7"/>
      <c r="VIV1157" s="7"/>
      <c r="VIW1157" s="7"/>
      <c r="VIX1157" s="7"/>
      <c r="VIY1157" s="7"/>
      <c r="VIZ1157" s="7"/>
      <c r="VJA1157" s="7"/>
      <c r="VJB1157" s="7"/>
      <c r="VJC1157" s="7"/>
      <c r="VJD1157" s="7"/>
      <c r="VJE1157" s="7"/>
      <c r="VJF1157" s="7"/>
      <c r="VJG1157" s="7"/>
      <c r="VJH1157" s="7"/>
      <c r="VJI1157" s="7"/>
      <c r="VJJ1157" s="7"/>
      <c r="VJK1157" s="7"/>
      <c r="VJL1157" s="7"/>
      <c r="VJM1157" s="7"/>
      <c r="VJN1157" s="7"/>
      <c r="VJO1157" s="7"/>
      <c r="VJP1157" s="7"/>
      <c r="VJQ1157" s="7"/>
      <c r="VJR1157" s="7"/>
      <c r="VJS1157" s="7"/>
      <c r="VJT1157" s="7"/>
      <c r="VJU1157" s="7"/>
      <c r="VJV1157" s="7"/>
      <c r="VJW1157" s="7"/>
      <c r="VJX1157" s="7"/>
      <c r="VJY1157" s="7"/>
      <c r="VJZ1157" s="7"/>
      <c r="VKA1157" s="7"/>
      <c r="VKB1157" s="7"/>
      <c r="VKC1157" s="7"/>
      <c r="VKD1157" s="7"/>
      <c r="VKE1157" s="7"/>
      <c r="VKF1157" s="7"/>
      <c r="VKG1157" s="7"/>
      <c r="VKH1157" s="7"/>
      <c r="VKI1157" s="7"/>
      <c r="VKJ1157" s="7"/>
      <c r="VKK1157" s="7"/>
      <c r="VKL1157" s="7"/>
      <c r="VKM1157" s="7"/>
      <c r="VKN1157" s="7"/>
      <c r="VKO1157" s="7"/>
      <c r="VKP1157" s="7"/>
      <c r="VKQ1157" s="7"/>
      <c r="VKR1157" s="7"/>
      <c r="VKS1157" s="7"/>
      <c r="VKT1157" s="7"/>
      <c r="VKU1157" s="7"/>
      <c r="VKV1157" s="7"/>
      <c r="VKW1157" s="7"/>
      <c r="VKX1157" s="7"/>
      <c r="VKY1157" s="7"/>
      <c r="VKZ1157" s="7"/>
      <c r="VLA1157" s="7"/>
      <c r="VLB1157" s="7"/>
      <c r="VLC1157" s="7"/>
      <c r="VLD1157" s="7"/>
      <c r="VLE1157" s="7"/>
      <c r="VLF1157" s="7"/>
      <c r="VLG1157" s="7"/>
      <c r="VLH1157" s="7"/>
      <c r="VLI1157" s="7"/>
      <c r="VLJ1157" s="7"/>
      <c r="VLK1157" s="7"/>
      <c r="VLL1157" s="7"/>
      <c r="VLM1157" s="7"/>
      <c r="VLN1157" s="7"/>
      <c r="VLO1157" s="7"/>
      <c r="VLP1157" s="7"/>
      <c r="VLQ1157" s="7"/>
      <c r="VLR1157" s="7"/>
      <c r="VLS1157" s="7"/>
      <c r="VLT1157" s="7"/>
      <c r="VLU1157" s="7"/>
      <c r="VLV1157" s="7"/>
      <c r="VLW1157" s="7"/>
      <c r="VLX1157" s="7"/>
      <c r="VLY1157" s="7"/>
      <c r="VLZ1157" s="7"/>
      <c r="VMA1157" s="7"/>
      <c r="VMB1157" s="7"/>
      <c r="VMC1157" s="7"/>
      <c r="VMD1157" s="7"/>
      <c r="VME1157" s="7"/>
      <c r="VMF1157" s="7"/>
      <c r="VMG1157" s="7"/>
      <c r="VMH1157" s="7"/>
      <c r="VMI1157" s="7"/>
      <c r="VMJ1157" s="7"/>
      <c r="VMK1157" s="7"/>
      <c r="VML1157" s="7"/>
      <c r="VMM1157" s="7"/>
      <c r="VMN1157" s="7"/>
      <c r="VMO1157" s="7"/>
      <c r="VMP1157" s="7"/>
      <c r="VMQ1157" s="7"/>
      <c r="VMR1157" s="7"/>
      <c r="VMS1157" s="7"/>
      <c r="VMT1157" s="7"/>
      <c r="VMU1157" s="7"/>
      <c r="VMV1157" s="7"/>
      <c r="VMW1157" s="7"/>
      <c r="VMX1157" s="7"/>
      <c r="VMY1157" s="7"/>
      <c r="VMZ1157" s="7"/>
      <c r="VNA1157" s="7"/>
      <c r="VNB1157" s="7"/>
      <c r="VNC1157" s="7"/>
      <c r="VND1157" s="7"/>
      <c r="VNE1157" s="7"/>
      <c r="VNF1157" s="7"/>
      <c r="VNG1157" s="7"/>
      <c r="VNH1157" s="7"/>
      <c r="VNI1157" s="7"/>
      <c r="VNJ1157" s="7"/>
      <c r="VNK1157" s="7"/>
      <c r="VNL1157" s="7"/>
      <c r="VNM1157" s="7"/>
      <c r="VNN1157" s="7"/>
      <c r="VNO1157" s="7"/>
      <c r="VNP1157" s="7"/>
      <c r="VNQ1157" s="7"/>
      <c r="VNR1157" s="7"/>
      <c r="VNS1157" s="7"/>
      <c r="VNT1157" s="7"/>
      <c r="VNU1157" s="7"/>
      <c r="VNV1157" s="7"/>
      <c r="VNW1157" s="7"/>
      <c r="VNX1157" s="7"/>
      <c r="VNY1157" s="7"/>
      <c r="VNZ1157" s="7"/>
      <c r="VOA1157" s="7"/>
      <c r="VOB1157" s="7"/>
      <c r="VOC1157" s="7"/>
      <c r="VOD1157" s="7"/>
      <c r="VOE1157" s="7"/>
      <c r="VOF1157" s="7"/>
      <c r="VOG1157" s="7"/>
      <c r="VOH1157" s="7"/>
      <c r="VOI1157" s="7"/>
      <c r="VOJ1157" s="7"/>
      <c r="VOK1157" s="7"/>
      <c r="VOL1157" s="7"/>
      <c r="VOM1157" s="7"/>
      <c r="VON1157" s="7"/>
      <c r="VOO1157" s="7"/>
      <c r="VOP1157" s="7"/>
      <c r="VOQ1157" s="7"/>
      <c r="VOR1157" s="7"/>
      <c r="VOS1157" s="7"/>
      <c r="VOT1157" s="7"/>
      <c r="VOU1157" s="7"/>
      <c r="VOV1157" s="7"/>
      <c r="VOW1157" s="7"/>
      <c r="VOX1157" s="7"/>
      <c r="VOY1157" s="7"/>
      <c r="VOZ1157" s="7"/>
      <c r="VPA1157" s="7"/>
      <c r="VPB1157" s="7"/>
      <c r="VPC1157" s="7"/>
      <c r="VPD1157" s="7"/>
      <c r="VPE1157" s="7"/>
      <c r="VPF1157" s="7"/>
      <c r="VPG1157" s="7"/>
      <c r="VPH1157" s="7"/>
      <c r="VPI1157" s="7"/>
      <c r="VPJ1157" s="7"/>
      <c r="VPK1157" s="7"/>
      <c r="VPL1157" s="7"/>
      <c r="VPM1157" s="7"/>
      <c r="VPN1157" s="7"/>
      <c r="VPO1157" s="7"/>
      <c r="VPP1157" s="7"/>
      <c r="VPQ1157" s="7"/>
      <c r="VPR1157" s="7"/>
      <c r="VPS1157" s="7"/>
      <c r="VPT1157" s="7"/>
      <c r="VPU1157" s="7"/>
      <c r="VPV1157" s="7"/>
      <c r="VPW1157" s="7"/>
      <c r="VPX1157" s="7"/>
      <c r="VPY1157" s="7"/>
      <c r="VPZ1157" s="7"/>
      <c r="VQA1157" s="7"/>
      <c r="VQB1157" s="7"/>
      <c r="VQC1157" s="7"/>
      <c r="VQD1157" s="7"/>
      <c r="VQE1157" s="7"/>
      <c r="VQF1157" s="7"/>
      <c r="VQG1157" s="7"/>
      <c r="VQH1157" s="7"/>
      <c r="VQI1157" s="7"/>
      <c r="VQJ1157" s="7"/>
      <c r="VQK1157" s="7"/>
      <c r="VQL1157" s="7"/>
      <c r="VQM1157" s="7"/>
      <c r="VQN1157" s="7"/>
      <c r="VQO1157" s="7"/>
      <c r="VQP1157" s="7"/>
      <c r="VQQ1157" s="7"/>
      <c r="VQR1157" s="7"/>
      <c r="VQS1157" s="7"/>
      <c r="VQT1157" s="7"/>
      <c r="VQU1157" s="7"/>
      <c r="VQV1157" s="7"/>
      <c r="VQW1157" s="7"/>
      <c r="VQX1157" s="7"/>
      <c r="VQY1157" s="7"/>
      <c r="VQZ1157" s="7"/>
      <c r="VRA1157" s="7"/>
      <c r="VRB1157" s="7"/>
      <c r="VRC1157" s="7"/>
      <c r="VRD1157" s="7"/>
      <c r="VRE1157" s="7"/>
      <c r="VRF1157" s="7"/>
      <c r="VRG1157" s="7"/>
      <c r="VRH1157" s="7"/>
      <c r="VRI1157" s="7"/>
      <c r="VRJ1157" s="7"/>
      <c r="VRK1157" s="7"/>
      <c r="VRL1157" s="7"/>
      <c r="VRM1157" s="7"/>
      <c r="VRN1157" s="7"/>
      <c r="VRO1157" s="7"/>
      <c r="VRP1157" s="7"/>
      <c r="VRQ1157" s="7"/>
      <c r="VRR1157" s="7"/>
      <c r="VRS1157" s="7"/>
      <c r="VRT1157" s="7"/>
      <c r="VRU1157" s="7"/>
      <c r="VRV1157" s="7"/>
      <c r="VRW1157" s="7"/>
      <c r="VRX1157" s="7"/>
      <c r="VRY1157" s="7"/>
      <c r="VRZ1157" s="7"/>
      <c r="VSA1157" s="7"/>
      <c r="VSB1157" s="7"/>
      <c r="VSC1157" s="7"/>
      <c r="VSD1157" s="7"/>
      <c r="VSE1157" s="7"/>
      <c r="VSF1157" s="7"/>
      <c r="VSG1157" s="7"/>
      <c r="VSH1157" s="7"/>
      <c r="VSI1157" s="7"/>
      <c r="VSJ1157" s="7"/>
      <c r="VSK1157" s="7"/>
      <c r="VSL1157" s="7"/>
      <c r="VSM1157" s="7"/>
      <c r="VSN1157" s="7"/>
      <c r="VSO1157" s="7"/>
      <c r="VSP1157" s="7"/>
      <c r="VSQ1157" s="7"/>
      <c r="VSR1157" s="7"/>
      <c r="VSS1157" s="7"/>
      <c r="VST1157" s="7"/>
      <c r="VSU1157" s="7"/>
      <c r="VSV1157" s="7"/>
      <c r="VSW1157" s="7"/>
      <c r="VSX1157" s="7"/>
      <c r="VSY1157" s="7"/>
      <c r="VSZ1157" s="7"/>
      <c r="VTA1157" s="7"/>
      <c r="VTB1157" s="7"/>
      <c r="VTC1157" s="7"/>
      <c r="VTD1157" s="7"/>
      <c r="VTE1157" s="7"/>
      <c r="VTF1157" s="7"/>
      <c r="VTG1157" s="7"/>
      <c r="VTH1157" s="7"/>
      <c r="VTI1157" s="7"/>
      <c r="VTJ1157" s="7"/>
      <c r="VTK1157" s="7"/>
      <c r="VTL1157" s="7"/>
      <c r="VTM1157" s="7"/>
      <c r="VTN1157" s="7"/>
      <c r="VTO1157" s="7"/>
      <c r="VTP1157" s="7"/>
      <c r="VTQ1157" s="7"/>
      <c r="VTR1157" s="7"/>
      <c r="VTS1157" s="7"/>
      <c r="VTT1157" s="7"/>
      <c r="VTU1157" s="7"/>
      <c r="VTV1157" s="7"/>
      <c r="VTW1157" s="7"/>
      <c r="VTX1157" s="7"/>
      <c r="VTY1157" s="7"/>
      <c r="VTZ1157" s="7"/>
      <c r="VUA1157" s="7"/>
      <c r="VUB1157" s="7"/>
      <c r="VUC1157" s="7"/>
      <c r="VUD1157" s="7"/>
      <c r="VUE1157" s="7"/>
      <c r="VUF1157" s="7"/>
      <c r="VUG1157" s="7"/>
      <c r="VUH1157" s="7"/>
      <c r="VUI1157" s="7"/>
      <c r="VUJ1157" s="7"/>
      <c r="VUK1157" s="7"/>
      <c r="VUL1157" s="7"/>
      <c r="VUM1157" s="7"/>
      <c r="VUN1157" s="7"/>
      <c r="VUO1157" s="7"/>
      <c r="VUP1157" s="7"/>
      <c r="VUQ1157" s="7"/>
      <c r="VUR1157" s="7"/>
      <c r="VUS1157" s="7"/>
      <c r="VUT1157" s="7"/>
      <c r="VUU1157" s="7"/>
      <c r="VUV1157" s="7"/>
      <c r="VUW1157" s="7"/>
      <c r="VUX1157" s="7"/>
      <c r="VUY1157" s="7"/>
      <c r="VUZ1157" s="7"/>
      <c r="VVA1157" s="7"/>
      <c r="VVB1157" s="7"/>
      <c r="VVC1157" s="7"/>
      <c r="VVD1157" s="7"/>
      <c r="VVE1157" s="7"/>
      <c r="VVF1157" s="7"/>
      <c r="VVG1157" s="7"/>
      <c r="VVH1157" s="7"/>
      <c r="VVI1157" s="7"/>
      <c r="VVJ1157" s="7"/>
      <c r="VVK1157" s="7"/>
      <c r="VVL1157" s="7"/>
      <c r="VVM1157" s="7"/>
      <c r="VVN1157" s="7"/>
      <c r="VVO1157" s="7"/>
      <c r="VVP1157" s="7"/>
      <c r="VVQ1157" s="7"/>
      <c r="VVR1157" s="7"/>
      <c r="VVS1157" s="7"/>
      <c r="VVT1157" s="7"/>
      <c r="VVU1157" s="7"/>
      <c r="VVV1157" s="7"/>
      <c r="VVW1157" s="7"/>
      <c r="VVX1157" s="7"/>
      <c r="VVY1157" s="7"/>
      <c r="VVZ1157" s="7"/>
      <c r="VWA1157" s="7"/>
      <c r="VWB1157" s="7"/>
      <c r="VWC1157" s="7"/>
      <c r="VWD1157" s="7"/>
      <c r="VWE1157" s="7"/>
      <c r="VWF1157" s="7"/>
      <c r="VWG1157" s="7"/>
      <c r="VWH1157" s="7"/>
      <c r="VWI1157" s="7"/>
      <c r="VWJ1157" s="7"/>
      <c r="VWK1157" s="7"/>
      <c r="VWL1157" s="7"/>
      <c r="VWM1157" s="7"/>
      <c r="VWN1157" s="7"/>
      <c r="VWO1157" s="7"/>
      <c r="VWP1157" s="7"/>
      <c r="VWQ1157" s="7"/>
      <c r="VWR1157" s="7"/>
      <c r="VWS1157" s="7"/>
      <c r="VWT1157" s="7"/>
      <c r="VWU1157" s="7"/>
      <c r="VWV1157" s="7"/>
      <c r="VWW1157" s="7"/>
      <c r="VWX1157" s="7"/>
      <c r="VWY1157" s="7"/>
      <c r="VWZ1157" s="7"/>
      <c r="VXA1157" s="7"/>
      <c r="VXB1157" s="7"/>
      <c r="VXC1157" s="7"/>
      <c r="VXD1157" s="7"/>
      <c r="VXE1157" s="7"/>
      <c r="VXF1157" s="7"/>
      <c r="VXG1157" s="7"/>
      <c r="VXH1157" s="7"/>
      <c r="VXI1157" s="7"/>
      <c r="VXJ1157" s="7"/>
      <c r="VXK1157" s="7"/>
      <c r="VXL1157" s="7"/>
      <c r="VXM1157" s="7"/>
      <c r="VXN1157" s="7"/>
      <c r="VXO1157" s="7"/>
      <c r="VXP1157" s="7"/>
      <c r="VXQ1157" s="7"/>
      <c r="VXR1157" s="7"/>
      <c r="VXS1157" s="7"/>
      <c r="VXT1157" s="7"/>
      <c r="VXU1157" s="7"/>
      <c r="VXV1157" s="7"/>
      <c r="VXW1157" s="7"/>
      <c r="VXX1157" s="7"/>
      <c r="VXY1157" s="7"/>
      <c r="VXZ1157" s="7"/>
      <c r="VYA1157" s="7"/>
      <c r="VYB1157" s="7"/>
      <c r="VYC1157" s="7"/>
      <c r="VYD1157" s="7"/>
      <c r="VYE1157" s="7"/>
      <c r="VYF1157" s="7"/>
      <c r="VYG1157" s="7"/>
      <c r="VYH1157" s="7"/>
      <c r="VYI1157" s="7"/>
      <c r="VYJ1157" s="7"/>
      <c r="VYK1157" s="7"/>
      <c r="VYL1157" s="7"/>
      <c r="VYM1157" s="7"/>
      <c r="VYN1157" s="7"/>
      <c r="VYO1157" s="7"/>
      <c r="VYP1157" s="7"/>
      <c r="VYQ1157" s="7"/>
      <c r="VYR1157" s="7"/>
      <c r="VYS1157" s="7"/>
      <c r="VYT1157" s="7"/>
      <c r="VYU1157" s="7"/>
      <c r="VYV1157" s="7"/>
      <c r="VYW1157" s="7"/>
      <c r="VYX1157" s="7"/>
      <c r="VYY1157" s="7"/>
      <c r="VYZ1157" s="7"/>
      <c r="VZA1157" s="7"/>
      <c r="VZB1157" s="7"/>
      <c r="VZC1157" s="7"/>
      <c r="VZD1157" s="7"/>
      <c r="VZE1157" s="7"/>
      <c r="VZF1157" s="7"/>
      <c r="VZG1157" s="7"/>
      <c r="VZH1157" s="7"/>
      <c r="VZI1157" s="7"/>
      <c r="VZJ1157" s="7"/>
      <c r="VZK1157" s="7"/>
      <c r="VZL1157" s="7"/>
      <c r="VZM1157" s="7"/>
      <c r="VZN1157" s="7"/>
      <c r="VZO1157" s="7"/>
      <c r="VZP1157" s="7"/>
      <c r="VZQ1157" s="7"/>
      <c r="VZR1157" s="7"/>
      <c r="VZS1157" s="7"/>
      <c r="VZT1157" s="7"/>
      <c r="VZU1157" s="7"/>
      <c r="VZV1157" s="7"/>
      <c r="VZW1157" s="7"/>
      <c r="VZX1157" s="7"/>
      <c r="VZY1157" s="7"/>
      <c r="VZZ1157" s="7"/>
      <c r="WAA1157" s="7"/>
      <c r="WAB1157" s="7"/>
      <c r="WAC1157" s="7"/>
      <c r="WAD1157" s="7"/>
      <c r="WAE1157" s="7"/>
      <c r="WAF1157" s="7"/>
      <c r="WAG1157" s="7"/>
      <c r="WAH1157" s="7"/>
      <c r="WAI1157" s="7"/>
      <c r="WAJ1157" s="7"/>
      <c r="WAK1157" s="7"/>
      <c r="WAL1157" s="7"/>
      <c r="WAM1157" s="7"/>
      <c r="WAN1157" s="7"/>
      <c r="WAO1157" s="7"/>
      <c r="WAP1157" s="7"/>
      <c r="WAQ1157" s="7"/>
      <c r="WAR1157" s="7"/>
      <c r="WAS1157" s="7"/>
      <c r="WAT1157" s="7"/>
      <c r="WAU1157" s="7"/>
      <c r="WAV1157" s="7"/>
      <c r="WAW1157" s="7"/>
      <c r="WAX1157" s="7"/>
      <c r="WAY1157" s="7"/>
      <c r="WAZ1157" s="7"/>
      <c r="WBA1157" s="7"/>
      <c r="WBB1157" s="7"/>
      <c r="WBC1157" s="7"/>
      <c r="WBD1157" s="7"/>
      <c r="WBE1157" s="7"/>
      <c r="WBF1157" s="7"/>
      <c r="WBG1157" s="7"/>
      <c r="WBH1157" s="7"/>
      <c r="WBI1157" s="7"/>
      <c r="WBJ1157" s="7"/>
      <c r="WBK1157" s="7"/>
      <c r="WBL1157" s="7"/>
      <c r="WBM1157" s="7"/>
      <c r="WBN1157" s="7"/>
      <c r="WBO1157" s="7"/>
      <c r="WBP1157" s="7"/>
      <c r="WBQ1157" s="7"/>
      <c r="WBR1157" s="7"/>
      <c r="WBS1157" s="7"/>
      <c r="WBT1157" s="7"/>
      <c r="WBU1157" s="7"/>
      <c r="WBV1157" s="7"/>
      <c r="WBW1157" s="7"/>
      <c r="WBX1157" s="7"/>
      <c r="WBY1157" s="7"/>
      <c r="WBZ1157" s="7"/>
      <c r="WCA1157" s="7"/>
      <c r="WCB1157" s="7"/>
      <c r="WCC1157" s="7"/>
      <c r="WCD1157" s="7"/>
      <c r="WCE1157" s="7"/>
      <c r="WCF1157" s="7"/>
      <c r="WCG1157" s="7"/>
      <c r="WCH1157" s="7"/>
      <c r="WCI1157" s="7"/>
      <c r="WCJ1157" s="7"/>
      <c r="WCK1157" s="7"/>
      <c r="WCL1157" s="7"/>
      <c r="WCM1157" s="7"/>
      <c r="WCN1157" s="7"/>
      <c r="WCO1157" s="7"/>
      <c r="WCP1157" s="7"/>
      <c r="WCQ1157" s="7"/>
      <c r="WCR1157" s="7"/>
      <c r="WCS1157" s="7"/>
      <c r="WCT1157" s="7"/>
      <c r="WCU1157" s="7"/>
      <c r="WCV1157" s="7"/>
      <c r="WCW1157" s="7"/>
      <c r="WCX1157" s="7"/>
      <c r="WCY1157" s="7"/>
      <c r="WCZ1157" s="7"/>
      <c r="WDA1157" s="7"/>
      <c r="WDB1157" s="7"/>
      <c r="WDC1157" s="7"/>
      <c r="WDD1157" s="7"/>
      <c r="WDE1157" s="7"/>
      <c r="WDF1157" s="7"/>
      <c r="WDG1157" s="7"/>
      <c r="WDH1157" s="7"/>
      <c r="WDI1157" s="7"/>
      <c r="WDJ1157" s="7"/>
      <c r="WDK1157" s="7"/>
      <c r="WDL1157" s="7"/>
      <c r="WDM1157" s="7"/>
      <c r="WDN1157" s="7"/>
      <c r="WDO1157" s="7"/>
      <c r="WDP1157" s="7"/>
      <c r="WDQ1157" s="7"/>
      <c r="WDR1157" s="7"/>
      <c r="WDS1157" s="7"/>
      <c r="WDT1157" s="7"/>
      <c r="WDU1157" s="7"/>
      <c r="WDV1157" s="7"/>
      <c r="WDW1157" s="7"/>
      <c r="WDX1157" s="7"/>
      <c r="WDY1157" s="7"/>
      <c r="WDZ1157" s="7"/>
      <c r="WEA1157" s="7"/>
      <c r="WEB1157" s="7"/>
      <c r="WEC1157" s="7"/>
      <c r="WED1157" s="7"/>
      <c r="WEE1157" s="7"/>
      <c r="WEF1157" s="7"/>
      <c r="WEG1157" s="7"/>
      <c r="WEH1157" s="7"/>
      <c r="WEI1157" s="7"/>
      <c r="WEJ1157" s="7"/>
      <c r="WEK1157" s="7"/>
      <c r="WEL1157" s="7"/>
      <c r="WEM1157" s="7"/>
      <c r="WEN1157" s="7"/>
      <c r="WEO1157" s="7"/>
      <c r="WEP1157" s="7"/>
      <c r="WEQ1157" s="7"/>
      <c r="WER1157" s="7"/>
      <c r="WES1157" s="7"/>
      <c r="WET1157" s="7"/>
      <c r="WEU1157" s="7"/>
      <c r="WEV1157" s="7"/>
      <c r="WEW1157" s="7"/>
      <c r="WEX1157" s="7"/>
      <c r="WEY1157" s="7"/>
      <c r="WEZ1157" s="7"/>
      <c r="WFA1157" s="7"/>
      <c r="WFB1157" s="7"/>
      <c r="WFC1157" s="7"/>
      <c r="WFD1157" s="7"/>
      <c r="WFE1157" s="7"/>
      <c r="WFF1157" s="7"/>
      <c r="WFG1157" s="7"/>
      <c r="WFH1157" s="7"/>
      <c r="WFI1157" s="7"/>
      <c r="WFJ1157" s="7"/>
      <c r="WFK1157" s="7"/>
      <c r="WFL1157" s="7"/>
      <c r="WFM1157" s="7"/>
      <c r="WFN1157" s="7"/>
      <c r="WFO1157" s="7"/>
      <c r="WFP1157" s="7"/>
      <c r="WFQ1157" s="7"/>
      <c r="WFR1157" s="7"/>
      <c r="WFS1157" s="7"/>
      <c r="WFT1157" s="7"/>
      <c r="WFU1157" s="7"/>
      <c r="WFV1157" s="7"/>
      <c r="WFW1157" s="7"/>
      <c r="WFX1157" s="7"/>
      <c r="WFY1157" s="7"/>
      <c r="WFZ1157" s="7"/>
      <c r="WGA1157" s="7"/>
      <c r="WGB1157" s="7"/>
      <c r="WGC1157" s="7"/>
      <c r="WGD1157" s="7"/>
      <c r="WGE1157" s="7"/>
      <c r="WGF1157" s="7"/>
      <c r="WGG1157" s="7"/>
      <c r="WGH1157" s="7"/>
      <c r="WGI1157" s="7"/>
      <c r="WGJ1157" s="7"/>
      <c r="WGK1157" s="7"/>
      <c r="WGL1157" s="7"/>
      <c r="WGM1157" s="7"/>
      <c r="WGN1157" s="7"/>
      <c r="WGO1157" s="7"/>
      <c r="WGP1157" s="7"/>
      <c r="WGQ1157" s="7"/>
      <c r="WGR1157" s="7"/>
      <c r="WGS1157" s="7"/>
      <c r="WGT1157" s="7"/>
      <c r="WGU1157" s="7"/>
      <c r="WGV1157" s="7"/>
      <c r="WGW1157" s="7"/>
      <c r="WGX1157" s="7"/>
      <c r="WGY1157" s="7"/>
      <c r="WGZ1157" s="7"/>
      <c r="WHA1157" s="7"/>
      <c r="WHB1157" s="7"/>
      <c r="WHC1157" s="7"/>
      <c r="WHD1157" s="7"/>
      <c r="WHE1157" s="7"/>
      <c r="WHF1157" s="7"/>
      <c r="WHG1157" s="7"/>
      <c r="WHH1157" s="7"/>
      <c r="WHI1157" s="7"/>
      <c r="WHJ1157" s="7"/>
      <c r="WHK1157" s="7"/>
      <c r="WHL1157" s="7"/>
      <c r="WHM1157" s="7"/>
      <c r="WHN1157" s="7"/>
      <c r="WHO1157" s="7"/>
      <c r="WHP1157" s="7"/>
      <c r="WHQ1157" s="7"/>
      <c r="WHR1157" s="7"/>
      <c r="WHS1157" s="7"/>
      <c r="WHT1157" s="7"/>
      <c r="WHU1157" s="7"/>
      <c r="WHV1157" s="7"/>
      <c r="WHW1157" s="7"/>
      <c r="WHX1157" s="7"/>
      <c r="WHY1157" s="7"/>
      <c r="WHZ1157" s="7"/>
      <c r="WIA1157" s="7"/>
      <c r="WIB1157" s="7"/>
      <c r="WIC1157" s="7"/>
      <c r="WID1157" s="7"/>
      <c r="WIE1157" s="7"/>
      <c r="WIF1157" s="7"/>
      <c r="WIG1157" s="7"/>
      <c r="WIH1157" s="7"/>
      <c r="WII1157" s="7"/>
      <c r="WIJ1157" s="7"/>
      <c r="WIK1157" s="7"/>
      <c r="WIL1157" s="7"/>
      <c r="WIM1157" s="7"/>
      <c r="WIN1157" s="7"/>
      <c r="WIO1157" s="7"/>
      <c r="WIP1157" s="7"/>
      <c r="WIQ1157" s="7"/>
      <c r="WIR1157" s="7"/>
      <c r="WIS1157" s="7"/>
      <c r="WIT1157" s="7"/>
      <c r="WIU1157" s="7"/>
      <c r="WIV1157" s="7"/>
      <c r="WIW1157" s="7"/>
      <c r="WIX1157" s="7"/>
      <c r="WIY1157" s="7"/>
      <c r="WIZ1157" s="7"/>
      <c r="WJA1157" s="7"/>
      <c r="WJB1157" s="7"/>
      <c r="WJC1157" s="7"/>
      <c r="WJD1157" s="7"/>
      <c r="WJE1157" s="7"/>
      <c r="WJF1157" s="7"/>
      <c r="WJG1157" s="7"/>
      <c r="WJH1157" s="7"/>
      <c r="WJI1157" s="7"/>
      <c r="WJJ1157" s="7"/>
      <c r="WJK1157" s="7"/>
      <c r="WJL1157" s="7"/>
      <c r="WJM1157" s="7"/>
      <c r="WJN1157" s="7"/>
      <c r="WJO1157" s="7"/>
      <c r="WJP1157" s="7"/>
      <c r="WJQ1157" s="7"/>
      <c r="WJR1157" s="7"/>
      <c r="WJS1157" s="7"/>
      <c r="WJT1157" s="7"/>
      <c r="WJU1157" s="7"/>
      <c r="WJV1157" s="7"/>
      <c r="WJW1157" s="7"/>
      <c r="WJX1157" s="7"/>
      <c r="WJY1157" s="7"/>
      <c r="WJZ1157" s="7"/>
      <c r="WKA1157" s="7"/>
      <c r="WKB1157" s="7"/>
      <c r="WKC1157" s="7"/>
      <c r="WKD1157" s="7"/>
      <c r="WKE1157" s="7"/>
      <c r="WKF1157" s="7"/>
      <c r="WKG1157" s="7"/>
      <c r="WKH1157" s="7"/>
      <c r="WKI1157" s="7"/>
      <c r="WKJ1157" s="7"/>
      <c r="WKK1157" s="7"/>
      <c r="WKL1157" s="7"/>
      <c r="WKM1157" s="7"/>
      <c r="WKN1157" s="7"/>
      <c r="WKO1157" s="7"/>
      <c r="WKP1157" s="7"/>
      <c r="WKQ1157" s="7"/>
      <c r="WKR1157" s="7"/>
      <c r="WKS1157" s="7"/>
      <c r="WKT1157" s="7"/>
      <c r="WKU1157" s="7"/>
      <c r="WKV1157" s="7"/>
      <c r="WKW1157" s="7"/>
      <c r="WKX1157" s="7"/>
      <c r="WKY1157" s="7"/>
      <c r="WKZ1157" s="7"/>
      <c r="WLA1157" s="7"/>
      <c r="WLB1157" s="7"/>
      <c r="WLC1157" s="7"/>
      <c r="WLD1157" s="7"/>
      <c r="WLE1157" s="7"/>
      <c r="WLF1157" s="7"/>
      <c r="WLG1157" s="7"/>
      <c r="WLH1157" s="7"/>
      <c r="WLI1157" s="7"/>
      <c r="WLJ1157" s="7"/>
      <c r="WLK1157" s="7"/>
      <c r="WLL1157" s="7"/>
      <c r="WLM1157" s="7"/>
      <c r="WLN1157" s="7"/>
      <c r="WLO1157" s="7"/>
      <c r="WLP1157" s="7"/>
      <c r="WLQ1157" s="7"/>
      <c r="WLR1157" s="7"/>
      <c r="WLS1157" s="7"/>
      <c r="WLT1157" s="7"/>
      <c r="WLU1157" s="7"/>
      <c r="WLV1157" s="7"/>
      <c r="WLW1157" s="7"/>
      <c r="WLX1157" s="7"/>
      <c r="WLY1157" s="7"/>
      <c r="WLZ1157" s="7"/>
      <c r="WMA1157" s="7"/>
      <c r="WMB1157" s="7"/>
      <c r="WMC1157" s="7"/>
      <c r="WMD1157" s="7"/>
      <c r="WME1157" s="7"/>
      <c r="WMF1157" s="7"/>
      <c r="WMG1157" s="7"/>
      <c r="WMH1157" s="7"/>
      <c r="WMI1157" s="7"/>
      <c r="WMJ1157" s="7"/>
      <c r="WMK1157" s="7"/>
      <c r="WML1157" s="7"/>
      <c r="WMM1157" s="7"/>
      <c r="WMN1157" s="7"/>
      <c r="WMO1157" s="7"/>
      <c r="WMP1157" s="7"/>
      <c r="WMQ1157" s="7"/>
      <c r="WMR1157" s="7"/>
      <c r="WMS1157" s="7"/>
      <c r="WMT1157" s="7"/>
      <c r="WMU1157" s="7"/>
      <c r="WMV1157" s="7"/>
      <c r="WMW1157" s="7"/>
      <c r="WMX1157" s="7"/>
      <c r="WMY1157" s="7"/>
      <c r="WMZ1157" s="7"/>
      <c r="WNA1157" s="7"/>
      <c r="WNB1157" s="7"/>
      <c r="WNC1157" s="7"/>
      <c r="WND1157" s="7"/>
      <c r="WNE1157" s="7"/>
      <c r="WNF1157" s="7"/>
      <c r="WNG1157" s="7"/>
      <c r="WNH1157" s="7"/>
      <c r="WNI1157" s="7"/>
      <c r="WNJ1157" s="7"/>
      <c r="WNK1157" s="7"/>
      <c r="WNL1157" s="7"/>
      <c r="WNM1157" s="7"/>
      <c r="WNN1157" s="7"/>
      <c r="WNO1157" s="7"/>
      <c r="WNP1157" s="7"/>
      <c r="WNQ1157" s="7"/>
      <c r="WNR1157" s="7"/>
      <c r="WNS1157" s="7"/>
      <c r="WNT1157" s="7"/>
      <c r="WNU1157" s="7"/>
      <c r="WNV1157" s="7"/>
      <c r="WNW1157" s="7"/>
      <c r="WNX1157" s="7"/>
      <c r="WNY1157" s="7"/>
      <c r="WNZ1157" s="7"/>
      <c r="WOA1157" s="7"/>
      <c r="WOB1157" s="7"/>
      <c r="WOC1157" s="7"/>
      <c r="WOD1157" s="7"/>
      <c r="WOE1157" s="7"/>
      <c r="WOF1157" s="7"/>
      <c r="WOG1157" s="7"/>
      <c r="WOH1157" s="7"/>
      <c r="WOI1157" s="7"/>
      <c r="WOJ1157" s="7"/>
      <c r="WOK1157" s="7"/>
      <c r="WOL1157" s="7"/>
      <c r="WOM1157" s="7"/>
      <c r="WON1157" s="7"/>
      <c r="WOO1157" s="7"/>
      <c r="WOP1157" s="7"/>
      <c r="WOQ1157" s="7"/>
      <c r="WOR1157" s="7"/>
      <c r="WOS1157" s="7"/>
      <c r="WOT1157" s="7"/>
      <c r="WOU1157" s="7"/>
      <c r="WOV1157" s="7"/>
      <c r="WOW1157" s="7"/>
      <c r="WOX1157" s="7"/>
      <c r="WOY1157" s="7"/>
      <c r="WOZ1157" s="7"/>
      <c r="WPA1157" s="7"/>
      <c r="WPB1157" s="7"/>
      <c r="WPC1157" s="7"/>
      <c r="WPD1157" s="7"/>
      <c r="WPE1157" s="7"/>
      <c r="WPF1157" s="7"/>
      <c r="WPG1157" s="7"/>
      <c r="WPH1157" s="7"/>
      <c r="WPI1157" s="7"/>
      <c r="WPJ1157" s="7"/>
      <c r="WPK1157" s="7"/>
      <c r="WPL1157" s="7"/>
      <c r="WPM1157" s="7"/>
      <c r="WPN1157" s="7"/>
      <c r="WPO1157" s="7"/>
      <c r="WPP1157" s="7"/>
      <c r="WPQ1157" s="7"/>
      <c r="WPR1157" s="7"/>
      <c r="WPS1157" s="7"/>
      <c r="WPT1157" s="7"/>
      <c r="WPU1157" s="7"/>
      <c r="WPV1157" s="7"/>
      <c r="WPW1157" s="7"/>
      <c r="WPX1157" s="7"/>
      <c r="WPY1157" s="7"/>
      <c r="WPZ1157" s="7"/>
      <c r="WQA1157" s="7"/>
      <c r="WQB1157" s="7"/>
      <c r="WQC1157" s="7"/>
      <c r="WQD1157" s="7"/>
      <c r="WQE1157" s="7"/>
      <c r="WQF1157" s="7"/>
      <c r="WQG1157" s="7"/>
      <c r="WQH1157" s="7"/>
      <c r="WQI1157" s="7"/>
      <c r="WQJ1157" s="7"/>
      <c r="WQK1157" s="7"/>
      <c r="WQL1157" s="7"/>
      <c r="WQM1157" s="7"/>
      <c r="WQN1157" s="7"/>
      <c r="WQO1157" s="7"/>
      <c r="WQP1157" s="7"/>
      <c r="WQQ1157" s="7"/>
      <c r="WQR1157" s="7"/>
      <c r="WQS1157" s="7"/>
      <c r="WQT1157" s="7"/>
      <c r="WQU1157" s="7"/>
      <c r="WQV1157" s="7"/>
      <c r="WQW1157" s="7"/>
      <c r="WQX1157" s="7"/>
      <c r="WQY1157" s="7"/>
      <c r="WQZ1157" s="7"/>
      <c r="WRA1157" s="7"/>
      <c r="WRB1157" s="7"/>
      <c r="WRC1157" s="7"/>
      <c r="WRD1157" s="7"/>
      <c r="WRE1157" s="7"/>
      <c r="WRF1157" s="7"/>
      <c r="WRG1157" s="7"/>
      <c r="WRH1157" s="7"/>
      <c r="WRI1157" s="7"/>
      <c r="WRJ1157" s="7"/>
      <c r="WRK1157" s="7"/>
      <c r="WRL1157" s="7"/>
      <c r="WRM1157" s="7"/>
      <c r="WRN1157" s="7"/>
      <c r="WRO1157" s="7"/>
      <c r="WRP1157" s="7"/>
      <c r="WRQ1157" s="7"/>
      <c r="WRR1157" s="7"/>
      <c r="WRS1157" s="7"/>
      <c r="WRT1157" s="7"/>
      <c r="WRU1157" s="7"/>
      <c r="WRV1157" s="7"/>
      <c r="WRW1157" s="7"/>
      <c r="WRX1157" s="7"/>
      <c r="WRY1157" s="7"/>
      <c r="WRZ1157" s="7"/>
      <c r="WSA1157" s="7"/>
      <c r="WSB1157" s="7"/>
      <c r="WSC1157" s="7"/>
      <c r="WSD1157" s="7"/>
      <c r="WSE1157" s="7"/>
      <c r="WSF1157" s="7"/>
      <c r="WSG1157" s="7"/>
      <c r="WSH1157" s="7"/>
      <c r="WSI1157" s="7"/>
      <c r="WSJ1157" s="7"/>
      <c r="WSK1157" s="7"/>
      <c r="WSL1157" s="7"/>
      <c r="WSM1157" s="7"/>
      <c r="WSN1157" s="7"/>
      <c r="WSO1157" s="7"/>
      <c r="WSP1157" s="7"/>
      <c r="WSQ1157" s="7"/>
      <c r="WSR1157" s="7"/>
      <c r="WSS1157" s="7"/>
      <c r="WST1157" s="7"/>
      <c r="WSU1157" s="7"/>
      <c r="WSV1157" s="7"/>
      <c r="WSW1157" s="7"/>
      <c r="WSX1157" s="7"/>
      <c r="WSY1157" s="7"/>
      <c r="WSZ1157" s="7"/>
      <c r="WTA1157" s="7"/>
      <c r="WTB1157" s="7"/>
      <c r="WTC1157" s="7"/>
      <c r="WTD1157" s="7"/>
      <c r="WTE1157" s="7"/>
      <c r="WTF1157" s="7"/>
      <c r="WTG1157" s="7"/>
      <c r="WTH1157" s="7"/>
      <c r="WTI1157" s="7"/>
      <c r="WTJ1157" s="7"/>
      <c r="WTK1157" s="7"/>
      <c r="WTL1157" s="7"/>
      <c r="WTM1157" s="7"/>
      <c r="WTN1157" s="7"/>
      <c r="WTO1157" s="7"/>
      <c r="WTP1157" s="7"/>
      <c r="WTQ1157" s="7"/>
      <c r="WTR1157" s="7"/>
      <c r="WTS1157" s="7"/>
      <c r="WTT1157" s="7"/>
      <c r="WTU1157" s="7"/>
      <c r="WTV1157" s="7"/>
      <c r="WTW1157" s="7"/>
      <c r="WTX1157" s="7"/>
      <c r="WTY1157" s="7"/>
      <c r="WTZ1157" s="7"/>
      <c r="WUA1157" s="7"/>
      <c r="WUB1157" s="7"/>
      <c r="WUC1157" s="7"/>
      <c r="WUD1157" s="7"/>
      <c r="WUE1157" s="7"/>
      <c r="WUF1157" s="7"/>
      <c r="WUG1157" s="7"/>
      <c r="WUH1157" s="7"/>
      <c r="WUI1157" s="7"/>
      <c r="WUJ1157" s="7"/>
      <c r="WUK1157" s="7"/>
      <c r="WUL1157" s="7"/>
      <c r="WUM1157" s="7"/>
      <c r="WUN1157" s="7"/>
      <c r="WUO1157" s="7"/>
      <c r="WUP1157" s="7"/>
      <c r="WUQ1157" s="7"/>
      <c r="WUR1157" s="7"/>
      <c r="WUS1157" s="7"/>
      <c r="WUT1157" s="7"/>
      <c r="WUU1157" s="7"/>
      <c r="WUV1157" s="7"/>
      <c r="WUW1157" s="7"/>
      <c r="WUX1157" s="7"/>
      <c r="WUY1157" s="7"/>
      <c r="WUZ1157" s="7"/>
      <c r="WVA1157" s="7"/>
      <c r="WVB1157" s="7"/>
      <c r="WVC1157" s="7"/>
      <c r="WVD1157" s="7"/>
      <c r="WVE1157" s="7"/>
      <c r="WVF1157" s="7"/>
      <c r="WVG1157" s="7"/>
      <c r="WVH1157" s="7"/>
      <c r="WVI1157" s="7"/>
      <c r="WVJ1157" s="7"/>
      <c r="WVK1157" s="7"/>
      <c r="WVL1157" s="7"/>
      <c r="WVM1157" s="7"/>
      <c r="WVN1157" s="7"/>
      <c r="WVO1157" s="7"/>
      <c r="WVP1157" s="7"/>
      <c r="WVQ1157" s="7"/>
      <c r="WVR1157" s="7"/>
      <c r="WVS1157" s="7"/>
      <c r="WVT1157" s="7"/>
      <c r="WVU1157" s="7"/>
      <c r="WVV1157" s="7"/>
      <c r="WVW1157" s="7"/>
      <c r="WVX1157" s="7"/>
      <c r="WVY1157" s="7"/>
      <c r="WVZ1157" s="7"/>
      <c r="WWA1157" s="7"/>
      <c r="WWB1157" s="7"/>
      <c r="WWC1157" s="7"/>
      <c r="WWD1157" s="7"/>
      <c r="WWE1157" s="7"/>
      <c r="WWF1157" s="7"/>
      <c r="WWG1157" s="7"/>
      <c r="WWH1157" s="7"/>
      <c r="WWI1157" s="7"/>
      <c r="WWJ1157" s="7"/>
      <c r="WWK1157" s="7"/>
      <c r="WWL1157" s="7"/>
      <c r="WWM1157" s="7"/>
      <c r="WWN1157" s="7"/>
      <c r="WWO1157" s="7"/>
      <c r="WWP1157" s="7"/>
      <c r="WWQ1157" s="7"/>
      <c r="WWR1157" s="7"/>
      <c r="WWS1157" s="7"/>
      <c r="WWT1157" s="7"/>
      <c r="WWU1157" s="7"/>
      <c r="WWV1157" s="7"/>
      <c r="WWW1157" s="7"/>
      <c r="WWX1157" s="7"/>
      <c r="WWY1157" s="7"/>
      <c r="WWZ1157" s="7"/>
      <c r="WXA1157" s="7"/>
      <c r="WXB1157" s="7"/>
      <c r="WXC1157" s="7"/>
      <c r="WXD1157" s="7"/>
      <c r="WXE1157" s="7"/>
      <c r="WXF1157" s="7"/>
      <c r="WXG1157" s="7"/>
      <c r="WXH1157" s="7"/>
      <c r="WXI1157" s="7"/>
      <c r="WXJ1157" s="7"/>
      <c r="WXK1157" s="7"/>
      <c r="WXL1157" s="7"/>
      <c r="WXM1157" s="7"/>
      <c r="WXN1157" s="7"/>
      <c r="WXO1157" s="7"/>
      <c r="WXP1157" s="7"/>
      <c r="WXQ1157" s="7"/>
      <c r="WXR1157" s="7"/>
      <c r="WXS1157" s="7"/>
      <c r="WXT1157" s="7"/>
      <c r="WXU1157" s="7"/>
      <c r="WXV1157" s="7"/>
      <c r="WXW1157" s="7"/>
      <c r="WXX1157" s="7"/>
      <c r="WXY1157" s="7"/>
      <c r="WXZ1157" s="7"/>
      <c r="WYA1157" s="7"/>
    </row>
    <row r="1158" spans="1:16199" customFormat="1" ht="61.5" x14ac:dyDescent="0.85">
      <c r="A1158" s="7">
        <v>1</v>
      </c>
      <c r="B1158" s="59">
        <f>SUBTOTAL(103,$A$1032:A1158)</f>
        <v>125</v>
      </c>
      <c r="C1158" s="160" t="s">
        <v>369</v>
      </c>
      <c r="D1158" s="60">
        <f t="shared" si="190"/>
        <v>1909175.5</v>
      </c>
      <c r="E1158" s="60">
        <v>0</v>
      </c>
      <c r="F1158" s="60">
        <v>0</v>
      </c>
      <c r="G1158" s="60">
        <v>1253847</v>
      </c>
      <c r="H1158" s="60">
        <v>0</v>
      </c>
      <c r="I1158" s="60">
        <v>0</v>
      </c>
      <c r="J1158" s="60">
        <v>0</v>
      </c>
      <c r="K1158" s="168">
        <v>0</v>
      </c>
      <c r="L1158" s="60">
        <v>0</v>
      </c>
      <c r="M1158" s="60">
        <v>0</v>
      </c>
      <c r="N1158" s="60">
        <v>0</v>
      </c>
      <c r="O1158" s="60">
        <v>0</v>
      </c>
      <c r="P1158" s="60">
        <v>0</v>
      </c>
      <c r="Q1158" s="60">
        <v>0</v>
      </c>
      <c r="R1158" s="60">
        <v>0</v>
      </c>
      <c r="S1158" s="60">
        <v>0</v>
      </c>
      <c r="T1158" s="60">
        <v>0</v>
      </c>
      <c r="U1158" s="60">
        <v>0</v>
      </c>
      <c r="V1158" s="60">
        <v>0</v>
      </c>
      <c r="W1158" s="60">
        <v>0</v>
      </c>
      <c r="X1158" s="60">
        <v>0</v>
      </c>
      <c r="Y1158" s="60">
        <v>0</v>
      </c>
      <c r="Z1158" s="60">
        <v>0</v>
      </c>
      <c r="AA1158" s="60">
        <v>0</v>
      </c>
      <c r="AB1158" s="60">
        <v>502328</v>
      </c>
      <c r="AC1158" s="60">
        <v>23313.22</v>
      </c>
      <c r="AD1158" s="60">
        <v>129687.28</v>
      </c>
      <c r="AE1158" s="60">
        <v>0</v>
      </c>
      <c r="AF1158" s="170">
        <v>2022</v>
      </c>
      <c r="AG1158" s="170">
        <v>2022</v>
      </c>
      <c r="AH1158" s="63">
        <v>2022</v>
      </c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  <c r="BZ1158" s="7"/>
      <c r="CA1158" s="7"/>
      <c r="CB1158" s="7"/>
      <c r="CC1158" s="7"/>
      <c r="CD1158" s="7"/>
      <c r="CE1158" s="7"/>
      <c r="CF1158" s="7"/>
      <c r="CG1158" s="7"/>
      <c r="CH1158" s="7"/>
      <c r="CI1158" s="7"/>
      <c r="CJ1158" s="7"/>
      <c r="CK1158" s="7"/>
      <c r="CL1158" s="7"/>
      <c r="CM1158" s="7"/>
      <c r="CN1158" s="7"/>
      <c r="CO1158" s="7"/>
      <c r="CP1158" s="7"/>
      <c r="CQ1158" s="7"/>
      <c r="CR1158" s="7"/>
      <c r="CS1158" s="7"/>
      <c r="CT1158" s="7"/>
      <c r="CU1158" s="7"/>
      <c r="CV1158" s="7"/>
      <c r="CW1158" s="7"/>
      <c r="CX1158" s="7"/>
      <c r="CY1158" s="7"/>
      <c r="CZ1158" s="7"/>
      <c r="DA1158" s="7"/>
      <c r="DB1158" s="7"/>
      <c r="DC1158" s="7"/>
      <c r="DD1158" s="7"/>
      <c r="DE1158" s="7"/>
      <c r="DF1158" s="7"/>
      <c r="DG1158" s="7"/>
      <c r="DH1158" s="7"/>
      <c r="DI1158" s="7"/>
      <c r="DJ1158" s="7"/>
      <c r="DK1158" s="7"/>
      <c r="DL1158" s="7"/>
      <c r="DM1158" s="7"/>
      <c r="DN1158" s="7"/>
      <c r="DO1158" s="7"/>
      <c r="DP1158" s="7"/>
      <c r="DQ1158" s="7"/>
      <c r="DR1158" s="7"/>
      <c r="DS1158" s="7"/>
      <c r="DT1158" s="7"/>
      <c r="DU1158" s="7"/>
      <c r="DV1158" s="7"/>
      <c r="DW1158" s="7"/>
      <c r="DX1158" s="7"/>
      <c r="DY1158" s="7"/>
      <c r="DZ1158" s="7"/>
      <c r="EA1158" s="7"/>
      <c r="EB1158" s="7"/>
      <c r="EC1158" s="7"/>
      <c r="ED1158" s="7"/>
      <c r="EE1158" s="7"/>
      <c r="EF1158" s="7"/>
      <c r="EG1158" s="7"/>
      <c r="EH1158" s="7"/>
      <c r="EI1158" s="7"/>
      <c r="EJ1158" s="7"/>
      <c r="EK1158" s="7"/>
      <c r="EL1158" s="7"/>
      <c r="EM1158" s="7"/>
      <c r="EN1158" s="7"/>
      <c r="EO1158" s="7"/>
      <c r="EP1158" s="7"/>
      <c r="EQ1158" s="7"/>
      <c r="ER1158" s="7"/>
      <c r="ES1158" s="7"/>
      <c r="ET1158" s="7"/>
      <c r="EU1158" s="7"/>
      <c r="EV1158" s="7"/>
      <c r="EW1158" s="7"/>
      <c r="EX1158" s="7"/>
      <c r="EY1158" s="7"/>
      <c r="EZ1158" s="7"/>
      <c r="FA1158" s="7"/>
      <c r="FB1158" s="7"/>
      <c r="FC1158" s="7"/>
      <c r="FD1158" s="7"/>
      <c r="FE1158" s="7"/>
      <c r="FF1158" s="7"/>
      <c r="FG1158" s="7"/>
      <c r="FH1158" s="7"/>
      <c r="FI1158" s="7"/>
      <c r="FJ1158" s="7"/>
      <c r="FK1158" s="7"/>
      <c r="FL1158" s="7"/>
      <c r="FM1158" s="7"/>
      <c r="FN1158" s="7"/>
      <c r="FO1158" s="7"/>
      <c r="FP1158" s="7"/>
      <c r="FQ1158" s="7"/>
      <c r="FR1158" s="7"/>
      <c r="FS1158" s="7"/>
      <c r="FT1158" s="7"/>
      <c r="FU1158" s="7"/>
      <c r="FV1158" s="7"/>
      <c r="FW1158" s="7"/>
      <c r="FX1158" s="7"/>
      <c r="FY1158" s="7"/>
      <c r="FZ1158" s="7"/>
      <c r="GA1158" s="7"/>
      <c r="GB1158" s="7"/>
      <c r="GC1158" s="7"/>
      <c r="GD1158" s="7"/>
      <c r="GE1158" s="7"/>
      <c r="GF1158" s="7"/>
      <c r="GG1158" s="7"/>
      <c r="GH1158" s="7"/>
      <c r="GI1158" s="7"/>
      <c r="GJ1158" s="7"/>
      <c r="GK1158" s="7"/>
      <c r="GL1158" s="7"/>
      <c r="GM1158" s="7"/>
      <c r="GN1158" s="7"/>
      <c r="GO1158" s="7"/>
      <c r="GP1158" s="7"/>
      <c r="GQ1158" s="7"/>
      <c r="GR1158" s="7"/>
      <c r="GS1158" s="7"/>
      <c r="GT1158" s="7"/>
      <c r="GU1158" s="7"/>
      <c r="GV1158" s="7"/>
      <c r="GW1158" s="7"/>
      <c r="GX1158" s="7"/>
      <c r="GY1158" s="7"/>
      <c r="GZ1158" s="7"/>
      <c r="HA1158" s="7"/>
      <c r="HB1158" s="7"/>
      <c r="HC1158" s="7"/>
      <c r="HD1158" s="7"/>
      <c r="HE1158" s="7"/>
      <c r="HF1158" s="7"/>
      <c r="HG1158" s="7"/>
      <c r="HH1158" s="7"/>
      <c r="HI1158" s="7"/>
      <c r="HJ1158" s="7"/>
      <c r="HK1158" s="7"/>
      <c r="HL1158" s="7"/>
      <c r="HM1158" s="7"/>
      <c r="HN1158" s="7"/>
      <c r="HO1158" s="7"/>
      <c r="HP1158" s="7"/>
      <c r="HQ1158" s="7"/>
      <c r="HR1158" s="7"/>
      <c r="HS1158" s="7"/>
      <c r="HT1158" s="7"/>
      <c r="HU1158" s="7"/>
      <c r="HV1158" s="7"/>
      <c r="HW1158" s="7"/>
      <c r="HX1158" s="7"/>
      <c r="HY1158" s="7"/>
      <c r="HZ1158" s="7"/>
      <c r="IA1158" s="7"/>
      <c r="IB1158" s="7"/>
      <c r="IC1158" s="7"/>
      <c r="ID1158" s="7"/>
      <c r="IE1158" s="7"/>
      <c r="IF1158" s="7"/>
      <c r="IG1158" s="7"/>
      <c r="IH1158" s="7"/>
      <c r="II1158" s="7"/>
      <c r="IJ1158" s="7"/>
      <c r="IK1158" s="7"/>
      <c r="IL1158" s="7"/>
      <c r="IM1158" s="7"/>
      <c r="IN1158" s="7"/>
      <c r="IO1158" s="7"/>
      <c r="IP1158" s="7"/>
      <c r="IQ1158" s="7"/>
      <c r="IR1158" s="7"/>
      <c r="IS1158" s="7"/>
      <c r="IT1158" s="7"/>
      <c r="IU1158" s="7"/>
      <c r="IV1158" s="7"/>
      <c r="IW1158" s="7"/>
      <c r="IX1158" s="7"/>
      <c r="IY1158" s="7"/>
      <c r="IZ1158" s="7"/>
      <c r="JA1158" s="7"/>
      <c r="JB1158" s="7"/>
      <c r="JC1158" s="7"/>
      <c r="JD1158" s="7"/>
      <c r="JE1158" s="7"/>
      <c r="JF1158" s="7"/>
      <c r="JG1158" s="7"/>
      <c r="JH1158" s="7"/>
      <c r="JI1158" s="7"/>
      <c r="JJ1158" s="7"/>
      <c r="JK1158" s="7"/>
      <c r="JL1158" s="7"/>
      <c r="JM1158" s="7"/>
      <c r="JN1158" s="7"/>
      <c r="JO1158" s="7"/>
      <c r="JP1158" s="7"/>
      <c r="JQ1158" s="7"/>
      <c r="JR1158" s="7"/>
      <c r="JS1158" s="7"/>
      <c r="JT1158" s="7"/>
      <c r="JU1158" s="7"/>
      <c r="JV1158" s="7"/>
      <c r="JW1158" s="7"/>
      <c r="JX1158" s="7"/>
      <c r="JY1158" s="7"/>
      <c r="JZ1158" s="7"/>
      <c r="KA1158" s="7"/>
      <c r="KB1158" s="7"/>
      <c r="KC1158" s="7"/>
      <c r="KD1158" s="7"/>
      <c r="KE1158" s="7"/>
      <c r="KF1158" s="7"/>
      <c r="KG1158" s="7"/>
      <c r="KH1158" s="7"/>
      <c r="KI1158" s="7"/>
      <c r="KJ1158" s="7"/>
      <c r="KK1158" s="7"/>
      <c r="KL1158" s="7"/>
      <c r="KM1158" s="7"/>
      <c r="KN1158" s="7"/>
      <c r="KO1158" s="7"/>
      <c r="KP1158" s="7"/>
      <c r="KQ1158" s="7"/>
      <c r="KR1158" s="7"/>
      <c r="KS1158" s="7"/>
      <c r="KT1158" s="7"/>
      <c r="KU1158" s="7"/>
      <c r="KV1158" s="7"/>
      <c r="KW1158" s="7"/>
      <c r="KX1158" s="7"/>
      <c r="KY1158" s="7"/>
      <c r="KZ1158" s="7"/>
      <c r="LA1158" s="7"/>
      <c r="LB1158" s="7"/>
      <c r="LC1158" s="7"/>
      <c r="LD1158" s="7"/>
      <c r="LE1158" s="7"/>
      <c r="LF1158" s="7"/>
      <c r="LG1158" s="7"/>
      <c r="LH1158" s="7"/>
      <c r="LI1158" s="7"/>
      <c r="LJ1158" s="7"/>
      <c r="LK1158" s="7"/>
      <c r="LL1158" s="7"/>
      <c r="LM1158" s="7"/>
      <c r="LN1158" s="7"/>
      <c r="LO1158" s="7"/>
      <c r="LP1158" s="7"/>
      <c r="LQ1158" s="7"/>
      <c r="LR1158" s="7"/>
      <c r="LS1158" s="7"/>
      <c r="LT1158" s="7"/>
      <c r="LU1158" s="7"/>
      <c r="LV1158" s="7"/>
      <c r="LW1158" s="7"/>
      <c r="LX1158" s="7"/>
      <c r="LY1158" s="7"/>
      <c r="LZ1158" s="7"/>
      <c r="MA1158" s="7"/>
      <c r="MB1158" s="7"/>
      <c r="MC1158" s="7"/>
      <c r="MD1158" s="7"/>
      <c r="ME1158" s="7"/>
      <c r="MF1158" s="7"/>
      <c r="MG1158" s="7"/>
      <c r="MH1158" s="7"/>
      <c r="MI1158" s="7"/>
      <c r="MJ1158" s="7"/>
      <c r="MK1158" s="7"/>
      <c r="ML1158" s="7"/>
      <c r="MM1158" s="7"/>
      <c r="MN1158" s="7"/>
      <c r="MO1158" s="7"/>
      <c r="MP1158" s="7"/>
      <c r="MQ1158" s="7"/>
      <c r="MR1158" s="7"/>
      <c r="MS1158" s="7"/>
      <c r="MT1158" s="7"/>
      <c r="MU1158" s="7"/>
      <c r="MV1158" s="7"/>
      <c r="MW1158" s="7"/>
      <c r="MX1158" s="7"/>
      <c r="MY1158" s="7"/>
      <c r="MZ1158" s="7"/>
      <c r="NA1158" s="7"/>
      <c r="NB1158" s="7"/>
      <c r="NC1158" s="7"/>
      <c r="ND1158" s="7"/>
      <c r="NE1158" s="7"/>
      <c r="NF1158" s="7"/>
      <c r="NG1158" s="7"/>
      <c r="NH1158" s="7"/>
      <c r="NI1158" s="7"/>
      <c r="NJ1158" s="7"/>
      <c r="NK1158" s="7"/>
      <c r="NL1158" s="7"/>
      <c r="NM1158" s="7"/>
      <c r="NN1158" s="7"/>
      <c r="NO1158" s="7"/>
      <c r="NP1158" s="7"/>
      <c r="NQ1158" s="7"/>
      <c r="NR1158" s="7"/>
      <c r="NS1158" s="7"/>
      <c r="NT1158" s="7"/>
      <c r="NU1158" s="7"/>
      <c r="NV1158" s="7"/>
      <c r="NW1158" s="7"/>
      <c r="NX1158" s="7"/>
      <c r="NY1158" s="7"/>
      <c r="NZ1158" s="7"/>
      <c r="OA1158" s="7"/>
      <c r="OB1158" s="7"/>
      <c r="OC1158" s="7"/>
      <c r="OD1158" s="7"/>
      <c r="OE1158" s="7"/>
      <c r="OF1158" s="7"/>
      <c r="OG1158" s="7"/>
      <c r="OH1158" s="7"/>
      <c r="OI1158" s="7"/>
      <c r="OJ1158" s="7"/>
      <c r="OK1158" s="7"/>
      <c r="OL1158" s="7"/>
      <c r="OM1158" s="7"/>
      <c r="ON1158" s="7"/>
      <c r="OO1158" s="7"/>
      <c r="OP1158" s="7"/>
      <c r="OQ1158" s="7"/>
      <c r="OR1158" s="7"/>
      <c r="OS1158" s="7"/>
      <c r="OT1158" s="7"/>
      <c r="OU1158" s="7"/>
      <c r="OV1158" s="7"/>
      <c r="OW1158" s="7"/>
      <c r="OX1158" s="7"/>
      <c r="OY1158" s="7"/>
      <c r="OZ1158" s="7"/>
      <c r="PA1158" s="7"/>
      <c r="PB1158" s="7"/>
      <c r="PC1158" s="7"/>
      <c r="PD1158" s="7"/>
      <c r="PE1158" s="7"/>
      <c r="PF1158" s="7"/>
      <c r="PG1158" s="7"/>
      <c r="PH1158" s="7"/>
      <c r="PI1158" s="7"/>
      <c r="PJ1158" s="7"/>
      <c r="PK1158" s="7"/>
      <c r="PL1158" s="7"/>
      <c r="PM1158" s="7"/>
      <c r="PN1158" s="7"/>
      <c r="PO1158" s="7"/>
      <c r="PP1158" s="7"/>
      <c r="PQ1158" s="7"/>
      <c r="PR1158" s="7"/>
      <c r="PS1158" s="7"/>
      <c r="PT1158" s="7"/>
      <c r="PU1158" s="7"/>
      <c r="PV1158" s="7"/>
      <c r="PW1158" s="7"/>
      <c r="PX1158" s="7"/>
      <c r="PY1158" s="7"/>
      <c r="PZ1158" s="7"/>
      <c r="QA1158" s="7"/>
      <c r="QB1158" s="7"/>
      <c r="QC1158" s="7"/>
      <c r="QD1158" s="7"/>
      <c r="QE1158" s="7"/>
      <c r="QF1158" s="7"/>
      <c r="QG1158" s="7"/>
      <c r="QH1158" s="7"/>
      <c r="QI1158" s="7"/>
      <c r="QJ1158" s="7"/>
      <c r="QK1158" s="7"/>
      <c r="QL1158" s="7"/>
      <c r="QM1158" s="7"/>
      <c r="QN1158" s="7"/>
      <c r="QO1158" s="7"/>
      <c r="QP1158" s="7"/>
      <c r="QQ1158" s="7"/>
      <c r="QR1158" s="7"/>
      <c r="QS1158" s="7"/>
      <c r="QT1158" s="7"/>
      <c r="QU1158" s="7"/>
      <c r="QV1158" s="7"/>
      <c r="QW1158" s="7"/>
      <c r="QX1158" s="7"/>
      <c r="QY1158" s="7"/>
      <c r="QZ1158" s="7"/>
      <c r="RA1158" s="7"/>
      <c r="RB1158" s="7"/>
      <c r="RC1158" s="7"/>
      <c r="RD1158" s="7"/>
      <c r="RE1158" s="7"/>
      <c r="RF1158" s="7"/>
      <c r="RG1158" s="7"/>
      <c r="RH1158" s="7"/>
      <c r="RI1158" s="7"/>
      <c r="RJ1158" s="7"/>
      <c r="RK1158" s="7"/>
      <c r="RL1158" s="7"/>
      <c r="RM1158" s="7"/>
      <c r="RN1158" s="7"/>
      <c r="RO1158" s="7"/>
      <c r="RP1158" s="7"/>
      <c r="RQ1158" s="7"/>
      <c r="RR1158" s="7"/>
      <c r="RS1158" s="7"/>
      <c r="RT1158" s="7"/>
      <c r="RU1158" s="7"/>
      <c r="RV1158" s="7"/>
      <c r="RW1158" s="7"/>
      <c r="RX1158" s="7"/>
      <c r="RY1158" s="7"/>
      <c r="RZ1158" s="7"/>
      <c r="SA1158" s="7"/>
      <c r="SB1158" s="7"/>
      <c r="SC1158" s="7"/>
      <c r="SD1158" s="7"/>
      <c r="SE1158" s="7"/>
      <c r="SF1158" s="7"/>
      <c r="SG1158" s="7"/>
      <c r="SH1158" s="7"/>
      <c r="SI1158" s="7"/>
      <c r="SJ1158" s="7"/>
      <c r="SK1158" s="7"/>
      <c r="SL1158" s="7"/>
      <c r="SM1158" s="7"/>
      <c r="SN1158" s="7"/>
      <c r="SO1158" s="7"/>
      <c r="SP1158" s="7"/>
      <c r="SQ1158" s="7"/>
      <c r="SR1158" s="7"/>
      <c r="SS1158" s="7"/>
      <c r="ST1158" s="7"/>
      <c r="SU1158" s="7"/>
      <c r="SV1158" s="7"/>
      <c r="SW1158" s="7"/>
      <c r="SX1158" s="7"/>
      <c r="SY1158" s="7"/>
      <c r="SZ1158" s="7"/>
      <c r="TA1158" s="7"/>
      <c r="TB1158" s="7"/>
      <c r="TC1158" s="7"/>
      <c r="TD1158" s="7"/>
      <c r="TE1158" s="7"/>
      <c r="TF1158" s="7"/>
      <c r="TG1158" s="7"/>
      <c r="TH1158" s="7"/>
      <c r="TI1158" s="7"/>
      <c r="TJ1158" s="7"/>
      <c r="TK1158" s="7"/>
      <c r="TL1158" s="7"/>
      <c r="TM1158" s="7"/>
      <c r="TN1158" s="7"/>
      <c r="TO1158" s="7"/>
      <c r="TP1158" s="7"/>
      <c r="TQ1158" s="7"/>
      <c r="TR1158" s="7"/>
      <c r="TS1158" s="7"/>
      <c r="TT1158" s="7"/>
      <c r="TU1158" s="7"/>
      <c r="TV1158" s="7"/>
      <c r="TW1158" s="7"/>
      <c r="TX1158" s="7"/>
      <c r="TY1158" s="7"/>
      <c r="TZ1158" s="7"/>
      <c r="UA1158" s="7"/>
      <c r="UB1158" s="7"/>
      <c r="UC1158" s="7"/>
      <c r="UD1158" s="7"/>
      <c r="UE1158" s="7"/>
      <c r="UF1158" s="7"/>
      <c r="UG1158" s="7"/>
      <c r="UH1158" s="7"/>
      <c r="UI1158" s="7"/>
      <c r="UJ1158" s="7"/>
      <c r="UK1158" s="7"/>
      <c r="UL1158" s="7"/>
      <c r="UM1158" s="7"/>
      <c r="UN1158" s="7"/>
      <c r="UO1158" s="7"/>
      <c r="UP1158" s="7"/>
      <c r="UQ1158" s="7"/>
      <c r="UR1158" s="7"/>
      <c r="US1158" s="7"/>
      <c r="UT1158" s="7"/>
      <c r="UU1158" s="7"/>
      <c r="UV1158" s="7"/>
      <c r="UW1158" s="7"/>
      <c r="UX1158" s="7"/>
      <c r="UY1158" s="7"/>
      <c r="UZ1158" s="7"/>
      <c r="VA1158" s="7"/>
      <c r="VB1158" s="7"/>
      <c r="VC1158" s="7"/>
      <c r="VD1158" s="7"/>
      <c r="VE1158" s="7"/>
      <c r="VF1158" s="7"/>
      <c r="VG1158" s="7"/>
      <c r="VH1158" s="7"/>
      <c r="VI1158" s="7"/>
      <c r="VJ1158" s="7"/>
      <c r="VK1158" s="7"/>
      <c r="VL1158" s="7"/>
      <c r="VM1158" s="7"/>
      <c r="VN1158" s="7"/>
      <c r="VO1158" s="7"/>
      <c r="VP1158" s="7"/>
      <c r="VQ1158" s="7"/>
      <c r="VR1158" s="7"/>
      <c r="VS1158" s="7"/>
      <c r="VT1158" s="7"/>
      <c r="VU1158" s="7"/>
      <c r="VV1158" s="7"/>
      <c r="VW1158" s="7"/>
      <c r="VX1158" s="7"/>
      <c r="VY1158" s="7"/>
      <c r="VZ1158" s="7"/>
      <c r="WA1158" s="7"/>
      <c r="WB1158" s="7"/>
      <c r="WC1158" s="7"/>
      <c r="WD1158" s="7"/>
      <c r="WE1158" s="7"/>
      <c r="WF1158" s="7"/>
      <c r="WG1158" s="7"/>
      <c r="WH1158" s="7"/>
      <c r="WI1158" s="7"/>
      <c r="WJ1158" s="7"/>
      <c r="WK1158" s="7"/>
      <c r="WL1158" s="7"/>
      <c r="WM1158" s="7"/>
      <c r="WN1158" s="7"/>
      <c r="WO1158" s="7"/>
      <c r="WP1158" s="7"/>
      <c r="WQ1158" s="7"/>
      <c r="WR1158" s="7"/>
      <c r="WS1158" s="7"/>
      <c r="WT1158" s="7"/>
      <c r="WU1158" s="7"/>
      <c r="WV1158" s="7"/>
      <c r="WW1158" s="7"/>
      <c r="WX1158" s="7"/>
      <c r="WY1158" s="7"/>
      <c r="WZ1158" s="7"/>
      <c r="XA1158" s="7"/>
      <c r="XB1158" s="7"/>
      <c r="XC1158" s="7"/>
      <c r="XD1158" s="7"/>
      <c r="XE1158" s="7"/>
      <c r="XF1158" s="7"/>
      <c r="XG1158" s="7"/>
      <c r="XH1158" s="7"/>
      <c r="XI1158" s="7"/>
      <c r="XJ1158" s="7"/>
      <c r="XK1158" s="7"/>
      <c r="XL1158" s="7"/>
      <c r="XM1158" s="7"/>
      <c r="XN1158" s="7"/>
      <c r="XO1158" s="7"/>
      <c r="XP1158" s="7"/>
      <c r="XQ1158" s="7"/>
      <c r="XR1158" s="7"/>
      <c r="XS1158" s="7"/>
      <c r="XT1158" s="7"/>
      <c r="XU1158" s="7"/>
      <c r="XV1158" s="7"/>
      <c r="XW1158" s="7"/>
      <c r="XX1158" s="7"/>
      <c r="XY1158" s="7"/>
      <c r="XZ1158" s="7"/>
      <c r="YA1158" s="7"/>
      <c r="YB1158" s="7"/>
      <c r="YC1158" s="7"/>
      <c r="YD1158" s="7"/>
      <c r="YE1158" s="7"/>
      <c r="YF1158" s="7"/>
      <c r="YG1158" s="7"/>
      <c r="YH1158" s="7"/>
      <c r="YI1158" s="7"/>
      <c r="YJ1158" s="7"/>
      <c r="YK1158" s="7"/>
      <c r="YL1158" s="7"/>
      <c r="YM1158" s="7"/>
      <c r="YN1158" s="7"/>
      <c r="YO1158" s="7"/>
      <c r="YP1158" s="7"/>
      <c r="YQ1158" s="7"/>
      <c r="YR1158" s="7"/>
      <c r="YS1158" s="7"/>
      <c r="YT1158" s="7"/>
      <c r="YU1158" s="7"/>
      <c r="YV1158" s="7"/>
      <c r="YW1158" s="7"/>
      <c r="YX1158" s="7"/>
      <c r="YY1158" s="7"/>
      <c r="YZ1158" s="7"/>
      <c r="ZA1158" s="7"/>
      <c r="ZB1158" s="7"/>
      <c r="ZC1158" s="7"/>
      <c r="ZD1158" s="7"/>
      <c r="ZE1158" s="7"/>
      <c r="ZF1158" s="7"/>
      <c r="ZG1158" s="7"/>
      <c r="ZH1158" s="7"/>
      <c r="ZI1158" s="7"/>
      <c r="ZJ1158" s="7"/>
      <c r="ZK1158" s="7"/>
      <c r="ZL1158" s="7"/>
      <c r="ZM1158" s="7"/>
      <c r="ZN1158" s="7"/>
      <c r="ZO1158" s="7"/>
      <c r="ZP1158" s="7"/>
      <c r="ZQ1158" s="7"/>
      <c r="ZR1158" s="7"/>
      <c r="ZS1158" s="7"/>
      <c r="ZT1158" s="7"/>
      <c r="ZU1158" s="7"/>
      <c r="ZV1158" s="7"/>
      <c r="ZW1158" s="7"/>
      <c r="ZX1158" s="7"/>
      <c r="ZY1158" s="7"/>
      <c r="ZZ1158" s="7"/>
      <c r="AAA1158" s="7"/>
      <c r="AAB1158" s="7"/>
      <c r="AAC1158" s="7"/>
      <c r="AAD1158" s="7"/>
      <c r="AAE1158" s="7"/>
      <c r="AAF1158" s="7"/>
      <c r="AAG1158" s="7"/>
      <c r="AAH1158" s="7"/>
      <c r="AAI1158" s="7"/>
      <c r="AAJ1158" s="7"/>
      <c r="AAK1158" s="7"/>
      <c r="AAL1158" s="7"/>
      <c r="AAM1158" s="7"/>
      <c r="AAN1158" s="7"/>
      <c r="AAO1158" s="7"/>
      <c r="AAP1158" s="7"/>
      <c r="AAQ1158" s="7"/>
      <c r="AAR1158" s="7"/>
      <c r="AAS1158" s="7"/>
      <c r="AAT1158" s="7"/>
      <c r="AAU1158" s="7"/>
      <c r="AAV1158" s="7"/>
      <c r="AAW1158" s="7"/>
      <c r="AAX1158" s="7"/>
      <c r="AAY1158" s="7"/>
      <c r="AAZ1158" s="7"/>
      <c r="ABA1158" s="7"/>
      <c r="ABB1158" s="7"/>
      <c r="ABC1158" s="7"/>
      <c r="ABD1158" s="7"/>
      <c r="ABE1158" s="7"/>
      <c r="ABF1158" s="7"/>
      <c r="ABG1158" s="7"/>
      <c r="ABH1158" s="7"/>
      <c r="ABI1158" s="7"/>
      <c r="ABJ1158" s="7"/>
      <c r="ABK1158" s="7"/>
      <c r="ABL1158" s="7"/>
      <c r="ABM1158" s="7"/>
      <c r="ABN1158" s="7"/>
      <c r="ABO1158" s="7"/>
      <c r="ABP1158" s="7"/>
      <c r="ABQ1158" s="7"/>
      <c r="ABR1158" s="7"/>
      <c r="ABS1158" s="7"/>
      <c r="ABT1158" s="7"/>
      <c r="ABU1158" s="7"/>
      <c r="ABV1158" s="7"/>
      <c r="ABW1158" s="7"/>
      <c r="ABX1158" s="7"/>
      <c r="ABY1158" s="7"/>
      <c r="ABZ1158" s="7"/>
      <c r="ACA1158" s="7"/>
      <c r="ACB1158" s="7"/>
      <c r="ACC1158" s="7"/>
      <c r="ACD1158" s="7"/>
      <c r="ACE1158" s="7"/>
      <c r="ACF1158" s="7"/>
      <c r="ACG1158" s="7"/>
      <c r="ACH1158" s="7"/>
      <c r="ACI1158" s="7"/>
      <c r="ACJ1158" s="7"/>
      <c r="ACK1158" s="7"/>
      <c r="ACL1158" s="7"/>
      <c r="ACM1158" s="7"/>
      <c r="ACN1158" s="7"/>
      <c r="ACO1158" s="7"/>
      <c r="ACP1158" s="7"/>
      <c r="ACQ1158" s="7"/>
      <c r="ACR1158" s="7"/>
      <c r="ACS1158" s="7"/>
      <c r="ACT1158" s="7"/>
      <c r="ACU1158" s="7"/>
      <c r="ACV1158" s="7"/>
      <c r="ACW1158" s="7"/>
      <c r="ACX1158" s="7"/>
      <c r="ACY1158" s="7"/>
      <c r="ACZ1158" s="7"/>
      <c r="ADA1158" s="7"/>
      <c r="ADB1158" s="7"/>
      <c r="ADC1158" s="7"/>
      <c r="ADD1158" s="7"/>
      <c r="ADE1158" s="7"/>
      <c r="ADF1158" s="7"/>
      <c r="ADG1158" s="7"/>
      <c r="ADH1158" s="7"/>
      <c r="ADI1158" s="7"/>
      <c r="ADJ1158" s="7"/>
      <c r="ADK1158" s="7"/>
      <c r="ADL1158" s="7"/>
      <c r="ADM1158" s="7"/>
      <c r="ADN1158" s="7"/>
      <c r="ADO1158" s="7"/>
      <c r="ADP1158" s="7"/>
      <c r="ADQ1158" s="7"/>
      <c r="ADR1158" s="7"/>
      <c r="ADS1158" s="7"/>
      <c r="ADT1158" s="7"/>
      <c r="ADU1158" s="7"/>
      <c r="ADV1158" s="7"/>
      <c r="ADW1158" s="7"/>
      <c r="ADX1158" s="7"/>
      <c r="ADY1158" s="7"/>
      <c r="ADZ1158" s="7"/>
      <c r="AEA1158" s="7"/>
      <c r="AEB1158" s="7"/>
      <c r="AEC1158" s="7"/>
      <c r="AED1158" s="7"/>
      <c r="AEE1158" s="7"/>
      <c r="AEF1158" s="7"/>
      <c r="AEG1158" s="7"/>
      <c r="AEH1158" s="7"/>
      <c r="AEI1158" s="7"/>
      <c r="AEJ1158" s="7"/>
      <c r="AEK1158" s="7"/>
      <c r="AEL1158" s="7"/>
      <c r="AEM1158" s="7"/>
      <c r="AEN1158" s="7"/>
      <c r="AEO1158" s="7"/>
      <c r="AEP1158" s="7"/>
      <c r="AEQ1158" s="7"/>
      <c r="AER1158" s="7"/>
      <c r="AES1158" s="7"/>
      <c r="AET1158" s="7"/>
      <c r="AEU1158" s="7"/>
      <c r="AEV1158" s="7"/>
      <c r="AEW1158" s="7"/>
      <c r="AEX1158" s="7"/>
      <c r="AEY1158" s="7"/>
      <c r="AEZ1158" s="7"/>
      <c r="AFA1158" s="7"/>
      <c r="AFB1158" s="7"/>
      <c r="AFC1158" s="7"/>
      <c r="AFD1158" s="7"/>
      <c r="AFE1158" s="7"/>
      <c r="AFF1158" s="7"/>
      <c r="AFG1158" s="7"/>
      <c r="AFH1158" s="7"/>
      <c r="AFI1158" s="7"/>
      <c r="AFJ1158" s="7"/>
      <c r="AFK1158" s="7"/>
      <c r="AFL1158" s="7"/>
      <c r="AFM1158" s="7"/>
      <c r="AFN1158" s="7"/>
      <c r="AFO1158" s="7"/>
      <c r="AFP1158" s="7"/>
      <c r="AFQ1158" s="7"/>
      <c r="AFR1158" s="7"/>
      <c r="AFS1158" s="7"/>
      <c r="AFT1158" s="7"/>
      <c r="AFU1158" s="7"/>
      <c r="AFV1158" s="7"/>
      <c r="AFW1158" s="7"/>
      <c r="AFX1158" s="7"/>
      <c r="AFY1158" s="7"/>
      <c r="AFZ1158" s="7"/>
      <c r="AGA1158" s="7"/>
      <c r="AGB1158" s="7"/>
      <c r="AGC1158" s="7"/>
      <c r="AGD1158" s="7"/>
      <c r="AGE1158" s="7"/>
      <c r="AGF1158" s="7"/>
      <c r="AGG1158" s="7"/>
      <c r="AGH1158" s="7"/>
      <c r="AGI1158" s="7"/>
      <c r="AGJ1158" s="7"/>
      <c r="AGK1158" s="7"/>
      <c r="AGL1158" s="7"/>
      <c r="AGM1158" s="7"/>
      <c r="AGN1158" s="7"/>
      <c r="AGO1158" s="7"/>
      <c r="AGP1158" s="7"/>
      <c r="AGQ1158" s="7"/>
      <c r="AGR1158" s="7"/>
      <c r="AGS1158" s="7"/>
      <c r="AGT1158" s="7"/>
      <c r="AGU1158" s="7"/>
      <c r="AGV1158" s="7"/>
      <c r="AGW1158" s="7"/>
      <c r="AGX1158" s="7"/>
      <c r="AGY1158" s="7"/>
      <c r="AGZ1158" s="7"/>
      <c r="AHA1158" s="7"/>
      <c r="AHB1158" s="7"/>
      <c r="AHC1158" s="7"/>
      <c r="AHD1158" s="7"/>
      <c r="AHE1158" s="7"/>
      <c r="AHF1158" s="7"/>
      <c r="AHG1158" s="7"/>
      <c r="AHH1158" s="7"/>
      <c r="AHI1158" s="7"/>
      <c r="AHJ1158" s="7"/>
      <c r="AHK1158" s="7"/>
      <c r="AHL1158" s="7"/>
      <c r="AHM1158" s="7"/>
      <c r="AHN1158" s="7"/>
      <c r="AHO1158" s="7"/>
      <c r="AHP1158" s="7"/>
      <c r="AHQ1158" s="7"/>
      <c r="AHR1158" s="7"/>
      <c r="AHS1158" s="7"/>
      <c r="AHT1158" s="7"/>
      <c r="AHU1158" s="7"/>
      <c r="AHV1158" s="7"/>
      <c r="AHW1158" s="7"/>
      <c r="AHX1158" s="7"/>
      <c r="AHY1158" s="7"/>
      <c r="AHZ1158" s="7"/>
      <c r="AIA1158" s="7"/>
      <c r="AIB1158" s="7"/>
      <c r="AIC1158" s="7"/>
      <c r="AID1158" s="7"/>
      <c r="AIE1158" s="7"/>
      <c r="AIF1158" s="7"/>
      <c r="AIG1158" s="7"/>
      <c r="AIH1158" s="7"/>
      <c r="AII1158" s="7"/>
      <c r="AIJ1158" s="7"/>
      <c r="AIK1158" s="7"/>
      <c r="AIL1158" s="7"/>
      <c r="AIM1158" s="7"/>
      <c r="AIN1158" s="7"/>
      <c r="AIO1158" s="7"/>
      <c r="AIP1158" s="7"/>
      <c r="AIQ1158" s="7"/>
      <c r="AIR1158" s="7"/>
      <c r="AIS1158" s="7"/>
      <c r="AIT1158" s="7"/>
      <c r="AIU1158" s="7"/>
      <c r="AIV1158" s="7"/>
      <c r="AIW1158" s="7"/>
      <c r="AIX1158" s="7"/>
      <c r="AIY1158" s="7"/>
      <c r="AIZ1158" s="7"/>
      <c r="AJA1158" s="7"/>
      <c r="AJB1158" s="7"/>
      <c r="AJC1158" s="7"/>
      <c r="AJD1158" s="7"/>
      <c r="AJE1158" s="7"/>
      <c r="AJF1158" s="7"/>
      <c r="AJG1158" s="7"/>
      <c r="AJH1158" s="7"/>
      <c r="AJI1158" s="7"/>
      <c r="AJJ1158" s="7"/>
      <c r="AJK1158" s="7"/>
      <c r="AJL1158" s="7"/>
      <c r="AJM1158" s="7"/>
      <c r="AJN1158" s="7"/>
      <c r="AJO1158" s="7"/>
      <c r="AJP1158" s="7"/>
      <c r="AJQ1158" s="7"/>
      <c r="AJR1158" s="7"/>
      <c r="AJS1158" s="7"/>
      <c r="AJT1158" s="7"/>
      <c r="AJU1158" s="7"/>
      <c r="AJV1158" s="7"/>
      <c r="AJW1158" s="7"/>
      <c r="AJX1158" s="7"/>
      <c r="AJY1158" s="7"/>
      <c r="AJZ1158" s="7"/>
      <c r="AKA1158" s="7"/>
      <c r="AKB1158" s="7"/>
      <c r="AKC1158" s="7"/>
      <c r="AKD1158" s="7"/>
      <c r="AKE1158" s="7"/>
      <c r="AKF1158" s="7"/>
      <c r="AKG1158" s="7"/>
      <c r="AKH1158" s="7"/>
      <c r="AKI1158" s="7"/>
      <c r="AKJ1158" s="7"/>
      <c r="AKK1158" s="7"/>
      <c r="AKL1158" s="7"/>
      <c r="AKM1158" s="7"/>
      <c r="AKN1158" s="7"/>
      <c r="AKO1158" s="7"/>
      <c r="AKP1158" s="7"/>
      <c r="AKQ1158" s="7"/>
      <c r="AKR1158" s="7"/>
      <c r="AKS1158" s="7"/>
      <c r="AKT1158" s="7"/>
      <c r="AKU1158" s="7"/>
      <c r="AKV1158" s="7"/>
      <c r="AKW1158" s="7"/>
      <c r="AKX1158" s="7"/>
      <c r="AKY1158" s="7"/>
      <c r="AKZ1158" s="7"/>
      <c r="ALA1158" s="7"/>
      <c r="ALB1158" s="7"/>
      <c r="ALC1158" s="7"/>
      <c r="ALD1158" s="7"/>
      <c r="ALE1158" s="7"/>
      <c r="ALF1158" s="7"/>
      <c r="ALG1158" s="7"/>
      <c r="ALH1158" s="7"/>
      <c r="ALI1158" s="7"/>
      <c r="ALJ1158" s="7"/>
      <c r="ALK1158" s="7"/>
      <c r="ALL1158" s="7"/>
      <c r="ALM1158" s="7"/>
      <c r="ALN1158" s="7"/>
      <c r="ALO1158" s="7"/>
      <c r="ALP1158" s="7"/>
      <c r="ALQ1158" s="7"/>
      <c r="ALR1158" s="7"/>
      <c r="ALS1158" s="7"/>
      <c r="ALT1158" s="7"/>
      <c r="ALU1158" s="7"/>
      <c r="ALV1158" s="7"/>
      <c r="ALW1158" s="7"/>
      <c r="ALX1158" s="7"/>
      <c r="ALY1158" s="7"/>
      <c r="ALZ1158" s="7"/>
      <c r="AMA1158" s="7"/>
      <c r="AMB1158" s="7"/>
      <c r="AMC1158" s="7"/>
      <c r="AMD1158" s="7"/>
      <c r="AME1158" s="7"/>
      <c r="AMF1158" s="7"/>
      <c r="AMG1158" s="7"/>
      <c r="AMH1158" s="7"/>
      <c r="AMI1158" s="7"/>
      <c r="AMJ1158" s="7"/>
      <c r="AMK1158" s="7"/>
      <c r="AML1158" s="7"/>
      <c r="AMM1158" s="7"/>
      <c r="AMN1158" s="7"/>
      <c r="AMO1158" s="7"/>
      <c r="AMP1158" s="7"/>
      <c r="AMQ1158" s="7"/>
      <c r="AMR1158" s="7"/>
      <c r="AMS1158" s="7"/>
      <c r="AMT1158" s="7"/>
      <c r="AMU1158" s="7"/>
      <c r="AMV1158" s="7"/>
      <c r="AMW1158" s="7"/>
      <c r="AMX1158" s="7"/>
      <c r="AMY1158" s="7"/>
      <c r="AMZ1158" s="7"/>
      <c r="ANA1158" s="7"/>
      <c r="ANB1158" s="7"/>
      <c r="ANC1158" s="7"/>
      <c r="AND1158" s="7"/>
      <c r="ANE1158" s="7"/>
      <c r="ANF1158" s="7"/>
      <c r="ANG1158" s="7"/>
      <c r="ANH1158" s="7"/>
      <c r="ANI1158" s="7"/>
      <c r="ANJ1158" s="7"/>
      <c r="ANK1158" s="7"/>
      <c r="ANL1158" s="7"/>
      <c r="ANM1158" s="7"/>
      <c r="ANN1158" s="7"/>
      <c r="ANO1158" s="7"/>
      <c r="ANP1158" s="7"/>
      <c r="ANQ1158" s="7"/>
      <c r="ANR1158" s="7"/>
      <c r="ANS1158" s="7"/>
      <c r="ANT1158" s="7"/>
      <c r="ANU1158" s="7"/>
      <c r="ANV1158" s="7"/>
      <c r="ANW1158" s="7"/>
      <c r="ANX1158" s="7"/>
      <c r="ANY1158" s="7"/>
      <c r="ANZ1158" s="7"/>
      <c r="AOA1158" s="7"/>
      <c r="AOB1158" s="7"/>
      <c r="AOC1158" s="7"/>
      <c r="AOD1158" s="7"/>
      <c r="AOE1158" s="7"/>
      <c r="AOF1158" s="7"/>
      <c r="AOG1158" s="7"/>
      <c r="AOH1158" s="7"/>
      <c r="AOI1158" s="7"/>
      <c r="AOJ1158" s="7"/>
      <c r="AOK1158" s="7"/>
      <c r="AOL1158" s="7"/>
      <c r="AOM1158" s="7"/>
      <c r="AON1158" s="7"/>
      <c r="AOO1158" s="7"/>
      <c r="AOP1158" s="7"/>
      <c r="AOQ1158" s="7"/>
      <c r="AOR1158" s="7"/>
      <c r="AOS1158" s="7"/>
      <c r="AOT1158" s="7"/>
      <c r="AOU1158" s="7"/>
      <c r="AOV1158" s="7"/>
      <c r="AOW1158" s="7"/>
      <c r="AOX1158" s="7"/>
      <c r="AOY1158" s="7"/>
      <c r="AOZ1158" s="7"/>
      <c r="APA1158" s="7"/>
      <c r="APB1158" s="7"/>
      <c r="APC1158" s="7"/>
      <c r="APD1158" s="7"/>
      <c r="APE1158" s="7"/>
      <c r="APF1158" s="7"/>
      <c r="APG1158" s="7"/>
      <c r="APH1158" s="7"/>
      <c r="API1158" s="7"/>
      <c r="APJ1158" s="7"/>
      <c r="APK1158" s="7"/>
      <c r="APL1158" s="7"/>
      <c r="APM1158" s="7"/>
      <c r="APN1158" s="7"/>
      <c r="APO1158" s="7"/>
      <c r="APP1158" s="7"/>
      <c r="APQ1158" s="7"/>
      <c r="APR1158" s="7"/>
      <c r="APS1158" s="7"/>
      <c r="APT1158" s="7"/>
      <c r="APU1158" s="7"/>
      <c r="APV1158" s="7"/>
      <c r="APW1158" s="7"/>
      <c r="APX1158" s="7"/>
      <c r="APY1158" s="7"/>
      <c r="APZ1158" s="7"/>
      <c r="AQA1158" s="7"/>
      <c r="AQB1158" s="7"/>
      <c r="AQC1158" s="7"/>
      <c r="AQD1158" s="7"/>
      <c r="AQE1158" s="7"/>
      <c r="AQF1158" s="7"/>
      <c r="AQG1158" s="7"/>
      <c r="AQH1158" s="7"/>
      <c r="AQI1158" s="7"/>
      <c r="AQJ1158" s="7"/>
      <c r="AQK1158" s="7"/>
      <c r="AQL1158" s="7"/>
      <c r="AQM1158" s="7"/>
      <c r="AQN1158" s="7"/>
      <c r="AQO1158" s="7"/>
      <c r="AQP1158" s="7"/>
      <c r="AQQ1158" s="7"/>
      <c r="AQR1158" s="7"/>
      <c r="AQS1158" s="7"/>
      <c r="AQT1158" s="7"/>
      <c r="AQU1158" s="7"/>
      <c r="AQV1158" s="7"/>
      <c r="AQW1158" s="7"/>
      <c r="AQX1158" s="7"/>
      <c r="AQY1158" s="7"/>
      <c r="AQZ1158" s="7"/>
      <c r="ARA1158" s="7"/>
      <c r="ARB1158" s="7"/>
      <c r="ARC1158" s="7"/>
      <c r="ARD1158" s="7"/>
      <c r="ARE1158" s="7"/>
      <c r="ARF1158" s="7"/>
      <c r="ARG1158" s="7"/>
      <c r="ARH1158" s="7"/>
      <c r="ARI1158" s="7"/>
      <c r="ARJ1158" s="7"/>
      <c r="ARK1158" s="7"/>
      <c r="ARL1158" s="7"/>
      <c r="ARM1158" s="7"/>
      <c r="ARN1158" s="7"/>
      <c r="ARO1158" s="7"/>
      <c r="ARP1158" s="7"/>
      <c r="ARQ1158" s="7"/>
      <c r="ARR1158" s="7"/>
      <c r="ARS1158" s="7"/>
      <c r="ART1158" s="7"/>
      <c r="ARU1158" s="7"/>
      <c r="ARV1158" s="7"/>
      <c r="ARW1158" s="7"/>
      <c r="ARX1158" s="7"/>
      <c r="ARY1158" s="7"/>
      <c r="ARZ1158" s="7"/>
      <c r="ASA1158" s="7"/>
      <c r="ASB1158" s="7"/>
      <c r="ASC1158" s="7"/>
      <c r="ASD1158" s="7"/>
      <c r="ASE1158" s="7"/>
      <c r="ASF1158" s="7"/>
      <c r="ASG1158" s="7"/>
      <c r="ASH1158" s="7"/>
      <c r="ASI1158" s="7"/>
      <c r="ASJ1158" s="7"/>
      <c r="ASK1158" s="7"/>
      <c r="ASL1158" s="7"/>
      <c r="ASM1158" s="7"/>
      <c r="ASN1158" s="7"/>
      <c r="ASO1158" s="7"/>
      <c r="ASP1158" s="7"/>
      <c r="ASQ1158" s="7"/>
      <c r="ASR1158" s="7"/>
      <c r="ASS1158" s="7"/>
      <c r="AST1158" s="7"/>
      <c r="ASU1158" s="7"/>
      <c r="ASV1158" s="7"/>
      <c r="ASW1158" s="7"/>
      <c r="ASX1158" s="7"/>
      <c r="ASY1158" s="7"/>
      <c r="ASZ1158" s="7"/>
      <c r="ATA1158" s="7"/>
      <c r="ATB1158" s="7"/>
      <c r="ATC1158" s="7"/>
      <c r="ATD1158" s="7"/>
      <c r="ATE1158" s="7"/>
      <c r="ATF1158" s="7"/>
      <c r="ATG1158" s="7"/>
      <c r="ATH1158" s="7"/>
      <c r="ATI1158" s="7"/>
      <c r="ATJ1158" s="7"/>
      <c r="ATK1158" s="7"/>
      <c r="ATL1158" s="7"/>
      <c r="ATM1158" s="7"/>
      <c r="ATN1158" s="7"/>
      <c r="ATO1158" s="7"/>
      <c r="ATP1158" s="7"/>
      <c r="ATQ1158" s="7"/>
      <c r="ATR1158" s="7"/>
      <c r="ATS1158" s="7"/>
      <c r="ATT1158" s="7"/>
      <c r="ATU1158" s="7"/>
      <c r="ATV1158" s="7"/>
      <c r="ATW1158" s="7"/>
      <c r="ATX1158" s="7"/>
      <c r="ATY1158" s="7"/>
      <c r="ATZ1158" s="7"/>
      <c r="AUA1158" s="7"/>
      <c r="AUB1158" s="7"/>
      <c r="AUC1158" s="7"/>
      <c r="AUD1158" s="7"/>
      <c r="AUE1158" s="7"/>
      <c r="AUF1158" s="7"/>
      <c r="AUG1158" s="7"/>
      <c r="AUH1158" s="7"/>
      <c r="AUI1158" s="7"/>
      <c r="AUJ1158" s="7"/>
      <c r="AUK1158" s="7"/>
      <c r="AUL1158" s="7"/>
      <c r="AUM1158" s="7"/>
      <c r="AUN1158" s="7"/>
      <c r="AUO1158" s="7"/>
      <c r="AUP1158" s="7"/>
      <c r="AUQ1158" s="7"/>
      <c r="AUR1158" s="7"/>
      <c r="AUS1158" s="7"/>
      <c r="AUT1158" s="7"/>
      <c r="AUU1158" s="7"/>
      <c r="AUV1158" s="7"/>
      <c r="AUW1158" s="7"/>
      <c r="AUX1158" s="7"/>
      <c r="AUY1158" s="7"/>
      <c r="AUZ1158" s="7"/>
      <c r="AVA1158" s="7"/>
      <c r="AVB1158" s="7"/>
      <c r="AVC1158" s="7"/>
      <c r="AVD1158" s="7"/>
      <c r="AVE1158" s="7"/>
      <c r="AVF1158" s="7"/>
      <c r="AVG1158" s="7"/>
      <c r="AVH1158" s="7"/>
      <c r="AVI1158" s="7"/>
      <c r="AVJ1158" s="7"/>
      <c r="AVK1158" s="7"/>
      <c r="AVL1158" s="7"/>
      <c r="AVM1158" s="7"/>
      <c r="AVN1158" s="7"/>
      <c r="AVO1158" s="7"/>
      <c r="AVP1158" s="7"/>
      <c r="AVQ1158" s="7"/>
      <c r="AVR1158" s="7"/>
      <c r="AVS1158" s="7"/>
      <c r="AVT1158" s="7"/>
      <c r="AVU1158" s="7"/>
      <c r="AVV1158" s="7"/>
      <c r="AVW1158" s="7"/>
      <c r="AVX1158" s="7"/>
      <c r="AVY1158" s="7"/>
      <c r="AVZ1158" s="7"/>
      <c r="AWA1158" s="7"/>
      <c r="AWB1158" s="7"/>
      <c r="AWC1158" s="7"/>
      <c r="AWD1158" s="7"/>
      <c r="AWE1158" s="7"/>
      <c r="AWF1158" s="7"/>
      <c r="AWG1158" s="7"/>
      <c r="AWH1158" s="7"/>
      <c r="AWI1158" s="7"/>
      <c r="AWJ1158" s="7"/>
      <c r="AWK1158" s="7"/>
      <c r="AWL1158" s="7"/>
      <c r="AWM1158" s="7"/>
      <c r="AWN1158" s="7"/>
      <c r="AWO1158" s="7"/>
      <c r="AWP1158" s="7"/>
      <c r="AWQ1158" s="7"/>
      <c r="AWR1158" s="7"/>
      <c r="AWS1158" s="7"/>
      <c r="AWT1158" s="7"/>
      <c r="AWU1158" s="7"/>
      <c r="AWV1158" s="7"/>
      <c r="AWW1158" s="7"/>
      <c r="AWX1158" s="7"/>
      <c r="AWY1158" s="7"/>
      <c r="AWZ1158" s="7"/>
      <c r="AXA1158" s="7"/>
      <c r="AXB1158" s="7"/>
      <c r="AXC1158" s="7"/>
      <c r="AXD1158" s="7"/>
      <c r="AXE1158" s="7"/>
      <c r="AXF1158" s="7"/>
      <c r="AXG1158" s="7"/>
      <c r="AXH1158" s="7"/>
      <c r="AXI1158" s="7"/>
      <c r="AXJ1158" s="7"/>
      <c r="AXK1158" s="7"/>
      <c r="AXL1158" s="7"/>
      <c r="AXM1158" s="7"/>
      <c r="AXN1158" s="7"/>
      <c r="AXO1158" s="7"/>
      <c r="AXP1158" s="7"/>
      <c r="AXQ1158" s="7"/>
      <c r="AXR1158" s="7"/>
      <c r="AXS1158" s="7"/>
      <c r="AXT1158" s="7"/>
      <c r="AXU1158" s="7"/>
      <c r="AXV1158" s="7"/>
      <c r="AXW1158" s="7"/>
      <c r="AXX1158" s="7"/>
      <c r="AXY1158" s="7"/>
      <c r="AXZ1158" s="7"/>
      <c r="AYA1158" s="7"/>
      <c r="AYB1158" s="7"/>
      <c r="AYC1158" s="7"/>
      <c r="AYD1158" s="7"/>
      <c r="AYE1158" s="7"/>
      <c r="AYF1158" s="7"/>
      <c r="AYG1158" s="7"/>
      <c r="AYH1158" s="7"/>
      <c r="AYI1158" s="7"/>
      <c r="AYJ1158" s="7"/>
      <c r="AYK1158" s="7"/>
      <c r="AYL1158" s="7"/>
      <c r="AYM1158" s="7"/>
      <c r="AYN1158" s="7"/>
      <c r="AYO1158" s="7"/>
      <c r="AYP1158" s="7"/>
      <c r="AYQ1158" s="7"/>
      <c r="AYR1158" s="7"/>
      <c r="AYS1158" s="7"/>
      <c r="AYT1158" s="7"/>
      <c r="AYU1158" s="7"/>
      <c r="AYV1158" s="7"/>
      <c r="AYW1158" s="7"/>
      <c r="AYX1158" s="7"/>
      <c r="AYY1158" s="7"/>
      <c r="AYZ1158" s="7"/>
      <c r="AZA1158" s="7"/>
      <c r="AZB1158" s="7"/>
      <c r="AZC1158" s="7"/>
      <c r="AZD1158" s="7"/>
      <c r="AZE1158" s="7"/>
      <c r="AZF1158" s="7"/>
      <c r="AZG1158" s="7"/>
      <c r="AZH1158" s="7"/>
      <c r="AZI1158" s="7"/>
      <c r="AZJ1158" s="7"/>
      <c r="AZK1158" s="7"/>
      <c r="AZL1158" s="7"/>
      <c r="AZM1158" s="7"/>
      <c r="AZN1158" s="7"/>
      <c r="AZO1158" s="7"/>
      <c r="AZP1158" s="7"/>
      <c r="AZQ1158" s="7"/>
      <c r="AZR1158" s="7"/>
      <c r="AZS1158" s="7"/>
      <c r="AZT1158" s="7"/>
      <c r="AZU1158" s="7"/>
      <c r="AZV1158" s="7"/>
      <c r="AZW1158" s="7"/>
      <c r="AZX1158" s="7"/>
      <c r="AZY1158" s="7"/>
      <c r="AZZ1158" s="7"/>
      <c r="BAA1158" s="7"/>
      <c r="BAB1158" s="7"/>
      <c r="BAC1158" s="7"/>
      <c r="BAD1158" s="7"/>
      <c r="BAE1158" s="7"/>
      <c r="BAF1158" s="7"/>
      <c r="BAG1158" s="7"/>
      <c r="BAH1158" s="7"/>
      <c r="BAI1158" s="7"/>
      <c r="BAJ1158" s="7"/>
      <c r="BAK1158" s="7"/>
      <c r="BAL1158" s="7"/>
      <c r="BAM1158" s="7"/>
      <c r="BAN1158" s="7"/>
      <c r="BAO1158" s="7"/>
      <c r="BAP1158" s="7"/>
      <c r="BAQ1158" s="7"/>
      <c r="BAR1158" s="7"/>
      <c r="BAS1158" s="7"/>
      <c r="BAT1158" s="7"/>
      <c r="BAU1158" s="7"/>
      <c r="BAV1158" s="7"/>
      <c r="BAW1158" s="7"/>
      <c r="BAX1158" s="7"/>
      <c r="BAY1158" s="7"/>
      <c r="BAZ1158" s="7"/>
      <c r="BBA1158" s="7"/>
      <c r="BBB1158" s="7"/>
      <c r="BBC1158" s="7"/>
      <c r="BBD1158" s="7"/>
      <c r="BBE1158" s="7"/>
      <c r="BBF1158" s="7"/>
      <c r="BBG1158" s="7"/>
      <c r="BBH1158" s="7"/>
      <c r="BBI1158" s="7"/>
      <c r="BBJ1158" s="7"/>
      <c r="BBK1158" s="7"/>
      <c r="BBL1158" s="7"/>
      <c r="BBM1158" s="7"/>
      <c r="BBN1158" s="7"/>
      <c r="BBO1158" s="7"/>
      <c r="BBP1158" s="7"/>
      <c r="BBQ1158" s="7"/>
      <c r="BBR1158" s="7"/>
      <c r="BBS1158" s="7"/>
      <c r="BBT1158" s="7"/>
      <c r="BBU1158" s="7"/>
      <c r="BBV1158" s="7"/>
      <c r="BBW1158" s="7"/>
      <c r="BBX1158" s="7"/>
      <c r="BBY1158" s="7"/>
      <c r="BBZ1158" s="7"/>
      <c r="BCA1158" s="7"/>
      <c r="BCB1158" s="7"/>
      <c r="BCC1158" s="7"/>
      <c r="BCD1158" s="7"/>
      <c r="BCE1158" s="7"/>
      <c r="BCF1158" s="7"/>
      <c r="BCG1158" s="7"/>
      <c r="BCH1158" s="7"/>
      <c r="BCI1158" s="7"/>
      <c r="BCJ1158" s="7"/>
      <c r="BCK1158" s="7"/>
      <c r="BCL1158" s="7"/>
      <c r="BCM1158" s="7"/>
      <c r="BCN1158" s="7"/>
      <c r="BCO1158" s="7"/>
      <c r="BCP1158" s="7"/>
      <c r="BCQ1158" s="7"/>
      <c r="BCR1158" s="7"/>
      <c r="BCS1158" s="7"/>
      <c r="BCT1158" s="7"/>
      <c r="BCU1158" s="7"/>
      <c r="BCV1158" s="7"/>
      <c r="BCW1158" s="7"/>
      <c r="BCX1158" s="7"/>
      <c r="BCY1158" s="7"/>
      <c r="BCZ1158" s="7"/>
      <c r="BDA1158" s="7"/>
      <c r="BDB1158" s="7"/>
      <c r="BDC1158" s="7"/>
      <c r="BDD1158" s="7"/>
      <c r="BDE1158" s="7"/>
      <c r="BDF1158" s="7"/>
      <c r="BDG1158" s="7"/>
      <c r="BDH1158" s="7"/>
      <c r="BDI1158" s="7"/>
      <c r="BDJ1158" s="7"/>
      <c r="BDK1158" s="7"/>
      <c r="BDL1158" s="7"/>
      <c r="BDM1158" s="7"/>
      <c r="BDN1158" s="7"/>
      <c r="BDO1158" s="7"/>
      <c r="BDP1158" s="7"/>
      <c r="BDQ1158" s="7"/>
      <c r="BDR1158" s="7"/>
      <c r="BDS1158" s="7"/>
      <c r="BDT1158" s="7"/>
      <c r="BDU1158" s="7"/>
      <c r="BDV1158" s="7"/>
      <c r="BDW1158" s="7"/>
      <c r="BDX1158" s="7"/>
      <c r="BDY1158" s="7"/>
      <c r="BDZ1158" s="7"/>
      <c r="BEA1158" s="7"/>
      <c r="BEB1158" s="7"/>
      <c r="BEC1158" s="7"/>
      <c r="BED1158" s="7"/>
      <c r="BEE1158" s="7"/>
      <c r="BEF1158" s="7"/>
      <c r="BEG1158" s="7"/>
      <c r="BEH1158" s="7"/>
      <c r="BEI1158" s="7"/>
      <c r="BEJ1158" s="7"/>
      <c r="BEK1158" s="7"/>
      <c r="BEL1158" s="7"/>
      <c r="BEM1158" s="7"/>
      <c r="BEN1158" s="7"/>
      <c r="BEO1158" s="7"/>
      <c r="BEP1158" s="7"/>
      <c r="BEQ1158" s="7"/>
      <c r="BER1158" s="7"/>
      <c r="BES1158" s="7"/>
      <c r="BET1158" s="7"/>
      <c r="BEU1158" s="7"/>
      <c r="BEV1158" s="7"/>
      <c r="BEW1158" s="7"/>
      <c r="BEX1158" s="7"/>
      <c r="BEY1158" s="7"/>
      <c r="BEZ1158" s="7"/>
      <c r="BFA1158" s="7"/>
      <c r="BFB1158" s="7"/>
      <c r="BFC1158" s="7"/>
      <c r="BFD1158" s="7"/>
      <c r="BFE1158" s="7"/>
      <c r="BFF1158" s="7"/>
      <c r="BFG1158" s="7"/>
      <c r="BFH1158" s="7"/>
      <c r="BFI1158" s="7"/>
      <c r="BFJ1158" s="7"/>
      <c r="BFK1158" s="7"/>
      <c r="BFL1158" s="7"/>
      <c r="BFM1158" s="7"/>
      <c r="BFN1158" s="7"/>
      <c r="BFO1158" s="7"/>
      <c r="BFP1158" s="7"/>
      <c r="BFQ1158" s="7"/>
      <c r="BFR1158" s="7"/>
      <c r="BFS1158" s="7"/>
      <c r="BFT1158" s="7"/>
      <c r="BFU1158" s="7"/>
      <c r="BFV1158" s="7"/>
      <c r="BFW1158" s="7"/>
      <c r="BFX1158" s="7"/>
      <c r="BFY1158" s="7"/>
      <c r="BFZ1158" s="7"/>
      <c r="BGA1158" s="7"/>
      <c r="BGB1158" s="7"/>
      <c r="BGC1158" s="7"/>
      <c r="BGD1158" s="7"/>
      <c r="BGE1158" s="7"/>
      <c r="BGF1158" s="7"/>
      <c r="BGG1158" s="7"/>
      <c r="BGH1158" s="7"/>
      <c r="BGI1158" s="7"/>
      <c r="BGJ1158" s="7"/>
      <c r="BGK1158" s="7"/>
      <c r="BGL1158" s="7"/>
      <c r="BGM1158" s="7"/>
      <c r="BGN1158" s="7"/>
      <c r="BGO1158" s="7"/>
      <c r="BGP1158" s="7"/>
      <c r="BGQ1158" s="7"/>
      <c r="BGR1158" s="7"/>
      <c r="BGS1158" s="7"/>
      <c r="BGT1158" s="7"/>
      <c r="BGU1158" s="7"/>
      <c r="BGV1158" s="7"/>
      <c r="BGW1158" s="7"/>
      <c r="BGX1158" s="7"/>
      <c r="BGY1158" s="7"/>
      <c r="BGZ1158" s="7"/>
      <c r="BHA1158" s="7"/>
      <c r="BHB1158" s="7"/>
      <c r="BHC1158" s="7"/>
      <c r="BHD1158" s="7"/>
      <c r="BHE1158" s="7"/>
      <c r="BHF1158" s="7"/>
      <c r="BHG1158" s="7"/>
      <c r="BHH1158" s="7"/>
      <c r="BHI1158" s="7"/>
      <c r="BHJ1158" s="7"/>
      <c r="BHK1158" s="7"/>
      <c r="BHL1158" s="7"/>
      <c r="BHM1158" s="7"/>
      <c r="BHN1158" s="7"/>
      <c r="BHO1158" s="7"/>
      <c r="BHP1158" s="7"/>
      <c r="BHQ1158" s="7"/>
      <c r="BHR1158" s="7"/>
      <c r="BHS1158" s="7"/>
      <c r="BHT1158" s="7"/>
      <c r="BHU1158" s="7"/>
      <c r="BHV1158" s="7"/>
      <c r="BHW1158" s="7"/>
      <c r="BHX1158" s="7"/>
      <c r="BHY1158" s="7"/>
      <c r="BHZ1158" s="7"/>
      <c r="BIA1158" s="7"/>
      <c r="BIB1158" s="7"/>
      <c r="BIC1158" s="7"/>
      <c r="BID1158" s="7"/>
      <c r="BIE1158" s="7"/>
      <c r="BIF1158" s="7"/>
      <c r="BIG1158" s="7"/>
      <c r="BIH1158" s="7"/>
      <c r="BII1158" s="7"/>
      <c r="BIJ1158" s="7"/>
      <c r="BIK1158" s="7"/>
      <c r="BIL1158" s="7"/>
      <c r="BIM1158" s="7"/>
      <c r="BIN1158" s="7"/>
      <c r="BIO1158" s="7"/>
      <c r="BIP1158" s="7"/>
      <c r="BIQ1158" s="7"/>
      <c r="BIR1158" s="7"/>
      <c r="BIS1158" s="7"/>
      <c r="BIT1158" s="7"/>
      <c r="BIU1158" s="7"/>
      <c r="BIV1158" s="7"/>
      <c r="BIW1158" s="7"/>
      <c r="BIX1158" s="7"/>
      <c r="BIY1158" s="7"/>
      <c r="BIZ1158" s="7"/>
      <c r="BJA1158" s="7"/>
      <c r="BJB1158" s="7"/>
      <c r="BJC1158" s="7"/>
      <c r="BJD1158" s="7"/>
      <c r="BJE1158" s="7"/>
      <c r="BJF1158" s="7"/>
      <c r="BJG1158" s="7"/>
      <c r="BJH1158" s="7"/>
      <c r="BJI1158" s="7"/>
      <c r="BJJ1158" s="7"/>
      <c r="BJK1158" s="7"/>
      <c r="BJL1158" s="7"/>
      <c r="BJM1158" s="7"/>
      <c r="BJN1158" s="7"/>
      <c r="BJO1158" s="7"/>
      <c r="BJP1158" s="7"/>
      <c r="BJQ1158" s="7"/>
      <c r="BJR1158" s="7"/>
      <c r="BJS1158" s="7"/>
      <c r="BJT1158" s="7"/>
      <c r="BJU1158" s="7"/>
      <c r="BJV1158" s="7"/>
      <c r="BJW1158" s="7"/>
      <c r="BJX1158" s="7"/>
      <c r="BJY1158" s="7"/>
      <c r="BJZ1158" s="7"/>
      <c r="BKA1158" s="7"/>
      <c r="BKB1158" s="7"/>
      <c r="BKC1158" s="7"/>
      <c r="BKD1158" s="7"/>
      <c r="BKE1158" s="7"/>
      <c r="BKF1158" s="7"/>
      <c r="BKG1158" s="7"/>
      <c r="BKH1158" s="7"/>
      <c r="BKI1158" s="7"/>
      <c r="BKJ1158" s="7"/>
      <c r="BKK1158" s="7"/>
      <c r="BKL1158" s="7"/>
      <c r="BKM1158" s="7"/>
      <c r="BKN1158" s="7"/>
      <c r="BKO1158" s="7"/>
      <c r="BKP1158" s="7"/>
      <c r="BKQ1158" s="7"/>
      <c r="BKR1158" s="7"/>
      <c r="BKS1158" s="7"/>
      <c r="BKT1158" s="7"/>
      <c r="BKU1158" s="7"/>
      <c r="BKV1158" s="7"/>
      <c r="BKW1158" s="7"/>
      <c r="BKX1158" s="7"/>
      <c r="BKY1158" s="7"/>
      <c r="BKZ1158" s="7"/>
      <c r="BLA1158" s="7"/>
      <c r="BLB1158" s="7"/>
      <c r="BLC1158" s="7"/>
      <c r="BLD1158" s="7"/>
      <c r="BLE1158" s="7"/>
      <c r="BLF1158" s="7"/>
      <c r="BLG1158" s="7"/>
      <c r="BLH1158" s="7"/>
      <c r="BLI1158" s="7"/>
      <c r="BLJ1158" s="7"/>
      <c r="BLK1158" s="7"/>
      <c r="BLL1158" s="7"/>
      <c r="BLM1158" s="7"/>
      <c r="BLN1158" s="7"/>
      <c r="BLO1158" s="7"/>
      <c r="BLP1158" s="7"/>
      <c r="BLQ1158" s="7"/>
      <c r="BLR1158" s="7"/>
      <c r="BLS1158" s="7"/>
      <c r="BLT1158" s="7"/>
      <c r="BLU1158" s="7"/>
      <c r="BLV1158" s="7"/>
      <c r="BLW1158" s="7"/>
      <c r="BLX1158" s="7"/>
      <c r="BLY1158" s="7"/>
      <c r="BLZ1158" s="7"/>
      <c r="BMA1158" s="7"/>
      <c r="BMB1158" s="7"/>
      <c r="BMC1158" s="7"/>
      <c r="BMD1158" s="7"/>
      <c r="BME1158" s="7"/>
      <c r="BMF1158" s="7"/>
      <c r="BMG1158" s="7"/>
      <c r="BMH1158" s="7"/>
      <c r="BMI1158" s="7"/>
      <c r="BMJ1158" s="7"/>
      <c r="BMK1158" s="7"/>
      <c r="BML1158" s="7"/>
      <c r="BMM1158" s="7"/>
      <c r="BMN1158" s="7"/>
      <c r="BMO1158" s="7"/>
      <c r="BMP1158" s="7"/>
      <c r="BMQ1158" s="7"/>
      <c r="BMR1158" s="7"/>
      <c r="BMS1158" s="7"/>
      <c r="BMT1158" s="7"/>
      <c r="BMU1158" s="7"/>
      <c r="BMV1158" s="7"/>
      <c r="BMW1158" s="7"/>
      <c r="BMX1158" s="7"/>
      <c r="BMY1158" s="7"/>
      <c r="BMZ1158" s="7"/>
      <c r="BNA1158" s="7"/>
      <c r="BNB1158" s="7"/>
      <c r="BNC1158" s="7"/>
      <c r="BND1158" s="7"/>
      <c r="BNE1158" s="7"/>
      <c r="BNF1158" s="7"/>
      <c r="BNG1158" s="7"/>
      <c r="BNH1158" s="7"/>
      <c r="BNI1158" s="7"/>
      <c r="BNJ1158" s="7"/>
      <c r="BNK1158" s="7"/>
      <c r="BNL1158" s="7"/>
      <c r="BNM1158" s="7"/>
      <c r="BNN1158" s="7"/>
      <c r="BNO1158" s="7"/>
      <c r="BNP1158" s="7"/>
      <c r="BNQ1158" s="7"/>
      <c r="BNR1158" s="7"/>
      <c r="BNS1158" s="7"/>
      <c r="BNT1158" s="7"/>
      <c r="BNU1158" s="7"/>
      <c r="BNV1158" s="7"/>
      <c r="BNW1158" s="7"/>
      <c r="BNX1158" s="7"/>
      <c r="BNY1158" s="7"/>
      <c r="BNZ1158" s="7"/>
      <c r="BOA1158" s="7"/>
      <c r="BOB1158" s="7"/>
      <c r="BOC1158" s="7"/>
      <c r="BOD1158" s="7"/>
      <c r="BOE1158" s="7"/>
      <c r="BOF1158" s="7"/>
      <c r="BOG1158" s="7"/>
      <c r="BOH1158" s="7"/>
      <c r="BOI1158" s="7"/>
      <c r="BOJ1158" s="7"/>
      <c r="BOK1158" s="7"/>
      <c r="BOL1158" s="7"/>
      <c r="BOM1158" s="7"/>
      <c r="BON1158" s="7"/>
      <c r="BOO1158" s="7"/>
      <c r="BOP1158" s="7"/>
      <c r="BOQ1158" s="7"/>
      <c r="BOR1158" s="7"/>
      <c r="BOS1158" s="7"/>
      <c r="BOT1158" s="7"/>
      <c r="BOU1158" s="7"/>
      <c r="BOV1158" s="7"/>
      <c r="BOW1158" s="7"/>
      <c r="BOX1158" s="7"/>
      <c r="BOY1158" s="7"/>
      <c r="BOZ1158" s="7"/>
      <c r="BPA1158" s="7"/>
      <c r="BPB1158" s="7"/>
      <c r="BPC1158" s="7"/>
      <c r="BPD1158" s="7"/>
      <c r="BPE1158" s="7"/>
      <c r="BPF1158" s="7"/>
      <c r="BPG1158" s="7"/>
      <c r="BPH1158" s="7"/>
      <c r="BPI1158" s="7"/>
      <c r="BPJ1158" s="7"/>
      <c r="BPK1158" s="7"/>
      <c r="BPL1158" s="7"/>
      <c r="BPM1158" s="7"/>
      <c r="BPN1158" s="7"/>
      <c r="BPO1158" s="7"/>
      <c r="BPP1158" s="7"/>
      <c r="BPQ1158" s="7"/>
      <c r="BPR1158" s="7"/>
      <c r="BPS1158" s="7"/>
      <c r="BPT1158" s="7"/>
      <c r="BPU1158" s="7"/>
      <c r="BPV1158" s="7"/>
      <c r="BPW1158" s="7"/>
      <c r="BPX1158" s="7"/>
      <c r="BPY1158" s="7"/>
      <c r="BPZ1158" s="7"/>
      <c r="BQA1158" s="7"/>
      <c r="BQB1158" s="7"/>
      <c r="BQC1158" s="7"/>
      <c r="BQD1158" s="7"/>
      <c r="BQE1158" s="7"/>
      <c r="BQF1158" s="7"/>
      <c r="BQG1158" s="7"/>
      <c r="BQH1158" s="7"/>
      <c r="BQI1158" s="7"/>
      <c r="BQJ1158" s="7"/>
      <c r="BQK1158" s="7"/>
      <c r="BQL1158" s="7"/>
      <c r="BQM1158" s="7"/>
      <c r="BQN1158" s="7"/>
      <c r="BQO1158" s="7"/>
      <c r="BQP1158" s="7"/>
      <c r="BQQ1158" s="7"/>
      <c r="BQR1158" s="7"/>
      <c r="BQS1158" s="7"/>
      <c r="BQT1158" s="7"/>
      <c r="BQU1158" s="7"/>
      <c r="BQV1158" s="7"/>
      <c r="BQW1158" s="7"/>
      <c r="BQX1158" s="7"/>
      <c r="BQY1158" s="7"/>
      <c r="BQZ1158" s="7"/>
      <c r="BRA1158" s="7"/>
      <c r="BRB1158" s="7"/>
      <c r="BRC1158" s="7"/>
      <c r="BRD1158" s="7"/>
      <c r="BRE1158" s="7"/>
      <c r="BRF1158" s="7"/>
      <c r="BRG1158" s="7"/>
      <c r="BRH1158" s="7"/>
      <c r="BRI1158" s="7"/>
      <c r="BRJ1158" s="7"/>
      <c r="BRK1158" s="7"/>
      <c r="BRL1158" s="7"/>
      <c r="BRM1158" s="7"/>
      <c r="BRN1158" s="7"/>
      <c r="BRO1158" s="7"/>
      <c r="BRP1158" s="7"/>
      <c r="BRQ1158" s="7"/>
      <c r="BRR1158" s="7"/>
      <c r="BRS1158" s="7"/>
      <c r="BRT1158" s="7"/>
      <c r="BRU1158" s="7"/>
      <c r="BRV1158" s="7"/>
      <c r="BRW1158" s="7"/>
      <c r="BRX1158" s="7"/>
      <c r="BRY1158" s="7"/>
      <c r="BRZ1158" s="7"/>
      <c r="BSA1158" s="7"/>
      <c r="BSB1158" s="7"/>
      <c r="BSC1158" s="7"/>
      <c r="BSD1158" s="7"/>
      <c r="BSE1158" s="7"/>
      <c r="BSF1158" s="7"/>
      <c r="BSG1158" s="7"/>
      <c r="BSH1158" s="7"/>
      <c r="BSI1158" s="7"/>
      <c r="BSJ1158" s="7"/>
      <c r="BSK1158" s="7"/>
      <c r="BSL1158" s="7"/>
      <c r="BSM1158" s="7"/>
      <c r="BSN1158" s="7"/>
      <c r="BSO1158" s="7"/>
      <c r="BSP1158" s="7"/>
      <c r="BSQ1158" s="7"/>
      <c r="BSR1158" s="7"/>
      <c r="BSS1158" s="7"/>
      <c r="BST1158" s="7"/>
      <c r="BSU1158" s="7"/>
      <c r="BSV1158" s="7"/>
      <c r="BSW1158" s="7"/>
      <c r="BSX1158" s="7"/>
      <c r="BSY1158" s="7"/>
      <c r="BSZ1158" s="7"/>
      <c r="BTA1158" s="7"/>
      <c r="BTB1158" s="7"/>
      <c r="BTC1158" s="7"/>
      <c r="BTD1158" s="7"/>
      <c r="BTE1158" s="7"/>
      <c r="BTF1158" s="7"/>
      <c r="BTG1158" s="7"/>
      <c r="BTH1158" s="7"/>
      <c r="BTI1158" s="7"/>
      <c r="BTJ1158" s="7"/>
      <c r="BTK1158" s="7"/>
      <c r="BTL1158" s="7"/>
      <c r="BTM1158" s="7"/>
      <c r="BTN1158" s="7"/>
      <c r="BTO1158" s="7"/>
      <c r="BTP1158" s="7"/>
      <c r="BTQ1158" s="7"/>
      <c r="BTR1158" s="7"/>
      <c r="BTS1158" s="7"/>
      <c r="BTT1158" s="7"/>
      <c r="BTU1158" s="7"/>
      <c r="BTV1158" s="7"/>
      <c r="BTW1158" s="7"/>
      <c r="BTX1158" s="7"/>
      <c r="BTY1158" s="7"/>
      <c r="BTZ1158" s="7"/>
      <c r="BUA1158" s="7"/>
      <c r="BUB1158" s="7"/>
      <c r="BUC1158" s="7"/>
      <c r="BUD1158" s="7"/>
      <c r="BUE1158" s="7"/>
      <c r="BUF1158" s="7"/>
      <c r="BUG1158" s="7"/>
      <c r="BUH1158" s="7"/>
      <c r="BUI1158" s="7"/>
      <c r="BUJ1158" s="7"/>
      <c r="BUK1158" s="7"/>
      <c r="BUL1158" s="7"/>
      <c r="BUM1158" s="7"/>
      <c r="BUN1158" s="7"/>
      <c r="BUO1158" s="7"/>
      <c r="BUP1158" s="7"/>
      <c r="BUQ1158" s="7"/>
      <c r="BUR1158" s="7"/>
      <c r="BUS1158" s="7"/>
      <c r="BUT1158" s="7"/>
      <c r="BUU1158" s="7"/>
      <c r="BUV1158" s="7"/>
      <c r="BUW1158" s="7"/>
      <c r="BUX1158" s="7"/>
      <c r="BUY1158" s="7"/>
      <c r="BUZ1158" s="7"/>
      <c r="BVA1158" s="7"/>
      <c r="BVB1158" s="7"/>
      <c r="BVC1158" s="7"/>
      <c r="BVD1158" s="7"/>
      <c r="BVE1158" s="7"/>
      <c r="BVF1158" s="7"/>
      <c r="BVG1158" s="7"/>
      <c r="BVH1158" s="7"/>
      <c r="BVI1158" s="7"/>
      <c r="BVJ1158" s="7"/>
      <c r="BVK1158" s="7"/>
      <c r="BVL1158" s="7"/>
      <c r="BVM1158" s="7"/>
      <c r="BVN1158" s="7"/>
      <c r="BVO1158" s="7"/>
      <c r="BVP1158" s="7"/>
      <c r="BVQ1158" s="7"/>
      <c r="BVR1158" s="7"/>
      <c r="BVS1158" s="7"/>
      <c r="BVT1158" s="7"/>
      <c r="BVU1158" s="7"/>
      <c r="BVV1158" s="7"/>
      <c r="BVW1158" s="7"/>
      <c r="BVX1158" s="7"/>
      <c r="BVY1158" s="7"/>
      <c r="BVZ1158" s="7"/>
      <c r="BWA1158" s="7"/>
      <c r="BWB1158" s="7"/>
      <c r="BWC1158" s="7"/>
      <c r="BWD1158" s="7"/>
      <c r="BWE1158" s="7"/>
      <c r="BWF1158" s="7"/>
      <c r="BWG1158" s="7"/>
      <c r="BWH1158" s="7"/>
      <c r="BWI1158" s="7"/>
      <c r="BWJ1158" s="7"/>
      <c r="BWK1158" s="7"/>
      <c r="BWL1158" s="7"/>
      <c r="BWM1158" s="7"/>
      <c r="BWN1158" s="7"/>
      <c r="BWO1158" s="7"/>
      <c r="BWP1158" s="7"/>
      <c r="BWQ1158" s="7"/>
      <c r="BWR1158" s="7"/>
      <c r="BWS1158" s="7"/>
      <c r="BWT1158" s="7"/>
      <c r="BWU1158" s="7"/>
      <c r="BWV1158" s="7"/>
      <c r="BWW1158" s="7"/>
      <c r="BWX1158" s="7"/>
      <c r="BWY1158" s="7"/>
      <c r="BWZ1158" s="7"/>
      <c r="BXA1158" s="7"/>
      <c r="BXB1158" s="7"/>
      <c r="BXC1158" s="7"/>
      <c r="BXD1158" s="7"/>
      <c r="BXE1158" s="7"/>
      <c r="BXF1158" s="7"/>
      <c r="BXG1158" s="7"/>
      <c r="BXH1158" s="7"/>
      <c r="BXI1158" s="7"/>
      <c r="BXJ1158" s="7"/>
      <c r="BXK1158" s="7"/>
      <c r="BXL1158" s="7"/>
      <c r="BXM1158" s="7"/>
      <c r="BXN1158" s="7"/>
      <c r="BXO1158" s="7"/>
      <c r="BXP1158" s="7"/>
      <c r="BXQ1158" s="7"/>
      <c r="BXR1158" s="7"/>
      <c r="BXS1158" s="7"/>
      <c r="BXT1158" s="7"/>
      <c r="BXU1158" s="7"/>
      <c r="BXV1158" s="7"/>
      <c r="BXW1158" s="7"/>
      <c r="BXX1158" s="7"/>
      <c r="BXY1158" s="7"/>
      <c r="BXZ1158" s="7"/>
      <c r="BYA1158" s="7"/>
      <c r="BYB1158" s="7"/>
      <c r="BYC1158" s="7"/>
      <c r="BYD1158" s="7"/>
      <c r="BYE1158" s="7"/>
      <c r="BYF1158" s="7"/>
      <c r="BYG1158" s="7"/>
      <c r="BYH1158" s="7"/>
      <c r="BYI1158" s="7"/>
      <c r="BYJ1158" s="7"/>
      <c r="BYK1158" s="7"/>
      <c r="BYL1158" s="7"/>
      <c r="BYM1158" s="7"/>
      <c r="BYN1158" s="7"/>
      <c r="BYO1158" s="7"/>
      <c r="BYP1158" s="7"/>
      <c r="BYQ1158" s="7"/>
      <c r="BYR1158" s="7"/>
      <c r="BYS1158" s="7"/>
      <c r="BYT1158" s="7"/>
      <c r="BYU1158" s="7"/>
      <c r="BYV1158" s="7"/>
      <c r="BYW1158" s="7"/>
      <c r="BYX1158" s="7"/>
      <c r="BYY1158" s="7"/>
      <c r="BYZ1158" s="7"/>
      <c r="BZA1158" s="7"/>
      <c r="BZB1158" s="7"/>
      <c r="BZC1158" s="7"/>
      <c r="BZD1158" s="7"/>
      <c r="BZE1158" s="7"/>
      <c r="BZF1158" s="7"/>
      <c r="BZG1158" s="7"/>
      <c r="BZH1158" s="7"/>
      <c r="BZI1158" s="7"/>
      <c r="BZJ1158" s="7"/>
      <c r="BZK1158" s="7"/>
      <c r="BZL1158" s="7"/>
      <c r="BZM1158" s="7"/>
      <c r="BZN1158" s="7"/>
      <c r="BZO1158" s="7"/>
      <c r="BZP1158" s="7"/>
      <c r="BZQ1158" s="7"/>
      <c r="BZR1158" s="7"/>
      <c r="BZS1158" s="7"/>
      <c r="BZT1158" s="7"/>
      <c r="BZU1158" s="7"/>
      <c r="BZV1158" s="7"/>
      <c r="BZW1158" s="7"/>
      <c r="BZX1158" s="7"/>
      <c r="BZY1158" s="7"/>
      <c r="BZZ1158" s="7"/>
      <c r="CAA1158" s="7"/>
      <c r="CAB1158" s="7"/>
      <c r="CAC1158" s="7"/>
      <c r="CAD1158" s="7"/>
      <c r="CAE1158" s="7"/>
      <c r="CAF1158" s="7"/>
      <c r="CAG1158" s="7"/>
      <c r="CAH1158" s="7"/>
      <c r="CAI1158" s="7"/>
      <c r="CAJ1158" s="7"/>
      <c r="CAK1158" s="7"/>
      <c r="CAL1158" s="7"/>
      <c r="CAM1158" s="7"/>
      <c r="CAN1158" s="7"/>
      <c r="CAO1158" s="7"/>
      <c r="CAP1158" s="7"/>
      <c r="CAQ1158" s="7"/>
      <c r="CAR1158" s="7"/>
      <c r="CAS1158" s="7"/>
      <c r="CAT1158" s="7"/>
      <c r="CAU1158" s="7"/>
      <c r="CAV1158" s="7"/>
      <c r="CAW1158" s="7"/>
      <c r="CAX1158" s="7"/>
      <c r="CAY1158" s="7"/>
      <c r="CAZ1158" s="7"/>
      <c r="CBA1158" s="7"/>
      <c r="CBB1158" s="7"/>
      <c r="CBC1158" s="7"/>
      <c r="CBD1158" s="7"/>
      <c r="CBE1158" s="7"/>
      <c r="CBF1158" s="7"/>
      <c r="CBG1158" s="7"/>
      <c r="CBH1158" s="7"/>
      <c r="CBI1158" s="7"/>
      <c r="CBJ1158" s="7"/>
      <c r="CBK1158" s="7"/>
      <c r="CBL1158" s="7"/>
      <c r="CBM1158" s="7"/>
      <c r="CBN1158" s="7"/>
      <c r="CBO1158" s="7"/>
      <c r="CBP1158" s="7"/>
      <c r="CBQ1158" s="7"/>
      <c r="CBR1158" s="7"/>
      <c r="CBS1158" s="7"/>
      <c r="CBT1158" s="7"/>
      <c r="CBU1158" s="7"/>
      <c r="CBV1158" s="7"/>
      <c r="CBW1158" s="7"/>
      <c r="CBX1158" s="7"/>
      <c r="CBY1158" s="7"/>
      <c r="CBZ1158" s="7"/>
      <c r="CCA1158" s="7"/>
      <c r="CCB1158" s="7"/>
      <c r="CCC1158" s="7"/>
      <c r="CCD1158" s="7"/>
      <c r="CCE1158" s="7"/>
      <c r="CCF1158" s="7"/>
      <c r="CCG1158" s="7"/>
      <c r="CCH1158" s="7"/>
      <c r="CCI1158" s="7"/>
      <c r="CCJ1158" s="7"/>
      <c r="CCK1158" s="7"/>
      <c r="CCL1158" s="7"/>
      <c r="CCM1158" s="7"/>
      <c r="CCN1158" s="7"/>
      <c r="CCO1158" s="7"/>
      <c r="CCP1158" s="7"/>
      <c r="CCQ1158" s="7"/>
      <c r="CCR1158" s="7"/>
      <c r="CCS1158" s="7"/>
      <c r="CCT1158" s="7"/>
      <c r="CCU1158" s="7"/>
      <c r="CCV1158" s="7"/>
      <c r="CCW1158" s="7"/>
      <c r="CCX1158" s="7"/>
      <c r="CCY1158" s="7"/>
      <c r="CCZ1158" s="7"/>
      <c r="CDA1158" s="7"/>
      <c r="CDB1158" s="7"/>
      <c r="CDC1158" s="7"/>
      <c r="CDD1158" s="7"/>
      <c r="CDE1158" s="7"/>
      <c r="CDF1158" s="7"/>
      <c r="CDG1158" s="7"/>
      <c r="CDH1158" s="7"/>
      <c r="CDI1158" s="7"/>
      <c r="CDJ1158" s="7"/>
      <c r="CDK1158" s="7"/>
      <c r="CDL1158" s="7"/>
      <c r="CDM1158" s="7"/>
      <c r="CDN1158" s="7"/>
      <c r="CDO1158" s="7"/>
      <c r="CDP1158" s="7"/>
      <c r="CDQ1158" s="7"/>
      <c r="CDR1158" s="7"/>
      <c r="CDS1158" s="7"/>
      <c r="CDT1158" s="7"/>
      <c r="CDU1158" s="7"/>
      <c r="CDV1158" s="7"/>
      <c r="CDW1158" s="7"/>
      <c r="CDX1158" s="7"/>
      <c r="CDY1158" s="7"/>
      <c r="CDZ1158" s="7"/>
      <c r="CEA1158" s="7"/>
      <c r="CEB1158" s="7"/>
      <c r="CEC1158" s="7"/>
      <c r="CED1158" s="7"/>
      <c r="CEE1158" s="7"/>
      <c r="CEF1158" s="7"/>
      <c r="CEG1158" s="7"/>
      <c r="CEH1158" s="7"/>
      <c r="CEI1158" s="7"/>
      <c r="CEJ1158" s="7"/>
      <c r="CEK1158" s="7"/>
      <c r="CEL1158" s="7"/>
      <c r="CEM1158" s="7"/>
      <c r="CEN1158" s="7"/>
      <c r="CEO1158" s="7"/>
      <c r="CEP1158" s="7"/>
      <c r="CEQ1158" s="7"/>
      <c r="CER1158" s="7"/>
      <c r="CES1158" s="7"/>
      <c r="CET1158" s="7"/>
      <c r="CEU1158" s="7"/>
      <c r="CEV1158" s="7"/>
      <c r="CEW1158" s="7"/>
      <c r="CEX1158" s="7"/>
      <c r="CEY1158" s="7"/>
      <c r="CEZ1158" s="7"/>
      <c r="CFA1158" s="7"/>
      <c r="CFB1158" s="7"/>
      <c r="CFC1158" s="7"/>
      <c r="CFD1158" s="7"/>
      <c r="CFE1158" s="7"/>
      <c r="CFF1158" s="7"/>
      <c r="CFG1158" s="7"/>
      <c r="CFH1158" s="7"/>
      <c r="CFI1158" s="7"/>
      <c r="CFJ1158" s="7"/>
      <c r="CFK1158" s="7"/>
      <c r="CFL1158" s="7"/>
      <c r="CFM1158" s="7"/>
      <c r="CFN1158" s="7"/>
      <c r="CFO1158" s="7"/>
      <c r="CFP1158" s="7"/>
      <c r="CFQ1158" s="7"/>
      <c r="CFR1158" s="7"/>
      <c r="CFS1158" s="7"/>
      <c r="CFT1158" s="7"/>
      <c r="CFU1158" s="7"/>
      <c r="CFV1158" s="7"/>
      <c r="CFW1158" s="7"/>
      <c r="CFX1158" s="7"/>
      <c r="CFY1158" s="7"/>
      <c r="CFZ1158" s="7"/>
      <c r="CGA1158" s="7"/>
      <c r="CGB1158" s="7"/>
      <c r="CGC1158" s="7"/>
      <c r="CGD1158" s="7"/>
      <c r="CGE1158" s="7"/>
      <c r="CGF1158" s="7"/>
      <c r="CGG1158" s="7"/>
      <c r="CGH1158" s="7"/>
      <c r="CGI1158" s="7"/>
      <c r="CGJ1158" s="7"/>
      <c r="CGK1158" s="7"/>
      <c r="CGL1158" s="7"/>
      <c r="CGM1158" s="7"/>
      <c r="CGN1158" s="7"/>
      <c r="CGO1158" s="7"/>
      <c r="CGP1158" s="7"/>
      <c r="CGQ1158" s="7"/>
      <c r="CGR1158" s="7"/>
      <c r="CGS1158" s="7"/>
      <c r="CGT1158" s="7"/>
      <c r="CGU1158" s="7"/>
      <c r="CGV1158" s="7"/>
      <c r="CGW1158" s="7"/>
      <c r="CGX1158" s="7"/>
      <c r="CGY1158" s="7"/>
      <c r="CGZ1158" s="7"/>
      <c r="CHA1158" s="7"/>
      <c r="CHB1158" s="7"/>
      <c r="CHC1158" s="7"/>
      <c r="CHD1158" s="7"/>
      <c r="CHE1158" s="7"/>
      <c r="CHF1158" s="7"/>
      <c r="CHG1158" s="7"/>
      <c r="CHH1158" s="7"/>
      <c r="CHI1158" s="7"/>
      <c r="CHJ1158" s="7"/>
      <c r="CHK1158" s="7"/>
      <c r="CHL1158" s="7"/>
      <c r="CHM1158" s="7"/>
      <c r="CHN1158" s="7"/>
      <c r="CHO1158" s="7"/>
      <c r="CHP1158" s="7"/>
      <c r="CHQ1158" s="7"/>
      <c r="CHR1158" s="7"/>
      <c r="CHS1158" s="7"/>
      <c r="CHT1158" s="7"/>
      <c r="CHU1158" s="7"/>
      <c r="CHV1158" s="7"/>
      <c r="CHW1158" s="7"/>
      <c r="CHX1158" s="7"/>
      <c r="CHY1158" s="7"/>
      <c r="CHZ1158" s="7"/>
      <c r="CIA1158" s="7"/>
      <c r="CIB1158" s="7"/>
      <c r="CIC1158" s="7"/>
      <c r="CID1158" s="7"/>
      <c r="CIE1158" s="7"/>
      <c r="CIF1158" s="7"/>
      <c r="CIG1158" s="7"/>
      <c r="CIH1158" s="7"/>
      <c r="CII1158" s="7"/>
      <c r="CIJ1158" s="7"/>
      <c r="CIK1158" s="7"/>
      <c r="CIL1158" s="7"/>
      <c r="CIM1158" s="7"/>
      <c r="CIN1158" s="7"/>
      <c r="CIO1158" s="7"/>
      <c r="CIP1158" s="7"/>
      <c r="CIQ1158" s="7"/>
      <c r="CIR1158" s="7"/>
      <c r="CIS1158" s="7"/>
      <c r="CIT1158" s="7"/>
      <c r="CIU1158" s="7"/>
      <c r="CIV1158" s="7"/>
      <c r="CIW1158" s="7"/>
      <c r="CIX1158" s="7"/>
      <c r="CIY1158" s="7"/>
      <c r="CIZ1158" s="7"/>
      <c r="CJA1158" s="7"/>
      <c r="CJB1158" s="7"/>
      <c r="CJC1158" s="7"/>
      <c r="CJD1158" s="7"/>
      <c r="CJE1158" s="7"/>
      <c r="CJF1158" s="7"/>
      <c r="CJG1158" s="7"/>
      <c r="CJH1158" s="7"/>
      <c r="CJI1158" s="7"/>
      <c r="CJJ1158" s="7"/>
      <c r="CJK1158" s="7"/>
      <c r="CJL1158" s="7"/>
      <c r="CJM1158" s="7"/>
      <c r="CJN1158" s="7"/>
      <c r="CJO1158" s="7"/>
      <c r="CJP1158" s="7"/>
      <c r="CJQ1158" s="7"/>
      <c r="CJR1158" s="7"/>
      <c r="CJS1158" s="7"/>
      <c r="CJT1158" s="7"/>
      <c r="CJU1158" s="7"/>
      <c r="CJV1158" s="7"/>
      <c r="CJW1158" s="7"/>
      <c r="CJX1158" s="7"/>
      <c r="CJY1158" s="7"/>
      <c r="CJZ1158" s="7"/>
      <c r="CKA1158" s="7"/>
      <c r="CKB1158" s="7"/>
      <c r="CKC1158" s="7"/>
      <c r="CKD1158" s="7"/>
      <c r="CKE1158" s="7"/>
      <c r="CKF1158" s="7"/>
      <c r="CKG1158" s="7"/>
      <c r="CKH1158" s="7"/>
      <c r="CKI1158" s="7"/>
      <c r="CKJ1158" s="7"/>
      <c r="CKK1158" s="7"/>
      <c r="CKL1158" s="7"/>
      <c r="CKM1158" s="7"/>
      <c r="CKN1158" s="7"/>
      <c r="CKO1158" s="7"/>
      <c r="CKP1158" s="7"/>
      <c r="CKQ1158" s="7"/>
      <c r="CKR1158" s="7"/>
      <c r="CKS1158" s="7"/>
      <c r="CKT1158" s="7"/>
      <c r="CKU1158" s="7"/>
      <c r="CKV1158" s="7"/>
      <c r="CKW1158" s="7"/>
      <c r="CKX1158" s="7"/>
      <c r="CKY1158" s="7"/>
      <c r="CKZ1158" s="7"/>
      <c r="CLA1158" s="7"/>
      <c r="CLB1158" s="7"/>
      <c r="CLC1158" s="7"/>
      <c r="CLD1158" s="7"/>
      <c r="CLE1158" s="7"/>
      <c r="CLF1158" s="7"/>
      <c r="CLG1158" s="7"/>
      <c r="CLH1158" s="7"/>
      <c r="CLI1158" s="7"/>
      <c r="CLJ1158" s="7"/>
      <c r="CLK1158" s="7"/>
      <c r="CLL1158" s="7"/>
      <c r="CLM1158" s="7"/>
      <c r="CLN1158" s="7"/>
      <c r="CLO1158" s="7"/>
      <c r="CLP1158" s="7"/>
      <c r="CLQ1158" s="7"/>
      <c r="CLR1158" s="7"/>
      <c r="CLS1158" s="7"/>
      <c r="CLT1158" s="7"/>
      <c r="CLU1158" s="7"/>
      <c r="CLV1158" s="7"/>
      <c r="CLW1158" s="7"/>
      <c r="CLX1158" s="7"/>
      <c r="CLY1158" s="7"/>
      <c r="CLZ1158" s="7"/>
      <c r="CMA1158" s="7"/>
      <c r="CMB1158" s="7"/>
      <c r="CMC1158" s="7"/>
      <c r="CMD1158" s="7"/>
      <c r="CME1158" s="7"/>
      <c r="CMF1158" s="7"/>
      <c r="CMG1158" s="7"/>
      <c r="CMH1158" s="7"/>
      <c r="CMI1158" s="7"/>
      <c r="CMJ1158" s="7"/>
      <c r="CMK1158" s="7"/>
      <c r="CML1158" s="7"/>
      <c r="CMM1158" s="7"/>
      <c r="CMN1158" s="7"/>
      <c r="CMO1158" s="7"/>
      <c r="CMP1158" s="7"/>
      <c r="CMQ1158" s="7"/>
      <c r="CMR1158" s="7"/>
      <c r="CMS1158" s="7"/>
      <c r="CMT1158" s="7"/>
      <c r="CMU1158" s="7"/>
      <c r="CMV1158" s="7"/>
      <c r="CMW1158" s="7"/>
      <c r="CMX1158" s="7"/>
      <c r="CMY1158" s="7"/>
      <c r="CMZ1158" s="7"/>
      <c r="CNA1158" s="7"/>
      <c r="CNB1158" s="7"/>
      <c r="CNC1158" s="7"/>
      <c r="CND1158" s="7"/>
      <c r="CNE1158" s="7"/>
      <c r="CNF1158" s="7"/>
      <c r="CNG1158" s="7"/>
      <c r="CNH1158" s="7"/>
      <c r="CNI1158" s="7"/>
      <c r="CNJ1158" s="7"/>
      <c r="CNK1158" s="7"/>
      <c r="CNL1158" s="7"/>
      <c r="CNM1158" s="7"/>
      <c r="CNN1158" s="7"/>
      <c r="CNO1158" s="7"/>
      <c r="CNP1158" s="7"/>
      <c r="CNQ1158" s="7"/>
      <c r="CNR1158" s="7"/>
      <c r="CNS1158" s="7"/>
      <c r="CNT1158" s="7"/>
      <c r="CNU1158" s="7"/>
      <c r="CNV1158" s="7"/>
      <c r="CNW1158" s="7"/>
      <c r="CNX1158" s="7"/>
      <c r="CNY1158" s="7"/>
      <c r="CNZ1158" s="7"/>
      <c r="COA1158" s="7"/>
      <c r="COB1158" s="7"/>
      <c r="COC1158" s="7"/>
      <c r="COD1158" s="7"/>
      <c r="COE1158" s="7"/>
      <c r="COF1158" s="7"/>
      <c r="COG1158" s="7"/>
      <c r="COH1158" s="7"/>
      <c r="COI1158" s="7"/>
      <c r="COJ1158" s="7"/>
      <c r="COK1158" s="7"/>
      <c r="COL1158" s="7"/>
      <c r="COM1158" s="7"/>
      <c r="CON1158" s="7"/>
      <c r="COO1158" s="7"/>
      <c r="COP1158" s="7"/>
      <c r="COQ1158" s="7"/>
      <c r="COR1158" s="7"/>
      <c r="COS1158" s="7"/>
      <c r="COT1158" s="7"/>
      <c r="COU1158" s="7"/>
      <c r="COV1158" s="7"/>
      <c r="COW1158" s="7"/>
      <c r="COX1158" s="7"/>
      <c r="COY1158" s="7"/>
      <c r="COZ1158" s="7"/>
      <c r="CPA1158" s="7"/>
      <c r="CPB1158" s="7"/>
      <c r="CPC1158" s="7"/>
      <c r="CPD1158" s="7"/>
      <c r="CPE1158" s="7"/>
      <c r="CPF1158" s="7"/>
      <c r="CPG1158" s="7"/>
      <c r="CPH1158" s="7"/>
      <c r="CPI1158" s="7"/>
      <c r="CPJ1158" s="7"/>
      <c r="CPK1158" s="7"/>
      <c r="CPL1158" s="7"/>
      <c r="CPM1158" s="7"/>
      <c r="CPN1158" s="7"/>
      <c r="CPO1158" s="7"/>
      <c r="CPP1158" s="7"/>
      <c r="CPQ1158" s="7"/>
      <c r="CPR1158" s="7"/>
      <c r="CPS1158" s="7"/>
      <c r="CPT1158" s="7"/>
      <c r="CPU1158" s="7"/>
      <c r="CPV1158" s="7"/>
      <c r="CPW1158" s="7"/>
      <c r="CPX1158" s="7"/>
      <c r="CPY1158" s="7"/>
      <c r="CPZ1158" s="7"/>
      <c r="CQA1158" s="7"/>
      <c r="CQB1158" s="7"/>
      <c r="CQC1158" s="7"/>
      <c r="CQD1158" s="7"/>
      <c r="CQE1158" s="7"/>
      <c r="CQF1158" s="7"/>
      <c r="CQG1158" s="7"/>
      <c r="CQH1158" s="7"/>
      <c r="CQI1158" s="7"/>
      <c r="CQJ1158" s="7"/>
      <c r="CQK1158" s="7"/>
      <c r="CQL1158" s="7"/>
      <c r="CQM1158" s="7"/>
      <c r="CQN1158" s="7"/>
      <c r="CQO1158" s="7"/>
      <c r="CQP1158" s="7"/>
      <c r="CQQ1158" s="7"/>
      <c r="CQR1158" s="7"/>
      <c r="CQS1158" s="7"/>
      <c r="CQT1158" s="7"/>
      <c r="CQU1158" s="7"/>
      <c r="CQV1158" s="7"/>
      <c r="CQW1158" s="7"/>
      <c r="CQX1158" s="7"/>
      <c r="CQY1158" s="7"/>
      <c r="CQZ1158" s="7"/>
      <c r="CRA1158" s="7"/>
      <c r="CRB1158" s="7"/>
      <c r="CRC1158" s="7"/>
      <c r="CRD1158" s="7"/>
      <c r="CRE1158" s="7"/>
      <c r="CRF1158" s="7"/>
      <c r="CRG1158" s="7"/>
      <c r="CRH1158" s="7"/>
      <c r="CRI1158" s="7"/>
      <c r="CRJ1158" s="7"/>
      <c r="CRK1158" s="7"/>
      <c r="CRL1158" s="7"/>
      <c r="CRM1158" s="7"/>
      <c r="CRN1158" s="7"/>
      <c r="CRO1158" s="7"/>
      <c r="CRP1158" s="7"/>
      <c r="CRQ1158" s="7"/>
      <c r="CRR1158" s="7"/>
      <c r="CRS1158" s="7"/>
      <c r="CRT1158" s="7"/>
      <c r="CRU1158" s="7"/>
      <c r="CRV1158" s="7"/>
      <c r="CRW1158" s="7"/>
      <c r="CRX1158" s="7"/>
      <c r="CRY1158" s="7"/>
      <c r="CRZ1158" s="7"/>
      <c r="CSA1158" s="7"/>
      <c r="CSB1158" s="7"/>
      <c r="CSC1158" s="7"/>
      <c r="CSD1158" s="7"/>
      <c r="CSE1158" s="7"/>
      <c r="CSF1158" s="7"/>
      <c r="CSG1158" s="7"/>
      <c r="CSH1158" s="7"/>
      <c r="CSI1158" s="7"/>
      <c r="CSJ1158" s="7"/>
      <c r="CSK1158" s="7"/>
      <c r="CSL1158" s="7"/>
      <c r="CSM1158" s="7"/>
      <c r="CSN1158" s="7"/>
      <c r="CSO1158" s="7"/>
      <c r="CSP1158" s="7"/>
      <c r="CSQ1158" s="7"/>
      <c r="CSR1158" s="7"/>
      <c r="CSS1158" s="7"/>
      <c r="CST1158" s="7"/>
      <c r="CSU1158" s="7"/>
      <c r="CSV1158" s="7"/>
      <c r="CSW1158" s="7"/>
      <c r="CSX1158" s="7"/>
      <c r="CSY1158" s="7"/>
      <c r="CSZ1158" s="7"/>
      <c r="CTA1158" s="7"/>
      <c r="CTB1158" s="7"/>
      <c r="CTC1158" s="7"/>
      <c r="CTD1158" s="7"/>
      <c r="CTE1158" s="7"/>
      <c r="CTF1158" s="7"/>
      <c r="CTG1158" s="7"/>
      <c r="CTH1158" s="7"/>
      <c r="CTI1158" s="7"/>
      <c r="CTJ1158" s="7"/>
      <c r="CTK1158" s="7"/>
      <c r="CTL1158" s="7"/>
      <c r="CTM1158" s="7"/>
      <c r="CTN1158" s="7"/>
      <c r="CTO1158" s="7"/>
      <c r="CTP1158" s="7"/>
      <c r="CTQ1158" s="7"/>
      <c r="CTR1158" s="7"/>
      <c r="CTS1158" s="7"/>
      <c r="CTT1158" s="7"/>
      <c r="CTU1158" s="7"/>
      <c r="CTV1158" s="7"/>
      <c r="CTW1158" s="7"/>
      <c r="CTX1158" s="7"/>
      <c r="CTY1158" s="7"/>
      <c r="CTZ1158" s="7"/>
      <c r="CUA1158" s="7"/>
      <c r="CUB1158" s="7"/>
      <c r="CUC1158" s="7"/>
      <c r="CUD1158" s="7"/>
      <c r="CUE1158" s="7"/>
      <c r="CUF1158" s="7"/>
      <c r="CUG1158" s="7"/>
      <c r="CUH1158" s="7"/>
      <c r="CUI1158" s="7"/>
      <c r="CUJ1158" s="7"/>
      <c r="CUK1158" s="7"/>
      <c r="CUL1158" s="7"/>
      <c r="CUM1158" s="7"/>
      <c r="CUN1158" s="7"/>
      <c r="CUO1158" s="7"/>
      <c r="CUP1158" s="7"/>
      <c r="CUQ1158" s="7"/>
      <c r="CUR1158" s="7"/>
      <c r="CUS1158" s="7"/>
      <c r="CUT1158" s="7"/>
      <c r="CUU1158" s="7"/>
      <c r="CUV1158" s="7"/>
      <c r="CUW1158" s="7"/>
      <c r="CUX1158" s="7"/>
      <c r="CUY1158" s="7"/>
      <c r="CUZ1158" s="7"/>
      <c r="CVA1158" s="7"/>
      <c r="CVB1158" s="7"/>
      <c r="CVC1158" s="7"/>
      <c r="CVD1158" s="7"/>
      <c r="CVE1158" s="7"/>
      <c r="CVF1158" s="7"/>
      <c r="CVG1158" s="7"/>
      <c r="CVH1158" s="7"/>
      <c r="CVI1158" s="7"/>
      <c r="CVJ1158" s="7"/>
      <c r="CVK1158" s="7"/>
      <c r="CVL1158" s="7"/>
      <c r="CVM1158" s="7"/>
      <c r="CVN1158" s="7"/>
      <c r="CVO1158" s="7"/>
      <c r="CVP1158" s="7"/>
      <c r="CVQ1158" s="7"/>
      <c r="CVR1158" s="7"/>
      <c r="CVS1158" s="7"/>
      <c r="CVT1158" s="7"/>
      <c r="CVU1158" s="7"/>
      <c r="CVV1158" s="7"/>
      <c r="CVW1158" s="7"/>
      <c r="CVX1158" s="7"/>
      <c r="CVY1158" s="7"/>
      <c r="CVZ1158" s="7"/>
      <c r="CWA1158" s="7"/>
      <c r="CWB1158" s="7"/>
      <c r="CWC1158" s="7"/>
      <c r="CWD1158" s="7"/>
      <c r="CWE1158" s="7"/>
      <c r="CWF1158" s="7"/>
      <c r="CWG1158" s="7"/>
      <c r="CWH1158" s="7"/>
      <c r="CWI1158" s="7"/>
      <c r="CWJ1158" s="7"/>
      <c r="CWK1158" s="7"/>
      <c r="CWL1158" s="7"/>
      <c r="CWM1158" s="7"/>
      <c r="CWN1158" s="7"/>
      <c r="CWO1158" s="7"/>
      <c r="CWP1158" s="7"/>
      <c r="CWQ1158" s="7"/>
      <c r="CWR1158" s="7"/>
      <c r="CWS1158" s="7"/>
      <c r="CWT1158" s="7"/>
      <c r="CWU1158" s="7"/>
      <c r="CWV1158" s="7"/>
      <c r="CWW1158" s="7"/>
      <c r="CWX1158" s="7"/>
      <c r="CWY1158" s="7"/>
      <c r="CWZ1158" s="7"/>
      <c r="CXA1158" s="7"/>
      <c r="CXB1158" s="7"/>
      <c r="CXC1158" s="7"/>
      <c r="CXD1158" s="7"/>
      <c r="CXE1158" s="7"/>
      <c r="CXF1158" s="7"/>
      <c r="CXG1158" s="7"/>
      <c r="CXH1158" s="7"/>
      <c r="CXI1158" s="7"/>
      <c r="CXJ1158" s="7"/>
      <c r="CXK1158" s="7"/>
      <c r="CXL1158" s="7"/>
      <c r="CXM1158" s="7"/>
      <c r="CXN1158" s="7"/>
      <c r="CXO1158" s="7"/>
      <c r="CXP1158" s="7"/>
      <c r="CXQ1158" s="7"/>
      <c r="CXR1158" s="7"/>
      <c r="CXS1158" s="7"/>
      <c r="CXT1158" s="7"/>
      <c r="CXU1158" s="7"/>
      <c r="CXV1158" s="7"/>
      <c r="CXW1158" s="7"/>
      <c r="CXX1158" s="7"/>
      <c r="CXY1158" s="7"/>
      <c r="CXZ1158" s="7"/>
      <c r="CYA1158" s="7"/>
      <c r="CYB1158" s="7"/>
      <c r="CYC1158" s="7"/>
      <c r="CYD1158" s="7"/>
      <c r="CYE1158" s="7"/>
      <c r="CYF1158" s="7"/>
      <c r="CYG1158" s="7"/>
      <c r="CYH1158" s="7"/>
      <c r="CYI1158" s="7"/>
      <c r="CYJ1158" s="7"/>
      <c r="CYK1158" s="7"/>
      <c r="CYL1158" s="7"/>
      <c r="CYM1158" s="7"/>
      <c r="CYN1158" s="7"/>
      <c r="CYO1158" s="7"/>
      <c r="CYP1158" s="7"/>
      <c r="CYQ1158" s="7"/>
      <c r="CYR1158" s="7"/>
      <c r="CYS1158" s="7"/>
      <c r="CYT1158" s="7"/>
      <c r="CYU1158" s="7"/>
      <c r="CYV1158" s="7"/>
      <c r="CYW1158" s="7"/>
      <c r="CYX1158" s="7"/>
      <c r="CYY1158" s="7"/>
      <c r="CYZ1158" s="7"/>
      <c r="CZA1158" s="7"/>
      <c r="CZB1158" s="7"/>
      <c r="CZC1158" s="7"/>
      <c r="CZD1158" s="7"/>
      <c r="CZE1158" s="7"/>
      <c r="CZF1158" s="7"/>
      <c r="CZG1158" s="7"/>
      <c r="CZH1158" s="7"/>
      <c r="CZI1158" s="7"/>
      <c r="CZJ1158" s="7"/>
      <c r="CZK1158" s="7"/>
      <c r="CZL1158" s="7"/>
      <c r="CZM1158" s="7"/>
      <c r="CZN1158" s="7"/>
      <c r="CZO1158" s="7"/>
      <c r="CZP1158" s="7"/>
      <c r="CZQ1158" s="7"/>
      <c r="CZR1158" s="7"/>
      <c r="CZS1158" s="7"/>
      <c r="CZT1158" s="7"/>
      <c r="CZU1158" s="7"/>
      <c r="CZV1158" s="7"/>
      <c r="CZW1158" s="7"/>
      <c r="CZX1158" s="7"/>
      <c r="CZY1158" s="7"/>
      <c r="CZZ1158" s="7"/>
      <c r="DAA1158" s="7"/>
      <c r="DAB1158" s="7"/>
      <c r="DAC1158" s="7"/>
      <c r="DAD1158" s="7"/>
      <c r="DAE1158" s="7"/>
      <c r="DAF1158" s="7"/>
      <c r="DAG1158" s="7"/>
      <c r="DAH1158" s="7"/>
      <c r="DAI1158" s="7"/>
      <c r="DAJ1158" s="7"/>
      <c r="DAK1158" s="7"/>
      <c r="DAL1158" s="7"/>
      <c r="DAM1158" s="7"/>
      <c r="DAN1158" s="7"/>
      <c r="DAO1158" s="7"/>
      <c r="DAP1158" s="7"/>
      <c r="DAQ1158" s="7"/>
      <c r="DAR1158" s="7"/>
      <c r="DAS1158" s="7"/>
      <c r="DAT1158" s="7"/>
      <c r="DAU1158" s="7"/>
      <c r="DAV1158" s="7"/>
      <c r="DAW1158" s="7"/>
      <c r="DAX1158" s="7"/>
      <c r="DAY1158" s="7"/>
      <c r="DAZ1158" s="7"/>
      <c r="DBA1158" s="7"/>
      <c r="DBB1158" s="7"/>
      <c r="DBC1158" s="7"/>
      <c r="DBD1158" s="7"/>
      <c r="DBE1158" s="7"/>
      <c r="DBF1158" s="7"/>
      <c r="DBG1158" s="7"/>
      <c r="DBH1158" s="7"/>
      <c r="DBI1158" s="7"/>
      <c r="DBJ1158" s="7"/>
      <c r="DBK1158" s="7"/>
      <c r="DBL1158" s="7"/>
      <c r="DBM1158" s="7"/>
      <c r="DBN1158" s="7"/>
      <c r="DBO1158" s="7"/>
      <c r="DBP1158" s="7"/>
      <c r="DBQ1158" s="7"/>
      <c r="DBR1158" s="7"/>
      <c r="DBS1158" s="7"/>
      <c r="DBT1158" s="7"/>
      <c r="DBU1158" s="7"/>
      <c r="DBV1158" s="7"/>
      <c r="DBW1158" s="7"/>
      <c r="DBX1158" s="7"/>
      <c r="DBY1158" s="7"/>
      <c r="DBZ1158" s="7"/>
      <c r="DCA1158" s="7"/>
      <c r="DCB1158" s="7"/>
      <c r="DCC1158" s="7"/>
      <c r="DCD1158" s="7"/>
      <c r="DCE1158" s="7"/>
      <c r="DCF1158" s="7"/>
      <c r="DCG1158" s="7"/>
      <c r="DCH1158" s="7"/>
      <c r="DCI1158" s="7"/>
      <c r="DCJ1158" s="7"/>
      <c r="DCK1158" s="7"/>
      <c r="DCL1158" s="7"/>
      <c r="DCM1158" s="7"/>
      <c r="DCN1158" s="7"/>
      <c r="DCO1158" s="7"/>
      <c r="DCP1158" s="7"/>
      <c r="DCQ1158" s="7"/>
      <c r="DCR1158" s="7"/>
      <c r="DCS1158" s="7"/>
      <c r="DCT1158" s="7"/>
      <c r="DCU1158" s="7"/>
      <c r="DCV1158" s="7"/>
      <c r="DCW1158" s="7"/>
      <c r="DCX1158" s="7"/>
      <c r="DCY1158" s="7"/>
      <c r="DCZ1158" s="7"/>
      <c r="DDA1158" s="7"/>
      <c r="DDB1158" s="7"/>
      <c r="DDC1158" s="7"/>
      <c r="DDD1158" s="7"/>
      <c r="DDE1158" s="7"/>
      <c r="DDF1158" s="7"/>
      <c r="DDG1158" s="7"/>
      <c r="DDH1158" s="7"/>
      <c r="DDI1158" s="7"/>
      <c r="DDJ1158" s="7"/>
      <c r="DDK1158" s="7"/>
      <c r="DDL1158" s="7"/>
      <c r="DDM1158" s="7"/>
      <c r="DDN1158" s="7"/>
      <c r="DDO1158" s="7"/>
      <c r="DDP1158" s="7"/>
      <c r="DDQ1158" s="7"/>
      <c r="DDR1158" s="7"/>
      <c r="DDS1158" s="7"/>
      <c r="DDT1158" s="7"/>
      <c r="DDU1158" s="7"/>
      <c r="DDV1158" s="7"/>
      <c r="DDW1158" s="7"/>
      <c r="DDX1158" s="7"/>
      <c r="DDY1158" s="7"/>
      <c r="DDZ1158" s="7"/>
      <c r="DEA1158" s="7"/>
      <c r="DEB1158" s="7"/>
      <c r="DEC1158" s="7"/>
      <c r="DED1158" s="7"/>
      <c r="DEE1158" s="7"/>
      <c r="DEF1158" s="7"/>
      <c r="DEG1158" s="7"/>
      <c r="DEH1158" s="7"/>
      <c r="DEI1158" s="7"/>
      <c r="DEJ1158" s="7"/>
      <c r="DEK1158" s="7"/>
      <c r="DEL1158" s="7"/>
      <c r="DEM1158" s="7"/>
      <c r="DEN1158" s="7"/>
      <c r="DEO1158" s="7"/>
      <c r="DEP1158" s="7"/>
      <c r="DEQ1158" s="7"/>
      <c r="DER1158" s="7"/>
      <c r="DES1158" s="7"/>
      <c r="DET1158" s="7"/>
      <c r="DEU1158" s="7"/>
      <c r="DEV1158" s="7"/>
      <c r="DEW1158" s="7"/>
      <c r="DEX1158" s="7"/>
      <c r="DEY1158" s="7"/>
      <c r="DEZ1158" s="7"/>
      <c r="DFA1158" s="7"/>
      <c r="DFB1158" s="7"/>
      <c r="DFC1158" s="7"/>
      <c r="DFD1158" s="7"/>
      <c r="DFE1158" s="7"/>
      <c r="DFF1158" s="7"/>
      <c r="DFG1158" s="7"/>
      <c r="DFH1158" s="7"/>
      <c r="DFI1158" s="7"/>
      <c r="DFJ1158" s="7"/>
      <c r="DFK1158" s="7"/>
      <c r="DFL1158" s="7"/>
      <c r="DFM1158" s="7"/>
      <c r="DFN1158" s="7"/>
      <c r="DFO1158" s="7"/>
      <c r="DFP1158" s="7"/>
      <c r="DFQ1158" s="7"/>
      <c r="DFR1158" s="7"/>
      <c r="DFS1158" s="7"/>
      <c r="DFT1158" s="7"/>
      <c r="DFU1158" s="7"/>
      <c r="DFV1158" s="7"/>
      <c r="DFW1158" s="7"/>
      <c r="DFX1158" s="7"/>
      <c r="DFY1158" s="7"/>
      <c r="DFZ1158" s="7"/>
      <c r="DGA1158" s="7"/>
      <c r="DGB1158" s="7"/>
      <c r="DGC1158" s="7"/>
      <c r="DGD1158" s="7"/>
      <c r="DGE1158" s="7"/>
      <c r="DGF1158" s="7"/>
      <c r="DGG1158" s="7"/>
      <c r="DGH1158" s="7"/>
      <c r="DGI1158" s="7"/>
      <c r="DGJ1158" s="7"/>
      <c r="DGK1158" s="7"/>
      <c r="DGL1158" s="7"/>
      <c r="DGM1158" s="7"/>
      <c r="DGN1158" s="7"/>
      <c r="DGO1158" s="7"/>
      <c r="DGP1158" s="7"/>
      <c r="DGQ1158" s="7"/>
      <c r="DGR1158" s="7"/>
      <c r="DGS1158" s="7"/>
      <c r="DGT1158" s="7"/>
      <c r="DGU1158" s="7"/>
      <c r="DGV1158" s="7"/>
      <c r="DGW1158" s="7"/>
      <c r="DGX1158" s="7"/>
      <c r="DGY1158" s="7"/>
      <c r="DGZ1158" s="7"/>
      <c r="DHA1158" s="7"/>
      <c r="DHB1158" s="7"/>
      <c r="DHC1158" s="7"/>
      <c r="DHD1158" s="7"/>
      <c r="DHE1158" s="7"/>
      <c r="DHF1158" s="7"/>
      <c r="DHG1158" s="7"/>
      <c r="DHH1158" s="7"/>
      <c r="DHI1158" s="7"/>
      <c r="DHJ1158" s="7"/>
      <c r="DHK1158" s="7"/>
      <c r="DHL1158" s="7"/>
      <c r="DHM1158" s="7"/>
      <c r="DHN1158" s="7"/>
      <c r="DHO1158" s="7"/>
      <c r="DHP1158" s="7"/>
      <c r="DHQ1158" s="7"/>
      <c r="DHR1158" s="7"/>
      <c r="DHS1158" s="7"/>
      <c r="DHT1158" s="7"/>
      <c r="DHU1158" s="7"/>
      <c r="DHV1158" s="7"/>
      <c r="DHW1158" s="7"/>
      <c r="DHX1158" s="7"/>
      <c r="DHY1158" s="7"/>
      <c r="DHZ1158" s="7"/>
      <c r="DIA1158" s="7"/>
      <c r="DIB1158" s="7"/>
      <c r="DIC1158" s="7"/>
      <c r="DID1158" s="7"/>
      <c r="DIE1158" s="7"/>
      <c r="DIF1158" s="7"/>
      <c r="DIG1158" s="7"/>
      <c r="DIH1158" s="7"/>
      <c r="DII1158" s="7"/>
      <c r="DIJ1158" s="7"/>
      <c r="DIK1158" s="7"/>
      <c r="DIL1158" s="7"/>
      <c r="DIM1158" s="7"/>
      <c r="DIN1158" s="7"/>
      <c r="DIO1158" s="7"/>
      <c r="DIP1158" s="7"/>
      <c r="DIQ1158" s="7"/>
      <c r="DIR1158" s="7"/>
      <c r="DIS1158" s="7"/>
      <c r="DIT1158" s="7"/>
      <c r="DIU1158" s="7"/>
      <c r="DIV1158" s="7"/>
      <c r="DIW1158" s="7"/>
      <c r="DIX1158" s="7"/>
      <c r="DIY1158" s="7"/>
      <c r="DIZ1158" s="7"/>
      <c r="DJA1158" s="7"/>
      <c r="DJB1158" s="7"/>
      <c r="DJC1158" s="7"/>
      <c r="DJD1158" s="7"/>
      <c r="DJE1158" s="7"/>
      <c r="DJF1158" s="7"/>
      <c r="DJG1158" s="7"/>
      <c r="DJH1158" s="7"/>
      <c r="DJI1158" s="7"/>
      <c r="DJJ1158" s="7"/>
      <c r="DJK1158" s="7"/>
      <c r="DJL1158" s="7"/>
      <c r="DJM1158" s="7"/>
      <c r="DJN1158" s="7"/>
      <c r="DJO1158" s="7"/>
      <c r="DJP1158" s="7"/>
      <c r="DJQ1158" s="7"/>
      <c r="DJR1158" s="7"/>
      <c r="DJS1158" s="7"/>
      <c r="DJT1158" s="7"/>
      <c r="DJU1158" s="7"/>
      <c r="DJV1158" s="7"/>
      <c r="DJW1158" s="7"/>
      <c r="DJX1158" s="7"/>
      <c r="DJY1158" s="7"/>
      <c r="DJZ1158" s="7"/>
      <c r="DKA1158" s="7"/>
      <c r="DKB1158" s="7"/>
      <c r="DKC1158" s="7"/>
      <c r="DKD1158" s="7"/>
      <c r="DKE1158" s="7"/>
      <c r="DKF1158" s="7"/>
      <c r="DKG1158" s="7"/>
      <c r="DKH1158" s="7"/>
      <c r="DKI1158" s="7"/>
      <c r="DKJ1158" s="7"/>
      <c r="DKK1158" s="7"/>
      <c r="DKL1158" s="7"/>
      <c r="DKM1158" s="7"/>
      <c r="DKN1158" s="7"/>
      <c r="DKO1158" s="7"/>
      <c r="DKP1158" s="7"/>
      <c r="DKQ1158" s="7"/>
      <c r="DKR1158" s="7"/>
      <c r="DKS1158" s="7"/>
      <c r="DKT1158" s="7"/>
      <c r="DKU1158" s="7"/>
      <c r="DKV1158" s="7"/>
      <c r="DKW1158" s="7"/>
      <c r="DKX1158" s="7"/>
      <c r="DKY1158" s="7"/>
      <c r="DKZ1158" s="7"/>
      <c r="DLA1158" s="7"/>
      <c r="DLB1158" s="7"/>
      <c r="DLC1158" s="7"/>
      <c r="DLD1158" s="7"/>
      <c r="DLE1158" s="7"/>
      <c r="DLF1158" s="7"/>
      <c r="DLG1158" s="7"/>
      <c r="DLH1158" s="7"/>
      <c r="DLI1158" s="7"/>
      <c r="DLJ1158" s="7"/>
      <c r="DLK1158" s="7"/>
      <c r="DLL1158" s="7"/>
      <c r="DLM1158" s="7"/>
      <c r="DLN1158" s="7"/>
      <c r="DLO1158" s="7"/>
      <c r="DLP1158" s="7"/>
      <c r="DLQ1158" s="7"/>
      <c r="DLR1158" s="7"/>
      <c r="DLS1158" s="7"/>
      <c r="DLT1158" s="7"/>
      <c r="DLU1158" s="7"/>
      <c r="DLV1158" s="7"/>
      <c r="DLW1158" s="7"/>
      <c r="DLX1158" s="7"/>
      <c r="DLY1158" s="7"/>
      <c r="DLZ1158" s="7"/>
      <c r="DMA1158" s="7"/>
      <c r="DMB1158" s="7"/>
      <c r="DMC1158" s="7"/>
      <c r="DMD1158" s="7"/>
      <c r="DME1158" s="7"/>
      <c r="DMF1158" s="7"/>
      <c r="DMG1158" s="7"/>
      <c r="DMH1158" s="7"/>
      <c r="DMI1158" s="7"/>
      <c r="DMJ1158" s="7"/>
      <c r="DMK1158" s="7"/>
      <c r="DML1158" s="7"/>
      <c r="DMM1158" s="7"/>
      <c r="DMN1158" s="7"/>
      <c r="DMO1158" s="7"/>
      <c r="DMP1158" s="7"/>
      <c r="DMQ1158" s="7"/>
      <c r="DMR1158" s="7"/>
      <c r="DMS1158" s="7"/>
      <c r="DMT1158" s="7"/>
      <c r="DMU1158" s="7"/>
      <c r="DMV1158" s="7"/>
      <c r="DMW1158" s="7"/>
      <c r="DMX1158" s="7"/>
      <c r="DMY1158" s="7"/>
      <c r="DMZ1158" s="7"/>
      <c r="DNA1158" s="7"/>
      <c r="DNB1158" s="7"/>
      <c r="DNC1158" s="7"/>
      <c r="DND1158" s="7"/>
      <c r="DNE1158" s="7"/>
      <c r="DNF1158" s="7"/>
      <c r="DNG1158" s="7"/>
      <c r="DNH1158" s="7"/>
      <c r="DNI1158" s="7"/>
      <c r="DNJ1158" s="7"/>
      <c r="DNK1158" s="7"/>
      <c r="DNL1158" s="7"/>
      <c r="DNM1158" s="7"/>
      <c r="DNN1158" s="7"/>
      <c r="DNO1158" s="7"/>
      <c r="DNP1158" s="7"/>
      <c r="DNQ1158" s="7"/>
      <c r="DNR1158" s="7"/>
      <c r="DNS1158" s="7"/>
      <c r="DNT1158" s="7"/>
      <c r="DNU1158" s="7"/>
      <c r="DNV1158" s="7"/>
      <c r="DNW1158" s="7"/>
      <c r="DNX1158" s="7"/>
      <c r="DNY1158" s="7"/>
      <c r="DNZ1158" s="7"/>
      <c r="DOA1158" s="7"/>
      <c r="DOB1158" s="7"/>
      <c r="DOC1158" s="7"/>
      <c r="DOD1158" s="7"/>
      <c r="DOE1158" s="7"/>
      <c r="DOF1158" s="7"/>
      <c r="DOG1158" s="7"/>
      <c r="DOH1158" s="7"/>
      <c r="DOI1158" s="7"/>
      <c r="DOJ1158" s="7"/>
      <c r="DOK1158" s="7"/>
      <c r="DOL1158" s="7"/>
      <c r="DOM1158" s="7"/>
      <c r="DON1158" s="7"/>
      <c r="DOO1158" s="7"/>
      <c r="DOP1158" s="7"/>
      <c r="DOQ1158" s="7"/>
      <c r="DOR1158" s="7"/>
      <c r="DOS1158" s="7"/>
      <c r="DOT1158" s="7"/>
      <c r="DOU1158" s="7"/>
      <c r="DOV1158" s="7"/>
      <c r="DOW1158" s="7"/>
      <c r="DOX1158" s="7"/>
      <c r="DOY1158" s="7"/>
      <c r="DOZ1158" s="7"/>
      <c r="DPA1158" s="7"/>
      <c r="DPB1158" s="7"/>
      <c r="DPC1158" s="7"/>
      <c r="DPD1158" s="7"/>
      <c r="DPE1158" s="7"/>
      <c r="DPF1158" s="7"/>
      <c r="DPG1158" s="7"/>
      <c r="DPH1158" s="7"/>
      <c r="DPI1158" s="7"/>
      <c r="DPJ1158" s="7"/>
      <c r="DPK1158" s="7"/>
      <c r="DPL1158" s="7"/>
      <c r="DPM1158" s="7"/>
      <c r="DPN1158" s="7"/>
      <c r="DPO1158" s="7"/>
      <c r="DPP1158" s="7"/>
      <c r="DPQ1158" s="7"/>
      <c r="DPR1158" s="7"/>
      <c r="DPS1158" s="7"/>
      <c r="DPT1158" s="7"/>
      <c r="DPU1158" s="7"/>
      <c r="DPV1158" s="7"/>
      <c r="DPW1158" s="7"/>
      <c r="DPX1158" s="7"/>
      <c r="DPY1158" s="7"/>
      <c r="DPZ1158" s="7"/>
      <c r="DQA1158" s="7"/>
      <c r="DQB1158" s="7"/>
      <c r="DQC1158" s="7"/>
      <c r="DQD1158" s="7"/>
      <c r="DQE1158" s="7"/>
      <c r="DQF1158" s="7"/>
      <c r="DQG1158" s="7"/>
      <c r="DQH1158" s="7"/>
      <c r="DQI1158" s="7"/>
      <c r="DQJ1158" s="7"/>
      <c r="DQK1158" s="7"/>
      <c r="DQL1158" s="7"/>
      <c r="DQM1158" s="7"/>
      <c r="DQN1158" s="7"/>
      <c r="DQO1158" s="7"/>
      <c r="DQP1158" s="7"/>
      <c r="DQQ1158" s="7"/>
      <c r="DQR1158" s="7"/>
      <c r="DQS1158" s="7"/>
      <c r="DQT1158" s="7"/>
      <c r="DQU1158" s="7"/>
      <c r="DQV1158" s="7"/>
      <c r="DQW1158" s="7"/>
      <c r="DQX1158" s="7"/>
      <c r="DQY1158" s="7"/>
      <c r="DQZ1158" s="7"/>
      <c r="DRA1158" s="7"/>
      <c r="DRB1158" s="7"/>
      <c r="DRC1158" s="7"/>
      <c r="DRD1158" s="7"/>
      <c r="DRE1158" s="7"/>
      <c r="DRF1158" s="7"/>
      <c r="DRG1158" s="7"/>
      <c r="DRH1158" s="7"/>
      <c r="DRI1158" s="7"/>
      <c r="DRJ1158" s="7"/>
      <c r="DRK1158" s="7"/>
      <c r="DRL1158" s="7"/>
      <c r="DRM1158" s="7"/>
      <c r="DRN1158" s="7"/>
      <c r="DRO1158" s="7"/>
      <c r="DRP1158" s="7"/>
      <c r="DRQ1158" s="7"/>
      <c r="DRR1158" s="7"/>
      <c r="DRS1158" s="7"/>
      <c r="DRT1158" s="7"/>
      <c r="DRU1158" s="7"/>
      <c r="DRV1158" s="7"/>
      <c r="DRW1158" s="7"/>
      <c r="DRX1158" s="7"/>
      <c r="DRY1158" s="7"/>
      <c r="DRZ1158" s="7"/>
      <c r="DSA1158" s="7"/>
      <c r="DSB1158" s="7"/>
      <c r="DSC1158" s="7"/>
      <c r="DSD1158" s="7"/>
      <c r="DSE1158" s="7"/>
      <c r="DSF1158" s="7"/>
      <c r="DSG1158" s="7"/>
      <c r="DSH1158" s="7"/>
      <c r="DSI1158" s="7"/>
      <c r="DSJ1158" s="7"/>
      <c r="DSK1158" s="7"/>
      <c r="DSL1158" s="7"/>
      <c r="DSM1158" s="7"/>
      <c r="DSN1158" s="7"/>
      <c r="DSO1158" s="7"/>
      <c r="DSP1158" s="7"/>
      <c r="DSQ1158" s="7"/>
      <c r="DSR1158" s="7"/>
      <c r="DSS1158" s="7"/>
      <c r="DST1158" s="7"/>
      <c r="DSU1158" s="7"/>
      <c r="DSV1158" s="7"/>
      <c r="DSW1158" s="7"/>
      <c r="DSX1158" s="7"/>
      <c r="DSY1158" s="7"/>
      <c r="DSZ1158" s="7"/>
      <c r="DTA1158" s="7"/>
      <c r="DTB1158" s="7"/>
      <c r="DTC1158" s="7"/>
      <c r="DTD1158" s="7"/>
      <c r="DTE1158" s="7"/>
      <c r="DTF1158" s="7"/>
      <c r="DTG1158" s="7"/>
      <c r="DTH1158" s="7"/>
      <c r="DTI1158" s="7"/>
      <c r="DTJ1158" s="7"/>
      <c r="DTK1158" s="7"/>
      <c r="DTL1158" s="7"/>
      <c r="DTM1158" s="7"/>
      <c r="DTN1158" s="7"/>
      <c r="DTO1158" s="7"/>
      <c r="DTP1158" s="7"/>
      <c r="DTQ1158" s="7"/>
      <c r="DTR1158" s="7"/>
      <c r="DTS1158" s="7"/>
      <c r="DTT1158" s="7"/>
      <c r="DTU1158" s="7"/>
      <c r="DTV1158" s="7"/>
      <c r="DTW1158" s="7"/>
      <c r="DTX1158" s="7"/>
      <c r="DTY1158" s="7"/>
      <c r="DTZ1158" s="7"/>
      <c r="DUA1158" s="7"/>
      <c r="DUB1158" s="7"/>
      <c r="DUC1158" s="7"/>
      <c r="DUD1158" s="7"/>
      <c r="DUE1158" s="7"/>
      <c r="DUF1158" s="7"/>
      <c r="DUG1158" s="7"/>
      <c r="DUH1158" s="7"/>
      <c r="DUI1158" s="7"/>
      <c r="DUJ1158" s="7"/>
      <c r="DUK1158" s="7"/>
      <c r="DUL1158" s="7"/>
      <c r="DUM1158" s="7"/>
      <c r="DUN1158" s="7"/>
      <c r="DUO1158" s="7"/>
      <c r="DUP1158" s="7"/>
      <c r="DUQ1158" s="7"/>
      <c r="DUR1158" s="7"/>
      <c r="DUS1158" s="7"/>
      <c r="DUT1158" s="7"/>
      <c r="DUU1158" s="7"/>
      <c r="DUV1158" s="7"/>
      <c r="DUW1158" s="7"/>
      <c r="DUX1158" s="7"/>
      <c r="DUY1158" s="7"/>
      <c r="DUZ1158" s="7"/>
      <c r="DVA1158" s="7"/>
      <c r="DVB1158" s="7"/>
      <c r="DVC1158" s="7"/>
      <c r="DVD1158" s="7"/>
      <c r="DVE1158" s="7"/>
      <c r="DVF1158" s="7"/>
      <c r="DVG1158" s="7"/>
      <c r="DVH1158" s="7"/>
      <c r="DVI1158" s="7"/>
      <c r="DVJ1158" s="7"/>
      <c r="DVK1158" s="7"/>
      <c r="DVL1158" s="7"/>
      <c r="DVM1158" s="7"/>
      <c r="DVN1158" s="7"/>
      <c r="DVO1158" s="7"/>
      <c r="DVP1158" s="7"/>
      <c r="DVQ1158" s="7"/>
      <c r="DVR1158" s="7"/>
      <c r="DVS1158" s="7"/>
      <c r="DVT1158" s="7"/>
      <c r="DVU1158" s="7"/>
      <c r="DVV1158" s="7"/>
      <c r="DVW1158" s="7"/>
      <c r="DVX1158" s="7"/>
      <c r="DVY1158" s="7"/>
      <c r="DVZ1158" s="7"/>
      <c r="DWA1158" s="7"/>
      <c r="DWB1158" s="7"/>
      <c r="DWC1158" s="7"/>
      <c r="DWD1158" s="7"/>
      <c r="DWE1158" s="7"/>
      <c r="DWF1158" s="7"/>
      <c r="DWG1158" s="7"/>
      <c r="DWH1158" s="7"/>
      <c r="DWI1158" s="7"/>
      <c r="DWJ1158" s="7"/>
      <c r="DWK1158" s="7"/>
      <c r="DWL1158" s="7"/>
      <c r="DWM1158" s="7"/>
      <c r="DWN1158" s="7"/>
      <c r="DWO1158" s="7"/>
      <c r="DWP1158" s="7"/>
      <c r="DWQ1158" s="7"/>
      <c r="DWR1158" s="7"/>
      <c r="DWS1158" s="7"/>
      <c r="DWT1158" s="7"/>
      <c r="DWU1158" s="7"/>
      <c r="DWV1158" s="7"/>
      <c r="DWW1158" s="7"/>
      <c r="DWX1158" s="7"/>
      <c r="DWY1158" s="7"/>
      <c r="DWZ1158" s="7"/>
      <c r="DXA1158" s="7"/>
      <c r="DXB1158" s="7"/>
      <c r="DXC1158" s="7"/>
      <c r="DXD1158" s="7"/>
      <c r="DXE1158" s="7"/>
      <c r="DXF1158" s="7"/>
      <c r="DXG1158" s="7"/>
      <c r="DXH1158" s="7"/>
      <c r="DXI1158" s="7"/>
      <c r="DXJ1158" s="7"/>
      <c r="DXK1158" s="7"/>
      <c r="DXL1158" s="7"/>
      <c r="DXM1158" s="7"/>
      <c r="DXN1158" s="7"/>
      <c r="DXO1158" s="7"/>
      <c r="DXP1158" s="7"/>
      <c r="DXQ1158" s="7"/>
      <c r="DXR1158" s="7"/>
      <c r="DXS1158" s="7"/>
      <c r="DXT1158" s="7"/>
      <c r="DXU1158" s="7"/>
      <c r="DXV1158" s="7"/>
      <c r="DXW1158" s="7"/>
      <c r="DXX1158" s="7"/>
      <c r="DXY1158" s="7"/>
      <c r="DXZ1158" s="7"/>
      <c r="DYA1158" s="7"/>
      <c r="DYB1158" s="7"/>
      <c r="DYC1158" s="7"/>
      <c r="DYD1158" s="7"/>
      <c r="DYE1158" s="7"/>
      <c r="DYF1158" s="7"/>
      <c r="DYG1158" s="7"/>
      <c r="DYH1158" s="7"/>
      <c r="DYI1158" s="7"/>
      <c r="DYJ1158" s="7"/>
      <c r="DYK1158" s="7"/>
      <c r="DYL1158" s="7"/>
      <c r="DYM1158" s="7"/>
      <c r="DYN1158" s="7"/>
      <c r="DYO1158" s="7"/>
      <c r="DYP1158" s="7"/>
      <c r="DYQ1158" s="7"/>
      <c r="DYR1158" s="7"/>
      <c r="DYS1158" s="7"/>
      <c r="DYT1158" s="7"/>
      <c r="DYU1158" s="7"/>
      <c r="DYV1158" s="7"/>
      <c r="DYW1158" s="7"/>
      <c r="DYX1158" s="7"/>
      <c r="DYY1158" s="7"/>
      <c r="DYZ1158" s="7"/>
      <c r="DZA1158" s="7"/>
      <c r="DZB1158" s="7"/>
      <c r="DZC1158" s="7"/>
      <c r="DZD1158" s="7"/>
      <c r="DZE1158" s="7"/>
      <c r="DZF1158" s="7"/>
      <c r="DZG1158" s="7"/>
      <c r="DZH1158" s="7"/>
      <c r="DZI1158" s="7"/>
      <c r="DZJ1158" s="7"/>
      <c r="DZK1158" s="7"/>
      <c r="DZL1158" s="7"/>
      <c r="DZM1158" s="7"/>
      <c r="DZN1158" s="7"/>
      <c r="DZO1158" s="7"/>
      <c r="DZP1158" s="7"/>
      <c r="DZQ1158" s="7"/>
      <c r="DZR1158" s="7"/>
      <c r="DZS1158" s="7"/>
      <c r="DZT1158" s="7"/>
      <c r="DZU1158" s="7"/>
      <c r="DZV1158" s="7"/>
      <c r="DZW1158" s="7"/>
      <c r="DZX1158" s="7"/>
      <c r="DZY1158" s="7"/>
      <c r="DZZ1158" s="7"/>
      <c r="EAA1158" s="7"/>
      <c r="EAB1158" s="7"/>
      <c r="EAC1158" s="7"/>
      <c r="EAD1158" s="7"/>
      <c r="EAE1158" s="7"/>
      <c r="EAF1158" s="7"/>
      <c r="EAG1158" s="7"/>
      <c r="EAH1158" s="7"/>
      <c r="EAI1158" s="7"/>
      <c r="EAJ1158" s="7"/>
      <c r="EAK1158" s="7"/>
      <c r="EAL1158" s="7"/>
      <c r="EAM1158" s="7"/>
      <c r="EAN1158" s="7"/>
      <c r="EAO1158" s="7"/>
      <c r="EAP1158" s="7"/>
      <c r="EAQ1158" s="7"/>
      <c r="EAR1158" s="7"/>
      <c r="EAS1158" s="7"/>
      <c r="EAT1158" s="7"/>
      <c r="EAU1158" s="7"/>
      <c r="EAV1158" s="7"/>
      <c r="EAW1158" s="7"/>
      <c r="EAX1158" s="7"/>
      <c r="EAY1158" s="7"/>
      <c r="EAZ1158" s="7"/>
      <c r="EBA1158" s="7"/>
      <c r="EBB1158" s="7"/>
      <c r="EBC1158" s="7"/>
      <c r="EBD1158" s="7"/>
      <c r="EBE1158" s="7"/>
      <c r="EBF1158" s="7"/>
      <c r="EBG1158" s="7"/>
      <c r="EBH1158" s="7"/>
      <c r="EBI1158" s="7"/>
      <c r="EBJ1158" s="7"/>
      <c r="EBK1158" s="7"/>
      <c r="EBL1158" s="7"/>
      <c r="EBM1158" s="7"/>
      <c r="EBN1158" s="7"/>
      <c r="EBO1158" s="7"/>
      <c r="EBP1158" s="7"/>
      <c r="EBQ1158" s="7"/>
      <c r="EBR1158" s="7"/>
      <c r="EBS1158" s="7"/>
      <c r="EBT1158" s="7"/>
      <c r="EBU1158" s="7"/>
      <c r="EBV1158" s="7"/>
      <c r="EBW1158" s="7"/>
      <c r="EBX1158" s="7"/>
      <c r="EBY1158" s="7"/>
      <c r="EBZ1158" s="7"/>
      <c r="ECA1158" s="7"/>
      <c r="ECB1158" s="7"/>
      <c r="ECC1158" s="7"/>
      <c r="ECD1158" s="7"/>
      <c r="ECE1158" s="7"/>
      <c r="ECF1158" s="7"/>
      <c r="ECG1158" s="7"/>
      <c r="ECH1158" s="7"/>
      <c r="ECI1158" s="7"/>
      <c r="ECJ1158" s="7"/>
      <c r="ECK1158" s="7"/>
      <c r="ECL1158" s="7"/>
      <c r="ECM1158" s="7"/>
      <c r="ECN1158" s="7"/>
      <c r="ECO1158" s="7"/>
      <c r="ECP1158" s="7"/>
      <c r="ECQ1158" s="7"/>
      <c r="ECR1158" s="7"/>
      <c r="ECS1158" s="7"/>
      <c r="ECT1158" s="7"/>
      <c r="ECU1158" s="7"/>
      <c r="ECV1158" s="7"/>
      <c r="ECW1158" s="7"/>
      <c r="ECX1158" s="7"/>
      <c r="ECY1158" s="7"/>
      <c r="ECZ1158" s="7"/>
      <c r="EDA1158" s="7"/>
      <c r="EDB1158" s="7"/>
      <c r="EDC1158" s="7"/>
      <c r="EDD1158" s="7"/>
      <c r="EDE1158" s="7"/>
      <c r="EDF1158" s="7"/>
      <c r="EDG1158" s="7"/>
      <c r="EDH1158" s="7"/>
      <c r="EDI1158" s="7"/>
      <c r="EDJ1158" s="7"/>
      <c r="EDK1158" s="7"/>
      <c r="EDL1158" s="7"/>
      <c r="EDM1158" s="7"/>
      <c r="EDN1158" s="7"/>
      <c r="EDO1158" s="7"/>
      <c r="EDP1158" s="7"/>
      <c r="EDQ1158" s="7"/>
      <c r="EDR1158" s="7"/>
      <c r="EDS1158" s="7"/>
      <c r="EDT1158" s="7"/>
      <c r="EDU1158" s="7"/>
      <c r="EDV1158" s="7"/>
      <c r="EDW1158" s="7"/>
      <c r="EDX1158" s="7"/>
      <c r="EDY1158" s="7"/>
      <c r="EDZ1158" s="7"/>
      <c r="EEA1158" s="7"/>
      <c r="EEB1158" s="7"/>
      <c r="EEC1158" s="7"/>
      <c r="EED1158" s="7"/>
      <c r="EEE1158" s="7"/>
      <c r="EEF1158" s="7"/>
      <c r="EEG1158" s="7"/>
      <c r="EEH1158" s="7"/>
      <c r="EEI1158" s="7"/>
      <c r="EEJ1158" s="7"/>
      <c r="EEK1158" s="7"/>
      <c r="EEL1158" s="7"/>
      <c r="EEM1158" s="7"/>
      <c r="EEN1158" s="7"/>
      <c r="EEO1158" s="7"/>
      <c r="EEP1158" s="7"/>
      <c r="EEQ1158" s="7"/>
      <c r="EER1158" s="7"/>
      <c r="EES1158" s="7"/>
      <c r="EET1158" s="7"/>
      <c r="EEU1158" s="7"/>
      <c r="EEV1158" s="7"/>
      <c r="EEW1158" s="7"/>
      <c r="EEX1158" s="7"/>
      <c r="EEY1158" s="7"/>
      <c r="EEZ1158" s="7"/>
      <c r="EFA1158" s="7"/>
      <c r="EFB1158" s="7"/>
      <c r="EFC1158" s="7"/>
      <c r="EFD1158" s="7"/>
      <c r="EFE1158" s="7"/>
      <c r="EFF1158" s="7"/>
      <c r="EFG1158" s="7"/>
      <c r="EFH1158" s="7"/>
      <c r="EFI1158" s="7"/>
      <c r="EFJ1158" s="7"/>
      <c r="EFK1158" s="7"/>
      <c r="EFL1158" s="7"/>
      <c r="EFM1158" s="7"/>
      <c r="EFN1158" s="7"/>
      <c r="EFO1158" s="7"/>
      <c r="EFP1158" s="7"/>
      <c r="EFQ1158" s="7"/>
      <c r="EFR1158" s="7"/>
      <c r="EFS1158" s="7"/>
      <c r="EFT1158" s="7"/>
      <c r="EFU1158" s="7"/>
      <c r="EFV1158" s="7"/>
      <c r="EFW1158" s="7"/>
      <c r="EFX1158" s="7"/>
      <c r="EFY1158" s="7"/>
      <c r="EFZ1158" s="7"/>
      <c r="EGA1158" s="7"/>
      <c r="EGB1158" s="7"/>
      <c r="EGC1158" s="7"/>
      <c r="EGD1158" s="7"/>
      <c r="EGE1158" s="7"/>
      <c r="EGF1158" s="7"/>
      <c r="EGG1158" s="7"/>
      <c r="EGH1158" s="7"/>
      <c r="EGI1158" s="7"/>
      <c r="EGJ1158" s="7"/>
      <c r="EGK1158" s="7"/>
      <c r="EGL1158" s="7"/>
      <c r="EGM1158" s="7"/>
      <c r="EGN1158" s="7"/>
      <c r="EGO1158" s="7"/>
      <c r="EGP1158" s="7"/>
      <c r="EGQ1158" s="7"/>
      <c r="EGR1158" s="7"/>
      <c r="EGS1158" s="7"/>
      <c r="EGT1158" s="7"/>
      <c r="EGU1158" s="7"/>
      <c r="EGV1158" s="7"/>
      <c r="EGW1158" s="7"/>
      <c r="EGX1158" s="7"/>
      <c r="EGY1158" s="7"/>
      <c r="EGZ1158" s="7"/>
      <c r="EHA1158" s="7"/>
      <c r="EHB1158" s="7"/>
      <c r="EHC1158" s="7"/>
      <c r="EHD1158" s="7"/>
      <c r="EHE1158" s="7"/>
      <c r="EHF1158" s="7"/>
      <c r="EHG1158" s="7"/>
      <c r="EHH1158" s="7"/>
      <c r="EHI1158" s="7"/>
      <c r="EHJ1158" s="7"/>
      <c r="EHK1158" s="7"/>
      <c r="EHL1158" s="7"/>
      <c r="EHM1158" s="7"/>
      <c r="EHN1158" s="7"/>
      <c r="EHO1158" s="7"/>
      <c r="EHP1158" s="7"/>
      <c r="EHQ1158" s="7"/>
      <c r="EHR1158" s="7"/>
      <c r="EHS1158" s="7"/>
      <c r="EHT1158" s="7"/>
      <c r="EHU1158" s="7"/>
      <c r="EHV1158" s="7"/>
      <c r="EHW1158" s="7"/>
      <c r="EHX1158" s="7"/>
      <c r="EHY1158" s="7"/>
      <c r="EHZ1158" s="7"/>
      <c r="EIA1158" s="7"/>
      <c r="EIB1158" s="7"/>
      <c r="EIC1158" s="7"/>
      <c r="EID1158" s="7"/>
      <c r="EIE1158" s="7"/>
      <c r="EIF1158" s="7"/>
      <c r="EIG1158" s="7"/>
      <c r="EIH1158" s="7"/>
      <c r="EII1158" s="7"/>
      <c r="EIJ1158" s="7"/>
      <c r="EIK1158" s="7"/>
      <c r="EIL1158" s="7"/>
      <c r="EIM1158" s="7"/>
      <c r="EIN1158" s="7"/>
      <c r="EIO1158" s="7"/>
      <c r="EIP1158" s="7"/>
      <c r="EIQ1158" s="7"/>
      <c r="EIR1158" s="7"/>
      <c r="EIS1158" s="7"/>
      <c r="EIT1158" s="7"/>
      <c r="EIU1158" s="7"/>
      <c r="EIV1158" s="7"/>
      <c r="EIW1158" s="7"/>
      <c r="EIX1158" s="7"/>
      <c r="EIY1158" s="7"/>
      <c r="EIZ1158" s="7"/>
      <c r="EJA1158" s="7"/>
      <c r="EJB1158" s="7"/>
      <c r="EJC1158" s="7"/>
      <c r="EJD1158" s="7"/>
      <c r="EJE1158" s="7"/>
      <c r="EJF1158" s="7"/>
      <c r="EJG1158" s="7"/>
      <c r="EJH1158" s="7"/>
      <c r="EJI1158" s="7"/>
      <c r="EJJ1158" s="7"/>
      <c r="EJK1158" s="7"/>
      <c r="EJL1158" s="7"/>
      <c r="EJM1158" s="7"/>
      <c r="EJN1158" s="7"/>
      <c r="EJO1158" s="7"/>
      <c r="EJP1158" s="7"/>
      <c r="EJQ1158" s="7"/>
      <c r="EJR1158" s="7"/>
      <c r="EJS1158" s="7"/>
      <c r="EJT1158" s="7"/>
      <c r="EJU1158" s="7"/>
      <c r="EJV1158" s="7"/>
      <c r="EJW1158" s="7"/>
      <c r="EJX1158" s="7"/>
      <c r="EJY1158" s="7"/>
      <c r="EJZ1158" s="7"/>
      <c r="EKA1158" s="7"/>
      <c r="EKB1158" s="7"/>
      <c r="EKC1158" s="7"/>
      <c r="EKD1158" s="7"/>
      <c r="EKE1158" s="7"/>
      <c r="EKF1158" s="7"/>
      <c r="EKG1158" s="7"/>
      <c r="EKH1158" s="7"/>
      <c r="EKI1158" s="7"/>
      <c r="EKJ1158" s="7"/>
      <c r="EKK1158" s="7"/>
      <c r="EKL1158" s="7"/>
      <c r="EKM1158" s="7"/>
      <c r="EKN1158" s="7"/>
      <c r="EKO1158" s="7"/>
      <c r="EKP1158" s="7"/>
      <c r="EKQ1158" s="7"/>
      <c r="EKR1158" s="7"/>
      <c r="EKS1158" s="7"/>
      <c r="EKT1158" s="7"/>
      <c r="EKU1158" s="7"/>
      <c r="EKV1158" s="7"/>
      <c r="EKW1158" s="7"/>
      <c r="EKX1158" s="7"/>
      <c r="EKY1158" s="7"/>
      <c r="EKZ1158" s="7"/>
      <c r="ELA1158" s="7"/>
      <c r="ELB1158" s="7"/>
      <c r="ELC1158" s="7"/>
      <c r="ELD1158" s="7"/>
      <c r="ELE1158" s="7"/>
      <c r="ELF1158" s="7"/>
      <c r="ELG1158" s="7"/>
      <c r="ELH1158" s="7"/>
      <c r="ELI1158" s="7"/>
      <c r="ELJ1158" s="7"/>
      <c r="ELK1158" s="7"/>
      <c r="ELL1158" s="7"/>
      <c r="ELM1158" s="7"/>
      <c r="ELN1158" s="7"/>
      <c r="ELO1158" s="7"/>
      <c r="ELP1158" s="7"/>
      <c r="ELQ1158" s="7"/>
      <c r="ELR1158" s="7"/>
      <c r="ELS1158" s="7"/>
      <c r="ELT1158" s="7"/>
      <c r="ELU1158" s="7"/>
      <c r="ELV1158" s="7"/>
      <c r="ELW1158" s="7"/>
      <c r="ELX1158" s="7"/>
      <c r="ELY1158" s="7"/>
      <c r="ELZ1158" s="7"/>
      <c r="EMA1158" s="7"/>
      <c r="EMB1158" s="7"/>
      <c r="EMC1158" s="7"/>
      <c r="EMD1158" s="7"/>
      <c r="EME1158" s="7"/>
      <c r="EMF1158" s="7"/>
      <c r="EMG1158" s="7"/>
      <c r="EMH1158" s="7"/>
      <c r="EMI1158" s="7"/>
      <c r="EMJ1158" s="7"/>
      <c r="EMK1158" s="7"/>
      <c r="EML1158" s="7"/>
      <c r="EMM1158" s="7"/>
      <c r="EMN1158" s="7"/>
      <c r="EMO1158" s="7"/>
      <c r="EMP1158" s="7"/>
      <c r="EMQ1158" s="7"/>
      <c r="EMR1158" s="7"/>
      <c r="EMS1158" s="7"/>
      <c r="EMT1158" s="7"/>
      <c r="EMU1158" s="7"/>
      <c r="EMV1158" s="7"/>
      <c r="EMW1158" s="7"/>
      <c r="EMX1158" s="7"/>
      <c r="EMY1158" s="7"/>
      <c r="EMZ1158" s="7"/>
      <c r="ENA1158" s="7"/>
      <c r="ENB1158" s="7"/>
      <c r="ENC1158" s="7"/>
      <c r="END1158" s="7"/>
      <c r="ENE1158" s="7"/>
      <c r="ENF1158" s="7"/>
      <c r="ENG1158" s="7"/>
      <c r="ENH1158" s="7"/>
      <c r="ENI1158" s="7"/>
      <c r="ENJ1158" s="7"/>
      <c r="ENK1158" s="7"/>
      <c r="ENL1158" s="7"/>
      <c r="ENM1158" s="7"/>
      <c r="ENN1158" s="7"/>
      <c r="ENO1158" s="7"/>
      <c r="ENP1158" s="7"/>
      <c r="ENQ1158" s="7"/>
      <c r="ENR1158" s="7"/>
      <c r="ENS1158" s="7"/>
      <c r="ENT1158" s="7"/>
      <c r="ENU1158" s="7"/>
      <c r="ENV1158" s="7"/>
      <c r="ENW1158" s="7"/>
      <c r="ENX1158" s="7"/>
      <c r="ENY1158" s="7"/>
      <c r="ENZ1158" s="7"/>
      <c r="EOA1158" s="7"/>
      <c r="EOB1158" s="7"/>
      <c r="EOC1158" s="7"/>
      <c r="EOD1158" s="7"/>
      <c r="EOE1158" s="7"/>
      <c r="EOF1158" s="7"/>
      <c r="EOG1158" s="7"/>
      <c r="EOH1158" s="7"/>
      <c r="EOI1158" s="7"/>
      <c r="EOJ1158" s="7"/>
      <c r="EOK1158" s="7"/>
      <c r="EOL1158" s="7"/>
      <c r="EOM1158" s="7"/>
      <c r="EON1158" s="7"/>
      <c r="EOO1158" s="7"/>
      <c r="EOP1158" s="7"/>
      <c r="EOQ1158" s="7"/>
      <c r="EOR1158" s="7"/>
      <c r="EOS1158" s="7"/>
      <c r="EOT1158" s="7"/>
      <c r="EOU1158" s="7"/>
      <c r="EOV1158" s="7"/>
      <c r="EOW1158" s="7"/>
      <c r="EOX1158" s="7"/>
      <c r="EOY1158" s="7"/>
      <c r="EOZ1158" s="7"/>
      <c r="EPA1158" s="7"/>
      <c r="EPB1158" s="7"/>
      <c r="EPC1158" s="7"/>
      <c r="EPD1158" s="7"/>
      <c r="EPE1158" s="7"/>
      <c r="EPF1158" s="7"/>
      <c r="EPG1158" s="7"/>
      <c r="EPH1158" s="7"/>
      <c r="EPI1158" s="7"/>
      <c r="EPJ1158" s="7"/>
      <c r="EPK1158" s="7"/>
      <c r="EPL1158" s="7"/>
      <c r="EPM1158" s="7"/>
      <c r="EPN1158" s="7"/>
      <c r="EPO1158" s="7"/>
      <c r="EPP1158" s="7"/>
      <c r="EPQ1158" s="7"/>
      <c r="EPR1158" s="7"/>
      <c r="EPS1158" s="7"/>
      <c r="EPT1158" s="7"/>
      <c r="EPU1158" s="7"/>
      <c r="EPV1158" s="7"/>
      <c r="EPW1158" s="7"/>
      <c r="EPX1158" s="7"/>
      <c r="EPY1158" s="7"/>
      <c r="EPZ1158" s="7"/>
      <c r="EQA1158" s="7"/>
      <c r="EQB1158" s="7"/>
      <c r="EQC1158" s="7"/>
      <c r="EQD1158" s="7"/>
      <c r="EQE1158" s="7"/>
      <c r="EQF1158" s="7"/>
      <c r="EQG1158" s="7"/>
      <c r="EQH1158" s="7"/>
      <c r="EQI1158" s="7"/>
      <c r="EQJ1158" s="7"/>
      <c r="EQK1158" s="7"/>
      <c r="EQL1158" s="7"/>
      <c r="EQM1158" s="7"/>
      <c r="EQN1158" s="7"/>
      <c r="EQO1158" s="7"/>
      <c r="EQP1158" s="7"/>
      <c r="EQQ1158" s="7"/>
      <c r="EQR1158" s="7"/>
      <c r="EQS1158" s="7"/>
      <c r="EQT1158" s="7"/>
      <c r="EQU1158" s="7"/>
      <c r="EQV1158" s="7"/>
      <c r="EQW1158" s="7"/>
      <c r="EQX1158" s="7"/>
      <c r="EQY1158" s="7"/>
      <c r="EQZ1158" s="7"/>
      <c r="ERA1158" s="7"/>
      <c r="ERB1158" s="7"/>
      <c r="ERC1158" s="7"/>
      <c r="ERD1158" s="7"/>
      <c r="ERE1158" s="7"/>
      <c r="ERF1158" s="7"/>
      <c r="ERG1158" s="7"/>
      <c r="ERH1158" s="7"/>
      <c r="ERI1158" s="7"/>
      <c r="ERJ1158" s="7"/>
      <c r="ERK1158" s="7"/>
      <c r="ERL1158" s="7"/>
      <c r="ERM1158" s="7"/>
      <c r="ERN1158" s="7"/>
      <c r="ERO1158" s="7"/>
      <c r="ERP1158" s="7"/>
      <c r="ERQ1158" s="7"/>
      <c r="ERR1158" s="7"/>
      <c r="ERS1158" s="7"/>
      <c r="ERT1158" s="7"/>
      <c r="ERU1158" s="7"/>
      <c r="ERV1158" s="7"/>
      <c r="ERW1158" s="7"/>
      <c r="ERX1158" s="7"/>
      <c r="ERY1158" s="7"/>
      <c r="ERZ1158" s="7"/>
      <c r="ESA1158" s="7"/>
      <c r="ESB1158" s="7"/>
      <c r="ESC1158" s="7"/>
      <c r="ESD1158" s="7"/>
      <c r="ESE1158" s="7"/>
      <c r="ESF1158" s="7"/>
      <c r="ESG1158" s="7"/>
      <c r="ESH1158" s="7"/>
      <c r="ESI1158" s="7"/>
      <c r="ESJ1158" s="7"/>
      <c r="ESK1158" s="7"/>
      <c r="ESL1158" s="7"/>
      <c r="ESM1158" s="7"/>
      <c r="ESN1158" s="7"/>
      <c r="ESO1158" s="7"/>
      <c r="ESP1158" s="7"/>
      <c r="ESQ1158" s="7"/>
      <c r="ESR1158" s="7"/>
      <c r="ESS1158" s="7"/>
      <c r="EST1158" s="7"/>
      <c r="ESU1158" s="7"/>
      <c r="ESV1158" s="7"/>
      <c r="ESW1158" s="7"/>
      <c r="ESX1158" s="7"/>
      <c r="ESY1158" s="7"/>
      <c r="ESZ1158" s="7"/>
      <c r="ETA1158" s="7"/>
      <c r="ETB1158" s="7"/>
      <c r="ETC1158" s="7"/>
      <c r="ETD1158" s="7"/>
      <c r="ETE1158" s="7"/>
      <c r="ETF1158" s="7"/>
      <c r="ETG1158" s="7"/>
      <c r="ETH1158" s="7"/>
      <c r="ETI1158" s="7"/>
      <c r="ETJ1158" s="7"/>
      <c r="ETK1158" s="7"/>
      <c r="ETL1158" s="7"/>
      <c r="ETM1158" s="7"/>
      <c r="ETN1158" s="7"/>
      <c r="ETO1158" s="7"/>
      <c r="ETP1158" s="7"/>
      <c r="ETQ1158" s="7"/>
      <c r="ETR1158" s="7"/>
      <c r="ETS1158" s="7"/>
      <c r="ETT1158" s="7"/>
      <c r="ETU1158" s="7"/>
      <c r="ETV1158" s="7"/>
      <c r="ETW1158" s="7"/>
      <c r="ETX1158" s="7"/>
      <c r="ETY1158" s="7"/>
      <c r="ETZ1158" s="7"/>
      <c r="EUA1158" s="7"/>
      <c r="EUB1158" s="7"/>
      <c r="EUC1158" s="7"/>
      <c r="EUD1158" s="7"/>
      <c r="EUE1158" s="7"/>
      <c r="EUF1158" s="7"/>
      <c r="EUG1158" s="7"/>
      <c r="EUH1158" s="7"/>
      <c r="EUI1158" s="7"/>
      <c r="EUJ1158" s="7"/>
      <c r="EUK1158" s="7"/>
      <c r="EUL1158" s="7"/>
      <c r="EUM1158" s="7"/>
      <c r="EUN1158" s="7"/>
      <c r="EUO1158" s="7"/>
      <c r="EUP1158" s="7"/>
      <c r="EUQ1158" s="7"/>
      <c r="EUR1158" s="7"/>
      <c r="EUS1158" s="7"/>
      <c r="EUT1158" s="7"/>
      <c r="EUU1158" s="7"/>
      <c r="EUV1158" s="7"/>
      <c r="EUW1158" s="7"/>
      <c r="EUX1158" s="7"/>
      <c r="EUY1158" s="7"/>
      <c r="EUZ1158" s="7"/>
      <c r="EVA1158" s="7"/>
      <c r="EVB1158" s="7"/>
      <c r="EVC1158" s="7"/>
      <c r="EVD1158" s="7"/>
      <c r="EVE1158" s="7"/>
      <c r="EVF1158" s="7"/>
      <c r="EVG1158" s="7"/>
      <c r="EVH1158" s="7"/>
      <c r="EVI1158" s="7"/>
      <c r="EVJ1158" s="7"/>
      <c r="EVK1158" s="7"/>
      <c r="EVL1158" s="7"/>
      <c r="EVM1158" s="7"/>
      <c r="EVN1158" s="7"/>
      <c r="EVO1158" s="7"/>
      <c r="EVP1158" s="7"/>
      <c r="EVQ1158" s="7"/>
      <c r="EVR1158" s="7"/>
      <c r="EVS1158" s="7"/>
      <c r="EVT1158" s="7"/>
      <c r="EVU1158" s="7"/>
      <c r="EVV1158" s="7"/>
      <c r="EVW1158" s="7"/>
      <c r="EVX1158" s="7"/>
      <c r="EVY1158" s="7"/>
      <c r="EVZ1158" s="7"/>
      <c r="EWA1158" s="7"/>
      <c r="EWB1158" s="7"/>
      <c r="EWC1158" s="7"/>
      <c r="EWD1158" s="7"/>
      <c r="EWE1158" s="7"/>
      <c r="EWF1158" s="7"/>
      <c r="EWG1158" s="7"/>
      <c r="EWH1158" s="7"/>
      <c r="EWI1158" s="7"/>
      <c r="EWJ1158" s="7"/>
      <c r="EWK1158" s="7"/>
      <c r="EWL1158" s="7"/>
      <c r="EWM1158" s="7"/>
      <c r="EWN1158" s="7"/>
      <c r="EWO1158" s="7"/>
      <c r="EWP1158" s="7"/>
      <c r="EWQ1158" s="7"/>
      <c r="EWR1158" s="7"/>
      <c r="EWS1158" s="7"/>
      <c r="EWT1158" s="7"/>
      <c r="EWU1158" s="7"/>
      <c r="EWV1158" s="7"/>
      <c r="EWW1158" s="7"/>
      <c r="EWX1158" s="7"/>
      <c r="EWY1158" s="7"/>
      <c r="EWZ1158" s="7"/>
      <c r="EXA1158" s="7"/>
      <c r="EXB1158" s="7"/>
      <c r="EXC1158" s="7"/>
      <c r="EXD1158" s="7"/>
      <c r="EXE1158" s="7"/>
      <c r="EXF1158" s="7"/>
      <c r="EXG1158" s="7"/>
      <c r="EXH1158" s="7"/>
      <c r="EXI1158" s="7"/>
      <c r="EXJ1158" s="7"/>
      <c r="EXK1158" s="7"/>
      <c r="EXL1158" s="7"/>
      <c r="EXM1158" s="7"/>
      <c r="EXN1158" s="7"/>
      <c r="EXO1158" s="7"/>
      <c r="EXP1158" s="7"/>
      <c r="EXQ1158" s="7"/>
      <c r="EXR1158" s="7"/>
      <c r="EXS1158" s="7"/>
      <c r="EXT1158" s="7"/>
      <c r="EXU1158" s="7"/>
      <c r="EXV1158" s="7"/>
      <c r="EXW1158" s="7"/>
      <c r="EXX1158" s="7"/>
      <c r="EXY1158" s="7"/>
      <c r="EXZ1158" s="7"/>
      <c r="EYA1158" s="7"/>
      <c r="EYB1158" s="7"/>
      <c r="EYC1158" s="7"/>
      <c r="EYD1158" s="7"/>
      <c r="EYE1158" s="7"/>
      <c r="EYF1158" s="7"/>
      <c r="EYG1158" s="7"/>
      <c r="EYH1158" s="7"/>
      <c r="EYI1158" s="7"/>
      <c r="EYJ1158" s="7"/>
      <c r="EYK1158" s="7"/>
      <c r="EYL1158" s="7"/>
      <c r="EYM1158" s="7"/>
      <c r="EYN1158" s="7"/>
      <c r="EYO1158" s="7"/>
      <c r="EYP1158" s="7"/>
      <c r="EYQ1158" s="7"/>
      <c r="EYR1158" s="7"/>
      <c r="EYS1158" s="7"/>
      <c r="EYT1158" s="7"/>
      <c r="EYU1158" s="7"/>
      <c r="EYV1158" s="7"/>
      <c r="EYW1158" s="7"/>
      <c r="EYX1158" s="7"/>
      <c r="EYY1158" s="7"/>
      <c r="EYZ1158" s="7"/>
      <c r="EZA1158" s="7"/>
      <c r="EZB1158" s="7"/>
      <c r="EZC1158" s="7"/>
      <c r="EZD1158" s="7"/>
      <c r="EZE1158" s="7"/>
      <c r="EZF1158" s="7"/>
      <c r="EZG1158" s="7"/>
      <c r="EZH1158" s="7"/>
      <c r="EZI1158" s="7"/>
      <c r="EZJ1158" s="7"/>
      <c r="EZK1158" s="7"/>
      <c r="EZL1158" s="7"/>
      <c r="EZM1158" s="7"/>
      <c r="EZN1158" s="7"/>
      <c r="EZO1158" s="7"/>
      <c r="EZP1158" s="7"/>
      <c r="EZQ1158" s="7"/>
      <c r="EZR1158" s="7"/>
      <c r="EZS1158" s="7"/>
      <c r="EZT1158" s="7"/>
      <c r="EZU1158" s="7"/>
      <c r="EZV1158" s="7"/>
      <c r="EZW1158" s="7"/>
      <c r="EZX1158" s="7"/>
      <c r="EZY1158" s="7"/>
      <c r="EZZ1158" s="7"/>
      <c r="FAA1158" s="7"/>
      <c r="FAB1158" s="7"/>
      <c r="FAC1158" s="7"/>
      <c r="FAD1158" s="7"/>
      <c r="FAE1158" s="7"/>
      <c r="FAF1158" s="7"/>
      <c r="FAG1158" s="7"/>
      <c r="FAH1158" s="7"/>
      <c r="FAI1158" s="7"/>
      <c r="FAJ1158" s="7"/>
      <c r="FAK1158" s="7"/>
      <c r="FAL1158" s="7"/>
      <c r="FAM1158" s="7"/>
      <c r="FAN1158" s="7"/>
      <c r="FAO1158" s="7"/>
      <c r="FAP1158" s="7"/>
      <c r="FAQ1158" s="7"/>
      <c r="FAR1158" s="7"/>
      <c r="FAS1158" s="7"/>
      <c r="FAT1158" s="7"/>
      <c r="FAU1158" s="7"/>
      <c r="FAV1158" s="7"/>
      <c r="FAW1158" s="7"/>
      <c r="FAX1158" s="7"/>
      <c r="FAY1158" s="7"/>
      <c r="FAZ1158" s="7"/>
      <c r="FBA1158" s="7"/>
      <c r="FBB1158" s="7"/>
      <c r="FBC1158" s="7"/>
      <c r="FBD1158" s="7"/>
      <c r="FBE1158" s="7"/>
      <c r="FBF1158" s="7"/>
      <c r="FBG1158" s="7"/>
      <c r="FBH1158" s="7"/>
      <c r="FBI1158" s="7"/>
      <c r="FBJ1158" s="7"/>
      <c r="FBK1158" s="7"/>
      <c r="FBL1158" s="7"/>
      <c r="FBM1158" s="7"/>
      <c r="FBN1158" s="7"/>
      <c r="FBO1158" s="7"/>
      <c r="FBP1158" s="7"/>
      <c r="FBQ1158" s="7"/>
      <c r="FBR1158" s="7"/>
      <c r="FBS1158" s="7"/>
      <c r="FBT1158" s="7"/>
      <c r="FBU1158" s="7"/>
      <c r="FBV1158" s="7"/>
      <c r="FBW1158" s="7"/>
      <c r="FBX1158" s="7"/>
      <c r="FBY1158" s="7"/>
      <c r="FBZ1158" s="7"/>
      <c r="FCA1158" s="7"/>
      <c r="FCB1158" s="7"/>
      <c r="FCC1158" s="7"/>
      <c r="FCD1158" s="7"/>
      <c r="FCE1158" s="7"/>
      <c r="FCF1158" s="7"/>
      <c r="FCG1158" s="7"/>
      <c r="FCH1158" s="7"/>
      <c r="FCI1158" s="7"/>
      <c r="FCJ1158" s="7"/>
      <c r="FCK1158" s="7"/>
      <c r="FCL1158" s="7"/>
      <c r="FCM1158" s="7"/>
      <c r="FCN1158" s="7"/>
      <c r="FCO1158" s="7"/>
      <c r="FCP1158" s="7"/>
      <c r="FCQ1158" s="7"/>
      <c r="FCR1158" s="7"/>
      <c r="FCS1158" s="7"/>
      <c r="FCT1158" s="7"/>
      <c r="FCU1158" s="7"/>
      <c r="FCV1158" s="7"/>
      <c r="FCW1158" s="7"/>
      <c r="FCX1158" s="7"/>
      <c r="FCY1158" s="7"/>
      <c r="FCZ1158" s="7"/>
      <c r="FDA1158" s="7"/>
      <c r="FDB1158" s="7"/>
      <c r="FDC1158" s="7"/>
      <c r="FDD1158" s="7"/>
      <c r="FDE1158" s="7"/>
      <c r="FDF1158" s="7"/>
      <c r="FDG1158" s="7"/>
      <c r="FDH1158" s="7"/>
      <c r="FDI1158" s="7"/>
      <c r="FDJ1158" s="7"/>
      <c r="FDK1158" s="7"/>
      <c r="FDL1158" s="7"/>
      <c r="FDM1158" s="7"/>
      <c r="FDN1158" s="7"/>
      <c r="FDO1158" s="7"/>
      <c r="FDP1158" s="7"/>
      <c r="FDQ1158" s="7"/>
      <c r="FDR1158" s="7"/>
      <c r="FDS1158" s="7"/>
      <c r="FDT1158" s="7"/>
      <c r="FDU1158" s="7"/>
      <c r="FDV1158" s="7"/>
      <c r="FDW1158" s="7"/>
      <c r="FDX1158" s="7"/>
      <c r="FDY1158" s="7"/>
      <c r="FDZ1158" s="7"/>
      <c r="FEA1158" s="7"/>
      <c r="FEB1158" s="7"/>
      <c r="FEC1158" s="7"/>
      <c r="FED1158" s="7"/>
      <c r="FEE1158" s="7"/>
      <c r="FEF1158" s="7"/>
      <c r="FEG1158" s="7"/>
      <c r="FEH1158" s="7"/>
      <c r="FEI1158" s="7"/>
      <c r="FEJ1158" s="7"/>
      <c r="FEK1158" s="7"/>
      <c r="FEL1158" s="7"/>
      <c r="FEM1158" s="7"/>
      <c r="FEN1158" s="7"/>
      <c r="FEO1158" s="7"/>
      <c r="FEP1158" s="7"/>
      <c r="FEQ1158" s="7"/>
      <c r="FER1158" s="7"/>
      <c r="FES1158" s="7"/>
      <c r="FET1158" s="7"/>
      <c r="FEU1158" s="7"/>
      <c r="FEV1158" s="7"/>
      <c r="FEW1158" s="7"/>
      <c r="FEX1158" s="7"/>
      <c r="FEY1158" s="7"/>
      <c r="FEZ1158" s="7"/>
      <c r="FFA1158" s="7"/>
      <c r="FFB1158" s="7"/>
      <c r="FFC1158" s="7"/>
      <c r="FFD1158" s="7"/>
      <c r="FFE1158" s="7"/>
      <c r="FFF1158" s="7"/>
      <c r="FFG1158" s="7"/>
      <c r="FFH1158" s="7"/>
      <c r="FFI1158" s="7"/>
      <c r="FFJ1158" s="7"/>
      <c r="FFK1158" s="7"/>
      <c r="FFL1158" s="7"/>
      <c r="FFM1158" s="7"/>
      <c r="FFN1158" s="7"/>
      <c r="FFO1158" s="7"/>
      <c r="FFP1158" s="7"/>
      <c r="FFQ1158" s="7"/>
      <c r="FFR1158" s="7"/>
      <c r="FFS1158" s="7"/>
      <c r="FFT1158" s="7"/>
      <c r="FFU1158" s="7"/>
      <c r="FFV1158" s="7"/>
      <c r="FFW1158" s="7"/>
      <c r="FFX1158" s="7"/>
      <c r="FFY1158" s="7"/>
      <c r="FFZ1158" s="7"/>
      <c r="FGA1158" s="7"/>
      <c r="FGB1158" s="7"/>
      <c r="FGC1158" s="7"/>
      <c r="FGD1158" s="7"/>
      <c r="FGE1158" s="7"/>
      <c r="FGF1158" s="7"/>
      <c r="FGG1158" s="7"/>
      <c r="FGH1158" s="7"/>
      <c r="FGI1158" s="7"/>
      <c r="FGJ1158" s="7"/>
      <c r="FGK1158" s="7"/>
      <c r="FGL1158" s="7"/>
      <c r="FGM1158" s="7"/>
      <c r="FGN1158" s="7"/>
      <c r="FGO1158" s="7"/>
      <c r="FGP1158" s="7"/>
      <c r="FGQ1158" s="7"/>
      <c r="FGR1158" s="7"/>
      <c r="FGS1158" s="7"/>
      <c r="FGT1158" s="7"/>
      <c r="FGU1158" s="7"/>
      <c r="FGV1158" s="7"/>
      <c r="FGW1158" s="7"/>
      <c r="FGX1158" s="7"/>
      <c r="FGY1158" s="7"/>
      <c r="FGZ1158" s="7"/>
      <c r="FHA1158" s="7"/>
      <c r="FHB1158" s="7"/>
      <c r="FHC1158" s="7"/>
      <c r="FHD1158" s="7"/>
      <c r="FHE1158" s="7"/>
      <c r="FHF1158" s="7"/>
      <c r="FHG1158" s="7"/>
      <c r="FHH1158" s="7"/>
      <c r="FHI1158" s="7"/>
      <c r="FHJ1158" s="7"/>
      <c r="FHK1158" s="7"/>
      <c r="FHL1158" s="7"/>
      <c r="FHM1158" s="7"/>
      <c r="FHN1158" s="7"/>
      <c r="FHO1158" s="7"/>
      <c r="FHP1158" s="7"/>
      <c r="FHQ1158" s="7"/>
      <c r="FHR1158" s="7"/>
      <c r="FHS1158" s="7"/>
      <c r="FHT1158" s="7"/>
      <c r="FHU1158" s="7"/>
      <c r="FHV1158" s="7"/>
      <c r="FHW1158" s="7"/>
      <c r="FHX1158" s="7"/>
      <c r="FHY1158" s="7"/>
      <c r="FHZ1158" s="7"/>
      <c r="FIA1158" s="7"/>
      <c r="FIB1158" s="7"/>
      <c r="FIC1158" s="7"/>
      <c r="FID1158" s="7"/>
      <c r="FIE1158" s="7"/>
      <c r="FIF1158" s="7"/>
      <c r="FIG1158" s="7"/>
      <c r="FIH1158" s="7"/>
      <c r="FII1158" s="7"/>
      <c r="FIJ1158" s="7"/>
      <c r="FIK1158" s="7"/>
      <c r="FIL1158" s="7"/>
      <c r="FIM1158" s="7"/>
      <c r="FIN1158" s="7"/>
      <c r="FIO1158" s="7"/>
      <c r="FIP1158" s="7"/>
      <c r="FIQ1158" s="7"/>
      <c r="FIR1158" s="7"/>
      <c r="FIS1158" s="7"/>
      <c r="FIT1158" s="7"/>
      <c r="FIU1158" s="7"/>
      <c r="FIV1158" s="7"/>
      <c r="FIW1158" s="7"/>
      <c r="FIX1158" s="7"/>
      <c r="FIY1158" s="7"/>
      <c r="FIZ1158" s="7"/>
      <c r="FJA1158" s="7"/>
      <c r="FJB1158" s="7"/>
      <c r="FJC1158" s="7"/>
      <c r="FJD1158" s="7"/>
      <c r="FJE1158" s="7"/>
      <c r="FJF1158" s="7"/>
      <c r="FJG1158" s="7"/>
      <c r="FJH1158" s="7"/>
      <c r="FJI1158" s="7"/>
      <c r="FJJ1158" s="7"/>
      <c r="FJK1158" s="7"/>
      <c r="FJL1158" s="7"/>
      <c r="FJM1158" s="7"/>
      <c r="FJN1158" s="7"/>
      <c r="FJO1158" s="7"/>
      <c r="FJP1158" s="7"/>
      <c r="FJQ1158" s="7"/>
      <c r="FJR1158" s="7"/>
      <c r="FJS1158" s="7"/>
      <c r="FJT1158" s="7"/>
      <c r="FJU1158" s="7"/>
      <c r="FJV1158" s="7"/>
      <c r="FJW1158" s="7"/>
      <c r="FJX1158" s="7"/>
      <c r="FJY1158" s="7"/>
      <c r="FJZ1158" s="7"/>
      <c r="FKA1158" s="7"/>
      <c r="FKB1158" s="7"/>
      <c r="FKC1158" s="7"/>
      <c r="FKD1158" s="7"/>
      <c r="FKE1158" s="7"/>
      <c r="FKF1158" s="7"/>
      <c r="FKG1158" s="7"/>
      <c r="FKH1158" s="7"/>
      <c r="FKI1158" s="7"/>
      <c r="FKJ1158" s="7"/>
      <c r="FKK1158" s="7"/>
      <c r="FKL1158" s="7"/>
      <c r="FKM1158" s="7"/>
      <c r="FKN1158" s="7"/>
      <c r="FKO1158" s="7"/>
      <c r="FKP1158" s="7"/>
      <c r="FKQ1158" s="7"/>
      <c r="FKR1158" s="7"/>
      <c r="FKS1158" s="7"/>
      <c r="FKT1158" s="7"/>
      <c r="FKU1158" s="7"/>
      <c r="FKV1158" s="7"/>
      <c r="FKW1158" s="7"/>
      <c r="FKX1158" s="7"/>
      <c r="FKY1158" s="7"/>
      <c r="FKZ1158" s="7"/>
      <c r="FLA1158" s="7"/>
      <c r="FLB1158" s="7"/>
      <c r="FLC1158" s="7"/>
      <c r="FLD1158" s="7"/>
      <c r="FLE1158" s="7"/>
      <c r="FLF1158" s="7"/>
      <c r="FLG1158" s="7"/>
      <c r="FLH1158" s="7"/>
      <c r="FLI1158" s="7"/>
      <c r="FLJ1158" s="7"/>
      <c r="FLK1158" s="7"/>
      <c r="FLL1158" s="7"/>
      <c r="FLM1158" s="7"/>
      <c r="FLN1158" s="7"/>
      <c r="FLO1158" s="7"/>
      <c r="FLP1158" s="7"/>
      <c r="FLQ1158" s="7"/>
      <c r="FLR1158" s="7"/>
      <c r="FLS1158" s="7"/>
      <c r="FLT1158" s="7"/>
      <c r="FLU1158" s="7"/>
      <c r="FLV1158" s="7"/>
      <c r="FLW1158" s="7"/>
      <c r="FLX1158" s="7"/>
      <c r="FLY1158" s="7"/>
      <c r="FLZ1158" s="7"/>
      <c r="FMA1158" s="7"/>
      <c r="FMB1158" s="7"/>
      <c r="FMC1158" s="7"/>
      <c r="FMD1158" s="7"/>
      <c r="FME1158" s="7"/>
      <c r="FMF1158" s="7"/>
      <c r="FMG1158" s="7"/>
      <c r="FMH1158" s="7"/>
      <c r="FMI1158" s="7"/>
      <c r="FMJ1158" s="7"/>
      <c r="FMK1158" s="7"/>
      <c r="FML1158" s="7"/>
      <c r="FMM1158" s="7"/>
      <c r="FMN1158" s="7"/>
      <c r="FMO1158" s="7"/>
      <c r="FMP1158" s="7"/>
      <c r="FMQ1158" s="7"/>
      <c r="FMR1158" s="7"/>
      <c r="FMS1158" s="7"/>
      <c r="FMT1158" s="7"/>
      <c r="FMU1158" s="7"/>
      <c r="FMV1158" s="7"/>
      <c r="FMW1158" s="7"/>
      <c r="FMX1158" s="7"/>
      <c r="FMY1158" s="7"/>
      <c r="FMZ1158" s="7"/>
      <c r="FNA1158" s="7"/>
      <c r="FNB1158" s="7"/>
      <c r="FNC1158" s="7"/>
      <c r="FND1158" s="7"/>
      <c r="FNE1158" s="7"/>
      <c r="FNF1158" s="7"/>
      <c r="FNG1158" s="7"/>
      <c r="FNH1158" s="7"/>
      <c r="FNI1158" s="7"/>
      <c r="FNJ1158" s="7"/>
      <c r="FNK1158" s="7"/>
      <c r="FNL1158" s="7"/>
      <c r="FNM1158" s="7"/>
      <c r="FNN1158" s="7"/>
      <c r="FNO1158" s="7"/>
      <c r="FNP1158" s="7"/>
      <c r="FNQ1158" s="7"/>
      <c r="FNR1158" s="7"/>
      <c r="FNS1158" s="7"/>
      <c r="FNT1158" s="7"/>
      <c r="FNU1158" s="7"/>
      <c r="FNV1158" s="7"/>
      <c r="FNW1158" s="7"/>
      <c r="FNX1158" s="7"/>
      <c r="FNY1158" s="7"/>
      <c r="FNZ1158" s="7"/>
      <c r="FOA1158" s="7"/>
      <c r="FOB1158" s="7"/>
      <c r="FOC1158" s="7"/>
      <c r="FOD1158" s="7"/>
      <c r="FOE1158" s="7"/>
      <c r="FOF1158" s="7"/>
      <c r="FOG1158" s="7"/>
      <c r="FOH1158" s="7"/>
      <c r="FOI1158" s="7"/>
      <c r="FOJ1158" s="7"/>
      <c r="FOK1158" s="7"/>
      <c r="FOL1158" s="7"/>
      <c r="FOM1158" s="7"/>
      <c r="FON1158" s="7"/>
      <c r="FOO1158" s="7"/>
      <c r="FOP1158" s="7"/>
      <c r="FOQ1158" s="7"/>
      <c r="FOR1158" s="7"/>
      <c r="FOS1158" s="7"/>
      <c r="FOT1158" s="7"/>
      <c r="FOU1158" s="7"/>
      <c r="FOV1158" s="7"/>
      <c r="FOW1158" s="7"/>
      <c r="FOX1158" s="7"/>
      <c r="FOY1158" s="7"/>
      <c r="FOZ1158" s="7"/>
      <c r="FPA1158" s="7"/>
      <c r="FPB1158" s="7"/>
      <c r="FPC1158" s="7"/>
      <c r="FPD1158" s="7"/>
      <c r="FPE1158" s="7"/>
      <c r="FPF1158" s="7"/>
      <c r="FPG1158" s="7"/>
      <c r="FPH1158" s="7"/>
      <c r="FPI1158" s="7"/>
      <c r="FPJ1158" s="7"/>
      <c r="FPK1158" s="7"/>
      <c r="FPL1158" s="7"/>
      <c r="FPM1158" s="7"/>
      <c r="FPN1158" s="7"/>
      <c r="FPO1158" s="7"/>
      <c r="FPP1158" s="7"/>
      <c r="FPQ1158" s="7"/>
      <c r="FPR1158" s="7"/>
      <c r="FPS1158" s="7"/>
      <c r="FPT1158" s="7"/>
      <c r="FPU1158" s="7"/>
      <c r="FPV1158" s="7"/>
      <c r="FPW1158" s="7"/>
      <c r="FPX1158" s="7"/>
      <c r="FPY1158" s="7"/>
      <c r="FPZ1158" s="7"/>
      <c r="FQA1158" s="7"/>
      <c r="FQB1158" s="7"/>
      <c r="FQC1158" s="7"/>
      <c r="FQD1158" s="7"/>
      <c r="FQE1158" s="7"/>
      <c r="FQF1158" s="7"/>
      <c r="FQG1158" s="7"/>
      <c r="FQH1158" s="7"/>
      <c r="FQI1158" s="7"/>
      <c r="FQJ1158" s="7"/>
      <c r="FQK1158" s="7"/>
      <c r="FQL1158" s="7"/>
      <c r="FQM1158" s="7"/>
      <c r="FQN1158" s="7"/>
      <c r="FQO1158" s="7"/>
      <c r="FQP1158" s="7"/>
      <c r="FQQ1158" s="7"/>
      <c r="FQR1158" s="7"/>
      <c r="FQS1158" s="7"/>
      <c r="FQT1158" s="7"/>
      <c r="FQU1158" s="7"/>
      <c r="FQV1158" s="7"/>
      <c r="FQW1158" s="7"/>
      <c r="FQX1158" s="7"/>
      <c r="FQY1158" s="7"/>
      <c r="FQZ1158" s="7"/>
      <c r="FRA1158" s="7"/>
      <c r="FRB1158" s="7"/>
      <c r="FRC1158" s="7"/>
      <c r="FRD1158" s="7"/>
      <c r="FRE1158" s="7"/>
      <c r="FRF1158" s="7"/>
      <c r="FRG1158" s="7"/>
      <c r="FRH1158" s="7"/>
      <c r="FRI1158" s="7"/>
      <c r="FRJ1158" s="7"/>
      <c r="FRK1158" s="7"/>
      <c r="FRL1158" s="7"/>
      <c r="FRM1158" s="7"/>
      <c r="FRN1158" s="7"/>
      <c r="FRO1158" s="7"/>
      <c r="FRP1158" s="7"/>
      <c r="FRQ1158" s="7"/>
      <c r="FRR1158" s="7"/>
      <c r="FRS1158" s="7"/>
      <c r="FRT1158" s="7"/>
      <c r="FRU1158" s="7"/>
      <c r="FRV1158" s="7"/>
      <c r="FRW1158" s="7"/>
      <c r="FRX1158" s="7"/>
      <c r="FRY1158" s="7"/>
      <c r="FRZ1158" s="7"/>
      <c r="FSA1158" s="7"/>
      <c r="FSB1158" s="7"/>
      <c r="FSC1158" s="7"/>
      <c r="FSD1158" s="7"/>
      <c r="FSE1158" s="7"/>
      <c r="FSF1158" s="7"/>
      <c r="FSG1158" s="7"/>
      <c r="FSH1158" s="7"/>
      <c r="FSI1158" s="7"/>
      <c r="FSJ1158" s="7"/>
      <c r="FSK1158" s="7"/>
      <c r="FSL1158" s="7"/>
      <c r="FSM1158" s="7"/>
      <c r="FSN1158" s="7"/>
      <c r="FSO1158" s="7"/>
      <c r="FSP1158" s="7"/>
      <c r="FSQ1158" s="7"/>
      <c r="FSR1158" s="7"/>
      <c r="FSS1158" s="7"/>
      <c r="FST1158" s="7"/>
      <c r="FSU1158" s="7"/>
      <c r="FSV1158" s="7"/>
      <c r="FSW1158" s="7"/>
      <c r="FSX1158" s="7"/>
      <c r="FSY1158" s="7"/>
      <c r="FSZ1158" s="7"/>
      <c r="FTA1158" s="7"/>
      <c r="FTB1158" s="7"/>
      <c r="FTC1158" s="7"/>
      <c r="FTD1158" s="7"/>
      <c r="FTE1158" s="7"/>
      <c r="FTF1158" s="7"/>
      <c r="FTG1158" s="7"/>
      <c r="FTH1158" s="7"/>
      <c r="FTI1158" s="7"/>
      <c r="FTJ1158" s="7"/>
      <c r="FTK1158" s="7"/>
      <c r="FTL1158" s="7"/>
      <c r="FTM1158" s="7"/>
      <c r="FTN1158" s="7"/>
      <c r="FTO1158" s="7"/>
      <c r="FTP1158" s="7"/>
      <c r="FTQ1158" s="7"/>
      <c r="FTR1158" s="7"/>
      <c r="FTS1158" s="7"/>
      <c r="FTT1158" s="7"/>
      <c r="FTU1158" s="7"/>
      <c r="FTV1158" s="7"/>
      <c r="FTW1158" s="7"/>
      <c r="FTX1158" s="7"/>
      <c r="FTY1158" s="7"/>
      <c r="FTZ1158" s="7"/>
      <c r="FUA1158" s="7"/>
      <c r="FUB1158" s="7"/>
      <c r="FUC1158" s="7"/>
      <c r="FUD1158" s="7"/>
      <c r="FUE1158" s="7"/>
      <c r="FUF1158" s="7"/>
      <c r="FUG1158" s="7"/>
      <c r="FUH1158" s="7"/>
      <c r="FUI1158" s="7"/>
      <c r="FUJ1158" s="7"/>
      <c r="FUK1158" s="7"/>
      <c r="FUL1158" s="7"/>
      <c r="FUM1158" s="7"/>
      <c r="FUN1158" s="7"/>
      <c r="FUO1158" s="7"/>
      <c r="FUP1158" s="7"/>
      <c r="FUQ1158" s="7"/>
      <c r="FUR1158" s="7"/>
      <c r="FUS1158" s="7"/>
      <c r="FUT1158" s="7"/>
      <c r="FUU1158" s="7"/>
      <c r="FUV1158" s="7"/>
      <c r="FUW1158" s="7"/>
      <c r="FUX1158" s="7"/>
      <c r="FUY1158" s="7"/>
      <c r="FUZ1158" s="7"/>
      <c r="FVA1158" s="7"/>
      <c r="FVB1158" s="7"/>
      <c r="FVC1158" s="7"/>
      <c r="FVD1158" s="7"/>
      <c r="FVE1158" s="7"/>
      <c r="FVF1158" s="7"/>
      <c r="FVG1158" s="7"/>
      <c r="FVH1158" s="7"/>
      <c r="FVI1158" s="7"/>
      <c r="FVJ1158" s="7"/>
      <c r="FVK1158" s="7"/>
      <c r="FVL1158" s="7"/>
      <c r="FVM1158" s="7"/>
      <c r="FVN1158" s="7"/>
      <c r="FVO1158" s="7"/>
      <c r="FVP1158" s="7"/>
      <c r="FVQ1158" s="7"/>
      <c r="FVR1158" s="7"/>
      <c r="FVS1158" s="7"/>
      <c r="FVT1158" s="7"/>
      <c r="FVU1158" s="7"/>
      <c r="FVV1158" s="7"/>
      <c r="FVW1158" s="7"/>
      <c r="FVX1158" s="7"/>
      <c r="FVY1158" s="7"/>
      <c r="FVZ1158" s="7"/>
      <c r="FWA1158" s="7"/>
      <c r="FWB1158" s="7"/>
      <c r="FWC1158" s="7"/>
      <c r="FWD1158" s="7"/>
      <c r="FWE1158" s="7"/>
      <c r="FWF1158" s="7"/>
      <c r="FWG1158" s="7"/>
      <c r="FWH1158" s="7"/>
      <c r="FWI1158" s="7"/>
      <c r="FWJ1158" s="7"/>
      <c r="FWK1158" s="7"/>
      <c r="FWL1158" s="7"/>
      <c r="FWM1158" s="7"/>
      <c r="FWN1158" s="7"/>
      <c r="FWO1158" s="7"/>
      <c r="FWP1158" s="7"/>
      <c r="FWQ1158" s="7"/>
      <c r="FWR1158" s="7"/>
      <c r="FWS1158" s="7"/>
      <c r="FWT1158" s="7"/>
      <c r="FWU1158" s="7"/>
      <c r="FWV1158" s="7"/>
      <c r="FWW1158" s="7"/>
      <c r="FWX1158" s="7"/>
      <c r="FWY1158" s="7"/>
      <c r="FWZ1158" s="7"/>
      <c r="FXA1158" s="7"/>
      <c r="FXB1158" s="7"/>
      <c r="FXC1158" s="7"/>
      <c r="FXD1158" s="7"/>
      <c r="FXE1158" s="7"/>
      <c r="FXF1158" s="7"/>
      <c r="FXG1158" s="7"/>
      <c r="FXH1158" s="7"/>
      <c r="FXI1158" s="7"/>
      <c r="FXJ1158" s="7"/>
      <c r="FXK1158" s="7"/>
      <c r="FXL1158" s="7"/>
      <c r="FXM1158" s="7"/>
      <c r="FXN1158" s="7"/>
      <c r="FXO1158" s="7"/>
      <c r="FXP1158" s="7"/>
      <c r="FXQ1158" s="7"/>
      <c r="FXR1158" s="7"/>
      <c r="FXS1158" s="7"/>
      <c r="FXT1158" s="7"/>
      <c r="FXU1158" s="7"/>
      <c r="FXV1158" s="7"/>
      <c r="FXW1158" s="7"/>
      <c r="FXX1158" s="7"/>
      <c r="FXY1158" s="7"/>
      <c r="FXZ1158" s="7"/>
      <c r="FYA1158" s="7"/>
      <c r="FYB1158" s="7"/>
      <c r="FYC1158" s="7"/>
      <c r="FYD1158" s="7"/>
      <c r="FYE1158" s="7"/>
      <c r="FYF1158" s="7"/>
      <c r="FYG1158" s="7"/>
      <c r="FYH1158" s="7"/>
      <c r="FYI1158" s="7"/>
      <c r="FYJ1158" s="7"/>
      <c r="FYK1158" s="7"/>
      <c r="FYL1158" s="7"/>
      <c r="FYM1158" s="7"/>
      <c r="FYN1158" s="7"/>
      <c r="FYO1158" s="7"/>
      <c r="FYP1158" s="7"/>
      <c r="FYQ1158" s="7"/>
      <c r="FYR1158" s="7"/>
      <c r="FYS1158" s="7"/>
      <c r="FYT1158" s="7"/>
      <c r="FYU1158" s="7"/>
      <c r="FYV1158" s="7"/>
      <c r="FYW1158" s="7"/>
      <c r="FYX1158" s="7"/>
      <c r="FYY1158" s="7"/>
      <c r="FYZ1158" s="7"/>
      <c r="FZA1158" s="7"/>
      <c r="FZB1158" s="7"/>
      <c r="FZC1158" s="7"/>
      <c r="FZD1158" s="7"/>
      <c r="FZE1158" s="7"/>
      <c r="FZF1158" s="7"/>
      <c r="FZG1158" s="7"/>
      <c r="FZH1158" s="7"/>
      <c r="FZI1158" s="7"/>
      <c r="FZJ1158" s="7"/>
      <c r="FZK1158" s="7"/>
      <c r="FZL1158" s="7"/>
      <c r="FZM1158" s="7"/>
      <c r="FZN1158" s="7"/>
      <c r="FZO1158" s="7"/>
      <c r="FZP1158" s="7"/>
      <c r="FZQ1158" s="7"/>
      <c r="FZR1158" s="7"/>
      <c r="FZS1158" s="7"/>
      <c r="FZT1158" s="7"/>
      <c r="FZU1158" s="7"/>
      <c r="FZV1158" s="7"/>
      <c r="FZW1158" s="7"/>
      <c r="FZX1158" s="7"/>
      <c r="FZY1158" s="7"/>
      <c r="FZZ1158" s="7"/>
      <c r="GAA1158" s="7"/>
      <c r="GAB1158" s="7"/>
      <c r="GAC1158" s="7"/>
      <c r="GAD1158" s="7"/>
      <c r="GAE1158" s="7"/>
      <c r="GAF1158" s="7"/>
      <c r="GAG1158" s="7"/>
      <c r="GAH1158" s="7"/>
      <c r="GAI1158" s="7"/>
      <c r="GAJ1158" s="7"/>
      <c r="GAK1158" s="7"/>
      <c r="GAL1158" s="7"/>
      <c r="GAM1158" s="7"/>
      <c r="GAN1158" s="7"/>
      <c r="GAO1158" s="7"/>
      <c r="GAP1158" s="7"/>
      <c r="GAQ1158" s="7"/>
      <c r="GAR1158" s="7"/>
      <c r="GAS1158" s="7"/>
      <c r="GAT1158" s="7"/>
      <c r="GAU1158" s="7"/>
      <c r="GAV1158" s="7"/>
      <c r="GAW1158" s="7"/>
      <c r="GAX1158" s="7"/>
      <c r="GAY1158" s="7"/>
      <c r="GAZ1158" s="7"/>
      <c r="GBA1158" s="7"/>
      <c r="GBB1158" s="7"/>
      <c r="GBC1158" s="7"/>
      <c r="GBD1158" s="7"/>
      <c r="GBE1158" s="7"/>
      <c r="GBF1158" s="7"/>
      <c r="GBG1158" s="7"/>
      <c r="GBH1158" s="7"/>
      <c r="GBI1158" s="7"/>
      <c r="GBJ1158" s="7"/>
      <c r="GBK1158" s="7"/>
      <c r="GBL1158" s="7"/>
      <c r="GBM1158" s="7"/>
      <c r="GBN1158" s="7"/>
      <c r="GBO1158" s="7"/>
      <c r="GBP1158" s="7"/>
      <c r="GBQ1158" s="7"/>
      <c r="GBR1158" s="7"/>
      <c r="GBS1158" s="7"/>
      <c r="GBT1158" s="7"/>
      <c r="GBU1158" s="7"/>
      <c r="GBV1158" s="7"/>
      <c r="GBW1158" s="7"/>
      <c r="GBX1158" s="7"/>
      <c r="GBY1158" s="7"/>
      <c r="GBZ1158" s="7"/>
      <c r="GCA1158" s="7"/>
      <c r="GCB1158" s="7"/>
      <c r="GCC1158" s="7"/>
      <c r="GCD1158" s="7"/>
      <c r="GCE1158" s="7"/>
      <c r="GCF1158" s="7"/>
      <c r="GCG1158" s="7"/>
      <c r="GCH1158" s="7"/>
      <c r="GCI1158" s="7"/>
      <c r="GCJ1158" s="7"/>
      <c r="GCK1158" s="7"/>
      <c r="GCL1158" s="7"/>
      <c r="GCM1158" s="7"/>
      <c r="GCN1158" s="7"/>
      <c r="GCO1158" s="7"/>
      <c r="GCP1158" s="7"/>
      <c r="GCQ1158" s="7"/>
      <c r="GCR1158" s="7"/>
      <c r="GCS1158" s="7"/>
      <c r="GCT1158" s="7"/>
      <c r="GCU1158" s="7"/>
      <c r="GCV1158" s="7"/>
      <c r="GCW1158" s="7"/>
      <c r="GCX1158" s="7"/>
      <c r="GCY1158" s="7"/>
      <c r="GCZ1158" s="7"/>
      <c r="GDA1158" s="7"/>
      <c r="GDB1158" s="7"/>
      <c r="GDC1158" s="7"/>
      <c r="GDD1158" s="7"/>
      <c r="GDE1158" s="7"/>
      <c r="GDF1158" s="7"/>
      <c r="GDG1158" s="7"/>
      <c r="GDH1158" s="7"/>
      <c r="GDI1158" s="7"/>
      <c r="GDJ1158" s="7"/>
      <c r="GDK1158" s="7"/>
      <c r="GDL1158" s="7"/>
      <c r="GDM1158" s="7"/>
      <c r="GDN1158" s="7"/>
      <c r="GDO1158" s="7"/>
      <c r="GDP1158" s="7"/>
      <c r="GDQ1158" s="7"/>
      <c r="GDR1158" s="7"/>
      <c r="GDS1158" s="7"/>
      <c r="GDT1158" s="7"/>
      <c r="GDU1158" s="7"/>
      <c r="GDV1158" s="7"/>
      <c r="GDW1158" s="7"/>
      <c r="GDX1158" s="7"/>
      <c r="GDY1158" s="7"/>
      <c r="GDZ1158" s="7"/>
      <c r="GEA1158" s="7"/>
      <c r="GEB1158" s="7"/>
      <c r="GEC1158" s="7"/>
      <c r="GED1158" s="7"/>
      <c r="GEE1158" s="7"/>
      <c r="GEF1158" s="7"/>
      <c r="GEG1158" s="7"/>
      <c r="GEH1158" s="7"/>
      <c r="GEI1158" s="7"/>
      <c r="GEJ1158" s="7"/>
      <c r="GEK1158" s="7"/>
      <c r="GEL1158" s="7"/>
      <c r="GEM1158" s="7"/>
      <c r="GEN1158" s="7"/>
      <c r="GEO1158" s="7"/>
      <c r="GEP1158" s="7"/>
      <c r="GEQ1158" s="7"/>
      <c r="GER1158" s="7"/>
      <c r="GES1158" s="7"/>
      <c r="GET1158" s="7"/>
      <c r="GEU1158" s="7"/>
      <c r="GEV1158" s="7"/>
      <c r="GEW1158" s="7"/>
      <c r="GEX1158" s="7"/>
      <c r="GEY1158" s="7"/>
      <c r="GEZ1158" s="7"/>
      <c r="GFA1158" s="7"/>
      <c r="GFB1158" s="7"/>
      <c r="GFC1158" s="7"/>
      <c r="GFD1158" s="7"/>
      <c r="GFE1158" s="7"/>
      <c r="GFF1158" s="7"/>
      <c r="GFG1158" s="7"/>
      <c r="GFH1158" s="7"/>
      <c r="GFI1158" s="7"/>
      <c r="GFJ1158" s="7"/>
      <c r="GFK1158" s="7"/>
      <c r="GFL1158" s="7"/>
      <c r="GFM1158" s="7"/>
      <c r="GFN1158" s="7"/>
      <c r="GFO1158" s="7"/>
      <c r="GFP1158" s="7"/>
      <c r="GFQ1158" s="7"/>
      <c r="GFR1158" s="7"/>
      <c r="GFS1158" s="7"/>
      <c r="GFT1158" s="7"/>
      <c r="GFU1158" s="7"/>
      <c r="GFV1158" s="7"/>
      <c r="GFW1158" s="7"/>
      <c r="GFX1158" s="7"/>
      <c r="GFY1158" s="7"/>
      <c r="GFZ1158" s="7"/>
      <c r="GGA1158" s="7"/>
      <c r="GGB1158" s="7"/>
      <c r="GGC1158" s="7"/>
      <c r="GGD1158" s="7"/>
      <c r="GGE1158" s="7"/>
      <c r="GGF1158" s="7"/>
      <c r="GGG1158" s="7"/>
      <c r="GGH1158" s="7"/>
      <c r="GGI1158" s="7"/>
      <c r="GGJ1158" s="7"/>
      <c r="GGK1158" s="7"/>
      <c r="GGL1158" s="7"/>
      <c r="GGM1158" s="7"/>
      <c r="GGN1158" s="7"/>
      <c r="GGO1158" s="7"/>
      <c r="GGP1158" s="7"/>
      <c r="GGQ1158" s="7"/>
      <c r="GGR1158" s="7"/>
      <c r="GGS1158" s="7"/>
      <c r="GGT1158" s="7"/>
      <c r="GGU1158" s="7"/>
      <c r="GGV1158" s="7"/>
      <c r="GGW1158" s="7"/>
      <c r="GGX1158" s="7"/>
      <c r="GGY1158" s="7"/>
      <c r="GGZ1158" s="7"/>
      <c r="GHA1158" s="7"/>
      <c r="GHB1158" s="7"/>
      <c r="GHC1158" s="7"/>
      <c r="GHD1158" s="7"/>
      <c r="GHE1158" s="7"/>
      <c r="GHF1158" s="7"/>
      <c r="GHG1158" s="7"/>
      <c r="GHH1158" s="7"/>
      <c r="GHI1158" s="7"/>
      <c r="GHJ1158" s="7"/>
      <c r="GHK1158" s="7"/>
      <c r="GHL1158" s="7"/>
      <c r="GHM1158" s="7"/>
      <c r="GHN1158" s="7"/>
      <c r="GHO1158" s="7"/>
      <c r="GHP1158" s="7"/>
      <c r="GHQ1158" s="7"/>
      <c r="GHR1158" s="7"/>
      <c r="GHS1158" s="7"/>
      <c r="GHT1158" s="7"/>
      <c r="GHU1158" s="7"/>
      <c r="GHV1158" s="7"/>
      <c r="GHW1158" s="7"/>
      <c r="GHX1158" s="7"/>
      <c r="GHY1158" s="7"/>
      <c r="GHZ1158" s="7"/>
      <c r="GIA1158" s="7"/>
      <c r="GIB1158" s="7"/>
      <c r="GIC1158" s="7"/>
      <c r="GID1158" s="7"/>
      <c r="GIE1158" s="7"/>
      <c r="GIF1158" s="7"/>
      <c r="GIG1158" s="7"/>
      <c r="GIH1158" s="7"/>
      <c r="GII1158" s="7"/>
      <c r="GIJ1158" s="7"/>
      <c r="GIK1158" s="7"/>
      <c r="GIL1158" s="7"/>
      <c r="GIM1158" s="7"/>
      <c r="GIN1158" s="7"/>
      <c r="GIO1158" s="7"/>
      <c r="GIP1158" s="7"/>
      <c r="GIQ1158" s="7"/>
      <c r="GIR1158" s="7"/>
      <c r="GIS1158" s="7"/>
      <c r="GIT1158" s="7"/>
      <c r="GIU1158" s="7"/>
      <c r="GIV1158" s="7"/>
      <c r="GIW1158" s="7"/>
      <c r="GIX1158" s="7"/>
      <c r="GIY1158" s="7"/>
      <c r="GIZ1158" s="7"/>
      <c r="GJA1158" s="7"/>
      <c r="GJB1158" s="7"/>
      <c r="GJC1158" s="7"/>
      <c r="GJD1158" s="7"/>
      <c r="GJE1158" s="7"/>
      <c r="GJF1158" s="7"/>
      <c r="GJG1158" s="7"/>
      <c r="GJH1158" s="7"/>
      <c r="GJI1158" s="7"/>
      <c r="GJJ1158" s="7"/>
      <c r="GJK1158" s="7"/>
      <c r="GJL1158" s="7"/>
      <c r="GJM1158" s="7"/>
      <c r="GJN1158" s="7"/>
      <c r="GJO1158" s="7"/>
      <c r="GJP1158" s="7"/>
      <c r="GJQ1158" s="7"/>
      <c r="GJR1158" s="7"/>
      <c r="GJS1158" s="7"/>
      <c r="GJT1158" s="7"/>
      <c r="GJU1158" s="7"/>
      <c r="GJV1158" s="7"/>
      <c r="GJW1158" s="7"/>
      <c r="GJX1158" s="7"/>
      <c r="GJY1158" s="7"/>
      <c r="GJZ1158" s="7"/>
      <c r="GKA1158" s="7"/>
      <c r="GKB1158" s="7"/>
      <c r="GKC1158" s="7"/>
      <c r="GKD1158" s="7"/>
      <c r="GKE1158" s="7"/>
      <c r="GKF1158" s="7"/>
      <c r="GKG1158" s="7"/>
      <c r="GKH1158" s="7"/>
      <c r="GKI1158" s="7"/>
      <c r="GKJ1158" s="7"/>
      <c r="GKK1158" s="7"/>
      <c r="GKL1158" s="7"/>
      <c r="GKM1158" s="7"/>
      <c r="GKN1158" s="7"/>
      <c r="GKO1158" s="7"/>
      <c r="GKP1158" s="7"/>
      <c r="GKQ1158" s="7"/>
      <c r="GKR1158" s="7"/>
      <c r="GKS1158" s="7"/>
      <c r="GKT1158" s="7"/>
      <c r="GKU1158" s="7"/>
      <c r="GKV1158" s="7"/>
      <c r="GKW1158" s="7"/>
      <c r="GKX1158" s="7"/>
      <c r="GKY1158" s="7"/>
      <c r="GKZ1158" s="7"/>
      <c r="GLA1158" s="7"/>
      <c r="GLB1158" s="7"/>
      <c r="GLC1158" s="7"/>
      <c r="GLD1158" s="7"/>
      <c r="GLE1158" s="7"/>
      <c r="GLF1158" s="7"/>
      <c r="GLG1158" s="7"/>
      <c r="GLH1158" s="7"/>
      <c r="GLI1158" s="7"/>
      <c r="GLJ1158" s="7"/>
      <c r="GLK1158" s="7"/>
      <c r="GLL1158" s="7"/>
      <c r="GLM1158" s="7"/>
      <c r="GLN1158" s="7"/>
      <c r="GLO1158" s="7"/>
      <c r="GLP1158" s="7"/>
      <c r="GLQ1158" s="7"/>
      <c r="GLR1158" s="7"/>
      <c r="GLS1158" s="7"/>
      <c r="GLT1158" s="7"/>
      <c r="GLU1158" s="7"/>
      <c r="GLV1158" s="7"/>
      <c r="GLW1158" s="7"/>
      <c r="GLX1158" s="7"/>
      <c r="GLY1158" s="7"/>
      <c r="GLZ1158" s="7"/>
      <c r="GMA1158" s="7"/>
      <c r="GMB1158" s="7"/>
      <c r="GMC1158" s="7"/>
      <c r="GMD1158" s="7"/>
      <c r="GME1158" s="7"/>
      <c r="GMF1158" s="7"/>
      <c r="GMG1158" s="7"/>
      <c r="GMH1158" s="7"/>
      <c r="GMI1158" s="7"/>
      <c r="GMJ1158" s="7"/>
      <c r="GMK1158" s="7"/>
      <c r="GML1158" s="7"/>
      <c r="GMM1158" s="7"/>
      <c r="GMN1158" s="7"/>
      <c r="GMO1158" s="7"/>
      <c r="GMP1158" s="7"/>
      <c r="GMQ1158" s="7"/>
      <c r="GMR1158" s="7"/>
      <c r="GMS1158" s="7"/>
      <c r="GMT1158" s="7"/>
      <c r="GMU1158" s="7"/>
      <c r="GMV1158" s="7"/>
      <c r="GMW1158" s="7"/>
      <c r="GMX1158" s="7"/>
      <c r="GMY1158" s="7"/>
      <c r="GMZ1158" s="7"/>
      <c r="GNA1158" s="7"/>
      <c r="GNB1158" s="7"/>
      <c r="GNC1158" s="7"/>
      <c r="GND1158" s="7"/>
      <c r="GNE1158" s="7"/>
      <c r="GNF1158" s="7"/>
      <c r="GNG1158" s="7"/>
      <c r="GNH1158" s="7"/>
      <c r="GNI1158" s="7"/>
      <c r="GNJ1158" s="7"/>
      <c r="GNK1158" s="7"/>
      <c r="GNL1158" s="7"/>
      <c r="GNM1158" s="7"/>
      <c r="GNN1158" s="7"/>
      <c r="GNO1158" s="7"/>
      <c r="GNP1158" s="7"/>
      <c r="GNQ1158" s="7"/>
      <c r="GNR1158" s="7"/>
      <c r="GNS1158" s="7"/>
      <c r="GNT1158" s="7"/>
      <c r="GNU1158" s="7"/>
      <c r="GNV1158" s="7"/>
      <c r="GNW1158" s="7"/>
      <c r="GNX1158" s="7"/>
      <c r="GNY1158" s="7"/>
      <c r="GNZ1158" s="7"/>
      <c r="GOA1158" s="7"/>
      <c r="GOB1158" s="7"/>
      <c r="GOC1158" s="7"/>
      <c r="GOD1158" s="7"/>
      <c r="GOE1158" s="7"/>
      <c r="GOF1158" s="7"/>
      <c r="GOG1158" s="7"/>
      <c r="GOH1158" s="7"/>
      <c r="GOI1158" s="7"/>
      <c r="GOJ1158" s="7"/>
      <c r="GOK1158" s="7"/>
      <c r="GOL1158" s="7"/>
      <c r="GOM1158" s="7"/>
      <c r="GON1158" s="7"/>
      <c r="GOO1158" s="7"/>
      <c r="GOP1158" s="7"/>
      <c r="GOQ1158" s="7"/>
      <c r="GOR1158" s="7"/>
      <c r="GOS1158" s="7"/>
      <c r="GOT1158" s="7"/>
      <c r="GOU1158" s="7"/>
      <c r="GOV1158" s="7"/>
      <c r="GOW1158" s="7"/>
      <c r="GOX1158" s="7"/>
      <c r="GOY1158" s="7"/>
      <c r="GOZ1158" s="7"/>
      <c r="GPA1158" s="7"/>
      <c r="GPB1158" s="7"/>
      <c r="GPC1158" s="7"/>
      <c r="GPD1158" s="7"/>
      <c r="GPE1158" s="7"/>
      <c r="GPF1158" s="7"/>
      <c r="GPG1158" s="7"/>
      <c r="GPH1158" s="7"/>
      <c r="GPI1158" s="7"/>
      <c r="GPJ1158" s="7"/>
      <c r="GPK1158" s="7"/>
      <c r="GPL1158" s="7"/>
      <c r="GPM1158" s="7"/>
      <c r="GPN1158" s="7"/>
      <c r="GPO1158" s="7"/>
      <c r="GPP1158" s="7"/>
      <c r="GPQ1158" s="7"/>
      <c r="GPR1158" s="7"/>
      <c r="GPS1158" s="7"/>
      <c r="GPT1158" s="7"/>
      <c r="GPU1158" s="7"/>
      <c r="GPV1158" s="7"/>
      <c r="GPW1158" s="7"/>
      <c r="GPX1158" s="7"/>
      <c r="GPY1158" s="7"/>
      <c r="GPZ1158" s="7"/>
      <c r="GQA1158" s="7"/>
      <c r="GQB1158" s="7"/>
      <c r="GQC1158" s="7"/>
      <c r="GQD1158" s="7"/>
      <c r="GQE1158" s="7"/>
      <c r="GQF1158" s="7"/>
      <c r="GQG1158" s="7"/>
      <c r="GQH1158" s="7"/>
      <c r="GQI1158" s="7"/>
      <c r="GQJ1158" s="7"/>
      <c r="GQK1158" s="7"/>
      <c r="GQL1158" s="7"/>
      <c r="GQM1158" s="7"/>
      <c r="GQN1158" s="7"/>
      <c r="GQO1158" s="7"/>
      <c r="GQP1158" s="7"/>
      <c r="GQQ1158" s="7"/>
      <c r="GQR1158" s="7"/>
      <c r="GQS1158" s="7"/>
      <c r="GQT1158" s="7"/>
      <c r="GQU1158" s="7"/>
      <c r="GQV1158" s="7"/>
      <c r="GQW1158" s="7"/>
      <c r="GQX1158" s="7"/>
      <c r="GQY1158" s="7"/>
      <c r="GQZ1158" s="7"/>
      <c r="GRA1158" s="7"/>
      <c r="GRB1158" s="7"/>
      <c r="GRC1158" s="7"/>
      <c r="GRD1158" s="7"/>
      <c r="GRE1158" s="7"/>
      <c r="GRF1158" s="7"/>
      <c r="GRG1158" s="7"/>
      <c r="GRH1158" s="7"/>
      <c r="GRI1158" s="7"/>
      <c r="GRJ1158" s="7"/>
      <c r="GRK1158" s="7"/>
      <c r="GRL1158" s="7"/>
      <c r="GRM1158" s="7"/>
      <c r="GRN1158" s="7"/>
      <c r="GRO1158" s="7"/>
      <c r="GRP1158" s="7"/>
      <c r="GRQ1158" s="7"/>
      <c r="GRR1158" s="7"/>
      <c r="GRS1158" s="7"/>
      <c r="GRT1158" s="7"/>
      <c r="GRU1158" s="7"/>
      <c r="GRV1158" s="7"/>
      <c r="GRW1158" s="7"/>
      <c r="GRX1158" s="7"/>
      <c r="GRY1158" s="7"/>
      <c r="GRZ1158" s="7"/>
      <c r="GSA1158" s="7"/>
      <c r="GSB1158" s="7"/>
      <c r="GSC1158" s="7"/>
      <c r="GSD1158" s="7"/>
      <c r="GSE1158" s="7"/>
      <c r="GSF1158" s="7"/>
      <c r="GSG1158" s="7"/>
      <c r="GSH1158" s="7"/>
      <c r="GSI1158" s="7"/>
      <c r="GSJ1158" s="7"/>
      <c r="GSK1158" s="7"/>
      <c r="GSL1158" s="7"/>
      <c r="GSM1158" s="7"/>
      <c r="GSN1158" s="7"/>
      <c r="GSO1158" s="7"/>
      <c r="GSP1158" s="7"/>
      <c r="GSQ1158" s="7"/>
      <c r="GSR1158" s="7"/>
      <c r="GSS1158" s="7"/>
      <c r="GST1158" s="7"/>
      <c r="GSU1158" s="7"/>
      <c r="GSV1158" s="7"/>
      <c r="GSW1158" s="7"/>
      <c r="GSX1158" s="7"/>
      <c r="GSY1158" s="7"/>
      <c r="GSZ1158" s="7"/>
      <c r="GTA1158" s="7"/>
      <c r="GTB1158" s="7"/>
      <c r="GTC1158" s="7"/>
      <c r="GTD1158" s="7"/>
      <c r="GTE1158" s="7"/>
      <c r="GTF1158" s="7"/>
      <c r="GTG1158" s="7"/>
      <c r="GTH1158" s="7"/>
      <c r="GTI1158" s="7"/>
      <c r="GTJ1158" s="7"/>
      <c r="GTK1158" s="7"/>
      <c r="GTL1158" s="7"/>
      <c r="GTM1158" s="7"/>
      <c r="GTN1158" s="7"/>
      <c r="GTO1158" s="7"/>
      <c r="GTP1158" s="7"/>
      <c r="GTQ1158" s="7"/>
      <c r="GTR1158" s="7"/>
      <c r="GTS1158" s="7"/>
      <c r="GTT1158" s="7"/>
      <c r="GTU1158" s="7"/>
      <c r="GTV1158" s="7"/>
      <c r="GTW1158" s="7"/>
      <c r="GTX1158" s="7"/>
      <c r="GTY1158" s="7"/>
      <c r="GTZ1158" s="7"/>
      <c r="GUA1158" s="7"/>
      <c r="GUB1158" s="7"/>
      <c r="GUC1158" s="7"/>
      <c r="GUD1158" s="7"/>
      <c r="GUE1158" s="7"/>
      <c r="GUF1158" s="7"/>
      <c r="GUG1158" s="7"/>
      <c r="GUH1158" s="7"/>
      <c r="GUI1158" s="7"/>
      <c r="GUJ1158" s="7"/>
      <c r="GUK1158" s="7"/>
      <c r="GUL1158" s="7"/>
      <c r="GUM1158" s="7"/>
      <c r="GUN1158" s="7"/>
      <c r="GUO1158" s="7"/>
      <c r="GUP1158" s="7"/>
      <c r="GUQ1158" s="7"/>
      <c r="GUR1158" s="7"/>
      <c r="GUS1158" s="7"/>
      <c r="GUT1158" s="7"/>
      <c r="GUU1158" s="7"/>
      <c r="GUV1158" s="7"/>
      <c r="GUW1158" s="7"/>
      <c r="GUX1158" s="7"/>
      <c r="GUY1158" s="7"/>
      <c r="GUZ1158" s="7"/>
      <c r="GVA1158" s="7"/>
      <c r="GVB1158" s="7"/>
      <c r="GVC1158" s="7"/>
      <c r="GVD1158" s="7"/>
      <c r="GVE1158" s="7"/>
      <c r="GVF1158" s="7"/>
      <c r="GVG1158" s="7"/>
      <c r="GVH1158" s="7"/>
      <c r="GVI1158" s="7"/>
      <c r="GVJ1158" s="7"/>
      <c r="GVK1158" s="7"/>
      <c r="GVL1158" s="7"/>
      <c r="GVM1158" s="7"/>
      <c r="GVN1158" s="7"/>
      <c r="GVO1158" s="7"/>
      <c r="GVP1158" s="7"/>
      <c r="GVQ1158" s="7"/>
      <c r="GVR1158" s="7"/>
      <c r="GVS1158" s="7"/>
      <c r="GVT1158" s="7"/>
      <c r="GVU1158" s="7"/>
      <c r="GVV1158" s="7"/>
      <c r="GVW1158" s="7"/>
      <c r="GVX1158" s="7"/>
      <c r="GVY1158" s="7"/>
      <c r="GVZ1158" s="7"/>
      <c r="GWA1158" s="7"/>
      <c r="GWB1158" s="7"/>
      <c r="GWC1158" s="7"/>
      <c r="GWD1158" s="7"/>
      <c r="GWE1158" s="7"/>
      <c r="GWF1158" s="7"/>
      <c r="GWG1158" s="7"/>
      <c r="GWH1158" s="7"/>
      <c r="GWI1158" s="7"/>
      <c r="GWJ1158" s="7"/>
      <c r="GWK1158" s="7"/>
      <c r="GWL1158" s="7"/>
      <c r="GWM1158" s="7"/>
      <c r="GWN1158" s="7"/>
      <c r="GWO1158" s="7"/>
      <c r="GWP1158" s="7"/>
      <c r="GWQ1158" s="7"/>
      <c r="GWR1158" s="7"/>
      <c r="GWS1158" s="7"/>
      <c r="GWT1158" s="7"/>
      <c r="GWU1158" s="7"/>
      <c r="GWV1158" s="7"/>
      <c r="GWW1158" s="7"/>
      <c r="GWX1158" s="7"/>
      <c r="GWY1158" s="7"/>
      <c r="GWZ1158" s="7"/>
      <c r="GXA1158" s="7"/>
      <c r="GXB1158" s="7"/>
      <c r="GXC1158" s="7"/>
      <c r="GXD1158" s="7"/>
      <c r="GXE1158" s="7"/>
      <c r="GXF1158" s="7"/>
      <c r="GXG1158" s="7"/>
      <c r="GXH1158" s="7"/>
      <c r="GXI1158" s="7"/>
      <c r="GXJ1158" s="7"/>
      <c r="GXK1158" s="7"/>
      <c r="GXL1158" s="7"/>
      <c r="GXM1158" s="7"/>
      <c r="GXN1158" s="7"/>
      <c r="GXO1158" s="7"/>
      <c r="GXP1158" s="7"/>
      <c r="GXQ1158" s="7"/>
      <c r="GXR1158" s="7"/>
      <c r="GXS1158" s="7"/>
      <c r="GXT1158" s="7"/>
      <c r="GXU1158" s="7"/>
      <c r="GXV1158" s="7"/>
      <c r="GXW1158" s="7"/>
      <c r="GXX1158" s="7"/>
      <c r="GXY1158" s="7"/>
      <c r="GXZ1158" s="7"/>
      <c r="GYA1158" s="7"/>
      <c r="GYB1158" s="7"/>
      <c r="GYC1158" s="7"/>
      <c r="GYD1158" s="7"/>
      <c r="GYE1158" s="7"/>
      <c r="GYF1158" s="7"/>
      <c r="GYG1158" s="7"/>
      <c r="GYH1158" s="7"/>
      <c r="GYI1158" s="7"/>
      <c r="GYJ1158" s="7"/>
      <c r="GYK1158" s="7"/>
      <c r="GYL1158" s="7"/>
      <c r="GYM1158" s="7"/>
      <c r="GYN1158" s="7"/>
      <c r="GYO1158" s="7"/>
      <c r="GYP1158" s="7"/>
      <c r="GYQ1158" s="7"/>
      <c r="GYR1158" s="7"/>
      <c r="GYS1158" s="7"/>
      <c r="GYT1158" s="7"/>
      <c r="GYU1158" s="7"/>
      <c r="GYV1158" s="7"/>
      <c r="GYW1158" s="7"/>
      <c r="GYX1158" s="7"/>
      <c r="GYY1158" s="7"/>
      <c r="GYZ1158" s="7"/>
      <c r="GZA1158" s="7"/>
      <c r="GZB1158" s="7"/>
      <c r="GZC1158" s="7"/>
      <c r="GZD1158" s="7"/>
      <c r="GZE1158" s="7"/>
      <c r="GZF1158" s="7"/>
      <c r="GZG1158" s="7"/>
      <c r="GZH1158" s="7"/>
      <c r="GZI1158" s="7"/>
      <c r="GZJ1158" s="7"/>
      <c r="GZK1158" s="7"/>
      <c r="GZL1158" s="7"/>
      <c r="GZM1158" s="7"/>
      <c r="GZN1158" s="7"/>
      <c r="GZO1158" s="7"/>
      <c r="GZP1158" s="7"/>
      <c r="GZQ1158" s="7"/>
      <c r="GZR1158" s="7"/>
      <c r="GZS1158" s="7"/>
      <c r="GZT1158" s="7"/>
      <c r="GZU1158" s="7"/>
      <c r="GZV1158" s="7"/>
      <c r="GZW1158" s="7"/>
      <c r="GZX1158" s="7"/>
      <c r="GZY1158" s="7"/>
      <c r="GZZ1158" s="7"/>
      <c r="HAA1158" s="7"/>
      <c r="HAB1158" s="7"/>
      <c r="HAC1158" s="7"/>
      <c r="HAD1158" s="7"/>
      <c r="HAE1158" s="7"/>
      <c r="HAF1158" s="7"/>
      <c r="HAG1158" s="7"/>
      <c r="HAH1158" s="7"/>
      <c r="HAI1158" s="7"/>
      <c r="HAJ1158" s="7"/>
      <c r="HAK1158" s="7"/>
      <c r="HAL1158" s="7"/>
      <c r="HAM1158" s="7"/>
      <c r="HAN1158" s="7"/>
      <c r="HAO1158" s="7"/>
      <c r="HAP1158" s="7"/>
      <c r="HAQ1158" s="7"/>
      <c r="HAR1158" s="7"/>
      <c r="HAS1158" s="7"/>
      <c r="HAT1158" s="7"/>
      <c r="HAU1158" s="7"/>
      <c r="HAV1158" s="7"/>
      <c r="HAW1158" s="7"/>
      <c r="HAX1158" s="7"/>
      <c r="HAY1158" s="7"/>
      <c r="HAZ1158" s="7"/>
      <c r="HBA1158" s="7"/>
      <c r="HBB1158" s="7"/>
      <c r="HBC1158" s="7"/>
      <c r="HBD1158" s="7"/>
      <c r="HBE1158" s="7"/>
      <c r="HBF1158" s="7"/>
      <c r="HBG1158" s="7"/>
      <c r="HBH1158" s="7"/>
      <c r="HBI1158" s="7"/>
      <c r="HBJ1158" s="7"/>
      <c r="HBK1158" s="7"/>
      <c r="HBL1158" s="7"/>
      <c r="HBM1158" s="7"/>
      <c r="HBN1158" s="7"/>
      <c r="HBO1158" s="7"/>
      <c r="HBP1158" s="7"/>
      <c r="HBQ1158" s="7"/>
      <c r="HBR1158" s="7"/>
      <c r="HBS1158" s="7"/>
      <c r="HBT1158" s="7"/>
      <c r="HBU1158" s="7"/>
      <c r="HBV1158" s="7"/>
      <c r="HBW1158" s="7"/>
      <c r="HBX1158" s="7"/>
      <c r="HBY1158" s="7"/>
      <c r="HBZ1158" s="7"/>
      <c r="HCA1158" s="7"/>
      <c r="HCB1158" s="7"/>
      <c r="HCC1158" s="7"/>
      <c r="HCD1158" s="7"/>
      <c r="HCE1158" s="7"/>
      <c r="HCF1158" s="7"/>
      <c r="HCG1158" s="7"/>
      <c r="HCH1158" s="7"/>
      <c r="HCI1158" s="7"/>
      <c r="HCJ1158" s="7"/>
      <c r="HCK1158" s="7"/>
      <c r="HCL1158" s="7"/>
      <c r="HCM1158" s="7"/>
      <c r="HCN1158" s="7"/>
      <c r="HCO1158" s="7"/>
      <c r="HCP1158" s="7"/>
      <c r="HCQ1158" s="7"/>
      <c r="HCR1158" s="7"/>
      <c r="HCS1158" s="7"/>
      <c r="HCT1158" s="7"/>
      <c r="HCU1158" s="7"/>
      <c r="HCV1158" s="7"/>
      <c r="HCW1158" s="7"/>
      <c r="HCX1158" s="7"/>
      <c r="HCY1158" s="7"/>
      <c r="HCZ1158" s="7"/>
      <c r="HDA1158" s="7"/>
      <c r="HDB1158" s="7"/>
      <c r="HDC1158" s="7"/>
      <c r="HDD1158" s="7"/>
      <c r="HDE1158" s="7"/>
      <c r="HDF1158" s="7"/>
      <c r="HDG1158" s="7"/>
      <c r="HDH1158" s="7"/>
      <c r="HDI1158" s="7"/>
      <c r="HDJ1158" s="7"/>
      <c r="HDK1158" s="7"/>
      <c r="HDL1158" s="7"/>
      <c r="HDM1158" s="7"/>
      <c r="HDN1158" s="7"/>
      <c r="HDO1158" s="7"/>
      <c r="HDP1158" s="7"/>
      <c r="HDQ1158" s="7"/>
      <c r="HDR1158" s="7"/>
      <c r="HDS1158" s="7"/>
      <c r="HDT1158" s="7"/>
      <c r="HDU1158" s="7"/>
      <c r="HDV1158" s="7"/>
      <c r="HDW1158" s="7"/>
      <c r="HDX1158" s="7"/>
      <c r="HDY1158" s="7"/>
      <c r="HDZ1158" s="7"/>
      <c r="HEA1158" s="7"/>
      <c r="HEB1158" s="7"/>
      <c r="HEC1158" s="7"/>
      <c r="HED1158" s="7"/>
      <c r="HEE1158" s="7"/>
      <c r="HEF1158" s="7"/>
      <c r="HEG1158" s="7"/>
      <c r="HEH1158" s="7"/>
      <c r="HEI1158" s="7"/>
      <c r="HEJ1158" s="7"/>
      <c r="HEK1158" s="7"/>
      <c r="HEL1158" s="7"/>
      <c r="HEM1158" s="7"/>
      <c r="HEN1158" s="7"/>
      <c r="HEO1158" s="7"/>
      <c r="HEP1158" s="7"/>
      <c r="HEQ1158" s="7"/>
      <c r="HER1158" s="7"/>
      <c r="HES1158" s="7"/>
      <c r="HET1158" s="7"/>
      <c r="HEU1158" s="7"/>
      <c r="HEV1158" s="7"/>
      <c r="HEW1158" s="7"/>
      <c r="HEX1158" s="7"/>
      <c r="HEY1158" s="7"/>
      <c r="HEZ1158" s="7"/>
      <c r="HFA1158" s="7"/>
      <c r="HFB1158" s="7"/>
      <c r="HFC1158" s="7"/>
      <c r="HFD1158" s="7"/>
      <c r="HFE1158" s="7"/>
      <c r="HFF1158" s="7"/>
      <c r="HFG1158" s="7"/>
      <c r="HFH1158" s="7"/>
      <c r="HFI1158" s="7"/>
      <c r="HFJ1158" s="7"/>
      <c r="HFK1158" s="7"/>
      <c r="HFL1158" s="7"/>
      <c r="HFM1158" s="7"/>
      <c r="HFN1158" s="7"/>
      <c r="HFO1158" s="7"/>
      <c r="HFP1158" s="7"/>
      <c r="HFQ1158" s="7"/>
      <c r="HFR1158" s="7"/>
      <c r="HFS1158" s="7"/>
      <c r="HFT1158" s="7"/>
      <c r="HFU1158" s="7"/>
      <c r="HFV1158" s="7"/>
      <c r="HFW1158" s="7"/>
      <c r="HFX1158" s="7"/>
      <c r="HFY1158" s="7"/>
      <c r="HFZ1158" s="7"/>
      <c r="HGA1158" s="7"/>
      <c r="HGB1158" s="7"/>
      <c r="HGC1158" s="7"/>
      <c r="HGD1158" s="7"/>
      <c r="HGE1158" s="7"/>
      <c r="HGF1158" s="7"/>
      <c r="HGG1158" s="7"/>
      <c r="HGH1158" s="7"/>
      <c r="HGI1158" s="7"/>
      <c r="HGJ1158" s="7"/>
      <c r="HGK1158" s="7"/>
      <c r="HGL1158" s="7"/>
      <c r="HGM1158" s="7"/>
      <c r="HGN1158" s="7"/>
      <c r="HGO1158" s="7"/>
      <c r="HGP1158" s="7"/>
      <c r="HGQ1158" s="7"/>
      <c r="HGR1158" s="7"/>
      <c r="HGS1158" s="7"/>
      <c r="HGT1158" s="7"/>
      <c r="HGU1158" s="7"/>
      <c r="HGV1158" s="7"/>
      <c r="HGW1158" s="7"/>
      <c r="HGX1158" s="7"/>
      <c r="HGY1158" s="7"/>
      <c r="HGZ1158" s="7"/>
      <c r="HHA1158" s="7"/>
      <c r="HHB1158" s="7"/>
      <c r="HHC1158" s="7"/>
      <c r="HHD1158" s="7"/>
      <c r="HHE1158" s="7"/>
      <c r="HHF1158" s="7"/>
      <c r="HHG1158" s="7"/>
      <c r="HHH1158" s="7"/>
      <c r="HHI1158" s="7"/>
      <c r="HHJ1158" s="7"/>
      <c r="HHK1158" s="7"/>
      <c r="HHL1158" s="7"/>
      <c r="HHM1158" s="7"/>
      <c r="HHN1158" s="7"/>
      <c r="HHO1158" s="7"/>
      <c r="HHP1158" s="7"/>
      <c r="HHQ1158" s="7"/>
      <c r="HHR1158" s="7"/>
      <c r="HHS1158" s="7"/>
      <c r="HHT1158" s="7"/>
      <c r="HHU1158" s="7"/>
      <c r="HHV1158" s="7"/>
      <c r="HHW1158" s="7"/>
      <c r="HHX1158" s="7"/>
      <c r="HHY1158" s="7"/>
      <c r="HHZ1158" s="7"/>
      <c r="HIA1158" s="7"/>
      <c r="HIB1158" s="7"/>
      <c r="HIC1158" s="7"/>
      <c r="HID1158" s="7"/>
      <c r="HIE1158" s="7"/>
      <c r="HIF1158" s="7"/>
      <c r="HIG1158" s="7"/>
      <c r="HIH1158" s="7"/>
      <c r="HII1158" s="7"/>
      <c r="HIJ1158" s="7"/>
      <c r="HIK1158" s="7"/>
      <c r="HIL1158" s="7"/>
      <c r="HIM1158" s="7"/>
      <c r="HIN1158" s="7"/>
      <c r="HIO1158" s="7"/>
      <c r="HIP1158" s="7"/>
      <c r="HIQ1158" s="7"/>
      <c r="HIR1158" s="7"/>
      <c r="HIS1158" s="7"/>
      <c r="HIT1158" s="7"/>
      <c r="HIU1158" s="7"/>
      <c r="HIV1158" s="7"/>
      <c r="HIW1158" s="7"/>
      <c r="HIX1158" s="7"/>
      <c r="HIY1158" s="7"/>
      <c r="HIZ1158" s="7"/>
      <c r="HJA1158" s="7"/>
      <c r="HJB1158" s="7"/>
      <c r="HJC1158" s="7"/>
      <c r="HJD1158" s="7"/>
      <c r="HJE1158" s="7"/>
      <c r="HJF1158" s="7"/>
      <c r="HJG1158" s="7"/>
      <c r="HJH1158" s="7"/>
      <c r="HJI1158" s="7"/>
      <c r="HJJ1158" s="7"/>
      <c r="HJK1158" s="7"/>
      <c r="HJL1158" s="7"/>
      <c r="HJM1158" s="7"/>
      <c r="HJN1158" s="7"/>
      <c r="HJO1158" s="7"/>
      <c r="HJP1158" s="7"/>
      <c r="HJQ1158" s="7"/>
      <c r="HJR1158" s="7"/>
      <c r="HJS1158" s="7"/>
      <c r="HJT1158" s="7"/>
      <c r="HJU1158" s="7"/>
      <c r="HJV1158" s="7"/>
      <c r="HJW1158" s="7"/>
      <c r="HJX1158" s="7"/>
      <c r="HJY1158" s="7"/>
      <c r="HJZ1158" s="7"/>
      <c r="HKA1158" s="7"/>
      <c r="HKB1158" s="7"/>
      <c r="HKC1158" s="7"/>
      <c r="HKD1158" s="7"/>
      <c r="HKE1158" s="7"/>
      <c r="HKF1158" s="7"/>
      <c r="HKG1158" s="7"/>
      <c r="HKH1158" s="7"/>
      <c r="HKI1158" s="7"/>
      <c r="HKJ1158" s="7"/>
      <c r="HKK1158" s="7"/>
      <c r="HKL1158" s="7"/>
      <c r="HKM1158" s="7"/>
      <c r="HKN1158" s="7"/>
      <c r="HKO1158" s="7"/>
      <c r="HKP1158" s="7"/>
      <c r="HKQ1158" s="7"/>
      <c r="HKR1158" s="7"/>
      <c r="HKS1158" s="7"/>
      <c r="HKT1158" s="7"/>
      <c r="HKU1158" s="7"/>
      <c r="HKV1158" s="7"/>
      <c r="HKW1158" s="7"/>
      <c r="HKX1158" s="7"/>
      <c r="HKY1158" s="7"/>
      <c r="HKZ1158" s="7"/>
      <c r="HLA1158" s="7"/>
      <c r="HLB1158" s="7"/>
      <c r="HLC1158" s="7"/>
      <c r="HLD1158" s="7"/>
      <c r="HLE1158" s="7"/>
      <c r="HLF1158" s="7"/>
      <c r="HLG1158" s="7"/>
      <c r="HLH1158" s="7"/>
      <c r="HLI1158" s="7"/>
      <c r="HLJ1158" s="7"/>
      <c r="HLK1158" s="7"/>
      <c r="HLL1158" s="7"/>
      <c r="HLM1158" s="7"/>
      <c r="HLN1158" s="7"/>
      <c r="HLO1158" s="7"/>
      <c r="HLP1158" s="7"/>
      <c r="HLQ1158" s="7"/>
      <c r="HLR1158" s="7"/>
      <c r="HLS1158" s="7"/>
      <c r="HLT1158" s="7"/>
      <c r="HLU1158" s="7"/>
      <c r="HLV1158" s="7"/>
      <c r="HLW1158" s="7"/>
      <c r="HLX1158" s="7"/>
      <c r="HLY1158" s="7"/>
      <c r="HLZ1158" s="7"/>
      <c r="HMA1158" s="7"/>
      <c r="HMB1158" s="7"/>
      <c r="HMC1158" s="7"/>
      <c r="HMD1158" s="7"/>
      <c r="HME1158" s="7"/>
      <c r="HMF1158" s="7"/>
      <c r="HMG1158" s="7"/>
      <c r="HMH1158" s="7"/>
      <c r="HMI1158" s="7"/>
      <c r="HMJ1158" s="7"/>
      <c r="HMK1158" s="7"/>
      <c r="HML1158" s="7"/>
      <c r="HMM1158" s="7"/>
      <c r="HMN1158" s="7"/>
      <c r="HMO1158" s="7"/>
      <c r="HMP1158" s="7"/>
      <c r="HMQ1158" s="7"/>
      <c r="HMR1158" s="7"/>
      <c r="HMS1158" s="7"/>
      <c r="HMT1158" s="7"/>
      <c r="HMU1158" s="7"/>
      <c r="HMV1158" s="7"/>
      <c r="HMW1158" s="7"/>
      <c r="HMX1158" s="7"/>
      <c r="HMY1158" s="7"/>
      <c r="HMZ1158" s="7"/>
      <c r="HNA1158" s="7"/>
      <c r="HNB1158" s="7"/>
      <c r="HNC1158" s="7"/>
      <c r="HND1158" s="7"/>
      <c r="HNE1158" s="7"/>
      <c r="HNF1158" s="7"/>
      <c r="HNG1158" s="7"/>
      <c r="HNH1158" s="7"/>
      <c r="HNI1158" s="7"/>
      <c r="HNJ1158" s="7"/>
      <c r="HNK1158" s="7"/>
      <c r="HNL1158" s="7"/>
      <c r="HNM1158" s="7"/>
      <c r="HNN1158" s="7"/>
      <c r="HNO1158" s="7"/>
      <c r="HNP1158" s="7"/>
      <c r="HNQ1158" s="7"/>
      <c r="HNR1158" s="7"/>
      <c r="HNS1158" s="7"/>
      <c r="HNT1158" s="7"/>
      <c r="HNU1158" s="7"/>
      <c r="HNV1158" s="7"/>
      <c r="HNW1158" s="7"/>
      <c r="HNX1158" s="7"/>
      <c r="HNY1158" s="7"/>
      <c r="HNZ1158" s="7"/>
      <c r="HOA1158" s="7"/>
      <c r="HOB1158" s="7"/>
      <c r="HOC1158" s="7"/>
      <c r="HOD1158" s="7"/>
      <c r="HOE1158" s="7"/>
      <c r="HOF1158" s="7"/>
      <c r="HOG1158" s="7"/>
      <c r="HOH1158" s="7"/>
      <c r="HOI1158" s="7"/>
      <c r="HOJ1158" s="7"/>
      <c r="HOK1158" s="7"/>
      <c r="HOL1158" s="7"/>
      <c r="HOM1158" s="7"/>
      <c r="HON1158" s="7"/>
      <c r="HOO1158" s="7"/>
      <c r="HOP1158" s="7"/>
      <c r="HOQ1158" s="7"/>
      <c r="HOR1158" s="7"/>
      <c r="HOS1158" s="7"/>
      <c r="HOT1158" s="7"/>
      <c r="HOU1158" s="7"/>
      <c r="HOV1158" s="7"/>
      <c r="HOW1158" s="7"/>
      <c r="HOX1158" s="7"/>
      <c r="HOY1158" s="7"/>
      <c r="HOZ1158" s="7"/>
      <c r="HPA1158" s="7"/>
      <c r="HPB1158" s="7"/>
      <c r="HPC1158" s="7"/>
      <c r="HPD1158" s="7"/>
      <c r="HPE1158" s="7"/>
      <c r="HPF1158" s="7"/>
      <c r="HPG1158" s="7"/>
      <c r="HPH1158" s="7"/>
      <c r="HPI1158" s="7"/>
      <c r="HPJ1158" s="7"/>
      <c r="HPK1158" s="7"/>
      <c r="HPL1158" s="7"/>
      <c r="HPM1158" s="7"/>
      <c r="HPN1158" s="7"/>
      <c r="HPO1158" s="7"/>
      <c r="HPP1158" s="7"/>
      <c r="HPQ1158" s="7"/>
      <c r="HPR1158" s="7"/>
      <c r="HPS1158" s="7"/>
      <c r="HPT1158" s="7"/>
      <c r="HPU1158" s="7"/>
      <c r="HPV1158" s="7"/>
      <c r="HPW1158" s="7"/>
      <c r="HPX1158" s="7"/>
      <c r="HPY1158" s="7"/>
      <c r="HPZ1158" s="7"/>
      <c r="HQA1158" s="7"/>
      <c r="HQB1158" s="7"/>
      <c r="HQC1158" s="7"/>
      <c r="HQD1158" s="7"/>
      <c r="HQE1158" s="7"/>
      <c r="HQF1158" s="7"/>
      <c r="HQG1158" s="7"/>
      <c r="HQH1158" s="7"/>
      <c r="HQI1158" s="7"/>
      <c r="HQJ1158" s="7"/>
      <c r="HQK1158" s="7"/>
      <c r="HQL1158" s="7"/>
      <c r="HQM1158" s="7"/>
      <c r="HQN1158" s="7"/>
      <c r="HQO1158" s="7"/>
      <c r="HQP1158" s="7"/>
      <c r="HQQ1158" s="7"/>
      <c r="HQR1158" s="7"/>
      <c r="HQS1158" s="7"/>
      <c r="HQT1158" s="7"/>
      <c r="HQU1158" s="7"/>
      <c r="HQV1158" s="7"/>
      <c r="HQW1158" s="7"/>
      <c r="HQX1158" s="7"/>
      <c r="HQY1158" s="7"/>
      <c r="HQZ1158" s="7"/>
      <c r="HRA1158" s="7"/>
      <c r="HRB1158" s="7"/>
      <c r="HRC1158" s="7"/>
      <c r="HRD1158" s="7"/>
      <c r="HRE1158" s="7"/>
      <c r="HRF1158" s="7"/>
      <c r="HRG1158" s="7"/>
      <c r="HRH1158" s="7"/>
      <c r="HRI1158" s="7"/>
      <c r="HRJ1158" s="7"/>
      <c r="HRK1158" s="7"/>
      <c r="HRL1158" s="7"/>
      <c r="HRM1158" s="7"/>
      <c r="HRN1158" s="7"/>
      <c r="HRO1158" s="7"/>
      <c r="HRP1158" s="7"/>
      <c r="HRQ1158" s="7"/>
      <c r="HRR1158" s="7"/>
      <c r="HRS1158" s="7"/>
      <c r="HRT1158" s="7"/>
      <c r="HRU1158" s="7"/>
      <c r="HRV1158" s="7"/>
      <c r="HRW1158" s="7"/>
      <c r="HRX1158" s="7"/>
      <c r="HRY1158" s="7"/>
      <c r="HRZ1158" s="7"/>
      <c r="HSA1158" s="7"/>
      <c r="HSB1158" s="7"/>
      <c r="HSC1158" s="7"/>
      <c r="HSD1158" s="7"/>
      <c r="HSE1158" s="7"/>
      <c r="HSF1158" s="7"/>
      <c r="HSG1158" s="7"/>
      <c r="HSH1158" s="7"/>
      <c r="HSI1158" s="7"/>
      <c r="HSJ1158" s="7"/>
      <c r="HSK1158" s="7"/>
      <c r="HSL1158" s="7"/>
      <c r="HSM1158" s="7"/>
      <c r="HSN1158" s="7"/>
      <c r="HSO1158" s="7"/>
      <c r="HSP1158" s="7"/>
      <c r="HSQ1158" s="7"/>
      <c r="HSR1158" s="7"/>
      <c r="HSS1158" s="7"/>
      <c r="HST1158" s="7"/>
      <c r="HSU1158" s="7"/>
      <c r="HSV1158" s="7"/>
      <c r="HSW1158" s="7"/>
      <c r="HSX1158" s="7"/>
      <c r="HSY1158" s="7"/>
      <c r="HSZ1158" s="7"/>
      <c r="HTA1158" s="7"/>
      <c r="HTB1158" s="7"/>
      <c r="HTC1158" s="7"/>
      <c r="HTD1158" s="7"/>
      <c r="HTE1158" s="7"/>
      <c r="HTF1158" s="7"/>
      <c r="HTG1158" s="7"/>
      <c r="HTH1158" s="7"/>
      <c r="HTI1158" s="7"/>
      <c r="HTJ1158" s="7"/>
      <c r="HTK1158" s="7"/>
      <c r="HTL1158" s="7"/>
      <c r="HTM1158" s="7"/>
      <c r="HTN1158" s="7"/>
      <c r="HTO1158" s="7"/>
      <c r="HTP1158" s="7"/>
      <c r="HTQ1158" s="7"/>
      <c r="HTR1158" s="7"/>
      <c r="HTS1158" s="7"/>
      <c r="HTT1158" s="7"/>
      <c r="HTU1158" s="7"/>
      <c r="HTV1158" s="7"/>
      <c r="HTW1158" s="7"/>
      <c r="HTX1158" s="7"/>
      <c r="HTY1158" s="7"/>
      <c r="HTZ1158" s="7"/>
      <c r="HUA1158" s="7"/>
      <c r="HUB1158" s="7"/>
      <c r="HUC1158" s="7"/>
      <c r="HUD1158" s="7"/>
      <c r="HUE1158" s="7"/>
      <c r="HUF1158" s="7"/>
      <c r="HUG1158" s="7"/>
      <c r="HUH1158" s="7"/>
      <c r="HUI1158" s="7"/>
      <c r="HUJ1158" s="7"/>
      <c r="HUK1158" s="7"/>
      <c r="HUL1158" s="7"/>
      <c r="HUM1158" s="7"/>
      <c r="HUN1158" s="7"/>
      <c r="HUO1158" s="7"/>
      <c r="HUP1158" s="7"/>
      <c r="HUQ1158" s="7"/>
      <c r="HUR1158" s="7"/>
      <c r="HUS1158" s="7"/>
      <c r="HUT1158" s="7"/>
      <c r="HUU1158" s="7"/>
      <c r="HUV1158" s="7"/>
      <c r="HUW1158" s="7"/>
      <c r="HUX1158" s="7"/>
      <c r="HUY1158" s="7"/>
      <c r="HUZ1158" s="7"/>
      <c r="HVA1158" s="7"/>
      <c r="HVB1158" s="7"/>
      <c r="HVC1158" s="7"/>
      <c r="HVD1158" s="7"/>
      <c r="HVE1158" s="7"/>
      <c r="HVF1158" s="7"/>
      <c r="HVG1158" s="7"/>
      <c r="HVH1158" s="7"/>
      <c r="HVI1158" s="7"/>
      <c r="HVJ1158" s="7"/>
      <c r="HVK1158" s="7"/>
      <c r="HVL1158" s="7"/>
      <c r="HVM1158" s="7"/>
      <c r="HVN1158" s="7"/>
      <c r="HVO1158" s="7"/>
      <c r="HVP1158" s="7"/>
      <c r="HVQ1158" s="7"/>
      <c r="HVR1158" s="7"/>
      <c r="HVS1158" s="7"/>
      <c r="HVT1158" s="7"/>
      <c r="HVU1158" s="7"/>
      <c r="HVV1158" s="7"/>
      <c r="HVW1158" s="7"/>
      <c r="HVX1158" s="7"/>
      <c r="HVY1158" s="7"/>
      <c r="HVZ1158" s="7"/>
      <c r="HWA1158" s="7"/>
      <c r="HWB1158" s="7"/>
      <c r="HWC1158" s="7"/>
      <c r="HWD1158" s="7"/>
      <c r="HWE1158" s="7"/>
      <c r="HWF1158" s="7"/>
      <c r="HWG1158" s="7"/>
      <c r="HWH1158" s="7"/>
      <c r="HWI1158" s="7"/>
      <c r="HWJ1158" s="7"/>
      <c r="HWK1158" s="7"/>
      <c r="HWL1158" s="7"/>
      <c r="HWM1158" s="7"/>
      <c r="HWN1158" s="7"/>
      <c r="HWO1158" s="7"/>
      <c r="HWP1158" s="7"/>
      <c r="HWQ1158" s="7"/>
      <c r="HWR1158" s="7"/>
      <c r="HWS1158" s="7"/>
      <c r="HWT1158" s="7"/>
      <c r="HWU1158" s="7"/>
      <c r="HWV1158" s="7"/>
      <c r="HWW1158" s="7"/>
      <c r="HWX1158" s="7"/>
      <c r="HWY1158" s="7"/>
      <c r="HWZ1158" s="7"/>
      <c r="HXA1158" s="7"/>
      <c r="HXB1158" s="7"/>
      <c r="HXC1158" s="7"/>
      <c r="HXD1158" s="7"/>
      <c r="HXE1158" s="7"/>
      <c r="HXF1158" s="7"/>
      <c r="HXG1158" s="7"/>
      <c r="HXH1158" s="7"/>
      <c r="HXI1158" s="7"/>
      <c r="HXJ1158" s="7"/>
      <c r="HXK1158" s="7"/>
      <c r="HXL1158" s="7"/>
      <c r="HXM1158" s="7"/>
      <c r="HXN1158" s="7"/>
      <c r="HXO1158" s="7"/>
      <c r="HXP1158" s="7"/>
      <c r="HXQ1158" s="7"/>
      <c r="HXR1158" s="7"/>
      <c r="HXS1158" s="7"/>
      <c r="HXT1158" s="7"/>
      <c r="HXU1158" s="7"/>
      <c r="HXV1158" s="7"/>
      <c r="HXW1158" s="7"/>
      <c r="HXX1158" s="7"/>
      <c r="HXY1158" s="7"/>
      <c r="HXZ1158" s="7"/>
      <c r="HYA1158" s="7"/>
      <c r="HYB1158" s="7"/>
      <c r="HYC1158" s="7"/>
      <c r="HYD1158" s="7"/>
      <c r="HYE1158" s="7"/>
      <c r="HYF1158" s="7"/>
      <c r="HYG1158" s="7"/>
      <c r="HYH1158" s="7"/>
      <c r="HYI1158" s="7"/>
      <c r="HYJ1158" s="7"/>
      <c r="HYK1158" s="7"/>
      <c r="HYL1158" s="7"/>
      <c r="HYM1158" s="7"/>
      <c r="HYN1158" s="7"/>
      <c r="HYO1158" s="7"/>
      <c r="HYP1158" s="7"/>
      <c r="HYQ1158" s="7"/>
      <c r="HYR1158" s="7"/>
      <c r="HYS1158" s="7"/>
      <c r="HYT1158" s="7"/>
      <c r="HYU1158" s="7"/>
      <c r="HYV1158" s="7"/>
      <c r="HYW1158" s="7"/>
      <c r="HYX1158" s="7"/>
      <c r="HYY1158" s="7"/>
      <c r="HYZ1158" s="7"/>
      <c r="HZA1158" s="7"/>
      <c r="HZB1158" s="7"/>
      <c r="HZC1158" s="7"/>
      <c r="HZD1158" s="7"/>
      <c r="HZE1158" s="7"/>
      <c r="HZF1158" s="7"/>
      <c r="HZG1158" s="7"/>
      <c r="HZH1158" s="7"/>
      <c r="HZI1158" s="7"/>
      <c r="HZJ1158" s="7"/>
      <c r="HZK1158" s="7"/>
      <c r="HZL1158" s="7"/>
      <c r="HZM1158" s="7"/>
      <c r="HZN1158" s="7"/>
      <c r="HZO1158" s="7"/>
      <c r="HZP1158" s="7"/>
      <c r="HZQ1158" s="7"/>
      <c r="HZR1158" s="7"/>
      <c r="HZS1158" s="7"/>
      <c r="HZT1158" s="7"/>
      <c r="HZU1158" s="7"/>
      <c r="HZV1158" s="7"/>
      <c r="HZW1158" s="7"/>
      <c r="HZX1158" s="7"/>
      <c r="HZY1158" s="7"/>
      <c r="HZZ1158" s="7"/>
      <c r="IAA1158" s="7"/>
      <c r="IAB1158" s="7"/>
      <c r="IAC1158" s="7"/>
      <c r="IAD1158" s="7"/>
      <c r="IAE1158" s="7"/>
      <c r="IAF1158" s="7"/>
      <c r="IAG1158" s="7"/>
      <c r="IAH1158" s="7"/>
      <c r="IAI1158" s="7"/>
      <c r="IAJ1158" s="7"/>
      <c r="IAK1158" s="7"/>
      <c r="IAL1158" s="7"/>
      <c r="IAM1158" s="7"/>
      <c r="IAN1158" s="7"/>
      <c r="IAO1158" s="7"/>
      <c r="IAP1158" s="7"/>
      <c r="IAQ1158" s="7"/>
      <c r="IAR1158" s="7"/>
      <c r="IAS1158" s="7"/>
      <c r="IAT1158" s="7"/>
      <c r="IAU1158" s="7"/>
      <c r="IAV1158" s="7"/>
      <c r="IAW1158" s="7"/>
      <c r="IAX1158" s="7"/>
      <c r="IAY1158" s="7"/>
      <c r="IAZ1158" s="7"/>
      <c r="IBA1158" s="7"/>
      <c r="IBB1158" s="7"/>
      <c r="IBC1158" s="7"/>
      <c r="IBD1158" s="7"/>
      <c r="IBE1158" s="7"/>
      <c r="IBF1158" s="7"/>
      <c r="IBG1158" s="7"/>
      <c r="IBH1158" s="7"/>
      <c r="IBI1158" s="7"/>
      <c r="IBJ1158" s="7"/>
      <c r="IBK1158" s="7"/>
      <c r="IBL1158" s="7"/>
      <c r="IBM1158" s="7"/>
      <c r="IBN1158" s="7"/>
      <c r="IBO1158" s="7"/>
      <c r="IBP1158" s="7"/>
      <c r="IBQ1158" s="7"/>
      <c r="IBR1158" s="7"/>
      <c r="IBS1158" s="7"/>
      <c r="IBT1158" s="7"/>
      <c r="IBU1158" s="7"/>
      <c r="IBV1158" s="7"/>
      <c r="IBW1158" s="7"/>
      <c r="IBX1158" s="7"/>
      <c r="IBY1158" s="7"/>
      <c r="IBZ1158" s="7"/>
      <c r="ICA1158" s="7"/>
      <c r="ICB1158" s="7"/>
      <c r="ICC1158" s="7"/>
      <c r="ICD1158" s="7"/>
      <c r="ICE1158" s="7"/>
      <c r="ICF1158" s="7"/>
      <c r="ICG1158" s="7"/>
      <c r="ICH1158" s="7"/>
      <c r="ICI1158" s="7"/>
      <c r="ICJ1158" s="7"/>
      <c r="ICK1158" s="7"/>
      <c r="ICL1158" s="7"/>
      <c r="ICM1158" s="7"/>
      <c r="ICN1158" s="7"/>
      <c r="ICO1158" s="7"/>
      <c r="ICP1158" s="7"/>
      <c r="ICQ1158" s="7"/>
      <c r="ICR1158" s="7"/>
      <c r="ICS1158" s="7"/>
      <c r="ICT1158" s="7"/>
      <c r="ICU1158" s="7"/>
      <c r="ICV1158" s="7"/>
      <c r="ICW1158" s="7"/>
      <c r="ICX1158" s="7"/>
      <c r="ICY1158" s="7"/>
      <c r="ICZ1158" s="7"/>
      <c r="IDA1158" s="7"/>
      <c r="IDB1158" s="7"/>
      <c r="IDC1158" s="7"/>
      <c r="IDD1158" s="7"/>
      <c r="IDE1158" s="7"/>
      <c r="IDF1158" s="7"/>
      <c r="IDG1158" s="7"/>
      <c r="IDH1158" s="7"/>
      <c r="IDI1158" s="7"/>
      <c r="IDJ1158" s="7"/>
      <c r="IDK1158" s="7"/>
      <c r="IDL1158" s="7"/>
      <c r="IDM1158" s="7"/>
      <c r="IDN1158" s="7"/>
      <c r="IDO1158" s="7"/>
      <c r="IDP1158" s="7"/>
      <c r="IDQ1158" s="7"/>
      <c r="IDR1158" s="7"/>
      <c r="IDS1158" s="7"/>
      <c r="IDT1158" s="7"/>
      <c r="IDU1158" s="7"/>
      <c r="IDV1158" s="7"/>
      <c r="IDW1158" s="7"/>
      <c r="IDX1158" s="7"/>
      <c r="IDY1158" s="7"/>
      <c r="IDZ1158" s="7"/>
      <c r="IEA1158" s="7"/>
      <c r="IEB1158" s="7"/>
      <c r="IEC1158" s="7"/>
      <c r="IED1158" s="7"/>
      <c r="IEE1158" s="7"/>
      <c r="IEF1158" s="7"/>
      <c r="IEG1158" s="7"/>
      <c r="IEH1158" s="7"/>
      <c r="IEI1158" s="7"/>
      <c r="IEJ1158" s="7"/>
      <c r="IEK1158" s="7"/>
      <c r="IEL1158" s="7"/>
      <c r="IEM1158" s="7"/>
      <c r="IEN1158" s="7"/>
      <c r="IEO1158" s="7"/>
      <c r="IEP1158" s="7"/>
      <c r="IEQ1158" s="7"/>
      <c r="IER1158" s="7"/>
      <c r="IES1158" s="7"/>
      <c r="IET1158" s="7"/>
      <c r="IEU1158" s="7"/>
      <c r="IEV1158" s="7"/>
      <c r="IEW1158" s="7"/>
      <c r="IEX1158" s="7"/>
      <c r="IEY1158" s="7"/>
      <c r="IEZ1158" s="7"/>
      <c r="IFA1158" s="7"/>
      <c r="IFB1158" s="7"/>
      <c r="IFC1158" s="7"/>
      <c r="IFD1158" s="7"/>
      <c r="IFE1158" s="7"/>
      <c r="IFF1158" s="7"/>
      <c r="IFG1158" s="7"/>
      <c r="IFH1158" s="7"/>
      <c r="IFI1158" s="7"/>
      <c r="IFJ1158" s="7"/>
      <c r="IFK1158" s="7"/>
      <c r="IFL1158" s="7"/>
      <c r="IFM1158" s="7"/>
      <c r="IFN1158" s="7"/>
      <c r="IFO1158" s="7"/>
      <c r="IFP1158" s="7"/>
      <c r="IFQ1158" s="7"/>
      <c r="IFR1158" s="7"/>
      <c r="IFS1158" s="7"/>
      <c r="IFT1158" s="7"/>
      <c r="IFU1158" s="7"/>
      <c r="IFV1158" s="7"/>
      <c r="IFW1158" s="7"/>
      <c r="IFX1158" s="7"/>
      <c r="IFY1158" s="7"/>
      <c r="IFZ1158" s="7"/>
      <c r="IGA1158" s="7"/>
      <c r="IGB1158" s="7"/>
      <c r="IGC1158" s="7"/>
      <c r="IGD1158" s="7"/>
      <c r="IGE1158" s="7"/>
      <c r="IGF1158" s="7"/>
      <c r="IGG1158" s="7"/>
      <c r="IGH1158" s="7"/>
      <c r="IGI1158" s="7"/>
      <c r="IGJ1158" s="7"/>
      <c r="IGK1158" s="7"/>
      <c r="IGL1158" s="7"/>
      <c r="IGM1158" s="7"/>
      <c r="IGN1158" s="7"/>
      <c r="IGO1158" s="7"/>
      <c r="IGP1158" s="7"/>
      <c r="IGQ1158" s="7"/>
      <c r="IGR1158" s="7"/>
      <c r="IGS1158" s="7"/>
      <c r="IGT1158" s="7"/>
      <c r="IGU1158" s="7"/>
      <c r="IGV1158" s="7"/>
      <c r="IGW1158" s="7"/>
      <c r="IGX1158" s="7"/>
      <c r="IGY1158" s="7"/>
      <c r="IGZ1158" s="7"/>
      <c r="IHA1158" s="7"/>
      <c r="IHB1158" s="7"/>
      <c r="IHC1158" s="7"/>
      <c r="IHD1158" s="7"/>
      <c r="IHE1158" s="7"/>
      <c r="IHF1158" s="7"/>
      <c r="IHG1158" s="7"/>
      <c r="IHH1158" s="7"/>
      <c r="IHI1158" s="7"/>
      <c r="IHJ1158" s="7"/>
      <c r="IHK1158" s="7"/>
      <c r="IHL1158" s="7"/>
      <c r="IHM1158" s="7"/>
      <c r="IHN1158" s="7"/>
      <c r="IHO1158" s="7"/>
      <c r="IHP1158" s="7"/>
      <c r="IHQ1158" s="7"/>
      <c r="IHR1158" s="7"/>
      <c r="IHS1158" s="7"/>
      <c r="IHT1158" s="7"/>
      <c r="IHU1158" s="7"/>
      <c r="IHV1158" s="7"/>
      <c r="IHW1158" s="7"/>
      <c r="IHX1158" s="7"/>
      <c r="IHY1158" s="7"/>
      <c r="IHZ1158" s="7"/>
      <c r="IIA1158" s="7"/>
      <c r="IIB1158" s="7"/>
      <c r="IIC1158" s="7"/>
      <c r="IID1158" s="7"/>
      <c r="IIE1158" s="7"/>
      <c r="IIF1158" s="7"/>
      <c r="IIG1158" s="7"/>
      <c r="IIH1158" s="7"/>
      <c r="III1158" s="7"/>
      <c r="IIJ1158" s="7"/>
      <c r="IIK1158" s="7"/>
      <c r="IIL1158" s="7"/>
      <c r="IIM1158" s="7"/>
      <c r="IIN1158" s="7"/>
      <c r="IIO1158" s="7"/>
      <c r="IIP1158" s="7"/>
      <c r="IIQ1158" s="7"/>
      <c r="IIR1158" s="7"/>
      <c r="IIS1158" s="7"/>
      <c r="IIT1158" s="7"/>
      <c r="IIU1158" s="7"/>
      <c r="IIV1158" s="7"/>
      <c r="IIW1158" s="7"/>
      <c r="IIX1158" s="7"/>
      <c r="IIY1158" s="7"/>
      <c r="IIZ1158" s="7"/>
      <c r="IJA1158" s="7"/>
      <c r="IJB1158" s="7"/>
      <c r="IJC1158" s="7"/>
      <c r="IJD1158" s="7"/>
      <c r="IJE1158" s="7"/>
      <c r="IJF1158" s="7"/>
      <c r="IJG1158" s="7"/>
      <c r="IJH1158" s="7"/>
      <c r="IJI1158" s="7"/>
      <c r="IJJ1158" s="7"/>
      <c r="IJK1158" s="7"/>
      <c r="IJL1158" s="7"/>
      <c r="IJM1158" s="7"/>
      <c r="IJN1158" s="7"/>
      <c r="IJO1158" s="7"/>
      <c r="IJP1158" s="7"/>
      <c r="IJQ1158" s="7"/>
      <c r="IJR1158" s="7"/>
      <c r="IJS1158" s="7"/>
      <c r="IJT1158" s="7"/>
      <c r="IJU1158" s="7"/>
      <c r="IJV1158" s="7"/>
      <c r="IJW1158" s="7"/>
      <c r="IJX1158" s="7"/>
      <c r="IJY1158" s="7"/>
      <c r="IJZ1158" s="7"/>
      <c r="IKA1158" s="7"/>
      <c r="IKB1158" s="7"/>
      <c r="IKC1158" s="7"/>
      <c r="IKD1158" s="7"/>
      <c r="IKE1158" s="7"/>
      <c r="IKF1158" s="7"/>
      <c r="IKG1158" s="7"/>
      <c r="IKH1158" s="7"/>
      <c r="IKI1158" s="7"/>
      <c r="IKJ1158" s="7"/>
      <c r="IKK1158" s="7"/>
      <c r="IKL1158" s="7"/>
      <c r="IKM1158" s="7"/>
      <c r="IKN1158" s="7"/>
      <c r="IKO1158" s="7"/>
      <c r="IKP1158" s="7"/>
      <c r="IKQ1158" s="7"/>
      <c r="IKR1158" s="7"/>
      <c r="IKS1158" s="7"/>
      <c r="IKT1158" s="7"/>
      <c r="IKU1158" s="7"/>
      <c r="IKV1158" s="7"/>
      <c r="IKW1158" s="7"/>
      <c r="IKX1158" s="7"/>
      <c r="IKY1158" s="7"/>
      <c r="IKZ1158" s="7"/>
      <c r="ILA1158" s="7"/>
      <c r="ILB1158" s="7"/>
      <c r="ILC1158" s="7"/>
      <c r="ILD1158" s="7"/>
      <c r="ILE1158" s="7"/>
      <c r="ILF1158" s="7"/>
      <c r="ILG1158" s="7"/>
      <c r="ILH1158" s="7"/>
      <c r="ILI1158" s="7"/>
      <c r="ILJ1158" s="7"/>
      <c r="ILK1158" s="7"/>
      <c r="ILL1158" s="7"/>
      <c r="ILM1158" s="7"/>
      <c r="ILN1158" s="7"/>
      <c r="ILO1158" s="7"/>
      <c r="ILP1158" s="7"/>
      <c r="ILQ1158" s="7"/>
      <c r="ILR1158" s="7"/>
      <c r="ILS1158" s="7"/>
      <c r="ILT1158" s="7"/>
      <c r="ILU1158" s="7"/>
      <c r="ILV1158" s="7"/>
      <c r="ILW1158" s="7"/>
      <c r="ILX1158" s="7"/>
      <c r="ILY1158" s="7"/>
      <c r="ILZ1158" s="7"/>
      <c r="IMA1158" s="7"/>
      <c r="IMB1158" s="7"/>
      <c r="IMC1158" s="7"/>
      <c r="IMD1158" s="7"/>
      <c r="IME1158" s="7"/>
      <c r="IMF1158" s="7"/>
      <c r="IMG1158" s="7"/>
      <c r="IMH1158" s="7"/>
      <c r="IMI1158" s="7"/>
      <c r="IMJ1158" s="7"/>
      <c r="IMK1158" s="7"/>
      <c r="IML1158" s="7"/>
      <c r="IMM1158" s="7"/>
      <c r="IMN1158" s="7"/>
      <c r="IMO1158" s="7"/>
      <c r="IMP1158" s="7"/>
      <c r="IMQ1158" s="7"/>
      <c r="IMR1158" s="7"/>
      <c r="IMS1158" s="7"/>
      <c r="IMT1158" s="7"/>
      <c r="IMU1158" s="7"/>
      <c r="IMV1158" s="7"/>
      <c r="IMW1158" s="7"/>
      <c r="IMX1158" s="7"/>
      <c r="IMY1158" s="7"/>
      <c r="IMZ1158" s="7"/>
      <c r="INA1158" s="7"/>
      <c r="INB1158" s="7"/>
      <c r="INC1158" s="7"/>
      <c r="IND1158" s="7"/>
      <c r="INE1158" s="7"/>
      <c r="INF1158" s="7"/>
      <c r="ING1158" s="7"/>
      <c r="INH1158" s="7"/>
      <c r="INI1158" s="7"/>
      <c r="INJ1158" s="7"/>
      <c r="INK1158" s="7"/>
      <c r="INL1158" s="7"/>
      <c r="INM1158" s="7"/>
      <c r="INN1158" s="7"/>
      <c r="INO1158" s="7"/>
      <c r="INP1158" s="7"/>
      <c r="INQ1158" s="7"/>
      <c r="INR1158" s="7"/>
      <c r="INS1158" s="7"/>
      <c r="INT1158" s="7"/>
      <c r="INU1158" s="7"/>
      <c r="INV1158" s="7"/>
      <c r="INW1158" s="7"/>
      <c r="INX1158" s="7"/>
      <c r="INY1158" s="7"/>
      <c r="INZ1158" s="7"/>
      <c r="IOA1158" s="7"/>
      <c r="IOB1158" s="7"/>
      <c r="IOC1158" s="7"/>
      <c r="IOD1158" s="7"/>
      <c r="IOE1158" s="7"/>
      <c r="IOF1158" s="7"/>
      <c r="IOG1158" s="7"/>
      <c r="IOH1158" s="7"/>
      <c r="IOI1158" s="7"/>
      <c r="IOJ1158" s="7"/>
      <c r="IOK1158" s="7"/>
      <c r="IOL1158" s="7"/>
      <c r="IOM1158" s="7"/>
      <c r="ION1158" s="7"/>
      <c r="IOO1158" s="7"/>
      <c r="IOP1158" s="7"/>
      <c r="IOQ1158" s="7"/>
      <c r="IOR1158" s="7"/>
      <c r="IOS1158" s="7"/>
      <c r="IOT1158" s="7"/>
      <c r="IOU1158" s="7"/>
      <c r="IOV1158" s="7"/>
      <c r="IOW1158" s="7"/>
      <c r="IOX1158" s="7"/>
      <c r="IOY1158" s="7"/>
      <c r="IOZ1158" s="7"/>
      <c r="IPA1158" s="7"/>
      <c r="IPB1158" s="7"/>
      <c r="IPC1158" s="7"/>
      <c r="IPD1158" s="7"/>
      <c r="IPE1158" s="7"/>
      <c r="IPF1158" s="7"/>
      <c r="IPG1158" s="7"/>
      <c r="IPH1158" s="7"/>
      <c r="IPI1158" s="7"/>
      <c r="IPJ1158" s="7"/>
      <c r="IPK1158" s="7"/>
      <c r="IPL1158" s="7"/>
      <c r="IPM1158" s="7"/>
      <c r="IPN1158" s="7"/>
      <c r="IPO1158" s="7"/>
      <c r="IPP1158" s="7"/>
      <c r="IPQ1158" s="7"/>
      <c r="IPR1158" s="7"/>
      <c r="IPS1158" s="7"/>
      <c r="IPT1158" s="7"/>
      <c r="IPU1158" s="7"/>
      <c r="IPV1158" s="7"/>
      <c r="IPW1158" s="7"/>
      <c r="IPX1158" s="7"/>
      <c r="IPY1158" s="7"/>
      <c r="IPZ1158" s="7"/>
      <c r="IQA1158" s="7"/>
      <c r="IQB1158" s="7"/>
      <c r="IQC1158" s="7"/>
      <c r="IQD1158" s="7"/>
      <c r="IQE1158" s="7"/>
      <c r="IQF1158" s="7"/>
      <c r="IQG1158" s="7"/>
      <c r="IQH1158" s="7"/>
      <c r="IQI1158" s="7"/>
      <c r="IQJ1158" s="7"/>
      <c r="IQK1158" s="7"/>
      <c r="IQL1158" s="7"/>
      <c r="IQM1158" s="7"/>
      <c r="IQN1158" s="7"/>
      <c r="IQO1158" s="7"/>
      <c r="IQP1158" s="7"/>
      <c r="IQQ1158" s="7"/>
      <c r="IQR1158" s="7"/>
      <c r="IQS1158" s="7"/>
      <c r="IQT1158" s="7"/>
      <c r="IQU1158" s="7"/>
      <c r="IQV1158" s="7"/>
      <c r="IQW1158" s="7"/>
      <c r="IQX1158" s="7"/>
      <c r="IQY1158" s="7"/>
      <c r="IQZ1158" s="7"/>
      <c r="IRA1158" s="7"/>
      <c r="IRB1158" s="7"/>
      <c r="IRC1158" s="7"/>
      <c r="IRD1158" s="7"/>
      <c r="IRE1158" s="7"/>
      <c r="IRF1158" s="7"/>
      <c r="IRG1158" s="7"/>
      <c r="IRH1158" s="7"/>
      <c r="IRI1158" s="7"/>
      <c r="IRJ1158" s="7"/>
      <c r="IRK1158" s="7"/>
      <c r="IRL1158" s="7"/>
      <c r="IRM1158" s="7"/>
      <c r="IRN1158" s="7"/>
      <c r="IRO1158" s="7"/>
      <c r="IRP1158" s="7"/>
      <c r="IRQ1158" s="7"/>
      <c r="IRR1158" s="7"/>
      <c r="IRS1158" s="7"/>
      <c r="IRT1158" s="7"/>
      <c r="IRU1158" s="7"/>
      <c r="IRV1158" s="7"/>
      <c r="IRW1158" s="7"/>
      <c r="IRX1158" s="7"/>
      <c r="IRY1158" s="7"/>
      <c r="IRZ1158" s="7"/>
      <c r="ISA1158" s="7"/>
      <c r="ISB1158" s="7"/>
      <c r="ISC1158" s="7"/>
      <c r="ISD1158" s="7"/>
      <c r="ISE1158" s="7"/>
      <c r="ISF1158" s="7"/>
      <c r="ISG1158" s="7"/>
      <c r="ISH1158" s="7"/>
      <c r="ISI1158" s="7"/>
      <c r="ISJ1158" s="7"/>
      <c r="ISK1158" s="7"/>
      <c r="ISL1158" s="7"/>
      <c r="ISM1158" s="7"/>
      <c r="ISN1158" s="7"/>
      <c r="ISO1158" s="7"/>
      <c r="ISP1158" s="7"/>
      <c r="ISQ1158" s="7"/>
      <c r="ISR1158" s="7"/>
      <c r="ISS1158" s="7"/>
      <c r="IST1158" s="7"/>
      <c r="ISU1158" s="7"/>
      <c r="ISV1158" s="7"/>
      <c r="ISW1158" s="7"/>
      <c r="ISX1158" s="7"/>
      <c r="ISY1158" s="7"/>
      <c r="ISZ1158" s="7"/>
      <c r="ITA1158" s="7"/>
      <c r="ITB1158" s="7"/>
      <c r="ITC1158" s="7"/>
      <c r="ITD1158" s="7"/>
      <c r="ITE1158" s="7"/>
      <c r="ITF1158" s="7"/>
      <c r="ITG1158" s="7"/>
      <c r="ITH1158" s="7"/>
      <c r="ITI1158" s="7"/>
      <c r="ITJ1158" s="7"/>
      <c r="ITK1158" s="7"/>
      <c r="ITL1158" s="7"/>
      <c r="ITM1158" s="7"/>
      <c r="ITN1158" s="7"/>
      <c r="ITO1158" s="7"/>
      <c r="ITP1158" s="7"/>
      <c r="ITQ1158" s="7"/>
      <c r="ITR1158" s="7"/>
      <c r="ITS1158" s="7"/>
      <c r="ITT1158" s="7"/>
      <c r="ITU1158" s="7"/>
      <c r="ITV1158" s="7"/>
      <c r="ITW1158" s="7"/>
      <c r="ITX1158" s="7"/>
      <c r="ITY1158" s="7"/>
      <c r="ITZ1158" s="7"/>
      <c r="IUA1158" s="7"/>
      <c r="IUB1158" s="7"/>
      <c r="IUC1158" s="7"/>
      <c r="IUD1158" s="7"/>
      <c r="IUE1158" s="7"/>
      <c r="IUF1158" s="7"/>
      <c r="IUG1158" s="7"/>
      <c r="IUH1158" s="7"/>
      <c r="IUI1158" s="7"/>
      <c r="IUJ1158" s="7"/>
      <c r="IUK1158" s="7"/>
      <c r="IUL1158" s="7"/>
      <c r="IUM1158" s="7"/>
      <c r="IUN1158" s="7"/>
      <c r="IUO1158" s="7"/>
      <c r="IUP1158" s="7"/>
      <c r="IUQ1158" s="7"/>
      <c r="IUR1158" s="7"/>
      <c r="IUS1158" s="7"/>
      <c r="IUT1158" s="7"/>
      <c r="IUU1158" s="7"/>
      <c r="IUV1158" s="7"/>
      <c r="IUW1158" s="7"/>
      <c r="IUX1158" s="7"/>
      <c r="IUY1158" s="7"/>
      <c r="IUZ1158" s="7"/>
      <c r="IVA1158" s="7"/>
      <c r="IVB1158" s="7"/>
      <c r="IVC1158" s="7"/>
      <c r="IVD1158" s="7"/>
      <c r="IVE1158" s="7"/>
      <c r="IVF1158" s="7"/>
      <c r="IVG1158" s="7"/>
      <c r="IVH1158" s="7"/>
      <c r="IVI1158" s="7"/>
      <c r="IVJ1158" s="7"/>
      <c r="IVK1158" s="7"/>
      <c r="IVL1158" s="7"/>
      <c r="IVM1158" s="7"/>
      <c r="IVN1158" s="7"/>
      <c r="IVO1158" s="7"/>
      <c r="IVP1158" s="7"/>
      <c r="IVQ1158" s="7"/>
      <c r="IVR1158" s="7"/>
      <c r="IVS1158" s="7"/>
      <c r="IVT1158" s="7"/>
      <c r="IVU1158" s="7"/>
      <c r="IVV1158" s="7"/>
      <c r="IVW1158" s="7"/>
      <c r="IVX1158" s="7"/>
      <c r="IVY1158" s="7"/>
      <c r="IVZ1158" s="7"/>
      <c r="IWA1158" s="7"/>
      <c r="IWB1158" s="7"/>
      <c r="IWC1158" s="7"/>
      <c r="IWD1158" s="7"/>
      <c r="IWE1158" s="7"/>
      <c r="IWF1158" s="7"/>
      <c r="IWG1158" s="7"/>
      <c r="IWH1158" s="7"/>
      <c r="IWI1158" s="7"/>
      <c r="IWJ1158" s="7"/>
      <c r="IWK1158" s="7"/>
      <c r="IWL1158" s="7"/>
      <c r="IWM1158" s="7"/>
      <c r="IWN1158" s="7"/>
      <c r="IWO1158" s="7"/>
      <c r="IWP1158" s="7"/>
      <c r="IWQ1158" s="7"/>
      <c r="IWR1158" s="7"/>
      <c r="IWS1158" s="7"/>
      <c r="IWT1158" s="7"/>
      <c r="IWU1158" s="7"/>
      <c r="IWV1158" s="7"/>
      <c r="IWW1158" s="7"/>
      <c r="IWX1158" s="7"/>
      <c r="IWY1158" s="7"/>
      <c r="IWZ1158" s="7"/>
      <c r="IXA1158" s="7"/>
      <c r="IXB1158" s="7"/>
      <c r="IXC1158" s="7"/>
      <c r="IXD1158" s="7"/>
      <c r="IXE1158" s="7"/>
      <c r="IXF1158" s="7"/>
      <c r="IXG1158" s="7"/>
      <c r="IXH1158" s="7"/>
      <c r="IXI1158" s="7"/>
      <c r="IXJ1158" s="7"/>
      <c r="IXK1158" s="7"/>
      <c r="IXL1158" s="7"/>
      <c r="IXM1158" s="7"/>
      <c r="IXN1158" s="7"/>
      <c r="IXO1158" s="7"/>
      <c r="IXP1158" s="7"/>
      <c r="IXQ1158" s="7"/>
      <c r="IXR1158" s="7"/>
      <c r="IXS1158" s="7"/>
      <c r="IXT1158" s="7"/>
      <c r="IXU1158" s="7"/>
      <c r="IXV1158" s="7"/>
      <c r="IXW1158" s="7"/>
      <c r="IXX1158" s="7"/>
      <c r="IXY1158" s="7"/>
      <c r="IXZ1158" s="7"/>
      <c r="IYA1158" s="7"/>
      <c r="IYB1158" s="7"/>
      <c r="IYC1158" s="7"/>
      <c r="IYD1158" s="7"/>
      <c r="IYE1158" s="7"/>
      <c r="IYF1158" s="7"/>
      <c r="IYG1158" s="7"/>
      <c r="IYH1158" s="7"/>
      <c r="IYI1158" s="7"/>
      <c r="IYJ1158" s="7"/>
      <c r="IYK1158" s="7"/>
      <c r="IYL1158" s="7"/>
      <c r="IYM1158" s="7"/>
      <c r="IYN1158" s="7"/>
      <c r="IYO1158" s="7"/>
      <c r="IYP1158" s="7"/>
      <c r="IYQ1158" s="7"/>
      <c r="IYR1158" s="7"/>
      <c r="IYS1158" s="7"/>
      <c r="IYT1158" s="7"/>
      <c r="IYU1158" s="7"/>
      <c r="IYV1158" s="7"/>
      <c r="IYW1158" s="7"/>
      <c r="IYX1158" s="7"/>
      <c r="IYY1158" s="7"/>
      <c r="IYZ1158" s="7"/>
      <c r="IZA1158" s="7"/>
      <c r="IZB1158" s="7"/>
      <c r="IZC1158" s="7"/>
      <c r="IZD1158" s="7"/>
      <c r="IZE1158" s="7"/>
      <c r="IZF1158" s="7"/>
      <c r="IZG1158" s="7"/>
      <c r="IZH1158" s="7"/>
      <c r="IZI1158" s="7"/>
      <c r="IZJ1158" s="7"/>
      <c r="IZK1158" s="7"/>
      <c r="IZL1158" s="7"/>
      <c r="IZM1158" s="7"/>
      <c r="IZN1158" s="7"/>
      <c r="IZO1158" s="7"/>
      <c r="IZP1158" s="7"/>
      <c r="IZQ1158" s="7"/>
      <c r="IZR1158" s="7"/>
      <c r="IZS1158" s="7"/>
      <c r="IZT1158" s="7"/>
      <c r="IZU1158" s="7"/>
      <c r="IZV1158" s="7"/>
      <c r="IZW1158" s="7"/>
      <c r="IZX1158" s="7"/>
      <c r="IZY1158" s="7"/>
      <c r="IZZ1158" s="7"/>
      <c r="JAA1158" s="7"/>
      <c r="JAB1158" s="7"/>
      <c r="JAC1158" s="7"/>
      <c r="JAD1158" s="7"/>
      <c r="JAE1158" s="7"/>
      <c r="JAF1158" s="7"/>
      <c r="JAG1158" s="7"/>
      <c r="JAH1158" s="7"/>
      <c r="JAI1158" s="7"/>
      <c r="JAJ1158" s="7"/>
      <c r="JAK1158" s="7"/>
      <c r="JAL1158" s="7"/>
      <c r="JAM1158" s="7"/>
      <c r="JAN1158" s="7"/>
      <c r="JAO1158" s="7"/>
      <c r="JAP1158" s="7"/>
      <c r="JAQ1158" s="7"/>
      <c r="JAR1158" s="7"/>
      <c r="JAS1158" s="7"/>
      <c r="JAT1158" s="7"/>
      <c r="JAU1158" s="7"/>
      <c r="JAV1158" s="7"/>
      <c r="JAW1158" s="7"/>
      <c r="JAX1158" s="7"/>
      <c r="JAY1158" s="7"/>
      <c r="JAZ1158" s="7"/>
      <c r="JBA1158" s="7"/>
      <c r="JBB1158" s="7"/>
      <c r="JBC1158" s="7"/>
      <c r="JBD1158" s="7"/>
      <c r="JBE1158" s="7"/>
      <c r="JBF1158" s="7"/>
      <c r="JBG1158" s="7"/>
      <c r="JBH1158" s="7"/>
      <c r="JBI1158" s="7"/>
      <c r="JBJ1158" s="7"/>
      <c r="JBK1158" s="7"/>
      <c r="JBL1158" s="7"/>
      <c r="JBM1158" s="7"/>
      <c r="JBN1158" s="7"/>
      <c r="JBO1158" s="7"/>
      <c r="JBP1158" s="7"/>
      <c r="JBQ1158" s="7"/>
      <c r="JBR1158" s="7"/>
      <c r="JBS1158" s="7"/>
      <c r="JBT1158" s="7"/>
      <c r="JBU1158" s="7"/>
      <c r="JBV1158" s="7"/>
      <c r="JBW1158" s="7"/>
      <c r="JBX1158" s="7"/>
      <c r="JBY1158" s="7"/>
      <c r="JBZ1158" s="7"/>
      <c r="JCA1158" s="7"/>
      <c r="JCB1158" s="7"/>
      <c r="JCC1158" s="7"/>
      <c r="JCD1158" s="7"/>
      <c r="JCE1158" s="7"/>
      <c r="JCF1158" s="7"/>
      <c r="JCG1158" s="7"/>
      <c r="JCH1158" s="7"/>
      <c r="JCI1158" s="7"/>
      <c r="JCJ1158" s="7"/>
      <c r="JCK1158" s="7"/>
      <c r="JCL1158" s="7"/>
      <c r="JCM1158" s="7"/>
      <c r="JCN1158" s="7"/>
      <c r="JCO1158" s="7"/>
      <c r="JCP1158" s="7"/>
      <c r="JCQ1158" s="7"/>
      <c r="JCR1158" s="7"/>
      <c r="JCS1158" s="7"/>
      <c r="JCT1158" s="7"/>
      <c r="JCU1158" s="7"/>
      <c r="JCV1158" s="7"/>
      <c r="JCW1158" s="7"/>
      <c r="JCX1158" s="7"/>
      <c r="JCY1158" s="7"/>
      <c r="JCZ1158" s="7"/>
      <c r="JDA1158" s="7"/>
      <c r="JDB1158" s="7"/>
      <c r="JDC1158" s="7"/>
      <c r="JDD1158" s="7"/>
      <c r="JDE1158" s="7"/>
      <c r="JDF1158" s="7"/>
      <c r="JDG1158" s="7"/>
      <c r="JDH1158" s="7"/>
      <c r="JDI1158" s="7"/>
      <c r="JDJ1158" s="7"/>
      <c r="JDK1158" s="7"/>
      <c r="JDL1158" s="7"/>
      <c r="JDM1158" s="7"/>
      <c r="JDN1158" s="7"/>
      <c r="JDO1158" s="7"/>
      <c r="JDP1158" s="7"/>
      <c r="JDQ1158" s="7"/>
      <c r="JDR1158" s="7"/>
      <c r="JDS1158" s="7"/>
      <c r="JDT1158" s="7"/>
      <c r="JDU1158" s="7"/>
      <c r="JDV1158" s="7"/>
      <c r="JDW1158" s="7"/>
      <c r="JDX1158" s="7"/>
      <c r="JDY1158" s="7"/>
      <c r="JDZ1158" s="7"/>
      <c r="JEA1158" s="7"/>
      <c r="JEB1158" s="7"/>
      <c r="JEC1158" s="7"/>
      <c r="JED1158" s="7"/>
      <c r="JEE1158" s="7"/>
      <c r="JEF1158" s="7"/>
      <c r="JEG1158" s="7"/>
      <c r="JEH1158" s="7"/>
      <c r="JEI1158" s="7"/>
      <c r="JEJ1158" s="7"/>
      <c r="JEK1158" s="7"/>
      <c r="JEL1158" s="7"/>
      <c r="JEM1158" s="7"/>
      <c r="JEN1158" s="7"/>
      <c r="JEO1158" s="7"/>
      <c r="JEP1158" s="7"/>
      <c r="JEQ1158" s="7"/>
      <c r="JER1158" s="7"/>
      <c r="JES1158" s="7"/>
      <c r="JET1158" s="7"/>
      <c r="JEU1158" s="7"/>
      <c r="JEV1158" s="7"/>
      <c r="JEW1158" s="7"/>
      <c r="JEX1158" s="7"/>
      <c r="JEY1158" s="7"/>
      <c r="JEZ1158" s="7"/>
      <c r="JFA1158" s="7"/>
      <c r="JFB1158" s="7"/>
      <c r="JFC1158" s="7"/>
      <c r="JFD1158" s="7"/>
      <c r="JFE1158" s="7"/>
      <c r="JFF1158" s="7"/>
      <c r="JFG1158" s="7"/>
      <c r="JFH1158" s="7"/>
      <c r="JFI1158" s="7"/>
      <c r="JFJ1158" s="7"/>
      <c r="JFK1158" s="7"/>
      <c r="JFL1158" s="7"/>
      <c r="JFM1158" s="7"/>
      <c r="JFN1158" s="7"/>
      <c r="JFO1158" s="7"/>
      <c r="JFP1158" s="7"/>
      <c r="JFQ1158" s="7"/>
      <c r="JFR1158" s="7"/>
      <c r="JFS1158" s="7"/>
      <c r="JFT1158" s="7"/>
      <c r="JFU1158" s="7"/>
      <c r="JFV1158" s="7"/>
      <c r="JFW1158" s="7"/>
      <c r="JFX1158" s="7"/>
      <c r="JFY1158" s="7"/>
      <c r="JFZ1158" s="7"/>
      <c r="JGA1158" s="7"/>
      <c r="JGB1158" s="7"/>
      <c r="JGC1158" s="7"/>
      <c r="JGD1158" s="7"/>
      <c r="JGE1158" s="7"/>
      <c r="JGF1158" s="7"/>
      <c r="JGG1158" s="7"/>
      <c r="JGH1158" s="7"/>
      <c r="JGI1158" s="7"/>
      <c r="JGJ1158" s="7"/>
      <c r="JGK1158" s="7"/>
      <c r="JGL1158" s="7"/>
      <c r="JGM1158" s="7"/>
      <c r="JGN1158" s="7"/>
      <c r="JGO1158" s="7"/>
      <c r="JGP1158" s="7"/>
      <c r="JGQ1158" s="7"/>
      <c r="JGR1158" s="7"/>
      <c r="JGS1158" s="7"/>
      <c r="JGT1158" s="7"/>
      <c r="JGU1158" s="7"/>
      <c r="JGV1158" s="7"/>
      <c r="JGW1158" s="7"/>
      <c r="JGX1158" s="7"/>
      <c r="JGY1158" s="7"/>
      <c r="JGZ1158" s="7"/>
      <c r="JHA1158" s="7"/>
      <c r="JHB1158" s="7"/>
      <c r="JHC1158" s="7"/>
      <c r="JHD1158" s="7"/>
      <c r="JHE1158" s="7"/>
      <c r="JHF1158" s="7"/>
      <c r="JHG1158" s="7"/>
      <c r="JHH1158" s="7"/>
      <c r="JHI1158" s="7"/>
      <c r="JHJ1158" s="7"/>
      <c r="JHK1158" s="7"/>
      <c r="JHL1158" s="7"/>
      <c r="JHM1158" s="7"/>
      <c r="JHN1158" s="7"/>
      <c r="JHO1158" s="7"/>
      <c r="JHP1158" s="7"/>
      <c r="JHQ1158" s="7"/>
      <c r="JHR1158" s="7"/>
      <c r="JHS1158" s="7"/>
      <c r="JHT1158" s="7"/>
      <c r="JHU1158" s="7"/>
      <c r="JHV1158" s="7"/>
      <c r="JHW1158" s="7"/>
      <c r="JHX1158" s="7"/>
      <c r="JHY1158" s="7"/>
      <c r="JHZ1158" s="7"/>
      <c r="JIA1158" s="7"/>
      <c r="JIB1158" s="7"/>
      <c r="JIC1158" s="7"/>
      <c r="JID1158" s="7"/>
      <c r="JIE1158" s="7"/>
      <c r="JIF1158" s="7"/>
      <c r="JIG1158" s="7"/>
      <c r="JIH1158" s="7"/>
      <c r="JII1158" s="7"/>
      <c r="JIJ1158" s="7"/>
      <c r="JIK1158" s="7"/>
      <c r="JIL1158" s="7"/>
      <c r="JIM1158" s="7"/>
      <c r="JIN1158" s="7"/>
      <c r="JIO1158" s="7"/>
      <c r="JIP1158" s="7"/>
      <c r="JIQ1158" s="7"/>
      <c r="JIR1158" s="7"/>
      <c r="JIS1158" s="7"/>
      <c r="JIT1158" s="7"/>
      <c r="JIU1158" s="7"/>
      <c r="JIV1158" s="7"/>
      <c r="JIW1158" s="7"/>
      <c r="JIX1158" s="7"/>
      <c r="JIY1158" s="7"/>
      <c r="JIZ1158" s="7"/>
      <c r="JJA1158" s="7"/>
      <c r="JJB1158" s="7"/>
      <c r="JJC1158" s="7"/>
      <c r="JJD1158" s="7"/>
      <c r="JJE1158" s="7"/>
      <c r="JJF1158" s="7"/>
      <c r="JJG1158" s="7"/>
      <c r="JJH1158" s="7"/>
      <c r="JJI1158" s="7"/>
      <c r="JJJ1158" s="7"/>
      <c r="JJK1158" s="7"/>
      <c r="JJL1158" s="7"/>
      <c r="JJM1158" s="7"/>
      <c r="JJN1158" s="7"/>
      <c r="JJO1158" s="7"/>
      <c r="JJP1158" s="7"/>
      <c r="JJQ1158" s="7"/>
      <c r="JJR1158" s="7"/>
      <c r="JJS1158" s="7"/>
      <c r="JJT1158" s="7"/>
      <c r="JJU1158" s="7"/>
      <c r="JJV1158" s="7"/>
      <c r="JJW1158" s="7"/>
      <c r="JJX1158" s="7"/>
      <c r="JJY1158" s="7"/>
      <c r="JJZ1158" s="7"/>
      <c r="JKA1158" s="7"/>
      <c r="JKB1158" s="7"/>
      <c r="JKC1158" s="7"/>
      <c r="JKD1158" s="7"/>
      <c r="JKE1158" s="7"/>
      <c r="JKF1158" s="7"/>
      <c r="JKG1158" s="7"/>
      <c r="JKH1158" s="7"/>
      <c r="JKI1158" s="7"/>
      <c r="JKJ1158" s="7"/>
      <c r="JKK1158" s="7"/>
      <c r="JKL1158" s="7"/>
      <c r="JKM1158" s="7"/>
      <c r="JKN1158" s="7"/>
      <c r="JKO1158" s="7"/>
      <c r="JKP1158" s="7"/>
      <c r="JKQ1158" s="7"/>
      <c r="JKR1158" s="7"/>
      <c r="JKS1158" s="7"/>
      <c r="JKT1158" s="7"/>
      <c r="JKU1158" s="7"/>
      <c r="JKV1158" s="7"/>
      <c r="JKW1158" s="7"/>
      <c r="JKX1158" s="7"/>
      <c r="JKY1158" s="7"/>
      <c r="JKZ1158" s="7"/>
      <c r="JLA1158" s="7"/>
      <c r="JLB1158" s="7"/>
      <c r="JLC1158" s="7"/>
      <c r="JLD1158" s="7"/>
      <c r="JLE1158" s="7"/>
      <c r="JLF1158" s="7"/>
      <c r="JLG1158" s="7"/>
      <c r="JLH1158" s="7"/>
      <c r="JLI1158" s="7"/>
      <c r="JLJ1158" s="7"/>
      <c r="JLK1158" s="7"/>
      <c r="JLL1158" s="7"/>
      <c r="JLM1158" s="7"/>
      <c r="JLN1158" s="7"/>
      <c r="JLO1158" s="7"/>
      <c r="JLP1158" s="7"/>
      <c r="JLQ1158" s="7"/>
      <c r="JLR1158" s="7"/>
      <c r="JLS1158" s="7"/>
      <c r="JLT1158" s="7"/>
      <c r="JLU1158" s="7"/>
      <c r="JLV1158" s="7"/>
      <c r="JLW1158" s="7"/>
      <c r="JLX1158" s="7"/>
      <c r="JLY1158" s="7"/>
      <c r="JLZ1158" s="7"/>
      <c r="JMA1158" s="7"/>
      <c r="JMB1158" s="7"/>
      <c r="JMC1158" s="7"/>
      <c r="JMD1158" s="7"/>
      <c r="JME1158" s="7"/>
      <c r="JMF1158" s="7"/>
      <c r="JMG1158" s="7"/>
      <c r="JMH1158" s="7"/>
      <c r="JMI1158" s="7"/>
      <c r="JMJ1158" s="7"/>
      <c r="JMK1158" s="7"/>
      <c r="JML1158" s="7"/>
      <c r="JMM1158" s="7"/>
      <c r="JMN1158" s="7"/>
      <c r="JMO1158" s="7"/>
      <c r="JMP1158" s="7"/>
      <c r="JMQ1158" s="7"/>
      <c r="JMR1158" s="7"/>
      <c r="JMS1158" s="7"/>
      <c r="JMT1158" s="7"/>
      <c r="JMU1158" s="7"/>
      <c r="JMV1158" s="7"/>
      <c r="JMW1158" s="7"/>
      <c r="JMX1158" s="7"/>
      <c r="JMY1158" s="7"/>
      <c r="JMZ1158" s="7"/>
      <c r="JNA1158" s="7"/>
      <c r="JNB1158" s="7"/>
      <c r="JNC1158" s="7"/>
      <c r="JND1158" s="7"/>
      <c r="JNE1158" s="7"/>
      <c r="JNF1158" s="7"/>
      <c r="JNG1158" s="7"/>
      <c r="JNH1158" s="7"/>
      <c r="JNI1158" s="7"/>
      <c r="JNJ1158" s="7"/>
      <c r="JNK1158" s="7"/>
      <c r="JNL1158" s="7"/>
      <c r="JNM1158" s="7"/>
      <c r="JNN1158" s="7"/>
      <c r="JNO1158" s="7"/>
      <c r="JNP1158" s="7"/>
      <c r="JNQ1158" s="7"/>
      <c r="JNR1158" s="7"/>
      <c r="JNS1158" s="7"/>
      <c r="JNT1158" s="7"/>
      <c r="JNU1158" s="7"/>
      <c r="JNV1158" s="7"/>
      <c r="JNW1158" s="7"/>
      <c r="JNX1158" s="7"/>
      <c r="JNY1158" s="7"/>
      <c r="JNZ1158" s="7"/>
      <c r="JOA1158" s="7"/>
      <c r="JOB1158" s="7"/>
      <c r="JOC1158" s="7"/>
      <c r="JOD1158" s="7"/>
      <c r="JOE1158" s="7"/>
      <c r="JOF1158" s="7"/>
      <c r="JOG1158" s="7"/>
      <c r="JOH1158" s="7"/>
      <c r="JOI1158" s="7"/>
      <c r="JOJ1158" s="7"/>
      <c r="JOK1158" s="7"/>
      <c r="JOL1158" s="7"/>
      <c r="JOM1158" s="7"/>
      <c r="JON1158" s="7"/>
      <c r="JOO1158" s="7"/>
      <c r="JOP1158" s="7"/>
      <c r="JOQ1158" s="7"/>
      <c r="JOR1158" s="7"/>
      <c r="JOS1158" s="7"/>
      <c r="JOT1158" s="7"/>
      <c r="JOU1158" s="7"/>
      <c r="JOV1158" s="7"/>
      <c r="JOW1158" s="7"/>
      <c r="JOX1158" s="7"/>
      <c r="JOY1158" s="7"/>
      <c r="JOZ1158" s="7"/>
      <c r="JPA1158" s="7"/>
      <c r="JPB1158" s="7"/>
      <c r="JPC1158" s="7"/>
      <c r="JPD1158" s="7"/>
      <c r="JPE1158" s="7"/>
      <c r="JPF1158" s="7"/>
      <c r="JPG1158" s="7"/>
      <c r="JPH1158" s="7"/>
      <c r="JPI1158" s="7"/>
      <c r="JPJ1158" s="7"/>
      <c r="JPK1158" s="7"/>
      <c r="JPL1158" s="7"/>
      <c r="JPM1158" s="7"/>
      <c r="JPN1158" s="7"/>
      <c r="JPO1158" s="7"/>
      <c r="JPP1158" s="7"/>
      <c r="JPQ1158" s="7"/>
      <c r="JPR1158" s="7"/>
      <c r="JPS1158" s="7"/>
      <c r="JPT1158" s="7"/>
      <c r="JPU1158" s="7"/>
      <c r="JPV1158" s="7"/>
      <c r="JPW1158" s="7"/>
      <c r="JPX1158" s="7"/>
      <c r="JPY1158" s="7"/>
      <c r="JPZ1158" s="7"/>
      <c r="JQA1158" s="7"/>
      <c r="JQB1158" s="7"/>
      <c r="JQC1158" s="7"/>
      <c r="JQD1158" s="7"/>
      <c r="JQE1158" s="7"/>
      <c r="JQF1158" s="7"/>
      <c r="JQG1158" s="7"/>
      <c r="JQH1158" s="7"/>
      <c r="JQI1158" s="7"/>
      <c r="JQJ1158" s="7"/>
      <c r="JQK1158" s="7"/>
      <c r="JQL1158" s="7"/>
      <c r="JQM1158" s="7"/>
      <c r="JQN1158" s="7"/>
      <c r="JQO1158" s="7"/>
      <c r="JQP1158" s="7"/>
      <c r="JQQ1158" s="7"/>
      <c r="JQR1158" s="7"/>
      <c r="JQS1158" s="7"/>
      <c r="JQT1158" s="7"/>
      <c r="JQU1158" s="7"/>
      <c r="JQV1158" s="7"/>
      <c r="JQW1158" s="7"/>
      <c r="JQX1158" s="7"/>
      <c r="JQY1158" s="7"/>
      <c r="JQZ1158" s="7"/>
      <c r="JRA1158" s="7"/>
      <c r="JRB1158" s="7"/>
      <c r="JRC1158" s="7"/>
      <c r="JRD1158" s="7"/>
      <c r="JRE1158" s="7"/>
      <c r="JRF1158" s="7"/>
      <c r="JRG1158" s="7"/>
      <c r="JRH1158" s="7"/>
      <c r="JRI1158" s="7"/>
      <c r="JRJ1158" s="7"/>
      <c r="JRK1158" s="7"/>
      <c r="JRL1158" s="7"/>
      <c r="JRM1158" s="7"/>
      <c r="JRN1158" s="7"/>
      <c r="JRO1158" s="7"/>
      <c r="JRP1158" s="7"/>
      <c r="JRQ1158" s="7"/>
      <c r="JRR1158" s="7"/>
      <c r="JRS1158" s="7"/>
      <c r="JRT1158" s="7"/>
      <c r="JRU1158" s="7"/>
      <c r="JRV1158" s="7"/>
      <c r="JRW1158" s="7"/>
      <c r="JRX1158" s="7"/>
      <c r="JRY1158" s="7"/>
      <c r="JRZ1158" s="7"/>
      <c r="JSA1158" s="7"/>
      <c r="JSB1158" s="7"/>
      <c r="JSC1158" s="7"/>
      <c r="JSD1158" s="7"/>
      <c r="JSE1158" s="7"/>
      <c r="JSF1158" s="7"/>
      <c r="JSG1158" s="7"/>
      <c r="JSH1158" s="7"/>
      <c r="JSI1158" s="7"/>
      <c r="JSJ1158" s="7"/>
      <c r="JSK1158" s="7"/>
      <c r="JSL1158" s="7"/>
      <c r="JSM1158" s="7"/>
      <c r="JSN1158" s="7"/>
      <c r="JSO1158" s="7"/>
      <c r="JSP1158" s="7"/>
      <c r="JSQ1158" s="7"/>
      <c r="JSR1158" s="7"/>
      <c r="JSS1158" s="7"/>
      <c r="JST1158" s="7"/>
      <c r="JSU1158" s="7"/>
      <c r="JSV1158" s="7"/>
      <c r="JSW1158" s="7"/>
      <c r="JSX1158" s="7"/>
      <c r="JSY1158" s="7"/>
      <c r="JSZ1158" s="7"/>
      <c r="JTA1158" s="7"/>
      <c r="JTB1158" s="7"/>
      <c r="JTC1158" s="7"/>
      <c r="JTD1158" s="7"/>
      <c r="JTE1158" s="7"/>
      <c r="JTF1158" s="7"/>
      <c r="JTG1158" s="7"/>
      <c r="JTH1158" s="7"/>
      <c r="JTI1158" s="7"/>
      <c r="JTJ1158" s="7"/>
      <c r="JTK1158" s="7"/>
      <c r="JTL1158" s="7"/>
      <c r="JTM1158" s="7"/>
      <c r="JTN1158" s="7"/>
      <c r="JTO1158" s="7"/>
      <c r="JTP1158" s="7"/>
      <c r="JTQ1158" s="7"/>
      <c r="JTR1158" s="7"/>
      <c r="JTS1158" s="7"/>
      <c r="JTT1158" s="7"/>
      <c r="JTU1158" s="7"/>
      <c r="JTV1158" s="7"/>
      <c r="JTW1158" s="7"/>
      <c r="JTX1158" s="7"/>
      <c r="JTY1158" s="7"/>
      <c r="JTZ1158" s="7"/>
      <c r="JUA1158" s="7"/>
      <c r="JUB1158" s="7"/>
      <c r="JUC1158" s="7"/>
      <c r="JUD1158" s="7"/>
      <c r="JUE1158" s="7"/>
      <c r="JUF1158" s="7"/>
      <c r="JUG1158" s="7"/>
      <c r="JUH1158" s="7"/>
      <c r="JUI1158" s="7"/>
      <c r="JUJ1158" s="7"/>
      <c r="JUK1158" s="7"/>
      <c r="JUL1158" s="7"/>
      <c r="JUM1158" s="7"/>
      <c r="JUN1158" s="7"/>
      <c r="JUO1158" s="7"/>
      <c r="JUP1158" s="7"/>
      <c r="JUQ1158" s="7"/>
      <c r="JUR1158" s="7"/>
      <c r="JUS1158" s="7"/>
      <c r="JUT1158" s="7"/>
      <c r="JUU1158" s="7"/>
      <c r="JUV1158" s="7"/>
      <c r="JUW1158" s="7"/>
      <c r="JUX1158" s="7"/>
      <c r="JUY1158" s="7"/>
      <c r="JUZ1158" s="7"/>
      <c r="JVA1158" s="7"/>
      <c r="JVB1158" s="7"/>
      <c r="JVC1158" s="7"/>
      <c r="JVD1158" s="7"/>
      <c r="JVE1158" s="7"/>
      <c r="JVF1158" s="7"/>
      <c r="JVG1158" s="7"/>
      <c r="JVH1158" s="7"/>
      <c r="JVI1158" s="7"/>
      <c r="JVJ1158" s="7"/>
      <c r="JVK1158" s="7"/>
      <c r="JVL1158" s="7"/>
      <c r="JVM1158" s="7"/>
      <c r="JVN1158" s="7"/>
      <c r="JVO1158" s="7"/>
      <c r="JVP1158" s="7"/>
      <c r="JVQ1158" s="7"/>
      <c r="JVR1158" s="7"/>
      <c r="JVS1158" s="7"/>
      <c r="JVT1158" s="7"/>
      <c r="JVU1158" s="7"/>
      <c r="JVV1158" s="7"/>
      <c r="JVW1158" s="7"/>
      <c r="JVX1158" s="7"/>
      <c r="JVY1158" s="7"/>
      <c r="JVZ1158" s="7"/>
      <c r="JWA1158" s="7"/>
      <c r="JWB1158" s="7"/>
      <c r="JWC1158" s="7"/>
      <c r="JWD1158" s="7"/>
      <c r="JWE1158" s="7"/>
      <c r="JWF1158" s="7"/>
      <c r="JWG1158" s="7"/>
      <c r="JWH1158" s="7"/>
      <c r="JWI1158" s="7"/>
      <c r="JWJ1158" s="7"/>
      <c r="JWK1158" s="7"/>
      <c r="JWL1158" s="7"/>
      <c r="JWM1158" s="7"/>
      <c r="JWN1158" s="7"/>
      <c r="JWO1158" s="7"/>
      <c r="JWP1158" s="7"/>
      <c r="JWQ1158" s="7"/>
      <c r="JWR1158" s="7"/>
      <c r="JWS1158" s="7"/>
      <c r="JWT1158" s="7"/>
      <c r="JWU1158" s="7"/>
      <c r="JWV1158" s="7"/>
      <c r="JWW1158" s="7"/>
      <c r="JWX1158" s="7"/>
      <c r="JWY1158" s="7"/>
      <c r="JWZ1158" s="7"/>
      <c r="JXA1158" s="7"/>
      <c r="JXB1158" s="7"/>
      <c r="JXC1158" s="7"/>
      <c r="JXD1158" s="7"/>
      <c r="JXE1158" s="7"/>
      <c r="JXF1158" s="7"/>
      <c r="JXG1158" s="7"/>
      <c r="JXH1158" s="7"/>
      <c r="JXI1158" s="7"/>
      <c r="JXJ1158" s="7"/>
      <c r="JXK1158" s="7"/>
      <c r="JXL1158" s="7"/>
      <c r="JXM1158" s="7"/>
      <c r="JXN1158" s="7"/>
      <c r="JXO1158" s="7"/>
      <c r="JXP1158" s="7"/>
      <c r="JXQ1158" s="7"/>
      <c r="JXR1158" s="7"/>
      <c r="JXS1158" s="7"/>
      <c r="JXT1158" s="7"/>
      <c r="JXU1158" s="7"/>
      <c r="JXV1158" s="7"/>
      <c r="JXW1158" s="7"/>
      <c r="JXX1158" s="7"/>
      <c r="JXY1158" s="7"/>
      <c r="JXZ1158" s="7"/>
      <c r="JYA1158" s="7"/>
      <c r="JYB1158" s="7"/>
      <c r="JYC1158" s="7"/>
      <c r="JYD1158" s="7"/>
      <c r="JYE1158" s="7"/>
      <c r="JYF1158" s="7"/>
      <c r="JYG1158" s="7"/>
      <c r="JYH1158" s="7"/>
      <c r="JYI1158" s="7"/>
      <c r="JYJ1158" s="7"/>
      <c r="JYK1158" s="7"/>
      <c r="JYL1158" s="7"/>
      <c r="JYM1158" s="7"/>
      <c r="JYN1158" s="7"/>
      <c r="JYO1158" s="7"/>
      <c r="JYP1158" s="7"/>
      <c r="JYQ1158" s="7"/>
      <c r="JYR1158" s="7"/>
      <c r="JYS1158" s="7"/>
      <c r="JYT1158" s="7"/>
      <c r="JYU1158" s="7"/>
      <c r="JYV1158" s="7"/>
      <c r="JYW1158" s="7"/>
      <c r="JYX1158" s="7"/>
      <c r="JYY1158" s="7"/>
      <c r="JYZ1158" s="7"/>
      <c r="JZA1158" s="7"/>
      <c r="JZB1158" s="7"/>
      <c r="JZC1158" s="7"/>
      <c r="JZD1158" s="7"/>
      <c r="JZE1158" s="7"/>
      <c r="JZF1158" s="7"/>
      <c r="JZG1158" s="7"/>
      <c r="JZH1158" s="7"/>
      <c r="JZI1158" s="7"/>
      <c r="JZJ1158" s="7"/>
      <c r="JZK1158" s="7"/>
      <c r="JZL1158" s="7"/>
      <c r="JZM1158" s="7"/>
      <c r="JZN1158" s="7"/>
      <c r="JZO1158" s="7"/>
      <c r="JZP1158" s="7"/>
      <c r="JZQ1158" s="7"/>
      <c r="JZR1158" s="7"/>
      <c r="JZS1158" s="7"/>
      <c r="JZT1158" s="7"/>
      <c r="JZU1158" s="7"/>
      <c r="JZV1158" s="7"/>
      <c r="JZW1158" s="7"/>
      <c r="JZX1158" s="7"/>
      <c r="JZY1158" s="7"/>
      <c r="JZZ1158" s="7"/>
      <c r="KAA1158" s="7"/>
      <c r="KAB1158" s="7"/>
      <c r="KAC1158" s="7"/>
      <c r="KAD1158" s="7"/>
      <c r="KAE1158" s="7"/>
      <c r="KAF1158" s="7"/>
      <c r="KAG1158" s="7"/>
      <c r="KAH1158" s="7"/>
      <c r="KAI1158" s="7"/>
      <c r="KAJ1158" s="7"/>
      <c r="KAK1158" s="7"/>
      <c r="KAL1158" s="7"/>
      <c r="KAM1158" s="7"/>
      <c r="KAN1158" s="7"/>
      <c r="KAO1158" s="7"/>
      <c r="KAP1158" s="7"/>
      <c r="KAQ1158" s="7"/>
      <c r="KAR1158" s="7"/>
      <c r="KAS1158" s="7"/>
      <c r="KAT1158" s="7"/>
      <c r="KAU1158" s="7"/>
      <c r="KAV1158" s="7"/>
      <c r="KAW1158" s="7"/>
      <c r="KAX1158" s="7"/>
      <c r="KAY1158" s="7"/>
      <c r="KAZ1158" s="7"/>
      <c r="KBA1158" s="7"/>
      <c r="KBB1158" s="7"/>
      <c r="KBC1158" s="7"/>
      <c r="KBD1158" s="7"/>
      <c r="KBE1158" s="7"/>
      <c r="KBF1158" s="7"/>
      <c r="KBG1158" s="7"/>
      <c r="KBH1158" s="7"/>
      <c r="KBI1158" s="7"/>
      <c r="KBJ1158" s="7"/>
      <c r="KBK1158" s="7"/>
      <c r="KBL1158" s="7"/>
      <c r="KBM1158" s="7"/>
      <c r="KBN1158" s="7"/>
      <c r="KBO1158" s="7"/>
      <c r="KBP1158" s="7"/>
      <c r="KBQ1158" s="7"/>
      <c r="KBR1158" s="7"/>
      <c r="KBS1158" s="7"/>
      <c r="KBT1158" s="7"/>
      <c r="KBU1158" s="7"/>
      <c r="KBV1158" s="7"/>
      <c r="KBW1158" s="7"/>
      <c r="KBX1158" s="7"/>
      <c r="KBY1158" s="7"/>
      <c r="KBZ1158" s="7"/>
      <c r="KCA1158" s="7"/>
      <c r="KCB1158" s="7"/>
      <c r="KCC1158" s="7"/>
      <c r="KCD1158" s="7"/>
      <c r="KCE1158" s="7"/>
      <c r="KCF1158" s="7"/>
      <c r="KCG1158" s="7"/>
      <c r="KCH1158" s="7"/>
      <c r="KCI1158" s="7"/>
      <c r="KCJ1158" s="7"/>
      <c r="KCK1158" s="7"/>
      <c r="KCL1158" s="7"/>
      <c r="KCM1158" s="7"/>
      <c r="KCN1158" s="7"/>
      <c r="KCO1158" s="7"/>
      <c r="KCP1158" s="7"/>
      <c r="KCQ1158" s="7"/>
      <c r="KCR1158" s="7"/>
      <c r="KCS1158" s="7"/>
      <c r="KCT1158" s="7"/>
      <c r="KCU1158" s="7"/>
      <c r="KCV1158" s="7"/>
      <c r="KCW1158" s="7"/>
      <c r="KCX1158" s="7"/>
      <c r="KCY1158" s="7"/>
      <c r="KCZ1158" s="7"/>
      <c r="KDA1158" s="7"/>
      <c r="KDB1158" s="7"/>
      <c r="KDC1158" s="7"/>
      <c r="KDD1158" s="7"/>
      <c r="KDE1158" s="7"/>
      <c r="KDF1158" s="7"/>
      <c r="KDG1158" s="7"/>
      <c r="KDH1158" s="7"/>
      <c r="KDI1158" s="7"/>
      <c r="KDJ1158" s="7"/>
      <c r="KDK1158" s="7"/>
      <c r="KDL1158" s="7"/>
      <c r="KDM1158" s="7"/>
      <c r="KDN1158" s="7"/>
      <c r="KDO1158" s="7"/>
      <c r="KDP1158" s="7"/>
      <c r="KDQ1158" s="7"/>
      <c r="KDR1158" s="7"/>
      <c r="KDS1158" s="7"/>
      <c r="KDT1158" s="7"/>
      <c r="KDU1158" s="7"/>
      <c r="KDV1158" s="7"/>
      <c r="KDW1158" s="7"/>
      <c r="KDX1158" s="7"/>
      <c r="KDY1158" s="7"/>
      <c r="KDZ1158" s="7"/>
      <c r="KEA1158" s="7"/>
      <c r="KEB1158" s="7"/>
      <c r="KEC1158" s="7"/>
      <c r="KED1158" s="7"/>
      <c r="KEE1158" s="7"/>
      <c r="KEF1158" s="7"/>
      <c r="KEG1158" s="7"/>
      <c r="KEH1158" s="7"/>
      <c r="KEI1158" s="7"/>
      <c r="KEJ1158" s="7"/>
      <c r="KEK1158" s="7"/>
      <c r="KEL1158" s="7"/>
      <c r="KEM1158" s="7"/>
      <c r="KEN1158" s="7"/>
      <c r="KEO1158" s="7"/>
      <c r="KEP1158" s="7"/>
      <c r="KEQ1158" s="7"/>
      <c r="KER1158" s="7"/>
      <c r="KES1158" s="7"/>
      <c r="KET1158" s="7"/>
      <c r="KEU1158" s="7"/>
      <c r="KEV1158" s="7"/>
      <c r="KEW1158" s="7"/>
      <c r="KEX1158" s="7"/>
      <c r="KEY1158" s="7"/>
      <c r="KEZ1158" s="7"/>
      <c r="KFA1158" s="7"/>
      <c r="KFB1158" s="7"/>
      <c r="KFC1158" s="7"/>
      <c r="KFD1158" s="7"/>
      <c r="KFE1158" s="7"/>
      <c r="KFF1158" s="7"/>
      <c r="KFG1158" s="7"/>
      <c r="KFH1158" s="7"/>
      <c r="KFI1158" s="7"/>
      <c r="KFJ1158" s="7"/>
      <c r="KFK1158" s="7"/>
      <c r="KFL1158" s="7"/>
      <c r="KFM1158" s="7"/>
      <c r="KFN1158" s="7"/>
      <c r="KFO1158" s="7"/>
      <c r="KFP1158" s="7"/>
      <c r="KFQ1158" s="7"/>
      <c r="KFR1158" s="7"/>
      <c r="KFS1158" s="7"/>
      <c r="KFT1158" s="7"/>
      <c r="KFU1158" s="7"/>
      <c r="KFV1158" s="7"/>
      <c r="KFW1158" s="7"/>
      <c r="KFX1158" s="7"/>
      <c r="KFY1158" s="7"/>
      <c r="KFZ1158" s="7"/>
      <c r="KGA1158" s="7"/>
      <c r="KGB1158" s="7"/>
      <c r="KGC1158" s="7"/>
      <c r="KGD1158" s="7"/>
      <c r="KGE1158" s="7"/>
      <c r="KGF1158" s="7"/>
      <c r="KGG1158" s="7"/>
      <c r="KGH1158" s="7"/>
      <c r="KGI1158" s="7"/>
      <c r="KGJ1158" s="7"/>
      <c r="KGK1158" s="7"/>
      <c r="KGL1158" s="7"/>
      <c r="KGM1158" s="7"/>
      <c r="KGN1158" s="7"/>
      <c r="KGO1158" s="7"/>
      <c r="KGP1158" s="7"/>
      <c r="KGQ1158" s="7"/>
      <c r="KGR1158" s="7"/>
      <c r="KGS1158" s="7"/>
      <c r="KGT1158" s="7"/>
      <c r="KGU1158" s="7"/>
      <c r="KGV1158" s="7"/>
      <c r="KGW1158" s="7"/>
      <c r="KGX1158" s="7"/>
      <c r="KGY1158" s="7"/>
      <c r="KGZ1158" s="7"/>
      <c r="KHA1158" s="7"/>
      <c r="KHB1158" s="7"/>
      <c r="KHC1158" s="7"/>
      <c r="KHD1158" s="7"/>
      <c r="KHE1158" s="7"/>
      <c r="KHF1158" s="7"/>
      <c r="KHG1158" s="7"/>
      <c r="KHH1158" s="7"/>
      <c r="KHI1158" s="7"/>
      <c r="KHJ1158" s="7"/>
      <c r="KHK1158" s="7"/>
      <c r="KHL1158" s="7"/>
      <c r="KHM1158" s="7"/>
      <c r="KHN1158" s="7"/>
      <c r="KHO1158" s="7"/>
      <c r="KHP1158" s="7"/>
      <c r="KHQ1158" s="7"/>
      <c r="KHR1158" s="7"/>
      <c r="KHS1158" s="7"/>
      <c r="KHT1158" s="7"/>
      <c r="KHU1158" s="7"/>
      <c r="KHV1158" s="7"/>
      <c r="KHW1158" s="7"/>
      <c r="KHX1158" s="7"/>
      <c r="KHY1158" s="7"/>
      <c r="KHZ1158" s="7"/>
      <c r="KIA1158" s="7"/>
      <c r="KIB1158" s="7"/>
      <c r="KIC1158" s="7"/>
      <c r="KID1158" s="7"/>
      <c r="KIE1158" s="7"/>
      <c r="KIF1158" s="7"/>
      <c r="KIG1158" s="7"/>
      <c r="KIH1158" s="7"/>
      <c r="KII1158" s="7"/>
      <c r="KIJ1158" s="7"/>
      <c r="KIK1158" s="7"/>
      <c r="KIL1158" s="7"/>
      <c r="KIM1158" s="7"/>
      <c r="KIN1158" s="7"/>
      <c r="KIO1158" s="7"/>
      <c r="KIP1158" s="7"/>
      <c r="KIQ1158" s="7"/>
      <c r="KIR1158" s="7"/>
      <c r="KIS1158" s="7"/>
      <c r="KIT1158" s="7"/>
      <c r="KIU1158" s="7"/>
      <c r="KIV1158" s="7"/>
      <c r="KIW1158" s="7"/>
      <c r="KIX1158" s="7"/>
      <c r="KIY1158" s="7"/>
      <c r="KIZ1158" s="7"/>
      <c r="KJA1158" s="7"/>
      <c r="KJB1158" s="7"/>
      <c r="KJC1158" s="7"/>
      <c r="KJD1158" s="7"/>
      <c r="KJE1158" s="7"/>
      <c r="KJF1158" s="7"/>
      <c r="KJG1158" s="7"/>
      <c r="KJH1158" s="7"/>
      <c r="KJI1158" s="7"/>
      <c r="KJJ1158" s="7"/>
      <c r="KJK1158" s="7"/>
      <c r="KJL1158" s="7"/>
      <c r="KJM1158" s="7"/>
      <c r="KJN1158" s="7"/>
      <c r="KJO1158" s="7"/>
      <c r="KJP1158" s="7"/>
      <c r="KJQ1158" s="7"/>
      <c r="KJR1158" s="7"/>
      <c r="KJS1158" s="7"/>
      <c r="KJT1158" s="7"/>
      <c r="KJU1158" s="7"/>
      <c r="KJV1158" s="7"/>
      <c r="KJW1158" s="7"/>
      <c r="KJX1158" s="7"/>
      <c r="KJY1158" s="7"/>
      <c r="KJZ1158" s="7"/>
      <c r="KKA1158" s="7"/>
      <c r="KKB1158" s="7"/>
      <c r="KKC1158" s="7"/>
      <c r="KKD1158" s="7"/>
      <c r="KKE1158" s="7"/>
      <c r="KKF1158" s="7"/>
      <c r="KKG1158" s="7"/>
      <c r="KKH1158" s="7"/>
      <c r="KKI1158" s="7"/>
      <c r="KKJ1158" s="7"/>
      <c r="KKK1158" s="7"/>
      <c r="KKL1158" s="7"/>
      <c r="KKM1158" s="7"/>
      <c r="KKN1158" s="7"/>
      <c r="KKO1158" s="7"/>
      <c r="KKP1158" s="7"/>
      <c r="KKQ1158" s="7"/>
      <c r="KKR1158" s="7"/>
      <c r="KKS1158" s="7"/>
      <c r="KKT1158" s="7"/>
      <c r="KKU1158" s="7"/>
      <c r="KKV1158" s="7"/>
      <c r="KKW1158" s="7"/>
      <c r="KKX1158" s="7"/>
      <c r="KKY1158" s="7"/>
      <c r="KKZ1158" s="7"/>
      <c r="KLA1158" s="7"/>
      <c r="KLB1158" s="7"/>
      <c r="KLC1158" s="7"/>
      <c r="KLD1158" s="7"/>
      <c r="KLE1158" s="7"/>
      <c r="KLF1158" s="7"/>
      <c r="KLG1158" s="7"/>
      <c r="KLH1158" s="7"/>
      <c r="KLI1158" s="7"/>
      <c r="KLJ1158" s="7"/>
      <c r="KLK1158" s="7"/>
      <c r="KLL1158" s="7"/>
      <c r="KLM1158" s="7"/>
      <c r="KLN1158" s="7"/>
      <c r="KLO1158" s="7"/>
      <c r="KLP1158" s="7"/>
      <c r="KLQ1158" s="7"/>
      <c r="KLR1158" s="7"/>
      <c r="KLS1158" s="7"/>
      <c r="KLT1158" s="7"/>
      <c r="KLU1158" s="7"/>
      <c r="KLV1158" s="7"/>
      <c r="KLW1158" s="7"/>
      <c r="KLX1158" s="7"/>
      <c r="KLY1158" s="7"/>
      <c r="KLZ1158" s="7"/>
      <c r="KMA1158" s="7"/>
      <c r="KMB1158" s="7"/>
      <c r="KMC1158" s="7"/>
      <c r="KMD1158" s="7"/>
      <c r="KME1158" s="7"/>
      <c r="KMF1158" s="7"/>
      <c r="KMG1158" s="7"/>
      <c r="KMH1158" s="7"/>
      <c r="KMI1158" s="7"/>
      <c r="KMJ1158" s="7"/>
      <c r="KMK1158" s="7"/>
      <c r="KML1158" s="7"/>
      <c r="KMM1158" s="7"/>
      <c r="KMN1158" s="7"/>
      <c r="KMO1158" s="7"/>
      <c r="KMP1158" s="7"/>
      <c r="KMQ1158" s="7"/>
      <c r="KMR1158" s="7"/>
      <c r="KMS1158" s="7"/>
      <c r="KMT1158" s="7"/>
      <c r="KMU1158" s="7"/>
      <c r="KMV1158" s="7"/>
      <c r="KMW1158" s="7"/>
      <c r="KMX1158" s="7"/>
      <c r="KMY1158" s="7"/>
      <c r="KMZ1158" s="7"/>
      <c r="KNA1158" s="7"/>
      <c r="KNB1158" s="7"/>
      <c r="KNC1158" s="7"/>
      <c r="KND1158" s="7"/>
      <c r="KNE1158" s="7"/>
      <c r="KNF1158" s="7"/>
      <c r="KNG1158" s="7"/>
      <c r="KNH1158" s="7"/>
      <c r="KNI1158" s="7"/>
      <c r="KNJ1158" s="7"/>
      <c r="KNK1158" s="7"/>
      <c r="KNL1158" s="7"/>
      <c r="KNM1158" s="7"/>
      <c r="KNN1158" s="7"/>
      <c r="KNO1158" s="7"/>
      <c r="KNP1158" s="7"/>
      <c r="KNQ1158" s="7"/>
      <c r="KNR1158" s="7"/>
      <c r="KNS1158" s="7"/>
      <c r="KNT1158" s="7"/>
      <c r="KNU1158" s="7"/>
      <c r="KNV1158" s="7"/>
      <c r="KNW1158" s="7"/>
      <c r="KNX1158" s="7"/>
      <c r="KNY1158" s="7"/>
      <c r="KNZ1158" s="7"/>
      <c r="KOA1158" s="7"/>
      <c r="KOB1158" s="7"/>
      <c r="KOC1158" s="7"/>
      <c r="KOD1158" s="7"/>
      <c r="KOE1158" s="7"/>
      <c r="KOF1158" s="7"/>
      <c r="KOG1158" s="7"/>
      <c r="KOH1158" s="7"/>
      <c r="KOI1158" s="7"/>
      <c r="KOJ1158" s="7"/>
      <c r="KOK1158" s="7"/>
      <c r="KOL1158" s="7"/>
      <c r="KOM1158" s="7"/>
      <c r="KON1158" s="7"/>
      <c r="KOO1158" s="7"/>
      <c r="KOP1158" s="7"/>
      <c r="KOQ1158" s="7"/>
      <c r="KOR1158" s="7"/>
      <c r="KOS1158" s="7"/>
      <c r="KOT1158" s="7"/>
      <c r="KOU1158" s="7"/>
      <c r="KOV1158" s="7"/>
      <c r="KOW1158" s="7"/>
      <c r="KOX1158" s="7"/>
      <c r="KOY1158" s="7"/>
      <c r="KOZ1158" s="7"/>
      <c r="KPA1158" s="7"/>
      <c r="KPB1158" s="7"/>
      <c r="KPC1158" s="7"/>
      <c r="KPD1158" s="7"/>
      <c r="KPE1158" s="7"/>
      <c r="KPF1158" s="7"/>
      <c r="KPG1158" s="7"/>
      <c r="KPH1158" s="7"/>
      <c r="KPI1158" s="7"/>
      <c r="KPJ1158" s="7"/>
      <c r="KPK1158" s="7"/>
      <c r="KPL1158" s="7"/>
      <c r="KPM1158" s="7"/>
      <c r="KPN1158" s="7"/>
      <c r="KPO1158" s="7"/>
      <c r="KPP1158" s="7"/>
      <c r="KPQ1158" s="7"/>
      <c r="KPR1158" s="7"/>
      <c r="KPS1158" s="7"/>
      <c r="KPT1158" s="7"/>
      <c r="KPU1158" s="7"/>
      <c r="KPV1158" s="7"/>
      <c r="KPW1158" s="7"/>
      <c r="KPX1158" s="7"/>
      <c r="KPY1158" s="7"/>
      <c r="KPZ1158" s="7"/>
      <c r="KQA1158" s="7"/>
      <c r="KQB1158" s="7"/>
      <c r="KQC1158" s="7"/>
      <c r="KQD1158" s="7"/>
      <c r="KQE1158" s="7"/>
      <c r="KQF1158" s="7"/>
      <c r="KQG1158" s="7"/>
      <c r="KQH1158" s="7"/>
      <c r="KQI1158" s="7"/>
      <c r="KQJ1158" s="7"/>
      <c r="KQK1158" s="7"/>
      <c r="KQL1158" s="7"/>
      <c r="KQM1158" s="7"/>
      <c r="KQN1158" s="7"/>
      <c r="KQO1158" s="7"/>
      <c r="KQP1158" s="7"/>
      <c r="KQQ1158" s="7"/>
      <c r="KQR1158" s="7"/>
      <c r="KQS1158" s="7"/>
      <c r="KQT1158" s="7"/>
      <c r="KQU1158" s="7"/>
      <c r="KQV1158" s="7"/>
      <c r="KQW1158" s="7"/>
      <c r="KQX1158" s="7"/>
      <c r="KQY1158" s="7"/>
      <c r="KQZ1158" s="7"/>
      <c r="KRA1158" s="7"/>
      <c r="KRB1158" s="7"/>
      <c r="KRC1158" s="7"/>
      <c r="KRD1158" s="7"/>
      <c r="KRE1158" s="7"/>
      <c r="KRF1158" s="7"/>
      <c r="KRG1158" s="7"/>
      <c r="KRH1158" s="7"/>
      <c r="KRI1158" s="7"/>
      <c r="KRJ1158" s="7"/>
      <c r="KRK1158" s="7"/>
      <c r="KRL1158" s="7"/>
      <c r="KRM1158" s="7"/>
      <c r="KRN1158" s="7"/>
      <c r="KRO1158" s="7"/>
      <c r="KRP1158" s="7"/>
      <c r="KRQ1158" s="7"/>
      <c r="KRR1158" s="7"/>
      <c r="KRS1158" s="7"/>
      <c r="KRT1158" s="7"/>
      <c r="KRU1158" s="7"/>
      <c r="KRV1158" s="7"/>
      <c r="KRW1158" s="7"/>
      <c r="KRX1158" s="7"/>
      <c r="KRY1158" s="7"/>
      <c r="KRZ1158" s="7"/>
      <c r="KSA1158" s="7"/>
      <c r="KSB1158" s="7"/>
      <c r="KSC1158" s="7"/>
      <c r="KSD1158" s="7"/>
      <c r="KSE1158" s="7"/>
      <c r="KSF1158" s="7"/>
      <c r="KSG1158" s="7"/>
      <c r="KSH1158" s="7"/>
      <c r="KSI1158" s="7"/>
      <c r="KSJ1158" s="7"/>
      <c r="KSK1158" s="7"/>
      <c r="KSL1158" s="7"/>
      <c r="KSM1158" s="7"/>
      <c r="KSN1158" s="7"/>
      <c r="KSO1158" s="7"/>
      <c r="KSP1158" s="7"/>
      <c r="KSQ1158" s="7"/>
      <c r="KSR1158" s="7"/>
      <c r="KSS1158" s="7"/>
      <c r="KST1158" s="7"/>
      <c r="KSU1158" s="7"/>
      <c r="KSV1158" s="7"/>
      <c r="KSW1158" s="7"/>
      <c r="KSX1158" s="7"/>
      <c r="KSY1158" s="7"/>
      <c r="KSZ1158" s="7"/>
      <c r="KTA1158" s="7"/>
      <c r="KTB1158" s="7"/>
      <c r="KTC1158" s="7"/>
      <c r="KTD1158" s="7"/>
      <c r="KTE1158" s="7"/>
      <c r="KTF1158" s="7"/>
      <c r="KTG1158" s="7"/>
      <c r="KTH1158" s="7"/>
      <c r="KTI1158" s="7"/>
      <c r="KTJ1158" s="7"/>
      <c r="KTK1158" s="7"/>
      <c r="KTL1158" s="7"/>
      <c r="KTM1158" s="7"/>
      <c r="KTN1158" s="7"/>
      <c r="KTO1158" s="7"/>
      <c r="KTP1158" s="7"/>
      <c r="KTQ1158" s="7"/>
      <c r="KTR1158" s="7"/>
      <c r="KTS1158" s="7"/>
      <c r="KTT1158" s="7"/>
      <c r="KTU1158" s="7"/>
      <c r="KTV1158" s="7"/>
      <c r="KTW1158" s="7"/>
      <c r="KTX1158" s="7"/>
      <c r="KTY1158" s="7"/>
      <c r="KTZ1158" s="7"/>
      <c r="KUA1158" s="7"/>
      <c r="KUB1158" s="7"/>
      <c r="KUC1158" s="7"/>
      <c r="KUD1158" s="7"/>
      <c r="KUE1158" s="7"/>
      <c r="KUF1158" s="7"/>
      <c r="KUG1158" s="7"/>
      <c r="KUH1158" s="7"/>
      <c r="KUI1158" s="7"/>
      <c r="KUJ1158" s="7"/>
      <c r="KUK1158" s="7"/>
      <c r="KUL1158" s="7"/>
      <c r="KUM1158" s="7"/>
      <c r="KUN1158" s="7"/>
      <c r="KUO1158" s="7"/>
      <c r="KUP1158" s="7"/>
      <c r="KUQ1158" s="7"/>
      <c r="KUR1158" s="7"/>
      <c r="KUS1158" s="7"/>
      <c r="KUT1158" s="7"/>
      <c r="KUU1158" s="7"/>
      <c r="KUV1158" s="7"/>
      <c r="KUW1158" s="7"/>
      <c r="KUX1158" s="7"/>
      <c r="KUY1158" s="7"/>
      <c r="KUZ1158" s="7"/>
      <c r="KVA1158" s="7"/>
      <c r="KVB1158" s="7"/>
      <c r="KVC1158" s="7"/>
      <c r="KVD1158" s="7"/>
      <c r="KVE1158" s="7"/>
      <c r="KVF1158" s="7"/>
      <c r="KVG1158" s="7"/>
      <c r="KVH1158" s="7"/>
      <c r="KVI1158" s="7"/>
      <c r="KVJ1158" s="7"/>
      <c r="KVK1158" s="7"/>
      <c r="KVL1158" s="7"/>
      <c r="KVM1158" s="7"/>
      <c r="KVN1158" s="7"/>
      <c r="KVO1158" s="7"/>
      <c r="KVP1158" s="7"/>
      <c r="KVQ1158" s="7"/>
      <c r="KVR1158" s="7"/>
      <c r="KVS1158" s="7"/>
      <c r="KVT1158" s="7"/>
      <c r="KVU1158" s="7"/>
      <c r="KVV1158" s="7"/>
      <c r="KVW1158" s="7"/>
      <c r="KVX1158" s="7"/>
      <c r="KVY1158" s="7"/>
      <c r="KVZ1158" s="7"/>
      <c r="KWA1158" s="7"/>
      <c r="KWB1158" s="7"/>
      <c r="KWC1158" s="7"/>
      <c r="KWD1158" s="7"/>
      <c r="KWE1158" s="7"/>
      <c r="KWF1158" s="7"/>
      <c r="KWG1158" s="7"/>
      <c r="KWH1158" s="7"/>
      <c r="KWI1158" s="7"/>
      <c r="KWJ1158" s="7"/>
      <c r="KWK1158" s="7"/>
      <c r="KWL1158" s="7"/>
      <c r="KWM1158" s="7"/>
      <c r="KWN1158" s="7"/>
      <c r="KWO1158" s="7"/>
      <c r="KWP1158" s="7"/>
      <c r="KWQ1158" s="7"/>
      <c r="KWR1158" s="7"/>
      <c r="KWS1158" s="7"/>
      <c r="KWT1158" s="7"/>
      <c r="KWU1158" s="7"/>
      <c r="KWV1158" s="7"/>
      <c r="KWW1158" s="7"/>
      <c r="KWX1158" s="7"/>
      <c r="KWY1158" s="7"/>
      <c r="KWZ1158" s="7"/>
      <c r="KXA1158" s="7"/>
      <c r="KXB1158" s="7"/>
      <c r="KXC1158" s="7"/>
      <c r="KXD1158" s="7"/>
      <c r="KXE1158" s="7"/>
      <c r="KXF1158" s="7"/>
      <c r="KXG1158" s="7"/>
      <c r="KXH1158" s="7"/>
      <c r="KXI1158" s="7"/>
      <c r="KXJ1158" s="7"/>
      <c r="KXK1158" s="7"/>
      <c r="KXL1158" s="7"/>
      <c r="KXM1158" s="7"/>
      <c r="KXN1158" s="7"/>
      <c r="KXO1158" s="7"/>
      <c r="KXP1158" s="7"/>
      <c r="KXQ1158" s="7"/>
      <c r="KXR1158" s="7"/>
      <c r="KXS1158" s="7"/>
      <c r="KXT1158" s="7"/>
      <c r="KXU1158" s="7"/>
      <c r="KXV1158" s="7"/>
      <c r="KXW1158" s="7"/>
      <c r="KXX1158" s="7"/>
      <c r="KXY1158" s="7"/>
      <c r="KXZ1158" s="7"/>
      <c r="KYA1158" s="7"/>
      <c r="KYB1158" s="7"/>
      <c r="KYC1158" s="7"/>
      <c r="KYD1158" s="7"/>
      <c r="KYE1158" s="7"/>
      <c r="KYF1158" s="7"/>
      <c r="KYG1158" s="7"/>
      <c r="KYH1158" s="7"/>
      <c r="KYI1158" s="7"/>
      <c r="KYJ1158" s="7"/>
      <c r="KYK1158" s="7"/>
      <c r="KYL1158" s="7"/>
      <c r="KYM1158" s="7"/>
      <c r="KYN1158" s="7"/>
      <c r="KYO1158" s="7"/>
      <c r="KYP1158" s="7"/>
      <c r="KYQ1158" s="7"/>
      <c r="KYR1158" s="7"/>
      <c r="KYS1158" s="7"/>
      <c r="KYT1158" s="7"/>
      <c r="KYU1158" s="7"/>
      <c r="KYV1158" s="7"/>
      <c r="KYW1158" s="7"/>
      <c r="KYX1158" s="7"/>
      <c r="KYY1158" s="7"/>
      <c r="KYZ1158" s="7"/>
      <c r="KZA1158" s="7"/>
      <c r="KZB1158" s="7"/>
      <c r="KZC1158" s="7"/>
      <c r="KZD1158" s="7"/>
      <c r="KZE1158" s="7"/>
      <c r="KZF1158" s="7"/>
      <c r="KZG1158" s="7"/>
      <c r="KZH1158" s="7"/>
      <c r="KZI1158" s="7"/>
      <c r="KZJ1158" s="7"/>
      <c r="KZK1158" s="7"/>
      <c r="KZL1158" s="7"/>
      <c r="KZM1158" s="7"/>
      <c r="KZN1158" s="7"/>
      <c r="KZO1158" s="7"/>
      <c r="KZP1158" s="7"/>
      <c r="KZQ1158" s="7"/>
      <c r="KZR1158" s="7"/>
      <c r="KZS1158" s="7"/>
      <c r="KZT1158" s="7"/>
      <c r="KZU1158" s="7"/>
      <c r="KZV1158" s="7"/>
      <c r="KZW1158" s="7"/>
      <c r="KZX1158" s="7"/>
      <c r="KZY1158" s="7"/>
      <c r="KZZ1158" s="7"/>
      <c r="LAA1158" s="7"/>
      <c r="LAB1158" s="7"/>
      <c r="LAC1158" s="7"/>
      <c r="LAD1158" s="7"/>
      <c r="LAE1158" s="7"/>
      <c r="LAF1158" s="7"/>
      <c r="LAG1158" s="7"/>
      <c r="LAH1158" s="7"/>
      <c r="LAI1158" s="7"/>
      <c r="LAJ1158" s="7"/>
      <c r="LAK1158" s="7"/>
      <c r="LAL1158" s="7"/>
      <c r="LAM1158" s="7"/>
      <c r="LAN1158" s="7"/>
      <c r="LAO1158" s="7"/>
      <c r="LAP1158" s="7"/>
      <c r="LAQ1158" s="7"/>
      <c r="LAR1158" s="7"/>
      <c r="LAS1158" s="7"/>
      <c r="LAT1158" s="7"/>
      <c r="LAU1158" s="7"/>
      <c r="LAV1158" s="7"/>
      <c r="LAW1158" s="7"/>
      <c r="LAX1158" s="7"/>
      <c r="LAY1158" s="7"/>
      <c r="LAZ1158" s="7"/>
      <c r="LBA1158" s="7"/>
      <c r="LBB1158" s="7"/>
      <c r="LBC1158" s="7"/>
      <c r="LBD1158" s="7"/>
      <c r="LBE1158" s="7"/>
      <c r="LBF1158" s="7"/>
      <c r="LBG1158" s="7"/>
      <c r="LBH1158" s="7"/>
      <c r="LBI1158" s="7"/>
      <c r="LBJ1158" s="7"/>
      <c r="LBK1158" s="7"/>
      <c r="LBL1158" s="7"/>
      <c r="LBM1158" s="7"/>
      <c r="LBN1158" s="7"/>
      <c r="LBO1158" s="7"/>
      <c r="LBP1158" s="7"/>
      <c r="LBQ1158" s="7"/>
      <c r="LBR1158" s="7"/>
      <c r="LBS1158" s="7"/>
      <c r="LBT1158" s="7"/>
      <c r="LBU1158" s="7"/>
      <c r="LBV1158" s="7"/>
      <c r="LBW1158" s="7"/>
      <c r="LBX1158" s="7"/>
      <c r="LBY1158" s="7"/>
      <c r="LBZ1158" s="7"/>
      <c r="LCA1158" s="7"/>
      <c r="LCB1158" s="7"/>
      <c r="LCC1158" s="7"/>
      <c r="LCD1158" s="7"/>
      <c r="LCE1158" s="7"/>
      <c r="LCF1158" s="7"/>
      <c r="LCG1158" s="7"/>
      <c r="LCH1158" s="7"/>
      <c r="LCI1158" s="7"/>
      <c r="LCJ1158" s="7"/>
      <c r="LCK1158" s="7"/>
      <c r="LCL1158" s="7"/>
      <c r="LCM1158" s="7"/>
      <c r="LCN1158" s="7"/>
      <c r="LCO1158" s="7"/>
      <c r="LCP1158" s="7"/>
      <c r="LCQ1158" s="7"/>
      <c r="LCR1158" s="7"/>
      <c r="LCS1158" s="7"/>
      <c r="LCT1158" s="7"/>
      <c r="LCU1158" s="7"/>
      <c r="LCV1158" s="7"/>
      <c r="LCW1158" s="7"/>
      <c r="LCX1158" s="7"/>
      <c r="LCY1158" s="7"/>
      <c r="LCZ1158" s="7"/>
      <c r="LDA1158" s="7"/>
      <c r="LDB1158" s="7"/>
      <c r="LDC1158" s="7"/>
      <c r="LDD1158" s="7"/>
      <c r="LDE1158" s="7"/>
      <c r="LDF1158" s="7"/>
      <c r="LDG1158" s="7"/>
      <c r="LDH1158" s="7"/>
      <c r="LDI1158" s="7"/>
      <c r="LDJ1158" s="7"/>
      <c r="LDK1158" s="7"/>
      <c r="LDL1158" s="7"/>
      <c r="LDM1158" s="7"/>
      <c r="LDN1158" s="7"/>
      <c r="LDO1158" s="7"/>
      <c r="LDP1158" s="7"/>
      <c r="LDQ1158" s="7"/>
      <c r="LDR1158" s="7"/>
      <c r="LDS1158" s="7"/>
      <c r="LDT1158" s="7"/>
      <c r="LDU1158" s="7"/>
      <c r="LDV1158" s="7"/>
      <c r="LDW1158" s="7"/>
      <c r="LDX1158" s="7"/>
      <c r="LDY1158" s="7"/>
      <c r="LDZ1158" s="7"/>
      <c r="LEA1158" s="7"/>
      <c r="LEB1158" s="7"/>
      <c r="LEC1158" s="7"/>
      <c r="LED1158" s="7"/>
      <c r="LEE1158" s="7"/>
      <c r="LEF1158" s="7"/>
      <c r="LEG1158" s="7"/>
      <c r="LEH1158" s="7"/>
      <c r="LEI1158" s="7"/>
      <c r="LEJ1158" s="7"/>
      <c r="LEK1158" s="7"/>
      <c r="LEL1158" s="7"/>
      <c r="LEM1158" s="7"/>
      <c r="LEN1158" s="7"/>
      <c r="LEO1158" s="7"/>
      <c r="LEP1158" s="7"/>
      <c r="LEQ1158" s="7"/>
      <c r="LER1158" s="7"/>
      <c r="LES1158" s="7"/>
      <c r="LET1158" s="7"/>
      <c r="LEU1158" s="7"/>
      <c r="LEV1158" s="7"/>
      <c r="LEW1158" s="7"/>
      <c r="LEX1158" s="7"/>
      <c r="LEY1158" s="7"/>
      <c r="LEZ1158" s="7"/>
      <c r="LFA1158" s="7"/>
      <c r="LFB1158" s="7"/>
      <c r="LFC1158" s="7"/>
      <c r="LFD1158" s="7"/>
      <c r="LFE1158" s="7"/>
      <c r="LFF1158" s="7"/>
      <c r="LFG1158" s="7"/>
      <c r="LFH1158" s="7"/>
      <c r="LFI1158" s="7"/>
      <c r="LFJ1158" s="7"/>
      <c r="LFK1158" s="7"/>
      <c r="LFL1158" s="7"/>
      <c r="LFM1158" s="7"/>
      <c r="LFN1158" s="7"/>
      <c r="LFO1158" s="7"/>
      <c r="LFP1158" s="7"/>
      <c r="LFQ1158" s="7"/>
      <c r="LFR1158" s="7"/>
      <c r="LFS1158" s="7"/>
      <c r="LFT1158" s="7"/>
      <c r="LFU1158" s="7"/>
      <c r="LFV1158" s="7"/>
      <c r="LFW1158" s="7"/>
      <c r="LFX1158" s="7"/>
      <c r="LFY1158" s="7"/>
      <c r="LFZ1158" s="7"/>
      <c r="LGA1158" s="7"/>
      <c r="LGB1158" s="7"/>
      <c r="LGC1158" s="7"/>
      <c r="LGD1158" s="7"/>
      <c r="LGE1158" s="7"/>
      <c r="LGF1158" s="7"/>
      <c r="LGG1158" s="7"/>
      <c r="LGH1158" s="7"/>
      <c r="LGI1158" s="7"/>
      <c r="LGJ1158" s="7"/>
      <c r="LGK1158" s="7"/>
      <c r="LGL1158" s="7"/>
      <c r="LGM1158" s="7"/>
      <c r="LGN1158" s="7"/>
      <c r="LGO1158" s="7"/>
      <c r="LGP1158" s="7"/>
      <c r="LGQ1158" s="7"/>
      <c r="LGR1158" s="7"/>
      <c r="LGS1158" s="7"/>
      <c r="LGT1158" s="7"/>
      <c r="LGU1158" s="7"/>
      <c r="LGV1158" s="7"/>
      <c r="LGW1158" s="7"/>
      <c r="LGX1158" s="7"/>
      <c r="LGY1158" s="7"/>
      <c r="LGZ1158" s="7"/>
      <c r="LHA1158" s="7"/>
      <c r="LHB1158" s="7"/>
      <c r="LHC1158" s="7"/>
      <c r="LHD1158" s="7"/>
      <c r="LHE1158" s="7"/>
      <c r="LHF1158" s="7"/>
      <c r="LHG1158" s="7"/>
      <c r="LHH1158" s="7"/>
      <c r="LHI1158" s="7"/>
      <c r="LHJ1158" s="7"/>
      <c r="LHK1158" s="7"/>
      <c r="LHL1158" s="7"/>
      <c r="LHM1158" s="7"/>
      <c r="LHN1158" s="7"/>
      <c r="LHO1158" s="7"/>
      <c r="LHP1158" s="7"/>
      <c r="LHQ1158" s="7"/>
      <c r="LHR1158" s="7"/>
      <c r="LHS1158" s="7"/>
      <c r="LHT1158" s="7"/>
      <c r="LHU1158" s="7"/>
      <c r="LHV1158" s="7"/>
      <c r="LHW1158" s="7"/>
      <c r="LHX1158" s="7"/>
      <c r="LHY1158" s="7"/>
      <c r="LHZ1158" s="7"/>
      <c r="LIA1158" s="7"/>
      <c r="LIB1158" s="7"/>
      <c r="LIC1158" s="7"/>
      <c r="LID1158" s="7"/>
      <c r="LIE1158" s="7"/>
      <c r="LIF1158" s="7"/>
      <c r="LIG1158" s="7"/>
      <c r="LIH1158" s="7"/>
      <c r="LII1158" s="7"/>
      <c r="LIJ1158" s="7"/>
      <c r="LIK1158" s="7"/>
      <c r="LIL1158" s="7"/>
      <c r="LIM1158" s="7"/>
      <c r="LIN1158" s="7"/>
      <c r="LIO1158" s="7"/>
      <c r="LIP1158" s="7"/>
      <c r="LIQ1158" s="7"/>
      <c r="LIR1158" s="7"/>
      <c r="LIS1158" s="7"/>
      <c r="LIT1158" s="7"/>
      <c r="LIU1158" s="7"/>
      <c r="LIV1158" s="7"/>
      <c r="LIW1158" s="7"/>
      <c r="LIX1158" s="7"/>
      <c r="LIY1158" s="7"/>
      <c r="LIZ1158" s="7"/>
      <c r="LJA1158" s="7"/>
      <c r="LJB1158" s="7"/>
      <c r="LJC1158" s="7"/>
      <c r="LJD1158" s="7"/>
      <c r="LJE1158" s="7"/>
      <c r="LJF1158" s="7"/>
      <c r="LJG1158" s="7"/>
      <c r="LJH1158" s="7"/>
      <c r="LJI1158" s="7"/>
      <c r="LJJ1158" s="7"/>
      <c r="LJK1158" s="7"/>
      <c r="LJL1158" s="7"/>
      <c r="LJM1158" s="7"/>
      <c r="LJN1158" s="7"/>
      <c r="LJO1158" s="7"/>
      <c r="LJP1158" s="7"/>
      <c r="LJQ1158" s="7"/>
      <c r="LJR1158" s="7"/>
      <c r="LJS1158" s="7"/>
      <c r="LJT1158" s="7"/>
      <c r="LJU1158" s="7"/>
      <c r="LJV1158" s="7"/>
      <c r="LJW1158" s="7"/>
      <c r="LJX1158" s="7"/>
      <c r="LJY1158" s="7"/>
      <c r="LJZ1158" s="7"/>
      <c r="LKA1158" s="7"/>
      <c r="LKB1158" s="7"/>
      <c r="LKC1158" s="7"/>
      <c r="LKD1158" s="7"/>
      <c r="LKE1158" s="7"/>
      <c r="LKF1158" s="7"/>
      <c r="LKG1158" s="7"/>
      <c r="LKH1158" s="7"/>
      <c r="LKI1158" s="7"/>
      <c r="LKJ1158" s="7"/>
      <c r="LKK1158" s="7"/>
      <c r="LKL1158" s="7"/>
      <c r="LKM1158" s="7"/>
      <c r="LKN1158" s="7"/>
      <c r="LKO1158" s="7"/>
      <c r="LKP1158" s="7"/>
      <c r="LKQ1158" s="7"/>
      <c r="LKR1158" s="7"/>
      <c r="LKS1158" s="7"/>
      <c r="LKT1158" s="7"/>
      <c r="LKU1158" s="7"/>
      <c r="LKV1158" s="7"/>
      <c r="LKW1158" s="7"/>
      <c r="LKX1158" s="7"/>
      <c r="LKY1158" s="7"/>
      <c r="LKZ1158" s="7"/>
      <c r="LLA1158" s="7"/>
      <c r="LLB1158" s="7"/>
      <c r="LLC1158" s="7"/>
      <c r="LLD1158" s="7"/>
      <c r="LLE1158" s="7"/>
      <c r="LLF1158" s="7"/>
      <c r="LLG1158" s="7"/>
      <c r="LLH1158" s="7"/>
      <c r="LLI1158" s="7"/>
      <c r="LLJ1158" s="7"/>
      <c r="LLK1158" s="7"/>
      <c r="LLL1158" s="7"/>
      <c r="LLM1158" s="7"/>
      <c r="LLN1158" s="7"/>
      <c r="LLO1158" s="7"/>
      <c r="LLP1158" s="7"/>
      <c r="LLQ1158" s="7"/>
      <c r="LLR1158" s="7"/>
      <c r="LLS1158" s="7"/>
      <c r="LLT1158" s="7"/>
      <c r="LLU1158" s="7"/>
      <c r="LLV1158" s="7"/>
      <c r="LLW1158" s="7"/>
      <c r="LLX1158" s="7"/>
      <c r="LLY1158" s="7"/>
      <c r="LLZ1158" s="7"/>
      <c r="LMA1158" s="7"/>
      <c r="LMB1158" s="7"/>
      <c r="LMC1158" s="7"/>
      <c r="LMD1158" s="7"/>
      <c r="LME1158" s="7"/>
      <c r="LMF1158" s="7"/>
      <c r="LMG1158" s="7"/>
      <c r="LMH1158" s="7"/>
      <c r="LMI1158" s="7"/>
      <c r="LMJ1158" s="7"/>
      <c r="LMK1158" s="7"/>
      <c r="LML1158" s="7"/>
      <c r="LMM1158" s="7"/>
      <c r="LMN1158" s="7"/>
      <c r="LMO1158" s="7"/>
      <c r="LMP1158" s="7"/>
      <c r="LMQ1158" s="7"/>
      <c r="LMR1158" s="7"/>
      <c r="LMS1158" s="7"/>
      <c r="LMT1158" s="7"/>
      <c r="LMU1158" s="7"/>
      <c r="LMV1158" s="7"/>
      <c r="LMW1158" s="7"/>
      <c r="LMX1158" s="7"/>
      <c r="LMY1158" s="7"/>
      <c r="LMZ1158" s="7"/>
      <c r="LNA1158" s="7"/>
      <c r="LNB1158" s="7"/>
      <c r="LNC1158" s="7"/>
      <c r="LND1158" s="7"/>
      <c r="LNE1158" s="7"/>
      <c r="LNF1158" s="7"/>
      <c r="LNG1158" s="7"/>
      <c r="LNH1158" s="7"/>
      <c r="LNI1158" s="7"/>
      <c r="LNJ1158" s="7"/>
      <c r="LNK1158" s="7"/>
      <c r="LNL1158" s="7"/>
      <c r="LNM1158" s="7"/>
      <c r="LNN1158" s="7"/>
      <c r="LNO1158" s="7"/>
      <c r="LNP1158" s="7"/>
      <c r="LNQ1158" s="7"/>
      <c r="LNR1158" s="7"/>
      <c r="LNS1158" s="7"/>
      <c r="LNT1158" s="7"/>
      <c r="LNU1158" s="7"/>
      <c r="LNV1158" s="7"/>
      <c r="LNW1158" s="7"/>
      <c r="LNX1158" s="7"/>
      <c r="LNY1158" s="7"/>
      <c r="LNZ1158" s="7"/>
      <c r="LOA1158" s="7"/>
      <c r="LOB1158" s="7"/>
      <c r="LOC1158" s="7"/>
      <c r="LOD1158" s="7"/>
      <c r="LOE1158" s="7"/>
      <c r="LOF1158" s="7"/>
      <c r="LOG1158" s="7"/>
      <c r="LOH1158" s="7"/>
      <c r="LOI1158" s="7"/>
      <c r="LOJ1158" s="7"/>
      <c r="LOK1158" s="7"/>
      <c r="LOL1158" s="7"/>
      <c r="LOM1158" s="7"/>
      <c r="LON1158" s="7"/>
      <c r="LOO1158" s="7"/>
      <c r="LOP1158" s="7"/>
      <c r="LOQ1158" s="7"/>
      <c r="LOR1158" s="7"/>
      <c r="LOS1158" s="7"/>
      <c r="LOT1158" s="7"/>
      <c r="LOU1158" s="7"/>
      <c r="LOV1158" s="7"/>
      <c r="LOW1158" s="7"/>
      <c r="LOX1158" s="7"/>
      <c r="LOY1158" s="7"/>
      <c r="LOZ1158" s="7"/>
      <c r="LPA1158" s="7"/>
      <c r="LPB1158" s="7"/>
      <c r="LPC1158" s="7"/>
      <c r="LPD1158" s="7"/>
      <c r="LPE1158" s="7"/>
      <c r="LPF1158" s="7"/>
      <c r="LPG1158" s="7"/>
      <c r="LPH1158" s="7"/>
      <c r="LPI1158" s="7"/>
      <c r="LPJ1158" s="7"/>
      <c r="LPK1158" s="7"/>
      <c r="LPL1158" s="7"/>
      <c r="LPM1158" s="7"/>
      <c r="LPN1158" s="7"/>
      <c r="LPO1158" s="7"/>
      <c r="LPP1158" s="7"/>
      <c r="LPQ1158" s="7"/>
      <c r="LPR1158" s="7"/>
      <c r="LPS1158" s="7"/>
      <c r="LPT1158" s="7"/>
      <c r="LPU1158" s="7"/>
      <c r="LPV1158" s="7"/>
      <c r="LPW1158" s="7"/>
      <c r="LPX1158" s="7"/>
      <c r="LPY1158" s="7"/>
      <c r="LPZ1158" s="7"/>
      <c r="LQA1158" s="7"/>
      <c r="LQB1158" s="7"/>
      <c r="LQC1158" s="7"/>
      <c r="LQD1158" s="7"/>
      <c r="LQE1158" s="7"/>
      <c r="LQF1158" s="7"/>
      <c r="LQG1158" s="7"/>
      <c r="LQH1158" s="7"/>
      <c r="LQI1158" s="7"/>
      <c r="LQJ1158" s="7"/>
      <c r="LQK1158" s="7"/>
      <c r="LQL1158" s="7"/>
      <c r="LQM1158" s="7"/>
      <c r="LQN1158" s="7"/>
      <c r="LQO1158" s="7"/>
      <c r="LQP1158" s="7"/>
      <c r="LQQ1158" s="7"/>
      <c r="LQR1158" s="7"/>
      <c r="LQS1158" s="7"/>
      <c r="LQT1158" s="7"/>
      <c r="LQU1158" s="7"/>
      <c r="LQV1158" s="7"/>
      <c r="LQW1158" s="7"/>
      <c r="LQX1158" s="7"/>
      <c r="LQY1158" s="7"/>
      <c r="LQZ1158" s="7"/>
      <c r="LRA1158" s="7"/>
      <c r="LRB1158" s="7"/>
      <c r="LRC1158" s="7"/>
      <c r="LRD1158" s="7"/>
      <c r="LRE1158" s="7"/>
      <c r="LRF1158" s="7"/>
      <c r="LRG1158" s="7"/>
      <c r="LRH1158" s="7"/>
      <c r="LRI1158" s="7"/>
      <c r="LRJ1158" s="7"/>
      <c r="LRK1158" s="7"/>
      <c r="LRL1158" s="7"/>
      <c r="LRM1158" s="7"/>
      <c r="LRN1158" s="7"/>
      <c r="LRO1158" s="7"/>
      <c r="LRP1158" s="7"/>
      <c r="LRQ1158" s="7"/>
      <c r="LRR1158" s="7"/>
      <c r="LRS1158" s="7"/>
      <c r="LRT1158" s="7"/>
      <c r="LRU1158" s="7"/>
      <c r="LRV1158" s="7"/>
      <c r="LRW1158" s="7"/>
      <c r="LRX1158" s="7"/>
      <c r="LRY1158" s="7"/>
      <c r="LRZ1158" s="7"/>
      <c r="LSA1158" s="7"/>
      <c r="LSB1158" s="7"/>
      <c r="LSC1158" s="7"/>
      <c r="LSD1158" s="7"/>
      <c r="LSE1158" s="7"/>
      <c r="LSF1158" s="7"/>
      <c r="LSG1158" s="7"/>
      <c r="LSH1158" s="7"/>
      <c r="LSI1158" s="7"/>
      <c r="LSJ1158" s="7"/>
      <c r="LSK1158" s="7"/>
      <c r="LSL1158" s="7"/>
      <c r="LSM1158" s="7"/>
      <c r="LSN1158" s="7"/>
      <c r="LSO1158" s="7"/>
      <c r="LSP1158" s="7"/>
      <c r="LSQ1158" s="7"/>
      <c r="LSR1158" s="7"/>
      <c r="LSS1158" s="7"/>
      <c r="LST1158" s="7"/>
      <c r="LSU1158" s="7"/>
      <c r="LSV1158" s="7"/>
      <c r="LSW1158" s="7"/>
      <c r="LSX1158" s="7"/>
      <c r="LSY1158" s="7"/>
      <c r="LSZ1158" s="7"/>
      <c r="LTA1158" s="7"/>
      <c r="LTB1158" s="7"/>
      <c r="LTC1158" s="7"/>
      <c r="LTD1158" s="7"/>
      <c r="LTE1158" s="7"/>
      <c r="LTF1158" s="7"/>
      <c r="LTG1158" s="7"/>
      <c r="LTH1158" s="7"/>
      <c r="LTI1158" s="7"/>
      <c r="LTJ1158" s="7"/>
      <c r="LTK1158" s="7"/>
      <c r="LTL1158" s="7"/>
      <c r="LTM1158" s="7"/>
      <c r="LTN1158" s="7"/>
      <c r="LTO1158" s="7"/>
      <c r="LTP1158" s="7"/>
      <c r="LTQ1158" s="7"/>
      <c r="LTR1158" s="7"/>
      <c r="LTS1158" s="7"/>
      <c r="LTT1158" s="7"/>
      <c r="LTU1158" s="7"/>
      <c r="LTV1158" s="7"/>
      <c r="LTW1158" s="7"/>
      <c r="LTX1158" s="7"/>
      <c r="LTY1158" s="7"/>
      <c r="LTZ1158" s="7"/>
      <c r="LUA1158" s="7"/>
      <c r="LUB1158" s="7"/>
      <c r="LUC1158" s="7"/>
      <c r="LUD1158" s="7"/>
      <c r="LUE1158" s="7"/>
      <c r="LUF1158" s="7"/>
      <c r="LUG1158" s="7"/>
      <c r="LUH1158" s="7"/>
      <c r="LUI1158" s="7"/>
      <c r="LUJ1158" s="7"/>
      <c r="LUK1158" s="7"/>
      <c r="LUL1158" s="7"/>
      <c r="LUM1158" s="7"/>
      <c r="LUN1158" s="7"/>
      <c r="LUO1158" s="7"/>
      <c r="LUP1158" s="7"/>
      <c r="LUQ1158" s="7"/>
      <c r="LUR1158" s="7"/>
      <c r="LUS1158" s="7"/>
      <c r="LUT1158" s="7"/>
      <c r="LUU1158" s="7"/>
      <c r="LUV1158" s="7"/>
      <c r="LUW1158" s="7"/>
      <c r="LUX1158" s="7"/>
      <c r="LUY1158" s="7"/>
      <c r="LUZ1158" s="7"/>
      <c r="LVA1158" s="7"/>
      <c r="LVB1158" s="7"/>
      <c r="LVC1158" s="7"/>
      <c r="LVD1158" s="7"/>
      <c r="LVE1158" s="7"/>
      <c r="LVF1158" s="7"/>
      <c r="LVG1158" s="7"/>
      <c r="LVH1158" s="7"/>
      <c r="LVI1158" s="7"/>
      <c r="LVJ1158" s="7"/>
      <c r="LVK1158" s="7"/>
      <c r="LVL1158" s="7"/>
      <c r="LVM1158" s="7"/>
      <c r="LVN1158" s="7"/>
      <c r="LVO1158" s="7"/>
      <c r="LVP1158" s="7"/>
      <c r="LVQ1158" s="7"/>
      <c r="LVR1158" s="7"/>
      <c r="LVS1158" s="7"/>
      <c r="LVT1158" s="7"/>
      <c r="LVU1158" s="7"/>
      <c r="LVV1158" s="7"/>
      <c r="LVW1158" s="7"/>
      <c r="LVX1158" s="7"/>
      <c r="LVY1158" s="7"/>
      <c r="LVZ1158" s="7"/>
      <c r="LWA1158" s="7"/>
      <c r="LWB1158" s="7"/>
      <c r="LWC1158" s="7"/>
      <c r="LWD1158" s="7"/>
      <c r="LWE1158" s="7"/>
      <c r="LWF1158" s="7"/>
      <c r="LWG1158" s="7"/>
      <c r="LWH1158" s="7"/>
      <c r="LWI1158" s="7"/>
      <c r="LWJ1158" s="7"/>
      <c r="LWK1158" s="7"/>
      <c r="LWL1158" s="7"/>
      <c r="LWM1158" s="7"/>
      <c r="LWN1158" s="7"/>
      <c r="LWO1158" s="7"/>
      <c r="LWP1158" s="7"/>
      <c r="LWQ1158" s="7"/>
      <c r="LWR1158" s="7"/>
      <c r="LWS1158" s="7"/>
      <c r="LWT1158" s="7"/>
      <c r="LWU1158" s="7"/>
      <c r="LWV1158" s="7"/>
      <c r="LWW1158" s="7"/>
      <c r="LWX1158" s="7"/>
      <c r="LWY1158" s="7"/>
      <c r="LWZ1158" s="7"/>
      <c r="LXA1158" s="7"/>
      <c r="LXB1158" s="7"/>
      <c r="LXC1158" s="7"/>
      <c r="LXD1158" s="7"/>
      <c r="LXE1158" s="7"/>
      <c r="LXF1158" s="7"/>
      <c r="LXG1158" s="7"/>
      <c r="LXH1158" s="7"/>
      <c r="LXI1158" s="7"/>
      <c r="LXJ1158" s="7"/>
      <c r="LXK1158" s="7"/>
      <c r="LXL1158" s="7"/>
      <c r="LXM1158" s="7"/>
      <c r="LXN1158" s="7"/>
      <c r="LXO1158" s="7"/>
      <c r="LXP1158" s="7"/>
      <c r="LXQ1158" s="7"/>
      <c r="LXR1158" s="7"/>
      <c r="LXS1158" s="7"/>
      <c r="LXT1158" s="7"/>
      <c r="LXU1158" s="7"/>
      <c r="LXV1158" s="7"/>
      <c r="LXW1158" s="7"/>
      <c r="LXX1158" s="7"/>
      <c r="LXY1158" s="7"/>
      <c r="LXZ1158" s="7"/>
      <c r="LYA1158" s="7"/>
      <c r="LYB1158" s="7"/>
      <c r="LYC1158" s="7"/>
      <c r="LYD1158" s="7"/>
      <c r="LYE1158" s="7"/>
      <c r="LYF1158" s="7"/>
      <c r="LYG1158" s="7"/>
      <c r="LYH1158" s="7"/>
      <c r="LYI1158" s="7"/>
      <c r="LYJ1158" s="7"/>
      <c r="LYK1158" s="7"/>
      <c r="LYL1158" s="7"/>
      <c r="LYM1158" s="7"/>
      <c r="LYN1158" s="7"/>
      <c r="LYO1158" s="7"/>
      <c r="LYP1158" s="7"/>
      <c r="LYQ1158" s="7"/>
      <c r="LYR1158" s="7"/>
      <c r="LYS1158" s="7"/>
      <c r="LYT1158" s="7"/>
      <c r="LYU1158" s="7"/>
      <c r="LYV1158" s="7"/>
      <c r="LYW1158" s="7"/>
      <c r="LYX1158" s="7"/>
      <c r="LYY1158" s="7"/>
      <c r="LYZ1158" s="7"/>
      <c r="LZA1158" s="7"/>
      <c r="LZB1158" s="7"/>
      <c r="LZC1158" s="7"/>
      <c r="LZD1158" s="7"/>
      <c r="LZE1158" s="7"/>
      <c r="LZF1158" s="7"/>
      <c r="LZG1158" s="7"/>
      <c r="LZH1158" s="7"/>
      <c r="LZI1158" s="7"/>
      <c r="LZJ1158" s="7"/>
      <c r="LZK1158" s="7"/>
      <c r="LZL1158" s="7"/>
      <c r="LZM1158" s="7"/>
      <c r="LZN1158" s="7"/>
      <c r="LZO1158" s="7"/>
      <c r="LZP1158" s="7"/>
      <c r="LZQ1158" s="7"/>
      <c r="LZR1158" s="7"/>
      <c r="LZS1158" s="7"/>
      <c r="LZT1158" s="7"/>
      <c r="LZU1158" s="7"/>
      <c r="LZV1158" s="7"/>
      <c r="LZW1158" s="7"/>
      <c r="LZX1158" s="7"/>
      <c r="LZY1158" s="7"/>
      <c r="LZZ1158" s="7"/>
      <c r="MAA1158" s="7"/>
      <c r="MAB1158" s="7"/>
      <c r="MAC1158" s="7"/>
      <c r="MAD1158" s="7"/>
      <c r="MAE1158" s="7"/>
      <c r="MAF1158" s="7"/>
      <c r="MAG1158" s="7"/>
      <c r="MAH1158" s="7"/>
      <c r="MAI1158" s="7"/>
      <c r="MAJ1158" s="7"/>
      <c r="MAK1158" s="7"/>
      <c r="MAL1158" s="7"/>
      <c r="MAM1158" s="7"/>
      <c r="MAN1158" s="7"/>
      <c r="MAO1158" s="7"/>
      <c r="MAP1158" s="7"/>
      <c r="MAQ1158" s="7"/>
      <c r="MAR1158" s="7"/>
      <c r="MAS1158" s="7"/>
      <c r="MAT1158" s="7"/>
      <c r="MAU1158" s="7"/>
      <c r="MAV1158" s="7"/>
      <c r="MAW1158" s="7"/>
      <c r="MAX1158" s="7"/>
      <c r="MAY1158" s="7"/>
      <c r="MAZ1158" s="7"/>
      <c r="MBA1158" s="7"/>
      <c r="MBB1158" s="7"/>
      <c r="MBC1158" s="7"/>
      <c r="MBD1158" s="7"/>
      <c r="MBE1158" s="7"/>
      <c r="MBF1158" s="7"/>
      <c r="MBG1158" s="7"/>
      <c r="MBH1158" s="7"/>
      <c r="MBI1158" s="7"/>
      <c r="MBJ1158" s="7"/>
      <c r="MBK1158" s="7"/>
      <c r="MBL1158" s="7"/>
      <c r="MBM1158" s="7"/>
      <c r="MBN1158" s="7"/>
      <c r="MBO1158" s="7"/>
      <c r="MBP1158" s="7"/>
      <c r="MBQ1158" s="7"/>
      <c r="MBR1158" s="7"/>
      <c r="MBS1158" s="7"/>
      <c r="MBT1158" s="7"/>
      <c r="MBU1158" s="7"/>
      <c r="MBV1158" s="7"/>
      <c r="MBW1158" s="7"/>
      <c r="MBX1158" s="7"/>
      <c r="MBY1158" s="7"/>
      <c r="MBZ1158" s="7"/>
      <c r="MCA1158" s="7"/>
      <c r="MCB1158" s="7"/>
      <c r="MCC1158" s="7"/>
      <c r="MCD1158" s="7"/>
      <c r="MCE1158" s="7"/>
      <c r="MCF1158" s="7"/>
      <c r="MCG1158" s="7"/>
      <c r="MCH1158" s="7"/>
      <c r="MCI1158" s="7"/>
      <c r="MCJ1158" s="7"/>
      <c r="MCK1158" s="7"/>
      <c r="MCL1158" s="7"/>
      <c r="MCM1158" s="7"/>
      <c r="MCN1158" s="7"/>
      <c r="MCO1158" s="7"/>
      <c r="MCP1158" s="7"/>
      <c r="MCQ1158" s="7"/>
      <c r="MCR1158" s="7"/>
      <c r="MCS1158" s="7"/>
      <c r="MCT1158" s="7"/>
      <c r="MCU1158" s="7"/>
      <c r="MCV1158" s="7"/>
      <c r="MCW1158" s="7"/>
      <c r="MCX1158" s="7"/>
      <c r="MCY1158" s="7"/>
      <c r="MCZ1158" s="7"/>
      <c r="MDA1158" s="7"/>
      <c r="MDB1158" s="7"/>
      <c r="MDC1158" s="7"/>
      <c r="MDD1158" s="7"/>
      <c r="MDE1158" s="7"/>
      <c r="MDF1158" s="7"/>
      <c r="MDG1158" s="7"/>
      <c r="MDH1158" s="7"/>
      <c r="MDI1158" s="7"/>
      <c r="MDJ1158" s="7"/>
      <c r="MDK1158" s="7"/>
      <c r="MDL1158" s="7"/>
      <c r="MDM1158" s="7"/>
      <c r="MDN1158" s="7"/>
      <c r="MDO1158" s="7"/>
      <c r="MDP1158" s="7"/>
      <c r="MDQ1158" s="7"/>
      <c r="MDR1158" s="7"/>
      <c r="MDS1158" s="7"/>
      <c r="MDT1158" s="7"/>
      <c r="MDU1158" s="7"/>
      <c r="MDV1158" s="7"/>
      <c r="MDW1158" s="7"/>
      <c r="MDX1158" s="7"/>
      <c r="MDY1158" s="7"/>
      <c r="MDZ1158" s="7"/>
      <c r="MEA1158" s="7"/>
      <c r="MEB1158" s="7"/>
      <c r="MEC1158" s="7"/>
      <c r="MED1158" s="7"/>
      <c r="MEE1158" s="7"/>
      <c r="MEF1158" s="7"/>
      <c r="MEG1158" s="7"/>
      <c r="MEH1158" s="7"/>
      <c r="MEI1158" s="7"/>
      <c r="MEJ1158" s="7"/>
      <c r="MEK1158" s="7"/>
      <c r="MEL1158" s="7"/>
      <c r="MEM1158" s="7"/>
      <c r="MEN1158" s="7"/>
      <c r="MEO1158" s="7"/>
      <c r="MEP1158" s="7"/>
      <c r="MEQ1158" s="7"/>
      <c r="MER1158" s="7"/>
      <c r="MES1158" s="7"/>
      <c r="MET1158" s="7"/>
      <c r="MEU1158" s="7"/>
      <c r="MEV1158" s="7"/>
      <c r="MEW1158" s="7"/>
      <c r="MEX1158" s="7"/>
      <c r="MEY1158" s="7"/>
      <c r="MEZ1158" s="7"/>
      <c r="MFA1158" s="7"/>
      <c r="MFB1158" s="7"/>
      <c r="MFC1158" s="7"/>
      <c r="MFD1158" s="7"/>
      <c r="MFE1158" s="7"/>
      <c r="MFF1158" s="7"/>
      <c r="MFG1158" s="7"/>
      <c r="MFH1158" s="7"/>
      <c r="MFI1158" s="7"/>
      <c r="MFJ1158" s="7"/>
      <c r="MFK1158" s="7"/>
      <c r="MFL1158" s="7"/>
      <c r="MFM1158" s="7"/>
      <c r="MFN1158" s="7"/>
      <c r="MFO1158" s="7"/>
      <c r="MFP1158" s="7"/>
      <c r="MFQ1158" s="7"/>
      <c r="MFR1158" s="7"/>
      <c r="MFS1158" s="7"/>
      <c r="MFT1158" s="7"/>
      <c r="MFU1158" s="7"/>
      <c r="MFV1158" s="7"/>
      <c r="MFW1158" s="7"/>
      <c r="MFX1158" s="7"/>
      <c r="MFY1158" s="7"/>
      <c r="MFZ1158" s="7"/>
      <c r="MGA1158" s="7"/>
      <c r="MGB1158" s="7"/>
      <c r="MGC1158" s="7"/>
      <c r="MGD1158" s="7"/>
      <c r="MGE1158" s="7"/>
      <c r="MGF1158" s="7"/>
      <c r="MGG1158" s="7"/>
      <c r="MGH1158" s="7"/>
      <c r="MGI1158" s="7"/>
      <c r="MGJ1158" s="7"/>
      <c r="MGK1158" s="7"/>
      <c r="MGL1158" s="7"/>
      <c r="MGM1158" s="7"/>
      <c r="MGN1158" s="7"/>
      <c r="MGO1158" s="7"/>
      <c r="MGP1158" s="7"/>
      <c r="MGQ1158" s="7"/>
      <c r="MGR1158" s="7"/>
      <c r="MGS1158" s="7"/>
      <c r="MGT1158" s="7"/>
      <c r="MGU1158" s="7"/>
      <c r="MGV1158" s="7"/>
      <c r="MGW1158" s="7"/>
      <c r="MGX1158" s="7"/>
      <c r="MGY1158" s="7"/>
      <c r="MGZ1158" s="7"/>
      <c r="MHA1158" s="7"/>
      <c r="MHB1158" s="7"/>
      <c r="MHC1158" s="7"/>
      <c r="MHD1158" s="7"/>
      <c r="MHE1158" s="7"/>
      <c r="MHF1158" s="7"/>
      <c r="MHG1158" s="7"/>
      <c r="MHH1158" s="7"/>
      <c r="MHI1158" s="7"/>
      <c r="MHJ1158" s="7"/>
      <c r="MHK1158" s="7"/>
      <c r="MHL1158" s="7"/>
      <c r="MHM1158" s="7"/>
      <c r="MHN1158" s="7"/>
      <c r="MHO1158" s="7"/>
      <c r="MHP1158" s="7"/>
      <c r="MHQ1158" s="7"/>
      <c r="MHR1158" s="7"/>
      <c r="MHS1158" s="7"/>
      <c r="MHT1158" s="7"/>
      <c r="MHU1158" s="7"/>
      <c r="MHV1158" s="7"/>
      <c r="MHW1158" s="7"/>
      <c r="MHX1158" s="7"/>
      <c r="MHY1158" s="7"/>
      <c r="MHZ1158" s="7"/>
      <c r="MIA1158" s="7"/>
      <c r="MIB1158" s="7"/>
      <c r="MIC1158" s="7"/>
      <c r="MID1158" s="7"/>
      <c r="MIE1158" s="7"/>
      <c r="MIF1158" s="7"/>
      <c r="MIG1158" s="7"/>
      <c r="MIH1158" s="7"/>
      <c r="MII1158" s="7"/>
      <c r="MIJ1158" s="7"/>
      <c r="MIK1158" s="7"/>
      <c r="MIL1158" s="7"/>
      <c r="MIM1158" s="7"/>
      <c r="MIN1158" s="7"/>
      <c r="MIO1158" s="7"/>
      <c r="MIP1158" s="7"/>
      <c r="MIQ1158" s="7"/>
      <c r="MIR1158" s="7"/>
      <c r="MIS1158" s="7"/>
      <c r="MIT1158" s="7"/>
      <c r="MIU1158" s="7"/>
      <c r="MIV1158" s="7"/>
      <c r="MIW1158" s="7"/>
      <c r="MIX1158" s="7"/>
      <c r="MIY1158" s="7"/>
      <c r="MIZ1158" s="7"/>
      <c r="MJA1158" s="7"/>
      <c r="MJB1158" s="7"/>
      <c r="MJC1158" s="7"/>
      <c r="MJD1158" s="7"/>
      <c r="MJE1158" s="7"/>
      <c r="MJF1158" s="7"/>
      <c r="MJG1158" s="7"/>
      <c r="MJH1158" s="7"/>
      <c r="MJI1158" s="7"/>
      <c r="MJJ1158" s="7"/>
      <c r="MJK1158" s="7"/>
      <c r="MJL1158" s="7"/>
      <c r="MJM1158" s="7"/>
      <c r="MJN1158" s="7"/>
      <c r="MJO1158" s="7"/>
      <c r="MJP1158" s="7"/>
      <c r="MJQ1158" s="7"/>
      <c r="MJR1158" s="7"/>
      <c r="MJS1158" s="7"/>
      <c r="MJT1158" s="7"/>
      <c r="MJU1158" s="7"/>
      <c r="MJV1158" s="7"/>
      <c r="MJW1158" s="7"/>
      <c r="MJX1158" s="7"/>
      <c r="MJY1158" s="7"/>
      <c r="MJZ1158" s="7"/>
      <c r="MKA1158" s="7"/>
      <c r="MKB1158" s="7"/>
      <c r="MKC1158" s="7"/>
      <c r="MKD1158" s="7"/>
      <c r="MKE1158" s="7"/>
      <c r="MKF1158" s="7"/>
      <c r="MKG1158" s="7"/>
      <c r="MKH1158" s="7"/>
      <c r="MKI1158" s="7"/>
      <c r="MKJ1158" s="7"/>
      <c r="MKK1158" s="7"/>
      <c r="MKL1158" s="7"/>
      <c r="MKM1158" s="7"/>
      <c r="MKN1158" s="7"/>
      <c r="MKO1158" s="7"/>
      <c r="MKP1158" s="7"/>
      <c r="MKQ1158" s="7"/>
      <c r="MKR1158" s="7"/>
      <c r="MKS1158" s="7"/>
      <c r="MKT1158" s="7"/>
      <c r="MKU1158" s="7"/>
      <c r="MKV1158" s="7"/>
      <c r="MKW1158" s="7"/>
      <c r="MKX1158" s="7"/>
      <c r="MKY1158" s="7"/>
      <c r="MKZ1158" s="7"/>
      <c r="MLA1158" s="7"/>
      <c r="MLB1158" s="7"/>
      <c r="MLC1158" s="7"/>
      <c r="MLD1158" s="7"/>
      <c r="MLE1158" s="7"/>
      <c r="MLF1158" s="7"/>
      <c r="MLG1158" s="7"/>
      <c r="MLH1158" s="7"/>
      <c r="MLI1158" s="7"/>
      <c r="MLJ1158" s="7"/>
      <c r="MLK1158" s="7"/>
      <c r="MLL1158" s="7"/>
      <c r="MLM1158" s="7"/>
      <c r="MLN1158" s="7"/>
      <c r="MLO1158" s="7"/>
      <c r="MLP1158" s="7"/>
      <c r="MLQ1158" s="7"/>
      <c r="MLR1158" s="7"/>
      <c r="MLS1158" s="7"/>
      <c r="MLT1158" s="7"/>
      <c r="MLU1158" s="7"/>
      <c r="MLV1158" s="7"/>
      <c r="MLW1158" s="7"/>
      <c r="MLX1158" s="7"/>
      <c r="MLY1158" s="7"/>
      <c r="MLZ1158" s="7"/>
      <c r="MMA1158" s="7"/>
      <c r="MMB1158" s="7"/>
      <c r="MMC1158" s="7"/>
      <c r="MMD1158" s="7"/>
      <c r="MME1158" s="7"/>
      <c r="MMF1158" s="7"/>
      <c r="MMG1158" s="7"/>
      <c r="MMH1158" s="7"/>
      <c r="MMI1158" s="7"/>
      <c r="MMJ1158" s="7"/>
      <c r="MMK1158" s="7"/>
      <c r="MML1158" s="7"/>
      <c r="MMM1158" s="7"/>
      <c r="MMN1158" s="7"/>
      <c r="MMO1158" s="7"/>
      <c r="MMP1158" s="7"/>
      <c r="MMQ1158" s="7"/>
      <c r="MMR1158" s="7"/>
      <c r="MMS1158" s="7"/>
      <c r="MMT1158" s="7"/>
      <c r="MMU1158" s="7"/>
      <c r="MMV1158" s="7"/>
      <c r="MMW1158" s="7"/>
      <c r="MMX1158" s="7"/>
      <c r="MMY1158" s="7"/>
      <c r="MMZ1158" s="7"/>
      <c r="MNA1158" s="7"/>
      <c r="MNB1158" s="7"/>
      <c r="MNC1158" s="7"/>
      <c r="MND1158" s="7"/>
      <c r="MNE1158" s="7"/>
      <c r="MNF1158" s="7"/>
      <c r="MNG1158" s="7"/>
      <c r="MNH1158" s="7"/>
      <c r="MNI1158" s="7"/>
      <c r="MNJ1158" s="7"/>
      <c r="MNK1158" s="7"/>
      <c r="MNL1158" s="7"/>
      <c r="MNM1158" s="7"/>
      <c r="MNN1158" s="7"/>
      <c r="MNO1158" s="7"/>
      <c r="MNP1158" s="7"/>
      <c r="MNQ1158" s="7"/>
      <c r="MNR1158" s="7"/>
      <c r="MNS1158" s="7"/>
      <c r="MNT1158" s="7"/>
      <c r="MNU1158" s="7"/>
      <c r="MNV1158" s="7"/>
      <c r="MNW1158" s="7"/>
      <c r="MNX1158" s="7"/>
      <c r="MNY1158" s="7"/>
      <c r="MNZ1158" s="7"/>
      <c r="MOA1158" s="7"/>
      <c r="MOB1158" s="7"/>
      <c r="MOC1158" s="7"/>
      <c r="MOD1158" s="7"/>
      <c r="MOE1158" s="7"/>
      <c r="MOF1158" s="7"/>
      <c r="MOG1158" s="7"/>
      <c r="MOH1158" s="7"/>
      <c r="MOI1158" s="7"/>
      <c r="MOJ1158" s="7"/>
      <c r="MOK1158" s="7"/>
      <c r="MOL1158" s="7"/>
      <c r="MOM1158" s="7"/>
      <c r="MON1158" s="7"/>
      <c r="MOO1158" s="7"/>
      <c r="MOP1158" s="7"/>
      <c r="MOQ1158" s="7"/>
      <c r="MOR1158" s="7"/>
      <c r="MOS1158" s="7"/>
      <c r="MOT1158" s="7"/>
      <c r="MOU1158" s="7"/>
      <c r="MOV1158" s="7"/>
      <c r="MOW1158" s="7"/>
      <c r="MOX1158" s="7"/>
      <c r="MOY1158" s="7"/>
      <c r="MOZ1158" s="7"/>
      <c r="MPA1158" s="7"/>
      <c r="MPB1158" s="7"/>
      <c r="MPC1158" s="7"/>
      <c r="MPD1158" s="7"/>
      <c r="MPE1158" s="7"/>
      <c r="MPF1158" s="7"/>
      <c r="MPG1158" s="7"/>
      <c r="MPH1158" s="7"/>
      <c r="MPI1158" s="7"/>
      <c r="MPJ1158" s="7"/>
      <c r="MPK1158" s="7"/>
      <c r="MPL1158" s="7"/>
      <c r="MPM1158" s="7"/>
      <c r="MPN1158" s="7"/>
      <c r="MPO1158" s="7"/>
      <c r="MPP1158" s="7"/>
      <c r="MPQ1158" s="7"/>
      <c r="MPR1158" s="7"/>
      <c r="MPS1158" s="7"/>
      <c r="MPT1158" s="7"/>
      <c r="MPU1158" s="7"/>
      <c r="MPV1158" s="7"/>
      <c r="MPW1158" s="7"/>
      <c r="MPX1158" s="7"/>
      <c r="MPY1158" s="7"/>
      <c r="MPZ1158" s="7"/>
      <c r="MQA1158" s="7"/>
      <c r="MQB1158" s="7"/>
      <c r="MQC1158" s="7"/>
      <c r="MQD1158" s="7"/>
      <c r="MQE1158" s="7"/>
      <c r="MQF1158" s="7"/>
      <c r="MQG1158" s="7"/>
      <c r="MQH1158" s="7"/>
      <c r="MQI1158" s="7"/>
      <c r="MQJ1158" s="7"/>
      <c r="MQK1158" s="7"/>
      <c r="MQL1158" s="7"/>
      <c r="MQM1158" s="7"/>
      <c r="MQN1158" s="7"/>
      <c r="MQO1158" s="7"/>
      <c r="MQP1158" s="7"/>
      <c r="MQQ1158" s="7"/>
      <c r="MQR1158" s="7"/>
      <c r="MQS1158" s="7"/>
      <c r="MQT1158" s="7"/>
      <c r="MQU1158" s="7"/>
      <c r="MQV1158" s="7"/>
      <c r="MQW1158" s="7"/>
      <c r="MQX1158" s="7"/>
      <c r="MQY1158" s="7"/>
      <c r="MQZ1158" s="7"/>
      <c r="MRA1158" s="7"/>
      <c r="MRB1158" s="7"/>
      <c r="MRC1158" s="7"/>
      <c r="MRD1158" s="7"/>
      <c r="MRE1158" s="7"/>
      <c r="MRF1158" s="7"/>
      <c r="MRG1158" s="7"/>
      <c r="MRH1158" s="7"/>
      <c r="MRI1158" s="7"/>
      <c r="MRJ1158" s="7"/>
      <c r="MRK1158" s="7"/>
      <c r="MRL1158" s="7"/>
      <c r="MRM1158" s="7"/>
      <c r="MRN1158" s="7"/>
      <c r="MRO1158" s="7"/>
      <c r="MRP1158" s="7"/>
      <c r="MRQ1158" s="7"/>
      <c r="MRR1158" s="7"/>
      <c r="MRS1158" s="7"/>
      <c r="MRT1158" s="7"/>
      <c r="MRU1158" s="7"/>
      <c r="MRV1158" s="7"/>
      <c r="MRW1158" s="7"/>
      <c r="MRX1158" s="7"/>
      <c r="MRY1158" s="7"/>
      <c r="MRZ1158" s="7"/>
      <c r="MSA1158" s="7"/>
      <c r="MSB1158" s="7"/>
      <c r="MSC1158" s="7"/>
      <c r="MSD1158" s="7"/>
      <c r="MSE1158" s="7"/>
      <c r="MSF1158" s="7"/>
      <c r="MSG1158" s="7"/>
      <c r="MSH1158" s="7"/>
      <c r="MSI1158" s="7"/>
      <c r="MSJ1158" s="7"/>
      <c r="MSK1158" s="7"/>
      <c r="MSL1158" s="7"/>
      <c r="MSM1158" s="7"/>
      <c r="MSN1158" s="7"/>
      <c r="MSO1158" s="7"/>
      <c r="MSP1158" s="7"/>
      <c r="MSQ1158" s="7"/>
      <c r="MSR1158" s="7"/>
      <c r="MSS1158" s="7"/>
      <c r="MST1158" s="7"/>
      <c r="MSU1158" s="7"/>
      <c r="MSV1158" s="7"/>
      <c r="MSW1158" s="7"/>
      <c r="MSX1158" s="7"/>
      <c r="MSY1158" s="7"/>
      <c r="MSZ1158" s="7"/>
      <c r="MTA1158" s="7"/>
      <c r="MTB1158" s="7"/>
      <c r="MTC1158" s="7"/>
      <c r="MTD1158" s="7"/>
      <c r="MTE1158" s="7"/>
      <c r="MTF1158" s="7"/>
      <c r="MTG1158" s="7"/>
      <c r="MTH1158" s="7"/>
      <c r="MTI1158" s="7"/>
      <c r="MTJ1158" s="7"/>
      <c r="MTK1158" s="7"/>
      <c r="MTL1158" s="7"/>
      <c r="MTM1158" s="7"/>
      <c r="MTN1158" s="7"/>
      <c r="MTO1158" s="7"/>
      <c r="MTP1158" s="7"/>
      <c r="MTQ1158" s="7"/>
      <c r="MTR1158" s="7"/>
      <c r="MTS1158" s="7"/>
      <c r="MTT1158" s="7"/>
      <c r="MTU1158" s="7"/>
      <c r="MTV1158" s="7"/>
      <c r="MTW1158" s="7"/>
      <c r="MTX1158" s="7"/>
      <c r="MTY1158" s="7"/>
      <c r="MTZ1158" s="7"/>
      <c r="MUA1158" s="7"/>
      <c r="MUB1158" s="7"/>
      <c r="MUC1158" s="7"/>
      <c r="MUD1158" s="7"/>
      <c r="MUE1158" s="7"/>
      <c r="MUF1158" s="7"/>
      <c r="MUG1158" s="7"/>
      <c r="MUH1158" s="7"/>
      <c r="MUI1158" s="7"/>
      <c r="MUJ1158" s="7"/>
      <c r="MUK1158" s="7"/>
      <c r="MUL1158" s="7"/>
      <c r="MUM1158" s="7"/>
      <c r="MUN1158" s="7"/>
      <c r="MUO1158" s="7"/>
      <c r="MUP1158" s="7"/>
      <c r="MUQ1158" s="7"/>
      <c r="MUR1158" s="7"/>
      <c r="MUS1158" s="7"/>
      <c r="MUT1158" s="7"/>
      <c r="MUU1158" s="7"/>
      <c r="MUV1158" s="7"/>
      <c r="MUW1158" s="7"/>
      <c r="MUX1158" s="7"/>
      <c r="MUY1158" s="7"/>
      <c r="MUZ1158" s="7"/>
      <c r="MVA1158" s="7"/>
      <c r="MVB1158" s="7"/>
      <c r="MVC1158" s="7"/>
      <c r="MVD1158" s="7"/>
      <c r="MVE1158" s="7"/>
      <c r="MVF1158" s="7"/>
      <c r="MVG1158" s="7"/>
      <c r="MVH1158" s="7"/>
      <c r="MVI1158" s="7"/>
      <c r="MVJ1158" s="7"/>
      <c r="MVK1158" s="7"/>
      <c r="MVL1158" s="7"/>
      <c r="MVM1158" s="7"/>
      <c r="MVN1158" s="7"/>
      <c r="MVO1158" s="7"/>
      <c r="MVP1158" s="7"/>
      <c r="MVQ1158" s="7"/>
      <c r="MVR1158" s="7"/>
      <c r="MVS1158" s="7"/>
      <c r="MVT1158" s="7"/>
      <c r="MVU1158" s="7"/>
      <c r="MVV1158" s="7"/>
      <c r="MVW1158" s="7"/>
      <c r="MVX1158" s="7"/>
      <c r="MVY1158" s="7"/>
      <c r="MVZ1158" s="7"/>
      <c r="MWA1158" s="7"/>
      <c r="MWB1158" s="7"/>
      <c r="MWC1158" s="7"/>
      <c r="MWD1158" s="7"/>
      <c r="MWE1158" s="7"/>
      <c r="MWF1158" s="7"/>
      <c r="MWG1158" s="7"/>
      <c r="MWH1158" s="7"/>
      <c r="MWI1158" s="7"/>
      <c r="MWJ1158" s="7"/>
      <c r="MWK1158" s="7"/>
      <c r="MWL1158" s="7"/>
      <c r="MWM1158" s="7"/>
      <c r="MWN1158" s="7"/>
      <c r="MWO1158" s="7"/>
      <c r="MWP1158" s="7"/>
      <c r="MWQ1158" s="7"/>
      <c r="MWR1158" s="7"/>
      <c r="MWS1158" s="7"/>
      <c r="MWT1158" s="7"/>
      <c r="MWU1158" s="7"/>
      <c r="MWV1158" s="7"/>
      <c r="MWW1158" s="7"/>
      <c r="MWX1158" s="7"/>
      <c r="MWY1158" s="7"/>
      <c r="MWZ1158" s="7"/>
      <c r="MXA1158" s="7"/>
      <c r="MXB1158" s="7"/>
      <c r="MXC1158" s="7"/>
      <c r="MXD1158" s="7"/>
      <c r="MXE1158" s="7"/>
      <c r="MXF1158" s="7"/>
      <c r="MXG1158" s="7"/>
      <c r="MXH1158" s="7"/>
      <c r="MXI1158" s="7"/>
      <c r="MXJ1158" s="7"/>
      <c r="MXK1158" s="7"/>
      <c r="MXL1158" s="7"/>
      <c r="MXM1158" s="7"/>
      <c r="MXN1158" s="7"/>
      <c r="MXO1158" s="7"/>
      <c r="MXP1158" s="7"/>
      <c r="MXQ1158" s="7"/>
      <c r="MXR1158" s="7"/>
      <c r="MXS1158" s="7"/>
      <c r="MXT1158" s="7"/>
      <c r="MXU1158" s="7"/>
      <c r="MXV1158" s="7"/>
      <c r="MXW1158" s="7"/>
      <c r="MXX1158" s="7"/>
      <c r="MXY1158" s="7"/>
      <c r="MXZ1158" s="7"/>
      <c r="MYA1158" s="7"/>
      <c r="MYB1158" s="7"/>
      <c r="MYC1158" s="7"/>
      <c r="MYD1158" s="7"/>
      <c r="MYE1158" s="7"/>
      <c r="MYF1158" s="7"/>
      <c r="MYG1158" s="7"/>
      <c r="MYH1158" s="7"/>
      <c r="MYI1158" s="7"/>
      <c r="MYJ1158" s="7"/>
      <c r="MYK1158" s="7"/>
      <c r="MYL1158" s="7"/>
      <c r="MYM1158" s="7"/>
      <c r="MYN1158" s="7"/>
      <c r="MYO1158" s="7"/>
      <c r="MYP1158" s="7"/>
      <c r="MYQ1158" s="7"/>
      <c r="MYR1158" s="7"/>
      <c r="MYS1158" s="7"/>
      <c r="MYT1158" s="7"/>
      <c r="MYU1158" s="7"/>
      <c r="MYV1158" s="7"/>
      <c r="MYW1158" s="7"/>
      <c r="MYX1158" s="7"/>
      <c r="MYY1158" s="7"/>
      <c r="MYZ1158" s="7"/>
      <c r="MZA1158" s="7"/>
      <c r="MZB1158" s="7"/>
      <c r="MZC1158" s="7"/>
      <c r="MZD1158" s="7"/>
      <c r="MZE1158" s="7"/>
      <c r="MZF1158" s="7"/>
      <c r="MZG1158" s="7"/>
      <c r="MZH1158" s="7"/>
      <c r="MZI1158" s="7"/>
      <c r="MZJ1158" s="7"/>
      <c r="MZK1158" s="7"/>
      <c r="MZL1158" s="7"/>
      <c r="MZM1158" s="7"/>
      <c r="MZN1158" s="7"/>
      <c r="MZO1158" s="7"/>
      <c r="MZP1158" s="7"/>
      <c r="MZQ1158" s="7"/>
      <c r="MZR1158" s="7"/>
      <c r="MZS1158" s="7"/>
      <c r="MZT1158" s="7"/>
      <c r="MZU1158" s="7"/>
      <c r="MZV1158" s="7"/>
      <c r="MZW1158" s="7"/>
      <c r="MZX1158" s="7"/>
      <c r="MZY1158" s="7"/>
      <c r="MZZ1158" s="7"/>
      <c r="NAA1158" s="7"/>
      <c r="NAB1158" s="7"/>
      <c r="NAC1158" s="7"/>
      <c r="NAD1158" s="7"/>
      <c r="NAE1158" s="7"/>
      <c r="NAF1158" s="7"/>
      <c r="NAG1158" s="7"/>
      <c r="NAH1158" s="7"/>
      <c r="NAI1158" s="7"/>
      <c r="NAJ1158" s="7"/>
      <c r="NAK1158" s="7"/>
      <c r="NAL1158" s="7"/>
      <c r="NAM1158" s="7"/>
      <c r="NAN1158" s="7"/>
      <c r="NAO1158" s="7"/>
      <c r="NAP1158" s="7"/>
      <c r="NAQ1158" s="7"/>
      <c r="NAR1158" s="7"/>
      <c r="NAS1158" s="7"/>
      <c r="NAT1158" s="7"/>
      <c r="NAU1158" s="7"/>
      <c r="NAV1158" s="7"/>
      <c r="NAW1158" s="7"/>
      <c r="NAX1158" s="7"/>
      <c r="NAY1158" s="7"/>
      <c r="NAZ1158" s="7"/>
      <c r="NBA1158" s="7"/>
      <c r="NBB1158" s="7"/>
      <c r="NBC1158" s="7"/>
      <c r="NBD1158" s="7"/>
      <c r="NBE1158" s="7"/>
      <c r="NBF1158" s="7"/>
      <c r="NBG1158" s="7"/>
      <c r="NBH1158" s="7"/>
      <c r="NBI1158" s="7"/>
      <c r="NBJ1158" s="7"/>
      <c r="NBK1158" s="7"/>
      <c r="NBL1158" s="7"/>
      <c r="NBM1158" s="7"/>
      <c r="NBN1158" s="7"/>
      <c r="NBO1158" s="7"/>
      <c r="NBP1158" s="7"/>
      <c r="NBQ1158" s="7"/>
      <c r="NBR1158" s="7"/>
      <c r="NBS1158" s="7"/>
      <c r="NBT1158" s="7"/>
      <c r="NBU1158" s="7"/>
      <c r="NBV1158" s="7"/>
      <c r="NBW1158" s="7"/>
      <c r="NBX1158" s="7"/>
      <c r="NBY1158" s="7"/>
      <c r="NBZ1158" s="7"/>
      <c r="NCA1158" s="7"/>
      <c r="NCB1158" s="7"/>
      <c r="NCC1158" s="7"/>
      <c r="NCD1158" s="7"/>
      <c r="NCE1158" s="7"/>
      <c r="NCF1158" s="7"/>
      <c r="NCG1158" s="7"/>
      <c r="NCH1158" s="7"/>
      <c r="NCI1158" s="7"/>
      <c r="NCJ1158" s="7"/>
      <c r="NCK1158" s="7"/>
      <c r="NCL1158" s="7"/>
      <c r="NCM1158" s="7"/>
      <c r="NCN1158" s="7"/>
      <c r="NCO1158" s="7"/>
      <c r="NCP1158" s="7"/>
      <c r="NCQ1158" s="7"/>
      <c r="NCR1158" s="7"/>
      <c r="NCS1158" s="7"/>
      <c r="NCT1158" s="7"/>
      <c r="NCU1158" s="7"/>
      <c r="NCV1158" s="7"/>
      <c r="NCW1158" s="7"/>
      <c r="NCX1158" s="7"/>
      <c r="NCY1158" s="7"/>
      <c r="NCZ1158" s="7"/>
      <c r="NDA1158" s="7"/>
      <c r="NDB1158" s="7"/>
      <c r="NDC1158" s="7"/>
      <c r="NDD1158" s="7"/>
      <c r="NDE1158" s="7"/>
      <c r="NDF1158" s="7"/>
      <c r="NDG1158" s="7"/>
      <c r="NDH1158" s="7"/>
      <c r="NDI1158" s="7"/>
      <c r="NDJ1158" s="7"/>
      <c r="NDK1158" s="7"/>
      <c r="NDL1158" s="7"/>
      <c r="NDM1158" s="7"/>
      <c r="NDN1158" s="7"/>
      <c r="NDO1158" s="7"/>
      <c r="NDP1158" s="7"/>
      <c r="NDQ1158" s="7"/>
      <c r="NDR1158" s="7"/>
      <c r="NDS1158" s="7"/>
      <c r="NDT1158" s="7"/>
      <c r="NDU1158" s="7"/>
      <c r="NDV1158" s="7"/>
      <c r="NDW1158" s="7"/>
      <c r="NDX1158" s="7"/>
      <c r="NDY1158" s="7"/>
      <c r="NDZ1158" s="7"/>
      <c r="NEA1158" s="7"/>
      <c r="NEB1158" s="7"/>
      <c r="NEC1158" s="7"/>
      <c r="NED1158" s="7"/>
      <c r="NEE1158" s="7"/>
      <c r="NEF1158" s="7"/>
      <c r="NEG1158" s="7"/>
      <c r="NEH1158" s="7"/>
      <c r="NEI1158" s="7"/>
      <c r="NEJ1158" s="7"/>
      <c r="NEK1158" s="7"/>
      <c r="NEL1158" s="7"/>
      <c r="NEM1158" s="7"/>
      <c r="NEN1158" s="7"/>
      <c r="NEO1158" s="7"/>
      <c r="NEP1158" s="7"/>
      <c r="NEQ1158" s="7"/>
      <c r="NER1158" s="7"/>
      <c r="NES1158" s="7"/>
      <c r="NET1158" s="7"/>
      <c r="NEU1158" s="7"/>
      <c r="NEV1158" s="7"/>
      <c r="NEW1158" s="7"/>
      <c r="NEX1158" s="7"/>
      <c r="NEY1158" s="7"/>
      <c r="NEZ1158" s="7"/>
      <c r="NFA1158" s="7"/>
      <c r="NFB1158" s="7"/>
      <c r="NFC1158" s="7"/>
      <c r="NFD1158" s="7"/>
      <c r="NFE1158" s="7"/>
      <c r="NFF1158" s="7"/>
      <c r="NFG1158" s="7"/>
      <c r="NFH1158" s="7"/>
      <c r="NFI1158" s="7"/>
      <c r="NFJ1158" s="7"/>
      <c r="NFK1158" s="7"/>
      <c r="NFL1158" s="7"/>
      <c r="NFM1158" s="7"/>
      <c r="NFN1158" s="7"/>
      <c r="NFO1158" s="7"/>
      <c r="NFP1158" s="7"/>
      <c r="NFQ1158" s="7"/>
      <c r="NFR1158" s="7"/>
      <c r="NFS1158" s="7"/>
      <c r="NFT1158" s="7"/>
      <c r="NFU1158" s="7"/>
      <c r="NFV1158" s="7"/>
      <c r="NFW1158" s="7"/>
      <c r="NFX1158" s="7"/>
      <c r="NFY1158" s="7"/>
      <c r="NFZ1158" s="7"/>
      <c r="NGA1158" s="7"/>
      <c r="NGB1158" s="7"/>
      <c r="NGC1158" s="7"/>
      <c r="NGD1158" s="7"/>
      <c r="NGE1158" s="7"/>
      <c r="NGF1158" s="7"/>
      <c r="NGG1158" s="7"/>
      <c r="NGH1158" s="7"/>
      <c r="NGI1158" s="7"/>
      <c r="NGJ1158" s="7"/>
      <c r="NGK1158" s="7"/>
      <c r="NGL1158" s="7"/>
      <c r="NGM1158" s="7"/>
      <c r="NGN1158" s="7"/>
      <c r="NGO1158" s="7"/>
      <c r="NGP1158" s="7"/>
      <c r="NGQ1158" s="7"/>
      <c r="NGR1158" s="7"/>
      <c r="NGS1158" s="7"/>
      <c r="NGT1158" s="7"/>
      <c r="NGU1158" s="7"/>
      <c r="NGV1158" s="7"/>
      <c r="NGW1158" s="7"/>
      <c r="NGX1158" s="7"/>
      <c r="NGY1158" s="7"/>
      <c r="NGZ1158" s="7"/>
      <c r="NHA1158" s="7"/>
      <c r="NHB1158" s="7"/>
      <c r="NHC1158" s="7"/>
      <c r="NHD1158" s="7"/>
      <c r="NHE1158" s="7"/>
      <c r="NHF1158" s="7"/>
      <c r="NHG1158" s="7"/>
      <c r="NHH1158" s="7"/>
      <c r="NHI1158" s="7"/>
      <c r="NHJ1158" s="7"/>
      <c r="NHK1158" s="7"/>
      <c r="NHL1158" s="7"/>
      <c r="NHM1158" s="7"/>
      <c r="NHN1158" s="7"/>
      <c r="NHO1158" s="7"/>
      <c r="NHP1158" s="7"/>
      <c r="NHQ1158" s="7"/>
      <c r="NHR1158" s="7"/>
      <c r="NHS1158" s="7"/>
      <c r="NHT1158" s="7"/>
      <c r="NHU1158" s="7"/>
      <c r="NHV1158" s="7"/>
      <c r="NHW1158" s="7"/>
      <c r="NHX1158" s="7"/>
      <c r="NHY1158" s="7"/>
      <c r="NHZ1158" s="7"/>
      <c r="NIA1158" s="7"/>
      <c r="NIB1158" s="7"/>
      <c r="NIC1158" s="7"/>
      <c r="NID1158" s="7"/>
      <c r="NIE1158" s="7"/>
      <c r="NIF1158" s="7"/>
      <c r="NIG1158" s="7"/>
      <c r="NIH1158" s="7"/>
      <c r="NII1158" s="7"/>
      <c r="NIJ1158" s="7"/>
      <c r="NIK1158" s="7"/>
      <c r="NIL1158" s="7"/>
      <c r="NIM1158" s="7"/>
      <c r="NIN1158" s="7"/>
      <c r="NIO1158" s="7"/>
      <c r="NIP1158" s="7"/>
      <c r="NIQ1158" s="7"/>
      <c r="NIR1158" s="7"/>
      <c r="NIS1158" s="7"/>
      <c r="NIT1158" s="7"/>
      <c r="NIU1158" s="7"/>
      <c r="NIV1158" s="7"/>
      <c r="NIW1158" s="7"/>
      <c r="NIX1158" s="7"/>
      <c r="NIY1158" s="7"/>
      <c r="NIZ1158" s="7"/>
      <c r="NJA1158" s="7"/>
      <c r="NJB1158" s="7"/>
      <c r="NJC1158" s="7"/>
      <c r="NJD1158" s="7"/>
      <c r="NJE1158" s="7"/>
      <c r="NJF1158" s="7"/>
      <c r="NJG1158" s="7"/>
      <c r="NJH1158" s="7"/>
      <c r="NJI1158" s="7"/>
      <c r="NJJ1158" s="7"/>
      <c r="NJK1158" s="7"/>
      <c r="NJL1158" s="7"/>
      <c r="NJM1158" s="7"/>
      <c r="NJN1158" s="7"/>
      <c r="NJO1158" s="7"/>
      <c r="NJP1158" s="7"/>
      <c r="NJQ1158" s="7"/>
      <c r="NJR1158" s="7"/>
      <c r="NJS1158" s="7"/>
      <c r="NJT1158" s="7"/>
      <c r="NJU1158" s="7"/>
      <c r="NJV1158" s="7"/>
      <c r="NJW1158" s="7"/>
      <c r="NJX1158" s="7"/>
      <c r="NJY1158" s="7"/>
      <c r="NJZ1158" s="7"/>
      <c r="NKA1158" s="7"/>
      <c r="NKB1158" s="7"/>
      <c r="NKC1158" s="7"/>
      <c r="NKD1158" s="7"/>
      <c r="NKE1158" s="7"/>
      <c r="NKF1158" s="7"/>
      <c r="NKG1158" s="7"/>
      <c r="NKH1158" s="7"/>
      <c r="NKI1158" s="7"/>
      <c r="NKJ1158" s="7"/>
      <c r="NKK1158" s="7"/>
      <c r="NKL1158" s="7"/>
      <c r="NKM1158" s="7"/>
      <c r="NKN1158" s="7"/>
      <c r="NKO1158" s="7"/>
      <c r="NKP1158" s="7"/>
      <c r="NKQ1158" s="7"/>
      <c r="NKR1158" s="7"/>
      <c r="NKS1158" s="7"/>
      <c r="NKT1158" s="7"/>
      <c r="NKU1158" s="7"/>
      <c r="NKV1158" s="7"/>
      <c r="NKW1158" s="7"/>
      <c r="NKX1158" s="7"/>
      <c r="NKY1158" s="7"/>
      <c r="NKZ1158" s="7"/>
      <c r="NLA1158" s="7"/>
      <c r="NLB1158" s="7"/>
      <c r="NLC1158" s="7"/>
      <c r="NLD1158" s="7"/>
      <c r="NLE1158" s="7"/>
      <c r="NLF1158" s="7"/>
      <c r="NLG1158" s="7"/>
      <c r="NLH1158" s="7"/>
      <c r="NLI1158" s="7"/>
      <c r="NLJ1158" s="7"/>
      <c r="NLK1158" s="7"/>
      <c r="NLL1158" s="7"/>
      <c r="NLM1158" s="7"/>
      <c r="NLN1158" s="7"/>
      <c r="NLO1158" s="7"/>
      <c r="NLP1158" s="7"/>
      <c r="NLQ1158" s="7"/>
      <c r="NLR1158" s="7"/>
      <c r="NLS1158" s="7"/>
      <c r="NLT1158" s="7"/>
      <c r="NLU1158" s="7"/>
      <c r="NLV1158" s="7"/>
      <c r="NLW1158" s="7"/>
      <c r="NLX1158" s="7"/>
      <c r="NLY1158" s="7"/>
      <c r="NLZ1158" s="7"/>
      <c r="NMA1158" s="7"/>
      <c r="NMB1158" s="7"/>
      <c r="NMC1158" s="7"/>
      <c r="NMD1158" s="7"/>
      <c r="NME1158" s="7"/>
      <c r="NMF1158" s="7"/>
      <c r="NMG1158" s="7"/>
      <c r="NMH1158" s="7"/>
      <c r="NMI1158" s="7"/>
      <c r="NMJ1158" s="7"/>
      <c r="NMK1158" s="7"/>
      <c r="NML1158" s="7"/>
      <c r="NMM1158" s="7"/>
      <c r="NMN1158" s="7"/>
      <c r="NMO1158" s="7"/>
      <c r="NMP1158" s="7"/>
      <c r="NMQ1158" s="7"/>
      <c r="NMR1158" s="7"/>
      <c r="NMS1158" s="7"/>
      <c r="NMT1158" s="7"/>
      <c r="NMU1158" s="7"/>
      <c r="NMV1158" s="7"/>
      <c r="NMW1158" s="7"/>
      <c r="NMX1158" s="7"/>
      <c r="NMY1158" s="7"/>
      <c r="NMZ1158" s="7"/>
      <c r="NNA1158" s="7"/>
      <c r="NNB1158" s="7"/>
      <c r="NNC1158" s="7"/>
      <c r="NND1158" s="7"/>
      <c r="NNE1158" s="7"/>
      <c r="NNF1158" s="7"/>
      <c r="NNG1158" s="7"/>
      <c r="NNH1158" s="7"/>
      <c r="NNI1158" s="7"/>
      <c r="NNJ1158" s="7"/>
      <c r="NNK1158" s="7"/>
      <c r="NNL1158" s="7"/>
      <c r="NNM1158" s="7"/>
      <c r="NNN1158" s="7"/>
      <c r="NNO1158" s="7"/>
      <c r="NNP1158" s="7"/>
      <c r="NNQ1158" s="7"/>
      <c r="NNR1158" s="7"/>
      <c r="NNS1158" s="7"/>
      <c r="NNT1158" s="7"/>
      <c r="NNU1158" s="7"/>
      <c r="NNV1158" s="7"/>
      <c r="NNW1158" s="7"/>
      <c r="NNX1158" s="7"/>
      <c r="NNY1158" s="7"/>
      <c r="NNZ1158" s="7"/>
      <c r="NOA1158" s="7"/>
      <c r="NOB1158" s="7"/>
      <c r="NOC1158" s="7"/>
      <c r="NOD1158" s="7"/>
      <c r="NOE1158" s="7"/>
      <c r="NOF1158" s="7"/>
      <c r="NOG1158" s="7"/>
      <c r="NOH1158" s="7"/>
      <c r="NOI1158" s="7"/>
      <c r="NOJ1158" s="7"/>
      <c r="NOK1158" s="7"/>
      <c r="NOL1158" s="7"/>
      <c r="NOM1158" s="7"/>
      <c r="NON1158" s="7"/>
      <c r="NOO1158" s="7"/>
      <c r="NOP1158" s="7"/>
      <c r="NOQ1158" s="7"/>
      <c r="NOR1158" s="7"/>
      <c r="NOS1158" s="7"/>
      <c r="NOT1158" s="7"/>
      <c r="NOU1158" s="7"/>
      <c r="NOV1158" s="7"/>
      <c r="NOW1158" s="7"/>
      <c r="NOX1158" s="7"/>
      <c r="NOY1158" s="7"/>
      <c r="NOZ1158" s="7"/>
      <c r="NPA1158" s="7"/>
      <c r="NPB1158" s="7"/>
      <c r="NPC1158" s="7"/>
      <c r="NPD1158" s="7"/>
      <c r="NPE1158" s="7"/>
      <c r="NPF1158" s="7"/>
      <c r="NPG1158" s="7"/>
      <c r="NPH1158" s="7"/>
      <c r="NPI1158" s="7"/>
      <c r="NPJ1158" s="7"/>
      <c r="NPK1158" s="7"/>
      <c r="NPL1158" s="7"/>
      <c r="NPM1158" s="7"/>
      <c r="NPN1158" s="7"/>
      <c r="NPO1158" s="7"/>
      <c r="NPP1158" s="7"/>
      <c r="NPQ1158" s="7"/>
      <c r="NPR1158" s="7"/>
      <c r="NPS1158" s="7"/>
      <c r="NPT1158" s="7"/>
      <c r="NPU1158" s="7"/>
      <c r="NPV1158" s="7"/>
      <c r="NPW1158" s="7"/>
      <c r="NPX1158" s="7"/>
      <c r="NPY1158" s="7"/>
      <c r="NPZ1158" s="7"/>
      <c r="NQA1158" s="7"/>
      <c r="NQB1158" s="7"/>
      <c r="NQC1158" s="7"/>
      <c r="NQD1158" s="7"/>
      <c r="NQE1158" s="7"/>
      <c r="NQF1158" s="7"/>
      <c r="NQG1158" s="7"/>
      <c r="NQH1158" s="7"/>
      <c r="NQI1158" s="7"/>
      <c r="NQJ1158" s="7"/>
      <c r="NQK1158" s="7"/>
      <c r="NQL1158" s="7"/>
      <c r="NQM1158" s="7"/>
      <c r="NQN1158" s="7"/>
      <c r="NQO1158" s="7"/>
      <c r="NQP1158" s="7"/>
      <c r="NQQ1158" s="7"/>
      <c r="NQR1158" s="7"/>
      <c r="NQS1158" s="7"/>
      <c r="NQT1158" s="7"/>
      <c r="NQU1158" s="7"/>
      <c r="NQV1158" s="7"/>
      <c r="NQW1158" s="7"/>
      <c r="NQX1158" s="7"/>
      <c r="NQY1158" s="7"/>
      <c r="NQZ1158" s="7"/>
      <c r="NRA1158" s="7"/>
      <c r="NRB1158" s="7"/>
      <c r="NRC1158" s="7"/>
      <c r="NRD1158" s="7"/>
      <c r="NRE1158" s="7"/>
      <c r="NRF1158" s="7"/>
      <c r="NRG1158" s="7"/>
      <c r="NRH1158" s="7"/>
      <c r="NRI1158" s="7"/>
      <c r="NRJ1158" s="7"/>
      <c r="NRK1158" s="7"/>
      <c r="NRL1158" s="7"/>
      <c r="NRM1158" s="7"/>
      <c r="NRN1158" s="7"/>
      <c r="NRO1158" s="7"/>
      <c r="NRP1158" s="7"/>
      <c r="NRQ1158" s="7"/>
      <c r="NRR1158" s="7"/>
      <c r="NRS1158" s="7"/>
      <c r="NRT1158" s="7"/>
      <c r="NRU1158" s="7"/>
      <c r="NRV1158" s="7"/>
      <c r="NRW1158" s="7"/>
      <c r="NRX1158" s="7"/>
      <c r="NRY1158" s="7"/>
      <c r="NRZ1158" s="7"/>
      <c r="NSA1158" s="7"/>
      <c r="NSB1158" s="7"/>
      <c r="NSC1158" s="7"/>
      <c r="NSD1158" s="7"/>
      <c r="NSE1158" s="7"/>
      <c r="NSF1158" s="7"/>
      <c r="NSG1158" s="7"/>
      <c r="NSH1158" s="7"/>
      <c r="NSI1158" s="7"/>
      <c r="NSJ1158" s="7"/>
      <c r="NSK1158" s="7"/>
      <c r="NSL1158" s="7"/>
      <c r="NSM1158" s="7"/>
      <c r="NSN1158" s="7"/>
      <c r="NSO1158" s="7"/>
      <c r="NSP1158" s="7"/>
      <c r="NSQ1158" s="7"/>
      <c r="NSR1158" s="7"/>
      <c r="NSS1158" s="7"/>
      <c r="NST1158" s="7"/>
      <c r="NSU1158" s="7"/>
      <c r="NSV1158" s="7"/>
      <c r="NSW1158" s="7"/>
      <c r="NSX1158" s="7"/>
      <c r="NSY1158" s="7"/>
      <c r="NSZ1158" s="7"/>
      <c r="NTA1158" s="7"/>
      <c r="NTB1158" s="7"/>
      <c r="NTC1158" s="7"/>
      <c r="NTD1158" s="7"/>
      <c r="NTE1158" s="7"/>
      <c r="NTF1158" s="7"/>
      <c r="NTG1158" s="7"/>
      <c r="NTH1158" s="7"/>
      <c r="NTI1158" s="7"/>
      <c r="NTJ1158" s="7"/>
      <c r="NTK1158" s="7"/>
      <c r="NTL1158" s="7"/>
      <c r="NTM1158" s="7"/>
      <c r="NTN1158" s="7"/>
      <c r="NTO1158" s="7"/>
      <c r="NTP1158" s="7"/>
      <c r="NTQ1158" s="7"/>
      <c r="NTR1158" s="7"/>
      <c r="NTS1158" s="7"/>
      <c r="NTT1158" s="7"/>
      <c r="NTU1158" s="7"/>
      <c r="NTV1158" s="7"/>
      <c r="NTW1158" s="7"/>
      <c r="NTX1158" s="7"/>
      <c r="NTY1158" s="7"/>
      <c r="NTZ1158" s="7"/>
      <c r="NUA1158" s="7"/>
      <c r="NUB1158" s="7"/>
      <c r="NUC1158" s="7"/>
      <c r="NUD1158" s="7"/>
      <c r="NUE1158" s="7"/>
      <c r="NUF1158" s="7"/>
      <c r="NUG1158" s="7"/>
      <c r="NUH1158" s="7"/>
      <c r="NUI1158" s="7"/>
      <c r="NUJ1158" s="7"/>
      <c r="NUK1158" s="7"/>
      <c r="NUL1158" s="7"/>
      <c r="NUM1158" s="7"/>
      <c r="NUN1158" s="7"/>
      <c r="NUO1158" s="7"/>
      <c r="NUP1158" s="7"/>
      <c r="NUQ1158" s="7"/>
      <c r="NUR1158" s="7"/>
      <c r="NUS1158" s="7"/>
      <c r="NUT1158" s="7"/>
      <c r="NUU1158" s="7"/>
      <c r="NUV1158" s="7"/>
      <c r="NUW1158" s="7"/>
      <c r="NUX1158" s="7"/>
      <c r="NUY1158" s="7"/>
      <c r="NUZ1158" s="7"/>
      <c r="NVA1158" s="7"/>
      <c r="NVB1158" s="7"/>
      <c r="NVC1158" s="7"/>
      <c r="NVD1158" s="7"/>
      <c r="NVE1158" s="7"/>
      <c r="NVF1158" s="7"/>
      <c r="NVG1158" s="7"/>
      <c r="NVH1158" s="7"/>
      <c r="NVI1158" s="7"/>
      <c r="NVJ1158" s="7"/>
      <c r="NVK1158" s="7"/>
      <c r="NVL1158" s="7"/>
      <c r="NVM1158" s="7"/>
      <c r="NVN1158" s="7"/>
      <c r="NVO1158" s="7"/>
      <c r="NVP1158" s="7"/>
      <c r="NVQ1158" s="7"/>
      <c r="NVR1158" s="7"/>
      <c r="NVS1158" s="7"/>
      <c r="NVT1158" s="7"/>
      <c r="NVU1158" s="7"/>
      <c r="NVV1158" s="7"/>
      <c r="NVW1158" s="7"/>
      <c r="NVX1158" s="7"/>
      <c r="NVY1158" s="7"/>
      <c r="NVZ1158" s="7"/>
      <c r="NWA1158" s="7"/>
      <c r="NWB1158" s="7"/>
      <c r="NWC1158" s="7"/>
      <c r="NWD1158" s="7"/>
      <c r="NWE1158" s="7"/>
      <c r="NWF1158" s="7"/>
      <c r="NWG1158" s="7"/>
      <c r="NWH1158" s="7"/>
      <c r="NWI1158" s="7"/>
      <c r="NWJ1158" s="7"/>
      <c r="NWK1158" s="7"/>
      <c r="NWL1158" s="7"/>
      <c r="NWM1158" s="7"/>
      <c r="NWN1158" s="7"/>
      <c r="NWO1158" s="7"/>
      <c r="NWP1158" s="7"/>
      <c r="NWQ1158" s="7"/>
      <c r="NWR1158" s="7"/>
      <c r="NWS1158" s="7"/>
      <c r="NWT1158" s="7"/>
      <c r="NWU1158" s="7"/>
      <c r="NWV1158" s="7"/>
      <c r="NWW1158" s="7"/>
      <c r="NWX1158" s="7"/>
      <c r="NWY1158" s="7"/>
      <c r="NWZ1158" s="7"/>
      <c r="NXA1158" s="7"/>
      <c r="NXB1158" s="7"/>
      <c r="NXC1158" s="7"/>
      <c r="NXD1158" s="7"/>
      <c r="NXE1158" s="7"/>
      <c r="NXF1158" s="7"/>
      <c r="NXG1158" s="7"/>
      <c r="NXH1158" s="7"/>
      <c r="NXI1158" s="7"/>
      <c r="NXJ1158" s="7"/>
      <c r="NXK1158" s="7"/>
      <c r="NXL1158" s="7"/>
      <c r="NXM1158" s="7"/>
      <c r="NXN1158" s="7"/>
      <c r="NXO1158" s="7"/>
      <c r="NXP1158" s="7"/>
      <c r="NXQ1158" s="7"/>
      <c r="NXR1158" s="7"/>
      <c r="NXS1158" s="7"/>
      <c r="NXT1158" s="7"/>
      <c r="NXU1158" s="7"/>
      <c r="NXV1158" s="7"/>
      <c r="NXW1158" s="7"/>
      <c r="NXX1158" s="7"/>
      <c r="NXY1158" s="7"/>
      <c r="NXZ1158" s="7"/>
      <c r="NYA1158" s="7"/>
      <c r="NYB1158" s="7"/>
      <c r="NYC1158" s="7"/>
      <c r="NYD1158" s="7"/>
      <c r="NYE1158" s="7"/>
      <c r="NYF1158" s="7"/>
      <c r="NYG1158" s="7"/>
      <c r="NYH1158" s="7"/>
      <c r="NYI1158" s="7"/>
      <c r="NYJ1158" s="7"/>
      <c r="NYK1158" s="7"/>
      <c r="NYL1158" s="7"/>
      <c r="NYM1158" s="7"/>
      <c r="NYN1158" s="7"/>
      <c r="NYO1158" s="7"/>
      <c r="NYP1158" s="7"/>
      <c r="NYQ1158" s="7"/>
      <c r="NYR1158" s="7"/>
      <c r="NYS1158" s="7"/>
      <c r="NYT1158" s="7"/>
      <c r="NYU1158" s="7"/>
      <c r="NYV1158" s="7"/>
      <c r="NYW1158" s="7"/>
      <c r="NYX1158" s="7"/>
      <c r="NYY1158" s="7"/>
      <c r="NYZ1158" s="7"/>
      <c r="NZA1158" s="7"/>
      <c r="NZB1158" s="7"/>
      <c r="NZC1158" s="7"/>
      <c r="NZD1158" s="7"/>
      <c r="NZE1158" s="7"/>
      <c r="NZF1158" s="7"/>
      <c r="NZG1158" s="7"/>
      <c r="NZH1158" s="7"/>
      <c r="NZI1158" s="7"/>
      <c r="NZJ1158" s="7"/>
      <c r="NZK1158" s="7"/>
      <c r="NZL1158" s="7"/>
      <c r="NZM1158" s="7"/>
      <c r="NZN1158" s="7"/>
      <c r="NZO1158" s="7"/>
      <c r="NZP1158" s="7"/>
      <c r="NZQ1158" s="7"/>
      <c r="NZR1158" s="7"/>
      <c r="NZS1158" s="7"/>
      <c r="NZT1158" s="7"/>
      <c r="NZU1158" s="7"/>
      <c r="NZV1158" s="7"/>
      <c r="NZW1158" s="7"/>
      <c r="NZX1158" s="7"/>
      <c r="NZY1158" s="7"/>
      <c r="NZZ1158" s="7"/>
      <c r="OAA1158" s="7"/>
      <c r="OAB1158" s="7"/>
      <c r="OAC1158" s="7"/>
      <c r="OAD1158" s="7"/>
      <c r="OAE1158" s="7"/>
      <c r="OAF1158" s="7"/>
      <c r="OAG1158" s="7"/>
      <c r="OAH1158" s="7"/>
      <c r="OAI1158" s="7"/>
      <c r="OAJ1158" s="7"/>
      <c r="OAK1158" s="7"/>
      <c r="OAL1158" s="7"/>
      <c r="OAM1158" s="7"/>
      <c r="OAN1158" s="7"/>
      <c r="OAO1158" s="7"/>
      <c r="OAP1158" s="7"/>
      <c r="OAQ1158" s="7"/>
      <c r="OAR1158" s="7"/>
      <c r="OAS1158" s="7"/>
      <c r="OAT1158" s="7"/>
      <c r="OAU1158" s="7"/>
      <c r="OAV1158" s="7"/>
      <c r="OAW1158" s="7"/>
      <c r="OAX1158" s="7"/>
      <c r="OAY1158" s="7"/>
      <c r="OAZ1158" s="7"/>
      <c r="OBA1158" s="7"/>
      <c r="OBB1158" s="7"/>
      <c r="OBC1158" s="7"/>
      <c r="OBD1158" s="7"/>
      <c r="OBE1158" s="7"/>
      <c r="OBF1158" s="7"/>
      <c r="OBG1158" s="7"/>
      <c r="OBH1158" s="7"/>
      <c r="OBI1158" s="7"/>
      <c r="OBJ1158" s="7"/>
      <c r="OBK1158" s="7"/>
      <c r="OBL1158" s="7"/>
      <c r="OBM1158" s="7"/>
      <c r="OBN1158" s="7"/>
      <c r="OBO1158" s="7"/>
      <c r="OBP1158" s="7"/>
      <c r="OBQ1158" s="7"/>
      <c r="OBR1158" s="7"/>
      <c r="OBS1158" s="7"/>
      <c r="OBT1158" s="7"/>
      <c r="OBU1158" s="7"/>
      <c r="OBV1158" s="7"/>
      <c r="OBW1158" s="7"/>
      <c r="OBX1158" s="7"/>
      <c r="OBY1158" s="7"/>
      <c r="OBZ1158" s="7"/>
      <c r="OCA1158" s="7"/>
      <c r="OCB1158" s="7"/>
      <c r="OCC1158" s="7"/>
      <c r="OCD1158" s="7"/>
      <c r="OCE1158" s="7"/>
      <c r="OCF1158" s="7"/>
      <c r="OCG1158" s="7"/>
      <c r="OCH1158" s="7"/>
      <c r="OCI1158" s="7"/>
      <c r="OCJ1158" s="7"/>
      <c r="OCK1158" s="7"/>
      <c r="OCL1158" s="7"/>
      <c r="OCM1158" s="7"/>
      <c r="OCN1158" s="7"/>
      <c r="OCO1158" s="7"/>
      <c r="OCP1158" s="7"/>
      <c r="OCQ1158" s="7"/>
      <c r="OCR1158" s="7"/>
      <c r="OCS1158" s="7"/>
      <c r="OCT1158" s="7"/>
      <c r="OCU1158" s="7"/>
      <c r="OCV1158" s="7"/>
      <c r="OCW1158" s="7"/>
      <c r="OCX1158" s="7"/>
      <c r="OCY1158" s="7"/>
      <c r="OCZ1158" s="7"/>
      <c r="ODA1158" s="7"/>
      <c r="ODB1158" s="7"/>
      <c r="ODC1158" s="7"/>
      <c r="ODD1158" s="7"/>
      <c r="ODE1158" s="7"/>
      <c r="ODF1158" s="7"/>
      <c r="ODG1158" s="7"/>
      <c r="ODH1158" s="7"/>
      <c r="ODI1158" s="7"/>
      <c r="ODJ1158" s="7"/>
      <c r="ODK1158" s="7"/>
      <c r="ODL1158" s="7"/>
      <c r="ODM1158" s="7"/>
      <c r="ODN1158" s="7"/>
      <c r="ODO1158" s="7"/>
      <c r="ODP1158" s="7"/>
      <c r="ODQ1158" s="7"/>
      <c r="ODR1158" s="7"/>
      <c r="ODS1158" s="7"/>
      <c r="ODT1158" s="7"/>
      <c r="ODU1158" s="7"/>
      <c r="ODV1158" s="7"/>
      <c r="ODW1158" s="7"/>
      <c r="ODX1158" s="7"/>
      <c r="ODY1158" s="7"/>
      <c r="ODZ1158" s="7"/>
      <c r="OEA1158" s="7"/>
      <c r="OEB1158" s="7"/>
      <c r="OEC1158" s="7"/>
      <c r="OED1158" s="7"/>
      <c r="OEE1158" s="7"/>
      <c r="OEF1158" s="7"/>
      <c r="OEG1158" s="7"/>
      <c r="OEH1158" s="7"/>
      <c r="OEI1158" s="7"/>
      <c r="OEJ1158" s="7"/>
      <c r="OEK1158" s="7"/>
      <c r="OEL1158" s="7"/>
      <c r="OEM1158" s="7"/>
      <c r="OEN1158" s="7"/>
      <c r="OEO1158" s="7"/>
      <c r="OEP1158" s="7"/>
      <c r="OEQ1158" s="7"/>
      <c r="OER1158" s="7"/>
      <c r="OES1158" s="7"/>
      <c r="OET1158" s="7"/>
      <c r="OEU1158" s="7"/>
      <c r="OEV1158" s="7"/>
      <c r="OEW1158" s="7"/>
      <c r="OEX1158" s="7"/>
      <c r="OEY1158" s="7"/>
      <c r="OEZ1158" s="7"/>
      <c r="OFA1158" s="7"/>
      <c r="OFB1158" s="7"/>
      <c r="OFC1158" s="7"/>
      <c r="OFD1158" s="7"/>
      <c r="OFE1158" s="7"/>
      <c r="OFF1158" s="7"/>
      <c r="OFG1158" s="7"/>
      <c r="OFH1158" s="7"/>
      <c r="OFI1158" s="7"/>
      <c r="OFJ1158" s="7"/>
      <c r="OFK1158" s="7"/>
      <c r="OFL1158" s="7"/>
      <c r="OFM1158" s="7"/>
      <c r="OFN1158" s="7"/>
      <c r="OFO1158" s="7"/>
      <c r="OFP1158" s="7"/>
      <c r="OFQ1158" s="7"/>
      <c r="OFR1158" s="7"/>
      <c r="OFS1158" s="7"/>
      <c r="OFT1158" s="7"/>
      <c r="OFU1158" s="7"/>
      <c r="OFV1158" s="7"/>
      <c r="OFW1158" s="7"/>
      <c r="OFX1158" s="7"/>
      <c r="OFY1158" s="7"/>
      <c r="OFZ1158" s="7"/>
      <c r="OGA1158" s="7"/>
      <c r="OGB1158" s="7"/>
      <c r="OGC1158" s="7"/>
      <c r="OGD1158" s="7"/>
      <c r="OGE1158" s="7"/>
      <c r="OGF1158" s="7"/>
      <c r="OGG1158" s="7"/>
      <c r="OGH1158" s="7"/>
      <c r="OGI1158" s="7"/>
      <c r="OGJ1158" s="7"/>
      <c r="OGK1158" s="7"/>
      <c r="OGL1158" s="7"/>
      <c r="OGM1158" s="7"/>
      <c r="OGN1158" s="7"/>
      <c r="OGO1158" s="7"/>
      <c r="OGP1158" s="7"/>
      <c r="OGQ1158" s="7"/>
      <c r="OGR1158" s="7"/>
      <c r="OGS1158" s="7"/>
      <c r="OGT1158" s="7"/>
      <c r="OGU1158" s="7"/>
      <c r="OGV1158" s="7"/>
      <c r="OGW1158" s="7"/>
      <c r="OGX1158" s="7"/>
      <c r="OGY1158" s="7"/>
      <c r="OGZ1158" s="7"/>
      <c r="OHA1158" s="7"/>
      <c r="OHB1158" s="7"/>
      <c r="OHC1158" s="7"/>
      <c r="OHD1158" s="7"/>
      <c r="OHE1158" s="7"/>
      <c r="OHF1158" s="7"/>
      <c r="OHG1158" s="7"/>
      <c r="OHH1158" s="7"/>
      <c r="OHI1158" s="7"/>
      <c r="OHJ1158" s="7"/>
      <c r="OHK1158" s="7"/>
      <c r="OHL1158" s="7"/>
      <c r="OHM1158" s="7"/>
      <c r="OHN1158" s="7"/>
      <c r="OHO1158" s="7"/>
      <c r="OHP1158" s="7"/>
      <c r="OHQ1158" s="7"/>
      <c r="OHR1158" s="7"/>
      <c r="OHS1158" s="7"/>
      <c r="OHT1158" s="7"/>
      <c r="OHU1158" s="7"/>
      <c r="OHV1158" s="7"/>
      <c r="OHW1158" s="7"/>
      <c r="OHX1158" s="7"/>
      <c r="OHY1158" s="7"/>
      <c r="OHZ1158" s="7"/>
      <c r="OIA1158" s="7"/>
      <c r="OIB1158" s="7"/>
      <c r="OIC1158" s="7"/>
      <c r="OID1158" s="7"/>
      <c r="OIE1158" s="7"/>
      <c r="OIF1158" s="7"/>
      <c r="OIG1158" s="7"/>
      <c r="OIH1158" s="7"/>
      <c r="OII1158" s="7"/>
      <c r="OIJ1158" s="7"/>
      <c r="OIK1158" s="7"/>
      <c r="OIL1158" s="7"/>
      <c r="OIM1158" s="7"/>
      <c r="OIN1158" s="7"/>
      <c r="OIO1158" s="7"/>
      <c r="OIP1158" s="7"/>
      <c r="OIQ1158" s="7"/>
      <c r="OIR1158" s="7"/>
      <c r="OIS1158" s="7"/>
      <c r="OIT1158" s="7"/>
      <c r="OIU1158" s="7"/>
      <c r="OIV1158" s="7"/>
      <c r="OIW1158" s="7"/>
      <c r="OIX1158" s="7"/>
      <c r="OIY1158" s="7"/>
      <c r="OIZ1158" s="7"/>
      <c r="OJA1158" s="7"/>
      <c r="OJB1158" s="7"/>
      <c r="OJC1158" s="7"/>
      <c r="OJD1158" s="7"/>
      <c r="OJE1158" s="7"/>
      <c r="OJF1158" s="7"/>
      <c r="OJG1158" s="7"/>
      <c r="OJH1158" s="7"/>
      <c r="OJI1158" s="7"/>
      <c r="OJJ1158" s="7"/>
      <c r="OJK1158" s="7"/>
      <c r="OJL1158" s="7"/>
      <c r="OJM1158" s="7"/>
      <c r="OJN1158" s="7"/>
      <c r="OJO1158" s="7"/>
      <c r="OJP1158" s="7"/>
      <c r="OJQ1158" s="7"/>
      <c r="OJR1158" s="7"/>
      <c r="OJS1158" s="7"/>
      <c r="OJT1158" s="7"/>
      <c r="OJU1158" s="7"/>
      <c r="OJV1158" s="7"/>
      <c r="OJW1158" s="7"/>
      <c r="OJX1158" s="7"/>
      <c r="OJY1158" s="7"/>
      <c r="OJZ1158" s="7"/>
      <c r="OKA1158" s="7"/>
      <c r="OKB1158" s="7"/>
      <c r="OKC1158" s="7"/>
      <c r="OKD1158" s="7"/>
      <c r="OKE1158" s="7"/>
      <c r="OKF1158" s="7"/>
      <c r="OKG1158" s="7"/>
      <c r="OKH1158" s="7"/>
      <c r="OKI1158" s="7"/>
      <c r="OKJ1158" s="7"/>
      <c r="OKK1158" s="7"/>
      <c r="OKL1158" s="7"/>
      <c r="OKM1158" s="7"/>
      <c r="OKN1158" s="7"/>
      <c r="OKO1158" s="7"/>
      <c r="OKP1158" s="7"/>
      <c r="OKQ1158" s="7"/>
      <c r="OKR1158" s="7"/>
      <c r="OKS1158" s="7"/>
      <c r="OKT1158" s="7"/>
      <c r="OKU1158" s="7"/>
      <c r="OKV1158" s="7"/>
      <c r="OKW1158" s="7"/>
      <c r="OKX1158" s="7"/>
      <c r="OKY1158" s="7"/>
      <c r="OKZ1158" s="7"/>
      <c r="OLA1158" s="7"/>
      <c r="OLB1158" s="7"/>
      <c r="OLC1158" s="7"/>
      <c r="OLD1158" s="7"/>
      <c r="OLE1158" s="7"/>
      <c r="OLF1158" s="7"/>
      <c r="OLG1158" s="7"/>
      <c r="OLH1158" s="7"/>
      <c r="OLI1158" s="7"/>
      <c r="OLJ1158" s="7"/>
      <c r="OLK1158" s="7"/>
      <c r="OLL1158" s="7"/>
      <c r="OLM1158" s="7"/>
      <c r="OLN1158" s="7"/>
      <c r="OLO1158" s="7"/>
      <c r="OLP1158" s="7"/>
      <c r="OLQ1158" s="7"/>
      <c r="OLR1158" s="7"/>
      <c r="OLS1158" s="7"/>
      <c r="OLT1158" s="7"/>
      <c r="OLU1158" s="7"/>
      <c r="OLV1158" s="7"/>
      <c r="OLW1158" s="7"/>
      <c r="OLX1158" s="7"/>
      <c r="OLY1158" s="7"/>
      <c r="OLZ1158" s="7"/>
      <c r="OMA1158" s="7"/>
      <c r="OMB1158" s="7"/>
      <c r="OMC1158" s="7"/>
      <c r="OMD1158" s="7"/>
      <c r="OME1158" s="7"/>
      <c r="OMF1158" s="7"/>
      <c r="OMG1158" s="7"/>
      <c r="OMH1158" s="7"/>
      <c r="OMI1158" s="7"/>
      <c r="OMJ1158" s="7"/>
      <c r="OMK1158" s="7"/>
      <c r="OML1158" s="7"/>
      <c r="OMM1158" s="7"/>
      <c r="OMN1158" s="7"/>
      <c r="OMO1158" s="7"/>
      <c r="OMP1158" s="7"/>
      <c r="OMQ1158" s="7"/>
      <c r="OMR1158" s="7"/>
      <c r="OMS1158" s="7"/>
      <c r="OMT1158" s="7"/>
      <c r="OMU1158" s="7"/>
      <c r="OMV1158" s="7"/>
      <c r="OMW1158" s="7"/>
      <c r="OMX1158" s="7"/>
      <c r="OMY1158" s="7"/>
      <c r="OMZ1158" s="7"/>
      <c r="ONA1158" s="7"/>
      <c r="ONB1158" s="7"/>
      <c r="ONC1158" s="7"/>
      <c r="OND1158" s="7"/>
      <c r="ONE1158" s="7"/>
      <c r="ONF1158" s="7"/>
      <c r="ONG1158" s="7"/>
      <c r="ONH1158" s="7"/>
      <c r="ONI1158" s="7"/>
      <c r="ONJ1158" s="7"/>
      <c r="ONK1158" s="7"/>
      <c r="ONL1158" s="7"/>
      <c r="ONM1158" s="7"/>
      <c r="ONN1158" s="7"/>
      <c r="ONO1158" s="7"/>
      <c r="ONP1158" s="7"/>
      <c r="ONQ1158" s="7"/>
      <c r="ONR1158" s="7"/>
      <c r="ONS1158" s="7"/>
      <c r="ONT1158" s="7"/>
      <c r="ONU1158" s="7"/>
      <c r="ONV1158" s="7"/>
      <c r="ONW1158" s="7"/>
      <c r="ONX1158" s="7"/>
      <c r="ONY1158" s="7"/>
      <c r="ONZ1158" s="7"/>
      <c r="OOA1158" s="7"/>
      <c r="OOB1158" s="7"/>
      <c r="OOC1158" s="7"/>
      <c r="OOD1158" s="7"/>
      <c r="OOE1158" s="7"/>
      <c r="OOF1158" s="7"/>
      <c r="OOG1158" s="7"/>
      <c r="OOH1158" s="7"/>
      <c r="OOI1158" s="7"/>
      <c r="OOJ1158" s="7"/>
      <c r="OOK1158" s="7"/>
      <c r="OOL1158" s="7"/>
      <c r="OOM1158" s="7"/>
      <c r="OON1158" s="7"/>
      <c r="OOO1158" s="7"/>
      <c r="OOP1158" s="7"/>
      <c r="OOQ1158" s="7"/>
      <c r="OOR1158" s="7"/>
      <c r="OOS1158" s="7"/>
      <c r="OOT1158" s="7"/>
      <c r="OOU1158" s="7"/>
      <c r="OOV1158" s="7"/>
      <c r="OOW1158" s="7"/>
      <c r="OOX1158" s="7"/>
      <c r="OOY1158" s="7"/>
      <c r="OOZ1158" s="7"/>
      <c r="OPA1158" s="7"/>
      <c r="OPB1158" s="7"/>
      <c r="OPC1158" s="7"/>
      <c r="OPD1158" s="7"/>
      <c r="OPE1158" s="7"/>
      <c r="OPF1158" s="7"/>
      <c r="OPG1158" s="7"/>
      <c r="OPH1158" s="7"/>
      <c r="OPI1158" s="7"/>
      <c r="OPJ1158" s="7"/>
      <c r="OPK1158" s="7"/>
      <c r="OPL1158" s="7"/>
      <c r="OPM1158" s="7"/>
      <c r="OPN1158" s="7"/>
      <c r="OPO1158" s="7"/>
      <c r="OPP1158" s="7"/>
      <c r="OPQ1158" s="7"/>
      <c r="OPR1158" s="7"/>
      <c r="OPS1158" s="7"/>
      <c r="OPT1158" s="7"/>
      <c r="OPU1158" s="7"/>
      <c r="OPV1158" s="7"/>
      <c r="OPW1158" s="7"/>
      <c r="OPX1158" s="7"/>
      <c r="OPY1158" s="7"/>
      <c r="OPZ1158" s="7"/>
      <c r="OQA1158" s="7"/>
      <c r="OQB1158" s="7"/>
      <c r="OQC1158" s="7"/>
      <c r="OQD1158" s="7"/>
      <c r="OQE1158" s="7"/>
      <c r="OQF1158" s="7"/>
      <c r="OQG1158" s="7"/>
      <c r="OQH1158" s="7"/>
      <c r="OQI1158" s="7"/>
      <c r="OQJ1158" s="7"/>
      <c r="OQK1158" s="7"/>
      <c r="OQL1158" s="7"/>
      <c r="OQM1158" s="7"/>
      <c r="OQN1158" s="7"/>
      <c r="OQO1158" s="7"/>
      <c r="OQP1158" s="7"/>
      <c r="OQQ1158" s="7"/>
      <c r="OQR1158" s="7"/>
      <c r="OQS1158" s="7"/>
      <c r="OQT1158" s="7"/>
      <c r="OQU1158" s="7"/>
      <c r="OQV1158" s="7"/>
      <c r="OQW1158" s="7"/>
      <c r="OQX1158" s="7"/>
      <c r="OQY1158" s="7"/>
      <c r="OQZ1158" s="7"/>
      <c r="ORA1158" s="7"/>
      <c r="ORB1158" s="7"/>
      <c r="ORC1158" s="7"/>
      <c r="ORD1158" s="7"/>
      <c r="ORE1158" s="7"/>
      <c r="ORF1158" s="7"/>
      <c r="ORG1158" s="7"/>
      <c r="ORH1158" s="7"/>
      <c r="ORI1158" s="7"/>
      <c r="ORJ1158" s="7"/>
      <c r="ORK1158" s="7"/>
      <c r="ORL1158" s="7"/>
      <c r="ORM1158" s="7"/>
      <c r="ORN1158" s="7"/>
      <c r="ORO1158" s="7"/>
      <c r="ORP1158" s="7"/>
      <c r="ORQ1158" s="7"/>
      <c r="ORR1158" s="7"/>
      <c r="ORS1158" s="7"/>
      <c r="ORT1158" s="7"/>
      <c r="ORU1158" s="7"/>
      <c r="ORV1158" s="7"/>
      <c r="ORW1158" s="7"/>
      <c r="ORX1158" s="7"/>
      <c r="ORY1158" s="7"/>
      <c r="ORZ1158" s="7"/>
      <c r="OSA1158" s="7"/>
      <c r="OSB1158" s="7"/>
      <c r="OSC1158" s="7"/>
      <c r="OSD1158" s="7"/>
      <c r="OSE1158" s="7"/>
      <c r="OSF1158" s="7"/>
      <c r="OSG1158" s="7"/>
      <c r="OSH1158" s="7"/>
      <c r="OSI1158" s="7"/>
      <c r="OSJ1158" s="7"/>
      <c r="OSK1158" s="7"/>
      <c r="OSL1158" s="7"/>
      <c r="OSM1158" s="7"/>
      <c r="OSN1158" s="7"/>
      <c r="OSO1158" s="7"/>
      <c r="OSP1158" s="7"/>
      <c r="OSQ1158" s="7"/>
      <c r="OSR1158" s="7"/>
      <c r="OSS1158" s="7"/>
      <c r="OST1158" s="7"/>
      <c r="OSU1158" s="7"/>
      <c r="OSV1158" s="7"/>
      <c r="OSW1158" s="7"/>
      <c r="OSX1158" s="7"/>
      <c r="OSY1158" s="7"/>
      <c r="OSZ1158" s="7"/>
      <c r="OTA1158" s="7"/>
      <c r="OTB1158" s="7"/>
      <c r="OTC1158" s="7"/>
      <c r="OTD1158" s="7"/>
      <c r="OTE1158" s="7"/>
      <c r="OTF1158" s="7"/>
      <c r="OTG1158" s="7"/>
      <c r="OTH1158" s="7"/>
      <c r="OTI1158" s="7"/>
      <c r="OTJ1158" s="7"/>
      <c r="OTK1158" s="7"/>
      <c r="OTL1158" s="7"/>
      <c r="OTM1158" s="7"/>
      <c r="OTN1158" s="7"/>
      <c r="OTO1158" s="7"/>
      <c r="OTP1158" s="7"/>
      <c r="OTQ1158" s="7"/>
      <c r="OTR1158" s="7"/>
      <c r="OTS1158" s="7"/>
      <c r="OTT1158" s="7"/>
      <c r="OTU1158" s="7"/>
      <c r="OTV1158" s="7"/>
      <c r="OTW1158" s="7"/>
      <c r="OTX1158" s="7"/>
      <c r="OTY1158" s="7"/>
      <c r="OTZ1158" s="7"/>
      <c r="OUA1158" s="7"/>
      <c r="OUB1158" s="7"/>
      <c r="OUC1158" s="7"/>
      <c r="OUD1158" s="7"/>
      <c r="OUE1158" s="7"/>
      <c r="OUF1158" s="7"/>
      <c r="OUG1158" s="7"/>
      <c r="OUH1158" s="7"/>
      <c r="OUI1158" s="7"/>
      <c r="OUJ1158" s="7"/>
      <c r="OUK1158" s="7"/>
      <c r="OUL1158" s="7"/>
      <c r="OUM1158" s="7"/>
      <c r="OUN1158" s="7"/>
      <c r="OUO1158" s="7"/>
      <c r="OUP1158" s="7"/>
      <c r="OUQ1158" s="7"/>
      <c r="OUR1158" s="7"/>
      <c r="OUS1158" s="7"/>
      <c r="OUT1158" s="7"/>
      <c r="OUU1158" s="7"/>
      <c r="OUV1158" s="7"/>
      <c r="OUW1158" s="7"/>
      <c r="OUX1158" s="7"/>
      <c r="OUY1158" s="7"/>
      <c r="OUZ1158" s="7"/>
      <c r="OVA1158" s="7"/>
      <c r="OVB1158" s="7"/>
      <c r="OVC1158" s="7"/>
      <c r="OVD1158" s="7"/>
      <c r="OVE1158" s="7"/>
      <c r="OVF1158" s="7"/>
      <c r="OVG1158" s="7"/>
      <c r="OVH1158" s="7"/>
      <c r="OVI1158" s="7"/>
      <c r="OVJ1158" s="7"/>
      <c r="OVK1158" s="7"/>
      <c r="OVL1158" s="7"/>
      <c r="OVM1158" s="7"/>
      <c r="OVN1158" s="7"/>
      <c r="OVO1158" s="7"/>
      <c r="OVP1158" s="7"/>
      <c r="OVQ1158" s="7"/>
      <c r="OVR1158" s="7"/>
      <c r="OVS1158" s="7"/>
      <c r="OVT1158" s="7"/>
      <c r="OVU1158" s="7"/>
      <c r="OVV1158" s="7"/>
      <c r="OVW1158" s="7"/>
      <c r="OVX1158" s="7"/>
      <c r="OVY1158" s="7"/>
      <c r="OVZ1158" s="7"/>
      <c r="OWA1158" s="7"/>
      <c r="OWB1158" s="7"/>
      <c r="OWC1158" s="7"/>
      <c r="OWD1158" s="7"/>
      <c r="OWE1158" s="7"/>
      <c r="OWF1158" s="7"/>
      <c r="OWG1158" s="7"/>
      <c r="OWH1158" s="7"/>
      <c r="OWI1158" s="7"/>
      <c r="OWJ1158" s="7"/>
      <c r="OWK1158" s="7"/>
      <c r="OWL1158" s="7"/>
      <c r="OWM1158" s="7"/>
      <c r="OWN1158" s="7"/>
      <c r="OWO1158" s="7"/>
      <c r="OWP1158" s="7"/>
      <c r="OWQ1158" s="7"/>
      <c r="OWR1158" s="7"/>
      <c r="OWS1158" s="7"/>
      <c r="OWT1158" s="7"/>
      <c r="OWU1158" s="7"/>
      <c r="OWV1158" s="7"/>
      <c r="OWW1158" s="7"/>
      <c r="OWX1158" s="7"/>
      <c r="OWY1158" s="7"/>
      <c r="OWZ1158" s="7"/>
      <c r="OXA1158" s="7"/>
      <c r="OXB1158" s="7"/>
      <c r="OXC1158" s="7"/>
      <c r="OXD1158" s="7"/>
      <c r="OXE1158" s="7"/>
      <c r="OXF1158" s="7"/>
      <c r="OXG1158" s="7"/>
      <c r="OXH1158" s="7"/>
      <c r="OXI1158" s="7"/>
      <c r="OXJ1158" s="7"/>
      <c r="OXK1158" s="7"/>
      <c r="OXL1158" s="7"/>
      <c r="OXM1158" s="7"/>
      <c r="OXN1158" s="7"/>
      <c r="OXO1158" s="7"/>
      <c r="OXP1158" s="7"/>
      <c r="OXQ1158" s="7"/>
      <c r="OXR1158" s="7"/>
      <c r="OXS1158" s="7"/>
      <c r="OXT1158" s="7"/>
      <c r="OXU1158" s="7"/>
      <c r="OXV1158" s="7"/>
      <c r="OXW1158" s="7"/>
      <c r="OXX1158" s="7"/>
      <c r="OXY1158" s="7"/>
      <c r="OXZ1158" s="7"/>
      <c r="OYA1158" s="7"/>
      <c r="OYB1158" s="7"/>
      <c r="OYC1158" s="7"/>
      <c r="OYD1158" s="7"/>
      <c r="OYE1158" s="7"/>
      <c r="OYF1158" s="7"/>
      <c r="OYG1158" s="7"/>
      <c r="OYH1158" s="7"/>
      <c r="OYI1158" s="7"/>
      <c r="OYJ1158" s="7"/>
      <c r="OYK1158" s="7"/>
      <c r="OYL1158" s="7"/>
      <c r="OYM1158" s="7"/>
      <c r="OYN1158" s="7"/>
      <c r="OYO1158" s="7"/>
      <c r="OYP1158" s="7"/>
      <c r="OYQ1158" s="7"/>
      <c r="OYR1158" s="7"/>
      <c r="OYS1158" s="7"/>
      <c r="OYT1158" s="7"/>
      <c r="OYU1158" s="7"/>
      <c r="OYV1158" s="7"/>
      <c r="OYW1158" s="7"/>
      <c r="OYX1158" s="7"/>
      <c r="OYY1158" s="7"/>
      <c r="OYZ1158" s="7"/>
      <c r="OZA1158" s="7"/>
      <c r="OZB1158" s="7"/>
      <c r="OZC1158" s="7"/>
      <c r="OZD1158" s="7"/>
      <c r="OZE1158" s="7"/>
      <c r="OZF1158" s="7"/>
      <c r="OZG1158" s="7"/>
      <c r="OZH1158" s="7"/>
      <c r="OZI1158" s="7"/>
      <c r="OZJ1158" s="7"/>
      <c r="OZK1158" s="7"/>
      <c r="OZL1158" s="7"/>
      <c r="OZM1158" s="7"/>
      <c r="OZN1158" s="7"/>
      <c r="OZO1158" s="7"/>
      <c r="OZP1158" s="7"/>
      <c r="OZQ1158" s="7"/>
      <c r="OZR1158" s="7"/>
      <c r="OZS1158" s="7"/>
      <c r="OZT1158" s="7"/>
      <c r="OZU1158" s="7"/>
      <c r="OZV1158" s="7"/>
      <c r="OZW1158" s="7"/>
      <c r="OZX1158" s="7"/>
      <c r="OZY1158" s="7"/>
      <c r="OZZ1158" s="7"/>
      <c r="PAA1158" s="7"/>
      <c r="PAB1158" s="7"/>
      <c r="PAC1158" s="7"/>
      <c r="PAD1158" s="7"/>
      <c r="PAE1158" s="7"/>
      <c r="PAF1158" s="7"/>
      <c r="PAG1158" s="7"/>
      <c r="PAH1158" s="7"/>
      <c r="PAI1158" s="7"/>
      <c r="PAJ1158" s="7"/>
      <c r="PAK1158" s="7"/>
      <c r="PAL1158" s="7"/>
      <c r="PAM1158" s="7"/>
      <c r="PAN1158" s="7"/>
      <c r="PAO1158" s="7"/>
      <c r="PAP1158" s="7"/>
      <c r="PAQ1158" s="7"/>
      <c r="PAR1158" s="7"/>
      <c r="PAS1158" s="7"/>
      <c r="PAT1158" s="7"/>
      <c r="PAU1158" s="7"/>
      <c r="PAV1158" s="7"/>
      <c r="PAW1158" s="7"/>
      <c r="PAX1158" s="7"/>
      <c r="PAY1158" s="7"/>
      <c r="PAZ1158" s="7"/>
      <c r="PBA1158" s="7"/>
      <c r="PBB1158" s="7"/>
      <c r="PBC1158" s="7"/>
      <c r="PBD1158" s="7"/>
      <c r="PBE1158" s="7"/>
      <c r="PBF1158" s="7"/>
      <c r="PBG1158" s="7"/>
      <c r="PBH1158" s="7"/>
      <c r="PBI1158" s="7"/>
      <c r="PBJ1158" s="7"/>
      <c r="PBK1158" s="7"/>
      <c r="PBL1158" s="7"/>
      <c r="PBM1158" s="7"/>
      <c r="PBN1158" s="7"/>
      <c r="PBO1158" s="7"/>
      <c r="PBP1158" s="7"/>
      <c r="PBQ1158" s="7"/>
      <c r="PBR1158" s="7"/>
      <c r="PBS1158" s="7"/>
      <c r="PBT1158" s="7"/>
      <c r="PBU1158" s="7"/>
      <c r="PBV1158" s="7"/>
      <c r="PBW1158" s="7"/>
      <c r="PBX1158" s="7"/>
      <c r="PBY1158" s="7"/>
      <c r="PBZ1158" s="7"/>
      <c r="PCA1158" s="7"/>
      <c r="PCB1158" s="7"/>
      <c r="PCC1158" s="7"/>
      <c r="PCD1158" s="7"/>
      <c r="PCE1158" s="7"/>
      <c r="PCF1158" s="7"/>
      <c r="PCG1158" s="7"/>
      <c r="PCH1158" s="7"/>
      <c r="PCI1158" s="7"/>
      <c r="PCJ1158" s="7"/>
      <c r="PCK1158" s="7"/>
      <c r="PCL1158" s="7"/>
      <c r="PCM1158" s="7"/>
      <c r="PCN1158" s="7"/>
      <c r="PCO1158" s="7"/>
      <c r="PCP1158" s="7"/>
      <c r="PCQ1158" s="7"/>
      <c r="PCR1158" s="7"/>
      <c r="PCS1158" s="7"/>
      <c r="PCT1158" s="7"/>
      <c r="PCU1158" s="7"/>
      <c r="PCV1158" s="7"/>
      <c r="PCW1158" s="7"/>
      <c r="PCX1158" s="7"/>
      <c r="PCY1158" s="7"/>
      <c r="PCZ1158" s="7"/>
      <c r="PDA1158" s="7"/>
      <c r="PDB1158" s="7"/>
      <c r="PDC1158" s="7"/>
      <c r="PDD1158" s="7"/>
      <c r="PDE1158" s="7"/>
      <c r="PDF1158" s="7"/>
      <c r="PDG1158" s="7"/>
      <c r="PDH1158" s="7"/>
      <c r="PDI1158" s="7"/>
      <c r="PDJ1158" s="7"/>
      <c r="PDK1158" s="7"/>
      <c r="PDL1158" s="7"/>
      <c r="PDM1158" s="7"/>
      <c r="PDN1158" s="7"/>
      <c r="PDO1158" s="7"/>
      <c r="PDP1158" s="7"/>
      <c r="PDQ1158" s="7"/>
      <c r="PDR1158" s="7"/>
      <c r="PDS1158" s="7"/>
      <c r="PDT1158" s="7"/>
      <c r="PDU1158" s="7"/>
      <c r="PDV1158" s="7"/>
      <c r="PDW1158" s="7"/>
      <c r="PDX1158" s="7"/>
      <c r="PDY1158" s="7"/>
      <c r="PDZ1158" s="7"/>
      <c r="PEA1158" s="7"/>
      <c r="PEB1158" s="7"/>
      <c r="PEC1158" s="7"/>
      <c r="PED1158" s="7"/>
      <c r="PEE1158" s="7"/>
      <c r="PEF1158" s="7"/>
      <c r="PEG1158" s="7"/>
      <c r="PEH1158" s="7"/>
      <c r="PEI1158" s="7"/>
      <c r="PEJ1158" s="7"/>
      <c r="PEK1158" s="7"/>
      <c r="PEL1158" s="7"/>
      <c r="PEM1158" s="7"/>
      <c r="PEN1158" s="7"/>
      <c r="PEO1158" s="7"/>
      <c r="PEP1158" s="7"/>
      <c r="PEQ1158" s="7"/>
      <c r="PER1158" s="7"/>
      <c r="PES1158" s="7"/>
      <c r="PET1158" s="7"/>
      <c r="PEU1158" s="7"/>
      <c r="PEV1158" s="7"/>
      <c r="PEW1158" s="7"/>
      <c r="PEX1158" s="7"/>
      <c r="PEY1158" s="7"/>
      <c r="PEZ1158" s="7"/>
      <c r="PFA1158" s="7"/>
      <c r="PFB1158" s="7"/>
      <c r="PFC1158" s="7"/>
      <c r="PFD1158" s="7"/>
      <c r="PFE1158" s="7"/>
      <c r="PFF1158" s="7"/>
      <c r="PFG1158" s="7"/>
      <c r="PFH1158" s="7"/>
      <c r="PFI1158" s="7"/>
      <c r="PFJ1158" s="7"/>
      <c r="PFK1158" s="7"/>
      <c r="PFL1158" s="7"/>
      <c r="PFM1158" s="7"/>
      <c r="PFN1158" s="7"/>
      <c r="PFO1158" s="7"/>
      <c r="PFP1158" s="7"/>
      <c r="PFQ1158" s="7"/>
      <c r="PFR1158" s="7"/>
      <c r="PFS1158" s="7"/>
      <c r="PFT1158" s="7"/>
      <c r="PFU1158" s="7"/>
      <c r="PFV1158" s="7"/>
      <c r="PFW1158" s="7"/>
      <c r="PFX1158" s="7"/>
      <c r="PFY1158" s="7"/>
      <c r="PFZ1158" s="7"/>
      <c r="PGA1158" s="7"/>
      <c r="PGB1158" s="7"/>
      <c r="PGC1158" s="7"/>
      <c r="PGD1158" s="7"/>
      <c r="PGE1158" s="7"/>
      <c r="PGF1158" s="7"/>
      <c r="PGG1158" s="7"/>
      <c r="PGH1158" s="7"/>
      <c r="PGI1158" s="7"/>
      <c r="PGJ1158" s="7"/>
      <c r="PGK1158" s="7"/>
      <c r="PGL1158" s="7"/>
      <c r="PGM1158" s="7"/>
      <c r="PGN1158" s="7"/>
      <c r="PGO1158" s="7"/>
      <c r="PGP1158" s="7"/>
      <c r="PGQ1158" s="7"/>
      <c r="PGR1158" s="7"/>
      <c r="PGS1158" s="7"/>
      <c r="PGT1158" s="7"/>
      <c r="PGU1158" s="7"/>
      <c r="PGV1158" s="7"/>
      <c r="PGW1158" s="7"/>
      <c r="PGX1158" s="7"/>
      <c r="PGY1158" s="7"/>
      <c r="PGZ1158" s="7"/>
      <c r="PHA1158" s="7"/>
      <c r="PHB1158" s="7"/>
      <c r="PHC1158" s="7"/>
      <c r="PHD1158" s="7"/>
      <c r="PHE1158" s="7"/>
      <c r="PHF1158" s="7"/>
      <c r="PHG1158" s="7"/>
      <c r="PHH1158" s="7"/>
      <c r="PHI1158" s="7"/>
      <c r="PHJ1158" s="7"/>
      <c r="PHK1158" s="7"/>
      <c r="PHL1158" s="7"/>
      <c r="PHM1158" s="7"/>
      <c r="PHN1158" s="7"/>
      <c r="PHO1158" s="7"/>
      <c r="PHP1158" s="7"/>
      <c r="PHQ1158" s="7"/>
      <c r="PHR1158" s="7"/>
      <c r="PHS1158" s="7"/>
      <c r="PHT1158" s="7"/>
      <c r="PHU1158" s="7"/>
      <c r="PHV1158" s="7"/>
      <c r="PHW1158" s="7"/>
      <c r="PHX1158" s="7"/>
      <c r="PHY1158" s="7"/>
      <c r="PHZ1158" s="7"/>
      <c r="PIA1158" s="7"/>
      <c r="PIB1158" s="7"/>
      <c r="PIC1158" s="7"/>
      <c r="PID1158" s="7"/>
      <c r="PIE1158" s="7"/>
      <c r="PIF1158" s="7"/>
      <c r="PIG1158" s="7"/>
      <c r="PIH1158" s="7"/>
      <c r="PII1158" s="7"/>
      <c r="PIJ1158" s="7"/>
      <c r="PIK1158" s="7"/>
      <c r="PIL1158" s="7"/>
      <c r="PIM1158" s="7"/>
      <c r="PIN1158" s="7"/>
      <c r="PIO1158" s="7"/>
      <c r="PIP1158" s="7"/>
      <c r="PIQ1158" s="7"/>
      <c r="PIR1158" s="7"/>
      <c r="PIS1158" s="7"/>
      <c r="PIT1158" s="7"/>
      <c r="PIU1158" s="7"/>
      <c r="PIV1158" s="7"/>
      <c r="PIW1158" s="7"/>
      <c r="PIX1158" s="7"/>
      <c r="PIY1158" s="7"/>
      <c r="PIZ1158" s="7"/>
      <c r="PJA1158" s="7"/>
      <c r="PJB1158" s="7"/>
      <c r="PJC1158" s="7"/>
      <c r="PJD1158" s="7"/>
      <c r="PJE1158" s="7"/>
      <c r="PJF1158" s="7"/>
      <c r="PJG1158" s="7"/>
      <c r="PJH1158" s="7"/>
      <c r="PJI1158" s="7"/>
      <c r="PJJ1158" s="7"/>
      <c r="PJK1158" s="7"/>
      <c r="PJL1158" s="7"/>
      <c r="PJM1158" s="7"/>
      <c r="PJN1158" s="7"/>
      <c r="PJO1158" s="7"/>
      <c r="PJP1158" s="7"/>
      <c r="PJQ1158" s="7"/>
      <c r="PJR1158" s="7"/>
      <c r="PJS1158" s="7"/>
      <c r="PJT1158" s="7"/>
      <c r="PJU1158" s="7"/>
      <c r="PJV1158" s="7"/>
      <c r="PJW1158" s="7"/>
      <c r="PJX1158" s="7"/>
      <c r="PJY1158" s="7"/>
      <c r="PJZ1158" s="7"/>
      <c r="PKA1158" s="7"/>
      <c r="PKB1158" s="7"/>
      <c r="PKC1158" s="7"/>
      <c r="PKD1158" s="7"/>
      <c r="PKE1158" s="7"/>
      <c r="PKF1158" s="7"/>
      <c r="PKG1158" s="7"/>
      <c r="PKH1158" s="7"/>
      <c r="PKI1158" s="7"/>
      <c r="PKJ1158" s="7"/>
      <c r="PKK1158" s="7"/>
      <c r="PKL1158" s="7"/>
      <c r="PKM1158" s="7"/>
      <c r="PKN1158" s="7"/>
      <c r="PKO1158" s="7"/>
      <c r="PKP1158" s="7"/>
      <c r="PKQ1158" s="7"/>
      <c r="PKR1158" s="7"/>
      <c r="PKS1158" s="7"/>
      <c r="PKT1158" s="7"/>
      <c r="PKU1158" s="7"/>
      <c r="PKV1158" s="7"/>
      <c r="PKW1158" s="7"/>
      <c r="PKX1158" s="7"/>
      <c r="PKY1158" s="7"/>
      <c r="PKZ1158" s="7"/>
      <c r="PLA1158" s="7"/>
      <c r="PLB1158" s="7"/>
      <c r="PLC1158" s="7"/>
      <c r="PLD1158" s="7"/>
      <c r="PLE1158" s="7"/>
      <c r="PLF1158" s="7"/>
      <c r="PLG1158" s="7"/>
      <c r="PLH1158" s="7"/>
      <c r="PLI1158" s="7"/>
      <c r="PLJ1158" s="7"/>
      <c r="PLK1158" s="7"/>
      <c r="PLL1158" s="7"/>
      <c r="PLM1158" s="7"/>
      <c r="PLN1158" s="7"/>
      <c r="PLO1158" s="7"/>
      <c r="PLP1158" s="7"/>
      <c r="PLQ1158" s="7"/>
      <c r="PLR1158" s="7"/>
      <c r="PLS1158" s="7"/>
      <c r="PLT1158" s="7"/>
      <c r="PLU1158" s="7"/>
      <c r="PLV1158" s="7"/>
      <c r="PLW1158" s="7"/>
      <c r="PLX1158" s="7"/>
      <c r="PLY1158" s="7"/>
      <c r="PLZ1158" s="7"/>
      <c r="PMA1158" s="7"/>
      <c r="PMB1158" s="7"/>
      <c r="PMC1158" s="7"/>
      <c r="PMD1158" s="7"/>
      <c r="PME1158" s="7"/>
      <c r="PMF1158" s="7"/>
      <c r="PMG1158" s="7"/>
      <c r="PMH1158" s="7"/>
      <c r="PMI1158" s="7"/>
      <c r="PMJ1158" s="7"/>
      <c r="PMK1158" s="7"/>
      <c r="PML1158" s="7"/>
      <c r="PMM1158" s="7"/>
      <c r="PMN1158" s="7"/>
      <c r="PMO1158" s="7"/>
      <c r="PMP1158" s="7"/>
      <c r="PMQ1158" s="7"/>
      <c r="PMR1158" s="7"/>
      <c r="PMS1158" s="7"/>
      <c r="PMT1158" s="7"/>
      <c r="PMU1158" s="7"/>
      <c r="PMV1158" s="7"/>
      <c r="PMW1158" s="7"/>
      <c r="PMX1158" s="7"/>
      <c r="PMY1158" s="7"/>
      <c r="PMZ1158" s="7"/>
      <c r="PNA1158" s="7"/>
      <c r="PNB1158" s="7"/>
      <c r="PNC1158" s="7"/>
      <c r="PND1158" s="7"/>
      <c r="PNE1158" s="7"/>
      <c r="PNF1158" s="7"/>
      <c r="PNG1158" s="7"/>
      <c r="PNH1158" s="7"/>
      <c r="PNI1158" s="7"/>
      <c r="PNJ1158" s="7"/>
      <c r="PNK1158" s="7"/>
      <c r="PNL1158" s="7"/>
      <c r="PNM1158" s="7"/>
      <c r="PNN1158" s="7"/>
      <c r="PNO1158" s="7"/>
      <c r="PNP1158" s="7"/>
      <c r="PNQ1158" s="7"/>
      <c r="PNR1158" s="7"/>
      <c r="PNS1158" s="7"/>
      <c r="PNT1158" s="7"/>
      <c r="PNU1158" s="7"/>
      <c r="PNV1158" s="7"/>
      <c r="PNW1158" s="7"/>
      <c r="PNX1158" s="7"/>
      <c r="PNY1158" s="7"/>
      <c r="PNZ1158" s="7"/>
      <c r="POA1158" s="7"/>
      <c r="POB1158" s="7"/>
      <c r="POC1158" s="7"/>
      <c r="POD1158" s="7"/>
      <c r="POE1158" s="7"/>
      <c r="POF1158" s="7"/>
      <c r="POG1158" s="7"/>
      <c r="POH1158" s="7"/>
      <c r="POI1158" s="7"/>
      <c r="POJ1158" s="7"/>
      <c r="POK1158" s="7"/>
      <c r="POL1158" s="7"/>
      <c r="POM1158" s="7"/>
      <c r="PON1158" s="7"/>
      <c r="POO1158" s="7"/>
      <c r="POP1158" s="7"/>
      <c r="POQ1158" s="7"/>
      <c r="POR1158" s="7"/>
      <c r="POS1158" s="7"/>
      <c r="POT1158" s="7"/>
      <c r="POU1158" s="7"/>
      <c r="POV1158" s="7"/>
      <c r="POW1158" s="7"/>
      <c r="POX1158" s="7"/>
      <c r="POY1158" s="7"/>
      <c r="POZ1158" s="7"/>
      <c r="PPA1158" s="7"/>
      <c r="PPB1158" s="7"/>
      <c r="PPC1158" s="7"/>
      <c r="PPD1158" s="7"/>
      <c r="PPE1158" s="7"/>
      <c r="PPF1158" s="7"/>
      <c r="PPG1158" s="7"/>
      <c r="PPH1158" s="7"/>
      <c r="PPI1158" s="7"/>
      <c r="PPJ1158" s="7"/>
      <c r="PPK1158" s="7"/>
      <c r="PPL1158" s="7"/>
      <c r="PPM1158" s="7"/>
      <c r="PPN1158" s="7"/>
      <c r="PPO1158" s="7"/>
      <c r="PPP1158" s="7"/>
      <c r="PPQ1158" s="7"/>
      <c r="PPR1158" s="7"/>
      <c r="PPS1158" s="7"/>
      <c r="PPT1158" s="7"/>
      <c r="PPU1158" s="7"/>
      <c r="PPV1158" s="7"/>
      <c r="PPW1158" s="7"/>
      <c r="PPX1158" s="7"/>
      <c r="PPY1158" s="7"/>
      <c r="PPZ1158" s="7"/>
      <c r="PQA1158" s="7"/>
      <c r="PQB1158" s="7"/>
      <c r="PQC1158" s="7"/>
      <c r="PQD1158" s="7"/>
      <c r="PQE1158" s="7"/>
      <c r="PQF1158" s="7"/>
      <c r="PQG1158" s="7"/>
      <c r="PQH1158" s="7"/>
      <c r="PQI1158" s="7"/>
      <c r="PQJ1158" s="7"/>
      <c r="PQK1158" s="7"/>
      <c r="PQL1158" s="7"/>
      <c r="PQM1158" s="7"/>
      <c r="PQN1158" s="7"/>
      <c r="PQO1158" s="7"/>
      <c r="PQP1158" s="7"/>
      <c r="PQQ1158" s="7"/>
      <c r="PQR1158" s="7"/>
      <c r="PQS1158" s="7"/>
      <c r="PQT1158" s="7"/>
      <c r="PQU1158" s="7"/>
      <c r="PQV1158" s="7"/>
      <c r="PQW1158" s="7"/>
      <c r="PQX1158" s="7"/>
      <c r="PQY1158" s="7"/>
      <c r="PQZ1158" s="7"/>
      <c r="PRA1158" s="7"/>
      <c r="PRB1158" s="7"/>
      <c r="PRC1158" s="7"/>
      <c r="PRD1158" s="7"/>
      <c r="PRE1158" s="7"/>
      <c r="PRF1158" s="7"/>
      <c r="PRG1158" s="7"/>
      <c r="PRH1158" s="7"/>
      <c r="PRI1158" s="7"/>
      <c r="PRJ1158" s="7"/>
      <c r="PRK1158" s="7"/>
      <c r="PRL1158" s="7"/>
      <c r="PRM1158" s="7"/>
      <c r="PRN1158" s="7"/>
      <c r="PRO1158" s="7"/>
      <c r="PRP1158" s="7"/>
      <c r="PRQ1158" s="7"/>
      <c r="PRR1158" s="7"/>
      <c r="PRS1158" s="7"/>
      <c r="PRT1158" s="7"/>
      <c r="PRU1158" s="7"/>
      <c r="PRV1158" s="7"/>
      <c r="PRW1158" s="7"/>
      <c r="PRX1158" s="7"/>
      <c r="PRY1158" s="7"/>
      <c r="PRZ1158" s="7"/>
      <c r="PSA1158" s="7"/>
      <c r="PSB1158" s="7"/>
      <c r="PSC1158" s="7"/>
      <c r="PSD1158" s="7"/>
      <c r="PSE1158" s="7"/>
      <c r="PSF1158" s="7"/>
      <c r="PSG1158" s="7"/>
      <c r="PSH1158" s="7"/>
      <c r="PSI1158" s="7"/>
      <c r="PSJ1158" s="7"/>
      <c r="PSK1158" s="7"/>
      <c r="PSL1158" s="7"/>
      <c r="PSM1158" s="7"/>
      <c r="PSN1158" s="7"/>
      <c r="PSO1158" s="7"/>
      <c r="PSP1158" s="7"/>
      <c r="PSQ1158" s="7"/>
      <c r="PSR1158" s="7"/>
      <c r="PSS1158" s="7"/>
      <c r="PST1158" s="7"/>
      <c r="PSU1158" s="7"/>
      <c r="PSV1158" s="7"/>
      <c r="PSW1158" s="7"/>
      <c r="PSX1158" s="7"/>
      <c r="PSY1158" s="7"/>
      <c r="PSZ1158" s="7"/>
      <c r="PTA1158" s="7"/>
      <c r="PTB1158" s="7"/>
      <c r="PTC1158" s="7"/>
      <c r="PTD1158" s="7"/>
      <c r="PTE1158" s="7"/>
      <c r="PTF1158" s="7"/>
      <c r="PTG1158" s="7"/>
      <c r="PTH1158" s="7"/>
      <c r="PTI1158" s="7"/>
      <c r="PTJ1158" s="7"/>
      <c r="PTK1158" s="7"/>
      <c r="PTL1158" s="7"/>
      <c r="PTM1158" s="7"/>
      <c r="PTN1158" s="7"/>
      <c r="PTO1158" s="7"/>
      <c r="PTP1158" s="7"/>
      <c r="PTQ1158" s="7"/>
      <c r="PTR1158" s="7"/>
      <c r="PTS1158" s="7"/>
      <c r="PTT1158" s="7"/>
      <c r="PTU1158" s="7"/>
      <c r="PTV1158" s="7"/>
      <c r="PTW1158" s="7"/>
      <c r="PTX1158" s="7"/>
      <c r="PTY1158" s="7"/>
      <c r="PTZ1158" s="7"/>
      <c r="PUA1158" s="7"/>
      <c r="PUB1158" s="7"/>
      <c r="PUC1158" s="7"/>
      <c r="PUD1158" s="7"/>
      <c r="PUE1158" s="7"/>
      <c r="PUF1158" s="7"/>
      <c r="PUG1158" s="7"/>
      <c r="PUH1158" s="7"/>
      <c r="PUI1158" s="7"/>
      <c r="PUJ1158" s="7"/>
      <c r="PUK1158" s="7"/>
      <c r="PUL1158" s="7"/>
      <c r="PUM1158" s="7"/>
      <c r="PUN1158" s="7"/>
      <c r="PUO1158" s="7"/>
      <c r="PUP1158" s="7"/>
      <c r="PUQ1158" s="7"/>
      <c r="PUR1158" s="7"/>
      <c r="PUS1158" s="7"/>
      <c r="PUT1158" s="7"/>
      <c r="PUU1158" s="7"/>
      <c r="PUV1158" s="7"/>
      <c r="PUW1158" s="7"/>
      <c r="PUX1158" s="7"/>
      <c r="PUY1158" s="7"/>
      <c r="PUZ1158" s="7"/>
      <c r="PVA1158" s="7"/>
      <c r="PVB1158" s="7"/>
      <c r="PVC1158" s="7"/>
      <c r="PVD1158" s="7"/>
      <c r="PVE1158" s="7"/>
      <c r="PVF1158" s="7"/>
      <c r="PVG1158" s="7"/>
      <c r="PVH1158" s="7"/>
      <c r="PVI1158" s="7"/>
      <c r="PVJ1158" s="7"/>
      <c r="PVK1158" s="7"/>
      <c r="PVL1158" s="7"/>
      <c r="PVM1158" s="7"/>
      <c r="PVN1158" s="7"/>
      <c r="PVO1158" s="7"/>
      <c r="PVP1158" s="7"/>
      <c r="PVQ1158" s="7"/>
      <c r="PVR1158" s="7"/>
      <c r="PVS1158" s="7"/>
      <c r="PVT1158" s="7"/>
      <c r="PVU1158" s="7"/>
      <c r="PVV1158" s="7"/>
      <c r="PVW1158" s="7"/>
      <c r="PVX1158" s="7"/>
      <c r="PVY1158" s="7"/>
      <c r="PVZ1158" s="7"/>
      <c r="PWA1158" s="7"/>
      <c r="PWB1158" s="7"/>
      <c r="PWC1158" s="7"/>
      <c r="PWD1158" s="7"/>
      <c r="PWE1158" s="7"/>
      <c r="PWF1158" s="7"/>
      <c r="PWG1158" s="7"/>
      <c r="PWH1158" s="7"/>
      <c r="PWI1158" s="7"/>
      <c r="PWJ1158" s="7"/>
      <c r="PWK1158" s="7"/>
      <c r="PWL1158" s="7"/>
      <c r="PWM1158" s="7"/>
      <c r="PWN1158" s="7"/>
      <c r="PWO1158" s="7"/>
      <c r="PWP1158" s="7"/>
      <c r="PWQ1158" s="7"/>
      <c r="PWR1158" s="7"/>
      <c r="PWS1158" s="7"/>
      <c r="PWT1158" s="7"/>
      <c r="PWU1158" s="7"/>
      <c r="PWV1158" s="7"/>
      <c r="PWW1158" s="7"/>
      <c r="PWX1158" s="7"/>
      <c r="PWY1158" s="7"/>
      <c r="PWZ1158" s="7"/>
      <c r="PXA1158" s="7"/>
      <c r="PXB1158" s="7"/>
      <c r="PXC1158" s="7"/>
      <c r="PXD1158" s="7"/>
      <c r="PXE1158" s="7"/>
      <c r="PXF1158" s="7"/>
      <c r="PXG1158" s="7"/>
      <c r="PXH1158" s="7"/>
      <c r="PXI1158" s="7"/>
      <c r="PXJ1158" s="7"/>
      <c r="PXK1158" s="7"/>
      <c r="PXL1158" s="7"/>
      <c r="PXM1158" s="7"/>
      <c r="PXN1158" s="7"/>
      <c r="PXO1158" s="7"/>
      <c r="PXP1158" s="7"/>
      <c r="PXQ1158" s="7"/>
      <c r="PXR1158" s="7"/>
      <c r="PXS1158" s="7"/>
      <c r="PXT1158" s="7"/>
      <c r="PXU1158" s="7"/>
      <c r="PXV1158" s="7"/>
      <c r="PXW1158" s="7"/>
      <c r="PXX1158" s="7"/>
      <c r="PXY1158" s="7"/>
      <c r="PXZ1158" s="7"/>
      <c r="PYA1158" s="7"/>
      <c r="PYB1158" s="7"/>
      <c r="PYC1158" s="7"/>
      <c r="PYD1158" s="7"/>
      <c r="PYE1158" s="7"/>
      <c r="PYF1158" s="7"/>
      <c r="PYG1158" s="7"/>
      <c r="PYH1158" s="7"/>
      <c r="PYI1158" s="7"/>
      <c r="PYJ1158" s="7"/>
      <c r="PYK1158" s="7"/>
      <c r="PYL1158" s="7"/>
      <c r="PYM1158" s="7"/>
      <c r="PYN1158" s="7"/>
      <c r="PYO1158" s="7"/>
      <c r="PYP1158" s="7"/>
      <c r="PYQ1158" s="7"/>
      <c r="PYR1158" s="7"/>
      <c r="PYS1158" s="7"/>
      <c r="PYT1158" s="7"/>
      <c r="PYU1158" s="7"/>
      <c r="PYV1158" s="7"/>
      <c r="PYW1158" s="7"/>
      <c r="PYX1158" s="7"/>
      <c r="PYY1158" s="7"/>
      <c r="PYZ1158" s="7"/>
      <c r="PZA1158" s="7"/>
      <c r="PZB1158" s="7"/>
      <c r="PZC1158" s="7"/>
      <c r="PZD1158" s="7"/>
      <c r="PZE1158" s="7"/>
      <c r="PZF1158" s="7"/>
      <c r="PZG1158" s="7"/>
      <c r="PZH1158" s="7"/>
      <c r="PZI1158" s="7"/>
      <c r="PZJ1158" s="7"/>
      <c r="PZK1158" s="7"/>
      <c r="PZL1158" s="7"/>
      <c r="PZM1158" s="7"/>
      <c r="PZN1158" s="7"/>
      <c r="PZO1158" s="7"/>
      <c r="PZP1158" s="7"/>
      <c r="PZQ1158" s="7"/>
      <c r="PZR1158" s="7"/>
      <c r="PZS1158" s="7"/>
      <c r="PZT1158" s="7"/>
      <c r="PZU1158" s="7"/>
      <c r="PZV1158" s="7"/>
      <c r="PZW1158" s="7"/>
      <c r="PZX1158" s="7"/>
      <c r="PZY1158" s="7"/>
      <c r="PZZ1158" s="7"/>
      <c r="QAA1158" s="7"/>
      <c r="QAB1158" s="7"/>
      <c r="QAC1158" s="7"/>
      <c r="QAD1158" s="7"/>
      <c r="QAE1158" s="7"/>
      <c r="QAF1158" s="7"/>
      <c r="QAG1158" s="7"/>
      <c r="QAH1158" s="7"/>
      <c r="QAI1158" s="7"/>
      <c r="QAJ1158" s="7"/>
      <c r="QAK1158" s="7"/>
      <c r="QAL1158" s="7"/>
      <c r="QAM1158" s="7"/>
      <c r="QAN1158" s="7"/>
      <c r="QAO1158" s="7"/>
      <c r="QAP1158" s="7"/>
      <c r="QAQ1158" s="7"/>
      <c r="QAR1158" s="7"/>
      <c r="QAS1158" s="7"/>
      <c r="QAT1158" s="7"/>
      <c r="QAU1158" s="7"/>
      <c r="QAV1158" s="7"/>
      <c r="QAW1158" s="7"/>
      <c r="QAX1158" s="7"/>
      <c r="QAY1158" s="7"/>
      <c r="QAZ1158" s="7"/>
      <c r="QBA1158" s="7"/>
      <c r="QBB1158" s="7"/>
      <c r="QBC1158" s="7"/>
      <c r="QBD1158" s="7"/>
      <c r="QBE1158" s="7"/>
      <c r="QBF1158" s="7"/>
      <c r="QBG1158" s="7"/>
      <c r="QBH1158" s="7"/>
      <c r="QBI1158" s="7"/>
      <c r="QBJ1158" s="7"/>
      <c r="QBK1158" s="7"/>
      <c r="QBL1158" s="7"/>
      <c r="QBM1158" s="7"/>
      <c r="QBN1158" s="7"/>
      <c r="QBO1158" s="7"/>
      <c r="QBP1158" s="7"/>
      <c r="QBQ1158" s="7"/>
      <c r="QBR1158" s="7"/>
      <c r="QBS1158" s="7"/>
      <c r="QBT1158" s="7"/>
      <c r="QBU1158" s="7"/>
      <c r="QBV1158" s="7"/>
      <c r="QBW1158" s="7"/>
      <c r="QBX1158" s="7"/>
      <c r="QBY1158" s="7"/>
      <c r="QBZ1158" s="7"/>
      <c r="QCA1158" s="7"/>
      <c r="QCB1158" s="7"/>
      <c r="QCC1158" s="7"/>
      <c r="QCD1158" s="7"/>
      <c r="QCE1158" s="7"/>
      <c r="QCF1158" s="7"/>
      <c r="QCG1158" s="7"/>
      <c r="QCH1158" s="7"/>
      <c r="QCI1158" s="7"/>
      <c r="QCJ1158" s="7"/>
      <c r="QCK1158" s="7"/>
      <c r="QCL1158" s="7"/>
      <c r="QCM1158" s="7"/>
      <c r="QCN1158" s="7"/>
      <c r="QCO1158" s="7"/>
      <c r="QCP1158" s="7"/>
      <c r="QCQ1158" s="7"/>
      <c r="QCR1158" s="7"/>
      <c r="QCS1158" s="7"/>
      <c r="QCT1158" s="7"/>
      <c r="QCU1158" s="7"/>
      <c r="QCV1158" s="7"/>
      <c r="QCW1158" s="7"/>
      <c r="QCX1158" s="7"/>
      <c r="QCY1158" s="7"/>
      <c r="QCZ1158" s="7"/>
      <c r="QDA1158" s="7"/>
      <c r="QDB1158" s="7"/>
      <c r="QDC1158" s="7"/>
      <c r="QDD1158" s="7"/>
      <c r="QDE1158" s="7"/>
      <c r="QDF1158" s="7"/>
      <c r="QDG1158" s="7"/>
      <c r="QDH1158" s="7"/>
      <c r="QDI1158" s="7"/>
      <c r="QDJ1158" s="7"/>
      <c r="QDK1158" s="7"/>
      <c r="QDL1158" s="7"/>
      <c r="QDM1158" s="7"/>
      <c r="QDN1158" s="7"/>
      <c r="QDO1158" s="7"/>
      <c r="QDP1158" s="7"/>
      <c r="QDQ1158" s="7"/>
      <c r="QDR1158" s="7"/>
      <c r="QDS1158" s="7"/>
      <c r="QDT1158" s="7"/>
      <c r="QDU1158" s="7"/>
      <c r="QDV1158" s="7"/>
      <c r="QDW1158" s="7"/>
      <c r="QDX1158" s="7"/>
      <c r="QDY1158" s="7"/>
      <c r="QDZ1158" s="7"/>
      <c r="QEA1158" s="7"/>
      <c r="QEB1158" s="7"/>
      <c r="QEC1158" s="7"/>
      <c r="QED1158" s="7"/>
      <c r="QEE1158" s="7"/>
      <c r="QEF1158" s="7"/>
      <c r="QEG1158" s="7"/>
      <c r="QEH1158" s="7"/>
      <c r="QEI1158" s="7"/>
      <c r="QEJ1158" s="7"/>
      <c r="QEK1158" s="7"/>
      <c r="QEL1158" s="7"/>
      <c r="QEM1158" s="7"/>
      <c r="QEN1158" s="7"/>
      <c r="QEO1158" s="7"/>
      <c r="QEP1158" s="7"/>
      <c r="QEQ1158" s="7"/>
      <c r="QER1158" s="7"/>
      <c r="QES1158" s="7"/>
      <c r="QET1158" s="7"/>
      <c r="QEU1158" s="7"/>
      <c r="QEV1158" s="7"/>
      <c r="QEW1158" s="7"/>
      <c r="QEX1158" s="7"/>
      <c r="QEY1158" s="7"/>
      <c r="QEZ1158" s="7"/>
      <c r="QFA1158" s="7"/>
      <c r="QFB1158" s="7"/>
      <c r="QFC1158" s="7"/>
      <c r="QFD1158" s="7"/>
      <c r="QFE1158" s="7"/>
      <c r="QFF1158" s="7"/>
      <c r="QFG1158" s="7"/>
      <c r="QFH1158" s="7"/>
      <c r="QFI1158" s="7"/>
      <c r="QFJ1158" s="7"/>
      <c r="QFK1158" s="7"/>
      <c r="QFL1158" s="7"/>
      <c r="QFM1158" s="7"/>
      <c r="QFN1158" s="7"/>
      <c r="QFO1158" s="7"/>
      <c r="QFP1158" s="7"/>
      <c r="QFQ1158" s="7"/>
      <c r="QFR1158" s="7"/>
      <c r="QFS1158" s="7"/>
      <c r="QFT1158" s="7"/>
      <c r="QFU1158" s="7"/>
      <c r="QFV1158" s="7"/>
      <c r="QFW1158" s="7"/>
      <c r="QFX1158" s="7"/>
      <c r="QFY1158" s="7"/>
      <c r="QFZ1158" s="7"/>
      <c r="QGA1158" s="7"/>
      <c r="QGB1158" s="7"/>
      <c r="QGC1158" s="7"/>
      <c r="QGD1158" s="7"/>
      <c r="QGE1158" s="7"/>
      <c r="QGF1158" s="7"/>
      <c r="QGG1158" s="7"/>
      <c r="QGH1158" s="7"/>
      <c r="QGI1158" s="7"/>
      <c r="QGJ1158" s="7"/>
      <c r="QGK1158" s="7"/>
      <c r="QGL1158" s="7"/>
      <c r="QGM1158" s="7"/>
      <c r="QGN1158" s="7"/>
      <c r="QGO1158" s="7"/>
      <c r="QGP1158" s="7"/>
      <c r="QGQ1158" s="7"/>
      <c r="QGR1158" s="7"/>
      <c r="QGS1158" s="7"/>
      <c r="QGT1158" s="7"/>
      <c r="QGU1158" s="7"/>
      <c r="QGV1158" s="7"/>
      <c r="QGW1158" s="7"/>
      <c r="QGX1158" s="7"/>
      <c r="QGY1158" s="7"/>
      <c r="QGZ1158" s="7"/>
      <c r="QHA1158" s="7"/>
      <c r="QHB1158" s="7"/>
      <c r="QHC1158" s="7"/>
      <c r="QHD1158" s="7"/>
      <c r="QHE1158" s="7"/>
      <c r="QHF1158" s="7"/>
      <c r="QHG1158" s="7"/>
      <c r="QHH1158" s="7"/>
      <c r="QHI1158" s="7"/>
      <c r="QHJ1158" s="7"/>
      <c r="QHK1158" s="7"/>
      <c r="QHL1158" s="7"/>
      <c r="QHM1158" s="7"/>
      <c r="QHN1158" s="7"/>
      <c r="QHO1158" s="7"/>
      <c r="QHP1158" s="7"/>
      <c r="QHQ1158" s="7"/>
      <c r="QHR1158" s="7"/>
      <c r="QHS1158" s="7"/>
      <c r="QHT1158" s="7"/>
      <c r="QHU1158" s="7"/>
      <c r="QHV1158" s="7"/>
      <c r="QHW1158" s="7"/>
      <c r="QHX1158" s="7"/>
      <c r="QHY1158" s="7"/>
      <c r="QHZ1158" s="7"/>
      <c r="QIA1158" s="7"/>
      <c r="QIB1158" s="7"/>
      <c r="QIC1158" s="7"/>
      <c r="QID1158" s="7"/>
      <c r="QIE1158" s="7"/>
      <c r="QIF1158" s="7"/>
      <c r="QIG1158" s="7"/>
      <c r="QIH1158" s="7"/>
      <c r="QII1158" s="7"/>
      <c r="QIJ1158" s="7"/>
      <c r="QIK1158" s="7"/>
      <c r="QIL1158" s="7"/>
      <c r="QIM1158" s="7"/>
      <c r="QIN1158" s="7"/>
      <c r="QIO1158" s="7"/>
      <c r="QIP1158" s="7"/>
      <c r="QIQ1158" s="7"/>
      <c r="QIR1158" s="7"/>
      <c r="QIS1158" s="7"/>
      <c r="QIT1158" s="7"/>
      <c r="QIU1158" s="7"/>
      <c r="QIV1158" s="7"/>
      <c r="QIW1158" s="7"/>
      <c r="QIX1158" s="7"/>
      <c r="QIY1158" s="7"/>
      <c r="QIZ1158" s="7"/>
      <c r="QJA1158" s="7"/>
      <c r="QJB1158" s="7"/>
      <c r="QJC1158" s="7"/>
      <c r="QJD1158" s="7"/>
      <c r="QJE1158" s="7"/>
      <c r="QJF1158" s="7"/>
      <c r="QJG1158" s="7"/>
      <c r="QJH1158" s="7"/>
      <c r="QJI1158" s="7"/>
      <c r="QJJ1158" s="7"/>
      <c r="QJK1158" s="7"/>
      <c r="QJL1158" s="7"/>
      <c r="QJM1158" s="7"/>
      <c r="QJN1158" s="7"/>
      <c r="QJO1158" s="7"/>
      <c r="QJP1158" s="7"/>
      <c r="QJQ1158" s="7"/>
      <c r="QJR1158" s="7"/>
      <c r="QJS1158" s="7"/>
      <c r="QJT1158" s="7"/>
      <c r="QJU1158" s="7"/>
      <c r="QJV1158" s="7"/>
      <c r="QJW1158" s="7"/>
      <c r="QJX1158" s="7"/>
      <c r="QJY1158" s="7"/>
      <c r="QJZ1158" s="7"/>
      <c r="QKA1158" s="7"/>
      <c r="QKB1158" s="7"/>
      <c r="QKC1158" s="7"/>
      <c r="QKD1158" s="7"/>
      <c r="QKE1158" s="7"/>
      <c r="QKF1158" s="7"/>
      <c r="QKG1158" s="7"/>
      <c r="QKH1158" s="7"/>
      <c r="QKI1158" s="7"/>
      <c r="QKJ1158" s="7"/>
      <c r="QKK1158" s="7"/>
      <c r="QKL1158" s="7"/>
      <c r="QKM1158" s="7"/>
      <c r="QKN1158" s="7"/>
      <c r="QKO1158" s="7"/>
      <c r="QKP1158" s="7"/>
      <c r="QKQ1158" s="7"/>
      <c r="QKR1158" s="7"/>
      <c r="QKS1158" s="7"/>
      <c r="QKT1158" s="7"/>
      <c r="QKU1158" s="7"/>
      <c r="QKV1158" s="7"/>
      <c r="QKW1158" s="7"/>
      <c r="QKX1158" s="7"/>
      <c r="QKY1158" s="7"/>
      <c r="QKZ1158" s="7"/>
      <c r="QLA1158" s="7"/>
      <c r="QLB1158" s="7"/>
      <c r="QLC1158" s="7"/>
      <c r="QLD1158" s="7"/>
      <c r="QLE1158" s="7"/>
      <c r="QLF1158" s="7"/>
      <c r="QLG1158" s="7"/>
      <c r="QLH1158" s="7"/>
      <c r="QLI1158" s="7"/>
      <c r="QLJ1158" s="7"/>
      <c r="QLK1158" s="7"/>
      <c r="QLL1158" s="7"/>
      <c r="QLM1158" s="7"/>
      <c r="QLN1158" s="7"/>
      <c r="QLO1158" s="7"/>
      <c r="QLP1158" s="7"/>
      <c r="QLQ1158" s="7"/>
      <c r="QLR1158" s="7"/>
      <c r="QLS1158" s="7"/>
      <c r="QLT1158" s="7"/>
      <c r="QLU1158" s="7"/>
      <c r="QLV1158" s="7"/>
      <c r="QLW1158" s="7"/>
      <c r="QLX1158" s="7"/>
      <c r="QLY1158" s="7"/>
      <c r="QLZ1158" s="7"/>
      <c r="QMA1158" s="7"/>
      <c r="QMB1158" s="7"/>
      <c r="QMC1158" s="7"/>
      <c r="QMD1158" s="7"/>
      <c r="QME1158" s="7"/>
      <c r="QMF1158" s="7"/>
      <c r="QMG1158" s="7"/>
      <c r="QMH1158" s="7"/>
      <c r="QMI1158" s="7"/>
      <c r="QMJ1158" s="7"/>
      <c r="QMK1158" s="7"/>
      <c r="QML1158" s="7"/>
      <c r="QMM1158" s="7"/>
      <c r="QMN1158" s="7"/>
      <c r="QMO1158" s="7"/>
      <c r="QMP1158" s="7"/>
      <c r="QMQ1158" s="7"/>
      <c r="QMR1158" s="7"/>
      <c r="QMS1158" s="7"/>
      <c r="QMT1158" s="7"/>
      <c r="QMU1158" s="7"/>
      <c r="QMV1158" s="7"/>
      <c r="QMW1158" s="7"/>
      <c r="QMX1158" s="7"/>
      <c r="QMY1158" s="7"/>
      <c r="QMZ1158" s="7"/>
      <c r="QNA1158" s="7"/>
      <c r="QNB1158" s="7"/>
      <c r="QNC1158" s="7"/>
      <c r="QND1158" s="7"/>
      <c r="QNE1158" s="7"/>
      <c r="QNF1158" s="7"/>
      <c r="QNG1158" s="7"/>
      <c r="QNH1158" s="7"/>
      <c r="QNI1158" s="7"/>
      <c r="QNJ1158" s="7"/>
      <c r="QNK1158" s="7"/>
      <c r="QNL1158" s="7"/>
      <c r="QNM1158" s="7"/>
      <c r="QNN1158" s="7"/>
      <c r="QNO1158" s="7"/>
      <c r="QNP1158" s="7"/>
      <c r="QNQ1158" s="7"/>
      <c r="QNR1158" s="7"/>
      <c r="QNS1158" s="7"/>
      <c r="QNT1158" s="7"/>
      <c r="QNU1158" s="7"/>
      <c r="QNV1158" s="7"/>
      <c r="QNW1158" s="7"/>
      <c r="QNX1158" s="7"/>
      <c r="QNY1158" s="7"/>
      <c r="QNZ1158" s="7"/>
      <c r="QOA1158" s="7"/>
      <c r="QOB1158" s="7"/>
      <c r="QOC1158" s="7"/>
      <c r="QOD1158" s="7"/>
      <c r="QOE1158" s="7"/>
      <c r="QOF1158" s="7"/>
      <c r="QOG1158" s="7"/>
      <c r="QOH1158" s="7"/>
      <c r="QOI1158" s="7"/>
      <c r="QOJ1158" s="7"/>
      <c r="QOK1158" s="7"/>
      <c r="QOL1158" s="7"/>
      <c r="QOM1158" s="7"/>
      <c r="QON1158" s="7"/>
      <c r="QOO1158" s="7"/>
      <c r="QOP1158" s="7"/>
      <c r="QOQ1158" s="7"/>
      <c r="QOR1158" s="7"/>
      <c r="QOS1158" s="7"/>
      <c r="QOT1158" s="7"/>
      <c r="QOU1158" s="7"/>
      <c r="QOV1158" s="7"/>
      <c r="QOW1158" s="7"/>
      <c r="QOX1158" s="7"/>
      <c r="QOY1158" s="7"/>
      <c r="QOZ1158" s="7"/>
      <c r="QPA1158" s="7"/>
      <c r="QPB1158" s="7"/>
      <c r="QPC1158" s="7"/>
      <c r="QPD1158" s="7"/>
      <c r="QPE1158" s="7"/>
      <c r="QPF1158" s="7"/>
      <c r="QPG1158" s="7"/>
      <c r="QPH1158" s="7"/>
      <c r="QPI1158" s="7"/>
      <c r="QPJ1158" s="7"/>
      <c r="QPK1158" s="7"/>
      <c r="QPL1158" s="7"/>
      <c r="QPM1158" s="7"/>
      <c r="QPN1158" s="7"/>
      <c r="QPO1158" s="7"/>
      <c r="QPP1158" s="7"/>
      <c r="QPQ1158" s="7"/>
      <c r="QPR1158" s="7"/>
      <c r="QPS1158" s="7"/>
      <c r="QPT1158" s="7"/>
      <c r="QPU1158" s="7"/>
      <c r="QPV1158" s="7"/>
      <c r="QPW1158" s="7"/>
      <c r="QPX1158" s="7"/>
      <c r="QPY1158" s="7"/>
      <c r="QPZ1158" s="7"/>
      <c r="QQA1158" s="7"/>
      <c r="QQB1158" s="7"/>
      <c r="QQC1158" s="7"/>
      <c r="QQD1158" s="7"/>
      <c r="QQE1158" s="7"/>
      <c r="QQF1158" s="7"/>
      <c r="QQG1158" s="7"/>
      <c r="QQH1158" s="7"/>
      <c r="QQI1158" s="7"/>
      <c r="QQJ1158" s="7"/>
      <c r="QQK1158" s="7"/>
      <c r="QQL1158" s="7"/>
      <c r="QQM1158" s="7"/>
      <c r="QQN1158" s="7"/>
      <c r="QQO1158" s="7"/>
      <c r="QQP1158" s="7"/>
      <c r="QQQ1158" s="7"/>
      <c r="QQR1158" s="7"/>
      <c r="QQS1158" s="7"/>
      <c r="QQT1158" s="7"/>
      <c r="QQU1158" s="7"/>
      <c r="QQV1158" s="7"/>
      <c r="QQW1158" s="7"/>
      <c r="QQX1158" s="7"/>
      <c r="QQY1158" s="7"/>
      <c r="QQZ1158" s="7"/>
      <c r="QRA1158" s="7"/>
      <c r="QRB1158" s="7"/>
      <c r="QRC1158" s="7"/>
      <c r="QRD1158" s="7"/>
      <c r="QRE1158" s="7"/>
      <c r="QRF1158" s="7"/>
      <c r="QRG1158" s="7"/>
      <c r="QRH1158" s="7"/>
      <c r="QRI1158" s="7"/>
      <c r="QRJ1158" s="7"/>
      <c r="QRK1158" s="7"/>
      <c r="QRL1158" s="7"/>
      <c r="QRM1158" s="7"/>
      <c r="QRN1158" s="7"/>
      <c r="QRO1158" s="7"/>
      <c r="QRP1158" s="7"/>
      <c r="QRQ1158" s="7"/>
      <c r="QRR1158" s="7"/>
      <c r="QRS1158" s="7"/>
      <c r="QRT1158" s="7"/>
      <c r="QRU1158" s="7"/>
      <c r="QRV1158" s="7"/>
      <c r="QRW1158" s="7"/>
      <c r="QRX1158" s="7"/>
      <c r="QRY1158" s="7"/>
      <c r="QRZ1158" s="7"/>
      <c r="QSA1158" s="7"/>
      <c r="QSB1158" s="7"/>
      <c r="QSC1158" s="7"/>
      <c r="QSD1158" s="7"/>
      <c r="QSE1158" s="7"/>
      <c r="QSF1158" s="7"/>
      <c r="QSG1158" s="7"/>
      <c r="QSH1158" s="7"/>
      <c r="QSI1158" s="7"/>
      <c r="QSJ1158" s="7"/>
      <c r="QSK1158" s="7"/>
      <c r="QSL1158" s="7"/>
      <c r="QSM1158" s="7"/>
      <c r="QSN1158" s="7"/>
      <c r="QSO1158" s="7"/>
      <c r="QSP1158" s="7"/>
      <c r="QSQ1158" s="7"/>
      <c r="QSR1158" s="7"/>
      <c r="QSS1158" s="7"/>
      <c r="QST1158" s="7"/>
      <c r="QSU1158" s="7"/>
      <c r="QSV1158" s="7"/>
      <c r="QSW1158" s="7"/>
      <c r="QSX1158" s="7"/>
      <c r="QSY1158" s="7"/>
      <c r="QSZ1158" s="7"/>
      <c r="QTA1158" s="7"/>
      <c r="QTB1158" s="7"/>
      <c r="QTC1158" s="7"/>
      <c r="QTD1158" s="7"/>
      <c r="QTE1158" s="7"/>
      <c r="QTF1158" s="7"/>
      <c r="QTG1158" s="7"/>
      <c r="QTH1158" s="7"/>
      <c r="QTI1158" s="7"/>
      <c r="QTJ1158" s="7"/>
      <c r="QTK1158" s="7"/>
      <c r="QTL1158" s="7"/>
      <c r="QTM1158" s="7"/>
      <c r="QTN1158" s="7"/>
      <c r="QTO1158" s="7"/>
      <c r="QTP1158" s="7"/>
      <c r="QTQ1158" s="7"/>
      <c r="QTR1158" s="7"/>
      <c r="QTS1158" s="7"/>
      <c r="QTT1158" s="7"/>
      <c r="QTU1158" s="7"/>
      <c r="QTV1158" s="7"/>
      <c r="QTW1158" s="7"/>
      <c r="QTX1158" s="7"/>
      <c r="QTY1158" s="7"/>
      <c r="QTZ1158" s="7"/>
      <c r="QUA1158" s="7"/>
      <c r="QUB1158" s="7"/>
      <c r="QUC1158" s="7"/>
      <c r="QUD1158" s="7"/>
      <c r="QUE1158" s="7"/>
      <c r="QUF1158" s="7"/>
      <c r="QUG1158" s="7"/>
      <c r="QUH1158" s="7"/>
      <c r="QUI1158" s="7"/>
      <c r="QUJ1158" s="7"/>
      <c r="QUK1158" s="7"/>
      <c r="QUL1158" s="7"/>
      <c r="QUM1158" s="7"/>
      <c r="QUN1158" s="7"/>
      <c r="QUO1158" s="7"/>
      <c r="QUP1158" s="7"/>
      <c r="QUQ1158" s="7"/>
      <c r="QUR1158" s="7"/>
      <c r="QUS1158" s="7"/>
      <c r="QUT1158" s="7"/>
      <c r="QUU1158" s="7"/>
      <c r="QUV1158" s="7"/>
      <c r="QUW1158" s="7"/>
      <c r="QUX1158" s="7"/>
      <c r="QUY1158" s="7"/>
      <c r="QUZ1158" s="7"/>
      <c r="QVA1158" s="7"/>
      <c r="QVB1158" s="7"/>
      <c r="QVC1158" s="7"/>
      <c r="QVD1158" s="7"/>
      <c r="QVE1158" s="7"/>
      <c r="QVF1158" s="7"/>
      <c r="QVG1158" s="7"/>
      <c r="QVH1158" s="7"/>
      <c r="QVI1158" s="7"/>
      <c r="QVJ1158" s="7"/>
      <c r="QVK1158" s="7"/>
      <c r="QVL1158" s="7"/>
      <c r="QVM1158" s="7"/>
      <c r="QVN1158" s="7"/>
      <c r="QVO1158" s="7"/>
      <c r="QVP1158" s="7"/>
      <c r="QVQ1158" s="7"/>
      <c r="QVR1158" s="7"/>
      <c r="QVS1158" s="7"/>
      <c r="QVT1158" s="7"/>
      <c r="QVU1158" s="7"/>
      <c r="QVV1158" s="7"/>
      <c r="QVW1158" s="7"/>
      <c r="QVX1158" s="7"/>
      <c r="QVY1158" s="7"/>
      <c r="QVZ1158" s="7"/>
      <c r="QWA1158" s="7"/>
      <c r="QWB1158" s="7"/>
      <c r="QWC1158" s="7"/>
      <c r="QWD1158" s="7"/>
      <c r="QWE1158" s="7"/>
      <c r="QWF1158" s="7"/>
      <c r="QWG1158" s="7"/>
      <c r="QWH1158" s="7"/>
      <c r="QWI1158" s="7"/>
      <c r="QWJ1158" s="7"/>
      <c r="QWK1158" s="7"/>
      <c r="QWL1158" s="7"/>
      <c r="QWM1158" s="7"/>
      <c r="QWN1158" s="7"/>
      <c r="QWO1158" s="7"/>
      <c r="QWP1158" s="7"/>
      <c r="QWQ1158" s="7"/>
      <c r="QWR1158" s="7"/>
      <c r="QWS1158" s="7"/>
      <c r="QWT1158" s="7"/>
      <c r="QWU1158" s="7"/>
      <c r="QWV1158" s="7"/>
      <c r="QWW1158" s="7"/>
      <c r="QWX1158" s="7"/>
      <c r="QWY1158" s="7"/>
      <c r="QWZ1158" s="7"/>
      <c r="QXA1158" s="7"/>
      <c r="QXB1158" s="7"/>
      <c r="QXC1158" s="7"/>
      <c r="QXD1158" s="7"/>
      <c r="QXE1158" s="7"/>
      <c r="QXF1158" s="7"/>
      <c r="QXG1158" s="7"/>
      <c r="QXH1158" s="7"/>
      <c r="QXI1158" s="7"/>
      <c r="QXJ1158" s="7"/>
      <c r="QXK1158" s="7"/>
      <c r="QXL1158" s="7"/>
      <c r="QXM1158" s="7"/>
      <c r="QXN1158" s="7"/>
      <c r="QXO1158" s="7"/>
      <c r="QXP1158" s="7"/>
      <c r="QXQ1158" s="7"/>
      <c r="QXR1158" s="7"/>
      <c r="QXS1158" s="7"/>
      <c r="QXT1158" s="7"/>
      <c r="QXU1158" s="7"/>
      <c r="QXV1158" s="7"/>
      <c r="QXW1158" s="7"/>
      <c r="QXX1158" s="7"/>
      <c r="QXY1158" s="7"/>
      <c r="QXZ1158" s="7"/>
      <c r="QYA1158" s="7"/>
      <c r="QYB1158" s="7"/>
      <c r="QYC1158" s="7"/>
      <c r="QYD1158" s="7"/>
      <c r="QYE1158" s="7"/>
      <c r="QYF1158" s="7"/>
      <c r="QYG1158" s="7"/>
      <c r="QYH1158" s="7"/>
      <c r="QYI1158" s="7"/>
      <c r="QYJ1158" s="7"/>
      <c r="QYK1158" s="7"/>
      <c r="QYL1158" s="7"/>
      <c r="QYM1158" s="7"/>
      <c r="QYN1158" s="7"/>
      <c r="QYO1158" s="7"/>
      <c r="QYP1158" s="7"/>
      <c r="QYQ1158" s="7"/>
      <c r="QYR1158" s="7"/>
      <c r="QYS1158" s="7"/>
      <c r="QYT1158" s="7"/>
      <c r="QYU1158" s="7"/>
      <c r="QYV1158" s="7"/>
      <c r="QYW1158" s="7"/>
      <c r="QYX1158" s="7"/>
      <c r="QYY1158" s="7"/>
      <c r="QYZ1158" s="7"/>
      <c r="QZA1158" s="7"/>
      <c r="QZB1158" s="7"/>
      <c r="QZC1158" s="7"/>
      <c r="QZD1158" s="7"/>
      <c r="QZE1158" s="7"/>
      <c r="QZF1158" s="7"/>
      <c r="QZG1158" s="7"/>
      <c r="QZH1158" s="7"/>
      <c r="QZI1158" s="7"/>
      <c r="QZJ1158" s="7"/>
      <c r="QZK1158" s="7"/>
      <c r="QZL1158" s="7"/>
      <c r="QZM1158" s="7"/>
      <c r="QZN1158" s="7"/>
      <c r="QZO1158" s="7"/>
      <c r="QZP1158" s="7"/>
      <c r="QZQ1158" s="7"/>
      <c r="QZR1158" s="7"/>
      <c r="QZS1158" s="7"/>
      <c r="QZT1158" s="7"/>
      <c r="QZU1158" s="7"/>
      <c r="QZV1158" s="7"/>
      <c r="QZW1158" s="7"/>
      <c r="QZX1158" s="7"/>
      <c r="QZY1158" s="7"/>
      <c r="QZZ1158" s="7"/>
      <c r="RAA1158" s="7"/>
      <c r="RAB1158" s="7"/>
      <c r="RAC1158" s="7"/>
      <c r="RAD1158" s="7"/>
      <c r="RAE1158" s="7"/>
      <c r="RAF1158" s="7"/>
      <c r="RAG1158" s="7"/>
      <c r="RAH1158" s="7"/>
      <c r="RAI1158" s="7"/>
      <c r="RAJ1158" s="7"/>
      <c r="RAK1158" s="7"/>
      <c r="RAL1158" s="7"/>
      <c r="RAM1158" s="7"/>
      <c r="RAN1158" s="7"/>
      <c r="RAO1158" s="7"/>
      <c r="RAP1158" s="7"/>
      <c r="RAQ1158" s="7"/>
      <c r="RAR1158" s="7"/>
      <c r="RAS1158" s="7"/>
      <c r="RAT1158" s="7"/>
      <c r="RAU1158" s="7"/>
      <c r="RAV1158" s="7"/>
      <c r="RAW1158" s="7"/>
      <c r="RAX1158" s="7"/>
      <c r="RAY1158" s="7"/>
      <c r="RAZ1158" s="7"/>
      <c r="RBA1158" s="7"/>
      <c r="RBB1158" s="7"/>
      <c r="RBC1158" s="7"/>
      <c r="RBD1158" s="7"/>
      <c r="RBE1158" s="7"/>
      <c r="RBF1158" s="7"/>
      <c r="RBG1158" s="7"/>
      <c r="RBH1158" s="7"/>
      <c r="RBI1158" s="7"/>
      <c r="RBJ1158" s="7"/>
      <c r="RBK1158" s="7"/>
      <c r="RBL1158" s="7"/>
      <c r="RBM1158" s="7"/>
      <c r="RBN1158" s="7"/>
      <c r="RBO1158" s="7"/>
      <c r="RBP1158" s="7"/>
      <c r="RBQ1158" s="7"/>
      <c r="RBR1158" s="7"/>
      <c r="RBS1158" s="7"/>
      <c r="RBT1158" s="7"/>
      <c r="RBU1158" s="7"/>
      <c r="RBV1158" s="7"/>
      <c r="RBW1158" s="7"/>
      <c r="RBX1158" s="7"/>
      <c r="RBY1158" s="7"/>
      <c r="RBZ1158" s="7"/>
      <c r="RCA1158" s="7"/>
      <c r="RCB1158" s="7"/>
      <c r="RCC1158" s="7"/>
      <c r="RCD1158" s="7"/>
      <c r="RCE1158" s="7"/>
      <c r="RCF1158" s="7"/>
      <c r="RCG1158" s="7"/>
      <c r="RCH1158" s="7"/>
      <c r="RCI1158" s="7"/>
      <c r="RCJ1158" s="7"/>
      <c r="RCK1158" s="7"/>
      <c r="RCL1158" s="7"/>
      <c r="RCM1158" s="7"/>
      <c r="RCN1158" s="7"/>
      <c r="RCO1158" s="7"/>
      <c r="RCP1158" s="7"/>
      <c r="RCQ1158" s="7"/>
      <c r="RCR1158" s="7"/>
      <c r="RCS1158" s="7"/>
      <c r="RCT1158" s="7"/>
      <c r="RCU1158" s="7"/>
      <c r="RCV1158" s="7"/>
      <c r="RCW1158" s="7"/>
      <c r="RCX1158" s="7"/>
      <c r="RCY1158" s="7"/>
      <c r="RCZ1158" s="7"/>
      <c r="RDA1158" s="7"/>
      <c r="RDB1158" s="7"/>
      <c r="RDC1158" s="7"/>
      <c r="RDD1158" s="7"/>
      <c r="RDE1158" s="7"/>
      <c r="RDF1158" s="7"/>
      <c r="RDG1158" s="7"/>
      <c r="RDH1158" s="7"/>
      <c r="RDI1158" s="7"/>
      <c r="RDJ1158" s="7"/>
      <c r="RDK1158" s="7"/>
      <c r="RDL1158" s="7"/>
      <c r="RDM1158" s="7"/>
      <c r="RDN1158" s="7"/>
      <c r="RDO1158" s="7"/>
      <c r="RDP1158" s="7"/>
      <c r="RDQ1158" s="7"/>
      <c r="RDR1158" s="7"/>
      <c r="RDS1158" s="7"/>
      <c r="RDT1158" s="7"/>
      <c r="RDU1158" s="7"/>
      <c r="RDV1158" s="7"/>
      <c r="RDW1158" s="7"/>
      <c r="RDX1158" s="7"/>
      <c r="RDY1158" s="7"/>
      <c r="RDZ1158" s="7"/>
      <c r="REA1158" s="7"/>
      <c r="REB1158" s="7"/>
      <c r="REC1158" s="7"/>
      <c r="RED1158" s="7"/>
      <c r="REE1158" s="7"/>
      <c r="REF1158" s="7"/>
      <c r="REG1158" s="7"/>
      <c r="REH1158" s="7"/>
      <c r="REI1158" s="7"/>
      <c r="REJ1158" s="7"/>
      <c r="REK1158" s="7"/>
      <c r="REL1158" s="7"/>
      <c r="REM1158" s="7"/>
      <c r="REN1158" s="7"/>
      <c r="REO1158" s="7"/>
      <c r="REP1158" s="7"/>
      <c r="REQ1158" s="7"/>
      <c r="RER1158" s="7"/>
      <c r="RES1158" s="7"/>
      <c r="RET1158" s="7"/>
      <c r="REU1158" s="7"/>
      <c r="REV1158" s="7"/>
      <c r="REW1158" s="7"/>
      <c r="REX1158" s="7"/>
      <c r="REY1158" s="7"/>
      <c r="REZ1158" s="7"/>
      <c r="RFA1158" s="7"/>
      <c r="RFB1158" s="7"/>
      <c r="RFC1158" s="7"/>
      <c r="RFD1158" s="7"/>
      <c r="RFE1158" s="7"/>
      <c r="RFF1158" s="7"/>
      <c r="RFG1158" s="7"/>
      <c r="RFH1158" s="7"/>
      <c r="RFI1158" s="7"/>
      <c r="RFJ1158" s="7"/>
      <c r="RFK1158" s="7"/>
      <c r="RFL1158" s="7"/>
      <c r="RFM1158" s="7"/>
      <c r="RFN1158" s="7"/>
      <c r="RFO1158" s="7"/>
      <c r="RFP1158" s="7"/>
      <c r="RFQ1158" s="7"/>
      <c r="RFR1158" s="7"/>
      <c r="RFS1158" s="7"/>
      <c r="RFT1158" s="7"/>
      <c r="RFU1158" s="7"/>
      <c r="RFV1158" s="7"/>
      <c r="RFW1158" s="7"/>
      <c r="RFX1158" s="7"/>
      <c r="RFY1158" s="7"/>
      <c r="RFZ1158" s="7"/>
      <c r="RGA1158" s="7"/>
      <c r="RGB1158" s="7"/>
      <c r="RGC1158" s="7"/>
      <c r="RGD1158" s="7"/>
      <c r="RGE1158" s="7"/>
      <c r="RGF1158" s="7"/>
      <c r="RGG1158" s="7"/>
      <c r="RGH1158" s="7"/>
      <c r="RGI1158" s="7"/>
      <c r="RGJ1158" s="7"/>
      <c r="RGK1158" s="7"/>
      <c r="RGL1158" s="7"/>
      <c r="RGM1158" s="7"/>
      <c r="RGN1158" s="7"/>
      <c r="RGO1158" s="7"/>
      <c r="RGP1158" s="7"/>
      <c r="RGQ1158" s="7"/>
      <c r="RGR1158" s="7"/>
      <c r="RGS1158" s="7"/>
      <c r="RGT1158" s="7"/>
      <c r="RGU1158" s="7"/>
      <c r="RGV1158" s="7"/>
      <c r="RGW1158" s="7"/>
      <c r="RGX1158" s="7"/>
      <c r="RGY1158" s="7"/>
      <c r="RGZ1158" s="7"/>
      <c r="RHA1158" s="7"/>
      <c r="RHB1158" s="7"/>
      <c r="RHC1158" s="7"/>
      <c r="RHD1158" s="7"/>
      <c r="RHE1158" s="7"/>
      <c r="RHF1158" s="7"/>
      <c r="RHG1158" s="7"/>
      <c r="RHH1158" s="7"/>
      <c r="RHI1158" s="7"/>
      <c r="RHJ1158" s="7"/>
      <c r="RHK1158" s="7"/>
      <c r="RHL1158" s="7"/>
      <c r="RHM1158" s="7"/>
      <c r="RHN1158" s="7"/>
      <c r="RHO1158" s="7"/>
      <c r="RHP1158" s="7"/>
      <c r="RHQ1158" s="7"/>
      <c r="RHR1158" s="7"/>
      <c r="RHS1158" s="7"/>
      <c r="RHT1158" s="7"/>
      <c r="RHU1158" s="7"/>
      <c r="RHV1158" s="7"/>
      <c r="RHW1158" s="7"/>
      <c r="RHX1158" s="7"/>
      <c r="RHY1158" s="7"/>
      <c r="RHZ1158" s="7"/>
      <c r="RIA1158" s="7"/>
      <c r="RIB1158" s="7"/>
      <c r="RIC1158" s="7"/>
      <c r="RID1158" s="7"/>
      <c r="RIE1158" s="7"/>
      <c r="RIF1158" s="7"/>
      <c r="RIG1158" s="7"/>
      <c r="RIH1158" s="7"/>
      <c r="RII1158" s="7"/>
      <c r="RIJ1158" s="7"/>
      <c r="RIK1158" s="7"/>
      <c r="RIL1158" s="7"/>
      <c r="RIM1158" s="7"/>
      <c r="RIN1158" s="7"/>
      <c r="RIO1158" s="7"/>
      <c r="RIP1158" s="7"/>
      <c r="RIQ1158" s="7"/>
      <c r="RIR1158" s="7"/>
      <c r="RIS1158" s="7"/>
      <c r="RIT1158" s="7"/>
      <c r="RIU1158" s="7"/>
      <c r="RIV1158" s="7"/>
      <c r="RIW1158" s="7"/>
      <c r="RIX1158" s="7"/>
      <c r="RIY1158" s="7"/>
      <c r="RIZ1158" s="7"/>
      <c r="RJA1158" s="7"/>
      <c r="RJB1158" s="7"/>
      <c r="RJC1158" s="7"/>
      <c r="RJD1158" s="7"/>
      <c r="RJE1158" s="7"/>
      <c r="RJF1158" s="7"/>
      <c r="RJG1158" s="7"/>
      <c r="RJH1158" s="7"/>
      <c r="RJI1158" s="7"/>
      <c r="RJJ1158" s="7"/>
      <c r="RJK1158" s="7"/>
      <c r="RJL1158" s="7"/>
      <c r="RJM1158" s="7"/>
      <c r="RJN1158" s="7"/>
      <c r="RJO1158" s="7"/>
      <c r="RJP1158" s="7"/>
      <c r="RJQ1158" s="7"/>
      <c r="RJR1158" s="7"/>
      <c r="RJS1158" s="7"/>
      <c r="RJT1158" s="7"/>
      <c r="RJU1158" s="7"/>
      <c r="RJV1158" s="7"/>
      <c r="RJW1158" s="7"/>
      <c r="RJX1158" s="7"/>
      <c r="RJY1158" s="7"/>
      <c r="RJZ1158" s="7"/>
      <c r="RKA1158" s="7"/>
      <c r="RKB1158" s="7"/>
      <c r="RKC1158" s="7"/>
      <c r="RKD1158" s="7"/>
      <c r="RKE1158" s="7"/>
      <c r="RKF1158" s="7"/>
      <c r="RKG1158" s="7"/>
      <c r="RKH1158" s="7"/>
      <c r="RKI1158" s="7"/>
      <c r="RKJ1158" s="7"/>
      <c r="RKK1158" s="7"/>
      <c r="RKL1158" s="7"/>
      <c r="RKM1158" s="7"/>
      <c r="RKN1158" s="7"/>
      <c r="RKO1158" s="7"/>
      <c r="RKP1158" s="7"/>
      <c r="RKQ1158" s="7"/>
      <c r="RKR1158" s="7"/>
      <c r="RKS1158" s="7"/>
      <c r="RKT1158" s="7"/>
      <c r="RKU1158" s="7"/>
      <c r="RKV1158" s="7"/>
      <c r="RKW1158" s="7"/>
      <c r="RKX1158" s="7"/>
      <c r="RKY1158" s="7"/>
      <c r="RKZ1158" s="7"/>
      <c r="RLA1158" s="7"/>
      <c r="RLB1158" s="7"/>
      <c r="RLC1158" s="7"/>
      <c r="RLD1158" s="7"/>
      <c r="RLE1158" s="7"/>
      <c r="RLF1158" s="7"/>
      <c r="RLG1158" s="7"/>
      <c r="RLH1158" s="7"/>
      <c r="RLI1158" s="7"/>
      <c r="RLJ1158" s="7"/>
      <c r="RLK1158" s="7"/>
      <c r="RLL1158" s="7"/>
      <c r="RLM1158" s="7"/>
      <c r="RLN1158" s="7"/>
      <c r="RLO1158" s="7"/>
      <c r="RLP1158" s="7"/>
      <c r="RLQ1158" s="7"/>
      <c r="RLR1158" s="7"/>
      <c r="RLS1158" s="7"/>
      <c r="RLT1158" s="7"/>
      <c r="RLU1158" s="7"/>
      <c r="RLV1158" s="7"/>
      <c r="RLW1158" s="7"/>
      <c r="RLX1158" s="7"/>
      <c r="RLY1158" s="7"/>
      <c r="RLZ1158" s="7"/>
      <c r="RMA1158" s="7"/>
      <c r="RMB1158" s="7"/>
      <c r="RMC1158" s="7"/>
      <c r="RMD1158" s="7"/>
      <c r="RME1158" s="7"/>
      <c r="RMF1158" s="7"/>
      <c r="RMG1158" s="7"/>
      <c r="RMH1158" s="7"/>
      <c r="RMI1158" s="7"/>
      <c r="RMJ1158" s="7"/>
      <c r="RMK1158" s="7"/>
      <c r="RML1158" s="7"/>
      <c r="RMM1158" s="7"/>
      <c r="RMN1158" s="7"/>
      <c r="RMO1158" s="7"/>
      <c r="RMP1158" s="7"/>
      <c r="RMQ1158" s="7"/>
      <c r="RMR1158" s="7"/>
      <c r="RMS1158" s="7"/>
      <c r="RMT1158" s="7"/>
      <c r="RMU1158" s="7"/>
      <c r="RMV1158" s="7"/>
      <c r="RMW1158" s="7"/>
      <c r="RMX1158" s="7"/>
      <c r="RMY1158" s="7"/>
      <c r="RMZ1158" s="7"/>
      <c r="RNA1158" s="7"/>
      <c r="RNB1158" s="7"/>
      <c r="RNC1158" s="7"/>
      <c r="RND1158" s="7"/>
      <c r="RNE1158" s="7"/>
      <c r="RNF1158" s="7"/>
      <c r="RNG1158" s="7"/>
      <c r="RNH1158" s="7"/>
      <c r="RNI1158" s="7"/>
      <c r="RNJ1158" s="7"/>
      <c r="RNK1158" s="7"/>
      <c r="RNL1158" s="7"/>
      <c r="RNM1158" s="7"/>
      <c r="RNN1158" s="7"/>
      <c r="RNO1158" s="7"/>
      <c r="RNP1158" s="7"/>
      <c r="RNQ1158" s="7"/>
      <c r="RNR1158" s="7"/>
      <c r="RNS1158" s="7"/>
      <c r="RNT1158" s="7"/>
      <c r="RNU1158" s="7"/>
      <c r="RNV1158" s="7"/>
      <c r="RNW1158" s="7"/>
      <c r="RNX1158" s="7"/>
      <c r="RNY1158" s="7"/>
      <c r="RNZ1158" s="7"/>
      <c r="ROA1158" s="7"/>
      <c r="ROB1158" s="7"/>
      <c r="ROC1158" s="7"/>
      <c r="ROD1158" s="7"/>
      <c r="ROE1158" s="7"/>
      <c r="ROF1158" s="7"/>
      <c r="ROG1158" s="7"/>
      <c r="ROH1158" s="7"/>
      <c r="ROI1158" s="7"/>
      <c r="ROJ1158" s="7"/>
      <c r="ROK1158" s="7"/>
      <c r="ROL1158" s="7"/>
      <c r="ROM1158" s="7"/>
      <c r="RON1158" s="7"/>
      <c r="ROO1158" s="7"/>
      <c r="ROP1158" s="7"/>
      <c r="ROQ1158" s="7"/>
      <c r="ROR1158" s="7"/>
      <c r="ROS1158" s="7"/>
      <c r="ROT1158" s="7"/>
      <c r="ROU1158" s="7"/>
      <c r="ROV1158" s="7"/>
      <c r="ROW1158" s="7"/>
      <c r="ROX1158" s="7"/>
      <c r="ROY1158" s="7"/>
      <c r="ROZ1158" s="7"/>
      <c r="RPA1158" s="7"/>
      <c r="RPB1158" s="7"/>
      <c r="RPC1158" s="7"/>
      <c r="RPD1158" s="7"/>
      <c r="RPE1158" s="7"/>
      <c r="RPF1158" s="7"/>
      <c r="RPG1158" s="7"/>
      <c r="RPH1158" s="7"/>
      <c r="RPI1158" s="7"/>
      <c r="RPJ1158" s="7"/>
      <c r="RPK1158" s="7"/>
      <c r="RPL1158" s="7"/>
      <c r="RPM1158" s="7"/>
      <c r="RPN1158" s="7"/>
      <c r="RPO1158" s="7"/>
      <c r="RPP1158" s="7"/>
      <c r="RPQ1158" s="7"/>
      <c r="RPR1158" s="7"/>
      <c r="RPS1158" s="7"/>
      <c r="RPT1158" s="7"/>
      <c r="RPU1158" s="7"/>
      <c r="RPV1158" s="7"/>
      <c r="RPW1158" s="7"/>
      <c r="RPX1158" s="7"/>
      <c r="RPY1158" s="7"/>
      <c r="RPZ1158" s="7"/>
      <c r="RQA1158" s="7"/>
      <c r="RQB1158" s="7"/>
      <c r="RQC1158" s="7"/>
      <c r="RQD1158" s="7"/>
      <c r="RQE1158" s="7"/>
      <c r="RQF1158" s="7"/>
      <c r="RQG1158" s="7"/>
      <c r="RQH1158" s="7"/>
      <c r="RQI1158" s="7"/>
      <c r="RQJ1158" s="7"/>
      <c r="RQK1158" s="7"/>
      <c r="RQL1158" s="7"/>
      <c r="RQM1158" s="7"/>
      <c r="RQN1158" s="7"/>
      <c r="RQO1158" s="7"/>
      <c r="RQP1158" s="7"/>
      <c r="RQQ1158" s="7"/>
      <c r="RQR1158" s="7"/>
      <c r="RQS1158" s="7"/>
      <c r="RQT1158" s="7"/>
      <c r="RQU1158" s="7"/>
      <c r="RQV1158" s="7"/>
      <c r="RQW1158" s="7"/>
      <c r="RQX1158" s="7"/>
      <c r="RQY1158" s="7"/>
      <c r="RQZ1158" s="7"/>
      <c r="RRA1158" s="7"/>
      <c r="RRB1158" s="7"/>
      <c r="RRC1158" s="7"/>
      <c r="RRD1158" s="7"/>
      <c r="RRE1158" s="7"/>
      <c r="RRF1158" s="7"/>
      <c r="RRG1158" s="7"/>
      <c r="RRH1158" s="7"/>
      <c r="RRI1158" s="7"/>
      <c r="RRJ1158" s="7"/>
      <c r="RRK1158" s="7"/>
      <c r="RRL1158" s="7"/>
      <c r="RRM1158" s="7"/>
      <c r="RRN1158" s="7"/>
      <c r="RRO1158" s="7"/>
      <c r="RRP1158" s="7"/>
      <c r="RRQ1158" s="7"/>
      <c r="RRR1158" s="7"/>
      <c r="RRS1158" s="7"/>
      <c r="RRT1158" s="7"/>
      <c r="RRU1158" s="7"/>
      <c r="RRV1158" s="7"/>
      <c r="RRW1158" s="7"/>
      <c r="RRX1158" s="7"/>
      <c r="RRY1158" s="7"/>
      <c r="RRZ1158" s="7"/>
      <c r="RSA1158" s="7"/>
      <c r="RSB1158" s="7"/>
      <c r="RSC1158" s="7"/>
      <c r="RSD1158" s="7"/>
      <c r="RSE1158" s="7"/>
      <c r="RSF1158" s="7"/>
      <c r="RSG1158" s="7"/>
      <c r="RSH1158" s="7"/>
      <c r="RSI1158" s="7"/>
      <c r="RSJ1158" s="7"/>
      <c r="RSK1158" s="7"/>
      <c r="RSL1158" s="7"/>
      <c r="RSM1158" s="7"/>
      <c r="RSN1158" s="7"/>
      <c r="RSO1158" s="7"/>
      <c r="RSP1158" s="7"/>
      <c r="RSQ1158" s="7"/>
      <c r="RSR1158" s="7"/>
      <c r="RSS1158" s="7"/>
      <c r="RST1158" s="7"/>
      <c r="RSU1158" s="7"/>
      <c r="RSV1158" s="7"/>
      <c r="RSW1158" s="7"/>
      <c r="RSX1158" s="7"/>
      <c r="RSY1158" s="7"/>
      <c r="RSZ1158" s="7"/>
      <c r="RTA1158" s="7"/>
      <c r="RTB1158" s="7"/>
      <c r="RTC1158" s="7"/>
      <c r="RTD1158" s="7"/>
      <c r="RTE1158" s="7"/>
      <c r="RTF1158" s="7"/>
      <c r="RTG1158" s="7"/>
      <c r="RTH1158" s="7"/>
      <c r="RTI1158" s="7"/>
      <c r="RTJ1158" s="7"/>
      <c r="RTK1158" s="7"/>
      <c r="RTL1158" s="7"/>
      <c r="RTM1158" s="7"/>
      <c r="RTN1158" s="7"/>
      <c r="RTO1158" s="7"/>
      <c r="RTP1158" s="7"/>
      <c r="RTQ1158" s="7"/>
      <c r="RTR1158" s="7"/>
      <c r="RTS1158" s="7"/>
      <c r="RTT1158" s="7"/>
      <c r="RTU1158" s="7"/>
      <c r="RTV1158" s="7"/>
      <c r="RTW1158" s="7"/>
      <c r="RTX1158" s="7"/>
      <c r="RTY1158" s="7"/>
      <c r="RTZ1158" s="7"/>
      <c r="RUA1158" s="7"/>
      <c r="RUB1158" s="7"/>
      <c r="RUC1158" s="7"/>
      <c r="RUD1158" s="7"/>
      <c r="RUE1158" s="7"/>
      <c r="RUF1158" s="7"/>
      <c r="RUG1158" s="7"/>
      <c r="RUH1158" s="7"/>
      <c r="RUI1158" s="7"/>
      <c r="RUJ1158" s="7"/>
      <c r="RUK1158" s="7"/>
      <c r="RUL1158" s="7"/>
      <c r="RUM1158" s="7"/>
      <c r="RUN1158" s="7"/>
      <c r="RUO1158" s="7"/>
      <c r="RUP1158" s="7"/>
      <c r="RUQ1158" s="7"/>
      <c r="RUR1158" s="7"/>
      <c r="RUS1158" s="7"/>
      <c r="RUT1158" s="7"/>
      <c r="RUU1158" s="7"/>
      <c r="RUV1158" s="7"/>
      <c r="RUW1158" s="7"/>
      <c r="RUX1158" s="7"/>
      <c r="RUY1158" s="7"/>
      <c r="RUZ1158" s="7"/>
      <c r="RVA1158" s="7"/>
      <c r="RVB1158" s="7"/>
      <c r="RVC1158" s="7"/>
      <c r="RVD1158" s="7"/>
      <c r="RVE1158" s="7"/>
      <c r="RVF1158" s="7"/>
      <c r="RVG1158" s="7"/>
      <c r="RVH1158" s="7"/>
      <c r="RVI1158" s="7"/>
      <c r="RVJ1158" s="7"/>
      <c r="RVK1158" s="7"/>
      <c r="RVL1158" s="7"/>
      <c r="RVM1158" s="7"/>
      <c r="RVN1158" s="7"/>
      <c r="RVO1158" s="7"/>
      <c r="RVP1158" s="7"/>
      <c r="RVQ1158" s="7"/>
      <c r="RVR1158" s="7"/>
      <c r="RVS1158" s="7"/>
      <c r="RVT1158" s="7"/>
      <c r="RVU1158" s="7"/>
      <c r="RVV1158" s="7"/>
      <c r="RVW1158" s="7"/>
      <c r="RVX1158" s="7"/>
      <c r="RVY1158" s="7"/>
      <c r="RVZ1158" s="7"/>
      <c r="RWA1158" s="7"/>
      <c r="RWB1158" s="7"/>
      <c r="RWC1158" s="7"/>
      <c r="RWD1158" s="7"/>
      <c r="RWE1158" s="7"/>
      <c r="RWF1158" s="7"/>
      <c r="RWG1158" s="7"/>
      <c r="RWH1158" s="7"/>
      <c r="RWI1158" s="7"/>
      <c r="RWJ1158" s="7"/>
      <c r="RWK1158" s="7"/>
      <c r="RWL1158" s="7"/>
      <c r="RWM1158" s="7"/>
      <c r="RWN1158" s="7"/>
      <c r="RWO1158" s="7"/>
      <c r="RWP1158" s="7"/>
      <c r="RWQ1158" s="7"/>
      <c r="RWR1158" s="7"/>
      <c r="RWS1158" s="7"/>
      <c r="RWT1158" s="7"/>
      <c r="RWU1158" s="7"/>
      <c r="RWV1158" s="7"/>
      <c r="RWW1158" s="7"/>
      <c r="RWX1158" s="7"/>
      <c r="RWY1158" s="7"/>
      <c r="RWZ1158" s="7"/>
      <c r="RXA1158" s="7"/>
      <c r="RXB1158" s="7"/>
      <c r="RXC1158" s="7"/>
      <c r="RXD1158" s="7"/>
      <c r="RXE1158" s="7"/>
      <c r="RXF1158" s="7"/>
      <c r="RXG1158" s="7"/>
      <c r="RXH1158" s="7"/>
      <c r="RXI1158" s="7"/>
      <c r="RXJ1158" s="7"/>
      <c r="RXK1158" s="7"/>
      <c r="RXL1158" s="7"/>
      <c r="RXM1158" s="7"/>
      <c r="RXN1158" s="7"/>
      <c r="RXO1158" s="7"/>
      <c r="RXP1158" s="7"/>
      <c r="RXQ1158" s="7"/>
      <c r="RXR1158" s="7"/>
      <c r="RXS1158" s="7"/>
      <c r="RXT1158" s="7"/>
      <c r="RXU1158" s="7"/>
      <c r="RXV1158" s="7"/>
      <c r="RXW1158" s="7"/>
      <c r="RXX1158" s="7"/>
      <c r="RXY1158" s="7"/>
      <c r="RXZ1158" s="7"/>
      <c r="RYA1158" s="7"/>
      <c r="RYB1158" s="7"/>
      <c r="RYC1158" s="7"/>
      <c r="RYD1158" s="7"/>
      <c r="RYE1158" s="7"/>
      <c r="RYF1158" s="7"/>
      <c r="RYG1158" s="7"/>
      <c r="RYH1158" s="7"/>
      <c r="RYI1158" s="7"/>
      <c r="RYJ1158" s="7"/>
      <c r="RYK1158" s="7"/>
      <c r="RYL1158" s="7"/>
      <c r="RYM1158" s="7"/>
      <c r="RYN1158" s="7"/>
      <c r="RYO1158" s="7"/>
      <c r="RYP1158" s="7"/>
      <c r="RYQ1158" s="7"/>
      <c r="RYR1158" s="7"/>
      <c r="RYS1158" s="7"/>
      <c r="RYT1158" s="7"/>
      <c r="RYU1158" s="7"/>
      <c r="RYV1158" s="7"/>
      <c r="RYW1158" s="7"/>
      <c r="RYX1158" s="7"/>
      <c r="RYY1158" s="7"/>
      <c r="RYZ1158" s="7"/>
      <c r="RZA1158" s="7"/>
      <c r="RZB1158" s="7"/>
      <c r="RZC1158" s="7"/>
      <c r="RZD1158" s="7"/>
      <c r="RZE1158" s="7"/>
      <c r="RZF1158" s="7"/>
      <c r="RZG1158" s="7"/>
      <c r="RZH1158" s="7"/>
      <c r="RZI1158" s="7"/>
      <c r="RZJ1158" s="7"/>
      <c r="RZK1158" s="7"/>
      <c r="RZL1158" s="7"/>
      <c r="RZM1158" s="7"/>
      <c r="RZN1158" s="7"/>
      <c r="RZO1158" s="7"/>
      <c r="RZP1158" s="7"/>
      <c r="RZQ1158" s="7"/>
      <c r="RZR1158" s="7"/>
      <c r="RZS1158" s="7"/>
      <c r="RZT1158" s="7"/>
      <c r="RZU1158" s="7"/>
      <c r="RZV1158" s="7"/>
      <c r="RZW1158" s="7"/>
      <c r="RZX1158" s="7"/>
      <c r="RZY1158" s="7"/>
      <c r="RZZ1158" s="7"/>
      <c r="SAA1158" s="7"/>
      <c r="SAB1158" s="7"/>
      <c r="SAC1158" s="7"/>
      <c r="SAD1158" s="7"/>
      <c r="SAE1158" s="7"/>
      <c r="SAF1158" s="7"/>
      <c r="SAG1158" s="7"/>
      <c r="SAH1158" s="7"/>
      <c r="SAI1158" s="7"/>
      <c r="SAJ1158" s="7"/>
      <c r="SAK1158" s="7"/>
      <c r="SAL1158" s="7"/>
      <c r="SAM1158" s="7"/>
      <c r="SAN1158" s="7"/>
      <c r="SAO1158" s="7"/>
      <c r="SAP1158" s="7"/>
      <c r="SAQ1158" s="7"/>
      <c r="SAR1158" s="7"/>
      <c r="SAS1158" s="7"/>
      <c r="SAT1158" s="7"/>
      <c r="SAU1158" s="7"/>
      <c r="SAV1158" s="7"/>
      <c r="SAW1158" s="7"/>
      <c r="SAX1158" s="7"/>
      <c r="SAY1158" s="7"/>
      <c r="SAZ1158" s="7"/>
      <c r="SBA1158" s="7"/>
      <c r="SBB1158" s="7"/>
      <c r="SBC1158" s="7"/>
      <c r="SBD1158" s="7"/>
      <c r="SBE1158" s="7"/>
      <c r="SBF1158" s="7"/>
      <c r="SBG1158" s="7"/>
      <c r="SBH1158" s="7"/>
      <c r="SBI1158" s="7"/>
      <c r="SBJ1158" s="7"/>
      <c r="SBK1158" s="7"/>
      <c r="SBL1158" s="7"/>
      <c r="SBM1158" s="7"/>
      <c r="SBN1158" s="7"/>
      <c r="SBO1158" s="7"/>
      <c r="SBP1158" s="7"/>
      <c r="SBQ1158" s="7"/>
      <c r="SBR1158" s="7"/>
      <c r="SBS1158" s="7"/>
      <c r="SBT1158" s="7"/>
      <c r="SBU1158" s="7"/>
      <c r="SBV1158" s="7"/>
      <c r="SBW1158" s="7"/>
      <c r="SBX1158" s="7"/>
      <c r="SBY1158" s="7"/>
      <c r="SBZ1158" s="7"/>
      <c r="SCA1158" s="7"/>
      <c r="SCB1158" s="7"/>
      <c r="SCC1158" s="7"/>
      <c r="SCD1158" s="7"/>
      <c r="SCE1158" s="7"/>
      <c r="SCF1158" s="7"/>
      <c r="SCG1158" s="7"/>
      <c r="SCH1158" s="7"/>
      <c r="SCI1158" s="7"/>
      <c r="SCJ1158" s="7"/>
      <c r="SCK1158" s="7"/>
      <c r="SCL1158" s="7"/>
      <c r="SCM1158" s="7"/>
      <c r="SCN1158" s="7"/>
      <c r="SCO1158" s="7"/>
      <c r="SCP1158" s="7"/>
      <c r="SCQ1158" s="7"/>
      <c r="SCR1158" s="7"/>
      <c r="SCS1158" s="7"/>
      <c r="SCT1158" s="7"/>
      <c r="SCU1158" s="7"/>
      <c r="SCV1158" s="7"/>
      <c r="SCW1158" s="7"/>
      <c r="SCX1158" s="7"/>
      <c r="SCY1158" s="7"/>
      <c r="SCZ1158" s="7"/>
      <c r="SDA1158" s="7"/>
      <c r="SDB1158" s="7"/>
      <c r="SDC1158" s="7"/>
      <c r="SDD1158" s="7"/>
      <c r="SDE1158" s="7"/>
      <c r="SDF1158" s="7"/>
      <c r="SDG1158" s="7"/>
      <c r="SDH1158" s="7"/>
      <c r="SDI1158" s="7"/>
      <c r="SDJ1158" s="7"/>
      <c r="SDK1158" s="7"/>
      <c r="SDL1158" s="7"/>
      <c r="SDM1158" s="7"/>
      <c r="SDN1158" s="7"/>
      <c r="SDO1158" s="7"/>
      <c r="SDP1158" s="7"/>
      <c r="SDQ1158" s="7"/>
      <c r="SDR1158" s="7"/>
      <c r="SDS1158" s="7"/>
      <c r="SDT1158" s="7"/>
      <c r="SDU1158" s="7"/>
      <c r="SDV1158" s="7"/>
      <c r="SDW1158" s="7"/>
      <c r="SDX1158" s="7"/>
      <c r="SDY1158" s="7"/>
      <c r="SDZ1158" s="7"/>
      <c r="SEA1158" s="7"/>
      <c r="SEB1158" s="7"/>
      <c r="SEC1158" s="7"/>
      <c r="SED1158" s="7"/>
      <c r="SEE1158" s="7"/>
      <c r="SEF1158" s="7"/>
      <c r="SEG1158" s="7"/>
      <c r="SEH1158" s="7"/>
      <c r="SEI1158" s="7"/>
      <c r="SEJ1158" s="7"/>
      <c r="SEK1158" s="7"/>
      <c r="SEL1158" s="7"/>
      <c r="SEM1158" s="7"/>
      <c r="SEN1158" s="7"/>
      <c r="SEO1158" s="7"/>
      <c r="SEP1158" s="7"/>
      <c r="SEQ1158" s="7"/>
      <c r="SER1158" s="7"/>
      <c r="SES1158" s="7"/>
      <c r="SET1158" s="7"/>
      <c r="SEU1158" s="7"/>
      <c r="SEV1158" s="7"/>
      <c r="SEW1158" s="7"/>
      <c r="SEX1158" s="7"/>
      <c r="SEY1158" s="7"/>
      <c r="SEZ1158" s="7"/>
      <c r="SFA1158" s="7"/>
      <c r="SFB1158" s="7"/>
      <c r="SFC1158" s="7"/>
      <c r="SFD1158" s="7"/>
      <c r="SFE1158" s="7"/>
      <c r="SFF1158" s="7"/>
      <c r="SFG1158" s="7"/>
      <c r="SFH1158" s="7"/>
      <c r="SFI1158" s="7"/>
      <c r="SFJ1158" s="7"/>
      <c r="SFK1158" s="7"/>
      <c r="SFL1158" s="7"/>
      <c r="SFM1158" s="7"/>
      <c r="SFN1158" s="7"/>
      <c r="SFO1158" s="7"/>
      <c r="SFP1158" s="7"/>
      <c r="SFQ1158" s="7"/>
      <c r="SFR1158" s="7"/>
      <c r="SFS1158" s="7"/>
      <c r="SFT1158" s="7"/>
      <c r="SFU1158" s="7"/>
      <c r="SFV1158" s="7"/>
      <c r="SFW1158" s="7"/>
      <c r="SFX1158" s="7"/>
      <c r="SFY1158" s="7"/>
      <c r="SFZ1158" s="7"/>
      <c r="SGA1158" s="7"/>
      <c r="SGB1158" s="7"/>
      <c r="SGC1158" s="7"/>
      <c r="SGD1158" s="7"/>
      <c r="SGE1158" s="7"/>
      <c r="SGF1158" s="7"/>
      <c r="SGG1158" s="7"/>
      <c r="SGH1158" s="7"/>
      <c r="SGI1158" s="7"/>
      <c r="SGJ1158" s="7"/>
      <c r="SGK1158" s="7"/>
      <c r="SGL1158" s="7"/>
      <c r="SGM1158" s="7"/>
      <c r="SGN1158" s="7"/>
      <c r="SGO1158" s="7"/>
      <c r="SGP1158" s="7"/>
      <c r="SGQ1158" s="7"/>
      <c r="SGR1158" s="7"/>
      <c r="SGS1158" s="7"/>
      <c r="SGT1158" s="7"/>
      <c r="SGU1158" s="7"/>
      <c r="SGV1158" s="7"/>
      <c r="SGW1158" s="7"/>
      <c r="SGX1158" s="7"/>
      <c r="SGY1158" s="7"/>
      <c r="SGZ1158" s="7"/>
      <c r="SHA1158" s="7"/>
      <c r="SHB1158" s="7"/>
      <c r="SHC1158" s="7"/>
      <c r="SHD1158" s="7"/>
      <c r="SHE1158" s="7"/>
      <c r="SHF1158" s="7"/>
      <c r="SHG1158" s="7"/>
      <c r="SHH1158" s="7"/>
      <c r="SHI1158" s="7"/>
      <c r="SHJ1158" s="7"/>
      <c r="SHK1158" s="7"/>
      <c r="SHL1158" s="7"/>
      <c r="SHM1158" s="7"/>
      <c r="SHN1158" s="7"/>
      <c r="SHO1158" s="7"/>
      <c r="SHP1158" s="7"/>
      <c r="SHQ1158" s="7"/>
      <c r="SHR1158" s="7"/>
      <c r="SHS1158" s="7"/>
      <c r="SHT1158" s="7"/>
      <c r="SHU1158" s="7"/>
      <c r="SHV1158" s="7"/>
      <c r="SHW1158" s="7"/>
      <c r="SHX1158" s="7"/>
      <c r="SHY1158" s="7"/>
      <c r="SHZ1158" s="7"/>
      <c r="SIA1158" s="7"/>
      <c r="SIB1158" s="7"/>
      <c r="SIC1158" s="7"/>
      <c r="SID1158" s="7"/>
      <c r="SIE1158" s="7"/>
      <c r="SIF1158" s="7"/>
      <c r="SIG1158" s="7"/>
      <c r="SIH1158" s="7"/>
      <c r="SII1158" s="7"/>
      <c r="SIJ1158" s="7"/>
      <c r="SIK1158" s="7"/>
      <c r="SIL1158" s="7"/>
      <c r="SIM1158" s="7"/>
      <c r="SIN1158" s="7"/>
      <c r="SIO1158" s="7"/>
      <c r="SIP1158" s="7"/>
      <c r="SIQ1158" s="7"/>
      <c r="SIR1158" s="7"/>
      <c r="SIS1158" s="7"/>
      <c r="SIT1158" s="7"/>
      <c r="SIU1158" s="7"/>
      <c r="SIV1158" s="7"/>
      <c r="SIW1158" s="7"/>
      <c r="SIX1158" s="7"/>
      <c r="SIY1158" s="7"/>
      <c r="SIZ1158" s="7"/>
      <c r="SJA1158" s="7"/>
      <c r="SJB1158" s="7"/>
      <c r="SJC1158" s="7"/>
      <c r="SJD1158" s="7"/>
      <c r="SJE1158" s="7"/>
      <c r="SJF1158" s="7"/>
      <c r="SJG1158" s="7"/>
      <c r="SJH1158" s="7"/>
      <c r="SJI1158" s="7"/>
      <c r="SJJ1158" s="7"/>
      <c r="SJK1158" s="7"/>
      <c r="SJL1158" s="7"/>
      <c r="SJM1158" s="7"/>
      <c r="SJN1158" s="7"/>
      <c r="SJO1158" s="7"/>
      <c r="SJP1158" s="7"/>
      <c r="SJQ1158" s="7"/>
      <c r="SJR1158" s="7"/>
      <c r="SJS1158" s="7"/>
      <c r="SJT1158" s="7"/>
      <c r="SJU1158" s="7"/>
      <c r="SJV1158" s="7"/>
      <c r="SJW1158" s="7"/>
      <c r="SJX1158" s="7"/>
      <c r="SJY1158" s="7"/>
      <c r="SJZ1158" s="7"/>
      <c r="SKA1158" s="7"/>
      <c r="SKB1158" s="7"/>
      <c r="SKC1158" s="7"/>
      <c r="SKD1158" s="7"/>
      <c r="SKE1158" s="7"/>
      <c r="SKF1158" s="7"/>
      <c r="SKG1158" s="7"/>
      <c r="SKH1158" s="7"/>
      <c r="SKI1158" s="7"/>
      <c r="SKJ1158" s="7"/>
      <c r="SKK1158" s="7"/>
      <c r="SKL1158" s="7"/>
      <c r="SKM1158" s="7"/>
      <c r="SKN1158" s="7"/>
      <c r="SKO1158" s="7"/>
      <c r="SKP1158" s="7"/>
      <c r="SKQ1158" s="7"/>
      <c r="SKR1158" s="7"/>
      <c r="SKS1158" s="7"/>
      <c r="SKT1158" s="7"/>
      <c r="SKU1158" s="7"/>
      <c r="SKV1158" s="7"/>
      <c r="SKW1158" s="7"/>
      <c r="SKX1158" s="7"/>
      <c r="SKY1158" s="7"/>
      <c r="SKZ1158" s="7"/>
      <c r="SLA1158" s="7"/>
      <c r="SLB1158" s="7"/>
      <c r="SLC1158" s="7"/>
      <c r="SLD1158" s="7"/>
      <c r="SLE1158" s="7"/>
      <c r="SLF1158" s="7"/>
      <c r="SLG1158" s="7"/>
      <c r="SLH1158" s="7"/>
      <c r="SLI1158" s="7"/>
      <c r="SLJ1158" s="7"/>
      <c r="SLK1158" s="7"/>
      <c r="SLL1158" s="7"/>
      <c r="SLM1158" s="7"/>
      <c r="SLN1158" s="7"/>
      <c r="SLO1158" s="7"/>
      <c r="SLP1158" s="7"/>
      <c r="SLQ1158" s="7"/>
      <c r="SLR1158" s="7"/>
      <c r="SLS1158" s="7"/>
      <c r="SLT1158" s="7"/>
      <c r="SLU1158" s="7"/>
      <c r="SLV1158" s="7"/>
      <c r="SLW1158" s="7"/>
      <c r="SLX1158" s="7"/>
      <c r="SLY1158" s="7"/>
      <c r="SLZ1158" s="7"/>
      <c r="SMA1158" s="7"/>
      <c r="SMB1158" s="7"/>
      <c r="SMC1158" s="7"/>
      <c r="SMD1158" s="7"/>
      <c r="SME1158" s="7"/>
      <c r="SMF1158" s="7"/>
      <c r="SMG1158" s="7"/>
      <c r="SMH1158" s="7"/>
      <c r="SMI1158" s="7"/>
      <c r="SMJ1158" s="7"/>
      <c r="SMK1158" s="7"/>
      <c r="SML1158" s="7"/>
      <c r="SMM1158" s="7"/>
      <c r="SMN1158" s="7"/>
      <c r="SMO1158" s="7"/>
      <c r="SMP1158" s="7"/>
      <c r="SMQ1158" s="7"/>
      <c r="SMR1158" s="7"/>
      <c r="SMS1158" s="7"/>
      <c r="SMT1158" s="7"/>
      <c r="SMU1158" s="7"/>
      <c r="SMV1158" s="7"/>
      <c r="SMW1158" s="7"/>
      <c r="SMX1158" s="7"/>
      <c r="SMY1158" s="7"/>
      <c r="SMZ1158" s="7"/>
      <c r="SNA1158" s="7"/>
      <c r="SNB1158" s="7"/>
      <c r="SNC1158" s="7"/>
      <c r="SND1158" s="7"/>
      <c r="SNE1158" s="7"/>
      <c r="SNF1158" s="7"/>
      <c r="SNG1158" s="7"/>
      <c r="SNH1158" s="7"/>
      <c r="SNI1158" s="7"/>
      <c r="SNJ1158" s="7"/>
      <c r="SNK1158" s="7"/>
      <c r="SNL1158" s="7"/>
      <c r="SNM1158" s="7"/>
      <c r="SNN1158" s="7"/>
      <c r="SNO1158" s="7"/>
      <c r="SNP1158" s="7"/>
      <c r="SNQ1158" s="7"/>
      <c r="SNR1158" s="7"/>
      <c r="SNS1158" s="7"/>
      <c r="SNT1158" s="7"/>
      <c r="SNU1158" s="7"/>
      <c r="SNV1158" s="7"/>
      <c r="SNW1158" s="7"/>
      <c r="SNX1158" s="7"/>
      <c r="SNY1158" s="7"/>
      <c r="SNZ1158" s="7"/>
      <c r="SOA1158" s="7"/>
      <c r="SOB1158" s="7"/>
      <c r="SOC1158" s="7"/>
      <c r="SOD1158" s="7"/>
      <c r="SOE1158" s="7"/>
      <c r="SOF1158" s="7"/>
      <c r="SOG1158" s="7"/>
      <c r="SOH1158" s="7"/>
      <c r="SOI1158" s="7"/>
      <c r="SOJ1158" s="7"/>
      <c r="SOK1158" s="7"/>
      <c r="SOL1158" s="7"/>
      <c r="SOM1158" s="7"/>
      <c r="SON1158" s="7"/>
      <c r="SOO1158" s="7"/>
      <c r="SOP1158" s="7"/>
      <c r="SOQ1158" s="7"/>
      <c r="SOR1158" s="7"/>
      <c r="SOS1158" s="7"/>
      <c r="SOT1158" s="7"/>
      <c r="SOU1158" s="7"/>
      <c r="SOV1158" s="7"/>
      <c r="SOW1158" s="7"/>
      <c r="SOX1158" s="7"/>
      <c r="SOY1158" s="7"/>
      <c r="SOZ1158" s="7"/>
      <c r="SPA1158" s="7"/>
      <c r="SPB1158" s="7"/>
      <c r="SPC1158" s="7"/>
      <c r="SPD1158" s="7"/>
      <c r="SPE1158" s="7"/>
      <c r="SPF1158" s="7"/>
      <c r="SPG1158" s="7"/>
      <c r="SPH1158" s="7"/>
      <c r="SPI1158" s="7"/>
      <c r="SPJ1158" s="7"/>
      <c r="SPK1158" s="7"/>
      <c r="SPL1158" s="7"/>
      <c r="SPM1158" s="7"/>
      <c r="SPN1158" s="7"/>
      <c r="SPO1158" s="7"/>
      <c r="SPP1158" s="7"/>
      <c r="SPQ1158" s="7"/>
      <c r="SPR1158" s="7"/>
      <c r="SPS1158" s="7"/>
      <c r="SPT1158" s="7"/>
      <c r="SPU1158" s="7"/>
      <c r="SPV1158" s="7"/>
      <c r="SPW1158" s="7"/>
      <c r="SPX1158" s="7"/>
      <c r="SPY1158" s="7"/>
      <c r="SPZ1158" s="7"/>
      <c r="SQA1158" s="7"/>
      <c r="SQB1158" s="7"/>
      <c r="SQC1158" s="7"/>
      <c r="SQD1158" s="7"/>
      <c r="SQE1158" s="7"/>
      <c r="SQF1158" s="7"/>
      <c r="SQG1158" s="7"/>
      <c r="SQH1158" s="7"/>
      <c r="SQI1158" s="7"/>
      <c r="SQJ1158" s="7"/>
      <c r="SQK1158" s="7"/>
      <c r="SQL1158" s="7"/>
      <c r="SQM1158" s="7"/>
      <c r="SQN1158" s="7"/>
      <c r="SQO1158" s="7"/>
      <c r="SQP1158" s="7"/>
      <c r="SQQ1158" s="7"/>
      <c r="SQR1158" s="7"/>
      <c r="SQS1158" s="7"/>
      <c r="SQT1158" s="7"/>
      <c r="SQU1158" s="7"/>
      <c r="SQV1158" s="7"/>
      <c r="SQW1158" s="7"/>
      <c r="SQX1158" s="7"/>
      <c r="SQY1158" s="7"/>
      <c r="SQZ1158" s="7"/>
      <c r="SRA1158" s="7"/>
      <c r="SRB1158" s="7"/>
      <c r="SRC1158" s="7"/>
      <c r="SRD1158" s="7"/>
      <c r="SRE1158" s="7"/>
      <c r="SRF1158" s="7"/>
      <c r="SRG1158" s="7"/>
      <c r="SRH1158" s="7"/>
      <c r="SRI1158" s="7"/>
      <c r="SRJ1158" s="7"/>
      <c r="SRK1158" s="7"/>
      <c r="SRL1158" s="7"/>
      <c r="SRM1158" s="7"/>
      <c r="SRN1158" s="7"/>
      <c r="SRO1158" s="7"/>
      <c r="SRP1158" s="7"/>
      <c r="SRQ1158" s="7"/>
      <c r="SRR1158" s="7"/>
      <c r="SRS1158" s="7"/>
      <c r="SRT1158" s="7"/>
      <c r="SRU1158" s="7"/>
      <c r="SRV1158" s="7"/>
      <c r="SRW1158" s="7"/>
      <c r="SRX1158" s="7"/>
      <c r="SRY1158" s="7"/>
      <c r="SRZ1158" s="7"/>
      <c r="SSA1158" s="7"/>
      <c r="SSB1158" s="7"/>
      <c r="SSC1158" s="7"/>
      <c r="SSD1158" s="7"/>
      <c r="SSE1158" s="7"/>
      <c r="SSF1158" s="7"/>
      <c r="SSG1158" s="7"/>
      <c r="SSH1158" s="7"/>
      <c r="SSI1158" s="7"/>
      <c r="SSJ1158" s="7"/>
      <c r="SSK1158" s="7"/>
      <c r="SSL1158" s="7"/>
      <c r="SSM1158" s="7"/>
      <c r="SSN1158" s="7"/>
      <c r="SSO1158" s="7"/>
      <c r="SSP1158" s="7"/>
      <c r="SSQ1158" s="7"/>
      <c r="SSR1158" s="7"/>
      <c r="SSS1158" s="7"/>
      <c r="SST1158" s="7"/>
      <c r="SSU1158" s="7"/>
      <c r="SSV1158" s="7"/>
      <c r="SSW1158" s="7"/>
      <c r="SSX1158" s="7"/>
      <c r="SSY1158" s="7"/>
      <c r="SSZ1158" s="7"/>
      <c r="STA1158" s="7"/>
      <c r="STB1158" s="7"/>
      <c r="STC1158" s="7"/>
      <c r="STD1158" s="7"/>
      <c r="STE1158" s="7"/>
      <c r="STF1158" s="7"/>
      <c r="STG1158" s="7"/>
      <c r="STH1158" s="7"/>
      <c r="STI1158" s="7"/>
      <c r="STJ1158" s="7"/>
      <c r="STK1158" s="7"/>
      <c r="STL1158" s="7"/>
      <c r="STM1158" s="7"/>
      <c r="STN1158" s="7"/>
      <c r="STO1158" s="7"/>
      <c r="STP1158" s="7"/>
      <c r="STQ1158" s="7"/>
      <c r="STR1158" s="7"/>
      <c r="STS1158" s="7"/>
      <c r="STT1158" s="7"/>
      <c r="STU1158" s="7"/>
      <c r="STV1158" s="7"/>
      <c r="STW1158" s="7"/>
      <c r="STX1158" s="7"/>
      <c r="STY1158" s="7"/>
      <c r="STZ1158" s="7"/>
      <c r="SUA1158" s="7"/>
      <c r="SUB1158" s="7"/>
      <c r="SUC1158" s="7"/>
      <c r="SUD1158" s="7"/>
      <c r="SUE1158" s="7"/>
      <c r="SUF1158" s="7"/>
      <c r="SUG1158" s="7"/>
      <c r="SUH1158" s="7"/>
      <c r="SUI1158" s="7"/>
      <c r="SUJ1158" s="7"/>
      <c r="SUK1158" s="7"/>
      <c r="SUL1158" s="7"/>
      <c r="SUM1158" s="7"/>
      <c r="SUN1158" s="7"/>
      <c r="SUO1158" s="7"/>
      <c r="SUP1158" s="7"/>
      <c r="SUQ1158" s="7"/>
      <c r="SUR1158" s="7"/>
      <c r="SUS1158" s="7"/>
      <c r="SUT1158" s="7"/>
      <c r="SUU1158" s="7"/>
      <c r="SUV1158" s="7"/>
      <c r="SUW1158" s="7"/>
      <c r="SUX1158" s="7"/>
      <c r="SUY1158" s="7"/>
      <c r="SUZ1158" s="7"/>
      <c r="SVA1158" s="7"/>
      <c r="SVB1158" s="7"/>
      <c r="SVC1158" s="7"/>
      <c r="SVD1158" s="7"/>
      <c r="SVE1158" s="7"/>
      <c r="SVF1158" s="7"/>
      <c r="SVG1158" s="7"/>
      <c r="SVH1158" s="7"/>
      <c r="SVI1158" s="7"/>
      <c r="SVJ1158" s="7"/>
      <c r="SVK1158" s="7"/>
      <c r="SVL1158" s="7"/>
      <c r="SVM1158" s="7"/>
      <c r="SVN1158" s="7"/>
      <c r="SVO1158" s="7"/>
      <c r="SVP1158" s="7"/>
      <c r="SVQ1158" s="7"/>
      <c r="SVR1158" s="7"/>
      <c r="SVS1158" s="7"/>
      <c r="SVT1158" s="7"/>
      <c r="SVU1158" s="7"/>
      <c r="SVV1158" s="7"/>
      <c r="SVW1158" s="7"/>
      <c r="SVX1158" s="7"/>
      <c r="SVY1158" s="7"/>
      <c r="SVZ1158" s="7"/>
      <c r="SWA1158" s="7"/>
      <c r="SWB1158" s="7"/>
      <c r="SWC1158" s="7"/>
      <c r="SWD1158" s="7"/>
      <c r="SWE1158" s="7"/>
      <c r="SWF1158" s="7"/>
      <c r="SWG1158" s="7"/>
      <c r="SWH1158" s="7"/>
      <c r="SWI1158" s="7"/>
      <c r="SWJ1158" s="7"/>
      <c r="SWK1158" s="7"/>
      <c r="SWL1158" s="7"/>
      <c r="SWM1158" s="7"/>
      <c r="SWN1158" s="7"/>
      <c r="SWO1158" s="7"/>
      <c r="SWP1158" s="7"/>
      <c r="SWQ1158" s="7"/>
      <c r="SWR1158" s="7"/>
      <c r="SWS1158" s="7"/>
      <c r="SWT1158" s="7"/>
      <c r="SWU1158" s="7"/>
      <c r="SWV1158" s="7"/>
      <c r="SWW1158" s="7"/>
      <c r="SWX1158" s="7"/>
      <c r="SWY1158" s="7"/>
      <c r="SWZ1158" s="7"/>
      <c r="SXA1158" s="7"/>
      <c r="SXB1158" s="7"/>
      <c r="SXC1158" s="7"/>
      <c r="SXD1158" s="7"/>
      <c r="SXE1158" s="7"/>
      <c r="SXF1158" s="7"/>
      <c r="SXG1158" s="7"/>
      <c r="SXH1158" s="7"/>
      <c r="SXI1158" s="7"/>
      <c r="SXJ1158" s="7"/>
      <c r="SXK1158" s="7"/>
      <c r="SXL1158" s="7"/>
      <c r="SXM1158" s="7"/>
      <c r="SXN1158" s="7"/>
      <c r="SXO1158" s="7"/>
      <c r="SXP1158" s="7"/>
      <c r="SXQ1158" s="7"/>
      <c r="SXR1158" s="7"/>
      <c r="SXS1158" s="7"/>
      <c r="SXT1158" s="7"/>
      <c r="SXU1158" s="7"/>
      <c r="SXV1158" s="7"/>
      <c r="SXW1158" s="7"/>
      <c r="SXX1158" s="7"/>
      <c r="SXY1158" s="7"/>
      <c r="SXZ1158" s="7"/>
      <c r="SYA1158" s="7"/>
      <c r="SYB1158" s="7"/>
      <c r="SYC1158" s="7"/>
      <c r="SYD1158" s="7"/>
      <c r="SYE1158" s="7"/>
      <c r="SYF1158" s="7"/>
      <c r="SYG1158" s="7"/>
      <c r="SYH1158" s="7"/>
      <c r="SYI1158" s="7"/>
      <c r="SYJ1158" s="7"/>
      <c r="SYK1158" s="7"/>
      <c r="SYL1158" s="7"/>
      <c r="SYM1158" s="7"/>
      <c r="SYN1158" s="7"/>
      <c r="SYO1158" s="7"/>
      <c r="SYP1158" s="7"/>
      <c r="SYQ1158" s="7"/>
      <c r="SYR1158" s="7"/>
      <c r="SYS1158" s="7"/>
      <c r="SYT1158" s="7"/>
      <c r="SYU1158" s="7"/>
      <c r="SYV1158" s="7"/>
      <c r="SYW1158" s="7"/>
      <c r="SYX1158" s="7"/>
      <c r="SYY1158" s="7"/>
      <c r="SYZ1158" s="7"/>
      <c r="SZA1158" s="7"/>
      <c r="SZB1158" s="7"/>
      <c r="SZC1158" s="7"/>
      <c r="SZD1158" s="7"/>
      <c r="SZE1158" s="7"/>
      <c r="SZF1158" s="7"/>
      <c r="SZG1158" s="7"/>
      <c r="SZH1158" s="7"/>
      <c r="SZI1158" s="7"/>
      <c r="SZJ1158" s="7"/>
      <c r="SZK1158" s="7"/>
      <c r="SZL1158" s="7"/>
      <c r="SZM1158" s="7"/>
      <c r="SZN1158" s="7"/>
      <c r="SZO1158" s="7"/>
      <c r="SZP1158" s="7"/>
      <c r="SZQ1158" s="7"/>
      <c r="SZR1158" s="7"/>
      <c r="SZS1158" s="7"/>
      <c r="SZT1158" s="7"/>
      <c r="SZU1158" s="7"/>
      <c r="SZV1158" s="7"/>
      <c r="SZW1158" s="7"/>
      <c r="SZX1158" s="7"/>
      <c r="SZY1158" s="7"/>
      <c r="SZZ1158" s="7"/>
      <c r="TAA1158" s="7"/>
      <c r="TAB1158" s="7"/>
      <c r="TAC1158" s="7"/>
      <c r="TAD1158" s="7"/>
      <c r="TAE1158" s="7"/>
      <c r="TAF1158" s="7"/>
      <c r="TAG1158" s="7"/>
      <c r="TAH1158" s="7"/>
      <c r="TAI1158" s="7"/>
      <c r="TAJ1158" s="7"/>
      <c r="TAK1158" s="7"/>
      <c r="TAL1158" s="7"/>
      <c r="TAM1158" s="7"/>
      <c r="TAN1158" s="7"/>
      <c r="TAO1158" s="7"/>
      <c r="TAP1158" s="7"/>
      <c r="TAQ1158" s="7"/>
      <c r="TAR1158" s="7"/>
      <c r="TAS1158" s="7"/>
      <c r="TAT1158" s="7"/>
      <c r="TAU1158" s="7"/>
      <c r="TAV1158" s="7"/>
      <c r="TAW1158" s="7"/>
      <c r="TAX1158" s="7"/>
      <c r="TAY1158" s="7"/>
      <c r="TAZ1158" s="7"/>
      <c r="TBA1158" s="7"/>
      <c r="TBB1158" s="7"/>
      <c r="TBC1158" s="7"/>
      <c r="TBD1158" s="7"/>
      <c r="TBE1158" s="7"/>
      <c r="TBF1158" s="7"/>
      <c r="TBG1158" s="7"/>
      <c r="TBH1158" s="7"/>
      <c r="TBI1158" s="7"/>
      <c r="TBJ1158" s="7"/>
      <c r="TBK1158" s="7"/>
      <c r="TBL1158" s="7"/>
      <c r="TBM1158" s="7"/>
      <c r="TBN1158" s="7"/>
      <c r="TBO1158" s="7"/>
      <c r="TBP1158" s="7"/>
      <c r="TBQ1158" s="7"/>
      <c r="TBR1158" s="7"/>
      <c r="TBS1158" s="7"/>
      <c r="TBT1158" s="7"/>
      <c r="TBU1158" s="7"/>
      <c r="TBV1158" s="7"/>
      <c r="TBW1158" s="7"/>
      <c r="TBX1158" s="7"/>
      <c r="TBY1158" s="7"/>
      <c r="TBZ1158" s="7"/>
      <c r="TCA1158" s="7"/>
      <c r="TCB1158" s="7"/>
      <c r="TCC1158" s="7"/>
      <c r="TCD1158" s="7"/>
      <c r="TCE1158" s="7"/>
      <c r="TCF1158" s="7"/>
      <c r="TCG1158" s="7"/>
      <c r="TCH1158" s="7"/>
      <c r="TCI1158" s="7"/>
      <c r="TCJ1158" s="7"/>
      <c r="TCK1158" s="7"/>
      <c r="TCL1158" s="7"/>
      <c r="TCM1158" s="7"/>
      <c r="TCN1158" s="7"/>
      <c r="TCO1158" s="7"/>
      <c r="TCP1158" s="7"/>
      <c r="TCQ1158" s="7"/>
      <c r="TCR1158" s="7"/>
      <c r="TCS1158" s="7"/>
      <c r="TCT1158" s="7"/>
      <c r="TCU1158" s="7"/>
      <c r="TCV1158" s="7"/>
      <c r="TCW1158" s="7"/>
      <c r="TCX1158" s="7"/>
      <c r="TCY1158" s="7"/>
      <c r="TCZ1158" s="7"/>
      <c r="TDA1158" s="7"/>
      <c r="TDB1158" s="7"/>
      <c r="TDC1158" s="7"/>
      <c r="TDD1158" s="7"/>
      <c r="TDE1158" s="7"/>
      <c r="TDF1158" s="7"/>
      <c r="TDG1158" s="7"/>
      <c r="TDH1158" s="7"/>
      <c r="TDI1158" s="7"/>
      <c r="TDJ1158" s="7"/>
      <c r="TDK1158" s="7"/>
      <c r="TDL1158" s="7"/>
      <c r="TDM1158" s="7"/>
      <c r="TDN1158" s="7"/>
      <c r="TDO1158" s="7"/>
      <c r="TDP1158" s="7"/>
      <c r="TDQ1158" s="7"/>
      <c r="TDR1158" s="7"/>
      <c r="TDS1158" s="7"/>
      <c r="TDT1158" s="7"/>
      <c r="TDU1158" s="7"/>
      <c r="TDV1158" s="7"/>
      <c r="TDW1158" s="7"/>
      <c r="TDX1158" s="7"/>
      <c r="TDY1158" s="7"/>
      <c r="TDZ1158" s="7"/>
      <c r="TEA1158" s="7"/>
      <c r="TEB1158" s="7"/>
      <c r="TEC1158" s="7"/>
      <c r="TED1158" s="7"/>
      <c r="TEE1158" s="7"/>
      <c r="TEF1158" s="7"/>
      <c r="TEG1158" s="7"/>
      <c r="TEH1158" s="7"/>
      <c r="TEI1158" s="7"/>
      <c r="TEJ1158" s="7"/>
      <c r="TEK1158" s="7"/>
      <c r="TEL1158" s="7"/>
      <c r="TEM1158" s="7"/>
      <c r="TEN1158" s="7"/>
      <c r="TEO1158" s="7"/>
      <c r="TEP1158" s="7"/>
      <c r="TEQ1158" s="7"/>
      <c r="TER1158" s="7"/>
      <c r="TES1158" s="7"/>
      <c r="TET1158" s="7"/>
      <c r="TEU1158" s="7"/>
      <c r="TEV1158" s="7"/>
      <c r="TEW1158" s="7"/>
      <c r="TEX1158" s="7"/>
      <c r="TEY1158" s="7"/>
      <c r="TEZ1158" s="7"/>
      <c r="TFA1158" s="7"/>
      <c r="TFB1158" s="7"/>
      <c r="TFC1158" s="7"/>
      <c r="TFD1158" s="7"/>
      <c r="TFE1158" s="7"/>
      <c r="TFF1158" s="7"/>
      <c r="TFG1158" s="7"/>
      <c r="TFH1158" s="7"/>
      <c r="TFI1158" s="7"/>
      <c r="TFJ1158" s="7"/>
      <c r="TFK1158" s="7"/>
      <c r="TFL1158" s="7"/>
      <c r="TFM1158" s="7"/>
      <c r="TFN1158" s="7"/>
      <c r="TFO1158" s="7"/>
      <c r="TFP1158" s="7"/>
      <c r="TFQ1158" s="7"/>
      <c r="TFR1158" s="7"/>
      <c r="TFS1158" s="7"/>
      <c r="TFT1158" s="7"/>
      <c r="TFU1158" s="7"/>
      <c r="TFV1158" s="7"/>
      <c r="TFW1158" s="7"/>
      <c r="TFX1158" s="7"/>
      <c r="TFY1158" s="7"/>
      <c r="TFZ1158" s="7"/>
      <c r="TGA1158" s="7"/>
      <c r="TGB1158" s="7"/>
      <c r="TGC1158" s="7"/>
      <c r="TGD1158" s="7"/>
      <c r="TGE1158" s="7"/>
      <c r="TGF1158" s="7"/>
      <c r="TGG1158" s="7"/>
      <c r="TGH1158" s="7"/>
      <c r="TGI1158" s="7"/>
      <c r="TGJ1158" s="7"/>
      <c r="TGK1158" s="7"/>
      <c r="TGL1158" s="7"/>
      <c r="TGM1158" s="7"/>
      <c r="TGN1158" s="7"/>
      <c r="TGO1158" s="7"/>
      <c r="TGP1158" s="7"/>
      <c r="TGQ1158" s="7"/>
      <c r="TGR1158" s="7"/>
      <c r="TGS1158" s="7"/>
      <c r="TGT1158" s="7"/>
      <c r="TGU1158" s="7"/>
      <c r="TGV1158" s="7"/>
      <c r="TGW1158" s="7"/>
      <c r="TGX1158" s="7"/>
      <c r="TGY1158" s="7"/>
      <c r="TGZ1158" s="7"/>
      <c r="THA1158" s="7"/>
      <c r="THB1158" s="7"/>
      <c r="THC1158" s="7"/>
      <c r="THD1158" s="7"/>
      <c r="THE1158" s="7"/>
      <c r="THF1158" s="7"/>
      <c r="THG1158" s="7"/>
      <c r="THH1158" s="7"/>
      <c r="THI1158" s="7"/>
      <c r="THJ1158" s="7"/>
      <c r="THK1158" s="7"/>
      <c r="THL1158" s="7"/>
      <c r="THM1158" s="7"/>
      <c r="THN1158" s="7"/>
      <c r="THO1158" s="7"/>
      <c r="THP1158" s="7"/>
      <c r="THQ1158" s="7"/>
      <c r="THR1158" s="7"/>
      <c r="THS1158" s="7"/>
      <c r="THT1158" s="7"/>
      <c r="THU1158" s="7"/>
      <c r="THV1158" s="7"/>
      <c r="THW1158" s="7"/>
      <c r="THX1158" s="7"/>
      <c r="THY1158" s="7"/>
      <c r="THZ1158" s="7"/>
      <c r="TIA1158" s="7"/>
      <c r="TIB1158" s="7"/>
      <c r="TIC1158" s="7"/>
      <c r="TID1158" s="7"/>
      <c r="TIE1158" s="7"/>
      <c r="TIF1158" s="7"/>
      <c r="TIG1158" s="7"/>
      <c r="TIH1158" s="7"/>
      <c r="TII1158" s="7"/>
      <c r="TIJ1158" s="7"/>
      <c r="TIK1158" s="7"/>
      <c r="TIL1158" s="7"/>
      <c r="TIM1158" s="7"/>
      <c r="TIN1158" s="7"/>
      <c r="TIO1158" s="7"/>
      <c r="TIP1158" s="7"/>
      <c r="TIQ1158" s="7"/>
      <c r="TIR1158" s="7"/>
      <c r="TIS1158" s="7"/>
      <c r="TIT1158" s="7"/>
      <c r="TIU1158" s="7"/>
      <c r="TIV1158" s="7"/>
      <c r="TIW1158" s="7"/>
      <c r="TIX1158" s="7"/>
      <c r="TIY1158" s="7"/>
      <c r="TIZ1158" s="7"/>
      <c r="TJA1158" s="7"/>
      <c r="TJB1158" s="7"/>
      <c r="TJC1158" s="7"/>
      <c r="TJD1158" s="7"/>
      <c r="TJE1158" s="7"/>
      <c r="TJF1158" s="7"/>
      <c r="TJG1158" s="7"/>
      <c r="TJH1158" s="7"/>
      <c r="TJI1158" s="7"/>
      <c r="TJJ1158" s="7"/>
      <c r="TJK1158" s="7"/>
      <c r="TJL1158" s="7"/>
      <c r="TJM1158" s="7"/>
      <c r="TJN1158" s="7"/>
      <c r="TJO1158" s="7"/>
      <c r="TJP1158" s="7"/>
      <c r="TJQ1158" s="7"/>
      <c r="TJR1158" s="7"/>
      <c r="TJS1158" s="7"/>
      <c r="TJT1158" s="7"/>
      <c r="TJU1158" s="7"/>
      <c r="TJV1158" s="7"/>
      <c r="TJW1158" s="7"/>
      <c r="TJX1158" s="7"/>
      <c r="TJY1158" s="7"/>
      <c r="TJZ1158" s="7"/>
      <c r="TKA1158" s="7"/>
      <c r="TKB1158" s="7"/>
      <c r="TKC1158" s="7"/>
      <c r="TKD1158" s="7"/>
      <c r="TKE1158" s="7"/>
      <c r="TKF1158" s="7"/>
      <c r="TKG1158" s="7"/>
      <c r="TKH1158" s="7"/>
      <c r="TKI1158" s="7"/>
      <c r="TKJ1158" s="7"/>
      <c r="TKK1158" s="7"/>
      <c r="TKL1158" s="7"/>
      <c r="TKM1158" s="7"/>
      <c r="TKN1158" s="7"/>
      <c r="TKO1158" s="7"/>
      <c r="TKP1158" s="7"/>
      <c r="TKQ1158" s="7"/>
      <c r="TKR1158" s="7"/>
      <c r="TKS1158" s="7"/>
      <c r="TKT1158" s="7"/>
      <c r="TKU1158" s="7"/>
      <c r="TKV1158" s="7"/>
      <c r="TKW1158" s="7"/>
      <c r="TKX1158" s="7"/>
      <c r="TKY1158" s="7"/>
      <c r="TKZ1158" s="7"/>
      <c r="TLA1158" s="7"/>
      <c r="TLB1158" s="7"/>
      <c r="TLC1158" s="7"/>
      <c r="TLD1158" s="7"/>
      <c r="TLE1158" s="7"/>
      <c r="TLF1158" s="7"/>
      <c r="TLG1158" s="7"/>
      <c r="TLH1158" s="7"/>
      <c r="TLI1158" s="7"/>
      <c r="TLJ1158" s="7"/>
      <c r="TLK1158" s="7"/>
      <c r="TLL1158" s="7"/>
      <c r="TLM1158" s="7"/>
      <c r="TLN1158" s="7"/>
      <c r="TLO1158" s="7"/>
      <c r="TLP1158" s="7"/>
      <c r="TLQ1158" s="7"/>
      <c r="TLR1158" s="7"/>
      <c r="TLS1158" s="7"/>
      <c r="TLT1158" s="7"/>
      <c r="TLU1158" s="7"/>
      <c r="TLV1158" s="7"/>
      <c r="TLW1158" s="7"/>
      <c r="TLX1158" s="7"/>
      <c r="TLY1158" s="7"/>
      <c r="TLZ1158" s="7"/>
      <c r="TMA1158" s="7"/>
      <c r="TMB1158" s="7"/>
      <c r="TMC1158" s="7"/>
      <c r="TMD1158" s="7"/>
      <c r="TME1158" s="7"/>
      <c r="TMF1158" s="7"/>
      <c r="TMG1158" s="7"/>
      <c r="TMH1158" s="7"/>
      <c r="TMI1158" s="7"/>
      <c r="TMJ1158" s="7"/>
      <c r="TMK1158" s="7"/>
      <c r="TML1158" s="7"/>
      <c r="TMM1158" s="7"/>
      <c r="TMN1158" s="7"/>
      <c r="TMO1158" s="7"/>
      <c r="TMP1158" s="7"/>
      <c r="TMQ1158" s="7"/>
      <c r="TMR1158" s="7"/>
      <c r="TMS1158" s="7"/>
      <c r="TMT1158" s="7"/>
      <c r="TMU1158" s="7"/>
      <c r="TMV1158" s="7"/>
      <c r="TMW1158" s="7"/>
      <c r="TMX1158" s="7"/>
      <c r="TMY1158" s="7"/>
      <c r="TMZ1158" s="7"/>
      <c r="TNA1158" s="7"/>
      <c r="TNB1158" s="7"/>
      <c r="TNC1158" s="7"/>
      <c r="TND1158" s="7"/>
      <c r="TNE1158" s="7"/>
      <c r="TNF1158" s="7"/>
      <c r="TNG1158" s="7"/>
      <c r="TNH1158" s="7"/>
      <c r="TNI1158" s="7"/>
      <c r="TNJ1158" s="7"/>
      <c r="TNK1158" s="7"/>
      <c r="TNL1158" s="7"/>
      <c r="TNM1158" s="7"/>
      <c r="TNN1158" s="7"/>
      <c r="TNO1158" s="7"/>
      <c r="TNP1158" s="7"/>
      <c r="TNQ1158" s="7"/>
      <c r="TNR1158" s="7"/>
      <c r="TNS1158" s="7"/>
      <c r="TNT1158" s="7"/>
      <c r="TNU1158" s="7"/>
      <c r="TNV1158" s="7"/>
      <c r="TNW1158" s="7"/>
      <c r="TNX1158" s="7"/>
      <c r="TNY1158" s="7"/>
      <c r="TNZ1158" s="7"/>
      <c r="TOA1158" s="7"/>
      <c r="TOB1158" s="7"/>
      <c r="TOC1158" s="7"/>
      <c r="TOD1158" s="7"/>
      <c r="TOE1158" s="7"/>
      <c r="TOF1158" s="7"/>
      <c r="TOG1158" s="7"/>
      <c r="TOH1158" s="7"/>
      <c r="TOI1158" s="7"/>
      <c r="TOJ1158" s="7"/>
      <c r="TOK1158" s="7"/>
      <c r="TOL1158" s="7"/>
      <c r="TOM1158" s="7"/>
      <c r="TON1158" s="7"/>
      <c r="TOO1158" s="7"/>
      <c r="TOP1158" s="7"/>
      <c r="TOQ1158" s="7"/>
      <c r="TOR1158" s="7"/>
      <c r="TOS1158" s="7"/>
      <c r="TOT1158" s="7"/>
      <c r="TOU1158" s="7"/>
      <c r="TOV1158" s="7"/>
      <c r="TOW1158" s="7"/>
      <c r="TOX1158" s="7"/>
      <c r="TOY1158" s="7"/>
      <c r="TOZ1158" s="7"/>
      <c r="TPA1158" s="7"/>
      <c r="TPB1158" s="7"/>
      <c r="TPC1158" s="7"/>
      <c r="TPD1158" s="7"/>
      <c r="TPE1158" s="7"/>
      <c r="TPF1158" s="7"/>
      <c r="TPG1158" s="7"/>
      <c r="TPH1158" s="7"/>
      <c r="TPI1158" s="7"/>
      <c r="TPJ1158" s="7"/>
      <c r="TPK1158" s="7"/>
      <c r="TPL1158" s="7"/>
      <c r="TPM1158" s="7"/>
      <c r="TPN1158" s="7"/>
      <c r="TPO1158" s="7"/>
      <c r="TPP1158" s="7"/>
      <c r="TPQ1158" s="7"/>
      <c r="TPR1158" s="7"/>
      <c r="TPS1158" s="7"/>
      <c r="TPT1158" s="7"/>
      <c r="TPU1158" s="7"/>
      <c r="TPV1158" s="7"/>
      <c r="TPW1158" s="7"/>
      <c r="TPX1158" s="7"/>
      <c r="TPY1158" s="7"/>
      <c r="TPZ1158" s="7"/>
      <c r="TQA1158" s="7"/>
      <c r="TQB1158" s="7"/>
      <c r="TQC1158" s="7"/>
      <c r="TQD1158" s="7"/>
      <c r="TQE1158" s="7"/>
      <c r="TQF1158" s="7"/>
      <c r="TQG1158" s="7"/>
      <c r="TQH1158" s="7"/>
      <c r="TQI1158" s="7"/>
      <c r="TQJ1158" s="7"/>
      <c r="TQK1158" s="7"/>
      <c r="TQL1158" s="7"/>
      <c r="TQM1158" s="7"/>
      <c r="TQN1158" s="7"/>
      <c r="TQO1158" s="7"/>
      <c r="TQP1158" s="7"/>
      <c r="TQQ1158" s="7"/>
      <c r="TQR1158" s="7"/>
      <c r="TQS1158" s="7"/>
      <c r="TQT1158" s="7"/>
      <c r="TQU1158" s="7"/>
      <c r="TQV1158" s="7"/>
      <c r="TQW1158" s="7"/>
      <c r="TQX1158" s="7"/>
      <c r="TQY1158" s="7"/>
      <c r="TQZ1158" s="7"/>
      <c r="TRA1158" s="7"/>
      <c r="TRB1158" s="7"/>
      <c r="TRC1158" s="7"/>
      <c r="TRD1158" s="7"/>
      <c r="TRE1158" s="7"/>
      <c r="TRF1158" s="7"/>
      <c r="TRG1158" s="7"/>
      <c r="TRH1158" s="7"/>
      <c r="TRI1158" s="7"/>
      <c r="TRJ1158" s="7"/>
      <c r="TRK1158" s="7"/>
      <c r="TRL1158" s="7"/>
      <c r="TRM1158" s="7"/>
      <c r="TRN1158" s="7"/>
      <c r="TRO1158" s="7"/>
      <c r="TRP1158" s="7"/>
      <c r="TRQ1158" s="7"/>
      <c r="TRR1158" s="7"/>
      <c r="TRS1158" s="7"/>
      <c r="TRT1158" s="7"/>
      <c r="TRU1158" s="7"/>
      <c r="TRV1158" s="7"/>
      <c r="TRW1158" s="7"/>
      <c r="TRX1158" s="7"/>
      <c r="TRY1158" s="7"/>
      <c r="TRZ1158" s="7"/>
      <c r="TSA1158" s="7"/>
      <c r="TSB1158" s="7"/>
      <c r="TSC1158" s="7"/>
      <c r="TSD1158" s="7"/>
      <c r="TSE1158" s="7"/>
      <c r="TSF1158" s="7"/>
      <c r="TSG1158" s="7"/>
      <c r="TSH1158" s="7"/>
      <c r="TSI1158" s="7"/>
      <c r="TSJ1158" s="7"/>
      <c r="TSK1158" s="7"/>
      <c r="TSL1158" s="7"/>
      <c r="TSM1158" s="7"/>
      <c r="TSN1158" s="7"/>
      <c r="TSO1158" s="7"/>
      <c r="TSP1158" s="7"/>
      <c r="TSQ1158" s="7"/>
      <c r="TSR1158" s="7"/>
      <c r="TSS1158" s="7"/>
      <c r="TST1158" s="7"/>
      <c r="TSU1158" s="7"/>
      <c r="TSV1158" s="7"/>
      <c r="TSW1158" s="7"/>
      <c r="TSX1158" s="7"/>
      <c r="TSY1158" s="7"/>
      <c r="TSZ1158" s="7"/>
      <c r="TTA1158" s="7"/>
      <c r="TTB1158" s="7"/>
      <c r="TTC1158" s="7"/>
      <c r="TTD1158" s="7"/>
      <c r="TTE1158" s="7"/>
      <c r="TTF1158" s="7"/>
      <c r="TTG1158" s="7"/>
      <c r="TTH1158" s="7"/>
      <c r="TTI1158" s="7"/>
      <c r="TTJ1158" s="7"/>
      <c r="TTK1158" s="7"/>
      <c r="TTL1158" s="7"/>
      <c r="TTM1158" s="7"/>
      <c r="TTN1158" s="7"/>
      <c r="TTO1158" s="7"/>
      <c r="TTP1158" s="7"/>
      <c r="TTQ1158" s="7"/>
      <c r="TTR1158" s="7"/>
      <c r="TTS1158" s="7"/>
      <c r="TTT1158" s="7"/>
      <c r="TTU1158" s="7"/>
      <c r="TTV1158" s="7"/>
      <c r="TTW1158" s="7"/>
      <c r="TTX1158" s="7"/>
      <c r="TTY1158" s="7"/>
      <c r="TTZ1158" s="7"/>
      <c r="TUA1158" s="7"/>
      <c r="TUB1158" s="7"/>
      <c r="TUC1158" s="7"/>
      <c r="TUD1158" s="7"/>
      <c r="TUE1158" s="7"/>
      <c r="TUF1158" s="7"/>
      <c r="TUG1158" s="7"/>
      <c r="TUH1158" s="7"/>
      <c r="TUI1158" s="7"/>
      <c r="TUJ1158" s="7"/>
      <c r="TUK1158" s="7"/>
      <c r="TUL1158" s="7"/>
      <c r="TUM1158" s="7"/>
      <c r="TUN1158" s="7"/>
      <c r="TUO1158" s="7"/>
      <c r="TUP1158" s="7"/>
      <c r="TUQ1158" s="7"/>
      <c r="TUR1158" s="7"/>
      <c r="TUS1158" s="7"/>
      <c r="TUT1158" s="7"/>
      <c r="TUU1158" s="7"/>
      <c r="TUV1158" s="7"/>
      <c r="TUW1158" s="7"/>
      <c r="TUX1158" s="7"/>
      <c r="TUY1158" s="7"/>
      <c r="TUZ1158" s="7"/>
      <c r="TVA1158" s="7"/>
      <c r="TVB1158" s="7"/>
      <c r="TVC1158" s="7"/>
      <c r="TVD1158" s="7"/>
      <c r="TVE1158" s="7"/>
      <c r="TVF1158" s="7"/>
      <c r="TVG1158" s="7"/>
      <c r="TVH1158" s="7"/>
      <c r="TVI1158" s="7"/>
      <c r="TVJ1158" s="7"/>
      <c r="TVK1158" s="7"/>
      <c r="TVL1158" s="7"/>
      <c r="TVM1158" s="7"/>
      <c r="TVN1158" s="7"/>
      <c r="TVO1158" s="7"/>
      <c r="TVP1158" s="7"/>
      <c r="TVQ1158" s="7"/>
      <c r="TVR1158" s="7"/>
      <c r="TVS1158" s="7"/>
      <c r="TVT1158" s="7"/>
      <c r="TVU1158" s="7"/>
      <c r="TVV1158" s="7"/>
      <c r="TVW1158" s="7"/>
      <c r="TVX1158" s="7"/>
      <c r="TVY1158" s="7"/>
      <c r="TVZ1158" s="7"/>
      <c r="TWA1158" s="7"/>
      <c r="TWB1158" s="7"/>
      <c r="TWC1158" s="7"/>
      <c r="TWD1158" s="7"/>
      <c r="TWE1158" s="7"/>
      <c r="TWF1158" s="7"/>
      <c r="TWG1158" s="7"/>
      <c r="TWH1158" s="7"/>
      <c r="TWI1158" s="7"/>
      <c r="TWJ1158" s="7"/>
      <c r="TWK1158" s="7"/>
      <c r="TWL1158" s="7"/>
      <c r="TWM1158" s="7"/>
      <c r="TWN1158" s="7"/>
      <c r="TWO1158" s="7"/>
      <c r="TWP1158" s="7"/>
      <c r="TWQ1158" s="7"/>
      <c r="TWR1158" s="7"/>
      <c r="TWS1158" s="7"/>
      <c r="TWT1158" s="7"/>
      <c r="TWU1158" s="7"/>
      <c r="TWV1158" s="7"/>
      <c r="TWW1158" s="7"/>
      <c r="TWX1158" s="7"/>
      <c r="TWY1158" s="7"/>
      <c r="TWZ1158" s="7"/>
      <c r="TXA1158" s="7"/>
      <c r="TXB1158" s="7"/>
      <c r="TXC1158" s="7"/>
      <c r="TXD1158" s="7"/>
      <c r="TXE1158" s="7"/>
      <c r="TXF1158" s="7"/>
      <c r="TXG1158" s="7"/>
      <c r="TXH1158" s="7"/>
      <c r="TXI1158" s="7"/>
      <c r="TXJ1158" s="7"/>
      <c r="TXK1158" s="7"/>
      <c r="TXL1158" s="7"/>
      <c r="TXM1158" s="7"/>
      <c r="TXN1158" s="7"/>
      <c r="TXO1158" s="7"/>
      <c r="TXP1158" s="7"/>
      <c r="TXQ1158" s="7"/>
      <c r="TXR1158" s="7"/>
      <c r="TXS1158" s="7"/>
      <c r="TXT1158" s="7"/>
      <c r="TXU1158" s="7"/>
      <c r="TXV1158" s="7"/>
      <c r="TXW1158" s="7"/>
      <c r="TXX1158" s="7"/>
      <c r="TXY1158" s="7"/>
      <c r="TXZ1158" s="7"/>
      <c r="TYA1158" s="7"/>
      <c r="TYB1158" s="7"/>
      <c r="TYC1158" s="7"/>
      <c r="TYD1158" s="7"/>
      <c r="TYE1158" s="7"/>
      <c r="TYF1158" s="7"/>
      <c r="TYG1158" s="7"/>
      <c r="TYH1158" s="7"/>
      <c r="TYI1158" s="7"/>
      <c r="TYJ1158" s="7"/>
      <c r="TYK1158" s="7"/>
      <c r="TYL1158" s="7"/>
      <c r="TYM1158" s="7"/>
      <c r="TYN1158" s="7"/>
      <c r="TYO1158" s="7"/>
      <c r="TYP1158" s="7"/>
      <c r="TYQ1158" s="7"/>
      <c r="TYR1158" s="7"/>
      <c r="TYS1158" s="7"/>
      <c r="TYT1158" s="7"/>
      <c r="TYU1158" s="7"/>
      <c r="TYV1158" s="7"/>
      <c r="TYW1158" s="7"/>
      <c r="TYX1158" s="7"/>
      <c r="TYY1158" s="7"/>
      <c r="TYZ1158" s="7"/>
      <c r="TZA1158" s="7"/>
      <c r="TZB1158" s="7"/>
      <c r="TZC1158" s="7"/>
      <c r="TZD1158" s="7"/>
      <c r="TZE1158" s="7"/>
      <c r="TZF1158" s="7"/>
      <c r="TZG1158" s="7"/>
      <c r="TZH1158" s="7"/>
      <c r="TZI1158" s="7"/>
      <c r="TZJ1158" s="7"/>
      <c r="TZK1158" s="7"/>
      <c r="TZL1158" s="7"/>
      <c r="TZM1158" s="7"/>
      <c r="TZN1158" s="7"/>
      <c r="TZO1158" s="7"/>
      <c r="TZP1158" s="7"/>
      <c r="TZQ1158" s="7"/>
      <c r="TZR1158" s="7"/>
      <c r="TZS1158" s="7"/>
      <c r="TZT1158" s="7"/>
      <c r="TZU1158" s="7"/>
      <c r="TZV1158" s="7"/>
      <c r="TZW1158" s="7"/>
      <c r="TZX1158" s="7"/>
      <c r="TZY1158" s="7"/>
      <c r="TZZ1158" s="7"/>
      <c r="UAA1158" s="7"/>
      <c r="UAB1158" s="7"/>
      <c r="UAC1158" s="7"/>
      <c r="UAD1158" s="7"/>
      <c r="UAE1158" s="7"/>
      <c r="UAF1158" s="7"/>
      <c r="UAG1158" s="7"/>
      <c r="UAH1158" s="7"/>
      <c r="UAI1158" s="7"/>
      <c r="UAJ1158" s="7"/>
      <c r="UAK1158" s="7"/>
      <c r="UAL1158" s="7"/>
      <c r="UAM1158" s="7"/>
      <c r="UAN1158" s="7"/>
      <c r="UAO1158" s="7"/>
      <c r="UAP1158" s="7"/>
      <c r="UAQ1158" s="7"/>
      <c r="UAR1158" s="7"/>
      <c r="UAS1158" s="7"/>
      <c r="UAT1158" s="7"/>
      <c r="UAU1158" s="7"/>
      <c r="UAV1158" s="7"/>
      <c r="UAW1158" s="7"/>
      <c r="UAX1158" s="7"/>
      <c r="UAY1158" s="7"/>
      <c r="UAZ1158" s="7"/>
      <c r="UBA1158" s="7"/>
      <c r="UBB1158" s="7"/>
      <c r="UBC1158" s="7"/>
      <c r="UBD1158" s="7"/>
      <c r="UBE1158" s="7"/>
      <c r="UBF1158" s="7"/>
      <c r="UBG1158" s="7"/>
      <c r="UBH1158" s="7"/>
      <c r="UBI1158" s="7"/>
      <c r="UBJ1158" s="7"/>
      <c r="UBK1158" s="7"/>
      <c r="UBL1158" s="7"/>
      <c r="UBM1158" s="7"/>
      <c r="UBN1158" s="7"/>
      <c r="UBO1158" s="7"/>
      <c r="UBP1158" s="7"/>
      <c r="UBQ1158" s="7"/>
      <c r="UBR1158" s="7"/>
      <c r="UBS1158" s="7"/>
      <c r="UBT1158" s="7"/>
      <c r="UBU1158" s="7"/>
      <c r="UBV1158" s="7"/>
      <c r="UBW1158" s="7"/>
      <c r="UBX1158" s="7"/>
      <c r="UBY1158" s="7"/>
      <c r="UBZ1158" s="7"/>
      <c r="UCA1158" s="7"/>
      <c r="UCB1158" s="7"/>
      <c r="UCC1158" s="7"/>
      <c r="UCD1158" s="7"/>
      <c r="UCE1158" s="7"/>
      <c r="UCF1158" s="7"/>
      <c r="UCG1158" s="7"/>
      <c r="UCH1158" s="7"/>
      <c r="UCI1158" s="7"/>
      <c r="UCJ1158" s="7"/>
      <c r="UCK1158" s="7"/>
      <c r="UCL1158" s="7"/>
      <c r="UCM1158" s="7"/>
      <c r="UCN1158" s="7"/>
      <c r="UCO1158" s="7"/>
      <c r="UCP1158" s="7"/>
      <c r="UCQ1158" s="7"/>
      <c r="UCR1158" s="7"/>
      <c r="UCS1158" s="7"/>
      <c r="UCT1158" s="7"/>
      <c r="UCU1158" s="7"/>
      <c r="UCV1158" s="7"/>
      <c r="UCW1158" s="7"/>
      <c r="UCX1158" s="7"/>
      <c r="UCY1158" s="7"/>
      <c r="UCZ1158" s="7"/>
      <c r="UDA1158" s="7"/>
      <c r="UDB1158" s="7"/>
      <c r="UDC1158" s="7"/>
      <c r="UDD1158" s="7"/>
      <c r="UDE1158" s="7"/>
      <c r="UDF1158" s="7"/>
      <c r="UDG1158" s="7"/>
      <c r="UDH1158" s="7"/>
      <c r="UDI1158" s="7"/>
      <c r="UDJ1158" s="7"/>
      <c r="UDK1158" s="7"/>
      <c r="UDL1158" s="7"/>
      <c r="UDM1158" s="7"/>
      <c r="UDN1158" s="7"/>
      <c r="UDO1158" s="7"/>
      <c r="UDP1158" s="7"/>
      <c r="UDQ1158" s="7"/>
      <c r="UDR1158" s="7"/>
      <c r="UDS1158" s="7"/>
      <c r="UDT1158" s="7"/>
      <c r="UDU1158" s="7"/>
      <c r="UDV1158" s="7"/>
      <c r="UDW1158" s="7"/>
      <c r="UDX1158" s="7"/>
      <c r="UDY1158" s="7"/>
      <c r="UDZ1158" s="7"/>
      <c r="UEA1158" s="7"/>
      <c r="UEB1158" s="7"/>
      <c r="UEC1158" s="7"/>
      <c r="UED1158" s="7"/>
      <c r="UEE1158" s="7"/>
      <c r="UEF1158" s="7"/>
      <c r="UEG1158" s="7"/>
      <c r="UEH1158" s="7"/>
      <c r="UEI1158" s="7"/>
      <c r="UEJ1158" s="7"/>
      <c r="UEK1158" s="7"/>
      <c r="UEL1158" s="7"/>
      <c r="UEM1158" s="7"/>
      <c r="UEN1158" s="7"/>
      <c r="UEO1158" s="7"/>
      <c r="UEP1158" s="7"/>
      <c r="UEQ1158" s="7"/>
      <c r="UER1158" s="7"/>
      <c r="UES1158" s="7"/>
      <c r="UET1158" s="7"/>
      <c r="UEU1158" s="7"/>
      <c r="UEV1158" s="7"/>
      <c r="UEW1158" s="7"/>
      <c r="UEX1158" s="7"/>
      <c r="UEY1158" s="7"/>
      <c r="UEZ1158" s="7"/>
      <c r="UFA1158" s="7"/>
      <c r="UFB1158" s="7"/>
      <c r="UFC1158" s="7"/>
      <c r="UFD1158" s="7"/>
      <c r="UFE1158" s="7"/>
      <c r="UFF1158" s="7"/>
      <c r="UFG1158" s="7"/>
      <c r="UFH1158" s="7"/>
      <c r="UFI1158" s="7"/>
      <c r="UFJ1158" s="7"/>
      <c r="UFK1158" s="7"/>
      <c r="UFL1158" s="7"/>
      <c r="UFM1158" s="7"/>
      <c r="UFN1158" s="7"/>
      <c r="UFO1158" s="7"/>
      <c r="UFP1158" s="7"/>
      <c r="UFQ1158" s="7"/>
      <c r="UFR1158" s="7"/>
      <c r="UFS1158" s="7"/>
      <c r="UFT1158" s="7"/>
      <c r="UFU1158" s="7"/>
      <c r="UFV1158" s="7"/>
      <c r="UFW1158" s="7"/>
      <c r="UFX1158" s="7"/>
      <c r="UFY1158" s="7"/>
      <c r="UFZ1158" s="7"/>
      <c r="UGA1158" s="7"/>
      <c r="UGB1158" s="7"/>
      <c r="UGC1158" s="7"/>
      <c r="UGD1158" s="7"/>
      <c r="UGE1158" s="7"/>
      <c r="UGF1158" s="7"/>
      <c r="UGG1158" s="7"/>
      <c r="UGH1158" s="7"/>
      <c r="UGI1158" s="7"/>
      <c r="UGJ1158" s="7"/>
      <c r="UGK1158" s="7"/>
      <c r="UGL1158" s="7"/>
      <c r="UGM1158" s="7"/>
      <c r="UGN1158" s="7"/>
      <c r="UGO1158" s="7"/>
      <c r="UGP1158" s="7"/>
      <c r="UGQ1158" s="7"/>
      <c r="UGR1158" s="7"/>
      <c r="UGS1158" s="7"/>
      <c r="UGT1158" s="7"/>
      <c r="UGU1158" s="7"/>
      <c r="UGV1158" s="7"/>
      <c r="UGW1158" s="7"/>
      <c r="UGX1158" s="7"/>
      <c r="UGY1158" s="7"/>
      <c r="UGZ1158" s="7"/>
      <c r="UHA1158" s="7"/>
      <c r="UHB1158" s="7"/>
      <c r="UHC1158" s="7"/>
      <c r="UHD1158" s="7"/>
      <c r="UHE1158" s="7"/>
      <c r="UHF1158" s="7"/>
      <c r="UHG1158" s="7"/>
      <c r="UHH1158" s="7"/>
      <c r="UHI1158" s="7"/>
      <c r="UHJ1158" s="7"/>
      <c r="UHK1158" s="7"/>
      <c r="UHL1158" s="7"/>
      <c r="UHM1158" s="7"/>
      <c r="UHN1158" s="7"/>
      <c r="UHO1158" s="7"/>
      <c r="UHP1158" s="7"/>
      <c r="UHQ1158" s="7"/>
      <c r="UHR1158" s="7"/>
      <c r="UHS1158" s="7"/>
      <c r="UHT1158" s="7"/>
      <c r="UHU1158" s="7"/>
      <c r="UHV1158" s="7"/>
      <c r="UHW1158" s="7"/>
      <c r="UHX1158" s="7"/>
      <c r="UHY1158" s="7"/>
      <c r="UHZ1158" s="7"/>
      <c r="UIA1158" s="7"/>
      <c r="UIB1158" s="7"/>
      <c r="UIC1158" s="7"/>
      <c r="UID1158" s="7"/>
      <c r="UIE1158" s="7"/>
      <c r="UIF1158" s="7"/>
      <c r="UIG1158" s="7"/>
      <c r="UIH1158" s="7"/>
      <c r="UII1158" s="7"/>
      <c r="UIJ1158" s="7"/>
      <c r="UIK1158" s="7"/>
      <c r="UIL1158" s="7"/>
      <c r="UIM1158" s="7"/>
      <c r="UIN1158" s="7"/>
      <c r="UIO1158" s="7"/>
      <c r="UIP1158" s="7"/>
      <c r="UIQ1158" s="7"/>
      <c r="UIR1158" s="7"/>
      <c r="UIS1158" s="7"/>
      <c r="UIT1158" s="7"/>
      <c r="UIU1158" s="7"/>
      <c r="UIV1158" s="7"/>
      <c r="UIW1158" s="7"/>
      <c r="UIX1158" s="7"/>
      <c r="UIY1158" s="7"/>
      <c r="UIZ1158" s="7"/>
      <c r="UJA1158" s="7"/>
      <c r="UJB1158" s="7"/>
      <c r="UJC1158" s="7"/>
      <c r="UJD1158" s="7"/>
      <c r="UJE1158" s="7"/>
      <c r="UJF1158" s="7"/>
      <c r="UJG1158" s="7"/>
      <c r="UJH1158" s="7"/>
      <c r="UJI1158" s="7"/>
      <c r="UJJ1158" s="7"/>
      <c r="UJK1158" s="7"/>
      <c r="UJL1158" s="7"/>
      <c r="UJM1158" s="7"/>
      <c r="UJN1158" s="7"/>
      <c r="UJO1158" s="7"/>
      <c r="UJP1158" s="7"/>
      <c r="UJQ1158" s="7"/>
      <c r="UJR1158" s="7"/>
      <c r="UJS1158" s="7"/>
      <c r="UJT1158" s="7"/>
      <c r="UJU1158" s="7"/>
      <c r="UJV1158" s="7"/>
      <c r="UJW1158" s="7"/>
      <c r="UJX1158" s="7"/>
      <c r="UJY1158" s="7"/>
      <c r="UJZ1158" s="7"/>
      <c r="UKA1158" s="7"/>
      <c r="UKB1158" s="7"/>
      <c r="UKC1158" s="7"/>
      <c r="UKD1158" s="7"/>
      <c r="UKE1158" s="7"/>
      <c r="UKF1158" s="7"/>
      <c r="UKG1158" s="7"/>
      <c r="UKH1158" s="7"/>
      <c r="UKI1158" s="7"/>
      <c r="UKJ1158" s="7"/>
      <c r="UKK1158" s="7"/>
      <c r="UKL1158" s="7"/>
      <c r="UKM1158" s="7"/>
      <c r="UKN1158" s="7"/>
      <c r="UKO1158" s="7"/>
      <c r="UKP1158" s="7"/>
      <c r="UKQ1158" s="7"/>
      <c r="UKR1158" s="7"/>
      <c r="UKS1158" s="7"/>
      <c r="UKT1158" s="7"/>
      <c r="UKU1158" s="7"/>
      <c r="UKV1158" s="7"/>
      <c r="UKW1158" s="7"/>
      <c r="UKX1158" s="7"/>
      <c r="UKY1158" s="7"/>
      <c r="UKZ1158" s="7"/>
      <c r="ULA1158" s="7"/>
      <c r="ULB1158" s="7"/>
      <c r="ULC1158" s="7"/>
      <c r="ULD1158" s="7"/>
      <c r="ULE1158" s="7"/>
      <c r="ULF1158" s="7"/>
      <c r="ULG1158" s="7"/>
      <c r="ULH1158" s="7"/>
      <c r="ULI1158" s="7"/>
      <c r="ULJ1158" s="7"/>
      <c r="ULK1158" s="7"/>
      <c r="ULL1158" s="7"/>
      <c r="ULM1158" s="7"/>
      <c r="ULN1158" s="7"/>
      <c r="ULO1158" s="7"/>
      <c r="ULP1158" s="7"/>
      <c r="ULQ1158" s="7"/>
      <c r="ULR1158" s="7"/>
      <c r="ULS1158" s="7"/>
      <c r="ULT1158" s="7"/>
      <c r="ULU1158" s="7"/>
      <c r="ULV1158" s="7"/>
      <c r="ULW1158" s="7"/>
      <c r="ULX1158" s="7"/>
      <c r="ULY1158" s="7"/>
      <c r="ULZ1158" s="7"/>
      <c r="UMA1158" s="7"/>
      <c r="UMB1158" s="7"/>
      <c r="UMC1158" s="7"/>
      <c r="UMD1158" s="7"/>
      <c r="UME1158" s="7"/>
      <c r="UMF1158" s="7"/>
      <c r="UMG1158" s="7"/>
      <c r="UMH1158" s="7"/>
      <c r="UMI1158" s="7"/>
      <c r="UMJ1158" s="7"/>
      <c r="UMK1158" s="7"/>
      <c r="UML1158" s="7"/>
      <c r="UMM1158" s="7"/>
      <c r="UMN1158" s="7"/>
      <c r="UMO1158" s="7"/>
      <c r="UMP1158" s="7"/>
      <c r="UMQ1158" s="7"/>
      <c r="UMR1158" s="7"/>
      <c r="UMS1158" s="7"/>
      <c r="UMT1158" s="7"/>
      <c r="UMU1158" s="7"/>
      <c r="UMV1158" s="7"/>
      <c r="UMW1158" s="7"/>
      <c r="UMX1158" s="7"/>
      <c r="UMY1158" s="7"/>
      <c r="UMZ1158" s="7"/>
      <c r="UNA1158" s="7"/>
      <c r="UNB1158" s="7"/>
      <c r="UNC1158" s="7"/>
      <c r="UND1158" s="7"/>
      <c r="UNE1158" s="7"/>
      <c r="UNF1158" s="7"/>
      <c r="UNG1158" s="7"/>
      <c r="UNH1158" s="7"/>
      <c r="UNI1158" s="7"/>
      <c r="UNJ1158" s="7"/>
      <c r="UNK1158" s="7"/>
      <c r="UNL1158" s="7"/>
      <c r="UNM1158" s="7"/>
      <c r="UNN1158" s="7"/>
      <c r="UNO1158" s="7"/>
      <c r="UNP1158" s="7"/>
      <c r="UNQ1158" s="7"/>
      <c r="UNR1158" s="7"/>
      <c r="UNS1158" s="7"/>
      <c r="UNT1158" s="7"/>
      <c r="UNU1158" s="7"/>
      <c r="UNV1158" s="7"/>
      <c r="UNW1158" s="7"/>
      <c r="UNX1158" s="7"/>
      <c r="UNY1158" s="7"/>
      <c r="UNZ1158" s="7"/>
      <c r="UOA1158" s="7"/>
      <c r="UOB1158" s="7"/>
      <c r="UOC1158" s="7"/>
      <c r="UOD1158" s="7"/>
      <c r="UOE1158" s="7"/>
      <c r="UOF1158" s="7"/>
      <c r="UOG1158" s="7"/>
      <c r="UOH1158" s="7"/>
      <c r="UOI1158" s="7"/>
      <c r="UOJ1158" s="7"/>
      <c r="UOK1158" s="7"/>
      <c r="UOL1158" s="7"/>
      <c r="UOM1158" s="7"/>
      <c r="UON1158" s="7"/>
      <c r="UOO1158" s="7"/>
      <c r="UOP1158" s="7"/>
      <c r="UOQ1158" s="7"/>
      <c r="UOR1158" s="7"/>
      <c r="UOS1158" s="7"/>
      <c r="UOT1158" s="7"/>
      <c r="UOU1158" s="7"/>
      <c r="UOV1158" s="7"/>
      <c r="UOW1158" s="7"/>
      <c r="UOX1158" s="7"/>
      <c r="UOY1158" s="7"/>
      <c r="UOZ1158" s="7"/>
      <c r="UPA1158" s="7"/>
      <c r="UPB1158" s="7"/>
      <c r="UPC1158" s="7"/>
      <c r="UPD1158" s="7"/>
      <c r="UPE1158" s="7"/>
      <c r="UPF1158" s="7"/>
      <c r="UPG1158" s="7"/>
      <c r="UPH1158" s="7"/>
      <c r="UPI1158" s="7"/>
      <c r="UPJ1158" s="7"/>
      <c r="UPK1158" s="7"/>
      <c r="UPL1158" s="7"/>
      <c r="UPM1158" s="7"/>
      <c r="UPN1158" s="7"/>
      <c r="UPO1158" s="7"/>
      <c r="UPP1158" s="7"/>
      <c r="UPQ1158" s="7"/>
      <c r="UPR1158" s="7"/>
      <c r="UPS1158" s="7"/>
      <c r="UPT1158" s="7"/>
      <c r="UPU1158" s="7"/>
      <c r="UPV1158" s="7"/>
      <c r="UPW1158" s="7"/>
      <c r="UPX1158" s="7"/>
      <c r="UPY1158" s="7"/>
      <c r="UPZ1158" s="7"/>
      <c r="UQA1158" s="7"/>
      <c r="UQB1158" s="7"/>
      <c r="UQC1158" s="7"/>
      <c r="UQD1158" s="7"/>
      <c r="UQE1158" s="7"/>
      <c r="UQF1158" s="7"/>
      <c r="UQG1158" s="7"/>
      <c r="UQH1158" s="7"/>
      <c r="UQI1158" s="7"/>
      <c r="UQJ1158" s="7"/>
      <c r="UQK1158" s="7"/>
      <c r="UQL1158" s="7"/>
      <c r="UQM1158" s="7"/>
      <c r="UQN1158" s="7"/>
      <c r="UQO1158" s="7"/>
      <c r="UQP1158" s="7"/>
      <c r="UQQ1158" s="7"/>
      <c r="UQR1158" s="7"/>
      <c r="UQS1158" s="7"/>
      <c r="UQT1158" s="7"/>
      <c r="UQU1158" s="7"/>
      <c r="UQV1158" s="7"/>
      <c r="UQW1158" s="7"/>
      <c r="UQX1158" s="7"/>
      <c r="UQY1158" s="7"/>
      <c r="UQZ1158" s="7"/>
      <c r="URA1158" s="7"/>
      <c r="URB1158" s="7"/>
      <c r="URC1158" s="7"/>
      <c r="URD1158" s="7"/>
      <c r="URE1158" s="7"/>
      <c r="URF1158" s="7"/>
      <c r="URG1158" s="7"/>
      <c r="URH1158" s="7"/>
      <c r="URI1158" s="7"/>
      <c r="URJ1158" s="7"/>
      <c r="URK1158" s="7"/>
      <c r="URL1158" s="7"/>
      <c r="URM1158" s="7"/>
      <c r="URN1158" s="7"/>
      <c r="URO1158" s="7"/>
      <c r="URP1158" s="7"/>
      <c r="URQ1158" s="7"/>
      <c r="URR1158" s="7"/>
      <c r="URS1158" s="7"/>
      <c r="URT1158" s="7"/>
      <c r="URU1158" s="7"/>
      <c r="URV1158" s="7"/>
      <c r="URW1158" s="7"/>
      <c r="URX1158" s="7"/>
      <c r="URY1158" s="7"/>
      <c r="URZ1158" s="7"/>
      <c r="USA1158" s="7"/>
      <c r="USB1158" s="7"/>
      <c r="USC1158" s="7"/>
      <c r="USD1158" s="7"/>
      <c r="USE1158" s="7"/>
      <c r="USF1158" s="7"/>
      <c r="USG1158" s="7"/>
      <c r="USH1158" s="7"/>
      <c r="USI1158" s="7"/>
      <c r="USJ1158" s="7"/>
      <c r="USK1158" s="7"/>
      <c r="USL1158" s="7"/>
      <c r="USM1158" s="7"/>
      <c r="USN1158" s="7"/>
      <c r="USO1158" s="7"/>
      <c r="USP1158" s="7"/>
      <c r="USQ1158" s="7"/>
      <c r="USR1158" s="7"/>
      <c r="USS1158" s="7"/>
      <c r="UST1158" s="7"/>
      <c r="USU1158" s="7"/>
      <c r="USV1158" s="7"/>
      <c r="USW1158" s="7"/>
      <c r="USX1158" s="7"/>
      <c r="USY1158" s="7"/>
      <c r="USZ1158" s="7"/>
      <c r="UTA1158" s="7"/>
      <c r="UTB1158" s="7"/>
      <c r="UTC1158" s="7"/>
      <c r="UTD1158" s="7"/>
      <c r="UTE1158" s="7"/>
      <c r="UTF1158" s="7"/>
      <c r="UTG1158" s="7"/>
      <c r="UTH1158" s="7"/>
      <c r="UTI1158" s="7"/>
      <c r="UTJ1158" s="7"/>
      <c r="UTK1158" s="7"/>
      <c r="UTL1158" s="7"/>
      <c r="UTM1158" s="7"/>
      <c r="UTN1158" s="7"/>
      <c r="UTO1158" s="7"/>
      <c r="UTP1158" s="7"/>
      <c r="UTQ1158" s="7"/>
      <c r="UTR1158" s="7"/>
      <c r="UTS1158" s="7"/>
      <c r="UTT1158" s="7"/>
      <c r="UTU1158" s="7"/>
      <c r="UTV1158" s="7"/>
      <c r="UTW1158" s="7"/>
      <c r="UTX1158" s="7"/>
      <c r="UTY1158" s="7"/>
      <c r="UTZ1158" s="7"/>
      <c r="UUA1158" s="7"/>
      <c r="UUB1158" s="7"/>
      <c r="UUC1158" s="7"/>
      <c r="UUD1158" s="7"/>
      <c r="UUE1158" s="7"/>
      <c r="UUF1158" s="7"/>
      <c r="UUG1158" s="7"/>
      <c r="UUH1158" s="7"/>
      <c r="UUI1158" s="7"/>
      <c r="UUJ1158" s="7"/>
      <c r="UUK1158" s="7"/>
      <c r="UUL1158" s="7"/>
      <c r="UUM1158" s="7"/>
      <c r="UUN1158" s="7"/>
      <c r="UUO1158" s="7"/>
      <c r="UUP1158" s="7"/>
      <c r="UUQ1158" s="7"/>
      <c r="UUR1158" s="7"/>
      <c r="UUS1158" s="7"/>
      <c r="UUT1158" s="7"/>
      <c r="UUU1158" s="7"/>
      <c r="UUV1158" s="7"/>
      <c r="UUW1158" s="7"/>
      <c r="UUX1158" s="7"/>
      <c r="UUY1158" s="7"/>
      <c r="UUZ1158" s="7"/>
      <c r="UVA1158" s="7"/>
      <c r="UVB1158" s="7"/>
      <c r="UVC1158" s="7"/>
      <c r="UVD1158" s="7"/>
      <c r="UVE1158" s="7"/>
      <c r="UVF1158" s="7"/>
      <c r="UVG1158" s="7"/>
      <c r="UVH1158" s="7"/>
      <c r="UVI1158" s="7"/>
      <c r="UVJ1158" s="7"/>
      <c r="UVK1158" s="7"/>
      <c r="UVL1158" s="7"/>
      <c r="UVM1158" s="7"/>
      <c r="UVN1158" s="7"/>
      <c r="UVO1158" s="7"/>
      <c r="UVP1158" s="7"/>
      <c r="UVQ1158" s="7"/>
      <c r="UVR1158" s="7"/>
      <c r="UVS1158" s="7"/>
      <c r="UVT1158" s="7"/>
      <c r="UVU1158" s="7"/>
      <c r="UVV1158" s="7"/>
      <c r="UVW1158" s="7"/>
      <c r="UVX1158" s="7"/>
      <c r="UVY1158" s="7"/>
      <c r="UVZ1158" s="7"/>
      <c r="UWA1158" s="7"/>
      <c r="UWB1158" s="7"/>
      <c r="UWC1158" s="7"/>
      <c r="UWD1158" s="7"/>
      <c r="UWE1158" s="7"/>
      <c r="UWF1158" s="7"/>
      <c r="UWG1158" s="7"/>
      <c r="UWH1158" s="7"/>
      <c r="UWI1158" s="7"/>
      <c r="UWJ1158" s="7"/>
      <c r="UWK1158" s="7"/>
      <c r="UWL1158" s="7"/>
      <c r="UWM1158" s="7"/>
      <c r="UWN1158" s="7"/>
      <c r="UWO1158" s="7"/>
      <c r="UWP1158" s="7"/>
      <c r="UWQ1158" s="7"/>
      <c r="UWR1158" s="7"/>
      <c r="UWS1158" s="7"/>
      <c r="UWT1158" s="7"/>
      <c r="UWU1158" s="7"/>
      <c r="UWV1158" s="7"/>
      <c r="UWW1158" s="7"/>
      <c r="UWX1158" s="7"/>
      <c r="UWY1158" s="7"/>
      <c r="UWZ1158" s="7"/>
      <c r="UXA1158" s="7"/>
      <c r="UXB1158" s="7"/>
      <c r="UXC1158" s="7"/>
      <c r="UXD1158" s="7"/>
      <c r="UXE1158" s="7"/>
      <c r="UXF1158" s="7"/>
      <c r="UXG1158" s="7"/>
      <c r="UXH1158" s="7"/>
      <c r="UXI1158" s="7"/>
      <c r="UXJ1158" s="7"/>
      <c r="UXK1158" s="7"/>
      <c r="UXL1158" s="7"/>
      <c r="UXM1158" s="7"/>
      <c r="UXN1158" s="7"/>
      <c r="UXO1158" s="7"/>
      <c r="UXP1158" s="7"/>
      <c r="UXQ1158" s="7"/>
      <c r="UXR1158" s="7"/>
      <c r="UXS1158" s="7"/>
      <c r="UXT1158" s="7"/>
      <c r="UXU1158" s="7"/>
      <c r="UXV1158" s="7"/>
      <c r="UXW1158" s="7"/>
      <c r="UXX1158" s="7"/>
      <c r="UXY1158" s="7"/>
      <c r="UXZ1158" s="7"/>
      <c r="UYA1158" s="7"/>
      <c r="UYB1158" s="7"/>
      <c r="UYC1158" s="7"/>
      <c r="UYD1158" s="7"/>
      <c r="UYE1158" s="7"/>
      <c r="UYF1158" s="7"/>
      <c r="UYG1158" s="7"/>
      <c r="UYH1158" s="7"/>
      <c r="UYI1158" s="7"/>
      <c r="UYJ1158" s="7"/>
      <c r="UYK1158" s="7"/>
      <c r="UYL1158" s="7"/>
      <c r="UYM1158" s="7"/>
      <c r="UYN1158" s="7"/>
      <c r="UYO1158" s="7"/>
      <c r="UYP1158" s="7"/>
      <c r="UYQ1158" s="7"/>
      <c r="UYR1158" s="7"/>
      <c r="UYS1158" s="7"/>
      <c r="UYT1158" s="7"/>
      <c r="UYU1158" s="7"/>
      <c r="UYV1158" s="7"/>
      <c r="UYW1158" s="7"/>
      <c r="UYX1158" s="7"/>
      <c r="UYY1158" s="7"/>
      <c r="UYZ1158" s="7"/>
      <c r="UZA1158" s="7"/>
      <c r="UZB1158" s="7"/>
      <c r="UZC1158" s="7"/>
      <c r="UZD1158" s="7"/>
      <c r="UZE1158" s="7"/>
      <c r="UZF1158" s="7"/>
      <c r="UZG1158" s="7"/>
      <c r="UZH1158" s="7"/>
      <c r="UZI1158" s="7"/>
      <c r="UZJ1158" s="7"/>
      <c r="UZK1158" s="7"/>
      <c r="UZL1158" s="7"/>
      <c r="UZM1158" s="7"/>
      <c r="UZN1158" s="7"/>
      <c r="UZO1158" s="7"/>
      <c r="UZP1158" s="7"/>
      <c r="UZQ1158" s="7"/>
      <c r="UZR1158" s="7"/>
      <c r="UZS1158" s="7"/>
      <c r="UZT1158" s="7"/>
      <c r="UZU1158" s="7"/>
      <c r="UZV1158" s="7"/>
      <c r="UZW1158" s="7"/>
      <c r="UZX1158" s="7"/>
      <c r="UZY1158" s="7"/>
      <c r="UZZ1158" s="7"/>
      <c r="VAA1158" s="7"/>
      <c r="VAB1158" s="7"/>
      <c r="VAC1158" s="7"/>
      <c r="VAD1158" s="7"/>
      <c r="VAE1158" s="7"/>
      <c r="VAF1158" s="7"/>
      <c r="VAG1158" s="7"/>
      <c r="VAH1158" s="7"/>
      <c r="VAI1158" s="7"/>
      <c r="VAJ1158" s="7"/>
      <c r="VAK1158" s="7"/>
      <c r="VAL1158" s="7"/>
      <c r="VAM1158" s="7"/>
      <c r="VAN1158" s="7"/>
      <c r="VAO1158" s="7"/>
      <c r="VAP1158" s="7"/>
      <c r="VAQ1158" s="7"/>
      <c r="VAR1158" s="7"/>
      <c r="VAS1158" s="7"/>
      <c r="VAT1158" s="7"/>
      <c r="VAU1158" s="7"/>
      <c r="VAV1158" s="7"/>
      <c r="VAW1158" s="7"/>
      <c r="VAX1158" s="7"/>
      <c r="VAY1158" s="7"/>
      <c r="VAZ1158" s="7"/>
      <c r="VBA1158" s="7"/>
      <c r="VBB1158" s="7"/>
      <c r="VBC1158" s="7"/>
      <c r="VBD1158" s="7"/>
      <c r="VBE1158" s="7"/>
      <c r="VBF1158" s="7"/>
      <c r="VBG1158" s="7"/>
      <c r="VBH1158" s="7"/>
      <c r="VBI1158" s="7"/>
      <c r="VBJ1158" s="7"/>
      <c r="VBK1158" s="7"/>
      <c r="VBL1158" s="7"/>
      <c r="VBM1158" s="7"/>
      <c r="VBN1158" s="7"/>
      <c r="VBO1158" s="7"/>
      <c r="VBP1158" s="7"/>
      <c r="VBQ1158" s="7"/>
      <c r="VBR1158" s="7"/>
      <c r="VBS1158" s="7"/>
      <c r="VBT1158" s="7"/>
      <c r="VBU1158" s="7"/>
      <c r="VBV1158" s="7"/>
      <c r="VBW1158" s="7"/>
      <c r="VBX1158" s="7"/>
      <c r="VBY1158" s="7"/>
      <c r="VBZ1158" s="7"/>
      <c r="VCA1158" s="7"/>
      <c r="VCB1158" s="7"/>
      <c r="VCC1158" s="7"/>
      <c r="VCD1158" s="7"/>
      <c r="VCE1158" s="7"/>
      <c r="VCF1158" s="7"/>
      <c r="VCG1158" s="7"/>
      <c r="VCH1158" s="7"/>
      <c r="VCI1158" s="7"/>
      <c r="VCJ1158" s="7"/>
      <c r="VCK1158" s="7"/>
      <c r="VCL1158" s="7"/>
      <c r="VCM1158" s="7"/>
      <c r="VCN1158" s="7"/>
      <c r="VCO1158" s="7"/>
      <c r="VCP1158" s="7"/>
      <c r="VCQ1158" s="7"/>
      <c r="VCR1158" s="7"/>
      <c r="VCS1158" s="7"/>
      <c r="VCT1158" s="7"/>
      <c r="VCU1158" s="7"/>
      <c r="VCV1158" s="7"/>
      <c r="VCW1158" s="7"/>
      <c r="VCX1158" s="7"/>
      <c r="VCY1158" s="7"/>
      <c r="VCZ1158" s="7"/>
      <c r="VDA1158" s="7"/>
      <c r="VDB1158" s="7"/>
      <c r="VDC1158" s="7"/>
      <c r="VDD1158" s="7"/>
      <c r="VDE1158" s="7"/>
      <c r="VDF1158" s="7"/>
      <c r="VDG1158" s="7"/>
      <c r="VDH1158" s="7"/>
      <c r="VDI1158" s="7"/>
      <c r="VDJ1158" s="7"/>
      <c r="VDK1158" s="7"/>
      <c r="VDL1158" s="7"/>
      <c r="VDM1158" s="7"/>
      <c r="VDN1158" s="7"/>
      <c r="VDO1158" s="7"/>
      <c r="VDP1158" s="7"/>
      <c r="VDQ1158" s="7"/>
      <c r="VDR1158" s="7"/>
      <c r="VDS1158" s="7"/>
      <c r="VDT1158" s="7"/>
      <c r="VDU1158" s="7"/>
      <c r="VDV1158" s="7"/>
      <c r="VDW1158" s="7"/>
      <c r="VDX1158" s="7"/>
      <c r="VDY1158" s="7"/>
      <c r="VDZ1158" s="7"/>
      <c r="VEA1158" s="7"/>
      <c r="VEB1158" s="7"/>
      <c r="VEC1158" s="7"/>
      <c r="VED1158" s="7"/>
      <c r="VEE1158" s="7"/>
      <c r="VEF1158" s="7"/>
      <c r="VEG1158" s="7"/>
      <c r="VEH1158" s="7"/>
      <c r="VEI1158" s="7"/>
      <c r="VEJ1158" s="7"/>
      <c r="VEK1158" s="7"/>
      <c r="VEL1158" s="7"/>
      <c r="VEM1158" s="7"/>
      <c r="VEN1158" s="7"/>
      <c r="VEO1158" s="7"/>
      <c r="VEP1158" s="7"/>
      <c r="VEQ1158" s="7"/>
      <c r="VER1158" s="7"/>
      <c r="VES1158" s="7"/>
      <c r="VET1158" s="7"/>
      <c r="VEU1158" s="7"/>
      <c r="VEV1158" s="7"/>
      <c r="VEW1158" s="7"/>
      <c r="VEX1158" s="7"/>
      <c r="VEY1158" s="7"/>
      <c r="VEZ1158" s="7"/>
      <c r="VFA1158" s="7"/>
      <c r="VFB1158" s="7"/>
      <c r="VFC1158" s="7"/>
      <c r="VFD1158" s="7"/>
      <c r="VFE1158" s="7"/>
      <c r="VFF1158" s="7"/>
      <c r="VFG1158" s="7"/>
      <c r="VFH1158" s="7"/>
      <c r="VFI1158" s="7"/>
      <c r="VFJ1158" s="7"/>
      <c r="VFK1158" s="7"/>
      <c r="VFL1158" s="7"/>
      <c r="VFM1158" s="7"/>
      <c r="VFN1158" s="7"/>
      <c r="VFO1158" s="7"/>
      <c r="VFP1158" s="7"/>
      <c r="VFQ1158" s="7"/>
      <c r="VFR1158" s="7"/>
      <c r="VFS1158" s="7"/>
      <c r="VFT1158" s="7"/>
      <c r="VFU1158" s="7"/>
      <c r="VFV1158" s="7"/>
      <c r="VFW1158" s="7"/>
      <c r="VFX1158" s="7"/>
      <c r="VFY1158" s="7"/>
      <c r="VFZ1158" s="7"/>
      <c r="VGA1158" s="7"/>
      <c r="VGB1158" s="7"/>
      <c r="VGC1158" s="7"/>
      <c r="VGD1158" s="7"/>
      <c r="VGE1158" s="7"/>
      <c r="VGF1158" s="7"/>
      <c r="VGG1158" s="7"/>
      <c r="VGH1158" s="7"/>
      <c r="VGI1158" s="7"/>
      <c r="VGJ1158" s="7"/>
      <c r="VGK1158" s="7"/>
      <c r="VGL1158" s="7"/>
      <c r="VGM1158" s="7"/>
      <c r="VGN1158" s="7"/>
      <c r="VGO1158" s="7"/>
      <c r="VGP1158" s="7"/>
      <c r="VGQ1158" s="7"/>
      <c r="VGR1158" s="7"/>
      <c r="VGS1158" s="7"/>
      <c r="VGT1158" s="7"/>
      <c r="VGU1158" s="7"/>
      <c r="VGV1158" s="7"/>
      <c r="VGW1158" s="7"/>
      <c r="VGX1158" s="7"/>
      <c r="VGY1158" s="7"/>
      <c r="VGZ1158" s="7"/>
      <c r="VHA1158" s="7"/>
      <c r="VHB1158" s="7"/>
      <c r="VHC1158" s="7"/>
      <c r="VHD1158" s="7"/>
      <c r="VHE1158" s="7"/>
      <c r="VHF1158" s="7"/>
      <c r="VHG1158" s="7"/>
      <c r="VHH1158" s="7"/>
      <c r="VHI1158" s="7"/>
      <c r="VHJ1158" s="7"/>
      <c r="VHK1158" s="7"/>
      <c r="VHL1158" s="7"/>
      <c r="VHM1158" s="7"/>
      <c r="VHN1158" s="7"/>
      <c r="VHO1158" s="7"/>
      <c r="VHP1158" s="7"/>
      <c r="VHQ1158" s="7"/>
      <c r="VHR1158" s="7"/>
      <c r="VHS1158" s="7"/>
      <c r="VHT1158" s="7"/>
      <c r="VHU1158" s="7"/>
      <c r="VHV1158" s="7"/>
      <c r="VHW1158" s="7"/>
      <c r="VHX1158" s="7"/>
      <c r="VHY1158" s="7"/>
      <c r="VHZ1158" s="7"/>
      <c r="VIA1158" s="7"/>
      <c r="VIB1158" s="7"/>
      <c r="VIC1158" s="7"/>
      <c r="VID1158" s="7"/>
      <c r="VIE1158" s="7"/>
      <c r="VIF1158" s="7"/>
      <c r="VIG1158" s="7"/>
      <c r="VIH1158" s="7"/>
      <c r="VII1158" s="7"/>
      <c r="VIJ1158" s="7"/>
      <c r="VIK1158" s="7"/>
      <c r="VIL1158" s="7"/>
      <c r="VIM1158" s="7"/>
      <c r="VIN1158" s="7"/>
      <c r="VIO1158" s="7"/>
      <c r="VIP1158" s="7"/>
      <c r="VIQ1158" s="7"/>
      <c r="VIR1158" s="7"/>
      <c r="VIS1158" s="7"/>
      <c r="VIT1158" s="7"/>
      <c r="VIU1158" s="7"/>
      <c r="VIV1158" s="7"/>
      <c r="VIW1158" s="7"/>
      <c r="VIX1158" s="7"/>
      <c r="VIY1158" s="7"/>
      <c r="VIZ1158" s="7"/>
      <c r="VJA1158" s="7"/>
      <c r="VJB1158" s="7"/>
      <c r="VJC1158" s="7"/>
      <c r="VJD1158" s="7"/>
      <c r="VJE1158" s="7"/>
      <c r="VJF1158" s="7"/>
      <c r="VJG1158" s="7"/>
      <c r="VJH1158" s="7"/>
      <c r="VJI1158" s="7"/>
      <c r="VJJ1158" s="7"/>
      <c r="VJK1158" s="7"/>
      <c r="VJL1158" s="7"/>
      <c r="VJM1158" s="7"/>
      <c r="VJN1158" s="7"/>
      <c r="VJO1158" s="7"/>
      <c r="VJP1158" s="7"/>
      <c r="VJQ1158" s="7"/>
      <c r="VJR1158" s="7"/>
      <c r="VJS1158" s="7"/>
      <c r="VJT1158" s="7"/>
      <c r="VJU1158" s="7"/>
      <c r="VJV1158" s="7"/>
      <c r="VJW1158" s="7"/>
      <c r="VJX1158" s="7"/>
      <c r="VJY1158" s="7"/>
      <c r="VJZ1158" s="7"/>
      <c r="VKA1158" s="7"/>
      <c r="VKB1158" s="7"/>
      <c r="VKC1158" s="7"/>
      <c r="VKD1158" s="7"/>
      <c r="VKE1158" s="7"/>
      <c r="VKF1158" s="7"/>
      <c r="VKG1158" s="7"/>
      <c r="VKH1158" s="7"/>
      <c r="VKI1158" s="7"/>
      <c r="VKJ1158" s="7"/>
      <c r="VKK1158" s="7"/>
      <c r="VKL1158" s="7"/>
      <c r="VKM1158" s="7"/>
      <c r="VKN1158" s="7"/>
      <c r="VKO1158" s="7"/>
      <c r="VKP1158" s="7"/>
      <c r="VKQ1158" s="7"/>
      <c r="VKR1158" s="7"/>
      <c r="VKS1158" s="7"/>
      <c r="VKT1158" s="7"/>
      <c r="VKU1158" s="7"/>
      <c r="VKV1158" s="7"/>
      <c r="VKW1158" s="7"/>
      <c r="VKX1158" s="7"/>
      <c r="VKY1158" s="7"/>
      <c r="VKZ1158" s="7"/>
      <c r="VLA1158" s="7"/>
      <c r="VLB1158" s="7"/>
      <c r="VLC1158" s="7"/>
      <c r="VLD1158" s="7"/>
      <c r="VLE1158" s="7"/>
      <c r="VLF1158" s="7"/>
      <c r="VLG1158" s="7"/>
      <c r="VLH1158" s="7"/>
      <c r="VLI1158" s="7"/>
      <c r="VLJ1158" s="7"/>
      <c r="VLK1158" s="7"/>
      <c r="VLL1158" s="7"/>
      <c r="VLM1158" s="7"/>
      <c r="VLN1158" s="7"/>
      <c r="VLO1158" s="7"/>
      <c r="VLP1158" s="7"/>
      <c r="VLQ1158" s="7"/>
      <c r="VLR1158" s="7"/>
      <c r="VLS1158" s="7"/>
      <c r="VLT1158" s="7"/>
      <c r="VLU1158" s="7"/>
      <c r="VLV1158" s="7"/>
      <c r="VLW1158" s="7"/>
      <c r="VLX1158" s="7"/>
      <c r="VLY1158" s="7"/>
      <c r="VLZ1158" s="7"/>
      <c r="VMA1158" s="7"/>
      <c r="VMB1158" s="7"/>
      <c r="VMC1158" s="7"/>
      <c r="VMD1158" s="7"/>
      <c r="VME1158" s="7"/>
      <c r="VMF1158" s="7"/>
      <c r="VMG1158" s="7"/>
      <c r="VMH1158" s="7"/>
      <c r="VMI1158" s="7"/>
      <c r="VMJ1158" s="7"/>
      <c r="VMK1158" s="7"/>
      <c r="VML1158" s="7"/>
      <c r="VMM1158" s="7"/>
      <c r="VMN1158" s="7"/>
      <c r="VMO1158" s="7"/>
      <c r="VMP1158" s="7"/>
      <c r="VMQ1158" s="7"/>
      <c r="VMR1158" s="7"/>
      <c r="VMS1158" s="7"/>
      <c r="VMT1158" s="7"/>
      <c r="VMU1158" s="7"/>
      <c r="VMV1158" s="7"/>
      <c r="VMW1158" s="7"/>
      <c r="VMX1158" s="7"/>
      <c r="VMY1158" s="7"/>
      <c r="VMZ1158" s="7"/>
      <c r="VNA1158" s="7"/>
      <c r="VNB1158" s="7"/>
      <c r="VNC1158" s="7"/>
      <c r="VND1158" s="7"/>
      <c r="VNE1158" s="7"/>
      <c r="VNF1158" s="7"/>
      <c r="VNG1158" s="7"/>
      <c r="VNH1158" s="7"/>
      <c r="VNI1158" s="7"/>
      <c r="VNJ1158" s="7"/>
      <c r="VNK1158" s="7"/>
      <c r="VNL1158" s="7"/>
      <c r="VNM1158" s="7"/>
      <c r="VNN1158" s="7"/>
      <c r="VNO1158" s="7"/>
      <c r="VNP1158" s="7"/>
      <c r="VNQ1158" s="7"/>
      <c r="VNR1158" s="7"/>
      <c r="VNS1158" s="7"/>
      <c r="VNT1158" s="7"/>
      <c r="VNU1158" s="7"/>
      <c r="VNV1158" s="7"/>
      <c r="VNW1158" s="7"/>
      <c r="VNX1158" s="7"/>
      <c r="VNY1158" s="7"/>
      <c r="VNZ1158" s="7"/>
      <c r="VOA1158" s="7"/>
      <c r="VOB1158" s="7"/>
      <c r="VOC1158" s="7"/>
      <c r="VOD1158" s="7"/>
      <c r="VOE1158" s="7"/>
      <c r="VOF1158" s="7"/>
      <c r="VOG1158" s="7"/>
      <c r="VOH1158" s="7"/>
      <c r="VOI1158" s="7"/>
      <c r="VOJ1158" s="7"/>
      <c r="VOK1158" s="7"/>
      <c r="VOL1158" s="7"/>
      <c r="VOM1158" s="7"/>
      <c r="VON1158" s="7"/>
      <c r="VOO1158" s="7"/>
      <c r="VOP1158" s="7"/>
      <c r="VOQ1158" s="7"/>
      <c r="VOR1158" s="7"/>
      <c r="VOS1158" s="7"/>
      <c r="VOT1158" s="7"/>
      <c r="VOU1158" s="7"/>
      <c r="VOV1158" s="7"/>
      <c r="VOW1158" s="7"/>
      <c r="VOX1158" s="7"/>
      <c r="VOY1158" s="7"/>
      <c r="VOZ1158" s="7"/>
      <c r="VPA1158" s="7"/>
      <c r="VPB1158" s="7"/>
      <c r="VPC1158" s="7"/>
      <c r="VPD1158" s="7"/>
      <c r="VPE1158" s="7"/>
      <c r="VPF1158" s="7"/>
      <c r="VPG1158" s="7"/>
      <c r="VPH1158" s="7"/>
      <c r="VPI1158" s="7"/>
      <c r="VPJ1158" s="7"/>
      <c r="VPK1158" s="7"/>
      <c r="VPL1158" s="7"/>
      <c r="VPM1158" s="7"/>
      <c r="VPN1158" s="7"/>
      <c r="VPO1158" s="7"/>
      <c r="VPP1158" s="7"/>
      <c r="VPQ1158" s="7"/>
      <c r="VPR1158" s="7"/>
      <c r="VPS1158" s="7"/>
      <c r="VPT1158" s="7"/>
      <c r="VPU1158" s="7"/>
      <c r="VPV1158" s="7"/>
      <c r="VPW1158" s="7"/>
      <c r="VPX1158" s="7"/>
      <c r="VPY1158" s="7"/>
      <c r="VPZ1158" s="7"/>
      <c r="VQA1158" s="7"/>
      <c r="VQB1158" s="7"/>
      <c r="VQC1158" s="7"/>
      <c r="VQD1158" s="7"/>
      <c r="VQE1158" s="7"/>
      <c r="VQF1158" s="7"/>
      <c r="VQG1158" s="7"/>
      <c r="VQH1158" s="7"/>
      <c r="VQI1158" s="7"/>
      <c r="VQJ1158" s="7"/>
      <c r="VQK1158" s="7"/>
      <c r="VQL1158" s="7"/>
      <c r="VQM1158" s="7"/>
      <c r="VQN1158" s="7"/>
      <c r="VQO1158" s="7"/>
      <c r="VQP1158" s="7"/>
      <c r="VQQ1158" s="7"/>
      <c r="VQR1158" s="7"/>
      <c r="VQS1158" s="7"/>
      <c r="VQT1158" s="7"/>
      <c r="VQU1158" s="7"/>
      <c r="VQV1158" s="7"/>
      <c r="VQW1158" s="7"/>
      <c r="VQX1158" s="7"/>
      <c r="VQY1158" s="7"/>
      <c r="VQZ1158" s="7"/>
      <c r="VRA1158" s="7"/>
      <c r="VRB1158" s="7"/>
      <c r="VRC1158" s="7"/>
      <c r="VRD1158" s="7"/>
      <c r="VRE1158" s="7"/>
      <c r="VRF1158" s="7"/>
      <c r="VRG1158" s="7"/>
      <c r="VRH1158" s="7"/>
      <c r="VRI1158" s="7"/>
      <c r="VRJ1158" s="7"/>
      <c r="VRK1158" s="7"/>
      <c r="VRL1158" s="7"/>
      <c r="VRM1158" s="7"/>
      <c r="VRN1158" s="7"/>
      <c r="VRO1158" s="7"/>
      <c r="VRP1158" s="7"/>
      <c r="VRQ1158" s="7"/>
      <c r="VRR1158" s="7"/>
      <c r="VRS1158" s="7"/>
      <c r="VRT1158" s="7"/>
      <c r="VRU1158" s="7"/>
      <c r="VRV1158" s="7"/>
      <c r="VRW1158" s="7"/>
      <c r="VRX1158" s="7"/>
      <c r="VRY1158" s="7"/>
      <c r="VRZ1158" s="7"/>
      <c r="VSA1158" s="7"/>
      <c r="VSB1158" s="7"/>
      <c r="VSC1158" s="7"/>
      <c r="VSD1158" s="7"/>
      <c r="VSE1158" s="7"/>
      <c r="VSF1158" s="7"/>
      <c r="VSG1158" s="7"/>
      <c r="VSH1158" s="7"/>
      <c r="VSI1158" s="7"/>
      <c r="VSJ1158" s="7"/>
      <c r="VSK1158" s="7"/>
      <c r="VSL1158" s="7"/>
      <c r="VSM1158" s="7"/>
      <c r="VSN1158" s="7"/>
      <c r="VSO1158" s="7"/>
      <c r="VSP1158" s="7"/>
      <c r="VSQ1158" s="7"/>
      <c r="VSR1158" s="7"/>
      <c r="VSS1158" s="7"/>
      <c r="VST1158" s="7"/>
      <c r="VSU1158" s="7"/>
      <c r="VSV1158" s="7"/>
      <c r="VSW1158" s="7"/>
      <c r="VSX1158" s="7"/>
      <c r="VSY1158" s="7"/>
      <c r="VSZ1158" s="7"/>
      <c r="VTA1158" s="7"/>
      <c r="VTB1158" s="7"/>
      <c r="VTC1158" s="7"/>
      <c r="VTD1158" s="7"/>
      <c r="VTE1158" s="7"/>
      <c r="VTF1158" s="7"/>
      <c r="VTG1158" s="7"/>
      <c r="VTH1158" s="7"/>
      <c r="VTI1158" s="7"/>
      <c r="VTJ1158" s="7"/>
      <c r="VTK1158" s="7"/>
      <c r="VTL1158" s="7"/>
      <c r="VTM1158" s="7"/>
      <c r="VTN1158" s="7"/>
      <c r="VTO1158" s="7"/>
      <c r="VTP1158" s="7"/>
      <c r="VTQ1158" s="7"/>
      <c r="VTR1158" s="7"/>
      <c r="VTS1158" s="7"/>
      <c r="VTT1158" s="7"/>
      <c r="VTU1158" s="7"/>
      <c r="VTV1158" s="7"/>
      <c r="VTW1158" s="7"/>
      <c r="VTX1158" s="7"/>
      <c r="VTY1158" s="7"/>
      <c r="VTZ1158" s="7"/>
      <c r="VUA1158" s="7"/>
      <c r="VUB1158" s="7"/>
      <c r="VUC1158" s="7"/>
      <c r="VUD1158" s="7"/>
      <c r="VUE1158" s="7"/>
      <c r="VUF1158" s="7"/>
      <c r="VUG1158" s="7"/>
      <c r="VUH1158" s="7"/>
      <c r="VUI1158" s="7"/>
      <c r="VUJ1158" s="7"/>
      <c r="VUK1158" s="7"/>
      <c r="VUL1158" s="7"/>
      <c r="VUM1158" s="7"/>
      <c r="VUN1158" s="7"/>
      <c r="VUO1158" s="7"/>
      <c r="VUP1158" s="7"/>
      <c r="VUQ1158" s="7"/>
      <c r="VUR1158" s="7"/>
      <c r="VUS1158" s="7"/>
      <c r="VUT1158" s="7"/>
      <c r="VUU1158" s="7"/>
      <c r="VUV1158" s="7"/>
      <c r="VUW1158" s="7"/>
      <c r="VUX1158" s="7"/>
      <c r="VUY1158" s="7"/>
      <c r="VUZ1158" s="7"/>
      <c r="VVA1158" s="7"/>
      <c r="VVB1158" s="7"/>
      <c r="VVC1158" s="7"/>
      <c r="VVD1158" s="7"/>
      <c r="VVE1158" s="7"/>
      <c r="VVF1158" s="7"/>
      <c r="VVG1158" s="7"/>
      <c r="VVH1158" s="7"/>
      <c r="VVI1158" s="7"/>
      <c r="VVJ1158" s="7"/>
      <c r="VVK1158" s="7"/>
      <c r="VVL1158" s="7"/>
      <c r="VVM1158" s="7"/>
      <c r="VVN1158" s="7"/>
      <c r="VVO1158" s="7"/>
      <c r="VVP1158" s="7"/>
      <c r="VVQ1158" s="7"/>
      <c r="VVR1158" s="7"/>
      <c r="VVS1158" s="7"/>
      <c r="VVT1158" s="7"/>
      <c r="VVU1158" s="7"/>
      <c r="VVV1158" s="7"/>
      <c r="VVW1158" s="7"/>
      <c r="VVX1158" s="7"/>
      <c r="VVY1158" s="7"/>
      <c r="VVZ1158" s="7"/>
      <c r="VWA1158" s="7"/>
      <c r="VWB1158" s="7"/>
      <c r="VWC1158" s="7"/>
      <c r="VWD1158" s="7"/>
      <c r="VWE1158" s="7"/>
      <c r="VWF1158" s="7"/>
      <c r="VWG1158" s="7"/>
      <c r="VWH1158" s="7"/>
      <c r="VWI1158" s="7"/>
      <c r="VWJ1158" s="7"/>
      <c r="VWK1158" s="7"/>
      <c r="VWL1158" s="7"/>
      <c r="VWM1158" s="7"/>
      <c r="VWN1158" s="7"/>
      <c r="VWO1158" s="7"/>
      <c r="VWP1158" s="7"/>
      <c r="VWQ1158" s="7"/>
      <c r="VWR1158" s="7"/>
      <c r="VWS1158" s="7"/>
      <c r="VWT1158" s="7"/>
      <c r="VWU1158" s="7"/>
      <c r="VWV1158" s="7"/>
      <c r="VWW1158" s="7"/>
      <c r="VWX1158" s="7"/>
      <c r="VWY1158" s="7"/>
      <c r="VWZ1158" s="7"/>
      <c r="VXA1158" s="7"/>
      <c r="VXB1158" s="7"/>
      <c r="VXC1158" s="7"/>
      <c r="VXD1158" s="7"/>
      <c r="VXE1158" s="7"/>
      <c r="VXF1158" s="7"/>
      <c r="VXG1158" s="7"/>
      <c r="VXH1158" s="7"/>
      <c r="VXI1158" s="7"/>
      <c r="VXJ1158" s="7"/>
      <c r="VXK1158" s="7"/>
      <c r="VXL1158" s="7"/>
      <c r="VXM1158" s="7"/>
      <c r="VXN1158" s="7"/>
      <c r="VXO1158" s="7"/>
      <c r="VXP1158" s="7"/>
      <c r="VXQ1158" s="7"/>
      <c r="VXR1158" s="7"/>
      <c r="VXS1158" s="7"/>
      <c r="VXT1158" s="7"/>
      <c r="VXU1158" s="7"/>
      <c r="VXV1158" s="7"/>
      <c r="VXW1158" s="7"/>
      <c r="VXX1158" s="7"/>
      <c r="VXY1158" s="7"/>
      <c r="VXZ1158" s="7"/>
      <c r="VYA1158" s="7"/>
      <c r="VYB1158" s="7"/>
      <c r="VYC1158" s="7"/>
      <c r="VYD1158" s="7"/>
      <c r="VYE1158" s="7"/>
      <c r="VYF1158" s="7"/>
      <c r="VYG1158" s="7"/>
      <c r="VYH1158" s="7"/>
      <c r="VYI1158" s="7"/>
      <c r="VYJ1158" s="7"/>
      <c r="VYK1158" s="7"/>
      <c r="VYL1158" s="7"/>
      <c r="VYM1158" s="7"/>
      <c r="VYN1158" s="7"/>
      <c r="VYO1158" s="7"/>
      <c r="VYP1158" s="7"/>
      <c r="VYQ1158" s="7"/>
      <c r="VYR1158" s="7"/>
      <c r="VYS1158" s="7"/>
      <c r="VYT1158" s="7"/>
      <c r="VYU1158" s="7"/>
      <c r="VYV1158" s="7"/>
      <c r="VYW1158" s="7"/>
      <c r="VYX1158" s="7"/>
      <c r="VYY1158" s="7"/>
      <c r="VYZ1158" s="7"/>
      <c r="VZA1158" s="7"/>
      <c r="VZB1158" s="7"/>
      <c r="VZC1158" s="7"/>
      <c r="VZD1158" s="7"/>
      <c r="VZE1158" s="7"/>
      <c r="VZF1158" s="7"/>
      <c r="VZG1158" s="7"/>
      <c r="VZH1158" s="7"/>
      <c r="VZI1158" s="7"/>
      <c r="VZJ1158" s="7"/>
      <c r="VZK1158" s="7"/>
      <c r="VZL1158" s="7"/>
      <c r="VZM1158" s="7"/>
      <c r="VZN1158" s="7"/>
      <c r="VZO1158" s="7"/>
      <c r="VZP1158" s="7"/>
      <c r="VZQ1158" s="7"/>
      <c r="VZR1158" s="7"/>
      <c r="VZS1158" s="7"/>
      <c r="VZT1158" s="7"/>
      <c r="VZU1158" s="7"/>
      <c r="VZV1158" s="7"/>
      <c r="VZW1158" s="7"/>
      <c r="VZX1158" s="7"/>
      <c r="VZY1158" s="7"/>
      <c r="VZZ1158" s="7"/>
      <c r="WAA1158" s="7"/>
      <c r="WAB1158" s="7"/>
      <c r="WAC1158" s="7"/>
      <c r="WAD1158" s="7"/>
      <c r="WAE1158" s="7"/>
      <c r="WAF1158" s="7"/>
      <c r="WAG1158" s="7"/>
      <c r="WAH1158" s="7"/>
      <c r="WAI1158" s="7"/>
      <c r="WAJ1158" s="7"/>
      <c r="WAK1158" s="7"/>
      <c r="WAL1158" s="7"/>
      <c r="WAM1158" s="7"/>
      <c r="WAN1158" s="7"/>
      <c r="WAO1158" s="7"/>
      <c r="WAP1158" s="7"/>
      <c r="WAQ1158" s="7"/>
      <c r="WAR1158" s="7"/>
      <c r="WAS1158" s="7"/>
      <c r="WAT1158" s="7"/>
      <c r="WAU1158" s="7"/>
      <c r="WAV1158" s="7"/>
      <c r="WAW1158" s="7"/>
      <c r="WAX1158" s="7"/>
      <c r="WAY1158" s="7"/>
      <c r="WAZ1158" s="7"/>
      <c r="WBA1158" s="7"/>
      <c r="WBB1158" s="7"/>
      <c r="WBC1158" s="7"/>
      <c r="WBD1158" s="7"/>
      <c r="WBE1158" s="7"/>
      <c r="WBF1158" s="7"/>
      <c r="WBG1158" s="7"/>
      <c r="WBH1158" s="7"/>
      <c r="WBI1158" s="7"/>
      <c r="WBJ1158" s="7"/>
      <c r="WBK1158" s="7"/>
      <c r="WBL1158" s="7"/>
      <c r="WBM1158" s="7"/>
      <c r="WBN1158" s="7"/>
      <c r="WBO1158" s="7"/>
      <c r="WBP1158" s="7"/>
      <c r="WBQ1158" s="7"/>
      <c r="WBR1158" s="7"/>
      <c r="WBS1158" s="7"/>
      <c r="WBT1158" s="7"/>
      <c r="WBU1158" s="7"/>
      <c r="WBV1158" s="7"/>
      <c r="WBW1158" s="7"/>
      <c r="WBX1158" s="7"/>
      <c r="WBY1158" s="7"/>
      <c r="WBZ1158" s="7"/>
      <c r="WCA1158" s="7"/>
      <c r="WCB1158" s="7"/>
      <c r="WCC1158" s="7"/>
      <c r="WCD1158" s="7"/>
      <c r="WCE1158" s="7"/>
      <c r="WCF1158" s="7"/>
      <c r="WCG1158" s="7"/>
      <c r="WCH1158" s="7"/>
      <c r="WCI1158" s="7"/>
      <c r="WCJ1158" s="7"/>
      <c r="WCK1158" s="7"/>
      <c r="WCL1158" s="7"/>
      <c r="WCM1158" s="7"/>
      <c r="WCN1158" s="7"/>
      <c r="WCO1158" s="7"/>
      <c r="WCP1158" s="7"/>
      <c r="WCQ1158" s="7"/>
      <c r="WCR1158" s="7"/>
      <c r="WCS1158" s="7"/>
      <c r="WCT1158" s="7"/>
      <c r="WCU1158" s="7"/>
      <c r="WCV1158" s="7"/>
      <c r="WCW1158" s="7"/>
      <c r="WCX1158" s="7"/>
      <c r="WCY1158" s="7"/>
      <c r="WCZ1158" s="7"/>
      <c r="WDA1158" s="7"/>
      <c r="WDB1158" s="7"/>
      <c r="WDC1158" s="7"/>
      <c r="WDD1158" s="7"/>
      <c r="WDE1158" s="7"/>
      <c r="WDF1158" s="7"/>
      <c r="WDG1158" s="7"/>
      <c r="WDH1158" s="7"/>
      <c r="WDI1158" s="7"/>
      <c r="WDJ1158" s="7"/>
      <c r="WDK1158" s="7"/>
      <c r="WDL1158" s="7"/>
      <c r="WDM1158" s="7"/>
      <c r="WDN1158" s="7"/>
      <c r="WDO1158" s="7"/>
      <c r="WDP1158" s="7"/>
      <c r="WDQ1158" s="7"/>
      <c r="WDR1158" s="7"/>
      <c r="WDS1158" s="7"/>
      <c r="WDT1158" s="7"/>
      <c r="WDU1158" s="7"/>
      <c r="WDV1158" s="7"/>
      <c r="WDW1158" s="7"/>
      <c r="WDX1158" s="7"/>
      <c r="WDY1158" s="7"/>
      <c r="WDZ1158" s="7"/>
      <c r="WEA1158" s="7"/>
      <c r="WEB1158" s="7"/>
      <c r="WEC1158" s="7"/>
      <c r="WED1158" s="7"/>
      <c r="WEE1158" s="7"/>
      <c r="WEF1158" s="7"/>
      <c r="WEG1158" s="7"/>
      <c r="WEH1158" s="7"/>
      <c r="WEI1158" s="7"/>
      <c r="WEJ1158" s="7"/>
      <c r="WEK1158" s="7"/>
      <c r="WEL1158" s="7"/>
      <c r="WEM1158" s="7"/>
      <c r="WEN1158" s="7"/>
      <c r="WEO1158" s="7"/>
      <c r="WEP1158" s="7"/>
      <c r="WEQ1158" s="7"/>
      <c r="WER1158" s="7"/>
      <c r="WES1158" s="7"/>
      <c r="WET1158" s="7"/>
      <c r="WEU1158" s="7"/>
      <c r="WEV1158" s="7"/>
      <c r="WEW1158" s="7"/>
      <c r="WEX1158" s="7"/>
      <c r="WEY1158" s="7"/>
      <c r="WEZ1158" s="7"/>
      <c r="WFA1158" s="7"/>
      <c r="WFB1158" s="7"/>
      <c r="WFC1158" s="7"/>
      <c r="WFD1158" s="7"/>
      <c r="WFE1158" s="7"/>
      <c r="WFF1158" s="7"/>
      <c r="WFG1158" s="7"/>
      <c r="WFH1158" s="7"/>
      <c r="WFI1158" s="7"/>
      <c r="WFJ1158" s="7"/>
      <c r="WFK1158" s="7"/>
      <c r="WFL1158" s="7"/>
      <c r="WFM1158" s="7"/>
      <c r="WFN1158" s="7"/>
      <c r="WFO1158" s="7"/>
      <c r="WFP1158" s="7"/>
      <c r="WFQ1158" s="7"/>
      <c r="WFR1158" s="7"/>
      <c r="WFS1158" s="7"/>
      <c r="WFT1158" s="7"/>
      <c r="WFU1158" s="7"/>
      <c r="WFV1158" s="7"/>
      <c r="WFW1158" s="7"/>
      <c r="WFX1158" s="7"/>
      <c r="WFY1158" s="7"/>
      <c r="WFZ1158" s="7"/>
      <c r="WGA1158" s="7"/>
      <c r="WGB1158" s="7"/>
      <c r="WGC1158" s="7"/>
      <c r="WGD1158" s="7"/>
      <c r="WGE1158" s="7"/>
      <c r="WGF1158" s="7"/>
      <c r="WGG1158" s="7"/>
      <c r="WGH1158" s="7"/>
      <c r="WGI1158" s="7"/>
      <c r="WGJ1158" s="7"/>
      <c r="WGK1158" s="7"/>
      <c r="WGL1158" s="7"/>
      <c r="WGM1158" s="7"/>
      <c r="WGN1158" s="7"/>
      <c r="WGO1158" s="7"/>
      <c r="WGP1158" s="7"/>
      <c r="WGQ1158" s="7"/>
      <c r="WGR1158" s="7"/>
      <c r="WGS1158" s="7"/>
      <c r="WGT1158" s="7"/>
      <c r="WGU1158" s="7"/>
      <c r="WGV1158" s="7"/>
      <c r="WGW1158" s="7"/>
      <c r="WGX1158" s="7"/>
      <c r="WGY1158" s="7"/>
      <c r="WGZ1158" s="7"/>
      <c r="WHA1158" s="7"/>
      <c r="WHB1158" s="7"/>
      <c r="WHC1158" s="7"/>
      <c r="WHD1158" s="7"/>
      <c r="WHE1158" s="7"/>
      <c r="WHF1158" s="7"/>
      <c r="WHG1158" s="7"/>
      <c r="WHH1158" s="7"/>
      <c r="WHI1158" s="7"/>
      <c r="WHJ1158" s="7"/>
      <c r="WHK1158" s="7"/>
      <c r="WHL1158" s="7"/>
      <c r="WHM1158" s="7"/>
      <c r="WHN1158" s="7"/>
      <c r="WHO1158" s="7"/>
      <c r="WHP1158" s="7"/>
      <c r="WHQ1158" s="7"/>
      <c r="WHR1158" s="7"/>
      <c r="WHS1158" s="7"/>
      <c r="WHT1158" s="7"/>
      <c r="WHU1158" s="7"/>
      <c r="WHV1158" s="7"/>
      <c r="WHW1158" s="7"/>
      <c r="WHX1158" s="7"/>
      <c r="WHY1158" s="7"/>
      <c r="WHZ1158" s="7"/>
      <c r="WIA1158" s="7"/>
      <c r="WIB1158" s="7"/>
      <c r="WIC1158" s="7"/>
      <c r="WID1158" s="7"/>
      <c r="WIE1158" s="7"/>
      <c r="WIF1158" s="7"/>
      <c r="WIG1158" s="7"/>
      <c r="WIH1158" s="7"/>
      <c r="WII1158" s="7"/>
      <c r="WIJ1158" s="7"/>
      <c r="WIK1158" s="7"/>
      <c r="WIL1158" s="7"/>
      <c r="WIM1158" s="7"/>
      <c r="WIN1158" s="7"/>
      <c r="WIO1158" s="7"/>
      <c r="WIP1158" s="7"/>
      <c r="WIQ1158" s="7"/>
      <c r="WIR1158" s="7"/>
      <c r="WIS1158" s="7"/>
      <c r="WIT1158" s="7"/>
      <c r="WIU1158" s="7"/>
      <c r="WIV1158" s="7"/>
      <c r="WIW1158" s="7"/>
      <c r="WIX1158" s="7"/>
      <c r="WIY1158" s="7"/>
      <c r="WIZ1158" s="7"/>
      <c r="WJA1158" s="7"/>
      <c r="WJB1158" s="7"/>
      <c r="WJC1158" s="7"/>
      <c r="WJD1158" s="7"/>
      <c r="WJE1158" s="7"/>
      <c r="WJF1158" s="7"/>
      <c r="WJG1158" s="7"/>
      <c r="WJH1158" s="7"/>
      <c r="WJI1158" s="7"/>
      <c r="WJJ1158" s="7"/>
      <c r="WJK1158" s="7"/>
      <c r="WJL1158" s="7"/>
      <c r="WJM1158" s="7"/>
      <c r="WJN1158" s="7"/>
      <c r="WJO1158" s="7"/>
      <c r="WJP1158" s="7"/>
      <c r="WJQ1158" s="7"/>
      <c r="WJR1158" s="7"/>
      <c r="WJS1158" s="7"/>
      <c r="WJT1158" s="7"/>
      <c r="WJU1158" s="7"/>
      <c r="WJV1158" s="7"/>
      <c r="WJW1158" s="7"/>
      <c r="WJX1158" s="7"/>
      <c r="WJY1158" s="7"/>
      <c r="WJZ1158" s="7"/>
      <c r="WKA1158" s="7"/>
      <c r="WKB1158" s="7"/>
      <c r="WKC1158" s="7"/>
      <c r="WKD1158" s="7"/>
      <c r="WKE1158" s="7"/>
      <c r="WKF1158" s="7"/>
      <c r="WKG1158" s="7"/>
      <c r="WKH1158" s="7"/>
      <c r="WKI1158" s="7"/>
      <c r="WKJ1158" s="7"/>
      <c r="WKK1158" s="7"/>
      <c r="WKL1158" s="7"/>
      <c r="WKM1158" s="7"/>
      <c r="WKN1158" s="7"/>
      <c r="WKO1158" s="7"/>
      <c r="WKP1158" s="7"/>
      <c r="WKQ1158" s="7"/>
      <c r="WKR1158" s="7"/>
      <c r="WKS1158" s="7"/>
      <c r="WKT1158" s="7"/>
      <c r="WKU1158" s="7"/>
      <c r="WKV1158" s="7"/>
      <c r="WKW1158" s="7"/>
      <c r="WKX1158" s="7"/>
      <c r="WKY1158" s="7"/>
      <c r="WKZ1158" s="7"/>
      <c r="WLA1158" s="7"/>
      <c r="WLB1158" s="7"/>
      <c r="WLC1158" s="7"/>
      <c r="WLD1158" s="7"/>
      <c r="WLE1158" s="7"/>
      <c r="WLF1158" s="7"/>
      <c r="WLG1158" s="7"/>
      <c r="WLH1158" s="7"/>
      <c r="WLI1158" s="7"/>
      <c r="WLJ1158" s="7"/>
      <c r="WLK1158" s="7"/>
      <c r="WLL1158" s="7"/>
      <c r="WLM1158" s="7"/>
      <c r="WLN1158" s="7"/>
      <c r="WLO1158" s="7"/>
      <c r="WLP1158" s="7"/>
      <c r="WLQ1158" s="7"/>
      <c r="WLR1158" s="7"/>
      <c r="WLS1158" s="7"/>
      <c r="WLT1158" s="7"/>
      <c r="WLU1158" s="7"/>
      <c r="WLV1158" s="7"/>
      <c r="WLW1158" s="7"/>
      <c r="WLX1158" s="7"/>
      <c r="WLY1158" s="7"/>
      <c r="WLZ1158" s="7"/>
      <c r="WMA1158" s="7"/>
      <c r="WMB1158" s="7"/>
      <c r="WMC1158" s="7"/>
      <c r="WMD1158" s="7"/>
      <c r="WME1158" s="7"/>
      <c r="WMF1158" s="7"/>
      <c r="WMG1158" s="7"/>
      <c r="WMH1158" s="7"/>
      <c r="WMI1158" s="7"/>
      <c r="WMJ1158" s="7"/>
      <c r="WMK1158" s="7"/>
      <c r="WML1158" s="7"/>
      <c r="WMM1158" s="7"/>
      <c r="WMN1158" s="7"/>
      <c r="WMO1158" s="7"/>
      <c r="WMP1158" s="7"/>
      <c r="WMQ1158" s="7"/>
      <c r="WMR1158" s="7"/>
      <c r="WMS1158" s="7"/>
      <c r="WMT1158" s="7"/>
      <c r="WMU1158" s="7"/>
      <c r="WMV1158" s="7"/>
      <c r="WMW1158" s="7"/>
      <c r="WMX1158" s="7"/>
      <c r="WMY1158" s="7"/>
      <c r="WMZ1158" s="7"/>
      <c r="WNA1158" s="7"/>
      <c r="WNB1158" s="7"/>
      <c r="WNC1158" s="7"/>
      <c r="WND1158" s="7"/>
      <c r="WNE1158" s="7"/>
      <c r="WNF1158" s="7"/>
      <c r="WNG1158" s="7"/>
      <c r="WNH1158" s="7"/>
      <c r="WNI1158" s="7"/>
      <c r="WNJ1158" s="7"/>
      <c r="WNK1158" s="7"/>
      <c r="WNL1158" s="7"/>
      <c r="WNM1158" s="7"/>
      <c r="WNN1158" s="7"/>
      <c r="WNO1158" s="7"/>
      <c r="WNP1158" s="7"/>
      <c r="WNQ1158" s="7"/>
      <c r="WNR1158" s="7"/>
      <c r="WNS1158" s="7"/>
      <c r="WNT1158" s="7"/>
      <c r="WNU1158" s="7"/>
      <c r="WNV1158" s="7"/>
      <c r="WNW1158" s="7"/>
      <c r="WNX1158" s="7"/>
      <c r="WNY1158" s="7"/>
      <c r="WNZ1158" s="7"/>
      <c r="WOA1158" s="7"/>
      <c r="WOB1158" s="7"/>
      <c r="WOC1158" s="7"/>
      <c r="WOD1158" s="7"/>
      <c r="WOE1158" s="7"/>
      <c r="WOF1158" s="7"/>
      <c r="WOG1158" s="7"/>
      <c r="WOH1158" s="7"/>
      <c r="WOI1158" s="7"/>
      <c r="WOJ1158" s="7"/>
      <c r="WOK1158" s="7"/>
      <c r="WOL1158" s="7"/>
      <c r="WOM1158" s="7"/>
      <c r="WON1158" s="7"/>
      <c r="WOO1158" s="7"/>
      <c r="WOP1158" s="7"/>
      <c r="WOQ1158" s="7"/>
      <c r="WOR1158" s="7"/>
      <c r="WOS1158" s="7"/>
      <c r="WOT1158" s="7"/>
      <c r="WOU1158" s="7"/>
      <c r="WOV1158" s="7"/>
      <c r="WOW1158" s="7"/>
      <c r="WOX1158" s="7"/>
      <c r="WOY1158" s="7"/>
      <c r="WOZ1158" s="7"/>
      <c r="WPA1158" s="7"/>
      <c r="WPB1158" s="7"/>
      <c r="WPC1158" s="7"/>
      <c r="WPD1158" s="7"/>
      <c r="WPE1158" s="7"/>
      <c r="WPF1158" s="7"/>
      <c r="WPG1158" s="7"/>
      <c r="WPH1158" s="7"/>
      <c r="WPI1158" s="7"/>
      <c r="WPJ1158" s="7"/>
      <c r="WPK1158" s="7"/>
      <c r="WPL1158" s="7"/>
      <c r="WPM1158" s="7"/>
      <c r="WPN1158" s="7"/>
      <c r="WPO1158" s="7"/>
      <c r="WPP1158" s="7"/>
      <c r="WPQ1158" s="7"/>
      <c r="WPR1158" s="7"/>
      <c r="WPS1158" s="7"/>
      <c r="WPT1158" s="7"/>
      <c r="WPU1158" s="7"/>
      <c r="WPV1158" s="7"/>
      <c r="WPW1158" s="7"/>
      <c r="WPX1158" s="7"/>
      <c r="WPY1158" s="7"/>
      <c r="WPZ1158" s="7"/>
      <c r="WQA1158" s="7"/>
      <c r="WQB1158" s="7"/>
      <c r="WQC1158" s="7"/>
      <c r="WQD1158" s="7"/>
      <c r="WQE1158" s="7"/>
      <c r="WQF1158" s="7"/>
      <c r="WQG1158" s="7"/>
      <c r="WQH1158" s="7"/>
      <c r="WQI1158" s="7"/>
      <c r="WQJ1158" s="7"/>
      <c r="WQK1158" s="7"/>
      <c r="WQL1158" s="7"/>
      <c r="WQM1158" s="7"/>
      <c r="WQN1158" s="7"/>
      <c r="WQO1158" s="7"/>
      <c r="WQP1158" s="7"/>
      <c r="WQQ1158" s="7"/>
      <c r="WQR1158" s="7"/>
      <c r="WQS1158" s="7"/>
      <c r="WQT1158" s="7"/>
      <c r="WQU1158" s="7"/>
      <c r="WQV1158" s="7"/>
      <c r="WQW1158" s="7"/>
      <c r="WQX1158" s="7"/>
      <c r="WQY1158" s="7"/>
      <c r="WQZ1158" s="7"/>
      <c r="WRA1158" s="7"/>
      <c r="WRB1158" s="7"/>
      <c r="WRC1158" s="7"/>
      <c r="WRD1158" s="7"/>
      <c r="WRE1158" s="7"/>
      <c r="WRF1158" s="7"/>
      <c r="WRG1158" s="7"/>
      <c r="WRH1158" s="7"/>
      <c r="WRI1158" s="7"/>
      <c r="WRJ1158" s="7"/>
      <c r="WRK1158" s="7"/>
      <c r="WRL1158" s="7"/>
      <c r="WRM1158" s="7"/>
      <c r="WRN1158" s="7"/>
      <c r="WRO1158" s="7"/>
      <c r="WRP1158" s="7"/>
      <c r="WRQ1158" s="7"/>
      <c r="WRR1158" s="7"/>
      <c r="WRS1158" s="7"/>
      <c r="WRT1158" s="7"/>
      <c r="WRU1158" s="7"/>
      <c r="WRV1158" s="7"/>
      <c r="WRW1158" s="7"/>
      <c r="WRX1158" s="7"/>
      <c r="WRY1158" s="7"/>
      <c r="WRZ1158" s="7"/>
      <c r="WSA1158" s="7"/>
      <c r="WSB1158" s="7"/>
      <c r="WSC1158" s="7"/>
      <c r="WSD1158" s="7"/>
      <c r="WSE1158" s="7"/>
      <c r="WSF1158" s="7"/>
      <c r="WSG1158" s="7"/>
      <c r="WSH1158" s="7"/>
      <c r="WSI1158" s="7"/>
      <c r="WSJ1158" s="7"/>
      <c r="WSK1158" s="7"/>
      <c r="WSL1158" s="7"/>
      <c r="WSM1158" s="7"/>
      <c r="WSN1158" s="7"/>
      <c r="WSO1158" s="7"/>
      <c r="WSP1158" s="7"/>
      <c r="WSQ1158" s="7"/>
      <c r="WSR1158" s="7"/>
      <c r="WSS1158" s="7"/>
      <c r="WST1158" s="7"/>
      <c r="WSU1158" s="7"/>
      <c r="WSV1158" s="7"/>
      <c r="WSW1158" s="7"/>
      <c r="WSX1158" s="7"/>
      <c r="WSY1158" s="7"/>
      <c r="WSZ1158" s="7"/>
      <c r="WTA1158" s="7"/>
      <c r="WTB1158" s="7"/>
      <c r="WTC1158" s="7"/>
      <c r="WTD1158" s="7"/>
      <c r="WTE1158" s="7"/>
      <c r="WTF1158" s="7"/>
      <c r="WTG1158" s="7"/>
      <c r="WTH1158" s="7"/>
      <c r="WTI1158" s="7"/>
      <c r="WTJ1158" s="7"/>
      <c r="WTK1158" s="7"/>
      <c r="WTL1158" s="7"/>
      <c r="WTM1158" s="7"/>
      <c r="WTN1158" s="7"/>
      <c r="WTO1158" s="7"/>
      <c r="WTP1158" s="7"/>
      <c r="WTQ1158" s="7"/>
      <c r="WTR1158" s="7"/>
      <c r="WTS1158" s="7"/>
      <c r="WTT1158" s="7"/>
      <c r="WTU1158" s="7"/>
      <c r="WTV1158" s="7"/>
      <c r="WTW1158" s="7"/>
      <c r="WTX1158" s="7"/>
      <c r="WTY1158" s="7"/>
      <c r="WTZ1158" s="7"/>
      <c r="WUA1158" s="7"/>
      <c r="WUB1158" s="7"/>
      <c r="WUC1158" s="7"/>
      <c r="WUD1158" s="7"/>
      <c r="WUE1158" s="7"/>
      <c r="WUF1158" s="7"/>
      <c r="WUG1158" s="7"/>
      <c r="WUH1158" s="7"/>
      <c r="WUI1158" s="7"/>
      <c r="WUJ1158" s="7"/>
      <c r="WUK1158" s="7"/>
      <c r="WUL1158" s="7"/>
      <c r="WUM1158" s="7"/>
      <c r="WUN1158" s="7"/>
      <c r="WUO1158" s="7"/>
      <c r="WUP1158" s="7"/>
      <c r="WUQ1158" s="7"/>
      <c r="WUR1158" s="7"/>
      <c r="WUS1158" s="7"/>
      <c r="WUT1158" s="7"/>
      <c r="WUU1158" s="7"/>
      <c r="WUV1158" s="7"/>
      <c r="WUW1158" s="7"/>
      <c r="WUX1158" s="7"/>
      <c r="WUY1158" s="7"/>
      <c r="WUZ1158" s="7"/>
      <c r="WVA1158" s="7"/>
      <c r="WVB1158" s="7"/>
      <c r="WVC1158" s="7"/>
      <c r="WVD1158" s="7"/>
      <c r="WVE1158" s="7"/>
      <c r="WVF1158" s="7"/>
      <c r="WVG1158" s="7"/>
      <c r="WVH1158" s="7"/>
      <c r="WVI1158" s="7"/>
      <c r="WVJ1158" s="7"/>
      <c r="WVK1158" s="7"/>
      <c r="WVL1158" s="7"/>
      <c r="WVM1158" s="7"/>
      <c r="WVN1158" s="7"/>
      <c r="WVO1158" s="7"/>
      <c r="WVP1158" s="7"/>
      <c r="WVQ1158" s="7"/>
      <c r="WVR1158" s="7"/>
      <c r="WVS1158" s="7"/>
      <c r="WVT1158" s="7"/>
      <c r="WVU1158" s="7"/>
      <c r="WVV1158" s="7"/>
      <c r="WVW1158" s="7"/>
      <c r="WVX1158" s="7"/>
      <c r="WVY1158" s="7"/>
      <c r="WVZ1158" s="7"/>
      <c r="WWA1158" s="7"/>
      <c r="WWB1158" s="7"/>
      <c r="WWC1158" s="7"/>
      <c r="WWD1158" s="7"/>
      <c r="WWE1158" s="7"/>
      <c r="WWF1158" s="7"/>
      <c r="WWG1158" s="7"/>
      <c r="WWH1158" s="7"/>
      <c r="WWI1158" s="7"/>
      <c r="WWJ1158" s="7"/>
      <c r="WWK1158" s="7"/>
      <c r="WWL1158" s="7"/>
      <c r="WWM1158" s="7"/>
      <c r="WWN1158" s="7"/>
      <c r="WWO1158" s="7"/>
      <c r="WWP1158" s="7"/>
      <c r="WWQ1158" s="7"/>
      <c r="WWR1158" s="7"/>
      <c r="WWS1158" s="7"/>
      <c r="WWT1158" s="7"/>
      <c r="WWU1158" s="7"/>
      <c r="WWV1158" s="7"/>
      <c r="WWW1158" s="7"/>
      <c r="WWX1158" s="7"/>
      <c r="WWY1158" s="7"/>
      <c r="WWZ1158" s="7"/>
      <c r="WXA1158" s="7"/>
      <c r="WXB1158" s="7"/>
      <c r="WXC1158" s="7"/>
      <c r="WXD1158" s="7"/>
      <c r="WXE1158" s="7"/>
      <c r="WXF1158" s="7"/>
      <c r="WXG1158" s="7"/>
      <c r="WXH1158" s="7"/>
      <c r="WXI1158" s="7"/>
      <c r="WXJ1158" s="7"/>
      <c r="WXK1158" s="7"/>
      <c r="WXL1158" s="7"/>
      <c r="WXM1158" s="7"/>
      <c r="WXN1158" s="7"/>
      <c r="WXO1158" s="7"/>
      <c r="WXP1158" s="7"/>
      <c r="WXQ1158" s="7"/>
      <c r="WXR1158" s="7"/>
      <c r="WXS1158" s="7"/>
      <c r="WXT1158" s="7"/>
      <c r="WXU1158" s="7"/>
      <c r="WXV1158" s="7"/>
      <c r="WXW1158" s="7"/>
      <c r="WXX1158" s="7"/>
      <c r="WXY1158" s="7"/>
      <c r="WXZ1158" s="7"/>
      <c r="WYA1158" s="7"/>
    </row>
    <row r="1159" spans="1:16199" customFormat="1" ht="61.5" x14ac:dyDescent="0.85">
      <c r="A1159" s="7">
        <v>1</v>
      </c>
      <c r="B1159" s="59">
        <f>SUBTOTAL(103,$A$1032:A1159)</f>
        <v>126</v>
      </c>
      <c r="C1159" s="160" t="s">
        <v>2315</v>
      </c>
      <c r="D1159" s="60">
        <f t="shared" si="190"/>
        <v>1509801.43</v>
      </c>
      <c r="E1159" s="60">
        <v>0</v>
      </c>
      <c r="F1159" s="60">
        <v>0</v>
      </c>
      <c r="G1159" s="60">
        <v>774123</v>
      </c>
      <c r="H1159" s="60">
        <v>0</v>
      </c>
      <c r="I1159" s="60">
        <v>0</v>
      </c>
      <c r="J1159" s="60">
        <v>0</v>
      </c>
      <c r="K1159" s="168">
        <v>0</v>
      </c>
      <c r="L1159" s="60">
        <v>0</v>
      </c>
      <c r="M1159" s="60">
        <v>0</v>
      </c>
      <c r="N1159" s="60">
        <v>0</v>
      </c>
      <c r="O1159" s="60">
        <v>0</v>
      </c>
      <c r="P1159" s="60">
        <v>0</v>
      </c>
      <c r="Q1159" s="60">
        <v>0</v>
      </c>
      <c r="R1159" s="60">
        <v>0</v>
      </c>
      <c r="S1159" s="60">
        <v>0</v>
      </c>
      <c r="T1159" s="60">
        <v>0</v>
      </c>
      <c r="U1159" s="60">
        <v>0</v>
      </c>
      <c r="V1159" s="60">
        <v>0</v>
      </c>
      <c r="W1159" s="60">
        <v>0</v>
      </c>
      <c r="X1159" s="60">
        <v>0</v>
      </c>
      <c r="Y1159" s="60">
        <v>0</v>
      </c>
      <c r="Z1159" s="60">
        <v>0</v>
      </c>
      <c r="AA1159" s="60">
        <v>0</v>
      </c>
      <c r="AB1159" s="60">
        <v>588263</v>
      </c>
      <c r="AC1159" s="60">
        <v>18085.669999999998</v>
      </c>
      <c r="AD1159" s="60">
        <v>129329.76</v>
      </c>
      <c r="AE1159" s="60">
        <v>0</v>
      </c>
      <c r="AF1159" s="170">
        <v>2022</v>
      </c>
      <c r="AG1159" s="170">
        <v>2022</v>
      </c>
      <c r="AH1159" s="63">
        <v>2022</v>
      </c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  <c r="BX1159" s="7"/>
      <c r="BY1159" s="7"/>
      <c r="BZ1159" s="7"/>
      <c r="CA1159" s="7"/>
      <c r="CB1159" s="7"/>
      <c r="CC1159" s="7"/>
      <c r="CD1159" s="7"/>
      <c r="CE1159" s="7"/>
      <c r="CF1159" s="7"/>
      <c r="CG1159" s="7"/>
      <c r="CH1159" s="7"/>
      <c r="CI1159" s="7"/>
      <c r="CJ1159" s="7"/>
      <c r="CK1159" s="7"/>
      <c r="CL1159" s="7"/>
      <c r="CM1159" s="7"/>
      <c r="CN1159" s="7"/>
      <c r="CO1159" s="7"/>
      <c r="CP1159" s="7"/>
      <c r="CQ1159" s="7"/>
      <c r="CR1159" s="7"/>
      <c r="CS1159" s="7"/>
      <c r="CT1159" s="7"/>
      <c r="CU1159" s="7"/>
      <c r="CV1159" s="7"/>
      <c r="CW1159" s="7"/>
      <c r="CX1159" s="7"/>
      <c r="CY1159" s="7"/>
      <c r="CZ1159" s="7"/>
      <c r="DA1159" s="7"/>
      <c r="DB1159" s="7"/>
      <c r="DC1159" s="7"/>
      <c r="DD1159" s="7"/>
      <c r="DE1159" s="7"/>
      <c r="DF1159" s="7"/>
      <c r="DG1159" s="7"/>
      <c r="DH1159" s="7"/>
      <c r="DI1159" s="7"/>
      <c r="DJ1159" s="7"/>
      <c r="DK1159" s="7"/>
      <c r="DL1159" s="7"/>
      <c r="DM1159" s="7"/>
      <c r="DN1159" s="7"/>
      <c r="DO1159" s="7"/>
      <c r="DP1159" s="7"/>
      <c r="DQ1159" s="7"/>
      <c r="DR1159" s="7"/>
      <c r="DS1159" s="7"/>
      <c r="DT1159" s="7"/>
      <c r="DU1159" s="7"/>
      <c r="DV1159" s="7"/>
      <c r="DW1159" s="7"/>
      <c r="DX1159" s="7"/>
      <c r="DY1159" s="7"/>
      <c r="DZ1159" s="7"/>
      <c r="EA1159" s="7"/>
      <c r="EB1159" s="7"/>
      <c r="EC1159" s="7"/>
      <c r="ED1159" s="7"/>
      <c r="EE1159" s="7"/>
      <c r="EF1159" s="7"/>
      <c r="EG1159" s="7"/>
      <c r="EH1159" s="7"/>
      <c r="EI1159" s="7"/>
      <c r="EJ1159" s="7"/>
      <c r="EK1159" s="7"/>
      <c r="EL1159" s="7"/>
      <c r="EM1159" s="7"/>
      <c r="EN1159" s="7"/>
      <c r="EO1159" s="7"/>
      <c r="EP1159" s="7"/>
      <c r="EQ1159" s="7"/>
      <c r="ER1159" s="7"/>
      <c r="ES1159" s="7"/>
      <c r="ET1159" s="7"/>
      <c r="EU1159" s="7"/>
      <c r="EV1159" s="7"/>
      <c r="EW1159" s="7"/>
      <c r="EX1159" s="7"/>
      <c r="EY1159" s="7"/>
      <c r="EZ1159" s="7"/>
      <c r="FA1159" s="7"/>
      <c r="FB1159" s="7"/>
      <c r="FC1159" s="7"/>
      <c r="FD1159" s="7"/>
      <c r="FE1159" s="7"/>
      <c r="FF1159" s="7"/>
      <c r="FG1159" s="7"/>
      <c r="FH1159" s="7"/>
      <c r="FI1159" s="7"/>
      <c r="FJ1159" s="7"/>
      <c r="FK1159" s="7"/>
      <c r="FL1159" s="7"/>
      <c r="FM1159" s="7"/>
      <c r="FN1159" s="7"/>
      <c r="FO1159" s="7"/>
      <c r="FP1159" s="7"/>
      <c r="FQ1159" s="7"/>
      <c r="FR1159" s="7"/>
      <c r="FS1159" s="7"/>
      <c r="FT1159" s="7"/>
      <c r="FU1159" s="7"/>
      <c r="FV1159" s="7"/>
      <c r="FW1159" s="7"/>
      <c r="FX1159" s="7"/>
      <c r="FY1159" s="7"/>
      <c r="FZ1159" s="7"/>
      <c r="GA1159" s="7"/>
      <c r="GB1159" s="7"/>
      <c r="GC1159" s="7"/>
      <c r="GD1159" s="7"/>
      <c r="GE1159" s="7"/>
      <c r="GF1159" s="7"/>
      <c r="GG1159" s="7"/>
      <c r="GH1159" s="7"/>
      <c r="GI1159" s="7"/>
      <c r="GJ1159" s="7"/>
      <c r="GK1159" s="7"/>
      <c r="GL1159" s="7"/>
      <c r="GM1159" s="7"/>
      <c r="GN1159" s="7"/>
      <c r="GO1159" s="7"/>
      <c r="GP1159" s="7"/>
      <c r="GQ1159" s="7"/>
      <c r="GR1159" s="7"/>
      <c r="GS1159" s="7"/>
      <c r="GT1159" s="7"/>
      <c r="GU1159" s="7"/>
      <c r="GV1159" s="7"/>
      <c r="GW1159" s="7"/>
      <c r="GX1159" s="7"/>
      <c r="GY1159" s="7"/>
      <c r="GZ1159" s="7"/>
      <c r="HA1159" s="7"/>
      <c r="HB1159" s="7"/>
      <c r="HC1159" s="7"/>
      <c r="HD1159" s="7"/>
      <c r="HE1159" s="7"/>
      <c r="HF1159" s="7"/>
      <c r="HG1159" s="7"/>
      <c r="HH1159" s="7"/>
      <c r="HI1159" s="7"/>
      <c r="HJ1159" s="7"/>
      <c r="HK1159" s="7"/>
      <c r="HL1159" s="7"/>
      <c r="HM1159" s="7"/>
      <c r="HN1159" s="7"/>
      <c r="HO1159" s="7"/>
      <c r="HP1159" s="7"/>
      <c r="HQ1159" s="7"/>
      <c r="HR1159" s="7"/>
      <c r="HS1159" s="7"/>
      <c r="HT1159" s="7"/>
      <c r="HU1159" s="7"/>
      <c r="HV1159" s="7"/>
      <c r="HW1159" s="7"/>
      <c r="HX1159" s="7"/>
      <c r="HY1159" s="7"/>
      <c r="HZ1159" s="7"/>
      <c r="IA1159" s="7"/>
      <c r="IB1159" s="7"/>
      <c r="IC1159" s="7"/>
      <c r="ID1159" s="7"/>
      <c r="IE1159" s="7"/>
      <c r="IF1159" s="7"/>
      <c r="IG1159" s="7"/>
      <c r="IH1159" s="7"/>
      <c r="II1159" s="7"/>
      <c r="IJ1159" s="7"/>
      <c r="IK1159" s="7"/>
      <c r="IL1159" s="7"/>
      <c r="IM1159" s="7"/>
      <c r="IN1159" s="7"/>
      <c r="IO1159" s="7"/>
      <c r="IP1159" s="7"/>
      <c r="IQ1159" s="7"/>
      <c r="IR1159" s="7"/>
      <c r="IS1159" s="7"/>
      <c r="IT1159" s="7"/>
      <c r="IU1159" s="7"/>
      <c r="IV1159" s="7"/>
      <c r="IW1159" s="7"/>
      <c r="IX1159" s="7"/>
      <c r="IY1159" s="7"/>
      <c r="IZ1159" s="7"/>
      <c r="JA1159" s="7"/>
      <c r="JB1159" s="7"/>
      <c r="JC1159" s="7"/>
      <c r="JD1159" s="7"/>
      <c r="JE1159" s="7"/>
      <c r="JF1159" s="7"/>
      <c r="JG1159" s="7"/>
      <c r="JH1159" s="7"/>
      <c r="JI1159" s="7"/>
      <c r="JJ1159" s="7"/>
      <c r="JK1159" s="7"/>
      <c r="JL1159" s="7"/>
      <c r="JM1159" s="7"/>
      <c r="JN1159" s="7"/>
      <c r="JO1159" s="7"/>
      <c r="JP1159" s="7"/>
      <c r="JQ1159" s="7"/>
      <c r="JR1159" s="7"/>
      <c r="JS1159" s="7"/>
      <c r="JT1159" s="7"/>
      <c r="JU1159" s="7"/>
      <c r="JV1159" s="7"/>
      <c r="JW1159" s="7"/>
      <c r="JX1159" s="7"/>
      <c r="JY1159" s="7"/>
      <c r="JZ1159" s="7"/>
      <c r="KA1159" s="7"/>
      <c r="KB1159" s="7"/>
      <c r="KC1159" s="7"/>
      <c r="KD1159" s="7"/>
      <c r="KE1159" s="7"/>
      <c r="KF1159" s="7"/>
      <c r="KG1159" s="7"/>
      <c r="KH1159" s="7"/>
      <c r="KI1159" s="7"/>
      <c r="KJ1159" s="7"/>
      <c r="KK1159" s="7"/>
      <c r="KL1159" s="7"/>
      <c r="KM1159" s="7"/>
      <c r="KN1159" s="7"/>
      <c r="KO1159" s="7"/>
      <c r="KP1159" s="7"/>
      <c r="KQ1159" s="7"/>
      <c r="KR1159" s="7"/>
      <c r="KS1159" s="7"/>
      <c r="KT1159" s="7"/>
      <c r="KU1159" s="7"/>
      <c r="KV1159" s="7"/>
      <c r="KW1159" s="7"/>
      <c r="KX1159" s="7"/>
      <c r="KY1159" s="7"/>
      <c r="KZ1159" s="7"/>
      <c r="LA1159" s="7"/>
      <c r="LB1159" s="7"/>
      <c r="LC1159" s="7"/>
      <c r="LD1159" s="7"/>
      <c r="LE1159" s="7"/>
      <c r="LF1159" s="7"/>
      <c r="LG1159" s="7"/>
      <c r="LH1159" s="7"/>
      <c r="LI1159" s="7"/>
      <c r="LJ1159" s="7"/>
      <c r="LK1159" s="7"/>
      <c r="LL1159" s="7"/>
      <c r="LM1159" s="7"/>
      <c r="LN1159" s="7"/>
      <c r="LO1159" s="7"/>
      <c r="LP1159" s="7"/>
      <c r="LQ1159" s="7"/>
      <c r="LR1159" s="7"/>
      <c r="LS1159" s="7"/>
      <c r="LT1159" s="7"/>
      <c r="LU1159" s="7"/>
      <c r="LV1159" s="7"/>
      <c r="LW1159" s="7"/>
      <c r="LX1159" s="7"/>
      <c r="LY1159" s="7"/>
      <c r="LZ1159" s="7"/>
      <c r="MA1159" s="7"/>
      <c r="MB1159" s="7"/>
      <c r="MC1159" s="7"/>
      <c r="MD1159" s="7"/>
      <c r="ME1159" s="7"/>
      <c r="MF1159" s="7"/>
      <c r="MG1159" s="7"/>
      <c r="MH1159" s="7"/>
      <c r="MI1159" s="7"/>
      <c r="MJ1159" s="7"/>
      <c r="MK1159" s="7"/>
      <c r="ML1159" s="7"/>
      <c r="MM1159" s="7"/>
      <c r="MN1159" s="7"/>
      <c r="MO1159" s="7"/>
      <c r="MP1159" s="7"/>
      <c r="MQ1159" s="7"/>
      <c r="MR1159" s="7"/>
      <c r="MS1159" s="7"/>
      <c r="MT1159" s="7"/>
      <c r="MU1159" s="7"/>
      <c r="MV1159" s="7"/>
      <c r="MW1159" s="7"/>
      <c r="MX1159" s="7"/>
      <c r="MY1159" s="7"/>
      <c r="MZ1159" s="7"/>
      <c r="NA1159" s="7"/>
      <c r="NB1159" s="7"/>
      <c r="NC1159" s="7"/>
      <c r="ND1159" s="7"/>
      <c r="NE1159" s="7"/>
      <c r="NF1159" s="7"/>
      <c r="NG1159" s="7"/>
      <c r="NH1159" s="7"/>
      <c r="NI1159" s="7"/>
      <c r="NJ1159" s="7"/>
      <c r="NK1159" s="7"/>
      <c r="NL1159" s="7"/>
      <c r="NM1159" s="7"/>
      <c r="NN1159" s="7"/>
      <c r="NO1159" s="7"/>
      <c r="NP1159" s="7"/>
      <c r="NQ1159" s="7"/>
      <c r="NR1159" s="7"/>
      <c r="NS1159" s="7"/>
      <c r="NT1159" s="7"/>
      <c r="NU1159" s="7"/>
      <c r="NV1159" s="7"/>
      <c r="NW1159" s="7"/>
      <c r="NX1159" s="7"/>
      <c r="NY1159" s="7"/>
      <c r="NZ1159" s="7"/>
      <c r="OA1159" s="7"/>
      <c r="OB1159" s="7"/>
      <c r="OC1159" s="7"/>
      <c r="OD1159" s="7"/>
      <c r="OE1159" s="7"/>
      <c r="OF1159" s="7"/>
      <c r="OG1159" s="7"/>
      <c r="OH1159" s="7"/>
      <c r="OI1159" s="7"/>
      <c r="OJ1159" s="7"/>
      <c r="OK1159" s="7"/>
      <c r="OL1159" s="7"/>
      <c r="OM1159" s="7"/>
      <c r="ON1159" s="7"/>
      <c r="OO1159" s="7"/>
      <c r="OP1159" s="7"/>
      <c r="OQ1159" s="7"/>
      <c r="OR1159" s="7"/>
      <c r="OS1159" s="7"/>
      <c r="OT1159" s="7"/>
      <c r="OU1159" s="7"/>
      <c r="OV1159" s="7"/>
      <c r="OW1159" s="7"/>
      <c r="OX1159" s="7"/>
      <c r="OY1159" s="7"/>
      <c r="OZ1159" s="7"/>
      <c r="PA1159" s="7"/>
      <c r="PB1159" s="7"/>
      <c r="PC1159" s="7"/>
      <c r="PD1159" s="7"/>
      <c r="PE1159" s="7"/>
      <c r="PF1159" s="7"/>
      <c r="PG1159" s="7"/>
      <c r="PH1159" s="7"/>
      <c r="PI1159" s="7"/>
      <c r="PJ1159" s="7"/>
      <c r="PK1159" s="7"/>
      <c r="PL1159" s="7"/>
      <c r="PM1159" s="7"/>
      <c r="PN1159" s="7"/>
      <c r="PO1159" s="7"/>
      <c r="PP1159" s="7"/>
      <c r="PQ1159" s="7"/>
      <c r="PR1159" s="7"/>
      <c r="PS1159" s="7"/>
      <c r="PT1159" s="7"/>
      <c r="PU1159" s="7"/>
      <c r="PV1159" s="7"/>
      <c r="PW1159" s="7"/>
      <c r="PX1159" s="7"/>
      <c r="PY1159" s="7"/>
      <c r="PZ1159" s="7"/>
      <c r="QA1159" s="7"/>
      <c r="QB1159" s="7"/>
      <c r="QC1159" s="7"/>
      <c r="QD1159" s="7"/>
      <c r="QE1159" s="7"/>
      <c r="QF1159" s="7"/>
      <c r="QG1159" s="7"/>
      <c r="QH1159" s="7"/>
      <c r="QI1159" s="7"/>
      <c r="QJ1159" s="7"/>
      <c r="QK1159" s="7"/>
      <c r="QL1159" s="7"/>
      <c r="QM1159" s="7"/>
      <c r="QN1159" s="7"/>
      <c r="QO1159" s="7"/>
      <c r="QP1159" s="7"/>
      <c r="QQ1159" s="7"/>
      <c r="QR1159" s="7"/>
      <c r="QS1159" s="7"/>
      <c r="QT1159" s="7"/>
      <c r="QU1159" s="7"/>
      <c r="QV1159" s="7"/>
      <c r="QW1159" s="7"/>
      <c r="QX1159" s="7"/>
      <c r="QY1159" s="7"/>
      <c r="QZ1159" s="7"/>
      <c r="RA1159" s="7"/>
      <c r="RB1159" s="7"/>
      <c r="RC1159" s="7"/>
      <c r="RD1159" s="7"/>
      <c r="RE1159" s="7"/>
      <c r="RF1159" s="7"/>
      <c r="RG1159" s="7"/>
      <c r="RH1159" s="7"/>
      <c r="RI1159" s="7"/>
      <c r="RJ1159" s="7"/>
      <c r="RK1159" s="7"/>
      <c r="RL1159" s="7"/>
      <c r="RM1159" s="7"/>
      <c r="RN1159" s="7"/>
      <c r="RO1159" s="7"/>
      <c r="RP1159" s="7"/>
      <c r="RQ1159" s="7"/>
      <c r="RR1159" s="7"/>
      <c r="RS1159" s="7"/>
      <c r="RT1159" s="7"/>
      <c r="RU1159" s="7"/>
      <c r="RV1159" s="7"/>
      <c r="RW1159" s="7"/>
      <c r="RX1159" s="7"/>
      <c r="RY1159" s="7"/>
      <c r="RZ1159" s="7"/>
      <c r="SA1159" s="7"/>
      <c r="SB1159" s="7"/>
      <c r="SC1159" s="7"/>
      <c r="SD1159" s="7"/>
      <c r="SE1159" s="7"/>
      <c r="SF1159" s="7"/>
      <c r="SG1159" s="7"/>
      <c r="SH1159" s="7"/>
      <c r="SI1159" s="7"/>
      <c r="SJ1159" s="7"/>
      <c r="SK1159" s="7"/>
      <c r="SL1159" s="7"/>
      <c r="SM1159" s="7"/>
      <c r="SN1159" s="7"/>
      <c r="SO1159" s="7"/>
      <c r="SP1159" s="7"/>
      <c r="SQ1159" s="7"/>
      <c r="SR1159" s="7"/>
      <c r="SS1159" s="7"/>
      <c r="ST1159" s="7"/>
      <c r="SU1159" s="7"/>
      <c r="SV1159" s="7"/>
      <c r="SW1159" s="7"/>
      <c r="SX1159" s="7"/>
      <c r="SY1159" s="7"/>
      <c r="SZ1159" s="7"/>
      <c r="TA1159" s="7"/>
      <c r="TB1159" s="7"/>
      <c r="TC1159" s="7"/>
      <c r="TD1159" s="7"/>
      <c r="TE1159" s="7"/>
      <c r="TF1159" s="7"/>
      <c r="TG1159" s="7"/>
      <c r="TH1159" s="7"/>
      <c r="TI1159" s="7"/>
      <c r="TJ1159" s="7"/>
      <c r="TK1159" s="7"/>
      <c r="TL1159" s="7"/>
      <c r="TM1159" s="7"/>
      <c r="TN1159" s="7"/>
      <c r="TO1159" s="7"/>
      <c r="TP1159" s="7"/>
      <c r="TQ1159" s="7"/>
      <c r="TR1159" s="7"/>
      <c r="TS1159" s="7"/>
      <c r="TT1159" s="7"/>
      <c r="TU1159" s="7"/>
      <c r="TV1159" s="7"/>
      <c r="TW1159" s="7"/>
      <c r="TX1159" s="7"/>
      <c r="TY1159" s="7"/>
      <c r="TZ1159" s="7"/>
      <c r="UA1159" s="7"/>
      <c r="UB1159" s="7"/>
      <c r="UC1159" s="7"/>
      <c r="UD1159" s="7"/>
      <c r="UE1159" s="7"/>
      <c r="UF1159" s="7"/>
      <c r="UG1159" s="7"/>
      <c r="UH1159" s="7"/>
      <c r="UI1159" s="7"/>
      <c r="UJ1159" s="7"/>
      <c r="UK1159" s="7"/>
      <c r="UL1159" s="7"/>
      <c r="UM1159" s="7"/>
      <c r="UN1159" s="7"/>
      <c r="UO1159" s="7"/>
      <c r="UP1159" s="7"/>
      <c r="UQ1159" s="7"/>
      <c r="UR1159" s="7"/>
      <c r="US1159" s="7"/>
      <c r="UT1159" s="7"/>
      <c r="UU1159" s="7"/>
      <c r="UV1159" s="7"/>
      <c r="UW1159" s="7"/>
      <c r="UX1159" s="7"/>
      <c r="UY1159" s="7"/>
      <c r="UZ1159" s="7"/>
      <c r="VA1159" s="7"/>
      <c r="VB1159" s="7"/>
      <c r="VC1159" s="7"/>
      <c r="VD1159" s="7"/>
      <c r="VE1159" s="7"/>
      <c r="VF1159" s="7"/>
      <c r="VG1159" s="7"/>
      <c r="VH1159" s="7"/>
      <c r="VI1159" s="7"/>
      <c r="VJ1159" s="7"/>
      <c r="VK1159" s="7"/>
      <c r="VL1159" s="7"/>
      <c r="VM1159" s="7"/>
      <c r="VN1159" s="7"/>
      <c r="VO1159" s="7"/>
      <c r="VP1159" s="7"/>
      <c r="VQ1159" s="7"/>
      <c r="VR1159" s="7"/>
      <c r="VS1159" s="7"/>
      <c r="VT1159" s="7"/>
      <c r="VU1159" s="7"/>
      <c r="VV1159" s="7"/>
      <c r="VW1159" s="7"/>
      <c r="VX1159" s="7"/>
      <c r="VY1159" s="7"/>
      <c r="VZ1159" s="7"/>
      <c r="WA1159" s="7"/>
      <c r="WB1159" s="7"/>
      <c r="WC1159" s="7"/>
      <c r="WD1159" s="7"/>
      <c r="WE1159" s="7"/>
      <c r="WF1159" s="7"/>
      <c r="WG1159" s="7"/>
      <c r="WH1159" s="7"/>
      <c r="WI1159" s="7"/>
      <c r="WJ1159" s="7"/>
      <c r="WK1159" s="7"/>
      <c r="WL1159" s="7"/>
      <c r="WM1159" s="7"/>
      <c r="WN1159" s="7"/>
      <c r="WO1159" s="7"/>
      <c r="WP1159" s="7"/>
      <c r="WQ1159" s="7"/>
      <c r="WR1159" s="7"/>
      <c r="WS1159" s="7"/>
      <c r="WT1159" s="7"/>
      <c r="WU1159" s="7"/>
      <c r="WV1159" s="7"/>
      <c r="WW1159" s="7"/>
      <c r="WX1159" s="7"/>
      <c r="WY1159" s="7"/>
      <c r="WZ1159" s="7"/>
      <c r="XA1159" s="7"/>
      <c r="XB1159" s="7"/>
      <c r="XC1159" s="7"/>
      <c r="XD1159" s="7"/>
      <c r="XE1159" s="7"/>
      <c r="XF1159" s="7"/>
      <c r="XG1159" s="7"/>
      <c r="XH1159" s="7"/>
      <c r="XI1159" s="7"/>
      <c r="XJ1159" s="7"/>
      <c r="XK1159" s="7"/>
      <c r="XL1159" s="7"/>
      <c r="XM1159" s="7"/>
      <c r="XN1159" s="7"/>
      <c r="XO1159" s="7"/>
      <c r="XP1159" s="7"/>
      <c r="XQ1159" s="7"/>
      <c r="XR1159" s="7"/>
      <c r="XS1159" s="7"/>
      <c r="XT1159" s="7"/>
      <c r="XU1159" s="7"/>
      <c r="XV1159" s="7"/>
      <c r="XW1159" s="7"/>
      <c r="XX1159" s="7"/>
      <c r="XY1159" s="7"/>
      <c r="XZ1159" s="7"/>
      <c r="YA1159" s="7"/>
      <c r="YB1159" s="7"/>
      <c r="YC1159" s="7"/>
      <c r="YD1159" s="7"/>
      <c r="YE1159" s="7"/>
      <c r="YF1159" s="7"/>
      <c r="YG1159" s="7"/>
      <c r="YH1159" s="7"/>
      <c r="YI1159" s="7"/>
      <c r="YJ1159" s="7"/>
      <c r="YK1159" s="7"/>
      <c r="YL1159" s="7"/>
      <c r="YM1159" s="7"/>
      <c r="YN1159" s="7"/>
      <c r="YO1159" s="7"/>
      <c r="YP1159" s="7"/>
      <c r="YQ1159" s="7"/>
      <c r="YR1159" s="7"/>
      <c r="YS1159" s="7"/>
      <c r="YT1159" s="7"/>
      <c r="YU1159" s="7"/>
      <c r="YV1159" s="7"/>
      <c r="YW1159" s="7"/>
      <c r="YX1159" s="7"/>
      <c r="YY1159" s="7"/>
      <c r="YZ1159" s="7"/>
      <c r="ZA1159" s="7"/>
      <c r="ZB1159" s="7"/>
      <c r="ZC1159" s="7"/>
      <c r="ZD1159" s="7"/>
      <c r="ZE1159" s="7"/>
      <c r="ZF1159" s="7"/>
      <c r="ZG1159" s="7"/>
      <c r="ZH1159" s="7"/>
      <c r="ZI1159" s="7"/>
      <c r="ZJ1159" s="7"/>
      <c r="ZK1159" s="7"/>
      <c r="ZL1159" s="7"/>
      <c r="ZM1159" s="7"/>
      <c r="ZN1159" s="7"/>
      <c r="ZO1159" s="7"/>
      <c r="ZP1159" s="7"/>
      <c r="ZQ1159" s="7"/>
      <c r="ZR1159" s="7"/>
      <c r="ZS1159" s="7"/>
      <c r="ZT1159" s="7"/>
      <c r="ZU1159" s="7"/>
      <c r="ZV1159" s="7"/>
      <c r="ZW1159" s="7"/>
      <c r="ZX1159" s="7"/>
      <c r="ZY1159" s="7"/>
      <c r="ZZ1159" s="7"/>
      <c r="AAA1159" s="7"/>
      <c r="AAB1159" s="7"/>
      <c r="AAC1159" s="7"/>
      <c r="AAD1159" s="7"/>
      <c r="AAE1159" s="7"/>
      <c r="AAF1159" s="7"/>
      <c r="AAG1159" s="7"/>
      <c r="AAH1159" s="7"/>
      <c r="AAI1159" s="7"/>
      <c r="AAJ1159" s="7"/>
      <c r="AAK1159" s="7"/>
      <c r="AAL1159" s="7"/>
      <c r="AAM1159" s="7"/>
      <c r="AAN1159" s="7"/>
      <c r="AAO1159" s="7"/>
      <c r="AAP1159" s="7"/>
      <c r="AAQ1159" s="7"/>
      <c r="AAR1159" s="7"/>
      <c r="AAS1159" s="7"/>
      <c r="AAT1159" s="7"/>
      <c r="AAU1159" s="7"/>
      <c r="AAV1159" s="7"/>
      <c r="AAW1159" s="7"/>
      <c r="AAX1159" s="7"/>
      <c r="AAY1159" s="7"/>
      <c r="AAZ1159" s="7"/>
      <c r="ABA1159" s="7"/>
      <c r="ABB1159" s="7"/>
      <c r="ABC1159" s="7"/>
      <c r="ABD1159" s="7"/>
      <c r="ABE1159" s="7"/>
      <c r="ABF1159" s="7"/>
      <c r="ABG1159" s="7"/>
      <c r="ABH1159" s="7"/>
      <c r="ABI1159" s="7"/>
      <c r="ABJ1159" s="7"/>
      <c r="ABK1159" s="7"/>
      <c r="ABL1159" s="7"/>
      <c r="ABM1159" s="7"/>
      <c r="ABN1159" s="7"/>
      <c r="ABO1159" s="7"/>
      <c r="ABP1159" s="7"/>
      <c r="ABQ1159" s="7"/>
      <c r="ABR1159" s="7"/>
      <c r="ABS1159" s="7"/>
      <c r="ABT1159" s="7"/>
      <c r="ABU1159" s="7"/>
      <c r="ABV1159" s="7"/>
      <c r="ABW1159" s="7"/>
      <c r="ABX1159" s="7"/>
      <c r="ABY1159" s="7"/>
      <c r="ABZ1159" s="7"/>
      <c r="ACA1159" s="7"/>
      <c r="ACB1159" s="7"/>
      <c r="ACC1159" s="7"/>
      <c r="ACD1159" s="7"/>
      <c r="ACE1159" s="7"/>
      <c r="ACF1159" s="7"/>
      <c r="ACG1159" s="7"/>
      <c r="ACH1159" s="7"/>
      <c r="ACI1159" s="7"/>
      <c r="ACJ1159" s="7"/>
      <c r="ACK1159" s="7"/>
      <c r="ACL1159" s="7"/>
      <c r="ACM1159" s="7"/>
      <c r="ACN1159" s="7"/>
      <c r="ACO1159" s="7"/>
      <c r="ACP1159" s="7"/>
      <c r="ACQ1159" s="7"/>
      <c r="ACR1159" s="7"/>
      <c r="ACS1159" s="7"/>
      <c r="ACT1159" s="7"/>
      <c r="ACU1159" s="7"/>
      <c r="ACV1159" s="7"/>
      <c r="ACW1159" s="7"/>
      <c r="ACX1159" s="7"/>
      <c r="ACY1159" s="7"/>
      <c r="ACZ1159" s="7"/>
      <c r="ADA1159" s="7"/>
      <c r="ADB1159" s="7"/>
      <c r="ADC1159" s="7"/>
      <c r="ADD1159" s="7"/>
      <c r="ADE1159" s="7"/>
      <c r="ADF1159" s="7"/>
      <c r="ADG1159" s="7"/>
      <c r="ADH1159" s="7"/>
      <c r="ADI1159" s="7"/>
      <c r="ADJ1159" s="7"/>
      <c r="ADK1159" s="7"/>
      <c r="ADL1159" s="7"/>
      <c r="ADM1159" s="7"/>
      <c r="ADN1159" s="7"/>
      <c r="ADO1159" s="7"/>
      <c r="ADP1159" s="7"/>
      <c r="ADQ1159" s="7"/>
      <c r="ADR1159" s="7"/>
      <c r="ADS1159" s="7"/>
      <c r="ADT1159" s="7"/>
      <c r="ADU1159" s="7"/>
      <c r="ADV1159" s="7"/>
      <c r="ADW1159" s="7"/>
      <c r="ADX1159" s="7"/>
      <c r="ADY1159" s="7"/>
      <c r="ADZ1159" s="7"/>
      <c r="AEA1159" s="7"/>
      <c r="AEB1159" s="7"/>
      <c r="AEC1159" s="7"/>
      <c r="AED1159" s="7"/>
      <c r="AEE1159" s="7"/>
      <c r="AEF1159" s="7"/>
      <c r="AEG1159" s="7"/>
      <c r="AEH1159" s="7"/>
      <c r="AEI1159" s="7"/>
      <c r="AEJ1159" s="7"/>
      <c r="AEK1159" s="7"/>
      <c r="AEL1159" s="7"/>
      <c r="AEM1159" s="7"/>
      <c r="AEN1159" s="7"/>
      <c r="AEO1159" s="7"/>
      <c r="AEP1159" s="7"/>
      <c r="AEQ1159" s="7"/>
      <c r="AER1159" s="7"/>
      <c r="AES1159" s="7"/>
      <c r="AET1159" s="7"/>
      <c r="AEU1159" s="7"/>
      <c r="AEV1159" s="7"/>
      <c r="AEW1159" s="7"/>
      <c r="AEX1159" s="7"/>
      <c r="AEY1159" s="7"/>
      <c r="AEZ1159" s="7"/>
      <c r="AFA1159" s="7"/>
      <c r="AFB1159" s="7"/>
      <c r="AFC1159" s="7"/>
      <c r="AFD1159" s="7"/>
      <c r="AFE1159" s="7"/>
      <c r="AFF1159" s="7"/>
      <c r="AFG1159" s="7"/>
      <c r="AFH1159" s="7"/>
      <c r="AFI1159" s="7"/>
      <c r="AFJ1159" s="7"/>
      <c r="AFK1159" s="7"/>
      <c r="AFL1159" s="7"/>
      <c r="AFM1159" s="7"/>
      <c r="AFN1159" s="7"/>
      <c r="AFO1159" s="7"/>
      <c r="AFP1159" s="7"/>
      <c r="AFQ1159" s="7"/>
      <c r="AFR1159" s="7"/>
      <c r="AFS1159" s="7"/>
      <c r="AFT1159" s="7"/>
      <c r="AFU1159" s="7"/>
      <c r="AFV1159" s="7"/>
      <c r="AFW1159" s="7"/>
      <c r="AFX1159" s="7"/>
      <c r="AFY1159" s="7"/>
      <c r="AFZ1159" s="7"/>
      <c r="AGA1159" s="7"/>
      <c r="AGB1159" s="7"/>
      <c r="AGC1159" s="7"/>
      <c r="AGD1159" s="7"/>
      <c r="AGE1159" s="7"/>
      <c r="AGF1159" s="7"/>
      <c r="AGG1159" s="7"/>
      <c r="AGH1159" s="7"/>
      <c r="AGI1159" s="7"/>
      <c r="AGJ1159" s="7"/>
      <c r="AGK1159" s="7"/>
      <c r="AGL1159" s="7"/>
      <c r="AGM1159" s="7"/>
      <c r="AGN1159" s="7"/>
      <c r="AGO1159" s="7"/>
      <c r="AGP1159" s="7"/>
      <c r="AGQ1159" s="7"/>
      <c r="AGR1159" s="7"/>
      <c r="AGS1159" s="7"/>
      <c r="AGT1159" s="7"/>
      <c r="AGU1159" s="7"/>
      <c r="AGV1159" s="7"/>
      <c r="AGW1159" s="7"/>
      <c r="AGX1159" s="7"/>
      <c r="AGY1159" s="7"/>
      <c r="AGZ1159" s="7"/>
      <c r="AHA1159" s="7"/>
      <c r="AHB1159" s="7"/>
      <c r="AHC1159" s="7"/>
      <c r="AHD1159" s="7"/>
      <c r="AHE1159" s="7"/>
      <c r="AHF1159" s="7"/>
      <c r="AHG1159" s="7"/>
      <c r="AHH1159" s="7"/>
      <c r="AHI1159" s="7"/>
      <c r="AHJ1159" s="7"/>
      <c r="AHK1159" s="7"/>
      <c r="AHL1159" s="7"/>
      <c r="AHM1159" s="7"/>
      <c r="AHN1159" s="7"/>
      <c r="AHO1159" s="7"/>
      <c r="AHP1159" s="7"/>
      <c r="AHQ1159" s="7"/>
      <c r="AHR1159" s="7"/>
      <c r="AHS1159" s="7"/>
      <c r="AHT1159" s="7"/>
      <c r="AHU1159" s="7"/>
      <c r="AHV1159" s="7"/>
      <c r="AHW1159" s="7"/>
      <c r="AHX1159" s="7"/>
      <c r="AHY1159" s="7"/>
      <c r="AHZ1159" s="7"/>
      <c r="AIA1159" s="7"/>
      <c r="AIB1159" s="7"/>
      <c r="AIC1159" s="7"/>
      <c r="AID1159" s="7"/>
      <c r="AIE1159" s="7"/>
      <c r="AIF1159" s="7"/>
      <c r="AIG1159" s="7"/>
      <c r="AIH1159" s="7"/>
      <c r="AII1159" s="7"/>
      <c r="AIJ1159" s="7"/>
      <c r="AIK1159" s="7"/>
      <c r="AIL1159" s="7"/>
      <c r="AIM1159" s="7"/>
      <c r="AIN1159" s="7"/>
      <c r="AIO1159" s="7"/>
      <c r="AIP1159" s="7"/>
      <c r="AIQ1159" s="7"/>
      <c r="AIR1159" s="7"/>
      <c r="AIS1159" s="7"/>
      <c r="AIT1159" s="7"/>
      <c r="AIU1159" s="7"/>
      <c r="AIV1159" s="7"/>
      <c r="AIW1159" s="7"/>
      <c r="AIX1159" s="7"/>
      <c r="AIY1159" s="7"/>
      <c r="AIZ1159" s="7"/>
      <c r="AJA1159" s="7"/>
      <c r="AJB1159" s="7"/>
      <c r="AJC1159" s="7"/>
      <c r="AJD1159" s="7"/>
      <c r="AJE1159" s="7"/>
      <c r="AJF1159" s="7"/>
      <c r="AJG1159" s="7"/>
      <c r="AJH1159" s="7"/>
      <c r="AJI1159" s="7"/>
      <c r="AJJ1159" s="7"/>
      <c r="AJK1159" s="7"/>
      <c r="AJL1159" s="7"/>
      <c r="AJM1159" s="7"/>
      <c r="AJN1159" s="7"/>
      <c r="AJO1159" s="7"/>
      <c r="AJP1159" s="7"/>
      <c r="AJQ1159" s="7"/>
      <c r="AJR1159" s="7"/>
      <c r="AJS1159" s="7"/>
      <c r="AJT1159" s="7"/>
      <c r="AJU1159" s="7"/>
      <c r="AJV1159" s="7"/>
      <c r="AJW1159" s="7"/>
      <c r="AJX1159" s="7"/>
      <c r="AJY1159" s="7"/>
      <c r="AJZ1159" s="7"/>
      <c r="AKA1159" s="7"/>
      <c r="AKB1159" s="7"/>
      <c r="AKC1159" s="7"/>
      <c r="AKD1159" s="7"/>
      <c r="AKE1159" s="7"/>
      <c r="AKF1159" s="7"/>
      <c r="AKG1159" s="7"/>
      <c r="AKH1159" s="7"/>
      <c r="AKI1159" s="7"/>
      <c r="AKJ1159" s="7"/>
      <c r="AKK1159" s="7"/>
      <c r="AKL1159" s="7"/>
      <c r="AKM1159" s="7"/>
      <c r="AKN1159" s="7"/>
      <c r="AKO1159" s="7"/>
      <c r="AKP1159" s="7"/>
      <c r="AKQ1159" s="7"/>
      <c r="AKR1159" s="7"/>
      <c r="AKS1159" s="7"/>
      <c r="AKT1159" s="7"/>
      <c r="AKU1159" s="7"/>
      <c r="AKV1159" s="7"/>
      <c r="AKW1159" s="7"/>
      <c r="AKX1159" s="7"/>
      <c r="AKY1159" s="7"/>
      <c r="AKZ1159" s="7"/>
      <c r="ALA1159" s="7"/>
      <c r="ALB1159" s="7"/>
      <c r="ALC1159" s="7"/>
      <c r="ALD1159" s="7"/>
      <c r="ALE1159" s="7"/>
      <c r="ALF1159" s="7"/>
      <c r="ALG1159" s="7"/>
      <c r="ALH1159" s="7"/>
      <c r="ALI1159" s="7"/>
      <c r="ALJ1159" s="7"/>
      <c r="ALK1159" s="7"/>
      <c r="ALL1159" s="7"/>
      <c r="ALM1159" s="7"/>
      <c r="ALN1159" s="7"/>
      <c r="ALO1159" s="7"/>
      <c r="ALP1159" s="7"/>
      <c r="ALQ1159" s="7"/>
      <c r="ALR1159" s="7"/>
      <c r="ALS1159" s="7"/>
      <c r="ALT1159" s="7"/>
      <c r="ALU1159" s="7"/>
      <c r="ALV1159" s="7"/>
      <c r="ALW1159" s="7"/>
      <c r="ALX1159" s="7"/>
      <c r="ALY1159" s="7"/>
      <c r="ALZ1159" s="7"/>
      <c r="AMA1159" s="7"/>
      <c r="AMB1159" s="7"/>
      <c r="AMC1159" s="7"/>
      <c r="AMD1159" s="7"/>
      <c r="AME1159" s="7"/>
      <c r="AMF1159" s="7"/>
      <c r="AMG1159" s="7"/>
      <c r="AMH1159" s="7"/>
      <c r="AMI1159" s="7"/>
      <c r="AMJ1159" s="7"/>
      <c r="AMK1159" s="7"/>
      <c r="AML1159" s="7"/>
      <c r="AMM1159" s="7"/>
      <c r="AMN1159" s="7"/>
      <c r="AMO1159" s="7"/>
      <c r="AMP1159" s="7"/>
      <c r="AMQ1159" s="7"/>
      <c r="AMR1159" s="7"/>
      <c r="AMS1159" s="7"/>
      <c r="AMT1159" s="7"/>
      <c r="AMU1159" s="7"/>
      <c r="AMV1159" s="7"/>
      <c r="AMW1159" s="7"/>
      <c r="AMX1159" s="7"/>
      <c r="AMY1159" s="7"/>
      <c r="AMZ1159" s="7"/>
      <c r="ANA1159" s="7"/>
      <c r="ANB1159" s="7"/>
      <c r="ANC1159" s="7"/>
      <c r="AND1159" s="7"/>
      <c r="ANE1159" s="7"/>
      <c r="ANF1159" s="7"/>
      <c r="ANG1159" s="7"/>
      <c r="ANH1159" s="7"/>
      <c r="ANI1159" s="7"/>
      <c r="ANJ1159" s="7"/>
      <c r="ANK1159" s="7"/>
      <c r="ANL1159" s="7"/>
      <c r="ANM1159" s="7"/>
      <c r="ANN1159" s="7"/>
      <c r="ANO1159" s="7"/>
      <c r="ANP1159" s="7"/>
      <c r="ANQ1159" s="7"/>
      <c r="ANR1159" s="7"/>
      <c r="ANS1159" s="7"/>
      <c r="ANT1159" s="7"/>
      <c r="ANU1159" s="7"/>
      <c r="ANV1159" s="7"/>
      <c r="ANW1159" s="7"/>
      <c r="ANX1159" s="7"/>
      <c r="ANY1159" s="7"/>
      <c r="ANZ1159" s="7"/>
      <c r="AOA1159" s="7"/>
      <c r="AOB1159" s="7"/>
      <c r="AOC1159" s="7"/>
      <c r="AOD1159" s="7"/>
      <c r="AOE1159" s="7"/>
      <c r="AOF1159" s="7"/>
      <c r="AOG1159" s="7"/>
      <c r="AOH1159" s="7"/>
      <c r="AOI1159" s="7"/>
      <c r="AOJ1159" s="7"/>
      <c r="AOK1159" s="7"/>
      <c r="AOL1159" s="7"/>
      <c r="AOM1159" s="7"/>
      <c r="AON1159" s="7"/>
      <c r="AOO1159" s="7"/>
      <c r="AOP1159" s="7"/>
      <c r="AOQ1159" s="7"/>
      <c r="AOR1159" s="7"/>
      <c r="AOS1159" s="7"/>
      <c r="AOT1159" s="7"/>
      <c r="AOU1159" s="7"/>
      <c r="AOV1159" s="7"/>
      <c r="AOW1159" s="7"/>
      <c r="AOX1159" s="7"/>
      <c r="AOY1159" s="7"/>
      <c r="AOZ1159" s="7"/>
      <c r="APA1159" s="7"/>
      <c r="APB1159" s="7"/>
      <c r="APC1159" s="7"/>
      <c r="APD1159" s="7"/>
      <c r="APE1159" s="7"/>
      <c r="APF1159" s="7"/>
      <c r="APG1159" s="7"/>
      <c r="APH1159" s="7"/>
      <c r="API1159" s="7"/>
      <c r="APJ1159" s="7"/>
      <c r="APK1159" s="7"/>
      <c r="APL1159" s="7"/>
      <c r="APM1159" s="7"/>
      <c r="APN1159" s="7"/>
      <c r="APO1159" s="7"/>
      <c r="APP1159" s="7"/>
      <c r="APQ1159" s="7"/>
      <c r="APR1159" s="7"/>
      <c r="APS1159" s="7"/>
      <c r="APT1159" s="7"/>
      <c r="APU1159" s="7"/>
      <c r="APV1159" s="7"/>
      <c r="APW1159" s="7"/>
      <c r="APX1159" s="7"/>
      <c r="APY1159" s="7"/>
      <c r="APZ1159" s="7"/>
      <c r="AQA1159" s="7"/>
      <c r="AQB1159" s="7"/>
      <c r="AQC1159" s="7"/>
      <c r="AQD1159" s="7"/>
      <c r="AQE1159" s="7"/>
      <c r="AQF1159" s="7"/>
      <c r="AQG1159" s="7"/>
      <c r="AQH1159" s="7"/>
      <c r="AQI1159" s="7"/>
      <c r="AQJ1159" s="7"/>
      <c r="AQK1159" s="7"/>
      <c r="AQL1159" s="7"/>
      <c r="AQM1159" s="7"/>
      <c r="AQN1159" s="7"/>
      <c r="AQO1159" s="7"/>
      <c r="AQP1159" s="7"/>
      <c r="AQQ1159" s="7"/>
      <c r="AQR1159" s="7"/>
      <c r="AQS1159" s="7"/>
      <c r="AQT1159" s="7"/>
      <c r="AQU1159" s="7"/>
      <c r="AQV1159" s="7"/>
      <c r="AQW1159" s="7"/>
      <c r="AQX1159" s="7"/>
      <c r="AQY1159" s="7"/>
      <c r="AQZ1159" s="7"/>
      <c r="ARA1159" s="7"/>
      <c r="ARB1159" s="7"/>
      <c r="ARC1159" s="7"/>
      <c r="ARD1159" s="7"/>
      <c r="ARE1159" s="7"/>
      <c r="ARF1159" s="7"/>
      <c r="ARG1159" s="7"/>
      <c r="ARH1159" s="7"/>
      <c r="ARI1159" s="7"/>
      <c r="ARJ1159" s="7"/>
      <c r="ARK1159" s="7"/>
      <c r="ARL1159" s="7"/>
      <c r="ARM1159" s="7"/>
      <c r="ARN1159" s="7"/>
      <c r="ARO1159" s="7"/>
      <c r="ARP1159" s="7"/>
      <c r="ARQ1159" s="7"/>
      <c r="ARR1159" s="7"/>
      <c r="ARS1159" s="7"/>
      <c r="ART1159" s="7"/>
      <c r="ARU1159" s="7"/>
      <c r="ARV1159" s="7"/>
      <c r="ARW1159" s="7"/>
      <c r="ARX1159" s="7"/>
      <c r="ARY1159" s="7"/>
      <c r="ARZ1159" s="7"/>
      <c r="ASA1159" s="7"/>
      <c r="ASB1159" s="7"/>
      <c r="ASC1159" s="7"/>
      <c r="ASD1159" s="7"/>
      <c r="ASE1159" s="7"/>
      <c r="ASF1159" s="7"/>
      <c r="ASG1159" s="7"/>
      <c r="ASH1159" s="7"/>
      <c r="ASI1159" s="7"/>
      <c r="ASJ1159" s="7"/>
      <c r="ASK1159" s="7"/>
      <c r="ASL1159" s="7"/>
      <c r="ASM1159" s="7"/>
      <c r="ASN1159" s="7"/>
      <c r="ASO1159" s="7"/>
      <c r="ASP1159" s="7"/>
      <c r="ASQ1159" s="7"/>
      <c r="ASR1159" s="7"/>
      <c r="ASS1159" s="7"/>
      <c r="AST1159" s="7"/>
      <c r="ASU1159" s="7"/>
      <c r="ASV1159" s="7"/>
      <c r="ASW1159" s="7"/>
      <c r="ASX1159" s="7"/>
      <c r="ASY1159" s="7"/>
      <c r="ASZ1159" s="7"/>
      <c r="ATA1159" s="7"/>
      <c r="ATB1159" s="7"/>
      <c r="ATC1159" s="7"/>
      <c r="ATD1159" s="7"/>
      <c r="ATE1159" s="7"/>
      <c r="ATF1159" s="7"/>
      <c r="ATG1159" s="7"/>
      <c r="ATH1159" s="7"/>
      <c r="ATI1159" s="7"/>
      <c r="ATJ1159" s="7"/>
      <c r="ATK1159" s="7"/>
      <c r="ATL1159" s="7"/>
      <c r="ATM1159" s="7"/>
      <c r="ATN1159" s="7"/>
      <c r="ATO1159" s="7"/>
      <c r="ATP1159" s="7"/>
      <c r="ATQ1159" s="7"/>
      <c r="ATR1159" s="7"/>
      <c r="ATS1159" s="7"/>
      <c r="ATT1159" s="7"/>
      <c r="ATU1159" s="7"/>
      <c r="ATV1159" s="7"/>
      <c r="ATW1159" s="7"/>
      <c r="ATX1159" s="7"/>
      <c r="ATY1159" s="7"/>
      <c r="ATZ1159" s="7"/>
      <c r="AUA1159" s="7"/>
      <c r="AUB1159" s="7"/>
      <c r="AUC1159" s="7"/>
      <c r="AUD1159" s="7"/>
      <c r="AUE1159" s="7"/>
      <c r="AUF1159" s="7"/>
      <c r="AUG1159" s="7"/>
      <c r="AUH1159" s="7"/>
      <c r="AUI1159" s="7"/>
      <c r="AUJ1159" s="7"/>
      <c r="AUK1159" s="7"/>
      <c r="AUL1159" s="7"/>
      <c r="AUM1159" s="7"/>
      <c r="AUN1159" s="7"/>
      <c r="AUO1159" s="7"/>
      <c r="AUP1159" s="7"/>
      <c r="AUQ1159" s="7"/>
      <c r="AUR1159" s="7"/>
      <c r="AUS1159" s="7"/>
      <c r="AUT1159" s="7"/>
      <c r="AUU1159" s="7"/>
      <c r="AUV1159" s="7"/>
      <c r="AUW1159" s="7"/>
      <c r="AUX1159" s="7"/>
      <c r="AUY1159" s="7"/>
      <c r="AUZ1159" s="7"/>
      <c r="AVA1159" s="7"/>
      <c r="AVB1159" s="7"/>
      <c r="AVC1159" s="7"/>
      <c r="AVD1159" s="7"/>
      <c r="AVE1159" s="7"/>
      <c r="AVF1159" s="7"/>
      <c r="AVG1159" s="7"/>
      <c r="AVH1159" s="7"/>
      <c r="AVI1159" s="7"/>
      <c r="AVJ1159" s="7"/>
      <c r="AVK1159" s="7"/>
      <c r="AVL1159" s="7"/>
      <c r="AVM1159" s="7"/>
      <c r="AVN1159" s="7"/>
      <c r="AVO1159" s="7"/>
      <c r="AVP1159" s="7"/>
      <c r="AVQ1159" s="7"/>
      <c r="AVR1159" s="7"/>
      <c r="AVS1159" s="7"/>
      <c r="AVT1159" s="7"/>
      <c r="AVU1159" s="7"/>
      <c r="AVV1159" s="7"/>
      <c r="AVW1159" s="7"/>
      <c r="AVX1159" s="7"/>
      <c r="AVY1159" s="7"/>
      <c r="AVZ1159" s="7"/>
      <c r="AWA1159" s="7"/>
      <c r="AWB1159" s="7"/>
      <c r="AWC1159" s="7"/>
      <c r="AWD1159" s="7"/>
      <c r="AWE1159" s="7"/>
      <c r="AWF1159" s="7"/>
      <c r="AWG1159" s="7"/>
      <c r="AWH1159" s="7"/>
      <c r="AWI1159" s="7"/>
      <c r="AWJ1159" s="7"/>
      <c r="AWK1159" s="7"/>
      <c r="AWL1159" s="7"/>
      <c r="AWM1159" s="7"/>
      <c r="AWN1159" s="7"/>
      <c r="AWO1159" s="7"/>
      <c r="AWP1159" s="7"/>
      <c r="AWQ1159" s="7"/>
      <c r="AWR1159" s="7"/>
      <c r="AWS1159" s="7"/>
      <c r="AWT1159" s="7"/>
      <c r="AWU1159" s="7"/>
      <c r="AWV1159" s="7"/>
      <c r="AWW1159" s="7"/>
      <c r="AWX1159" s="7"/>
      <c r="AWY1159" s="7"/>
      <c r="AWZ1159" s="7"/>
      <c r="AXA1159" s="7"/>
      <c r="AXB1159" s="7"/>
      <c r="AXC1159" s="7"/>
      <c r="AXD1159" s="7"/>
      <c r="AXE1159" s="7"/>
      <c r="AXF1159" s="7"/>
      <c r="AXG1159" s="7"/>
      <c r="AXH1159" s="7"/>
      <c r="AXI1159" s="7"/>
      <c r="AXJ1159" s="7"/>
      <c r="AXK1159" s="7"/>
      <c r="AXL1159" s="7"/>
      <c r="AXM1159" s="7"/>
      <c r="AXN1159" s="7"/>
      <c r="AXO1159" s="7"/>
      <c r="AXP1159" s="7"/>
      <c r="AXQ1159" s="7"/>
      <c r="AXR1159" s="7"/>
      <c r="AXS1159" s="7"/>
      <c r="AXT1159" s="7"/>
      <c r="AXU1159" s="7"/>
      <c r="AXV1159" s="7"/>
      <c r="AXW1159" s="7"/>
      <c r="AXX1159" s="7"/>
      <c r="AXY1159" s="7"/>
      <c r="AXZ1159" s="7"/>
      <c r="AYA1159" s="7"/>
      <c r="AYB1159" s="7"/>
      <c r="AYC1159" s="7"/>
      <c r="AYD1159" s="7"/>
      <c r="AYE1159" s="7"/>
      <c r="AYF1159" s="7"/>
      <c r="AYG1159" s="7"/>
      <c r="AYH1159" s="7"/>
      <c r="AYI1159" s="7"/>
      <c r="AYJ1159" s="7"/>
      <c r="AYK1159" s="7"/>
      <c r="AYL1159" s="7"/>
      <c r="AYM1159" s="7"/>
      <c r="AYN1159" s="7"/>
      <c r="AYO1159" s="7"/>
      <c r="AYP1159" s="7"/>
      <c r="AYQ1159" s="7"/>
      <c r="AYR1159" s="7"/>
      <c r="AYS1159" s="7"/>
      <c r="AYT1159" s="7"/>
      <c r="AYU1159" s="7"/>
      <c r="AYV1159" s="7"/>
      <c r="AYW1159" s="7"/>
      <c r="AYX1159" s="7"/>
      <c r="AYY1159" s="7"/>
      <c r="AYZ1159" s="7"/>
      <c r="AZA1159" s="7"/>
      <c r="AZB1159" s="7"/>
      <c r="AZC1159" s="7"/>
      <c r="AZD1159" s="7"/>
      <c r="AZE1159" s="7"/>
      <c r="AZF1159" s="7"/>
      <c r="AZG1159" s="7"/>
      <c r="AZH1159" s="7"/>
      <c r="AZI1159" s="7"/>
      <c r="AZJ1159" s="7"/>
      <c r="AZK1159" s="7"/>
      <c r="AZL1159" s="7"/>
      <c r="AZM1159" s="7"/>
      <c r="AZN1159" s="7"/>
      <c r="AZO1159" s="7"/>
      <c r="AZP1159" s="7"/>
      <c r="AZQ1159" s="7"/>
      <c r="AZR1159" s="7"/>
      <c r="AZS1159" s="7"/>
      <c r="AZT1159" s="7"/>
      <c r="AZU1159" s="7"/>
      <c r="AZV1159" s="7"/>
      <c r="AZW1159" s="7"/>
      <c r="AZX1159" s="7"/>
      <c r="AZY1159" s="7"/>
      <c r="AZZ1159" s="7"/>
      <c r="BAA1159" s="7"/>
      <c r="BAB1159" s="7"/>
      <c r="BAC1159" s="7"/>
      <c r="BAD1159" s="7"/>
      <c r="BAE1159" s="7"/>
      <c r="BAF1159" s="7"/>
      <c r="BAG1159" s="7"/>
      <c r="BAH1159" s="7"/>
      <c r="BAI1159" s="7"/>
      <c r="BAJ1159" s="7"/>
      <c r="BAK1159" s="7"/>
      <c r="BAL1159" s="7"/>
      <c r="BAM1159" s="7"/>
      <c r="BAN1159" s="7"/>
      <c r="BAO1159" s="7"/>
      <c r="BAP1159" s="7"/>
      <c r="BAQ1159" s="7"/>
      <c r="BAR1159" s="7"/>
      <c r="BAS1159" s="7"/>
      <c r="BAT1159" s="7"/>
      <c r="BAU1159" s="7"/>
      <c r="BAV1159" s="7"/>
      <c r="BAW1159" s="7"/>
      <c r="BAX1159" s="7"/>
      <c r="BAY1159" s="7"/>
      <c r="BAZ1159" s="7"/>
      <c r="BBA1159" s="7"/>
      <c r="BBB1159" s="7"/>
      <c r="BBC1159" s="7"/>
      <c r="BBD1159" s="7"/>
      <c r="BBE1159" s="7"/>
      <c r="BBF1159" s="7"/>
      <c r="BBG1159" s="7"/>
      <c r="BBH1159" s="7"/>
      <c r="BBI1159" s="7"/>
      <c r="BBJ1159" s="7"/>
      <c r="BBK1159" s="7"/>
      <c r="BBL1159" s="7"/>
      <c r="BBM1159" s="7"/>
      <c r="BBN1159" s="7"/>
      <c r="BBO1159" s="7"/>
      <c r="BBP1159" s="7"/>
      <c r="BBQ1159" s="7"/>
      <c r="BBR1159" s="7"/>
      <c r="BBS1159" s="7"/>
      <c r="BBT1159" s="7"/>
      <c r="BBU1159" s="7"/>
      <c r="BBV1159" s="7"/>
      <c r="BBW1159" s="7"/>
      <c r="BBX1159" s="7"/>
      <c r="BBY1159" s="7"/>
      <c r="BBZ1159" s="7"/>
      <c r="BCA1159" s="7"/>
      <c r="BCB1159" s="7"/>
      <c r="BCC1159" s="7"/>
      <c r="BCD1159" s="7"/>
      <c r="BCE1159" s="7"/>
      <c r="BCF1159" s="7"/>
      <c r="BCG1159" s="7"/>
      <c r="BCH1159" s="7"/>
      <c r="BCI1159" s="7"/>
      <c r="BCJ1159" s="7"/>
      <c r="BCK1159" s="7"/>
      <c r="BCL1159" s="7"/>
      <c r="BCM1159" s="7"/>
      <c r="BCN1159" s="7"/>
      <c r="BCO1159" s="7"/>
      <c r="BCP1159" s="7"/>
      <c r="BCQ1159" s="7"/>
      <c r="BCR1159" s="7"/>
      <c r="BCS1159" s="7"/>
      <c r="BCT1159" s="7"/>
      <c r="BCU1159" s="7"/>
      <c r="BCV1159" s="7"/>
      <c r="BCW1159" s="7"/>
      <c r="BCX1159" s="7"/>
      <c r="BCY1159" s="7"/>
      <c r="BCZ1159" s="7"/>
      <c r="BDA1159" s="7"/>
      <c r="BDB1159" s="7"/>
      <c r="BDC1159" s="7"/>
      <c r="BDD1159" s="7"/>
      <c r="BDE1159" s="7"/>
      <c r="BDF1159" s="7"/>
      <c r="BDG1159" s="7"/>
      <c r="BDH1159" s="7"/>
      <c r="BDI1159" s="7"/>
      <c r="BDJ1159" s="7"/>
      <c r="BDK1159" s="7"/>
      <c r="BDL1159" s="7"/>
      <c r="BDM1159" s="7"/>
      <c r="BDN1159" s="7"/>
      <c r="BDO1159" s="7"/>
      <c r="BDP1159" s="7"/>
      <c r="BDQ1159" s="7"/>
      <c r="BDR1159" s="7"/>
      <c r="BDS1159" s="7"/>
      <c r="BDT1159" s="7"/>
      <c r="BDU1159" s="7"/>
      <c r="BDV1159" s="7"/>
      <c r="BDW1159" s="7"/>
      <c r="BDX1159" s="7"/>
      <c r="BDY1159" s="7"/>
      <c r="BDZ1159" s="7"/>
      <c r="BEA1159" s="7"/>
      <c r="BEB1159" s="7"/>
      <c r="BEC1159" s="7"/>
      <c r="BED1159" s="7"/>
      <c r="BEE1159" s="7"/>
      <c r="BEF1159" s="7"/>
      <c r="BEG1159" s="7"/>
      <c r="BEH1159" s="7"/>
      <c r="BEI1159" s="7"/>
      <c r="BEJ1159" s="7"/>
      <c r="BEK1159" s="7"/>
      <c r="BEL1159" s="7"/>
      <c r="BEM1159" s="7"/>
      <c r="BEN1159" s="7"/>
      <c r="BEO1159" s="7"/>
      <c r="BEP1159" s="7"/>
      <c r="BEQ1159" s="7"/>
      <c r="BER1159" s="7"/>
      <c r="BES1159" s="7"/>
      <c r="BET1159" s="7"/>
      <c r="BEU1159" s="7"/>
      <c r="BEV1159" s="7"/>
      <c r="BEW1159" s="7"/>
      <c r="BEX1159" s="7"/>
      <c r="BEY1159" s="7"/>
      <c r="BEZ1159" s="7"/>
      <c r="BFA1159" s="7"/>
      <c r="BFB1159" s="7"/>
      <c r="BFC1159" s="7"/>
      <c r="BFD1159" s="7"/>
      <c r="BFE1159" s="7"/>
      <c r="BFF1159" s="7"/>
      <c r="BFG1159" s="7"/>
      <c r="BFH1159" s="7"/>
      <c r="BFI1159" s="7"/>
      <c r="BFJ1159" s="7"/>
      <c r="BFK1159" s="7"/>
      <c r="BFL1159" s="7"/>
      <c r="BFM1159" s="7"/>
      <c r="BFN1159" s="7"/>
      <c r="BFO1159" s="7"/>
      <c r="BFP1159" s="7"/>
      <c r="BFQ1159" s="7"/>
      <c r="BFR1159" s="7"/>
      <c r="BFS1159" s="7"/>
      <c r="BFT1159" s="7"/>
      <c r="BFU1159" s="7"/>
      <c r="BFV1159" s="7"/>
      <c r="BFW1159" s="7"/>
      <c r="BFX1159" s="7"/>
      <c r="BFY1159" s="7"/>
      <c r="BFZ1159" s="7"/>
      <c r="BGA1159" s="7"/>
      <c r="BGB1159" s="7"/>
      <c r="BGC1159" s="7"/>
      <c r="BGD1159" s="7"/>
      <c r="BGE1159" s="7"/>
      <c r="BGF1159" s="7"/>
      <c r="BGG1159" s="7"/>
      <c r="BGH1159" s="7"/>
      <c r="BGI1159" s="7"/>
      <c r="BGJ1159" s="7"/>
      <c r="BGK1159" s="7"/>
      <c r="BGL1159" s="7"/>
      <c r="BGM1159" s="7"/>
      <c r="BGN1159" s="7"/>
      <c r="BGO1159" s="7"/>
      <c r="BGP1159" s="7"/>
      <c r="BGQ1159" s="7"/>
      <c r="BGR1159" s="7"/>
      <c r="BGS1159" s="7"/>
      <c r="BGT1159" s="7"/>
      <c r="BGU1159" s="7"/>
      <c r="BGV1159" s="7"/>
      <c r="BGW1159" s="7"/>
      <c r="BGX1159" s="7"/>
      <c r="BGY1159" s="7"/>
      <c r="BGZ1159" s="7"/>
      <c r="BHA1159" s="7"/>
      <c r="BHB1159" s="7"/>
      <c r="BHC1159" s="7"/>
      <c r="BHD1159" s="7"/>
      <c r="BHE1159" s="7"/>
      <c r="BHF1159" s="7"/>
      <c r="BHG1159" s="7"/>
      <c r="BHH1159" s="7"/>
      <c r="BHI1159" s="7"/>
      <c r="BHJ1159" s="7"/>
      <c r="BHK1159" s="7"/>
      <c r="BHL1159" s="7"/>
      <c r="BHM1159" s="7"/>
      <c r="BHN1159" s="7"/>
      <c r="BHO1159" s="7"/>
      <c r="BHP1159" s="7"/>
      <c r="BHQ1159" s="7"/>
      <c r="BHR1159" s="7"/>
      <c r="BHS1159" s="7"/>
      <c r="BHT1159" s="7"/>
      <c r="BHU1159" s="7"/>
      <c r="BHV1159" s="7"/>
      <c r="BHW1159" s="7"/>
      <c r="BHX1159" s="7"/>
      <c r="BHY1159" s="7"/>
      <c r="BHZ1159" s="7"/>
      <c r="BIA1159" s="7"/>
      <c r="BIB1159" s="7"/>
      <c r="BIC1159" s="7"/>
      <c r="BID1159" s="7"/>
      <c r="BIE1159" s="7"/>
      <c r="BIF1159" s="7"/>
      <c r="BIG1159" s="7"/>
      <c r="BIH1159" s="7"/>
      <c r="BII1159" s="7"/>
      <c r="BIJ1159" s="7"/>
      <c r="BIK1159" s="7"/>
      <c r="BIL1159" s="7"/>
      <c r="BIM1159" s="7"/>
      <c r="BIN1159" s="7"/>
      <c r="BIO1159" s="7"/>
      <c r="BIP1159" s="7"/>
      <c r="BIQ1159" s="7"/>
      <c r="BIR1159" s="7"/>
      <c r="BIS1159" s="7"/>
      <c r="BIT1159" s="7"/>
      <c r="BIU1159" s="7"/>
      <c r="BIV1159" s="7"/>
      <c r="BIW1159" s="7"/>
      <c r="BIX1159" s="7"/>
      <c r="BIY1159" s="7"/>
      <c r="BIZ1159" s="7"/>
      <c r="BJA1159" s="7"/>
      <c r="BJB1159" s="7"/>
      <c r="BJC1159" s="7"/>
      <c r="BJD1159" s="7"/>
      <c r="BJE1159" s="7"/>
      <c r="BJF1159" s="7"/>
      <c r="BJG1159" s="7"/>
      <c r="BJH1159" s="7"/>
      <c r="BJI1159" s="7"/>
      <c r="BJJ1159" s="7"/>
      <c r="BJK1159" s="7"/>
      <c r="BJL1159" s="7"/>
      <c r="BJM1159" s="7"/>
      <c r="BJN1159" s="7"/>
      <c r="BJO1159" s="7"/>
      <c r="BJP1159" s="7"/>
      <c r="BJQ1159" s="7"/>
      <c r="BJR1159" s="7"/>
      <c r="BJS1159" s="7"/>
      <c r="BJT1159" s="7"/>
      <c r="BJU1159" s="7"/>
      <c r="BJV1159" s="7"/>
      <c r="BJW1159" s="7"/>
      <c r="BJX1159" s="7"/>
      <c r="BJY1159" s="7"/>
      <c r="BJZ1159" s="7"/>
      <c r="BKA1159" s="7"/>
      <c r="BKB1159" s="7"/>
      <c r="BKC1159" s="7"/>
      <c r="BKD1159" s="7"/>
      <c r="BKE1159" s="7"/>
      <c r="BKF1159" s="7"/>
      <c r="BKG1159" s="7"/>
      <c r="BKH1159" s="7"/>
      <c r="BKI1159" s="7"/>
      <c r="BKJ1159" s="7"/>
      <c r="BKK1159" s="7"/>
      <c r="BKL1159" s="7"/>
      <c r="BKM1159" s="7"/>
      <c r="BKN1159" s="7"/>
      <c r="BKO1159" s="7"/>
      <c r="BKP1159" s="7"/>
      <c r="BKQ1159" s="7"/>
      <c r="BKR1159" s="7"/>
      <c r="BKS1159" s="7"/>
      <c r="BKT1159" s="7"/>
      <c r="BKU1159" s="7"/>
      <c r="BKV1159" s="7"/>
      <c r="BKW1159" s="7"/>
      <c r="BKX1159" s="7"/>
      <c r="BKY1159" s="7"/>
      <c r="BKZ1159" s="7"/>
      <c r="BLA1159" s="7"/>
      <c r="BLB1159" s="7"/>
      <c r="BLC1159" s="7"/>
      <c r="BLD1159" s="7"/>
      <c r="BLE1159" s="7"/>
      <c r="BLF1159" s="7"/>
      <c r="BLG1159" s="7"/>
      <c r="BLH1159" s="7"/>
      <c r="BLI1159" s="7"/>
      <c r="BLJ1159" s="7"/>
      <c r="BLK1159" s="7"/>
      <c r="BLL1159" s="7"/>
      <c r="BLM1159" s="7"/>
      <c r="BLN1159" s="7"/>
      <c r="BLO1159" s="7"/>
      <c r="BLP1159" s="7"/>
      <c r="BLQ1159" s="7"/>
      <c r="BLR1159" s="7"/>
      <c r="BLS1159" s="7"/>
      <c r="BLT1159" s="7"/>
      <c r="BLU1159" s="7"/>
      <c r="BLV1159" s="7"/>
      <c r="BLW1159" s="7"/>
      <c r="BLX1159" s="7"/>
      <c r="BLY1159" s="7"/>
      <c r="BLZ1159" s="7"/>
      <c r="BMA1159" s="7"/>
      <c r="BMB1159" s="7"/>
      <c r="BMC1159" s="7"/>
      <c r="BMD1159" s="7"/>
      <c r="BME1159" s="7"/>
      <c r="BMF1159" s="7"/>
      <c r="BMG1159" s="7"/>
      <c r="BMH1159" s="7"/>
      <c r="BMI1159" s="7"/>
      <c r="BMJ1159" s="7"/>
      <c r="BMK1159" s="7"/>
      <c r="BML1159" s="7"/>
      <c r="BMM1159" s="7"/>
      <c r="BMN1159" s="7"/>
      <c r="BMO1159" s="7"/>
      <c r="BMP1159" s="7"/>
      <c r="BMQ1159" s="7"/>
      <c r="BMR1159" s="7"/>
      <c r="BMS1159" s="7"/>
      <c r="BMT1159" s="7"/>
      <c r="BMU1159" s="7"/>
      <c r="BMV1159" s="7"/>
      <c r="BMW1159" s="7"/>
      <c r="BMX1159" s="7"/>
      <c r="BMY1159" s="7"/>
      <c r="BMZ1159" s="7"/>
      <c r="BNA1159" s="7"/>
      <c r="BNB1159" s="7"/>
      <c r="BNC1159" s="7"/>
      <c r="BND1159" s="7"/>
      <c r="BNE1159" s="7"/>
      <c r="BNF1159" s="7"/>
      <c r="BNG1159" s="7"/>
      <c r="BNH1159" s="7"/>
      <c r="BNI1159" s="7"/>
      <c r="BNJ1159" s="7"/>
      <c r="BNK1159" s="7"/>
      <c r="BNL1159" s="7"/>
      <c r="BNM1159" s="7"/>
      <c r="BNN1159" s="7"/>
      <c r="BNO1159" s="7"/>
      <c r="BNP1159" s="7"/>
      <c r="BNQ1159" s="7"/>
      <c r="BNR1159" s="7"/>
      <c r="BNS1159" s="7"/>
      <c r="BNT1159" s="7"/>
      <c r="BNU1159" s="7"/>
      <c r="BNV1159" s="7"/>
      <c r="BNW1159" s="7"/>
      <c r="BNX1159" s="7"/>
      <c r="BNY1159" s="7"/>
      <c r="BNZ1159" s="7"/>
      <c r="BOA1159" s="7"/>
      <c r="BOB1159" s="7"/>
      <c r="BOC1159" s="7"/>
      <c r="BOD1159" s="7"/>
      <c r="BOE1159" s="7"/>
      <c r="BOF1159" s="7"/>
      <c r="BOG1159" s="7"/>
      <c r="BOH1159" s="7"/>
      <c r="BOI1159" s="7"/>
      <c r="BOJ1159" s="7"/>
      <c r="BOK1159" s="7"/>
      <c r="BOL1159" s="7"/>
      <c r="BOM1159" s="7"/>
      <c r="BON1159" s="7"/>
      <c r="BOO1159" s="7"/>
      <c r="BOP1159" s="7"/>
      <c r="BOQ1159" s="7"/>
      <c r="BOR1159" s="7"/>
      <c r="BOS1159" s="7"/>
      <c r="BOT1159" s="7"/>
      <c r="BOU1159" s="7"/>
      <c r="BOV1159" s="7"/>
      <c r="BOW1159" s="7"/>
      <c r="BOX1159" s="7"/>
      <c r="BOY1159" s="7"/>
      <c r="BOZ1159" s="7"/>
      <c r="BPA1159" s="7"/>
      <c r="BPB1159" s="7"/>
      <c r="BPC1159" s="7"/>
      <c r="BPD1159" s="7"/>
      <c r="BPE1159" s="7"/>
      <c r="BPF1159" s="7"/>
      <c r="BPG1159" s="7"/>
      <c r="BPH1159" s="7"/>
      <c r="BPI1159" s="7"/>
      <c r="BPJ1159" s="7"/>
      <c r="BPK1159" s="7"/>
      <c r="BPL1159" s="7"/>
      <c r="BPM1159" s="7"/>
      <c r="BPN1159" s="7"/>
      <c r="BPO1159" s="7"/>
      <c r="BPP1159" s="7"/>
      <c r="BPQ1159" s="7"/>
      <c r="BPR1159" s="7"/>
      <c r="BPS1159" s="7"/>
      <c r="BPT1159" s="7"/>
      <c r="BPU1159" s="7"/>
      <c r="BPV1159" s="7"/>
      <c r="BPW1159" s="7"/>
      <c r="BPX1159" s="7"/>
      <c r="BPY1159" s="7"/>
      <c r="BPZ1159" s="7"/>
      <c r="BQA1159" s="7"/>
      <c r="BQB1159" s="7"/>
      <c r="BQC1159" s="7"/>
      <c r="BQD1159" s="7"/>
      <c r="BQE1159" s="7"/>
      <c r="BQF1159" s="7"/>
      <c r="BQG1159" s="7"/>
      <c r="BQH1159" s="7"/>
      <c r="BQI1159" s="7"/>
      <c r="BQJ1159" s="7"/>
      <c r="BQK1159" s="7"/>
      <c r="BQL1159" s="7"/>
      <c r="BQM1159" s="7"/>
      <c r="BQN1159" s="7"/>
      <c r="BQO1159" s="7"/>
      <c r="BQP1159" s="7"/>
      <c r="BQQ1159" s="7"/>
      <c r="BQR1159" s="7"/>
      <c r="BQS1159" s="7"/>
      <c r="BQT1159" s="7"/>
      <c r="BQU1159" s="7"/>
      <c r="BQV1159" s="7"/>
      <c r="BQW1159" s="7"/>
      <c r="BQX1159" s="7"/>
      <c r="BQY1159" s="7"/>
      <c r="BQZ1159" s="7"/>
      <c r="BRA1159" s="7"/>
      <c r="BRB1159" s="7"/>
      <c r="BRC1159" s="7"/>
      <c r="BRD1159" s="7"/>
      <c r="BRE1159" s="7"/>
      <c r="BRF1159" s="7"/>
      <c r="BRG1159" s="7"/>
      <c r="BRH1159" s="7"/>
      <c r="BRI1159" s="7"/>
      <c r="BRJ1159" s="7"/>
      <c r="BRK1159" s="7"/>
      <c r="BRL1159" s="7"/>
      <c r="BRM1159" s="7"/>
      <c r="BRN1159" s="7"/>
      <c r="BRO1159" s="7"/>
      <c r="BRP1159" s="7"/>
      <c r="BRQ1159" s="7"/>
      <c r="BRR1159" s="7"/>
      <c r="BRS1159" s="7"/>
      <c r="BRT1159" s="7"/>
      <c r="BRU1159" s="7"/>
      <c r="BRV1159" s="7"/>
      <c r="BRW1159" s="7"/>
      <c r="BRX1159" s="7"/>
      <c r="BRY1159" s="7"/>
      <c r="BRZ1159" s="7"/>
      <c r="BSA1159" s="7"/>
      <c r="BSB1159" s="7"/>
      <c r="BSC1159" s="7"/>
      <c r="BSD1159" s="7"/>
      <c r="BSE1159" s="7"/>
      <c r="BSF1159" s="7"/>
      <c r="BSG1159" s="7"/>
      <c r="BSH1159" s="7"/>
      <c r="BSI1159" s="7"/>
      <c r="BSJ1159" s="7"/>
      <c r="BSK1159" s="7"/>
      <c r="BSL1159" s="7"/>
      <c r="BSM1159" s="7"/>
      <c r="BSN1159" s="7"/>
      <c r="BSO1159" s="7"/>
      <c r="BSP1159" s="7"/>
      <c r="BSQ1159" s="7"/>
      <c r="BSR1159" s="7"/>
      <c r="BSS1159" s="7"/>
      <c r="BST1159" s="7"/>
      <c r="BSU1159" s="7"/>
      <c r="BSV1159" s="7"/>
      <c r="BSW1159" s="7"/>
      <c r="BSX1159" s="7"/>
      <c r="BSY1159" s="7"/>
      <c r="BSZ1159" s="7"/>
      <c r="BTA1159" s="7"/>
      <c r="BTB1159" s="7"/>
      <c r="BTC1159" s="7"/>
      <c r="BTD1159" s="7"/>
      <c r="BTE1159" s="7"/>
      <c r="BTF1159" s="7"/>
      <c r="BTG1159" s="7"/>
      <c r="BTH1159" s="7"/>
      <c r="BTI1159" s="7"/>
      <c r="BTJ1159" s="7"/>
      <c r="BTK1159" s="7"/>
      <c r="BTL1159" s="7"/>
      <c r="BTM1159" s="7"/>
      <c r="BTN1159" s="7"/>
      <c r="BTO1159" s="7"/>
      <c r="BTP1159" s="7"/>
      <c r="BTQ1159" s="7"/>
      <c r="BTR1159" s="7"/>
      <c r="BTS1159" s="7"/>
      <c r="BTT1159" s="7"/>
      <c r="BTU1159" s="7"/>
      <c r="BTV1159" s="7"/>
      <c r="BTW1159" s="7"/>
      <c r="BTX1159" s="7"/>
      <c r="BTY1159" s="7"/>
      <c r="BTZ1159" s="7"/>
      <c r="BUA1159" s="7"/>
      <c r="BUB1159" s="7"/>
      <c r="BUC1159" s="7"/>
      <c r="BUD1159" s="7"/>
      <c r="BUE1159" s="7"/>
      <c r="BUF1159" s="7"/>
      <c r="BUG1159" s="7"/>
      <c r="BUH1159" s="7"/>
      <c r="BUI1159" s="7"/>
      <c r="BUJ1159" s="7"/>
      <c r="BUK1159" s="7"/>
      <c r="BUL1159" s="7"/>
      <c r="BUM1159" s="7"/>
      <c r="BUN1159" s="7"/>
      <c r="BUO1159" s="7"/>
      <c r="BUP1159" s="7"/>
      <c r="BUQ1159" s="7"/>
      <c r="BUR1159" s="7"/>
      <c r="BUS1159" s="7"/>
      <c r="BUT1159" s="7"/>
      <c r="BUU1159" s="7"/>
      <c r="BUV1159" s="7"/>
      <c r="BUW1159" s="7"/>
      <c r="BUX1159" s="7"/>
      <c r="BUY1159" s="7"/>
      <c r="BUZ1159" s="7"/>
      <c r="BVA1159" s="7"/>
      <c r="BVB1159" s="7"/>
      <c r="BVC1159" s="7"/>
      <c r="BVD1159" s="7"/>
      <c r="BVE1159" s="7"/>
      <c r="BVF1159" s="7"/>
      <c r="BVG1159" s="7"/>
      <c r="BVH1159" s="7"/>
      <c r="BVI1159" s="7"/>
      <c r="BVJ1159" s="7"/>
      <c r="BVK1159" s="7"/>
      <c r="BVL1159" s="7"/>
      <c r="BVM1159" s="7"/>
      <c r="BVN1159" s="7"/>
      <c r="BVO1159" s="7"/>
      <c r="BVP1159" s="7"/>
      <c r="BVQ1159" s="7"/>
      <c r="BVR1159" s="7"/>
      <c r="BVS1159" s="7"/>
      <c r="BVT1159" s="7"/>
      <c r="BVU1159" s="7"/>
      <c r="BVV1159" s="7"/>
      <c r="BVW1159" s="7"/>
      <c r="BVX1159" s="7"/>
      <c r="BVY1159" s="7"/>
      <c r="BVZ1159" s="7"/>
      <c r="BWA1159" s="7"/>
      <c r="BWB1159" s="7"/>
      <c r="BWC1159" s="7"/>
      <c r="BWD1159" s="7"/>
      <c r="BWE1159" s="7"/>
      <c r="BWF1159" s="7"/>
      <c r="BWG1159" s="7"/>
      <c r="BWH1159" s="7"/>
      <c r="BWI1159" s="7"/>
      <c r="BWJ1159" s="7"/>
      <c r="BWK1159" s="7"/>
      <c r="BWL1159" s="7"/>
      <c r="BWM1159" s="7"/>
      <c r="BWN1159" s="7"/>
      <c r="BWO1159" s="7"/>
      <c r="BWP1159" s="7"/>
      <c r="BWQ1159" s="7"/>
      <c r="BWR1159" s="7"/>
      <c r="BWS1159" s="7"/>
      <c r="BWT1159" s="7"/>
      <c r="BWU1159" s="7"/>
      <c r="BWV1159" s="7"/>
      <c r="BWW1159" s="7"/>
      <c r="BWX1159" s="7"/>
      <c r="BWY1159" s="7"/>
      <c r="BWZ1159" s="7"/>
      <c r="BXA1159" s="7"/>
      <c r="BXB1159" s="7"/>
      <c r="BXC1159" s="7"/>
      <c r="BXD1159" s="7"/>
      <c r="BXE1159" s="7"/>
      <c r="BXF1159" s="7"/>
      <c r="BXG1159" s="7"/>
      <c r="BXH1159" s="7"/>
      <c r="BXI1159" s="7"/>
      <c r="BXJ1159" s="7"/>
      <c r="BXK1159" s="7"/>
      <c r="BXL1159" s="7"/>
      <c r="BXM1159" s="7"/>
      <c r="BXN1159" s="7"/>
      <c r="BXO1159" s="7"/>
      <c r="BXP1159" s="7"/>
      <c r="BXQ1159" s="7"/>
      <c r="BXR1159" s="7"/>
      <c r="BXS1159" s="7"/>
      <c r="BXT1159" s="7"/>
      <c r="BXU1159" s="7"/>
      <c r="BXV1159" s="7"/>
      <c r="BXW1159" s="7"/>
      <c r="BXX1159" s="7"/>
      <c r="BXY1159" s="7"/>
      <c r="BXZ1159" s="7"/>
      <c r="BYA1159" s="7"/>
      <c r="BYB1159" s="7"/>
      <c r="BYC1159" s="7"/>
      <c r="BYD1159" s="7"/>
      <c r="BYE1159" s="7"/>
      <c r="BYF1159" s="7"/>
      <c r="BYG1159" s="7"/>
      <c r="BYH1159" s="7"/>
      <c r="BYI1159" s="7"/>
      <c r="BYJ1159" s="7"/>
      <c r="BYK1159" s="7"/>
      <c r="BYL1159" s="7"/>
      <c r="BYM1159" s="7"/>
      <c r="BYN1159" s="7"/>
      <c r="BYO1159" s="7"/>
      <c r="BYP1159" s="7"/>
      <c r="BYQ1159" s="7"/>
      <c r="BYR1159" s="7"/>
      <c r="BYS1159" s="7"/>
      <c r="BYT1159" s="7"/>
      <c r="BYU1159" s="7"/>
      <c r="BYV1159" s="7"/>
      <c r="BYW1159" s="7"/>
      <c r="BYX1159" s="7"/>
      <c r="BYY1159" s="7"/>
      <c r="BYZ1159" s="7"/>
      <c r="BZA1159" s="7"/>
      <c r="BZB1159" s="7"/>
      <c r="BZC1159" s="7"/>
      <c r="BZD1159" s="7"/>
      <c r="BZE1159" s="7"/>
      <c r="BZF1159" s="7"/>
      <c r="BZG1159" s="7"/>
      <c r="BZH1159" s="7"/>
      <c r="BZI1159" s="7"/>
      <c r="BZJ1159" s="7"/>
      <c r="BZK1159" s="7"/>
      <c r="BZL1159" s="7"/>
      <c r="BZM1159" s="7"/>
      <c r="BZN1159" s="7"/>
      <c r="BZO1159" s="7"/>
      <c r="BZP1159" s="7"/>
      <c r="BZQ1159" s="7"/>
      <c r="BZR1159" s="7"/>
      <c r="BZS1159" s="7"/>
      <c r="BZT1159" s="7"/>
      <c r="BZU1159" s="7"/>
      <c r="BZV1159" s="7"/>
      <c r="BZW1159" s="7"/>
      <c r="BZX1159" s="7"/>
      <c r="BZY1159" s="7"/>
      <c r="BZZ1159" s="7"/>
      <c r="CAA1159" s="7"/>
      <c r="CAB1159" s="7"/>
      <c r="CAC1159" s="7"/>
      <c r="CAD1159" s="7"/>
      <c r="CAE1159" s="7"/>
      <c r="CAF1159" s="7"/>
      <c r="CAG1159" s="7"/>
      <c r="CAH1159" s="7"/>
      <c r="CAI1159" s="7"/>
      <c r="CAJ1159" s="7"/>
      <c r="CAK1159" s="7"/>
      <c r="CAL1159" s="7"/>
      <c r="CAM1159" s="7"/>
      <c r="CAN1159" s="7"/>
      <c r="CAO1159" s="7"/>
      <c r="CAP1159" s="7"/>
      <c r="CAQ1159" s="7"/>
      <c r="CAR1159" s="7"/>
      <c r="CAS1159" s="7"/>
      <c r="CAT1159" s="7"/>
      <c r="CAU1159" s="7"/>
      <c r="CAV1159" s="7"/>
      <c r="CAW1159" s="7"/>
      <c r="CAX1159" s="7"/>
      <c r="CAY1159" s="7"/>
      <c r="CAZ1159" s="7"/>
      <c r="CBA1159" s="7"/>
      <c r="CBB1159" s="7"/>
      <c r="CBC1159" s="7"/>
      <c r="CBD1159" s="7"/>
      <c r="CBE1159" s="7"/>
      <c r="CBF1159" s="7"/>
      <c r="CBG1159" s="7"/>
      <c r="CBH1159" s="7"/>
      <c r="CBI1159" s="7"/>
      <c r="CBJ1159" s="7"/>
      <c r="CBK1159" s="7"/>
      <c r="CBL1159" s="7"/>
      <c r="CBM1159" s="7"/>
      <c r="CBN1159" s="7"/>
      <c r="CBO1159" s="7"/>
      <c r="CBP1159" s="7"/>
      <c r="CBQ1159" s="7"/>
      <c r="CBR1159" s="7"/>
      <c r="CBS1159" s="7"/>
      <c r="CBT1159" s="7"/>
      <c r="CBU1159" s="7"/>
      <c r="CBV1159" s="7"/>
      <c r="CBW1159" s="7"/>
      <c r="CBX1159" s="7"/>
      <c r="CBY1159" s="7"/>
      <c r="CBZ1159" s="7"/>
      <c r="CCA1159" s="7"/>
      <c r="CCB1159" s="7"/>
      <c r="CCC1159" s="7"/>
      <c r="CCD1159" s="7"/>
      <c r="CCE1159" s="7"/>
      <c r="CCF1159" s="7"/>
      <c r="CCG1159" s="7"/>
      <c r="CCH1159" s="7"/>
      <c r="CCI1159" s="7"/>
      <c r="CCJ1159" s="7"/>
      <c r="CCK1159" s="7"/>
      <c r="CCL1159" s="7"/>
      <c r="CCM1159" s="7"/>
      <c r="CCN1159" s="7"/>
      <c r="CCO1159" s="7"/>
      <c r="CCP1159" s="7"/>
      <c r="CCQ1159" s="7"/>
      <c r="CCR1159" s="7"/>
      <c r="CCS1159" s="7"/>
      <c r="CCT1159" s="7"/>
      <c r="CCU1159" s="7"/>
      <c r="CCV1159" s="7"/>
      <c r="CCW1159" s="7"/>
      <c r="CCX1159" s="7"/>
      <c r="CCY1159" s="7"/>
      <c r="CCZ1159" s="7"/>
      <c r="CDA1159" s="7"/>
      <c r="CDB1159" s="7"/>
      <c r="CDC1159" s="7"/>
      <c r="CDD1159" s="7"/>
      <c r="CDE1159" s="7"/>
      <c r="CDF1159" s="7"/>
      <c r="CDG1159" s="7"/>
      <c r="CDH1159" s="7"/>
      <c r="CDI1159" s="7"/>
      <c r="CDJ1159" s="7"/>
      <c r="CDK1159" s="7"/>
      <c r="CDL1159" s="7"/>
      <c r="CDM1159" s="7"/>
      <c r="CDN1159" s="7"/>
      <c r="CDO1159" s="7"/>
      <c r="CDP1159" s="7"/>
      <c r="CDQ1159" s="7"/>
      <c r="CDR1159" s="7"/>
      <c r="CDS1159" s="7"/>
      <c r="CDT1159" s="7"/>
      <c r="CDU1159" s="7"/>
      <c r="CDV1159" s="7"/>
      <c r="CDW1159" s="7"/>
      <c r="CDX1159" s="7"/>
      <c r="CDY1159" s="7"/>
      <c r="CDZ1159" s="7"/>
      <c r="CEA1159" s="7"/>
      <c r="CEB1159" s="7"/>
      <c r="CEC1159" s="7"/>
      <c r="CED1159" s="7"/>
      <c r="CEE1159" s="7"/>
      <c r="CEF1159" s="7"/>
      <c r="CEG1159" s="7"/>
      <c r="CEH1159" s="7"/>
      <c r="CEI1159" s="7"/>
      <c r="CEJ1159" s="7"/>
      <c r="CEK1159" s="7"/>
      <c r="CEL1159" s="7"/>
      <c r="CEM1159" s="7"/>
      <c r="CEN1159" s="7"/>
      <c r="CEO1159" s="7"/>
      <c r="CEP1159" s="7"/>
      <c r="CEQ1159" s="7"/>
      <c r="CER1159" s="7"/>
      <c r="CES1159" s="7"/>
      <c r="CET1159" s="7"/>
      <c r="CEU1159" s="7"/>
      <c r="CEV1159" s="7"/>
      <c r="CEW1159" s="7"/>
      <c r="CEX1159" s="7"/>
      <c r="CEY1159" s="7"/>
      <c r="CEZ1159" s="7"/>
      <c r="CFA1159" s="7"/>
      <c r="CFB1159" s="7"/>
      <c r="CFC1159" s="7"/>
      <c r="CFD1159" s="7"/>
      <c r="CFE1159" s="7"/>
      <c r="CFF1159" s="7"/>
      <c r="CFG1159" s="7"/>
      <c r="CFH1159" s="7"/>
      <c r="CFI1159" s="7"/>
      <c r="CFJ1159" s="7"/>
      <c r="CFK1159" s="7"/>
      <c r="CFL1159" s="7"/>
      <c r="CFM1159" s="7"/>
      <c r="CFN1159" s="7"/>
      <c r="CFO1159" s="7"/>
      <c r="CFP1159" s="7"/>
      <c r="CFQ1159" s="7"/>
      <c r="CFR1159" s="7"/>
      <c r="CFS1159" s="7"/>
      <c r="CFT1159" s="7"/>
      <c r="CFU1159" s="7"/>
      <c r="CFV1159" s="7"/>
      <c r="CFW1159" s="7"/>
      <c r="CFX1159" s="7"/>
      <c r="CFY1159" s="7"/>
      <c r="CFZ1159" s="7"/>
      <c r="CGA1159" s="7"/>
      <c r="CGB1159" s="7"/>
      <c r="CGC1159" s="7"/>
      <c r="CGD1159" s="7"/>
      <c r="CGE1159" s="7"/>
      <c r="CGF1159" s="7"/>
      <c r="CGG1159" s="7"/>
      <c r="CGH1159" s="7"/>
      <c r="CGI1159" s="7"/>
      <c r="CGJ1159" s="7"/>
      <c r="CGK1159" s="7"/>
      <c r="CGL1159" s="7"/>
      <c r="CGM1159" s="7"/>
      <c r="CGN1159" s="7"/>
      <c r="CGO1159" s="7"/>
      <c r="CGP1159" s="7"/>
      <c r="CGQ1159" s="7"/>
      <c r="CGR1159" s="7"/>
      <c r="CGS1159" s="7"/>
      <c r="CGT1159" s="7"/>
      <c r="CGU1159" s="7"/>
      <c r="CGV1159" s="7"/>
      <c r="CGW1159" s="7"/>
      <c r="CGX1159" s="7"/>
      <c r="CGY1159" s="7"/>
      <c r="CGZ1159" s="7"/>
      <c r="CHA1159" s="7"/>
      <c r="CHB1159" s="7"/>
      <c r="CHC1159" s="7"/>
      <c r="CHD1159" s="7"/>
      <c r="CHE1159" s="7"/>
      <c r="CHF1159" s="7"/>
      <c r="CHG1159" s="7"/>
      <c r="CHH1159" s="7"/>
      <c r="CHI1159" s="7"/>
      <c r="CHJ1159" s="7"/>
      <c r="CHK1159" s="7"/>
      <c r="CHL1159" s="7"/>
      <c r="CHM1159" s="7"/>
      <c r="CHN1159" s="7"/>
      <c r="CHO1159" s="7"/>
      <c r="CHP1159" s="7"/>
      <c r="CHQ1159" s="7"/>
      <c r="CHR1159" s="7"/>
      <c r="CHS1159" s="7"/>
      <c r="CHT1159" s="7"/>
      <c r="CHU1159" s="7"/>
      <c r="CHV1159" s="7"/>
      <c r="CHW1159" s="7"/>
      <c r="CHX1159" s="7"/>
      <c r="CHY1159" s="7"/>
      <c r="CHZ1159" s="7"/>
      <c r="CIA1159" s="7"/>
      <c r="CIB1159" s="7"/>
      <c r="CIC1159" s="7"/>
      <c r="CID1159" s="7"/>
      <c r="CIE1159" s="7"/>
      <c r="CIF1159" s="7"/>
      <c r="CIG1159" s="7"/>
      <c r="CIH1159" s="7"/>
      <c r="CII1159" s="7"/>
      <c r="CIJ1159" s="7"/>
      <c r="CIK1159" s="7"/>
      <c r="CIL1159" s="7"/>
      <c r="CIM1159" s="7"/>
      <c r="CIN1159" s="7"/>
      <c r="CIO1159" s="7"/>
      <c r="CIP1159" s="7"/>
      <c r="CIQ1159" s="7"/>
      <c r="CIR1159" s="7"/>
      <c r="CIS1159" s="7"/>
      <c r="CIT1159" s="7"/>
      <c r="CIU1159" s="7"/>
      <c r="CIV1159" s="7"/>
      <c r="CIW1159" s="7"/>
      <c r="CIX1159" s="7"/>
      <c r="CIY1159" s="7"/>
      <c r="CIZ1159" s="7"/>
      <c r="CJA1159" s="7"/>
      <c r="CJB1159" s="7"/>
      <c r="CJC1159" s="7"/>
      <c r="CJD1159" s="7"/>
      <c r="CJE1159" s="7"/>
      <c r="CJF1159" s="7"/>
      <c r="CJG1159" s="7"/>
      <c r="CJH1159" s="7"/>
      <c r="CJI1159" s="7"/>
      <c r="CJJ1159" s="7"/>
      <c r="CJK1159" s="7"/>
      <c r="CJL1159" s="7"/>
      <c r="CJM1159" s="7"/>
      <c r="CJN1159" s="7"/>
      <c r="CJO1159" s="7"/>
      <c r="CJP1159" s="7"/>
      <c r="CJQ1159" s="7"/>
      <c r="CJR1159" s="7"/>
      <c r="CJS1159" s="7"/>
      <c r="CJT1159" s="7"/>
      <c r="CJU1159" s="7"/>
      <c r="CJV1159" s="7"/>
      <c r="CJW1159" s="7"/>
      <c r="CJX1159" s="7"/>
      <c r="CJY1159" s="7"/>
      <c r="CJZ1159" s="7"/>
      <c r="CKA1159" s="7"/>
      <c r="CKB1159" s="7"/>
      <c r="CKC1159" s="7"/>
      <c r="CKD1159" s="7"/>
      <c r="CKE1159" s="7"/>
      <c r="CKF1159" s="7"/>
      <c r="CKG1159" s="7"/>
      <c r="CKH1159" s="7"/>
      <c r="CKI1159" s="7"/>
      <c r="CKJ1159" s="7"/>
      <c r="CKK1159" s="7"/>
      <c r="CKL1159" s="7"/>
      <c r="CKM1159" s="7"/>
      <c r="CKN1159" s="7"/>
      <c r="CKO1159" s="7"/>
      <c r="CKP1159" s="7"/>
      <c r="CKQ1159" s="7"/>
      <c r="CKR1159" s="7"/>
      <c r="CKS1159" s="7"/>
      <c r="CKT1159" s="7"/>
      <c r="CKU1159" s="7"/>
      <c r="CKV1159" s="7"/>
      <c r="CKW1159" s="7"/>
      <c r="CKX1159" s="7"/>
      <c r="CKY1159" s="7"/>
      <c r="CKZ1159" s="7"/>
      <c r="CLA1159" s="7"/>
      <c r="CLB1159" s="7"/>
      <c r="CLC1159" s="7"/>
      <c r="CLD1159" s="7"/>
      <c r="CLE1159" s="7"/>
      <c r="CLF1159" s="7"/>
      <c r="CLG1159" s="7"/>
      <c r="CLH1159" s="7"/>
      <c r="CLI1159" s="7"/>
      <c r="CLJ1159" s="7"/>
      <c r="CLK1159" s="7"/>
      <c r="CLL1159" s="7"/>
      <c r="CLM1159" s="7"/>
      <c r="CLN1159" s="7"/>
      <c r="CLO1159" s="7"/>
      <c r="CLP1159" s="7"/>
      <c r="CLQ1159" s="7"/>
      <c r="CLR1159" s="7"/>
      <c r="CLS1159" s="7"/>
      <c r="CLT1159" s="7"/>
      <c r="CLU1159" s="7"/>
      <c r="CLV1159" s="7"/>
      <c r="CLW1159" s="7"/>
      <c r="CLX1159" s="7"/>
      <c r="CLY1159" s="7"/>
      <c r="CLZ1159" s="7"/>
      <c r="CMA1159" s="7"/>
      <c r="CMB1159" s="7"/>
      <c r="CMC1159" s="7"/>
      <c r="CMD1159" s="7"/>
      <c r="CME1159" s="7"/>
      <c r="CMF1159" s="7"/>
      <c r="CMG1159" s="7"/>
      <c r="CMH1159" s="7"/>
      <c r="CMI1159" s="7"/>
      <c r="CMJ1159" s="7"/>
      <c r="CMK1159" s="7"/>
      <c r="CML1159" s="7"/>
      <c r="CMM1159" s="7"/>
      <c r="CMN1159" s="7"/>
      <c r="CMO1159" s="7"/>
      <c r="CMP1159" s="7"/>
      <c r="CMQ1159" s="7"/>
      <c r="CMR1159" s="7"/>
      <c r="CMS1159" s="7"/>
      <c r="CMT1159" s="7"/>
      <c r="CMU1159" s="7"/>
      <c r="CMV1159" s="7"/>
      <c r="CMW1159" s="7"/>
      <c r="CMX1159" s="7"/>
      <c r="CMY1159" s="7"/>
      <c r="CMZ1159" s="7"/>
      <c r="CNA1159" s="7"/>
      <c r="CNB1159" s="7"/>
      <c r="CNC1159" s="7"/>
      <c r="CND1159" s="7"/>
      <c r="CNE1159" s="7"/>
      <c r="CNF1159" s="7"/>
      <c r="CNG1159" s="7"/>
      <c r="CNH1159" s="7"/>
      <c r="CNI1159" s="7"/>
      <c r="CNJ1159" s="7"/>
      <c r="CNK1159" s="7"/>
      <c r="CNL1159" s="7"/>
      <c r="CNM1159" s="7"/>
      <c r="CNN1159" s="7"/>
      <c r="CNO1159" s="7"/>
      <c r="CNP1159" s="7"/>
      <c r="CNQ1159" s="7"/>
      <c r="CNR1159" s="7"/>
      <c r="CNS1159" s="7"/>
      <c r="CNT1159" s="7"/>
      <c r="CNU1159" s="7"/>
      <c r="CNV1159" s="7"/>
      <c r="CNW1159" s="7"/>
      <c r="CNX1159" s="7"/>
      <c r="CNY1159" s="7"/>
      <c r="CNZ1159" s="7"/>
      <c r="COA1159" s="7"/>
      <c r="COB1159" s="7"/>
      <c r="COC1159" s="7"/>
      <c r="COD1159" s="7"/>
      <c r="COE1159" s="7"/>
      <c r="COF1159" s="7"/>
      <c r="COG1159" s="7"/>
      <c r="COH1159" s="7"/>
      <c r="COI1159" s="7"/>
      <c r="COJ1159" s="7"/>
      <c r="COK1159" s="7"/>
      <c r="COL1159" s="7"/>
      <c r="COM1159" s="7"/>
      <c r="CON1159" s="7"/>
      <c r="COO1159" s="7"/>
      <c r="COP1159" s="7"/>
      <c r="COQ1159" s="7"/>
      <c r="COR1159" s="7"/>
      <c r="COS1159" s="7"/>
      <c r="COT1159" s="7"/>
      <c r="COU1159" s="7"/>
      <c r="COV1159" s="7"/>
      <c r="COW1159" s="7"/>
      <c r="COX1159" s="7"/>
      <c r="COY1159" s="7"/>
      <c r="COZ1159" s="7"/>
      <c r="CPA1159" s="7"/>
      <c r="CPB1159" s="7"/>
      <c r="CPC1159" s="7"/>
      <c r="CPD1159" s="7"/>
      <c r="CPE1159" s="7"/>
      <c r="CPF1159" s="7"/>
      <c r="CPG1159" s="7"/>
      <c r="CPH1159" s="7"/>
      <c r="CPI1159" s="7"/>
      <c r="CPJ1159" s="7"/>
      <c r="CPK1159" s="7"/>
      <c r="CPL1159" s="7"/>
      <c r="CPM1159" s="7"/>
      <c r="CPN1159" s="7"/>
      <c r="CPO1159" s="7"/>
      <c r="CPP1159" s="7"/>
      <c r="CPQ1159" s="7"/>
      <c r="CPR1159" s="7"/>
      <c r="CPS1159" s="7"/>
      <c r="CPT1159" s="7"/>
      <c r="CPU1159" s="7"/>
      <c r="CPV1159" s="7"/>
      <c r="CPW1159" s="7"/>
      <c r="CPX1159" s="7"/>
      <c r="CPY1159" s="7"/>
      <c r="CPZ1159" s="7"/>
      <c r="CQA1159" s="7"/>
      <c r="CQB1159" s="7"/>
      <c r="CQC1159" s="7"/>
      <c r="CQD1159" s="7"/>
      <c r="CQE1159" s="7"/>
      <c r="CQF1159" s="7"/>
      <c r="CQG1159" s="7"/>
      <c r="CQH1159" s="7"/>
      <c r="CQI1159" s="7"/>
      <c r="CQJ1159" s="7"/>
      <c r="CQK1159" s="7"/>
      <c r="CQL1159" s="7"/>
      <c r="CQM1159" s="7"/>
      <c r="CQN1159" s="7"/>
      <c r="CQO1159" s="7"/>
      <c r="CQP1159" s="7"/>
      <c r="CQQ1159" s="7"/>
      <c r="CQR1159" s="7"/>
      <c r="CQS1159" s="7"/>
      <c r="CQT1159" s="7"/>
      <c r="CQU1159" s="7"/>
      <c r="CQV1159" s="7"/>
      <c r="CQW1159" s="7"/>
      <c r="CQX1159" s="7"/>
      <c r="CQY1159" s="7"/>
      <c r="CQZ1159" s="7"/>
      <c r="CRA1159" s="7"/>
      <c r="CRB1159" s="7"/>
      <c r="CRC1159" s="7"/>
      <c r="CRD1159" s="7"/>
      <c r="CRE1159" s="7"/>
      <c r="CRF1159" s="7"/>
      <c r="CRG1159" s="7"/>
      <c r="CRH1159" s="7"/>
      <c r="CRI1159" s="7"/>
      <c r="CRJ1159" s="7"/>
      <c r="CRK1159" s="7"/>
      <c r="CRL1159" s="7"/>
      <c r="CRM1159" s="7"/>
      <c r="CRN1159" s="7"/>
      <c r="CRO1159" s="7"/>
      <c r="CRP1159" s="7"/>
      <c r="CRQ1159" s="7"/>
      <c r="CRR1159" s="7"/>
      <c r="CRS1159" s="7"/>
      <c r="CRT1159" s="7"/>
      <c r="CRU1159" s="7"/>
      <c r="CRV1159" s="7"/>
      <c r="CRW1159" s="7"/>
      <c r="CRX1159" s="7"/>
      <c r="CRY1159" s="7"/>
      <c r="CRZ1159" s="7"/>
      <c r="CSA1159" s="7"/>
      <c r="CSB1159" s="7"/>
      <c r="CSC1159" s="7"/>
      <c r="CSD1159" s="7"/>
      <c r="CSE1159" s="7"/>
      <c r="CSF1159" s="7"/>
      <c r="CSG1159" s="7"/>
      <c r="CSH1159" s="7"/>
      <c r="CSI1159" s="7"/>
      <c r="CSJ1159" s="7"/>
      <c r="CSK1159" s="7"/>
      <c r="CSL1159" s="7"/>
      <c r="CSM1159" s="7"/>
      <c r="CSN1159" s="7"/>
      <c r="CSO1159" s="7"/>
      <c r="CSP1159" s="7"/>
      <c r="CSQ1159" s="7"/>
      <c r="CSR1159" s="7"/>
      <c r="CSS1159" s="7"/>
      <c r="CST1159" s="7"/>
      <c r="CSU1159" s="7"/>
      <c r="CSV1159" s="7"/>
      <c r="CSW1159" s="7"/>
      <c r="CSX1159" s="7"/>
      <c r="CSY1159" s="7"/>
      <c r="CSZ1159" s="7"/>
      <c r="CTA1159" s="7"/>
      <c r="CTB1159" s="7"/>
      <c r="CTC1159" s="7"/>
      <c r="CTD1159" s="7"/>
      <c r="CTE1159" s="7"/>
      <c r="CTF1159" s="7"/>
      <c r="CTG1159" s="7"/>
      <c r="CTH1159" s="7"/>
      <c r="CTI1159" s="7"/>
      <c r="CTJ1159" s="7"/>
      <c r="CTK1159" s="7"/>
      <c r="CTL1159" s="7"/>
      <c r="CTM1159" s="7"/>
      <c r="CTN1159" s="7"/>
      <c r="CTO1159" s="7"/>
      <c r="CTP1159" s="7"/>
      <c r="CTQ1159" s="7"/>
      <c r="CTR1159" s="7"/>
      <c r="CTS1159" s="7"/>
      <c r="CTT1159" s="7"/>
      <c r="CTU1159" s="7"/>
      <c r="CTV1159" s="7"/>
      <c r="CTW1159" s="7"/>
      <c r="CTX1159" s="7"/>
      <c r="CTY1159" s="7"/>
      <c r="CTZ1159" s="7"/>
      <c r="CUA1159" s="7"/>
      <c r="CUB1159" s="7"/>
      <c r="CUC1159" s="7"/>
      <c r="CUD1159" s="7"/>
      <c r="CUE1159" s="7"/>
      <c r="CUF1159" s="7"/>
      <c r="CUG1159" s="7"/>
      <c r="CUH1159" s="7"/>
      <c r="CUI1159" s="7"/>
      <c r="CUJ1159" s="7"/>
      <c r="CUK1159" s="7"/>
      <c r="CUL1159" s="7"/>
      <c r="CUM1159" s="7"/>
      <c r="CUN1159" s="7"/>
      <c r="CUO1159" s="7"/>
      <c r="CUP1159" s="7"/>
      <c r="CUQ1159" s="7"/>
      <c r="CUR1159" s="7"/>
      <c r="CUS1159" s="7"/>
      <c r="CUT1159" s="7"/>
      <c r="CUU1159" s="7"/>
      <c r="CUV1159" s="7"/>
      <c r="CUW1159" s="7"/>
      <c r="CUX1159" s="7"/>
      <c r="CUY1159" s="7"/>
      <c r="CUZ1159" s="7"/>
      <c r="CVA1159" s="7"/>
      <c r="CVB1159" s="7"/>
      <c r="CVC1159" s="7"/>
      <c r="CVD1159" s="7"/>
      <c r="CVE1159" s="7"/>
      <c r="CVF1159" s="7"/>
      <c r="CVG1159" s="7"/>
      <c r="CVH1159" s="7"/>
      <c r="CVI1159" s="7"/>
      <c r="CVJ1159" s="7"/>
      <c r="CVK1159" s="7"/>
      <c r="CVL1159" s="7"/>
      <c r="CVM1159" s="7"/>
      <c r="CVN1159" s="7"/>
      <c r="CVO1159" s="7"/>
      <c r="CVP1159" s="7"/>
      <c r="CVQ1159" s="7"/>
      <c r="CVR1159" s="7"/>
      <c r="CVS1159" s="7"/>
      <c r="CVT1159" s="7"/>
      <c r="CVU1159" s="7"/>
      <c r="CVV1159" s="7"/>
      <c r="CVW1159" s="7"/>
      <c r="CVX1159" s="7"/>
      <c r="CVY1159" s="7"/>
      <c r="CVZ1159" s="7"/>
      <c r="CWA1159" s="7"/>
      <c r="CWB1159" s="7"/>
      <c r="CWC1159" s="7"/>
      <c r="CWD1159" s="7"/>
      <c r="CWE1159" s="7"/>
      <c r="CWF1159" s="7"/>
      <c r="CWG1159" s="7"/>
      <c r="CWH1159" s="7"/>
      <c r="CWI1159" s="7"/>
      <c r="CWJ1159" s="7"/>
      <c r="CWK1159" s="7"/>
      <c r="CWL1159" s="7"/>
      <c r="CWM1159" s="7"/>
      <c r="CWN1159" s="7"/>
      <c r="CWO1159" s="7"/>
      <c r="CWP1159" s="7"/>
      <c r="CWQ1159" s="7"/>
      <c r="CWR1159" s="7"/>
      <c r="CWS1159" s="7"/>
      <c r="CWT1159" s="7"/>
      <c r="CWU1159" s="7"/>
      <c r="CWV1159" s="7"/>
      <c r="CWW1159" s="7"/>
      <c r="CWX1159" s="7"/>
      <c r="CWY1159" s="7"/>
      <c r="CWZ1159" s="7"/>
      <c r="CXA1159" s="7"/>
      <c r="CXB1159" s="7"/>
      <c r="CXC1159" s="7"/>
      <c r="CXD1159" s="7"/>
      <c r="CXE1159" s="7"/>
      <c r="CXF1159" s="7"/>
      <c r="CXG1159" s="7"/>
      <c r="CXH1159" s="7"/>
      <c r="CXI1159" s="7"/>
      <c r="CXJ1159" s="7"/>
      <c r="CXK1159" s="7"/>
      <c r="CXL1159" s="7"/>
      <c r="CXM1159" s="7"/>
      <c r="CXN1159" s="7"/>
      <c r="CXO1159" s="7"/>
      <c r="CXP1159" s="7"/>
      <c r="CXQ1159" s="7"/>
      <c r="CXR1159" s="7"/>
      <c r="CXS1159" s="7"/>
      <c r="CXT1159" s="7"/>
      <c r="CXU1159" s="7"/>
      <c r="CXV1159" s="7"/>
      <c r="CXW1159" s="7"/>
      <c r="CXX1159" s="7"/>
      <c r="CXY1159" s="7"/>
      <c r="CXZ1159" s="7"/>
      <c r="CYA1159" s="7"/>
      <c r="CYB1159" s="7"/>
      <c r="CYC1159" s="7"/>
      <c r="CYD1159" s="7"/>
      <c r="CYE1159" s="7"/>
      <c r="CYF1159" s="7"/>
      <c r="CYG1159" s="7"/>
      <c r="CYH1159" s="7"/>
      <c r="CYI1159" s="7"/>
      <c r="CYJ1159" s="7"/>
      <c r="CYK1159" s="7"/>
      <c r="CYL1159" s="7"/>
      <c r="CYM1159" s="7"/>
      <c r="CYN1159" s="7"/>
      <c r="CYO1159" s="7"/>
      <c r="CYP1159" s="7"/>
      <c r="CYQ1159" s="7"/>
      <c r="CYR1159" s="7"/>
      <c r="CYS1159" s="7"/>
      <c r="CYT1159" s="7"/>
      <c r="CYU1159" s="7"/>
      <c r="CYV1159" s="7"/>
      <c r="CYW1159" s="7"/>
      <c r="CYX1159" s="7"/>
      <c r="CYY1159" s="7"/>
      <c r="CYZ1159" s="7"/>
      <c r="CZA1159" s="7"/>
      <c r="CZB1159" s="7"/>
      <c r="CZC1159" s="7"/>
      <c r="CZD1159" s="7"/>
      <c r="CZE1159" s="7"/>
      <c r="CZF1159" s="7"/>
      <c r="CZG1159" s="7"/>
      <c r="CZH1159" s="7"/>
      <c r="CZI1159" s="7"/>
      <c r="CZJ1159" s="7"/>
      <c r="CZK1159" s="7"/>
      <c r="CZL1159" s="7"/>
      <c r="CZM1159" s="7"/>
      <c r="CZN1159" s="7"/>
      <c r="CZO1159" s="7"/>
      <c r="CZP1159" s="7"/>
      <c r="CZQ1159" s="7"/>
      <c r="CZR1159" s="7"/>
      <c r="CZS1159" s="7"/>
      <c r="CZT1159" s="7"/>
      <c r="CZU1159" s="7"/>
      <c r="CZV1159" s="7"/>
      <c r="CZW1159" s="7"/>
      <c r="CZX1159" s="7"/>
      <c r="CZY1159" s="7"/>
      <c r="CZZ1159" s="7"/>
      <c r="DAA1159" s="7"/>
      <c r="DAB1159" s="7"/>
      <c r="DAC1159" s="7"/>
      <c r="DAD1159" s="7"/>
      <c r="DAE1159" s="7"/>
      <c r="DAF1159" s="7"/>
      <c r="DAG1159" s="7"/>
      <c r="DAH1159" s="7"/>
      <c r="DAI1159" s="7"/>
      <c r="DAJ1159" s="7"/>
      <c r="DAK1159" s="7"/>
      <c r="DAL1159" s="7"/>
      <c r="DAM1159" s="7"/>
      <c r="DAN1159" s="7"/>
      <c r="DAO1159" s="7"/>
      <c r="DAP1159" s="7"/>
      <c r="DAQ1159" s="7"/>
      <c r="DAR1159" s="7"/>
      <c r="DAS1159" s="7"/>
      <c r="DAT1159" s="7"/>
      <c r="DAU1159" s="7"/>
      <c r="DAV1159" s="7"/>
      <c r="DAW1159" s="7"/>
      <c r="DAX1159" s="7"/>
      <c r="DAY1159" s="7"/>
      <c r="DAZ1159" s="7"/>
      <c r="DBA1159" s="7"/>
      <c r="DBB1159" s="7"/>
      <c r="DBC1159" s="7"/>
      <c r="DBD1159" s="7"/>
      <c r="DBE1159" s="7"/>
      <c r="DBF1159" s="7"/>
      <c r="DBG1159" s="7"/>
      <c r="DBH1159" s="7"/>
      <c r="DBI1159" s="7"/>
      <c r="DBJ1159" s="7"/>
      <c r="DBK1159" s="7"/>
      <c r="DBL1159" s="7"/>
      <c r="DBM1159" s="7"/>
      <c r="DBN1159" s="7"/>
      <c r="DBO1159" s="7"/>
      <c r="DBP1159" s="7"/>
      <c r="DBQ1159" s="7"/>
      <c r="DBR1159" s="7"/>
      <c r="DBS1159" s="7"/>
      <c r="DBT1159" s="7"/>
      <c r="DBU1159" s="7"/>
      <c r="DBV1159" s="7"/>
      <c r="DBW1159" s="7"/>
      <c r="DBX1159" s="7"/>
      <c r="DBY1159" s="7"/>
      <c r="DBZ1159" s="7"/>
      <c r="DCA1159" s="7"/>
      <c r="DCB1159" s="7"/>
      <c r="DCC1159" s="7"/>
      <c r="DCD1159" s="7"/>
      <c r="DCE1159" s="7"/>
      <c r="DCF1159" s="7"/>
      <c r="DCG1159" s="7"/>
      <c r="DCH1159" s="7"/>
      <c r="DCI1159" s="7"/>
      <c r="DCJ1159" s="7"/>
      <c r="DCK1159" s="7"/>
      <c r="DCL1159" s="7"/>
      <c r="DCM1159" s="7"/>
      <c r="DCN1159" s="7"/>
      <c r="DCO1159" s="7"/>
      <c r="DCP1159" s="7"/>
      <c r="DCQ1159" s="7"/>
      <c r="DCR1159" s="7"/>
      <c r="DCS1159" s="7"/>
      <c r="DCT1159" s="7"/>
      <c r="DCU1159" s="7"/>
      <c r="DCV1159" s="7"/>
      <c r="DCW1159" s="7"/>
      <c r="DCX1159" s="7"/>
      <c r="DCY1159" s="7"/>
      <c r="DCZ1159" s="7"/>
      <c r="DDA1159" s="7"/>
      <c r="DDB1159" s="7"/>
      <c r="DDC1159" s="7"/>
      <c r="DDD1159" s="7"/>
      <c r="DDE1159" s="7"/>
      <c r="DDF1159" s="7"/>
      <c r="DDG1159" s="7"/>
      <c r="DDH1159" s="7"/>
      <c r="DDI1159" s="7"/>
      <c r="DDJ1159" s="7"/>
      <c r="DDK1159" s="7"/>
      <c r="DDL1159" s="7"/>
      <c r="DDM1159" s="7"/>
      <c r="DDN1159" s="7"/>
      <c r="DDO1159" s="7"/>
      <c r="DDP1159" s="7"/>
      <c r="DDQ1159" s="7"/>
      <c r="DDR1159" s="7"/>
      <c r="DDS1159" s="7"/>
      <c r="DDT1159" s="7"/>
      <c r="DDU1159" s="7"/>
      <c r="DDV1159" s="7"/>
      <c r="DDW1159" s="7"/>
      <c r="DDX1159" s="7"/>
      <c r="DDY1159" s="7"/>
      <c r="DDZ1159" s="7"/>
      <c r="DEA1159" s="7"/>
      <c r="DEB1159" s="7"/>
      <c r="DEC1159" s="7"/>
      <c r="DED1159" s="7"/>
      <c r="DEE1159" s="7"/>
      <c r="DEF1159" s="7"/>
      <c r="DEG1159" s="7"/>
      <c r="DEH1159" s="7"/>
      <c r="DEI1159" s="7"/>
      <c r="DEJ1159" s="7"/>
      <c r="DEK1159" s="7"/>
      <c r="DEL1159" s="7"/>
      <c r="DEM1159" s="7"/>
      <c r="DEN1159" s="7"/>
      <c r="DEO1159" s="7"/>
      <c r="DEP1159" s="7"/>
      <c r="DEQ1159" s="7"/>
      <c r="DER1159" s="7"/>
      <c r="DES1159" s="7"/>
      <c r="DET1159" s="7"/>
      <c r="DEU1159" s="7"/>
      <c r="DEV1159" s="7"/>
      <c r="DEW1159" s="7"/>
      <c r="DEX1159" s="7"/>
      <c r="DEY1159" s="7"/>
      <c r="DEZ1159" s="7"/>
      <c r="DFA1159" s="7"/>
      <c r="DFB1159" s="7"/>
      <c r="DFC1159" s="7"/>
      <c r="DFD1159" s="7"/>
      <c r="DFE1159" s="7"/>
      <c r="DFF1159" s="7"/>
      <c r="DFG1159" s="7"/>
      <c r="DFH1159" s="7"/>
      <c r="DFI1159" s="7"/>
      <c r="DFJ1159" s="7"/>
      <c r="DFK1159" s="7"/>
      <c r="DFL1159" s="7"/>
      <c r="DFM1159" s="7"/>
      <c r="DFN1159" s="7"/>
      <c r="DFO1159" s="7"/>
      <c r="DFP1159" s="7"/>
      <c r="DFQ1159" s="7"/>
      <c r="DFR1159" s="7"/>
      <c r="DFS1159" s="7"/>
      <c r="DFT1159" s="7"/>
      <c r="DFU1159" s="7"/>
      <c r="DFV1159" s="7"/>
      <c r="DFW1159" s="7"/>
      <c r="DFX1159" s="7"/>
      <c r="DFY1159" s="7"/>
      <c r="DFZ1159" s="7"/>
      <c r="DGA1159" s="7"/>
      <c r="DGB1159" s="7"/>
      <c r="DGC1159" s="7"/>
      <c r="DGD1159" s="7"/>
      <c r="DGE1159" s="7"/>
      <c r="DGF1159" s="7"/>
      <c r="DGG1159" s="7"/>
      <c r="DGH1159" s="7"/>
      <c r="DGI1159" s="7"/>
      <c r="DGJ1159" s="7"/>
      <c r="DGK1159" s="7"/>
      <c r="DGL1159" s="7"/>
      <c r="DGM1159" s="7"/>
      <c r="DGN1159" s="7"/>
      <c r="DGO1159" s="7"/>
      <c r="DGP1159" s="7"/>
      <c r="DGQ1159" s="7"/>
      <c r="DGR1159" s="7"/>
      <c r="DGS1159" s="7"/>
      <c r="DGT1159" s="7"/>
      <c r="DGU1159" s="7"/>
      <c r="DGV1159" s="7"/>
      <c r="DGW1159" s="7"/>
      <c r="DGX1159" s="7"/>
      <c r="DGY1159" s="7"/>
      <c r="DGZ1159" s="7"/>
      <c r="DHA1159" s="7"/>
      <c r="DHB1159" s="7"/>
      <c r="DHC1159" s="7"/>
      <c r="DHD1159" s="7"/>
      <c r="DHE1159" s="7"/>
      <c r="DHF1159" s="7"/>
      <c r="DHG1159" s="7"/>
      <c r="DHH1159" s="7"/>
      <c r="DHI1159" s="7"/>
      <c r="DHJ1159" s="7"/>
      <c r="DHK1159" s="7"/>
      <c r="DHL1159" s="7"/>
      <c r="DHM1159" s="7"/>
      <c r="DHN1159" s="7"/>
      <c r="DHO1159" s="7"/>
      <c r="DHP1159" s="7"/>
      <c r="DHQ1159" s="7"/>
      <c r="DHR1159" s="7"/>
      <c r="DHS1159" s="7"/>
      <c r="DHT1159" s="7"/>
      <c r="DHU1159" s="7"/>
      <c r="DHV1159" s="7"/>
      <c r="DHW1159" s="7"/>
      <c r="DHX1159" s="7"/>
      <c r="DHY1159" s="7"/>
      <c r="DHZ1159" s="7"/>
      <c r="DIA1159" s="7"/>
      <c r="DIB1159" s="7"/>
      <c r="DIC1159" s="7"/>
      <c r="DID1159" s="7"/>
      <c r="DIE1159" s="7"/>
      <c r="DIF1159" s="7"/>
      <c r="DIG1159" s="7"/>
      <c r="DIH1159" s="7"/>
      <c r="DII1159" s="7"/>
      <c r="DIJ1159" s="7"/>
      <c r="DIK1159" s="7"/>
      <c r="DIL1159" s="7"/>
      <c r="DIM1159" s="7"/>
      <c r="DIN1159" s="7"/>
      <c r="DIO1159" s="7"/>
      <c r="DIP1159" s="7"/>
      <c r="DIQ1159" s="7"/>
      <c r="DIR1159" s="7"/>
      <c r="DIS1159" s="7"/>
      <c r="DIT1159" s="7"/>
      <c r="DIU1159" s="7"/>
      <c r="DIV1159" s="7"/>
      <c r="DIW1159" s="7"/>
      <c r="DIX1159" s="7"/>
      <c r="DIY1159" s="7"/>
      <c r="DIZ1159" s="7"/>
      <c r="DJA1159" s="7"/>
      <c r="DJB1159" s="7"/>
      <c r="DJC1159" s="7"/>
      <c r="DJD1159" s="7"/>
      <c r="DJE1159" s="7"/>
      <c r="DJF1159" s="7"/>
      <c r="DJG1159" s="7"/>
      <c r="DJH1159" s="7"/>
      <c r="DJI1159" s="7"/>
      <c r="DJJ1159" s="7"/>
      <c r="DJK1159" s="7"/>
      <c r="DJL1159" s="7"/>
      <c r="DJM1159" s="7"/>
      <c r="DJN1159" s="7"/>
      <c r="DJO1159" s="7"/>
      <c r="DJP1159" s="7"/>
      <c r="DJQ1159" s="7"/>
      <c r="DJR1159" s="7"/>
      <c r="DJS1159" s="7"/>
      <c r="DJT1159" s="7"/>
      <c r="DJU1159" s="7"/>
      <c r="DJV1159" s="7"/>
      <c r="DJW1159" s="7"/>
      <c r="DJX1159" s="7"/>
      <c r="DJY1159" s="7"/>
      <c r="DJZ1159" s="7"/>
      <c r="DKA1159" s="7"/>
      <c r="DKB1159" s="7"/>
      <c r="DKC1159" s="7"/>
      <c r="DKD1159" s="7"/>
      <c r="DKE1159" s="7"/>
      <c r="DKF1159" s="7"/>
      <c r="DKG1159" s="7"/>
      <c r="DKH1159" s="7"/>
      <c r="DKI1159" s="7"/>
      <c r="DKJ1159" s="7"/>
      <c r="DKK1159" s="7"/>
      <c r="DKL1159" s="7"/>
      <c r="DKM1159" s="7"/>
      <c r="DKN1159" s="7"/>
      <c r="DKO1159" s="7"/>
      <c r="DKP1159" s="7"/>
      <c r="DKQ1159" s="7"/>
      <c r="DKR1159" s="7"/>
      <c r="DKS1159" s="7"/>
      <c r="DKT1159" s="7"/>
      <c r="DKU1159" s="7"/>
      <c r="DKV1159" s="7"/>
      <c r="DKW1159" s="7"/>
      <c r="DKX1159" s="7"/>
      <c r="DKY1159" s="7"/>
      <c r="DKZ1159" s="7"/>
      <c r="DLA1159" s="7"/>
      <c r="DLB1159" s="7"/>
      <c r="DLC1159" s="7"/>
      <c r="DLD1159" s="7"/>
      <c r="DLE1159" s="7"/>
      <c r="DLF1159" s="7"/>
      <c r="DLG1159" s="7"/>
      <c r="DLH1159" s="7"/>
      <c r="DLI1159" s="7"/>
      <c r="DLJ1159" s="7"/>
      <c r="DLK1159" s="7"/>
      <c r="DLL1159" s="7"/>
      <c r="DLM1159" s="7"/>
      <c r="DLN1159" s="7"/>
      <c r="DLO1159" s="7"/>
      <c r="DLP1159" s="7"/>
      <c r="DLQ1159" s="7"/>
      <c r="DLR1159" s="7"/>
      <c r="DLS1159" s="7"/>
      <c r="DLT1159" s="7"/>
      <c r="DLU1159" s="7"/>
      <c r="DLV1159" s="7"/>
      <c r="DLW1159" s="7"/>
      <c r="DLX1159" s="7"/>
      <c r="DLY1159" s="7"/>
      <c r="DLZ1159" s="7"/>
      <c r="DMA1159" s="7"/>
      <c r="DMB1159" s="7"/>
      <c r="DMC1159" s="7"/>
      <c r="DMD1159" s="7"/>
      <c r="DME1159" s="7"/>
      <c r="DMF1159" s="7"/>
      <c r="DMG1159" s="7"/>
      <c r="DMH1159" s="7"/>
      <c r="DMI1159" s="7"/>
      <c r="DMJ1159" s="7"/>
      <c r="DMK1159" s="7"/>
      <c r="DML1159" s="7"/>
      <c r="DMM1159" s="7"/>
      <c r="DMN1159" s="7"/>
      <c r="DMO1159" s="7"/>
      <c r="DMP1159" s="7"/>
      <c r="DMQ1159" s="7"/>
      <c r="DMR1159" s="7"/>
      <c r="DMS1159" s="7"/>
      <c r="DMT1159" s="7"/>
      <c r="DMU1159" s="7"/>
      <c r="DMV1159" s="7"/>
      <c r="DMW1159" s="7"/>
      <c r="DMX1159" s="7"/>
      <c r="DMY1159" s="7"/>
      <c r="DMZ1159" s="7"/>
      <c r="DNA1159" s="7"/>
      <c r="DNB1159" s="7"/>
      <c r="DNC1159" s="7"/>
      <c r="DND1159" s="7"/>
      <c r="DNE1159" s="7"/>
      <c r="DNF1159" s="7"/>
      <c r="DNG1159" s="7"/>
      <c r="DNH1159" s="7"/>
      <c r="DNI1159" s="7"/>
      <c r="DNJ1159" s="7"/>
      <c r="DNK1159" s="7"/>
      <c r="DNL1159" s="7"/>
      <c r="DNM1159" s="7"/>
      <c r="DNN1159" s="7"/>
      <c r="DNO1159" s="7"/>
      <c r="DNP1159" s="7"/>
      <c r="DNQ1159" s="7"/>
      <c r="DNR1159" s="7"/>
      <c r="DNS1159" s="7"/>
      <c r="DNT1159" s="7"/>
      <c r="DNU1159" s="7"/>
      <c r="DNV1159" s="7"/>
      <c r="DNW1159" s="7"/>
      <c r="DNX1159" s="7"/>
      <c r="DNY1159" s="7"/>
      <c r="DNZ1159" s="7"/>
      <c r="DOA1159" s="7"/>
      <c r="DOB1159" s="7"/>
      <c r="DOC1159" s="7"/>
      <c r="DOD1159" s="7"/>
      <c r="DOE1159" s="7"/>
      <c r="DOF1159" s="7"/>
      <c r="DOG1159" s="7"/>
      <c r="DOH1159" s="7"/>
      <c r="DOI1159" s="7"/>
      <c r="DOJ1159" s="7"/>
      <c r="DOK1159" s="7"/>
      <c r="DOL1159" s="7"/>
      <c r="DOM1159" s="7"/>
      <c r="DON1159" s="7"/>
      <c r="DOO1159" s="7"/>
      <c r="DOP1159" s="7"/>
      <c r="DOQ1159" s="7"/>
      <c r="DOR1159" s="7"/>
      <c r="DOS1159" s="7"/>
      <c r="DOT1159" s="7"/>
      <c r="DOU1159" s="7"/>
      <c r="DOV1159" s="7"/>
      <c r="DOW1159" s="7"/>
      <c r="DOX1159" s="7"/>
      <c r="DOY1159" s="7"/>
      <c r="DOZ1159" s="7"/>
      <c r="DPA1159" s="7"/>
      <c r="DPB1159" s="7"/>
      <c r="DPC1159" s="7"/>
      <c r="DPD1159" s="7"/>
      <c r="DPE1159" s="7"/>
      <c r="DPF1159" s="7"/>
      <c r="DPG1159" s="7"/>
      <c r="DPH1159" s="7"/>
      <c r="DPI1159" s="7"/>
      <c r="DPJ1159" s="7"/>
      <c r="DPK1159" s="7"/>
      <c r="DPL1159" s="7"/>
      <c r="DPM1159" s="7"/>
      <c r="DPN1159" s="7"/>
      <c r="DPO1159" s="7"/>
      <c r="DPP1159" s="7"/>
      <c r="DPQ1159" s="7"/>
      <c r="DPR1159" s="7"/>
      <c r="DPS1159" s="7"/>
      <c r="DPT1159" s="7"/>
      <c r="DPU1159" s="7"/>
      <c r="DPV1159" s="7"/>
      <c r="DPW1159" s="7"/>
      <c r="DPX1159" s="7"/>
      <c r="DPY1159" s="7"/>
      <c r="DPZ1159" s="7"/>
      <c r="DQA1159" s="7"/>
      <c r="DQB1159" s="7"/>
      <c r="DQC1159" s="7"/>
      <c r="DQD1159" s="7"/>
      <c r="DQE1159" s="7"/>
      <c r="DQF1159" s="7"/>
      <c r="DQG1159" s="7"/>
      <c r="DQH1159" s="7"/>
      <c r="DQI1159" s="7"/>
      <c r="DQJ1159" s="7"/>
      <c r="DQK1159" s="7"/>
      <c r="DQL1159" s="7"/>
      <c r="DQM1159" s="7"/>
      <c r="DQN1159" s="7"/>
      <c r="DQO1159" s="7"/>
      <c r="DQP1159" s="7"/>
      <c r="DQQ1159" s="7"/>
      <c r="DQR1159" s="7"/>
      <c r="DQS1159" s="7"/>
      <c r="DQT1159" s="7"/>
      <c r="DQU1159" s="7"/>
      <c r="DQV1159" s="7"/>
      <c r="DQW1159" s="7"/>
      <c r="DQX1159" s="7"/>
      <c r="DQY1159" s="7"/>
      <c r="DQZ1159" s="7"/>
      <c r="DRA1159" s="7"/>
      <c r="DRB1159" s="7"/>
      <c r="DRC1159" s="7"/>
      <c r="DRD1159" s="7"/>
      <c r="DRE1159" s="7"/>
      <c r="DRF1159" s="7"/>
      <c r="DRG1159" s="7"/>
      <c r="DRH1159" s="7"/>
      <c r="DRI1159" s="7"/>
      <c r="DRJ1159" s="7"/>
      <c r="DRK1159" s="7"/>
      <c r="DRL1159" s="7"/>
      <c r="DRM1159" s="7"/>
      <c r="DRN1159" s="7"/>
      <c r="DRO1159" s="7"/>
      <c r="DRP1159" s="7"/>
      <c r="DRQ1159" s="7"/>
      <c r="DRR1159" s="7"/>
      <c r="DRS1159" s="7"/>
      <c r="DRT1159" s="7"/>
      <c r="DRU1159" s="7"/>
      <c r="DRV1159" s="7"/>
      <c r="DRW1159" s="7"/>
      <c r="DRX1159" s="7"/>
      <c r="DRY1159" s="7"/>
      <c r="DRZ1159" s="7"/>
      <c r="DSA1159" s="7"/>
      <c r="DSB1159" s="7"/>
      <c r="DSC1159" s="7"/>
      <c r="DSD1159" s="7"/>
      <c r="DSE1159" s="7"/>
      <c r="DSF1159" s="7"/>
      <c r="DSG1159" s="7"/>
      <c r="DSH1159" s="7"/>
      <c r="DSI1159" s="7"/>
      <c r="DSJ1159" s="7"/>
      <c r="DSK1159" s="7"/>
      <c r="DSL1159" s="7"/>
      <c r="DSM1159" s="7"/>
      <c r="DSN1159" s="7"/>
      <c r="DSO1159" s="7"/>
      <c r="DSP1159" s="7"/>
      <c r="DSQ1159" s="7"/>
      <c r="DSR1159" s="7"/>
      <c r="DSS1159" s="7"/>
      <c r="DST1159" s="7"/>
      <c r="DSU1159" s="7"/>
      <c r="DSV1159" s="7"/>
      <c r="DSW1159" s="7"/>
      <c r="DSX1159" s="7"/>
      <c r="DSY1159" s="7"/>
      <c r="DSZ1159" s="7"/>
      <c r="DTA1159" s="7"/>
      <c r="DTB1159" s="7"/>
      <c r="DTC1159" s="7"/>
      <c r="DTD1159" s="7"/>
      <c r="DTE1159" s="7"/>
      <c r="DTF1159" s="7"/>
      <c r="DTG1159" s="7"/>
      <c r="DTH1159" s="7"/>
      <c r="DTI1159" s="7"/>
      <c r="DTJ1159" s="7"/>
      <c r="DTK1159" s="7"/>
      <c r="DTL1159" s="7"/>
      <c r="DTM1159" s="7"/>
      <c r="DTN1159" s="7"/>
      <c r="DTO1159" s="7"/>
      <c r="DTP1159" s="7"/>
      <c r="DTQ1159" s="7"/>
      <c r="DTR1159" s="7"/>
      <c r="DTS1159" s="7"/>
      <c r="DTT1159" s="7"/>
      <c r="DTU1159" s="7"/>
      <c r="DTV1159" s="7"/>
      <c r="DTW1159" s="7"/>
      <c r="DTX1159" s="7"/>
      <c r="DTY1159" s="7"/>
      <c r="DTZ1159" s="7"/>
      <c r="DUA1159" s="7"/>
      <c r="DUB1159" s="7"/>
      <c r="DUC1159" s="7"/>
      <c r="DUD1159" s="7"/>
      <c r="DUE1159" s="7"/>
      <c r="DUF1159" s="7"/>
      <c r="DUG1159" s="7"/>
      <c r="DUH1159" s="7"/>
      <c r="DUI1159" s="7"/>
      <c r="DUJ1159" s="7"/>
      <c r="DUK1159" s="7"/>
      <c r="DUL1159" s="7"/>
      <c r="DUM1159" s="7"/>
      <c r="DUN1159" s="7"/>
      <c r="DUO1159" s="7"/>
      <c r="DUP1159" s="7"/>
      <c r="DUQ1159" s="7"/>
      <c r="DUR1159" s="7"/>
      <c r="DUS1159" s="7"/>
      <c r="DUT1159" s="7"/>
      <c r="DUU1159" s="7"/>
      <c r="DUV1159" s="7"/>
      <c r="DUW1159" s="7"/>
      <c r="DUX1159" s="7"/>
      <c r="DUY1159" s="7"/>
      <c r="DUZ1159" s="7"/>
      <c r="DVA1159" s="7"/>
      <c r="DVB1159" s="7"/>
      <c r="DVC1159" s="7"/>
      <c r="DVD1159" s="7"/>
      <c r="DVE1159" s="7"/>
      <c r="DVF1159" s="7"/>
      <c r="DVG1159" s="7"/>
      <c r="DVH1159" s="7"/>
      <c r="DVI1159" s="7"/>
      <c r="DVJ1159" s="7"/>
      <c r="DVK1159" s="7"/>
      <c r="DVL1159" s="7"/>
      <c r="DVM1159" s="7"/>
      <c r="DVN1159" s="7"/>
      <c r="DVO1159" s="7"/>
      <c r="DVP1159" s="7"/>
      <c r="DVQ1159" s="7"/>
      <c r="DVR1159" s="7"/>
      <c r="DVS1159" s="7"/>
      <c r="DVT1159" s="7"/>
      <c r="DVU1159" s="7"/>
      <c r="DVV1159" s="7"/>
      <c r="DVW1159" s="7"/>
      <c r="DVX1159" s="7"/>
      <c r="DVY1159" s="7"/>
      <c r="DVZ1159" s="7"/>
      <c r="DWA1159" s="7"/>
      <c r="DWB1159" s="7"/>
      <c r="DWC1159" s="7"/>
      <c r="DWD1159" s="7"/>
      <c r="DWE1159" s="7"/>
      <c r="DWF1159" s="7"/>
      <c r="DWG1159" s="7"/>
      <c r="DWH1159" s="7"/>
      <c r="DWI1159" s="7"/>
      <c r="DWJ1159" s="7"/>
      <c r="DWK1159" s="7"/>
      <c r="DWL1159" s="7"/>
      <c r="DWM1159" s="7"/>
      <c r="DWN1159" s="7"/>
      <c r="DWO1159" s="7"/>
      <c r="DWP1159" s="7"/>
      <c r="DWQ1159" s="7"/>
      <c r="DWR1159" s="7"/>
      <c r="DWS1159" s="7"/>
      <c r="DWT1159" s="7"/>
      <c r="DWU1159" s="7"/>
      <c r="DWV1159" s="7"/>
      <c r="DWW1159" s="7"/>
      <c r="DWX1159" s="7"/>
      <c r="DWY1159" s="7"/>
      <c r="DWZ1159" s="7"/>
      <c r="DXA1159" s="7"/>
      <c r="DXB1159" s="7"/>
      <c r="DXC1159" s="7"/>
      <c r="DXD1159" s="7"/>
      <c r="DXE1159" s="7"/>
      <c r="DXF1159" s="7"/>
      <c r="DXG1159" s="7"/>
      <c r="DXH1159" s="7"/>
      <c r="DXI1159" s="7"/>
      <c r="DXJ1159" s="7"/>
      <c r="DXK1159" s="7"/>
      <c r="DXL1159" s="7"/>
      <c r="DXM1159" s="7"/>
      <c r="DXN1159" s="7"/>
      <c r="DXO1159" s="7"/>
      <c r="DXP1159" s="7"/>
      <c r="DXQ1159" s="7"/>
      <c r="DXR1159" s="7"/>
      <c r="DXS1159" s="7"/>
      <c r="DXT1159" s="7"/>
      <c r="DXU1159" s="7"/>
      <c r="DXV1159" s="7"/>
      <c r="DXW1159" s="7"/>
      <c r="DXX1159" s="7"/>
      <c r="DXY1159" s="7"/>
      <c r="DXZ1159" s="7"/>
      <c r="DYA1159" s="7"/>
      <c r="DYB1159" s="7"/>
      <c r="DYC1159" s="7"/>
      <c r="DYD1159" s="7"/>
      <c r="DYE1159" s="7"/>
      <c r="DYF1159" s="7"/>
      <c r="DYG1159" s="7"/>
      <c r="DYH1159" s="7"/>
      <c r="DYI1159" s="7"/>
      <c r="DYJ1159" s="7"/>
      <c r="DYK1159" s="7"/>
      <c r="DYL1159" s="7"/>
      <c r="DYM1159" s="7"/>
      <c r="DYN1159" s="7"/>
      <c r="DYO1159" s="7"/>
      <c r="DYP1159" s="7"/>
      <c r="DYQ1159" s="7"/>
      <c r="DYR1159" s="7"/>
      <c r="DYS1159" s="7"/>
      <c r="DYT1159" s="7"/>
      <c r="DYU1159" s="7"/>
      <c r="DYV1159" s="7"/>
      <c r="DYW1159" s="7"/>
      <c r="DYX1159" s="7"/>
      <c r="DYY1159" s="7"/>
      <c r="DYZ1159" s="7"/>
      <c r="DZA1159" s="7"/>
      <c r="DZB1159" s="7"/>
      <c r="DZC1159" s="7"/>
      <c r="DZD1159" s="7"/>
      <c r="DZE1159" s="7"/>
      <c r="DZF1159" s="7"/>
      <c r="DZG1159" s="7"/>
      <c r="DZH1159" s="7"/>
      <c r="DZI1159" s="7"/>
      <c r="DZJ1159" s="7"/>
      <c r="DZK1159" s="7"/>
      <c r="DZL1159" s="7"/>
      <c r="DZM1159" s="7"/>
      <c r="DZN1159" s="7"/>
      <c r="DZO1159" s="7"/>
      <c r="DZP1159" s="7"/>
      <c r="DZQ1159" s="7"/>
      <c r="DZR1159" s="7"/>
      <c r="DZS1159" s="7"/>
      <c r="DZT1159" s="7"/>
      <c r="DZU1159" s="7"/>
      <c r="DZV1159" s="7"/>
      <c r="DZW1159" s="7"/>
      <c r="DZX1159" s="7"/>
      <c r="DZY1159" s="7"/>
      <c r="DZZ1159" s="7"/>
      <c r="EAA1159" s="7"/>
      <c r="EAB1159" s="7"/>
      <c r="EAC1159" s="7"/>
      <c r="EAD1159" s="7"/>
      <c r="EAE1159" s="7"/>
      <c r="EAF1159" s="7"/>
      <c r="EAG1159" s="7"/>
      <c r="EAH1159" s="7"/>
      <c r="EAI1159" s="7"/>
      <c r="EAJ1159" s="7"/>
      <c r="EAK1159" s="7"/>
      <c r="EAL1159" s="7"/>
      <c r="EAM1159" s="7"/>
      <c r="EAN1159" s="7"/>
      <c r="EAO1159" s="7"/>
      <c r="EAP1159" s="7"/>
      <c r="EAQ1159" s="7"/>
      <c r="EAR1159" s="7"/>
      <c r="EAS1159" s="7"/>
      <c r="EAT1159" s="7"/>
      <c r="EAU1159" s="7"/>
      <c r="EAV1159" s="7"/>
      <c r="EAW1159" s="7"/>
      <c r="EAX1159" s="7"/>
      <c r="EAY1159" s="7"/>
      <c r="EAZ1159" s="7"/>
      <c r="EBA1159" s="7"/>
      <c r="EBB1159" s="7"/>
      <c r="EBC1159" s="7"/>
      <c r="EBD1159" s="7"/>
      <c r="EBE1159" s="7"/>
      <c r="EBF1159" s="7"/>
      <c r="EBG1159" s="7"/>
      <c r="EBH1159" s="7"/>
      <c r="EBI1159" s="7"/>
      <c r="EBJ1159" s="7"/>
      <c r="EBK1159" s="7"/>
      <c r="EBL1159" s="7"/>
      <c r="EBM1159" s="7"/>
      <c r="EBN1159" s="7"/>
      <c r="EBO1159" s="7"/>
      <c r="EBP1159" s="7"/>
      <c r="EBQ1159" s="7"/>
      <c r="EBR1159" s="7"/>
      <c r="EBS1159" s="7"/>
      <c r="EBT1159" s="7"/>
      <c r="EBU1159" s="7"/>
      <c r="EBV1159" s="7"/>
      <c r="EBW1159" s="7"/>
      <c r="EBX1159" s="7"/>
      <c r="EBY1159" s="7"/>
      <c r="EBZ1159" s="7"/>
      <c r="ECA1159" s="7"/>
      <c r="ECB1159" s="7"/>
      <c r="ECC1159" s="7"/>
      <c r="ECD1159" s="7"/>
      <c r="ECE1159" s="7"/>
      <c r="ECF1159" s="7"/>
      <c r="ECG1159" s="7"/>
      <c r="ECH1159" s="7"/>
      <c r="ECI1159" s="7"/>
      <c r="ECJ1159" s="7"/>
      <c r="ECK1159" s="7"/>
      <c r="ECL1159" s="7"/>
      <c r="ECM1159" s="7"/>
      <c r="ECN1159" s="7"/>
      <c r="ECO1159" s="7"/>
      <c r="ECP1159" s="7"/>
      <c r="ECQ1159" s="7"/>
      <c r="ECR1159" s="7"/>
      <c r="ECS1159" s="7"/>
      <c r="ECT1159" s="7"/>
      <c r="ECU1159" s="7"/>
      <c r="ECV1159" s="7"/>
      <c r="ECW1159" s="7"/>
      <c r="ECX1159" s="7"/>
      <c r="ECY1159" s="7"/>
      <c r="ECZ1159" s="7"/>
      <c r="EDA1159" s="7"/>
      <c r="EDB1159" s="7"/>
      <c r="EDC1159" s="7"/>
      <c r="EDD1159" s="7"/>
      <c r="EDE1159" s="7"/>
      <c r="EDF1159" s="7"/>
      <c r="EDG1159" s="7"/>
      <c r="EDH1159" s="7"/>
      <c r="EDI1159" s="7"/>
      <c r="EDJ1159" s="7"/>
      <c r="EDK1159" s="7"/>
      <c r="EDL1159" s="7"/>
      <c r="EDM1159" s="7"/>
      <c r="EDN1159" s="7"/>
      <c r="EDO1159" s="7"/>
      <c r="EDP1159" s="7"/>
      <c r="EDQ1159" s="7"/>
      <c r="EDR1159" s="7"/>
      <c r="EDS1159" s="7"/>
      <c r="EDT1159" s="7"/>
      <c r="EDU1159" s="7"/>
      <c r="EDV1159" s="7"/>
      <c r="EDW1159" s="7"/>
      <c r="EDX1159" s="7"/>
      <c r="EDY1159" s="7"/>
      <c r="EDZ1159" s="7"/>
      <c r="EEA1159" s="7"/>
      <c r="EEB1159" s="7"/>
      <c r="EEC1159" s="7"/>
      <c r="EED1159" s="7"/>
      <c r="EEE1159" s="7"/>
      <c r="EEF1159" s="7"/>
      <c r="EEG1159" s="7"/>
      <c r="EEH1159" s="7"/>
      <c r="EEI1159" s="7"/>
      <c r="EEJ1159" s="7"/>
      <c r="EEK1159" s="7"/>
      <c r="EEL1159" s="7"/>
      <c r="EEM1159" s="7"/>
      <c r="EEN1159" s="7"/>
      <c r="EEO1159" s="7"/>
      <c r="EEP1159" s="7"/>
      <c r="EEQ1159" s="7"/>
      <c r="EER1159" s="7"/>
      <c r="EES1159" s="7"/>
      <c r="EET1159" s="7"/>
      <c r="EEU1159" s="7"/>
      <c r="EEV1159" s="7"/>
      <c r="EEW1159" s="7"/>
      <c r="EEX1159" s="7"/>
      <c r="EEY1159" s="7"/>
      <c r="EEZ1159" s="7"/>
      <c r="EFA1159" s="7"/>
      <c r="EFB1159" s="7"/>
      <c r="EFC1159" s="7"/>
      <c r="EFD1159" s="7"/>
      <c r="EFE1159" s="7"/>
      <c r="EFF1159" s="7"/>
      <c r="EFG1159" s="7"/>
      <c r="EFH1159" s="7"/>
      <c r="EFI1159" s="7"/>
      <c r="EFJ1159" s="7"/>
      <c r="EFK1159" s="7"/>
      <c r="EFL1159" s="7"/>
      <c r="EFM1159" s="7"/>
      <c r="EFN1159" s="7"/>
      <c r="EFO1159" s="7"/>
      <c r="EFP1159" s="7"/>
      <c r="EFQ1159" s="7"/>
      <c r="EFR1159" s="7"/>
      <c r="EFS1159" s="7"/>
      <c r="EFT1159" s="7"/>
      <c r="EFU1159" s="7"/>
      <c r="EFV1159" s="7"/>
      <c r="EFW1159" s="7"/>
      <c r="EFX1159" s="7"/>
      <c r="EFY1159" s="7"/>
      <c r="EFZ1159" s="7"/>
      <c r="EGA1159" s="7"/>
      <c r="EGB1159" s="7"/>
      <c r="EGC1159" s="7"/>
      <c r="EGD1159" s="7"/>
      <c r="EGE1159" s="7"/>
      <c r="EGF1159" s="7"/>
      <c r="EGG1159" s="7"/>
      <c r="EGH1159" s="7"/>
      <c r="EGI1159" s="7"/>
      <c r="EGJ1159" s="7"/>
      <c r="EGK1159" s="7"/>
      <c r="EGL1159" s="7"/>
      <c r="EGM1159" s="7"/>
      <c r="EGN1159" s="7"/>
      <c r="EGO1159" s="7"/>
      <c r="EGP1159" s="7"/>
      <c r="EGQ1159" s="7"/>
      <c r="EGR1159" s="7"/>
      <c r="EGS1159" s="7"/>
      <c r="EGT1159" s="7"/>
      <c r="EGU1159" s="7"/>
      <c r="EGV1159" s="7"/>
      <c r="EGW1159" s="7"/>
      <c r="EGX1159" s="7"/>
      <c r="EGY1159" s="7"/>
      <c r="EGZ1159" s="7"/>
      <c r="EHA1159" s="7"/>
      <c r="EHB1159" s="7"/>
      <c r="EHC1159" s="7"/>
      <c r="EHD1159" s="7"/>
      <c r="EHE1159" s="7"/>
      <c r="EHF1159" s="7"/>
      <c r="EHG1159" s="7"/>
      <c r="EHH1159" s="7"/>
      <c r="EHI1159" s="7"/>
      <c r="EHJ1159" s="7"/>
      <c r="EHK1159" s="7"/>
      <c r="EHL1159" s="7"/>
      <c r="EHM1159" s="7"/>
      <c r="EHN1159" s="7"/>
      <c r="EHO1159" s="7"/>
      <c r="EHP1159" s="7"/>
      <c r="EHQ1159" s="7"/>
      <c r="EHR1159" s="7"/>
      <c r="EHS1159" s="7"/>
      <c r="EHT1159" s="7"/>
      <c r="EHU1159" s="7"/>
      <c r="EHV1159" s="7"/>
      <c r="EHW1159" s="7"/>
      <c r="EHX1159" s="7"/>
      <c r="EHY1159" s="7"/>
      <c r="EHZ1159" s="7"/>
      <c r="EIA1159" s="7"/>
      <c r="EIB1159" s="7"/>
      <c r="EIC1159" s="7"/>
      <c r="EID1159" s="7"/>
      <c r="EIE1159" s="7"/>
      <c r="EIF1159" s="7"/>
      <c r="EIG1159" s="7"/>
      <c r="EIH1159" s="7"/>
      <c r="EII1159" s="7"/>
      <c r="EIJ1159" s="7"/>
      <c r="EIK1159" s="7"/>
      <c r="EIL1159" s="7"/>
      <c r="EIM1159" s="7"/>
      <c r="EIN1159" s="7"/>
      <c r="EIO1159" s="7"/>
      <c r="EIP1159" s="7"/>
      <c r="EIQ1159" s="7"/>
      <c r="EIR1159" s="7"/>
      <c r="EIS1159" s="7"/>
      <c r="EIT1159" s="7"/>
      <c r="EIU1159" s="7"/>
      <c r="EIV1159" s="7"/>
      <c r="EIW1159" s="7"/>
      <c r="EIX1159" s="7"/>
      <c r="EIY1159" s="7"/>
      <c r="EIZ1159" s="7"/>
      <c r="EJA1159" s="7"/>
      <c r="EJB1159" s="7"/>
      <c r="EJC1159" s="7"/>
      <c r="EJD1159" s="7"/>
      <c r="EJE1159" s="7"/>
      <c r="EJF1159" s="7"/>
      <c r="EJG1159" s="7"/>
      <c r="EJH1159" s="7"/>
      <c r="EJI1159" s="7"/>
      <c r="EJJ1159" s="7"/>
      <c r="EJK1159" s="7"/>
      <c r="EJL1159" s="7"/>
      <c r="EJM1159" s="7"/>
      <c r="EJN1159" s="7"/>
      <c r="EJO1159" s="7"/>
      <c r="EJP1159" s="7"/>
      <c r="EJQ1159" s="7"/>
      <c r="EJR1159" s="7"/>
      <c r="EJS1159" s="7"/>
      <c r="EJT1159" s="7"/>
      <c r="EJU1159" s="7"/>
      <c r="EJV1159" s="7"/>
      <c r="EJW1159" s="7"/>
      <c r="EJX1159" s="7"/>
      <c r="EJY1159" s="7"/>
      <c r="EJZ1159" s="7"/>
      <c r="EKA1159" s="7"/>
      <c r="EKB1159" s="7"/>
      <c r="EKC1159" s="7"/>
      <c r="EKD1159" s="7"/>
      <c r="EKE1159" s="7"/>
      <c r="EKF1159" s="7"/>
      <c r="EKG1159" s="7"/>
      <c r="EKH1159" s="7"/>
      <c r="EKI1159" s="7"/>
      <c r="EKJ1159" s="7"/>
      <c r="EKK1159" s="7"/>
      <c r="EKL1159" s="7"/>
      <c r="EKM1159" s="7"/>
      <c r="EKN1159" s="7"/>
      <c r="EKO1159" s="7"/>
      <c r="EKP1159" s="7"/>
      <c r="EKQ1159" s="7"/>
      <c r="EKR1159" s="7"/>
      <c r="EKS1159" s="7"/>
      <c r="EKT1159" s="7"/>
      <c r="EKU1159" s="7"/>
      <c r="EKV1159" s="7"/>
      <c r="EKW1159" s="7"/>
      <c r="EKX1159" s="7"/>
      <c r="EKY1159" s="7"/>
      <c r="EKZ1159" s="7"/>
      <c r="ELA1159" s="7"/>
      <c r="ELB1159" s="7"/>
      <c r="ELC1159" s="7"/>
      <c r="ELD1159" s="7"/>
      <c r="ELE1159" s="7"/>
      <c r="ELF1159" s="7"/>
      <c r="ELG1159" s="7"/>
      <c r="ELH1159" s="7"/>
      <c r="ELI1159" s="7"/>
      <c r="ELJ1159" s="7"/>
      <c r="ELK1159" s="7"/>
      <c r="ELL1159" s="7"/>
      <c r="ELM1159" s="7"/>
      <c r="ELN1159" s="7"/>
      <c r="ELO1159" s="7"/>
      <c r="ELP1159" s="7"/>
      <c r="ELQ1159" s="7"/>
      <c r="ELR1159" s="7"/>
      <c r="ELS1159" s="7"/>
      <c r="ELT1159" s="7"/>
      <c r="ELU1159" s="7"/>
      <c r="ELV1159" s="7"/>
      <c r="ELW1159" s="7"/>
      <c r="ELX1159" s="7"/>
      <c r="ELY1159" s="7"/>
      <c r="ELZ1159" s="7"/>
      <c r="EMA1159" s="7"/>
      <c r="EMB1159" s="7"/>
      <c r="EMC1159" s="7"/>
      <c r="EMD1159" s="7"/>
      <c r="EME1159" s="7"/>
      <c r="EMF1159" s="7"/>
      <c r="EMG1159" s="7"/>
      <c r="EMH1159" s="7"/>
      <c r="EMI1159" s="7"/>
      <c r="EMJ1159" s="7"/>
      <c r="EMK1159" s="7"/>
      <c r="EML1159" s="7"/>
      <c r="EMM1159" s="7"/>
      <c r="EMN1159" s="7"/>
      <c r="EMO1159" s="7"/>
      <c r="EMP1159" s="7"/>
      <c r="EMQ1159" s="7"/>
      <c r="EMR1159" s="7"/>
      <c r="EMS1159" s="7"/>
      <c r="EMT1159" s="7"/>
      <c r="EMU1159" s="7"/>
      <c r="EMV1159" s="7"/>
      <c r="EMW1159" s="7"/>
      <c r="EMX1159" s="7"/>
      <c r="EMY1159" s="7"/>
      <c r="EMZ1159" s="7"/>
      <c r="ENA1159" s="7"/>
      <c r="ENB1159" s="7"/>
      <c r="ENC1159" s="7"/>
      <c r="END1159" s="7"/>
      <c r="ENE1159" s="7"/>
      <c r="ENF1159" s="7"/>
      <c r="ENG1159" s="7"/>
      <c r="ENH1159" s="7"/>
      <c r="ENI1159" s="7"/>
      <c r="ENJ1159" s="7"/>
      <c r="ENK1159" s="7"/>
      <c r="ENL1159" s="7"/>
      <c r="ENM1159" s="7"/>
      <c r="ENN1159" s="7"/>
      <c r="ENO1159" s="7"/>
      <c r="ENP1159" s="7"/>
      <c r="ENQ1159" s="7"/>
      <c r="ENR1159" s="7"/>
      <c r="ENS1159" s="7"/>
      <c r="ENT1159" s="7"/>
      <c r="ENU1159" s="7"/>
      <c r="ENV1159" s="7"/>
      <c r="ENW1159" s="7"/>
      <c r="ENX1159" s="7"/>
      <c r="ENY1159" s="7"/>
      <c r="ENZ1159" s="7"/>
      <c r="EOA1159" s="7"/>
      <c r="EOB1159" s="7"/>
      <c r="EOC1159" s="7"/>
      <c r="EOD1159" s="7"/>
      <c r="EOE1159" s="7"/>
      <c r="EOF1159" s="7"/>
      <c r="EOG1159" s="7"/>
      <c r="EOH1159" s="7"/>
      <c r="EOI1159" s="7"/>
      <c r="EOJ1159" s="7"/>
      <c r="EOK1159" s="7"/>
      <c r="EOL1159" s="7"/>
      <c r="EOM1159" s="7"/>
      <c r="EON1159" s="7"/>
      <c r="EOO1159" s="7"/>
      <c r="EOP1159" s="7"/>
      <c r="EOQ1159" s="7"/>
      <c r="EOR1159" s="7"/>
      <c r="EOS1159" s="7"/>
      <c r="EOT1159" s="7"/>
      <c r="EOU1159" s="7"/>
      <c r="EOV1159" s="7"/>
      <c r="EOW1159" s="7"/>
      <c r="EOX1159" s="7"/>
      <c r="EOY1159" s="7"/>
      <c r="EOZ1159" s="7"/>
      <c r="EPA1159" s="7"/>
      <c r="EPB1159" s="7"/>
      <c r="EPC1159" s="7"/>
      <c r="EPD1159" s="7"/>
      <c r="EPE1159" s="7"/>
      <c r="EPF1159" s="7"/>
      <c r="EPG1159" s="7"/>
      <c r="EPH1159" s="7"/>
      <c r="EPI1159" s="7"/>
      <c r="EPJ1159" s="7"/>
      <c r="EPK1159" s="7"/>
      <c r="EPL1159" s="7"/>
      <c r="EPM1159" s="7"/>
      <c r="EPN1159" s="7"/>
      <c r="EPO1159" s="7"/>
      <c r="EPP1159" s="7"/>
      <c r="EPQ1159" s="7"/>
      <c r="EPR1159" s="7"/>
      <c r="EPS1159" s="7"/>
      <c r="EPT1159" s="7"/>
      <c r="EPU1159" s="7"/>
      <c r="EPV1159" s="7"/>
      <c r="EPW1159" s="7"/>
      <c r="EPX1159" s="7"/>
      <c r="EPY1159" s="7"/>
      <c r="EPZ1159" s="7"/>
      <c r="EQA1159" s="7"/>
      <c r="EQB1159" s="7"/>
      <c r="EQC1159" s="7"/>
      <c r="EQD1159" s="7"/>
      <c r="EQE1159" s="7"/>
      <c r="EQF1159" s="7"/>
      <c r="EQG1159" s="7"/>
      <c r="EQH1159" s="7"/>
      <c r="EQI1159" s="7"/>
      <c r="EQJ1159" s="7"/>
      <c r="EQK1159" s="7"/>
      <c r="EQL1159" s="7"/>
      <c r="EQM1159" s="7"/>
      <c r="EQN1159" s="7"/>
      <c r="EQO1159" s="7"/>
      <c r="EQP1159" s="7"/>
      <c r="EQQ1159" s="7"/>
      <c r="EQR1159" s="7"/>
      <c r="EQS1159" s="7"/>
      <c r="EQT1159" s="7"/>
      <c r="EQU1159" s="7"/>
      <c r="EQV1159" s="7"/>
      <c r="EQW1159" s="7"/>
      <c r="EQX1159" s="7"/>
      <c r="EQY1159" s="7"/>
      <c r="EQZ1159" s="7"/>
      <c r="ERA1159" s="7"/>
      <c r="ERB1159" s="7"/>
      <c r="ERC1159" s="7"/>
      <c r="ERD1159" s="7"/>
      <c r="ERE1159" s="7"/>
      <c r="ERF1159" s="7"/>
      <c r="ERG1159" s="7"/>
      <c r="ERH1159" s="7"/>
      <c r="ERI1159" s="7"/>
      <c r="ERJ1159" s="7"/>
      <c r="ERK1159" s="7"/>
      <c r="ERL1159" s="7"/>
      <c r="ERM1159" s="7"/>
      <c r="ERN1159" s="7"/>
      <c r="ERO1159" s="7"/>
      <c r="ERP1159" s="7"/>
      <c r="ERQ1159" s="7"/>
      <c r="ERR1159" s="7"/>
      <c r="ERS1159" s="7"/>
      <c r="ERT1159" s="7"/>
      <c r="ERU1159" s="7"/>
      <c r="ERV1159" s="7"/>
      <c r="ERW1159" s="7"/>
      <c r="ERX1159" s="7"/>
      <c r="ERY1159" s="7"/>
      <c r="ERZ1159" s="7"/>
      <c r="ESA1159" s="7"/>
      <c r="ESB1159" s="7"/>
      <c r="ESC1159" s="7"/>
      <c r="ESD1159" s="7"/>
      <c r="ESE1159" s="7"/>
      <c r="ESF1159" s="7"/>
      <c r="ESG1159" s="7"/>
      <c r="ESH1159" s="7"/>
      <c r="ESI1159" s="7"/>
      <c r="ESJ1159" s="7"/>
      <c r="ESK1159" s="7"/>
      <c r="ESL1159" s="7"/>
      <c r="ESM1159" s="7"/>
      <c r="ESN1159" s="7"/>
      <c r="ESO1159" s="7"/>
      <c r="ESP1159" s="7"/>
      <c r="ESQ1159" s="7"/>
      <c r="ESR1159" s="7"/>
      <c r="ESS1159" s="7"/>
      <c r="EST1159" s="7"/>
      <c r="ESU1159" s="7"/>
      <c r="ESV1159" s="7"/>
      <c r="ESW1159" s="7"/>
      <c r="ESX1159" s="7"/>
      <c r="ESY1159" s="7"/>
      <c r="ESZ1159" s="7"/>
      <c r="ETA1159" s="7"/>
      <c r="ETB1159" s="7"/>
      <c r="ETC1159" s="7"/>
      <c r="ETD1159" s="7"/>
      <c r="ETE1159" s="7"/>
      <c r="ETF1159" s="7"/>
      <c r="ETG1159" s="7"/>
      <c r="ETH1159" s="7"/>
      <c r="ETI1159" s="7"/>
      <c r="ETJ1159" s="7"/>
      <c r="ETK1159" s="7"/>
      <c r="ETL1159" s="7"/>
      <c r="ETM1159" s="7"/>
      <c r="ETN1159" s="7"/>
      <c r="ETO1159" s="7"/>
      <c r="ETP1159" s="7"/>
      <c r="ETQ1159" s="7"/>
      <c r="ETR1159" s="7"/>
      <c r="ETS1159" s="7"/>
      <c r="ETT1159" s="7"/>
      <c r="ETU1159" s="7"/>
      <c r="ETV1159" s="7"/>
      <c r="ETW1159" s="7"/>
      <c r="ETX1159" s="7"/>
      <c r="ETY1159" s="7"/>
      <c r="ETZ1159" s="7"/>
      <c r="EUA1159" s="7"/>
      <c r="EUB1159" s="7"/>
      <c r="EUC1159" s="7"/>
      <c r="EUD1159" s="7"/>
      <c r="EUE1159" s="7"/>
      <c r="EUF1159" s="7"/>
      <c r="EUG1159" s="7"/>
      <c r="EUH1159" s="7"/>
      <c r="EUI1159" s="7"/>
      <c r="EUJ1159" s="7"/>
      <c r="EUK1159" s="7"/>
      <c r="EUL1159" s="7"/>
      <c r="EUM1159" s="7"/>
      <c r="EUN1159" s="7"/>
      <c r="EUO1159" s="7"/>
      <c r="EUP1159" s="7"/>
      <c r="EUQ1159" s="7"/>
      <c r="EUR1159" s="7"/>
      <c r="EUS1159" s="7"/>
      <c r="EUT1159" s="7"/>
      <c r="EUU1159" s="7"/>
      <c r="EUV1159" s="7"/>
      <c r="EUW1159" s="7"/>
      <c r="EUX1159" s="7"/>
      <c r="EUY1159" s="7"/>
      <c r="EUZ1159" s="7"/>
      <c r="EVA1159" s="7"/>
      <c r="EVB1159" s="7"/>
      <c r="EVC1159" s="7"/>
      <c r="EVD1159" s="7"/>
      <c r="EVE1159" s="7"/>
      <c r="EVF1159" s="7"/>
      <c r="EVG1159" s="7"/>
      <c r="EVH1159" s="7"/>
      <c r="EVI1159" s="7"/>
      <c r="EVJ1159" s="7"/>
      <c r="EVK1159" s="7"/>
      <c r="EVL1159" s="7"/>
      <c r="EVM1159" s="7"/>
      <c r="EVN1159" s="7"/>
      <c r="EVO1159" s="7"/>
      <c r="EVP1159" s="7"/>
      <c r="EVQ1159" s="7"/>
      <c r="EVR1159" s="7"/>
      <c r="EVS1159" s="7"/>
      <c r="EVT1159" s="7"/>
      <c r="EVU1159" s="7"/>
      <c r="EVV1159" s="7"/>
      <c r="EVW1159" s="7"/>
      <c r="EVX1159" s="7"/>
      <c r="EVY1159" s="7"/>
      <c r="EVZ1159" s="7"/>
      <c r="EWA1159" s="7"/>
      <c r="EWB1159" s="7"/>
      <c r="EWC1159" s="7"/>
      <c r="EWD1159" s="7"/>
      <c r="EWE1159" s="7"/>
      <c r="EWF1159" s="7"/>
      <c r="EWG1159" s="7"/>
      <c r="EWH1159" s="7"/>
      <c r="EWI1159" s="7"/>
      <c r="EWJ1159" s="7"/>
      <c r="EWK1159" s="7"/>
      <c r="EWL1159" s="7"/>
      <c r="EWM1159" s="7"/>
      <c r="EWN1159" s="7"/>
      <c r="EWO1159" s="7"/>
      <c r="EWP1159" s="7"/>
      <c r="EWQ1159" s="7"/>
      <c r="EWR1159" s="7"/>
      <c r="EWS1159" s="7"/>
      <c r="EWT1159" s="7"/>
      <c r="EWU1159" s="7"/>
      <c r="EWV1159" s="7"/>
      <c r="EWW1159" s="7"/>
      <c r="EWX1159" s="7"/>
      <c r="EWY1159" s="7"/>
      <c r="EWZ1159" s="7"/>
      <c r="EXA1159" s="7"/>
      <c r="EXB1159" s="7"/>
      <c r="EXC1159" s="7"/>
      <c r="EXD1159" s="7"/>
      <c r="EXE1159" s="7"/>
      <c r="EXF1159" s="7"/>
      <c r="EXG1159" s="7"/>
      <c r="EXH1159" s="7"/>
      <c r="EXI1159" s="7"/>
      <c r="EXJ1159" s="7"/>
      <c r="EXK1159" s="7"/>
      <c r="EXL1159" s="7"/>
      <c r="EXM1159" s="7"/>
      <c r="EXN1159" s="7"/>
      <c r="EXO1159" s="7"/>
      <c r="EXP1159" s="7"/>
      <c r="EXQ1159" s="7"/>
      <c r="EXR1159" s="7"/>
      <c r="EXS1159" s="7"/>
      <c r="EXT1159" s="7"/>
      <c r="EXU1159" s="7"/>
      <c r="EXV1159" s="7"/>
      <c r="EXW1159" s="7"/>
      <c r="EXX1159" s="7"/>
      <c r="EXY1159" s="7"/>
      <c r="EXZ1159" s="7"/>
      <c r="EYA1159" s="7"/>
      <c r="EYB1159" s="7"/>
      <c r="EYC1159" s="7"/>
      <c r="EYD1159" s="7"/>
      <c r="EYE1159" s="7"/>
      <c r="EYF1159" s="7"/>
      <c r="EYG1159" s="7"/>
      <c r="EYH1159" s="7"/>
      <c r="EYI1159" s="7"/>
      <c r="EYJ1159" s="7"/>
      <c r="EYK1159" s="7"/>
      <c r="EYL1159" s="7"/>
      <c r="EYM1159" s="7"/>
      <c r="EYN1159" s="7"/>
      <c r="EYO1159" s="7"/>
      <c r="EYP1159" s="7"/>
      <c r="EYQ1159" s="7"/>
      <c r="EYR1159" s="7"/>
      <c r="EYS1159" s="7"/>
      <c r="EYT1159" s="7"/>
      <c r="EYU1159" s="7"/>
      <c r="EYV1159" s="7"/>
      <c r="EYW1159" s="7"/>
      <c r="EYX1159" s="7"/>
      <c r="EYY1159" s="7"/>
      <c r="EYZ1159" s="7"/>
      <c r="EZA1159" s="7"/>
      <c r="EZB1159" s="7"/>
      <c r="EZC1159" s="7"/>
      <c r="EZD1159" s="7"/>
      <c r="EZE1159" s="7"/>
      <c r="EZF1159" s="7"/>
      <c r="EZG1159" s="7"/>
      <c r="EZH1159" s="7"/>
      <c r="EZI1159" s="7"/>
      <c r="EZJ1159" s="7"/>
      <c r="EZK1159" s="7"/>
      <c r="EZL1159" s="7"/>
      <c r="EZM1159" s="7"/>
      <c r="EZN1159" s="7"/>
      <c r="EZO1159" s="7"/>
      <c r="EZP1159" s="7"/>
      <c r="EZQ1159" s="7"/>
      <c r="EZR1159" s="7"/>
      <c r="EZS1159" s="7"/>
      <c r="EZT1159" s="7"/>
      <c r="EZU1159" s="7"/>
      <c r="EZV1159" s="7"/>
      <c r="EZW1159" s="7"/>
      <c r="EZX1159" s="7"/>
      <c r="EZY1159" s="7"/>
      <c r="EZZ1159" s="7"/>
      <c r="FAA1159" s="7"/>
      <c r="FAB1159" s="7"/>
      <c r="FAC1159" s="7"/>
      <c r="FAD1159" s="7"/>
      <c r="FAE1159" s="7"/>
      <c r="FAF1159" s="7"/>
      <c r="FAG1159" s="7"/>
      <c r="FAH1159" s="7"/>
      <c r="FAI1159" s="7"/>
      <c r="FAJ1159" s="7"/>
      <c r="FAK1159" s="7"/>
      <c r="FAL1159" s="7"/>
      <c r="FAM1159" s="7"/>
      <c r="FAN1159" s="7"/>
      <c r="FAO1159" s="7"/>
      <c r="FAP1159" s="7"/>
      <c r="FAQ1159" s="7"/>
      <c r="FAR1159" s="7"/>
      <c r="FAS1159" s="7"/>
      <c r="FAT1159" s="7"/>
      <c r="FAU1159" s="7"/>
      <c r="FAV1159" s="7"/>
      <c r="FAW1159" s="7"/>
      <c r="FAX1159" s="7"/>
      <c r="FAY1159" s="7"/>
      <c r="FAZ1159" s="7"/>
      <c r="FBA1159" s="7"/>
      <c r="FBB1159" s="7"/>
      <c r="FBC1159" s="7"/>
      <c r="FBD1159" s="7"/>
      <c r="FBE1159" s="7"/>
      <c r="FBF1159" s="7"/>
      <c r="FBG1159" s="7"/>
      <c r="FBH1159" s="7"/>
      <c r="FBI1159" s="7"/>
      <c r="FBJ1159" s="7"/>
      <c r="FBK1159" s="7"/>
      <c r="FBL1159" s="7"/>
      <c r="FBM1159" s="7"/>
      <c r="FBN1159" s="7"/>
      <c r="FBO1159" s="7"/>
      <c r="FBP1159" s="7"/>
      <c r="FBQ1159" s="7"/>
      <c r="FBR1159" s="7"/>
      <c r="FBS1159" s="7"/>
      <c r="FBT1159" s="7"/>
      <c r="FBU1159" s="7"/>
      <c r="FBV1159" s="7"/>
      <c r="FBW1159" s="7"/>
      <c r="FBX1159" s="7"/>
      <c r="FBY1159" s="7"/>
      <c r="FBZ1159" s="7"/>
      <c r="FCA1159" s="7"/>
      <c r="FCB1159" s="7"/>
      <c r="FCC1159" s="7"/>
      <c r="FCD1159" s="7"/>
      <c r="FCE1159" s="7"/>
      <c r="FCF1159" s="7"/>
      <c r="FCG1159" s="7"/>
      <c r="FCH1159" s="7"/>
      <c r="FCI1159" s="7"/>
      <c r="FCJ1159" s="7"/>
      <c r="FCK1159" s="7"/>
      <c r="FCL1159" s="7"/>
      <c r="FCM1159" s="7"/>
      <c r="FCN1159" s="7"/>
      <c r="FCO1159" s="7"/>
      <c r="FCP1159" s="7"/>
      <c r="FCQ1159" s="7"/>
      <c r="FCR1159" s="7"/>
      <c r="FCS1159" s="7"/>
      <c r="FCT1159" s="7"/>
      <c r="FCU1159" s="7"/>
      <c r="FCV1159" s="7"/>
      <c r="FCW1159" s="7"/>
      <c r="FCX1159" s="7"/>
      <c r="FCY1159" s="7"/>
      <c r="FCZ1159" s="7"/>
      <c r="FDA1159" s="7"/>
      <c r="FDB1159" s="7"/>
      <c r="FDC1159" s="7"/>
      <c r="FDD1159" s="7"/>
      <c r="FDE1159" s="7"/>
      <c r="FDF1159" s="7"/>
      <c r="FDG1159" s="7"/>
      <c r="FDH1159" s="7"/>
      <c r="FDI1159" s="7"/>
      <c r="FDJ1159" s="7"/>
      <c r="FDK1159" s="7"/>
      <c r="FDL1159" s="7"/>
      <c r="FDM1159" s="7"/>
      <c r="FDN1159" s="7"/>
      <c r="FDO1159" s="7"/>
      <c r="FDP1159" s="7"/>
      <c r="FDQ1159" s="7"/>
      <c r="FDR1159" s="7"/>
      <c r="FDS1159" s="7"/>
      <c r="FDT1159" s="7"/>
      <c r="FDU1159" s="7"/>
      <c r="FDV1159" s="7"/>
      <c r="FDW1159" s="7"/>
      <c r="FDX1159" s="7"/>
      <c r="FDY1159" s="7"/>
      <c r="FDZ1159" s="7"/>
      <c r="FEA1159" s="7"/>
      <c r="FEB1159" s="7"/>
      <c r="FEC1159" s="7"/>
      <c r="FED1159" s="7"/>
      <c r="FEE1159" s="7"/>
      <c r="FEF1159" s="7"/>
      <c r="FEG1159" s="7"/>
      <c r="FEH1159" s="7"/>
      <c r="FEI1159" s="7"/>
      <c r="FEJ1159" s="7"/>
      <c r="FEK1159" s="7"/>
      <c r="FEL1159" s="7"/>
      <c r="FEM1159" s="7"/>
      <c r="FEN1159" s="7"/>
      <c r="FEO1159" s="7"/>
      <c r="FEP1159" s="7"/>
      <c r="FEQ1159" s="7"/>
      <c r="FER1159" s="7"/>
      <c r="FES1159" s="7"/>
      <c r="FET1159" s="7"/>
      <c r="FEU1159" s="7"/>
      <c r="FEV1159" s="7"/>
      <c r="FEW1159" s="7"/>
      <c r="FEX1159" s="7"/>
      <c r="FEY1159" s="7"/>
      <c r="FEZ1159" s="7"/>
      <c r="FFA1159" s="7"/>
      <c r="FFB1159" s="7"/>
      <c r="FFC1159" s="7"/>
      <c r="FFD1159" s="7"/>
      <c r="FFE1159" s="7"/>
      <c r="FFF1159" s="7"/>
      <c r="FFG1159" s="7"/>
      <c r="FFH1159" s="7"/>
      <c r="FFI1159" s="7"/>
      <c r="FFJ1159" s="7"/>
      <c r="FFK1159" s="7"/>
      <c r="FFL1159" s="7"/>
      <c r="FFM1159" s="7"/>
      <c r="FFN1159" s="7"/>
      <c r="FFO1159" s="7"/>
      <c r="FFP1159" s="7"/>
      <c r="FFQ1159" s="7"/>
      <c r="FFR1159" s="7"/>
      <c r="FFS1159" s="7"/>
      <c r="FFT1159" s="7"/>
      <c r="FFU1159" s="7"/>
      <c r="FFV1159" s="7"/>
      <c r="FFW1159" s="7"/>
      <c r="FFX1159" s="7"/>
      <c r="FFY1159" s="7"/>
      <c r="FFZ1159" s="7"/>
      <c r="FGA1159" s="7"/>
      <c r="FGB1159" s="7"/>
      <c r="FGC1159" s="7"/>
      <c r="FGD1159" s="7"/>
      <c r="FGE1159" s="7"/>
      <c r="FGF1159" s="7"/>
      <c r="FGG1159" s="7"/>
      <c r="FGH1159" s="7"/>
      <c r="FGI1159" s="7"/>
      <c r="FGJ1159" s="7"/>
      <c r="FGK1159" s="7"/>
      <c r="FGL1159" s="7"/>
      <c r="FGM1159" s="7"/>
      <c r="FGN1159" s="7"/>
      <c r="FGO1159" s="7"/>
      <c r="FGP1159" s="7"/>
      <c r="FGQ1159" s="7"/>
      <c r="FGR1159" s="7"/>
      <c r="FGS1159" s="7"/>
      <c r="FGT1159" s="7"/>
      <c r="FGU1159" s="7"/>
      <c r="FGV1159" s="7"/>
      <c r="FGW1159" s="7"/>
      <c r="FGX1159" s="7"/>
      <c r="FGY1159" s="7"/>
      <c r="FGZ1159" s="7"/>
      <c r="FHA1159" s="7"/>
      <c r="FHB1159" s="7"/>
      <c r="FHC1159" s="7"/>
      <c r="FHD1159" s="7"/>
      <c r="FHE1159" s="7"/>
      <c r="FHF1159" s="7"/>
      <c r="FHG1159" s="7"/>
      <c r="FHH1159" s="7"/>
      <c r="FHI1159" s="7"/>
      <c r="FHJ1159" s="7"/>
      <c r="FHK1159" s="7"/>
      <c r="FHL1159" s="7"/>
      <c r="FHM1159" s="7"/>
      <c r="FHN1159" s="7"/>
      <c r="FHO1159" s="7"/>
      <c r="FHP1159" s="7"/>
      <c r="FHQ1159" s="7"/>
      <c r="FHR1159" s="7"/>
      <c r="FHS1159" s="7"/>
      <c r="FHT1159" s="7"/>
      <c r="FHU1159" s="7"/>
      <c r="FHV1159" s="7"/>
      <c r="FHW1159" s="7"/>
      <c r="FHX1159" s="7"/>
      <c r="FHY1159" s="7"/>
      <c r="FHZ1159" s="7"/>
      <c r="FIA1159" s="7"/>
      <c r="FIB1159" s="7"/>
      <c r="FIC1159" s="7"/>
      <c r="FID1159" s="7"/>
      <c r="FIE1159" s="7"/>
      <c r="FIF1159" s="7"/>
      <c r="FIG1159" s="7"/>
      <c r="FIH1159" s="7"/>
      <c r="FII1159" s="7"/>
      <c r="FIJ1159" s="7"/>
      <c r="FIK1159" s="7"/>
      <c r="FIL1159" s="7"/>
      <c r="FIM1159" s="7"/>
      <c r="FIN1159" s="7"/>
      <c r="FIO1159" s="7"/>
      <c r="FIP1159" s="7"/>
      <c r="FIQ1159" s="7"/>
      <c r="FIR1159" s="7"/>
      <c r="FIS1159" s="7"/>
      <c r="FIT1159" s="7"/>
      <c r="FIU1159" s="7"/>
      <c r="FIV1159" s="7"/>
      <c r="FIW1159" s="7"/>
      <c r="FIX1159" s="7"/>
      <c r="FIY1159" s="7"/>
      <c r="FIZ1159" s="7"/>
      <c r="FJA1159" s="7"/>
      <c r="FJB1159" s="7"/>
      <c r="FJC1159" s="7"/>
      <c r="FJD1159" s="7"/>
      <c r="FJE1159" s="7"/>
      <c r="FJF1159" s="7"/>
      <c r="FJG1159" s="7"/>
      <c r="FJH1159" s="7"/>
      <c r="FJI1159" s="7"/>
      <c r="FJJ1159" s="7"/>
      <c r="FJK1159" s="7"/>
      <c r="FJL1159" s="7"/>
      <c r="FJM1159" s="7"/>
      <c r="FJN1159" s="7"/>
      <c r="FJO1159" s="7"/>
      <c r="FJP1159" s="7"/>
      <c r="FJQ1159" s="7"/>
      <c r="FJR1159" s="7"/>
      <c r="FJS1159" s="7"/>
      <c r="FJT1159" s="7"/>
      <c r="FJU1159" s="7"/>
      <c r="FJV1159" s="7"/>
      <c r="FJW1159" s="7"/>
      <c r="FJX1159" s="7"/>
      <c r="FJY1159" s="7"/>
      <c r="FJZ1159" s="7"/>
      <c r="FKA1159" s="7"/>
      <c r="FKB1159" s="7"/>
      <c r="FKC1159" s="7"/>
      <c r="FKD1159" s="7"/>
      <c r="FKE1159" s="7"/>
      <c r="FKF1159" s="7"/>
      <c r="FKG1159" s="7"/>
      <c r="FKH1159" s="7"/>
      <c r="FKI1159" s="7"/>
      <c r="FKJ1159" s="7"/>
      <c r="FKK1159" s="7"/>
      <c r="FKL1159" s="7"/>
      <c r="FKM1159" s="7"/>
      <c r="FKN1159" s="7"/>
      <c r="FKO1159" s="7"/>
      <c r="FKP1159" s="7"/>
      <c r="FKQ1159" s="7"/>
      <c r="FKR1159" s="7"/>
      <c r="FKS1159" s="7"/>
      <c r="FKT1159" s="7"/>
      <c r="FKU1159" s="7"/>
      <c r="FKV1159" s="7"/>
      <c r="FKW1159" s="7"/>
      <c r="FKX1159" s="7"/>
      <c r="FKY1159" s="7"/>
      <c r="FKZ1159" s="7"/>
      <c r="FLA1159" s="7"/>
      <c r="FLB1159" s="7"/>
      <c r="FLC1159" s="7"/>
      <c r="FLD1159" s="7"/>
      <c r="FLE1159" s="7"/>
      <c r="FLF1159" s="7"/>
      <c r="FLG1159" s="7"/>
      <c r="FLH1159" s="7"/>
      <c r="FLI1159" s="7"/>
      <c r="FLJ1159" s="7"/>
      <c r="FLK1159" s="7"/>
      <c r="FLL1159" s="7"/>
      <c r="FLM1159" s="7"/>
      <c r="FLN1159" s="7"/>
      <c r="FLO1159" s="7"/>
      <c r="FLP1159" s="7"/>
      <c r="FLQ1159" s="7"/>
      <c r="FLR1159" s="7"/>
      <c r="FLS1159" s="7"/>
      <c r="FLT1159" s="7"/>
      <c r="FLU1159" s="7"/>
      <c r="FLV1159" s="7"/>
      <c r="FLW1159" s="7"/>
      <c r="FLX1159" s="7"/>
      <c r="FLY1159" s="7"/>
      <c r="FLZ1159" s="7"/>
      <c r="FMA1159" s="7"/>
      <c r="FMB1159" s="7"/>
      <c r="FMC1159" s="7"/>
      <c r="FMD1159" s="7"/>
      <c r="FME1159" s="7"/>
      <c r="FMF1159" s="7"/>
      <c r="FMG1159" s="7"/>
      <c r="FMH1159" s="7"/>
      <c r="FMI1159" s="7"/>
      <c r="FMJ1159" s="7"/>
      <c r="FMK1159" s="7"/>
      <c r="FML1159" s="7"/>
      <c r="FMM1159" s="7"/>
      <c r="FMN1159" s="7"/>
      <c r="FMO1159" s="7"/>
      <c r="FMP1159" s="7"/>
      <c r="FMQ1159" s="7"/>
      <c r="FMR1159" s="7"/>
      <c r="FMS1159" s="7"/>
      <c r="FMT1159" s="7"/>
      <c r="FMU1159" s="7"/>
      <c r="FMV1159" s="7"/>
      <c r="FMW1159" s="7"/>
      <c r="FMX1159" s="7"/>
      <c r="FMY1159" s="7"/>
      <c r="FMZ1159" s="7"/>
      <c r="FNA1159" s="7"/>
      <c r="FNB1159" s="7"/>
      <c r="FNC1159" s="7"/>
      <c r="FND1159" s="7"/>
      <c r="FNE1159" s="7"/>
      <c r="FNF1159" s="7"/>
      <c r="FNG1159" s="7"/>
      <c r="FNH1159" s="7"/>
      <c r="FNI1159" s="7"/>
      <c r="FNJ1159" s="7"/>
      <c r="FNK1159" s="7"/>
      <c r="FNL1159" s="7"/>
      <c r="FNM1159" s="7"/>
      <c r="FNN1159" s="7"/>
      <c r="FNO1159" s="7"/>
      <c r="FNP1159" s="7"/>
      <c r="FNQ1159" s="7"/>
      <c r="FNR1159" s="7"/>
      <c r="FNS1159" s="7"/>
      <c r="FNT1159" s="7"/>
      <c r="FNU1159" s="7"/>
      <c r="FNV1159" s="7"/>
      <c r="FNW1159" s="7"/>
      <c r="FNX1159" s="7"/>
      <c r="FNY1159" s="7"/>
      <c r="FNZ1159" s="7"/>
      <c r="FOA1159" s="7"/>
      <c r="FOB1159" s="7"/>
      <c r="FOC1159" s="7"/>
      <c r="FOD1159" s="7"/>
      <c r="FOE1159" s="7"/>
      <c r="FOF1159" s="7"/>
      <c r="FOG1159" s="7"/>
      <c r="FOH1159" s="7"/>
      <c r="FOI1159" s="7"/>
      <c r="FOJ1159" s="7"/>
      <c r="FOK1159" s="7"/>
      <c r="FOL1159" s="7"/>
      <c r="FOM1159" s="7"/>
      <c r="FON1159" s="7"/>
      <c r="FOO1159" s="7"/>
      <c r="FOP1159" s="7"/>
      <c r="FOQ1159" s="7"/>
      <c r="FOR1159" s="7"/>
      <c r="FOS1159" s="7"/>
      <c r="FOT1159" s="7"/>
      <c r="FOU1159" s="7"/>
      <c r="FOV1159" s="7"/>
      <c r="FOW1159" s="7"/>
      <c r="FOX1159" s="7"/>
      <c r="FOY1159" s="7"/>
      <c r="FOZ1159" s="7"/>
      <c r="FPA1159" s="7"/>
      <c r="FPB1159" s="7"/>
      <c r="FPC1159" s="7"/>
      <c r="FPD1159" s="7"/>
      <c r="FPE1159" s="7"/>
      <c r="FPF1159" s="7"/>
      <c r="FPG1159" s="7"/>
      <c r="FPH1159" s="7"/>
      <c r="FPI1159" s="7"/>
      <c r="FPJ1159" s="7"/>
      <c r="FPK1159" s="7"/>
      <c r="FPL1159" s="7"/>
      <c r="FPM1159" s="7"/>
      <c r="FPN1159" s="7"/>
      <c r="FPO1159" s="7"/>
      <c r="FPP1159" s="7"/>
      <c r="FPQ1159" s="7"/>
      <c r="FPR1159" s="7"/>
      <c r="FPS1159" s="7"/>
      <c r="FPT1159" s="7"/>
      <c r="FPU1159" s="7"/>
      <c r="FPV1159" s="7"/>
      <c r="FPW1159" s="7"/>
      <c r="FPX1159" s="7"/>
      <c r="FPY1159" s="7"/>
      <c r="FPZ1159" s="7"/>
      <c r="FQA1159" s="7"/>
      <c r="FQB1159" s="7"/>
      <c r="FQC1159" s="7"/>
      <c r="FQD1159" s="7"/>
      <c r="FQE1159" s="7"/>
      <c r="FQF1159" s="7"/>
      <c r="FQG1159" s="7"/>
      <c r="FQH1159" s="7"/>
      <c r="FQI1159" s="7"/>
      <c r="FQJ1159" s="7"/>
      <c r="FQK1159" s="7"/>
      <c r="FQL1159" s="7"/>
      <c r="FQM1159" s="7"/>
      <c r="FQN1159" s="7"/>
      <c r="FQO1159" s="7"/>
      <c r="FQP1159" s="7"/>
      <c r="FQQ1159" s="7"/>
      <c r="FQR1159" s="7"/>
      <c r="FQS1159" s="7"/>
      <c r="FQT1159" s="7"/>
      <c r="FQU1159" s="7"/>
      <c r="FQV1159" s="7"/>
      <c r="FQW1159" s="7"/>
      <c r="FQX1159" s="7"/>
      <c r="FQY1159" s="7"/>
      <c r="FQZ1159" s="7"/>
      <c r="FRA1159" s="7"/>
      <c r="FRB1159" s="7"/>
      <c r="FRC1159" s="7"/>
      <c r="FRD1159" s="7"/>
      <c r="FRE1159" s="7"/>
      <c r="FRF1159" s="7"/>
      <c r="FRG1159" s="7"/>
      <c r="FRH1159" s="7"/>
      <c r="FRI1159" s="7"/>
      <c r="FRJ1159" s="7"/>
      <c r="FRK1159" s="7"/>
      <c r="FRL1159" s="7"/>
      <c r="FRM1159" s="7"/>
      <c r="FRN1159" s="7"/>
      <c r="FRO1159" s="7"/>
      <c r="FRP1159" s="7"/>
      <c r="FRQ1159" s="7"/>
      <c r="FRR1159" s="7"/>
      <c r="FRS1159" s="7"/>
      <c r="FRT1159" s="7"/>
      <c r="FRU1159" s="7"/>
      <c r="FRV1159" s="7"/>
      <c r="FRW1159" s="7"/>
      <c r="FRX1159" s="7"/>
      <c r="FRY1159" s="7"/>
      <c r="FRZ1159" s="7"/>
      <c r="FSA1159" s="7"/>
      <c r="FSB1159" s="7"/>
      <c r="FSC1159" s="7"/>
      <c r="FSD1159" s="7"/>
      <c r="FSE1159" s="7"/>
      <c r="FSF1159" s="7"/>
      <c r="FSG1159" s="7"/>
      <c r="FSH1159" s="7"/>
      <c r="FSI1159" s="7"/>
      <c r="FSJ1159" s="7"/>
      <c r="FSK1159" s="7"/>
      <c r="FSL1159" s="7"/>
      <c r="FSM1159" s="7"/>
      <c r="FSN1159" s="7"/>
      <c r="FSO1159" s="7"/>
      <c r="FSP1159" s="7"/>
      <c r="FSQ1159" s="7"/>
      <c r="FSR1159" s="7"/>
      <c r="FSS1159" s="7"/>
      <c r="FST1159" s="7"/>
      <c r="FSU1159" s="7"/>
      <c r="FSV1159" s="7"/>
      <c r="FSW1159" s="7"/>
      <c r="FSX1159" s="7"/>
      <c r="FSY1159" s="7"/>
      <c r="FSZ1159" s="7"/>
      <c r="FTA1159" s="7"/>
      <c r="FTB1159" s="7"/>
      <c r="FTC1159" s="7"/>
      <c r="FTD1159" s="7"/>
      <c r="FTE1159" s="7"/>
      <c r="FTF1159" s="7"/>
      <c r="FTG1159" s="7"/>
      <c r="FTH1159" s="7"/>
      <c r="FTI1159" s="7"/>
      <c r="FTJ1159" s="7"/>
      <c r="FTK1159" s="7"/>
      <c r="FTL1159" s="7"/>
      <c r="FTM1159" s="7"/>
      <c r="FTN1159" s="7"/>
      <c r="FTO1159" s="7"/>
      <c r="FTP1159" s="7"/>
      <c r="FTQ1159" s="7"/>
      <c r="FTR1159" s="7"/>
      <c r="FTS1159" s="7"/>
      <c r="FTT1159" s="7"/>
      <c r="FTU1159" s="7"/>
      <c r="FTV1159" s="7"/>
      <c r="FTW1159" s="7"/>
      <c r="FTX1159" s="7"/>
      <c r="FTY1159" s="7"/>
      <c r="FTZ1159" s="7"/>
      <c r="FUA1159" s="7"/>
      <c r="FUB1159" s="7"/>
      <c r="FUC1159" s="7"/>
      <c r="FUD1159" s="7"/>
      <c r="FUE1159" s="7"/>
      <c r="FUF1159" s="7"/>
      <c r="FUG1159" s="7"/>
      <c r="FUH1159" s="7"/>
      <c r="FUI1159" s="7"/>
      <c r="FUJ1159" s="7"/>
      <c r="FUK1159" s="7"/>
      <c r="FUL1159" s="7"/>
      <c r="FUM1159" s="7"/>
      <c r="FUN1159" s="7"/>
      <c r="FUO1159" s="7"/>
      <c r="FUP1159" s="7"/>
      <c r="FUQ1159" s="7"/>
      <c r="FUR1159" s="7"/>
      <c r="FUS1159" s="7"/>
      <c r="FUT1159" s="7"/>
      <c r="FUU1159" s="7"/>
      <c r="FUV1159" s="7"/>
      <c r="FUW1159" s="7"/>
      <c r="FUX1159" s="7"/>
      <c r="FUY1159" s="7"/>
      <c r="FUZ1159" s="7"/>
      <c r="FVA1159" s="7"/>
      <c r="FVB1159" s="7"/>
      <c r="FVC1159" s="7"/>
      <c r="FVD1159" s="7"/>
      <c r="FVE1159" s="7"/>
      <c r="FVF1159" s="7"/>
      <c r="FVG1159" s="7"/>
      <c r="FVH1159" s="7"/>
      <c r="FVI1159" s="7"/>
      <c r="FVJ1159" s="7"/>
      <c r="FVK1159" s="7"/>
      <c r="FVL1159" s="7"/>
      <c r="FVM1159" s="7"/>
      <c r="FVN1159" s="7"/>
      <c r="FVO1159" s="7"/>
      <c r="FVP1159" s="7"/>
      <c r="FVQ1159" s="7"/>
      <c r="FVR1159" s="7"/>
      <c r="FVS1159" s="7"/>
      <c r="FVT1159" s="7"/>
      <c r="FVU1159" s="7"/>
      <c r="FVV1159" s="7"/>
      <c r="FVW1159" s="7"/>
      <c r="FVX1159" s="7"/>
      <c r="FVY1159" s="7"/>
      <c r="FVZ1159" s="7"/>
      <c r="FWA1159" s="7"/>
      <c r="FWB1159" s="7"/>
      <c r="FWC1159" s="7"/>
      <c r="FWD1159" s="7"/>
      <c r="FWE1159" s="7"/>
      <c r="FWF1159" s="7"/>
      <c r="FWG1159" s="7"/>
      <c r="FWH1159" s="7"/>
      <c r="FWI1159" s="7"/>
      <c r="FWJ1159" s="7"/>
      <c r="FWK1159" s="7"/>
      <c r="FWL1159" s="7"/>
      <c r="FWM1159" s="7"/>
      <c r="FWN1159" s="7"/>
      <c r="FWO1159" s="7"/>
      <c r="FWP1159" s="7"/>
      <c r="FWQ1159" s="7"/>
      <c r="FWR1159" s="7"/>
      <c r="FWS1159" s="7"/>
      <c r="FWT1159" s="7"/>
      <c r="FWU1159" s="7"/>
      <c r="FWV1159" s="7"/>
      <c r="FWW1159" s="7"/>
      <c r="FWX1159" s="7"/>
      <c r="FWY1159" s="7"/>
      <c r="FWZ1159" s="7"/>
      <c r="FXA1159" s="7"/>
      <c r="FXB1159" s="7"/>
      <c r="FXC1159" s="7"/>
      <c r="FXD1159" s="7"/>
      <c r="FXE1159" s="7"/>
      <c r="FXF1159" s="7"/>
      <c r="FXG1159" s="7"/>
      <c r="FXH1159" s="7"/>
      <c r="FXI1159" s="7"/>
      <c r="FXJ1159" s="7"/>
      <c r="FXK1159" s="7"/>
      <c r="FXL1159" s="7"/>
      <c r="FXM1159" s="7"/>
      <c r="FXN1159" s="7"/>
      <c r="FXO1159" s="7"/>
      <c r="FXP1159" s="7"/>
      <c r="FXQ1159" s="7"/>
      <c r="FXR1159" s="7"/>
      <c r="FXS1159" s="7"/>
      <c r="FXT1159" s="7"/>
      <c r="FXU1159" s="7"/>
      <c r="FXV1159" s="7"/>
      <c r="FXW1159" s="7"/>
      <c r="FXX1159" s="7"/>
      <c r="FXY1159" s="7"/>
      <c r="FXZ1159" s="7"/>
      <c r="FYA1159" s="7"/>
      <c r="FYB1159" s="7"/>
      <c r="FYC1159" s="7"/>
      <c r="FYD1159" s="7"/>
      <c r="FYE1159" s="7"/>
      <c r="FYF1159" s="7"/>
      <c r="FYG1159" s="7"/>
      <c r="FYH1159" s="7"/>
      <c r="FYI1159" s="7"/>
      <c r="FYJ1159" s="7"/>
      <c r="FYK1159" s="7"/>
      <c r="FYL1159" s="7"/>
      <c r="FYM1159" s="7"/>
      <c r="FYN1159" s="7"/>
      <c r="FYO1159" s="7"/>
      <c r="FYP1159" s="7"/>
      <c r="FYQ1159" s="7"/>
      <c r="FYR1159" s="7"/>
      <c r="FYS1159" s="7"/>
      <c r="FYT1159" s="7"/>
      <c r="FYU1159" s="7"/>
      <c r="FYV1159" s="7"/>
      <c r="FYW1159" s="7"/>
      <c r="FYX1159" s="7"/>
      <c r="FYY1159" s="7"/>
      <c r="FYZ1159" s="7"/>
      <c r="FZA1159" s="7"/>
      <c r="FZB1159" s="7"/>
      <c r="FZC1159" s="7"/>
      <c r="FZD1159" s="7"/>
      <c r="FZE1159" s="7"/>
      <c r="FZF1159" s="7"/>
      <c r="FZG1159" s="7"/>
      <c r="FZH1159" s="7"/>
      <c r="FZI1159" s="7"/>
      <c r="FZJ1159" s="7"/>
      <c r="FZK1159" s="7"/>
      <c r="FZL1159" s="7"/>
      <c r="FZM1159" s="7"/>
      <c r="FZN1159" s="7"/>
      <c r="FZO1159" s="7"/>
      <c r="FZP1159" s="7"/>
      <c r="FZQ1159" s="7"/>
      <c r="FZR1159" s="7"/>
      <c r="FZS1159" s="7"/>
      <c r="FZT1159" s="7"/>
      <c r="FZU1159" s="7"/>
      <c r="FZV1159" s="7"/>
      <c r="FZW1159" s="7"/>
      <c r="FZX1159" s="7"/>
      <c r="FZY1159" s="7"/>
      <c r="FZZ1159" s="7"/>
      <c r="GAA1159" s="7"/>
      <c r="GAB1159" s="7"/>
      <c r="GAC1159" s="7"/>
      <c r="GAD1159" s="7"/>
      <c r="GAE1159" s="7"/>
      <c r="GAF1159" s="7"/>
      <c r="GAG1159" s="7"/>
      <c r="GAH1159" s="7"/>
      <c r="GAI1159" s="7"/>
      <c r="GAJ1159" s="7"/>
      <c r="GAK1159" s="7"/>
      <c r="GAL1159" s="7"/>
      <c r="GAM1159" s="7"/>
      <c r="GAN1159" s="7"/>
      <c r="GAO1159" s="7"/>
      <c r="GAP1159" s="7"/>
      <c r="GAQ1159" s="7"/>
      <c r="GAR1159" s="7"/>
      <c r="GAS1159" s="7"/>
      <c r="GAT1159" s="7"/>
      <c r="GAU1159" s="7"/>
      <c r="GAV1159" s="7"/>
      <c r="GAW1159" s="7"/>
      <c r="GAX1159" s="7"/>
      <c r="GAY1159" s="7"/>
      <c r="GAZ1159" s="7"/>
      <c r="GBA1159" s="7"/>
      <c r="GBB1159" s="7"/>
      <c r="GBC1159" s="7"/>
      <c r="GBD1159" s="7"/>
      <c r="GBE1159" s="7"/>
      <c r="GBF1159" s="7"/>
      <c r="GBG1159" s="7"/>
      <c r="GBH1159" s="7"/>
      <c r="GBI1159" s="7"/>
      <c r="GBJ1159" s="7"/>
      <c r="GBK1159" s="7"/>
      <c r="GBL1159" s="7"/>
      <c r="GBM1159" s="7"/>
      <c r="GBN1159" s="7"/>
      <c r="GBO1159" s="7"/>
      <c r="GBP1159" s="7"/>
      <c r="GBQ1159" s="7"/>
      <c r="GBR1159" s="7"/>
      <c r="GBS1159" s="7"/>
      <c r="GBT1159" s="7"/>
      <c r="GBU1159" s="7"/>
      <c r="GBV1159" s="7"/>
      <c r="GBW1159" s="7"/>
      <c r="GBX1159" s="7"/>
      <c r="GBY1159" s="7"/>
      <c r="GBZ1159" s="7"/>
      <c r="GCA1159" s="7"/>
      <c r="GCB1159" s="7"/>
      <c r="GCC1159" s="7"/>
      <c r="GCD1159" s="7"/>
      <c r="GCE1159" s="7"/>
      <c r="GCF1159" s="7"/>
      <c r="GCG1159" s="7"/>
      <c r="GCH1159" s="7"/>
      <c r="GCI1159" s="7"/>
      <c r="GCJ1159" s="7"/>
      <c r="GCK1159" s="7"/>
      <c r="GCL1159" s="7"/>
      <c r="GCM1159" s="7"/>
      <c r="GCN1159" s="7"/>
      <c r="GCO1159" s="7"/>
      <c r="GCP1159" s="7"/>
      <c r="GCQ1159" s="7"/>
      <c r="GCR1159" s="7"/>
      <c r="GCS1159" s="7"/>
      <c r="GCT1159" s="7"/>
      <c r="GCU1159" s="7"/>
      <c r="GCV1159" s="7"/>
      <c r="GCW1159" s="7"/>
      <c r="GCX1159" s="7"/>
      <c r="GCY1159" s="7"/>
      <c r="GCZ1159" s="7"/>
      <c r="GDA1159" s="7"/>
      <c r="GDB1159" s="7"/>
      <c r="GDC1159" s="7"/>
      <c r="GDD1159" s="7"/>
      <c r="GDE1159" s="7"/>
      <c r="GDF1159" s="7"/>
      <c r="GDG1159" s="7"/>
      <c r="GDH1159" s="7"/>
      <c r="GDI1159" s="7"/>
      <c r="GDJ1159" s="7"/>
      <c r="GDK1159" s="7"/>
      <c r="GDL1159" s="7"/>
      <c r="GDM1159" s="7"/>
      <c r="GDN1159" s="7"/>
      <c r="GDO1159" s="7"/>
      <c r="GDP1159" s="7"/>
      <c r="GDQ1159" s="7"/>
      <c r="GDR1159" s="7"/>
      <c r="GDS1159" s="7"/>
      <c r="GDT1159" s="7"/>
      <c r="GDU1159" s="7"/>
      <c r="GDV1159" s="7"/>
      <c r="GDW1159" s="7"/>
      <c r="GDX1159" s="7"/>
      <c r="GDY1159" s="7"/>
      <c r="GDZ1159" s="7"/>
      <c r="GEA1159" s="7"/>
      <c r="GEB1159" s="7"/>
      <c r="GEC1159" s="7"/>
      <c r="GED1159" s="7"/>
      <c r="GEE1159" s="7"/>
      <c r="GEF1159" s="7"/>
      <c r="GEG1159" s="7"/>
      <c r="GEH1159" s="7"/>
      <c r="GEI1159" s="7"/>
      <c r="GEJ1159" s="7"/>
      <c r="GEK1159" s="7"/>
      <c r="GEL1159" s="7"/>
      <c r="GEM1159" s="7"/>
      <c r="GEN1159" s="7"/>
      <c r="GEO1159" s="7"/>
      <c r="GEP1159" s="7"/>
      <c r="GEQ1159" s="7"/>
      <c r="GER1159" s="7"/>
      <c r="GES1159" s="7"/>
      <c r="GET1159" s="7"/>
      <c r="GEU1159" s="7"/>
      <c r="GEV1159" s="7"/>
      <c r="GEW1159" s="7"/>
      <c r="GEX1159" s="7"/>
      <c r="GEY1159" s="7"/>
      <c r="GEZ1159" s="7"/>
      <c r="GFA1159" s="7"/>
      <c r="GFB1159" s="7"/>
      <c r="GFC1159" s="7"/>
      <c r="GFD1159" s="7"/>
      <c r="GFE1159" s="7"/>
      <c r="GFF1159" s="7"/>
      <c r="GFG1159" s="7"/>
      <c r="GFH1159" s="7"/>
      <c r="GFI1159" s="7"/>
      <c r="GFJ1159" s="7"/>
      <c r="GFK1159" s="7"/>
      <c r="GFL1159" s="7"/>
      <c r="GFM1159" s="7"/>
      <c r="GFN1159" s="7"/>
      <c r="GFO1159" s="7"/>
      <c r="GFP1159" s="7"/>
      <c r="GFQ1159" s="7"/>
      <c r="GFR1159" s="7"/>
      <c r="GFS1159" s="7"/>
      <c r="GFT1159" s="7"/>
      <c r="GFU1159" s="7"/>
      <c r="GFV1159" s="7"/>
      <c r="GFW1159" s="7"/>
      <c r="GFX1159" s="7"/>
      <c r="GFY1159" s="7"/>
      <c r="GFZ1159" s="7"/>
      <c r="GGA1159" s="7"/>
      <c r="GGB1159" s="7"/>
      <c r="GGC1159" s="7"/>
      <c r="GGD1159" s="7"/>
      <c r="GGE1159" s="7"/>
      <c r="GGF1159" s="7"/>
      <c r="GGG1159" s="7"/>
      <c r="GGH1159" s="7"/>
      <c r="GGI1159" s="7"/>
      <c r="GGJ1159" s="7"/>
      <c r="GGK1159" s="7"/>
      <c r="GGL1159" s="7"/>
      <c r="GGM1159" s="7"/>
      <c r="GGN1159" s="7"/>
      <c r="GGO1159" s="7"/>
      <c r="GGP1159" s="7"/>
      <c r="GGQ1159" s="7"/>
      <c r="GGR1159" s="7"/>
      <c r="GGS1159" s="7"/>
      <c r="GGT1159" s="7"/>
      <c r="GGU1159" s="7"/>
      <c r="GGV1159" s="7"/>
      <c r="GGW1159" s="7"/>
      <c r="GGX1159" s="7"/>
      <c r="GGY1159" s="7"/>
      <c r="GGZ1159" s="7"/>
      <c r="GHA1159" s="7"/>
      <c r="GHB1159" s="7"/>
      <c r="GHC1159" s="7"/>
      <c r="GHD1159" s="7"/>
      <c r="GHE1159" s="7"/>
      <c r="GHF1159" s="7"/>
      <c r="GHG1159" s="7"/>
      <c r="GHH1159" s="7"/>
      <c r="GHI1159" s="7"/>
      <c r="GHJ1159" s="7"/>
      <c r="GHK1159" s="7"/>
      <c r="GHL1159" s="7"/>
      <c r="GHM1159" s="7"/>
      <c r="GHN1159" s="7"/>
      <c r="GHO1159" s="7"/>
      <c r="GHP1159" s="7"/>
      <c r="GHQ1159" s="7"/>
      <c r="GHR1159" s="7"/>
      <c r="GHS1159" s="7"/>
      <c r="GHT1159" s="7"/>
      <c r="GHU1159" s="7"/>
      <c r="GHV1159" s="7"/>
      <c r="GHW1159" s="7"/>
      <c r="GHX1159" s="7"/>
      <c r="GHY1159" s="7"/>
      <c r="GHZ1159" s="7"/>
      <c r="GIA1159" s="7"/>
      <c r="GIB1159" s="7"/>
      <c r="GIC1159" s="7"/>
      <c r="GID1159" s="7"/>
      <c r="GIE1159" s="7"/>
      <c r="GIF1159" s="7"/>
      <c r="GIG1159" s="7"/>
      <c r="GIH1159" s="7"/>
      <c r="GII1159" s="7"/>
      <c r="GIJ1159" s="7"/>
      <c r="GIK1159" s="7"/>
      <c r="GIL1159" s="7"/>
      <c r="GIM1159" s="7"/>
      <c r="GIN1159" s="7"/>
      <c r="GIO1159" s="7"/>
      <c r="GIP1159" s="7"/>
      <c r="GIQ1159" s="7"/>
      <c r="GIR1159" s="7"/>
      <c r="GIS1159" s="7"/>
      <c r="GIT1159" s="7"/>
      <c r="GIU1159" s="7"/>
      <c r="GIV1159" s="7"/>
      <c r="GIW1159" s="7"/>
      <c r="GIX1159" s="7"/>
      <c r="GIY1159" s="7"/>
      <c r="GIZ1159" s="7"/>
      <c r="GJA1159" s="7"/>
      <c r="GJB1159" s="7"/>
      <c r="GJC1159" s="7"/>
      <c r="GJD1159" s="7"/>
      <c r="GJE1159" s="7"/>
      <c r="GJF1159" s="7"/>
      <c r="GJG1159" s="7"/>
      <c r="GJH1159" s="7"/>
      <c r="GJI1159" s="7"/>
      <c r="GJJ1159" s="7"/>
      <c r="GJK1159" s="7"/>
      <c r="GJL1159" s="7"/>
      <c r="GJM1159" s="7"/>
      <c r="GJN1159" s="7"/>
      <c r="GJO1159" s="7"/>
      <c r="GJP1159" s="7"/>
      <c r="GJQ1159" s="7"/>
      <c r="GJR1159" s="7"/>
      <c r="GJS1159" s="7"/>
      <c r="GJT1159" s="7"/>
      <c r="GJU1159" s="7"/>
      <c r="GJV1159" s="7"/>
      <c r="GJW1159" s="7"/>
      <c r="GJX1159" s="7"/>
      <c r="GJY1159" s="7"/>
      <c r="GJZ1159" s="7"/>
      <c r="GKA1159" s="7"/>
      <c r="GKB1159" s="7"/>
      <c r="GKC1159" s="7"/>
      <c r="GKD1159" s="7"/>
      <c r="GKE1159" s="7"/>
      <c r="GKF1159" s="7"/>
      <c r="GKG1159" s="7"/>
      <c r="GKH1159" s="7"/>
      <c r="GKI1159" s="7"/>
      <c r="GKJ1159" s="7"/>
      <c r="GKK1159" s="7"/>
      <c r="GKL1159" s="7"/>
      <c r="GKM1159" s="7"/>
      <c r="GKN1159" s="7"/>
      <c r="GKO1159" s="7"/>
      <c r="GKP1159" s="7"/>
      <c r="GKQ1159" s="7"/>
      <c r="GKR1159" s="7"/>
      <c r="GKS1159" s="7"/>
      <c r="GKT1159" s="7"/>
      <c r="GKU1159" s="7"/>
      <c r="GKV1159" s="7"/>
      <c r="GKW1159" s="7"/>
      <c r="GKX1159" s="7"/>
      <c r="GKY1159" s="7"/>
      <c r="GKZ1159" s="7"/>
      <c r="GLA1159" s="7"/>
      <c r="GLB1159" s="7"/>
      <c r="GLC1159" s="7"/>
      <c r="GLD1159" s="7"/>
      <c r="GLE1159" s="7"/>
      <c r="GLF1159" s="7"/>
      <c r="GLG1159" s="7"/>
      <c r="GLH1159" s="7"/>
      <c r="GLI1159" s="7"/>
      <c r="GLJ1159" s="7"/>
      <c r="GLK1159" s="7"/>
      <c r="GLL1159" s="7"/>
      <c r="GLM1159" s="7"/>
      <c r="GLN1159" s="7"/>
      <c r="GLO1159" s="7"/>
      <c r="GLP1159" s="7"/>
      <c r="GLQ1159" s="7"/>
      <c r="GLR1159" s="7"/>
      <c r="GLS1159" s="7"/>
      <c r="GLT1159" s="7"/>
      <c r="GLU1159" s="7"/>
      <c r="GLV1159" s="7"/>
      <c r="GLW1159" s="7"/>
      <c r="GLX1159" s="7"/>
      <c r="GLY1159" s="7"/>
      <c r="GLZ1159" s="7"/>
      <c r="GMA1159" s="7"/>
      <c r="GMB1159" s="7"/>
      <c r="GMC1159" s="7"/>
      <c r="GMD1159" s="7"/>
      <c r="GME1159" s="7"/>
      <c r="GMF1159" s="7"/>
      <c r="GMG1159" s="7"/>
      <c r="GMH1159" s="7"/>
      <c r="GMI1159" s="7"/>
      <c r="GMJ1159" s="7"/>
      <c r="GMK1159" s="7"/>
      <c r="GML1159" s="7"/>
      <c r="GMM1159" s="7"/>
      <c r="GMN1159" s="7"/>
      <c r="GMO1159" s="7"/>
      <c r="GMP1159" s="7"/>
      <c r="GMQ1159" s="7"/>
      <c r="GMR1159" s="7"/>
      <c r="GMS1159" s="7"/>
      <c r="GMT1159" s="7"/>
      <c r="GMU1159" s="7"/>
      <c r="GMV1159" s="7"/>
      <c r="GMW1159" s="7"/>
      <c r="GMX1159" s="7"/>
      <c r="GMY1159" s="7"/>
      <c r="GMZ1159" s="7"/>
      <c r="GNA1159" s="7"/>
      <c r="GNB1159" s="7"/>
      <c r="GNC1159" s="7"/>
      <c r="GND1159" s="7"/>
      <c r="GNE1159" s="7"/>
      <c r="GNF1159" s="7"/>
      <c r="GNG1159" s="7"/>
      <c r="GNH1159" s="7"/>
      <c r="GNI1159" s="7"/>
      <c r="GNJ1159" s="7"/>
      <c r="GNK1159" s="7"/>
      <c r="GNL1159" s="7"/>
      <c r="GNM1159" s="7"/>
      <c r="GNN1159" s="7"/>
      <c r="GNO1159" s="7"/>
      <c r="GNP1159" s="7"/>
      <c r="GNQ1159" s="7"/>
      <c r="GNR1159" s="7"/>
      <c r="GNS1159" s="7"/>
      <c r="GNT1159" s="7"/>
      <c r="GNU1159" s="7"/>
      <c r="GNV1159" s="7"/>
      <c r="GNW1159" s="7"/>
      <c r="GNX1159" s="7"/>
      <c r="GNY1159" s="7"/>
      <c r="GNZ1159" s="7"/>
      <c r="GOA1159" s="7"/>
      <c r="GOB1159" s="7"/>
      <c r="GOC1159" s="7"/>
      <c r="GOD1159" s="7"/>
      <c r="GOE1159" s="7"/>
      <c r="GOF1159" s="7"/>
      <c r="GOG1159" s="7"/>
      <c r="GOH1159" s="7"/>
      <c r="GOI1159" s="7"/>
      <c r="GOJ1159" s="7"/>
      <c r="GOK1159" s="7"/>
      <c r="GOL1159" s="7"/>
      <c r="GOM1159" s="7"/>
      <c r="GON1159" s="7"/>
      <c r="GOO1159" s="7"/>
      <c r="GOP1159" s="7"/>
      <c r="GOQ1159" s="7"/>
      <c r="GOR1159" s="7"/>
      <c r="GOS1159" s="7"/>
      <c r="GOT1159" s="7"/>
      <c r="GOU1159" s="7"/>
      <c r="GOV1159" s="7"/>
      <c r="GOW1159" s="7"/>
      <c r="GOX1159" s="7"/>
      <c r="GOY1159" s="7"/>
      <c r="GOZ1159" s="7"/>
      <c r="GPA1159" s="7"/>
      <c r="GPB1159" s="7"/>
      <c r="GPC1159" s="7"/>
      <c r="GPD1159" s="7"/>
      <c r="GPE1159" s="7"/>
      <c r="GPF1159" s="7"/>
      <c r="GPG1159" s="7"/>
      <c r="GPH1159" s="7"/>
      <c r="GPI1159" s="7"/>
      <c r="GPJ1159" s="7"/>
      <c r="GPK1159" s="7"/>
      <c r="GPL1159" s="7"/>
      <c r="GPM1159" s="7"/>
      <c r="GPN1159" s="7"/>
      <c r="GPO1159" s="7"/>
      <c r="GPP1159" s="7"/>
      <c r="GPQ1159" s="7"/>
      <c r="GPR1159" s="7"/>
      <c r="GPS1159" s="7"/>
      <c r="GPT1159" s="7"/>
      <c r="GPU1159" s="7"/>
      <c r="GPV1159" s="7"/>
      <c r="GPW1159" s="7"/>
      <c r="GPX1159" s="7"/>
      <c r="GPY1159" s="7"/>
      <c r="GPZ1159" s="7"/>
      <c r="GQA1159" s="7"/>
      <c r="GQB1159" s="7"/>
      <c r="GQC1159" s="7"/>
      <c r="GQD1159" s="7"/>
      <c r="GQE1159" s="7"/>
      <c r="GQF1159" s="7"/>
      <c r="GQG1159" s="7"/>
      <c r="GQH1159" s="7"/>
      <c r="GQI1159" s="7"/>
      <c r="GQJ1159" s="7"/>
      <c r="GQK1159" s="7"/>
      <c r="GQL1159" s="7"/>
      <c r="GQM1159" s="7"/>
      <c r="GQN1159" s="7"/>
      <c r="GQO1159" s="7"/>
      <c r="GQP1159" s="7"/>
      <c r="GQQ1159" s="7"/>
      <c r="GQR1159" s="7"/>
      <c r="GQS1159" s="7"/>
      <c r="GQT1159" s="7"/>
      <c r="GQU1159" s="7"/>
      <c r="GQV1159" s="7"/>
      <c r="GQW1159" s="7"/>
      <c r="GQX1159" s="7"/>
      <c r="GQY1159" s="7"/>
      <c r="GQZ1159" s="7"/>
      <c r="GRA1159" s="7"/>
      <c r="GRB1159" s="7"/>
      <c r="GRC1159" s="7"/>
      <c r="GRD1159" s="7"/>
      <c r="GRE1159" s="7"/>
      <c r="GRF1159" s="7"/>
      <c r="GRG1159" s="7"/>
      <c r="GRH1159" s="7"/>
      <c r="GRI1159" s="7"/>
      <c r="GRJ1159" s="7"/>
      <c r="GRK1159" s="7"/>
      <c r="GRL1159" s="7"/>
      <c r="GRM1159" s="7"/>
      <c r="GRN1159" s="7"/>
      <c r="GRO1159" s="7"/>
      <c r="GRP1159" s="7"/>
      <c r="GRQ1159" s="7"/>
      <c r="GRR1159" s="7"/>
      <c r="GRS1159" s="7"/>
      <c r="GRT1159" s="7"/>
      <c r="GRU1159" s="7"/>
      <c r="GRV1159" s="7"/>
      <c r="GRW1159" s="7"/>
      <c r="GRX1159" s="7"/>
      <c r="GRY1159" s="7"/>
      <c r="GRZ1159" s="7"/>
      <c r="GSA1159" s="7"/>
      <c r="GSB1159" s="7"/>
      <c r="GSC1159" s="7"/>
      <c r="GSD1159" s="7"/>
      <c r="GSE1159" s="7"/>
      <c r="GSF1159" s="7"/>
      <c r="GSG1159" s="7"/>
      <c r="GSH1159" s="7"/>
      <c r="GSI1159" s="7"/>
      <c r="GSJ1159" s="7"/>
      <c r="GSK1159" s="7"/>
      <c r="GSL1159" s="7"/>
      <c r="GSM1159" s="7"/>
      <c r="GSN1159" s="7"/>
      <c r="GSO1159" s="7"/>
      <c r="GSP1159" s="7"/>
      <c r="GSQ1159" s="7"/>
      <c r="GSR1159" s="7"/>
      <c r="GSS1159" s="7"/>
      <c r="GST1159" s="7"/>
      <c r="GSU1159" s="7"/>
      <c r="GSV1159" s="7"/>
      <c r="GSW1159" s="7"/>
      <c r="GSX1159" s="7"/>
      <c r="GSY1159" s="7"/>
      <c r="GSZ1159" s="7"/>
      <c r="GTA1159" s="7"/>
      <c r="GTB1159" s="7"/>
      <c r="GTC1159" s="7"/>
      <c r="GTD1159" s="7"/>
      <c r="GTE1159" s="7"/>
      <c r="GTF1159" s="7"/>
      <c r="GTG1159" s="7"/>
      <c r="GTH1159" s="7"/>
      <c r="GTI1159" s="7"/>
      <c r="GTJ1159" s="7"/>
      <c r="GTK1159" s="7"/>
      <c r="GTL1159" s="7"/>
      <c r="GTM1159" s="7"/>
      <c r="GTN1159" s="7"/>
      <c r="GTO1159" s="7"/>
      <c r="GTP1159" s="7"/>
      <c r="GTQ1159" s="7"/>
      <c r="GTR1159" s="7"/>
      <c r="GTS1159" s="7"/>
      <c r="GTT1159" s="7"/>
      <c r="GTU1159" s="7"/>
      <c r="GTV1159" s="7"/>
      <c r="GTW1159" s="7"/>
      <c r="GTX1159" s="7"/>
      <c r="GTY1159" s="7"/>
      <c r="GTZ1159" s="7"/>
      <c r="GUA1159" s="7"/>
      <c r="GUB1159" s="7"/>
      <c r="GUC1159" s="7"/>
      <c r="GUD1159" s="7"/>
      <c r="GUE1159" s="7"/>
      <c r="GUF1159" s="7"/>
      <c r="GUG1159" s="7"/>
      <c r="GUH1159" s="7"/>
      <c r="GUI1159" s="7"/>
      <c r="GUJ1159" s="7"/>
      <c r="GUK1159" s="7"/>
      <c r="GUL1159" s="7"/>
      <c r="GUM1159" s="7"/>
      <c r="GUN1159" s="7"/>
      <c r="GUO1159" s="7"/>
      <c r="GUP1159" s="7"/>
      <c r="GUQ1159" s="7"/>
      <c r="GUR1159" s="7"/>
      <c r="GUS1159" s="7"/>
      <c r="GUT1159" s="7"/>
      <c r="GUU1159" s="7"/>
      <c r="GUV1159" s="7"/>
      <c r="GUW1159" s="7"/>
      <c r="GUX1159" s="7"/>
      <c r="GUY1159" s="7"/>
      <c r="GUZ1159" s="7"/>
      <c r="GVA1159" s="7"/>
      <c r="GVB1159" s="7"/>
      <c r="GVC1159" s="7"/>
      <c r="GVD1159" s="7"/>
      <c r="GVE1159" s="7"/>
      <c r="GVF1159" s="7"/>
      <c r="GVG1159" s="7"/>
      <c r="GVH1159" s="7"/>
      <c r="GVI1159" s="7"/>
      <c r="GVJ1159" s="7"/>
      <c r="GVK1159" s="7"/>
      <c r="GVL1159" s="7"/>
      <c r="GVM1159" s="7"/>
      <c r="GVN1159" s="7"/>
      <c r="GVO1159" s="7"/>
      <c r="GVP1159" s="7"/>
      <c r="GVQ1159" s="7"/>
      <c r="GVR1159" s="7"/>
      <c r="GVS1159" s="7"/>
      <c r="GVT1159" s="7"/>
      <c r="GVU1159" s="7"/>
      <c r="GVV1159" s="7"/>
      <c r="GVW1159" s="7"/>
      <c r="GVX1159" s="7"/>
      <c r="GVY1159" s="7"/>
      <c r="GVZ1159" s="7"/>
      <c r="GWA1159" s="7"/>
      <c r="GWB1159" s="7"/>
      <c r="GWC1159" s="7"/>
      <c r="GWD1159" s="7"/>
      <c r="GWE1159" s="7"/>
      <c r="GWF1159" s="7"/>
      <c r="GWG1159" s="7"/>
      <c r="GWH1159" s="7"/>
      <c r="GWI1159" s="7"/>
      <c r="GWJ1159" s="7"/>
      <c r="GWK1159" s="7"/>
      <c r="GWL1159" s="7"/>
      <c r="GWM1159" s="7"/>
      <c r="GWN1159" s="7"/>
      <c r="GWO1159" s="7"/>
      <c r="GWP1159" s="7"/>
      <c r="GWQ1159" s="7"/>
      <c r="GWR1159" s="7"/>
      <c r="GWS1159" s="7"/>
      <c r="GWT1159" s="7"/>
      <c r="GWU1159" s="7"/>
      <c r="GWV1159" s="7"/>
      <c r="GWW1159" s="7"/>
      <c r="GWX1159" s="7"/>
      <c r="GWY1159" s="7"/>
      <c r="GWZ1159" s="7"/>
      <c r="GXA1159" s="7"/>
      <c r="GXB1159" s="7"/>
      <c r="GXC1159" s="7"/>
      <c r="GXD1159" s="7"/>
      <c r="GXE1159" s="7"/>
      <c r="GXF1159" s="7"/>
      <c r="GXG1159" s="7"/>
      <c r="GXH1159" s="7"/>
      <c r="GXI1159" s="7"/>
      <c r="GXJ1159" s="7"/>
      <c r="GXK1159" s="7"/>
      <c r="GXL1159" s="7"/>
      <c r="GXM1159" s="7"/>
      <c r="GXN1159" s="7"/>
      <c r="GXO1159" s="7"/>
      <c r="GXP1159" s="7"/>
      <c r="GXQ1159" s="7"/>
      <c r="GXR1159" s="7"/>
      <c r="GXS1159" s="7"/>
      <c r="GXT1159" s="7"/>
      <c r="GXU1159" s="7"/>
      <c r="GXV1159" s="7"/>
      <c r="GXW1159" s="7"/>
      <c r="GXX1159" s="7"/>
      <c r="GXY1159" s="7"/>
      <c r="GXZ1159" s="7"/>
      <c r="GYA1159" s="7"/>
      <c r="GYB1159" s="7"/>
      <c r="GYC1159" s="7"/>
      <c r="GYD1159" s="7"/>
      <c r="GYE1159" s="7"/>
      <c r="GYF1159" s="7"/>
      <c r="GYG1159" s="7"/>
      <c r="GYH1159" s="7"/>
      <c r="GYI1159" s="7"/>
      <c r="GYJ1159" s="7"/>
      <c r="GYK1159" s="7"/>
      <c r="GYL1159" s="7"/>
      <c r="GYM1159" s="7"/>
      <c r="GYN1159" s="7"/>
      <c r="GYO1159" s="7"/>
      <c r="GYP1159" s="7"/>
      <c r="GYQ1159" s="7"/>
      <c r="GYR1159" s="7"/>
      <c r="GYS1159" s="7"/>
      <c r="GYT1159" s="7"/>
      <c r="GYU1159" s="7"/>
      <c r="GYV1159" s="7"/>
      <c r="GYW1159" s="7"/>
      <c r="GYX1159" s="7"/>
      <c r="GYY1159" s="7"/>
      <c r="GYZ1159" s="7"/>
      <c r="GZA1159" s="7"/>
      <c r="GZB1159" s="7"/>
      <c r="GZC1159" s="7"/>
      <c r="GZD1159" s="7"/>
      <c r="GZE1159" s="7"/>
      <c r="GZF1159" s="7"/>
      <c r="GZG1159" s="7"/>
      <c r="GZH1159" s="7"/>
      <c r="GZI1159" s="7"/>
      <c r="GZJ1159" s="7"/>
      <c r="GZK1159" s="7"/>
      <c r="GZL1159" s="7"/>
      <c r="GZM1159" s="7"/>
      <c r="GZN1159" s="7"/>
      <c r="GZO1159" s="7"/>
      <c r="GZP1159" s="7"/>
      <c r="GZQ1159" s="7"/>
      <c r="GZR1159" s="7"/>
      <c r="GZS1159" s="7"/>
      <c r="GZT1159" s="7"/>
      <c r="GZU1159" s="7"/>
      <c r="GZV1159" s="7"/>
      <c r="GZW1159" s="7"/>
      <c r="GZX1159" s="7"/>
      <c r="GZY1159" s="7"/>
      <c r="GZZ1159" s="7"/>
      <c r="HAA1159" s="7"/>
      <c r="HAB1159" s="7"/>
      <c r="HAC1159" s="7"/>
      <c r="HAD1159" s="7"/>
      <c r="HAE1159" s="7"/>
      <c r="HAF1159" s="7"/>
      <c r="HAG1159" s="7"/>
      <c r="HAH1159" s="7"/>
      <c r="HAI1159" s="7"/>
      <c r="HAJ1159" s="7"/>
      <c r="HAK1159" s="7"/>
      <c r="HAL1159" s="7"/>
      <c r="HAM1159" s="7"/>
      <c r="HAN1159" s="7"/>
      <c r="HAO1159" s="7"/>
      <c r="HAP1159" s="7"/>
      <c r="HAQ1159" s="7"/>
      <c r="HAR1159" s="7"/>
      <c r="HAS1159" s="7"/>
      <c r="HAT1159" s="7"/>
      <c r="HAU1159" s="7"/>
      <c r="HAV1159" s="7"/>
      <c r="HAW1159" s="7"/>
      <c r="HAX1159" s="7"/>
      <c r="HAY1159" s="7"/>
      <c r="HAZ1159" s="7"/>
      <c r="HBA1159" s="7"/>
      <c r="HBB1159" s="7"/>
      <c r="HBC1159" s="7"/>
      <c r="HBD1159" s="7"/>
      <c r="HBE1159" s="7"/>
      <c r="HBF1159" s="7"/>
      <c r="HBG1159" s="7"/>
      <c r="HBH1159" s="7"/>
      <c r="HBI1159" s="7"/>
      <c r="HBJ1159" s="7"/>
      <c r="HBK1159" s="7"/>
      <c r="HBL1159" s="7"/>
      <c r="HBM1159" s="7"/>
      <c r="HBN1159" s="7"/>
      <c r="HBO1159" s="7"/>
      <c r="HBP1159" s="7"/>
      <c r="HBQ1159" s="7"/>
      <c r="HBR1159" s="7"/>
      <c r="HBS1159" s="7"/>
      <c r="HBT1159" s="7"/>
      <c r="HBU1159" s="7"/>
      <c r="HBV1159" s="7"/>
      <c r="HBW1159" s="7"/>
      <c r="HBX1159" s="7"/>
      <c r="HBY1159" s="7"/>
      <c r="HBZ1159" s="7"/>
      <c r="HCA1159" s="7"/>
      <c r="HCB1159" s="7"/>
      <c r="HCC1159" s="7"/>
      <c r="HCD1159" s="7"/>
      <c r="HCE1159" s="7"/>
      <c r="HCF1159" s="7"/>
      <c r="HCG1159" s="7"/>
      <c r="HCH1159" s="7"/>
      <c r="HCI1159" s="7"/>
      <c r="HCJ1159" s="7"/>
      <c r="HCK1159" s="7"/>
      <c r="HCL1159" s="7"/>
      <c r="HCM1159" s="7"/>
      <c r="HCN1159" s="7"/>
      <c r="HCO1159" s="7"/>
      <c r="HCP1159" s="7"/>
      <c r="HCQ1159" s="7"/>
      <c r="HCR1159" s="7"/>
      <c r="HCS1159" s="7"/>
      <c r="HCT1159" s="7"/>
      <c r="HCU1159" s="7"/>
      <c r="HCV1159" s="7"/>
      <c r="HCW1159" s="7"/>
      <c r="HCX1159" s="7"/>
      <c r="HCY1159" s="7"/>
      <c r="HCZ1159" s="7"/>
      <c r="HDA1159" s="7"/>
      <c r="HDB1159" s="7"/>
      <c r="HDC1159" s="7"/>
      <c r="HDD1159" s="7"/>
      <c r="HDE1159" s="7"/>
      <c r="HDF1159" s="7"/>
      <c r="HDG1159" s="7"/>
      <c r="HDH1159" s="7"/>
      <c r="HDI1159" s="7"/>
      <c r="HDJ1159" s="7"/>
      <c r="HDK1159" s="7"/>
      <c r="HDL1159" s="7"/>
      <c r="HDM1159" s="7"/>
      <c r="HDN1159" s="7"/>
      <c r="HDO1159" s="7"/>
      <c r="HDP1159" s="7"/>
      <c r="HDQ1159" s="7"/>
      <c r="HDR1159" s="7"/>
      <c r="HDS1159" s="7"/>
      <c r="HDT1159" s="7"/>
      <c r="HDU1159" s="7"/>
      <c r="HDV1159" s="7"/>
      <c r="HDW1159" s="7"/>
      <c r="HDX1159" s="7"/>
      <c r="HDY1159" s="7"/>
      <c r="HDZ1159" s="7"/>
      <c r="HEA1159" s="7"/>
      <c r="HEB1159" s="7"/>
      <c r="HEC1159" s="7"/>
      <c r="HED1159" s="7"/>
      <c r="HEE1159" s="7"/>
      <c r="HEF1159" s="7"/>
      <c r="HEG1159" s="7"/>
      <c r="HEH1159" s="7"/>
      <c r="HEI1159" s="7"/>
      <c r="HEJ1159" s="7"/>
      <c r="HEK1159" s="7"/>
      <c r="HEL1159" s="7"/>
      <c r="HEM1159" s="7"/>
      <c r="HEN1159" s="7"/>
      <c r="HEO1159" s="7"/>
      <c r="HEP1159" s="7"/>
      <c r="HEQ1159" s="7"/>
      <c r="HER1159" s="7"/>
      <c r="HES1159" s="7"/>
      <c r="HET1159" s="7"/>
      <c r="HEU1159" s="7"/>
      <c r="HEV1159" s="7"/>
      <c r="HEW1159" s="7"/>
      <c r="HEX1159" s="7"/>
      <c r="HEY1159" s="7"/>
      <c r="HEZ1159" s="7"/>
      <c r="HFA1159" s="7"/>
      <c r="HFB1159" s="7"/>
      <c r="HFC1159" s="7"/>
      <c r="HFD1159" s="7"/>
      <c r="HFE1159" s="7"/>
      <c r="HFF1159" s="7"/>
      <c r="HFG1159" s="7"/>
      <c r="HFH1159" s="7"/>
      <c r="HFI1159" s="7"/>
      <c r="HFJ1159" s="7"/>
      <c r="HFK1159" s="7"/>
      <c r="HFL1159" s="7"/>
      <c r="HFM1159" s="7"/>
      <c r="HFN1159" s="7"/>
      <c r="HFO1159" s="7"/>
      <c r="HFP1159" s="7"/>
      <c r="HFQ1159" s="7"/>
      <c r="HFR1159" s="7"/>
      <c r="HFS1159" s="7"/>
      <c r="HFT1159" s="7"/>
      <c r="HFU1159" s="7"/>
      <c r="HFV1159" s="7"/>
      <c r="HFW1159" s="7"/>
      <c r="HFX1159" s="7"/>
      <c r="HFY1159" s="7"/>
      <c r="HFZ1159" s="7"/>
      <c r="HGA1159" s="7"/>
      <c r="HGB1159" s="7"/>
      <c r="HGC1159" s="7"/>
      <c r="HGD1159" s="7"/>
      <c r="HGE1159" s="7"/>
      <c r="HGF1159" s="7"/>
      <c r="HGG1159" s="7"/>
      <c r="HGH1159" s="7"/>
      <c r="HGI1159" s="7"/>
      <c r="HGJ1159" s="7"/>
      <c r="HGK1159" s="7"/>
      <c r="HGL1159" s="7"/>
      <c r="HGM1159" s="7"/>
      <c r="HGN1159" s="7"/>
      <c r="HGO1159" s="7"/>
      <c r="HGP1159" s="7"/>
      <c r="HGQ1159" s="7"/>
      <c r="HGR1159" s="7"/>
      <c r="HGS1159" s="7"/>
      <c r="HGT1159" s="7"/>
      <c r="HGU1159" s="7"/>
      <c r="HGV1159" s="7"/>
      <c r="HGW1159" s="7"/>
      <c r="HGX1159" s="7"/>
      <c r="HGY1159" s="7"/>
      <c r="HGZ1159" s="7"/>
      <c r="HHA1159" s="7"/>
      <c r="HHB1159" s="7"/>
      <c r="HHC1159" s="7"/>
      <c r="HHD1159" s="7"/>
      <c r="HHE1159" s="7"/>
      <c r="HHF1159" s="7"/>
      <c r="HHG1159" s="7"/>
      <c r="HHH1159" s="7"/>
      <c r="HHI1159" s="7"/>
      <c r="HHJ1159" s="7"/>
      <c r="HHK1159" s="7"/>
      <c r="HHL1159" s="7"/>
      <c r="HHM1159" s="7"/>
      <c r="HHN1159" s="7"/>
      <c r="HHO1159" s="7"/>
      <c r="HHP1159" s="7"/>
      <c r="HHQ1159" s="7"/>
      <c r="HHR1159" s="7"/>
      <c r="HHS1159" s="7"/>
      <c r="HHT1159" s="7"/>
      <c r="HHU1159" s="7"/>
      <c r="HHV1159" s="7"/>
      <c r="HHW1159" s="7"/>
      <c r="HHX1159" s="7"/>
      <c r="HHY1159" s="7"/>
      <c r="HHZ1159" s="7"/>
      <c r="HIA1159" s="7"/>
      <c r="HIB1159" s="7"/>
      <c r="HIC1159" s="7"/>
      <c r="HID1159" s="7"/>
      <c r="HIE1159" s="7"/>
      <c r="HIF1159" s="7"/>
      <c r="HIG1159" s="7"/>
      <c r="HIH1159" s="7"/>
      <c r="HII1159" s="7"/>
      <c r="HIJ1159" s="7"/>
      <c r="HIK1159" s="7"/>
      <c r="HIL1159" s="7"/>
      <c r="HIM1159" s="7"/>
      <c r="HIN1159" s="7"/>
      <c r="HIO1159" s="7"/>
      <c r="HIP1159" s="7"/>
      <c r="HIQ1159" s="7"/>
      <c r="HIR1159" s="7"/>
      <c r="HIS1159" s="7"/>
      <c r="HIT1159" s="7"/>
      <c r="HIU1159" s="7"/>
      <c r="HIV1159" s="7"/>
      <c r="HIW1159" s="7"/>
      <c r="HIX1159" s="7"/>
      <c r="HIY1159" s="7"/>
      <c r="HIZ1159" s="7"/>
      <c r="HJA1159" s="7"/>
      <c r="HJB1159" s="7"/>
      <c r="HJC1159" s="7"/>
      <c r="HJD1159" s="7"/>
      <c r="HJE1159" s="7"/>
      <c r="HJF1159" s="7"/>
      <c r="HJG1159" s="7"/>
      <c r="HJH1159" s="7"/>
      <c r="HJI1159" s="7"/>
      <c r="HJJ1159" s="7"/>
      <c r="HJK1159" s="7"/>
      <c r="HJL1159" s="7"/>
      <c r="HJM1159" s="7"/>
      <c r="HJN1159" s="7"/>
      <c r="HJO1159" s="7"/>
      <c r="HJP1159" s="7"/>
      <c r="HJQ1159" s="7"/>
      <c r="HJR1159" s="7"/>
      <c r="HJS1159" s="7"/>
      <c r="HJT1159" s="7"/>
      <c r="HJU1159" s="7"/>
      <c r="HJV1159" s="7"/>
      <c r="HJW1159" s="7"/>
      <c r="HJX1159" s="7"/>
      <c r="HJY1159" s="7"/>
      <c r="HJZ1159" s="7"/>
      <c r="HKA1159" s="7"/>
      <c r="HKB1159" s="7"/>
      <c r="HKC1159" s="7"/>
      <c r="HKD1159" s="7"/>
      <c r="HKE1159" s="7"/>
      <c r="HKF1159" s="7"/>
      <c r="HKG1159" s="7"/>
      <c r="HKH1159" s="7"/>
      <c r="HKI1159" s="7"/>
      <c r="HKJ1159" s="7"/>
      <c r="HKK1159" s="7"/>
      <c r="HKL1159" s="7"/>
      <c r="HKM1159" s="7"/>
      <c r="HKN1159" s="7"/>
      <c r="HKO1159" s="7"/>
      <c r="HKP1159" s="7"/>
      <c r="HKQ1159" s="7"/>
      <c r="HKR1159" s="7"/>
      <c r="HKS1159" s="7"/>
      <c r="HKT1159" s="7"/>
      <c r="HKU1159" s="7"/>
      <c r="HKV1159" s="7"/>
      <c r="HKW1159" s="7"/>
      <c r="HKX1159" s="7"/>
      <c r="HKY1159" s="7"/>
      <c r="HKZ1159" s="7"/>
      <c r="HLA1159" s="7"/>
      <c r="HLB1159" s="7"/>
      <c r="HLC1159" s="7"/>
      <c r="HLD1159" s="7"/>
      <c r="HLE1159" s="7"/>
      <c r="HLF1159" s="7"/>
      <c r="HLG1159" s="7"/>
      <c r="HLH1159" s="7"/>
      <c r="HLI1159" s="7"/>
      <c r="HLJ1159" s="7"/>
      <c r="HLK1159" s="7"/>
      <c r="HLL1159" s="7"/>
      <c r="HLM1159" s="7"/>
      <c r="HLN1159" s="7"/>
      <c r="HLO1159" s="7"/>
      <c r="HLP1159" s="7"/>
      <c r="HLQ1159" s="7"/>
      <c r="HLR1159" s="7"/>
      <c r="HLS1159" s="7"/>
      <c r="HLT1159" s="7"/>
      <c r="HLU1159" s="7"/>
      <c r="HLV1159" s="7"/>
      <c r="HLW1159" s="7"/>
      <c r="HLX1159" s="7"/>
      <c r="HLY1159" s="7"/>
      <c r="HLZ1159" s="7"/>
      <c r="HMA1159" s="7"/>
      <c r="HMB1159" s="7"/>
      <c r="HMC1159" s="7"/>
      <c r="HMD1159" s="7"/>
      <c r="HME1159" s="7"/>
      <c r="HMF1159" s="7"/>
      <c r="HMG1159" s="7"/>
      <c r="HMH1159" s="7"/>
      <c r="HMI1159" s="7"/>
      <c r="HMJ1159" s="7"/>
      <c r="HMK1159" s="7"/>
      <c r="HML1159" s="7"/>
      <c r="HMM1159" s="7"/>
      <c r="HMN1159" s="7"/>
      <c r="HMO1159" s="7"/>
      <c r="HMP1159" s="7"/>
      <c r="HMQ1159" s="7"/>
      <c r="HMR1159" s="7"/>
      <c r="HMS1159" s="7"/>
      <c r="HMT1159" s="7"/>
      <c r="HMU1159" s="7"/>
      <c r="HMV1159" s="7"/>
      <c r="HMW1159" s="7"/>
      <c r="HMX1159" s="7"/>
      <c r="HMY1159" s="7"/>
      <c r="HMZ1159" s="7"/>
      <c r="HNA1159" s="7"/>
      <c r="HNB1159" s="7"/>
      <c r="HNC1159" s="7"/>
      <c r="HND1159" s="7"/>
      <c r="HNE1159" s="7"/>
      <c r="HNF1159" s="7"/>
      <c r="HNG1159" s="7"/>
      <c r="HNH1159" s="7"/>
      <c r="HNI1159" s="7"/>
      <c r="HNJ1159" s="7"/>
      <c r="HNK1159" s="7"/>
      <c r="HNL1159" s="7"/>
      <c r="HNM1159" s="7"/>
      <c r="HNN1159" s="7"/>
      <c r="HNO1159" s="7"/>
      <c r="HNP1159" s="7"/>
      <c r="HNQ1159" s="7"/>
      <c r="HNR1159" s="7"/>
      <c r="HNS1159" s="7"/>
      <c r="HNT1159" s="7"/>
      <c r="HNU1159" s="7"/>
      <c r="HNV1159" s="7"/>
      <c r="HNW1159" s="7"/>
      <c r="HNX1159" s="7"/>
      <c r="HNY1159" s="7"/>
      <c r="HNZ1159" s="7"/>
      <c r="HOA1159" s="7"/>
      <c r="HOB1159" s="7"/>
      <c r="HOC1159" s="7"/>
      <c r="HOD1159" s="7"/>
      <c r="HOE1159" s="7"/>
      <c r="HOF1159" s="7"/>
      <c r="HOG1159" s="7"/>
      <c r="HOH1159" s="7"/>
      <c r="HOI1159" s="7"/>
      <c r="HOJ1159" s="7"/>
      <c r="HOK1159" s="7"/>
      <c r="HOL1159" s="7"/>
      <c r="HOM1159" s="7"/>
      <c r="HON1159" s="7"/>
      <c r="HOO1159" s="7"/>
      <c r="HOP1159" s="7"/>
      <c r="HOQ1159" s="7"/>
      <c r="HOR1159" s="7"/>
      <c r="HOS1159" s="7"/>
      <c r="HOT1159" s="7"/>
      <c r="HOU1159" s="7"/>
      <c r="HOV1159" s="7"/>
      <c r="HOW1159" s="7"/>
      <c r="HOX1159" s="7"/>
      <c r="HOY1159" s="7"/>
      <c r="HOZ1159" s="7"/>
      <c r="HPA1159" s="7"/>
      <c r="HPB1159" s="7"/>
      <c r="HPC1159" s="7"/>
      <c r="HPD1159" s="7"/>
      <c r="HPE1159" s="7"/>
      <c r="HPF1159" s="7"/>
      <c r="HPG1159" s="7"/>
      <c r="HPH1159" s="7"/>
      <c r="HPI1159" s="7"/>
      <c r="HPJ1159" s="7"/>
      <c r="HPK1159" s="7"/>
      <c r="HPL1159" s="7"/>
      <c r="HPM1159" s="7"/>
      <c r="HPN1159" s="7"/>
      <c r="HPO1159" s="7"/>
      <c r="HPP1159" s="7"/>
      <c r="HPQ1159" s="7"/>
      <c r="HPR1159" s="7"/>
      <c r="HPS1159" s="7"/>
      <c r="HPT1159" s="7"/>
      <c r="HPU1159" s="7"/>
      <c r="HPV1159" s="7"/>
      <c r="HPW1159" s="7"/>
      <c r="HPX1159" s="7"/>
      <c r="HPY1159" s="7"/>
      <c r="HPZ1159" s="7"/>
      <c r="HQA1159" s="7"/>
      <c r="HQB1159" s="7"/>
      <c r="HQC1159" s="7"/>
      <c r="HQD1159" s="7"/>
      <c r="HQE1159" s="7"/>
      <c r="HQF1159" s="7"/>
      <c r="HQG1159" s="7"/>
      <c r="HQH1159" s="7"/>
      <c r="HQI1159" s="7"/>
      <c r="HQJ1159" s="7"/>
      <c r="HQK1159" s="7"/>
      <c r="HQL1159" s="7"/>
      <c r="HQM1159" s="7"/>
      <c r="HQN1159" s="7"/>
      <c r="HQO1159" s="7"/>
      <c r="HQP1159" s="7"/>
      <c r="HQQ1159" s="7"/>
      <c r="HQR1159" s="7"/>
      <c r="HQS1159" s="7"/>
      <c r="HQT1159" s="7"/>
      <c r="HQU1159" s="7"/>
      <c r="HQV1159" s="7"/>
      <c r="HQW1159" s="7"/>
      <c r="HQX1159" s="7"/>
      <c r="HQY1159" s="7"/>
      <c r="HQZ1159" s="7"/>
      <c r="HRA1159" s="7"/>
      <c r="HRB1159" s="7"/>
      <c r="HRC1159" s="7"/>
      <c r="HRD1159" s="7"/>
      <c r="HRE1159" s="7"/>
      <c r="HRF1159" s="7"/>
      <c r="HRG1159" s="7"/>
      <c r="HRH1159" s="7"/>
      <c r="HRI1159" s="7"/>
      <c r="HRJ1159" s="7"/>
      <c r="HRK1159" s="7"/>
      <c r="HRL1159" s="7"/>
      <c r="HRM1159" s="7"/>
      <c r="HRN1159" s="7"/>
      <c r="HRO1159" s="7"/>
      <c r="HRP1159" s="7"/>
      <c r="HRQ1159" s="7"/>
      <c r="HRR1159" s="7"/>
      <c r="HRS1159" s="7"/>
      <c r="HRT1159" s="7"/>
      <c r="HRU1159" s="7"/>
      <c r="HRV1159" s="7"/>
      <c r="HRW1159" s="7"/>
      <c r="HRX1159" s="7"/>
      <c r="HRY1159" s="7"/>
      <c r="HRZ1159" s="7"/>
      <c r="HSA1159" s="7"/>
      <c r="HSB1159" s="7"/>
      <c r="HSC1159" s="7"/>
      <c r="HSD1159" s="7"/>
      <c r="HSE1159" s="7"/>
      <c r="HSF1159" s="7"/>
      <c r="HSG1159" s="7"/>
      <c r="HSH1159" s="7"/>
      <c r="HSI1159" s="7"/>
      <c r="HSJ1159" s="7"/>
      <c r="HSK1159" s="7"/>
      <c r="HSL1159" s="7"/>
      <c r="HSM1159" s="7"/>
      <c r="HSN1159" s="7"/>
      <c r="HSO1159" s="7"/>
      <c r="HSP1159" s="7"/>
      <c r="HSQ1159" s="7"/>
      <c r="HSR1159" s="7"/>
      <c r="HSS1159" s="7"/>
      <c r="HST1159" s="7"/>
      <c r="HSU1159" s="7"/>
      <c r="HSV1159" s="7"/>
      <c r="HSW1159" s="7"/>
      <c r="HSX1159" s="7"/>
      <c r="HSY1159" s="7"/>
      <c r="HSZ1159" s="7"/>
      <c r="HTA1159" s="7"/>
      <c r="HTB1159" s="7"/>
      <c r="HTC1159" s="7"/>
      <c r="HTD1159" s="7"/>
      <c r="HTE1159" s="7"/>
      <c r="HTF1159" s="7"/>
      <c r="HTG1159" s="7"/>
      <c r="HTH1159" s="7"/>
      <c r="HTI1159" s="7"/>
      <c r="HTJ1159" s="7"/>
      <c r="HTK1159" s="7"/>
      <c r="HTL1159" s="7"/>
      <c r="HTM1159" s="7"/>
      <c r="HTN1159" s="7"/>
      <c r="HTO1159" s="7"/>
      <c r="HTP1159" s="7"/>
      <c r="HTQ1159" s="7"/>
      <c r="HTR1159" s="7"/>
      <c r="HTS1159" s="7"/>
      <c r="HTT1159" s="7"/>
      <c r="HTU1159" s="7"/>
      <c r="HTV1159" s="7"/>
      <c r="HTW1159" s="7"/>
      <c r="HTX1159" s="7"/>
      <c r="HTY1159" s="7"/>
      <c r="HTZ1159" s="7"/>
      <c r="HUA1159" s="7"/>
      <c r="HUB1159" s="7"/>
      <c r="HUC1159" s="7"/>
      <c r="HUD1159" s="7"/>
      <c r="HUE1159" s="7"/>
      <c r="HUF1159" s="7"/>
      <c r="HUG1159" s="7"/>
      <c r="HUH1159" s="7"/>
      <c r="HUI1159" s="7"/>
      <c r="HUJ1159" s="7"/>
      <c r="HUK1159" s="7"/>
      <c r="HUL1159" s="7"/>
      <c r="HUM1159" s="7"/>
      <c r="HUN1159" s="7"/>
      <c r="HUO1159" s="7"/>
      <c r="HUP1159" s="7"/>
      <c r="HUQ1159" s="7"/>
      <c r="HUR1159" s="7"/>
      <c r="HUS1159" s="7"/>
      <c r="HUT1159" s="7"/>
      <c r="HUU1159" s="7"/>
      <c r="HUV1159" s="7"/>
      <c r="HUW1159" s="7"/>
      <c r="HUX1159" s="7"/>
      <c r="HUY1159" s="7"/>
      <c r="HUZ1159" s="7"/>
      <c r="HVA1159" s="7"/>
      <c r="HVB1159" s="7"/>
      <c r="HVC1159" s="7"/>
      <c r="HVD1159" s="7"/>
      <c r="HVE1159" s="7"/>
      <c r="HVF1159" s="7"/>
      <c r="HVG1159" s="7"/>
      <c r="HVH1159" s="7"/>
      <c r="HVI1159" s="7"/>
      <c r="HVJ1159" s="7"/>
      <c r="HVK1159" s="7"/>
      <c r="HVL1159" s="7"/>
      <c r="HVM1159" s="7"/>
      <c r="HVN1159" s="7"/>
      <c r="HVO1159" s="7"/>
      <c r="HVP1159" s="7"/>
      <c r="HVQ1159" s="7"/>
      <c r="HVR1159" s="7"/>
      <c r="HVS1159" s="7"/>
      <c r="HVT1159" s="7"/>
      <c r="HVU1159" s="7"/>
      <c r="HVV1159" s="7"/>
      <c r="HVW1159" s="7"/>
      <c r="HVX1159" s="7"/>
      <c r="HVY1159" s="7"/>
      <c r="HVZ1159" s="7"/>
      <c r="HWA1159" s="7"/>
      <c r="HWB1159" s="7"/>
      <c r="HWC1159" s="7"/>
      <c r="HWD1159" s="7"/>
      <c r="HWE1159" s="7"/>
      <c r="HWF1159" s="7"/>
      <c r="HWG1159" s="7"/>
      <c r="HWH1159" s="7"/>
      <c r="HWI1159" s="7"/>
      <c r="HWJ1159" s="7"/>
      <c r="HWK1159" s="7"/>
      <c r="HWL1159" s="7"/>
      <c r="HWM1159" s="7"/>
      <c r="HWN1159" s="7"/>
      <c r="HWO1159" s="7"/>
      <c r="HWP1159" s="7"/>
      <c r="HWQ1159" s="7"/>
      <c r="HWR1159" s="7"/>
      <c r="HWS1159" s="7"/>
      <c r="HWT1159" s="7"/>
      <c r="HWU1159" s="7"/>
      <c r="HWV1159" s="7"/>
      <c r="HWW1159" s="7"/>
      <c r="HWX1159" s="7"/>
      <c r="HWY1159" s="7"/>
      <c r="HWZ1159" s="7"/>
      <c r="HXA1159" s="7"/>
      <c r="HXB1159" s="7"/>
      <c r="HXC1159" s="7"/>
      <c r="HXD1159" s="7"/>
      <c r="HXE1159" s="7"/>
      <c r="HXF1159" s="7"/>
      <c r="HXG1159" s="7"/>
      <c r="HXH1159" s="7"/>
      <c r="HXI1159" s="7"/>
      <c r="HXJ1159" s="7"/>
      <c r="HXK1159" s="7"/>
      <c r="HXL1159" s="7"/>
      <c r="HXM1159" s="7"/>
      <c r="HXN1159" s="7"/>
      <c r="HXO1159" s="7"/>
      <c r="HXP1159" s="7"/>
      <c r="HXQ1159" s="7"/>
      <c r="HXR1159" s="7"/>
      <c r="HXS1159" s="7"/>
      <c r="HXT1159" s="7"/>
      <c r="HXU1159" s="7"/>
      <c r="HXV1159" s="7"/>
      <c r="HXW1159" s="7"/>
      <c r="HXX1159" s="7"/>
      <c r="HXY1159" s="7"/>
      <c r="HXZ1159" s="7"/>
      <c r="HYA1159" s="7"/>
      <c r="HYB1159" s="7"/>
      <c r="HYC1159" s="7"/>
      <c r="HYD1159" s="7"/>
      <c r="HYE1159" s="7"/>
      <c r="HYF1159" s="7"/>
      <c r="HYG1159" s="7"/>
      <c r="HYH1159" s="7"/>
      <c r="HYI1159" s="7"/>
      <c r="HYJ1159" s="7"/>
      <c r="HYK1159" s="7"/>
      <c r="HYL1159" s="7"/>
      <c r="HYM1159" s="7"/>
      <c r="HYN1159" s="7"/>
      <c r="HYO1159" s="7"/>
      <c r="HYP1159" s="7"/>
      <c r="HYQ1159" s="7"/>
      <c r="HYR1159" s="7"/>
      <c r="HYS1159" s="7"/>
      <c r="HYT1159" s="7"/>
      <c r="HYU1159" s="7"/>
      <c r="HYV1159" s="7"/>
      <c r="HYW1159" s="7"/>
      <c r="HYX1159" s="7"/>
      <c r="HYY1159" s="7"/>
      <c r="HYZ1159" s="7"/>
      <c r="HZA1159" s="7"/>
      <c r="HZB1159" s="7"/>
      <c r="HZC1159" s="7"/>
      <c r="HZD1159" s="7"/>
      <c r="HZE1159" s="7"/>
      <c r="HZF1159" s="7"/>
      <c r="HZG1159" s="7"/>
      <c r="HZH1159" s="7"/>
      <c r="HZI1159" s="7"/>
      <c r="HZJ1159" s="7"/>
      <c r="HZK1159" s="7"/>
      <c r="HZL1159" s="7"/>
      <c r="HZM1159" s="7"/>
      <c r="HZN1159" s="7"/>
      <c r="HZO1159" s="7"/>
      <c r="HZP1159" s="7"/>
      <c r="HZQ1159" s="7"/>
      <c r="HZR1159" s="7"/>
      <c r="HZS1159" s="7"/>
      <c r="HZT1159" s="7"/>
      <c r="HZU1159" s="7"/>
      <c r="HZV1159" s="7"/>
      <c r="HZW1159" s="7"/>
      <c r="HZX1159" s="7"/>
      <c r="HZY1159" s="7"/>
      <c r="HZZ1159" s="7"/>
      <c r="IAA1159" s="7"/>
      <c r="IAB1159" s="7"/>
      <c r="IAC1159" s="7"/>
      <c r="IAD1159" s="7"/>
      <c r="IAE1159" s="7"/>
      <c r="IAF1159" s="7"/>
      <c r="IAG1159" s="7"/>
      <c r="IAH1159" s="7"/>
      <c r="IAI1159" s="7"/>
      <c r="IAJ1159" s="7"/>
      <c r="IAK1159" s="7"/>
      <c r="IAL1159" s="7"/>
      <c r="IAM1159" s="7"/>
      <c r="IAN1159" s="7"/>
      <c r="IAO1159" s="7"/>
      <c r="IAP1159" s="7"/>
      <c r="IAQ1159" s="7"/>
      <c r="IAR1159" s="7"/>
      <c r="IAS1159" s="7"/>
      <c r="IAT1159" s="7"/>
      <c r="IAU1159" s="7"/>
      <c r="IAV1159" s="7"/>
      <c r="IAW1159" s="7"/>
      <c r="IAX1159" s="7"/>
      <c r="IAY1159" s="7"/>
      <c r="IAZ1159" s="7"/>
      <c r="IBA1159" s="7"/>
      <c r="IBB1159" s="7"/>
      <c r="IBC1159" s="7"/>
      <c r="IBD1159" s="7"/>
      <c r="IBE1159" s="7"/>
      <c r="IBF1159" s="7"/>
      <c r="IBG1159" s="7"/>
      <c r="IBH1159" s="7"/>
      <c r="IBI1159" s="7"/>
      <c r="IBJ1159" s="7"/>
      <c r="IBK1159" s="7"/>
      <c r="IBL1159" s="7"/>
      <c r="IBM1159" s="7"/>
      <c r="IBN1159" s="7"/>
      <c r="IBO1159" s="7"/>
      <c r="IBP1159" s="7"/>
      <c r="IBQ1159" s="7"/>
      <c r="IBR1159" s="7"/>
      <c r="IBS1159" s="7"/>
      <c r="IBT1159" s="7"/>
      <c r="IBU1159" s="7"/>
      <c r="IBV1159" s="7"/>
      <c r="IBW1159" s="7"/>
      <c r="IBX1159" s="7"/>
      <c r="IBY1159" s="7"/>
      <c r="IBZ1159" s="7"/>
      <c r="ICA1159" s="7"/>
      <c r="ICB1159" s="7"/>
      <c r="ICC1159" s="7"/>
      <c r="ICD1159" s="7"/>
      <c r="ICE1159" s="7"/>
      <c r="ICF1159" s="7"/>
      <c r="ICG1159" s="7"/>
      <c r="ICH1159" s="7"/>
      <c r="ICI1159" s="7"/>
      <c r="ICJ1159" s="7"/>
      <c r="ICK1159" s="7"/>
      <c r="ICL1159" s="7"/>
      <c r="ICM1159" s="7"/>
      <c r="ICN1159" s="7"/>
      <c r="ICO1159" s="7"/>
      <c r="ICP1159" s="7"/>
      <c r="ICQ1159" s="7"/>
      <c r="ICR1159" s="7"/>
      <c r="ICS1159" s="7"/>
      <c r="ICT1159" s="7"/>
      <c r="ICU1159" s="7"/>
      <c r="ICV1159" s="7"/>
      <c r="ICW1159" s="7"/>
      <c r="ICX1159" s="7"/>
      <c r="ICY1159" s="7"/>
      <c r="ICZ1159" s="7"/>
      <c r="IDA1159" s="7"/>
      <c r="IDB1159" s="7"/>
      <c r="IDC1159" s="7"/>
      <c r="IDD1159" s="7"/>
      <c r="IDE1159" s="7"/>
      <c r="IDF1159" s="7"/>
      <c r="IDG1159" s="7"/>
      <c r="IDH1159" s="7"/>
      <c r="IDI1159" s="7"/>
      <c r="IDJ1159" s="7"/>
      <c r="IDK1159" s="7"/>
      <c r="IDL1159" s="7"/>
      <c r="IDM1159" s="7"/>
      <c r="IDN1159" s="7"/>
      <c r="IDO1159" s="7"/>
      <c r="IDP1159" s="7"/>
      <c r="IDQ1159" s="7"/>
      <c r="IDR1159" s="7"/>
      <c r="IDS1159" s="7"/>
      <c r="IDT1159" s="7"/>
      <c r="IDU1159" s="7"/>
      <c r="IDV1159" s="7"/>
      <c r="IDW1159" s="7"/>
      <c r="IDX1159" s="7"/>
      <c r="IDY1159" s="7"/>
      <c r="IDZ1159" s="7"/>
      <c r="IEA1159" s="7"/>
      <c r="IEB1159" s="7"/>
      <c r="IEC1159" s="7"/>
      <c r="IED1159" s="7"/>
      <c r="IEE1159" s="7"/>
      <c r="IEF1159" s="7"/>
      <c r="IEG1159" s="7"/>
      <c r="IEH1159" s="7"/>
      <c r="IEI1159" s="7"/>
      <c r="IEJ1159" s="7"/>
      <c r="IEK1159" s="7"/>
      <c r="IEL1159" s="7"/>
      <c r="IEM1159" s="7"/>
      <c r="IEN1159" s="7"/>
      <c r="IEO1159" s="7"/>
      <c r="IEP1159" s="7"/>
      <c r="IEQ1159" s="7"/>
      <c r="IER1159" s="7"/>
      <c r="IES1159" s="7"/>
      <c r="IET1159" s="7"/>
      <c r="IEU1159" s="7"/>
      <c r="IEV1159" s="7"/>
      <c r="IEW1159" s="7"/>
      <c r="IEX1159" s="7"/>
      <c r="IEY1159" s="7"/>
      <c r="IEZ1159" s="7"/>
      <c r="IFA1159" s="7"/>
      <c r="IFB1159" s="7"/>
      <c r="IFC1159" s="7"/>
      <c r="IFD1159" s="7"/>
      <c r="IFE1159" s="7"/>
      <c r="IFF1159" s="7"/>
      <c r="IFG1159" s="7"/>
      <c r="IFH1159" s="7"/>
      <c r="IFI1159" s="7"/>
      <c r="IFJ1159" s="7"/>
      <c r="IFK1159" s="7"/>
      <c r="IFL1159" s="7"/>
      <c r="IFM1159" s="7"/>
      <c r="IFN1159" s="7"/>
      <c r="IFO1159" s="7"/>
      <c r="IFP1159" s="7"/>
      <c r="IFQ1159" s="7"/>
      <c r="IFR1159" s="7"/>
      <c r="IFS1159" s="7"/>
      <c r="IFT1159" s="7"/>
      <c r="IFU1159" s="7"/>
      <c r="IFV1159" s="7"/>
      <c r="IFW1159" s="7"/>
      <c r="IFX1159" s="7"/>
      <c r="IFY1159" s="7"/>
      <c r="IFZ1159" s="7"/>
      <c r="IGA1159" s="7"/>
      <c r="IGB1159" s="7"/>
      <c r="IGC1159" s="7"/>
      <c r="IGD1159" s="7"/>
      <c r="IGE1159" s="7"/>
      <c r="IGF1159" s="7"/>
      <c r="IGG1159" s="7"/>
      <c r="IGH1159" s="7"/>
      <c r="IGI1159" s="7"/>
      <c r="IGJ1159" s="7"/>
      <c r="IGK1159" s="7"/>
      <c r="IGL1159" s="7"/>
      <c r="IGM1159" s="7"/>
      <c r="IGN1159" s="7"/>
      <c r="IGO1159" s="7"/>
      <c r="IGP1159" s="7"/>
      <c r="IGQ1159" s="7"/>
      <c r="IGR1159" s="7"/>
      <c r="IGS1159" s="7"/>
      <c r="IGT1159" s="7"/>
      <c r="IGU1159" s="7"/>
      <c r="IGV1159" s="7"/>
      <c r="IGW1159" s="7"/>
      <c r="IGX1159" s="7"/>
      <c r="IGY1159" s="7"/>
      <c r="IGZ1159" s="7"/>
      <c r="IHA1159" s="7"/>
      <c r="IHB1159" s="7"/>
      <c r="IHC1159" s="7"/>
      <c r="IHD1159" s="7"/>
      <c r="IHE1159" s="7"/>
      <c r="IHF1159" s="7"/>
      <c r="IHG1159" s="7"/>
      <c r="IHH1159" s="7"/>
      <c r="IHI1159" s="7"/>
      <c r="IHJ1159" s="7"/>
      <c r="IHK1159" s="7"/>
      <c r="IHL1159" s="7"/>
      <c r="IHM1159" s="7"/>
      <c r="IHN1159" s="7"/>
      <c r="IHO1159" s="7"/>
      <c r="IHP1159" s="7"/>
      <c r="IHQ1159" s="7"/>
      <c r="IHR1159" s="7"/>
      <c r="IHS1159" s="7"/>
      <c r="IHT1159" s="7"/>
      <c r="IHU1159" s="7"/>
      <c r="IHV1159" s="7"/>
      <c r="IHW1159" s="7"/>
      <c r="IHX1159" s="7"/>
      <c r="IHY1159" s="7"/>
      <c r="IHZ1159" s="7"/>
      <c r="IIA1159" s="7"/>
      <c r="IIB1159" s="7"/>
      <c r="IIC1159" s="7"/>
      <c r="IID1159" s="7"/>
      <c r="IIE1159" s="7"/>
      <c r="IIF1159" s="7"/>
      <c r="IIG1159" s="7"/>
      <c r="IIH1159" s="7"/>
      <c r="III1159" s="7"/>
      <c r="IIJ1159" s="7"/>
      <c r="IIK1159" s="7"/>
      <c r="IIL1159" s="7"/>
      <c r="IIM1159" s="7"/>
      <c r="IIN1159" s="7"/>
      <c r="IIO1159" s="7"/>
      <c r="IIP1159" s="7"/>
      <c r="IIQ1159" s="7"/>
      <c r="IIR1159" s="7"/>
      <c r="IIS1159" s="7"/>
      <c r="IIT1159" s="7"/>
      <c r="IIU1159" s="7"/>
      <c r="IIV1159" s="7"/>
      <c r="IIW1159" s="7"/>
      <c r="IIX1159" s="7"/>
      <c r="IIY1159" s="7"/>
      <c r="IIZ1159" s="7"/>
      <c r="IJA1159" s="7"/>
      <c r="IJB1159" s="7"/>
      <c r="IJC1159" s="7"/>
      <c r="IJD1159" s="7"/>
      <c r="IJE1159" s="7"/>
      <c r="IJF1159" s="7"/>
      <c r="IJG1159" s="7"/>
      <c r="IJH1159" s="7"/>
      <c r="IJI1159" s="7"/>
      <c r="IJJ1159" s="7"/>
      <c r="IJK1159" s="7"/>
      <c r="IJL1159" s="7"/>
      <c r="IJM1159" s="7"/>
      <c r="IJN1159" s="7"/>
      <c r="IJO1159" s="7"/>
      <c r="IJP1159" s="7"/>
      <c r="IJQ1159" s="7"/>
      <c r="IJR1159" s="7"/>
      <c r="IJS1159" s="7"/>
      <c r="IJT1159" s="7"/>
      <c r="IJU1159" s="7"/>
      <c r="IJV1159" s="7"/>
      <c r="IJW1159" s="7"/>
      <c r="IJX1159" s="7"/>
      <c r="IJY1159" s="7"/>
      <c r="IJZ1159" s="7"/>
      <c r="IKA1159" s="7"/>
      <c r="IKB1159" s="7"/>
      <c r="IKC1159" s="7"/>
      <c r="IKD1159" s="7"/>
      <c r="IKE1159" s="7"/>
      <c r="IKF1159" s="7"/>
      <c r="IKG1159" s="7"/>
      <c r="IKH1159" s="7"/>
      <c r="IKI1159" s="7"/>
      <c r="IKJ1159" s="7"/>
      <c r="IKK1159" s="7"/>
      <c r="IKL1159" s="7"/>
      <c r="IKM1159" s="7"/>
      <c r="IKN1159" s="7"/>
      <c r="IKO1159" s="7"/>
      <c r="IKP1159" s="7"/>
      <c r="IKQ1159" s="7"/>
      <c r="IKR1159" s="7"/>
      <c r="IKS1159" s="7"/>
      <c r="IKT1159" s="7"/>
      <c r="IKU1159" s="7"/>
      <c r="IKV1159" s="7"/>
      <c r="IKW1159" s="7"/>
      <c r="IKX1159" s="7"/>
      <c r="IKY1159" s="7"/>
      <c r="IKZ1159" s="7"/>
      <c r="ILA1159" s="7"/>
      <c r="ILB1159" s="7"/>
      <c r="ILC1159" s="7"/>
      <c r="ILD1159" s="7"/>
      <c r="ILE1159" s="7"/>
      <c r="ILF1159" s="7"/>
      <c r="ILG1159" s="7"/>
      <c r="ILH1159" s="7"/>
      <c r="ILI1159" s="7"/>
      <c r="ILJ1159" s="7"/>
      <c r="ILK1159" s="7"/>
      <c r="ILL1159" s="7"/>
      <c r="ILM1159" s="7"/>
      <c r="ILN1159" s="7"/>
      <c r="ILO1159" s="7"/>
      <c r="ILP1159" s="7"/>
      <c r="ILQ1159" s="7"/>
      <c r="ILR1159" s="7"/>
      <c r="ILS1159" s="7"/>
      <c r="ILT1159" s="7"/>
      <c r="ILU1159" s="7"/>
      <c r="ILV1159" s="7"/>
      <c r="ILW1159" s="7"/>
      <c r="ILX1159" s="7"/>
      <c r="ILY1159" s="7"/>
      <c r="ILZ1159" s="7"/>
      <c r="IMA1159" s="7"/>
      <c r="IMB1159" s="7"/>
      <c r="IMC1159" s="7"/>
      <c r="IMD1159" s="7"/>
      <c r="IME1159" s="7"/>
      <c r="IMF1159" s="7"/>
      <c r="IMG1159" s="7"/>
      <c r="IMH1159" s="7"/>
      <c r="IMI1159" s="7"/>
      <c r="IMJ1159" s="7"/>
      <c r="IMK1159" s="7"/>
      <c r="IML1159" s="7"/>
      <c r="IMM1159" s="7"/>
      <c r="IMN1159" s="7"/>
      <c r="IMO1159" s="7"/>
      <c r="IMP1159" s="7"/>
      <c r="IMQ1159" s="7"/>
      <c r="IMR1159" s="7"/>
      <c r="IMS1159" s="7"/>
      <c r="IMT1159" s="7"/>
      <c r="IMU1159" s="7"/>
      <c r="IMV1159" s="7"/>
      <c r="IMW1159" s="7"/>
      <c r="IMX1159" s="7"/>
      <c r="IMY1159" s="7"/>
      <c r="IMZ1159" s="7"/>
      <c r="INA1159" s="7"/>
      <c r="INB1159" s="7"/>
      <c r="INC1159" s="7"/>
      <c r="IND1159" s="7"/>
      <c r="INE1159" s="7"/>
      <c r="INF1159" s="7"/>
      <c r="ING1159" s="7"/>
      <c r="INH1159" s="7"/>
      <c r="INI1159" s="7"/>
      <c r="INJ1159" s="7"/>
      <c r="INK1159" s="7"/>
      <c r="INL1159" s="7"/>
      <c r="INM1159" s="7"/>
      <c r="INN1159" s="7"/>
      <c r="INO1159" s="7"/>
      <c r="INP1159" s="7"/>
      <c r="INQ1159" s="7"/>
      <c r="INR1159" s="7"/>
      <c r="INS1159" s="7"/>
      <c r="INT1159" s="7"/>
      <c r="INU1159" s="7"/>
      <c r="INV1159" s="7"/>
      <c r="INW1159" s="7"/>
      <c r="INX1159" s="7"/>
      <c r="INY1159" s="7"/>
      <c r="INZ1159" s="7"/>
      <c r="IOA1159" s="7"/>
      <c r="IOB1159" s="7"/>
      <c r="IOC1159" s="7"/>
      <c r="IOD1159" s="7"/>
      <c r="IOE1159" s="7"/>
      <c r="IOF1159" s="7"/>
      <c r="IOG1159" s="7"/>
      <c r="IOH1159" s="7"/>
      <c r="IOI1159" s="7"/>
      <c r="IOJ1159" s="7"/>
      <c r="IOK1159" s="7"/>
      <c r="IOL1159" s="7"/>
      <c r="IOM1159" s="7"/>
      <c r="ION1159" s="7"/>
      <c r="IOO1159" s="7"/>
      <c r="IOP1159" s="7"/>
      <c r="IOQ1159" s="7"/>
      <c r="IOR1159" s="7"/>
      <c r="IOS1159" s="7"/>
      <c r="IOT1159" s="7"/>
      <c r="IOU1159" s="7"/>
      <c r="IOV1159" s="7"/>
      <c r="IOW1159" s="7"/>
      <c r="IOX1159" s="7"/>
      <c r="IOY1159" s="7"/>
      <c r="IOZ1159" s="7"/>
      <c r="IPA1159" s="7"/>
      <c r="IPB1159" s="7"/>
      <c r="IPC1159" s="7"/>
      <c r="IPD1159" s="7"/>
      <c r="IPE1159" s="7"/>
      <c r="IPF1159" s="7"/>
      <c r="IPG1159" s="7"/>
      <c r="IPH1159" s="7"/>
      <c r="IPI1159" s="7"/>
      <c r="IPJ1159" s="7"/>
      <c r="IPK1159" s="7"/>
      <c r="IPL1159" s="7"/>
      <c r="IPM1159" s="7"/>
      <c r="IPN1159" s="7"/>
      <c r="IPO1159" s="7"/>
      <c r="IPP1159" s="7"/>
      <c r="IPQ1159" s="7"/>
      <c r="IPR1159" s="7"/>
      <c r="IPS1159" s="7"/>
      <c r="IPT1159" s="7"/>
      <c r="IPU1159" s="7"/>
      <c r="IPV1159" s="7"/>
      <c r="IPW1159" s="7"/>
      <c r="IPX1159" s="7"/>
      <c r="IPY1159" s="7"/>
      <c r="IPZ1159" s="7"/>
      <c r="IQA1159" s="7"/>
      <c r="IQB1159" s="7"/>
      <c r="IQC1159" s="7"/>
      <c r="IQD1159" s="7"/>
      <c r="IQE1159" s="7"/>
      <c r="IQF1159" s="7"/>
      <c r="IQG1159" s="7"/>
      <c r="IQH1159" s="7"/>
      <c r="IQI1159" s="7"/>
      <c r="IQJ1159" s="7"/>
      <c r="IQK1159" s="7"/>
      <c r="IQL1159" s="7"/>
      <c r="IQM1159" s="7"/>
      <c r="IQN1159" s="7"/>
      <c r="IQO1159" s="7"/>
      <c r="IQP1159" s="7"/>
      <c r="IQQ1159" s="7"/>
      <c r="IQR1159" s="7"/>
      <c r="IQS1159" s="7"/>
      <c r="IQT1159" s="7"/>
      <c r="IQU1159" s="7"/>
      <c r="IQV1159" s="7"/>
      <c r="IQW1159" s="7"/>
      <c r="IQX1159" s="7"/>
      <c r="IQY1159" s="7"/>
      <c r="IQZ1159" s="7"/>
      <c r="IRA1159" s="7"/>
      <c r="IRB1159" s="7"/>
      <c r="IRC1159" s="7"/>
      <c r="IRD1159" s="7"/>
      <c r="IRE1159" s="7"/>
      <c r="IRF1159" s="7"/>
      <c r="IRG1159" s="7"/>
      <c r="IRH1159" s="7"/>
      <c r="IRI1159" s="7"/>
      <c r="IRJ1159" s="7"/>
      <c r="IRK1159" s="7"/>
      <c r="IRL1159" s="7"/>
      <c r="IRM1159" s="7"/>
      <c r="IRN1159" s="7"/>
      <c r="IRO1159" s="7"/>
      <c r="IRP1159" s="7"/>
      <c r="IRQ1159" s="7"/>
      <c r="IRR1159" s="7"/>
      <c r="IRS1159" s="7"/>
      <c r="IRT1159" s="7"/>
      <c r="IRU1159" s="7"/>
      <c r="IRV1159" s="7"/>
      <c r="IRW1159" s="7"/>
      <c r="IRX1159" s="7"/>
      <c r="IRY1159" s="7"/>
      <c r="IRZ1159" s="7"/>
      <c r="ISA1159" s="7"/>
      <c r="ISB1159" s="7"/>
      <c r="ISC1159" s="7"/>
      <c r="ISD1159" s="7"/>
      <c r="ISE1159" s="7"/>
      <c r="ISF1159" s="7"/>
      <c r="ISG1159" s="7"/>
      <c r="ISH1159" s="7"/>
      <c r="ISI1159" s="7"/>
      <c r="ISJ1159" s="7"/>
      <c r="ISK1159" s="7"/>
      <c r="ISL1159" s="7"/>
      <c r="ISM1159" s="7"/>
      <c r="ISN1159" s="7"/>
      <c r="ISO1159" s="7"/>
      <c r="ISP1159" s="7"/>
      <c r="ISQ1159" s="7"/>
      <c r="ISR1159" s="7"/>
      <c r="ISS1159" s="7"/>
      <c r="IST1159" s="7"/>
      <c r="ISU1159" s="7"/>
      <c r="ISV1159" s="7"/>
      <c r="ISW1159" s="7"/>
      <c r="ISX1159" s="7"/>
      <c r="ISY1159" s="7"/>
      <c r="ISZ1159" s="7"/>
      <c r="ITA1159" s="7"/>
      <c r="ITB1159" s="7"/>
      <c r="ITC1159" s="7"/>
      <c r="ITD1159" s="7"/>
      <c r="ITE1159" s="7"/>
      <c r="ITF1159" s="7"/>
      <c r="ITG1159" s="7"/>
      <c r="ITH1159" s="7"/>
      <c r="ITI1159" s="7"/>
      <c r="ITJ1159" s="7"/>
      <c r="ITK1159" s="7"/>
      <c r="ITL1159" s="7"/>
      <c r="ITM1159" s="7"/>
      <c r="ITN1159" s="7"/>
      <c r="ITO1159" s="7"/>
      <c r="ITP1159" s="7"/>
      <c r="ITQ1159" s="7"/>
      <c r="ITR1159" s="7"/>
      <c r="ITS1159" s="7"/>
      <c r="ITT1159" s="7"/>
      <c r="ITU1159" s="7"/>
      <c r="ITV1159" s="7"/>
      <c r="ITW1159" s="7"/>
      <c r="ITX1159" s="7"/>
      <c r="ITY1159" s="7"/>
      <c r="ITZ1159" s="7"/>
      <c r="IUA1159" s="7"/>
      <c r="IUB1159" s="7"/>
      <c r="IUC1159" s="7"/>
      <c r="IUD1159" s="7"/>
      <c r="IUE1159" s="7"/>
      <c r="IUF1159" s="7"/>
      <c r="IUG1159" s="7"/>
      <c r="IUH1159" s="7"/>
      <c r="IUI1159" s="7"/>
      <c r="IUJ1159" s="7"/>
      <c r="IUK1159" s="7"/>
      <c r="IUL1159" s="7"/>
      <c r="IUM1159" s="7"/>
      <c r="IUN1159" s="7"/>
      <c r="IUO1159" s="7"/>
      <c r="IUP1159" s="7"/>
      <c r="IUQ1159" s="7"/>
      <c r="IUR1159" s="7"/>
      <c r="IUS1159" s="7"/>
      <c r="IUT1159" s="7"/>
      <c r="IUU1159" s="7"/>
      <c r="IUV1159" s="7"/>
      <c r="IUW1159" s="7"/>
      <c r="IUX1159" s="7"/>
      <c r="IUY1159" s="7"/>
      <c r="IUZ1159" s="7"/>
      <c r="IVA1159" s="7"/>
      <c r="IVB1159" s="7"/>
      <c r="IVC1159" s="7"/>
      <c r="IVD1159" s="7"/>
      <c r="IVE1159" s="7"/>
      <c r="IVF1159" s="7"/>
      <c r="IVG1159" s="7"/>
      <c r="IVH1159" s="7"/>
      <c r="IVI1159" s="7"/>
      <c r="IVJ1159" s="7"/>
      <c r="IVK1159" s="7"/>
      <c r="IVL1159" s="7"/>
      <c r="IVM1159" s="7"/>
      <c r="IVN1159" s="7"/>
      <c r="IVO1159" s="7"/>
      <c r="IVP1159" s="7"/>
      <c r="IVQ1159" s="7"/>
      <c r="IVR1159" s="7"/>
      <c r="IVS1159" s="7"/>
      <c r="IVT1159" s="7"/>
      <c r="IVU1159" s="7"/>
      <c r="IVV1159" s="7"/>
      <c r="IVW1159" s="7"/>
      <c r="IVX1159" s="7"/>
      <c r="IVY1159" s="7"/>
      <c r="IVZ1159" s="7"/>
      <c r="IWA1159" s="7"/>
      <c r="IWB1159" s="7"/>
      <c r="IWC1159" s="7"/>
      <c r="IWD1159" s="7"/>
      <c r="IWE1159" s="7"/>
      <c r="IWF1159" s="7"/>
      <c r="IWG1159" s="7"/>
      <c r="IWH1159" s="7"/>
      <c r="IWI1159" s="7"/>
      <c r="IWJ1159" s="7"/>
      <c r="IWK1159" s="7"/>
      <c r="IWL1159" s="7"/>
      <c r="IWM1159" s="7"/>
      <c r="IWN1159" s="7"/>
      <c r="IWO1159" s="7"/>
      <c r="IWP1159" s="7"/>
      <c r="IWQ1159" s="7"/>
      <c r="IWR1159" s="7"/>
      <c r="IWS1159" s="7"/>
      <c r="IWT1159" s="7"/>
      <c r="IWU1159" s="7"/>
      <c r="IWV1159" s="7"/>
      <c r="IWW1159" s="7"/>
      <c r="IWX1159" s="7"/>
      <c r="IWY1159" s="7"/>
      <c r="IWZ1159" s="7"/>
      <c r="IXA1159" s="7"/>
      <c r="IXB1159" s="7"/>
      <c r="IXC1159" s="7"/>
      <c r="IXD1159" s="7"/>
      <c r="IXE1159" s="7"/>
      <c r="IXF1159" s="7"/>
      <c r="IXG1159" s="7"/>
      <c r="IXH1159" s="7"/>
      <c r="IXI1159" s="7"/>
      <c r="IXJ1159" s="7"/>
      <c r="IXK1159" s="7"/>
      <c r="IXL1159" s="7"/>
      <c r="IXM1159" s="7"/>
      <c r="IXN1159" s="7"/>
      <c r="IXO1159" s="7"/>
      <c r="IXP1159" s="7"/>
      <c r="IXQ1159" s="7"/>
      <c r="IXR1159" s="7"/>
      <c r="IXS1159" s="7"/>
      <c r="IXT1159" s="7"/>
      <c r="IXU1159" s="7"/>
      <c r="IXV1159" s="7"/>
      <c r="IXW1159" s="7"/>
      <c r="IXX1159" s="7"/>
      <c r="IXY1159" s="7"/>
      <c r="IXZ1159" s="7"/>
      <c r="IYA1159" s="7"/>
      <c r="IYB1159" s="7"/>
      <c r="IYC1159" s="7"/>
      <c r="IYD1159" s="7"/>
      <c r="IYE1159" s="7"/>
      <c r="IYF1159" s="7"/>
      <c r="IYG1159" s="7"/>
      <c r="IYH1159" s="7"/>
      <c r="IYI1159" s="7"/>
      <c r="IYJ1159" s="7"/>
      <c r="IYK1159" s="7"/>
      <c r="IYL1159" s="7"/>
      <c r="IYM1159" s="7"/>
      <c r="IYN1159" s="7"/>
      <c r="IYO1159" s="7"/>
      <c r="IYP1159" s="7"/>
      <c r="IYQ1159" s="7"/>
      <c r="IYR1159" s="7"/>
      <c r="IYS1159" s="7"/>
      <c r="IYT1159" s="7"/>
      <c r="IYU1159" s="7"/>
      <c r="IYV1159" s="7"/>
      <c r="IYW1159" s="7"/>
      <c r="IYX1159" s="7"/>
      <c r="IYY1159" s="7"/>
      <c r="IYZ1159" s="7"/>
      <c r="IZA1159" s="7"/>
      <c r="IZB1159" s="7"/>
      <c r="IZC1159" s="7"/>
      <c r="IZD1159" s="7"/>
      <c r="IZE1159" s="7"/>
      <c r="IZF1159" s="7"/>
      <c r="IZG1159" s="7"/>
      <c r="IZH1159" s="7"/>
      <c r="IZI1159" s="7"/>
      <c r="IZJ1159" s="7"/>
      <c r="IZK1159" s="7"/>
      <c r="IZL1159" s="7"/>
      <c r="IZM1159" s="7"/>
      <c r="IZN1159" s="7"/>
      <c r="IZO1159" s="7"/>
      <c r="IZP1159" s="7"/>
      <c r="IZQ1159" s="7"/>
      <c r="IZR1159" s="7"/>
      <c r="IZS1159" s="7"/>
      <c r="IZT1159" s="7"/>
      <c r="IZU1159" s="7"/>
      <c r="IZV1159" s="7"/>
      <c r="IZW1159" s="7"/>
      <c r="IZX1159" s="7"/>
      <c r="IZY1159" s="7"/>
      <c r="IZZ1159" s="7"/>
      <c r="JAA1159" s="7"/>
      <c r="JAB1159" s="7"/>
      <c r="JAC1159" s="7"/>
      <c r="JAD1159" s="7"/>
      <c r="JAE1159" s="7"/>
      <c r="JAF1159" s="7"/>
      <c r="JAG1159" s="7"/>
      <c r="JAH1159" s="7"/>
      <c r="JAI1159" s="7"/>
      <c r="JAJ1159" s="7"/>
      <c r="JAK1159" s="7"/>
      <c r="JAL1159" s="7"/>
      <c r="JAM1159" s="7"/>
      <c r="JAN1159" s="7"/>
      <c r="JAO1159" s="7"/>
      <c r="JAP1159" s="7"/>
      <c r="JAQ1159" s="7"/>
      <c r="JAR1159" s="7"/>
      <c r="JAS1159" s="7"/>
      <c r="JAT1159" s="7"/>
      <c r="JAU1159" s="7"/>
      <c r="JAV1159" s="7"/>
      <c r="JAW1159" s="7"/>
      <c r="JAX1159" s="7"/>
      <c r="JAY1159" s="7"/>
      <c r="JAZ1159" s="7"/>
      <c r="JBA1159" s="7"/>
      <c r="JBB1159" s="7"/>
      <c r="JBC1159" s="7"/>
      <c r="JBD1159" s="7"/>
      <c r="JBE1159" s="7"/>
      <c r="JBF1159" s="7"/>
      <c r="JBG1159" s="7"/>
      <c r="JBH1159" s="7"/>
      <c r="JBI1159" s="7"/>
      <c r="JBJ1159" s="7"/>
      <c r="JBK1159" s="7"/>
      <c r="JBL1159" s="7"/>
      <c r="JBM1159" s="7"/>
      <c r="JBN1159" s="7"/>
      <c r="JBO1159" s="7"/>
      <c r="JBP1159" s="7"/>
      <c r="JBQ1159" s="7"/>
      <c r="JBR1159" s="7"/>
      <c r="JBS1159" s="7"/>
      <c r="JBT1159" s="7"/>
      <c r="JBU1159" s="7"/>
      <c r="JBV1159" s="7"/>
      <c r="JBW1159" s="7"/>
      <c r="JBX1159" s="7"/>
      <c r="JBY1159" s="7"/>
      <c r="JBZ1159" s="7"/>
      <c r="JCA1159" s="7"/>
      <c r="JCB1159" s="7"/>
      <c r="JCC1159" s="7"/>
      <c r="JCD1159" s="7"/>
      <c r="JCE1159" s="7"/>
      <c r="JCF1159" s="7"/>
      <c r="JCG1159" s="7"/>
      <c r="JCH1159" s="7"/>
      <c r="JCI1159" s="7"/>
      <c r="JCJ1159" s="7"/>
      <c r="JCK1159" s="7"/>
      <c r="JCL1159" s="7"/>
      <c r="JCM1159" s="7"/>
      <c r="JCN1159" s="7"/>
      <c r="JCO1159" s="7"/>
      <c r="JCP1159" s="7"/>
      <c r="JCQ1159" s="7"/>
      <c r="JCR1159" s="7"/>
      <c r="JCS1159" s="7"/>
      <c r="JCT1159" s="7"/>
      <c r="JCU1159" s="7"/>
      <c r="JCV1159" s="7"/>
      <c r="JCW1159" s="7"/>
      <c r="JCX1159" s="7"/>
      <c r="JCY1159" s="7"/>
      <c r="JCZ1159" s="7"/>
      <c r="JDA1159" s="7"/>
      <c r="JDB1159" s="7"/>
      <c r="JDC1159" s="7"/>
      <c r="JDD1159" s="7"/>
      <c r="JDE1159" s="7"/>
      <c r="JDF1159" s="7"/>
      <c r="JDG1159" s="7"/>
      <c r="JDH1159" s="7"/>
      <c r="JDI1159" s="7"/>
      <c r="JDJ1159" s="7"/>
      <c r="JDK1159" s="7"/>
      <c r="JDL1159" s="7"/>
      <c r="JDM1159" s="7"/>
      <c r="JDN1159" s="7"/>
      <c r="JDO1159" s="7"/>
      <c r="JDP1159" s="7"/>
      <c r="JDQ1159" s="7"/>
      <c r="JDR1159" s="7"/>
      <c r="JDS1159" s="7"/>
      <c r="JDT1159" s="7"/>
      <c r="JDU1159" s="7"/>
      <c r="JDV1159" s="7"/>
      <c r="JDW1159" s="7"/>
      <c r="JDX1159" s="7"/>
      <c r="JDY1159" s="7"/>
      <c r="JDZ1159" s="7"/>
      <c r="JEA1159" s="7"/>
      <c r="JEB1159" s="7"/>
      <c r="JEC1159" s="7"/>
      <c r="JED1159" s="7"/>
      <c r="JEE1159" s="7"/>
      <c r="JEF1159" s="7"/>
      <c r="JEG1159" s="7"/>
      <c r="JEH1159" s="7"/>
      <c r="JEI1159" s="7"/>
      <c r="JEJ1159" s="7"/>
      <c r="JEK1159" s="7"/>
      <c r="JEL1159" s="7"/>
      <c r="JEM1159" s="7"/>
      <c r="JEN1159" s="7"/>
      <c r="JEO1159" s="7"/>
      <c r="JEP1159" s="7"/>
      <c r="JEQ1159" s="7"/>
      <c r="JER1159" s="7"/>
      <c r="JES1159" s="7"/>
      <c r="JET1159" s="7"/>
      <c r="JEU1159" s="7"/>
      <c r="JEV1159" s="7"/>
      <c r="JEW1159" s="7"/>
      <c r="JEX1159" s="7"/>
      <c r="JEY1159" s="7"/>
      <c r="JEZ1159" s="7"/>
      <c r="JFA1159" s="7"/>
      <c r="JFB1159" s="7"/>
      <c r="JFC1159" s="7"/>
      <c r="JFD1159" s="7"/>
      <c r="JFE1159" s="7"/>
      <c r="JFF1159" s="7"/>
      <c r="JFG1159" s="7"/>
      <c r="JFH1159" s="7"/>
      <c r="JFI1159" s="7"/>
      <c r="JFJ1159" s="7"/>
      <c r="JFK1159" s="7"/>
      <c r="JFL1159" s="7"/>
      <c r="JFM1159" s="7"/>
      <c r="JFN1159" s="7"/>
      <c r="JFO1159" s="7"/>
      <c r="JFP1159" s="7"/>
      <c r="JFQ1159" s="7"/>
      <c r="JFR1159" s="7"/>
      <c r="JFS1159" s="7"/>
      <c r="JFT1159" s="7"/>
      <c r="JFU1159" s="7"/>
      <c r="JFV1159" s="7"/>
      <c r="JFW1159" s="7"/>
      <c r="JFX1159" s="7"/>
      <c r="JFY1159" s="7"/>
      <c r="JFZ1159" s="7"/>
      <c r="JGA1159" s="7"/>
      <c r="JGB1159" s="7"/>
      <c r="JGC1159" s="7"/>
      <c r="JGD1159" s="7"/>
      <c r="JGE1159" s="7"/>
      <c r="JGF1159" s="7"/>
      <c r="JGG1159" s="7"/>
      <c r="JGH1159" s="7"/>
      <c r="JGI1159" s="7"/>
      <c r="JGJ1159" s="7"/>
      <c r="JGK1159" s="7"/>
      <c r="JGL1159" s="7"/>
      <c r="JGM1159" s="7"/>
      <c r="JGN1159" s="7"/>
      <c r="JGO1159" s="7"/>
      <c r="JGP1159" s="7"/>
      <c r="JGQ1159" s="7"/>
      <c r="JGR1159" s="7"/>
      <c r="JGS1159" s="7"/>
      <c r="JGT1159" s="7"/>
      <c r="JGU1159" s="7"/>
      <c r="JGV1159" s="7"/>
      <c r="JGW1159" s="7"/>
      <c r="JGX1159" s="7"/>
      <c r="JGY1159" s="7"/>
      <c r="JGZ1159" s="7"/>
      <c r="JHA1159" s="7"/>
      <c r="JHB1159" s="7"/>
      <c r="JHC1159" s="7"/>
      <c r="JHD1159" s="7"/>
      <c r="JHE1159" s="7"/>
      <c r="JHF1159" s="7"/>
      <c r="JHG1159" s="7"/>
      <c r="JHH1159" s="7"/>
      <c r="JHI1159" s="7"/>
      <c r="JHJ1159" s="7"/>
      <c r="JHK1159" s="7"/>
      <c r="JHL1159" s="7"/>
      <c r="JHM1159" s="7"/>
      <c r="JHN1159" s="7"/>
      <c r="JHO1159" s="7"/>
      <c r="JHP1159" s="7"/>
      <c r="JHQ1159" s="7"/>
      <c r="JHR1159" s="7"/>
      <c r="JHS1159" s="7"/>
      <c r="JHT1159" s="7"/>
      <c r="JHU1159" s="7"/>
      <c r="JHV1159" s="7"/>
      <c r="JHW1159" s="7"/>
      <c r="JHX1159" s="7"/>
      <c r="JHY1159" s="7"/>
      <c r="JHZ1159" s="7"/>
      <c r="JIA1159" s="7"/>
      <c r="JIB1159" s="7"/>
      <c r="JIC1159" s="7"/>
      <c r="JID1159" s="7"/>
      <c r="JIE1159" s="7"/>
      <c r="JIF1159" s="7"/>
      <c r="JIG1159" s="7"/>
      <c r="JIH1159" s="7"/>
      <c r="JII1159" s="7"/>
      <c r="JIJ1159" s="7"/>
      <c r="JIK1159" s="7"/>
      <c r="JIL1159" s="7"/>
      <c r="JIM1159" s="7"/>
      <c r="JIN1159" s="7"/>
      <c r="JIO1159" s="7"/>
      <c r="JIP1159" s="7"/>
      <c r="JIQ1159" s="7"/>
      <c r="JIR1159" s="7"/>
      <c r="JIS1159" s="7"/>
      <c r="JIT1159" s="7"/>
      <c r="JIU1159" s="7"/>
      <c r="JIV1159" s="7"/>
      <c r="JIW1159" s="7"/>
      <c r="JIX1159" s="7"/>
      <c r="JIY1159" s="7"/>
      <c r="JIZ1159" s="7"/>
      <c r="JJA1159" s="7"/>
      <c r="JJB1159" s="7"/>
      <c r="JJC1159" s="7"/>
      <c r="JJD1159" s="7"/>
      <c r="JJE1159" s="7"/>
      <c r="JJF1159" s="7"/>
      <c r="JJG1159" s="7"/>
      <c r="JJH1159" s="7"/>
      <c r="JJI1159" s="7"/>
      <c r="JJJ1159" s="7"/>
      <c r="JJK1159" s="7"/>
      <c r="JJL1159" s="7"/>
      <c r="JJM1159" s="7"/>
      <c r="JJN1159" s="7"/>
      <c r="JJO1159" s="7"/>
      <c r="JJP1159" s="7"/>
      <c r="JJQ1159" s="7"/>
      <c r="JJR1159" s="7"/>
      <c r="JJS1159" s="7"/>
      <c r="JJT1159" s="7"/>
      <c r="JJU1159" s="7"/>
      <c r="JJV1159" s="7"/>
      <c r="JJW1159" s="7"/>
      <c r="JJX1159" s="7"/>
      <c r="JJY1159" s="7"/>
      <c r="JJZ1159" s="7"/>
      <c r="JKA1159" s="7"/>
      <c r="JKB1159" s="7"/>
      <c r="JKC1159" s="7"/>
      <c r="JKD1159" s="7"/>
      <c r="JKE1159" s="7"/>
      <c r="JKF1159" s="7"/>
      <c r="JKG1159" s="7"/>
      <c r="JKH1159" s="7"/>
      <c r="JKI1159" s="7"/>
      <c r="JKJ1159" s="7"/>
      <c r="JKK1159" s="7"/>
      <c r="JKL1159" s="7"/>
      <c r="JKM1159" s="7"/>
      <c r="JKN1159" s="7"/>
      <c r="JKO1159" s="7"/>
      <c r="JKP1159" s="7"/>
      <c r="JKQ1159" s="7"/>
      <c r="JKR1159" s="7"/>
      <c r="JKS1159" s="7"/>
      <c r="JKT1159" s="7"/>
      <c r="JKU1159" s="7"/>
      <c r="JKV1159" s="7"/>
      <c r="JKW1159" s="7"/>
      <c r="JKX1159" s="7"/>
      <c r="JKY1159" s="7"/>
      <c r="JKZ1159" s="7"/>
      <c r="JLA1159" s="7"/>
      <c r="JLB1159" s="7"/>
      <c r="JLC1159" s="7"/>
      <c r="JLD1159" s="7"/>
      <c r="JLE1159" s="7"/>
      <c r="JLF1159" s="7"/>
      <c r="JLG1159" s="7"/>
      <c r="JLH1159" s="7"/>
      <c r="JLI1159" s="7"/>
      <c r="JLJ1159" s="7"/>
      <c r="JLK1159" s="7"/>
      <c r="JLL1159" s="7"/>
      <c r="JLM1159" s="7"/>
      <c r="JLN1159" s="7"/>
      <c r="JLO1159" s="7"/>
      <c r="JLP1159" s="7"/>
      <c r="JLQ1159" s="7"/>
      <c r="JLR1159" s="7"/>
      <c r="JLS1159" s="7"/>
      <c r="JLT1159" s="7"/>
      <c r="JLU1159" s="7"/>
      <c r="JLV1159" s="7"/>
      <c r="JLW1159" s="7"/>
      <c r="JLX1159" s="7"/>
      <c r="JLY1159" s="7"/>
      <c r="JLZ1159" s="7"/>
      <c r="JMA1159" s="7"/>
      <c r="JMB1159" s="7"/>
      <c r="JMC1159" s="7"/>
      <c r="JMD1159" s="7"/>
      <c r="JME1159" s="7"/>
      <c r="JMF1159" s="7"/>
      <c r="JMG1159" s="7"/>
      <c r="JMH1159" s="7"/>
      <c r="JMI1159" s="7"/>
      <c r="JMJ1159" s="7"/>
      <c r="JMK1159" s="7"/>
      <c r="JML1159" s="7"/>
      <c r="JMM1159" s="7"/>
      <c r="JMN1159" s="7"/>
      <c r="JMO1159" s="7"/>
      <c r="JMP1159" s="7"/>
      <c r="JMQ1159" s="7"/>
      <c r="JMR1159" s="7"/>
      <c r="JMS1159" s="7"/>
      <c r="JMT1159" s="7"/>
      <c r="JMU1159" s="7"/>
      <c r="JMV1159" s="7"/>
      <c r="JMW1159" s="7"/>
      <c r="JMX1159" s="7"/>
      <c r="JMY1159" s="7"/>
      <c r="JMZ1159" s="7"/>
      <c r="JNA1159" s="7"/>
      <c r="JNB1159" s="7"/>
      <c r="JNC1159" s="7"/>
      <c r="JND1159" s="7"/>
      <c r="JNE1159" s="7"/>
      <c r="JNF1159" s="7"/>
      <c r="JNG1159" s="7"/>
      <c r="JNH1159" s="7"/>
      <c r="JNI1159" s="7"/>
      <c r="JNJ1159" s="7"/>
      <c r="JNK1159" s="7"/>
      <c r="JNL1159" s="7"/>
      <c r="JNM1159" s="7"/>
      <c r="JNN1159" s="7"/>
      <c r="JNO1159" s="7"/>
      <c r="JNP1159" s="7"/>
      <c r="JNQ1159" s="7"/>
      <c r="JNR1159" s="7"/>
      <c r="JNS1159" s="7"/>
      <c r="JNT1159" s="7"/>
      <c r="JNU1159" s="7"/>
      <c r="JNV1159" s="7"/>
      <c r="JNW1159" s="7"/>
      <c r="JNX1159" s="7"/>
      <c r="JNY1159" s="7"/>
      <c r="JNZ1159" s="7"/>
      <c r="JOA1159" s="7"/>
      <c r="JOB1159" s="7"/>
      <c r="JOC1159" s="7"/>
      <c r="JOD1159" s="7"/>
      <c r="JOE1159" s="7"/>
      <c r="JOF1159" s="7"/>
      <c r="JOG1159" s="7"/>
      <c r="JOH1159" s="7"/>
      <c r="JOI1159" s="7"/>
      <c r="JOJ1159" s="7"/>
      <c r="JOK1159" s="7"/>
      <c r="JOL1159" s="7"/>
      <c r="JOM1159" s="7"/>
      <c r="JON1159" s="7"/>
      <c r="JOO1159" s="7"/>
      <c r="JOP1159" s="7"/>
      <c r="JOQ1159" s="7"/>
      <c r="JOR1159" s="7"/>
      <c r="JOS1159" s="7"/>
      <c r="JOT1159" s="7"/>
      <c r="JOU1159" s="7"/>
      <c r="JOV1159" s="7"/>
      <c r="JOW1159" s="7"/>
      <c r="JOX1159" s="7"/>
      <c r="JOY1159" s="7"/>
      <c r="JOZ1159" s="7"/>
      <c r="JPA1159" s="7"/>
      <c r="JPB1159" s="7"/>
      <c r="JPC1159" s="7"/>
      <c r="JPD1159" s="7"/>
      <c r="JPE1159" s="7"/>
      <c r="JPF1159" s="7"/>
      <c r="JPG1159" s="7"/>
      <c r="JPH1159" s="7"/>
      <c r="JPI1159" s="7"/>
      <c r="JPJ1159" s="7"/>
      <c r="JPK1159" s="7"/>
      <c r="JPL1159" s="7"/>
      <c r="JPM1159" s="7"/>
      <c r="JPN1159" s="7"/>
      <c r="JPO1159" s="7"/>
      <c r="JPP1159" s="7"/>
      <c r="JPQ1159" s="7"/>
      <c r="JPR1159" s="7"/>
      <c r="JPS1159" s="7"/>
      <c r="JPT1159" s="7"/>
      <c r="JPU1159" s="7"/>
      <c r="JPV1159" s="7"/>
      <c r="JPW1159" s="7"/>
      <c r="JPX1159" s="7"/>
      <c r="JPY1159" s="7"/>
      <c r="JPZ1159" s="7"/>
      <c r="JQA1159" s="7"/>
      <c r="JQB1159" s="7"/>
      <c r="JQC1159" s="7"/>
      <c r="JQD1159" s="7"/>
      <c r="JQE1159" s="7"/>
      <c r="JQF1159" s="7"/>
      <c r="JQG1159" s="7"/>
      <c r="JQH1159" s="7"/>
      <c r="JQI1159" s="7"/>
      <c r="JQJ1159" s="7"/>
      <c r="JQK1159" s="7"/>
      <c r="JQL1159" s="7"/>
      <c r="JQM1159" s="7"/>
      <c r="JQN1159" s="7"/>
      <c r="JQO1159" s="7"/>
      <c r="JQP1159" s="7"/>
      <c r="JQQ1159" s="7"/>
      <c r="JQR1159" s="7"/>
      <c r="JQS1159" s="7"/>
      <c r="JQT1159" s="7"/>
      <c r="JQU1159" s="7"/>
      <c r="JQV1159" s="7"/>
      <c r="JQW1159" s="7"/>
      <c r="JQX1159" s="7"/>
      <c r="JQY1159" s="7"/>
      <c r="JQZ1159" s="7"/>
      <c r="JRA1159" s="7"/>
      <c r="JRB1159" s="7"/>
      <c r="JRC1159" s="7"/>
      <c r="JRD1159" s="7"/>
      <c r="JRE1159" s="7"/>
      <c r="JRF1159" s="7"/>
      <c r="JRG1159" s="7"/>
      <c r="JRH1159" s="7"/>
      <c r="JRI1159" s="7"/>
      <c r="JRJ1159" s="7"/>
      <c r="JRK1159" s="7"/>
      <c r="JRL1159" s="7"/>
      <c r="JRM1159" s="7"/>
      <c r="JRN1159" s="7"/>
      <c r="JRO1159" s="7"/>
      <c r="JRP1159" s="7"/>
      <c r="JRQ1159" s="7"/>
      <c r="JRR1159" s="7"/>
      <c r="JRS1159" s="7"/>
      <c r="JRT1159" s="7"/>
      <c r="JRU1159" s="7"/>
      <c r="JRV1159" s="7"/>
      <c r="JRW1159" s="7"/>
      <c r="JRX1159" s="7"/>
      <c r="JRY1159" s="7"/>
      <c r="JRZ1159" s="7"/>
      <c r="JSA1159" s="7"/>
      <c r="JSB1159" s="7"/>
      <c r="JSC1159" s="7"/>
      <c r="JSD1159" s="7"/>
      <c r="JSE1159" s="7"/>
      <c r="JSF1159" s="7"/>
      <c r="JSG1159" s="7"/>
      <c r="JSH1159" s="7"/>
      <c r="JSI1159" s="7"/>
      <c r="JSJ1159" s="7"/>
      <c r="JSK1159" s="7"/>
      <c r="JSL1159" s="7"/>
      <c r="JSM1159" s="7"/>
      <c r="JSN1159" s="7"/>
      <c r="JSO1159" s="7"/>
      <c r="JSP1159" s="7"/>
      <c r="JSQ1159" s="7"/>
      <c r="JSR1159" s="7"/>
      <c r="JSS1159" s="7"/>
      <c r="JST1159" s="7"/>
      <c r="JSU1159" s="7"/>
      <c r="JSV1159" s="7"/>
      <c r="JSW1159" s="7"/>
      <c r="JSX1159" s="7"/>
      <c r="JSY1159" s="7"/>
      <c r="JSZ1159" s="7"/>
      <c r="JTA1159" s="7"/>
      <c r="JTB1159" s="7"/>
      <c r="JTC1159" s="7"/>
      <c r="JTD1159" s="7"/>
      <c r="JTE1159" s="7"/>
      <c r="JTF1159" s="7"/>
      <c r="JTG1159" s="7"/>
      <c r="JTH1159" s="7"/>
      <c r="JTI1159" s="7"/>
      <c r="JTJ1159" s="7"/>
      <c r="JTK1159" s="7"/>
      <c r="JTL1159" s="7"/>
      <c r="JTM1159" s="7"/>
      <c r="JTN1159" s="7"/>
      <c r="JTO1159" s="7"/>
      <c r="JTP1159" s="7"/>
      <c r="JTQ1159" s="7"/>
      <c r="JTR1159" s="7"/>
      <c r="JTS1159" s="7"/>
      <c r="JTT1159" s="7"/>
      <c r="JTU1159" s="7"/>
      <c r="JTV1159" s="7"/>
      <c r="JTW1159" s="7"/>
      <c r="JTX1159" s="7"/>
      <c r="JTY1159" s="7"/>
      <c r="JTZ1159" s="7"/>
      <c r="JUA1159" s="7"/>
      <c r="JUB1159" s="7"/>
      <c r="JUC1159" s="7"/>
      <c r="JUD1159" s="7"/>
      <c r="JUE1159" s="7"/>
      <c r="JUF1159" s="7"/>
      <c r="JUG1159" s="7"/>
      <c r="JUH1159" s="7"/>
      <c r="JUI1159" s="7"/>
      <c r="JUJ1159" s="7"/>
      <c r="JUK1159" s="7"/>
      <c r="JUL1159" s="7"/>
      <c r="JUM1159" s="7"/>
      <c r="JUN1159" s="7"/>
      <c r="JUO1159" s="7"/>
      <c r="JUP1159" s="7"/>
      <c r="JUQ1159" s="7"/>
      <c r="JUR1159" s="7"/>
      <c r="JUS1159" s="7"/>
      <c r="JUT1159" s="7"/>
      <c r="JUU1159" s="7"/>
      <c r="JUV1159" s="7"/>
      <c r="JUW1159" s="7"/>
      <c r="JUX1159" s="7"/>
      <c r="JUY1159" s="7"/>
      <c r="JUZ1159" s="7"/>
      <c r="JVA1159" s="7"/>
      <c r="JVB1159" s="7"/>
      <c r="JVC1159" s="7"/>
      <c r="JVD1159" s="7"/>
      <c r="JVE1159" s="7"/>
      <c r="JVF1159" s="7"/>
      <c r="JVG1159" s="7"/>
      <c r="JVH1159" s="7"/>
      <c r="JVI1159" s="7"/>
      <c r="JVJ1159" s="7"/>
      <c r="JVK1159" s="7"/>
      <c r="JVL1159" s="7"/>
      <c r="JVM1159" s="7"/>
      <c r="JVN1159" s="7"/>
      <c r="JVO1159" s="7"/>
      <c r="JVP1159" s="7"/>
      <c r="JVQ1159" s="7"/>
      <c r="JVR1159" s="7"/>
      <c r="JVS1159" s="7"/>
      <c r="JVT1159" s="7"/>
      <c r="JVU1159" s="7"/>
      <c r="JVV1159" s="7"/>
      <c r="JVW1159" s="7"/>
      <c r="JVX1159" s="7"/>
      <c r="JVY1159" s="7"/>
      <c r="JVZ1159" s="7"/>
      <c r="JWA1159" s="7"/>
      <c r="JWB1159" s="7"/>
      <c r="JWC1159" s="7"/>
      <c r="JWD1159" s="7"/>
      <c r="JWE1159" s="7"/>
      <c r="JWF1159" s="7"/>
      <c r="JWG1159" s="7"/>
      <c r="JWH1159" s="7"/>
      <c r="JWI1159" s="7"/>
      <c r="JWJ1159" s="7"/>
      <c r="JWK1159" s="7"/>
      <c r="JWL1159" s="7"/>
      <c r="JWM1159" s="7"/>
      <c r="JWN1159" s="7"/>
      <c r="JWO1159" s="7"/>
      <c r="JWP1159" s="7"/>
      <c r="JWQ1159" s="7"/>
      <c r="JWR1159" s="7"/>
      <c r="JWS1159" s="7"/>
      <c r="JWT1159" s="7"/>
      <c r="JWU1159" s="7"/>
      <c r="JWV1159" s="7"/>
      <c r="JWW1159" s="7"/>
      <c r="JWX1159" s="7"/>
      <c r="JWY1159" s="7"/>
      <c r="JWZ1159" s="7"/>
      <c r="JXA1159" s="7"/>
      <c r="JXB1159" s="7"/>
      <c r="JXC1159" s="7"/>
      <c r="JXD1159" s="7"/>
      <c r="JXE1159" s="7"/>
      <c r="JXF1159" s="7"/>
      <c r="JXG1159" s="7"/>
      <c r="JXH1159" s="7"/>
      <c r="JXI1159" s="7"/>
      <c r="JXJ1159" s="7"/>
      <c r="JXK1159" s="7"/>
      <c r="JXL1159" s="7"/>
      <c r="JXM1159" s="7"/>
      <c r="JXN1159" s="7"/>
      <c r="JXO1159" s="7"/>
      <c r="JXP1159" s="7"/>
      <c r="JXQ1159" s="7"/>
      <c r="JXR1159" s="7"/>
      <c r="JXS1159" s="7"/>
      <c r="JXT1159" s="7"/>
      <c r="JXU1159" s="7"/>
      <c r="JXV1159" s="7"/>
      <c r="JXW1159" s="7"/>
      <c r="JXX1159" s="7"/>
      <c r="JXY1159" s="7"/>
      <c r="JXZ1159" s="7"/>
      <c r="JYA1159" s="7"/>
      <c r="JYB1159" s="7"/>
      <c r="JYC1159" s="7"/>
      <c r="JYD1159" s="7"/>
      <c r="JYE1159" s="7"/>
      <c r="JYF1159" s="7"/>
      <c r="JYG1159" s="7"/>
      <c r="JYH1159" s="7"/>
      <c r="JYI1159" s="7"/>
      <c r="JYJ1159" s="7"/>
      <c r="JYK1159" s="7"/>
      <c r="JYL1159" s="7"/>
      <c r="JYM1159" s="7"/>
      <c r="JYN1159" s="7"/>
      <c r="JYO1159" s="7"/>
      <c r="JYP1159" s="7"/>
      <c r="JYQ1159" s="7"/>
      <c r="JYR1159" s="7"/>
      <c r="JYS1159" s="7"/>
      <c r="JYT1159" s="7"/>
      <c r="JYU1159" s="7"/>
      <c r="JYV1159" s="7"/>
      <c r="JYW1159" s="7"/>
      <c r="JYX1159" s="7"/>
      <c r="JYY1159" s="7"/>
      <c r="JYZ1159" s="7"/>
      <c r="JZA1159" s="7"/>
      <c r="JZB1159" s="7"/>
      <c r="JZC1159" s="7"/>
      <c r="JZD1159" s="7"/>
      <c r="JZE1159" s="7"/>
      <c r="JZF1159" s="7"/>
      <c r="JZG1159" s="7"/>
      <c r="JZH1159" s="7"/>
      <c r="JZI1159" s="7"/>
      <c r="JZJ1159" s="7"/>
      <c r="JZK1159" s="7"/>
      <c r="JZL1159" s="7"/>
      <c r="JZM1159" s="7"/>
      <c r="JZN1159" s="7"/>
      <c r="JZO1159" s="7"/>
      <c r="JZP1159" s="7"/>
      <c r="JZQ1159" s="7"/>
      <c r="JZR1159" s="7"/>
      <c r="JZS1159" s="7"/>
      <c r="JZT1159" s="7"/>
      <c r="JZU1159" s="7"/>
      <c r="JZV1159" s="7"/>
      <c r="JZW1159" s="7"/>
      <c r="JZX1159" s="7"/>
      <c r="JZY1159" s="7"/>
      <c r="JZZ1159" s="7"/>
      <c r="KAA1159" s="7"/>
      <c r="KAB1159" s="7"/>
      <c r="KAC1159" s="7"/>
      <c r="KAD1159" s="7"/>
      <c r="KAE1159" s="7"/>
      <c r="KAF1159" s="7"/>
      <c r="KAG1159" s="7"/>
      <c r="KAH1159" s="7"/>
      <c r="KAI1159" s="7"/>
      <c r="KAJ1159" s="7"/>
      <c r="KAK1159" s="7"/>
      <c r="KAL1159" s="7"/>
      <c r="KAM1159" s="7"/>
      <c r="KAN1159" s="7"/>
      <c r="KAO1159" s="7"/>
      <c r="KAP1159" s="7"/>
      <c r="KAQ1159" s="7"/>
      <c r="KAR1159" s="7"/>
      <c r="KAS1159" s="7"/>
      <c r="KAT1159" s="7"/>
      <c r="KAU1159" s="7"/>
      <c r="KAV1159" s="7"/>
      <c r="KAW1159" s="7"/>
      <c r="KAX1159" s="7"/>
      <c r="KAY1159" s="7"/>
      <c r="KAZ1159" s="7"/>
      <c r="KBA1159" s="7"/>
      <c r="KBB1159" s="7"/>
      <c r="KBC1159" s="7"/>
      <c r="KBD1159" s="7"/>
      <c r="KBE1159" s="7"/>
      <c r="KBF1159" s="7"/>
      <c r="KBG1159" s="7"/>
      <c r="KBH1159" s="7"/>
      <c r="KBI1159" s="7"/>
      <c r="KBJ1159" s="7"/>
      <c r="KBK1159" s="7"/>
      <c r="KBL1159" s="7"/>
      <c r="KBM1159" s="7"/>
      <c r="KBN1159" s="7"/>
      <c r="KBO1159" s="7"/>
      <c r="KBP1159" s="7"/>
      <c r="KBQ1159" s="7"/>
      <c r="KBR1159" s="7"/>
      <c r="KBS1159" s="7"/>
      <c r="KBT1159" s="7"/>
      <c r="KBU1159" s="7"/>
      <c r="KBV1159" s="7"/>
      <c r="KBW1159" s="7"/>
      <c r="KBX1159" s="7"/>
      <c r="KBY1159" s="7"/>
      <c r="KBZ1159" s="7"/>
      <c r="KCA1159" s="7"/>
      <c r="KCB1159" s="7"/>
      <c r="KCC1159" s="7"/>
      <c r="KCD1159" s="7"/>
      <c r="KCE1159" s="7"/>
      <c r="KCF1159" s="7"/>
      <c r="KCG1159" s="7"/>
      <c r="KCH1159" s="7"/>
      <c r="KCI1159" s="7"/>
      <c r="KCJ1159" s="7"/>
      <c r="KCK1159" s="7"/>
      <c r="KCL1159" s="7"/>
      <c r="KCM1159" s="7"/>
      <c r="KCN1159" s="7"/>
      <c r="KCO1159" s="7"/>
      <c r="KCP1159" s="7"/>
      <c r="KCQ1159" s="7"/>
      <c r="KCR1159" s="7"/>
      <c r="KCS1159" s="7"/>
      <c r="KCT1159" s="7"/>
      <c r="KCU1159" s="7"/>
      <c r="KCV1159" s="7"/>
      <c r="KCW1159" s="7"/>
      <c r="KCX1159" s="7"/>
      <c r="KCY1159" s="7"/>
      <c r="KCZ1159" s="7"/>
      <c r="KDA1159" s="7"/>
      <c r="KDB1159" s="7"/>
      <c r="KDC1159" s="7"/>
      <c r="KDD1159" s="7"/>
      <c r="KDE1159" s="7"/>
      <c r="KDF1159" s="7"/>
      <c r="KDG1159" s="7"/>
      <c r="KDH1159" s="7"/>
      <c r="KDI1159" s="7"/>
      <c r="KDJ1159" s="7"/>
      <c r="KDK1159" s="7"/>
      <c r="KDL1159" s="7"/>
      <c r="KDM1159" s="7"/>
      <c r="KDN1159" s="7"/>
      <c r="KDO1159" s="7"/>
      <c r="KDP1159" s="7"/>
      <c r="KDQ1159" s="7"/>
      <c r="KDR1159" s="7"/>
      <c r="KDS1159" s="7"/>
      <c r="KDT1159" s="7"/>
      <c r="KDU1159" s="7"/>
      <c r="KDV1159" s="7"/>
      <c r="KDW1159" s="7"/>
      <c r="KDX1159" s="7"/>
      <c r="KDY1159" s="7"/>
      <c r="KDZ1159" s="7"/>
      <c r="KEA1159" s="7"/>
      <c r="KEB1159" s="7"/>
      <c r="KEC1159" s="7"/>
      <c r="KED1159" s="7"/>
      <c r="KEE1159" s="7"/>
      <c r="KEF1159" s="7"/>
      <c r="KEG1159" s="7"/>
      <c r="KEH1159" s="7"/>
      <c r="KEI1159" s="7"/>
      <c r="KEJ1159" s="7"/>
      <c r="KEK1159" s="7"/>
      <c r="KEL1159" s="7"/>
      <c r="KEM1159" s="7"/>
      <c r="KEN1159" s="7"/>
      <c r="KEO1159" s="7"/>
      <c r="KEP1159" s="7"/>
      <c r="KEQ1159" s="7"/>
      <c r="KER1159" s="7"/>
      <c r="KES1159" s="7"/>
      <c r="KET1159" s="7"/>
      <c r="KEU1159" s="7"/>
      <c r="KEV1159" s="7"/>
      <c r="KEW1159" s="7"/>
      <c r="KEX1159" s="7"/>
      <c r="KEY1159" s="7"/>
      <c r="KEZ1159" s="7"/>
      <c r="KFA1159" s="7"/>
      <c r="KFB1159" s="7"/>
      <c r="KFC1159" s="7"/>
      <c r="KFD1159" s="7"/>
      <c r="KFE1159" s="7"/>
      <c r="KFF1159" s="7"/>
      <c r="KFG1159" s="7"/>
      <c r="KFH1159" s="7"/>
      <c r="KFI1159" s="7"/>
      <c r="KFJ1159" s="7"/>
      <c r="KFK1159" s="7"/>
      <c r="KFL1159" s="7"/>
      <c r="KFM1159" s="7"/>
      <c r="KFN1159" s="7"/>
      <c r="KFO1159" s="7"/>
      <c r="KFP1159" s="7"/>
      <c r="KFQ1159" s="7"/>
      <c r="KFR1159" s="7"/>
      <c r="KFS1159" s="7"/>
      <c r="KFT1159" s="7"/>
      <c r="KFU1159" s="7"/>
      <c r="KFV1159" s="7"/>
      <c r="KFW1159" s="7"/>
      <c r="KFX1159" s="7"/>
      <c r="KFY1159" s="7"/>
      <c r="KFZ1159" s="7"/>
      <c r="KGA1159" s="7"/>
      <c r="KGB1159" s="7"/>
      <c r="KGC1159" s="7"/>
      <c r="KGD1159" s="7"/>
      <c r="KGE1159" s="7"/>
      <c r="KGF1159" s="7"/>
      <c r="KGG1159" s="7"/>
      <c r="KGH1159" s="7"/>
      <c r="KGI1159" s="7"/>
      <c r="KGJ1159" s="7"/>
      <c r="KGK1159" s="7"/>
      <c r="KGL1159" s="7"/>
      <c r="KGM1159" s="7"/>
      <c r="KGN1159" s="7"/>
      <c r="KGO1159" s="7"/>
      <c r="KGP1159" s="7"/>
      <c r="KGQ1159" s="7"/>
      <c r="KGR1159" s="7"/>
      <c r="KGS1159" s="7"/>
      <c r="KGT1159" s="7"/>
      <c r="KGU1159" s="7"/>
      <c r="KGV1159" s="7"/>
      <c r="KGW1159" s="7"/>
      <c r="KGX1159" s="7"/>
      <c r="KGY1159" s="7"/>
      <c r="KGZ1159" s="7"/>
      <c r="KHA1159" s="7"/>
      <c r="KHB1159" s="7"/>
      <c r="KHC1159" s="7"/>
      <c r="KHD1159" s="7"/>
      <c r="KHE1159" s="7"/>
      <c r="KHF1159" s="7"/>
      <c r="KHG1159" s="7"/>
      <c r="KHH1159" s="7"/>
      <c r="KHI1159" s="7"/>
      <c r="KHJ1159" s="7"/>
      <c r="KHK1159" s="7"/>
      <c r="KHL1159" s="7"/>
      <c r="KHM1159" s="7"/>
      <c r="KHN1159" s="7"/>
      <c r="KHO1159" s="7"/>
      <c r="KHP1159" s="7"/>
      <c r="KHQ1159" s="7"/>
      <c r="KHR1159" s="7"/>
      <c r="KHS1159" s="7"/>
      <c r="KHT1159" s="7"/>
      <c r="KHU1159" s="7"/>
      <c r="KHV1159" s="7"/>
      <c r="KHW1159" s="7"/>
      <c r="KHX1159" s="7"/>
      <c r="KHY1159" s="7"/>
      <c r="KHZ1159" s="7"/>
      <c r="KIA1159" s="7"/>
      <c r="KIB1159" s="7"/>
      <c r="KIC1159" s="7"/>
      <c r="KID1159" s="7"/>
      <c r="KIE1159" s="7"/>
      <c r="KIF1159" s="7"/>
      <c r="KIG1159" s="7"/>
      <c r="KIH1159" s="7"/>
      <c r="KII1159" s="7"/>
      <c r="KIJ1159" s="7"/>
      <c r="KIK1159" s="7"/>
      <c r="KIL1159" s="7"/>
      <c r="KIM1159" s="7"/>
      <c r="KIN1159" s="7"/>
      <c r="KIO1159" s="7"/>
      <c r="KIP1159" s="7"/>
      <c r="KIQ1159" s="7"/>
      <c r="KIR1159" s="7"/>
      <c r="KIS1159" s="7"/>
      <c r="KIT1159" s="7"/>
      <c r="KIU1159" s="7"/>
      <c r="KIV1159" s="7"/>
      <c r="KIW1159" s="7"/>
      <c r="KIX1159" s="7"/>
      <c r="KIY1159" s="7"/>
      <c r="KIZ1159" s="7"/>
      <c r="KJA1159" s="7"/>
      <c r="KJB1159" s="7"/>
      <c r="KJC1159" s="7"/>
      <c r="KJD1159" s="7"/>
      <c r="KJE1159" s="7"/>
      <c r="KJF1159" s="7"/>
      <c r="KJG1159" s="7"/>
      <c r="KJH1159" s="7"/>
      <c r="KJI1159" s="7"/>
      <c r="KJJ1159" s="7"/>
      <c r="KJK1159" s="7"/>
      <c r="KJL1159" s="7"/>
      <c r="KJM1159" s="7"/>
      <c r="KJN1159" s="7"/>
      <c r="KJO1159" s="7"/>
      <c r="KJP1159" s="7"/>
      <c r="KJQ1159" s="7"/>
      <c r="KJR1159" s="7"/>
      <c r="KJS1159" s="7"/>
      <c r="KJT1159" s="7"/>
      <c r="KJU1159" s="7"/>
      <c r="KJV1159" s="7"/>
      <c r="KJW1159" s="7"/>
      <c r="KJX1159" s="7"/>
      <c r="KJY1159" s="7"/>
      <c r="KJZ1159" s="7"/>
      <c r="KKA1159" s="7"/>
      <c r="KKB1159" s="7"/>
      <c r="KKC1159" s="7"/>
      <c r="KKD1159" s="7"/>
      <c r="KKE1159" s="7"/>
      <c r="KKF1159" s="7"/>
      <c r="KKG1159" s="7"/>
      <c r="KKH1159" s="7"/>
      <c r="KKI1159" s="7"/>
      <c r="KKJ1159" s="7"/>
      <c r="KKK1159" s="7"/>
      <c r="KKL1159" s="7"/>
      <c r="KKM1159" s="7"/>
      <c r="KKN1159" s="7"/>
      <c r="KKO1159" s="7"/>
      <c r="KKP1159" s="7"/>
      <c r="KKQ1159" s="7"/>
      <c r="KKR1159" s="7"/>
      <c r="KKS1159" s="7"/>
      <c r="KKT1159" s="7"/>
      <c r="KKU1159" s="7"/>
      <c r="KKV1159" s="7"/>
      <c r="KKW1159" s="7"/>
      <c r="KKX1159" s="7"/>
      <c r="KKY1159" s="7"/>
      <c r="KKZ1159" s="7"/>
      <c r="KLA1159" s="7"/>
      <c r="KLB1159" s="7"/>
      <c r="KLC1159" s="7"/>
      <c r="KLD1159" s="7"/>
      <c r="KLE1159" s="7"/>
      <c r="KLF1159" s="7"/>
      <c r="KLG1159" s="7"/>
      <c r="KLH1159" s="7"/>
      <c r="KLI1159" s="7"/>
      <c r="KLJ1159" s="7"/>
      <c r="KLK1159" s="7"/>
      <c r="KLL1159" s="7"/>
      <c r="KLM1159" s="7"/>
      <c r="KLN1159" s="7"/>
      <c r="KLO1159" s="7"/>
      <c r="KLP1159" s="7"/>
      <c r="KLQ1159" s="7"/>
      <c r="KLR1159" s="7"/>
      <c r="KLS1159" s="7"/>
      <c r="KLT1159" s="7"/>
      <c r="KLU1159" s="7"/>
      <c r="KLV1159" s="7"/>
      <c r="KLW1159" s="7"/>
      <c r="KLX1159" s="7"/>
      <c r="KLY1159" s="7"/>
      <c r="KLZ1159" s="7"/>
      <c r="KMA1159" s="7"/>
      <c r="KMB1159" s="7"/>
      <c r="KMC1159" s="7"/>
      <c r="KMD1159" s="7"/>
      <c r="KME1159" s="7"/>
      <c r="KMF1159" s="7"/>
      <c r="KMG1159" s="7"/>
      <c r="KMH1159" s="7"/>
      <c r="KMI1159" s="7"/>
      <c r="KMJ1159" s="7"/>
      <c r="KMK1159" s="7"/>
      <c r="KML1159" s="7"/>
      <c r="KMM1159" s="7"/>
      <c r="KMN1159" s="7"/>
      <c r="KMO1159" s="7"/>
      <c r="KMP1159" s="7"/>
      <c r="KMQ1159" s="7"/>
      <c r="KMR1159" s="7"/>
      <c r="KMS1159" s="7"/>
      <c r="KMT1159" s="7"/>
      <c r="KMU1159" s="7"/>
      <c r="KMV1159" s="7"/>
      <c r="KMW1159" s="7"/>
      <c r="KMX1159" s="7"/>
      <c r="KMY1159" s="7"/>
      <c r="KMZ1159" s="7"/>
      <c r="KNA1159" s="7"/>
      <c r="KNB1159" s="7"/>
      <c r="KNC1159" s="7"/>
      <c r="KND1159" s="7"/>
      <c r="KNE1159" s="7"/>
      <c r="KNF1159" s="7"/>
      <c r="KNG1159" s="7"/>
      <c r="KNH1159" s="7"/>
      <c r="KNI1159" s="7"/>
      <c r="KNJ1159" s="7"/>
      <c r="KNK1159" s="7"/>
      <c r="KNL1159" s="7"/>
      <c r="KNM1159" s="7"/>
      <c r="KNN1159" s="7"/>
      <c r="KNO1159" s="7"/>
      <c r="KNP1159" s="7"/>
      <c r="KNQ1159" s="7"/>
      <c r="KNR1159" s="7"/>
      <c r="KNS1159" s="7"/>
      <c r="KNT1159" s="7"/>
      <c r="KNU1159" s="7"/>
      <c r="KNV1159" s="7"/>
      <c r="KNW1159" s="7"/>
      <c r="KNX1159" s="7"/>
      <c r="KNY1159" s="7"/>
      <c r="KNZ1159" s="7"/>
      <c r="KOA1159" s="7"/>
      <c r="KOB1159" s="7"/>
      <c r="KOC1159" s="7"/>
      <c r="KOD1159" s="7"/>
      <c r="KOE1159" s="7"/>
      <c r="KOF1159" s="7"/>
      <c r="KOG1159" s="7"/>
      <c r="KOH1159" s="7"/>
      <c r="KOI1159" s="7"/>
      <c r="KOJ1159" s="7"/>
      <c r="KOK1159" s="7"/>
      <c r="KOL1159" s="7"/>
      <c r="KOM1159" s="7"/>
      <c r="KON1159" s="7"/>
      <c r="KOO1159" s="7"/>
      <c r="KOP1159" s="7"/>
      <c r="KOQ1159" s="7"/>
      <c r="KOR1159" s="7"/>
      <c r="KOS1159" s="7"/>
      <c r="KOT1159" s="7"/>
      <c r="KOU1159" s="7"/>
      <c r="KOV1159" s="7"/>
      <c r="KOW1159" s="7"/>
      <c r="KOX1159" s="7"/>
      <c r="KOY1159" s="7"/>
      <c r="KOZ1159" s="7"/>
      <c r="KPA1159" s="7"/>
      <c r="KPB1159" s="7"/>
      <c r="KPC1159" s="7"/>
      <c r="KPD1159" s="7"/>
      <c r="KPE1159" s="7"/>
      <c r="KPF1159" s="7"/>
      <c r="KPG1159" s="7"/>
      <c r="KPH1159" s="7"/>
      <c r="KPI1159" s="7"/>
      <c r="KPJ1159" s="7"/>
      <c r="KPK1159" s="7"/>
      <c r="KPL1159" s="7"/>
      <c r="KPM1159" s="7"/>
      <c r="KPN1159" s="7"/>
      <c r="KPO1159" s="7"/>
      <c r="KPP1159" s="7"/>
      <c r="KPQ1159" s="7"/>
      <c r="KPR1159" s="7"/>
      <c r="KPS1159" s="7"/>
      <c r="KPT1159" s="7"/>
      <c r="KPU1159" s="7"/>
      <c r="KPV1159" s="7"/>
      <c r="KPW1159" s="7"/>
      <c r="KPX1159" s="7"/>
      <c r="KPY1159" s="7"/>
      <c r="KPZ1159" s="7"/>
      <c r="KQA1159" s="7"/>
      <c r="KQB1159" s="7"/>
      <c r="KQC1159" s="7"/>
      <c r="KQD1159" s="7"/>
      <c r="KQE1159" s="7"/>
      <c r="KQF1159" s="7"/>
      <c r="KQG1159" s="7"/>
      <c r="KQH1159" s="7"/>
      <c r="KQI1159" s="7"/>
      <c r="KQJ1159" s="7"/>
      <c r="KQK1159" s="7"/>
      <c r="KQL1159" s="7"/>
      <c r="KQM1159" s="7"/>
      <c r="KQN1159" s="7"/>
      <c r="KQO1159" s="7"/>
      <c r="KQP1159" s="7"/>
      <c r="KQQ1159" s="7"/>
      <c r="KQR1159" s="7"/>
      <c r="KQS1159" s="7"/>
      <c r="KQT1159" s="7"/>
      <c r="KQU1159" s="7"/>
      <c r="KQV1159" s="7"/>
      <c r="KQW1159" s="7"/>
      <c r="KQX1159" s="7"/>
      <c r="KQY1159" s="7"/>
      <c r="KQZ1159" s="7"/>
      <c r="KRA1159" s="7"/>
      <c r="KRB1159" s="7"/>
      <c r="KRC1159" s="7"/>
      <c r="KRD1159" s="7"/>
      <c r="KRE1159" s="7"/>
      <c r="KRF1159" s="7"/>
      <c r="KRG1159" s="7"/>
      <c r="KRH1159" s="7"/>
      <c r="KRI1159" s="7"/>
      <c r="KRJ1159" s="7"/>
      <c r="KRK1159" s="7"/>
      <c r="KRL1159" s="7"/>
      <c r="KRM1159" s="7"/>
      <c r="KRN1159" s="7"/>
      <c r="KRO1159" s="7"/>
      <c r="KRP1159" s="7"/>
      <c r="KRQ1159" s="7"/>
      <c r="KRR1159" s="7"/>
      <c r="KRS1159" s="7"/>
      <c r="KRT1159" s="7"/>
      <c r="KRU1159" s="7"/>
      <c r="KRV1159" s="7"/>
      <c r="KRW1159" s="7"/>
      <c r="KRX1159" s="7"/>
      <c r="KRY1159" s="7"/>
      <c r="KRZ1159" s="7"/>
      <c r="KSA1159" s="7"/>
      <c r="KSB1159" s="7"/>
      <c r="KSC1159" s="7"/>
      <c r="KSD1159" s="7"/>
      <c r="KSE1159" s="7"/>
      <c r="KSF1159" s="7"/>
      <c r="KSG1159" s="7"/>
      <c r="KSH1159" s="7"/>
      <c r="KSI1159" s="7"/>
      <c r="KSJ1159" s="7"/>
      <c r="KSK1159" s="7"/>
      <c r="KSL1159" s="7"/>
      <c r="KSM1159" s="7"/>
      <c r="KSN1159" s="7"/>
      <c r="KSO1159" s="7"/>
      <c r="KSP1159" s="7"/>
      <c r="KSQ1159" s="7"/>
      <c r="KSR1159" s="7"/>
      <c r="KSS1159" s="7"/>
      <c r="KST1159" s="7"/>
      <c r="KSU1159" s="7"/>
      <c r="KSV1159" s="7"/>
      <c r="KSW1159" s="7"/>
      <c r="KSX1159" s="7"/>
      <c r="KSY1159" s="7"/>
      <c r="KSZ1159" s="7"/>
      <c r="KTA1159" s="7"/>
      <c r="KTB1159" s="7"/>
      <c r="KTC1159" s="7"/>
      <c r="KTD1159" s="7"/>
      <c r="KTE1159" s="7"/>
      <c r="KTF1159" s="7"/>
      <c r="KTG1159" s="7"/>
      <c r="KTH1159" s="7"/>
      <c r="KTI1159" s="7"/>
      <c r="KTJ1159" s="7"/>
      <c r="KTK1159" s="7"/>
      <c r="KTL1159" s="7"/>
      <c r="KTM1159" s="7"/>
      <c r="KTN1159" s="7"/>
      <c r="KTO1159" s="7"/>
      <c r="KTP1159" s="7"/>
      <c r="KTQ1159" s="7"/>
      <c r="KTR1159" s="7"/>
      <c r="KTS1159" s="7"/>
      <c r="KTT1159" s="7"/>
      <c r="KTU1159" s="7"/>
      <c r="KTV1159" s="7"/>
      <c r="KTW1159" s="7"/>
      <c r="KTX1159" s="7"/>
      <c r="KTY1159" s="7"/>
      <c r="KTZ1159" s="7"/>
      <c r="KUA1159" s="7"/>
      <c r="KUB1159" s="7"/>
      <c r="KUC1159" s="7"/>
      <c r="KUD1159" s="7"/>
      <c r="KUE1159" s="7"/>
      <c r="KUF1159" s="7"/>
      <c r="KUG1159" s="7"/>
      <c r="KUH1159" s="7"/>
      <c r="KUI1159" s="7"/>
      <c r="KUJ1159" s="7"/>
      <c r="KUK1159" s="7"/>
      <c r="KUL1159" s="7"/>
      <c r="KUM1159" s="7"/>
      <c r="KUN1159" s="7"/>
      <c r="KUO1159" s="7"/>
      <c r="KUP1159" s="7"/>
      <c r="KUQ1159" s="7"/>
      <c r="KUR1159" s="7"/>
      <c r="KUS1159" s="7"/>
      <c r="KUT1159" s="7"/>
      <c r="KUU1159" s="7"/>
      <c r="KUV1159" s="7"/>
      <c r="KUW1159" s="7"/>
      <c r="KUX1159" s="7"/>
      <c r="KUY1159" s="7"/>
      <c r="KUZ1159" s="7"/>
      <c r="KVA1159" s="7"/>
      <c r="KVB1159" s="7"/>
      <c r="KVC1159" s="7"/>
      <c r="KVD1159" s="7"/>
      <c r="KVE1159" s="7"/>
      <c r="KVF1159" s="7"/>
      <c r="KVG1159" s="7"/>
      <c r="KVH1159" s="7"/>
      <c r="KVI1159" s="7"/>
      <c r="KVJ1159" s="7"/>
      <c r="KVK1159" s="7"/>
      <c r="KVL1159" s="7"/>
      <c r="KVM1159" s="7"/>
      <c r="KVN1159" s="7"/>
      <c r="KVO1159" s="7"/>
      <c r="KVP1159" s="7"/>
      <c r="KVQ1159" s="7"/>
      <c r="KVR1159" s="7"/>
      <c r="KVS1159" s="7"/>
      <c r="KVT1159" s="7"/>
      <c r="KVU1159" s="7"/>
      <c r="KVV1159" s="7"/>
      <c r="KVW1159" s="7"/>
      <c r="KVX1159" s="7"/>
      <c r="KVY1159" s="7"/>
      <c r="KVZ1159" s="7"/>
      <c r="KWA1159" s="7"/>
      <c r="KWB1159" s="7"/>
      <c r="KWC1159" s="7"/>
      <c r="KWD1159" s="7"/>
      <c r="KWE1159" s="7"/>
      <c r="KWF1159" s="7"/>
      <c r="KWG1159" s="7"/>
      <c r="KWH1159" s="7"/>
      <c r="KWI1159" s="7"/>
      <c r="KWJ1159" s="7"/>
      <c r="KWK1159" s="7"/>
      <c r="KWL1159" s="7"/>
      <c r="KWM1159" s="7"/>
      <c r="KWN1159" s="7"/>
      <c r="KWO1159" s="7"/>
      <c r="KWP1159" s="7"/>
      <c r="KWQ1159" s="7"/>
      <c r="KWR1159" s="7"/>
      <c r="KWS1159" s="7"/>
      <c r="KWT1159" s="7"/>
      <c r="KWU1159" s="7"/>
      <c r="KWV1159" s="7"/>
      <c r="KWW1159" s="7"/>
      <c r="KWX1159" s="7"/>
      <c r="KWY1159" s="7"/>
      <c r="KWZ1159" s="7"/>
      <c r="KXA1159" s="7"/>
      <c r="KXB1159" s="7"/>
      <c r="KXC1159" s="7"/>
      <c r="KXD1159" s="7"/>
      <c r="KXE1159" s="7"/>
      <c r="KXF1159" s="7"/>
      <c r="KXG1159" s="7"/>
      <c r="KXH1159" s="7"/>
      <c r="KXI1159" s="7"/>
      <c r="KXJ1159" s="7"/>
      <c r="KXK1159" s="7"/>
      <c r="KXL1159" s="7"/>
      <c r="KXM1159" s="7"/>
      <c r="KXN1159" s="7"/>
      <c r="KXO1159" s="7"/>
      <c r="KXP1159" s="7"/>
      <c r="KXQ1159" s="7"/>
      <c r="KXR1159" s="7"/>
      <c r="KXS1159" s="7"/>
      <c r="KXT1159" s="7"/>
      <c r="KXU1159" s="7"/>
      <c r="KXV1159" s="7"/>
      <c r="KXW1159" s="7"/>
      <c r="KXX1159" s="7"/>
      <c r="KXY1159" s="7"/>
      <c r="KXZ1159" s="7"/>
      <c r="KYA1159" s="7"/>
      <c r="KYB1159" s="7"/>
      <c r="KYC1159" s="7"/>
      <c r="KYD1159" s="7"/>
      <c r="KYE1159" s="7"/>
      <c r="KYF1159" s="7"/>
      <c r="KYG1159" s="7"/>
      <c r="KYH1159" s="7"/>
      <c r="KYI1159" s="7"/>
      <c r="KYJ1159" s="7"/>
      <c r="KYK1159" s="7"/>
      <c r="KYL1159" s="7"/>
      <c r="KYM1159" s="7"/>
      <c r="KYN1159" s="7"/>
      <c r="KYO1159" s="7"/>
      <c r="KYP1159" s="7"/>
      <c r="KYQ1159" s="7"/>
      <c r="KYR1159" s="7"/>
      <c r="KYS1159" s="7"/>
      <c r="KYT1159" s="7"/>
      <c r="KYU1159" s="7"/>
      <c r="KYV1159" s="7"/>
      <c r="KYW1159" s="7"/>
      <c r="KYX1159" s="7"/>
      <c r="KYY1159" s="7"/>
      <c r="KYZ1159" s="7"/>
      <c r="KZA1159" s="7"/>
      <c r="KZB1159" s="7"/>
      <c r="KZC1159" s="7"/>
      <c r="KZD1159" s="7"/>
      <c r="KZE1159" s="7"/>
      <c r="KZF1159" s="7"/>
      <c r="KZG1159" s="7"/>
      <c r="KZH1159" s="7"/>
      <c r="KZI1159" s="7"/>
      <c r="KZJ1159" s="7"/>
      <c r="KZK1159" s="7"/>
      <c r="KZL1159" s="7"/>
      <c r="KZM1159" s="7"/>
      <c r="KZN1159" s="7"/>
      <c r="KZO1159" s="7"/>
      <c r="KZP1159" s="7"/>
      <c r="KZQ1159" s="7"/>
      <c r="KZR1159" s="7"/>
      <c r="KZS1159" s="7"/>
      <c r="KZT1159" s="7"/>
      <c r="KZU1159" s="7"/>
      <c r="KZV1159" s="7"/>
      <c r="KZW1159" s="7"/>
      <c r="KZX1159" s="7"/>
      <c r="KZY1159" s="7"/>
      <c r="KZZ1159" s="7"/>
      <c r="LAA1159" s="7"/>
      <c r="LAB1159" s="7"/>
      <c r="LAC1159" s="7"/>
      <c r="LAD1159" s="7"/>
      <c r="LAE1159" s="7"/>
      <c r="LAF1159" s="7"/>
      <c r="LAG1159" s="7"/>
      <c r="LAH1159" s="7"/>
      <c r="LAI1159" s="7"/>
      <c r="LAJ1159" s="7"/>
      <c r="LAK1159" s="7"/>
      <c r="LAL1159" s="7"/>
      <c r="LAM1159" s="7"/>
      <c r="LAN1159" s="7"/>
      <c r="LAO1159" s="7"/>
      <c r="LAP1159" s="7"/>
      <c r="LAQ1159" s="7"/>
      <c r="LAR1159" s="7"/>
      <c r="LAS1159" s="7"/>
      <c r="LAT1159" s="7"/>
      <c r="LAU1159" s="7"/>
      <c r="LAV1159" s="7"/>
      <c r="LAW1159" s="7"/>
      <c r="LAX1159" s="7"/>
      <c r="LAY1159" s="7"/>
      <c r="LAZ1159" s="7"/>
      <c r="LBA1159" s="7"/>
      <c r="LBB1159" s="7"/>
      <c r="LBC1159" s="7"/>
      <c r="LBD1159" s="7"/>
      <c r="LBE1159" s="7"/>
      <c r="LBF1159" s="7"/>
      <c r="LBG1159" s="7"/>
      <c r="LBH1159" s="7"/>
      <c r="LBI1159" s="7"/>
      <c r="LBJ1159" s="7"/>
      <c r="LBK1159" s="7"/>
      <c r="LBL1159" s="7"/>
      <c r="LBM1159" s="7"/>
      <c r="LBN1159" s="7"/>
      <c r="LBO1159" s="7"/>
      <c r="LBP1159" s="7"/>
      <c r="LBQ1159" s="7"/>
      <c r="LBR1159" s="7"/>
      <c r="LBS1159" s="7"/>
      <c r="LBT1159" s="7"/>
      <c r="LBU1159" s="7"/>
      <c r="LBV1159" s="7"/>
      <c r="LBW1159" s="7"/>
      <c r="LBX1159" s="7"/>
      <c r="LBY1159" s="7"/>
      <c r="LBZ1159" s="7"/>
      <c r="LCA1159" s="7"/>
      <c r="LCB1159" s="7"/>
      <c r="LCC1159" s="7"/>
      <c r="LCD1159" s="7"/>
      <c r="LCE1159" s="7"/>
      <c r="LCF1159" s="7"/>
      <c r="LCG1159" s="7"/>
      <c r="LCH1159" s="7"/>
      <c r="LCI1159" s="7"/>
      <c r="LCJ1159" s="7"/>
      <c r="LCK1159" s="7"/>
      <c r="LCL1159" s="7"/>
      <c r="LCM1159" s="7"/>
      <c r="LCN1159" s="7"/>
      <c r="LCO1159" s="7"/>
      <c r="LCP1159" s="7"/>
      <c r="LCQ1159" s="7"/>
      <c r="LCR1159" s="7"/>
      <c r="LCS1159" s="7"/>
      <c r="LCT1159" s="7"/>
      <c r="LCU1159" s="7"/>
      <c r="LCV1159" s="7"/>
      <c r="LCW1159" s="7"/>
      <c r="LCX1159" s="7"/>
      <c r="LCY1159" s="7"/>
      <c r="LCZ1159" s="7"/>
      <c r="LDA1159" s="7"/>
      <c r="LDB1159" s="7"/>
      <c r="LDC1159" s="7"/>
      <c r="LDD1159" s="7"/>
      <c r="LDE1159" s="7"/>
      <c r="LDF1159" s="7"/>
      <c r="LDG1159" s="7"/>
      <c r="LDH1159" s="7"/>
      <c r="LDI1159" s="7"/>
      <c r="LDJ1159" s="7"/>
      <c r="LDK1159" s="7"/>
      <c r="LDL1159" s="7"/>
      <c r="LDM1159" s="7"/>
      <c r="LDN1159" s="7"/>
      <c r="LDO1159" s="7"/>
      <c r="LDP1159" s="7"/>
      <c r="LDQ1159" s="7"/>
      <c r="LDR1159" s="7"/>
      <c r="LDS1159" s="7"/>
      <c r="LDT1159" s="7"/>
      <c r="LDU1159" s="7"/>
      <c r="LDV1159" s="7"/>
      <c r="LDW1159" s="7"/>
      <c r="LDX1159" s="7"/>
      <c r="LDY1159" s="7"/>
      <c r="LDZ1159" s="7"/>
      <c r="LEA1159" s="7"/>
      <c r="LEB1159" s="7"/>
      <c r="LEC1159" s="7"/>
      <c r="LED1159" s="7"/>
      <c r="LEE1159" s="7"/>
      <c r="LEF1159" s="7"/>
      <c r="LEG1159" s="7"/>
      <c r="LEH1159" s="7"/>
      <c r="LEI1159" s="7"/>
      <c r="LEJ1159" s="7"/>
      <c r="LEK1159" s="7"/>
      <c r="LEL1159" s="7"/>
      <c r="LEM1159" s="7"/>
      <c r="LEN1159" s="7"/>
      <c r="LEO1159" s="7"/>
      <c r="LEP1159" s="7"/>
      <c r="LEQ1159" s="7"/>
      <c r="LER1159" s="7"/>
      <c r="LES1159" s="7"/>
      <c r="LET1159" s="7"/>
      <c r="LEU1159" s="7"/>
      <c r="LEV1159" s="7"/>
      <c r="LEW1159" s="7"/>
      <c r="LEX1159" s="7"/>
      <c r="LEY1159" s="7"/>
      <c r="LEZ1159" s="7"/>
      <c r="LFA1159" s="7"/>
      <c r="LFB1159" s="7"/>
      <c r="LFC1159" s="7"/>
      <c r="LFD1159" s="7"/>
      <c r="LFE1159" s="7"/>
      <c r="LFF1159" s="7"/>
      <c r="LFG1159" s="7"/>
      <c r="LFH1159" s="7"/>
      <c r="LFI1159" s="7"/>
      <c r="LFJ1159" s="7"/>
      <c r="LFK1159" s="7"/>
      <c r="LFL1159" s="7"/>
      <c r="LFM1159" s="7"/>
      <c r="LFN1159" s="7"/>
      <c r="LFO1159" s="7"/>
      <c r="LFP1159" s="7"/>
      <c r="LFQ1159" s="7"/>
      <c r="LFR1159" s="7"/>
      <c r="LFS1159" s="7"/>
      <c r="LFT1159" s="7"/>
      <c r="LFU1159" s="7"/>
      <c r="LFV1159" s="7"/>
      <c r="LFW1159" s="7"/>
      <c r="LFX1159" s="7"/>
      <c r="LFY1159" s="7"/>
      <c r="LFZ1159" s="7"/>
      <c r="LGA1159" s="7"/>
      <c r="LGB1159" s="7"/>
      <c r="LGC1159" s="7"/>
      <c r="LGD1159" s="7"/>
      <c r="LGE1159" s="7"/>
      <c r="LGF1159" s="7"/>
      <c r="LGG1159" s="7"/>
      <c r="LGH1159" s="7"/>
      <c r="LGI1159" s="7"/>
      <c r="LGJ1159" s="7"/>
      <c r="LGK1159" s="7"/>
      <c r="LGL1159" s="7"/>
      <c r="LGM1159" s="7"/>
      <c r="LGN1159" s="7"/>
      <c r="LGO1159" s="7"/>
      <c r="LGP1159" s="7"/>
      <c r="LGQ1159" s="7"/>
      <c r="LGR1159" s="7"/>
      <c r="LGS1159" s="7"/>
      <c r="LGT1159" s="7"/>
      <c r="LGU1159" s="7"/>
      <c r="LGV1159" s="7"/>
      <c r="LGW1159" s="7"/>
      <c r="LGX1159" s="7"/>
      <c r="LGY1159" s="7"/>
      <c r="LGZ1159" s="7"/>
      <c r="LHA1159" s="7"/>
      <c r="LHB1159" s="7"/>
      <c r="LHC1159" s="7"/>
      <c r="LHD1159" s="7"/>
      <c r="LHE1159" s="7"/>
      <c r="LHF1159" s="7"/>
      <c r="LHG1159" s="7"/>
      <c r="LHH1159" s="7"/>
      <c r="LHI1159" s="7"/>
      <c r="LHJ1159" s="7"/>
      <c r="LHK1159" s="7"/>
      <c r="LHL1159" s="7"/>
      <c r="LHM1159" s="7"/>
      <c r="LHN1159" s="7"/>
      <c r="LHO1159" s="7"/>
      <c r="LHP1159" s="7"/>
      <c r="LHQ1159" s="7"/>
      <c r="LHR1159" s="7"/>
      <c r="LHS1159" s="7"/>
      <c r="LHT1159" s="7"/>
      <c r="LHU1159" s="7"/>
      <c r="LHV1159" s="7"/>
      <c r="LHW1159" s="7"/>
      <c r="LHX1159" s="7"/>
      <c r="LHY1159" s="7"/>
      <c r="LHZ1159" s="7"/>
      <c r="LIA1159" s="7"/>
      <c r="LIB1159" s="7"/>
      <c r="LIC1159" s="7"/>
      <c r="LID1159" s="7"/>
      <c r="LIE1159" s="7"/>
      <c r="LIF1159" s="7"/>
      <c r="LIG1159" s="7"/>
      <c r="LIH1159" s="7"/>
      <c r="LII1159" s="7"/>
      <c r="LIJ1159" s="7"/>
      <c r="LIK1159" s="7"/>
      <c r="LIL1159" s="7"/>
      <c r="LIM1159" s="7"/>
      <c r="LIN1159" s="7"/>
      <c r="LIO1159" s="7"/>
      <c r="LIP1159" s="7"/>
      <c r="LIQ1159" s="7"/>
      <c r="LIR1159" s="7"/>
      <c r="LIS1159" s="7"/>
      <c r="LIT1159" s="7"/>
      <c r="LIU1159" s="7"/>
      <c r="LIV1159" s="7"/>
      <c r="LIW1159" s="7"/>
      <c r="LIX1159" s="7"/>
      <c r="LIY1159" s="7"/>
      <c r="LIZ1159" s="7"/>
      <c r="LJA1159" s="7"/>
      <c r="LJB1159" s="7"/>
      <c r="LJC1159" s="7"/>
      <c r="LJD1159" s="7"/>
      <c r="LJE1159" s="7"/>
      <c r="LJF1159" s="7"/>
      <c r="LJG1159" s="7"/>
      <c r="LJH1159" s="7"/>
      <c r="LJI1159" s="7"/>
      <c r="LJJ1159" s="7"/>
      <c r="LJK1159" s="7"/>
      <c r="LJL1159" s="7"/>
      <c r="LJM1159" s="7"/>
      <c r="LJN1159" s="7"/>
      <c r="LJO1159" s="7"/>
      <c r="LJP1159" s="7"/>
      <c r="LJQ1159" s="7"/>
      <c r="LJR1159" s="7"/>
      <c r="LJS1159" s="7"/>
      <c r="LJT1159" s="7"/>
      <c r="LJU1159" s="7"/>
      <c r="LJV1159" s="7"/>
      <c r="LJW1159" s="7"/>
      <c r="LJX1159" s="7"/>
      <c r="LJY1159" s="7"/>
      <c r="LJZ1159" s="7"/>
      <c r="LKA1159" s="7"/>
      <c r="LKB1159" s="7"/>
      <c r="LKC1159" s="7"/>
      <c r="LKD1159" s="7"/>
      <c r="LKE1159" s="7"/>
      <c r="LKF1159" s="7"/>
      <c r="LKG1159" s="7"/>
      <c r="LKH1159" s="7"/>
      <c r="LKI1159" s="7"/>
      <c r="LKJ1159" s="7"/>
      <c r="LKK1159" s="7"/>
      <c r="LKL1159" s="7"/>
      <c r="LKM1159" s="7"/>
      <c r="LKN1159" s="7"/>
      <c r="LKO1159" s="7"/>
      <c r="LKP1159" s="7"/>
      <c r="LKQ1159" s="7"/>
      <c r="LKR1159" s="7"/>
      <c r="LKS1159" s="7"/>
      <c r="LKT1159" s="7"/>
      <c r="LKU1159" s="7"/>
      <c r="LKV1159" s="7"/>
      <c r="LKW1159" s="7"/>
      <c r="LKX1159" s="7"/>
      <c r="LKY1159" s="7"/>
      <c r="LKZ1159" s="7"/>
      <c r="LLA1159" s="7"/>
      <c r="LLB1159" s="7"/>
      <c r="LLC1159" s="7"/>
      <c r="LLD1159" s="7"/>
      <c r="LLE1159" s="7"/>
      <c r="LLF1159" s="7"/>
      <c r="LLG1159" s="7"/>
      <c r="LLH1159" s="7"/>
      <c r="LLI1159" s="7"/>
      <c r="LLJ1159" s="7"/>
      <c r="LLK1159" s="7"/>
      <c r="LLL1159" s="7"/>
      <c r="LLM1159" s="7"/>
      <c r="LLN1159" s="7"/>
      <c r="LLO1159" s="7"/>
      <c r="LLP1159" s="7"/>
      <c r="LLQ1159" s="7"/>
      <c r="LLR1159" s="7"/>
      <c r="LLS1159" s="7"/>
      <c r="LLT1159" s="7"/>
      <c r="LLU1159" s="7"/>
      <c r="LLV1159" s="7"/>
      <c r="LLW1159" s="7"/>
      <c r="LLX1159" s="7"/>
      <c r="LLY1159" s="7"/>
      <c r="LLZ1159" s="7"/>
      <c r="LMA1159" s="7"/>
      <c r="LMB1159" s="7"/>
      <c r="LMC1159" s="7"/>
      <c r="LMD1159" s="7"/>
      <c r="LME1159" s="7"/>
      <c r="LMF1159" s="7"/>
      <c r="LMG1159" s="7"/>
      <c r="LMH1159" s="7"/>
      <c r="LMI1159" s="7"/>
      <c r="LMJ1159" s="7"/>
      <c r="LMK1159" s="7"/>
      <c r="LML1159" s="7"/>
      <c r="LMM1159" s="7"/>
      <c r="LMN1159" s="7"/>
      <c r="LMO1159" s="7"/>
      <c r="LMP1159" s="7"/>
      <c r="LMQ1159" s="7"/>
      <c r="LMR1159" s="7"/>
      <c r="LMS1159" s="7"/>
      <c r="LMT1159" s="7"/>
      <c r="LMU1159" s="7"/>
      <c r="LMV1159" s="7"/>
      <c r="LMW1159" s="7"/>
      <c r="LMX1159" s="7"/>
      <c r="LMY1159" s="7"/>
      <c r="LMZ1159" s="7"/>
      <c r="LNA1159" s="7"/>
      <c r="LNB1159" s="7"/>
      <c r="LNC1159" s="7"/>
      <c r="LND1159" s="7"/>
      <c r="LNE1159" s="7"/>
      <c r="LNF1159" s="7"/>
      <c r="LNG1159" s="7"/>
      <c r="LNH1159" s="7"/>
      <c r="LNI1159" s="7"/>
      <c r="LNJ1159" s="7"/>
      <c r="LNK1159" s="7"/>
      <c r="LNL1159" s="7"/>
      <c r="LNM1159" s="7"/>
      <c r="LNN1159" s="7"/>
      <c r="LNO1159" s="7"/>
      <c r="LNP1159" s="7"/>
      <c r="LNQ1159" s="7"/>
      <c r="LNR1159" s="7"/>
      <c r="LNS1159" s="7"/>
      <c r="LNT1159" s="7"/>
      <c r="LNU1159" s="7"/>
      <c r="LNV1159" s="7"/>
      <c r="LNW1159" s="7"/>
      <c r="LNX1159" s="7"/>
      <c r="LNY1159" s="7"/>
      <c r="LNZ1159" s="7"/>
      <c r="LOA1159" s="7"/>
      <c r="LOB1159" s="7"/>
      <c r="LOC1159" s="7"/>
      <c r="LOD1159" s="7"/>
      <c r="LOE1159" s="7"/>
      <c r="LOF1159" s="7"/>
      <c r="LOG1159" s="7"/>
      <c r="LOH1159" s="7"/>
      <c r="LOI1159" s="7"/>
      <c r="LOJ1159" s="7"/>
      <c r="LOK1159" s="7"/>
      <c r="LOL1159" s="7"/>
      <c r="LOM1159" s="7"/>
      <c r="LON1159" s="7"/>
      <c r="LOO1159" s="7"/>
      <c r="LOP1159" s="7"/>
      <c r="LOQ1159" s="7"/>
      <c r="LOR1159" s="7"/>
      <c r="LOS1159" s="7"/>
      <c r="LOT1159" s="7"/>
      <c r="LOU1159" s="7"/>
      <c r="LOV1159" s="7"/>
      <c r="LOW1159" s="7"/>
      <c r="LOX1159" s="7"/>
      <c r="LOY1159" s="7"/>
      <c r="LOZ1159" s="7"/>
      <c r="LPA1159" s="7"/>
      <c r="LPB1159" s="7"/>
      <c r="LPC1159" s="7"/>
      <c r="LPD1159" s="7"/>
      <c r="LPE1159" s="7"/>
      <c r="LPF1159" s="7"/>
      <c r="LPG1159" s="7"/>
      <c r="LPH1159" s="7"/>
      <c r="LPI1159" s="7"/>
      <c r="LPJ1159" s="7"/>
      <c r="LPK1159" s="7"/>
      <c r="LPL1159" s="7"/>
      <c r="LPM1159" s="7"/>
      <c r="LPN1159" s="7"/>
      <c r="LPO1159" s="7"/>
      <c r="LPP1159" s="7"/>
      <c r="LPQ1159" s="7"/>
      <c r="LPR1159" s="7"/>
      <c r="LPS1159" s="7"/>
      <c r="LPT1159" s="7"/>
      <c r="LPU1159" s="7"/>
      <c r="LPV1159" s="7"/>
      <c r="LPW1159" s="7"/>
      <c r="LPX1159" s="7"/>
      <c r="LPY1159" s="7"/>
      <c r="LPZ1159" s="7"/>
      <c r="LQA1159" s="7"/>
      <c r="LQB1159" s="7"/>
      <c r="LQC1159" s="7"/>
      <c r="LQD1159" s="7"/>
      <c r="LQE1159" s="7"/>
      <c r="LQF1159" s="7"/>
      <c r="LQG1159" s="7"/>
      <c r="LQH1159" s="7"/>
      <c r="LQI1159" s="7"/>
      <c r="LQJ1159" s="7"/>
      <c r="LQK1159" s="7"/>
      <c r="LQL1159" s="7"/>
      <c r="LQM1159" s="7"/>
      <c r="LQN1159" s="7"/>
      <c r="LQO1159" s="7"/>
      <c r="LQP1159" s="7"/>
      <c r="LQQ1159" s="7"/>
      <c r="LQR1159" s="7"/>
      <c r="LQS1159" s="7"/>
      <c r="LQT1159" s="7"/>
      <c r="LQU1159" s="7"/>
      <c r="LQV1159" s="7"/>
      <c r="LQW1159" s="7"/>
      <c r="LQX1159" s="7"/>
      <c r="LQY1159" s="7"/>
      <c r="LQZ1159" s="7"/>
      <c r="LRA1159" s="7"/>
      <c r="LRB1159" s="7"/>
      <c r="LRC1159" s="7"/>
      <c r="LRD1159" s="7"/>
      <c r="LRE1159" s="7"/>
      <c r="LRF1159" s="7"/>
      <c r="LRG1159" s="7"/>
      <c r="LRH1159" s="7"/>
      <c r="LRI1159" s="7"/>
      <c r="LRJ1159" s="7"/>
      <c r="LRK1159" s="7"/>
      <c r="LRL1159" s="7"/>
      <c r="LRM1159" s="7"/>
      <c r="LRN1159" s="7"/>
      <c r="LRO1159" s="7"/>
      <c r="LRP1159" s="7"/>
      <c r="LRQ1159" s="7"/>
      <c r="LRR1159" s="7"/>
      <c r="LRS1159" s="7"/>
      <c r="LRT1159" s="7"/>
      <c r="LRU1159" s="7"/>
      <c r="LRV1159" s="7"/>
      <c r="LRW1159" s="7"/>
      <c r="LRX1159" s="7"/>
      <c r="LRY1159" s="7"/>
      <c r="LRZ1159" s="7"/>
      <c r="LSA1159" s="7"/>
      <c r="LSB1159" s="7"/>
      <c r="LSC1159" s="7"/>
      <c r="LSD1159" s="7"/>
      <c r="LSE1159" s="7"/>
      <c r="LSF1159" s="7"/>
      <c r="LSG1159" s="7"/>
      <c r="LSH1159" s="7"/>
      <c r="LSI1159" s="7"/>
      <c r="LSJ1159" s="7"/>
      <c r="LSK1159" s="7"/>
      <c r="LSL1159" s="7"/>
      <c r="LSM1159" s="7"/>
      <c r="LSN1159" s="7"/>
      <c r="LSO1159" s="7"/>
      <c r="LSP1159" s="7"/>
      <c r="LSQ1159" s="7"/>
      <c r="LSR1159" s="7"/>
      <c r="LSS1159" s="7"/>
      <c r="LST1159" s="7"/>
      <c r="LSU1159" s="7"/>
      <c r="LSV1159" s="7"/>
      <c r="LSW1159" s="7"/>
      <c r="LSX1159" s="7"/>
      <c r="LSY1159" s="7"/>
      <c r="LSZ1159" s="7"/>
      <c r="LTA1159" s="7"/>
      <c r="LTB1159" s="7"/>
      <c r="LTC1159" s="7"/>
      <c r="LTD1159" s="7"/>
      <c r="LTE1159" s="7"/>
      <c r="LTF1159" s="7"/>
      <c r="LTG1159" s="7"/>
      <c r="LTH1159" s="7"/>
      <c r="LTI1159" s="7"/>
      <c r="LTJ1159" s="7"/>
      <c r="LTK1159" s="7"/>
      <c r="LTL1159" s="7"/>
      <c r="LTM1159" s="7"/>
      <c r="LTN1159" s="7"/>
      <c r="LTO1159" s="7"/>
      <c r="LTP1159" s="7"/>
      <c r="LTQ1159" s="7"/>
      <c r="LTR1159" s="7"/>
      <c r="LTS1159" s="7"/>
      <c r="LTT1159" s="7"/>
      <c r="LTU1159" s="7"/>
      <c r="LTV1159" s="7"/>
      <c r="LTW1159" s="7"/>
      <c r="LTX1159" s="7"/>
      <c r="LTY1159" s="7"/>
      <c r="LTZ1159" s="7"/>
      <c r="LUA1159" s="7"/>
      <c r="LUB1159" s="7"/>
      <c r="LUC1159" s="7"/>
      <c r="LUD1159" s="7"/>
      <c r="LUE1159" s="7"/>
      <c r="LUF1159" s="7"/>
      <c r="LUG1159" s="7"/>
      <c r="LUH1159" s="7"/>
      <c r="LUI1159" s="7"/>
      <c r="LUJ1159" s="7"/>
      <c r="LUK1159" s="7"/>
      <c r="LUL1159" s="7"/>
      <c r="LUM1159" s="7"/>
      <c r="LUN1159" s="7"/>
      <c r="LUO1159" s="7"/>
      <c r="LUP1159" s="7"/>
      <c r="LUQ1159" s="7"/>
      <c r="LUR1159" s="7"/>
      <c r="LUS1159" s="7"/>
      <c r="LUT1159" s="7"/>
      <c r="LUU1159" s="7"/>
      <c r="LUV1159" s="7"/>
      <c r="LUW1159" s="7"/>
      <c r="LUX1159" s="7"/>
      <c r="LUY1159" s="7"/>
      <c r="LUZ1159" s="7"/>
      <c r="LVA1159" s="7"/>
      <c r="LVB1159" s="7"/>
      <c r="LVC1159" s="7"/>
      <c r="LVD1159" s="7"/>
      <c r="LVE1159" s="7"/>
      <c r="LVF1159" s="7"/>
      <c r="LVG1159" s="7"/>
      <c r="LVH1159" s="7"/>
      <c r="LVI1159" s="7"/>
      <c r="LVJ1159" s="7"/>
      <c r="LVK1159" s="7"/>
      <c r="LVL1159" s="7"/>
      <c r="LVM1159" s="7"/>
      <c r="LVN1159" s="7"/>
      <c r="LVO1159" s="7"/>
      <c r="LVP1159" s="7"/>
      <c r="LVQ1159" s="7"/>
      <c r="LVR1159" s="7"/>
      <c r="LVS1159" s="7"/>
      <c r="LVT1159" s="7"/>
      <c r="LVU1159" s="7"/>
      <c r="LVV1159" s="7"/>
      <c r="LVW1159" s="7"/>
      <c r="LVX1159" s="7"/>
      <c r="LVY1159" s="7"/>
      <c r="LVZ1159" s="7"/>
      <c r="LWA1159" s="7"/>
      <c r="LWB1159" s="7"/>
      <c r="LWC1159" s="7"/>
      <c r="LWD1159" s="7"/>
      <c r="LWE1159" s="7"/>
      <c r="LWF1159" s="7"/>
      <c r="LWG1159" s="7"/>
      <c r="LWH1159" s="7"/>
      <c r="LWI1159" s="7"/>
      <c r="LWJ1159" s="7"/>
      <c r="LWK1159" s="7"/>
      <c r="LWL1159" s="7"/>
      <c r="LWM1159" s="7"/>
      <c r="LWN1159" s="7"/>
      <c r="LWO1159" s="7"/>
      <c r="LWP1159" s="7"/>
      <c r="LWQ1159" s="7"/>
      <c r="LWR1159" s="7"/>
      <c r="LWS1159" s="7"/>
      <c r="LWT1159" s="7"/>
      <c r="LWU1159" s="7"/>
      <c r="LWV1159" s="7"/>
      <c r="LWW1159" s="7"/>
      <c r="LWX1159" s="7"/>
      <c r="LWY1159" s="7"/>
      <c r="LWZ1159" s="7"/>
      <c r="LXA1159" s="7"/>
      <c r="LXB1159" s="7"/>
      <c r="LXC1159" s="7"/>
      <c r="LXD1159" s="7"/>
      <c r="LXE1159" s="7"/>
      <c r="LXF1159" s="7"/>
      <c r="LXG1159" s="7"/>
      <c r="LXH1159" s="7"/>
      <c r="LXI1159" s="7"/>
      <c r="LXJ1159" s="7"/>
      <c r="LXK1159" s="7"/>
      <c r="LXL1159" s="7"/>
      <c r="LXM1159" s="7"/>
      <c r="LXN1159" s="7"/>
      <c r="LXO1159" s="7"/>
      <c r="LXP1159" s="7"/>
      <c r="LXQ1159" s="7"/>
      <c r="LXR1159" s="7"/>
      <c r="LXS1159" s="7"/>
      <c r="LXT1159" s="7"/>
      <c r="LXU1159" s="7"/>
      <c r="LXV1159" s="7"/>
      <c r="LXW1159" s="7"/>
      <c r="LXX1159" s="7"/>
      <c r="LXY1159" s="7"/>
      <c r="LXZ1159" s="7"/>
      <c r="LYA1159" s="7"/>
      <c r="LYB1159" s="7"/>
      <c r="LYC1159" s="7"/>
      <c r="LYD1159" s="7"/>
      <c r="LYE1159" s="7"/>
      <c r="LYF1159" s="7"/>
      <c r="LYG1159" s="7"/>
      <c r="LYH1159" s="7"/>
      <c r="LYI1159" s="7"/>
      <c r="LYJ1159" s="7"/>
      <c r="LYK1159" s="7"/>
      <c r="LYL1159" s="7"/>
      <c r="LYM1159" s="7"/>
      <c r="LYN1159" s="7"/>
      <c r="LYO1159" s="7"/>
      <c r="LYP1159" s="7"/>
      <c r="LYQ1159" s="7"/>
      <c r="LYR1159" s="7"/>
      <c r="LYS1159" s="7"/>
      <c r="LYT1159" s="7"/>
      <c r="LYU1159" s="7"/>
      <c r="LYV1159" s="7"/>
      <c r="LYW1159" s="7"/>
      <c r="LYX1159" s="7"/>
      <c r="LYY1159" s="7"/>
      <c r="LYZ1159" s="7"/>
      <c r="LZA1159" s="7"/>
      <c r="LZB1159" s="7"/>
      <c r="LZC1159" s="7"/>
      <c r="LZD1159" s="7"/>
      <c r="LZE1159" s="7"/>
      <c r="LZF1159" s="7"/>
      <c r="LZG1159" s="7"/>
      <c r="LZH1159" s="7"/>
      <c r="LZI1159" s="7"/>
      <c r="LZJ1159" s="7"/>
      <c r="LZK1159" s="7"/>
      <c r="LZL1159" s="7"/>
      <c r="LZM1159" s="7"/>
      <c r="LZN1159" s="7"/>
      <c r="LZO1159" s="7"/>
      <c r="LZP1159" s="7"/>
      <c r="LZQ1159" s="7"/>
      <c r="LZR1159" s="7"/>
      <c r="LZS1159" s="7"/>
      <c r="LZT1159" s="7"/>
      <c r="LZU1159" s="7"/>
      <c r="LZV1159" s="7"/>
      <c r="LZW1159" s="7"/>
      <c r="LZX1159" s="7"/>
      <c r="LZY1159" s="7"/>
      <c r="LZZ1159" s="7"/>
      <c r="MAA1159" s="7"/>
      <c r="MAB1159" s="7"/>
      <c r="MAC1159" s="7"/>
      <c r="MAD1159" s="7"/>
      <c r="MAE1159" s="7"/>
      <c r="MAF1159" s="7"/>
      <c r="MAG1159" s="7"/>
      <c r="MAH1159" s="7"/>
      <c r="MAI1159" s="7"/>
      <c r="MAJ1159" s="7"/>
      <c r="MAK1159" s="7"/>
      <c r="MAL1159" s="7"/>
      <c r="MAM1159" s="7"/>
      <c r="MAN1159" s="7"/>
      <c r="MAO1159" s="7"/>
      <c r="MAP1159" s="7"/>
      <c r="MAQ1159" s="7"/>
      <c r="MAR1159" s="7"/>
      <c r="MAS1159" s="7"/>
      <c r="MAT1159" s="7"/>
      <c r="MAU1159" s="7"/>
      <c r="MAV1159" s="7"/>
      <c r="MAW1159" s="7"/>
      <c r="MAX1159" s="7"/>
      <c r="MAY1159" s="7"/>
      <c r="MAZ1159" s="7"/>
      <c r="MBA1159" s="7"/>
      <c r="MBB1159" s="7"/>
      <c r="MBC1159" s="7"/>
      <c r="MBD1159" s="7"/>
      <c r="MBE1159" s="7"/>
      <c r="MBF1159" s="7"/>
      <c r="MBG1159" s="7"/>
      <c r="MBH1159" s="7"/>
      <c r="MBI1159" s="7"/>
      <c r="MBJ1159" s="7"/>
      <c r="MBK1159" s="7"/>
      <c r="MBL1159" s="7"/>
      <c r="MBM1159" s="7"/>
      <c r="MBN1159" s="7"/>
      <c r="MBO1159" s="7"/>
      <c r="MBP1159" s="7"/>
      <c r="MBQ1159" s="7"/>
      <c r="MBR1159" s="7"/>
      <c r="MBS1159" s="7"/>
      <c r="MBT1159" s="7"/>
      <c r="MBU1159" s="7"/>
      <c r="MBV1159" s="7"/>
      <c r="MBW1159" s="7"/>
      <c r="MBX1159" s="7"/>
      <c r="MBY1159" s="7"/>
      <c r="MBZ1159" s="7"/>
      <c r="MCA1159" s="7"/>
      <c r="MCB1159" s="7"/>
      <c r="MCC1159" s="7"/>
      <c r="MCD1159" s="7"/>
      <c r="MCE1159" s="7"/>
      <c r="MCF1159" s="7"/>
      <c r="MCG1159" s="7"/>
      <c r="MCH1159" s="7"/>
      <c r="MCI1159" s="7"/>
      <c r="MCJ1159" s="7"/>
      <c r="MCK1159" s="7"/>
      <c r="MCL1159" s="7"/>
      <c r="MCM1159" s="7"/>
      <c r="MCN1159" s="7"/>
      <c r="MCO1159" s="7"/>
      <c r="MCP1159" s="7"/>
      <c r="MCQ1159" s="7"/>
      <c r="MCR1159" s="7"/>
      <c r="MCS1159" s="7"/>
      <c r="MCT1159" s="7"/>
      <c r="MCU1159" s="7"/>
      <c r="MCV1159" s="7"/>
      <c r="MCW1159" s="7"/>
      <c r="MCX1159" s="7"/>
      <c r="MCY1159" s="7"/>
      <c r="MCZ1159" s="7"/>
      <c r="MDA1159" s="7"/>
      <c r="MDB1159" s="7"/>
      <c r="MDC1159" s="7"/>
      <c r="MDD1159" s="7"/>
      <c r="MDE1159" s="7"/>
      <c r="MDF1159" s="7"/>
      <c r="MDG1159" s="7"/>
      <c r="MDH1159" s="7"/>
      <c r="MDI1159" s="7"/>
      <c r="MDJ1159" s="7"/>
      <c r="MDK1159" s="7"/>
      <c r="MDL1159" s="7"/>
      <c r="MDM1159" s="7"/>
      <c r="MDN1159" s="7"/>
      <c r="MDO1159" s="7"/>
      <c r="MDP1159" s="7"/>
      <c r="MDQ1159" s="7"/>
      <c r="MDR1159" s="7"/>
      <c r="MDS1159" s="7"/>
      <c r="MDT1159" s="7"/>
      <c r="MDU1159" s="7"/>
      <c r="MDV1159" s="7"/>
      <c r="MDW1159" s="7"/>
      <c r="MDX1159" s="7"/>
      <c r="MDY1159" s="7"/>
      <c r="MDZ1159" s="7"/>
      <c r="MEA1159" s="7"/>
      <c r="MEB1159" s="7"/>
      <c r="MEC1159" s="7"/>
      <c r="MED1159" s="7"/>
      <c r="MEE1159" s="7"/>
      <c r="MEF1159" s="7"/>
      <c r="MEG1159" s="7"/>
      <c r="MEH1159" s="7"/>
      <c r="MEI1159" s="7"/>
      <c r="MEJ1159" s="7"/>
      <c r="MEK1159" s="7"/>
      <c r="MEL1159" s="7"/>
      <c r="MEM1159" s="7"/>
      <c r="MEN1159" s="7"/>
      <c r="MEO1159" s="7"/>
      <c r="MEP1159" s="7"/>
      <c r="MEQ1159" s="7"/>
      <c r="MER1159" s="7"/>
      <c r="MES1159" s="7"/>
      <c r="MET1159" s="7"/>
      <c r="MEU1159" s="7"/>
      <c r="MEV1159" s="7"/>
      <c r="MEW1159" s="7"/>
      <c r="MEX1159" s="7"/>
      <c r="MEY1159" s="7"/>
      <c r="MEZ1159" s="7"/>
      <c r="MFA1159" s="7"/>
      <c r="MFB1159" s="7"/>
      <c r="MFC1159" s="7"/>
      <c r="MFD1159" s="7"/>
      <c r="MFE1159" s="7"/>
      <c r="MFF1159" s="7"/>
      <c r="MFG1159" s="7"/>
      <c r="MFH1159" s="7"/>
      <c r="MFI1159" s="7"/>
      <c r="MFJ1159" s="7"/>
      <c r="MFK1159" s="7"/>
      <c r="MFL1159" s="7"/>
      <c r="MFM1159" s="7"/>
      <c r="MFN1159" s="7"/>
      <c r="MFO1159" s="7"/>
      <c r="MFP1159" s="7"/>
      <c r="MFQ1159" s="7"/>
      <c r="MFR1159" s="7"/>
      <c r="MFS1159" s="7"/>
      <c r="MFT1159" s="7"/>
      <c r="MFU1159" s="7"/>
      <c r="MFV1159" s="7"/>
      <c r="MFW1159" s="7"/>
      <c r="MFX1159" s="7"/>
      <c r="MFY1159" s="7"/>
      <c r="MFZ1159" s="7"/>
      <c r="MGA1159" s="7"/>
      <c r="MGB1159" s="7"/>
      <c r="MGC1159" s="7"/>
      <c r="MGD1159" s="7"/>
      <c r="MGE1159" s="7"/>
      <c r="MGF1159" s="7"/>
      <c r="MGG1159" s="7"/>
      <c r="MGH1159" s="7"/>
      <c r="MGI1159" s="7"/>
      <c r="MGJ1159" s="7"/>
      <c r="MGK1159" s="7"/>
      <c r="MGL1159" s="7"/>
      <c r="MGM1159" s="7"/>
      <c r="MGN1159" s="7"/>
      <c r="MGO1159" s="7"/>
      <c r="MGP1159" s="7"/>
      <c r="MGQ1159" s="7"/>
      <c r="MGR1159" s="7"/>
      <c r="MGS1159" s="7"/>
      <c r="MGT1159" s="7"/>
      <c r="MGU1159" s="7"/>
      <c r="MGV1159" s="7"/>
      <c r="MGW1159" s="7"/>
      <c r="MGX1159" s="7"/>
      <c r="MGY1159" s="7"/>
      <c r="MGZ1159" s="7"/>
      <c r="MHA1159" s="7"/>
      <c r="MHB1159" s="7"/>
      <c r="MHC1159" s="7"/>
      <c r="MHD1159" s="7"/>
      <c r="MHE1159" s="7"/>
      <c r="MHF1159" s="7"/>
      <c r="MHG1159" s="7"/>
      <c r="MHH1159" s="7"/>
      <c r="MHI1159" s="7"/>
      <c r="MHJ1159" s="7"/>
      <c r="MHK1159" s="7"/>
      <c r="MHL1159" s="7"/>
      <c r="MHM1159" s="7"/>
      <c r="MHN1159" s="7"/>
      <c r="MHO1159" s="7"/>
      <c r="MHP1159" s="7"/>
      <c r="MHQ1159" s="7"/>
      <c r="MHR1159" s="7"/>
      <c r="MHS1159" s="7"/>
      <c r="MHT1159" s="7"/>
      <c r="MHU1159" s="7"/>
      <c r="MHV1159" s="7"/>
      <c r="MHW1159" s="7"/>
      <c r="MHX1159" s="7"/>
      <c r="MHY1159" s="7"/>
      <c r="MHZ1159" s="7"/>
      <c r="MIA1159" s="7"/>
      <c r="MIB1159" s="7"/>
      <c r="MIC1159" s="7"/>
      <c r="MID1159" s="7"/>
      <c r="MIE1159" s="7"/>
      <c r="MIF1159" s="7"/>
      <c r="MIG1159" s="7"/>
      <c r="MIH1159" s="7"/>
      <c r="MII1159" s="7"/>
      <c r="MIJ1159" s="7"/>
      <c r="MIK1159" s="7"/>
      <c r="MIL1159" s="7"/>
      <c r="MIM1159" s="7"/>
      <c r="MIN1159" s="7"/>
      <c r="MIO1159" s="7"/>
      <c r="MIP1159" s="7"/>
      <c r="MIQ1159" s="7"/>
      <c r="MIR1159" s="7"/>
      <c r="MIS1159" s="7"/>
      <c r="MIT1159" s="7"/>
      <c r="MIU1159" s="7"/>
      <c r="MIV1159" s="7"/>
      <c r="MIW1159" s="7"/>
      <c r="MIX1159" s="7"/>
      <c r="MIY1159" s="7"/>
      <c r="MIZ1159" s="7"/>
      <c r="MJA1159" s="7"/>
      <c r="MJB1159" s="7"/>
      <c r="MJC1159" s="7"/>
      <c r="MJD1159" s="7"/>
      <c r="MJE1159" s="7"/>
      <c r="MJF1159" s="7"/>
      <c r="MJG1159" s="7"/>
      <c r="MJH1159" s="7"/>
      <c r="MJI1159" s="7"/>
      <c r="MJJ1159" s="7"/>
      <c r="MJK1159" s="7"/>
      <c r="MJL1159" s="7"/>
      <c r="MJM1159" s="7"/>
      <c r="MJN1159" s="7"/>
      <c r="MJO1159" s="7"/>
      <c r="MJP1159" s="7"/>
      <c r="MJQ1159" s="7"/>
      <c r="MJR1159" s="7"/>
      <c r="MJS1159" s="7"/>
      <c r="MJT1159" s="7"/>
      <c r="MJU1159" s="7"/>
      <c r="MJV1159" s="7"/>
      <c r="MJW1159" s="7"/>
      <c r="MJX1159" s="7"/>
      <c r="MJY1159" s="7"/>
      <c r="MJZ1159" s="7"/>
      <c r="MKA1159" s="7"/>
      <c r="MKB1159" s="7"/>
      <c r="MKC1159" s="7"/>
      <c r="MKD1159" s="7"/>
      <c r="MKE1159" s="7"/>
      <c r="MKF1159" s="7"/>
      <c r="MKG1159" s="7"/>
      <c r="MKH1159" s="7"/>
      <c r="MKI1159" s="7"/>
      <c r="MKJ1159" s="7"/>
      <c r="MKK1159" s="7"/>
      <c r="MKL1159" s="7"/>
      <c r="MKM1159" s="7"/>
      <c r="MKN1159" s="7"/>
      <c r="MKO1159" s="7"/>
      <c r="MKP1159" s="7"/>
      <c r="MKQ1159" s="7"/>
      <c r="MKR1159" s="7"/>
      <c r="MKS1159" s="7"/>
      <c r="MKT1159" s="7"/>
      <c r="MKU1159" s="7"/>
      <c r="MKV1159" s="7"/>
      <c r="MKW1159" s="7"/>
      <c r="MKX1159" s="7"/>
      <c r="MKY1159" s="7"/>
      <c r="MKZ1159" s="7"/>
      <c r="MLA1159" s="7"/>
      <c r="MLB1159" s="7"/>
      <c r="MLC1159" s="7"/>
      <c r="MLD1159" s="7"/>
      <c r="MLE1159" s="7"/>
      <c r="MLF1159" s="7"/>
      <c r="MLG1159" s="7"/>
      <c r="MLH1159" s="7"/>
      <c r="MLI1159" s="7"/>
      <c r="MLJ1159" s="7"/>
      <c r="MLK1159" s="7"/>
      <c r="MLL1159" s="7"/>
      <c r="MLM1159" s="7"/>
      <c r="MLN1159" s="7"/>
      <c r="MLO1159" s="7"/>
      <c r="MLP1159" s="7"/>
      <c r="MLQ1159" s="7"/>
      <c r="MLR1159" s="7"/>
      <c r="MLS1159" s="7"/>
      <c r="MLT1159" s="7"/>
      <c r="MLU1159" s="7"/>
      <c r="MLV1159" s="7"/>
      <c r="MLW1159" s="7"/>
      <c r="MLX1159" s="7"/>
      <c r="MLY1159" s="7"/>
      <c r="MLZ1159" s="7"/>
      <c r="MMA1159" s="7"/>
      <c r="MMB1159" s="7"/>
      <c r="MMC1159" s="7"/>
      <c r="MMD1159" s="7"/>
      <c r="MME1159" s="7"/>
      <c r="MMF1159" s="7"/>
      <c r="MMG1159" s="7"/>
      <c r="MMH1159" s="7"/>
      <c r="MMI1159" s="7"/>
      <c r="MMJ1159" s="7"/>
      <c r="MMK1159" s="7"/>
      <c r="MML1159" s="7"/>
      <c r="MMM1159" s="7"/>
      <c r="MMN1159" s="7"/>
      <c r="MMO1159" s="7"/>
      <c r="MMP1159" s="7"/>
      <c r="MMQ1159" s="7"/>
      <c r="MMR1159" s="7"/>
      <c r="MMS1159" s="7"/>
      <c r="MMT1159" s="7"/>
      <c r="MMU1159" s="7"/>
      <c r="MMV1159" s="7"/>
      <c r="MMW1159" s="7"/>
      <c r="MMX1159" s="7"/>
      <c r="MMY1159" s="7"/>
      <c r="MMZ1159" s="7"/>
      <c r="MNA1159" s="7"/>
      <c r="MNB1159" s="7"/>
      <c r="MNC1159" s="7"/>
      <c r="MND1159" s="7"/>
      <c r="MNE1159" s="7"/>
      <c r="MNF1159" s="7"/>
      <c r="MNG1159" s="7"/>
      <c r="MNH1159" s="7"/>
      <c r="MNI1159" s="7"/>
      <c r="MNJ1159" s="7"/>
      <c r="MNK1159" s="7"/>
      <c r="MNL1159" s="7"/>
      <c r="MNM1159" s="7"/>
      <c r="MNN1159" s="7"/>
      <c r="MNO1159" s="7"/>
      <c r="MNP1159" s="7"/>
      <c r="MNQ1159" s="7"/>
      <c r="MNR1159" s="7"/>
      <c r="MNS1159" s="7"/>
      <c r="MNT1159" s="7"/>
      <c r="MNU1159" s="7"/>
      <c r="MNV1159" s="7"/>
      <c r="MNW1159" s="7"/>
      <c r="MNX1159" s="7"/>
      <c r="MNY1159" s="7"/>
      <c r="MNZ1159" s="7"/>
      <c r="MOA1159" s="7"/>
      <c r="MOB1159" s="7"/>
      <c r="MOC1159" s="7"/>
      <c r="MOD1159" s="7"/>
      <c r="MOE1159" s="7"/>
      <c r="MOF1159" s="7"/>
      <c r="MOG1159" s="7"/>
      <c r="MOH1159" s="7"/>
      <c r="MOI1159" s="7"/>
      <c r="MOJ1159" s="7"/>
      <c r="MOK1159" s="7"/>
      <c r="MOL1159" s="7"/>
      <c r="MOM1159" s="7"/>
      <c r="MON1159" s="7"/>
      <c r="MOO1159" s="7"/>
      <c r="MOP1159" s="7"/>
      <c r="MOQ1159" s="7"/>
      <c r="MOR1159" s="7"/>
      <c r="MOS1159" s="7"/>
      <c r="MOT1159" s="7"/>
      <c r="MOU1159" s="7"/>
      <c r="MOV1159" s="7"/>
      <c r="MOW1159" s="7"/>
      <c r="MOX1159" s="7"/>
      <c r="MOY1159" s="7"/>
      <c r="MOZ1159" s="7"/>
      <c r="MPA1159" s="7"/>
      <c r="MPB1159" s="7"/>
      <c r="MPC1159" s="7"/>
      <c r="MPD1159" s="7"/>
      <c r="MPE1159" s="7"/>
      <c r="MPF1159" s="7"/>
      <c r="MPG1159" s="7"/>
      <c r="MPH1159" s="7"/>
      <c r="MPI1159" s="7"/>
      <c r="MPJ1159" s="7"/>
      <c r="MPK1159" s="7"/>
      <c r="MPL1159" s="7"/>
      <c r="MPM1159" s="7"/>
      <c r="MPN1159" s="7"/>
      <c r="MPO1159" s="7"/>
      <c r="MPP1159" s="7"/>
      <c r="MPQ1159" s="7"/>
      <c r="MPR1159" s="7"/>
      <c r="MPS1159" s="7"/>
      <c r="MPT1159" s="7"/>
      <c r="MPU1159" s="7"/>
      <c r="MPV1159" s="7"/>
      <c r="MPW1159" s="7"/>
      <c r="MPX1159" s="7"/>
      <c r="MPY1159" s="7"/>
      <c r="MPZ1159" s="7"/>
      <c r="MQA1159" s="7"/>
      <c r="MQB1159" s="7"/>
      <c r="MQC1159" s="7"/>
      <c r="MQD1159" s="7"/>
      <c r="MQE1159" s="7"/>
      <c r="MQF1159" s="7"/>
      <c r="MQG1159" s="7"/>
      <c r="MQH1159" s="7"/>
      <c r="MQI1159" s="7"/>
      <c r="MQJ1159" s="7"/>
      <c r="MQK1159" s="7"/>
      <c r="MQL1159" s="7"/>
      <c r="MQM1159" s="7"/>
      <c r="MQN1159" s="7"/>
      <c r="MQO1159" s="7"/>
      <c r="MQP1159" s="7"/>
      <c r="MQQ1159" s="7"/>
      <c r="MQR1159" s="7"/>
      <c r="MQS1159" s="7"/>
      <c r="MQT1159" s="7"/>
      <c r="MQU1159" s="7"/>
      <c r="MQV1159" s="7"/>
      <c r="MQW1159" s="7"/>
      <c r="MQX1159" s="7"/>
      <c r="MQY1159" s="7"/>
      <c r="MQZ1159" s="7"/>
      <c r="MRA1159" s="7"/>
      <c r="MRB1159" s="7"/>
      <c r="MRC1159" s="7"/>
      <c r="MRD1159" s="7"/>
      <c r="MRE1159" s="7"/>
      <c r="MRF1159" s="7"/>
      <c r="MRG1159" s="7"/>
      <c r="MRH1159" s="7"/>
      <c r="MRI1159" s="7"/>
      <c r="MRJ1159" s="7"/>
      <c r="MRK1159" s="7"/>
      <c r="MRL1159" s="7"/>
      <c r="MRM1159" s="7"/>
      <c r="MRN1159" s="7"/>
      <c r="MRO1159" s="7"/>
      <c r="MRP1159" s="7"/>
      <c r="MRQ1159" s="7"/>
      <c r="MRR1159" s="7"/>
      <c r="MRS1159" s="7"/>
      <c r="MRT1159" s="7"/>
      <c r="MRU1159" s="7"/>
      <c r="MRV1159" s="7"/>
      <c r="MRW1159" s="7"/>
      <c r="MRX1159" s="7"/>
      <c r="MRY1159" s="7"/>
      <c r="MRZ1159" s="7"/>
      <c r="MSA1159" s="7"/>
      <c r="MSB1159" s="7"/>
      <c r="MSC1159" s="7"/>
      <c r="MSD1159" s="7"/>
      <c r="MSE1159" s="7"/>
      <c r="MSF1159" s="7"/>
      <c r="MSG1159" s="7"/>
      <c r="MSH1159" s="7"/>
      <c r="MSI1159" s="7"/>
      <c r="MSJ1159" s="7"/>
      <c r="MSK1159" s="7"/>
      <c r="MSL1159" s="7"/>
      <c r="MSM1159" s="7"/>
      <c r="MSN1159" s="7"/>
      <c r="MSO1159" s="7"/>
      <c r="MSP1159" s="7"/>
      <c r="MSQ1159" s="7"/>
      <c r="MSR1159" s="7"/>
      <c r="MSS1159" s="7"/>
      <c r="MST1159" s="7"/>
      <c r="MSU1159" s="7"/>
      <c r="MSV1159" s="7"/>
      <c r="MSW1159" s="7"/>
      <c r="MSX1159" s="7"/>
      <c r="MSY1159" s="7"/>
      <c r="MSZ1159" s="7"/>
      <c r="MTA1159" s="7"/>
      <c r="MTB1159" s="7"/>
      <c r="MTC1159" s="7"/>
      <c r="MTD1159" s="7"/>
      <c r="MTE1159" s="7"/>
      <c r="MTF1159" s="7"/>
      <c r="MTG1159" s="7"/>
      <c r="MTH1159" s="7"/>
      <c r="MTI1159" s="7"/>
      <c r="MTJ1159" s="7"/>
      <c r="MTK1159" s="7"/>
      <c r="MTL1159" s="7"/>
      <c r="MTM1159" s="7"/>
      <c r="MTN1159" s="7"/>
      <c r="MTO1159" s="7"/>
      <c r="MTP1159" s="7"/>
      <c r="MTQ1159" s="7"/>
      <c r="MTR1159" s="7"/>
      <c r="MTS1159" s="7"/>
      <c r="MTT1159" s="7"/>
      <c r="MTU1159" s="7"/>
      <c r="MTV1159" s="7"/>
      <c r="MTW1159" s="7"/>
      <c r="MTX1159" s="7"/>
      <c r="MTY1159" s="7"/>
      <c r="MTZ1159" s="7"/>
      <c r="MUA1159" s="7"/>
      <c r="MUB1159" s="7"/>
      <c r="MUC1159" s="7"/>
      <c r="MUD1159" s="7"/>
      <c r="MUE1159" s="7"/>
      <c r="MUF1159" s="7"/>
      <c r="MUG1159" s="7"/>
      <c r="MUH1159" s="7"/>
      <c r="MUI1159" s="7"/>
      <c r="MUJ1159" s="7"/>
      <c r="MUK1159" s="7"/>
      <c r="MUL1159" s="7"/>
      <c r="MUM1159" s="7"/>
      <c r="MUN1159" s="7"/>
      <c r="MUO1159" s="7"/>
      <c r="MUP1159" s="7"/>
      <c r="MUQ1159" s="7"/>
      <c r="MUR1159" s="7"/>
      <c r="MUS1159" s="7"/>
      <c r="MUT1159" s="7"/>
      <c r="MUU1159" s="7"/>
      <c r="MUV1159" s="7"/>
      <c r="MUW1159" s="7"/>
      <c r="MUX1159" s="7"/>
      <c r="MUY1159" s="7"/>
      <c r="MUZ1159" s="7"/>
      <c r="MVA1159" s="7"/>
      <c r="MVB1159" s="7"/>
      <c r="MVC1159" s="7"/>
      <c r="MVD1159" s="7"/>
      <c r="MVE1159" s="7"/>
      <c r="MVF1159" s="7"/>
      <c r="MVG1159" s="7"/>
      <c r="MVH1159" s="7"/>
      <c r="MVI1159" s="7"/>
      <c r="MVJ1159" s="7"/>
      <c r="MVK1159" s="7"/>
      <c r="MVL1159" s="7"/>
      <c r="MVM1159" s="7"/>
      <c r="MVN1159" s="7"/>
      <c r="MVO1159" s="7"/>
      <c r="MVP1159" s="7"/>
      <c r="MVQ1159" s="7"/>
      <c r="MVR1159" s="7"/>
      <c r="MVS1159" s="7"/>
      <c r="MVT1159" s="7"/>
      <c r="MVU1159" s="7"/>
      <c r="MVV1159" s="7"/>
      <c r="MVW1159" s="7"/>
      <c r="MVX1159" s="7"/>
      <c r="MVY1159" s="7"/>
      <c r="MVZ1159" s="7"/>
      <c r="MWA1159" s="7"/>
      <c r="MWB1159" s="7"/>
      <c r="MWC1159" s="7"/>
      <c r="MWD1159" s="7"/>
      <c r="MWE1159" s="7"/>
      <c r="MWF1159" s="7"/>
      <c r="MWG1159" s="7"/>
      <c r="MWH1159" s="7"/>
      <c r="MWI1159" s="7"/>
      <c r="MWJ1159" s="7"/>
      <c r="MWK1159" s="7"/>
      <c r="MWL1159" s="7"/>
      <c r="MWM1159" s="7"/>
      <c r="MWN1159" s="7"/>
      <c r="MWO1159" s="7"/>
      <c r="MWP1159" s="7"/>
      <c r="MWQ1159" s="7"/>
      <c r="MWR1159" s="7"/>
      <c r="MWS1159" s="7"/>
      <c r="MWT1159" s="7"/>
      <c r="MWU1159" s="7"/>
      <c r="MWV1159" s="7"/>
      <c r="MWW1159" s="7"/>
      <c r="MWX1159" s="7"/>
      <c r="MWY1159" s="7"/>
      <c r="MWZ1159" s="7"/>
      <c r="MXA1159" s="7"/>
      <c r="MXB1159" s="7"/>
      <c r="MXC1159" s="7"/>
      <c r="MXD1159" s="7"/>
      <c r="MXE1159" s="7"/>
      <c r="MXF1159" s="7"/>
      <c r="MXG1159" s="7"/>
      <c r="MXH1159" s="7"/>
      <c r="MXI1159" s="7"/>
      <c r="MXJ1159" s="7"/>
      <c r="MXK1159" s="7"/>
      <c r="MXL1159" s="7"/>
      <c r="MXM1159" s="7"/>
      <c r="MXN1159" s="7"/>
      <c r="MXO1159" s="7"/>
      <c r="MXP1159" s="7"/>
      <c r="MXQ1159" s="7"/>
      <c r="MXR1159" s="7"/>
      <c r="MXS1159" s="7"/>
      <c r="MXT1159" s="7"/>
      <c r="MXU1159" s="7"/>
      <c r="MXV1159" s="7"/>
      <c r="MXW1159" s="7"/>
      <c r="MXX1159" s="7"/>
      <c r="MXY1159" s="7"/>
      <c r="MXZ1159" s="7"/>
      <c r="MYA1159" s="7"/>
      <c r="MYB1159" s="7"/>
      <c r="MYC1159" s="7"/>
      <c r="MYD1159" s="7"/>
      <c r="MYE1159" s="7"/>
      <c r="MYF1159" s="7"/>
      <c r="MYG1159" s="7"/>
      <c r="MYH1159" s="7"/>
      <c r="MYI1159" s="7"/>
      <c r="MYJ1159" s="7"/>
      <c r="MYK1159" s="7"/>
      <c r="MYL1159" s="7"/>
      <c r="MYM1159" s="7"/>
      <c r="MYN1159" s="7"/>
      <c r="MYO1159" s="7"/>
      <c r="MYP1159" s="7"/>
      <c r="MYQ1159" s="7"/>
      <c r="MYR1159" s="7"/>
      <c r="MYS1159" s="7"/>
      <c r="MYT1159" s="7"/>
      <c r="MYU1159" s="7"/>
      <c r="MYV1159" s="7"/>
      <c r="MYW1159" s="7"/>
      <c r="MYX1159" s="7"/>
      <c r="MYY1159" s="7"/>
      <c r="MYZ1159" s="7"/>
      <c r="MZA1159" s="7"/>
      <c r="MZB1159" s="7"/>
      <c r="MZC1159" s="7"/>
      <c r="MZD1159" s="7"/>
      <c r="MZE1159" s="7"/>
      <c r="MZF1159" s="7"/>
      <c r="MZG1159" s="7"/>
      <c r="MZH1159" s="7"/>
      <c r="MZI1159" s="7"/>
      <c r="MZJ1159" s="7"/>
      <c r="MZK1159" s="7"/>
      <c r="MZL1159" s="7"/>
      <c r="MZM1159" s="7"/>
      <c r="MZN1159" s="7"/>
      <c r="MZO1159" s="7"/>
      <c r="MZP1159" s="7"/>
      <c r="MZQ1159" s="7"/>
      <c r="MZR1159" s="7"/>
      <c r="MZS1159" s="7"/>
      <c r="MZT1159" s="7"/>
      <c r="MZU1159" s="7"/>
      <c r="MZV1159" s="7"/>
      <c r="MZW1159" s="7"/>
      <c r="MZX1159" s="7"/>
      <c r="MZY1159" s="7"/>
      <c r="MZZ1159" s="7"/>
      <c r="NAA1159" s="7"/>
      <c r="NAB1159" s="7"/>
      <c r="NAC1159" s="7"/>
      <c r="NAD1159" s="7"/>
      <c r="NAE1159" s="7"/>
      <c r="NAF1159" s="7"/>
      <c r="NAG1159" s="7"/>
      <c r="NAH1159" s="7"/>
      <c r="NAI1159" s="7"/>
      <c r="NAJ1159" s="7"/>
      <c r="NAK1159" s="7"/>
      <c r="NAL1159" s="7"/>
      <c r="NAM1159" s="7"/>
      <c r="NAN1159" s="7"/>
      <c r="NAO1159" s="7"/>
      <c r="NAP1159" s="7"/>
      <c r="NAQ1159" s="7"/>
      <c r="NAR1159" s="7"/>
      <c r="NAS1159" s="7"/>
      <c r="NAT1159" s="7"/>
      <c r="NAU1159" s="7"/>
      <c r="NAV1159" s="7"/>
      <c r="NAW1159" s="7"/>
      <c r="NAX1159" s="7"/>
      <c r="NAY1159" s="7"/>
      <c r="NAZ1159" s="7"/>
      <c r="NBA1159" s="7"/>
      <c r="NBB1159" s="7"/>
      <c r="NBC1159" s="7"/>
      <c r="NBD1159" s="7"/>
      <c r="NBE1159" s="7"/>
      <c r="NBF1159" s="7"/>
      <c r="NBG1159" s="7"/>
      <c r="NBH1159" s="7"/>
      <c r="NBI1159" s="7"/>
      <c r="NBJ1159" s="7"/>
      <c r="NBK1159" s="7"/>
      <c r="NBL1159" s="7"/>
      <c r="NBM1159" s="7"/>
      <c r="NBN1159" s="7"/>
      <c r="NBO1159" s="7"/>
      <c r="NBP1159" s="7"/>
      <c r="NBQ1159" s="7"/>
      <c r="NBR1159" s="7"/>
      <c r="NBS1159" s="7"/>
      <c r="NBT1159" s="7"/>
      <c r="NBU1159" s="7"/>
      <c r="NBV1159" s="7"/>
      <c r="NBW1159" s="7"/>
      <c r="NBX1159" s="7"/>
      <c r="NBY1159" s="7"/>
      <c r="NBZ1159" s="7"/>
      <c r="NCA1159" s="7"/>
      <c r="NCB1159" s="7"/>
      <c r="NCC1159" s="7"/>
      <c r="NCD1159" s="7"/>
      <c r="NCE1159" s="7"/>
      <c r="NCF1159" s="7"/>
      <c r="NCG1159" s="7"/>
      <c r="NCH1159" s="7"/>
      <c r="NCI1159" s="7"/>
      <c r="NCJ1159" s="7"/>
      <c r="NCK1159" s="7"/>
      <c r="NCL1159" s="7"/>
      <c r="NCM1159" s="7"/>
      <c r="NCN1159" s="7"/>
      <c r="NCO1159" s="7"/>
      <c r="NCP1159" s="7"/>
      <c r="NCQ1159" s="7"/>
      <c r="NCR1159" s="7"/>
      <c r="NCS1159" s="7"/>
      <c r="NCT1159" s="7"/>
      <c r="NCU1159" s="7"/>
      <c r="NCV1159" s="7"/>
      <c r="NCW1159" s="7"/>
      <c r="NCX1159" s="7"/>
      <c r="NCY1159" s="7"/>
      <c r="NCZ1159" s="7"/>
      <c r="NDA1159" s="7"/>
      <c r="NDB1159" s="7"/>
      <c r="NDC1159" s="7"/>
      <c r="NDD1159" s="7"/>
      <c r="NDE1159" s="7"/>
      <c r="NDF1159" s="7"/>
      <c r="NDG1159" s="7"/>
      <c r="NDH1159" s="7"/>
      <c r="NDI1159" s="7"/>
      <c r="NDJ1159" s="7"/>
      <c r="NDK1159" s="7"/>
      <c r="NDL1159" s="7"/>
      <c r="NDM1159" s="7"/>
      <c r="NDN1159" s="7"/>
      <c r="NDO1159" s="7"/>
      <c r="NDP1159" s="7"/>
      <c r="NDQ1159" s="7"/>
      <c r="NDR1159" s="7"/>
      <c r="NDS1159" s="7"/>
      <c r="NDT1159" s="7"/>
      <c r="NDU1159" s="7"/>
      <c r="NDV1159" s="7"/>
      <c r="NDW1159" s="7"/>
      <c r="NDX1159" s="7"/>
      <c r="NDY1159" s="7"/>
      <c r="NDZ1159" s="7"/>
      <c r="NEA1159" s="7"/>
      <c r="NEB1159" s="7"/>
      <c r="NEC1159" s="7"/>
      <c r="NED1159" s="7"/>
      <c r="NEE1159" s="7"/>
      <c r="NEF1159" s="7"/>
      <c r="NEG1159" s="7"/>
      <c r="NEH1159" s="7"/>
      <c r="NEI1159" s="7"/>
      <c r="NEJ1159" s="7"/>
      <c r="NEK1159" s="7"/>
      <c r="NEL1159" s="7"/>
      <c r="NEM1159" s="7"/>
      <c r="NEN1159" s="7"/>
      <c r="NEO1159" s="7"/>
      <c r="NEP1159" s="7"/>
      <c r="NEQ1159" s="7"/>
      <c r="NER1159" s="7"/>
      <c r="NES1159" s="7"/>
      <c r="NET1159" s="7"/>
      <c r="NEU1159" s="7"/>
      <c r="NEV1159" s="7"/>
      <c r="NEW1159" s="7"/>
      <c r="NEX1159" s="7"/>
      <c r="NEY1159" s="7"/>
      <c r="NEZ1159" s="7"/>
      <c r="NFA1159" s="7"/>
      <c r="NFB1159" s="7"/>
      <c r="NFC1159" s="7"/>
      <c r="NFD1159" s="7"/>
      <c r="NFE1159" s="7"/>
      <c r="NFF1159" s="7"/>
      <c r="NFG1159" s="7"/>
      <c r="NFH1159" s="7"/>
      <c r="NFI1159" s="7"/>
      <c r="NFJ1159" s="7"/>
      <c r="NFK1159" s="7"/>
      <c r="NFL1159" s="7"/>
      <c r="NFM1159" s="7"/>
      <c r="NFN1159" s="7"/>
      <c r="NFO1159" s="7"/>
      <c r="NFP1159" s="7"/>
      <c r="NFQ1159" s="7"/>
      <c r="NFR1159" s="7"/>
      <c r="NFS1159" s="7"/>
      <c r="NFT1159" s="7"/>
      <c r="NFU1159" s="7"/>
      <c r="NFV1159" s="7"/>
      <c r="NFW1159" s="7"/>
      <c r="NFX1159" s="7"/>
      <c r="NFY1159" s="7"/>
      <c r="NFZ1159" s="7"/>
      <c r="NGA1159" s="7"/>
      <c r="NGB1159" s="7"/>
      <c r="NGC1159" s="7"/>
      <c r="NGD1159" s="7"/>
      <c r="NGE1159" s="7"/>
      <c r="NGF1159" s="7"/>
      <c r="NGG1159" s="7"/>
      <c r="NGH1159" s="7"/>
      <c r="NGI1159" s="7"/>
      <c r="NGJ1159" s="7"/>
      <c r="NGK1159" s="7"/>
      <c r="NGL1159" s="7"/>
      <c r="NGM1159" s="7"/>
      <c r="NGN1159" s="7"/>
      <c r="NGO1159" s="7"/>
      <c r="NGP1159" s="7"/>
      <c r="NGQ1159" s="7"/>
      <c r="NGR1159" s="7"/>
      <c r="NGS1159" s="7"/>
      <c r="NGT1159" s="7"/>
      <c r="NGU1159" s="7"/>
      <c r="NGV1159" s="7"/>
      <c r="NGW1159" s="7"/>
      <c r="NGX1159" s="7"/>
      <c r="NGY1159" s="7"/>
      <c r="NGZ1159" s="7"/>
      <c r="NHA1159" s="7"/>
      <c r="NHB1159" s="7"/>
      <c r="NHC1159" s="7"/>
      <c r="NHD1159" s="7"/>
      <c r="NHE1159" s="7"/>
      <c r="NHF1159" s="7"/>
      <c r="NHG1159" s="7"/>
      <c r="NHH1159" s="7"/>
      <c r="NHI1159" s="7"/>
      <c r="NHJ1159" s="7"/>
      <c r="NHK1159" s="7"/>
      <c r="NHL1159" s="7"/>
      <c r="NHM1159" s="7"/>
      <c r="NHN1159" s="7"/>
      <c r="NHO1159" s="7"/>
      <c r="NHP1159" s="7"/>
      <c r="NHQ1159" s="7"/>
      <c r="NHR1159" s="7"/>
      <c r="NHS1159" s="7"/>
      <c r="NHT1159" s="7"/>
      <c r="NHU1159" s="7"/>
      <c r="NHV1159" s="7"/>
      <c r="NHW1159" s="7"/>
      <c r="NHX1159" s="7"/>
      <c r="NHY1159" s="7"/>
      <c r="NHZ1159" s="7"/>
      <c r="NIA1159" s="7"/>
      <c r="NIB1159" s="7"/>
      <c r="NIC1159" s="7"/>
      <c r="NID1159" s="7"/>
      <c r="NIE1159" s="7"/>
      <c r="NIF1159" s="7"/>
      <c r="NIG1159" s="7"/>
      <c r="NIH1159" s="7"/>
      <c r="NII1159" s="7"/>
      <c r="NIJ1159" s="7"/>
      <c r="NIK1159" s="7"/>
      <c r="NIL1159" s="7"/>
      <c r="NIM1159" s="7"/>
      <c r="NIN1159" s="7"/>
      <c r="NIO1159" s="7"/>
      <c r="NIP1159" s="7"/>
      <c r="NIQ1159" s="7"/>
      <c r="NIR1159" s="7"/>
      <c r="NIS1159" s="7"/>
      <c r="NIT1159" s="7"/>
      <c r="NIU1159" s="7"/>
      <c r="NIV1159" s="7"/>
      <c r="NIW1159" s="7"/>
      <c r="NIX1159" s="7"/>
      <c r="NIY1159" s="7"/>
      <c r="NIZ1159" s="7"/>
      <c r="NJA1159" s="7"/>
      <c r="NJB1159" s="7"/>
      <c r="NJC1159" s="7"/>
      <c r="NJD1159" s="7"/>
      <c r="NJE1159" s="7"/>
      <c r="NJF1159" s="7"/>
      <c r="NJG1159" s="7"/>
      <c r="NJH1159" s="7"/>
      <c r="NJI1159" s="7"/>
      <c r="NJJ1159" s="7"/>
      <c r="NJK1159" s="7"/>
      <c r="NJL1159" s="7"/>
      <c r="NJM1159" s="7"/>
      <c r="NJN1159" s="7"/>
      <c r="NJO1159" s="7"/>
      <c r="NJP1159" s="7"/>
      <c r="NJQ1159" s="7"/>
      <c r="NJR1159" s="7"/>
      <c r="NJS1159" s="7"/>
      <c r="NJT1159" s="7"/>
      <c r="NJU1159" s="7"/>
      <c r="NJV1159" s="7"/>
      <c r="NJW1159" s="7"/>
      <c r="NJX1159" s="7"/>
      <c r="NJY1159" s="7"/>
      <c r="NJZ1159" s="7"/>
      <c r="NKA1159" s="7"/>
      <c r="NKB1159" s="7"/>
      <c r="NKC1159" s="7"/>
      <c r="NKD1159" s="7"/>
      <c r="NKE1159" s="7"/>
      <c r="NKF1159" s="7"/>
      <c r="NKG1159" s="7"/>
      <c r="NKH1159" s="7"/>
      <c r="NKI1159" s="7"/>
      <c r="NKJ1159" s="7"/>
      <c r="NKK1159" s="7"/>
      <c r="NKL1159" s="7"/>
      <c r="NKM1159" s="7"/>
      <c r="NKN1159" s="7"/>
      <c r="NKO1159" s="7"/>
      <c r="NKP1159" s="7"/>
      <c r="NKQ1159" s="7"/>
      <c r="NKR1159" s="7"/>
      <c r="NKS1159" s="7"/>
      <c r="NKT1159" s="7"/>
      <c r="NKU1159" s="7"/>
      <c r="NKV1159" s="7"/>
      <c r="NKW1159" s="7"/>
      <c r="NKX1159" s="7"/>
      <c r="NKY1159" s="7"/>
      <c r="NKZ1159" s="7"/>
      <c r="NLA1159" s="7"/>
      <c r="NLB1159" s="7"/>
      <c r="NLC1159" s="7"/>
      <c r="NLD1159" s="7"/>
      <c r="NLE1159" s="7"/>
      <c r="NLF1159" s="7"/>
      <c r="NLG1159" s="7"/>
      <c r="NLH1159" s="7"/>
      <c r="NLI1159" s="7"/>
      <c r="NLJ1159" s="7"/>
      <c r="NLK1159" s="7"/>
      <c r="NLL1159" s="7"/>
      <c r="NLM1159" s="7"/>
      <c r="NLN1159" s="7"/>
      <c r="NLO1159" s="7"/>
      <c r="NLP1159" s="7"/>
      <c r="NLQ1159" s="7"/>
      <c r="NLR1159" s="7"/>
      <c r="NLS1159" s="7"/>
      <c r="NLT1159" s="7"/>
      <c r="NLU1159" s="7"/>
      <c r="NLV1159" s="7"/>
      <c r="NLW1159" s="7"/>
      <c r="NLX1159" s="7"/>
      <c r="NLY1159" s="7"/>
      <c r="NLZ1159" s="7"/>
      <c r="NMA1159" s="7"/>
      <c r="NMB1159" s="7"/>
      <c r="NMC1159" s="7"/>
      <c r="NMD1159" s="7"/>
      <c r="NME1159" s="7"/>
      <c r="NMF1159" s="7"/>
      <c r="NMG1159" s="7"/>
      <c r="NMH1159" s="7"/>
      <c r="NMI1159" s="7"/>
      <c r="NMJ1159" s="7"/>
      <c r="NMK1159" s="7"/>
      <c r="NML1159" s="7"/>
      <c r="NMM1159" s="7"/>
      <c r="NMN1159" s="7"/>
      <c r="NMO1159" s="7"/>
      <c r="NMP1159" s="7"/>
      <c r="NMQ1159" s="7"/>
      <c r="NMR1159" s="7"/>
      <c r="NMS1159" s="7"/>
      <c r="NMT1159" s="7"/>
      <c r="NMU1159" s="7"/>
      <c r="NMV1159" s="7"/>
      <c r="NMW1159" s="7"/>
      <c r="NMX1159" s="7"/>
      <c r="NMY1159" s="7"/>
      <c r="NMZ1159" s="7"/>
      <c r="NNA1159" s="7"/>
      <c r="NNB1159" s="7"/>
      <c r="NNC1159" s="7"/>
      <c r="NND1159" s="7"/>
      <c r="NNE1159" s="7"/>
      <c r="NNF1159" s="7"/>
      <c r="NNG1159" s="7"/>
      <c r="NNH1159" s="7"/>
      <c r="NNI1159" s="7"/>
      <c r="NNJ1159" s="7"/>
      <c r="NNK1159" s="7"/>
      <c r="NNL1159" s="7"/>
      <c r="NNM1159" s="7"/>
      <c r="NNN1159" s="7"/>
      <c r="NNO1159" s="7"/>
      <c r="NNP1159" s="7"/>
      <c r="NNQ1159" s="7"/>
      <c r="NNR1159" s="7"/>
      <c r="NNS1159" s="7"/>
      <c r="NNT1159" s="7"/>
      <c r="NNU1159" s="7"/>
      <c r="NNV1159" s="7"/>
      <c r="NNW1159" s="7"/>
      <c r="NNX1159" s="7"/>
      <c r="NNY1159" s="7"/>
      <c r="NNZ1159" s="7"/>
      <c r="NOA1159" s="7"/>
      <c r="NOB1159" s="7"/>
      <c r="NOC1159" s="7"/>
      <c r="NOD1159" s="7"/>
      <c r="NOE1159" s="7"/>
      <c r="NOF1159" s="7"/>
      <c r="NOG1159" s="7"/>
      <c r="NOH1159" s="7"/>
      <c r="NOI1159" s="7"/>
      <c r="NOJ1159" s="7"/>
      <c r="NOK1159" s="7"/>
      <c r="NOL1159" s="7"/>
      <c r="NOM1159" s="7"/>
      <c r="NON1159" s="7"/>
      <c r="NOO1159" s="7"/>
      <c r="NOP1159" s="7"/>
      <c r="NOQ1159" s="7"/>
      <c r="NOR1159" s="7"/>
      <c r="NOS1159" s="7"/>
      <c r="NOT1159" s="7"/>
      <c r="NOU1159" s="7"/>
      <c r="NOV1159" s="7"/>
      <c r="NOW1159" s="7"/>
      <c r="NOX1159" s="7"/>
      <c r="NOY1159" s="7"/>
      <c r="NOZ1159" s="7"/>
      <c r="NPA1159" s="7"/>
      <c r="NPB1159" s="7"/>
      <c r="NPC1159" s="7"/>
      <c r="NPD1159" s="7"/>
      <c r="NPE1159" s="7"/>
      <c r="NPF1159" s="7"/>
      <c r="NPG1159" s="7"/>
      <c r="NPH1159" s="7"/>
      <c r="NPI1159" s="7"/>
      <c r="NPJ1159" s="7"/>
      <c r="NPK1159" s="7"/>
      <c r="NPL1159" s="7"/>
      <c r="NPM1159" s="7"/>
      <c r="NPN1159" s="7"/>
      <c r="NPO1159" s="7"/>
      <c r="NPP1159" s="7"/>
      <c r="NPQ1159" s="7"/>
      <c r="NPR1159" s="7"/>
      <c r="NPS1159" s="7"/>
      <c r="NPT1159" s="7"/>
      <c r="NPU1159" s="7"/>
      <c r="NPV1159" s="7"/>
      <c r="NPW1159" s="7"/>
      <c r="NPX1159" s="7"/>
      <c r="NPY1159" s="7"/>
      <c r="NPZ1159" s="7"/>
      <c r="NQA1159" s="7"/>
      <c r="NQB1159" s="7"/>
      <c r="NQC1159" s="7"/>
      <c r="NQD1159" s="7"/>
      <c r="NQE1159" s="7"/>
      <c r="NQF1159" s="7"/>
      <c r="NQG1159" s="7"/>
      <c r="NQH1159" s="7"/>
      <c r="NQI1159" s="7"/>
      <c r="NQJ1159" s="7"/>
      <c r="NQK1159" s="7"/>
      <c r="NQL1159" s="7"/>
      <c r="NQM1159" s="7"/>
      <c r="NQN1159" s="7"/>
      <c r="NQO1159" s="7"/>
      <c r="NQP1159" s="7"/>
      <c r="NQQ1159" s="7"/>
      <c r="NQR1159" s="7"/>
      <c r="NQS1159" s="7"/>
      <c r="NQT1159" s="7"/>
      <c r="NQU1159" s="7"/>
      <c r="NQV1159" s="7"/>
      <c r="NQW1159" s="7"/>
      <c r="NQX1159" s="7"/>
      <c r="NQY1159" s="7"/>
      <c r="NQZ1159" s="7"/>
      <c r="NRA1159" s="7"/>
      <c r="NRB1159" s="7"/>
      <c r="NRC1159" s="7"/>
      <c r="NRD1159" s="7"/>
      <c r="NRE1159" s="7"/>
      <c r="NRF1159" s="7"/>
      <c r="NRG1159" s="7"/>
      <c r="NRH1159" s="7"/>
      <c r="NRI1159" s="7"/>
      <c r="NRJ1159" s="7"/>
      <c r="NRK1159" s="7"/>
      <c r="NRL1159" s="7"/>
      <c r="NRM1159" s="7"/>
      <c r="NRN1159" s="7"/>
      <c r="NRO1159" s="7"/>
      <c r="NRP1159" s="7"/>
      <c r="NRQ1159" s="7"/>
      <c r="NRR1159" s="7"/>
      <c r="NRS1159" s="7"/>
      <c r="NRT1159" s="7"/>
      <c r="NRU1159" s="7"/>
      <c r="NRV1159" s="7"/>
      <c r="NRW1159" s="7"/>
      <c r="NRX1159" s="7"/>
      <c r="NRY1159" s="7"/>
      <c r="NRZ1159" s="7"/>
      <c r="NSA1159" s="7"/>
      <c r="NSB1159" s="7"/>
      <c r="NSC1159" s="7"/>
      <c r="NSD1159" s="7"/>
      <c r="NSE1159" s="7"/>
      <c r="NSF1159" s="7"/>
      <c r="NSG1159" s="7"/>
      <c r="NSH1159" s="7"/>
      <c r="NSI1159" s="7"/>
      <c r="NSJ1159" s="7"/>
      <c r="NSK1159" s="7"/>
      <c r="NSL1159" s="7"/>
      <c r="NSM1159" s="7"/>
      <c r="NSN1159" s="7"/>
      <c r="NSO1159" s="7"/>
      <c r="NSP1159" s="7"/>
      <c r="NSQ1159" s="7"/>
      <c r="NSR1159" s="7"/>
      <c r="NSS1159" s="7"/>
      <c r="NST1159" s="7"/>
      <c r="NSU1159" s="7"/>
      <c r="NSV1159" s="7"/>
      <c r="NSW1159" s="7"/>
      <c r="NSX1159" s="7"/>
      <c r="NSY1159" s="7"/>
      <c r="NSZ1159" s="7"/>
      <c r="NTA1159" s="7"/>
      <c r="NTB1159" s="7"/>
      <c r="NTC1159" s="7"/>
      <c r="NTD1159" s="7"/>
      <c r="NTE1159" s="7"/>
      <c r="NTF1159" s="7"/>
      <c r="NTG1159" s="7"/>
      <c r="NTH1159" s="7"/>
      <c r="NTI1159" s="7"/>
      <c r="NTJ1159" s="7"/>
      <c r="NTK1159" s="7"/>
      <c r="NTL1159" s="7"/>
      <c r="NTM1159" s="7"/>
      <c r="NTN1159" s="7"/>
      <c r="NTO1159" s="7"/>
      <c r="NTP1159" s="7"/>
      <c r="NTQ1159" s="7"/>
      <c r="NTR1159" s="7"/>
      <c r="NTS1159" s="7"/>
      <c r="NTT1159" s="7"/>
      <c r="NTU1159" s="7"/>
      <c r="NTV1159" s="7"/>
      <c r="NTW1159" s="7"/>
      <c r="NTX1159" s="7"/>
      <c r="NTY1159" s="7"/>
      <c r="NTZ1159" s="7"/>
      <c r="NUA1159" s="7"/>
      <c r="NUB1159" s="7"/>
      <c r="NUC1159" s="7"/>
      <c r="NUD1159" s="7"/>
      <c r="NUE1159" s="7"/>
      <c r="NUF1159" s="7"/>
      <c r="NUG1159" s="7"/>
      <c r="NUH1159" s="7"/>
      <c r="NUI1159" s="7"/>
      <c r="NUJ1159" s="7"/>
      <c r="NUK1159" s="7"/>
      <c r="NUL1159" s="7"/>
      <c r="NUM1159" s="7"/>
      <c r="NUN1159" s="7"/>
      <c r="NUO1159" s="7"/>
      <c r="NUP1159" s="7"/>
      <c r="NUQ1159" s="7"/>
      <c r="NUR1159" s="7"/>
      <c r="NUS1159" s="7"/>
      <c r="NUT1159" s="7"/>
      <c r="NUU1159" s="7"/>
      <c r="NUV1159" s="7"/>
      <c r="NUW1159" s="7"/>
      <c r="NUX1159" s="7"/>
      <c r="NUY1159" s="7"/>
      <c r="NUZ1159" s="7"/>
      <c r="NVA1159" s="7"/>
      <c r="NVB1159" s="7"/>
      <c r="NVC1159" s="7"/>
      <c r="NVD1159" s="7"/>
      <c r="NVE1159" s="7"/>
      <c r="NVF1159" s="7"/>
      <c r="NVG1159" s="7"/>
      <c r="NVH1159" s="7"/>
      <c r="NVI1159" s="7"/>
      <c r="NVJ1159" s="7"/>
      <c r="NVK1159" s="7"/>
      <c r="NVL1159" s="7"/>
      <c r="NVM1159" s="7"/>
      <c r="NVN1159" s="7"/>
      <c r="NVO1159" s="7"/>
      <c r="NVP1159" s="7"/>
      <c r="NVQ1159" s="7"/>
      <c r="NVR1159" s="7"/>
      <c r="NVS1159" s="7"/>
      <c r="NVT1159" s="7"/>
      <c r="NVU1159" s="7"/>
      <c r="NVV1159" s="7"/>
      <c r="NVW1159" s="7"/>
      <c r="NVX1159" s="7"/>
      <c r="NVY1159" s="7"/>
      <c r="NVZ1159" s="7"/>
      <c r="NWA1159" s="7"/>
      <c r="NWB1159" s="7"/>
      <c r="NWC1159" s="7"/>
      <c r="NWD1159" s="7"/>
      <c r="NWE1159" s="7"/>
      <c r="NWF1159" s="7"/>
      <c r="NWG1159" s="7"/>
      <c r="NWH1159" s="7"/>
      <c r="NWI1159" s="7"/>
      <c r="NWJ1159" s="7"/>
      <c r="NWK1159" s="7"/>
      <c r="NWL1159" s="7"/>
      <c r="NWM1159" s="7"/>
      <c r="NWN1159" s="7"/>
      <c r="NWO1159" s="7"/>
      <c r="NWP1159" s="7"/>
      <c r="NWQ1159" s="7"/>
      <c r="NWR1159" s="7"/>
      <c r="NWS1159" s="7"/>
      <c r="NWT1159" s="7"/>
      <c r="NWU1159" s="7"/>
      <c r="NWV1159" s="7"/>
      <c r="NWW1159" s="7"/>
      <c r="NWX1159" s="7"/>
      <c r="NWY1159" s="7"/>
      <c r="NWZ1159" s="7"/>
      <c r="NXA1159" s="7"/>
      <c r="NXB1159" s="7"/>
      <c r="NXC1159" s="7"/>
      <c r="NXD1159" s="7"/>
      <c r="NXE1159" s="7"/>
      <c r="NXF1159" s="7"/>
      <c r="NXG1159" s="7"/>
      <c r="NXH1159" s="7"/>
      <c r="NXI1159" s="7"/>
      <c r="NXJ1159" s="7"/>
      <c r="NXK1159" s="7"/>
      <c r="NXL1159" s="7"/>
      <c r="NXM1159" s="7"/>
      <c r="NXN1159" s="7"/>
      <c r="NXO1159" s="7"/>
      <c r="NXP1159" s="7"/>
      <c r="NXQ1159" s="7"/>
      <c r="NXR1159" s="7"/>
      <c r="NXS1159" s="7"/>
      <c r="NXT1159" s="7"/>
      <c r="NXU1159" s="7"/>
      <c r="NXV1159" s="7"/>
      <c r="NXW1159" s="7"/>
      <c r="NXX1159" s="7"/>
      <c r="NXY1159" s="7"/>
      <c r="NXZ1159" s="7"/>
      <c r="NYA1159" s="7"/>
      <c r="NYB1159" s="7"/>
      <c r="NYC1159" s="7"/>
      <c r="NYD1159" s="7"/>
      <c r="NYE1159" s="7"/>
      <c r="NYF1159" s="7"/>
      <c r="NYG1159" s="7"/>
      <c r="NYH1159" s="7"/>
      <c r="NYI1159" s="7"/>
      <c r="NYJ1159" s="7"/>
      <c r="NYK1159" s="7"/>
      <c r="NYL1159" s="7"/>
      <c r="NYM1159" s="7"/>
      <c r="NYN1159" s="7"/>
      <c r="NYO1159" s="7"/>
      <c r="NYP1159" s="7"/>
      <c r="NYQ1159" s="7"/>
      <c r="NYR1159" s="7"/>
      <c r="NYS1159" s="7"/>
      <c r="NYT1159" s="7"/>
      <c r="NYU1159" s="7"/>
      <c r="NYV1159" s="7"/>
      <c r="NYW1159" s="7"/>
      <c r="NYX1159" s="7"/>
      <c r="NYY1159" s="7"/>
      <c r="NYZ1159" s="7"/>
      <c r="NZA1159" s="7"/>
      <c r="NZB1159" s="7"/>
      <c r="NZC1159" s="7"/>
      <c r="NZD1159" s="7"/>
      <c r="NZE1159" s="7"/>
      <c r="NZF1159" s="7"/>
      <c r="NZG1159" s="7"/>
      <c r="NZH1159" s="7"/>
      <c r="NZI1159" s="7"/>
      <c r="NZJ1159" s="7"/>
      <c r="NZK1159" s="7"/>
      <c r="NZL1159" s="7"/>
      <c r="NZM1159" s="7"/>
      <c r="NZN1159" s="7"/>
      <c r="NZO1159" s="7"/>
      <c r="NZP1159" s="7"/>
      <c r="NZQ1159" s="7"/>
      <c r="NZR1159" s="7"/>
      <c r="NZS1159" s="7"/>
      <c r="NZT1159" s="7"/>
      <c r="NZU1159" s="7"/>
      <c r="NZV1159" s="7"/>
      <c r="NZW1159" s="7"/>
      <c r="NZX1159" s="7"/>
      <c r="NZY1159" s="7"/>
      <c r="NZZ1159" s="7"/>
      <c r="OAA1159" s="7"/>
      <c r="OAB1159" s="7"/>
      <c r="OAC1159" s="7"/>
      <c r="OAD1159" s="7"/>
      <c r="OAE1159" s="7"/>
      <c r="OAF1159" s="7"/>
      <c r="OAG1159" s="7"/>
      <c r="OAH1159" s="7"/>
      <c r="OAI1159" s="7"/>
      <c r="OAJ1159" s="7"/>
      <c r="OAK1159" s="7"/>
      <c r="OAL1159" s="7"/>
      <c r="OAM1159" s="7"/>
      <c r="OAN1159" s="7"/>
      <c r="OAO1159" s="7"/>
      <c r="OAP1159" s="7"/>
      <c r="OAQ1159" s="7"/>
      <c r="OAR1159" s="7"/>
      <c r="OAS1159" s="7"/>
      <c r="OAT1159" s="7"/>
      <c r="OAU1159" s="7"/>
      <c r="OAV1159" s="7"/>
      <c r="OAW1159" s="7"/>
      <c r="OAX1159" s="7"/>
      <c r="OAY1159" s="7"/>
      <c r="OAZ1159" s="7"/>
      <c r="OBA1159" s="7"/>
      <c r="OBB1159" s="7"/>
      <c r="OBC1159" s="7"/>
      <c r="OBD1159" s="7"/>
      <c r="OBE1159" s="7"/>
      <c r="OBF1159" s="7"/>
      <c r="OBG1159" s="7"/>
      <c r="OBH1159" s="7"/>
      <c r="OBI1159" s="7"/>
      <c r="OBJ1159" s="7"/>
      <c r="OBK1159" s="7"/>
      <c r="OBL1159" s="7"/>
      <c r="OBM1159" s="7"/>
      <c r="OBN1159" s="7"/>
      <c r="OBO1159" s="7"/>
      <c r="OBP1159" s="7"/>
      <c r="OBQ1159" s="7"/>
      <c r="OBR1159" s="7"/>
      <c r="OBS1159" s="7"/>
      <c r="OBT1159" s="7"/>
      <c r="OBU1159" s="7"/>
      <c r="OBV1159" s="7"/>
      <c r="OBW1159" s="7"/>
      <c r="OBX1159" s="7"/>
      <c r="OBY1159" s="7"/>
      <c r="OBZ1159" s="7"/>
      <c r="OCA1159" s="7"/>
      <c r="OCB1159" s="7"/>
      <c r="OCC1159" s="7"/>
      <c r="OCD1159" s="7"/>
      <c r="OCE1159" s="7"/>
      <c r="OCF1159" s="7"/>
      <c r="OCG1159" s="7"/>
      <c r="OCH1159" s="7"/>
      <c r="OCI1159" s="7"/>
      <c r="OCJ1159" s="7"/>
      <c r="OCK1159" s="7"/>
      <c r="OCL1159" s="7"/>
      <c r="OCM1159" s="7"/>
      <c r="OCN1159" s="7"/>
      <c r="OCO1159" s="7"/>
      <c r="OCP1159" s="7"/>
      <c r="OCQ1159" s="7"/>
      <c r="OCR1159" s="7"/>
      <c r="OCS1159" s="7"/>
      <c r="OCT1159" s="7"/>
      <c r="OCU1159" s="7"/>
      <c r="OCV1159" s="7"/>
      <c r="OCW1159" s="7"/>
      <c r="OCX1159" s="7"/>
      <c r="OCY1159" s="7"/>
      <c r="OCZ1159" s="7"/>
      <c r="ODA1159" s="7"/>
      <c r="ODB1159" s="7"/>
      <c r="ODC1159" s="7"/>
      <c r="ODD1159" s="7"/>
      <c r="ODE1159" s="7"/>
      <c r="ODF1159" s="7"/>
      <c r="ODG1159" s="7"/>
      <c r="ODH1159" s="7"/>
      <c r="ODI1159" s="7"/>
      <c r="ODJ1159" s="7"/>
      <c r="ODK1159" s="7"/>
      <c r="ODL1159" s="7"/>
      <c r="ODM1159" s="7"/>
      <c r="ODN1159" s="7"/>
      <c r="ODO1159" s="7"/>
      <c r="ODP1159" s="7"/>
      <c r="ODQ1159" s="7"/>
      <c r="ODR1159" s="7"/>
      <c r="ODS1159" s="7"/>
      <c r="ODT1159" s="7"/>
      <c r="ODU1159" s="7"/>
      <c r="ODV1159" s="7"/>
      <c r="ODW1159" s="7"/>
      <c r="ODX1159" s="7"/>
      <c r="ODY1159" s="7"/>
      <c r="ODZ1159" s="7"/>
      <c r="OEA1159" s="7"/>
      <c r="OEB1159" s="7"/>
      <c r="OEC1159" s="7"/>
      <c r="OED1159" s="7"/>
      <c r="OEE1159" s="7"/>
      <c r="OEF1159" s="7"/>
      <c r="OEG1159" s="7"/>
      <c r="OEH1159" s="7"/>
      <c r="OEI1159" s="7"/>
      <c r="OEJ1159" s="7"/>
      <c r="OEK1159" s="7"/>
      <c r="OEL1159" s="7"/>
      <c r="OEM1159" s="7"/>
      <c r="OEN1159" s="7"/>
      <c r="OEO1159" s="7"/>
      <c r="OEP1159" s="7"/>
      <c r="OEQ1159" s="7"/>
      <c r="OER1159" s="7"/>
      <c r="OES1159" s="7"/>
      <c r="OET1159" s="7"/>
      <c r="OEU1159" s="7"/>
      <c r="OEV1159" s="7"/>
      <c r="OEW1159" s="7"/>
      <c r="OEX1159" s="7"/>
      <c r="OEY1159" s="7"/>
      <c r="OEZ1159" s="7"/>
      <c r="OFA1159" s="7"/>
      <c r="OFB1159" s="7"/>
      <c r="OFC1159" s="7"/>
      <c r="OFD1159" s="7"/>
      <c r="OFE1159" s="7"/>
      <c r="OFF1159" s="7"/>
      <c r="OFG1159" s="7"/>
      <c r="OFH1159" s="7"/>
      <c r="OFI1159" s="7"/>
      <c r="OFJ1159" s="7"/>
      <c r="OFK1159" s="7"/>
      <c r="OFL1159" s="7"/>
      <c r="OFM1159" s="7"/>
      <c r="OFN1159" s="7"/>
      <c r="OFO1159" s="7"/>
      <c r="OFP1159" s="7"/>
      <c r="OFQ1159" s="7"/>
      <c r="OFR1159" s="7"/>
      <c r="OFS1159" s="7"/>
      <c r="OFT1159" s="7"/>
      <c r="OFU1159" s="7"/>
      <c r="OFV1159" s="7"/>
      <c r="OFW1159" s="7"/>
      <c r="OFX1159" s="7"/>
      <c r="OFY1159" s="7"/>
      <c r="OFZ1159" s="7"/>
      <c r="OGA1159" s="7"/>
      <c r="OGB1159" s="7"/>
      <c r="OGC1159" s="7"/>
      <c r="OGD1159" s="7"/>
      <c r="OGE1159" s="7"/>
      <c r="OGF1159" s="7"/>
      <c r="OGG1159" s="7"/>
      <c r="OGH1159" s="7"/>
      <c r="OGI1159" s="7"/>
      <c r="OGJ1159" s="7"/>
      <c r="OGK1159" s="7"/>
      <c r="OGL1159" s="7"/>
      <c r="OGM1159" s="7"/>
      <c r="OGN1159" s="7"/>
      <c r="OGO1159" s="7"/>
      <c r="OGP1159" s="7"/>
      <c r="OGQ1159" s="7"/>
      <c r="OGR1159" s="7"/>
      <c r="OGS1159" s="7"/>
      <c r="OGT1159" s="7"/>
      <c r="OGU1159" s="7"/>
      <c r="OGV1159" s="7"/>
      <c r="OGW1159" s="7"/>
      <c r="OGX1159" s="7"/>
      <c r="OGY1159" s="7"/>
      <c r="OGZ1159" s="7"/>
      <c r="OHA1159" s="7"/>
      <c r="OHB1159" s="7"/>
      <c r="OHC1159" s="7"/>
      <c r="OHD1159" s="7"/>
      <c r="OHE1159" s="7"/>
      <c r="OHF1159" s="7"/>
      <c r="OHG1159" s="7"/>
      <c r="OHH1159" s="7"/>
      <c r="OHI1159" s="7"/>
      <c r="OHJ1159" s="7"/>
      <c r="OHK1159" s="7"/>
      <c r="OHL1159" s="7"/>
      <c r="OHM1159" s="7"/>
      <c r="OHN1159" s="7"/>
      <c r="OHO1159" s="7"/>
      <c r="OHP1159" s="7"/>
      <c r="OHQ1159" s="7"/>
      <c r="OHR1159" s="7"/>
      <c r="OHS1159" s="7"/>
      <c r="OHT1159" s="7"/>
      <c r="OHU1159" s="7"/>
      <c r="OHV1159" s="7"/>
      <c r="OHW1159" s="7"/>
      <c r="OHX1159" s="7"/>
      <c r="OHY1159" s="7"/>
      <c r="OHZ1159" s="7"/>
      <c r="OIA1159" s="7"/>
      <c r="OIB1159" s="7"/>
      <c r="OIC1159" s="7"/>
      <c r="OID1159" s="7"/>
      <c r="OIE1159" s="7"/>
      <c r="OIF1159" s="7"/>
      <c r="OIG1159" s="7"/>
      <c r="OIH1159" s="7"/>
      <c r="OII1159" s="7"/>
      <c r="OIJ1159" s="7"/>
      <c r="OIK1159" s="7"/>
      <c r="OIL1159" s="7"/>
      <c r="OIM1159" s="7"/>
      <c r="OIN1159" s="7"/>
      <c r="OIO1159" s="7"/>
      <c r="OIP1159" s="7"/>
      <c r="OIQ1159" s="7"/>
      <c r="OIR1159" s="7"/>
      <c r="OIS1159" s="7"/>
      <c r="OIT1159" s="7"/>
      <c r="OIU1159" s="7"/>
      <c r="OIV1159" s="7"/>
      <c r="OIW1159" s="7"/>
      <c r="OIX1159" s="7"/>
      <c r="OIY1159" s="7"/>
      <c r="OIZ1159" s="7"/>
      <c r="OJA1159" s="7"/>
      <c r="OJB1159" s="7"/>
      <c r="OJC1159" s="7"/>
      <c r="OJD1159" s="7"/>
      <c r="OJE1159" s="7"/>
      <c r="OJF1159" s="7"/>
      <c r="OJG1159" s="7"/>
      <c r="OJH1159" s="7"/>
      <c r="OJI1159" s="7"/>
      <c r="OJJ1159" s="7"/>
      <c r="OJK1159" s="7"/>
      <c r="OJL1159" s="7"/>
      <c r="OJM1159" s="7"/>
      <c r="OJN1159" s="7"/>
      <c r="OJO1159" s="7"/>
      <c r="OJP1159" s="7"/>
      <c r="OJQ1159" s="7"/>
      <c r="OJR1159" s="7"/>
      <c r="OJS1159" s="7"/>
      <c r="OJT1159" s="7"/>
      <c r="OJU1159" s="7"/>
      <c r="OJV1159" s="7"/>
      <c r="OJW1159" s="7"/>
      <c r="OJX1159" s="7"/>
      <c r="OJY1159" s="7"/>
      <c r="OJZ1159" s="7"/>
      <c r="OKA1159" s="7"/>
      <c r="OKB1159" s="7"/>
      <c r="OKC1159" s="7"/>
      <c r="OKD1159" s="7"/>
      <c r="OKE1159" s="7"/>
      <c r="OKF1159" s="7"/>
      <c r="OKG1159" s="7"/>
      <c r="OKH1159" s="7"/>
      <c r="OKI1159" s="7"/>
      <c r="OKJ1159" s="7"/>
      <c r="OKK1159" s="7"/>
      <c r="OKL1159" s="7"/>
      <c r="OKM1159" s="7"/>
      <c r="OKN1159" s="7"/>
      <c r="OKO1159" s="7"/>
      <c r="OKP1159" s="7"/>
      <c r="OKQ1159" s="7"/>
      <c r="OKR1159" s="7"/>
      <c r="OKS1159" s="7"/>
      <c r="OKT1159" s="7"/>
      <c r="OKU1159" s="7"/>
      <c r="OKV1159" s="7"/>
      <c r="OKW1159" s="7"/>
      <c r="OKX1159" s="7"/>
      <c r="OKY1159" s="7"/>
      <c r="OKZ1159" s="7"/>
      <c r="OLA1159" s="7"/>
      <c r="OLB1159" s="7"/>
      <c r="OLC1159" s="7"/>
      <c r="OLD1159" s="7"/>
      <c r="OLE1159" s="7"/>
      <c r="OLF1159" s="7"/>
      <c r="OLG1159" s="7"/>
      <c r="OLH1159" s="7"/>
      <c r="OLI1159" s="7"/>
      <c r="OLJ1159" s="7"/>
      <c r="OLK1159" s="7"/>
      <c r="OLL1159" s="7"/>
      <c r="OLM1159" s="7"/>
      <c r="OLN1159" s="7"/>
      <c r="OLO1159" s="7"/>
      <c r="OLP1159" s="7"/>
      <c r="OLQ1159" s="7"/>
      <c r="OLR1159" s="7"/>
      <c r="OLS1159" s="7"/>
      <c r="OLT1159" s="7"/>
      <c r="OLU1159" s="7"/>
      <c r="OLV1159" s="7"/>
      <c r="OLW1159" s="7"/>
      <c r="OLX1159" s="7"/>
      <c r="OLY1159" s="7"/>
      <c r="OLZ1159" s="7"/>
      <c r="OMA1159" s="7"/>
      <c r="OMB1159" s="7"/>
      <c r="OMC1159" s="7"/>
      <c r="OMD1159" s="7"/>
      <c r="OME1159" s="7"/>
      <c r="OMF1159" s="7"/>
      <c r="OMG1159" s="7"/>
      <c r="OMH1159" s="7"/>
      <c r="OMI1159" s="7"/>
      <c r="OMJ1159" s="7"/>
      <c r="OMK1159" s="7"/>
      <c r="OML1159" s="7"/>
      <c r="OMM1159" s="7"/>
      <c r="OMN1159" s="7"/>
      <c r="OMO1159" s="7"/>
      <c r="OMP1159" s="7"/>
      <c r="OMQ1159" s="7"/>
      <c r="OMR1159" s="7"/>
      <c r="OMS1159" s="7"/>
      <c r="OMT1159" s="7"/>
      <c r="OMU1159" s="7"/>
      <c r="OMV1159" s="7"/>
      <c r="OMW1159" s="7"/>
      <c r="OMX1159" s="7"/>
      <c r="OMY1159" s="7"/>
      <c r="OMZ1159" s="7"/>
      <c r="ONA1159" s="7"/>
      <c r="ONB1159" s="7"/>
      <c r="ONC1159" s="7"/>
      <c r="OND1159" s="7"/>
      <c r="ONE1159" s="7"/>
      <c r="ONF1159" s="7"/>
      <c r="ONG1159" s="7"/>
      <c r="ONH1159" s="7"/>
      <c r="ONI1159" s="7"/>
      <c r="ONJ1159" s="7"/>
      <c r="ONK1159" s="7"/>
      <c r="ONL1159" s="7"/>
      <c r="ONM1159" s="7"/>
      <c r="ONN1159" s="7"/>
      <c r="ONO1159" s="7"/>
      <c r="ONP1159" s="7"/>
      <c r="ONQ1159" s="7"/>
      <c r="ONR1159" s="7"/>
      <c r="ONS1159" s="7"/>
      <c r="ONT1159" s="7"/>
      <c r="ONU1159" s="7"/>
      <c r="ONV1159" s="7"/>
      <c r="ONW1159" s="7"/>
      <c r="ONX1159" s="7"/>
      <c r="ONY1159" s="7"/>
      <c r="ONZ1159" s="7"/>
      <c r="OOA1159" s="7"/>
      <c r="OOB1159" s="7"/>
      <c r="OOC1159" s="7"/>
      <c r="OOD1159" s="7"/>
      <c r="OOE1159" s="7"/>
      <c r="OOF1159" s="7"/>
      <c r="OOG1159" s="7"/>
      <c r="OOH1159" s="7"/>
      <c r="OOI1159" s="7"/>
      <c r="OOJ1159" s="7"/>
      <c r="OOK1159" s="7"/>
      <c r="OOL1159" s="7"/>
      <c r="OOM1159" s="7"/>
      <c r="OON1159" s="7"/>
      <c r="OOO1159" s="7"/>
      <c r="OOP1159" s="7"/>
      <c r="OOQ1159" s="7"/>
      <c r="OOR1159" s="7"/>
      <c r="OOS1159" s="7"/>
      <c r="OOT1159" s="7"/>
      <c r="OOU1159" s="7"/>
      <c r="OOV1159" s="7"/>
      <c r="OOW1159" s="7"/>
      <c r="OOX1159" s="7"/>
      <c r="OOY1159" s="7"/>
      <c r="OOZ1159" s="7"/>
      <c r="OPA1159" s="7"/>
      <c r="OPB1159" s="7"/>
      <c r="OPC1159" s="7"/>
      <c r="OPD1159" s="7"/>
      <c r="OPE1159" s="7"/>
      <c r="OPF1159" s="7"/>
      <c r="OPG1159" s="7"/>
      <c r="OPH1159" s="7"/>
      <c r="OPI1159" s="7"/>
      <c r="OPJ1159" s="7"/>
      <c r="OPK1159" s="7"/>
      <c r="OPL1159" s="7"/>
      <c r="OPM1159" s="7"/>
      <c r="OPN1159" s="7"/>
      <c r="OPO1159" s="7"/>
      <c r="OPP1159" s="7"/>
      <c r="OPQ1159" s="7"/>
      <c r="OPR1159" s="7"/>
      <c r="OPS1159" s="7"/>
      <c r="OPT1159" s="7"/>
      <c r="OPU1159" s="7"/>
      <c r="OPV1159" s="7"/>
      <c r="OPW1159" s="7"/>
      <c r="OPX1159" s="7"/>
      <c r="OPY1159" s="7"/>
      <c r="OPZ1159" s="7"/>
      <c r="OQA1159" s="7"/>
      <c r="OQB1159" s="7"/>
      <c r="OQC1159" s="7"/>
      <c r="OQD1159" s="7"/>
      <c r="OQE1159" s="7"/>
      <c r="OQF1159" s="7"/>
      <c r="OQG1159" s="7"/>
      <c r="OQH1159" s="7"/>
      <c r="OQI1159" s="7"/>
      <c r="OQJ1159" s="7"/>
      <c r="OQK1159" s="7"/>
      <c r="OQL1159" s="7"/>
      <c r="OQM1159" s="7"/>
      <c r="OQN1159" s="7"/>
      <c r="OQO1159" s="7"/>
      <c r="OQP1159" s="7"/>
      <c r="OQQ1159" s="7"/>
      <c r="OQR1159" s="7"/>
      <c r="OQS1159" s="7"/>
      <c r="OQT1159" s="7"/>
      <c r="OQU1159" s="7"/>
      <c r="OQV1159" s="7"/>
      <c r="OQW1159" s="7"/>
      <c r="OQX1159" s="7"/>
      <c r="OQY1159" s="7"/>
      <c r="OQZ1159" s="7"/>
      <c r="ORA1159" s="7"/>
      <c r="ORB1159" s="7"/>
      <c r="ORC1159" s="7"/>
      <c r="ORD1159" s="7"/>
      <c r="ORE1159" s="7"/>
      <c r="ORF1159" s="7"/>
      <c r="ORG1159" s="7"/>
      <c r="ORH1159" s="7"/>
      <c r="ORI1159" s="7"/>
      <c r="ORJ1159" s="7"/>
      <c r="ORK1159" s="7"/>
      <c r="ORL1159" s="7"/>
      <c r="ORM1159" s="7"/>
      <c r="ORN1159" s="7"/>
      <c r="ORO1159" s="7"/>
      <c r="ORP1159" s="7"/>
      <c r="ORQ1159" s="7"/>
      <c r="ORR1159" s="7"/>
      <c r="ORS1159" s="7"/>
      <c r="ORT1159" s="7"/>
      <c r="ORU1159" s="7"/>
      <c r="ORV1159" s="7"/>
      <c r="ORW1159" s="7"/>
      <c r="ORX1159" s="7"/>
      <c r="ORY1159" s="7"/>
      <c r="ORZ1159" s="7"/>
      <c r="OSA1159" s="7"/>
      <c r="OSB1159" s="7"/>
      <c r="OSC1159" s="7"/>
      <c r="OSD1159" s="7"/>
      <c r="OSE1159" s="7"/>
      <c r="OSF1159" s="7"/>
      <c r="OSG1159" s="7"/>
      <c r="OSH1159" s="7"/>
      <c r="OSI1159" s="7"/>
      <c r="OSJ1159" s="7"/>
      <c r="OSK1159" s="7"/>
      <c r="OSL1159" s="7"/>
      <c r="OSM1159" s="7"/>
      <c r="OSN1159" s="7"/>
      <c r="OSO1159" s="7"/>
      <c r="OSP1159" s="7"/>
      <c r="OSQ1159" s="7"/>
      <c r="OSR1159" s="7"/>
      <c r="OSS1159" s="7"/>
      <c r="OST1159" s="7"/>
      <c r="OSU1159" s="7"/>
      <c r="OSV1159" s="7"/>
      <c r="OSW1159" s="7"/>
      <c r="OSX1159" s="7"/>
      <c r="OSY1159" s="7"/>
      <c r="OSZ1159" s="7"/>
      <c r="OTA1159" s="7"/>
      <c r="OTB1159" s="7"/>
      <c r="OTC1159" s="7"/>
      <c r="OTD1159" s="7"/>
      <c r="OTE1159" s="7"/>
      <c r="OTF1159" s="7"/>
      <c r="OTG1159" s="7"/>
      <c r="OTH1159" s="7"/>
      <c r="OTI1159" s="7"/>
      <c r="OTJ1159" s="7"/>
      <c r="OTK1159" s="7"/>
      <c r="OTL1159" s="7"/>
      <c r="OTM1159" s="7"/>
      <c r="OTN1159" s="7"/>
      <c r="OTO1159" s="7"/>
      <c r="OTP1159" s="7"/>
      <c r="OTQ1159" s="7"/>
      <c r="OTR1159" s="7"/>
      <c r="OTS1159" s="7"/>
      <c r="OTT1159" s="7"/>
      <c r="OTU1159" s="7"/>
      <c r="OTV1159" s="7"/>
      <c r="OTW1159" s="7"/>
      <c r="OTX1159" s="7"/>
      <c r="OTY1159" s="7"/>
      <c r="OTZ1159" s="7"/>
      <c r="OUA1159" s="7"/>
      <c r="OUB1159" s="7"/>
      <c r="OUC1159" s="7"/>
      <c r="OUD1159" s="7"/>
      <c r="OUE1159" s="7"/>
      <c r="OUF1159" s="7"/>
      <c r="OUG1159" s="7"/>
      <c r="OUH1159" s="7"/>
      <c r="OUI1159" s="7"/>
      <c r="OUJ1159" s="7"/>
      <c r="OUK1159" s="7"/>
      <c r="OUL1159" s="7"/>
      <c r="OUM1159" s="7"/>
      <c r="OUN1159" s="7"/>
      <c r="OUO1159" s="7"/>
      <c r="OUP1159" s="7"/>
      <c r="OUQ1159" s="7"/>
      <c r="OUR1159" s="7"/>
      <c r="OUS1159" s="7"/>
      <c r="OUT1159" s="7"/>
      <c r="OUU1159" s="7"/>
      <c r="OUV1159" s="7"/>
      <c r="OUW1159" s="7"/>
      <c r="OUX1159" s="7"/>
      <c r="OUY1159" s="7"/>
      <c r="OUZ1159" s="7"/>
      <c r="OVA1159" s="7"/>
      <c r="OVB1159" s="7"/>
      <c r="OVC1159" s="7"/>
      <c r="OVD1159" s="7"/>
      <c r="OVE1159" s="7"/>
      <c r="OVF1159" s="7"/>
      <c r="OVG1159" s="7"/>
      <c r="OVH1159" s="7"/>
      <c r="OVI1159" s="7"/>
      <c r="OVJ1159" s="7"/>
      <c r="OVK1159" s="7"/>
      <c r="OVL1159" s="7"/>
      <c r="OVM1159" s="7"/>
      <c r="OVN1159" s="7"/>
      <c r="OVO1159" s="7"/>
      <c r="OVP1159" s="7"/>
      <c r="OVQ1159" s="7"/>
      <c r="OVR1159" s="7"/>
      <c r="OVS1159" s="7"/>
      <c r="OVT1159" s="7"/>
      <c r="OVU1159" s="7"/>
      <c r="OVV1159" s="7"/>
      <c r="OVW1159" s="7"/>
      <c r="OVX1159" s="7"/>
      <c r="OVY1159" s="7"/>
      <c r="OVZ1159" s="7"/>
      <c r="OWA1159" s="7"/>
      <c r="OWB1159" s="7"/>
      <c r="OWC1159" s="7"/>
      <c r="OWD1159" s="7"/>
      <c r="OWE1159" s="7"/>
      <c r="OWF1159" s="7"/>
      <c r="OWG1159" s="7"/>
      <c r="OWH1159" s="7"/>
      <c r="OWI1159" s="7"/>
      <c r="OWJ1159" s="7"/>
      <c r="OWK1159" s="7"/>
      <c r="OWL1159" s="7"/>
      <c r="OWM1159" s="7"/>
      <c r="OWN1159" s="7"/>
      <c r="OWO1159" s="7"/>
      <c r="OWP1159" s="7"/>
      <c r="OWQ1159" s="7"/>
      <c r="OWR1159" s="7"/>
      <c r="OWS1159" s="7"/>
      <c r="OWT1159" s="7"/>
      <c r="OWU1159" s="7"/>
      <c r="OWV1159" s="7"/>
      <c r="OWW1159" s="7"/>
      <c r="OWX1159" s="7"/>
      <c r="OWY1159" s="7"/>
      <c r="OWZ1159" s="7"/>
      <c r="OXA1159" s="7"/>
      <c r="OXB1159" s="7"/>
      <c r="OXC1159" s="7"/>
      <c r="OXD1159" s="7"/>
      <c r="OXE1159" s="7"/>
      <c r="OXF1159" s="7"/>
      <c r="OXG1159" s="7"/>
      <c r="OXH1159" s="7"/>
      <c r="OXI1159" s="7"/>
      <c r="OXJ1159" s="7"/>
      <c r="OXK1159" s="7"/>
      <c r="OXL1159" s="7"/>
      <c r="OXM1159" s="7"/>
      <c r="OXN1159" s="7"/>
      <c r="OXO1159" s="7"/>
      <c r="OXP1159" s="7"/>
      <c r="OXQ1159" s="7"/>
      <c r="OXR1159" s="7"/>
      <c r="OXS1159" s="7"/>
      <c r="OXT1159" s="7"/>
      <c r="OXU1159" s="7"/>
      <c r="OXV1159" s="7"/>
      <c r="OXW1159" s="7"/>
      <c r="OXX1159" s="7"/>
      <c r="OXY1159" s="7"/>
      <c r="OXZ1159" s="7"/>
      <c r="OYA1159" s="7"/>
      <c r="OYB1159" s="7"/>
      <c r="OYC1159" s="7"/>
      <c r="OYD1159" s="7"/>
      <c r="OYE1159" s="7"/>
      <c r="OYF1159" s="7"/>
      <c r="OYG1159" s="7"/>
      <c r="OYH1159" s="7"/>
      <c r="OYI1159" s="7"/>
      <c r="OYJ1159" s="7"/>
      <c r="OYK1159" s="7"/>
      <c r="OYL1159" s="7"/>
      <c r="OYM1159" s="7"/>
      <c r="OYN1159" s="7"/>
      <c r="OYO1159" s="7"/>
      <c r="OYP1159" s="7"/>
      <c r="OYQ1159" s="7"/>
      <c r="OYR1159" s="7"/>
      <c r="OYS1159" s="7"/>
      <c r="OYT1159" s="7"/>
      <c r="OYU1159" s="7"/>
      <c r="OYV1159" s="7"/>
      <c r="OYW1159" s="7"/>
      <c r="OYX1159" s="7"/>
      <c r="OYY1159" s="7"/>
      <c r="OYZ1159" s="7"/>
      <c r="OZA1159" s="7"/>
      <c r="OZB1159" s="7"/>
      <c r="OZC1159" s="7"/>
      <c r="OZD1159" s="7"/>
      <c r="OZE1159" s="7"/>
      <c r="OZF1159" s="7"/>
      <c r="OZG1159" s="7"/>
      <c r="OZH1159" s="7"/>
      <c r="OZI1159" s="7"/>
      <c r="OZJ1159" s="7"/>
      <c r="OZK1159" s="7"/>
      <c r="OZL1159" s="7"/>
      <c r="OZM1159" s="7"/>
      <c r="OZN1159" s="7"/>
      <c r="OZO1159" s="7"/>
      <c r="OZP1159" s="7"/>
      <c r="OZQ1159" s="7"/>
      <c r="OZR1159" s="7"/>
      <c r="OZS1159" s="7"/>
      <c r="OZT1159" s="7"/>
      <c r="OZU1159" s="7"/>
      <c r="OZV1159" s="7"/>
      <c r="OZW1159" s="7"/>
      <c r="OZX1159" s="7"/>
      <c r="OZY1159" s="7"/>
      <c r="OZZ1159" s="7"/>
      <c r="PAA1159" s="7"/>
      <c r="PAB1159" s="7"/>
      <c r="PAC1159" s="7"/>
      <c r="PAD1159" s="7"/>
      <c r="PAE1159" s="7"/>
      <c r="PAF1159" s="7"/>
      <c r="PAG1159" s="7"/>
      <c r="PAH1159" s="7"/>
      <c r="PAI1159" s="7"/>
      <c r="PAJ1159" s="7"/>
      <c r="PAK1159" s="7"/>
      <c r="PAL1159" s="7"/>
      <c r="PAM1159" s="7"/>
      <c r="PAN1159" s="7"/>
      <c r="PAO1159" s="7"/>
      <c r="PAP1159" s="7"/>
      <c r="PAQ1159" s="7"/>
      <c r="PAR1159" s="7"/>
      <c r="PAS1159" s="7"/>
      <c r="PAT1159" s="7"/>
      <c r="PAU1159" s="7"/>
      <c r="PAV1159" s="7"/>
      <c r="PAW1159" s="7"/>
      <c r="PAX1159" s="7"/>
      <c r="PAY1159" s="7"/>
      <c r="PAZ1159" s="7"/>
      <c r="PBA1159" s="7"/>
      <c r="PBB1159" s="7"/>
      <c r="PBC1159" s="7"/>
      <c r="PBD1159" s="7"/>
      <c r="PBE1159" s="7"/>
      <c r="PBF1159" s="7"/>
      <c r="PBG1159" s="7"/>
      <c r="PBH1159" s="7"/>
      <c r="PBI1159" s="7"/>
      <c r="PBJ1159" s="7"/>
      <c r="PBK1159" s="7"/>
      <c r="PBL1159" s="7"/>
      <c r="PBM1159" s="7"/>
      <c r="PBN1159" s="7"/>
      <c r="PBO1159" s="7"/>
      <c r="PBP1159" s="7"/>
      <c r="PBQ1159" s="7"/>
      <c r="PBR1159" s="7"/>
      <c r="PBS1159" s="7"/>
      <c r="PBT1159" s="7"/>
      <c r="PBU1159" s="7"/>
      <c r="PBV1159" s="7"/>
      <c r="PBW1159" s="7"/>
      <c r="PBX1159" s="7"/>
      <c r="PBY1159" s="7"/>
      <c r="PBZ1159" s="7"/>
      <c r="PCA1159" s="7"/>
      <c r="PCB1159" s="7"/>
      <c r="PCC1159" s="7"/>
      <c r="PCD1159" s="7"/>
      <c r="PCE1159" s="7"/>
      <c r="PCF1159" s="7"/>
      <c r="PCG1159" s="7"/>
      <c r="PCH1159" s="7"/>
      <c r="PCI1159" s="7"/>
      <c r="PCJ1159" s="7"/>
      <c r="PCK1159" s="7"/>
      <c r="PCL1159" s="7"/>
      <c r="PCM1159" s="7"/>
      <c r="PCN1159" s="7"/>
      <c r="PCO1159" s="7"/>
      <c r="PCP1159" s="7"/>
      <c r="PCQ1159" s="7"/>
      <c r="PCR1159" s="7"/>
      <c r="PCS1159" s="7"/>
      <c r="PCT1159" s="7"/>
      <c r="PCU1159" s="7"/>
      <c r="PCV1159" s="7"/>
      <c r="PCW1159" s="7"/>
      <c r="PCX1159" s="7"/>
      <c r="PCY1159" s="7"/>
      <c r="PCZ1159" s="7"/>
      <c r="PDA1159" s="7"/>
      <c r="PDB1159" s="7"/>
      <c r="PDC1159" s="7"/>
      <c r="PDD1159" s="7"/>
      <c r="PDE1159" s="7"/>
      <c r="PDF1159" s="7"/>
      <c r="PDG1159" s="7"/>
      <c r="PDH1159" s="7"/>
      <c r="PDI1159" s="7"/>
      <c r="PDJ1159" s="7"/>
      <c r="PDK1159" s="7"/>
      <c r="PDL1159" s="7"/>
      <c r="PDM1159" s="7"/>
      <c r="PDN1159" s="7"/>
      <c r="PDO1159" s="7"/>
      <c r="PDP1159" s="7"/>
      <c r="PDQ1159" s="7"/>
      <c r="PDR1159" s="7"/>
      <c r="PDS1159" s="7"/>
      <c r="PDT1159" s="7"/>
      <c r="PDU1159" s="7"/>
      <c r="PDV1159" s="7"/>
      <c r="PDW1159" s="7"/>
      <c r="PDX1159" s="7"/>
      <c r="PDY1159" s="7"/>
      <c r="PDZ1159" s="7"/>
      <c r="PEA1159" s="7"/>
      <c r="PEB1159" s="7"/>
      <c r="PEC1159" s="7"/>
      <c r="PED1159" s="7"/>
      <c r="PEE1159" s="7"/>
      <c r="PEF1159" s="7"/>
      <c r="PEG1159" s="7"/>
      <c r="PEH1159" s="7"/>
      <c r="PEI1159" s="7"/>
      <c r="PEJ1159" s="7"/>
      <c r="PEK1159" s="7"/>
      <c r="PEL1159" s="7"/>
      <c r="PEM1159" s="7"/>
      <c r="PEN1159" s="7"/>
      <c r="PEO1159" s="7"/>
      <c r="PEP1159" s="7"/>
      <c r="PEQ1159" s="7"/>
      <c r="PER1159" s="7"/>
      <c r="PES1159" s="7"/>
      <c r="PET1159" s="7"/>
      <c r="PEU1159" s="7"/>
      <c r="PEV1159" s="7"/>
      <c r="PEW1159" s="7"/>
      <c r="PEX1159" s="7"/>
      <c r="PEY1159" s="7"/>
      <c r="PEZ1159" s="7"/>
      <c r="PFA1159" s="7"/>
      <c r="PFB1159" s="7"/>
      <c r="PFC1159" s="7"/>
      <c r="PFD1159" s="7"/>
      <c r="PFE1159" s="7"/>
      <c r="PFF1159" s="7"/>
      <c r="PFG1159" s="7"/>
      <c r="PFH1159" s="7"/>
      <c r="PFI1159" s="7"/>
      <c r="PFJ1159" s="7"/>
      <c r="PFK1159" s="7"/>
      <c r="PFL1159" s="7"/>
      <c r="PFM1159" s="7"/>
      <c r="PFN1159" s="7"/>
      <c r="PFO1159" s="7"/>
      <c r="PFP1159" s="7"/>
      <c r="PFQ1159" s="7"/>
      <c r="PFR1159" s="7"/>
      <c r="PFS1159" s="7"/>
      <c r="PFT1159" s="7"/>
      <c r="PFU1159" s="7"/>
      <c r="PFV1159" s="7"/>
      <c r="PFW1159" s="7"/>
      <c r="PFX1159" s="7"/>
      <c r="PFY1159" s="7"/>
      <c r="PFZ1159" s="7"/>
      <c r="PGA1159" s="7"/>
      <c r="PGB1159" s="7"/>
      <c r="PGC1159" s="7"/>
      <c r="PGD1159" s="7"/>
      <c r="PGE1159" s="7"/>
      <c r="PGF1159" s="7"/>
      <c r="PGG1159" s="7"/>
      <c r="PGH1159" s="7"/>
      <c r="PGI1159" s="7"/>
      <c r="PGJ1159" s="7"/>
      <c r="PGK1159" s="7"/>
      <c r="PGL1159" s="7"/>
      <c r="PGM1159" s="7"/>
      <c r="PGN1159" s="7"/>
      <c r="PGO1159" s="7"/>
      <c r="PGP1159" s="7"/>
      <c r="PGQ1159" s="7"/>
      <c r="PGR1159" s="7"/>
      <c r="PGS1159" s="7"/>
      <c r="PGT1159" s="7"/>
      <c r="PGU1159" s="7"/>
      <c r="PGV1159" s="7"/>
      <c r="PGW1159" s="7"/>
      <c r="PGX1159" s="7"/>
      <c r="PGY1159" s="7"/>
      <c r="PGZ1159" s="7"/>
      <c r="PHA1159" s="7"/>
      <c r="PHB1159" s="7"/>
      <c r="PHC1159" s="7"/>
      <c r="PHD1159" s="7"/>
      <c r="PHE1159" s="7"/>
      <c r="PHF1159" s="7"/>
      <c r="PHG1159" s="7"/>
      <c r="PHH1159" s="7"/>
      <c r="PHI1159" s="7"/>
      <c r="PHJ1159" s="7"/>
      <c r="PHK1159" s="7"/>
      <c r="PHL1159" s="7"/>
      <c r="PHM1159" s="7"/>
      <c r="PHN1159" s="7"/>
      <c r="PHO1159" s="7"/>
      <c r="PHP1159" s="7"/>
      <c r="PHQ1159" s="7"/>
      <c r="PHR1159" s="7"/>
      <c r="PHS1159" s="7"/>
      <c r="PHT1159" s="7"/>
      <c r="PHU1159" s="7"/>
      <c r="PHV1159" s="7"/>
      <c r="PHW1159" s="7"/>
      <c r="PHX1159" s="7"/>
      <c r="PHY1159" s="7"/>
      <c r="PHZ1159" s="7"/>
      <c r="PIA1159" s="7"/>
      <c r="PIB1159" s="7"/>
      <c r="PIC1159" s="7"/>
      <c r="PID1159" s="7"/>
      <c r="PIE1159" s="7"/>
      <c r="PIF1159" s="7"/>
      <c r="PIG1159" s="7"/>
      <c r="PIH1159" s="7"/>
      <c r="PII1159" s="7"/>
      <c r="PIJ1159" s="7"/>
      <c r="PIK1159" s="7"/>
      <c r="PIL1159" s="7"/>
      <c r="PIM1159" s="7"/>
      <c r="PIN1159" s="7"/>
      <c r="PIO1159" s="7"/>
      <c r="PIP1159" s="7"/>
      <c r="PIQ1159" s="7"/>
      <c r="PIR1159" s="7"/>
      <c r="PIS1159" s="7"/>
      <c r="PIT1159" s="7"/>
      <c r="PIU1159" s="7"/>
      <c r="PIV1159" s="7"/>
      <c r="PIW1159" s="7"/>
      <c r="PIX1159" s="7"/>
      <c r="PIY1159" s="7"/>
      <c r="PIZ1159" s="7"/>
      <c r="PJA1159" s="7"/>
      <c r="PJB1159" s="7"/>
      <c r="PJC1159" s="7"/>
      <c r="PJD1159" s="7"/>
      <c r="PJE1159" s="7"/>
      <c r="PJF1159" s="7"/>
      <c r="PJG1159" s="7"/>
      <c r="PJH1159" s="7"/>
      <c r="PJI1159" s="7"/>
      <c r="PJJ1159" s="7"/>
      <c r="PJK1159" s="7"/>
      <c r="PJL1159" s="7"/>
      <c r="PJM1159" s="7"/>
      <c r="PJN1159" s="7"/>
      <c r="PJO1159" s="7"/>
      <c r="PJP1159" s="7"/>
      <c r="PJQ1159" s="7"/>
      <c r="PJR1159" s="7"/>
      <c r="PJS1159" s="7"/>
      <c r="PJT1159" s="7"/>
      <c r="PJU1159" s="7"/>
      <c r="PJV1159" s="7"/>
      <c r="PJW1159" s="7"/>
      <c r="PJX1159" s="7"/>
      <c r="PJY1159" s="7"/>
      <c r="PJZ1159" s="7"/>
      <c r="PKA1159" s="7"/>
      <c r="PKB1159" s="7"/>
      <c r="PKC1159" s="7"/>
      <c r="PKD1159" s="7"/>
      <c r="PKE1159" s="7"/>
      <c r="PKF1159" s="7"/>
      <c r="PKG1159" s="7"/>
      <c r="PKH1159" s="7"/>
      <c r="PKI1159" s="7"/>
      <c r="PKJ1159" s="7"/>
      <c r="PKK1159" s="7"/>
      <c r="PKL1159" s="7"/>
      <c r="PKM1159" s="7"/>
      <c r="PKN1159" s="7"/>
      <c r="PKO1159" s="7"/>
      <c r="PKP1159" s="7"/>
      <c r="PKQ1159" s="7"/>
      <c r="PKR1159" s="7"/>
      <c r="PKS1159" s="7"/>
      <c r="PKT1159" s="7"/>
      <c r="PKU1159" s="7"/>
      <c r="PKV1159" s="7"/>
      <c r="PKW1159" s="7"/>
      <c r="PKX1159" s="7"/>
      <c r="PKY1159" s="7"/>
      <c r="PKZ1159" s="7"/>
      <c r="PLA1159" s="7"/>
      <c r="PLB1159" s="7"/>
      <c r="PLC1159" s="7"/>
      <c r="PLD1159" s="7"/>
      <c r="PLE1159" s="7"/>
      <c r="PLF1159" s="7"/>
      <c r="PLG1159" s="7"/>
      <c r="PLH1159" s="7"/>
      <c r="PLI1159" s="7"/>
      <c r="PLJ1159" s="7"/>
      <c r="PLK1159" s="7"/>
      <c r="PLL1159" s="7"/>
      <c r="PLM1159" s="7"/>
      <c r="PLN1159" s="7"/>
      <c r="PLO1159" s="7"/>
      <c r="PLP1159" s="7"/>
      <c r="PLQ1159" s="7"/>
      <c r="PLR1159" s="7"/>
      <c r="PLS1159" s="7"/>
      <c r="PLT1159" s="7"/>
      <c r="PLU1159" s="7"/>
      <c r="PLV1159" s="7"/>
      <c r="PLW1159" s="7"/>
      <c r="PLX1159" s="7"/>
      <c r="PLY1159" s="7"/>
      <c r="PLZ1159" s="7"/>
      <c r="PMA1159" s="7"/>
      <c r="PMB1159" s="7"/>
      <c r="PMC1159" s="7"/>
      <c r="PMD1159" s="7"/>
      <c r="PME1159" s="7"/>
      <c r="PMF1159" s="7"/>
      <c r="PMG1159" s="7"/>
      <c r="PMH1159" s="7"/>
      <c r="PMI1159" s="7"/>
      <c r="PMJ1159" s="7"/>
      <c r="PMK1159" s="7"/>
      <c r="PML1159" s="7"/>
      <c r="PMM1159" s="7"/>
      <c r="PMN1159" s="7"/>
      <c r="PMO1159" s="7"/>
      <c r="PMP1159" s="7"/>
      <c r="PMQ1159" s="7"/>
      <c r="PMR1159" s="7"/>
      <c r="PMS1159" s="7"/>
      <c r="PMT1159" s="7"/>
      <c r="PMU1159" s="7"/>
      <c r="PMV1159" s="7"/>
      <c r="PMW1159" s="7"/>
      <c r="PMX1159" s="7"/>
      <c r="PMY1159" s="7"/>
      <c r="PMZ1159" s="7"/>
      <c r="PNA1159" s="7"/>
      <c r="PNB1159" s="7"/>
      <c r="PNC1159" s="7"/>
      <c r="PND1159" s="7"/>
      <c r="PNE1159" s="7"/>
      <c r="PNF1159" s="7"/>
      <c r="PNG1159" s="7"/>
      <c r="PNH1159" s="7"/>
      <c r="PNI1159" s="7"/>
      <c r="PNJ1159" s="7"/>
      <c r="PNK1159" s="7"/>
      <c r="PNL1159" s="7"/>
      <c r="PNM1159" s="7"/>
      <c r="PNN1159" s="7"/>
      <c r="PNO1159" s="7"/>
      <c r="PNP1159" s="7"/>
      <c r="PNQ1159" s="7"/>
      <c r="PNR1159" s="7"/>
      <c r="PNS1159" s="7"/>
      <c r="PNT1159" s="7"/>
      <c r="PNU1159" s="7"/>
      <c r="PNV1159" s="7"/>
      <c r="PNW1159" s="7"/>
      <c r="PNX1159" s="7"/>
      <c r="PNY1159" s="7"/>
      <c r="PNZ1159" s="7"/>
      <c r="POA1159" s="7"/>
      <c r="POB1159" s="7"/>
      <c r="POC1159" s="7"/>
      <c r="POD1159" s="7"/>
      <c r="POE1159" s="7"/>
      <c r="POF1159" s="7"/>
      <c r="POG1159" s="7"/>
      <c r="POH1159" s="7"/>
      <c r="POI1159" s="7"/>
      <c r="POJ1159" s="7"/>
      <c r="POK1159" s="7"/>
      <c r="POL1159" s="7"/>
      <c r="POM1159" s="7"/>
      <c r="PON1159" s="7"/>
      <c r="POO1159" s="7"/>
      <c r="POP1159" s="7"/>
      <c r="POQ1159" s="7"/>
      <c r="POR1159" s="7"/>
      <c r="POS1159" s="7"/>
      <c r="POT1159" s="7"/>
      <c r="POU1159" s="7"/>
      <c r="POV1159" s="7"/>
      <c r="POW1159" s="7"/>
      <c r="POX1159" s="7"/>
      <c r="POY1159" s="7"/>
      <c r="POZ1159" s="7"/>
      <c r="PPA1159" s="7"/>
      <c r="PPB1159" s="7"/>
      <c r="PPC1159" s="7"/>
      <c r="PPD1159" s="7"/>
      <c r="PPE1159" s="7"/>
      <c r="PPF1159" s="7"/>
      <c r="PPG1159" s="7"/>
      <c r="PPH1159" s="7"/>
      <c r="PPI1159" s="7"/>
      <c r="PPJ1159" s="7"/>
      <c r="PPK1159" s="7"/>
      <c r="PPL1159" s="7"/>
      <c r="PPM1159" s="7"/>
      <c r="PPN1159" s="7"/>
      <c r="PPO1159" s="7"/>
      <c r="PPP1159" s="7"/>
      <c r="PPQ1159" s="7"/>
      <c r="PPR1159" s="7"/>
      <c r="PPS1159" s="7"/>
      <c r="PPT1159" s="7"/>
      <c r="PPU1159" s="7"/>
      <c r="PPV1159" s="7"/>
      <c r="PPW1159" s="7"/>
      <c r="PPX1159" s="7"/>
      <c r="PPY1159" s="7"/>
      <c r="PPZ1159" s="7"/>
      <c r="PQA1159" s="7"/>
      <c r="PQB1159" s="7"/>
      <c r="PQC1159" s="7"/>
      <c r="PQD1159" s="7"/>
      <c r="PQE1159" s="7"/>
      <c r="PQF1159" s="7"/>
      <c r="PQG1159" s="7"/>
      <c r="PQH1159" s="7"/>
      <c r="PQI1159" s="7"/>
      <c r="PQJ1159" s="7"/>
      <c r="PQK1159" s="7"/>
      <c r="PQL1159" s="7"/>
      <c r="PQM1159" s="7"/>
      <c r="PQN1159" s="7"/>
      <c r="PQO1159" s="7"/>
      <c r="PQP1159" s="7"/>
      <c r="PQQ1159" s="7"/>
      <c r="PQR1159" s="7"/>
      <c r="PQS1159" s="7"/>
      <c r="PQT1159" s="7"/>
      <c r="PQU1159" s="7"/>
      <c r="PQV1159" s="7"/>
      <c r="PQW1159" s="7"/>
      <c r="PQX1159" s="7"/>
      <c r="PQY1159" s="7"/>
      <c r="PQZ1159" s="7"/>
      <c r="PRA1159" s="7"/>
      <c r="PRB1159" s="7"/>
      <c r="PRC1159" s="7"/>
      <c r="PRD1159" s="7"/>
      <c r="PRE1159" s="7"/>
      <c r="PRF1159" s="7"/>
      <c r="PRG1159" s="7"/>
      <c r="PRH1159" s="7"/>
      <c r="PRI1159" s="7"/>
      <c r="PRJ1159" s="7"/>
      <c r="PRK1159" s="7"/>
      <c r="PRL1159" s="7"/>
      <c r="PRM1159" s="7"/>
      <c r="PRN1159" s="7"/>
      <c r="PRO1159" s="7"/>
      <c r="PRP1159" s="7"/>
      <c r="PRQ1159" s="7"/>
      <c r="PRR1159" s="7"/>
      <c r="PRS1159" s="7"/>
      <c r="PRT1159" s="7"/>
      <c r="PRU1159" s="7"/>
      <c r="PRV1159" s="7"/>
      <c r="PRW1159" s="7"/>
      <c r="PRX1159" s="7"/>
      <c r="PRY1159" s="7"/>
      <c r="PRZ1159" s="7"/>
      <c r="PSA1159" s="7"/>
      <c r="PSB1159" s="7"/>
      <c r="PSC1159" s="7"/>
      <c r="PSD1159" s="7"/>
      <c r="PSE1159" s="7"/>
      <c r="PSF1159" s="7"/>
      <c r="PSG1159" s="7"/>
      <c r="PSH1159" s="7"/>
      <c r="PSI1159" s="7"/>
      <c r="PSJ1159" s="7"/>
      <c r="PSK1159" s="7"/>
      <c r="PSL1159" s="7"/>
      <c r="PSM1159" s="7"/>
      <c r="PSN1159" s="7"/>
      <c r="PSO1159" s="7"/>
      <c r="PSP1159" s="7"/>
      <c r="PSQ1159" s="7"/>
      <c r="PSR1159" s="7"/>
      <c r="PSS1159" s="7"/>
      <c r="PST1159" s="7"/>
      <c r="PSU1159" s="7"/>
      <c r="PSV1159" s="7"/>
      <c r="PSW1159" s="7"/>
      <c r="PSX1159" s="7"/>
      <c r="PSY1159" s="7"/>
      <c r="PSZ1159" s="7"/>
      <c r="PTA1159" s="7"/>
      <c r="PTB1159" s="7"/>
      <c r="PTC1159" s="7"/>
      <c r="PTD1159" s="7"/>
      <c r="PTE1159" s="7"/>
      <c r="PTF1159" s="7"/>
      <c r="PTG1159" s="7"/>
      <c r="PTH1159" s="7"/>
      <c r="PTI1159" s="7"/>
      <c r="PTJ1159" s="7"/>
      <c r="PTK1159" s="7"/>
      <c r="PTL1159" s="7"/>
      <c r="PTM1159" s="7"/>
      <c r="PTN1159" s="7"/>
      <c r="PTO1159" s="7"/>
      <c r="PTP1159" s="7"/>
      <c r="PTQ1159" s="7"/>
      <c r="PTR1159" s="7"/>
      <c r="PTS1159" s="7"/>
      <c r="PTT1159" s="7"/>
      <c r="PTU1159" s="7"/>
      <c r="PTV1159" s="7"/>
      <c r="PTW1159" s="7"/>
      <c r="PTX1159" s="7"/>
      <c r="PTY1159" s="7"/>
      <c r="PTZ1159" s="7"/>
      <c r="PUA1159" s="7"/>
      <c r="PUB1159" s="7"/>
      <c r="PUC1159" s="7"/>
      <c r="PUD1159" s="7"/>
      <c r="PUE1159" s="7"/>
      <c r="PUF1159" s="7"/>
      <c r="PUG1159" s="7"/>
      <c r="PUH1159" s="7"/>
      <c r="PUI1159" s="7"/>
      <c r="PUJ1159" s="7"/>
      <c r="PUK1159" s="7"/>
      <c r="PUL1159" s="7"/>
      <c r="PUM1159" s="7"/>
      <c r="PUN1159" s="7"/>
      <c r="PUO1159" s="7"/>
      <c r="PUP1159" s="7"/>
      <c r="PUQ1159" s="7"/>
      <c r="PUR1159" s="7"/>
      <c r="PUS1159" s="7"/>
      <c r="PUT1159" s="7"/>
      <c r="PUU1159" s="7"/>
      <c r="PUV1159" s="7"/>
      <c r="PUW1159" s="7"/>
      <c r="PUX1159" s="7"/>
      <c r="PUY1159" s="7"/>
      <c r="PUZ1159" s="7"/>
      <c r="PVA1159" s="7"/>
      <c r="PVB1159" s="7"/>
      <c r="PVC1159" s="7"/>
      <c r="PVD1159" s="7"/>
      <c r="PVE1159" s="7"/>
      <c r="PVF1159" s="7"/>
      <c r="PVG1159" s="7"/>
      <c r="PVH1159" s="7"/>
      <c r="PVI1159" s="7"/>
      <c r="PVJ1159" s="7"/>
      <c r="PVK1159" s="7"/>
      <c r="PVL1159" s="7"/>
      <c r="PVM1159" s="7"/>
      <c r="PVN1159" s="7"/>
      <c r="PVO1159" s="7"/>
      <c r="PVP1159" s="7"/>
      <c r="PVQ1159" s="7"/>
      <c r="PVR1159" s="7"/>
      <c r="PVS1159" s="7"/>
      <c r="PVT1159" s="7"/>
      <c r="PVU1159" s="7"/>
      <c r="PVV1159" s="7"/>
      <c r="PVW1159" s="7"/>
      <c r="PVX1159" s="7"/>
      <c r="PVY1159" s="7"/>
      <c r="PVZ1159" s="7"/>
      <c r="PWA1159" s="7"/>
      <c r="PWB1159" s="7"/>
      <c r="PWC1159" s="7"/>
      <c r="PWD1159" s="7"/>
      <c r="PWE1159" s="7"/>
      <c r="PWF1159" s="7"/>
      <c r="PWG1159" s="7"/>
      <c r="PWH1159" s="7"/>
      <c r="PWI1159" s="7"/>
      <c r="PWJ1159" s="7"/>
      <c r="PWK1159" s="7"/>
      <c r="PWL1159" s="7"/>
      <c r="PWM1159" s="7"/>
      <c r="PWN1159" s="7"/>
      <c r="PWO1159" s="7"/>
      <c r="PWP1159" s="7"/>
      <c r="PWQ1159" s="7"/>
      <c r="PWR1159" s="7"/>
      <c r="PWS1159" s="7"/>
      <c r="PWT1159" s="7"/>
      <c r="PWU1159" s="7"/>
      <c r="PWV1159" s="7"/>
      <c r="PWW1159" s="7"/>
      <c r="PWX1159" s="7"/>
      <c r="PWY1159" s="7"/>
      <c r="PWZ1159" s="7"/>
      <c r="PXA1159" s="7"/>
      <c r="PXB1159" s="7"/>
      <c r="PXC1159" s="7"/>
      <c r="PXD1159" s="7"/>
      <c r="PXE1159" s="7"/>
      <c r="PXF1159" s="7"/>
      <c r="PXG1159" s="7"/>
      <c r="PXH1159" s="7"/>
      <c r="PXI1159" s="7"/>
      <c r="PXJ1159" s="7"/>
      <c r="PXK1159" s="7"/>
      <c r="PXL1159" s="7"/>
      <c r="PXM1159" s="7"/>
      <c r="PXN1159" s="7"/>
      <c r="PXO1159" s="7"/>
      <c r="PXP1159" s="7"/>
      <c r="PXQ1159" s="7"/>
      <c r="PXR1159" s="7"/>
      <c r="PXS1159" s="7"/>
      <c r="PXT1159" s="7"/>
      <c r="PXU1159" s="7"/>
      <c r="PXV1159" s="7"/>
      <c r="PXW1159" s="7"/>
      <c r="PXX1159" s="7"/>
      <c r="PXY1159" s="7"/>
      <c r="PXZ1159" s="7"/>
      <c r="PYA1159" s="7"/>
      <c r="PYB1159" s="7"/>
      <c r="PYC1159" s="7"/>
      <c r="PYD1159" s="7"/>
      <c r="PYE1159" s="7"/>
      <c r="PYF1159" s="7"/>
      <c r="PYG1159" s="7"/>
      <c r="PYH1159" s="7"/>
      <c r="PYI1159" s="7"/>
      <c r="PYJ1159" s="7"/>
      <c r="PYK1159" s="7"/>
      <c r="PYL1159" s="7"/>
      <c r="PYM1159" s="7"/>
      <c r="PYN1159" s="7"/>
      <c r="PYO1159" s="7"/>
      <c r="PYP1159" s="7"/>
      <c r="PYQ1159" s="7"/>
      <c r="PYR1159" s="7"/>
      <c r="PYS1159" s="7"/>
      <c r="PYT1159" s="7"/>
      <c r="PYU1159" s="7"/>
      <c r="PYV1159" s="7"/>
      <c r="PYW1159" s="7"/>
      <c r="PYX1159" s="7"/>
      <c r="PYY1159" s="7"/>
      <c r="PYZ1159" s="7"/>
      <c r="PZA1159" s="7"/>
      <c r="PZB1159" s="7"/>
      <c r="PZC1159" s="7"/>
      <c r="PZD1159" s="7"/>
      <c r="PZE1159" s="7"/>
      <c r="PZF1159" s="7"/>
      <c r="PZG1159" s="7"/>
      <c r="PZH1159" s="7"/>
      <c r="PZI1159" s="7"/>
      <c r="PZJ1159" s="7"/>
      <c r="PZK1159" s="7"/>
      <c r="PZL1159" s="7"/>
      <c r="PZM1159" s="7"/>
      <c r="PZN1159" s="7"/>
      <c r="PZO1159" s="7"/>
      <c r="PZP1159" s="7"/>
      <c r="PZQ1159" s="7"/>
      <c r="PZR1159" s="7"/>
      <c r="PZS1159" s="7"/>
      <c r="PZT1159" s="7"/>
      <c r="PZU1159" s="7"/>
      <c r="PZV1159" s="7"/>
      <c r="PZW1159" s="7"/>
      <c r="PZX1159" s="7"/>
      <c r="PZY1159" s="7"/>
      <c r="PZZ1159" s="7"/>
      <c r="QAA1159" s="7"/>
      <c r="QAB1159" s="7"/>
      <c r="QAC1159" s="7"/>
      <c r="QAD1159" s="7"/>
      <c r="QAE1159" s="7"/>
      <c r="QAF1159" s="7"/>
      <c r="QAG1159" s="7"/>
      <c r="QAH1159" s="7"/>
      <c r="QAI1159" s="7"/>
      <c r="QAJ1159" s="7"/>
      <c r="QAK1159" s="7"/>
      <c r="QAL1159" s="7"/>
      <c r="QAM1159" s="7"/>
      <c r="QAN1159" s="7"/>
      <c r="QAO1159" s="7"/>
      <c r="QAP1159" s="7"/>
      <c r="QAQ1159" s="7"/>
      <c r="QAR1159" s="7"/>
      <c r="QAS1159" s="7"/>
      <c r="QAT1159" s="7"/>
      <c r="QAU1159" s="7"/>
      <c r="QAV1159" s="7"/>
      <c r="QAW1159" s="7"/>
      <c r="QAX1159" s="7"/>
      <c r="QAY1159" s="7"/>
      <c r="QAZ1159" s="7"/>
      <c r="QBA1159" s="7"/>
      <c r="QBB1159" s="7"/>
      <c r="QBC1159" s="7"/>
      <c r="QBD1159" s="7"/>
      <c r="QBE1159" s="7"/>
      <c r="QBF1159" s="7"/>
      <c r="QBG1159" s="7"/>
      <c r="QBH1159" s="7"/>
      <c r="QBI1159" s="7"/>
      <c r="QBJ1159" s="7"/>
      <c r="QBK1159" s="7"/>
      <c r="QBL1159" s="7"/>
      <c r="QBM1159" s="7"/>
      <c r="QBN1159" s="7"/>
      <c r="QBO1159" s="7"/>
      <c r="QBP1159" s="7"/>
      <c r="QBQ1159" s="7"/>
      <c r="QBR1159" s="7"/>
      <c r="QBS1159" s="7"/>
      <c r="QBT1159" s="7"/>
      <c r="QBU1159" s="7"/>
      <c r="QBV1159" s="7"/>
      <c r="QBW1159" s="7"/>
      <c r="QBX1159" s="7"/>
      <c r="QBY1159" s="7"/>
      <c r="QBZ1159" s="7"/>
      <c r="QCA1159" s="7"/>
      <c r="QCB1159" s="7"/>
      <c r="QCC1159" s="7"/>
      <c r="QCD1159" s="7"/>
      <c r="QCE1159" s="7"/>
      <c r="QCF1159" s="7"/>
      <c r="QCG1159" s="7"/>
      <c r="QCH1159" s="7"/>
      <c r="QCI1159" s="7"/>
      <c r="QCJ1159" s="7"/>
      <c r="QCK1159" s="7"/>
      <c r="QCL1159" s="7"/>
      <c r="QCM1159" s="7"/>
      <c r="QCN1159" s="7"/>
      <c r="QCO1159" s="7"/>
      <c r="QCP1159" s="7"/>
      <c r="QCQ1159" s="7"/>
      <c r="QCR1159" s="7"/>
      <c r="QCS1159" s="7"/>
      <c r="QCT1159" s="7"/>
      <c r="QCU1159" s="7"/>
      <c r="QCV1159" s="7"/>
      <c r="QCW1159" s="7"/>
      <c r="QCX1159" s="7"/>
      <c r="QCY1159" s="7"/>
      <c r="QCZ1159" s="7"/>
      <c r="QDA1159" s="7"/>
      <c r="QDB1159" s="7"/>
      <c r="QDC1159" s="7"/>
      <c r="QDD1159" s="7"/>
      <c r="QDE1159" s="7"/>
      <c r="QDF1159" s="7"/>
      <c r="QDG1159" s="7"/>
      <c r="QDH1159" s="7"/>
      <c r="QDI1159" s="7"/>
      <c r="QDJ1159" s="7"/>
      <c r="QDK1159" s="7"/>
      <c r="QDL1159" s="7"/>
      <c r="QDM1159" s="7"/>
      <c r="QDN1159" s="7"/>
      <c r="QDO1159" s="7"/>
      <c r="QDP1159" s="7"/>
      <c r="QDQ1159" s="7"/>
      <c r="QDR1159" s="7"/>
      <c r="QDS1159" s="7"/>
      <c r="QDT1159" s="7"/>
      <c r="QDU1159" s="7"/>
      <c r="QDV1159" s="7"/>
      <c r="QDW1159" s="7"/>
      <c r="QDX1159" s="7"/>
      <c r="QDY1159" s="7"/>
      <c r="QDZ1159" s="7"/>
      <c r="QEA1159" s="7"/>
      <c r="QEB1159" s="7"/>
      <c r="QEC1159" s="7"/>
      <c r="QED1159" s="7"/>
      <c r="QEE1159" s="7"/>
      <c r="QEF1159" s="7"/>
      <c r="QEG1159" s="7"/>
      <c r="QEH1159" s="7"/>
      <c r="QEI1159" s="7"/>
      <c r="QEJ1159" s="7"/>
      <c r="QEK1159" s="7"/>
      <c r="QEL1159" s="7"/>
      <c r="QEM1159" s="7"/>
      <c r="QEN1159" s="7"/>
      <c r="QEO1159" s="7"/>
      <c r="QEP1159" s="7"/>
      <c r="QEQ1159" s="7"/>
      <c r="QER1159" s="7"/>
      <c r="QES1159" s="7"/>
      <c r="QET1159" s="7"/>
      <c r="QEU1159" s="7"/>
      <c r="QEV1159" s="7"/>
      <c r="QEW1159" s="7"/>
      <c r="QEX1159" s="7"/>
      <c r="QEY1159" s="7"/>
      <c r="QEZ1159" s="7"/>
      <c r="QFA1159" s="7"/>
      <c r="QFB1159" s="7"/>
      <c r="QFC1159" s="7"/>
      <c r="QFD1159" s="7"/>
      <c r="QFE1159" s="7"/>
      <c r="QFF1159" s="7"/>
      <c r="QFG1159" s="7"/>
      <c r="QFH1159" s="7"/>
      <c r="QFI1159" s="7"/>
      <c r="QFJ1159" s="7"/>
      <c r="QFK1159" s="7"/>
      <c r="QFL1159" s="7"/>
      <c r="QFM1159" s="7"/>
      <c r="QFN1159" s="7"/>
      <c r="QFO1159" s="7"/>
      <c r="QFP1159" s="7"/>
      <c r="QFQ1159" s="7"/>
      <c r="QFR1159" s="7"/>
      <c r="QFS1159" s="7"/>
      <c r="QFT1159" s="7"/>
      <c r="QFU1159" s="7"/>
      <c r="QFV1159" s="7"/>
      <c r="QFW1159" s="7"/>
      <c r="QFX1159" s="7"/>
      <c r="QFY1159" s="7"/>
      <c r="QFZ1159" s="7"/>
      <c r="QGA1159" s="7"/>
      <c r="QGB1159" s="7"/>
      <c r="QGC1159" s="7"/>
      <c r="QGD1159" s="7"/>
      <c r="QGE1159" s="7"/>
      <c r="QGF1159" s="7"/>
      <c r="QGG1159" s="7"/>
      <c r="QGH1159" s="7"/>
      <c r="QGI1159" s="7"/>
      <c r="QGJ1159" s="7"/>
      <c r="QGK1159" s="7"/>
      <c r="QGL1159" s="7"/>
      <c r="QGM1159" s="7"/>
      <c r="QGN1159" s="7"/>
      <c r="QGO1159" s="7"/>
      <c r="QGP1159" s="7"/>
      <c r="QGQ1159" s="7"/>
      <c r="QGR1159" s="7"/>
      <c r="QGS1159" s="7"/>
      <c r="QGT1159" s="7"/>
      <c r="QGU1159" s="7"/>
      <c r="QGV1159" s="7"/>
      <c r="QGW1159" s="7"/>
      <c r="QGX1159" s="7"/>
      <c r="QGY1159" s="7"/>
      <c r="QGZ1159" s="7"/>
      <c r="QHA1159" s="7"/>
      <c r="QHB1159" s="7"/>
      <c r="QHC1159" s="7"/>
      <c r="QHD1159" s="7"/>
      <c r="QHE1159" s="7"/>
      <c r="QHF1159" s="7"/>
      <c r="QHG1159" s="7"/>
      <c r="QHH1159" s="7"/>
      <c r="QHI1159" s="7"/>
      <c r="QHJ1159" s="7"/>
      <c r="QHK1159" s="7"/>
      <c r="QHL1159" s="7"/>
      <c r="QHM1159" s="7"/>
      <c r="QHN1159" s="7"/>
      <c r="QHO1159" s="7"/>
      <c r="QHP1159" s="7"/>
      <c r="QHQ1159" s="7"/>
      <c r="QHR1159" s="7"/>
      <c r="QHS1159" s="7"/>
      <c r="QHT1159" s="7"/>
      <c r="QHU1159" s="7"/>
      <c r="QHV1159" s="7"/>
      <c r="QHW1159" s="7"/>
      <c r="QHX1159" s="7"/>
      <c r="QHY1159" s="7"/>
      <c r="QHZ1159" s="7"/>
      <c r="QIA1159" s="7"/>
      <c r="QIB1159" s="7"/>
      <c r="QIC1159" s="7"/>
      <c r="QID1159" s="7"/>
      <c r="QIE1159" s="7"/>
      <c r="QIF1159" s="7"/>
      <c r="QIG1159" s="7"/>
      <c r="QIH1159" s="7"/>
      <c r="QII1159" s="7"/>
      <c r="QIJ1159" s="7"/>
      <c r="QIK1159" s="7"/>
      <c r="QIL1159" s="7"/>
      <c r="QIM1159" s="7"/>
      <c r="QIN1159" s="7"/>
      <c r="QIO1159" s="7"/>
      <c r="QIP1159" s="7"/>
      <c r="QIQ1159" s="7"/>
      <c r="QIR1159" s="7"/>
      <c r="QIS1159" s="7"/>
      <c r="QIT1159" s="7"/>
      <c r="QIU1159" s="7"/>
      <c r="QIV1159" s="7"/>
      <c r="QIW1159" s="7"/>
      <c r="QIX1159" s="7"/>
      <c r="QIY1159" s="7"/>
      <c r="QIZ1159" s="7"/>
      <c r="QJA1159" s="7"/>
      <c r="QJB1159" s="7"/>
      <c r="QJC1159" s="7"/>
      <c r="QJD1159" s="7"/>
      <c r="QJE1159" s="7"/>
      <c r="QJF1159" s="7"/>
      <c r="QJG1159" s="7"/>
      <c r="QJH1159" s="7"/>
      <c r="QJI1159" s="7"/>
      <c r="QJJ1159" s="7"/>
      <c r="QJK1159" s="7"/>
      <c r="QJL1159" s="7"/>
      <c r="QJM1159" s="7"/>
      <c r="QJN1159" s="7"/>
      <c r="QJO1159" s="7"/>
      <c r="QJP1159" s="7"/>
      <c r="QJQ1159" s="7"/>
      <c r="QJR1159" s="7"/>
      <c r="QJS1159" s="7"/>
      <c r="QJT1159" s="7"/>
      <c r="QJU1159" s="7"/>
      <c r="QJV1159" s="7"/>
      <c r="QJW1159" s="7"/>
      <c r="QJX1159" s="7"/>
      <c r="QJY1159" s="7"/>
      <c r="QJZ1159" s="7"/>
      <c r="QKA1159" s="7"/>
      <c r="QKB1159" s="7"/>
      <c r="QKC1159" s="7"/>
      <c r="QKD1159" s="7"/>
      <c r="QKE1159" s="7"/>
      <c r="QKF1159" s="7"/>
      <c r="QKG1159" s="7"/>
      <c r="QKH1159" s="7"/>
      <c r="QKI1159" s="7"/>
      <c r="QKJ1159" s="7"/>
      <c r="QKK1159" s="7"/>
      <c r="QKL1159" s="7"/>
      <c r="QKM1159" s="7"/>
      <c r="QKN1159" s="7"/>
      <c r="QKO1159" s="7"/>
      <c r="QKP1159" s="7"/>
      <c r="QKQ1159" s="7"/>
      <c r="QKR1159" s="7"/>
      <c r="QKS1159" s="7"/>
      <c r="QKT1159" s="7"/>
      <c r="QKU1159" s="7"/>
      <c r="QKV1159" s="7"/>
      <c r="QKW1159" s="7"/>
      <c r="QKX1159" s="7"/>
      <c r="QKY1159" s="7"/>
      <c r="QKZ1159" s="7"/>
      <c r="QLA1159" s="7"/>
      <c r="QLB1159" s="7"/>
      <c r="QLC1159" s="7"/>
      <c r="QLD1159" s="7"/>
      <c r="QLE1159" s="7"/>
      <c r="QLF1159" s="7"/>
      <c r="QLG1159" s="7"/>
      <c r="QLH1159" s="7"/>
      <c r="QLI1159" s="7"/>
      <c r="QLJ1159" s="7"/>
      <c r="QLK1159" s="7"/>
      <c r="QLL1159" s="7"/>
      <c r="QLM1159" s="7"/>
      <c r="QLN1159" s="7"/>
      <c r="QLO1159" s="7"/>
      <c r="QLP1159" s="7"/>
      <c r="QLQ1159" s="7"/>
      <c r="QLR1159" s="7"/>
      <c r="QLS1159" s="7"/>
      <c r="QLT1159" s="7"/>
      <c r="QLU1159" s="7"/>
      <c r="QLV1159" s="7"/>
      <c r="QLW1159" s="7"/>
      <c r="QLX1159" s="7"/>
      <c r="QLY1159" s="7"/>
      <c r="QLZ1159" s="7"/>
      <c r="QMA1159" s="7"/>
      <c r="QMB1159" s="7"/>
      <c r="QMC1159" s="7"/>
      <c r="QMD1159" s="7"/>
      <c r="QME1159" s="7"/>
      <c r="QMF1159" s="7"/>
      <c r="QMG1159" s="7"/>
      <c r="QMH1159" s="7"/>
      <c r="QMI1159" s="7"/>
      <c r="QMJ1159" s="7"/>
      <c r="QMK1159" s="7"/>
      <c r="QML1159" s="7"/>
      <c r="QMM1159" s="7"/>
      <c r="QMN1159" s="7"/>
      <c r="QMO1159" s="7"/>
      <c r="QMP1159" s="7"/>
      <c r="QMQ1159" s="7"/>
      <c r="QMR1159" s="7"/>
      <c r="QMS1159" s="7"/>
      <c r="QMT1159" s="7"/>
      <c r="QMU1159" s="7"/>
      <c r="QMV1159" s="7"/>
      <c r="QMW1159" s="7"/>
      <c r="QMX1159" s="7"/>
      <c r="QMY1159" s="7"/>
      <c r="QMZ1159" s="7"/>
      <c r="QNA1159" s="7"/>
      <c r="QNB1159" s="7"/>
      <c r="QNC1159" s="7"/>
      <c r="QND1159" s="7"/>
      <c r="QNE1159" s="7"/>
      <c r="QNF1159" s="7"/>
      <c r="QNG1159" s="7"/>
      <c r="QNH1159" s="7"/>
      <c r="QNI1159" s="7"/>
      <c r="QNJ1159" s="7"/>
      <c r="QNK1159" s="7"/>
      <c r="QNL1159" s="7"/>
      <c r="QNM1159" s="7"/>
      <c r="QNN1159" s="7"/>
      <c r="QNO1159" s="7"/>
      <c r="QNP1159" s="7"/>
      <c r="QNQ1159" s="7"/>
      <c r="QNR1159" s="7"/>
      <c r="QNS1159" s="7"/>
      <c r="QNT1159" s="7"/>
      <c r="QNU1159" s="7"/>
      <c r="QNV1159" s="7"/>
      <c r="QNW1159" s="7"/>
      <c r="QNX1159" s="7"/>
      <c r="QNY1159" s="7"/>
      <c r="QNZ1159" s="7"/>
      <c r="QOA1159" s="7"/>
      <c r="QOB1159" s="7"/>
      <c r="QOC1159" s="7"/>
      <c r="QOD1159" s="7"/>
      <c r="QOE1159" s="7"/>
      <c r="QOF1159" s="7"/>
      <c r="QOG1159" s="7"/>
      <c r="QOH1159" s="7"/>
      <c r="QOI1159" s="7"/>
      <c r="QOJ1159" s="7"/>
      <c r="QOK1159" s="7"/>
      <c r="QOL1159" s="7"/>
      <c r="QOM1159" s="7"/>
      <c r="QON1159" s="7"/>
      <c r="QOO1159" s="7"/>
      <c r="QOP1159" s="7"/>
      <c r="QOQ1159" s="7"/>
      <c r="QOR1159" s="7"/>
      <c r="QOS1159" s="7"/>
      <c r="QOT1159" s="7"/>
      <c r="QOU1159" s="7"/>
      <c r="QOV1159" s="7"/>
      <c r="QOW1159" s="7"/>
      <c r="QOX1159" s="7"/>
      <c r="QOY1159" s="7"/>
      <c r="QOZ1159" s="7"/>
      <c r="QPA1159" s="7"/>
      <c r="QPB1159" s="7"/>
      <c r="QPC1159" s="7"/>
      <c r="QPD1159" s="7"/>
      <c r="QPE1159" s="7"/>
      <c r="QPF1159" s="7"/>
      <c r="QPG1159" s="7"/>
      <c r="QPH1159" s="7"/>
      <c r="QPI1159" s="7"/>
      <c r="QPJ1159" s="7"/>
      <c r="QPK1159" s="7"/>
      <c r="QPL1159" s="7"/>
      <c r="QPM1159" s="7"/>
      <c r="QPN1159" s="7"/>
      <c r="QPO1159" s="7"/>
      <c r="QPP1159" s="7"/>
      <c r="QPQ1159" s="7"/>
      <c r="QPR1159" s="7"/>
      <c r="QPS1159" s="7"/>
      <c r="QPT1159" s="7"/>
      <c r="QPU1159" s="7"/>
      <c r="QPV1159" s="7"/>
      <c r="QPW1159" s="7"/>
      <c r="QPX1159" s="7"/>
      <c r="QPY1159" s="7"/>
      <c r="QPZ1159" s="7"/>
      <c r="QQA1159" s="7"/>
      <c r="QQB1159" s="7"/>
      <c r="QQC1159" s="7"/>
      <c r="QQD1159" s="7"/>
      <c r="QQE1159" s="7"/>
      <c r="QQF1159" s="7"/>
      <c r="QQG1159" s="7"/>
      <c r="QQH1159" s="7"/>
      <c r="QQI1159" s="7"/>
      <c r="QQJ1159" s="7"/>
      <c r="QQK1159" s="7"/>
      <c r="QQL1159" s="7"/>
      <c r="QQM1159" s="7"/>
      <c r="QQN1159" s="7"/>
      <c r="QQO1159" s="7"/>
      <c r="QQP1159" s="7"/>
      <c r="QQQ1159" s="7"/>
      <c r="QQR1159" s="7"/>
      <c r="QQS1159" s="7"/>
      <c r="QQT1159" s="7"/>
      <c r="QQU1159" s="7"/>
      <c r="QQV1159" s="7"/>
      <c r="QQW1159" s="7"/>
      <c r="QQX1159" s="7"/>
      <c r="QQY1159" s="7"/>
      <c r="QQZ1159" s="7"/>
      <c r="QRA1159" s="7"/>
      <c r="QRB1159" s="7"/>
      <c r="QRC1159" s="7"/>
      <c r="QRD1159" s="7"/>
      <c r="QRE1159" s="7"/>
      <c r="QRF1159" s="7"/>
      <c r="QRG1159" s="7"/>
      <c r="QRH1159" s="7"/>
      <c r="QRI1159" s="7"/>
      <c r="QRJ1159" s="7"/>
      <c r="QRK1159" s="7"/>
      <c r="QRL1159" s="7"/>
      <c r="QRM1159" s="7"/>
      <c r="QRN1159" s="7"/>
      <c r="QRO1159" s="7"/>
      <c r="QRP1159" s="7"/>
      <c r="QRQ1159" s="7"/>
      <c r="QRR1159" s="7"/>
      <c r="QRS1159" s="7"/>
      <c r="QRT1159" s="7"/>
      <c r="QRU1159" s="7"/>
      <c r="QRV1159" s="7"/>
      <c r="QRW1159" s="7"/>
      <c r="QRX1159" s="7"/>
      <c r="QRY1159" s="7"/>
      <c r="QRZ1159" s="7"/>
      <c r="QSA1159" s="7"/>
      <c r="QSB1159" s="7"/>
      <c r="QSC1159" s="7"/>
      <c r="QSD1159" s="7"/>
      <c r="QSE1159" s="7"/>
      <c r="QSF1159" s="7"/>
      <c r="QSG1159" s="7"/>
      <c r="QSH1159" s="7"/>
      <c r="QSI1159" s="7"/>
      <c r="QSJ1159" s="7"/>
      <c r="QSK1159" s="7"/>
      <c r="QSL1159" s="7"/>
      <c r="QSM1159" s="7"/>
      <c r="QSN1159" s="7"/>
      <c r="QSO1159" s="7"/>
      <c r="QSP1159" s="7"/>
      <c r="QSQ1159" s="7"/>
      <c r="QSR1159" s="7"/>
      <c r="QSS1159" s="7"/>
      <c r="QST1159" s="7"/>
      <c r="QSU1159" s="7"/>
      <c r="QSV1159" s="7"/>
      <c r="QSW1159" s="7"/>
      <c r="QSX1159" s="7"/>
      <c r="QSY1159" s="7"/>
      <c r="QSZ1159" s="7"/>
      <c r="QTA1159" s="7"/>
      <c r="QTB1159" s="7"/>
      <c r="QTC1159" s="7"/>
      <c r="QTD1159" s="7"/>
      <c r="QTE1159" s="7"/>
      <c r="QTF1159" s="7"/>
      <c r="QTG1159" s="7"/>
      <c r="QTH1159" s="7"/>
      <c r="QTI1159" s="7"/>
      <c r="QTJ1159" s="7"/>
      <c r="QTK1159" s="7"/>
      <c r="QTL1159" s="7"/>
      <c r="QTM1159" s="7"/>
      <c r="QTN1159" s="7"/>
      <c r="QTO1159" s="7"/>
      <c r="QTP1159" s="7"/>
      <c r="QTQ1159" s="7"/>
      <c r="QTR1159" s="7"/>
      <c r="QTS1159" s="7"/>
      <c r="QTT1159" s="7"/>
      <c r="QTU1159" s="7"/>
      <c r="QTV1159" s="7"/>
      <c r="QTW1159" s="7"/>
      <c r="QTX1159" s="7"/>
      <c r="QTY1159" s="7"/>
      <c r="QTZ1159" s="7"/>
      <c r="QUA1159" s="7"/>
      <c r="QUB1159" s="7"/>
      <c r="QUC1159" s="7"/>
      <c r="QUD1159" s="7"/>
      <c r="QUE1159" s="7"/>
      <c r="QUF1159" s="7"/>
      <c r="QUG1159" s="7"/>
      <c r="QUH1159" s="7"/>
      <c r="QUI1159" s="7"/>
      <c r="QUJ1159" s="7"/>
      <c r="QUK1159" s="7"/>
      <c r="QUL1159" s="7"/>
      <c r="QUM1159" s="7"/>
      <c r="QUN1159" s="7"/>
      <c r="QUO1159" s="7"/>
      <c r="QUP1159" s="7"/>
      <c r="QUQ1159" s="7"/>
      <c r="QUR1159" s="7"/>
      <c r="QUS1159" s="7"/>
      <c r="QUT1159" s="7"/>
      <c r="QUU1159" s="7"/>
      <c r="QUV1159" s="7"/>
      <c r="QUW1159" s="7"/>
      <c r="QUX1159" s="7"/>
      <c r="QUY1159" s="7"/>
      <c r="QUZ1159" s="7"/>
      <c r="QVA1159" s="7"/>
      <c r="QVB1159" s="7"/>
      <c r="QVC1159" s="7"/>
      <c r="QVD1159" s="7"/>
      <c r="QVE1159" s="7"/>
      <c r="QVF1159" s="7"/>
      <c r="QVG1159" s="7"/>
      <c r="QVH1159" s="7"/>
      <c r="QVI1159" s="7"/>
      <c r="QVJ1159" s="7"/>
      <c r="QVK1159" s="7"/>
      <c r="QVL1159" s="7"/>
      <c r="QVM1159" s="7"/>
      <c r="QVN1159" s="7"/>
      <c r="QVO1159" s="7"/>
      <c r="QVP1159" s="7"/>
      <c r="QVQ1159" s="7"/>
      <c r="QVR1159" s="7"/>
      <c r="QVS1159" s="7"/>
      <c r="QVT1159" s="7"/>
      <c r="QVU1159" s="7"/>
      <c r="QVV1159" s="7"/>
      <c r="QVW1159" s="7"/>
      <c r="QVX1159" s="7"/>
      <c r="QVY1159" s="7"/>
      <c r="QVZ1159" s="7"/>
      <c r="QWA1159" s="7"/>
      <c r="QWB1159" s="7"/>
      <c r="QWC1159" s="7"/>
      <c r="QWD1159" s="7"/>
      <c r="QWE1159" s="7"/>
      <c r="QWF1159" s="7"/>
      <c r="QWG1159" s="7"/>
      <c r="QWH1159" s="7"/>
      <c r="QWI1159" s="7"/>
      <c r="QWJ1159" s="7"/>
      <c r="QWK1159" s="7"/>
      <c r="QWL1159" s="7"/>
      <c r="QWM1159" s="7"/>
      <c r="QWN1159" s="7"/>
      <c r="QWO1159" s="7"/>
      <c r="QWP1159" s="7"/>
      <c r="QWQ1159" s="7"/>
      <c r="QWR1159" s="7"/>
      <c r="QWS1159" s="7"/>
      <c r="QWT1159" s="7"/>
      <c r="QWU1159" s="7"/>
      <c r="QWV1159" s="7"/>
      <c r="QWW1159" s="7"/>
      <c r="QWX1159" s="7"/>
      <c r="QWY1159" s="7"/>
      <c r="QWZ1159" s="7"/>
      <c r="QXA1159" s="7"/>
      <c r="QXB1159" s="7"/>
      <c r="QXC1159" s="7"/>
      <c r="QXD1159" s="7"/>
      <c r="QXE1159" s="7"/>
      <c r="QXF1159" s="7"/>
      <c r="QXG1159" s="7"/>
      <c r="QXH1159" s="7"/>
      <c r="QXI1159" s="7"/>
      <c r="QXJ1159" s="7"/>
      <c r="QXK1159" s="7"/>
      <c r="QXL1159" s="7"/>
      <c r="QXM1159" s="7"/>
      <c r="QXN1159" s="7"/>
      <c r="QXO1159" s="7"/>
      <c r="QXP1159" s="7"/>
      <c r="QXQ1159" s="7"/>
      <c r="QXR1159" s="7"/>
      <c r="QXS1159" s="7"/>
      <c r="QXT1159" s="7"/>
      <c r="QXU1159" s="7"/>
      <c r="QXV1159" s="7"/>
      <c r="QXW1159" s="7"/>
      <c r="QXX1159" s="7"/>
      <c r="QXY1159" s="7"/>
      <c r="QXZ1159" s="7"/>
      <c r="QYA1159" s="7"/>
      <c r="QYB1159" s="7"/>
      <c r="QYC1159" s="7"/>
      <c r="QYD1159" s="7"/>
      <c r="QYE1159" s="7"/>
      <c r="QYF1159" s="7"/>
      <c r="QYG1159" s="7"/>
      <c r="QYH1159" s="7"/>
      <c r="QYI1159" s="7"/>
      <c r="QYJ1159" s="7"/>
      <c r="QYK1159" s="7"/>
      <c r="QYL1159" s="7"/>
      <c r="QYM1159" s="7"/>
      <c r="QYN1159" s="7"/>
      <c r="QYO1159" s="7"/>
      <c r="QYP1159" s="7"/>
      <c r="QYQ1159" s="7"/>
      <c r="QYR1159" s="7"/>
      <c r="QYS1159" s="7"/>
      <c r="QYT1159" s="7"/>
      <c r="QYU1159" s="7"/>
      <c r="QYV1159" s="7"/>
      <c r="QYW1159" s="7"/>
      <c r="QYX1159" s="7"/>
      <c r="QYY1159" s="7"/>
      <c r="QYZ1159" s="7"/>
      <c r="QZA1159" s="7"/>
      <c r="QZB1159" s="7"/>
      <c r="QZC1159" s="7"/>
      <c r="QZD1159" s="7"/>
      <c r="QZE1159" s="7"/>
      <c r="QZF1159" s="7"/>
      <c r="QZG1159" s="7"/>
      <c r="QZH1159" s="7"/>
      <c r="QZI1159" s="7"/>
      <c r="QZJ1159" s="7"/>
      <c r="QZK1159" s="7"/>
      <c r="QZL1159" s="7"/>
      <c r="QZM1159" s="7"/>
      <c r="QZN1159" s="7"/>
      <c r="QZO1159" s="7"/>
      <c r="QZP1159" s="7"/>
      <c r="QZQ1159" s="7"/>
      <c r="QZR1159" s="7"/>
      <c r="QZS1159" s="7"/>
      <c r="QZT1159" s="7"/>
      <c r="QZU1159" s="7"/>
      <c r="QZV1159" s="7"/>
      <c r="QZW1159" s="7"/>
      <c r="QZX1159" s="7"/>
      <c r="QZY1159" s="7"/>
      <c r="QZZ1159" s="7"/>
      <c r="RAA1159" s="7"/>
      <c r="RAB1159" s="7"/>
      <c r="RAC1159" s="7"/>
      <c r="RAD1159" s="7"/>
      <c r="RAE1159" s="7"/>
      <c r="RAF1159" s="7"/>
      <c r="RAG1159" s="7"/>
      <c r="RAH1159" s="7"/>
      <c r="RAI1159" s="7"/>
      <c r="RAJ1159" s="7"/>
      <c r="RAK1159" s="7"/>
      <c r="RAL1159" s="7"/>
      <c r="RAM1159" s="7"/>
      <c r="RAN1159" s="7"/>
      <c r="RAO1159" s="7"/>
      <c r="RAP1159" s="7"/>
      <c r="RAQ1159" s="7"/>
      <c r="RAR1159" s="7"/>
      <c r="RAS1159" s="7"/>
      <c r="RAT1159" s="7"/>
      <c r="RAU1159" s="7"/>
      <c r="RAV1159" s="7"/>
      <c r="RAW1159" s="7"/>
      <c r="RAX1159" s="7"/>
      <c r="RAY1159" s="7"/>
      <c r="RAZ1159" s="7"/>
      <c r="RBA1159" s="7"/>
      <c r="RBB1159" s="7"/>
      <c r="RBC1159" s="7"/>
      <c r="RBD1159" s="7"/>
      <c r="RBE1159" s="7"/>
      <c r="RBF1159" s="7"/>
      <c r="RBG1159" s="7"/>
      <c r="RBH1159" s="7"/>
      <c r="RBI1159" s="7"/>
      <c r="RBJ1159" s="7"/>
      <c r="RBK1159" s="7"/>
      <c r="RBL1159" s="7"/>
      <c r="RBM1159" s="7"/>
      <c r="RBN1159" s="7"/>
      <c r="RBO1159" s="7"/>
      <c r="RBP1159" s="7"/>
      <c r="RBQ1159" s="7"/>
      <c r="RBR1159" s="7"/>
      <c r="RBS1159" s="7"/>
      <c r="RBT1159" s="7"/>
      <c r="RBU1159" s="7"/>
      <c r="RBV1159" s="7"/>
      <c r="RBW1159" s="7"/>
      <c r="RBX1159" s="7"/>
      <c r="RBY1159" s="7"/>
      <c r="RBZ1159" s="7"/>
      <c r="RCA1159" s="7"/>
      <c r="RCB1159" s="7"/>
      <c r="RCC1159" s="7"/>
      <c r="RCD1159" s="7"/>
      <c r="RCE1159" s="7"/>
      <c r="RCF1159" s="7"/>
      <c r="RCG1159" s="7"/>
      <c r="RCH1159" s="7"/>
      <c r="RCI1159" s="7"/>
      <c r="RCJ1159" s="7"/>
      <c r="RCK1159" s="7"/>
      <c r="RCL1159" s="7"/>
      <c r="RCM1159" s="7"/>
      <c r="RCN1159" s="7"/>
      <c r="RCO1159" s="7"/>
      <c r="RCP1159" s="7"/>
      <c r="RCQ1159" s="7"/>
      <c r="RCR1159" s="7"/>
      <c r="RCS1159" s="7"/>
      <c r="RCT1159" s="7"/>
      <c r="RCU1159" s="7"/>
      <c r="RCV1159" s="7"/>
      <c r="RCW1159" s="7"/>
      <c r="RCX1159" s="7"/>
      <c r="RCY1159" s="7"/>
      <c r="RCZ1159" s="7"/>
      <c r="RDA1159" s="7"/>
      <c r="RDB1159" s="7"/>
      <c r="RDC1159" s="7"/>
      <c r="RDD1159" s="7"/>
      <c r="RDE1159" s="7"/>
      <c r="RDF1159" s="7"/>
      <c r="RDG1159" s="7"/>
      <c r="RDH1159" s="7"/>
      <c r="RDI1159" s="7"/>
      <c r="RDJ1159" s="7"/>
      <c r="RDK1159" s="7"/>
      <c r="RDL1159" s="7"/>
      <c r="RDM1159" s="7"/>
      <c r="RDN1159" s="7"/>
      <c r="RDO1159" s="7"/>
      <c r="RDP1159" s="7"/>
      <c r="RDQ1159" s="7"/>
      <c r="RDR1159" s="7"/>
      <c r="RDS1159" s="7"/>
      <c r="RDT1159" s="7"/>
      <c r="RDU1159" s="7"/>
      <c r="RDV1159" s="7"/>
      <c r="RDW1159" s="7"/>
      <c r="RDX1159" s="7"/>
      <c r="RDY1159" s="7"/>
      <c r="RDZ1159" s="7"/>
      <c r="REA1159" s="7"/>
      <c r="REB1159" s="7"/>
      <c r="REC1159" s="7"/>
      <c r="RED1159" s="7"/>
      <c r="REE1159" s="7"/>
      <c r="REF1159" s="7"/>
      <c r="REG1159" s="7"/>
      <c r="REH1159" s="7"/>
      <c r="REI1159" s="7"/>
      <c r="REJ1159" s="7"/>
      <c r="REK1159" s="7"/>
      <c r="REL1159" s="7"/>
      <c r="REM1159" s="7"/>
      <c r="REN1159" s="7"/>
      <c r="REO1159" s="7"/>
      <c r="REP1159" s="7"/>
      <c r="REQ1159" s="7"/>
      <c r="RER1159" s="7"/>
      <c r="RES1159" s="7"/>
      <c r="RET1159" s="7"/>
      <c r="REU1159" s="7"/>
      <c r="REV1159" s="7"/>
      <c r="REW1159" s="7"/>
      <c r="REX1159" s="7"/>
      <c r="REY1159" s="7"/>
      <c r="REZ1159" s="7"/>
      <c r="RFA1159" s="7"/>
      <c r="RFB1159" s="7"/>
      <c r="RFC1159" s="7"/>
      <c r="RFD1159" s="7"/>
      <c r="RFE1159" s="7"/>
      <c r="RFF1159" s="7"/>
      <c r="RFG1159" s="7"/>
      <c r="RFH1159" s="7"/>
      <c r="RFI1159" s="7"/>
      <c r="RFJ1159" s="7"/>
      <c r="RFK1159" s="7"/>
      <c r="RFL1159" s="7"/>
      <c r="RFM1159" s="7"/>
      <c r="RFN1159" s="7"/>
      <c r="RFO1159" s="7"/>
      <c r="RFP1159" s="7"/>
      <c r="RFQ1159" s="7"/>
      <c r="RFR1159" s="7"/>
      <c r="RFS1159" s="7"/>
      <c r="RFT1159" s="7"/>
      <c r="RFU1159" s="7"/>
      <c r="RFV1159" s="7"/>
      <c r="RFW1159" s="7"/>
      <c r="RFX1159" s="7"/>
      <c r="RFY1159" s="7"/>
      <c r="RFZ1159" s="7"/>
      <c r="RGA1159" s="7"/>
      <c r="RGB1159" s="7"/>
      <c r="RGC1159" s="7"/>
      <c r="RGD1159" s="7"/>
      <c r="RGE1159" s="7"/>
      <c r="RGF1159" s="7"/>
      <c r="RGG1159" s="7"/>
      <c r="RGH1159" s="7"/>
      <c r="RGI1159" s="7"/>
      <c r="RGJ1159" s="7"/>
      <c r="RGK1159" s="7"/>
      <c r="RGL1159" s="7"/>
      <c r="RGM1159" s="7"/>
      <c r="RGN1159" s="7"/>
      <c r="RGO1159" s="7"/>
      <c r="RGP1159" s="7"/>
      <c r="RGQ1159" s="7"/>
      <c r="RGR1159" s="7"/>
      <c r="RGS1159" s="7"/>
      <c r="RGT1159" s="7"/>
      <c r="RGU1159" s="7"/>
      <c r="RGV1159" s="7"/>
      <c r="RGW1159" s="7"/>
      <c r="RGX1159" s="7"/>
      <c r="RGY1159" s="7"/>
      <c r="RGZ1159" s="7"/>
      <c r="RHA1159" s="7"/>
      <c r="RHB1159" s="7"/>
      <c r="RHC1159" s="7"/>
      <c r="RHD1159" s="7"/>
      <c r="RHE1159" s="7"/>
      <c r="RHF1159" s="7"/>
      <c r="RHG1159" s="7"/>
      <c r="RHH1159" s="7"/>
      <c r="RHI1159" s="7"/>
      <c r="RHJ1159" s="7"/>
      <c r="RHK1159" s="7"/>
      <c r="RHL1159" s="7"/>
      <c r="RHM1159" s="7"/>
      <c r="RHN1159" s="7"/>
      <c r="RHO1159" s="7"/>
      <c r="RHP1159" s="7"/>
      <c r="RHQ1159" s="7"/>
      <c r="RHR1159" s="7"/>
      <c r="RHS1159" s="7"/>
      <c r="RHT1159" s="7"/>
      <c r="RHU1159" s="7"/>
      <c r="RHV1159" s="7"/>
      <c r="RHW1159" s="7"/>
      <c r="RHX1159" s="7"/>
      <c r="RHY1159" s="7"/>
      <c r="RHZ1159" s="7"/>
      <c r="RIA1159" s="7"/>
      <c r="RIB1159" s="7"/>
      <c r="RIC1159" s="7"/>
      <c r="RID1159" s="7"/>
      <c r="RIE1159" s="7"/>
      <c r="RIF1159" s="7"/>
      <c r="RIG1159" s="7"/>
      <c r="RIH1159" s="7"/>
      <c r="RII1159" s="7"/>
      <c r="RIJ1159" s="7"/>
      <c r="RIK1159" s="7"/>
      <c r="RIL1159" s="7"/>
      <c r="RIM1159" s="7"/>
      <c r="RIN1159" s="7"/>
      <c r="RIO1159" s="7"/>
      <c r="RIP1159" s="7"/>
      <c r="RIQ1159" s="7"/>
      <c r="RIR1159" s="7"/>
      <c r="RIS1159" s="7"/>
      <c r="RIT1159" s="7"/>
      <c r="RIU1159" s="7"/>
      <c r="RIV1159" s="7"/>
      <c r="RIW1159" s="7"/>
      <c r="RIX1159" s="7"/>
      <c r="RIY1159" s="7"/>
      <c r="RIZ1159" s="7"/>
      <c r="RJA1159" s="7"/>
      <c r="RJB1159" s="7"/>
      <c r="RJC1159" s="7"/>
      <c r="RJD1159" s="7"/>
      <c r="RJE1159" s="7"/>
      <c r="RJF1159" s="7"/>
      <c r="RJG1159" s="7"/>
      <c r="RJH1159" s="7"/>
      <c r="RJI1159" s="7"/>
      <c r="RJJ1159" s="7"/>
      <c r="RJK1159" s="7"/>
      <c r="RJL1159" s="7"/>
      <c r="RJM1159" s="7"/>
      <c r="RJN1159" s="7"/>
      <c r="RJO1159" s="7"/>
      <c r="RJP1159" s="7"/>
      <c r="RJQ1159" s="7"/>
      <c r="RJR1159" s="7"/>
      <c r="RJS1159" s="7"/>
      <c r="RJT1159" s="7"/>
      <c r="RJU1159" s="7"/>
      <c r="RJV1159" s="7"/>
      <c r="RJW1159" s="7"/>
      <c r="RJX1159" s="7"/>
      <c r="RJY1159" s="7"/>
      <c r="RJZ1159" s="7"/>
      <c r="RKA1159" s="7"/>
      <c r="RKB1159" s="7"/>
      <c r="RKC1159" s="7"/>
      <c r="RKD1159" s="7"/>
      <c r="RKE1159" s="7"/>
      <c r="RKF1159" s="7"/>
      <c r="RKG1159" s="7"/>
      <c r="RKH1159" s="7"/>
      <c r="RKI1159" s="7"/>
      <c r="RKJ1159" s="7"/>
      <c r="RKK1159" s="7"/>
      <c r="RKL1159" s="7"/>
      <c r="RKM1159" s="7"/>
      <c r="RKN1159" s="7"/>
      <c r="RKO1159" s="7"/>
      <c r="RKP1159" s="7"/>
      <c r="RKQ1159" s="7"/>
      <c r="RKR1159" s="7"/>
      <c r="RKS1159" s="7"/>
      <c r="RKT1159" s="7"/>
      <c r="RKU1159" s="7"/>
      <c r="RKV1159" s="7"/>
      <c r="RKW1159" s="7"/>
      <c r="RKX1159" s="7"/>
      <c r="RKY1159" s="7"/>
      <c r="RKZ1159" s="7"/>
      <c r="RLA1159" s="7"/>
      <c r="RLB1159" s="7"/>
      <c r="RLC1159" s="7"/>
      <c r="RLD1159" s="7"/>
      <c r="RLE1159" s="7"/>
      <c r="RLF1159" s="7"/>
      <c r="RLG1159" s="7"/>
      <c r="RLH1159" s="7"/>
      <c r="RLI1159" s="7"/>
      <c r="RLJ1159" s="7"/>
      <c r="RLK1159" s="7"/>
      <c r="RLL1159" s="7"/>
      <c r="RLM1159" s="7"/>
      <c r="RLN1159" s="7"/>
      <c r="RLO1159" s="7"/>
      <c r="RLP1159" s="7"/>
      <c r="RLQ1159" s="7"/>
      <c r="RLR1159" s="7"/>
      <c r="RLS1159" s="7"/>
      <c r="RLT1159" s="7"/>
      <c r="RLU1159" s="7"/>
      <c r="RLV1159" s="7"/>
      <c r="RLW1159" s="7"/>
      <c r="RLX1159" s="7"/>
      <c r="RLY1159" s="7"/>
      <c r="RLZ1159" s="7"/>
      <c r="RMA1159" s="7"/>
      <c r="RMB1159" s="7"/>
      <c r="RMC1159" s="7"/>
      <c r="RMD1159" s="7"/>
      <c r="RME1159" s="7"/>
      <c r="RMF1159" s="7"/>
      <c r="RMG1159" s="7"/>
      <c r="RMH1159" s="7"/>
      <c r="RMI1159" s="7"/>
      <c r="RMJ1159" s="7"/>
      <c r="RMK1159" s="7"/>
      <c r="RML1159" s="7"/>
      <c r="RMM1159" s="7"/>
      <c r="RMN1159" s="7"/>
      <c r="RMO1159" s="7"/>
      <c r="RMP1159" s="7"/>
      <c r="RMQ1159" s="7"/>
      <c r="RMR1159" s="7"/>
      <c r="RMS1159" s="7"/>
      <c r="RMT1159" s="7"/>
      <c r="RMU1159" s="7"/>
      <c r="RMV1159" s="7"/>
      <c r="RMW1159" s="7"/>
      <c r="RMX1159" s="7"/>
      <c r="RMY1159" s="7"/>
      <c r="RMZ1159" s="7"/>
      <c r="RNA1159" s="7"/>
      <c r="RNB1159" s="7"/>
      <c r="RNC1159" s="7"/>
      <c r="RND1159" s="7"/>
      <c r="RNE1159" s="7"/>
      <c r="RNF1159" s="7"/>
      <c r="RNG1159" s="7"/>
      <c r="RNH1159" s="7"/>
      <c r="RNI1159" s="7"/>
      <c r="RNJ1159" s="7"/>
      <c r="RNK1159" s="7"/>
      <c r="RNL1159" s="7"/>
      <c r="RNM1159" s="7"/>
      <c r="RNN1159" s="7"/>
      <c r="RNO1159" s="7"/>
      <c r="RNP1159" s="7"/>
      <c r="RNQ1159" s="7"/>
      <c r="RNR1159" s="7"/>
      <c r="RNS1159" s="7"/>
      <c r="RNT1159" s="7"/>
      <c r="RNU1159" s="7"/>
      <c r="RNV1159" s="7"/>
      <c r="RNW1159" s="7"/>
      <c r="RNX1159" s="7"/>
      <c r="RNY1159" s="7"/>
      <c r="RNZ1159" s="7"/>
      <c r="ROA1159" s="7"/>
      <c r="ROB1159" s="7"/>
      <c r="ROC1159" s="7"/>
      <c r="ROD1159" s="7"/>
      <c r="ROE1159" s="7"/>
      <c r="ROF1159" s="7"/>
      <c r="ROG1159" s="7"/>
      <c r="ROH1159" s="7"/>
      <c r="ROI1159" s="7"/>
      <c r="ROJ1159" s="7"/>
      <c r="ROK1159" s="7"/>
      <c r="ROL1159" s="7"/>
      <c r="ROM1159" s="7"/>
      <c r="RON1159" s="7"/>
      <c r="ROO1159" s="7"/>
      <c r="ROP1159" s="7"/>
      <c r="ROQ1159" s="7"/>
      <c r="ROR1159" s="7"/>
      <c r="ROS1159" s="7"/>
      <c r="ROT1159" s="7"/>
      <c r="ROU1159" s="7"/>
      <c r="ROV1159" s="7"/>
      <c r="ROW1159" s="7"/>
      <c r="ROX1159" s="7"/>
      <c r="ROY1159" s="7"/>
      <c r="ROZ1159" s="7"/>
      <c r="RPA1159" s="7"/>
      <c r="RPB1159" s="7"/>
      <c r="RPC1159" s="7"/>
      <c r="RPD1159" s="7"/>
      <c r="RPE1159" s="7"/>
      <c r="RPF1159" s="7"/>
      <c r="RPG1159" s="7"/>
      <c r="RPH1159" s="7"/>
      <c r="RPI1159" s="7"/>
      <c r="RPJ1159" s="7"/>
      <c r="RPK1159" s="7"/>
      <c r="RPL1159" s="7"/>
      <c r="RPM1159" s="7"/>
      <c r="RPN1159" s="7"/>
      <c r="RPO1159" s="7"/>
      <c r="RPP1159" s="7"/>
      <c r="RPQ1159" s="7"/>
      <c r="RPR1159" s="7"/>
      <c r="RPS1159" s="7"/>
      <c r="RPT1159" s="7"/>
      <c r="RPU1159" s="7"/>
      <c r="RPV1159" s="7"/>
      <c r="RPW1159" s="7"/>
      <c r="RPX1159" s="7"/>
      <c r="RPY1159" s="7"/>
      <c r="RPZ1159" s="7"/>
      <c r="RQA1159" s="7"/>
      <c r="RQB1159" s="7"/>
      <c r="RQC1159" s="7"/>
      <c r="RQD1159" s="7"/>
      <c r="RQE1159" s="7"/>
      <c r="RQF1159" s="7"/>
      <c r="RQG1159" s="7"/>
      <c r="RQH1159" s="7"/>
      <c r="RQI1159" s="7"/>
      <c r="RQJ1159" s="7"/>
      <c r="RQK1159" s="7"/>
      <c r="RQL1159" s="7"/>
      <c r="RQM1159" s="7"/>
      <c r="RQN1159" s="7"/>
      <c r="RQO1159" s="7"/>
      <c r="RQP1159" s="7"/>
      <c r="RQQ1159" s="7"/>
      <c r="RQR1159" s="7"/>
      <c r="RQS1159" s="7"/>
      <c r="RQT1159" s="7"/>
      <c r="RQU1159" s="7"/>
      <c r="RQV1159" s="7"/>
      <c r="RQW1159" s="7"/>
      <c r="RQX1159" s="7"/>
      <c r="RQY1159" s="7"/>
      <c r="RQZ1159" s="7"/>
      <c r="RRA1159" s="7"/>
      <c r="RRB1159" s="7"/>
      <c r="RRC1159" s="7"/>
      <c r="RRD1159" s="7"/>
      <c r="RRE1159" s="7"/>
      <c r="RRF1159" s="7"/>
      <c r="RRG1159" s="7"/>
      <c r="RRH1159" s="7"/>
      <c r="RRI1159" s="7"/>
      <c r="RRJ1159" s="7"/>
      <c r="RRK1159" s="7"/>
      <c r="RRL1159" s="7"/>
      <c r="RRM1159" s="7"/>
      <c r="RRN1159" s="7"/>
      <c r="RRO1159" s="7"/>
      <c r="RRP1159" s="7"/>
      <c r="RRQ1159" s="7"/>
      <c r="RRR1159" s="7"/>
      <c r="RRS1159" s="7"/>
      <c r="RRT1159" s="7"/>
      <c r="RRU1159" s="7"/>
      <c r="RRV1159" s="7"/>
      <c r="RRW1159" s="7"/>
      <c r="RRX1159" s="7"/>
      <c r="RRY1159" s="7"/>
      <c r="RRZ1159" s="7"/>
      <c r="RSA1159" s="7"/>
      <c r="RSB1159" s="7"/>
      <c r="RSC1159" s="7"/>
      <c r="RSD1159" s="7"/>
      <c r="RSE1159" s="7"/>
      <c r="RSF1159" s="7"/>
      <c r="RSG1159" s="7"/>
      <c r="RSH1159" s="7"/>
      <c r="RSI1159" s="7"/>
      <c r="RSJ1159" s="7"/>
      <c r="RSK1159" s="7"/>
      <c r="RSL1159" s="7"/>
      <c r="RSM1159" s="7"/>
      <c r="RSN1159" s="7"/>
      <c r="RSO1159" s="7"/>
      <c r="RSP1159" s="7"/>
      <c r="RSQ1159" s="7"/>
      <c r="RSR1159" s="7"/>
      <c r="RSS1159" s="7"/>
      <c r="RST1159" s="7"/>
      <c r="RSU1159" s="7"/>
      <c r="RSV1159" s="7"/>
      <c r="RSW1159" s="7"/>
      <c r="RSX1159" s="7"/>
      <c r="RSY1159" s="7"/>
      <c r="RSZ1159" s="7"/>
      <c r="RTA1159" s="7"/>
      <c r="RTB1159" s="7"/>
      <c r="RTC1159" s="7"/>
      <c r="RTD1159" s="7"/>
      <c r="RTE1159" s="7"/>
      <c r="RTF1159" s="7"/>
      <c r="RTG1159" s="7"/>
      <c r="RTH1159" s="7"/>
      <c r="RTI1159" s="7"/>
      <c r="RTJ1159" s="7"/>
      <c r="RTK1159" s="7"/>
      <c r="RTL1159" s="7"/>
      <c r="RTM1159" s="7"/>
      <c r="RTN1159" s="7"/>
      <c r="RTO1159" s="7"/>
      <c r="RTP1159" s="7"/>
      <c r="RTQ1159" s="7"/>
      <c r="RTR1159" s="7"/>
      <c r="RTS1159" s="7"/>
      <c r="RTT1159" s="7"/>
      <c r="RTU1159" s="7"/>
      <c r="RTV1159" s="7"/>
      <c r="RTW1159" s="7"/>
      <c r="RTX1159" s="7"/>
      <c r="RTY1159" s="7"/>
      <c r="RTZ1159" s="7"/>
      <c r="RUA1159" s="7"/>
      <c r="RUB1159" s="7"/>
      <c r="RUC1159" s="7"/>
      <c r="RUD1159" s="7"/>
      <c r="RUE1159" s="7"/>
      <c r="RUF1159" s="7"/>
      <c r="RUG1159" s="7"/>
      <c r="RUH1159" s="7"/>
      <c r="RUI1159" s="7"/>
      <c r="RUJ1159" s="7"/>
      <c r="RUK1159" s="7"/>
      <c r="RUL1159" s="7"/>
      <c r="RUM1159" s="7"/>
      <c r="RUN1159" s="7"/>
      <c r="RUO1159" s="7"/>
      <c r="RUP1159" s="7"/>
      <c r="RUQ1159" s="7"/>
      <c r="RUR1159" s="7"/>
      <c r="RUS1159" s="7"/>
      <c r="RUT1159" s="7"/>
      <c r="RUU1159" s="7"/>
      <c r="RUV1159" s="7"/>
      <c r="RUW1159" s="7"/>
      <c r="RUX1159" s="7"/>
      <c r="RUY1159" s="7"/>
      <c r="RUZ1159" s="7"/>
      <c r="RVA1159" s="7"/>
      <c r="RVB1159" s="7"/>
      <c r="RVC1159" s="7"/>
      <c r="RVD1159" s="7"/>
      <c r="RVE1159" s="7"/>
      <c r="RVF1159" s="7"/>
      <c r="RVG1159" s="7"/>
      <c r="RVH1159" s="7"/>
      <c r="RVI1159" s="7"/>
      <c r="RVJ1159" s="7"/>
      <c r="RVK1159" s="7"/>
      <c r="RVL1159" s="7"/>
      <c r="RVM1159" s="7"/>
      <c r="RVN1159" s="7"/>
      <c r="RVO1159" s="7"/>
      <c r="RVP1159" s="7"/>
      <c r="RVQ1159" s="7"/>
      <c r="RVR1159" s="7"/>
      <c r="RVS1159" s="7"/>
      <c r="RVT1159" s="7"/>
      <c r="RVU1159" s="7"/>
      <c r="RVV1159" s="7"/>
      <c r="RVW1159" s="7"/>
      <c r="RVX1159" s="7"/>
      <c r="RVY1159" s="7"/>
      <c r="RVZ1159" s="7"/>
      <c r="RWA1159" s="7"/>
      <c r="RWB1159" s="7"/>
      <c r="RWC1159" s="7"/>
      <c r="RWD1159" s="7"/>
      <c r="RWE1159" s="7"/>
      <c r="RWF1159" s="7"/>
      <c r="RWG1159" s="7"/>
      <c r="RWH1159" s="7"/>
      <c r="RWI1159" s="7"/>
      <c r="RWJ1159" s="7"/>
      <c r="RWK1159" s="7"/>
      <c r="RWL1159" s="7"/>
      <c r="RWM1159" s="7"/>
      <c r="RWN1159" s="7"/>
      <c r="RWO1159" s="7"/>
      <c r="RWP1159" s="7"/>
      <c r="RWQ1159" s="7"/>
      <c r="RWR1159" s="7"/>
      <c r="RWS1159" s="7"/>
      <c r="RWT1159" s="7"/>
      <c r="RWU1159" s="7"/>
      <c r="RWV1159" s="7"/>
      <c r="RWW1159" s="7"/>
      <c r="RWX1159" s="7"/>
      <c r="RWY1159" s="7"/>
      <c r="RWZ1159" s="7"/>
      <c r="RXA1159" s="7"/>
      <c r="RXB1159" s="7"/>
      <c r="RXC1159" s="7"/>
      <c r="RXD1159" s="7"/>
      <c r="RXE1159" s="7"/>
      <c r="RXF1159" s="7"/>
      <c r="RXG1159" s="7"/>
      <c r="RXH1159" s="7"/>
      <c r="RXI1159" s="7"/>
      <c r="RXJ1159" s="7"/>
      <c r="RXK1159" s="7"/>
      <c r="RXL1159" s="7"/>
      <c r="RXM1159" s="7"/>
      <c r="RXN1159" s="7"/>
      <c r="RXO1159" s="7"/>
      <c r="RXP1159" s="7"/>
      <c r="RXQ1159" s="7"/>
      <c r="RXR1159" s="7"/>
      <c r="RXS1159" s="7"/>
      <c r="RXT1159" s="7"/>
      <c r="RXU1159" s="7"/>
      <c r="RXV1159" s="7"/>
      <c r="RXW1159" s="7"/>
      <c r="RXX1159" s="7"/>
      <c r="RXY1159" s="7"/>
      <c r="RXZ1159" s="7"/>
      <c r="RYA1159" s="7"/>
      <c r="RYB1159" s="7"/>
      <c r="RYC1159" s="7"/>
      <c r="RYD1159" s="7"/>
      <c r="RYE1159" s="7"/>
      <c r="RYF1159" s="7"/>
      <c r="RYG1159" s="7"/>
      <c r="RYH1159" s="7"/>
      <c r="RYI1159" s="7"/>
      <c r="RYJ1159" s="7"/>
      <c r="RYK1159" s="7"/>
      <c r="RYL1159" s="7"/>
      <c r="RYM1159" s="7"/>
      <c r="RYN1159" s="7"/>
      <c r="RYO1159" s="7"/>
      <c r="RYP1159" s="7"/>
      <c r="RYQ1159" s="7"/>
      <c r="RYR1159" s="7"/>
      <c r="RYS1159" s="7"/>
      <c r="RYT1159" s="7"/>
      <c r="RYU1159" s="7"/>
      <c r="RYV1159" s="7"/>
      <c r="RYW1159" s="7"/>
      <c r="RYX1159" s="7"/>
      <c r="RYY1159" s="7"/>
      <c r="RYZ1159" s="7"/>
      <c r="RZA1159" s="7"/>
      <c r="RZB1159" s="7"/>
      <c r="RZC1159" s="7"/>
      <c r="RZD1159" s="7"/>
      <c r="RZE1159" s="7"/>
      <c r="RZF1159" s="7"/>
      <c r="RZG1159" s="7"/>
      <c r="RZH1159" s="7"/>
      <c r="RZI1159" s="7"/>
      <c r="RZJ1159" s="7"/>
      <c r="RZK1159" s="7"/>
      <c r="RZL1159" s="7"/>
      <c r="RZM1159" s="7"/>
      <c r="RZN1159" s="7"/>
      <c r="RZO1159" s="7"/>
      <c r="RZP1159" s="7"/>
      <c r="RZQ1159" s="7"/>
      <c r="RZR1159" s="7"/>
      <c r="RZS1159" s="7"/>
      <c r="RZT1159" s="7"/>
      <c r="RZU1159" s="7"/>
      <c r="RZV1159" s="7"/>
      <c r="RZW1159" s="7"/>
      <c r="RZX1159" s="7"/>
      <c r="RZY1159" s="7"/>
      <c r="RZZ1159" s="7"/>
      <c r="SAA1159" s="7"/>
      <c r="SAB1159" s="7"/>
      <c r="SAC1159" s="7"/>
      <c r="SAD1159" s="7"/>
      <c r="SAE1159" s="7"/>
      <c r="SAF1159" s="7"/>
      <c r="SAG1159" s="7"/>
      <c r="SAH1159" s="7"/>
      <c r="SAI1159" s="7"/>
      <c r="SAJ1159" s="7"/>
      <c r="SAK1159" s="7"/>
      <c r="SAL1159" s="7"/>
      <c r="SAM1159" s="7"/>
      <c r="SAN1159" s="7"/>
      <c r="SAO1159" s="7"/>
      <c r="SAP1159" s="7"/>
      <c r="SAQ1159" s="7"/>
      <c r="SAR1159" s="7"/>
      <c r="SAS1159" s="7"/>
      <c r="SAT1159" s="7"/>
      <c r="SAU1159" s="7"/>
      <c r="SAV1159" s="7"/>
      <c r="SAW1159" s="7"/>
      <c r="SAX1159" s="7"/>
      <c r="SAY1159" s="7"/>
      <c r="SAZ1159" s="7"/>
      <c r="SBA1159" s="7"/>
      <c r="SBB1159" s="7"/>
      <c r="SBC1159" s="7"/>
      <c r="SBD1159" s="7"/>
      <c r="SBE1159" s="7"/>
      <c r="SBF1159" s="7"/>
      <c r="SBG1159" s="7"/>
      <c r="SBH1159" s="7"/>
      <c r="SBI1159" s="7"/>
      <c r="SBJ1159" s="7"/>
      <c r="SBK1159" s="7"/>
      <c r="SBL1159" s="7"/>
      <c r="SBM1159" s="7"/>
      <c r="SBN1159" s="7"/>
      <c r="SBO1159" s="7"/>
      <c r="SBP1159" s="7"/>
      <c r="SBQ1159" s="7"/>
      <c r="SBR1159" s="7"/>
      <c r="SBS1159" s="7"/>
      <c r="SBT1159" s="7"/>
      <c r="SBU1159" s="7"/>
      <c r="SBV1159" s="7"/>
      <c r="SBW1159" s="7"/>
      <c r="SBX1159" s="7"/>
      <c r="SBY1159" s="7"/>
      <c r="SBZ1159" s="7"/>
      <c r="SCA1159" s="7"/>
      <c r="SCB1159" s="7"/>
      <c r="SCC1159" s="7"/>
      <c r="SCD1159" s="7"/>
      <c r="SCE1159" s="7"/>
      <c r="SCF1159" s="7"/>
      <c r="SCG1159" s="7"/>
      <c r="SCH1159" s="7"/>
      <c r="SCI1159" s="7"/>
      <c r="SCJ1159" s="7"/>
      <c r="SCK1159" s="7"/>
      <c r="SCL1159" s="7"/>
      <c r="SCM1159" s="7"/>
      <c r="SCN1159" s="7"/>
      <c r="SCO1159" s="7"/>
      <c r="SCP1159" s="7"/>
      <c r="SCQ1159" s="7"/>
      <c r="SCR1159" s="7"/>
      <c r="SCS1159" s="7"/>
      <c r="SCT1159" s="7"/>
      <c r="SCU1159" s="7"/>
      <c r="SCV1159" s="7"/>
      <c r="SCW1159" s="7"/>
      <c r="SCX1159" s="7"/>
      <c r="SCY1159" s="7"/>
      <c r="SCZ1159" s="7"/>
      <c r="SDA1159" s="7"/>
      <c r="SDB1159" s="7"/>
      <c r="SDC1159" s="7"/>
      <c r="SDD1159" s="7"/>
      <c r="SDE1159" s="7"/>
      <c r="SDF1159" s="7"/>
      <c r="SDG1159" s="7"/>
      <c r="SDH1159" s="7"/>
      <c r="SDI1159" s="7"/>
      <c r="SDJ1159" s="7"/>
      <c r="SDK1159" s="7"/>
      <c r="SDL1159" s="7"/>
      <c r="SDM1159" s="7"/>
      <c r="SDN1159" s="7"/>
      <c r="SDO1159" s="7"/>
      <c r="SDP1159" s="7"/>
      <c r="SDQ1159" s="7"/>
      <c r="SDR1159" s="7"/>
      <c r="SDS1159" s="7"/>
      <c r="SDT1159" s="7"/>
      <c r="SDU1159" s="7"/>
      <c r="SDV1159" s="7"/>
      <c r="SDW1159" s="7"/>
      <c r="SDX1159" s="7"/>
      <c r="SDY1159" s="7"/>
      <c r="SDZ1159" s="7"/>
      <c r="SEA1159" s="7"/>
      <c r="SEB1159" s="7"/>
      <c r="SEC1159" s="7"/>
      <c r="SED1159" s="7"/>
      <c r="SEE1159" s="7"/>
      <c r="SEF1159" s="7"/>
      <c r="SEG1159" s="7"/>
      <c r="SEH1159" s="7"/>
      <c r="SEI1159" s="7"/>
      <c r="SEJ1159" s="7"/>
      <c r="SEK1159" s="7"/>
      <c r="SEL1159" s="7"/>
      <c r="SEM1159" s="7"/>
      <c r="SEN1159" s="7"/>
      <c r="SEO1159" s="7"/>
      <c r="SEP1159" s="7"/>
      <c r="SEQ1159" s="7"/>
      <c r="SER1159" s="7"/>
      <c r="SES1159" s="7"/>
      <c r="SET1159" s="7"/>
      <c r="SEU1159" s="7"/>
      <c r="SEV1159" s="7"/>
      <c r="SEW1159" s="7"/>
      <c r="SEX1159" s="7"/>
      <c r="SEY1159" s="7"/>
      <c r="SEZ1159" s="7"/>
      <c r="SFA1159" s="7"/>
      <c r="SFB1159" s="7"/>
      <c r="SFC1159" s="7"/>
      <c r="SFD1159" s="7"/>
      <c r="SFE1159" s="7"/>
      <c r="SFF1159" s="7"/>
      <c r="SFG1159" s="7"/>
      <c r="SFH1159" s="7"/>
      <c r="SFI1159" s="7"/>
      <c r="SFJ1159" s="7"/>
      <c r="SFK1159" s="7"/>
      <c r="SFL1159" s="7"/>
      <c r="SFM1159" s="7"/>
      <c r="SFN1159" s="7"/>
      <c r="SFO1159" s="7"/>
      <c r="SFP1159" s="7"/>
      <c r="SFQ1159" s="7"/>
      <c r="SFR1159" s="7"/>
      <c r="SFS1159" s="7"/>
      <c r="SFT1159" s="7"/>
      <c r="SFU1159" s="7"/>
      <c r="SFV1159" s="7"/>
      <c r="SFW1159" s="7"/>
      <c r="SFX1159" s="7"/>
      <c r="SFY1159" s="7"/>
      <c r="SFZ1159" s="7"/>
      <c r="SGA1159" s="7"/>
      <c r="SGB1159" s="7"/>
      <c r="SGC1159" s="7"/>
      <c r="SGD1159" s="7"/>
      <c r="SGE1159" s="7"/>
      <c r="SGF1159" s="7"/>
      <c r="SGG1159" s="7"/>
      <c r="SGH1159" s="7"/>
      <c r="SGI1159" s="7"/>
      <c r="SGJ1159" s="7"/>
      <c r="SGK1159" s="7"/>
      <c r="SGL1159" s="7"/>
      <c r="SGM1159" s="7"/>
      <c r="SGN1159" s="7"/>
      <c r="SGO1159" s="7"/>
      <c r="SGP1159" s="7"/>
      <c r="SGQ1159" s="7"/>
      <c r="SGR1159" s="7"/>
      <c r="SGS1159" s="7"/>
      <c r="SGT1159" s="7"/>
      <c r="SGU1159" s="7"/>
      <c r="SGV1159" s="7"/>
      <c r="SGW1159" s="7"/>
      <c r="SGX1159" s="7"/>
      <c r="SGY1159" s="7"/>
      <c r="SGZ1159" s="7"/>
      <c r="SHA1159" s="7"/>
      <c r="SHB1159" s="7"/>
      <c r="SHC1159" s="7"/>
      <c r="SHD1159" s="7"/>
      <c r="SHE1159" s="7"/>
      <c r="SHF1159" s="7"/>
      <c r="SHG1159" s="7"/>
      <c r="SHH1159" s="7"/>
      <c r="SHI1159" s="7"/>
      <c r="SHJ1159" s="7"/>
      <c r="SHK1159" s="7"/>
      <c r="SHL1159" s="7"/>
      <c r="SHM1159" s="7"/>
      <c r="SHN1159" s="7"/>
      <c r="SHO1159" s="7"/>
      <c r="SHP1159" s="7"/>
      <c r="SHQ1159" s="7"/>
      <c r="SHR1159" s="7"/>
      <c r="SHS1159" s="7"/>
      <c r="SHT1159" s="7"/>
      <c r="SHU1159" s="7"/>
      <c r="SHV1159" s="7"/>
      <c r="SHW1159" s="7"/>
      <c r="SHX1159" s="7"/>
      <c r="SHY1159" s="7"/>
      <c r="SHZ1159" s="7"/>
      <c r="SIA1159" s="7"/>
      <c r="SIB1159" s="7"/>
      <c r="SIC1159" s="7"/>
      <c r="SID1159" s="7"/>
      <c r="SIE1159" s="7"/>
      <c r="SIF1159" s="7"/>
      <c r="SIG1159" s="7"/>
      <c r="SIH1159" s="7"/>
      <c r="SII1159" s="7"/>
      <c r="SIJ1159" s="7"/>
      <c r="SIK1159" s="7"/>
      <c r="SIL1159" s="7"/>
      <c r="SIM1159" s="7"/>
      <c r="SIN1159" s="7"/>
      <c r="SIO1159" s="7"/>
      <c r="SIP1159" s="7"/>
      <c r="SIQ1159" s="7"/>
      <c r="SIR1159" s="7"/>
      <c r="SIS1159" s="7"/>
      <c r="SIT1159" s="7"/>
      <c r="SIU1159" s="7"/>
      <c r="SIV1159" s="7"/>
      <c r="SIW1159" s="7"/>
      <c r="SIX1159" s="7"/>
      <c r="SIY1159" s="7"/>
      <c r="SIZ1159" s="7"/>
      <c r="SJA1159" s="7"/>
      <c r="SJB1159" s="7"/>
      <c r="SJC1159" s="7"/>
      <c r="SJD1159" s="7"/>
      <c r="SJE1159" s="7"/>
      <c r="SJF1159" s="7"/>
      <c r="SJG1159" s="7"/>
      <c r="SJH1159" s="7"/>
      <c r="SJI1159" s="7"/>
      <c r="SJJ1159" s="7"/>
      <c r="SJK1159" s="7"/>
      <c r="SJL1159" s="7"/>
      <c r="SJM1159" s="7"/>
      <c r="SJN1159" s="7"/>
      <c r="SJO1159" s="7"/>
      <c r="SJP1159" s="7"/>
      <c r="SJQ1159" s="7"/>
      <c r="SJR1159" s="7"/>
      <c r="SJS1159" s="7"/>
      <c r="SJT1159" s="7"/>
      <c r="SJU1159" s="7"/>
      <c r="SJV1159" s="7"/>
      <c r="SJW1159" s="7"/>
      <c r="SJX1159" s="7"/>
      <c r="SJY1159" s="7"/>
      <c r="SJZ1159" s="7"/>
      <c r="SKA1159" s="7"/>
      <c r="SKB1159" s="7"/>
      <c r="SKC1159" s="7"/>
      <c r="SKD1159" s="7"/>
      <c r="SKE1159" s="7"/>
      <c r="SKF1159" s="7"/>
      <c r="SKG1159" s="7"/>
      <c r="SKH1159" s="7"/>
      <c r="SKI1159" s="7"/>
      <c r="SKJ1159" s="7"/>
      <c r="SKK1159" s="7"/>
      <c r="SKL1159" s="7"/>
      <c r="SKM1159" s="7"/>
      <c r="SKN1159" s="7"/>
      <c r="SKO1159" s="7"/>
      <c r="SKP1159" s="7"/>
      <c r="SKQ1159" s="7"/>
      <c r="SKR1159" s="7"/>
      <c r="SKS1159" s="7"/>
      <c r="SKT1159" s="7"/>
      <c r="SKU1159" s="7"/>
      <c r="SKV1159" s="7"/>
      <c r="SKW1159" s="7"/>
      <c r="SKX1159" s="7"/>
      <c r="SKY1159" s="7"/>
      <c r="SKZ1159" s="7"/>
      <c r="SLA1159" s="7"/>
      <c r="SLB1159" s="7"/>
      <c r="SLC1159" s="7"/>
      <c r="SLD1159" s="7"/>
      <c r="SLE1159" s="7"/>
      <c r="SLF1159" s="7"/>
      <c r="SLG1159" s="7"/>
      <c r="SLH1159" s="7"/>
      <c r="SLI1159" s="7"/>
      <c r="SLJ1159" s="7"/>
      <c r="SLK1159" s="7"/>
      <c r="SLL1159" s="7"/>
      <c r="SLM1159" s="7"/>
      <c r="SLN1159" s="7"/>
      <c r="SLO1159" s="7"/>
      <c r="SLP1159" s="7"/>
      <c r="SLQ1159" s="7"/>
      <c r="SLR1159" s="7"/>
      <c r="SLS1159" s="7"/>
      <c r="SLT1159" s="7"/>
      <c r="SLU1159" s="7"/>
      <c r="SLV1159" s="7"/>
      <c r="SLW1159" s="7"/>
      <c r="SLX1159" s="7"/>
      <c r="SLY1159" s="7"/>
      <c r="SLZ1159" s="7"/>
      <c r="SMA1159" s="7"/>
      <c r="SMB1159" s="7"/>
      <c r="SMC1159" s="7"/>
      <c r="SMD1159" s="7"/>
      <c r="SME1159" s="7"/>
      <c r="SMF1159" s="7"/>
      <c r="SMG1159" s="7"/>
      <c r="SMH1159" s="7"/>
      <c r="SMI1159" s="7"/>
      <c r="SMJ1159" s="7"/>
      <c r="SMK1159" s="7"/>
      <c r="SML1159" s="7"/>
      <c r="SMM1159" s="7"/>
      <c r="SMN1159" s="7"/>
      <c r="SMO1159" s="7"/>
      <c r="SMP1159" s="7"/>
      <c r="SMQ1159" s="7"/>
      <c r="SMR1159" s="7"/>
      <c r="SMS1159" s="7"/>
      <c r="SMT1159" s="7"/>
      <c r="SMU1159" s="7"/>
      <c r="SMV1159" s="7"/>
      <c r="SMW1159" s="7"/>
      <c r="SMX1159" s="7"/>
      <c r="SMY1159" s="7"/>
      <c r="SMZ1159" s="7"/>
      <c r="SNA1159" s="7"/>
      <c r="SNB1159" s="7"/>
      <c r="SNC1159" s="7"/>
      <c r="SND1159" s="7"/>
      <c r="SNE1159" s="7"/>
      <c r="SNF1159" s="7"/>
      <c r="SNG1159" s="7"/>
      <c r="SNH1159" s="7"/>
      <c r="SNI1159" s="7"/>
      <c r="SNJ1159" s="7"/>
      <c r="SNK1159" s="7"/>
      <c r="SNL1159" s="7"/>
      <c r="SNM1159" s="7"/>
      <c r="SNN1159" s="7"/>
      <c r="SNO1159" s="7"/>
      <c r="SNP1159" s="7"/>
      <c r="SNQ1159" s="7"/>
      <c r="SNR1159" s="7"/>
      <c r="SNS1159" s="7"/>
      <c r="SNT1159" s="7"/>
      <c r="SNU1159" s="7"/>
      <c r="SNV1159" s="7"/>
      <c r="SNW1159" s="7"/>
      <c r="SNX1159" s="7"/>
      <c r="SNY1159" s="7"/>
      <c r="SNZ1159" s="7"/>
      <c r="SOA1159" s="7"/>
      <c r="SOB1159" s="7"/>
      <c r="SOC1159" s="7"/>
      <c r="SOD1159" s="7"/>
      <c r="SOE1159" s="7"/>
      <c r="SOF1159" s="7"/>
      <c r="SOG1159" s="7"/>
      <c r="SOH1159" s="7"/>
      <c r="SOI1159" s="7"/>
      <c r="SOJ1159" s="7"/>
      <c r="SOK1159" s="7"/>
      <c r="SOL1159" s="7"/>
      <c r="SOM1159" s="7"/>
      <c r="SON1159" s="7"/>
      <c r="SOO1159" s="7"/>
      <c r="SOP1159" s="7"/>
      <c r="SOQ1159" s="7"/>
      <c r="SOR1159" s="7"/>
      <c r="SOS1159" s="7"/>
      <c r="SOT1159" s="7"/>
      <c r="SOU1159" s="7"/>
      <c r="SOV1159" s="7"/>
      <c r="SOW1159" s="7"/>
      <c r="SOX1159" s="7"/>
      <c r="SOY1159" s="7"/>
      <c r="SOZ1159" s="7"/>
      <c r="SPA1159" s="7"/>
      <c r="SPB1159" s="7"/>
      <c r="SPC1159" s="7"/>
      <c r="SPD1159" s="7"/>
      <c r="SPE1159" s="7"/>
      <c r="SPF1159" s="7"/>
      <c r="SPG1159" s="7"/>
      <c r="SPH1159" s="7"/>
      <c r="SPI1159" s="7"/>
      <c r="SPJ1159" s="7"/>
      <c r="SPK1159" s="7"/>
      <c r="SPL1159" s="7"/>
      <c r="SPM1159" s="7"/>
      <c r="SPN1159" s="7"/>
      <c r="SPO1159" s="7"/>
      <c r="SPP1159" s="7"/>
      <c r="SPQ1159" s="7"/>
      <c r="SPR1159" s="7"/>
      <c r="SPS1159" s="7"/>
      <c r="SPT1159" s="7"/>
      <c r="SPU1159" s="7"/>
      <c r="SPV1159" s="7"/>
      <c r="SPW1159" s="7"/>
      <c r="SPX1159" s="7"/>
      <c r="SPY1159" s="7"/>
      <c r="SPZ1159" s="7"/>
      <c r="SQA1159" s="7"/>
      <c r="SQB1159" s="7"/>
      <c r="SQC1159" s="7"/>
      <c r="SQD1159" s="7"/>
      <c r="SQE1159" s="7"/>
      <c r="SQF1159" s="7"/>
      <c r="SQG1159" s="7"/>
      <c r="SQH1159" s="7"/>
      <c r="SQI1159" s="7"/>
      <c r="SQJ1159" s="7"/>
      <c r="SQK1159" s="7"/>
      <c r="SQL1159" s="7"/>
      <c r="SQM1159" s="7"/>
      <c r="SQN1159" s="7"/>
      <c r="SQO1159" s="7"/>
      <c r="SQP1159" s="7"/>
      <c r="SQQ1159" s="7"/>
      <c r="SQR1159" s="7"/>
      <c r="SQS1159" s="7"/>
      <c r="SQT1159" s="7"/>
      <c r="SQU1159" s="7"/>
      <c r="SQV1159" s="7"/>
      <c r="SQW1159" s="7"/>
      <c r="SQX1159" s="7"/>
      <c r="SQY1159" s="7"/>
      <c r="SQZ1159" s="7"/>
      <c r="SRA1159" s="7"/>
      <c r="SRB1159" s="7"/>
      <c r="SRC1159" s="7"/>
      <c r="SRD1159" s="7"/>
      <c r="SRE1159" s="7"/>
      <c r="SRF1159" s="7"/>
      <c r="SRG1159" s="7"/>
      <c r="SRH1159" s="7"/>
      <c r="SRI1159" s="7"/>
      <c r="SRJ1159" s="7"/>
      <c r="SRK1159" s="7"/>
      <c r="SRL1159" s="7"/>
      <c r="SRM1159" s="7"/>
      <c r="SRN1159" s="7"/>
      <c r="SRO1159" s="7"/>
      <c r="SRP1159" s="7"/>
      <c r="SRQ1159" s="7"/>
      <c r="SRR1159" s="7"/>
      <c r="SRS1159" s="7"/>
      <c r="SRT1159" s="7"/>
      <c r="SRU1159" s="7"/>
      <c r="SRV1159" s="7"/>
      <c r="SRW1159" s="7"/>
      <c r="SRX1159" s="7"/>
      <c r="SRY1159" s="7"/>
      <c r="SRZ1159" s="7"/>
      <c r="SSA1159" s="7"/>
      <c r="SSB1159" s="7"/>
      <c r="SSC1159" s="7"/>
      <c r="SSD1159" s="7"/>
      <c r="SSE1159" s="7"/>
      <c r="SSF1159" s="7"/>
      <c r="SSG1159" s="7"/>
      <c r="SSH1159" s="7"/>
      <c r="SSI1159" s="7"/>
      <c r="SSJ1159" s="7"/>
      <c r="SSK1159" s="7"/>
      <c r="SSL1159" s="7"/>
      <c r="SSM1159" s="7"/>
      <c r="SSN1159" s="7"/>
      <c r="SSO1159" s="7"/>
      <c r="SSP1159" s="7"/>
      <c r="SSQ1159" s="7"/>
      <c r="SSR1159" s="7"/>
      <c r="SSS1159" s="7"/>
      <c r="SST1159" s="7"/>
      <c r="SSU1159" s="7"/>
      <c r="SSV1159" s="7"/>
      <c r="SSW1159" s="7"/>
      <c r="SSX1159" s="7"/>
      <c r="SSY1159" s="7"/>
      <c r="SSZ1159" s="7"/>
      <c r="STA1159" s="7"/>
      <c r="STB1159" s="7"/>
      <c r="STC1159" s="7"/>
      <c r="STD1159" s="7"/>
      <c r="STE1159" s="7"/>
      <c r="STF1159" s="7"/>
      <c r="STG1159" s="7"/>
      <c r="STH1159" s="7"/>
      <c r="STI1159" s="7"/>
      <c r="STJ1159" s="7"/>
      <c r="STK1159" s="7"/>
      <c r="STL1159" s="7"/>
      <c r="STM1159" s="7"/>
      <c r="STN1159" s="7"/>
      <c r="STO1159" s="7"/>
      <c r="STP1159" s="7"/>
      <c r="STQ1159" s="7"/>
      <c r="STR1159" s="7"/>
      <c r="STS1159" s="7"/>
      <c r="STT1159" s="7"/>
      <c r="STU1159" s="7"/>
      <c r="STV1159" s="7"/>
      <c r="STW1159" s="7"/>
      <c r="STX1159" s="7"/>
      <c r="STY1159" s="7"/>
      <c r="STZ1159" s="7"/>
      <c r="SUA1159" s="7"/>
      <c r="SUB1159" s="7"/>
      <c r="SUC1159" s="7"/>
      <c r="SUD1159" s="7"/>
      <c r="SUE1159" s="7"/>
      <c r="SUF1159" s="7"/>
      <c r="SUG1159" s="7"/>
      <c r="SUH1159" s="7"/>
      <c r="SUI1159" s="7"/>
      <c r="SUJ1159" s="7"/>
      <c r="SUK1159" s="7"/>
      <c r="SUL1159" s="7"/>
      <c r="SUM1159" s="7"/>
      <c r="SUN1159" s="7"/>
      <c r="SUO1159" s="7"/>
      <c r="SUP1159" s="7"/>
      <c r="SUQ1159" s="7"/>
      <c r="SUR1159" s="7"/>
      <c r="SUS1159" s="7"/>
      <c r="SUT1159" s="7"/>
      <c r="SUU1159" s="7"/>
      <c r="SUV1159" s="7"/>
      <c r="SUW1159" s="7"/>
      <c r="SUX1159" s="7"/>
      <c r="SUY1159" s="7"/>
      <c r="SUZ1159" s="7"/>
      <c r="SVA1159" s="7"/>
      <c r="SVB1159" s="7"/>
      <c r="SVC1159" s="7"/>
      <c r="SVD1159" s="7"/>
      <c r="SVE1159" s="7"/>
      <c r="SVF1159" s="7"/>
      <c r="SVG1159" s="7"/>
      <c r="SVH1159" s="7"/>
      <c r="SVI1159" s="7"/>
      <c r="SVJ1159" s="7"/>
      <c r="SVK1159" s="7"/>
      <c r="SVL1159" s="7"/>
      <c r="SVM1159" s="7"/>
      <c r="SVN1159" s="7"/>
      <c r="SVO1159" s="7"/>
      <c r="SVP1159" s="7"/>
      <c r="SVQ1159" s="7"/>
      <c r="SVR1159" s="7"/>
      <c r="SVS1159" s="7"/>
      <c r="SVT1159" s="7"/>
      <c r="SVU1159" s="7"/>
      <c r="SVV1159" s="7"/>
      <c r="SVW1159" s="7"/>
      <c r="SVX1159" s="7"/>
      <c r="SVY1159" s="7"/>
      <c r="SVZ1159" s="7"/>
      <c r="SWA1159" s="7"/>
      <c r="SWB1159" s="7"/>
      <c r="SWC1159" s="7"/>
      <c r="SWD1159" s="7"/>
      <c r="SWE1159" s="7"/>
      <c r="SWF1159" s="7"/>
      <c r="SWG1159" s="7"/>
      <c r="SWH1159" s="7"/>
      <c r="SWI1159" s="7"/>
      <c r="SWJ1159" s="7"/>
      <c r="SWK1159" s="7"/>
      <c r="SWL1159" s="7"/>
      <c r="SWM1159" s="7"/>
      <c r="SWN1159" s="7"/>
      <c r="SWO1159" s="7"/>
      <c r="SWP1159" s="7"/>
      <c r="SWQ1159" s="7"/>
      <c r="SWR1159" s="7"/>
      <c r="SWS1159" s="7"/>
      <c r="SWT1159" s="7"/>
      <c r="SWU1159" s="7"/>
      <c r="SWV1159" s="7"/>
      <c r="SWW1159" s="7"/>
      <c r="SWX1159" s="7"/>
      <c r="SWY1159" s="7"/>
      <c r="SWZ1159" s="7"/>
      <c r="SXA1159" s="7"/>
      <c r="SXB1159" s="7"/>
      <c r="SXC1159" s="7"/>
      <c r="SXD1159" s="7"/>
      <c r="SXE1159" s="7"/>
      <c r="SXF1159" s="7"/>
      <c r="SXG1159" s="7"/>
      <c r="SXH1159" s="7"/>
      <c r="SXI1159" s="7"/>
      <c r="SXJ1159" s="7"/>
      <c r="SXK1159" s="7"/>
      <c r="SXL1159" s="7"/>
      <c r="SXM1159" s="7"/>
      <c r="SXN1159" s="7"/>
      <c r="SXO1159" s="7"/>
      <c r="SXP1159" s="7"/>
      <c r="SXQ1159" s="7"/>
      <c r="SXR1159" s="7"/>
      <c r="SXS1159" s="7"/>
      <c r="SXT1159" s="7"/>
      <c r="SXU1159" s="7"/>
      <c r="SXV1159" s="7"/>
      <c r="SXW1159" s="7"/>
      <c r="SXX1159" s="7"/>
      <c r="SXY1159" s="7"/>
      <c r="SXZ1159" s="7"/>
      <c r="SYA1159" s="7"/>
      <c r="SYB1159" s="7"/>
      <c r="SYC1159" s="7"/>
      <c r="SYD1159" s="7"/>
      <c r="SYE1159" s="7"/>
      <c r="SYF1159" s="7"/>
      <c r="SYG1159" s="7"/>
      <c r="SYH1159" s="7"/>
      <c r="SYI1159" s="7"/>
      <c r="SYJ1159" s="7"/>
      <c r="SYK1159" s="7"/>
      <c r="SYL1159" s="7"/>
      <c r="SYM1159" s="7"/>
      <c r="SYN1159" s="7"/>
      <c r="SYO1159" s="7"/>
      <c r="SYP1159" s="7"/>
      <c r="SYQ1159" s="7"/>
      <c r="SYR1159" s="7"/>
      <c r="SYS1159" s="7"/>
      <c r="SYT1159" s="7"/>
      <c r="SYU1159" s="7"/>
      <c r="SYV1159" s="7"/>
      <c r="SYW1159" s="7"/>
      <c r="SYX1159" s="7"/>
      <c r="SYY1159" s="7"/>
      <c r="SYZ1159" s="7"/>
      <c r="SZA1159" s="7"/>
      <c r="SZB1159" s="7"/>
      <c r="SZC1159" s="7"/>
      <c r="SZD1159" s="7"/>
      <c r="SZE1159" s="7"/>
      <c r="SZF1159" s="7"/>
      <c r="SZG1159" s="7"/>
      <c r="SZH1159" s="7"/>
      <c r="SZI1159" s="7"/>
      <c r="SZJ1159" s="7"/>
      <c r="SZK1159" s="7"/>
      <c r="SZL1159" s="7"/>
      <c r="SZM1159" s="7"/>
      <c r="SZN1159" s="7"/>
      <c r="SZO1159" s="7"/>
      <c r="SZP1159" s="7"/>
      <c r="SZQ1159" s="7"/>
      <c r="SZR1159" s="7"/>
      <c r="SZS1159" s="7"/>
      <c r="SZT1159" s="7"/>
      <c r="SZU1159" s="7"/>
      <c r="SZV1159" s="7"/>
      <c r="SZW1159" s="7"/>
      <c r="SZX1159" s="7"/>
      <c r="SZY1159" s="7"/>
      <c r="SZZ1159" s="7"/>
      <c r="TAA1159" s="7"/>
      <c r="TAB1159" s="7"/>
      <c r="TAC1159" s="7"/>
      <c r="TAD1159" s="7"/>
      <c r="TAE1159" s="7"/>
      <c r="TAF1159" s="7"/>
      <c r="TAG1159" s="7"/>
      <c r="TAH1159" s="7"/>
      <c r="TAI1159" s="7"/>
      <c r="TAJ1159" s="7"/>
      <c r="TAK1159" s="7"/>
      <c r="TAL1159" s="7"/>
      <c r="TAM1159" s="7"/>
      <c r="TAN1159" s="7"/>
      <c r="TAO1159" s="7"/>
      <c r="TAP1159" s="7"/>
      <c r="TAQ1159" s="7"/>
      <c r="TAR1159" s="7"/>
      <c r="TAS1159" s="7"/>
      <c r="TAT1159" s="7"/>
      <c r="TAU1159" s="7"/>
      <c r="TAV1159" s="7"/>
      <c r="TAW1159" s="7"/>
      <c r="TAX1159" s="7"/>
      <c r="TAY1159" s="7"/>
      <c r="TAZ1159" s="7"/>
      <c r="TBA1159" s="7"/>
      <c r="TBB1159" s="7"/>
      <c r="TBC1159" s="7"/>
      <c r="TBD1159" s="7"/>
      <c r="TBE1159" s="7"/>
      <c r="TBF1159" s="7"/>
      <c r="TBG1159" s="7"/>
      <c r="TBH1159" s="7"/>
      <c r="TBI1159" s="7"/>
      <c r="TBJ1159" s="7"/>
      <c r="TBK1159" s="7"/>
      <c r="TBL1159" s="7"/>
      <c r="TBM1159" s="7"/>
      <c r="TBN1159" s="7"/>
      <c r="TBO1159" s="7"/>
      <c r="TBP1159" s="7"/>
      <c r="TBQ1159" s="7"/>
      <c r="TBR1159" s="7"/>
      <c r="TBS1159" s="7"/>
      <c r="TBT1159" s="7"/>
      <c r="TBU1159" s="7"/>
      <c r="TBV1159" s="7"/>
      <c r="TBW1159" s="7"/>
      <c r="TBX1159" s="7"/>
      <c r="TBY1159" s="7"/>
      <c r="TBZ1159" s="7"/>
      <c r="TCA1159" s="7"/>
      <c r="TCB1159" s="7"/>
      <c r="TCC1159" s="7"/>
      <c r="TCD1159" s="7"/>
      <c r="TCE1159" s="7"/>
      <c r="TCF1159" s="7"/>
      <c r="TCG1159" s="7"/>
      <c r="TCH1159" s="7"/>
      <c r="TCI1159" s="7"/>
      <c r="TCJ1159" s="7"/>
      <c r="TCK1159" s="7"/>
      <c r="TCL1159" s="7"/>
      <c r="TCM1159" s="7"/>
      <c r="TCN1159" s="7"/>
      <c r="TCO1159" s="7"/>
      <c r="TCP1159" s="7"/>
      <c r="TCQ1159" s="7"/>
      <c r="TCR1159" s="7"/>
      <c r="TCS1159" s="7"/>
      <c r="TCT1159" s="7"/>
      <c r="TCU1159" s="7"/>
      <c r="TCV1159" s="7"/>
      <c r="TCW1159" s="7"/>
      <c r="TCX1159" s="7"/>
      <c r="TCY1159" s="7"/>
      <c r="TCZ1159" s="7"/>
      <c r="TDA1159" s="7"/>
      <c r="TDB1159" s="7"/>
      <c r="TDC1159" s="7"/>
      <c r="TDD1159" s="7"/>
      <c r="TDE1159" s="7"/>
      <c r="TDF1159" s="7"/>
      <c r="TDG1159" s="7"/>
      <c r="TDH1159" s="7"/>
      <c r="TDI1159" s="7"/>
      <c r="TDJ1159" s="7"/>
      <c r="TDK1159" s="7"/>
      <c r="TDL1159" s="7"/>
      <c r="TDM1159" s="7"/>
      <c r="TDN1159" s="7"/>
      <c r="TDO1159" s="7"/>
      <c r="TDP1159" s="7"/>
      <c r="TDQ1159" s="7"/>
      <c r="TDR1159" s="7"/>
      <c r="TDS1159" s="7"/>
      <c r="TDT1159" s="7"/>
      <c r="TDU1159" s="7"/>
      <c r="TDV1159" s="7"/>
      <c r="TDW1159" s="7"/>
      <c r="TDX1159" s="7"/>
      <c r="TDY1159" s="7"/>
      <c r="TDZ1159" s="7"/>
      <c r="TEA1159" s="7"/>
      <c r="TEB1159" s="7"/>
      <c r="TEC1159" s="7"/>
      <c r="TED1159" s="7"/>
      <c r="TEE1159" s="7"/>
      <c r="TEF1159" s="7"/>
      <c r="TEG1159" s="7"/>
      <c r="TEH1159" s="7"/>
      <c r="TEI1159" s="7"/>
      <c r="TEJ1159" s="7"/>
      <c r="TEK1159" s="7"/>
      <c r="TEL1159" s="7"/>
      <c r="TEM1159" s="7"/>
      <c r="TEN1159" s="7"/>
      <c r="TEO1159" s="7"/>
      <c r="TEP1159" s="7"/>
      <c r="TEQ1159" s="7"/>
      <c r="TER1159" s="7"/>
      <c r="TES1159" s="7"/>
      <c r="TET1159" s="7"/>
      <c r="TEU1159" s="7"/>
      <c r="TEV1159" s="7"/>
      <c r="TEW1159" s="7"/>
      <c r="TEX1159" s="7"/>
      <c r="TEY1159" s="7"/>
      <c r="TEZ1159" s="7"/>
      <c r="TFA1159" s="7"/>
      <c r="TFB1159" s="7"/>
      <c r="TFC1159" s="7"/>
      <c r="TFD1159" s="7"/>
      <c r="TFE1159" s="7"/>
      <c r="TFF1159" s="7"/>
      <c r="TFG1159" s="7"/>
      <c r="TFH1159" s="7"/>
      <c r="TFI1159" s="7"/>
      <c r="TFJ1159" s="7"/>
      <c r="TFK1159" s="7"/>
      <c r="TFL1159" s="7"/>
      <c r="TFM1159" s="7"/>
      <c r="TFN1159" s="7"/>
      <c r="TFO1159" s="7"/>
      <c r="TFP1159" s="7"/>
      <c r="TFQ1159" s="7"/>
      <c r="TFR1159" s="7"/>
      <c r="TFS1159" s="7"/>
      <c r="TFT1159" s="7"/>
      <c r="TFU1159" s="7"/>
      <c r="TFV1159" s="7"/>
      <c r="TFW1159" s="7"/>
      <c r="TFX1159" s="7"/>
      <c r="TFY1159" s="7"/>
      <c r="TFZ1159" s="7"/>
      <c r="TGA1159" s="7"/>
      <c r="TGB1159" s="7"/>
      <c r="TGC1159" s="7"/>
      <c r="TGD1159" s="7"/>
      <c r="TGE1159" s="7"/>
      <c r="TGF1159" s="7"/>
      <c r="TGG1159" s="7"/>
      <c r="TGH1159" s="7"/>
      <c r="TGI1159" s="7"/>
      <c r="TGJ1159" s="7"/>
      <c r="TGK1159" s="7"/>
      <c r="TGL1159" s="7"/>
      <c r="TGM1159" s="7"/>
      <c r="TGN1159" s="7"/>
      <c r="TGO1159" s="7"/>
      <c r="TGP1159" s="7"/>
      <c r="TGQ1159" s="7"/>
      <c r="TGR1159" s="7"/>
      <c r="TGS1159" s="7"/>
      <c r="TGT1159" s="7"/>
      <c r="TGU1159" s="7"/>
      <c r="TGV1159" s="7"/>
      <c r="TGW1159" s="7"/>
      <c r="TGX1159" s="7"/>
      <c r="TGY1159" s="7"/>
      <c r="TGZ1159" s="7"/>
      <c r="THA1159" s="7"/>
      <c r="THB1159" s="7"/>
      <c r="THC1159" s="7"/>
      <c r="THD1159" s="7"/>
      <c r="THE1159" s="7"/>
      <c r="THF1159" s="7"/>
      <c r="THG1159" s="7"/>
      <c r="THH1159" s="7"/>
      <c r="THI1159" s="7"/>
      <c r="THJ1159" s="7"/>
      <c r="THK1159" s="7"/>
      <c r="THL1159" s="7"/>
      <c r="THM1159" s="7"/>
      <c r="THN1159" s="7"/>
      <c r="THO1159" s="7"/>
      <c r="THP1159" s="7"/>
      <c r="THQ1159" s="7"/>
      <c r="THR1159" s="7"/>
      <c r="THS1159" s="7"/>
      <c r="THT1159" s="7"/>
      <c r="THU1159" s="7"/>
      <c r="THV1159" s="7"/>
      <c r="THW1159" s="7"/>
      <c r="THX1159" s="7"/>
      <c r="THY1159" s="7"/>
      <c r="THZ1159" s="7"/>
      <c r="TIA1159" s="7"/>
      <c r="TIB1159" s="7"/>
      <c r="TIC1159" s="7"/>
      <c r="TID1159" s="7"/>
      <c r="TIE1159" s="7"/>
      <c r="TIF1159" s="7"/>
      <c r="TIG1159" s="7"/>
      <c r="TIH1159" s="7"/>
      <c r="TII1159" s="7"/>
      <c r="TIJ1159" s="7"/>
      <c r="TIK1159" s="7"/>
      <c r="TIL1159" s="7"/>
      <c r="TIM1159" s="7"/>
      <c r="TIN1159" s="7"/>
      <c r="TIO1159" s="7"/>
      <c r="TIP1159" s="7"/>
      <c r="TIQ1159" s="7"/>
      <c r="TIR1159" s="7"/>
      <c r="TIS1159" s="7"/>
      <c r="TIT1159" s="7"/>
      <c r="TIU1159" s="7"/>
      <c r="TIV1159" s="7"/>
      <c r="TIW1159" s="7"/>
      <c r="TIX1159" s="7"/>
      <c r="TIY1159" s="7"/>
      <c r="TIZ1159" s="7"/>
      <c r="TJA1159" s="7"/>
      <c r="TJB1159" s="7"/>
      <c r="TJC1159" s="7"/>
      <c r="TJD1159" s="7"/>
      <c r="TJE1159" s="7"/>
      <c r="TJF1159" s="7"/>
      <c r="TJG1159" s="7"/>
      <c r="TJH1159" s="7"/>
      <c r="TJI1159" s="7"/>
      <c r="TJJ1159" s="7"/>
      <c r="TJK1159" s="7"/>
      <c r="TJL1159" s="7"/>
      <c r="TJM1159" s="7"/>
      <c r="TJN1159" s="7"/>
      <c r="TJO1159" s="7"/>
      <c r="TJP1159" s="7"/>
      <c r="TJQ1159" s="7"/>
      <c r="TJR1159" s="7"/>
      <c r="TJS1159" s="7"/>
      <c r="TJT1159" s="7"/>
      <c r="TJU1159" s="7"/>
      <c r="TJV1159" s="7"/>
      <c r="TJW1159" s="7"/>
      <c r="TJX1159" s="7"/>
      <c r="TJY1159" s="7"/>
      <c r="TJZ1159" s="7"/>
      <c r="TKA1159" s="7"/>
      <c r="TKB1159" s="7"/>
      <c r="TKC1159" s="7"/>
      <c r="TKD1159" s="7"/>
      <c r="TKE1159" s="7"/>
      <c r="TKF1159" s="7"/>
      <c r="TKG1159" s="7"/>
      <c r="TKH1159" s="7"/>
      <c r="TKI1159" s="7"/>
      <c r="TKJ1159" s="7"/>
      <c r="TKK1159" s="7"/>
      <c r="TKL1159" s="7"/>
      <c r="TKM1159" s="7"/>
      <c r="TKN1159" s="7"/>
      <c r="TKO1159" s="7"/>
      <c r="TKP1159" s="7"/>
      <c r="TKQ1159" s="7"/>
      <c r="TKR1159" s="7"/>
      <c r="TKS1159" s="7"/>
      <c r="TKT1159" s="7"/>
      <c r="TKU1159" s="7"/>
      <c r="TKV1159" s="7"/>
      <c r="TKW1159" s="7"/>
      <c r="TKX1159" s="7"/>
      <c r="TKY1159" s="7"/>
      <c r="TKZ1159" s="7"/>
      <c r="TLA1159" s="7"/>
      <c r="TLB1159" s="7"/>
      <c r="TLC1159" s="7"/>
      <c r="TLD1159" s="7"/>
      <c r="TLE1159" s="7"/>
      <c r="TLF1159" s="7"/>
      <c r="TLG1159" s="7"/>
      <c r="TLH1159" s="7"/>
      <c r="TLI1159" s="7"/>
      <c r="TLJ1159" s="7"/>
      <c r="TLK1159" s="7"/>
      <c r="TLL1159" s="7"/>
      <c r="TLM1159" s="7"/>
      <c r="TLN1159" s="7"/>
      <c r="TLO1159" s="7"/>
      <c r="TLP1159" s="7"/>
      <c r="TLQ1159" s="7"/>
      <c r="TLR1159" s="7"/>
      <c r="TLS1159" s="7"/>
      <c r="TLT1159" s="7"/>
      <c r="TLU1159" s="7"/>
      <c r="TLV1159" s="7"/>
      <c r="TLW1159" s="7"/>
      <c r="TLX1159" s="7"/>
      <c r="TLY1159" s="7"/>
      <c r="TLZ1159" s="7"/>
      <c r="TMA1159" s="7"/>
      <c r="TMB1159" s="7"/>
      <c r="TMC1159" s="7"/>
      <c r="TMD1159" s="7"/>
      <c r="TME1159" s="7"/>
      <c r="TMF1159" s="7"/>
      <c r="TMG1159" s="7"/>
      <c r="TMH1159" s="7"/>
      <c r="TMI1159" s="7"/>
      <c r="TMJ1159" s="7"/>
      <c r="TMK1159" s="7"/>
      <c r="TML1159" s="7"/>
      <c r="TMM1159" s="7"/>
      <c r="TMN1159" s="7"/>
      <c r="TMO1159" s="7"/>
      <c r="TMP1159" s="7"/>
      <c r="TMQ1159" s="7"/>
      <c r="TMR1159" s="7"/>
      <c r="TMS1159" s="7"/>
      <c r="TMT1159" s="7"/>
      <c r="TMU1159" s="7"/>
      <c r="TMV1159" s="7"/>
      <c r="TMW1159" s="7"/>
      <c r="TMX1159" s="7"/>
      <c r="TMY1159" s="7"/>
      <c r="TMZ1159" s="7"/>
      <c r="TNA1159" s="7"/>
      <c r="TNB1159" s="7"/>
      <c r="TNC1159" s="7"/>
      <c r="TND1159" s="7"/>
      <c r="TNE1159" s="7"/>
      <c r="TNF1159" s="7"/>
      <c r="TNG1159" s="7"/>
      <c r="TNH1159" s="7"/>
      <c r="TNI1159" s="7"/>
      <c r="TNJ1159" s="7"/>
      <c r="TNK1159" s="7"/>
      <c r="TNL1159" s="7"/>
      <c r="TNM1159" s="7"/>
      <c r="TNN1159" s="7"/>
      <c r="TNO1159" s="7"/>
      <c r="TNP1159" s="7"/>
      <c r="TNQ1159" s="7"/>
      <c r="TNR1159" s="7"/>
      <c r="TNS1159" s="7"/>
      <c r="TNT1159" s="7"/>
      <c r="TNU1159" s="7"/>
      <c r="TNV1159" s="7"/>
      <c r="TNW1159" s="7"/>
      <c r="TNX1159" s="7"/>
      <c r="TNY1159" s="7"/>
      <c r="TNZ1159" s="7"/>
      <c r="TOA1159" s="7"/>
      <c r="TOB1159" s="7"/>
      <c r="TOC1159" s="7"/>
      <c r="TOD1159" s="7"/>
      <c r="TOE1159" s="7"/>
      <c r="TOF1159" s="7"/>
      <c r="TOG1159" s="7"/>
      <c r="TOH1159" s="7"/>
      <c r="TOI1159" s="7"/>
      <c r="TOJ1159" s="7"/>
      <c r="TOK1159" s="7"/>
      <c r="TOL1159" s="7"/>
      <c r="TOM1159" s="7"/>
      <c r="TON1159" s="7"/>
      <c r="TOO1159" s="7"/>
      <c r="TOP1159" s="7"/>
      <c r="TOQ1159" s="7"/>
      <c r="TOR1159" s="7"/>
      <c r="TOS1159" s="7"/>
      <c r="TOT1159" s="7"/>
      <c r="TOU1159" s="7"/>
      <c r="TOV1159" s="7"/>
      <c r="TOW1159" s="7"/>
      <c r="TOX1159" s="7"/>
      <c r="TOY1159" s="7"/>
      <c r="TOZ1159" s="7"/>
      <c r="TPA1159" s="7"/>
      <c r="TPB1159" s="7"/>
      <c r="TPC1159" s="7"/>
      <c r="TPD1159" s="7"/>
      <c r="TPE1159" s="7"/>
      <c r="TPF1159" s="7"/>
      <c r="TPG1159" s="7"/>
      <c r="TPH1159" s="7"/>
      <c r="TPI1159" s="7"/>
      <c r="TPJ1159" s="7"/>
      <c r="TPK1159" s="7"/>
      <c r="TPL1159" s="7"/>
      <c r="TPM1159" s="7"/>
      <c r="TPN1159" s="7"/>
      <c r="TPO1159" s="7"/>
      <c r="TPP1159" s="7"/>
      <c r="TPQ1159" s="7"/>
      <c r="TPR1159" s="7"/>
      <c r="TPS1159" s="7"/>
      <c r="TPT1159" s="7"/>
      <c r="TPU1159" s="7"/>
      <c r="TPV1159" s="7"/>
      <c r="TPW1159" s="7"/>
      <c r="TPX1159" s="7"/>
      <c r="TPY1159" s="7"/>
      <c r="TPZ1159" s="7"/>
      <c r="TQA1159" s="7"/>
      <c r="TQB1159" s="7"/>
      <c r="TQC1159" s="7"/>
      <c r="TQD1159" s="7"/>
      <c r="TQE1159" s="7"/>
      <c r="TQF1159" s="7"/>
      <c r="TQG1159" s="7"/>
      <c r="TQH1159" s="7"/>
      <c r="TQI1159" s="7"/>
      <c r="TQJ1159" s="7"/>
      <c r="TQK1159" s="7"/>
      <c r="TQL1159" s="7"/>
      <c r="TQM1159" s="7"/>
      <c r="TQN1159" s="7"/>
      <c r="TQO1159" s="7"/>
      <c r="TQP1159" s="7"/>
      <c r="TQQ1159" s="7"/>
      <c r="TQR1159" s="7"/>
      <c r="TQS1159" s="7"/>
      <c r="TQT1159" s="7"/>
      <c r="TQU1159" s="7"/>
      <c r="TQV1159" s="7"/>
      <c r="TQW1159" s="7"/>
      <c r="TQX1159" s="7"/>
      <c r="TQY1159" s="7"/>
      <c r="TQZ1159" s="7"/>
      <c r="TRA1159" s="7"/>
      <c r="TRB1159" s="7"/>
      <c r="TRC1159" s="7"/>
      <c r="TRD1159" s="7"/>
      <c r="TRE1159" s="7"/>
      <c r="TRF1159" s="7"/>
      <c r="TRG1159" s="7"/>
      <c r="TRH1159" s="7"/>
      <c r="TRI1159" s="7"/>
      <c r="TRJ1159" s="7"/>
      <c r="TRK1159" s="7"/>
      <c r="TRL1159" s="7"/>
      <c r="TRM1159" s="7"/>
      <c r="TRN1159" s="7"/>
      <c r="TRO1159" s="7"/>
      <c r="TRP1159" s="7"/>
      <c r="TRQ1159" s="7"/>
      <c r="TRR1159" s="7"/>
      <c r="TRS1159" s="7"/>
      <c r="TRT1159" s="7"/>
      <c r="TRU1159" s="7"/>
      <c r="TRV1159" s="7"/>
      <c r="TRW1159" s="7"/>
      <c r="TRX1159" s="7"/>
      <c r="TRY1159" s="7"/>
      <c r="TRZ1159" s="7"/>
      <c r="TSA1159" s="7"/>
      <c r="TSB1159" s="7"/>
      <c r="TSC1159" s="7"/>
      <c r="TSD1159" s="7"/>
      <c r="TSE1159" s="7"/>
      <c r="TSF1159" s="7"/>
      <c r="TSG1159" s="7"/>
      <c r="TSH1159" s="7"/>
      <c r="TSI1159" s="7"/>
      <c r="TSJ1159" s="7"/>
      <c r="TSK1159" s="7"/>
      <c r="TSL1159" s="7"/>
      <c r="TSM1159" s="7"/>
      <c r="TSN1159" s="7"/>
      <c r="TSO1159" s="7"/>
      <c r="TSP1159" s="7"/>
      <c r="TSQ1159" s="7"/>
      <c r="TSR1159" s="7"/>
      <c r="TSS1159" s="7"/>
      <c r="TST1159" s="7"/>
      <c r="TSU1159" s="7"/>
      <c r="TSV1159" s="7"/>
      <c r="TSW1159" s="7"/>
      <c r="TSX1159" s="7"/>
      <c r="TSY1159" s="7"/>
      <c r="TSZ1159" s="7"/>
      <c r="TTA1159" s="7"/>
      <c r="TTB1159" s="7"/>
      <c r="TTC1159" s="7"/>
      <c r="TTD1159" s="7"/>
      <c r="TTE1159" s="7"/>
      <c r="TTF1159" s="7"/>
      <c r="TTG1159" s="7"/>
      <c r="TTH1159" s="7"/>
      <c r="TTI1159" s="7"/>
      <c r="TTJ1159" s="7"/>
      <c r="TTK1159" s="7"/>
      <c r="TTL1159" s="7"/>
      <c r="TTM1159" s="7"/>
      <c r="TTN1159" s="7"/>
      <c r="TTO1159" s="7"/>
      <c r="TTP1159" s="7"/>
      <c r="TTQ1159" s="7"/>
      <c r="TTR1159" s="7"/>
      <c r="TTS1159" s="7"/>
      <c r="TTT1159" s="7"/>
      <c r="TTU1159" s="7"/>
      <c r="TTV1159" s="7"/>
      <c r="TTW1159" s="7"/>
      <c r="TTX1159" s="7"/>
      <c r="TTY1159" s="7"/>
      <c r="TTZ1159" s="7"/>
      <c r="TUA1159" s="7"/>
      <c r="TUB1159" s="7"/>
      <c r="TUC1159" s="7"/>
      <c r="TUD1159" s="7"/>
      <c r="TUE1159" s="7"/>
      <c r="TUF1159" s="7"/>
      <c r="TUG1159" s="7"/>
      <c r="TUH1159" s="7"/>
      <c r="TUI1159" s="7"/>
      <c r="TUJ1159" s="7"/>
      <c r="TUK1159" s="7"/>
      <c r="TUL1159" s="7"/>
      <c r="TUM1159" s="7"/>
      <c r="TUN1159" s="7"/>
      <c r="TUO1159" s="7"/>
      <c r="TUP1159" s="7"/>
      <c r="TUQ1159" s="7"/>
      <c r="TUR1159" s="7"/>
      <c r="TUS1159" s="7"/>
      <c r="TUT1159" s="7"/>
      <c r="TUU1159" s="7"/>
      <c r="TUV1159" s="7"/>
      <c r="TUW1159" s="7"/>
      <c r="TUX1159" s="7"/>
      <c r="TUY1159" s="7"/>
      <c r="TUZ1159" s="7"/>
      <c r="TVA1159" s="7"/>
      <c r="TVB1159" s="7"/>
      <c r="TVC1159" s="7"/>
      <c r="TVD1159" s="7"/>
      <c r="TVE1159" s="7"/>
      <c r="TVF1159" s="7"/>
      <c r="TVG1159" s="7"/>
      <c r="TVH1159" s="7"/>
      <c r="TVI1159" s="7"/>
      <c r="TVJ1159" s="7"/>
      <c r="TVK1159" s="7"/>
      <c r="TVL1159" s="7"/>
      <c r="TVM1159" s="7"/>
      <c r="TVN1159" s="7"/>
      <c r="TVO1159" s="7"/>
      <c r="TVP1159" s="7"/>
      <c r="TVQ1159" s="7"/>
      <c r="TVR1159" s="7"/>
      <c r="TVS1159" s="7"/>
      <c r="TVT1159" s="7"/>
      <c r="TVU1159" s="7"/>
      <c r="TVV1159" s="7"/>
      <c r="TVW1159" s="7"/>
      <c r="TVX1159" s="7"/>
      <c r="TVY1159" s="7"/>
      <c r="TVZ1159" s="7"/>
      <c r="TWA1159" s="7"/>
      <c r="TWB1159" s="7"/>
      <c r="TWC1159" s="7"/>
      <c r="TWD1159" s="7"/>
      <c r="TWE1159" s="7"/>
      <c r="TWF1159" s="7"/>
      <c r="TWG1159" s="7"/>
      <c r="TWH1159" s="7"/>
      <c r="TWI1159" s="7"/>
      <c r="TWJ1159" s="7"/>
      <c r="TWK1159" s="7"/>
      <c r="TWL1159" s="7"/>
      <c r="TWM1159" s="7"/>
      <c r="TWN1159" s="7"/>
      <c r="TWO1159" s="7"/>
      <c r="TWP1159" s="7"/>
      <c r="TWQ1159" s="7"/>
      <c r="TWR1159" s="7"/>
      <c r="TWS1159" s="7"/>
      <c r="TWT1159" s="7"/>
      <c r="TWU1159" s="7"/>
      <c r="TWV1159" s="7"/>
      <c r="TWW1159" s="7"/>
      <c r="TWX1159" s="7"/>
      <c r="TWY1159" s="7"/>
      <c r="TWZ1159" s="7"/>
      <c r="TXA1159" s="7"/>
      <c r="TXB1159" s="7"/>
      <c r="TXC1159" s="7"/>
      <c r="TXD1159" s="7"/>
      <c r="TXE1159" s="7"/>
      <c r="TXF1159" s="7"/>
      <c r="TXG1159" s="7"/>
      <c r="TXH1159" s="7"/>
      <c r="TXI1159" s="7"/>
      <c r="TXJ1159" s="7"/>
      <c r="TXK1159" s="7"/>
      <c r="TXL1159" s="7"/>
      <c r="TXM1159" s="7"/>
      <c r="TXN1159" s="7"/>
      <c r="TXO1159" s="7"/>
      <c r="TXP1159" s="7"/>
      <c r="TXQ1159" s="7"/>
      <c r="TXR1159" s="7"/>
      <c r="TXS1159" s="7"/>
      <c r="TXT1159" s="7"/>
      <c r="TXU1159" s="7"/>
      <c r="TXV1159" s="7"/>
      <c r="TXW1159" s="7"/>
      <c r="TXX1159" s="7"/>
      <c r="TXY1159" s="7"/>
      <c r="TXZ1159" s="7"/>
      <c r="TYA1159" s="7"/>
      <c r="TYB1159" s="7"/>
      <c r="TYC1159" s="7"/>
      <c r="TYD1159" s="7"/>
      <c r="TYE1159" s="7"/>
      <c r="TYF1159" s="7"/>
      <c r="TYG1159" s="7"/>
      <c r="TYH1159" s="7"/>
      <c r="TYI1159" s="7"/>
      <c r="TYJ1159" s="7"/>
      <c r="TYK1159" s="7"/>
      <c r="TYL1159" s="7"/>
      <c r="TYM1159" s="7"/>
      <c r="TYN1159" s="7"/>
      <c r="TYO1159" s="7"/>
      <c r="TYP1159" s="7"/>
      <c r="TYQ1159" s="7"/>
      <c r="TYR1159" s="7"/>
      <c r="TYS1159" s="7"/>
      <c r="TYT1159" s="7"/>
      <c r="TYU1159" s="7"/>
      <c r="TYV1159" s="7"/>
      <c r="TYW1159" s="7"/>
      <c r="TYX1159" s="7"/>
      <c r="TYY1159" s="7"/>
      <c r="TYZ1159" s="7"/>
      <c r="TZA1159" s="7"/>
      <c r="TZB1159" s="7"/>
      <c r="TZC1159" s="7"/>
      <c r="TZD1159" s="7"/>
      <c r="TZE1159" s="7"/>
      <c r="TZF1159" s="7"/>
      <c r="TZG1159" s="7"/>
      <c r="TZH1159" s="7"/>
      <c r="TZI1159" s="7"/>
      <c r="TZJ1159" s="7"/>
      <c r="TZK1159" s="7"/>
      <c r="TZL1159" s="7"/>
      <c r="TZM1159" s="7"/>
      <c r="TZN1159" s="7"/>
      <c r="TZO1159" s="7"/>
      <c r="TZP1159" s="7"/>
      <c r="TZQ1159" s="7"/>
      <c r="TZR1159" s="7"/>
      <c r="TZS1159" s="7"/>
      <c r="TZT1159" s="7"/>
      <c r="TZU1159" s="7"/>
      <c r="TZV1159" s="7"/>
      <c r="TZW1159" s="7"/>
      <c r="TZX1159" s="7"/>
      <c r="TZY1159" s="7"/>
      <c r="TZZ1159" s="7"/>
      <c r="UAA1159" s="7"/>
      <c r="UAB1159" s="7"/>
      <c r="UAC1159" s="7"/>
      <c r="UAD1159" s="7"/>
      <c r="UAE1159" s="7"/>
      <c r="UAF1159" s="7"/>
      <c r="UAG1159" s="7"/>
      <c r="UAH1159" s="7"/>
      <c r="UAI1159" s="7"/>
      <c r="UAJ1159" s="7"/>
      <c r="UAK1159" s="7"/>
      <c r="UAL1159" s="7"/>
      <c r="UAM1159" s="7"/>
      <c r="UAN1159" s="7"/>
      <c r="UAO1159" s="7"/>
      <c r="UAP1159" s="7"/>
      <c r="UAQ1159" s="7"/>
      <c r="UAR1159" s="7"/>
      <c r="UAS1159" s="7"/>
      <c r="UAT1159" s="7"/>
      <c r="UAU1159" s="7"/>
      <c r="UAV1159" s="7"/>
      <c r="UAW1159" s="7"/>
      <c r="UAX1159" s="7"/>
      <c r="UAY1159" s="7"/>
      <c r="UAZ1159" s="7"/>
      <c r="UBA1159" s="7"/>
      <c r="UBB1159" s="7"/>
      <c r="UBC1159" s="7"/>
      <c r="UBD1159" s="7"/>
      <c r="UBE1159" s="7"/>
      <c r="UBF1159" s="7"/>
      <c r="UBG1159" s="7"/>
      <c r="UBH1159" s="7"/>
      <c r="UBI1159" s="7"/>
      <c r="UBJ1159" s="7"/>
      <c r="UBK1159" s="7"/>
      <c r="UBL1159" s="7"/>
      <c r="UBM1159" s="7"/>
      <c r="UBN1159" s="7"/>
      <c r="UBO1159" s="7"/>
      <c r="UBP1159" s="7"/>
      <c r="UBQ1159" s="7"/>
      <c r="UBR1159" s="7"/>
      <c r="UBS1159" s="7"/>
      <c r="UBT1159" s="7"/>
      <c r="UBU1159" s="7"/>
      <c r="UBV1159" s="7"/>
      <c r="UBW1159" s="7"/>
      <c r="UBX1159" s="7"/>
      <c r="UBY1159" s="7"/>
      <c r="UBZ1159" s="7"/>
      <c r="UCA1159" s="7"/>
      <c r="UCB1159" s="7"/>
      <c r="UCC1159" s="7"/>
      <c r="UCD1159" s="7"/>
      <c r="UCE1159" s="7"/>
      <c r="UCF1159" s="7"/>
      <c r="UCG1159" s="7"/>
      <c r="UCH1159" s="7"/>
      <c r="UCI1159" s="7"/>
      <c r="UCJ1159" s="7"/>
      <c r="UCK1159" s="7"/>
      <c r="UCL1159" s="7"/>
      <c r="UCM1159" s="7"/>
      <c r="UCN1159" s="7"/>
      <c r="UCO1159" s="7"/>
      <c r="UCP1159" s="7"/>
      <c r="UCQ1159" s="7"/>
      <c r="UCR1159" s="7"/>
      <c r="UCS1159" s="7"/>
      <c r="UCT1159" s="7"/>
      <c r="UCU1159" s="7"/>
      <c r="UCV1159" s="7"/>
      <c r="UCW1159" s="7"/>
      <c r="UCX1159" s="7"/>
      <c r="UCY1159" s="7"/>
      <c r="UCZ1159" s="7"/>
      <c r="UDA1159" s="7"/>
      <c r="UDB1159" s="7"/>
      <c r="UDC1159" s="7"/>
      <c r="UDD1159" s="7"/>
      <c r="UDE1159" s="7"/>
      <c r="UDF1159" s="7"/>
      <c r="UDG1159" s="7"/>
      <c r="UDH1159" s="7"/>
      <c r="UDI1159" s="7"/>
      <c r="UDJ1159" s="7"/>
      <c r="UDK1159" s="7"/>
      <c r="UDL1159" s="7"/>
      <c r="UDM1159" s="7"/>
      <c r="UDN1159" s="7"/>
      <c r="UDO1159" s="7"/>
      <c r="UDP1159" s="7"/>
      <c r="UDQ1159" s="7"/>
      <c r="UDR1159" s="7"/>
      <c r="UDS1159" s="7"/>
      <c r="UDT1159" s="7"/>
      <c r="UDU1159" s="7"/>
      <c r="UDV1159" s="7"/>
      <c r="UDW1159" s="7"/>
      <c r="UDX1159" s="7"/>
      <c r="UDY1159" s="7"/>
      <c r="UDZ1159" s="7"/>
      <c r="UEA1159" s="7"/>
      <c r="UEB1159" s="7"/>
      <c r="UEC1159" s="7"/>
      <c r="UED1159" s="7"/>
      <c r="UEE1159" s="7"/>
      <c r="UEF1159" s="7"/>
      <c r="UEG1159" s="7"/>
      <c r="UEH1159" s="7"/>
      <c r="UEI1159" s="7"/>
      <c r="UEJ1159" s="7"/>
      <c r="UEK1159" s="7"/>
      <c r="UEL1159" s="7"/>
      <c r="UEM1159" s="7"/>
      <c r="UEN1159" s="7"/>
      <c r="UEO1159" s="7"/>
      <c r="UEP1159" s="7"/>
      <c r="UEQ1159" s="7"/>
      <c r="UER1159" s="7"/>
      <c r="UES1159" s="7"/>
      <c r="UET1159" s="7"/>
      <c r="UEU1159" s="7"/>
      <c r="UEV1159" s="7"/>
      <c r="UEW1159" s="7"/>
      <c r="UEX1159" s="7"/>
      <c r="UEY1159" s="7"/>
      <c r="UEZ1159" s="7"/>
      <c r="UFA1159" s="7"/>
      <c r="UFB1159" s="7"/>
      <c r="UFC1159" s="7"/>
      <c r="UFD1159" s="7"/>
      <c r="UFE1159" s="7"/>
      <c r="UFF1159" s="7"/>
      <c r="UFG1159" s="7"/>
      <c r="UFH1159" s="7"/>
      <c r="UFI1159" s="7"/>
      <c r="UFJ1159" s="7"/>
      <c r="UFK1159" s="7"/>
      <c r="UFL1159" s="7"/>
      <c r="UFM1159" s="7"/>
      <c r="UFN1159" s="7"/>
      <c r="UFO1159" s="7"/>
      <c r="UFP1159" s="7"/>
      <c r="UFQ1159" s="7"/>
      <c r="UFR1159" s="7"/>
      <c r="UFS1159" s="7"/>
      <c r="UFT1159" s="7"/>
      <c r="UFU1159" s="7"/>
      <c r="UFV1159" s="7"/>
      <c r="UFW1159" s="7"/>
      <c r="UFX1159" s="7"/>
      <c r="UFY1159" s="7"/>
      <c r="UFZ1159" s="7"/>
      <c r="UGA1159" s="7"/>
      <c r="UGB1159" s="7"/>
      <c r="UGC1159" s="7"/>
      <c r="UGD1159" s="7"/>
      <c r="UGE1159" s="7"/>
      <c r="UGF1159" s="7"/>
      <c r="UGG1159" s="7"/>
      <c r="UGH1159" s="7"/>
      <c r="UGI1159" s="7"/>
      <c r="UGJ1159" s="7"/>
      <c r="UGK1159" s="7"/>
      <c r="UGL1159" s="7"/>
      <c r="UGM1159" s="7"/>
      <c r="UGN1159" s="7"/>
      <c r="UGO1159" s="7"/>
      <c r="UGP1159" s="7"/>
      <c r="UGQ1159" s="7"/>
      <c r="UGR1159" s="7"/>
      <c r="UGS1159" s="7"/>
      <c r="UGT1159" s="7"/>
      <c r="UGU1159" s="7"/>
      <c r="UGV1159" s="7"/>
      <c r="UGW1159" s="7"/>
      <c r="UGX1159" s="7"/>
      <c r="UGY1159" s="7"/>
      <c r="UGZ1159" s="7"/>
      <c r="UHA1159" s="7"/>
      <c r="UHB1159" s="7"/>
      <c r="UHC1159" s="7"/>
      <c r="UHD1159" s="7"/>
      <c r="UHE1159" s="7"/>
      <c r="UHF1159" s="7"/>
      <c r="UHG1159" s="7"/>
      <c r="UHH1159" s="7"/>
      <c r="UHI1159" s="7"/>
      <c r="UHJ1159" s="7"/>
      <c r="UHK1159" s="7"/>
      <c r="UHL1159" s="7"/>
      <c r="UHM1159" s="7"/>
      <c r="UHN1159" s="7"/>
      <c r="UHO1159" s="7"/>
      <c r="UHP1159" s="7"/>
      <c r="UHQ1159" s="7"/>
      <c r="UHR1159" s="7"/>
      <c r="UHS1159" s="7"/>
      <c r="UHT1159" s="7"/>
      <c r="UHU1159" s="7"/>
      <c r="UHV1159" s="7"/>
      <c r="UHW1159" s="7"/>
      <c r="UHX1159" s="7"/>
      <c r="UHY1159" s="7"/>
      <c r="UHZ1159" s="7"/>
      <c r="UIA1159" s="7"/>
      <c r="UIB1159" s="7"/>
      <c r="UIC1159" s="7"/>
      <c r="UID1159" s="7"/>
      <c r="UIE1159" s="7"/>
      <c r="UIF1159" s="7"/>
      <c r="UIG1159" s="7"/>
      <c r="UIH1159" s="7"/>
      <c r="UII1159" s="7"/>
      <c r="UIJ1159" s="7"/>
      <c r="UIK1159" s="7"/>
      <c r="UIL1159" s="7"/>
      <c r="UIM1159" s="7"/>
      <c r="UIN1159" s="7"/>
      <c r="UIO1159" s="7"/>
      <c r="UIP1159" s="7"/>
      <c r="UIQ1159" s="7"/>
      <c r="UIR1159" s="7"/>
      <c r="UIS1159" s="7"/>
      <c r="UIT1159" s="7"/>
      <c r="UIU1159" s="7"/>
      <c r="UIV1159" s="7"/>
      <c r="UIW1159" s="7"/>
      <c r="UIX1159" s="7"/>
      <c r="UIY1159" s="7"/>
      <c r="UIZ1159" s="7"/>
      <c r="UJA1159" s="7"/>
      <c r="UJB1159" s="7"/>
      <c r="UJC1159" s="7"/>
      <c r="UJD1159" s="7"/>
      <c r="UJE1159" s="7"/>
      <c r="UJF1159" s="7"/>
      <c r="UJG1159" s="7"/>
      <c r="UJH1159" s="7"/>
      <c r="UJI1159" s="7"/>
      <c r="UJJ1159" s="7"/>
      <c r="UJK1159" s="7"/>
      <c r="UJL1159" s="7"/>
      <c r="UJM1159" s="7"/>
      <c r="UJN1159" s="7"/>
      <c r="UJO1159" s="7"/>
      <c r="UJP1159" s="7"/>
      <c r="UJQ1159" s="7"/>
      <c r="UJR1159" s="7"/>
      <c r="UJS1159" s="7"/>
      <c r="UJT1159" s="7"/>
      <c r="UJU1159" s="7"/>
      <c r="UJV1159" s="7"/>
      <c r="UJW1159" s="7"/>
      <c r="UJX1159" s="7"/>
      <c r="UJY1159" s="7"/>
      <c r="UJZ1159" s="7"/>
      <c r="UKA1159" s="7"/>
      <c r="UKB1159" s="7"/>
      <c r="UKC1159" s="7"/>
      <c r="UKD1159" s="7"/>
      <c r="UKE1159" s="7"/>
      <c r="UKF1159" s="7"/>
      <c r="UKG1159" s="7"/>
      <c r="UKH1159" s="7"/>
      <c r="UKI1159" s="7"/>
      <c r="UKJ1159" s="7"/>
      <c r="UKK1159" s="7"/>
      <c r="UKL1159" s="7"/>
      <c r="UKM1159" s="7"/>
      <c r="UKN1159" s="7"/>
      <c r="UKO1159" s="7"/>
      <c r="UKP1159" s="7"/>
      <c r="UKQ1159" s="7"/>
      <c r="UKR1159" s="7"/>
      <c r="UKS1159" s="7"/>
      <c r="UKT1159" s="7"/>
      <c r="UKU1159" s="7"/>
      <c r="UKV1159" s="7"/>
      <c r="UKW1159" s="7"/>
      <c r="UKX1159" s="7"/>
      <c r="UKY1159" s="7"/>
      <c r="UKZ1159" s="7"/>
      <c r="ULA1159" s="7"/>
      <c r="ULB1159" s="7"/>
      <c r="ULC1159" s="7"/>
      <c r="ULD1159" s="7"/>
      <c r="ULE1159" s="7"/>
      <c r="ULF1159" s="7"/>
      <c r="ULG1159" s="7"/>
      <c r="ULH1159" s="7"/>
      <c r="ULI1159" s="7"/>
      <c r="ULJ1159" s="7"/>
      <c r="ULK1159" s="7"/>
      <c r="ULL1159" s="7"/>
      <c r="ULM1159" s="7"/>
      <c r="ULN1159" s="7"/>
      <c r="ULO1159" s="7"/>
      <c r="ULP1159" s="7"/>
      <c r="ULQ1159" s="7"/>
      <c r="ULR1159" s="7"/>
      <c r="ULS1159" s="7"/>
      <c r="ULT1159" s="7"/>
      <c r="ULU1159" s="7"/>
      <c r="ULV1159" s="7"/>
      <c r="ULW1159" s="7"/>
      <c r="ULX1159" s="7"/>
      <c r="ULY1159" s="7"/>
      <c r="ULZ1159" s="7"/>
      <c r="UMA1159" s="7"/>
      <c r="UMB1159" s="7"/>
      <c r="UMC1159" s="7"/>
      <c r="UMD1159" s="7"/>
      <c r="UME1159" s="7"/>
      <c r="UMF1159" s="7"/>
      <c r="UMG1159" s="7"/>
      <c r="UMH1159" s="7"/>
      <c r="UMI1159" s="7"/>
      <c r="UMJ1159" s="7"/>
      <c r="UMK1159" s="7"/>
      <c r="UML1159" s="7"/>
      <c r="UMM1159" s="7"/>
      <c r="UMN1159" s="7"/>
      <c r="UMO1159" s="7"/>
      <c r="UMP1159" s="7"/>
      <c r="UMQ1159" s="7"/>
      <c r="UMR1159" s="7"/>
      <c r="UMS1159" s="7"/>
      <c r="UMT1159" s="7"/>
      <c r="UMU1159" s="7"/>
      <c r="UMV1159" s="7"/>
      <c r="UMW1159" s="7"/>
      <c r="UMX1159" s="7"/>
      <c r="UMY1159" s="7"/>
      <c r="UMZ1159" s="7"/>
      <c r="UNA1159" s="7"/>
      <c r="UNB1159" s="7"/>
      <c r="UNC1159" s="7"/>
      <c r="UND1159" s="7"/>
      <c r="UNE1159" s="7"/>
      <c r="UNF1159" s="7"/>
      <c r="UNG1159" s="7"/>
      <c r="UNH1159" s="7"/>
      <c r="UNI1159" s="7"/>
      <c r="UNJ1159" s="7"/>
      <c r="UNK1159" s="7"/>
      <c r="UNL1159" s="7"/>
      <c r="UNM1159" s="7"/>
      <c r="UNN1159" s="7"/>
      <c r="UNO1159" s="7"/>
      <c r="UNP1159" s="7"/>
      <c r="UNQ1159" s="7"/>
      <c r="UNR1159" s="7"/>
      <c r="UNS1159" s="7"/>
      <c r="UNT1159" s="7"/>
      <c r="UNU1159" s="7"/>
      <c r="UNV1159" s="7"/>
      <c r="UNW1159" s="7"/>
      <c r="UNX1159" s="7"/>
      <c r="UNY1159" s="7"/>
      <c r="UNZ1159" s="7"/>
      <c r="UOA1159" s="7"/>
      <c r="UOB1159" s="7"/>
      <c r="UOC1159" s="7"/>
      <c r="UOD1159" s="7"/>
      <c r="UOE1159" s="7"/>
      <c r="UOF1159" s="7"/>
      <c r="UOG1159" s="7"/>
      <c r="UOH1159" s="7"/>
      <c r="UOI1159" s="7"/>
      <c r="UOJ1159" s="7"/>
      <c r="UOK1159" s="7"/>
      <c r="UOL1159" s="7"/>
      <c r="UOM1159" s="7"/>
      <c r="UON1159" s="7"/>
      <c r="UOO1159" s="7"/>
      <c r="UOP1159" s="7"/>
      <c r="UOQ1159" s="7"/>
      <c r="UOR1159" s="7"/>
      <c r="UOS1159" s="7"/>
      <c r="UOT1159" s="7"/>
      <c r="UOU1159" s="7"/>
      <c r="UOV1159" s="7"/>
      <c r="UOW1159" s="7"/>
      <c r="UOX1159" s="7"/>
      <c r="UOY1159" s="7"/>
      <c r="UOZ1159" s="7"/>
      <c r="UPA1159" s="7"/>
      <c r="UPB1159" s="7"/>
      <c r="UPC1159" s="7"/>
      <c r="UPD1159" s="7"/>
      <c r="UPE1159" s="7"/>
      <c r="UPF1159" s="7"/>
      <c r="UPG1159" s="7"/>
      <c r="UPH1159" s="7"/>
      <c r="UPI1159" s="7"/>
      <c r="UPJ1159" s="7"/>
      <c r="UPK1159" s="7"/>
      <c r="UPL1159" s="7"/>
      <c r="UPM1159" s="7"/>
      <c r="UPN1159" s="7"/>
      <c r="UPO1159" s="7"/>
      <c r="UPP1159" s="7"/>
      <c r="UPQ1159" s="7"/>
      <c r="UPR1159" s="7"/>
      <c r="UPS1159" s="7"/>
      <c r="UPT1159" s="7"/>
      <c r="UPU1159" s="7"/>
      <c r="UPV1159" s="7"/>
      <c r="UPW1159" s="7"/>
      <c r="UPX1159" s="7"/>
      <c r="UPY1159" s="7"/>
      <c r="UPZ1159" s="7"/>
      <c r="UQA1159" s="7"/>
      <c r="UQB1159" s="7"/>
      <c r="UQC1159" s="7"/>
      <c r="UQD1159" s="7"/>
      <c r="UQE1159" s="7"/>
      <c r="UQF1159" s="7"/>
      <c r="UQG1159" s="7"/>
      <c r="UQH1159" s="7"/>
      <c r="UQI1159" s="7"/>
      <c r="UQJ1159" s="7"/>
      <c r="UQK1159" s="7"/>
      <c r="UQL1159" s="7"/>
      <c r="UQM1159" s="7"/>
      <c r="UQN1159" s="7"/>
      <c r="UQO1159" s="7"/>
      <c r="UQP1159" s="7"/>
      <c r="UQQ1159" s="7"/>
      <c r="UQR1159" s="7"/>
      <c r="UQS1159" s="7"/>
      <c r="UQT1159" s="7"/>
      <c r="UQU1159" s="7"/>
      <c r="UQV1159" s="7"/>
      <c r="UQW1159" s="7"/>
      <c r="UQX1159" s="7"/>
      <c r="UQY1159" s="7"/>
      <c r="UQZ1159" s="7"/>
      <c r="URA1159" s="7"/>
      <c r="URB1159" s="7"/>
      <c r="URC1159" s="7"/>
      <c r="URD1159" s="7"/>
      <c r="URE1159" s="7"/>
      <c r="URF1159" s="7"/>
      <c r="URG1159" s="7"/>
      <c r="URH1159" s="7"/>
      <c r="URI1159" s="7"/>
      <c r="URJ1159" s="7"/>
      <c r="URK1159" s="7"/>
      <c r="URL1159" s="7"/>
      <c r="URM1159" s="7"/>
      <c r="URN1159" s="7"/>
      <c r="URO1159" s="7"/>
      <c r="URP1159" s="7"/>
      <c r="URQ1159" s="7"/>
      <c r="URR1159" s="7"/>
      <c r="URS1159" s="7"/>
      <c r="URT1159" s="7"/>
      <c r="URU1159" s="7"/>
      <c r="URV1159" s="7"/>
      <c r="URW1159" s="7"/>
      <c r="URX1159" s="7"/>
      <c r="URY1159" s="7"/>
      <c r="URZ1159" s="7"/>
      <c r="USA1159" s="7"/>
      <c r="USB1159" s="7"/>
      <c r="USC1159" s="7"/>
      <c r="USD1159" s="7"/>
      <c r="USE1159" s="7"/>
      <c r="USF1159" s="7"/>
      <c r="USG1159" s="7"/>
      <c r="USH1159" s="7"/>
      <c r="USI1159" s="7"/>
      <c r="USJ1159" s="7"/>
      <c r="USK1159" s="7"/>
      <c r="USL1159" s="7"/>
      <c r="USM1159" s="7"/>
      <c r="USN1159" s="7"/>
      <c r="USO1159" s="7"/>
      <c r="USP1159" s="7"/>
      <c r="USQ1159" s="7"/>
      <c r="USR1159" s="7"/>
      <c r="USS1159" s="7"/>
      <c r="UST1159" s="7"/>
      <c r="USU1159" s="7"/>
      <c r="USV1159" s="7"/>
      <c r="USW1159" s="7"/>
      <c r="USX1159" s="7"/>
      <c r="USY1159" s="7"/>
      <c r="USZ1159" s="7"/>
      <c r="UTA1159" s="7"/>
      <c r="UTB1159" s="7"/>
      <c r="UTC1159" s="7"/>
      <c r="UTD1159" s="7"/>
      <c r="UTE1159" s="7"/>
      <c r="UTF1159" s="7"/>
      <c r="UTG1159" s="7"/>
      <c r="UTH1159" s="7"/>
      <c r="UTI1159" s="7"/>
      <c r="UTJ1159" s="7"/>
      <c r="UTK1159" s="7"/>
      <c r="UTL1159" s="7"/>
      <c r="UTM1159" s="7"/>
      <c r="UTN1159" s="7"/>
      <c r="UTO1159" s="7"/>
      <c r="UTP1159" s="7"/>
      <c r="UTQ1159" s="7"/>
      <c r="UTR1159" s="7"/>
      <c r="UTS1159" s="7"/>
      <c r="UTT1159" s="7"/>
      <c r="UTU1159" s="7"/>
      <c r="UTV1159" s="7"/>
      <c r="UTW1159" s="7"/>
      <c r="UTX1159" s="7"/>
      <c r="UTY1159" s="7"/>
      <c r="UTZ1159" s="7"/>
      <c r="UUA1159" s="7"/>
      <c r="UUB1159" s="7"/>
      <c r="UUC1159" s="7"/>
      <c r="UUD1159" s="7"/>
      <c r="UUE1159" s="7"/>
      <c r="UUF1159" s="7"/>
      <c r="UUG1159" s="7"/>
      <c r="UUH1159" s="7"/>
      <c r="UUI1159" s="7"/>
      <c r="UUJ1159" s="7"/>
      <c r="UUK1159" s="7"/>
      <c r="UUL1159" s="7"/>
      <c r="UUM1159" s="7"/>
      <c r="UUN1159" s="7"/>
      <c r="UUO1159" s="7"/>
      <c r="UUP1159" s="7"/>
      <c r="UUQ1159" s="7"/>
      <c r="UUR1159" s="7"/>
      <c r="UUS1159" s="7"/>
      <c r="UUT1159" s="7"/>
      <c r="UUU1159" s="7"/>
      <c r="UUV1159" s="7"/>
      <c r="UUW1159" s="7"/>
      <c r="UUX1159" s="7"/>
      <c r="UUY1159" s="7"/>
      <c r="UUZ1159" s="7"/>
      <c r="UVA1159" s="7"/>
      <c r="UVB1159" s="7"/>
      <c r="UVC1159" s="7"/>
      <c r="UVD1159" s="7"/>
      <c r="UVE1159" s="7"/>
      <c r="UVF1159" s="7"/>
      <c r="UVG1159" s="7"/>
      <c r="UVH1159" s="7"/>
      <c r="UVI1159" s="7"/>
      <c r="UVJ1159" s="7"/>
      <c r="UVK1159" s="7"/>
      <c r="UVL1159" s="7"/>
      <c r="UVM1159" s="7"/>
      <c r="UVN1159" s="7"/>
      <c r="UVO1159" s="7"/>
      <c r="UVP1159" s="7"/>
      <c r="UVQ1159" s="7"/>
      <c r="UVR1159" s="7"/>
      <c r="UVS1159" s="7"/>
      <c r="UVT1159" s="7"/>
      <c r="UVU1159" s="7"/>
      <c r="UVV1159" s="7"/>
      <c r="UVW1159" s="7"/>
      <c r="UVX1159" s="7"/>
      <c r="UVY1159" s="7"/>
      <c r="UVZ1159" s="7"/>
      <c r="UWA1159" s="7"/>
      <c r="UWB1159" s="7"/>
      <c r="UWC1159" s="7"/>
      <c r="UWD1159" s="7"/>
      <c r="UWE1159" s="7"/>
      <c r="UWF1159" s="7"/>
      <c r="UWG1159" s="7"/>
      <c r="UWH1159" s="7"/>
      <c r="UWI1159" s="7"/>
      <c r="UWJ1159" s="7"/>
      <c r="UWK1159" s="7"/>
      <c r="UWL1159" s="7"/>
      <c r="UWM1159" s="7"/>
      <c r="UWN1159" s="7"/>
      <c r="UWO1159" s="7"/>
      <c r="UWP1159" s="7"/>
      <c r="UWQ1159" s="7"/>
      <c r="UWR1159" s="7"/>
      <c r="UWS1159" s="7"/>
      <c r="UWT1159" s="7"/>
      <c r="UWU1159" s="7"/>
      <c r="UWV1159" s="7"/>
      <c r="UWW1159" s="7"/>
      <c r="UWX1159" s="7"/>
      <c r="UWY1159" s="7"/>
      <c r="UWZ1159" s="7"/>
      <c r="UXA1159" s="7"/>
      <c r="UXB1159" s="7"/>
      <c r="UXC1159" s="7"/>
      <c r="UXD1159" s="7"/>
      <c r="UXE1159" s="7"/>
      <c r="UXF1159" s="7"/>
      <c r="UXG1159" s="7"/>
      <c r="UXH1159" s="7"/>
      <c r="UXI1159" s="7"/>
      <c r="UXJ1159" s="7"/>
      <c r="UXK1159" s="7"/>
      <c r="UXL1159" s="7"/>
      <c r="UXM1159" s="7"/>
      <c r="UXN1159" s="7"/>
      <c r="UXO1159" s="7"/>
      <c r="UXP1159" s="7"/>
      <c r="UXQ1159" s="7"/>
      <c r="UXR1159" s="7"/>
      <c r="UXS1159" s="7"/>
      <c r="UXT1159" s="7"/>
      <c r="UXU1159" s="7"/>
      <c r="UXV1159" s="7"/>
      <c r="UXW1159" s="7"/>
      <c r="UXX1159" s="7"/>
      <c r="UXY1159" s="7"/>
      <c r="UXZ1159" s="7"/>
      <c r="UYA1159" s="7"/>
      <c r="UYB1159" s="7"/>
      <c r="UYC1159" s="7"/>
      <c r="UYD1159" s="7"/>
      <c r="UYE1159" s="7"/>
      <c r="UYF1159" s="7"/>
      <c r="UYG1159" s="7"/>
      <c r="UYH1159" s="7"/>
      <c r="UYI1159" s="7"/>
      <c r="UYJ1159" s="7"/>
      <c r="UYK1159" s="7"/>
      <c r="UYL1159" s="7"/>
      <c r="UYM1159" s="7"/>
      <c r="UYN1159" s="7"/>
      <c r="UYO1159" s="7"/>
      <c r="UYP1159" s="7"/>
      <c r="UYQ1159" s="7"/>
      <c r="UYR1159" s="7"/>
      <c r="UYS1159" s="7"/>
      <c r="UYT1159" s="7"/>
      <c r="UYU1159" s="7"/>
      <c r="UYV1159" s="7"/>
      <c r="UYW1159" s="7"/>
      <c r="UYX1159" s="7"/>
      <c r="UYY1159" s="7"/>
      <c r="UYZ1159" s="7"/>
      <c r="UZA1159" s="7"/>
      <c r="UZB1159" s="7"/>
      <c r="UZC1159" s="7"/>
      <c r="UZD1159" s="7"/>
      <c r="UZE1159" s="7"/>
      <c r="UZF1159" s="7"/>
      <c r="UZG1159" s="7"/>
      <c r="UZH1159" s="7"/>
      <c r="UZI1159" s="7"/>
      <c r="UZJ1159" s="7"/>
      <c r="UZK1159" s="7"/>
      <c r="UZL1159" s="7"/>
      <c r="UZM1159" s="7"/>
      <c r="UZN1159" s="7"/>
      <c r="UZO1159" s="7"/>
      <c r="UZP1159" s="7"/>
      <c r="UZQ1159" s="7"/>
      <c r="UZR1159" s="7"/>
      <c r="UZS1159" s="7"/>
      <c r="UZT1159" s="7"/>
      <c r="UZU1159" s="7"/>
      <c r="UZV1159" s="7"/>
      <c r="UZW1159" s="7"/>
      <c r="UZX1159" s="7"/>
      <c r="UZY1159" s="7"/>
      <c r="UZZ1159" s="7"/>
      <c r="VAA1159" s="7"/>
      <c r="VAB1159" s="7"/>
      <c r="VAC1159" s="7"/>
      <c r="VAD1159" s="7"/>
      <c r="VAE1159" s="7"/>
      <c r="VAF1159" s="7"/>
      <c r="VAG1159" s="7"/>
      <c r="VAH1159" s="7"/>
      <c r="VAI1159" s="7"/>
      <c r="VAJ1159" s="7"/>
      <c r="VAK1159" s="7"/>
      <c r="VAL1159" s="7"/>
      <c r="VAM1159" s="7"/>
      <c r="VAN1159" s="7"/>
      <c r="VAO1159" s="7"/>
      <c r="VAP1159" s="7"/>
      <c r="VAQ1159" s="7"/>
      <c r="VAR1159" s="7"/>
      <c r="VAS1159" s="7"/>
      <c r="VAT1159" s="7"/>
      <c r="VAU1159" s="7"/>
      <c r="VAV1159" s="7"/>
      <c r="VAW1159" s="7"/>
      <c r="VAX1159" s="7"/>
      <c r="VAY1159" s="7"/>
      <c r="VAZ1159" s="7"/>
      <c r="VBA1159" s="7"/>
      <c r="VBB1159" s="7"/>
      <c r="VBC1159" s="7"/>
      <c r="VBD1159" s="7"/>
      <c r="VBE1159" s="7"/>
      <c r="VBF1159" s="7"/>
      <c r="VBG1159" s="7"/>
      <c r="VBH1159" s="7"/>
      <c r="VBI1159" s="7"/>
      <c r="VBJ1159" s="7"/>
      <c r="VBK1159" s="7"/>
      <c r="VBL1159" s="7"/>
      <c r="VBM1159" s="7"/>
      <c r="VBN1159" s="7"/>
      <c r="VBO1159" s="7"/>
      <c r="VBP1159" s="7"/>
      <c r="VBQ1159" s="7"/>
      <c r="VBR1159" s="7"/>
      <c r="VBS1159" s="7"/>
      <c r="VBT1159" s="7"/>
      <c r="VBU1159" s="7"/>
      <c r="VBV1159" s="7"/>
      <c r="VBW1159" s="7"/>
      <c r="VBX1159" s="7"/>
      <c r="VBY1159" s="7"/>
      <c r="VBZ1159" s="7"/>
      <c r="VCA1159" s="7"/>
      <c r="VCB1159" s="7"/>
      <c r="VCC1159" s="7"/>
      <c r="VCD1159" s="7"/>
      <c r="VCE1159" s="7"/>
      <c r="VCF1159" s="7"/>
      <c r="VCG1159" s="7"/>
      <c r="VCH1159" s="7"/>
      <c r="VCI1159" s="7"/>
      <c r="VCJ1159" s="7"/>
      <c r="VCK1159" s="7"/>
      <c r="VCL1159" s="7"/>
      <c r="VCM1159" s="7"/>
      <c r="VCN1159" s="7"/>
      <c r="VCO1159" s="7"/>
      <c r="VCP1159" s="7"/>
      <c r="VCQ1159" s="7"/>
      <c r="VCR1159" s="7"/>
      <c r="VCS1159" s="7"/>
      <c r="VCT1159" s="7"/>
      <c r="VCU1159" s="7"/>
      <c r="VCV1159" s="7"/>
      <c r="VCW1159" s="7"/>
      <c r="VCX1159" s="7"/>
      <c r="VCY1159" s="7"/>
      <c r="VCZ1159" s="7"/>
      <c r="VDA1159" s="7"/>
      <c r="VDB1159" s="7"/>
      <c r="VDC1159" s="7"/>
      <c r="VDD1159" s="7"/>
      <c r="VDE1159" s="7"/>
      <c r="VDF1159" s="7"/>
      <c r="VDG1159" s="7"/>
      <c r="VDH1159" s="7"/>
      <c r="VDI1159" s="7"/>
      <c r="VDJ1159" s="7"/>
      <c r="VDK1159" s="7"/>
      <c r="VDL1159" s="7"/>
      <c r="VDM1159" s="7"/>
      <c r="VDN1159" s="7"/>
      <c r="VDO1159" s="7"/>
      <c r="VDP1159" s="7"/>
      <c r="VDQ1159" s="7"/>
      <c r="VDR1159" s="7"/>
      <c r="VDS1159" s="7"/>
      <c r="VDT1159" s="7"/>
      <c r="VDU1159" s="7"/>
      <c r="VDV1159" s="7"/>
      <c r="VDW1159" s="7"/>
      <c r="VDX1159" s="7"/>
      <c r="VDY1159" s="7"/>
      <c r="VDZ1159" s="7"/>
      <c r="VEA1159" s="7"/>
      <c r="VEB1159" s="7"/>
      <c r="VEC1159" s="7"/>
      <c r="VED1159" s="7"/>
      <c r="VEE1159" s="7"/>
      <c r="VEF1159" s="7"/>
      <c r="VEG1159" s="7"/>
      <c r="VEH1159" s="7"/>
      <c r="VEI1159" s="7"/>
      <c r="VEJ1159" s="7"/>
      <c r="VEK1159" s="7"/>
      <c r="VEL1159" s="7"/>
      <c r="VEM1159" s="7"/>
      <c r="VEN1159" s="7"/>
      <c r="VEO1159" s="7"/>
      <c r="VEP1159" s="7"/>
      <c r="VEQ1159" s="7"/>
      <c r="VER1159" s="7"/>
      <c r="VES1159" s="7"/>
      <c r="VET1159" s="7"/>
      <c r="VEU1159" s="7"/>
      <c r="VEV1159" s="7"/>
      <c r="VEW1159" s="7"/>
      <c r="VEX1159" s="7"/>
      <c r="VEY1159" s="7"/>
      <c r="VEZ1159" s="7"/>
      <c r="VFA1159" s="7"/>
      <c r="VFB1159" s="7"/>
      <c r="VFC1159" s="7"/>
      <c r="VFD1159" s="7"/>
      <c r="VFE1159" s="7"/>
      <c r="VFF1159" s="7"/>
      <c r="VFG1159" s="7"/>
      <c r="VFH1159" s="7"/>
      <c r="VFI1159" s="7"/>
      <c r="VFJ1159" s="7"/>
      <c r="VFK1159" s="7"/>
      <c r="VFL1159" s="7"/>
      <c r="VFM1159" s="7"/>
      <c r="VFN1159" s="7"/>
      <c r="VFO1159" s="7"/>
      <c r="VFP1159" s="7"/>
      <c r="VFQ1159" s="7"/>
      <c r="VFR1159" s="7"/>
      <c r="VFS1159" s="7"/>
      <c r="VFT1159" s="7"/>
      <c r="VFU1159" s="7"/>
      <c r="VFV1159" s="7"/>
      <c r="VFW1159" s="7"/>
      <c r="VFX1159" s="7"/>
      <c r="VFY1159" s="7"/>
      <c r="VFZ1159" s="7"/>
      <c r="VGA1159" s="7"/>
      <c r="VGB1159" s="7"/>
      <c r="VGC1159" s="7"/>
      <c r="VGD1159" s="7"/>
      <c r="VGE1159" s="7"/>
      <c r="VGF1159" s="7"/>
      <c r="VGG1159" s="7"/>
      <c r="VGH1159" s="7"/>
      <c r="VGI1159" s="7"/>
      <c r="VGJ1159" s="7"/>
      <c r="VGK1159" s="7"/>
      <c r="VGL1159" s="7"/>
      <c r="VGM1159" s="7"/>
      <c r="VGN1159" s="7"/>
      <c r="VGO1159" s="7"/>
      <c r="VGP1159" s="7"/>
      <c r="VGQ1159" s="7"/>
      <c r="VGR1159" s="7"/>
      <c r="VGS1159" s="7"/>
      <c r="VGT1159" s="7"/>
      <c r="VGU1159" s="7"/>
      <c r="VGV1159" s="7"/>
      <c r="VGW1159" s="7"/>
      <c r="VGX1159" s="7"/>
      <c r="VGY1159" s="7"/>
      <c r="VGZ1159" s="7"/>
      <c r="VHA1159" s="7"/>
      <c r="VHB1159" s="7"/>
      <c r="VHC1159" s="7"/>
      <c r="VHD1159" s="7"/>
      <c r="VHE1159" s="7"/>
      <c r="VHF1159" s="7"/>
      <c r="VHG1159" s="7"/>
      <c r="VHH1159" s="7"/>
      <c r="VHI1159" s="7"/>
      <c r="VHJ1159" s="7"/>
      <c r="VHK1159" s="7"/>
      <c r="VHL1159" s="7"/>
      <c r="VHM1159" s="7"/>
      <c r="VHN1159" s="7"/>
      <c r="VHO1159" s="7"/>
      <c r="VHP1159" s="7"/>
      <c r="VHQ1159" s="7"/>
      <c r="VHR1159" s="7"/>
      <c r="VHS1159" s="7"/>
      <c r="VHT1159" s="7"/>
      <c r="VHU1159" s="7"/>
      <c r="VHV1159" s="7"/>
      <c r="VHW1159" s="7"/>
      <c r="VHX1159" s="7"/>
      <c r="VHY1159" s="7"/>
      <c r="VHZ1159" s="7"/>
      <c r="VIA1159" s="7"/>
      <c r="VIB1159" s="7"/>
      <c r="VIC1159" s="7"/>
      <c r="VID1159" s="7"/>
      <c r="VIE1159" s="7"/>
      <c r="VIF1159" s="7"/>
      <c r="VIG1159" s="7"/>
      <c r="VIH1159" s="7"/>
      <c r="VII1159" s="7"/>
      <c r="VIJ1159" s="7"/>
      <c r="VIK1159" s="7"/>
      <c r="VIL1159" s="7"/>
      <c r="VIM1159" s="7"/>
      <c r="VIN1159" s="7"/>
      <c r="VIO1159" s="7"/>
      <c r="VIP1159" s="7"/>
      <c r="VIQ1159" s="7"/>
      <c r="VIR1159" s="7"/>
      <c r="VIS1159" s="7"/>
      <c r="VIT1159" s="7"/>
      <c r="VIU1159" s="7"/>
      <c r="VIV1159" s="7"/>
      <c r="VIW1159" s="7"/>
      <c r="VIX1159" s="7"/>
      <c r="VIY1159" s="7"/>
      <c r="VIZ1159" s="7"/>
      <c r="VJA1159" s="7"/>
      <c r="VJB1159" s="7"/>
      <c r="VJC1159" s="7"/>
      <c r="VJD1159" s="7"/>
      <c r="VJE1159" s="7"/>
      <c r="VJF1159" s="7"/>
      <c r="VJG1159" s="7"/>
      <c r="VJH1159" s="7"/>
      <c r="VJI1159" s="7"/>
      <c r="VJJ1159" s="7"/>
      <c r="VJK1159" s="7"/>
      <c r="VJL1159" s="7"/>
      <c r="VJM1159" s="7"/>
      <c r="VJN1159" s="7"/>
      <c r="VJO1159" s="7"/>
      <c r="VJP1159" s="7"/>
      <c r="VJQ1159" s="7"/>
      <c r="VJR1159" s="7"/>
      <c r="VJS1159" s="7"/>
      <c r="VJT1159" s="7"/>
      <c r="VJU1159" s="7"/>
      <c r="VJV1159" s="7"/>
      <c r="VJW1159" s="7"/>
      <c r="VJX1159" s="7"/>
      <c r="VJY1159" s="7"/>
      <c r="VJZ1159" s="7"/>
      <c r="VKA1159" s="7"/>
      <c r="VKB1159" s="7"/>
      <c r="VKC1159" s="7"/>
      <c r="VKD1159" s="7"/>
      <c r="VKE1159" s="7"/>
      <c r="VKF1159" s="7"/>
      <c r="VKG1159" s="7"/>
      <c r="VKH1159" s="7"/>
      <c r="VKI1159" s="7"/>
      <c r="VKJ1159" s="7"/>
      <c r="VKK1159" s="7"/>
      <c r="VKL1159" s="7"/>
      <c r="VKM1159" s="7"/>
      <c r="VKN1159" s="7"/>
      <c r="VKO1159" s="7"/>
      <c r="VKP1159" s="7"/>
      <c r="VKQ1159" s="7"/>
      <c r="VKR1159" s="7"/>
      <c r="VKS1159" s="7"/>
      <c r="VKT1159" s="7"/>
      <c r="VKU1159" s="7"/>
      <c r="VKV1159" s="7"/>
      <c r="VKW1159" s="7"/>
      <c r="VKX1159" s="7"/>
      <c r="VKY1159" s="7"/>
      <c r="VKZ1159" s="7"/>
      <c r="VLA1159" s="7"/>
      <c r="VLB1159" s="7"/>
      <c r="VLC1159" s="7"/>
      <c r="VLD1159" s="7"/>
      <c r="VLE1159" s="7"/>
      <c r="VLF1159" s="7"/>
      <c r="VLG1159" s="7"/>
      <c r="VLH1159" s="7"/>
      <c r="VLI1159" s="7"/>
      <c r="VLJ1159" s="7"/>
      <c r="VLK1159" s="7"/>
      <c r="VLL1159" s="7"/>
      <c r="VLM1159" s="7"/>
      <c r="VLN1159" s="7"/>
      <c r="VLO1159" s="7"/>
      <c r="VLP1159" s="7"/>
      <c r="VLQ1159" s="7"/>
      <c r="VLR1159" s="7"/>
      <c r="VLS1159" s="7"/>
      <c r="VLT1159" s="7"/>
      <c r="VLU1159" s="7"/>
      <c r="VLV1159" s="7"/>
      <c r="VLW1159" s="7"/>
      <c r="VLX1159" s="7"/>
      <c r="VLY1159" s="7"/>
      <c r="VLZ1159" s="7"/>
      <c r="VMA1159" s="7"/>
      <c r="VMB1159" s="7"/>
      <c r="VMC1159" s="7"/>
      <c r="VMD1159" s="7"/>
      <c r="VME1159" s="7"/>
      <c r="VMF1159" s="7"/>
      <c r="VMG1159" s="7"/>
      <c r="VMH1159" s="7"/>
      <c r="VMI1159" s="7"/>
      <c r="VMJ1159" s="7"/>
      <c r="VMK1159" s="7"/>
      <c r="VML1159" s="7"/>
      <c r="VMM1159" s="7"/>
      <c r="VMN1159" s="7"/>
      <c r="VMO1159" s="7"/>
      <c r="VMP1159" s="7"/>
      <c r="VMQ1159" s="7"/>
      <c r="VMR1159" s="7"/>
      <c r="VMS1159" s="7"/>
      <c r="VMT1159" s="7"/>
      <c r="VMU1159" s="7"/>
      <c r="VMV1159" s="7"/>
      <c r="VMW1159" s="7"/>
      <c r="VMX1159" s="7"/>
      <c r="VMY1159" s="7"/>
      <c r="VMZ1159" s="7"/>
      <c r="VNA1159" s="7"/>
      <c r="VNB1159" s="7"/>
      <c r="VNC1159" s="7"/>
      <c r="VND1159" s="7"/>
      <c r="VNE1159" s="7"/>
      <c r="VNF1159" s="7"/>
      <c r="VNG1159" s="7"/>
      <c r="VNH1159" s="7"/>
      <c r="VNI1159" s="7"/>
      <c r="VNJ1159" s="7"/>
      <c r="VNK1159" s="7"/>
      <c r="VNL1159" s="7"/>
      <c r="VNM1159" s="7"/>
      <c r="VNN1159" s="7"/>
      <c r="VNO1159" s="7"/>
      <c r="VNP1159" s="7"/>
      <c r="VNQ1159" s="7"/>
      <c r="VNR1159" s="7"/>
      <c r="VNS1159" s="7"/>
      <c r="VNT1159" s="7"/>
      <c r="VNU1159" s="7"/>
      <c r="VNV1159" s="7"/>
      <c r="VNW1159" s="7"/>
      <c r="VNX1159" s="7"/>
      <c r="VNY1159" s="7"/>
      <c r="VNZ1159" s="7"/>
      <c r="VOA1159" s="7"/>
      <c r="VOB1159" s="7"/>
      <c r="VOC1159" s="7"/>
      <c r="VOD1159" s="7"/>
      <c r="VOE1159" s="7"/>
      <c r="VOF1159" s="7"/>
      <c r="VOG1159" s="7"/>
      <c r="VOH1159" s="7"/>
      <c r="VOI1159" s="7"/>
      <c r="VOJ1159" s="7"/>
      <c r="VOK1159" s="7"/>
      <c r="VOL1159" s="7"/>
      <c r="VOM1159" s="7"/>
      <c r="VON1159" s="7"/>
      <c r="VOO1159" s="7"/>
      <c r="VOP1159" s="7"/>
      <c r="VOQ1159" s="7"/>
      <c r="VOR1159" s="7"/>
      <c r="VOS1159" s="7"/>
      <c r="VOT1159" s="7"/>
      <c r="VOU1159" s="7"/>
      <c r="VOV1159" s="7"/>
      <c r="VOW1159" s="7"/>
      <c r="VOX1159" s="7"/>
      <c r="VOY1159" s="7"/>
      <c r="VOZ1159" s="7"/>
      <c r="VPA1159" s="7"/>
      <c r="VPB1159" s="7"/>
      <c r="VPC1159" s="7"/>
      <c r="VPD1159" s="7"/>
      <c r="VPE1159" s="7"/>
      <c r="VPF1159" s="7"/>
      <c r="VPG1159" s="7"/>
      <c r="VPH1159" s="7"/>
      <c r="VPI1159" s="7"/>
      <c r="VPJ1159" s="7"/>
      <c r="VPK1159" s="7"/>
      <c r="VPL1159" s="7"/>
      <c r="VPM1159" s="7"/>
      <c r="VPN1159" s="7"/>
      <c r="VPO1159" s="7"/>
      <c r="VPP1159" s="7"/>
      <c r="VPQ1159" s="7"/>
      <c r="VPR1159" s="7"/>
      <c r="VPS1159" s="7"/>
      <c r="VPT1159" s="7"/>
      <c r="VPU1159" s="7"/>
      <c r="VPV1159" s="7"/>
      <c r="VPW1159" s="7"/>
      <c r="VPX1159" s="7"/>
      <c r="VPY1159" s="7"/>
      <c r="VPZ1159" s="7"/>
      <c r="VQA1159" s="7"/>
      <c r="VQB1159" s="7"/>
      <c r="VQC1159" s="7"/>
      <c r="VQD1159" s="7"/>
      <c r="VQE1159" s="7"/>
      <c r="VQF1159" s="7"/>
      <c r="VQG1159" s="7"/>
      <c r="VQH1159" s="7"/>
      <c r="VQI1159" s="7"/>
      <c r="VQJ1159" s="7"/>
      <c r="VQK1159" s="7"/>
      <c r="VQL1159" s="7"/>
      <c r="VQM1159" s="7"/>
      <c r="VQN1159" s="7"/>
      <c r="VQO1159" s="7"/>
      <c r="VQP1159" s="7"/>
      <c r="VQQ1159" s="7"/>
      <c r="VQR1159" s="7"/>
      <c r="VQS1159" s="7"/>
      <c r="VQT1159" s="7"/>
      <c r="VQU1159" s="7"/>
      <c r="VQV1159" s="7"/>
      <c r="VQW1159" s="7"/>
      <c r="VQX1159" s="7"/>
      <c r="VQY1159" s="7"/>
      <c r="VQZ1159" s="7"/>
      <c r="VRA1159" s="7"/>
      <c r="VRB1159" s="7"/>
      <c r="VRC1159" s="7"/>
      <c r="VRD1159" s="7"/>
      <c r="VRE1159" s="7"/>
      <c r="VRF1159" s="7"/>
      <c r="VRG1159" s="7"/>
      <c r="VRH1159" s="7"/>
      <c r="VRI1159" s="7"/>
      <c r="VRJ1159" s="7"/>
      <c r="VRK1159" s="7"/>
      <c r="VRL1159" s="7"/>
      <c r="VRM1159" s="7"/>
      <c r="VRN1159" s="7"/>
      <c r="VRO1159" s="7"/>
      <c r="VRP1159" s="7"/>
      <c r="VRQ1159" s="7"/>
      <c r="VRR1159" s="7"/>
      <c r="VRS1159" s="7"/>
      <c r="VRT1159" s="7"/>
      <c r="VRU1159" s="7"/>
      <c r="VRV1159" s="7"/>
      <c r="VRW1159" s="7"/>
      <c r="VRX1159" s="7"/>
      <c r="VRY1159" s="7"/>
      <c r="VRZ1159" s="7"/>
      <c r="VSA1159" s="7"/>
      <c r="VSB1159" s="7"/>
      <c r="VSC1159" s="7"/>
      <c r="VSD1159" s="7"/>
      <c r="VSE1159" s="7"/>
      <c r="VSF1159" s="7"/>
      <c r="VSG1159" s="7"/>
      <c r="VSH1159" s="7"/>
      <c r="VSI1159" s="7"/>
      <c r="VSJ1159" s="7"/>
      <c r="VSK1159" s="7"/>
      <c r="VSL1159" s="7"/>
      <c r="VSM1159" s="7"/>
      <c r="VSN1159" s="7"/>
      <c r="VSO1159" s="7"/>
      <c r="VSP1159" s="7"/>
      <c r="VSQ1159" s="7"/>
      <c r="VSR1159" s="7"/>
      <c r="VSS1159" s="7"/>
      <c r="VST1159" s="7"/>
      <c r="VSU1159" s="7"/>
      <c r="VSV1159" s="7"/>
      <c r="VSW1159" s="7"/>
      <c r="VSX1159" s="7"/>
      <c r="VSY1159" s="7"/>
      <c r="VSZ1159" s="7"/>
      <c r="VTA1159" s="7"/>
      <c r="VTB1159" s="7"/>
      <c r="VTC1159" s="7"/>
      <c r="VTD1159" s="7"/>
      <c r="VTE1159" s="7"/>
      <c r="VTF1159" s="7"/>
      <c r="VTG1159" s="7"/>
      <c r="VTH1159" s="7"/>
      <c r="VTI1159" s="7"/>
      <c r="VTJ1159" s="7"/>
      <c r="VTK1159" s="7"/>
      <c r="VTL1159" s="7"/>
      <c r="VTM1159" s="7"/>
      <c r="VTN1159" s="7"/>
      <c r="VTO1159" s="7"/>
      <c r="VTP1159" s="7"/>
      <c r="VTQ1159" s="7"/>
      <c r="VTR1159" s="7"/>
      <c r="VTS1159" s="7"/>
      <c r="VTT1159" s="7"/>
      <c r="VTU1159" s="7"/>
      <c r="VTV1159" s="7"/>
      <c r="VTW1159" s="7"/>
      <c r="VTX1159" s="7"/>
      <c r="VTY1159" s="7"/>
      <c r="VTZ1159" s="7"/>
      <c r="VUA1159" s="7"/>
      <c r="VUB1159" s="7"/>
      <c r="VUC1159" s="7"/>
      <c r="VUD1159" s="7"/>
      <c r="VUE1159" s="7"/>
      <c r="VUF1159" s="7"/>
      <c r="VUG1159" s="7"/>
      <c r="VUH1159" s="7"/>
      <c r="VUI1159" s="7"/>
      <c r="VUJ1159" s="7"/>
      <c r="VUK1159" s="7"/>
      <c r="VUL1159" s="7"/>
      <c r="VUM1159" s="7"/>
      <c r="VUN1159" s="7"/>
      <c r="VUO1159" s="7"/>
      <c r="VUP1159" s="7"/>
      <c r="VUQ1159" s="7"/>
      <c r="VUR1159" s="7"/>
      <c r="VUS1159" s="7"/>
      <c r="VUT1159" s="7"/>
      <c r="VUU1159" s="7"/>
      <c r="VUV1159" s="7"/>
      <c r="VUW1159" s="7"/>
      <c r="VUX1159" s="7"/>
      <c r="VUY1159" s="7"/>
      <c r="VUZ1159" s="7"/>
      <c r="VVA1159" s="7"/>
      <c r="VVB1159" s="7"/>
      <c r="VVC1159" s="7"/>
      <c r="VVD1159" s="7"/>
      <c r="VVE1159" s="7"/>
      <c r="VVF1159" s="7"/>
      <c r="VVG1159" s="7"/>
      <c r="VVH1159" s="7"/>
      <c r="VVI1159" s="7"/>
      <c r="VVJ1159" s="7"/>
      <c r="VVK1159" s="7"/>
      <c r="VVL1159" s="7"/>
      <c r="VVM1159" s="7"/>
      <c r="VVN1159" s="7"/>
      <c r="VVO1159" s="7"/>
      <c r="VVP1159" s="7"/>
      <c r="VVQ1159" s="7"/>
      <c r="VVR1159" s="7"/>
      <c r="VVS1159" s="7"/>
      <c r="VVT1159" s="7"/>
      <c r="VVU1159" s="7"/>
      <c r="VVV1159" s="7"/>
      <c r="VVW1159" s="7"/>
      <c r="VVX1159" s="7"/>
      <c r="VVY1159" s="7"/>
      <c r="VVZ1159" s="7"/>
      <c r="VWA1159" s="7"/>
      <c r="VWB1159" s="7"/>
      <c r="VWC1159" s="7"/>
      <c r="VWD1159" s="7"/>
      <c r="VWE1159" s="7"/>
      <c r="VWF1159" s="7"/>
      <c r="VWG1159" s="7"/>
      <c r="VWH1159" s="7"/>
      <c r="VWI1159" s="7"/>
      <c r="VWJ1159" s="7"/>
      <c r="VWK1159" s="7"/>
      <c r="VWL1159" s="7"/>
      <c r="VWM1159" s="7"/>
      <c r="VWN1159" s="7"/>
      <c r="VWO1159" s="7"/>
      <c r="VWP1159" s="7"/>
      <c r="VWQ1159" s="7"/>
      <c r="VWR1159" s="7"/>
      <c r="VWS1159" s="7"/>
      <c r="VWT1159" s="7"/>
      <c r="VWU1159" s="7"/>
      <c r="VWV1159" s="7"/>
      <c r="VWW1159" s="7"/>
      <c r="VWX1159" s="7"/>
      <c r="VWY1159" s="7"/>
      <c r="VWZ1159" s="7"/>
      <c r="VXA1159" s="7"/>
      <c r="VXB1159" s="7"/>
      <c r="VXC1159" s="7"/>
      <c r="VXD1159" s="7"/>
      <c r="VXE1159" s="7"/>
      <c r="VXF1159" s="7"/>
      <c r="VXG1159" s="7"/>
      <c r="VXH1159" s="7"/>
      <c r="VXI1159" s="7"/>
      <c r="VXJ1159" s="7"/>
      <c r="VXK1159" s="7"/>
      <c r="VXL1159" s="7"/>
      <c r="VXM1159" s="7"/>
      <c r="VXN1159" s="7"/>
      <c r="VXO1159" s="7"/>
      <c r="VXP1159" s="7"/>
      <c r="VXQ1159" s="7"/>
      <c r="VXR1159" s="7"/>
      <c r="VXS1159" s="7"/>
      <c r="VXT1159" s="7"/>
      <c r="VXU1159" s="7"/>
      <c r="VXV1159" s="7"/>
      <c r="VXW1159" s="7"/>
      <c r="VXX1159" s="7"/>
      <c r="VXY1159" s="7"/>
      <c r="VXZ1159" s="7"/>
      <c r="VYA1159" s="7"/>
      <c r="VYB1159" s="7"/>
      <c r="VYC1159" s="7"/>
      <c r="VYD1159" s="7"/>
      <c r="VYE1159" s="7"/>
      <c r="VYF1159" s="7"/>
      <c r="VYG1159" s="7"/>
      <c r="VYH1159" s="7"/>
      <c r="VYI1159" s="7"/>
      <c r="VYJ1159" s="7"/>
      <c r="VYK1159" s="7"/>
      <c r="VYL1159" s="7"/>
      <c r="VYM1159" s="7"/>
      <c r="VYN1159" s="7"/>
      <c r="VYO1159" s="7"/>
      <c r="VYP1159" s="7"/>
      <c r="VYQ1159" s="7"/>
      <c r="VYR1159" s="7"/>
      <c r="VYS1159" s="7"/>
      <c r="VYT1159" s="7"/>
      <c r="VYU1159" s="7"/>
      <c r="VYV1159" s="7"/>
      <c r="VYW1159" s="7"/>
      <c r="VYX1159" s="7"/>
      <c r="VYY1159" s="7"/>
      <c r="VYZ1159" s="7"/>
      <c r="VZA1159" s="7"/>
      <c r="VZB1159" s="7"/>
      <c r="VZC1159" s="7"/>
      <c r="VZD1159" s="7"/>
      <c r="VZE1159" s="7"/>
      <c r="VZF1159" s="7"/>
      <c r="VZG1159" s="7"/>
      <c r="VZH1159" s="7"/>
      <c r="VZI1159" s="7"/>
      <c r="VZJ1159" s="7"/>
      <c r="VZK1159" s="7"/>
      <c r="VZL1159" s="7"/>
      <c r="VZM1159" s="7"/>
      <c r="VZN1159" s="7"/>
      <c r="VZO1159" s="7"/>
      <c r="VZP1159" s="7"/>
      <c r="VZQ1159" s="7"/>
      <c r="VZR1159" s="7"/>
      <c r="VZS1159" s="7"/>
      <c r="VZT1159" s="7"/>
      <c r="VZU1159" s="7"/>
      <c r="VZV1159" s="7"/>
      <c r="VZW1159" s="7"/>
      <c r="VZX1159" s="7"/>
      <c r="VZY1159" s="7"/>
      <c r="VZZ1159" s="7"/>
      <c r="WAA1159" s="7"/>
      <c r="WAB1159" s="7"/>
      <c r="WAC1159" s="7"/>
      <c r="WAD1159" s="7"/>
      <c r="WAE1159" s="7"/>
      <c r="WAF1159" s="7"/>
      <c r="WAG1159" s="7"/>
      <c r="WAH1159" s="7"/>
      <c r="WAI1159" s="7"/>
      <c r="WAJ1159" s="7"/>
      <c r="WAK1159" s="7"/>
      <c r="WAL1159" s="7"/>
      <c r="WAM1159" s="7"/>
      <c r="WAN1159" s="7"/>
      <c r="WAO1159" s="7"/>
      <c r="WAP1159" s="7"/>
      <c r="WAQ1159" s="7"/>
      <c r="WAR1159" s="7"/>
      <c r="WAS1159" s="7"/>
      <c r="WAT1159" s="7"/>
      <c r="WAU1159" s="7"/>
      <c r="WAV1159" s="7"/>
      <c r="WAW1159" s="7"/>
      <c r="WAX1159" s="7"/>
      <c r="WAY1159" s="7"/>
      <c r="WAZ1159" s="7"/>
      <c r="WBA1159" s="7"/>
      <c r="WBB1159" s="7"/>
      <c r="WBC1159" s="7"/>
      <c r="WBD1159" s="7"/>
      <c r="WBE1159" s="7"/>
      <c r="WBF1159" s="7"/>
      <c r="WBG1159" s="7"/>
      <c r="WBH1159" s="7"/>
      <c r="WBI1159" s="7"/>
      <c r="WBJ1159" s="7"/>
      <c r="WBK1159" s="7"/>
      <c r="WBL1159" s="7"/>
      <c r="WBM1159" s="7"/>
      <c r="WBN1159" s="7"/>
      <c r="WBO1159" s="7"/>
      <c r="WBP1159" s="7"/>
      <c r="WBQ1159" s="7"/>
      <c r="WBR1159" s="7"/>
      <c r="WBS1159" s="7"/>
      <c r="WBT1159" s="7"/>
      <c r="WBU1159" s="7"/>
      <c r="WBV1159" s="7"/>
      <c r="WBW1159" s="7"/>
      <c r="WBX1159" s="7"/>
      <c r="WBY1159" s="7"/>
      <c r="WBZ1159" s="7"/>
      <c r="WCA1159" s="7"/>
      <c r="WCB1159" s="7"/>
      <c r="WCC1159" s="7"/>
      <c r="WCD1159" s="7"/>
      <c r="WCE1159" s="7"/>
      <c r="WCF1159" s="7"/>
      <c r="WCG1159" s="7"/>
      <c r="WCH1159" s="7"/>
      <c r="WCI1159" s="7"/>
      <c r="WCJ1159" s="7"/>
      <c r="WCK1159" s="7"/>
      <c r="WCL1159" s="7"/>
      <c r="WCM1159" s="7"/>
      <c r="WCN1159" s="7"/>
      <c r="WCO1159" s="7"/>
      <c r="WCP1159" s="7"/>
      <c r="WCQ1159" s="7"/>
      <c r="WCR1159" s="7"/>
      <c r="WCS1159" s="7"/>
      <c r="WCT1159" s="7"/>
      <c r="WCU1159" s="7"/>
      <c r="WCV1159" s="7"/>
      <c r="WCW1159" s="7"/>
      <c r="WCX1159" s="7"/>
      <c r="WCY1159" s="7"/>
      <c r="WCZ1159" s="7"/>
      <c r="WDA1159" s="7"/>
      <c r="WDB1159" s="7"/>
      <c r="WDC1159" s="7"/>
      <c r="WDD1159" s="7"/>
      <c r="WDE1159" s="7"/>
      <c r="WDF1159" s="7"/>
      <c r="WDG1159" s="7"/>
      <c r="WDH1159" s="7"/>
      <c r="WDI1159" s="7"/>
      <c r="WDJ1159" s="7"/>
      <c r="WDK1159" s="7"/>
      <c r="WDL1159" s="7"/>
      <c r="WDM1159" s="7"/>
      <c r="WDN1159" s="7"/>
      <c r="WDO1159" s="7"/>
      <c r="WDP1159" s="7"/>
      <c r="WDQ1159" s="7"/>
      <c r="WDR1159" s="7"/>
      <c r="WDS1159" s="7"/>
      <c r="WDT1159" s="7"/>
      <c r="WDU1159" s="7"/>
      <c r="WDV1159" s="7"/>
      <c r="WDW1159" s="7"/>
      <c r="WDX1159" s="7"/>
      <c r="WDY1159" s="7"/>
      <c r="WDZ1159" s="7"/>
      <c r="WEA1159" s="7"/>
      <c r="WEB1159" s="7"/>
      <c r="WEC1159" s="7"/>
      <c r="WED1159" s="7"/>
      <c r="WEE1159" s="7"/>
      <c r="WEF1159" s="7"/>
      <c r="WEG1159" s="7"/>
      <c r="WEH1159" s="7"/>
      <c r="WEI1159" s="7"/>
      <c r="WEJ1159" s="7"/>
      <c r="WEK1159" s="7"/>
      <c r="WEL1159" s="7"/>
      <c r="WEM1159" s="7"/>
      <c r="WEN1159" s="7"/>
      <c r="WEO1159" s="7"/>
      <c r="WEP1159" s="7"/>
      <c r="WEQ1159" s="7"/>
      <c r="WER1159" s="7"/>
      <c r="WES1159" s="7"/>
      <c r="WET1159" s="7"/>
      <c r="WEU1159" s="7"/>
      <c r="WEV1159" s="7"/>
      <c r="WEW1159" s="7"/>
      <c r="WEX1159" s="7"/>
      <c r="WEY1159" s="7"/>
      <c r="WEZ1159" s="7"/>
      <c r="WFA1159" s="7"/>
      <c r="WFB1159" s="7"/>
      <c r="WFC1159" s="7"/>
      <c r="WFD1159" s="7"/>
      <c r="WFE1159" s="7"/>
      <c r="WFF1159" s="7"/>
      <c r="WFG1159" s="7"/>
      <c r="WFH1159" s="7"/>
      <c r="WFI1159" s="7"/>
      <c r="WFJ1159" s="7"/>
      <c r="WFK1159" s="7"/>
      <c r="WFL1159" s="7"/>
      <c r="WFM1159" s="7"/>
      <c r="WFN1159" s="7"/>
      <c r="WFO1159" s="7"/>
      <c r="WFP1159" s="7"/>
      <c r="WFQ1159" s="7"/>
      <c r="WFR1159" s="7"/>
      <c r="WFS1159" s="7"/>
      <c r="WFT1159" s="7"/>
      <c r="WFU1159" s="7"/>
      <c r="WFV1159" s="7"/>
      <c r="WFW1159" s="7"/>
      <c r="WFX1159" s="7"/>
      <c r="WFY1159" s="7"/>
      <c r="WFZ1159" s="7"/>
      <c r="WGA1159" s="7"/>
      <c r="WGB1159" s="7"/>
      <c r="WGC1159" s="7"/>
      <c r="WGD1159" s="7"/>
      <c r="WGE1159" s="7"/>
      <c r="WGF1159" s="7"/>
      <c r="WGG1159" s="7"/>
      <c r="WGH1159" s="7"/>
      <c r="WGI1159" s="7"/>
      <c r="WGJ1159" s="7"/>
      <c r="WGK1159" s="7"/>
      <c r="WGL1159" s="7"/>
      <c r="WGM1159" s="7"/>
      <c r="WGN1159" s="7"/>
      <c r="WGO1159" s="7"/>
      <c r="WGP1159" s="7"/>
      <c r="WGQ1159" s="7"/>
      <c r="WGR1159" s="7"/>
      <c r="WGS1159" s="7"/>
      <c r="WGT1159" s="7"/>
      <c r="WGU1159" s="7"/>
      <c r="WGV1159" s="7"/>
      <c r="WGW1159" s="7"/>
      <c r="WGX1159" s="7"/>
      <c r="WGY1159" s="7"/>
      <c r="WGZ1159" s="7"/>
      <c r="WHA1159" s="7"/>
      <c r="WHB1159" s="7"/>
      <c r="WHC1159" s="7"/>
      <c r="WHD1159" s="7"/>
      <c r="WHE1159" s="7"/>
      <c r="WHF1159" s="7"/>
      <c r="WHG1159" s="7"/>
      <c r="WHH1159" s="7"/>
      <c r="WHI1159" s="7"/>
      <c r="WHJ1159" s="7"/>
      <c r="WHK1159" s="7"/>
      <c r="WHL1159" s="7"/>
      <c r="WHM1159" s="7"/>
      <c r="WHN1159" s="7"/>
      <c r="WHO1159" s="7"/>
      <c r="WHP1159" s="7"/>
      <c r="WHQ1159" s="7"/>
      <c r="WHR1159" s="7"/>
      <c r="WHS1159" s="7"/>
      <c r="WHT1159" s="7"/>
      <c r="WHU1159" s="7"/>
      <c r="WHV1159" s="7"/>
      <c r="WHW1159" s="7"/>
      <c r="WHX1159" s="7"/>
      <c r="WHY1159" s="7"/>
      <c r="WHZ1159" s="7"/>
      <c r="WIA1159" s="7"/>
      <c r="WIB1159" s="7"/>
      <c r="WIC1159" s="7"/>
      <c r="WID1159" s="7"/>
      <c r="WIE1159" s="7"/>
      <c r="WIF1159" s="7"/>
      <c r="WIG1159" s="7"/>
      <c r="WIH1159" s="7"/>
      <c r="WII1159" s="7"/>
      <c r="WIJ1159" s="7"/>
      <c r="WIK1159" s="7"/>
      <c r="WIL1159" s="7"/>
      <c r="WIM1159" s="7"/>
      <c r="WIN1159" s="7"/>
      <c r="WIO1159" s="7"/>
      <c r="WIP1159" s="7"/>
      <c r="WIQ1159" s="7"/>
      <c r="WIR1159" s="7"/>
      <c r="WIS1159" s="7"/>
      <c r="WIT1159" s="7"/>
      <c r="WIU1159" s="7"/>
      <c r="WIV1159" s="7"/>
      <c r="WIW1159" s="7"/>
      <c r="WIX1159" s="7"/>
      <c r="WIY1159" s="7"/>
      <c r="WIZ1159" s="7"/>
      <c r="WJA1159" s="7"/>
      <c r="WJB1159" s="7"/>
      <c r="WJC1159" s="7"/>
      <c r="WJD1159" s="7"/>
      <c r="WJE1159" s="7"/>
      <c r="WJF1159" s="7"/>
      <c r="WJG1159" s="7"/>
      <c r="WJH1159" s="7"/>
      <c r="WJI1159" s="7"/>
      <c r="WJJ1159" s="7"/>
      <c r="WJK1159" s="7"/>
      <c r="WJL1159" s="7"/>
      <c r="WJM1159" s="7"/>
      <c r="WJN1159" s="7"/>
      <c r="WJO1159" s="7"/>
      <c r="WJP1159" s="7"/>
      <c r="WJQ1159" s="7"/>
      <c r="WJR1159" s="7"/>
      <c r="WJS1159" s="7"/>
      <c r="WJT1159" s="7"/>
      <c r="WJU1159" s="7"/>
      <c r="WJV1159" s="7"/>
      <c r="WJW1159" s="7"/>
      <c r="WJX1159" s="7"/>
      <c r="WJY1159" s="7"/>
      <c r="WJZ1159" s="7"/>
      <c r="WKA1159" s="7"/>
      <c r="WKB1159" s="7"/>
      <c r="WKC1159" s="7"/>
      <c r="WKD1159" s="7"/>
      <c r="WKE1159" s="7"/>
      <c r="WKF1159" s="7"/>
      <c r="WKG1159" s="7"/>
      <c r="WKH1159" s="7"/>
      <c r="WKI1159" s="7"/>
      <c r="WKJ1159" s="7"/>
      <c r="WKK1159" s="7"/>
      <c r="WKL1159" s="7"/>
      <c r="WKM1159" s="7"/>
      <c r="WKN1159" s="7"/>
      <c r="WKO1159" s="7"/>
      <c r="WKP1159" s="7"/>
      <c r="WKQ1159" s="7"/>
      <c r="WKR1159" s="7"/>
      <c r="WKS1159" s="7"/>
      <c r="WKT1159" s="7"/>
      <c r="WKU1159" s="7"/>
      <c r="WKV1159" s="7"/>
      <c r="WKW1159" s="7"/>
      <c r="WKX1159" s="7"/>
      <c r="WKY1159" s="7"/>
      <c r="WKZ1159" s="7"/>
      <c r="WLA1159" s="7"/>
      <c r="WLB1159" s="7"/>
      <c r="WLC1159" s="7"/>
      <c r="WLD1159" s="7"/>
      <c r="WLE1159" s="7"/>
      <c r="WLF1159" s="7"/>
      <c r="WLG1159" s="7"/>
      <c r="WLH1159" s="7"/>
      <c r="WLI1159" s="7"/>
      <c r="WLJ1159" s="7"/>
      <c r="WLK1159" s="7"/>
      <c r="WLL1159" s="7"/>
      <c r="WLM1159" s="7"/>
      <c r="WLN1159" s="7"/>
      <c r="WLO1159" s="7"/>
      <c r="WLP1159" s="7"/>
      <c r="WLQ1159" s="7"/>
      <c r="WLR1159" s="7"/>
      <c r="WLS1159" s="7"/>
      <c r="WLT1159" s="7"/>
      <c r="WLU1159" s="7"/>
      <c r="WLV1159" s="7"/>
      <c r="WLW1159" s="7"/>
      <c r="WLX1159" s="7"/>
      <c r="WLY1159" s="7"/>
      <c r="WLZ1159" s="7"/>
      <c r="WMA1159" s="7"/>
      <c r="WMB1159" s="7"/>
      <c r="WMC1159" s="7"/>
      <c r="WMD1159" s="7"/>
      <c r="WME1159" s="7"/>
      <c r="WMF1159" s="7"/>
      <c r="WMG1159" s="7"/>
      <c r="WMH1159" s="7"/>
      <c r="WMI1159" s="7"/>
      <c r="WMJ1159" s="7"/>
      <c r="WMK1159" s="7"/>
      <c r="WML1159" s="7"/>
      <c r="WMM1159" s="7"/>
      <c r="WMN1159" s="7"/>
      <c r="WMO1159" s="7"/>
      <c r="WMP1159" s="7"/>
      <c r="WMQ1159" s="7"/>
      <c r="WMR1159" s="7"/>
      <c r="WMS1159" s="7"/>
      <c r="WMT1159" s="7"/>
      <c r="WMU1159" s="7"/>
      <c r="WMV1159" s="7"/>
      <c r="WMW1159" s="7"/>
      <c r="WMX1159" s="7"/>
      <c r="WMY1159" s="7"/>
      <c r="WMZ1159" s="7"/>
      <c r="WNA1159" s="7"/>
      <c r="WNB1159" s="7"/>
      <c r="WNC1159" s="7"/>
      <c r="WND1159" s="7"/>
      <c r="WNE1159" s="7"/>
      <c r="WNF1159" s="7"/>
      <c r="WNG1159" s="7"/>
      <c r="WNH1159" s="7"/>
      <c r="WNI1159" s="7"/>
      <c r="WNJ1159" s="7"/>
      <c r="WNK1159" s="7"/>
      <c r="WNL1159" s="7"/>
      <c r="WNM1159" s="7"/>
      <c r="WNN1159" s="7"/>
      <c r="WNO1159" s="7"/>
      <c r="WNP1159" s="7"/>
      <c r="WNQ1159" s="7"/>
      <c r="WNR1159" s="7"/>
      <c r="WNS1159" s="7"/>
      <c r="WNT1159" s="7"/>
      <c r="WNU1159" s="7"/>
      <c r="WNV1159" s="7"/>
      <c r="WNW1159" s="7"/>
      <c r="WNX1159" s="7"/>
      <c r="WNY1159" s="7"/>
      <c r="WNZ1159" s="7"/>
      <c r="WOA1159" s="7"/>
      <c r="WOB1159" s="7"/>
      <c r="WOC1159" s="7"/>
      <c r="WOD1159" s="7"/>
      <c r="WOE1159" s="7"/>
      <c r="WOF1159" s="7"/>
      <c r="WOG1159" s="7"/>
      <c r="WOH1159" s="7"/>
      <c r="WOI1159" s="7"/>
      <c r="WOJ1159" s="7"/>
      <c r="WOK1159" s="7"/>
      <c r="WOL1159" s="7"/>
      <c r="WOM1159" s="7"/>
      <c r="WON1159" s="7"/>
      <c r="WOO1159" s="7"/>
      <c r="WOP1159" s="7"/>
      <c r="WOQ1159" s="7"/>
      <c r="WOR1159" s="7"/>
      <c r="WOS1159" s="7"/>
      <c r="WOT1159" s="7"/>
      <c r="WOU1159" s="7"/>
      <c r="WOV1159" s="7"/>
      <c r="WOW1159" s="7"/>
      <c r="WOX1159" s="7"/>
      <c r="WOY1159" s="7"/>
      <c r="WOZ1159" s="7"/>
      <c r="WPA1159" s="7"/>
      <c r="WPB1159" s="7"/>
      <c r="WPC1159" s="7"/>
      <c r="WPD1159" s="7"/>
      <c r="WPE1159" s="7"/>
      <c r="WPF1159" s="7"/>
      <c r="WPG1159" s="7"/>
      <c r="WPH1159" s="7"/>
      <c r="WPI1159" s="7"/>
      <c r="WPJ1159" s="7"/>
      <c r="WPK1159" s="7"/>
      <c r="WPL1159" s="7"/>
      <c r="WPM1159" s="7"/>
      <c r="WPN1159" s="7"/>
      <c r="WPO1159" s="7"/>
      <c r="WPP1159" s="7"/>
      <c r="WPQ1159" s="7"/>
      <c r="WPR1159" s="7"/>
      <c r="WPS1159" s="7"/>
      <c r="WPT1159" s="7"/>
      <c r="WPU1159" s="7"/>
      <c r="WPV1159" s="7"/>
      <c r="WPW1159" s="7"/>
      <c r="WPX1159" s="7"/>
      <c r="WPY1159" s="7"/>
      <c r="WPZ1159" s="7"/>
      <c r="WQA1159" s="7"/>
      <c r="WQB1159" s="7"/>
      <c r="WQC1159" s="7"/>
      <c r="WQD1159" s="7"/>
      <c r="WQE1159" s="7"/>
      <c r="WQF1159" s="7"/>
      <c r="WQG1159" s="7"/>
      <c r="WQH1159" s="7"/>
      <c r="WQI1159" s="7"/>
      <c r="WQJ1159" s="7"/>
      <c r="WQK1159" s="7"/>
      <c r="WQL1159" s="7"/>
      <c r="WQM1159" s="7"/>
      <c r="WQN1159" s="7"/>
      <c r="WQO1159" s="7"/>
      <c r="WQP1159" s="7"/>
      <c r="WQQ1159" s="7"/>
      <c r="WQR1159" s="7"/>
      <c r="WQS1159" s="7"/>
      <c r="WQT1159" s="7"/>
      <c r="WQU1159" s="7"/>
      <c r="WQV1159" s="7"/>
      <c r="WQW1159" s="7"/>
      <c r="WQX1159" s="7"/>
      <c r="WQY1159" s="7"/>
      <c r="WQZ1159" s="7"/>
      <c r="WRA1159" s="7"/>
      <c r="WRB1159" s="7"/>
      <c r="WRC1159" s="7"/>
      <c r="WRD1159" s="7"/>
      <c r="WRE1159" s="7"/>
      <c r="WRF1159" s="7"/>
      <c r="WRG1159" s="7"/>
      <c r="WRH1159" s="7"/>
      <c r="WRI1159" s="7"/>
      <c r="WRJ1159" s="7"/>
      <c r="WRK1159" s="7"/>
      <c r="WRL1159" s="7"/>
      <c r="WRM1159" s="7"/>
      <c r="WRN1159" s="7"/>
      <c r="WRO1159" s="7"/>
      <c r="WRP1159" s="7"/>
      <c r="WRQ1159" s="7"/>
      <c r="WRR1159" s="7"/>
      <c r="WRS1159" s="7"/>
      <c r="WRT1159" s="7"/>
      <c r="WRU1159" s="7"/>
      <c r="WRV1159" s="7"/>
      <c r="WRW1159" s="7"/>
      <c r="WRX1159" s="7"/>
      <c r="WRY1159" s="7"/>
      <c r="WRZ1159" s="7"/>
      <c r="WSA1159" s="7"/>
      <c r="WSB1159" s="7"/>
      <c r="WSC1159" s="7"/>
      <c r="WSD1159" s="7"/>
      <c r="WSE1159" s="7"/>
      <c r="WSF1159" s="7"/>
      <c r="WSG1159" s="7"/>
      <c r="WSH1159" s="7"/>
      <c r="WSI1159" s="7"/>
      <c r="WSJ1159" s="7"/>
      <c r="WSK1159" s="7"/>
      <c r="WSL1159" s="7"/>
      <c r="WSM1159" s="7"/>
      <c r="WSN1159" s="7"/>
      <c r="WSO1159" s="7"/>
      <c r="WSP1159" s="7"/>
      <c r="WSQ1159" s="7"/>
      <c r="WSR1159" s="7"/>
      <c r="WSS1159" s="7"/>
      <c r="WST1159" s="7"/>
      <c r="WSU1159" s="7"/>
      <c r="WSV1159" s="7"/>
      <c r="WSW1159" s="7"/>
      <c r="WSX1159" s="7"/>
      <c r="WSY1159" s="7"/>
      <c r="WSZ1159" s="7"/>
      <c r="WTA1159" s="7"/>
      <c r="WTB1159" s="7"/>
      <c r="WTC1159" s="7"/>
      <c r="WTD1159" s="7"/>
      <c r="WTE1159" s="7"/>
      <c r="WTF1159" s="7"/>
      <c r="WTG1159" s="7"/>
      <c r="WTH1159" s="7"/>
      <c r="WTI1159" s="7"/>
      <c r="WTJ1159" s="7"/>
      <c r="WTK1159" s="7"/>
      <c r="WTL1159" s="7"/>
      <c r="WTM1159" s="7"/>
      <c r="WTN1159" s="7"/>
      <c r="WTO1159" s="7"/>
      <c r="WTP1159" s="7"/>
      <c r="WTQ1159" s="7"/>
      <c r="WTR1159" s="7"/>
      <c r="WTS1159" s="7"/>
      <c r="WTT1159" s="7"/>
      <c r="WTU1159" s="7"/>
      <c r="WTV1159" s="7"/>
      <c r="WTW1159" s="7"/>
      <c r="WTX1159" s="7"/>
      <c r="WTY1159" s="7"/>
      <c r="WTZ1159" s="7"/>
      <c r="WUA1159" s="7"/>
      <c r="WUB1159" s="7"/>
      <c r="WUC1159" s="7"/>
      <c r="WUD1159" s="7"/>
      <c r="WUE1159" s="7"/>
      <c r="WUF1159" s="7"/>
      <c r="WUG1159" s="7"/>
      <c r="WUH1159" s="7"/>
      <c r="WUI1159" s="7"/>
      <c r="WUJ1159" s="7"/>
      <c r="WUK1159" s="7"/>
      <c r="WUL1159" s="7"/>
      <c r="WUM1159" s="7"/>
      <c r="WUN1159" s="7"/>
      <c r="WUO1159" s="7"/>
      <c r="WUP1159" s="7"/>
      <c r="WUQ1159" s="7"/>
      <c r="WUR1159" s="7"/>
      <c r="WUS1159" s="7"/>
      <c r="WUT1159" s="7"/>
      <c r="WUU1159" s="7"/>
      <c r="WUV1159" s="7"/>
      <c r="WUW1159" s="7"/>
      <c r="WUX1159" s="7"/>
      <c r="WUY1159" s="7"/>
      <c r="WUZ1159" s="7"/>
      <c r="WVA1159" s="7"/>
      <c r="WVB1159" s="7"/>
      <c r="WVC1159" s="7"/>
      <c r="WVD1159" s="7"/>
      <c r="WVE1159" s="7"/>
      <c r="WVF1159" s="7"/>
      <c r="WVG1159" s="7"/>
      <c r="WVH1159" s="7"/>
      <c r="WVI1159" s="7"/>
      <c r="WVJ1159" s="7"/>
      <c r="WVK1159" s="7"/>
      <c r="WVL1159" s="7"/>
      <c r="WVM1159" s="7"/>
      <c r="WVN1159" s="7"/>
      <c r="WVO1159" s="7"/>
      <c r="WVP1159" s="7"/>
      <c r="WVQ1159" s="7"/>
      <c r="WVR1159" s="7"/>
      <c r="WVS1159" s="7"/>
      <c r="WVT1159" s="7"/>
      <c r="WVU1159" s="7"/>
      <c r="WVV1159" s="7"/>
      <c r="WVW1159" s="7"/>
      <c r="WVX1159" s="7"/>
      <c r="WVY1159" s="7"/>
      <c r="WVZ1159" s="7"/>
      <c r="WWA1159" s="7"/>
      <c r="WWB1159" s="7"/>
      <c r="WWC1159" s="7"/>
      <c r="WWD1159" s="7"/>
      <c r="WWE1159" s="7"/>
      <c r="WWF1159" s="7"/>
      <c r="WWG1159" s="7"/>
      <c r="WWH1159" s="7"/>
      <c r="WWI1159" s="7"/>
      <c r="WWJ1159" s="7"/>
      <c r="WWK1159" s="7"/>
      <c r="WWL1159" s="7"/>
      <c r="WWM1159" s="7"/>
      <c r="WWN1159" s="7"/>
      <c r="WWO1159" s="7"/>
      <c r="WWP1159" s="7"/>
      <c r="WWQ1159" s="7"/>
      <c r="WWR1159" s="7"/>
      <c r="WWS1159" s="7"/>
      <c r="WWT1159" s="7"/>
      <c r="WWU1159" s="7"/>
      <c r="WWV1159" s="7"/>
      <c r="WWW1159" s="7"/>
      <c r="WWX1159" s="7"/>
      <c r="WWY1159" s="7"/>
      <c r="WWZ1159" s="7"/>
      <c r="WXA1159" s="7"/>
      <c r="WXB1159" s="7"/>
      <c r="WXC1159" s="7"/>
      <c r="WXD1159" s="7"/>
      <c r="WXE1159" s="7"/>
      <c r="WXF1159" s="7"/>
      <c r="WXG1159" s="7"/>
      <c r="WXH1159" s="7"/>
      <c r="WXI1159" s="7"/>
      <c r="WXJ1159" s="7"/>
      <c r="WXK1159" s="7"/>
      <c r="WXL1159" s="7"/>
      <c r="WXM1159" s="7"/>
      <c r="WXN1159" s="7"/>
      <c r="WXO1159" s="7"/>
      <c r="WXP1159" s="7"/>
      <c r="WXQ1159" s="7"/>
      <c r="WXR1159" s="7"/>
      <c r="WXS1159" s="7"/>
      <c r="WXT1159" s="7"/>
      <c r="WXU1159" s="7"/>
      <c r="WXV1159" s="7"/>
      <c r="WXW1159" s="7"/>
      <c r="WXX1159" s="7"/>
      <c r="WXY1159" s="7"/>
      <c r="WXZ1159" s="7"/>
      <c r="WYA1159" s="7"/>
    </row>
    <row r="1160" spans="1:16199" ht="61.5" x14ac:dyDescent="0.85">
      <c r="A1160" s="7">
        <v>1</v>
      </c>
      <c r="B1160" s="59">
        <f>SUBTOTAL(103,$A$1032:A1160)</f>
        <v>127</v>
      </c>
      <c r="C1160" s="160" t="s">
        <v>2316</v>
      </c>
      <c r="D1160" s="60">
        <f t="shared" si="190"/>
        <v>3186513.2</v>
      </c>
      <c r="E1160" s="60">
        <v>0</v>
      </c>
      <c r="F1160" s="60">
        <v>0</v>
      </c>
      <c r="G1160" s="62">
        <v>2414644</v>
      </c>
      <c r="H1160" s="60">
        <v>0</v>
      </c>
      <c r="I1160" s="60">
        <v>0</v>
      </c>
      <c r="J1160" s="60">
        <v>0</v>
      </c>
      <c r="K1160" s="168">
        <v>0</v>
      </c>
      <c r="L1160" s="60">
        <v>0</v>
      </c>
      <c r="M1160" s="60">
        <v>0</v>
      </c>
      <c r="N1160" s="60">
        <v>0</v>
      </c>
      <c r="O1160" s="60">
        <v>0</v>
      </c>
      <c r="P1160" s="60">
        <v>0</v>
      </c>
      <c r="Q1160" s="60">
        <v>0</v>
      </c>
      <c r="R1160" s="60">
        <v>0</v>
      </c>
      <c r="S1160" s="60">
        <v>0</v>
      </c>
      <c r="T1160" s="60">
        <v>0</v>
      </c>
      <c r="U1160" s="60">
        <v>0</v>
      </c>
      <c r="V1160" s="60">
        <v>0</v>
      </c>
      <c r="W1160" s="60">
        <v>0</v>
      </c>
      <c r="X1160" s="60">
        <v>0</v>
      </c>
      <c r="Y1160" s="60">
        <v>0</v>
      </c>
      <c r="Z1160" s="60">
        <v>0</v>
      </c>
      <c r="AA1160" s="60">
        <v>0</v>
      </c>
      <c r="AB1160" s="60">
        <v>581972</v>
      </c>
      <c r="AC1160" s="60">
        <v>39780.080000000002</v>
      </c>
      <c r="AD1160" s="60">
        <v>150117.12</v>
      </c>
      <c r="AE1160" s="60">
        <v>0</v>
      </c>
      <c r="AF1160" s="170">
        <v>2022</v>
      </c>
      <c r="AG1160" s="170">
        <v>2022</v>
      </c>
      <c r="AH1160" s="63">
        <v>2022</v>
      </c>
    </row>
    <row r="1161" spans="1:16199" ht="61.5" x14ac:dyDescent="0.85">
      <c r="A1161" s="7">
        <v>1</v>
      </c>
      <c r="B1161" s="59">
        <f>SUBTOTAL(103,$A$1032:A1161)</f>
        <v>128</v>
      </c>
      <c r="C1161" s="160" t="s">
        <v>370</v>
      </c>
      <c r="D1161" s="60">
        <f t="shared" si="190"/>
        <v>2326787.9000000004</v>
      </c>
      <c r="E1161" s="60">
        <v>0</v>
      </c>
      <c r="F1161" s="60">
        <v>0</v>
      </c>
      <c r="G1161" s="60">
        <v>1661232</v>
      </c>
      <c r="H1161" s="60">
        <v>0</v>
      </c>
      <c r="I1161" s="60">
        <v>0</v>
      </c>
      <c r="J1161" s="60">
        <v>0</v>
      </c>
      <c r="K1161" s="168">
        <v>0</v>
      </c>
      <c r="L1161" s="60">
        <v>0</v>
      </c>
      <c r="M1161" s="60">
        <v>0</v>
      </c>
      <c r="N1161" s="60">
        <v>0</v>
      </c>
      <c r="O1161" s="60">
        <v>0</v>
      </c>
      <c r="P1161" s="60">
        <v>0</v>
      </c>
      <c r="Q1161" s="60">
        <v>0</v>
      </c>
      <c r="R1161" s="60">
        <v>0</v>
      </c>
      <c r="S1161" s="60">
        <v>0</v>
      </c>
      <c r="T1161" s="60">
        <v>0</v>
      </c>
      <c r="U1161" s="60">
        <v>0</v>
      </c>
      <c r="V1161" s="60">
        <v>0</v>
      </c>
      <c r="W1161" s="60">
        <v>0</v>
      </c>
      <c r="X1161" s="60">
        <v>0</v>
      </c>
      <c r="Y1161" s="60">
        <v>0</v>
      </c>
      <c r="Z1161" s="60">
        <v>0</v>
      </c>
      <c r="AA1161" s="60">
        <v>0</v>
      </c>
      <c r="AB1161" s="60">
        <v>527487</v>
      </c>
      <c r="AC1161" s="60">
        <v>29055.24</v>
      </c>
      <c r="AD1161" s="60">
        <v>109013.66</v>
      </c>
      <c r="AE1161" s="60">
        <v>0</v>
      </c>
      <c r="AF1161" s="170">
        <v>2022</v>
      </c>
      <c r="AG1161" s="170">
        <v>2022</v>
      </c>
      <c r="AH1161" s="63">
        <v>2022</v>
      </c>
    </row>
    <row r="1162" spans="1:16199" ht="61.5" x14ac:dyDescent="0.85">
      <c r="A1162" s="7">
        <v>1</v>
      </c>
      <c r="B1162" s="59">
        <f>SUBTOTAL(103,$A$1032:A1162)</f>
        <v>129</v>
      </c>
      <c r="C1162" s="160" t="s">
        <v>1213</v>
      </c>
      <c r="D1162" s="60">
        <f t="shared" si="190"/>
        <v>2612757.39</v>
      </c>
      <c r="E1162" s="60">
        <v>0</v>
      </c>
      <c r="F1162" s="60">
        <v>0</v>
      </c>
      <c r="G1162" s="60">
        <v>1988476</v>
      </c>
      <c r="H1162" s="60">
        <v>0</v>
      </c>
      <c r="I1162" s="60">
        <v>0</v>
      </c>
      <c r="J1162" s="60">
        <v>0</v>
      </c>
      <c r="K1162" s="168">
        <v>0</v>
      </c>
      <c r="L1162" s="60">
        <v>0</v>
      </c>
      <c r="M1162" s="60">
        <v>0</v>
      </c>
      <c r="N1162" s="60">
        <v>0</v>
      </c>
      <c r="O1162" s="60">
        <v>0</v>
      </c>
      <c r="P1162" s="60">
        <v>0</v>
      </c>
      <c r="Q1162" s="60">
        <v>0</v>
      </c>
      <c r="R1162" s="60">
        <v>0</v>
      </c>
      <c r="S1162" s="60">
        <v>0</v>
      </c>
      <c r="T1162" s="60">
        <v>0</v>
      </c>
      <c r="U1162" s="60">
        <v>0</v>
      </c>
      <c r="V1162" s="60">
        <v>0</v>
      </c>
      <c r="W1162" s="60">
        <v>0</v>
      </c>
      <c r="X1162" s="60">
        <v>0</v>
      </c>
      <c r="Y1162" s="60">
        <v>0</v>
      </c>
      <c r="Z1162" s="60">
        <v>0</v>
      </c>
      <c r="AA1162" s="60">
        <v>0</v>
      </c>
      <c r="AB1162" s="60">
        <v>498799</v>
      </c>
      <c r="AC1162" s="60">
        <v>11752.37</v>
      </c>
      <c r="AD1162" s="60">
        <v>113730.02</v>
      </c>
      <c r="AE1162" s="60">
        <v>0</v>
      </c>
      <c r="AF1162" s="170">
        <v>2022</v>
      </c>
      <c r="AG1162" s="170">
        <v>2022</v>
      </c>
      <c r="AH1162" s="63">
        <v>2022</v>
      </c>
    </row>
    <row r="1163" spans="1:16199" ht="61.5" x14ac:dyDescent="0.85">
      <c r="A1163" s="7">
        <v>1</v>
      </c>
      <c r="B1163" s="59">
        <f>SUBTOTAL(103,$A$1032:A1163)</f>
        <v>130</v>
      </c>
      <c r="C1163" s="160" t="s">
        <v>375</v>
      </c>
      <c r="D1163" s="60">
        <f t="shared" si="190"/>
        <v>2610781.9700000002</v>
      </c>
      <c r="E1163" s="60">
        <v>0</v>
      </c>
      <c r="F1163" s="60">
        <v>0</v>
      </c>
      <c r="G1163" s="62">
        <v>1917758</v>
      </c>
      <c r="H1163" s="60">
        <v>0</v>
      </c>
      <c r="I1163" s="60">
        <v>0</v>
      </c>
      <c r="J1163" s="60">
        <v>0</v>
      </c>
      <c r="K1163" s="168">
        <v>0</v>
      </c>
      <c r="L1163" s="60">
        <v>0</v>
      </c>
      <c r="M1163" s="60">
        <v>0</v>
      </c>
      <c r="N1163" s="60">
        <v>0</v>
      </c>
      <c r="O1163" s="60">
        <v>0</v>
      </c>
      <c r="P1163" s="60">
        <v>0</v>
      </c>
      <c r="Q1163" s="60">
        <v>0</v>
      </c>
      <c r="R1163" s="60">
        <v>0</v>
      </c>
      <c r="S1163" s="60">
        <v>0</v>
      </c>
      <c r="T1163" s="60">
        <v>0</v>
      </c>
      <c r="U1163" s="60">
        <v>0</v>
      </c>
      <c r="V1163" s="60">
        <v>0</v>
      </c>
      <c r="W1163" s="60">
        <v>0</v>
      </c>
      <c r="X1163" s="60">
        <v>0</v>
      </c>
      <c r="Y1163" s="60">
        <v>0</v>
      </c>
      <c r="Z1163" s="60">
        <v>0</v>
      </c>
      <c r="AA1163" s="60">
        <v>0</v>
      </c>
      <c r="AB1163" s="60">
        <v>529042</v>
      </c>
      <c r="AC1163" s="60">
        <v>32481.27</v>
      </c>
      <c r="AD1163" s="60">
        <v>131500.70000000001</v>
      </c>
      <c r="AE1163" s="60">
        <v>0</v>
      </c>
      <c r="AF1163" s="170">
        <v>2022</v>
      </c>
      <c r="AG1163" s="170">
        <v>2022</v>
      </c>
      <c r="AH1163" s="63">
        <v>2022</v>
      </c>
    </row>
    <row r="1164" spans="1:16199" ht="61.5" x14ac:dyDescent="0.85">
      <c r="A1164" s="7">
        <v>1</v>
      </c>
      <c r="B1164" s="59">
        <f>SUBTOTAL(103,$A$1032:A1164)</f>
        <v>131</v>
      </c>
      <c r="C1164" s="160" t="s">
        <v>2307</v>
      </c>
      <c r="D1164" s="60">
        <f t="shared" si="190"/>
        <v>2229333.56</v>
      </c>
      <c r="E1164" s="60">
        <v>0</v>
      </c>
      <c r="F1164" s="60">
        <v>0</v>
      </c>
      <c r="G1164" s="60">
        <v>1673652</v>
      </c>
      <c r="H1164" s="60">
        <v>0</v>
      </c>
      <c r="I1164" s="60">
        <v>0</v>
      </c>
      <c r="J1164" s="60">
        <v>0</v>
      </c>
      <c r="K1164" s="168">
        <v>0</v>
      </c>
      <c r="L1164" s="60">
        <v>0</v>
      </c>
      <c r="M1164" s="60">
        <v>0</v>
      </c>
      <c r="N1164" s="60">
        <v>0</v>
      </c>
      <c r="O1164" s="60">
        <v>0</v>
      </c>
      <c r="P1164" s="60">
        <v>0</v>
      </c>
      <c r="Q1164" s="60">
        <v>0</v>
      </c>
      <c r="R1164" s="60">
        <v>0</v>
      </c>
      <c r="S1164" s="60">
        <v>0</v>
      </c>
      <c r="T1164" s="60">
        <v>0</v>
      </c>
      <c r="U1164" s="60">
        <v>0</v>
      </c>
      <c r="V1164" s="60">
        <v>0</v>
      </c>
      <c r="W1164" s="60">
        <v>0</v>
      </c>
      <c r="X1164" s="60">
        <v>0</v>
      </c>
      <c r="Y1164" s="60">
        <v>0</v>
      </c>
      <c r="Z1164" s="60">
        <v>0</v>
      </c>
      <c r="AA1164" s="60">
        <v>0</v>
      </c>
      <c r="AB1164" s="60">
        <v>393495</v>
      </c>
      <c r="AC1164" s="60">
        <v>27441.38</v>
      </c>
      <c r="AD1164" s="60">
        <v>134745.18</v>
      </c>
      <c r="AE1164" s="60">
        <v>0</v>
      </c>
      <c r="AF1164" s="170">
        <v>2022</v>
      </c>
      <c r="AG1164" s="170">
        <v>2022</v>
      </c>
      <c r="AH1164" s="63">
        <v>2022</v>
      </c>
    </row>
    <row r="1165" spans="1:16199" ht="61.5" x14ac:dyDescent="0.85">
      <c r="A1165" s="7">
        <v>1</v>
      </c>
      <c r="B1165" s="59">
        <f>SUBTOTAL(103,$A$1032:A1165)</f>
        <v>132</v>
      </c>
      <c r="C1165" s="160" t="s">
        <v>391</v>
      </c>
      <c r="D1165" s="60">
        <f t="shared" si="190"/>
        <v>11577884.399999999</v>
      </c>
      <c r="E1165" s="60">
        <v>0</v>
      </c>
      <c r="F1165" s="60">
        <v>0</v>
      </c>
      <c r="G1165" s="60">
        <v>1894987</v>
      </c>
      <c r="H1165" s="60">
        <v>0</v>
      </c>
      <c r="I1165" s="60">
        <v>0</v>
      </c>
      <c r="J1165" s="60">
        <v>0</v>
      </c>
      <c r="K1165" s="168">
        <v>0</v>
      </c>
      <c r="L1165" s="60">
        <v>0</v>
      </c>
      <c r="M1165" s="60">
        <v>1110.24</v>
      </c>
      <c r="N1165" s="60">
        <v>8896379</v>
      </c>
      <c r="O1165" s="60">
        <v>0</v>
      </c>
      <c r="P1165" s="60">
        <v>0</v>
      </c>
      <c r="Q1165" s="60">
        <v>0</v>
      </c>
      <c r="R1165" s="60">
        <v>0</v>
      </c>
      <c r="S1165" s="60">
        <v>0</v>
      </c>
      <c r="T1165" s="60">
        <v>0</v>
      </c>
      <c r="U1165" s="60">
        <v>0</v>
      </c>
      <c r="V1165" s="60">
        <v>0</v>
      </c>
      <c r="W1165" s="60">
        <v>0</v>
      </c>
      <c r="X1165" s="60">
        <v>0</v>
      </c>
      <c r="Y1165" s="60">
        <v>0</v>
      </c>
      <c r="Z1165" s="60">
        <v>0</v>
      </c>
      <c r="AA1165" s="60">
        <v>0</v>
      </c>
      <c r="AB1165" s="60">
        <v>537865</v>
      </c>
      <c r="AC1165" s="60">
        <v>150395.54</v>
      </c>
      <c r="AD1165" s="60">
        <v>98257.86</v>
      </c>
      <c r="AE1165" s="60">
        <v>0</v>
      </c>
      <c r="AF1165" s="170">
        <v>2022</v>
      </c>
      <c r="AG1165" s="170">
        <v>2022</v>
      </c>
      <c r="AH1165" s="63">
        <v>2022</v>
      </c>
    </row>
    <row r="1166" spans="1:16199" ht="61.5" x14ac:dyDescent="0.85">
      <c r="A1166" s="7">
        <v>1</v>
      </c>
      <c r="B1166" s="59">
        <f>SUBTOTAL(103,$A$1032:A1166)</f>
        <v>133</v>
      </c>
      <c r="C1166" s="160" t="s">
        <v>392</v>
      </c>
      <c r="D1166" s="60">
        <f t="shared" si="190"/>
        <v>4436512.1500000004</v>
      </c>
      <c r="E1166" s="60">
        <v>0</v>
      </c>
      <c r="F1166" s="60">
        <v>0</v>
      </c>
      <c r="G1166" s="60">
        <v>0</v>
      </c>
      <c r="H1166" s="60">
        <v>0</v>
      </c>
      <c r="I1166" s="60">
        <v>0</v>
      </c>
      <c r="J1166" s="60">
        <v>0</v>
      </c>
      <c r="K1166" s="168">
        <v>0</v>
      </c>
      <c r="L1166" s="60">
        <v>0</v>
      </c>
      <c r="M1166" s="60">
        <v>571</v>
      </c>
      <c r="N1166" s="60">
        <v>4239064</v>
      </c>
      <c r="O1166" s="60">
        <v>0</v>
      </c>
      <c r="P1166" s="60">
        <v>0</v>
      </c>
      <c r="Q1166" s="60">
        <v>0</v>
      </c>
      <c r="R1166" s="60">
        <v>0</v>
      </c>
      <c r="S1166" s="60">
        <v>0</v>
      </c>
      <c r="T1166" s="60">
        <v>0</v>
      </c>
      <c r="U1166" s="60">
        <v>0</v>
      </c>
      <c r="V1166" s="60">
        <v>0</v>
      </c>
      <c r="W1166" s="60">
        <v>0</v>
      </c>
      <c r="X1166" s="60">
        <v>0</v>
      </c>
      <c r="Y1166" s="60">
        <v>0</v>
      </c>
      <c r="Z1166" s="60">
        <v>0</v>
      </c>
      <c r="AA1166" s="60">
        <v>0</v>
      </c>
      <c r="AB1166" s="60">
        <v>0</v>
      </c>
      <c r="AC1166" s="60">
        <v>56273.57</v>
      </c>
      <c r="AD1166" s="62">
        <v>141174.57999999999</v>
      </c>
      <c r="AE1166" s="60">
        <v>0</v>
      </c>
      <c r="AF1166" s="170">
        <v>2022</v>
      </c>
      <c r="AG1166" s="170">
        <v>2022</v>
      </c>
      <c r="AH1166" s="63">
        <v>2022</v>
      </c>
    </row>
    <row r="1167" spans="1:16199" ht="61.5" x14ac:dyDescent="0.85">
      <c r="A1167" s="7">
        <v>1</v>
      </c>
      <c r="B1167" s="59">
        <f>SUBTOTAL(103,$A$1032:A1167)</f>
        <v>134</v>
      </c>
      <c r="C1167" s="160" t="s">
        <v>389</v>
      </c>
      <c r="D1167" s="60">
        <f t="shared" si="190"/>
        <v>3067366.83</v>
      </c>
      <c r="E1167" s="60">
        <v>0</v>
      </c>
      <c r="F1167" s="60">
        <v>0</v>
      </c>
      <c r="G1167" s="60">
        <v>0</v>
      </c>
      <c r="H1167" s="60">
        <v>0</v>
      </c>
      <c r="I1167" s="60">
        <v>0</v>
      </c>
      <c r="J1167" s="60">
        <v>0</v>
      </c>
      <c r="K1167" s="168">
        <v>0</v>
      </c>
      <c r="L1167" s="60">
        <v>0</v>
      </c>
      <c r="M1167" s="60">
        <v>434.5</v>
      </c>
      <c r="N1167" s="60">
        <v>3027181</v>
      </c>
      <c r="O1167" s="60">
        <v>0</v>
      </c>
      <c r="P1167" s="60">
        <v>0</v>
      </c>
      <c r="Q1167" s="60">
        <v>0</v>
      </c>
      <c r="R1167" s="60">
        <v>0</v>
      </c>
      <c r="S1167" s="60">
        <v>0</v>
      </c>
      <c r="T1167" s="60">
        <v>0</v>
      </c>
      <c r="U1167" s="60">
        <v>0</v>
      </c>
      <c r="V1167" s="60">
        <v>0</v>
      </c>
      <c r="W1167" s="60">
        <v>0</v>
      </c>
      <c r="X1167" s="60">
        <v>0</v>
      </c>
      <c r="Y1167" s="60">
        <v>0</v>
      </c>
      <c r="Z1167" s="60">
        <v>0</v>
      </c>
      <c r="AA1167" s="60">
        <v>0</v>
      </c>
      <c r="AB1167" s="60">
        <v>0</v>
      </c>
      <c r="AC1167" s="60">
        <f>ROUND(N1167*1.3275%,2)</f>
        <v>40185.83</v>
      </c>
      <c r="AD1167" s="60">
        <v>0</v>
      </c>
      <c r="AE1167" s="60">
        <v>0</v>
      </c>
      <c r="AF1167" s="170" t="s">
        <v>257</v>
      </c>
      <c r="AG1167" s="170">
        <v>2022</v>
      </c>
      <c r="AH1167" s="63">
        <v>2022</v>
      </c>
    </row>
    <row r="1168" spans="1:16199" ht="61.5" x14ac:dyDescent="0.85">
      <c r="A1168" s="7">
        <v>1</v>
      </c>
      <c r="B1168" s="59">
        <f>SUBTOTAL(103,$A$1032:A1168)</f>
        <v>135</v>
      </c>
      <c r="C1168" s="160" t="s">
        <v>2317</v>
      </c>
      <c r="D1168" s="60">
        <f t="shared" si="190"/>
        <v>1907633.4</v>
      </c>
      <c r="E1168" s="60">
        <v>0</v>
      </c>
      <c r="F1168" s="60">
        <v>0</v>
      </c>
      <c r="G1168" s="62">
        <v>1234242</v>
      </c>
      <c r="H1168" s="60">
        <v>0</v>
      </c>
      <c r="I1168" s="60">
        <v>0</v>
      </c>
      <c r="J1168" s="60">
        <v>0</v>
      </c>
      <c r="K1168" s="168">
        <v>0</v>
      </c>
      <c r="L1168" s="60">
        <v>0</v>
      </c>
      <c r="M1168" s="60">
        <v>0</v>
      </c>
      <c r="N1168" s="60">
        <v>0</v>
      </c>
      <c r="O1168" s="60">
        <v>0</v>
      </c>
      <c r="P1168" s="60">
        <v>0</v>
      </c>
      <c r="Q1168" s="60">
        <v>0</v>
      </c>
      <c r="R1168" s="60">
        <v>0</v>
      </c>
      <c r="S1168" s="60">
        <v>0</v>
      </c>
      <c r="T1168" s="60">
        <v>0</v>
      </c>
      <c r="U1168" s="60">
        <v>0</v>
      </c>
      <c r="V1168" s="60">
        <v>0</v>
      </c>
      <c r="W1168" s="60">
        <v>0</v>
      </c>
      <c r="X1168" s="60">
        <v>0</v>
      </c>
      <c r="Y1168" s="60">
        <v>0</v>
      </c>
      <c r="Z1168" s="60">
        <v>0</v>
      </c>
      <c r="AA1168" s="60">
        <v>0</v>
      </c>
      <c r="AB1168" s="60">
        <v>541043</v>
      </c>
      <c r="AC1168" s="60">
        <v>23566.91</v>
      </c>
      <c r="AD1168" s="60">
        <v>108781.49</v>
      </c>
      <c r="AE1168" s="60">
        <v>0</v>
      </c>
      <c r="AF1168" s="170">
        <v>2022</v>
      </c>
      <c r="AG1168" s="170">
        <v>2022</v>
      </c>
      <c r="AH1168" s="63">
        <v>2022</v>
      </c>
    </row>
    <row r="1169" spans="1:34" ht="61.5" x14ac:dyDescent="0.85">
      <c r="A1169" s="7">
        <v>1</v>
      </c>
      <c r="B1169" s="59">
        <f>SUBTOTAL(103,$A$1032:A1169)</f>
        <v>136</v>
      </c>
      <c r="C1169" s="160" t="s">
        <v>407</v>
      </c>
      <c r="D1169" s="60">
        <f t="shared" si="190"/>
        <v>3695938.96</v>
      </c>
      <c r="E1169" s="60">
        <v>0</v>
      </c>
      <c r="F1169" s="60">
        <v>0</v>
      </c>
      <c r="G1169" s="60">
        <v>0</v>
      </c>
      <c r="H1169" s="60">
        <v>0</v>
      </c>
      <c r="I1169" s="60">
        <v>0</v>
      </c>
      <c r="J1169" s="60">
        <v>0</v>
      </c>
      <c r="K1169" s="168">
        <v>2</v>
      </c>
      <c r="L1169" s="60">
        <v>3669245.2</v>
      </c>
      <c r="M1169" s="60">
        <v>0</v>
      </c>
      <c r="N1169" s="60">
        <v>0</v>
      </c>
      <c r="O1169" s="60">
        <v>0</v>
      </c>
      <c r="P1169" s="60">
        <v>0</v>
      </c>
      <c r="Q1169" s="60">
        <v>0</v>
      </c>
      <c r="R1169" s="60">
        <v>0</v>
      </c>
      <c r="S1169" s="60">
        <v>0</v>
      </c>
      <c r="T1169" s="60">
        <v>0</v>
      </c>
      <c r="U1169" s="60">
        <v>0</v>
      </c>
      <c r="V1169" s="60">
        <v>0</v>
      </c>
      <c r="W1169" s="60">
        <v>0</v>
      </c>
      <c r="X1169" s="60">
        <v>0</v>
      </c>
      <c r="Y1169" s="60">
        <v>0</v>
      </c>
      <c r="Z1169" s="60">
        <v>0</v>
      </c>
      <c r="AA1169" s="60">
        <v>0</v>
      </c>
      <c r="AB1169" s="60">
        <v>0</v>
      </c>
      <c r="AC1169" s="60">
        <v>26693.759999999998</v>
      </c>
      <c r="AD1169" s="60">
        <v>0</v>
      </c>
      <c r="AE1169" s="60">
        <v>0</v>
      </c>
      <c r="AF1169" s="170" t="s">
        <v>257</v>
      </c>
      <c r="AG1169" s="170">
        <v>2022</v>
      </c>
      <c r="AH1169" s="63">
        <v>2022</v>
      </c>
    </row>
    <row r="1170" spans="1:34" ht="61.5" x14ac:dyDescent="0.85">
      <c r="A1170" s="7">
        <v>1</v>
      </c>
      <c r="B1170" s="59">
        <f>SUBTOTAL(103,$A$1032:A1170)</f>
        <v>137</v>
      </c>
      <c r="C1170" s="160" t="s">
        <v>395</v>
      </c>
      <c r="D1170" s="60">
        <f t="shared" si="190"/>
        <v>16076832.93</v>
      </c>
      <c r="E1170" s="60">
        <v>0</v>
      </c>
      <c r="F1170" s="60">
        <v>0</v>
      </c>
      <c r="G1170" s="60">
        <v>2093724</v>
      </c>
      <c r="H1170" s="60">
        <v>0</v>
      </c>
      <c r="I1170" s="60">
        <v>0</v>
      </c>
      <c r="J1170" s="60">
        <v>0</v>
      </c>
      <c r="K1170" s="168">
        <v>0</v>
      </c>
      <c r="L1170" s="60">
        <v>0</v>
      </c>
      <c r="M1170" s="60">
        <v>1609.5</v>
      </c>
      <c r="N1170" s="60">
        <v>12915795</v>
      </c>
      <c r="O1170" s="60">
        <v>0</v>
      </c>
      <c r="P1170" s="60">
        <v>0</v>
      </c>
      <c r="Q1170" s="60">
        <v>0</v>
      </c>
      <c r="R1170" s="60">
        <v>0</v>
      </c>
      <c r="S1170" s="60">
        <v>0</v>
      </c>
      <c r="T1170" s="60">
        <v>0</v>
      </c>
      <c r="U1170" s="60">
        <v>0</v>
      </c>
      <c r="V1170" s="60">
        <v>0</v>
      </c>
      <c r="W1170" s="60">
        <v>0</v>
      </c>
      <c r="X1170" s="60">
        <v>0</v>
      </c>
      <c r="Y1170" s="60">
        <v>0</v>
      </c>
      <c r="Z1170" s="60">
        <v>0</v>
      </c>
      <c r="AA1170" s="60">
        <v>0</v>
      </c>
      <c r="AB1170" s="60">
        <v>527401</v>
      </c>
      <c r="AC1170" s="60">
        <v>206252.61</v>
      </c>
      <c r="AD1170" s="60">
        <v>333660.31999999995</v>
      </c>
      <c r="AE1170" s="60">
        <v>0</v>
      </c>
      <c r="AF1170" s="170">
        <v>2022</v>
      </c>
      <c r="AG1170" s="170">
        <v>2022</v>
      </c>
      <c r="AH1170" s="63">
        <v>2022</v>
      </c>
    </row>
    <row r="1171" spans="1:34" ht="61.5" x14ac:dyDescent="0.85">
      <c r="A1171" s="7">
        <v>1</v>
      </c>
      <c r="B1171" s="59">
        <f>SUBTOTAL(103,$A$1032:A1171)</f>
        <v>138</v>
      </c>
      <c r="C1171" s="160" t="s">
        <v>2318</v>
      </c>
      <c r="D1171" s="60">
        <f t="shared" si="190"/>
        <v>2798496.53</v>
      </c>
      <c r="E1171" s="60">
        <v>0</v>
      </c>
      <c r="F1171" s="60">
        <v>0</v>
      </c>
      <c r="G1171" s="60">
        <v>2097815</v>
      </c>
      <c r="H1171" s="60">
        <v>0</v>
      </c>
      <c r="I1171" s="60">
        <v>0</v>
      </c>
      <c r="J1171" s="60">
        <v>0</v>
      </c>
      <c r="K1171" s="168">
        <v>0</v>
      </c>
      <c r="L1171" s="60">
        <v>0</v>
      </c>
      <c r="M1171" s="60">
        <v>0</v>
      </c>
      <c r="N1171" s="60">
        <v>0</v>
      </c>
      <c r="O1171" s="60">
        <v>0</v>
      </c>
      <c r="P1171" s="60">
        <v>0</v>
      </c>
      <c r="Q1171" s="60">
        <v>0</v>
      </c>
      <c r="R1171" s="60">
        <v>0</v>
      </c>
      <c r="S1171" s="60">
        <v>0</v>
      </c>
      <c r="T1171" s="60">
        <v>0</v>
      </c>
      <c r="U1171" s="60">
        <v>0</v>
      </c>
      <c r="V1171" s="60">
        <v>0</v>
      </c>
      <c r="W1171" s="60">
        <v>0</v>
      </c>
      <c r="X1171" s="60">
        <v>0</v>
      </c>
      <c r="Y1171" s="60">
        <v>0</v>
      </c>
      <c r="Z1171" s="60">
        <v>0</v>
      </c>
      <c r="AA1171" s="60">
        <v>0</v>
      </c>
      <c r="AB1171" s="60">
        <v>508844</v>
      </c>
      <c r="AC1171" s="60">
        <v>34603.4</v>
      </c>
      <c r="AD1171" s="60">
        <v>157234.13</v>
      </c>
      <c r="AE1171" s="60">
        <v>0</v>
      </c>
      <c r="AF1171" s="170">
        <v>2022</v>
      </c>
      <c r="AG1171" s="170">
        <v>2022</v>
      </c>
      <c r="AH1171" s="63">
        <v>2022</v>
      </c>
    </row>
    <row r="1172" spans="1:34" ht="61.5" x14ac:dyDescent="0.85">
      <c r="A1172" s="7">
        <v>1</v>
      </c>
      <c r="B1172" s="59">
        <f>SUBTOTAL(103,$A$1032:A1172)</f>
        <v>139</v>
      </c>
      <c r="C1172" s="160" t="s">
        <v>2319</v>
      </c>
      <c r="D1172" s="60">
        <f t="shared" si="190"/>
        <v>2951005.87</v>
      </c>
      <c r="E1172" s="60">
        <v>0</v>
      </c>
      <c r="F1172" s="60">
        <v>0</v>
      </c>
      <c r="G1172" s="60">
        <v>2186551</v>
      </c>
      <c r="H1172" s="60">
        <v>0</v>
      </c>
      <c r="I1172" s="60">
        <v>0</v>
      </c>
      <c r="J1172" s="60">
        <v>0</v>
      </c>
      <c r="K1172" s="168">
        <v>0</v>
      </c>
      <c r="L1172" s="60">
        <v>0</v>
      </c>
      <c r="M1172" s="60">
        <v>0</v>
      </c>
      <c r="N1172" s="60">
        <v>0</v>
      </c>
      <c r="O1172" s="60">
        <v>0</v>
      </c>
      <c r="P1172" s="60">
        <v>0</v>
      </c>
      <c r="Q1172" s="60">
        <v>0</v>
      </c>
      <c r="R1172" s="60">
        <v>0</v>
      </c>
      <c r="S1172" s="60">
        <v>0</v>
      </c>
      <c r="T1172" s="60">
        <v>0</v>
      </c>
      <c r="U1172" s="60">
        <v>0</v>
      </c>
      <c r="V1172" s="60">
        <v>0</v>
      </c>
      <c r="W1172" s="60">
        <v>0</v>
      </c>
      <c r="X1172" s="60">
        <v>0</v>
      </c>
      <c r="Y1172" s="60">
        <v>0</v>
      </c>
      <c r="Z1172" s="60">
        <v>0</v>
      </c>
      <c r="AA1172" s="60">
        <v>0</v>
      </c>
      <c r="AB1172" s="60">
        <v>590729</v>
      </c>
      <c r="AC1172" s="60">
        <v>36868.39</v>
      </c>
      <c r="AD1172" s="60">
        <v>136857.48000000001</v>
      </c>
      <c r="AE1172" s="60">
        <v>0</v>
      </c>
      <c r="AF1172" s="170">
        <v>2022</v>
      </c>
      <c r="AG1172" s="170">
        <v>2022</v>
      </c>
      <c r="AH1172" s="63">
        <v>2022</v>
      </c>
    </row>
    <row r="1173" spans="1:34" ht="61.5" x14ac:dyDescent="0.85">
      <c r="A1173" s="7">
        <v>1</v>
      </c>
      <c r="B1173" s="59">
        <f>SUBTOTAL(103,$A$1032:A1173)</f>
        <v>140</v>
      </c>
      <c r="C1173" s="160" t="s">
        <v>380</v>
      </c>
      <c r="D1173" s="60">
        <f>E1173+F1173+G1173+H1173+I1173+J1173+L1173+N1173+P1173+R1173+T1173+U1173+V1173+W1173+X1173+Y1173+Z1173+AA1173+AB1173+AC1173+AD1173+AE1173</f>
        <v>4161163.68</v>
      </c>
      <c r="E1173" s="60">
        <v>0</v>
      </c>
      <c r="F1173" s="60">
        <v>0</v>
      </c>
      <c r="G1173" s="60">
        <v>3415600</v>
      </c>
      <c r="H1173" s="60">
        <v>0</v>
      </c>
      <c r="I1173" s="60">
        <v>0</v>
      </c>
      <c r="J1173" s="60">
        <v>0</v>
      </c>
      <c r="K1173" s="168">
        <v>0</v>
      </c>
      <c r="L1173" s="60">
        <v>0</v>
      </c>
      <c r="M1173" s="60">
        <v>0</v>
      </c>
      <c r="N1173" s="60">
        <v>0</v>
      </c>
      <c r="O1173" s="60">
        <v>0</v>
      </c>
      <c r="P1173" s="60">
        <v>0</v>
      </c>
      <c r="Q1173" s="60">
        <v>0</v>
      </c>
      <c r="R1173" s="60">
        <v>0</v>
      </c>
      <c r="S1173" s="60">
        <v>0</v>
      </c>
      <c r="T1173" s="60">
        <v>0</v>
      </c>
      <c r="U1173" s="60">
        <v>0</v>
      </c>
      <c r="V1173" s="60">
        <v>0</v>
      </c>
      <c r="W1173" s="60">
        <v>0</v>
      </c>
      <c r="X1173" s="60">
        <v>0</v>
      </c>
      <c r="Y1173" s="60">
        <v>0</v>
      </c>
      <c r="Z1173" s="60">
        <v>0</v>
      </c>
      <c r="AA1173" s="60">
        <v>0</v>
      </c>
      <c r="AB1173" s="60">
        <v>494205</v>
      </c>
      <c r="AC1173" s="60">
        <v>51902.66</v>
      </c>
      <c r="AD1173" s="60">
        <v>199456.02</v>
      </c>
      <c r="AE1173" s="60">
        <v>0</v>
      </c>
      <c r="AF1173" s="170">
        <v>2022</v>
      </c>
      <c r="AG1173" s="170">
        <v>2022</v>
      </c>
      <c r="AH1173" s="63">
        <v>2022</v>
      </c>
    </row>
    <row r="1174" spans="1:34" ht="61.5" x14ac:dyDescent="0.85">
      <c r="A1174" s="7">
        <v>1</v>
      </c>
      <c r="B1174" s="59">
        <f>SUBTOTAL(103,$A$1032:A1174)</f>
        <v>141</v>
      </c>
      <c r="C1174" s="160" t="s">
        <v>2622</v>
      </c>
      <c r="D1174" s="60">
        <f>E1174+F1174+G1174+H1174+I1174+J1174+L1174+N1174+P1174+R1174+T1174+U1174+V1174+W1174+X1174+Y1174+Z1174+AA1174+AB1174+AC1174+AD1174+AE1174</f>
        <v>14992755.4</v>
      </c>
      <c r="E1174" s="60">
        <v>0</v>
      </c>
      <c r="F1174" s="60">
        <v>0</v>
      </c>
      <c r="G1174" s="60">
        <v>1411614.4</v>
      </c>
      <c r="H1174" s="60">
        <v>0</v>
      </c>
      <c r="I1174" s="60">
        <v>0</v>
      </c>
      <c r="J1174" s="60">
        <v>0</v>
      </c>
      <c r="K1174" s="168">
        <v>0</v>
      </c>
      <c r="L1174" s="60">
        <v>0</v>
      </c>
      <c r="M1174" s="60">
        <v>0</v>
      </c>
      <c r="N1174" s="60">
        <f>M1174*10856.24</f>
        <v>0</v>
      </c>
      <c r="O1174" s="60">
        <v>0</v>
      </c>
      <c r="P1174" s="60">
        <v>0</v>
      </c>
      <c r="Q1174" s="60">
        <v>1546</v>
      </c>
      <c r="R1174" s="60">
        <v>12521728</v>
      </c>
      <c r="S1174" s="60">
        <v>0</v>
      </c>
      <c r="T1174" s="60">
        <v>0</v>
      </c>
      <c r="U1174" s="60">
        <v>0</v>
      </c>
      <c r="V1174" s="60">
        <v>0</v>
      </c>
      <c r="W1174" s="60">
        <v>0</v>
      </c>
      <c r="X1174" s="60">
        <v>0</v>
      </c>
      <c r="Y1174" s="60">
        <v>0</v>
      </c>
      <c r="Z1174" s="60">
        <v>0</v>
      </c>
      <c r="AA1174" s="60">
        <v>0</v>
      </c>
      <c r="AB1174" s="60">
        <v>615035</v>
      </c>
      <c r="AC1174" s="60">
        <v>154110.96</v>
      </c>
      <c r="AD1174" s="60">
        <v>290267.03999999998</v>
      </c>
      <c r="AE1174" s="60">
        <v>0</v>
      </c>
      <c r="AF1174" s="170">
        <v>2022</v>
      </c>
      <c r="AG1174" s="170">
        <v>2022</v>
      </c>
      <c r="AH1174" s="63">
        <v>2022</v>
      </c>
    </row>
    <row r="1175" spans="1:34" ht="61.5" x14ac:dyDescent="0.85">
      <c r="A1175" s="7">
        <v>1</v>
      </c>
      <c r="B1175" s="59">
        <f>SUBTOTAL(103,$A$1032:A1175)</f>
        <v>142</v>
      </c>
      <c r="C1175" s="160" t="s">
        <v>403</v>
      </c>
      <c r="D1175" s="60">
        <f>E1175+F1175+G1175+H1175+I1175+J1175+L1175+N1175+P1175+R1175+T1175+U1175+V1175+W1175+X1175+Y1175+Z1175+AA1175+AB1175+AC1175+AD1175+AE1175</f>
        <v>174784.11</v>
      </c>
      <c r="E1175" s="60">
        <v>0</v>
      </c>
      <c r="F1175" s="60">
        <v>0</v>
      </c>
      <c r="G1175" s="60">
        <v>0</v>
      </c>
      <c r="H1175" s="60">
        <v>0</v>
      </c>
      <c r="I1175" s="60">
        <v>0</v>
      </c>
      <c r="J1175" s="60">
        <v>0</v>
      </c>
      <c r="K1175" s="168">
        <v>0</v>
      </c>
      <c r="L1175" s="60">
        <v>0</v>
      </c>
      <c r="M1175" s="60">
        <v>0</v>
      </c>
      <c r="N1175" s="60">
        <v>0</v>
      </c>
      <c r="O1175" s="60">
        <v>0</v>
      </c>
      <c r="P1175" s="60">
        <v>0</v>
      </c>
      <c r="Q1175" s="60">
        <v>0</v>
      </c>
      <c r="R1175" s="60">
        <v>0</v>
      </c>
      <c r="S1175" s="60">
        <v>0</v>
      </c>
      <c r="T1175" s="60">
        <v>0</v>
      </c>
      <c r="U1175" s="60">
        <v>0</v>
      </c>
      <c r="V1175" s="60">
        <v>0</v>
      </c>
      <c r="W1175" s="60">
        <v>0</v>
      </c>
      <c r="X1175" s="60">
        <v>0</v>
      </c>
      <c r="Y1175" s="60">
        <v>0</v>
      </c>
      <c r="Z1175" s="60">
        <v>0</v>
      </c>
      <c r="AA1175" s="60">
        <v>0</v>
      </c>
      <c r="AB1175" s="60">
        <v>0</v>
      </c>
      <c r="AC1175" s="60">
        <f t="shared" ref="AC1175" si="191">ROUND(N1175*2.14%,2)+ROUND(E1175*2.14%,2)+ROUND(F1175*2.14%,2)+ROUND(G1175*2.14%,2)+ROUND(H1175*2.14%,2)+ROUND(I1175*2.14%,2)+ROUND(J1175*2.14%,2)+ROUND(L1175*2.14%,2)+ROUND(P1175*2.14%,2)+ROUND(R1175*2.14%,2)+ROUND(T1175*2.14%,2)+ROUND(U1175*2.14%,2)+ROUND(V1175*2.14%,2)+ROUND(W1175*2.14%,2)+ROUND(X1175*2.14%,2)+ROUND(Y1175*2.14%,2)+ROUND(Z1175*2.14%,2)+ROUND(AA1175*2.14%,2)+ROUND(AB1175*2.14%,2)</f>
        <v>0</v>
      </c>
      <c r="AD1175" s="60">
        <v>174784.11</v>
      </c>
      <c r="AE1175" s="60">
        <v>0</v>
      </c>
      <c r="AF1175" s="170">
        <v>2022</v>
      </c>
      <c r="AG1175" s="170" t="s">
        <v>257</v>
      </c>
      <c r="AH1175" s="63" t="s">
        <v>257</v>
      </c>
    </row>
    <row r="1176" spans="1:34" ht="61.5" x14ac:dyDescent="0.85">
      <c r="A1176" s="7">
        <v>1</v>
      </c>
      <c r="B1176" s="59">
        <f>SUBTOTAL(103,$A$1032:A1176)</f>
        <v>143</v>
      </c>
      <c r="C1176" s="160" t="s">
        <v>3261</v>
      </c>
      <c r="D1176" s="201">
        <f t="shared" ref="D1176:D1180" si="192">E1176+F1176+G1176+H1176+I1176+J1176+L1176+N1176+P1176+R1176+T1176+U1176+V1176+W1176+X1176+Y1176+Z1176+AA1176+AB1176+AC1176+AD1176+AE1176</f>
        <v>4959585.82</v>
      </c>
      <c r="E1176" s="201">
        <v>0</v>
      </c>
      <c r="F1176" s="201">
        <v>0</v>
      </c>
      <c r="G1176" s="201">
        <v>0</v>
      </c>
      <c r="H1176" s="201">
        <v>0</v>
      </c>
      <c r="I1176" s="201">
        <v>0</v>
      </c>
      <c r="J1176" s="201">
        <v>0</v>
      </c>
      <c r="K1176" s="168">
        <v>2</v>
      </c>
      <c r="L1176" s="201">
        <v>4838247.16</v>
      </c>
      <c r="M1176" s="201">
        <v>0</v>
      </c>
      <c r="N1176" s="201">
        <v>0</v>
      </c>
      <c r="O1176" s="201">
        <v>0</v>
      </c>
      <c r="P1176" s="201">
        <v>0</v>
      </c>
      <c r="Q1176" s="201">
        <v>0</v>
      </c>
      <c r="R1176" s="201">
        <v>0</v>
      </c>
      <c r="S1176" s="201">
        <v>0</v>
      </c>
      <c r="T1176" s="201">
        <v>0</v>
      </c>
      <c r="U1176" s="201">
        <v>0</v>
      </c>
      <c r="V1176" s="201">
        <v>0</v>
      </c>
      <c r="W1176" s="201">
        <v>0</v>
      </c>
      <c r="X1176" s="201">
        <v>0</v>
      </c>
      <c r="Y1176" s="201">
        <v>0</v>
      </c>
      <c r="Z1176" s="201">
        <v>0</v>
      </c>
      <c r="AA1176" s="201">
        <v>0</v>
      </c>
      <c r="AB1176" s="201">
        <v>0</v>
      </c>
      <c r="AC1176" s="201">
        <v>0</v>
      </c>
      <c r="AD1176" s="201">
        <v>121338.66</v>
      </c>
      <c r="AE1176" s="201">
        <v>0</v>
      </c>
      <c r="AF1176" s="202">
        <v>2022</v>
      </c>
      <c r="AG1176" s="170">
        <v>2022</v>
      </c>
      <c r="AH1176" s="202" t="s">
        <v>257</v>
      </c>
    </row>
    <row r="1177" spans="1:34" ht="61.5" x14ac:dyDescent="0.85">
      <c r="A1177" s="7">
        <v>1</v>
      </c>
      <c r="B1177" s="59">
        <f>SUBTOTAL(103,$A$1032:A1177)</f>
        <v>144</v>
      </c>
      <c r="C1177" s="160" t="s">
        <v>2505</v>
      </c>
      <c r="D1177" s="201">
        <f t="shared" si="192"/>
        <v>2982481.6599999997</v>
      </c>
      <c r="E1177" s="201">
        <v>0</v>
      </c>
      <c r="F1177" s="201">
        <v>0</v>
      </c>
      <c r="G1177" s="201">
        <v>0</v>
      </c>
      <c r="H1177" s="201">
        <v>0</v>
      </c>
      <c r="I1177" s="201">
        <v>0</v>
      </c>
      <c r="J1177" s="201">
        <v>0</v>
      </c>
      <c r="K1177" s="168">
        <v>1</v>
      </c>
      <c r="L1177" s="201">
        <v>2870135.09</v>
      </c>
      <c r="M1177" s="201">
        <v>0</v>
      </c>
      <c r="N1177" s="201">
        <v>0</v>
      </c>
      <c r="O1177" s="201">
        <v>0</v>
      </c>
      <c r="P1177" s="201">
        <v>0</v>
      </c>
      <c r="Q1177" s="201">
        <v>0</v>
      </c>
      <c r="R1177" s="201">
        <v>0</v>
      </c>
      <c r="S1177" s="201">
        <v>0</v>
      </c>
      <c r="T1177" s="201">
        <v>0</v>
      </c>
      <c r="U1177" s="201">
        <v>0</v>
      </c>
      <c r="V1177" s="201">
        <v>0</v>
      </c>
      <c r="W1177" s="201">
        <v>0</v>
      </c>
      <c r="X1177" s="201">
        <v>0</v>
      </c>
      <c r="Y1177" s="201">
        <v>0</v>
      </c>
      <c r="Z1177" s="201">
        <v>0</v>
      </c>
      <c r="AA1177" s="201">
        <v>0</v>
      </c>
      <c r="AB1177" s="201">
        <v>0</v>
      </c>
      <c r="AC1177" s="201">
        <v>0</v>
      </c>
      <c r="AD1177" s="201">
        <v>112346.57</v>
      </c>
      <c r="AE1177" s="201">
        <v>0</v>
      </c>
      <c r="AF1177" s="202">
        <v>2022</v>
      </c>
      <c r="AG1177" s="170">
        <v>2022</v>
      </c>
      <c r="AH1177" s="202" t="s">
        <v>257</v>
      </c>
    </row>
    <row r="1178" spans="1:34" ht="61.5" x14ac:dyDescent="0.85">
      <c r="A1178" s="7">
        <v>1</v>
      </c>
      <c r="B1178" s="59">
        <f>SUBTOTAL(103,$A$1032:A1178)</f>
        <v>145</v>
      </c>
      <c r="C1178" s="160" t="s">
        <v>2045</v>
      </c>
      <c r="D1178" s="201">
        <f t="shared" si="192"/>
        <v>12128529.299999999</v>
      </c>
      <c r="E1178" s="201">
        <v>0</v>
      </c>
      <c r="F1178" s="201">
        <v>0</v>
      </c>
      <c r="G1178" s="201">
        <v>0</v>
      </c>
      <c r="H1178" s="201">
        <v>0</v>
      </c>
      <c r="I1178" s="201">
        <v>0</v>
      </c>
      <c r="J1178" s="201">
        <v>0</v>
      </c>
      <c r="K1178" s="168">
        <v>4</v>
      </c>
      <c r="L1178" s="201">
        <v>11984496.039999999</v>
      </c>
      <c r="M1178" s="201">
        <v>0</v>
      </c>
      <c r="N1178" s="201">
        <v>0</v>
      </c>
      <c r="O1178" s="201">
        <v>0</v>
      </c>
      <c r="P1178" s="201">
        <v>0</v>
      </c>
      <c r="Q1178" s="201">
        <v>0</v>
      </c>
      <c r="R1178" s="201">
        <v>0</v>
      </c>
      <c r="S1178" s="201">
        <v>0</v>
      </c>
      <c r="T1178" s="201">
        <v>0</v>
      </c>
      <c r="U1178" s="201">
        <v>0</v>
      </c>
      <c r="V1178" s="201">
        <v>0</v>
      </c>
      <c r="W1178" s="201">
        <v>0</v>
      </c>
      <c r="X1178" s="201">
        <v>0</v>
      </c>
      <c r="Y1178" s="201">
        <v>0</v>
      </c>
      <c r="Z1178" s="201">
        <v>0</v>
      </c>
      <c r="AA1178" s="201">
        <v>0</v>
      </c>
      <c r="AB1178" s="201">
        <v>0</v>
      </c>
      <c r="AC1178" s="201">
        <v>0</v>
      </c>
      <c r="AD1178" s="201">
        <v>144033.26</v>
      </c>
      <c r="AE1178" s="201">
        <v>0</v>
      </c>
      <c r="AF1178" s="202">
        <v>2022</v>
      </c>
      <c r="AG1178" s="170">
        <v>2022</v>
      </c>
      <c r="AH1178" s="202" t="s">
        <v>257</v>
      </c>
    </row>
    <row r="1179" spans="1:34" ht="61.5" x14ac:dyDescent="0.85">
      <c r="A1179" s="7">
        <v>1</v>
      </c>
      <c r="B1179" s="59">
        <f>SUBTOTAL(103,$A$1032:A1179)</f>
        <v>146</v>
      </c>
      <c r="C1179" s="160" t="s">
        <v>3262</v>
      </c>
      <c r="D1179" s="201">
        <f t="shared" si="192"/>
        <v>8744140.8499999996</v>
      </c>
      <c r="E1179" s="201">
        <v>0</v>
      </c>
      <c r="F1179" s="201">
        <v>0</v>
      </c>
      <c r="G1179" s="201">
        <v>0</v>
      </c>
      <c r="H1179" s="201">
        <v>0</v>
      </c>
      <c r="I1179" s="201">
        <v>0</v>
      </c>
      <c r="J1179" s="201">
        <v>0</v>
      </c>
      <c r="K1179" s="168">
        <v>3</v>
      </c>
      <c r="L1179" s="201">
        <v>8613154.4399999995</v>
      </c>
      <c r="M1179" s="201">
        <v>0</v>
      </c>
      <c r="N1179" s="201">
        <v>0</v>
      </c>
      <c r="O1179" s="201">
        <v>0</v>
      </c>
      <c r="P1179" s="201">
        <v>0</v>
      </c>
      <c r="Q1179" s="201">
        <v>0</v>
      </c>
      <c r="R1179" s="201">
        <v>0</v>
      </c>
      <c r="S1179" s="201">
        <v>0</v>
      </c>
      <c r="T1179" s="201">
        <v>0</v>
      </c>
      <c r="U1179" s="201">
        <v>0</v>
      </c>
      <c r="V1179" s="201">
        <v>0</v>
      </c>
      <c r="W1179" s="201">
        <v>0</v>
      </c>
      <c r="X1179" s="201">
        <v>0</v>
      </c>
      <c r="Y1179" s="201">
        <v>0</v>
      </c>
      <c r="Z1179" s="201">
        <v>0</v>
      </c>
      <c r="AA1179" s="201">
        <v>0</v>
      </c>
      <c r="AB1179" s="201">
        <v>0</v>
      </c>
      <c r="AC1179" s="201">
        <v>0</v>
      </c>
      <c r="AD1179" s="201">
        <v>130986.41</v>
      </c>
      <c r="AE1179" s="201">
        <v>0</v>
      </c>
      <c r="AF1179" s="202">
        <v>2022</v>
      </c>
      <c r="AG1179" s="170">
        <v>2022</v>
      </c>
      <c r="AH1179" s="202" t="s">
        <v>257</v>
      </c>
    </row>
    <row r="1180" spans="1:34" ht="61.5" x14ac:dyDescent="0.85">
      <c r="A1180" s="7">
        <v>1</v>
      </c>
      <c r="B1180" s="59">
        <f>SUBTOTAL(103,$A$1032:A1180)</f>
        <v>147</v>
      </c>
      <c r="C1180" s="160" t="s">
        <v>2266</v>
      </c>
      <c r="D1180" s="201">
        <f t="shared" si="192"/>
        <v>8736547.0599999987</v>
      </c>
      <c r="E1180" s="201">
        <v>0</v>
      </c>
      <c r="F1180" s="201">
        <v>0</v>
      </c>
      <c r="G1180" s="201">
        <v>0</v>
      </c>
      <c r="H1180" s="201">
        <v>0</v>
      </c>
      <c r="I1180" s="201">
        <v>0</v>
      </c>
      <c r="J1180" s="201">
        <v>0</v>
      </c>
      <c r="K1180" s="168">
        <v>3</v>
      </c>
      <c r="L1180" s="201">
        <v>8607012.6899999995</v>
      </c>
      <c r="M1180" s="201">
        <v>0</v>
      </c>
      <c r="N1180" s="201">
        <v>0</v>
      </c>
      <c r="O1180" s="201">
        <v>0</v>
      </c>
      <c r="P1180" s="201">
        <v>0</v>
      </c>
      <c r="Q1180" s="201">
        <v>0</v>
      </c>
      <c r="R1180" s="201">
        <v>0</v>
      </c>
      <c r="S1180" s="201">
        <v>0</v>
      </c>
      <c r="T1180" s="201">
        <v>0</v>
      </c>
      <c r="U1180" s="201">
        <v>0</v>
      </c>
      <c r="V1180" s="201">
        <v>0</v>
      </c>
      <c r="W1180" s="201">
        <v>0</v>
      </c>
      <c r="X1180" s="201">
        <v>0</v>
      </c>
      <c r="Y1180" s="201">
        <v>0</v>
      </c>
      <c r="Z1180" s="201">
        <v>0</v>
      </c>
      <c r="AA1180" s="201">
        <v>0</v>
      </c>
      <c r="AB1180" s="201">
        <v>0</v>
      </c>
      <c r="AC1180" s="201">
        <v>0</v>
      </c>
      <c r="AD1180" s="201">
        <v>129534.37</v>
      </c>
      <c r="AE1180" s="201">
        <v>0</v>
      </c>
      <c r="AF1180" s="202">
        <v>2022</v>
      </c>
      <c r="AG1180" s="170">
        <v>2022</v>
      </c>
      <c r="AH1180" s="202" t="s">
        <v>257</v>
      </c>
    </row>
    <row r="1181" spans="1:34" ht="61.5" x14ac:dyDescent="0.85">
      <c r="B1181" s="160" t="s">
        <v>730</v>
      </c>
      <c r="C1181" s="160"/>
      <c r="D1181" s="177">
        <f>SUM(D1182:D1217)</f>
        <v>240294268.03000003</v>
      </c>
      <c r="E1181" s="60">
        <f t="shared" ref="E1181:AE1181" si="193">SUM(E1182:E1217)</f>
        <v>230920.87</v>
      </c>
      <c r="F1181" s="60">
        <f t="shared" si="193"/>
        <v>0</v>
      </c>
      <c r="G1181" s="60">
        <f t="shared" si="193"/>
        <v>0</v>
      </c>
      <c r="H1181" s="60">
        <f t="shared" si="193"/>
        <v>542882.04</v>
      </c>
      <c r="I1181" s="60">
        <f t="shared" si="193"/>
        <v>0</v>
      </c>
      <c r="J1181" s="60">
        <f t="shared" si="193"/>
        <v>0</v>
      </c>
      <c r="K1181" s="168">
        <f t="shared" si="193"/>
        <v>59</v>
      </c>
      <c r="L1181" s="60">
        <f t="shared" si="193"/>
        <v>164082379.5</v>
      </c>
      <c r="M1181" s="60">
        <f t="shared" si="193"/>
        <v>9553.8599999999988</v>
      </c>
      <c r="N1181" s="60">
        <f t="shared" si="193"/>
        <v>68720218.890000001</v>
      </c>
      <c r="O1181" s="60">
        <f t="shared" si="193"/>
        <v>0</v>
      </c>
      <c r="P1181" s="60">
        <f t="shared" si="193"/>
        <v>0</v>
      </c>
      <c r="Q1181" s="60">
        <f t="shared" si="193"/>
        <v>340</v>
      </c>
      <c r="R1181" s="60">
        <f t="shared" si="193"/>
        <v>2255586</v>
      </c>
      <c r="S1181" s="60">
        <f t="shared" si="193"/>
        <v>0</v>
      </c>
      <c r="T1181" s="60">
        <f t="shared" si="193"/>
        <v>0</v>
      </c>
      <c r="U1181" s="60">
        <f t="shared" si="193"/>
        <v>0</v>
      </c>
      <c r="V1181" s="60">
        <f t="shared" si="193"/>
        <v>0</v>
      </c>
      <c r="W1181" s="60">
        <f t="shared" si="193"/>
        <v>0</v>
      </c>
      <c r="X1181" s="60">
        <f t="shared" si="193"/>
        <v>0</v>
      </c>
      <c r="Y1181" s="60">
        <f t="shared" si="193"/>
        <v>0</v>
      </c>
      <c r="Z1181" s="60">
        <f t="shared" si="193"/>
        <v>0</v>
      </c>
      <c r="AA1181" s="60">
        <f t="shared" si="193"/>
        <v>0</v>
      </c>
      <c r="AB1181" s="60">
        <f t="shared" si="193"/>
        <v>0</v>
      </c>
      <c r="AC1181" s="60">
        <f t="shared" si="193"/>
        <v>926073.24</v>
      </c>
      <c r="AD1181" s="60">
        <f t="shared" si="193"/>
        <v>3536207.49</v>
      </c>
      <c r="AE1181" s="60">
        <f t="shared" si="193"/>
        <v>0</v>
      </c>
      <c r="AF1181" s="170" t="s">
        <v>701</v>
      </c>
      <c r="AG1181" s="170" t="s">
        <v>701</v>
      </c>
      <c r="AH1181" s="63" t="s">
        <v>701</v>
      </c>
    </row>
    <row r="1182" spans="1:34" ht="61.5" x14ac:dyDescent="0.85">
      <c r="A1182" s="7">
        <v>1</v>
      </c>
      <c r="B1182" s="59">
        <f>SUBTOTAL(103,$A$1032:A1182)</f>
        <v>148</v>
      </c>
      <c r="C1182" s="160" t="s">
        <v>731</v>
      </c>
      <c r="D1182" s="60">
        <f t="shared" ref="D1182:D1197" si="194">E1182+F1182+G1182+H1182+I1182+J1182+L1182+N1182+P1182+R1182+T1182+U1182+V1182+W1182+X1182+Y1182+Z1182+AA1182+AB1182+AC1182+AD1182+AE1182</f>
        <v>3568200.4699999997</v>
      </c>
      <c r="E1182" s="60">
        <v>0</v>
      </c>
      <c r="F1182" s="60">
        <v>0</v>
      </c>
      <c r="G1182" s="60">
        <v>0</v>
      </c>
      <c r="H1182" s="60">
        <v>0</v>
      </c>
      <c r="I1182" s="60">
        <v>0</v>
      </c>
      <c r="J1182" s="60">
        <v>0</v>
      </c>
      <c r="K1182" s="168">
        <v>0</v>
      </c>
      <c r="L1182" s="60">
        <v>0</v>
      </c>
      <c r="M1182" s="60">
        <v>518.14</v>
      </c>
      <c r="N1182" s="60">
        <v>3408108</v>
      </c>
      <c r="O1182" s="60">
        <v>0</v>
      </c>
      <c r="P1182" s="60">
        <v>0</v>
      </c>
      <c r="Q1182" s="60">
        <v>0</v>
      </c>
      <c r="R1182" s="60">
        <v>0</v>
      </c>
      <c r="S1182" s="60">
        <v>0</v>
      </c>
      <c r="T1182" s="60">
        <v>0</v>
      </c>
      <c r="U1182" s="60">
        <v>0</v>
      </c>
      <c r="V1182" s="60">
        <v>0</v>
      </c>
      <c r="W1182" s="60">
        <v>0</v>
      </c>
      <c r="X1182" s="60">
        <v>0</v>
      </c>
      <c r="Y1182" s="60">
        <v>0</v>
      </c>
      <c r="Z1182" s="60">
        <v>0</v>
      </c>
      <c r="AA1182" s="60">
        <v>0</v>
      </c>
      <c r="AB1182" s="60">
        <v>0</v>
      </c>
      <c r="AC1182" s="60">
        <f t="shared" ref="AC1182:AC1189" si="195">ROUND(N1182*1.0593%,2)+ROUND(E1182*1.0593%,2)+ROUND(F1182*1.0593%,2)+ROUND(G1182*1.0593%,2)+ROUND(H1182*1.0593%,2)+ROUND(I1182*1.0593%,2)+ROUND(J1182*1.0593%,2)+ROUND(L1182*1.0593%,2)+ROUND(P1182*1.0593%,2)+ROUND(R1182*1.0593%,2)+ROUND(T1182*1.0593%,2)+ROUND(U1182*1.0593%,2)+ROUND(V1182*1.0593%,2)+ROUND(W1182*1.0593%,2)+ROUND(X1182*1.0593%,2)+ROUND(Y1182*1.0593%,2)+ROUND(Z1182*1.0593%,2)+ROUND(AA1182*1.0593%,2)+ROUND(AB1182*1.0593%,2)</f>
        <v>36102.089999999997</v>
      </c>
      <c r="AD1182" s="60">
        <v>123990.38</v>
      </c>
      <c r="AE1182" s="60">
        <v>0</v>
      </c>
      <c r="AF1182" s="170">
        <v>2022</v>
      </c>
      <c r="AG1182" s="170">
        <v>2022</v>
      </c>
      <c r="AH1182" s="63">
        <v>2022</v>
      </c>
    </row>
    <row r="1183" spans="1:34" ht="61.5" x14ac:dyDescent="0.85">
      <c r="A1183" s="7">
        <v>1</v>
      </c>
      <c r="B1183" s="59">
        <f>SUBTOTAL(103,$A$1032:A1183)</f>
        <v>149</v>
      </c>
      <c r="C1183" s="160" t="s">
        <v>732</v>
      </c>
      <c r="D1183" s="60">
        <f t="shared" si="194"/>
        <v>2921391.4099999997</v>
      </c>
      <c r="E1183" s="60">
        <v>0</v>
      </c>
      <c r="F1183" s="60">
        <v>0</v>
      </c>
      <c r="G1183" s="60">
        <v>0</v>
      </c>
      <c r="H1183" s="60">
        <v>0</v>
      </c>
      <c r="I1183" s="60">
        <v>0</v>
      </c>
      <c r="J1183" s="60">
        <v>0</v>
      </c>
      <c r="K1183" s="168">
        <v>0</v>
      </c>
      <c r="L1183" s="60">
        <v>0</v>
      </c>
      <c r="M1183" s="60">
        <v>446.46</v>
      </c>
      <c r="N1183" s="60">
        <v>2807336.4</v>
      </c>
      <c r="O1183" s="60">
        <v>0</v>
      </c>
      <c r="P1183" s="60">
        <v>0</v>
      </c>
      <c r="Q1183" s="60">
        <v>0</v>
      </c>
      <c r="R1183" s="60">
        <v>0</v>
      </c>
      <c r="S1183" s="60">
        <v>0</v>
      </c>
      <c r="T1183" s="60">
        <v>0</v>
      </c>
      <c r="U1183" s="60">
        <v>0</v>
      </c>
      <c r="V1183" s="60">
        <v>0</v>
      </c>
      <c r="W1183" s="60">
        <v>0</v>
      </c>
      <c r="X1183" s="60">
        <v>0</v>
      </c>
      <c r="Y1183" s="60">
        <v>0</v>
      </c>
      <c r="Z1183" s="60">
        <v>0</v>
      </c>
      <c r="AA1183" s="60">
        <v>0</v>
      </c>
      <c r="AB1183" s="60">
        <v>0</v>
      </c>
      <c r="AC1183" s="60">
        <f t="shared" si="195"/>
        <v>29738.11</v>
      </c>
      <c r="AD1183" s="60">
        <v>84316.9</v>
      </c>
      <c r="AE1183" s="60">
        <v>0</v>
      </c>
      <c r="AF1183" s="170">
        <v>2022</v>
      </c>
      <c r="AG1183" s="170">
        <v>2022</v>
      </c>
      <c r="AH1183" s="63">
        <v>2022</v>
      </c>
    </row>
    <row r="1184" spans="1:34" ht="61.5" x14ac:dyDescent="0.85">
      <c r="A1184" s="7">
        <v>1</v>
      </c>
      <c r="B1184" s="59">
        <f>SUBTOTAL(103,$A$1032:A1184)</f>
        <v>150</v>
      </c>
      <c r="C1184" s="160" t="s">
        <v>736</v>
      </c>
      <c r="D1184" s="60">
        <f t="shared" si="194"/>
        <v>4549999.6099999994</v>
      </c>
      <c r="E1184" s="60">
        <v>0</v>
      </c>
      <c r="F1184" s="60">
        <v>0</v>
      </c>
      <c r="G1184" s="60">
        <v>0</v>
      </c>
      <c r="H1184" s="60">
        <v>0</v>
      </c>
      <c r="I1184" s="60">
        <v>0</v>
      </c>
      <c r="J1184" s="60">
        <v>0</v>
      </c>
      <c r="K1184" s="168">
        <v>0</v>
      </c>
      <c r="L1184" s="60">
        <v>0</v>
      </c>
      <c r="M1184" s="60">
        <v>552.17999999999995</v>
      </c>
      <c r="N1184" s="60">
        <v>4354509</v>
      </c>
      <c r="O1184" s="60">
        <v>0</v>
      </c>
      <c r="P1184" s="60">
        <v>0</v>
      </c>
      <c r="Q1184" s="60">
        <v>0</v>
      </c>
      <c r="R1184" s="60">
        <v>0</v>
      </c>
      <c r="S1184" s="60">
        <v>0</v>
      </c>
      <c r="T1184" s="60">
        <v>0</v>
      </c>
      <c r="U1184" s="60">
        <v>0</v>
      </c>
      <c r="V1184" s="60">
        <v>0</v>
      </c>
      <c r="W1184" s="60">
        <v>0</v>
      </c>
      <c r="X1184" s="60">
        <v>0</v>
      </c>
      <c r="Y1184" s="60">
        <v>0</v>
      </c>
      <c r="Z1184" s="60">
        <v>0</v>
      </c>
      <c r="AA1184" s="60">
        <v>0</v>
      </c>
      <c r="AB1184" s="60">
        <v>0</v>
      </c>
      <c r="AC1184" s="60">
        <f t="shared" si="195"/>
        <v>46127.31</v>
      </c>
      <c r="AD1184" s="60">
        <v>149363.29999999999</v>
      </c>
      <c r="AE1184" s="60">
        <v>0</v>
      </c>
      <c r="AF1184" s="170">
        <v>2022</v>
      </c>
      <c r="AG1184" s="170">
        <v>2022</v>
      </c>
      <c r="AH1184" s="63">
        <v>2022</v>
      </c>
    </row>
    <row r="1185" spans="1:16199" ht="61.5" x14ac:dyDescent="0.85">
      <c r="A1185" s="7">
        <v>1</v>
      </c>
      <c r="B1185" s="59">
        <f>SUBTOTAL(103,$A$1032:A1185)</f>
        <v>151</v>
      </c>
      <c r="C1185" s="160" t="s">
        <v>737</v>
      </c>
      <c r="D1185" s="60">
        <f t="shared" si="194"/>
        <v>3689742.7800000003</v>
      </c>
      <c r="E1185" s="60">
        <v>0</v>
      </c>
      <c r="F1185" s="60">
        <v>0</v>
      </c>
      <c r="G1185" s="60">
        <v>0</v>
      </c>
      <c r="H1185" s="60">
        <v>0</v>
      </c>
      <c r="I1185" s="60">
        <v>0</v>
      </c>
      <c r="J1185" s="60">
        <v>0</v>
      </c>
      <c r="K1185" s="168">
        <v>0</v>
      </c>
      <c r="L1185" s="60">
        <v>0</v>
      </c>
      <c r="M1185" s="60">
        <v>528.74</v>
      </c>
      <c r="N1185" s="60">
        <v>3454351.2</v>
      </c>
      <c r="O1185" s="60">
        <v>0</v>
      </c>
      <c r="P1185" s="60">
        <v>0</v>
      </c>
      <c r="Q1185" s="60">
        <v>0</v>
      </c>
      <c r="R1185" s="60">
        <v>0</v>
      </c>
      <c r="S1185" s="60">
        <v>0</v>
      </c>
      <c r="T1185" s="60">
        <v>0</v>
      </c>
      <c r="U1185" s="60">
        <v>0</v>
      </c>
      <c r="V1185" s="60">
        <v>0</v>
      </c>
      <c r="W1185" s="60">
        <v>0</v>
      </c>
      <c r="X1185" s="60">
        <v>0</v>
      </c>
      <c r="Y1185" s="60">
        <v>0</v>
      </c>
      <c r="Z1185" s="60">
        <v>0</v>
      </c>
      <c r="AA1185" s="60">
        <v>0</v>
      </c>
      <c r="AB1185" s="60">
        <v>0</v>
      </c>
      <c r="AC1185" s="60">
        <f t="shared" si="195"/>
        <v>36591.94</v>
      </c>
      <c r="AD1185" s="60">
        <v>198799.64</v>
      </c>
      <c r="AE1185" s="60">
        <v>0</v>
      </c>
      <c r="AF1185" s="170">
        <v>2022</v>
      </c>
      <c r="AG1185" s="170">
        <v>2022</v>
      </c>
      <c r="AH1185" s="63">
        <v>2022</v>
      </c>
    </row>
    <row r="1186" spans="1:16199" ht="61.5" x14ac:dyDescent="0.85">
      <c r="A1186" s="7">
        <v>1</v>
      </c>
      <c r="B1186" s="59">
        <f>SUBTOTAL(103,$A$1032:A1186)</f>
        <v>152</v>
      </c>
      <c r="C1186" s="160" t="s">
        <v>738</v>
      </c>
      <c r="D1186" s="60">
        <f t="shared" si="194"/>
        <v>5881455.8600000003</v>
      </c>
      <c r="E1186" s="60">
        <v>0</v>
      </c>
      <c r="F1186" s="60">
        <v>0</v>
      </c>
      <c r="G1186" s="60">
        <v>0</v>
      </c>
      <c r="H1186" s="60">
        <v>0</v>
      </c>
      <c r="I1186" s="60">
        <v>0</v>
      </c>
      <c r="J1186" s="60">
        <v>0</v>
      </c>
      <c r="K1186" s="168">
        <v>0</v>
      </c>
      <c r="L1186" s="60">
        <v>0</v>
      </c>
      <c r="M1186" s="60">
        <v>652.85</v>
      </c>
      <c r="N1186" s="60">
        <v>5739255.5700000003</v>
      </c>
      <c r="O1186" s="60">
        <v>0</v>
      </c>
      <c r="P1186" s="60">
        <v>0</v>
      </c>
      <c r="Q1186" s="60">
        <v>0</v>
      </c>
      <c r="R1186" s="60">
        <v>0</v>
      </c>
      <c r="S1186" s="60">
        <v>0</v>
      </c>
      <c r="T1186" s="60">
        <v>0</v>
      </c>
      <c r="U1186" s="60">
        <v>0</v>
      </c>
      <c r="V1186" s="60">
        <v>0</v>
      </c>
      <c r="W1186" s="60">
        <v>0</v>
      </c>
      <c r="X1186" s="60">
        <v>0</v>
      </c>
      <c r="Y1186" s="60">
        <v>0</v>
      </c>
      <c r="Z1186" s="60">
        <v>0</v>
      </c>
      <c r="AA1186" s="60">
        <v>0</v>
      </c>
      <c r="AB1186" s="60">
        <v>0</v>
      </c>
      <c r="AC1186" s="60">
        <f t="shared" si="195"/>
        <v>60795.93</v>
      </c>
      <c r="AD1186" s="60">
        <v>81404.36</v>
      </c>
      <c r="AE1186" s="60">
        <v>0</v>
      </c>
      <c r="AF1186" s="170">
        <v>2022</v>
      </c>
      <c r="AG1186" s="170">
        <v>2022</v>
      </c>
      <c r="AH1186" s="63">
        <v>2022</v>
      </c>
    </row>
    <row r="1187" spans="1:16199" ht="61.5" x14ac:dyDescent="0.85">
      <c r="A1187" s="7">
        <v>1</v>
      </c>
      <c r="B1187" s="59">
        <f>SUBTOTAL(103,$A$1032:A1187)</f>
        <v>153</v>
      </c>
      <c r="C1187" s="160" t="s">
        <v>739</v>
      </c>
      <c r="D1187" s="60">
        <f t="shared" si="194"/>
        <v>318640.98</v>
      </c>
      <c r="E1187" s="60">
        <v>0</v>
      </c>
      <c r="F1187" s="60">
        <v>0</v>
      </c>
      <c r="G1187" s="60">
        <v>0</v>
      </c>
      <c r="H1187" s="60">
        <v>0</v>
      </c>
      <c r="I1187" s="60">
        <v>0</v>
      </c>
      <c r="J1187" s="60">
        <v>0</v>
      </c>
      <c r="K1187" s="168">
        <v>0</v>
      </c>
      <c r="L1187" s="60">
        <v>0</v>
      </c>
      <c r="M1187" s="60">
        <v>0</v>
      </c>
      <c r="N1187" s="60">
        <v>0</v>
      </c>
      <c r="O1187" s="60">
        <v>0</v>
      </c>
      <c r="P1187" s="60">
        <v>0</v>
      </c>
      <c r="Q1187" s="60">
        <v>0</v>
      </c>
      <c r="R1187" s="60">
        <v>0</v>
      </c>
      <c r="S1187" s="60">
        <v>0</v>
      </c>
      <c r="T1187" s="60">
        <v>0</v>
      </c>
      <c r="U1187" s="60">
        <v>0</v>
      </c>
      <c r="V1187" s="60">
        <v>0</v>
      </c>
      <c r="W1187" s="60">
        <v>0</v>
      </c>
      <c r="X1187" s="60">
        <v>0</v>
      </c>
      <c r="Y1187" s="60">
        <v>0</v>
      </c>
      <c r="Z1187" s="60">
        <v>0</v>
      </c>
      <c r="AA1187" s="60">
        <v>0</v>
      </c>
      <c r="AB1187" s="60">
        <v>0</v>
      </c>
      <c r="AC1187" s="60">
        <f t="shared" si="195"/>
        <v>0</v>
      </c>
      <c r="AD1187" s="60">
        <v>318640.98</v>
      </c>
      <c r="AE1187" s="60">
        <v>0</v>
      </c>
      <c r="AF1187" s="170">
        <v>2022</v>
      </c>
      <c r="AG1187" s="203" t="s">
        <v>257</v>
      </c>
      <c r="AH1187" s="63" t="s">
        <v>257</v>
      </c>
    </row>
    <row r="1188" spans="1:16199" ht="61.5" x14ac:dyDescent="0.85">
      <c r="A1188" s="7">
        <v>1</v>
      </c>
      <c r="B1188" s="59">
        <f>SUBTOTAL(103,$A$1032:A1188)</f>
        <v>154</v>
      </c>
      <c r="C1188" s="160" t="s">
        <v>758</v>
      </c>
      <c r="D1188" s="60">
        <f t="shared" si="194"/>
        <v>2279479.42</v>
      </c>
      <c r="E1188" s="60">
        <v>0</v>
      </c>
      <c r="F1188" s="60">
        <v>0</v>
      </c>
      <c r="G1188" s="60">
        <v>0</v>
      </c>
      <c r="H1188" s="60">
        <v>0</v>
      </c>
      <c r="I1188" s="60">
        <v>0</v>
      </c>
      <c r="J1188" s="60">
        <v>0</v>
      </c>
      <c r="K1188" s="168">
        <v>0</v>
      </c>
      <c r="L1188" s="60">
        <v>0</v>
      </c>
      <c r="M1188" s="60">
        <v>0</v>
      </c>
      <c r="N1188" s="60">
        <v>0</v>
      </c>
      <c r="O1188" s="60">
        <v>0</v>
      </c>
      <c r="P1188" s="60">
        <v>0</v>
      </c>
      <c r="Q1188" s="60">
        <v>340</v>
      </c>
      <c r="R1188" s="60">
        <v>2255586</v>
      </c>
      <c r="S1188" s="60">
        <v>0</v>
      </c>
      <c r="T1188" s="60">
        <v>0</v>
      </c>
      <c r="U1188" s="60">
        <v>0</v>
      </c>
      <c r="V1188" s="60">
        <v>0</v>
      </c>
      <c r="W1188" s="60">
        <v>0</v>
      </c>
      <c r="X1188" s="60">
        <v>0</v>
      </c>
      <c r="Y1188" s="60">
        <v>0</v>
      </c>
      <c r="Z1188" s="60">
        <v>0</v>
      </c>
      <c r="AA1188" s="60">
        <v>0</v>
      </c>
      <c r="AB1188" s="60">
        <v>0</v>
      </c>
      <c r="AC1188" s="60">
        <f t="shared" si="195"/>
        <v>23893.42</v>
      </c>
      <c r="AD1188" s="60">
        <v>0</v>
      </c>
      <c r="AE1188" s="60">
        <v>0</v>
      </c>
      <c r="AF1188" s="170" t="s">
        <v>257</v>
      </c>
      <c r="AG1188" s="170">
        <v>2022</v>
      </c>
      <c r="AH1188" s="63">
        <v>2022</v>
      </c>
    </row>
    <row r="1189" spans="1:16199" ht="61.5" x14ac:dyDescent="0.85">
      <c r="A1189" s="7">
        <v>1</v>
      </c>
      <c r="B1189" s="59">
        <f>SUBTOTAL(103,$A$1032:A1189)</f>
        <v>155</v>
      </c>
      <c r="C1189" s="160" t="s">
        <v>1506</v>
      </c>
      <c r="D1189" s="60">
        <f t="shared" ref="D1189:D1195" si="196">E1189+F1189+G1189+H1189+I1189+J1189+L1189+N1189+P1189+R1189+T1189+U1189+V1189+W1189+X1189+Y1189+Z1189+AA1189+AB1189+AC1189+AD1189+AE1189</f>
        <v>2749299.98</v>
      </c>
      <c r="E1189" s="60">
        <v>0</v>
      </c>
      <c r="F1189" s="60">
        <v>0</v>
      </c>
      <c r="G1189" s="60">
        <v>0</v>
      </c>
      <c r="H1189" s="60">
        <v>0</v>
      </c>
      <c r="I1189" s="60">
        <v>0</v>
      </c>
      <c r="J1189" s="60">
        <v>0</v>
      </c>
      <c r="K1189" s="168">
        <v>0</v>
      </c>
      <c r="L1189" s="60">
        <v>0</v>
      </c>
      <c r="M1189" s="60">
        <v>380</v>
      </c>
      <c r="N1189" s="60">
        <v>2650634.4</v>
      </c>
      <c r="O1189" s="60">
        <v>0</v>
      </c>
      <c r="P1189" s="60">
        <v>0</v>
      </c>
      <c r="Q1189" s="60">
        <v>0</v>
      </c>
      <c r="R1189" s="60">
        <v>0</v>
      </c>
      <c r="S1189" s="60">
        <v>0</v>
      </c>
      <c r="T1189" s="60">
        <v>0</v>
      </c>
      <c r="U1189" s="60">
        <v>0</v>
      </c>
      <c r="V1189" s="60">
        <v>0</v>
      </c>
      <c r="W1189" s="60">
        <v>0</v>
      </c>
      <c r="X1189" s="60">
        <v>0</v>
      </c>
      <c r="Y1189" s="60">
        <v>0</v>
      </c>
      <c r="Z1189" s="60">
        <v>0</v>
      </c>
      <c r="AA1189" s="60">
        <v>0</v>
      </c>
      <c r="AB1189" s="60">
        <v>0</v>
      </c>
      <c r="AC1189" s="60">
        <f t="shared" si="195"/>
        <v>28078.17</v>
      </c>
      <c r="AD1189" s="60">
        <v>70587.41</v>
      </c>
      <c r="AE1189" s="60">
        <v>0</v>
      </c>
      <c r="AF1189" s="170">
        <v>2022</v>
      </c>
      <c r="AG1189" s="170">
        <v>2022</v>
      </c>
      <c r="AH1189" s="63">
        <v>2022</v>
      </c>
    </row>
    <row r="1190" spans="1:16199" ht="61.5" x14ac:dyDescent="0.85">
      <c r="A1190" s="7">
        <v>1</v>
      </c>
      <c r="B1190" s="59">
        <f>SUBTOTAL(103,$A$1032:A1190)</f>
        <v>156</v>
      </c>
      <c r="C1190" s="160" t="s">
        <v>1199</v>
      </c>
      <c r="D1190" s="60">
        <f t="shared" si="196"/>
        <v>10732501.01</v>
      </c>
      <c r="E1190" s="60">
        <v>0</v>
      </c>
      <c r="F1190" s="60">
        <v>0</v>
      </c>
      <c r="G1190" s="60">
        <v>0</v>
      </c>
      <c r="H1190" s="60">
        <v>0</v>
      </c>
      <c r="I1190" s="60">
        <v>0</v>
      </c>
      <c r="J1190" s="60">
        <v>0</v>
      </c>
      <c r="K1190" s="168">
        <v>0</v>
      </c>
      <c r="L1190" s="60">
        <v>0</v>
      </c>
      <c r="M1190" s="60">
        <v>1464.46</v>
      </c>
      <c r="N1190" s="60">
        <v>10595815</v>
      </c>
      <c r="O1190" s="60">
        <v>0</v>
      </c>
      <c r="P1190" s="60">
        <v>0</v>
      </c>
      <c r="Q1190" s="60">
        <v>0</v>
      </c>
      <c r="R1190" s="60">
        <v>0</v>
      </c>
      <c r="S1190" s="60">
        <v>0</v>
      </c>
      <c r="T1190" s="60">
        <v>0</v>
      </c>
      <c r="U1190" s="60">
        <v>0</v>
      </c>
      <c r="V1190" s="60">
        <v>0</v>
      </c>
      <c r="W1190" s="60">
        <v>0</v>
      </c>
      <c r="X1190" s="60">
        <v>0</v>
      </c>
      <c r="Y1190" s="60">
        <v>0</v>
      </c>
      <c r="Z1190" s="60">
        <v>0</v>
      </c>
      <c r="AA1190" s="60">
        <v>0</v>
      </c>
      <c r="AB1190" s="60">
        <v>0</v>
      </c>
      <c r="AC1190" s="60">
        <v>136686.01</v>
      </c>
      <c r="AD1190" s="60">
        <v>0</v>
      </c>
      <c r="AE1190" s="60">
        <v>0</v>
      </c>
      <c r="AF1190" s="170" t="s">
        <v>257</v>
      </c>
      <c r="AG1190" s="170">
        <v>2022</v>
      </c>
      <c r="AH1190" s="63">
        <v>2022</v>
      </c>
    </row>
    <row r="1191" spans="1:16199" ht="61.5" x14ac:dyDescent="0.85">
      <c r="A1191" s="7">
        <v>1</v>
      </c>
      <c r="B1191" s="59">
        <f>SUBTOTAL(103,$A$1032:A1191)</f>
        <v>157</v>
      </c>
      <c r="C1191" s="160" t="s">
        <v>718</v>
      </c>
      <c r="D1191" s="60">
        <f t="shared" si="196"/>
        <v>783784.96000000008</v>
      </c>
      <c r="E1191" s="60">
        <v>230920.87</v>
      </c>
      <c r="F1191" s="60">
        <v>0</v>
      </c>
      <c r="G1191" s="60">
        <v>0</v>
      </c>
      <c r="H1191" s="60">
        <v>542882.04</v>
      </c>
      <c r="I1191" s="60">
        <v>0</v>
      </c>
      <c r="J1191" s="60">
        <v>0</v>
      </c>
      <c r="K1191" s="168">
        <v>0</v>
      </c>
      <c r="L1191" s="60">
        <v>0</v>
      </c>
      <c r="M1191" s="60">
        <v>0</v>
      </c>
      <c r="N1191" s="60">
        <v>0</v>
      </c>
      <c r="O1191" s="60">
        <v>0</v>
      </c>
      <c r="P1191" s="60">
        <v>0</v>
      </c>
      <c r="Q1191" s="60">
        <v>0</v>
      </c>
      <c r="R1191" s="60">
        <v>0</v>
      </c>
      <c r="S1191" s="60">
        <v>0</v>
      </c>
      <c r="T1191" s="60">
        <v>0</v>
      </c>
      <c r="U1191" s="60">
        <v>0</v>
      </c>
      <c r="V1191" s="60">
        <v>0</v>
      </c>
      <c r="W1191" s="60">
        <v>0</v>
      </c>
      <c r="X1191" s="60">
        <v>0</v>
      </c>
      <c r="Y1191" s="60">
        <v>0</v>
      </c>
      <c r="Z1191" s="60">
        <v>0</v>
      </c>
      <c r="AA1191" s="60">
        <v>0</v>
      </c>
      <c r="AB1191" s="60">
        <v>0</v>
      </c>
      <c r="AC1191" s="60">
        <v>9982.0499999999993</v>
      </c>
      <c r="AD1191" s="60">
        <v>0</v>
      </c>
      <c r="AE1191" s="60">
        <v>0</v>
      </c>
      <c r="AF1191" s="170" t="s">
        <v>257</v>
      </c>
      <c r="AG1191" s="170">
        <v>2022</v>
      </c>
      <c r="AH1191" s="63">
        <v>2022</v>
      </c>
    </row>
    <row r="1192" spans="1:16199" ht="61.5" x14ac:dyDescent="0.85">
      <c r="A1192" s="7">
        <v>1</v>
      </c>
      <c r="B1192" s="59">
        <f>SUBTOTAL(103,$A$1032:A1192)</f>
        <v>158</v>
      </c>
      <c r="C1192" s="160" t="s">
        <v>2289</v>
      </c>
      <c r="D1192" s="60">
        <f t="shared" si="196"/>
        <v>3559079.3</v>
      </c>
      <c r="E1192" s="60">
        <v>0</v>
      </c>
      <c r="F1192" s="60">
        <v>0</v>
      </c>
      <c r="G1192" s="60">
        <v>0</v>
      </c>
      <c r="H1192" s="60">
        <v>0</v>
      </c>
      <c r="I1192" s="60">
        <v>0</v>
      </c>
      <c r="J1192" s="60">
        <v>0</v>
      </c>
      <c r="K1192" s="168">
        <v>2</v>
      </c>
      <c r="L1192" s="60">
        <v>3533374</v>
      </c>
      <c r="M1192" s="60">
        <v>0</v>
      </c>
      <c r="N1192" s="60">
        <v>0</v>
      </c>
      <c r="O1192" s="60">
        <v>0</v>
      </c>
      <c r="P1192" s="60">
        <v>0</v>
      </c>
      <c r="Q1192" s="60">
        <v>0</v>
      </c>
      <c r="R1192" s="60">
        <v>0</v>
      </c>
      <c r="S1192" s="60">
        <v>0</v>
      </c>
      <c r="T1192" s="60">
        <v>0</v>
      </c>
      <c r="U1192" s="60">
        <v>0</v>
      </c>
      <c r="V1192" s="60">
        <v>0</v>
      </c>
      <c r="W1192" s="60">
        <v>0</v>
      </c>
      <c r="X1192" s="60">
        <v>0</v>
      </c>
      <c r="Y1192" s="60">
        <v>0</v>
      </c>
      <c r="Z1192" s="60">
        <v>0</v>
      </c>
      <c r="AA1192" s="60">
        <v>0</v>
      </c>
      <c r="AB1192" s="60">
        <v>0</v>
      </c>
      <c r="AC1192" s="60">
        <v>25705.3</v>
      </c>
      <c r="AD1192" s="60">
        <v>0</v>
      </c>
      <c r="AE1192" s="60">
        <v>0</v>
      </c>
      <c r="AF1192" s="170" t="s">
        <v>257</v>
      </c>
      <c r="AG1192" s="170">
        <v>2022</v>
      </c>
      <c r="AH1192" s="63">
        <v>2022</v>
      </c>
    </row>
    <row r="1193" spans="1:16199" customFormat="1" ht="61.5" x14ac:dyDescent="0.85">
      <c r="A1193" s="7">
        <v>1</v>
      </c>
      <c r="B1193" s="59">
        <f>SUBTOTAL(103,$A$1032:A1193)</f>
        <v>159</v>
      </c>
      <c r="C1193" s="160" t="s">
        <v>2290</v>
      </c>
      <c r="D1193" s="60">
        <f t="shared" si="196"/>
        <v>3684263.84</v>
      </c>
      <c r="E1193" s="60">
        <v>0</v>
      </c>
      <c r="F1193" s="60">
        <v>0</v>
      </c>
      <c r="G1193" s="60">
        <v>0</v>
      </c>
      <c r="H1193" s="60">
        <v>0</v>
      </c>
      <c r="I1193" s="60">
        <v>0</v>
      </c>
      <c r="J1193" s="60">
        <v>0</v>
      </c>
      <c r="K1193" s="168">
        <v>2</v>
      </c>
      <c r="L1193" s="60">
        <v>3657654.4</v>
      </c>
      <c r="M1193" s="60">
        <v>0</v>
      </c>
      <c r="N1193" s="60">
        <v>0</v>
      </c>
      <c r="O1193" s="60">
        <v>0</v>
      </c>
      <c r="P1193" s="60">
        <v>0</v>
      </c>
      <c r="Q1193" s="60">
        <v>0</v>
      </c>
      <c r="R1193" s="60">
        <v>0</v>
      </c>
      <c r="S1193" s="60">
        <v>0</v>
      </c>
      <c r="T1193" s="60">
        <v>0</v>
      </c>
      <c r="U1193" s="60">
        <v>0</v>
      </c>
      <c r="V1193" s="60">
        <v>0</v>
      </c>
      <c r="W1193" s="60">
        <v>0</v>
      </c>
      <c r="X1193" s="60">
        <v>0</v>
      </c>
      <c r="Y1193" s="60">
        <v>0</v>
      </c>
      <c r="Z1193" s="60">
        <v>0</v>
      </c>
      <c r="AA1193" s="60">
        <v>0</v>
      </c>
      <c r="AB1193" s="60">
        <v>0</v>
      </c>
      <c r="AC1193" s="60">
        <v>26609.439999999999</v>
      </c>
      <c r="AD1193" s="60">
        <v>0</v>
      </c>
      <c r="AE1193" s="60">
        <v>0</v>
      </c>
      <c r="AF1193" s="170" t="s">
        <v>257</v>
      </c>
      <c r="AG1193" s="170">
        <v>2022</v>
      </c>
      <c r="AH1193" s="63">
        <v>2022</v>
      </c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  <c r="BZ1193" s="7"/>
      <c r="CA1193" s="7"/>
      <c r="CB1193" s="7"/>
      <c r="CC1193" s="7"/>
      <c r="CD1193" s="7"/>
      <c r="CE1193" s="7"/>
      <c r="CF1193" s="7"/>
      <c r="CG1193" s="7"/>
      <c r="CH1193" s="7"/>
      <c r="CI1193" s="7"/>
      <c r="CJ1193" s="7"/>
      <c r="CK1193" s="7"/>
      <c r="CL1193" s="7"/>
      <c r="CM1193" s="7"/>
      <c r="CN1193" s="7"/>
      <c r="CO1193" s="7"/>
      <c r="CP1193" s="7"/>
      <c r="CQ1193" s="7"/>
      <c r="CR1193" s="7"/>
      <c r="CS1193" s="7"/>
      <c r="CT1193" s="7"/>
      <c r="CU1193" s="7"/>
      <c r="CV1193" s="7"/>
      <c r="CW1193" s="7"/>
      <c r="CX1193" s="7"/>
      <c r="CY1193" s="7"/>
      <c r="CZ1193" s="7"/>
      <c r="DA1193" s="7"/>
      <c r="DB1193" s="7"/>
      <c r="DC1193" s="7"/>
      <c r="DD1193" s="7"/>
      <c r="DE1193" s="7"/>
      <c r="DF1193" s="7"/>
      <c r="DG1193" s="7"/>
      <c r="DH1193" s="7"/>
      <c r="DI1193" s="7"/>
      <c r="DJ1193" s="7"/>
      <c r="DK1193" s="7"/>
      <c r="DL1193" s="7"/>
      <c r="DM1193" s="7"/>
      <c r="DN1193" s="7"/>
      <c r="DO1193" s="7"/>
      <c r="DP1193" s="7"/>
      <c r="DQ1193" s="7"/>
      <c r="DR1193" s="7"/>
      <c r="DS1193" s="7"/>
      <c r="DT1193" s="7"/>
      <c r="DU1193" s="7"/>
      <c r="DV1193" s="7"/>
      <c r="DW1193" s="7"/>
      <c r="DX1193" s="7"/>
      <c r="DY1193" s="7"/>
      <c r="DZ1193" s="7"/>
      <c r="EA1193" s="7"/>
      <c r="EB1193" s="7"/>
      <c r="EC1193" s="7"/>
      <c r="ED1193" s="7"/>
      <c r="EE1193" s="7"/>
      <c r="EF1193" s="7"/>
      <c r="EG1193" s="7"/>
      <c r="EH1193" s="7"/>
      <c r="EI1193" s="7"/>
      <c r="EJ1193" s="7"/>
      <c r="EK1193" s="7"/>
      <c r="EL1193" s="7"/>
      <c r="EM1193" s="7"/>
      <c r="EN1193" s="7"/>
      <c r="EO1193" s="7"/>
      <c r="EP1193" s="7"/>
      <c r="EQ1193" s="7"/>
      <c r="ER1193" s="7"/>
      <c r="ES1193" s="7"/>
      <c r="ET1193" s="7"/>
      <c r="EU1193" s="7"/>
      <c r="EV1193" s="7"/>
      <c r="EW1193" s="7"/>
      <c r="EX1193" s="7"/>
      <c r="EY1193" s="7"/>
      <c r="EZ1193" s="7"/>
      <c r="FA1193" s="7"/>
      <c r="FB1193" s="7"/>
      <c r="FC1193" s="7"/>
      <c r="FD1193" s="7"/>
      <c r="FE1193" s="7"/>
      <c r="FF1193" s="7"/>
      <c r="FG1193" s="7"/>
      <c r="FH1193" s="7"/>
      <c r="FI1193" s="7"/>
      <c r="FJ1193" s="7"/>
      <c r="FK1193" s="7"/>
      <c r="FL1193" s="7"/>
      <c r="FM1193" s="7"/>
      <c r="FN1193" s="7"/>
      <c r="FO1193" s="7"/>
      <c r="FP1193" s="7"/>
      <c r="FQ1193" s="7"/>
      <c r="FR1193" s="7"/>
      <c r="FS1193" s="7"/>
      <c r="FT1193" s="7"/>
      <c r="FU1193" s="7"/>
      <c r="FV1193" s="7"/>
      <c r="FW1193" s="7"/>
      <c r="FX1193" s="7"/>
      <c r="FY1193" s="7"/>
      <c r="FZ1193" s="7"/>
      <c r="GA1193" s="7"/>
      <c r="GB1193" s="7"/>
      <c r="GC1193" s="7"/>
      <c r="GD1193" s="7"/>
      <c r="GE1193" s="7"/>
      <c r="GF1193" s="7"/>
      <c r="GG1193" s="7"/>
      <c r="GH1193" s="7"/>
      <c r="GI1193" s="7"/>
      <c r="GJ1193" s="7"/>
      <c r="GK1193" s="7"/>
      <c r="GL1193" s="7"/>
      <c r="GM1193" s="7"/>
      <c r="GN1193" s="7"/>
      <c r="GO1193" s="7"/>
      <c r="GP1193" s="7"/>
      <c r="GQ1193" s="7"/>
      <c r="GR1193" s="7"/>
      <c r="GS1193" s="7"/>
      <c r="GT1193" s="7"/>
      <c r="GU1193" s="7"/>
      <c r="GV1193" s="7"/>
      <c r="GW1193" s="7"/>
      <c r="GX1193" s="7"/>
      <c r="GY1193" s="7"/>
      <c r="GZ1193" s="7"/>
      <c r="HA1193" s="7"/>
      <c r="HB1193" s="7"/>
      <c r="HC1193" s="7"/>
      <c r="HD1193" s="7"/>
      <c r="HE1193" s="7"/>
      <c r="HF1193" s="7"/>
      <c r="HG1193" s="7"/>
      <c r="HH1193" s="7"/>
      <c r="HI1193" s="7"/>
      <c r="HJ1193" s="7"/>
      <c r="HK1193" s="7"/>
      <c r="HL1193" s="7"/>
      <c r="HM1193" s="7"/>
      <c r="HN1193" s="7"/>
      <c r="HO1193" s="7"/>
      <c r="HP1193" s="7"/>
      <c r="HQ1193" s="7"/>
      <c r="HR1193" s="7"/>
      <c r="HS1193" s="7"/>
      <c r="HT1193" s="7"/>
      <c r="HU1193" s="7"/>
      <c r="HV1193" s="7"/>
      <c r="HW1193" s="7"/>
      <c r="HX1193" s="7"/>
      <c r="HY1193" s="7"/>
      <c r="HZ1193" s="7"/>
      <c r="IA1193" s="7"/>
      <c r="IB1193" s="7"/>
      <c r="IC1193" s="7"/>
      <c r="ID1193" s="7"/>
      <c r="IE1193" s="7"/>
      <c r="IF1193" s="7"/>
      <c r="IG1193" s="7"/>
      <c r="IH1193" s="7"/>
      <c r="II1193" s="7"/>
      <c r="IJ1193" s="7"/>
      <c r="IK1193" s="7"/>
      <c r="IL1193" s="7"/>
      <c r="IM1193" s="7"/>
      <c r="IN1193" s="7"/>
      <c r="IO1193" s="7"/>
      <c r="IP1193" s="7"/>
      <c r="IQ1193" s="7"/>
      <c r="IR1193" s="7"/>
      <c r="IS1193" s="7"/>
      <c r="IT1193" s="7"/>
      <c r="IU1193" s="7"/>
      <c r="IV1193" s="7"/>
      <c r="IW1193" s="7"/>
      <c r="IX1193" s="7"/>
      <c r="IY1193" s="7"/>
      <c r="IZ1193" s="7"/>
      <c r="JA1193" s="7"/>
      <c r="JB1193" s="7"/>
      <c r="JC1193" s="7"/>
      <c r="JD1193" s="7"/>
      <c r="JE1193" s="7"/>
      <c r="JF1193" s="7"/>
      <c r="JG1193" s="7"/>
      <c r="JH1193" s="7"/>
      <c r="JI1193" s="7"/>
      <c r="JJ1193" s="7"/>
      <c r="JK1193" s="7"/>
      <c r="JL1193" s="7"/>
      <c r="JM1193" s="7"/>
      <c r="JN1193" s="7"/>
      <c r="JO1193" s="7"/>
      <c r="JP1193" s="7"/>
      <c r="JQ1193" s="7"/>
      <c r="JR1193" s="7"/>
      <c r="JS1193" s="7"/>
      <c r="JT1193" s="7"/>
      <c r="JU1193" s="7"/>
      <c r="JV1193" s="7"/>
      <c r="JW1193" s="7"/>
      <c r="JX1193" s="7"/>
      <c r="JY1193" s="7"/>
      <c r="JZ1193" s="7"/>
      <c r="KA1193" s="7"/>
      <c r="KB1193" s="7"/>
      <c r="KC1193" s="7"/>
      <c r="KD1193" s="7"/>
      <c r="KE1193" s="7"/>
      <c r="KF1193" s="7"/>
      <c r="KG1193" s="7"/>
      <c r="KH1193" s="7"/>
      <c r="KI1193" s="7"/>
      <c r="KJ1193" s="7"/>
      <c r="KK1193" s="7"/>
      <c r="KL1193" s="7"/>
      <c r="KM1193" s="7"/>
      <c r="KN1193" s="7"/>
      <c r="KO1193" s="7"/>
      <c r="KP1193" s="7"/>
      <c r="KQ1193" s="7"/>
      <c r="KR1193" s="7"/>
      <c r="KS1193" s="7"/>
      <c r="KT1193" s="7"/>
      <c r="KU1193" s="7"/>
      <c r="KV1193" s="7"/>
      <c r="KW1193" s="7"/>
      <c r="KX1193" s="7"/>
      <c r="KY1193" s="7"/>
      <c r="KZ1193" s="7"/>
      <c r="LA1193" s="7"/>
      <c r="LB1193" s="7"/>
      <c r="LC1193" s="7"/>
      <c r="LD1193" s="7"/>
      <c r="LE1193" s="7"/>
      <c r="LF1193" s="7"/>
      <c r="LG1193" s="7"/>
      <c r="LH1193" s="7"/>
      <c r="LI1193" s="7"/>
      <c r="LJ1193" s="7"/>
      <c r="LK1193" s="7"/>
      <c r="LL1193" s="7"/>
      <c r="LM1193" s="7"/>
      <c r="LN1193" s="7"/>
      <c r="LO1193" s="7"/>
      <c r="LP1193" s="7"/>
      <c r="LQ1193" s="7"/>
      <c r="LR1193" s="7"/>
      <c r="LS1193" s="7"/>
      <c r="LT1193" s="7"/>
      <c r="LU1193" s="7"/>
      <c r="LV1193" s="7"/>
      <c r="LW1193" s="7"/>
      <c r="LX1193" s="7"/>
      <c r="LY1193" s="7"/>
      <c r="LZ1193" s="7"/>
      <c r="MA1193" s="7"/>
      <c r="MB1193" s="7"/>
      <c r="MC1193" s="7"/>
      <c r="MD1193" s="7"/>
      <c r="ME1193" s="7"/>
      <c r="MF1193" s="7"/>
      <c r="MG1193" s="7"/>
      <c r="MH1193" s="7"/>
      <c r="MI1193" s="7"/>
      <c r="MJ1193" s="7"/>
      <c r="MK1193" s="7"/>
      <c r="ML1193" s="7"/>
      <c r="MM1193" s="7"/>
      <c r="MN1193" s="7"/>
      <c r="MO1193" s="7"/>
      <c r="MP1193" s="7"/>
      <c r="MQ1193" s="7"/>
      <c r="MR1193" s="7"/>
      <c r="MS1193" s="7"/>
      <c r="MT1193" s="7"/>
      <c r="MU1193" s="7"/>
      <c r="MV1193" s="7"/>
      <c r="MW1193" s="7"/>
      <c r="MX1193" s="7"/>
      <c r="MY1193" s="7"/>
      <c r="MZ1193" s="7"/>
      <c r="NA1193" s="7"/>
      <c r="NB1193" s="7"/>
      <c r="NC1193" s="7"/>
      <c r="ND1193" s="7"/>
      <c r="NE1193" s="7"/>
      <c r="NF1193" s="7"/>
      <c r="NG1193" s="7"/>
      <c r="NH1193" s="7"/>
      <c r="NI1193" s="7"/>
      <c r="NJ1193" s="7"/>
      <c r="NK1193" s="7"/>
      <c r="NL1193" s="7"/>
      <c r="NM1193" s="7"/>
      <c r="NN1193" s="7"/>
      <c r="NO1193" s="7"/>
      <c r="NP1193" s="7"/>
      <c r="NQ1193" s="7"/>
      <c r="NR1193" s="7"/>
      <c r="NS1193" s="7"/>
      <c r="NT1193" s="7"/>
      <c r="NU1193" s="7"/>
      <c r="NV1193" s="7"/>
      <c r="NW1193" s="7"/>
      <c r="NX1193" s="7"/>
      <c r="NY1193" s="7"/>
      <c r="NZ1193" s="7"/>
      <c r="OA1193" s="7"/>
      <c r="OB1193" s="7"/>
      <c r="OC1193" s="7"/>
      <c r="OD1193" s="7"/>
      <c r="OE1193" s="7"/>
      <c r="OF1193" s="7"/>
      <c r="OG1193" s="7"/>
      <c r="OH1193" s="7"/>
      <c r="OI1193" s="7"/>
      <c r="OJ1193" s="7"/>
      <c r="OK1193" s="7"/>
      <c r="OL1193" s="7"/>
      <c r="OM1193" s="7"/>
      <c r="ON1193" s="7"/>
      <c r="OO1193" s="7"/>
      <c r="OP1193" s="7"/>
      <c r="OQ1193" s="7"/>
      <c r="OR1193" s="7"/>
      <c r="OS1193" s="7"/>
      <c r="OT1193" s="7"/>
      <c r="OU1193" s="7"/>
      <c r="OV1193" s="7"/>
      <c r="OW1193" s="7"/>
      <c r="OX1193" s="7"/>
      <c r="OY1193" s="7"/>
      <c r="OZ1193" s="7"/>
      <c r="PA1193" s="7"/>
      <c r="PB1193" s="7"/>
      <c r="PC1193" s="7"/>
      <c r="PD1193" s="7"/>
      <c r="PE1193" s="7"/>
      <c r="PF1193" s="7"/>
      <c r="PG1193" s="7"/>
      <c r="PH1193" s="7"/>
      <c r="PI1193" s="7"/>
      <c r="PJ1193" s="7"/>
      <c r="PK1193" s="7"/>
      <c r="PL1193" s="7"/>
      <c r="PM1193" s="7"/>
      <c r="PN1193" s="7"/>
      <c r="PO1193" s="7"/>
      <c r="PP1193" s="7"/>
      <c r="PQ1193" s="7"/>
      <c r="PR1193" s="7"/>
      <c r="PS1193" s="7"/>
      <c r="PT1193" s="7"/>
      <c r="PU1193" s="7"/>
      <c r="PV1193" s="7"/>
      <c r="PW1193" s="7"/>
      <c r="PX1193" s="7"/>
      <c r="PY1193" s="7"/>
      <c r="PZ1193" s="7"/>
      <c r="QA1193" s="7"/>
      <c r="QB1193" s="7"/>
      <c r="QC1193" s="7"/>
      <c r="QD1193" s="7"/>
      <c r="QE1193" s="7"/>
      <c r="QF1193" s="7"/>
      <c r="QG1193" s="7"/>
      <c r="QH1193" s="7"/>
      <c r="QI1193" s="7"/>
      <c r="QJ1193" s="7"/>
      <c r="QK1193" s="7"/>
      <c r="QL1193" s="7"/>
      <c r="QM1193" s="7"/>
      <c r="QN1193" s="7"/>
      <c r="QO1193" s="7"/>
      <c r="QP1193" s="7"/>
      <c r="QQ1193" s="7"/>
      <c r="QR1193" s="7"/>
      <c r="QS1193" s="7"/>
      <c r="QT1193" s="7"/>
      <c r="QU1193" s="7"/>
      <c r="QV1193" s="7"/>
      <c r="QW1193" s="7"/>
      <c r="QX1193" s="7"/>
      <c r="QY1193" s="7"/>
      <c r="QZ1193" s="7"/>
      <c r="RA1193" s="7"/>
      <c r="RB1193" s="7"/>
      <c r="RC1193" s="7"/>
      <c r="RD1193" s="7"/>
      <c r="RE1193" s="7"/>
      <c r="RF1193" s="7"/>
      <c r="RG1193" s="7"/>
      <c r="RH1193" s="7"/>
      <c r="RI1193" s="7"/>
      <c r="RJ1193" s="7"/>
      <c r="RK1193" s="7"/>
      <c r="RL1193" s="7"/>
      <c r="RM1193" s="7"/>
      <c r="RN1193" s="7"/>
      <c r="RO1193" s="7"/>
      <c r="RP1193" s="7"/>
      <c r="RQ1193" s="7"/>
      <c r="RR1193" s="7"/>
      <c r="RS1193" s="7"/>
      <c r="RT1193" s="7"/>
      <c r="RU1193" s="7"/>
      <c r="RV1193" s="7"/>
      <c r="RW1193" s="7"/>
      <c r="RX1193" s="7"/>
      <c r="RY1193" s="7"/>
      <c r="RZ1193" s="7"/>
      <c r="SA1193" s="7"/>
      <c r="SB1193" s="7"/>
      <c r="SC1193" s="7"/>
      <c r="SD1193" s="7"/>
      <c r="SE1193" s="7"/>
      <c r="SF1193" s="7"/>
      <c r="SG1193" s="7"/>
      <c r="SH1193" s="7"/>
      <c r="SI1193" s="7"/>
      <c r="SJ1193" s="7"/>
      <c r="SK1193" s="7"/>
      <c r="SL1193" s="7"/>
      <c r="SM1193" s="7"/>
      <c r="SN1193" s="7"/>
      <c r="SO1193" s="7"/>
      <c r="SP1193" s="7"/>
      <c r="SQ1193" s="7"/>
      <c r="SR1193" s="7"/>
      <c r="SS1193" s="7"/>
      <c r="ST1193" s="7"/>
      <c r="SU1193" s="7"/>
      <c r="SV1193" s="7"/>
      <c r="SW1193" s="7"/>
      <c r="SX1193" s="7"/>
      <c r="SY1193" s="7"/>
      <c r="SZ1193" s="7"/>
      <c r="TA1193" s="7"/>
      <c r="TB1193" s="7"/>
      <c r="TC1193" s="7"/>
      <c r="TD1193" s="7"/>
      <c r="TE1193" s="7"/>
      <c r="TF1193" s="7"/>
      <c r="TG1193" s="7"/>
      <c r="TH1193" s="7"/>
      <c r="TI1193" s="7"/>
      <c r="TJ1193" s="7"/>
      <c r="TK1193" s="7"/>
      <c r="TL1193" s="7"/>
      <c r="TM1193" s="7"/>
      <c r="TN1193" s="7"/>
      <c r="TO1193" s="7"/>
      <c r="TP1193" s="7"/>
      <c r="TQ1193" s="7"/>
      <c r="TR1193" s="7"/>
      <c r="TS1193" s="7"/>
      <c r="TT1193" s="7"/>
      <c r="TU1193" s="7"/>
      <c r="TV1193" s="7"/>
      <c r="TW1193" s="7"/>
      <c r="TX1193" s="7"/>
      <c r="TY1193" s="7"/>
      <c r="TZ1193" s="7"/>
      <c r="UA1193" s="7"/>
      <c r="UB1193" s="7"/>
      <c r="UC1193" s="7"/>
      <c r="UD1193" s="7"/>
      <c r="UE1193" s="7"/>
      <c r="UF1193" s="7"/>
      <c r="UG1193" s="7"/>
      <c r="UH1193" s="7"/>
      <c r="UI1193" s="7"/>
      <c r="UJ1193" s="7"/>
      <c r="UK1193" s="7"/>
      <c r="UL1193" s="7"/>
      <c r="UM1193" s="7"/>
      <c r="UN1193" s="7"/>
      <c r="UO1193" s="7"/>
      <c r="UP1193" s="7"/>
      <c r="UQ1193" s="7"/>
      <c r="UR1193" s="7"/>
      <c r="US1193" s="7"/>
      <c r="UT1193" s="7"/>
      <c r="UU1193" s="7"/>
      <c r="UV1193" s="7"/>
      <c r="UW1193" s="7"/>
      <c r="UX1193" s="7"/>
      <c r="UY1193" s="7"/>
      <c r="UZ1193" s="7"/>
      <c r="VA1193" s="7"/>
      <c r="VB1193" s="7"/>
      <c r="VC1193" s="7"/>
      <c r="VD1193" s="7"/>
      <c r="VE1193" s="7"/>
      <c r="VF1193" s="7"/>
      <c r="VG1193" s="7"/>
      <c r="VH1193" s="7"/>
      <c r="VI1193" s="7"/>
      <c r="VJ1193" s="7"/>
      <c r="VK1193" s="7"/>
      <c r="VL1193" s="7"/>
      <c r="VM1193" s="7"/>
      <c r="VN1193" s="7"/>
      <c r="VO1193" s="7"/>
      <c r="VP1193" s="7"/>
      <c r="VQ1193" s="7"/>
      <c r="VR1193" s="7"/>
      <c r="VS1193" s="7"/>
      <c r="VT1193" s="7"/>
      <c r="VU1193" s="7"/>
      <c r="VV1193" s="7"/>
      <c r="VW1193" s="7"/>
      <c r="VX1193" s="7"/>
      <c r="VY1193" s="7"/>
      <c r="VZ1193" s="7"/>
      <c r="WA1193" s="7"/>
      <c r="WB1193" s="7"/>
      <c r="WC1193" s="7"/>
      <c r="WD1193" s="7"/>
      <c r="WE1193" s="7"/>
      <c r="WF1193" s="7"/>
      <c r="WG1193" s="7"/>
      <c r="WH1193" s="7"/>
      <c r="WI1193" s="7"/>
      <c r="WJ1193" s="7"/>
      <c r="WK1193" s="7"/>
      <c r="WL1193" s="7"/>
      <c r="WM1193" s="7"/>
      <c r="WN1193" s="7"/>
      <c r="WO1193" s="7"/>
      <c r="WP1193" s="7"/>
      <c r="WQ1193" s="7"/>
      <c r="WR1193" s="7"/>
      <c r="WS1193" s="7"/>
      <c r="WT1193" s="7"/>
      <c r="WU1193" s="7"/>
      <c r="WV1193" s="7"/>
      <c r="WW1193" s="7"/>
      <c r="WX1193" s="7"/>
      <c r="WY1193" s="7"/>
      <c r="WZ1193" s="7"/>
      <c r="XA1193" s="7"/>
      <c r="XB1193" s="7"/>
      <c r="XC1193" s="7"/>
      <c r="XD1193" s="7"/>
      <c r="XE1193" s="7"/>
      <c r="XF1193" s="7"/>
      <c r="XG1193" s="7"/>
      <c r="XH1193" s="7"/>
      <c r="XI1193" s="7"/>
      <c r="XJ1193" s="7"/>
      <c r="XK1193" s="7"/>
      <c r="XL1193" s="7"/>
      <c r="XM1193" s="7"/>
      <c r="XN1193" s="7"/>
      <c r="XO1193" s="7"/>
      <c r="XP1193" s="7"/>
      <c r="XQ1193" s="7"/>
      <c r="XR1193" s="7"/>
      <c r="XS1193" s="7"/>
      <c r="XT1193" s="7"/>
      <c r="XU1193" s="7"/>
      <c r="XV1193" s="7"/>
      <c r="XW1193" s="7"/>
      <c r="XX1193" s="7"/>
      <c r="XY1193" s="7"/>
      <c r="XZ1193" s="7"/>
      <c r="YA1193" s="7"/>
      <c r="YB1193" s="7"/>
      <c r="YC1193" s="7"/>
      <c r="YD1193" s="7"/>
      <c r="YE1193" s="7"/>
      <c r="YF1193" s="7"/>
      <c r="YG1193" s="7"/>
      <c r="YH1193" s="7"/>
      <c r="YI1193" s="7"/>
      <c r="YJ1193" s="7"/>
      <c r="YK1193" s="7"/>
      <c r="YL1193" s="7"/>
      <c r="YM1193" s="7"/>
      <c r="YN1193" s="7"/>
      <c r="YO1193" s="7"/>
      <c r="YP1193" s="7"/>
      <c r="YQ1193" s="7"/>
      <c r="YR1193" s="7"/>
      <c r="YS1193" s="7"/>
      <c r="YT1193" s="7"/>
      <c r="YU1193" s="7"/>
      <c r="YV1193" s="7"/>
      <c r="YW1193" s="7"/>
      <c r="YX1193" s="7"/>
      <c r="YY1193" s="7"/>
      <c r="YZ1193" s="7"/>
      <c r="ZA1193" s="7"/>
      <c r="ZB1193" s="7"/>
      <c r="ZC1193" s="7"/>
      <c r="ZD1193" s="7"/>
      <c r="ZE1193" s="7"/>
      <c r="ZF1193" s="7"/>
      <c r="ZG1193" s="7"/>
      <c r="ZH1193" s="7"/>
      <c r="ZI1193" s="7"/>
      <c r="ZJ1193" s="7"/>
      <c r="ZK1193" s="7"/>
      <c r="ZL1193" s="7"/>
      <c r="ZM1193" s="7"/>
      <c r="ZN1193" s="7"/>
      <c r="ZO1193" s="7"/>
      <c r="ZP1193" s="7"/>
      <c r="ZQ1193" s="7"/>
      <c r="ZR1193" s="7"/>
      <c r="ZS1193" s="7"/>
      <c r="ZT1193" s="7"/>
      <c r="ZU1193" s="7"/>
      <c r="ZV1193" s="7"/>
      <c r="ZW1193" s="7"/>
      <c r="ZX1193" s="7"/>
      <c r="ZY1193" s="7"/>
      <c r="ZZ1193" s="7"/>
      <c r="AAA1193" s="7"/>
      <c r="AAB1193" s="7"/>
      <c r="AAC1193" s="7"/>
      <c r="AAD1193" s="7"/>
      <c r="AAE1193" s="7"/>
      <c r="AAF1193" s="7"/>
      <c r="AAG1193" s="7"/>
      <c r="AAH1193" s="7"/>
      <c r="AAI1193" s="7"/>
      <c r="AAJ1193" s="7"/>
      <c r="AAK1193" s="7"/>
      <c r="AAL1193" s="7"/>
      <c r="AAM1193" s="7"/>
      <c r="AAN1193" s="7"/>
      <c r="AAO1193" s="7"/>
      <c r="AAP1193" s="7"/>
      <c r="AAQ1193" s="7"/>
      <c r="AAR1193" s="7"/>
      <c r="AAS1193" s="7"/>
      <c r="AAT1193" s="7"/>
      <c r="AAU1193" s="7"/>
      <c r="AAV1193" s="7"/>
      <c r="AAW1193" s="7"/>
      <c r="AAX1193" s="7"/>
      <c r="AAY1193" s="7"/>
      <c r="AAZ1193" s="7"/>
      <c r="ABA1193" s="7"/>
      <c r="ABB1193" s="7"/>
      <c r="ABC1193" s="7"/>
      <c r="ABD1193" s="7"/>
      <c r="ABE1193" s="7"/>
      <c r="ABF1193" s="7"/>
      <c r="ABG1193" s="7"/>
      <c r="ABH1193" s="7"/>
      <c r="ABI1193" s="7"/>
      <c r="ABJ1193" s="7"/>
      <c r="ABK1193" s="7"/>
      <c r="ABL1193" s="7"/>
      <c r="ABM1193" s="7"/>
      <c r="ABN1193" s="7"/>
      <c r="ABO1193" s="7"/>
      <c r="ABP1193" s="7"/>
      <c r="ABQ1193" s="7"/>
      <c r="ABR1193" s="7"/>
      <c r="ABS1193" s="7"/>
      <c r="ABT1193" s="7"/>
      <c r="ABU1193" s="7"/>
      <c r="ABV1193" s="7"/>
      <c r="ABW1193" s="7"/>
      <c r="ABX1193" s="7"/>
      <c r="ABY1193" s="7"/>
      <c r="ABZ1193" s="7"/>
      <c r="ACA1193" s="7"/>
      <c r="ACB1193" s="7"/>
      <c r="ACC1193" s="7"/>
      <c r="ACD1193" s="7"/>
      <c r="ACE1193" s="7"/>
      <c r="ACF1193" s="7"/>
      <c r="ACG1193" s="7"/>
      <c r="ACH1193" s="7"/>
      <c r="ACI1193" s="7"/>
      <c r="ACJ1193" s="7"/>
      <c r="ACK1193" s="7"/>
      <c r="ACL1193" s="7"/>
      <c r="ACM1193" s="7"/>
      <c r="ACN1193" s="7"/>
      <c r="ACO1193" s="7"/>
      <c r="ACP1193" s="7"/>
      <c r="ACQ1193" s="7"/>
      <c r="ACR1193" s="7"/>
      <c r="ACS1193" s="7"/>
      <c r="ACT1193" s="7"/>
      <c r="ACU1193" s="7"/>
      <c r="ACV1193" s="7"/>
      <c r="ACW1193" s="7"/>
      <c r="ACX1193" s="7"/>
      <c r="ACY1193" s="7"/>
      <c r="ACZ1193" s="7"/>
      <c r="ADA1193" s="7"/>
      <c r="ADB1193" s="7"/>
      <c r="ADC1193" s="7"/>
      <c r="ADD1193" s="7"/>
      <c r="ADE1193" s="7"/>
      <c r="ADF1193" s="7"/>
      <c r="ADG1193" s="7"/>
      <c r="ADH1193" s="7"/>
      <c r="ADI1193" s="7"/>
      <c r="ADJ1193" s="7"/>
      <c r="ADK1193" s="7"/>
      <c r="ADL1193" s="7"/>
      <c r="ADM1193" s="7"/>
      <c r="ADN1193" s="7"/>
      <c r="ADO1193" s="7"/>
      <c r="ADP1193" s="7"/>
      <c r="ADQ1193" s="7"/>
      <c r="ADR1193" s="7"/>
      <c r="ADS1193" s="7"/>
      <c r="ADT1193" s="7"/>
      <c r="ADU1193" s="7"/>
      <c r="ADV1193" s="7"/>
      <c r="ADW1193" s="7"/>
      <c r="ADX1193" s="7"/>
      <c r="ADY1193" s="7"/>
      <c r="ADZ1193" s="7"/>
      <c r="AEA1193" s="7"/>
      <c r="AEB1193" s="7"/>
      <c r="AEC1193" s="7"/>
      <c r="AED1193" s="7"/>
      <c r="AEE1193" s="7"/>
      <c r="AEF1193" s="7"/>
      <c r="AEG1193" s="7"/>
      <c r="AEH1193" s="7"/>
      <c r="AEI1193" s="7"/>
      <c r="AEJ1193" s="7"/>
      <c r="AEK1193" s="7"/>
      <c r="AEL1193" s="7"/>
      <c r="AEM1193" s="7"/>
      <c r="AEN1193" s="7"/>
      <c r="AEO1193" s="7"/>
      <c r="AEP1193" s="7"/>
      <c r="AEQ1193" s="7"/>
      <c r="AER1193" s="7"/>
      <c r="AES1193" s="7"/>
      <c r="AET1193" s="7"/>
      <c r="AEU1193" s="7"/>
      <c r="AEV1193" s="7"/>
      <c r="AEW1193" s="7"/>
      <c r="AEX1193" s="7"/>
      <c r="AEY1193" s="7"/>
      <c r="AEZ1193" s="7"/>
      <c r="AFA1193" s="7"/>
      <c r="AFB1193" s="7"/>
      <c r="AFC1193" s="7"/>
      <c r="AFD1193" s="7"/>
      <c r="AFE1193" s="7"/>
      <c r="AFF1193" s="7"/>
      <c r="AFG1193" s="7"/>
      <c r="AFH1193" s="7"/>
      <c r="AFI1193" s="7"/>
      <c r="AFJ1193" s="7"/>
      <c r="AFK1193" s="7"/>
      <c r="AFL1193" s="7"/>
      <c r="AFM1193" s="7"/>
      <c r="AFN1193" s="7"/>
      <c r="AFO1193" s="7"/>
      <c r="AFP1193" s="7"/>
      <c r="AFQ1193" s="7"/>
      <c r="AFR1193" s="7"/>
      <c r="AFS1193" s="7"/>
      <c r="AFT1193" s="7"/>
      <c r="AFU1193" s="7"/>
      <c r="AFV1193" s="7"/>
      <c r="AFW1193" s="7"/>
      <c r="AFX1193" s="7"/>
      <c r="AFY1193" s="7"/>
      <c r="AFZ1193" s="7"/>
      <c r="AGA1193" s="7"/>
      <c r="AGB1193" s="7"/>
      <c r="AGC1193" s="7"/>
      <c r="AGD1193" s="7"/>
      <c r="AGE1193" s="7"/>
      <c r="AGF1193" s="7"/>
      <c r="AGG1193" s="7"/>
      <c r="AGH1193" s="7"/>
      <c r="AGI1193" s="7"/>
      <c r="AGJ1193" s="7"/>
      <c r="AGK1193" s="7"/>
      <c r="AGL1193" s="7"/>
      <c r="AGM1193" s="7"/>
      <c r="AGN1193" s="7"/>
      <c r="AGO1193" s="7"/>
      <c r="AGP1193" s="7"/>
      <c r="AGQ1193" s="7"/>
      <c r="AGR1193" s="7"/>
      <c r="AGS1193" s="7"/>
      <c r="AGT1193" s="7"/>
      <c r="AGU1193" s="7"/>
      <c r="AGV1193" s="7"/>
      <c r="AGW1193" s="7"/>
      <c r="AGX1193" s="7"/>
      <c r="AGY1193" s="7"/>
      <c r="AGZ1193" s="7"/>
      <c r="AHA1193" s="7"/>
      <c r="AHB1193" s="7"/>
      <c r="AHC1193" s="7"/>
      <c r="AHD1193" s="7"/>
      <c r="AHE1193" s="7"/>
      <c r="AHF1193" s="7"/>
      <c r="AHG1193" s="7"/>
      <c r="AHH1193" s="7"/>
      <c r="AHI1193" s="7"/>
      <c r="AHJ1193" s="7"/>
      <c r="AHK1193" s="7"/>
      <c r="AHL1193" s="7"/>
      <c r="AHM1193" s="7"/>
      <c r="AHN1193" s="7"/>
      <c r="AHO1193" s="7"/>
      <c r="AHP1193" s="7"/>
      <c r="AHQ1193" s="7"/>
      <c r="AHR1193" s="7"/>
      <c r="AHS1193" s="7"/>
      <c r="AHT1193" s="7"/>
      <c r="AHU1193" s="7"/>
      <c r="AHV1193" s="7"/>
      <c r="AHW1193" s="7"/>
      <c r="AHX1193" s="7"/>
      <c r="AHY1193" s="7"/>
      <c r="AHZ1193" s="7"/>
      <c r="AIA1193" s="7"/>
      <c r="AIB1193" s="7"/>
      <c r="AIC1193" s="7"/>
      <c r="AID1193" s="7"/>
      <c r="AIE1193" s="7"/>
      <c r="AIF1193" s="7"/>
      <c r="AIG1193" s="7"/>
      <c r="AIH1193" s="7"/>
      <c r="AII1193" s="7"/>
      <c r="AIJ1193" s="7"/>
      <c r="AIK1193" s="7"/>
      <c r="AIL1193" s="7"/>
      <c r="AIM1193" s="7"/>
      <c r="AIN1193" s="7"/>
      <c r="AIO1193" s="7"/>
      <c r="AIP1193" s="7"/>
      <c r="AIQ1193" s="7"/>
      <c r="AIR1193" s="7"/>
      <c r="AIS1193" s="7"/>
      <c r="AIT1193" s="7"/>
      <c r="AIU1193" s="7"/>
      <c r="AIV1193" s="7"/>
      <c r="AIW1193" s="7"/>
      <c r="AIX1193" s="7"/>
      <c r="AIY1193" s="7"/>
      <c r="AIZ1193" s="7"/>
      <c r="AJA1193" s="7"/>
      <c r="AJB1193" s="7"/>
      <c r="AJC1193" s="7"/>
      <c r="AJD1193" s="7"/>
      <c r="AJE1193" s="7"/>
      <c r="AJF1193" s="7"/>
      <c r="AJG1193" s="7"/>
      <c r="AJH1193" s="7"/>
      <c r="AJI1193" s="7"/>
      <c r="AJJ1193" s="7"/>
      <c r="AJK1193" s="7"/>
      <c r="AJL1193" s="7"/>
      <c r="AJM1193" s="7"/>
      <c r="AJN1193" s="7"/>
      <c r="AJO1193" s="7"/>
      <c r="AJP1193" s="7"/>
      <c r="AJQ1193" s="7"/>
      <c r="AJR1193" s="7"/>
      <c r="AJS1193" s="7"/>
      <c r="AJT1193" s="7"/>
      <c r="AJU1193" s="7"/>
      <c r="AJV1193" s="7"/>
      <c r="AJW1193" s="7"/>
      <c r="AJX1193" s="7"/>
      <c r="AJY1193" s="7"/>
      <c r="AJZ1193" s="7"/>
      <c r="AKA1193" s="7"/>
      <c r="AKB1193" s="7"/>
      <c r="AKC1193" s="7"/>
      <c r="AKD1193" s="7"/>
      <c r="AKE1193" s="7"/>
      <c r="AKF1193" s="7"/>
      <c r="AKG1193" s="7"/>
      <c r="AKH1193" s="7"/>
      <c r="AKI1193" s="7"/>
      <c r="AKJ1193" s="7"/>
      <c r="AKK1193" s="7"/>
      <c r="AKL1193" s="7"/>
      <c r="AKM1193" s="7"/>
      <c r="AKN1193" s="7"/>
      <c r="AKO1193" s="7"/>
      <c r="AKP1193" s="7"/>
      <c r="AKQ1193" s="7"/>
      <c r="AKR1193" s="7"/>
      <c r="AKS1193" s="7"/>
      <c r="AKT1193" s="7"/>
      <c r="AKU1193" s="7"/>
      <c r="AKV1193" s="7"/>
      <c r="AKW1193" s="7"/>
      <c r="AKX1193" s="7"/>
      <c r="AKY1193" s="7"/>
      <c r="AKZ1193" s="7"/>
      <c r="ALA1193" s="7"/>
      <c r="ALB1193" s="7"/>
      <c r="ALC1193" s="7"/>
      <c r="ALD1193" s="7"/>
      <c r="ALE1193" s="7"/>
      <c r="ALF1193" s="7"/>
      <c r="ALG1193" s="7"/>
      <c r="ALH1193" s="7"/>
      <c r="ALI1193" s="7"/>
      <c r="ALJ1193" s="7"/>
      <c r="ALK1193" s="7"/>
      <c r="ALL1193" s="7"/>
      <c r="ALM1193" s="7"/>
      <c r="ALN1193" s="7"/>
      <c r="ALO1193" s="7"/>
      <c r="ALP1193" s="7"/>
      <c r="ALQ1193" s="7"/>
      <c r="ALR1193" s="7"/>
      <c r="ALS1193" s="7"/>
      <c r="ALT1193" s="7"/>
      <c r="ALU1193" s="7"/>
      <c r="ALV1193" s="7"/>
      <c r="ALW1193" s="7"/>
      <c r="ALX1193" s="7"/>
      <c r="ALY1193" s="7"/>
      <c r="ALZ1193" s="7"/>
      <c r="AMA1193" s="7"/>
      <c r="AMB1193" s="7"/>
      <c r="AMC1193" s="7"/>
      <c r="AMD1193" s="7"/>
      <c r="AME1193" s="7"/>
      <c r="AMF1193" s="7"/>
      <c r="AMG1193" s="7"/>
      <c r="AMH1193" s="7"/>
      <c r="AMI1193" s="7"/>
      <c r="AMJ1193" s="7"/>
      <c r="AMK1193" s="7"/>
      <c r="AML1193" s="7"/>
      <c r="AMM1193" s="7"/>
      <c r="AMN1193" s="7"/>
      <c r="AMO1193" s="7"/>
      <c r="AMP1193" s="7"/>
      <c r="AMQ1193" s="7"/>
      <c r="AMR1193" s="7"/>
      <c r="AMS1193" s="7"/>
      <c r="AMT1193" s="7"/>
      <c r="AMU1193" s="7"/>
      <c r="AMV1193" s="7"/>
      <c r="AMW1193" s="7"/>
      <c r="AMX1193" s="7"/>
      <c r="AMY1193" s="7"/>
      <c r="AMZ1193" s="7"/>
      <c r="ANA1193" s="7"/>
      <c r="ANB1193" s="7"/>
      <c r="ANC1193" s="7"/>
      <c r="AND1193" s="7"/>
      <c r="ANE1193" s="7"/>
      <c r="ANF1193" s="7"/>
      <c r="ANG1193" s="7"/>
      <c r="ANH1193" s="7"/>
      <c r="ANI1193" s="7"/>
      <c r="ANJ1193" s="7"/>
      <c r="ANK1193" s="7"/>
      <c r="ANL1193" s="7"/>
      <c r="ANM1193" s="7"/>
      <c r="ANN1193" s="7"/>
      <c r="ANO1193" s="7"/>
      <c r="ANP1193" s="7"/>
      <c r="ANQ1193" s="7"/>
      <c r="ANR1193" s="7"/>
      <c r="ANS1193" s="7"/>
      <c r="ANT1193" s="7"/>
      <c r="ANU1193" s="7"/>
      <c r="ANV1193" s="7"/>
      <c r="ANW1193" s="7"/>
      <c r="ANX1193" s="7"/>
      <c r="ANY1193" s="7"/>
      <c r="ANZ1193" s="7"/>
      <c r="AOA1193" s="7"/>
      <c r="AOB1193" s="7"/>
      <c r="AOC1193" s="7"/>
      <c r="AOD1193" s="7"/>
      <c r="AOE1193" s="7"/>
      <c r="AOF1193" s="7"/>
      <c r="AOG1193" s="7"/>
      <c r="AOH1193" s="7"/>
      <c r="AOI1193" s="7"/>
      <c r="AOJ1193" s="7"/>
      <c r="AOK1193" s="7"/>
      <c r="AOL1193" s="7"/>
      <c r="AOM1193" s="7"/>
      <c r="AON1193" s="7"/>
      <c r="AOO1193" s="7"/>
      <c r="AOP1193" s="7"/>
      <c r="AOQ1193" s="7"/>
      <c r="AOR1193" s="7"/>
      <c r="AOS1193" s="7"/>
      <c r="AOT1193" s="7"/>
      <c r="AOU1193" s="7"/>
      <c r="AOV1193" s="7"/>
      <c r="AOW1193" s="7"/>
      <c r="AOX1193" s="7"/>
      <c r="AOY1193" s="7"/>
      <c r="AOZ1193" s="7"/>
      <c r="APA1193" s="7"/>
      <c r="APB1193" s="7"/>
      <c r="APC1193" s="7"/>
      <c r="APD1193" s="7"/>
      <c r="APE1193" s="7"/>
      <c r="APF1193" s="7"/>
      <c r="APG1193" s="7"/>
      <c r="APH1193" s="7"/>
      <c r="API1193" s="7"/>
      <c r="APJ1193" s="7"/>
      <c r="APK1193" s="7"/>
      <c r="APL1193" s="7"/>
      <c r="APM1193" s="7"/>
      <c r="APN1193" s="7"/>
      <c r="APO1193" s="7"/>
      <c r="APP1193" s="7"/>
      <c r="APQ1193" s="7"/>
      <c r="APR1193" s="7"/>
      <c r="APS1193" s="7"/>
      <c r="APT1193" s="7"/>
      <c r="APU1193" s="7"/>
      <c r="APV1193" s="7"/>
      <c r="APW1193" s="7"/>
      <c r="APX1193" s="7"/>
      <c r="APY1193" s="7"/>
      <c r="APZ1193" s="7"/>
      <c r="AQA1193" s="7"/>
      <c r="AQB1193" s="7"/>
      <c r="AQC1193" s="7"/>
      <c r="AQD1193" s="7"/>
      <c r="AQE1193" s="7"/>
      <c r="AQF1193" s="7"/>
      <c r="AQG1193" s="7"/>
      <c r="AQH1193" s="7"/>
      <c r="AQI1193" s="7"/>
      <c r="AQJ1193" s="7"/>
      <c r="AQK1193" s="7"/>
      <c r="AQL1193" s="7"/>
      <c r="AQM1193" s="7"/>
      <c r="AQN1193" s="7"/>
      <c r="AQO1193" s="7"/>
      <c r="AQP1193" s="7"/>
      <c r="AQQ1193" s="7"/>
      <c r="AQR1193" s="7"/>
      <c r="AQS1193" s="7"/>
      <c r="AQT1193" s="7"/>
      <c r="AQU1193" s="7"/>
      <c r="AQV1193" s="7"/>
      <c r="AQW1193" s="7"/>
      <c r="AQX1193" s="7"/>
      <c r="AQY1193" s="7"/>
      <c r="AQZ1193" s="7"/>
      <c r="ARA1193" s="7"/>
      <c r="ARB1193" s="7"/>
      <c r="ARC1193" s="7"/>
      <c r="ARD1193" s="7"/>
      <c r="ARE1193" s="7"/>
      <c r="ARF1193" s="7"/>
      <c r="ARG1193" s="7"/>
      <c r="ARH1193" s="7"/>
      <c r="ARI1193" s="7"/>
      <c r="ARJ1193" s="7"/>
      <c r="ARK1193" s="7"/>
      <c r="ARL1193" s="7"/>
      <c r="ARM1193" s="7"/>
      <c r="ARN1193" s="7"/>
      <c r="ARO1193" s="7"/>
      <c r="ARP1193" s="7"/>
      <c r="ARQ1193" s="7"/>
      <c r="ARR1193" s="7"/>
      <c r="ARS1193" s="7"/>
      <c r="ART1193" s="7"/>
      <c r="ARU1193" s="7"/>
      <c r="ARV1193" s="7"/>
      <c r="ARW1193" s="7"/>
      <c r="ARX1193" s="7"/>
      <c r="ARY1193" s="7"/>
      <c r="ARZ1193" s="7"/>
      <c r="ASA1193" s="7"/>
      <c r="ASB1193" s="7"/>
      <c r="ASC1193" s="7"/>
      <c r="ASD1193" s="7"/>
      <c r="ASE1193" s="7"/>
      <c r="ASF1193" s="7"/>
      <c r="ASG1193" s="7"/>
      <c r="ASH1193" s="7"/>
      <c r="ASI1193" s="7"/>
      <c r="ASJ1193" s="7"/>
      <c r="ASK1193" s="7"/>
      <c r="ASL1193" s="7"/>
      <c r="ASM1193" s="7"/>
      <c r="ASN1193" s="7"/>
      <c r="ASO1193" s="7"/>
      <c r="ASP1193" s="7"/>
      <c r="ASQ1193" s="7"/>
      <c r="ASR1193" s="7"/>
      <c r="ASS1193" s="7"/>
      <c r="AST1193" s="7"/>
      <c r="ASU1193" s="7"/>
      <c r="ASV1193" s="7"/>
      <c r="ASW1193" s="7"/>
      <c r="ASX1193" s="7"/>
      <c r="ASY1193" s="7"/>
      <c r="ASZ1193" s="7"/>
      <c r="ATA1193" s="7"/>
      <c r="ATB1193" s="7"/>
      <c r="ATC1193" s="7"/>
      <c r="ATD1193" s="7"/>
      <c r="ATE1193" s="7"/>
      <c r="ATF1193" s="7"/>
      <c r="ATG1193" s="7"/>
      <c r="ATH1193" s="7"/>
      <c r="ATI1193" s="7"/>
      <c r="ATJ1193" s="7"/>
      <c r="ATK1193" s="7"/>
      <c r="ATL1193" s="7"/>
      <c r="ATM1193" s="7"/>
      <c r="ATN1193" s="7"/>
      <c r="ATO1193" s="7"/>
      <c r="ATP1193" s="7"/>
      <c r="ATQ1193" s="7"/>
      <c r="ATR1193" s="7"/>
      <c r="ATS1193" s="7"/>
      <c r="ATT1193" s="7"/>
      <c r="ATU1193" s="7"/>
      <c r="ATV1193" s="7"/>
      <c r="ATW1193" s="7"/>
      <c r="ATX1193" s="7"/>
      <c r="ATY1193" s="7"/>
      <c r="ATZ1193" s="7"/>
      <c r="AUA1193" s="7"/>
      <c r="AUB1193" s="7"/>
      <c r="AUC1193" s="7"/>
      <c r="AUD1193" s="7"/>
      <c r="AUE1193" s="7"/>
      <c r="AUF1193" s="7"/>
      <c r="AUG1193" s="7"/>
      <c r="AUH1193" s="7"/>
      <c r="AUI1193" s="7"/>
      <c r="AUJ1193" s="7"/>
      <c r="AUK1193" s="7"/>
      <c r="AUL1193" s="7"/>
      <c r="AUM1193" s="7"/>
      <c r="AUN1193" s="7"/>
      <c r="AUO1193" s="7"/>
      <c r="AUP1193" s="7"/>
      <c r="AUQ1193" s="7"/>
      <c r="AUR1193" s="7"/>
      <c r="AUS1193" s="7"/>
      <c r="AUT1193" s="7"/>
      <c r="AUU1193" s="7"/>
      <c r="AUV1193" s="7"/>
      <c r="AUW1193" s="7"/>
      <c r="AUX1193" s="7"/>
      <c r="AUY1193" s="7"/>
      <c r="AUZ1193" s="7"/>
      <c r="AVA1193" s="7"/>
      <c r="AVB1193" s="7"/>
      <c r="AVC1193" s="7"/>
      <c r="AVD1193" s="7"/>
      <c r="AVE1193" s="7"/>
      <c r="AVF1193" s="7"/>
      <c r="AVG1193" s="7"/>
      <c r="AVH1193" s="7"/>
      <c r="AVI1193" s="7"/>
      <c r="AVJ1193" s="7"/>
      <c r="AVK1193" s="7"/>
      <c r="AVL1193" s="7"/>
      <c r="AVM1193" s="7"/>
      <c r="AVN1193" s="7"/>
      <c r="AVO1193" s="7"/>
      <c r="AVP1193" s="7"/>
      <c r="AVQ1193" s="7"/>
      <c r="AVR1193" s="7"/>
      <c r="AVS1193" s="7"/>
      <c r="AVT1193" s="7"/>
      <c r="AVU1193" s="7"/>
      <c r="AVV1193" s="7"/>
      <c r="AVW1193" s="7"/>
      <c r="AVX1193" s="7"/>
      <c r="AVY1193" s="7"/>
      <c r="AVZ1193" s="7"/>
      <c r="AWA1193" s="7"/>
      <c r="AWB1193" s="7"/>
      <c r="AWC1193" s="7"/>
      <c r="AWD1193" s="7"/>
      <c r="AWE1193" s="7"/>
      <c r="AWF1193" s="7"/>
      <c r="AWG1193" s="7"/>
      <c r="AWH1193" s="7"/>
      <c r="AWI1193" s="7"/>
      <c r="AWJ1193" s="7"/>
      <c r="AWK1193" s="7"/>
      <c r="AWL1193" s="7"/>
      <c r="AWM1193" s="7"/>
      <c r="AWN1193" s="7"/>
      <c r="AWO1193" s="7"/>
      <c r="AWP1193" s="7"/>
      <c r="AWQ1193" s="7"/>
      <c r="AWR1193" s="7"/>
      <c r="AWS1193" s="7"/>
      <c r="AWT1193" s="7"/>
      <c r="AWU1193" s="7"/>
      <c r="AWV1193" s="7"/>
      <c r="AWW1193" s="7"/>
      <c r="AWX1193" s="7"/>
      <c r="AWY1193" s="7"/>
      <c r="AWZ1193" s="7"/>
      <c r="AXA1193" s="7"/>
      <c r="AXB1193" s="7"/>
      <c r="AXC1193" s="7"/>
      <c r="AXD1193" s="7"/>
      <c r="AXE1193" s="7"/>
      <c r="AXF1193" s="7"/>
      <c r="AXG1193" s="7"/>
      <c r="AXH1193" s="7"/>
      <c r="AXI1193" s="7"/>
      <c r="AXJ1193" s="7"/>
      <c r="AXK1193" s="7"/>
      <c r="AXL1193" s="7"/>
      <c r="AXM1193" s="7"/>
      <c r="AXN1193" s="7"/>
      <c r="AXO1193" s="7"/>
      <c r="AXP1193" s="7"/>
      <c r="AXQ1193" s="7"/>
      <c r="AXR1193" s="7"/>
      <c r="AXS1193" s="7"/>
      <c r="AXT1193" s="7"/>
      <c r="AXU1193" s="7"/>
      <c r="AXV1193" s="7"/>
      <c r="AXW1193" s="7"/>
      <c r="AXX1193" s="7"/>
      <c r="AXY1193" s="7"/>
      <c r="AXZ1193" s="7"/>
      <c r="AYA1193" s="7"/>
      <c r="AYB1193" s="7"/>
      <c r="AYC1193" s="7"/>
      <c r="AYD1193" s="7"/>
      <c r="AYE1193" s="7"/>
      <c r="AYF1193" s="7"/>
      <c r="AYG1193" s="7"/>
      <c r="AYH1193" s="7"/>
      <c r="AYI1193" s="7"/>
      <c r="AYJ1193" s="7"/>
      <c r="AYK1193" s="7"/>
      <c r="AYL1193" s="7"/>
      <c r="AYM1193" s="7"/>
      <c r="AYN1193" s="7"/>
      <c r="AYO1193" s="7"/>
      <c r="AYP1193" s="7"/>
      <c r="AYQ1193" s="7"/>
      <c r="AYR1193" s="7"/>
      <c r="AYS1193" s="7"/>
      <c r="AYT1193" s="7"/>
      <c r="AYU1193" s="7"/>
      <c r="AYV1193" s="7"/>
      <c r="AYW1193" s="7"/>
      <c r="AYX1193" s="7"/>
      <c r="AYY1193" s="7"/>
      <c r="AYZ1193" s="7"/>
      <c r="AZA1193" s="7"/>
      <c r="AZB1193" s="7"/>
      <c r="AZC1193" s="7"/>
      <c r="AZD1193" s="7"/>
      <c r="AZE1193" s="7"/>
      <c r="AZF1193" s="7"/>
      <c r="AZG1193" s="7"/>
      <c r="AZH1193" s="7"/>
      <c r="AZI1193" s="7"/>
      <c r="AZJ1193" s="7"/>
      <c r="AZK1193" s="7"/>
      <c r="AZL1193" s="7"/>
      <c r="AZM1193" s="7"/>
      <c r="AZN1193" s="7"/>
      <c r="AZO1193" s="7"/>
      <c r="AZP1193" s="7"/>
      <c r="AZQ1193" s="7"/>
      <c r="AZR1193" s="7"/>
      <c r="AZS1193" s="7"/>
      <c r="AZT1193" s="7"/>
      <c r="AZU1193" s="7"/>
      <c r="AZV1193" s="7"/>
      <c r="AZW1193" s="7"/>
      <c r="AZX1193" s="7"/>
      <c r="AZY1193" s="7"/>
      <c r="AZZ1193" s="7"/>
      <c r="BAA1193" s="7"/>
      <c r="BAB1193" s="7"/>
      <c r="BAC1193" s="7"/>
      <c r="BAD1193" s="7"/>
      <c r="BAE1193" s="7"/>
      <c r="BAF1193" s="7"/>
      <c r="BAG1193" s="7"/>
      <c r="BAH1193" s="7"/>
      <c r="BAI1193" s="7"/>
      <c r="BAJ1193" s="7"/>
      <c r="BAK1193" s="7"/>
      <c r="BAL1193" s="7"/>
      <c r="BAM1193" s="7"/>
      <c r="BAN1193" s="7"/>
      <c r="BAO1193" s="7"/>
      <c r="BAP1193" s="7"/>
      <c r="BAQ1193" s="7"/>
      <c r="BAR1193" s="7"/>
      <c r="BAS1193" s="7"/>
      <c r="BAT1193" s="7"/>
      <c r="BAU1193" s="7"/>
      <c r="BAV1193" s="7"/>
      <c r="BAW1193" s="7"/>
      <c r="BAX1193" s="7"/>
      <c r="BAY1193" s="7"/>
      <c r="BAZ1193" s="7"/>
      <c r="BBA1193" s="7"/>
      <c r="BBB1193" s="7"/>
      <c r="BBC1193" s="7"/>
      <c r="BBD1193" s="7"/>
      <c r="BBE1193" s="7"/>
      <c r="BBF1193" s="7"/>
      <c r="BBG1193" s="7"/>
      <c r="BBH1193" s="7"/>
      <c r="BBI1193" s="7"/>
      <c r="BBJ1193" s="7"/>
      <c r="BBK1193" s="7"/>
      <c r="BBL1193" s="7"/>
      <c r="BBM1193" s="7"/>
      <c r="BBN1193" s="7"/>
      <c r="BBO1193" s="7"/>
      <c r="BBP1193" s="7"/>
      <c r="BBQ1193" s="7"/>
      <c r="BBR1193" s="7"/>
      <c r="BBS1193" s="7"/>
      <c r="BBT1193" s="7"/>
      <c r="BBU1193" s="7"/>
      <c r="BBV1193" s="7"/>
      <c r="BBW1193" s="7"/>
      <c r="BBX1193" s="7"/>
      <c r="BBY1193" s="7"/>
      <c r="BBZ1193" s="7"/>
      <c r="BCA1193" s="7"/>
      <c r="BCB1193" s="7"/>
      <c r="BCC1193" s="7"/>
      <c r="BCD1193" s="7"/>
      <c r="BCE1193" s="7"/>
      <c r="BCF1193" s="7"/>
      <c r="BCG1193" s="7"/>
      <c r="BCH1193" s="7"/>
      <c r="BCI1193" s="7"/>
      <c r="BCJ1193" s="7"/>
      <c r="BCK1193" s="7"/>
      <c r="BCL1193" s="7"/>
      <c r="BCM1193" s="7"/>
      <c r="BCN1193" s="7"/>
      <c r="BCO1193" s="7"/>
      <c r="BCP1193" s="7"/>
      <c r="BCQ1193" s="7"/>
      <c r="BCR1193" s="7"/>
      <c r="BCS1193" s="7"/>
      <c r="BCT1193" s="7"/>
      <c r="BCU1193" s="7"/>
      <c r="BCV1193" s="7"/>
      <c r="BCW1193" s="7"/>
      <c r="BCX1193" s="7"/>
      <c r="BCY1193" s="7"/>
      <c r="BCZ1193" s="7"/>
      <c r="BDA1193" s="7"/>
      <c r="BDB1193" s="7"/>
      <c r="BDC1193" s="7"/>
      <c r="BDD1193" s="7"/>
      <c r="BDE1193" s="7"/>
      <c r="BDF1193" s="7"/>
      <c r="BDG1193" s="7"/>
      <c r="BDH1193" s="7"/>
      <c r="BDI1193" s="7"/>
      <c r="BDJ1193" s="7"/>
      <c r="BDK1193" s="7"/>
      <c r="BDL1193" s="7"/>
      <c r="BDM1193" s="7"/>
      <c r="BDN1193" s="7"/>
      <c r="BDO1193" s="7"/>
      <c r="BDP1193" s="7"/>
      <c r="BDQ1193" s="7"/>
      <c r="BDR1193" s="7"/>
      <c r="BDS1193" s="7"/>
      <c r="BDT1193" s="7"/>
      <c r="BDU1193" s="7"/>
      <c r="BDV1193" s="7"/>
      <c r="BDW1193" s="7"/>
      <c r="BDX1193" s="7"/>
      <c r="BDY1193" s="7"/>
      <c r="BDZ1193" s="7"/>
      <c r="BEA1193" s="7"/>
      <c r="BEB1193" s="7"/>
      <c r="BEC1193" s="7"/>
      <c r="BED1193" s="7"/>
      <c r="BEE1193" s="7"/>
      <c r="BEF1193" s="7"/>
      <c r="BEG1193" s="7"/>
      <c r="BEH1193" s="7"/>
      <c r="BEI1193" s="7"/>
      <c r="BEJ1193" s="7"/>
      <c r="BEK1193" s="7"/>
      <c r="BEL1193" s="7"/>
      <c r="BEM1193" s="7"/>
      <c r="BEN1193" s="7"/>
      <c r="BEO1193" s="7"/>
      <c r="BEP1193" s="7"/>
      <c r="BEQ1193" s="7"/>
      <c r="BER1193" s="7"/>
      <c r="BES1193" s="7"/>
      <c r="BET1193" s="7"/>
      <c r="BEU1193" s="7"/>
      <c r="BEV1193" s="7"/>
      <c r="BEW1193" s="7"/>
      <c r="BEX1193" s="7"/>
      <c r="BEY1193" s="7"/>
      <c r="BEZ1193" s="7"/>
      <c r="BFA1193" s="7"/>
      <c r="BFB1193" s="7"/>
      <c r="BFC1193" s="7"/>
      <c r="BFD1193" s="7"/>
      <c r="BFE1193" s="7"/>
      <c r="BFF1193" s="7"/>
      <c r="BFG1193" s="7"/>
      <c r="BFH1193" s="7"/>
      <c r="BFI1193" s="7"/>
      <c r="BFJ1193" s="7"/>
      <c r="BFK1193" s="7"/>
      <c r="BFL1193" s="7"/>
      <c r="BFM1193" s="7"/>
      <c r="BFN1193" s="7"/>
      <c r="BFO1193" s="7"/>
      <c r="BFP1193" s="7"/>
      <c r="BFQ1193" s="7"/>
      <c r="BFR1193" s="7"/>
      <c r="BFS1193" s="7"/>
      <c r="BFT1193" s="7"/>
      <c r="BFU1193" s="7"/>
      <c r="BFV1193" s="7"/>
      <c r="BFW1193" s="7"/>
      <c r="BFX1193" s="7"/>
      <c r="BFY1193" s="7"/>
      <c r="BFZ1193" s="7"/>
      <c r="BGA1193" s="7"/>
      <c r="BGB1193" s="7"/>
      <c r="BGC1193" s="7"/>
      <c r="BGD1193" s="7"/>
      <c r="BGE1193" s="7"/>
      <c r="BGF1193" s="7"/>
      <c r="BGG1193" s="7"/>
      <c r="BGH1193" s="7"/>
      <c r="BGI1193" s="7"/>
      <c r="BGJ1193" s="7"/>
      <c r="BGK1193" s="7"/>
      <c r="BGL1193" s="7"/>
      <c r="BGM1193" s="7"/>
      <c r="BGN1193" s="7"/>
      <c r="BGO1193" s="7"/>
      <c r="BGP1193" s="7"/>
      <c r="BGQ1193" s="7"/>
      <c r="BGR1193" s="7"/>
      <c r="BGS1193" s="7"/>
      <c r="BGT1193" s="7"/>
      <c r="BGU1193" s="7"/>
      <c r="BGV1193" s="7"/>
      <c r="BGW1193" s="7"/>
      <c r="BGX1193" s="7"/>
      <c r="BGY1193" s="7"/>
      <c r="BGZ1193" s="7"/>
      <c r="BHA1193" s="7"/>
      <c r="BHB1193" s="7"/>
      <c r="BHC1193" s="7"/>
      <c r="BHD1193" s="7"/>
      <c r="BHE1193" s="7"/>
      <c r="BHF1193" s="7"/>
      <c r="BHG1193" s="7"/>
      <c r="BHH1193" s="7"/>
      <c r="BHI1193" s="7"/>
      <c r="BHJ1193" s="7"/>
      <c r="BHK1193" s="7"/>
      <c r="BHL1193" s="7"/>
      <c r="BHM1193" s="7"/>
      <c r="BHN1193" s="7"/>
      <c r="BHO1193" s="7"/>
      <c r="BHP1193" s="7"/>
      <c r="BHQ1193" s="7"/>
      <c r="BHR1193" s="7"/>
      <c r="BHS1193" s="7"/>
      <c r="BHT1193" s="7"/>
      <c r="BHU1193" s="7"/>
      <c r="BHV1193" s="7"/>
      <c r="BHW1193" s="7"/>
      <c r="BHX1193" s="7"/>
      <c r="BHY1193" s="7"/>
      <c r="BHZ1193" s="7"/>
      <c r="BIA1193" s="7"/>
      <c r="BIB1193" s="7"/>
      <c r="BIC1193" s="7"/>
      <c r="BID1193" s="7"/>
      <c r="BIE1193" s="7"/>
      <c r="BIF1193" s="7"/>
      <c r="BIG1193" s="7"/>
      <c r="BIH1193" s="7"/>
      <c r="BII1193" s="7"/>
      <c r="BIJ1193" s="7"/>
      <c r="BIK1193" s="7"/>
      <c r="BIL1193" s="7"/>
      <c r="BIM1193" s="7"/>
      <c r="BIN1193" s="7"/>
      <c r="BIO1193" s="7"/>
      <c r="BIP1193" s="7"/>
      <c r="BIQ1193" s="7"/>
      <c r="BIR1193" s="7"/>
      <c r="BIS1193" s="7"/>
      <c r="BIT1193" s="7"/>
      <c r="BIU1193" s="7"/>
      <c r="BIV1193" s="7"/>
      <c r="BIW1193" s="7"/>
      <c r="BIX1193" s="7"/>
      <c r="BIY1193" s="7"/>
      <c r="BIZ1193" s="7"/>
      <c r="BJA1193" s="7"/>
      <c r="BJB1193" s="7"/>
      <c r="BJC1193" s="7"/>
      <c r="BJD1193" s="7"/>
      <c r="BJE1193" s="7"/>
      <c r="BJF1193" s="7"/>
      <c r="BJG1193" s="7"/>
      <c r="BJH1193" s="7"/>
      <c r="BJI1193" s="7"/>
      <c r="BJJ1193" s="7"/>
      <c r="BJK1193" s="7"/>
      <c r="BJL1193" s="7"/>
      <c r="BJM1193" s="7"/>
      <c r="BJN1193" s="7"/>
      <c r="BJO1193" s="7"/>
      <c r="BJP1193" s="7"/>
      <c r="BJQ1193" s="7"/>
      <c r="BJR1193" s="7"/>
      <c r="BJS1193" s="7"/>
      <c r="BJT1193" s="7"/>
      <c r="BJU1193" s="7"/>
      <c r="BJV1193" s="7"/>
      <c r="BJW1193" s="7"/>
      <c r="BJX1193" s="7"/>
      <c r="BJY1193" s="7"/>
      <c r="BJZ1193" s="7"/>
      <c r="BKA1193" s="7"/>
      <c r="BKB1193" s="7"/>
      <c r="BKC1193" s="7"/>
      <c r="BKD1193" s="7"/>
      <c r="BKE1193" s="7"/>
      <c r="BKF1193" s="7"/>
      <c r="BKG1193" s="7"/>
      <c r="BKH1193" s="7"/>
      <c r="BKI1193" s="7"/>
      <c r="BKJ1193" s="7"/>
      <c r="BKK1193" s="7"/>
      <c r="BKL1193" s="7"/>
      <c r="BKM1193" s="7"/>
      <c r="BKN1193" s="7"/>
      <c r="BKO1193" s="7"/>
      <c r="BKP1193" s="7"/>
      <c r="BKQ1193" s="7"/>
      <c r="BKR1193" s="7"/>
      <c r="BKS1193" s="7"/>
      <c r="BKT1193" s="7"/>
      <c r="BKU1193" s="7"/>
      <c r="BKV1193" s="7"/>
      <c r="BKW1193" s="7"/>
      <c r="BKX1193" s="7"/>
      <c r="BKY1193" s="7"/>
      <c r="BKZ1193" s="7"/>
      <c r="BLA1193" s="7"/>
      <c r="BLB1193" s="7"/>
      <c r="BLC1193" s="7"/>
      <c r="BLD1193" s="7"/>
      <c r="BLE1193" s="7"/>
      <c r="BLF1193" s="7"/>
      <c r="BLG1193" s="7"/>
      <c r="BLH1193" s="7"/>
      <c r="BLI1193" s="7"/>
      <c r="BLJ1193" s="7"/>
      <c r="BLK1193" s="7"/>
      <c r="BLL1193" s="7"/>
      <c r="BLM1193" s="7"/>
      <c r="BLN1193" s="7"/>
      <c r="BLO1193" s="7"/>
      <c r="BLP1193" s="7"/>
      <c r="BLQ1193" s="7"/>
      <c r="BLR1193" s="7"/>
      <c r="BLS1193" s="7"/>
      <c r="BLT1193" s="7"/>
      <c r="BLU1193" s="7"/>
      <c r="BLV1193" s="7"/>
      <c r="BLW1193" s="7"/>
      <c r="BLX1193" s="7"/>
      <c r="BLY1193" s="7"/>
      <c r="BLZ1193" s="7"/>
      <c r="BMA1193" s="7"/>
      <c r="BMB1193" s="7"/>
      <c r="BMC1193" s="7"/>
      <c r="BMD1193" s="7"/>
      <c r="BME1193" s="7"/>
      <c r="BMF1193" s="7"/>
      <c r="BMG1193" s="7"/>
      <c r="BMH1193" s="7"/>
      <c r="BMI1193" s="7"/>
      <c r="BMJ1193" s="7"/>
      <c r="BMK1193" s="7"/>
      <c r="BML1193" s="7"/>
      <c r="BMM1193" s="7"/>
      <c r="BMN1193" s="7"/>
      <c r="BMO1193" s="7"/>
      <c r="BMP1193" s="7"/>
      <c r="BMQ1193" s="7"/>
      <c r="BMR1193" s="7"/>
      <c r="BMS1193" s="7"/>
      <c r="BMT1193" s="7"/>
      <c r="BMU1193" s="7"/>
      <c r="BMV1193" s="7"/>
      <c r="BMW1193" s="7"/>
      <c r="BMX1193" s="7"/>
      <c r="BMY1193" s="7"/>
      <c r="BMZ1193" s="7"/>
      <c r="BNA1193" s="7"/>
      <c r="BNB1193" s="7"/>
      <c r="BNC1193" s="7"/>
      <c r="BND1193" s="7"/>
      <c r="BNE1193" s="7"/>
      <c r="BNF1193" s="7"/>
      <c r="BNG1193" s="7"/>
      <c r="BNH1193" s="7"/>
      <c r="BNI1193" s="7"/>
      <c r="BNJ1193" s="7"/>
      <c r="BNK1193" s="7"/>
      <c r="BNL1193" s="7"/>
      <c r="BNM1193" s="7"/>
      <c r="BNN1193" s="7"/>
      <c r="BNO1193" s="7"/>
      <c r="BNP1193" s="7"/>
      <c r="BNQ1193" s="7"/>
      <c r="BNR1193" s="7"/>
      <c r="BNS1193" s="7"/>
      <c r="BNT1193" s="7"/>
      <c r="BNU1193" s="7"/>
      <c r="BNV1193" s="7"/>
      <c r="BNW1193" s="7"/>
      <c r="BNX1193" s="7"/>
      <c r="BNY1193" s="7"/>
      <c r="BNZ1193" s="7"/>
      <c r="BOA1193" s="7"/>
      <c r="BOB1193" s="7"/>
      <c r="BOC1193" s="7"/>
      <c r="BOD1193" s="7"/>
      <c r="BOE1193" s="7"/>
      <c r="BOF1193" s="7"/>
      <c r="BOG1193" s="7"/>
      <c r="BOH1193" s="7"/>
      <c r="BOI1193" s="7"/>
      <c r="BOJ1193" s="7"/>
      <c r="BOK1193" s="7"/>
      <c r="BOL1193" s="7"/>
      <c r="BOM1193" s="7"/>
      <c r="BON1193" s="7"/>
      <c r="BOO1193" s="7"/>
      <c r="BOP1193" s="7"/>
      <c r="BOQ1193" s="7"/>
      <c r="BOR1193" s="7"/>
      <c r="BOS1193" s="7"/>
      <c r="BOT1193" s="7"/>
      <c r="BOU1193" s="7"/>
      <c r="BOV1193" s="7"/>
      <c r="BOW1193" s="7"/>
      <c r="BOX1193" s="7"/>
      <c r="BOY1193" s="7"/>
      <c r="BOZ1193" s="7"/>
      <c r="BPA1193" s="7"/>
      <c r="BPB1193" s="7"/>
      <c r="BPC1193" s="7"/>
      <c r="BPD1193" s="7"/>
      <c r="BPE1193" s="7"/>
      <c r="BPF1193" s="7"/>
      <c r="BPG1193" s="7"/>
      <c r="BPH1193" s="7"/>
      <c r="BPI1193" s="7"/>
      <c r="BPJ1193" s="7"/>
      <c r="BPK1193" s="7"/>
      <c r="BPL1193" s="7"/>
      <c r="BPM1193" s="7"/>
      <c r="BPN1193" s="7"/>
      <c r="BPO1193" s="7"/>
      <c r="BPP1193" s="7"/>
      <c r="BPQ1193" s="7"/>
      <c r="BPR1193" s="7"/>
      <c r="BPS1193" s="7"/>
      <c r="BPT1193" s="7"/>
      <c r="BPU1193" s="7"/>
      <c r="BPV1193" s="7"/>
      <c r="BPW1193" s="7"/>
      <c r="BPX1193" s="7"/>
      <c r="BPY1193" s="7"/>
      <c r="BPZ1193" s="7"/>
      <c r="BQA1193" s="7"/>
      <c r="BQB1193" s="7"/>
      <c r="BQC1193" s="7"/>
      <c r="BQD1193" s="7"/>
      <c r="BQE1193" s="7"/>
      <c r="BQF1193" s="7"/>
      <c r="BQG1193" s="7"/>
      <c r="BQH1193" s="7"/>
      <c r="BQI1193" s="7"/>
      <c r="BQJ1193" s="7"/>
      <c r="BQK1193" s="7"/>
      <c r="BQL1193" s="7"/>
      <c r="BQM1193" s="7"/>
      <c r="BQN1193" s="7"/>
      <c r="BQO1193" s="7"/>
      <c r="BQP1193" s="7"/>
      <c r="BQQ1193" s="7"/>
      <c r="BQR1193" s="7"/>
      <c r="BQS1193" s="7"/>
      <c r="BQT1193" s="7"/>
      <c r="BQU1193" s="7"/>
      <c r="BQV1193" s="7"/>
      <c r="BQW1193" s="7"/>
      <c r="BQX1193" s="7"/>
      <c r="BQY1193" s="7"/>
      <c r="BQZ1193" s="7"/>
      <c r="BRA1193" s="7"/>
      <c r="BRB1193" s="7"/>
      <c r="BRC1193" s="7"/>
      <c r="BRD1193" s="7"/>
      <c r="BRE1193" s="7"/>
      <c r="BRF1193" s="7"/>
      <c r="BRG1193" s="7"/>
      <c r="BRH1193" s="7"/>
      <c r="BRI1193" s="7"/>
      <c r="BRJ1193" s="7"/>
      <c r="BRK1193" s="7"/>
      <c r="BRL1193" s="7"/>
      <c r="BRM1193" s="7"/>
      <c r="BRN1193" s="7"/>
      <c r="BRO1193" s="7"/>
      <c r="BRP1193" s="7"/>
      <c r="BRQ1193" s="7"/>
      <c r="BRR1193" s="7"/>
      <c r="BRS1193" s="7"/>
      <c r="BRT1193" s="7"/>
      <c r="BRU1193" s="7"/>
      <c r="BRV1193" s="7"/>
      <c r="BRW1193" s="7"/>
      <c r="BRX1193" s="7"/>
      <c r="BRY1193" s="7"/>
      <c r="BRZ1193" s="7"/>
      <c r="BSA1193" s="7"/>
      <c r="BSB1193" s="7"/>
      <c r="BSC1193" s="7"/>
      <c r="BSD1193" s="7"/>
      <c r="BSE1193" s="7"/>
      <c r="BSF1193" s="7"/>
      <c r="BSG1193" s="7"/>
      <c r="BSH1193" s="7"/>
      <c r="BSI1193" s="7"/>
      <c r="BSJ1193" s="7"/>
      <c r="BSK1193" s="7"/>
      <c r="BSL1193" s="7"/>
      <c r="BSM1193" s="7"/>
      <c r="BSN1193" s="7"/>
      <c r="BSO1193" s="7"/>
      <c r="BSP1193" s="7"/>
      <c r="BSQ1193" s="7"/>
      <c r="BSR1193" s="7"/>
      <c r="BSS1193" s="7"/>
      <c r="BST1193" s="7"/>
      <c r="BSU1193" s="7"/>
      <c r="BSV1193" s="7"/>
      <c r="BSW1193" s="7"/>
      <c r="BSX1193" s="7"/>
      <c r="BSY1193" s="7"/>
      <c r="BSZ1193" s="7"/>
      <c r="BTA1193" s="7"/>
      <c r="BTB1193" s="7"/>
      <c r="BTC1193" s="7"/>
      <c r="BTD1193" s="7"/>
      <c r="BTE1193" s="7"/>
      <c r="BTF1193" s="7"/>
      <c r="BTG1193" s="7"/>
      <c r="BTH1193" s="7"/>
      <c r="BTI1193" s="7"/>
      <c r="BTJ1193" s="7"/>
      <c r="BTK1193" s="7"/>
      <c r="BTL1193" s="7"/>
      <c r="BTM1193" s="7"/>
      <c r="BTN1193" s="7"/>
      <c r="BTO1193" s="7"/>
      <c r="BTP1193" s="7"/>
      <c r="BTQ1193" s="7"/>
      <c r="BTR1193" s="7"/>
      <c r="BTS1193" s="7"/>
      <c r="BTT1193" s="7"/>
      <c r="BTU1193" s="7"/>
      <c r="BTV1193" s="7"/>
      <c r="BTW1193" s="7"/>
      <c r="BTX1193" s="7"/>
      <c r="BTY1193" s="7"/>
      <c r="BTZ1193" s="7"/>
      <c r="BUA1193" s="7"/>
      <c r="BUB1193" s="7"/>
      <c r="BUC1193" s="7"/>
      <c r="BUD1193" s="7"/>
      <c r="BUE1193" s="7"/>
      <c r="BUF1193" s="7"/>
      <c r="BUG1193" s="7"/>
      <c r="BUH1193" s="7"/>
      <c r="BUI1193" s="7"/>
      <c r="BUJ1193" s="7"/>
      <c r="BUK1193" s="7"/>
      <c r="BUL1193" s="7"/>
      <c r="BUM1193" s="7"/>
      <c r="BUN1193" s="7"/>
      <c r="BUO1193" s="7"/>
      <c r="BUP1193" s="7"/>
      <c r="BUQ1193" s="7"/>
      <c r="BUR1193" s="7"/>
      <c r="BUS1193" s="7"/>
      <c r="BUT1193" s="7"/>
      <c r="BUU1193" s="7"/>
      <c r="BUV1193" s="7"/>
      <c r="BUW1193" s="7"/>
      <c r="BUX1193" s="7"/>
      <c r="BUY1193" s="7"/>
      <c r="BUZ1193" s="7"/>
      <c r="BVA1193" s="7"/>
      <c r="BVB1193" s="7"/>
      <c r="BVC1193" s="7"/>
      <c r="BVD1193" s="7"/>
      <c r="BVE1193" s="7"/>
      <c r="BVF1193" s="7"/>
      <c r="BVG1193" s="7"/>
      <c r="BVH1193" s="7"/>
      <c r="BVI1193" s="7"/>
      <c r="BVJ1193" s="7"/>
      <c r="BVK1193" s="7"/>
      <c r="BVL1193" s="7"/>
      <c r="BVM1193" s="7"/>
      <c r="BVN1193" s="7"/>
      <c r="BVO1193" s="7"/>
      <c r="BVP1193" s="7"/>
      <c r="BVQ1193" s="7"/>
      <c r="BVR1193" s="7"/>
      <c r="BVS1193" s="7"/>
      <c r="BVT1193" s="7"/>
      <c r="BVU1193" s="7"/>
      <c r="BVV1193" s="7"/>
      <c r="BVW1193" s="7"/>
      <c r="BVX1193" s="7"/>
      <c r="BVY1193" s="7"/>
      <c r="BVZ1193" s="7"/>
      <c r="BWA1193" s="7"/>
      <c r="BWB1193" s="7"/>
      <c r="BWC1193" s="7"/>
      <c r="BWD1193" s="7"/>
      <c r="BWE1193" s="7"/>
      <c r="BWF1193" s="7"/>
      <c r="BWG1193" s="7"/>
      <c r="BWH1193" s="7"/>
      <c r="BWI1193" s="7"/>
      <c r="BWJ1193" s="7"/>
      <c r="BWK1193" s="7"/>
      <c r="BWL1193" s="7"/>
      <c r="BWM1193" s="7"/>
      <c r="BWN1193" s="7"/>
      <c r="BWO1193" s="7"/>
      <c r="BWP1193" s="7"/>
      <c r="BWQ1193" s="7"/>
      <c r="BWR1193" s="7"/>
      <c r="BWS1193" s="7"/>
      <c r="BWT1193" s="7"/>
      <c r="BWU1193" s="7"/>
      <c r="BWV1193" s="7"/>
      <c r="BWW1193" s="7"/>
      <c r="BWX1193" s="7"/>
      <c r="BWY1193" s="7"/>
      <c r="BWZ1193" s="7"/>
      <c r="BXA1193" s="7"/>
      <c r="BXB1193" s="7"/>
      <c r="BXC1193" s="7"/>
      <c r="BXD1193" s="7"/>
      <c r="BXE1193" s="7"/>
      <c r="BXF1193" s="7"/>
      <c r="BXG1193" s="7"/>
      <c r="BXH1193" s="7"/>
      <c r="BXI1193" s="7"/>
      <c r="BXJ1193" s="7"/>
      <c r="BXK1193" s="7"/>
      <c r="BXL1193" s="7"/>
      <c r="BXM1193" s="7"/>
      <c r="BXN1193" s="7"/>
      <c r="BXO1193" s="7"/>
      <c r="BXP1193" s="7"/>
      <c r="BXQ1193" s="7"/>
      <c r="BXR1193" s="7"/>
      <c r="BXS1193" s="7"/>
      <c r="BXT1193" s="7"/>
      <c r="BXU1193" s="7"/>
      <c r="BXV1193" s="7"/>
      <c r="BXW1193" s="7"/>
      <c r="BXX1193" s="7"/>
      <c r="BXY1193" s="7"/>
      <c r="BXZ1193" s="7"/>
      <c r="BYA1193" s="7"/>
      <c r="BYB1193" s="7"/>
      <c r="BYC1193" s="7"/>
      <c r="BYD1193" s="7"/>
      <c r="BYE1193" s="7"/>
      <c r="BYF1193" s="7"/>
      <c r="BYG1193" s="7"/>
      <c r="BYH1193" s="7"/>
      <c r="BYI1193" s="7"/>
      <c r="BYJ1193" s="7"/>
      <c r="BYK1193" s="7"/>
      <c r="BYL1193" s="7"/>
      <c r="BYM1193" s="7"/>
      <c r="BYN1193" s="7"/>
      <c r="BYO1193" s="7"/>
      <c r="BYP1193" s="7"/>
      <c r="BYQ1193" s="7"/>
      <c r="BYR1193" s="7"/>
      <c r="BYS1193" s="7"/>
      <c r="BYT1193" s="7"/>
      <c r="BYU1193" s="7"/>
      <c r="BYV1193" s="7"/>
      <c r="BYW1193" s="7"/>
      <c r="BYX1193" s="7"/>
      <c r="BYY1193" s="7"/>
      <c r="BYZ1193" s="7"/>
      <c r="BZA1193" s="7"/>
      <c r="BZB1193" s="7"/>
      <c r="BZC1193" s="7"/>
      <c r="BZD1193" s="7"/>
      <c r="BZE1193" s="7"/>
      <c r="BZF1193" s="7"/>
      <c r="BZG1193" s="7"/>
      <c r="BZH1193" s="7"/>
      <c r="BZI1193" s="7"/>
      <c r="BZJ1193" s="7"/>
      <c r="BZK1193" s="7"/>
      <c r="BZL1193" s="7"/>
      <c r="BZM1193" s="7"/>
      <c r="BZN1193" s="7"/>
      <c r="BZO1193" s="7"/>
      <c r="BZP1193" s="7"/>
      <c r="BZQ1193" s="7"/>
      <c r="BZR1193" s="7"/>
      <c r="BZS1193" s="7"/>
      <c r="BZT1193" s="7"/>
      <c r="BZU1193" s="7"/>
      <c r="BZV1193" s="7"/>
      <c r="BZW1193" s="7"/>
      <c r="BZX1193" s="7"/>
      <c r="BZY1193" s="7"/>
      <c r="BZZ1193" s="7"/>
      <c r="CAA1193" s="7"/>
      <c r="CAB1193" s="7"/>
      <c r="CAC1193" s="7"/>
      <c r="CAD1193" s="7"/>
      <c r="CAE1193" s="7"/>
      <c r="CAF1193" s="7"/>
      <c r="CAG1193" s="7"/>
      <c r="CAH1193" s="7"/>
      <c r="CAI1193" s="7"/>
      <c r="CAJ1193" s="7"/>
      <c r="CAK1193" s="7"/>
      <c r="CAL1193" s="7"/>
      <c r="CAM1193" s="7"/>
      <c r="CAN1193" s="7"/>
      <c r="CAO1193" s="7"/>
      <c r="CAP1193" s="7"/>
      <c r="CAQ1193" s="7"/>
      <c r="CAR1193" s="7"/>
      <c r="CAS1193" s="7"/>
      <c r="CAT1193" s="7"/>
      <c r="CAU1193" s="7"/>
      <c r="CAV1193" s="7"/>
      <c r="CAW1193" s="7"/>
      <c r="CAX1193" s="7"/>
      <c r="CAY1193" s="7"/>
      <c r="CAZ1193" s="7"/>
      <c r="CBA1193" s="7"/>
      <c r="CBB1193" s="7"/>
      <c r="CBC1193" s="7"/>
      <c r="CBD1193" s="7"/>
      <c r="CBE1193" s="7"/>
      <c r="CBF1193" s="7"/>
      <c r="CBG1193" s="7"/>
      <c r="CBH1193" s="7"/>
      <c r="CBI1193" s="7"/>
      <c r="CBJ1193" s="7"/>
      <c r="CBK1193" s="7"/>
      <c r="CBL1193" s="7"/>
      <c r="CBM1193" s="7"/>
      <c r="CBN1193" s="7"/>
      <c r="CBO1193" s="7"/>
      <c r="CBP1193" s="7"/>
      <c r="CBQ1193" s="7"/>
      <c r="CBR1193" s="7"/>
      <c r="CBS1193" s="7"/>
      <c r="CBT1193" s="7"/>
      <c r="CBU1193" s="7"/>
      <c r="CBV1193" s="7"/>
      <c r="CBW1193" s="7"/>
      <c r="CBX1193" s="7"/>
      <c r="CBY1193" s="7"/>
      <c r="CBZ1193" s="7"/>
      <c r="CCA1193" s="7"/>
      <c r="CCB1193" s="7"/>
      <c r="CCC1193" s="7"/>
      <c r="CCD1193" s="7"/>
      <c r="CCE1193" s="7"/>
      <c r="CCF1193" s="7"/>
      <c r="CCG1193" s="7"/>
      <c r="CCH1193" s="7"/>
      <c r="CCI1193" s="7"/>
      <c r="CCJ1193" s="7"/>
      <c r="CCK1193" s="7"/>
      <c r="CCL1193" s="7"/>
      <c r="CCM1193" s="7"/>
      <c r="CCN1193" s="7"/>
      <c r="CCO1193" s="7"/>
      <c r="CCP1193" s="7"/>
      <c r="CCQ1193" s="7"/>
      <c r="CCR1193" s="7"/>
      <c r="CCS1193" s="7"/>
      <c r="CCT1193" s="7"/>
      <c r="CCU1193" s="7"/>
      <c r="CCV1193" s="7"/>
      <c r="CCW1193" s="7"/>
      <c r="CCX1193" s="7"/>
      <c r="CCY1193" s="7"/>
      <c r="CCZ1193" s="7"/>
      <c r="CDA1193" s="7"/>
      <c r="CDB1193" s="7"/>
      <c r="CDC1193" s="7"/>
      <c r="CDD1193" s="7"/>
      <c r="CDE1193" s="7"/>
      <c r="CDF1193" s="7"/>
      <c r="CDG1193" s="7"/>
      <c r="CDH1193" s="7"/>
      <c r="CDI1193" s="7"/>
      <c r="CDJ1193" s="7"/>
      <c r="CDK1193" s="7"/>
      <c r="CDL1193" s="7"/>
      <c r="CDM1193" s="7"/>
      <c r="CDN1193" s="7"/>
      <c r="CDO1193" s="7"/>
      <c r="CDP1193" s="7"/>
      <c r="CDQ1193" s="7"/>
      <c r="CDR1193" s="7"/>
      <c r="CDS1193" s="7"/>
      <c r="CDT1193" s="7"/>
      <c r="CDU1193" s="7"/>
      <c r="CDV1193" s="7"/>
      <c r="CDW1193" s="7"/>
      <c r="CDX1193" s="7"/>
      <c r="CDY1193" s="7"/>
      <c r="CDZ1193" s="7"/>
      <c r="CEA1193" s="7"/>
      <c r="CEB1193" s="7"/>
      <c r="CEC1193" s="7"/>
      <c r="CED1193" s="7"/>
      <c r="CEE1193" s="7"/>
      <c r="CEF1193" s="7"/>
      <c r="CEG1193" s="7"/>
      <c r="CEH1193" s="7"/>
      <c r="CEI1193" s="7"/>
      <c r="CEJ1193" s="7"/>
      <c r="CEK1193" s="7"/>
      <c r="CEL1193" s="7"/>
      <c r="CEM1193" s="7"/>
      <c r="CEN1193" s="7"/>
      <c r="CEO1193" s="7"/>
      <c r="CEP1193" s="7"/>
      <c r="CEQ1193" s="7"/>
      <c r="CER1193" s="7"/>
      <c r="CES1193" s="7"/>
      <c r="CET1193" s="7"/>
      <c r="CEU1193" s="7"/>
      <c r="CEV1193" s="7"/>
      <c r="CEW1193" s="7"/>
      <c r="CEX1193" s="7"/>
      <c r="CEY1193" s="7"/>
      <c r="CEZ1193" s="7"/>
      <c r="CFA1193" s="7"/>
      <c r="CFB1193" s="7"/>
      <c r="CFC1193" s="7"/>
      <c r="CFD1193" s="7"/>
      <c r="CFE1193" s="7"/>
      <c r="CFF1193" s="7"/>
      <c r="CFG1193" s="7"/>
      <c r="CFH1193" s="7"/>
      <c r="CFI1193" s="7"/>
      <c r="CFJ1193" s="7"/>
      <c r="CFK1193" s="7"/>
      <c r="CFL1193" s="7"/>
      <c r="CFM1193" s="7"/>
      <c r="CFN1193" s="7"/>
      <c r="CFO1193" s="7"/>
      <c r="CFP1193" s="7"/>
      <c r="CFQ1193" s="7"/>
      <c r="CFR1193" s="7"/>
      <c r="CFS1193" s="7"/>
      <c r="CFT1193" s="7"/>
      <c r="CFU1193" s="7"/>
      <c r="CFV1193" s="7"/>
      <c r="CFW1193" s="7"/>
      <c r="CFX1193" s="7"/>
      <c r="CFY1193" s="7"/>
      <c r="CFZ1193" s="7"/>
      <c r="CGA1193" s="7"/>
      <c r="CGB1193" s="7"/>
      <c r="CGC1193" s="7"/>
      <c r="CGD1193" s="7"/>
      <c r="CGE1193" s="7"/>
      <c r="CGF1193" s="7"/>
      <c r="CGG1193" s="7"/>
      <c r="CGH1193" s="7"/>
      <c r="CGI1193" s="7"/>
      <c r="CGJ1193" s="7"/>
      <c r="CGK1193" s="7"/>
      <c r="CGL1193" s="7"/>
      <c r="CGM1193" s="7"/>
      <c r="CGN1193" s="7"/>
      <c r="CGO1193" s="7"/>
      <c r="CGP1193" s="7"/>
      <c r="CGQ1193" s="7"/>
      <c r="CGR1193" s="7"/>
      <c r="CGS1193" s="7"/>
      <c r="CGT1193" s="7"/>
      <c r="CGU1193" s="7"/>
      <c r="CGV1193" s="7"/>
      <c r="CGW1193" s="7"/>
      <c r="CGX1193" s="7"/>
      <c r="CGY1193" s="7"/>
      <c r="CGZ1193" s="7"/>
      <c r="CHA1193" s="7"/>
      <c r="CHB1193" s="7"/>
      <c r="CHC1193" s="7"/>
      <c r="CHD1193" s="7"/>
      <c r="CHE1193" s="7"/>
      <c r="CHF1193" s="7"/>
      <c r="CHG1193" s="7"/>
      <c r="CHH1193" s="7"/>
      <c r="CHI1193" s="7"/>
      <c r="CHJ1193" s="7"/>
      <c r="CHK1193" s="7"/>
      <c r="CHL1193" s="7"/>
      <c r="CHM1193" s="7"/>
      <c r="CHN1193" s="7"/>
      <c r="CHO1193" s="7"/>
      <c r="CHP1193" s="7"/>
      <c r="CHQ1193" s="7"/>
      <c r="CHR1193" s="7"/>
      <c r="CHS1193" s="7"/>
      <c r="CHT1193" s="7"/>
      <c r="CHU1193" s="7"/>
      <c r="CHV1193" s="7"/>
      <c r="CHW1193" s="7"/>
      <c r="CHX1193" s="7"/>
      <c r="CHY1193" s="7"/>
      <c r="CHZ1193" s="7"/>
      <c r="CIA1193" s="7"/>
      <c r="CIB1193" s="7"/>
      <c r="CIC1193" s="7"/>
      <c r="CID1193" s="7"/>
      <c r="CIE1193" s="7"/>
      <c r="CIF1193" s="7"/>
      <c r="CIG1193" s="7"/>
      <c r="CIH1193" s="7"/>
      <c r="CII1193" s="7"/>
      <c r="CIJ1193" s="7"/>
      <c r="CIK1193" s="7"/>
      <c r="CIL1193" s="7"/>
      <c r="CIM1193" s="7"/>
      <c r="CIN1193" s="7"/>
      <c r="CIO1193" s="7"/>
      <c r="CIP1193" s="7"/>
      <c r="CIQ1193" s="7"/>
      <c r="CIR1193" s="7"/>
      <c r="CIS1193" s="7"/>
      <c r="CIT1193" s="7"/>
      <c r="CIU1193" s="7"/>
      <c r="CIV1193" s="7"/>
      <c r="CIW1193" s="7"/>
      <c r="CIX1193" s="7"/>
      <c r="CIY1193" s="7"/>
      <c r="CIZ1193" s="7"/>
      <c r="CJA1193" s="7"/>
      <c r="CJB1193" s="7"/>
      <c r="CJC1193" s="7"/>
      <c r="CJD1193" s="7"/>
      <c r="CJE1193" s="7"/>
      <c r="CJF1193" s="7"/>
      <c r="CJG1193" s="7"/>
      <c r="CJH1193" s="7"/>
      <c r="CJI1193" s="7"/>
      <c r="CJJ1193" s="7"/>
      <c r="CJK1193" s="7"/>
      <c r="CJL1193" s="7"/>
      <c r="CJM1193" s="7"/>
      <c r="CJN1193" s="7"/>
      <c r="CJO1193" s="7"/>
      <c r="CJP1193" s="7"/>
      <c r="CJQ1193" s="7"/>
      <c r="CJR1193" s="7"/>
      <c r="CJS1193" s="7"/>
      <c r="CJT1193" s="7"/>
      <c r="CJU1193" s="7"/>
      <c r="CJV1193" s="7"/>
      <c r="CJW1193" s="7"/>
      <c r="CJX1193" s="7"/>
      <c r="CJY1193" s="7"/>
      <c r="CJZ1193" s="7"/>
      <c r="CKA1193" s="7"/>
      <c r="CKB1193" s="7"/>
      <c r="CKC1193" s="7"/>
      <c r="CKD1193" s="7"/>
      <c r="CKE1193" s="7"/>
      <c r="CKF1193" s="7"/>
      <c r="CKG1193" s="7"/>
      <c r="CKH1193" s="7"/>
      <c r="CKI1193" s="7"/>
      <c r="CKJ1193" s="7"/>
      <c r="CKK1193" s="7"/>
      <c r="CKL1193" s="7"/>
      <c r="CKM1193" s="7"/>
      <c r="CKN1193" s="7"/>
      <c r="CKO1193" s="7"/>
      <c r="CKP1193" s="7"/>
      <c r="CKQ1193" s="7"/>
      <c r="CKR1193" s="7"/>
      <c r="CKS1193" s="7"/>
      <c r="CKT1193" s="7"/>
      <c r="CKU1193" s="7"/>
      <c r="CKV1193" s="7"/>
      <c r="CKW1193" s="7"/>
      <c r="CKX1193" s="7"/>
      <c r="CKY1193" s="7"/>
      <c r="CKZ1193" s="7"/>
      <c r="CLA1193" s="7"/>
      <c r="CLB1193" s="7"/>
      <c r="CLC1193" s="7"/>
      <c r="CLD1193" s="7"/>
      <c r="CLE1193" s="7"/>
      <c r="CLF1193" s="7"/>
      <c r="CLG1193" s="7"/>
      <c r="CLH1193" s="7"/>
      <c r="CLI1193" s="7"/>
      <c r="CLJ1193" s="7"/>
      <c r="CLK1193" s="7"/>
      <c r="CLL1193" s="7"/>
      <c r="CLM1193" s="7"/>
      <c r="CLN1193" s="7"/>
      <c r="CLO1193" s="7"/>
      <c r="CLP1193" s="7"/>
      <c r="CLQ1193" s="7"/>
      <c r="CLR1193" s="7"/>
      <c r="CLS1193" s="7"/>
      <c r="CLT1193" s="7"/>
      <c r="CLU1193" s="7"/>
      <c r="CLV1193" s="7"/>
      <c r="CLW1193" s="7"/>
      <c r="CLX1193" s="7"/>
      <c r="CLY1193" s="7"/>
      <c r="CLZ1193" s="7"/>
      <c r="CMA1193" s="7"/>
      <c r="CMB1193" s="7"/>
      <c r="CMC1193" s="7"/>
      <c r="CMD1193" s="7"/>
      <c r="CME1193" s="7"/>
      <c r="CMF1193" s="7"/>
      <c r="CMG1193" s="7"/>
      <c r="CMH1193" s="7"/>
      <c r="CMI1193" s="7"/>
      <c r="CMJ1193" s="7"/>
      <c r="CMK1193" s="7"/>
      <c r="CML1193" s="7"/>
      <c r="CMM1193" s="7"/>
      <c r="CMN1193" s="7"/>
      <c r="CMO1193" s="7"/>
      <c r="CMP1193" s="7"/>
      <c r="CMQ1193" s="7"/>
      <c r="CMR1193" s="7"/>
      <c r="CMS1193" s="7"/>
      <c r="CMT1193" s="7"/>
      <c r="CMU1193" s="7"/>
      <c r="CMV1193" s="7"/>
      <c r="CMW1193" s="7"/>
      <c r="CMX1193" s="7"/>
      <c r="CMY1193" s="7"/>
      <c r="CMZ1193" s="7"/>
      <c r="CNA1193" s="7"/>
      <c r="CNB1193" s="7"/>
      <c r="CNC1193" s="7"/>
      <c r="CND1193" s="7"/>
      <c r="CNE1193" s="7"/>
      <c r="CNF1193" s="7"/>
      <c r="CNG1193" s="7"/>
      <c r="CNH1193" s="7"/>
      <c r="CNI1193" s="7"/>
      <c r="CNJ1193" s="7"/>
      <c r="CNK1193" s="7"/>
      <c r="CNL1193" s="7"/>
      <c r="CNM1193" s="7"/>
      <c r="CNN1193" s="7"/>
      <c r="CNO1193" s="7"/>
      <c r="CNP1193" s="7"/>
      <c r="CNQ1193" s="7"/>
      <c r="CNR1193" s="7"/>
      <c r="CNS1193" s="7"/>
      <c r="CNT1193" s="7"/>
      <c r="CNU1193" s="7"/>
      <c r="CNV1193" s="7"/>
      <c r="CNW1193" s="7"/>
      <c r="CNX1193" s="7"/>
      <c r="CNY1193" s="7"/>
      <c r="CNZ1193" s="7"/>
      <c r="COA1193" s="7"/>
      <c r="COB1193" s="7"/>
      <c r="COC1193" s="7"/>
      <c r="COD1193" s="7"/>
      <c r="COE1193" s="7"/>
      <c r="COF1193" s="7"/>
      <c r="COG1193" s="7"/>
      <c r="COH1193" s="7"/>
      <c r="COI1193" s="7"/>
      <c r="COJ1193" s="7"/>
      <c r="COK1193" s="7"/>
      <c r="COL1193" s="7"/>
      <c r="COM1193" s="7"/>
      <c r="CON1193" s="7"/>
      <c r="COO1193" s="7"/>
      <c r="COP1193" s="7"/>
      <c r="COQ1193" s="7"/>
      <c r="COR1193" s="7"/>
      <c r="COS1193" s="7"/>
      <c r="COT1193" s="7"/>
      <c r="COU1193" s="7"/>
      <c r="COV1193" s="7"/>
      <c r="COW1193" s="7"/>
      <c r="COX1193" s="7"/>
      <c r="COY1193" s="7"/>
      <c r="COZ1193" s="7"/>
      <c r="CPA1193" s="7"/>
      <c r="CPB1193" s="7"/>
      <c r="CPC1193" s="7"/>
      <c r="CPD1193" s="7"/>
      <c r="CPE1193" s="7"/>
      <c r="CPF1193" s="7"/>
      <c r="CPG1193" s="7"/>
      <c r="CPH1193" s="7"/>
      <c r="CPI1193" s="7"/>
      <c r="CPJ1193" s="7"/>
      <c r="CPK1193" s="7"/>
      <c r="CPL1193" s="7"/>
      <c r="CPM1193" s="7"/>
      <c r="CPN1193" s="7"/>
      <c r="CPO1193" s="7"/>
      <c r="CPP1193" s="7"/>
      <c r="CPQ1193" s="7"/>
      <c r="CPR1193" s="7"/>
      <c r="CPS1193" s="7"/>
      <c r="CPT1193" s="7"/>
      <c r="CPU1193" s="7"/>
      <c r="CPV1193" s="7"/>
      <c r="CPW1193" s="7"/>
      <c r="CPX1193" s="7"/>
      <c r="CPY1193" s="7"/>
      <c r="CPZ1193" s="7"/>
      <c r="CQA1193" s="7"/>
      <c r="CQB1193" s="7"/>
      <c r="CQC1193" s="7"/>
      <c r="CQD1193" s="7"/>
      <c r="CQE1193" s="7"/>
      <c r="CQF1193" s="7"/>
      <c r="CQG1193" s="7"/>
      <c r="CQH1193" s="7"/>
      <c r="CQI1193" s="7"/>
      <c r="CQJ1193" s="7"/>
      <c r="CQK1193" s="7"/>
      <c r="CQL1193" s="7"/>
      <c r="CQM1193" s="7"/>
      <c r="CQN1193" s="7"/>
      <c r="CQO1193" s="7"/>
      <c r="CQP1193" s="7"/>
      <c r="CQQ1193" s="7"/>
      <c r="CQR1193" s="7"/>
      <c r="CQS1193" s="7"/>
      <c r="CQT1193" s="7"/>
      <c r="CQU1193" s="7"/>
      <c r="CQV1193" s="7"/>
      <c r="CQW1193" s="7"/>
      <c r="CQX1193" s="7"/>
      <c r="CQY1193" s="7"/>
      <c r="CQZ1193" s="7"/>
      <c r="CRA1193" s="7"/>
      <c r="CRB1193" s="7"/>
      <c r="CRC1193" s="7"/>
      <c r="CRD1193" s="7"/>
      <c r="CRE1193" s="7"/>
      <c r="CRF1193" s="7"/>
      <c r="CRG1193" s="7"/>
      <c r="CRH1193" s="7"/>
      <c r="CRI1193" s="7"/>
      <c r="CRJ1193" s="7"/>
      <c r="CRK1193" s="7"/>
      <c r="CRL1193" s="7"/>
      <c r="CRM1193" s="7"/>
      <c r="CRN1193" s="7"/>
      <c r="CRO1193" s="7"/>
      <c r="CRP1193" s="7"/>
      <c r="CRQ1193" s="7"/>
      <c r="CRR1193" s="7"/>
      <c r="CRS1193" s="7"/>
      <c r="CRT1193" s="7"/>
      <c r="CRU1193" s="7"/>
      <c r="CRV1193" s="7"/>
      <c r="CRW1193" s="7"/>
      <c r="CRX1193" s="7"/>
      <c r="CRY1193" s="7"/>
      <c r="CRZ1193" s="7"/>
      <c r="CSA1193" s="7"/>
      <c r="CSB1193" s="7"/>
      <c r="CSC1193" s="7"/>
      <c r="CSD1193" s="7"/>
      <c r="CSE1193" s="7"/>
      <c r="CSF1193" s="7"/>
      <c r="CSG1193" s="7"/>
      <c r="CSH1193" s="7"/>
      <c r="CSI1193" s="7"/>
      <c r="CSJ1193" s="7"/>
      <c r="CSK1193" s="7"/>
      <c r="CSL1193" s="7"/>
      <c r="CSM1193" s="7"/>
      <c r="CSN1193" s="7"/>
      <c r="CSO1193" s="7"/>
      <c r="CSP1193" s="7"/>
      <c r="CSQ1193" s="7"/>
      <c r="CSR1193" s="7"/>
      <c r="CSS1193" s="7"/>
      <c r="CST1193" s="7"/>
      <c r="CSU1193" s="7"/>
      <c r="CSV1193" s="7"/>
      <c r="CSW1193" s="7"/>
      <c r="CSX1193" s="7"/>
      <c r="CSY1193" s="7"/>
      <c r="CSZ1193" s="7"/>
      <c r="CTA1193" s="7"/>
      <c r="CTB1193" s="7"/>
      <c r="CTC1193" s="7"/>
      <c r="CTD1193" s="7"/>
      <c r="CTE1193" s="7"/>
      <c r="CTF1193" s="7"/>
      <c r="CTG1193" s="7"/>
      <c r="CTH1193" s="7"/>
      <c r="CTI1193" s="7"/>
      <c r="CTJ1193" s="7"/>
      <c r="CTK1193" s="7"/>
      <c r="CTL1193" s="7"/>
      <c r="CTM1193" s="7"/>
      <c r="CTN1193" s="7"/>
      <c r="CTO1193" s="7"/>
      <c r="CTP1193" s="7"/>
      <c r="CTQ1193" s="7"/>
      <c r="CTR1193" s="7"/>
      <c r="CTS1193" s="7"/>
      <c r="CTT1193" s="7"/>
      <c r="CTU1193" s="7"/>
      <c r="CTV1193" s="7"/>
      <c r="CTW1193" s="7"/>
      <c r="CTX1193" s="7"/>
      <c r="CTY1193" s="7"/>
      <c r="CTZ1193" s="7"/>
      <c r="CUA1193" s="7"/>
      <c r="CUB1193" s="7"/>
      <c r="CUC1193" s="7"/>
      <c r="CUD1193" s="7"/>
      <c r="CUE1193" s="7"/>
      <c r="CUF1193" s="7"/>
      <c r="CUG1193" s="7"/>
      <c r="CUH1193" s="7"/>
      <c r="CUI1193" s="7"/>
      <c r="CUJ1193" s="7"/>
      <c r="CUK1193" s="7"/>
      <c r="CUL1193" s="7"/>
      <c r="CUM1193" s="7"/>
      <c r="CUN1193" s="7"/>
      <c r="CUO1193" s="7"/>
      <c r="CUP1193" s="7"/>
      <c r="CUQ1193" s="7"/>
      <c r="CUR1193" s="7"/>
      <c r="CUS1193" s="7"/>
      <c r="CUT1193" s="7"/>
      <c r="CUU1193" s="7"/>
      <c r="CUV1193" s="7"/>
      <c r="CUW1193" s="7"/>
      <c r="CUX1193" s="7"/>
      <c r="CUY1193" s="7"/>
      <c r="CUZ1193" s="7"/>
      <c r="CVA1193" s="7"/>
      <c r="CVB1193" s="7"/>
      <c r="CVC1193" s="7"/>
      <c r="CVD1193" s="7"/>
      <c r="CVE1193" s="7"/>
      <c r="CVF1193" s="7"/>
      <c r="CVG1193" s="7"/>
      <c r="CVH1193" s="7"/>
      <c r="CVI1193" s="7"/>
      <c r="CVJ1193" s="7"/>
      <c r="CVK1193" s="7"/>
      <c r="CVL1193" s="7"/>
      <c r="CVM1193" s="7"/>
      <c r="CVN1193" s="7"/>
      <c r="CVO1193" s="7"/>
      <c r="CVP1193" s="7"/>
      <c r="CVQ1193" s="7"/>
      <c r="CVR1193" s="7"/>
      <c r="CVS1193" s="7"/>
      <c r="CVT1193" s="7"/>
      <c r="CVU1193" s="7"/>
      <c r="CVV1193" s="7"/>
      <c r="CVW1193" s="7"/>
      <c r="CVX1193" s="7"/>
      <c r="CVY1193" s="7"/>
      <c r="CVZ1193" s="7"/>
      <c r="CWA1193" s="7"/>
      <c r="CWB1193" s="7"/>
      <c r="CWC1193" s="7"/>
      <c r="CWD1193" s="7"/>
      <c r="CWE1193" s="7"/>
      <c r="CWF1193" s="7"/>
      <c r="CWG1193" s="7"/>
      <c r="CWH1193" s="7"/>
      <c r="CWI1193" s="7"/>
      <c r="CWJ1193" s="7"/>
      <c r="CWK1193" s="7"/>
      <c r="CWL1193" s="7"/>
      <c r="CWM1193" s="7"/>
      <c r="CWN1193" s="7"/>
      <c r="CWO1193" s="7"/>
      <c r="CWP1193" s="7"/>
      <c r="CWQ1193" s="7"/>
      <c r="CWR1193" s="7"/>
      <c r="CWS1193" s="7"/>
      <c r="CWT1193" s="7"/>
      <c r="CWU1193" s="7"/>
      <c r="CWV1193" s="7"/>
      <c r="CWW1193" s="7"/>
      <c r="CWX1193" s="7"/>
      <c r="CWY1193" s="7"/>
      <c r="CWZ1193" s="7"/>
      <c r="CXA1193" s="7"/>
      <c r="CXB1193" s="7"/>
      <c r="CXC1193" s="7"/>
      <c r="CXD1193" s="7"/>
      <c r="CXE1193" s="7"/>
      <c r="CXF1193" s="7"/>
      <c r="CXG1193" s="7"/>
      <c r="CXH1193" s="7"/>
      <c r="CXI1193" s="7"/>
      <c r="CXJ1193" s="7"/>
      <c r="CXK1193" s="7"/>
      <c r="CXL1193" s="7"/>
      <c r="CXM1193" s="7"/>
      <c r="CXN1193" s="7"/>
      <c r="CXO1193" s="7"/>
      <c r="CXP1193" s="7"/>
      <c r="CXQ1193" s="7"/>
      <c r="CXR1193" s="7"/>
      <c r="CXS1193" s="7"/>
      <c r="CXT1193" s="7"/>
      <c r="CXU1193" s="7"/>
      <c r="CXV1193" s="7"/>
      <c r="CXW1193" s="7"/>
      <c r="CXX1193" s="7"/>
      <c r="CXY1193" s="7"/>
      <c r="CXZ1193" s="7"/>
      <c r="CYA1193" s="7"/>
      <c r="CYB1193" s="7"/>
      <c r="CYC1193" s="7"/>
      <c r="CYD1193" s="7"/>
      <c r="CYE1193" s="7"/>
      <c r="CYF1193" s="7"/>
      <c r="CYG1193" s="7"/>
      <c r="CYH1193" s="7"/>
      <c r="CYI1193" s="7"/>
      <c r="CYJ1193" s="7"/>
      <c r="CYK1193" s="7"/>
      <c r="CYL1193" s="7"/>
      <c r="CYM1193" s="7"/>
      <c r="CYN1193" s="7"/>
      <c r="CYO1193" s="7"/>
      <c r="CYP1193" s="7"/>
      <c r="CYQ1193" s="7"/>
      <c r="CYR1193" s="7"/>
      <c r="CYS1193" s="7"/>
      <c r="CYT1193" s="7"/>
      <c r="CYU1193" s="7"/>
      <c r="CYV1193" s="7"/>
      <c r="CYW1193" s="7"/>
      <c r="CYX1193" s="7"/>
      <c r="CYY1193" s="7"/>
      <c r="CYZ1193" s="7"/>
      <c r="CZA1193" s="7"/>
      <c r="CZB1193" s="7"/>
      <c r="CZC1193" s="7"/>
      <c r="CZD1193" s="7"/>
      <c r="CZE1193" s="7"/>
      <c r="CZF1193" s="7"/>
      <c r="CZG1193" s="7"/>
      <c r="CZH1193" s="7"/>
      <c r="CZI1193" s="7"/>
      <c r="CZJ1193" s="7"/>
      <c r="CZK1193" s="7"/>
      <c r="CZL1193" s="7"/>
      <c r="CZM1193" s="7"/>
      <c r="CZN1193" s="7"/>
      <c r="CZO1193" s="7"/>
      <c r="CZP1193" s="7"/>
      <c r="CZQ1193" s="7"/>
      <c r="CZR1193" s="7"/>
      <c r="CZS1193" s="7"/>
      <c r="CZT1193" s="7"/>
      <c r="CZU1193" s="7"/>
      <c r="CZV1193" s="7"/>
      <c r="CZW1193" s="7"/>
      <c r="CZX1193" s="7"/>
      <c r="CZY1193" s="7"/>
      <c r="CZZ1193" s="7"/>
      <c r="DAA1193" s="7"/>
      <c r="DAB1193" s="7"/>
      <c r="DAC1193" s="7"/>
      <c r="DAD1193" s="7"/>
      <c r="DAE1193" s="7"/>
      <c r="DAF1193" s="7"/>
      <c r="DAG1193" s="7"/>
      <c r="DAH1193" s="7"/>
      <c r="DAI1193" s="7"/>
      <c r="DAJ1193" s="7"/>
      <c r="DAK1193" s="7"/>
      <c r="DAL1193" s="7"/>
      <c r="DAM1193" s="7"/>
      <c r="DAN1193" s="7"/>
      <c r="DAO1193" s="7"/>
      <c r="DAP1193" s="7"/>
      <c r="DAQ1193" s="7"/>
      <c r="DAR1193" s="7"/>
      <c r="DAS1193" s="7"/>
      <c r="DAT1193" s="7"/>
      <c r="DAU1193" s="7"/>
      <c r="DAV1193" s="7"/>
      <c r="DAW1193" s="7"/>
      <c r="DAX1193" s="7"/>
      <c r="DAY1193" s="7"/>
      <c r="DAZ1193" s="7"/>
      <c r="DBA1193" s="7"/>
      <c r="DBB1193" s="7"/>
      <c r="DBC1193" s="7"/>
      <c r="DBD1193" s="7"/>
      <c r="DBE1193" s="7"/>
      <c r="DBF1193" s="7"/>
      <c r="DBG1193" s="7"/>
      <c r="DBH1193" s="7"/>
      <c r="DBI1193" s="7"/>
      <c r="DBJ1193" s="7"/>
      <c r="DBK1193" s="7"/>
      <c r="DBL1193" s="7"/>
      <c r="DBM1193" s="7"/>
      <c r="DBN1193" s="7"/>
      <c r="DBO1193" s="7"/>
      <c r="DBP1193" s="7"/>
      <c r="DBQ1193" s="7"/>
      <c r="DBR1193" s="7"/>
      <c r="DBS1193" s="7"/>
      <c r="DBT1193" s="7"/>
      <c r="DBU1193" s="7"/>
      <c r="DBV1193" s="7"/>
      <c r="DBW1193" s="7"/>
      <c r="DBX1193" s="7"/>
      <c r="DBY1193" s="7"/>
      <c r="DBZ1193" s="7"/>
      <c r="DCA1193" s="7"/>
      <c r="DCB1193" s="7"/>
      <c r="DCC1193" s="7"/>
      <c r="DCD1193" s="7"/>
      <c r="DCE1193" s="7"/>
      <c r="DCF1193" s="7"/>
      <c r="DCG1193" s="7"/>
      <c r="DCH1193" s="7"/>
      <c r="DCI1193" s="7"/>
      <c r="DCJ1193" s="7"/>
      <c r="DCK1193" s="7"/>
      <c r="DCL1193" s="7"/>
      <c r="DCM1193" s="7"/>
      <c r="DCN1193" s="7"/>
      <c r="DCO1193" s="7"/>
      <c r="DCP1193" s="7"/>
      <c r="DCQ1193" s="7"/>
      <c r="DCR1193" s="7"/>
      <c r="DCS1193" s="7"/>
      <c r="DCT1193" s="7"/>
      <c r="DCU1193" s="7"/>
      <c r="DCV1193" s="7"/>
      <c r="DCW1193" s="7"/>
      <c r="DCX1193" s="7"/>
      <c r="DCY1193" s="7"/>
      <c r="DCZ1193" s="7"/>
      <c r="DDA1193" s="7"/>
      <c r="DDB1193" s="7"/>
      <c r="DDC1193" s="7"/>
      <c r="DDD1193" s="7"/>
      <c r="DDE1193" s="7"/>
      <c r="DDF1193" s="7"/>
      <c r="DDG1193" s="7"/>
      <c r="DDH1193" s="7"/>
      <c r="DDI1193" s="7"/>
      <c r="DDJ1193" s="7"/>
      <c r="DDK1193" s="7"/>
      <c r="DDL1193" s="7"/>
      <c r="DDM1193" s="7"/>
      <c r="DDN1193" s="7"/>
      <c r="DDO1193" s="7"/>
      <c r="DDP1193" s="7"/>
      <c r="DDQ1193" s="7"/>
      <c r="DDR1193" s="7"/>
      <c r="DDS1193" s="7"/>
      <c r="DDT1193" s="7"/>
      <c r="DDU1193" s="7"/>
      <c r="DDV1193" s="7"/>
      <c r="DDW1193" s="7"/>
      <c r="DDX1193" s="7"/>
      <c r="DDY1193" s="7"/>
      <c r="DDZ1193" s="7"/>
      <c r="DEA1193" s="7"/>
      <c r="DEB1193" s="7"/>
      <c r="DEC1193" s="7"/>
      <c r="DED1193" s="7"/>
      <c r="DEE1193" s="7"/>
      <c r="DEF1193" s="7"/>
      <c r="DEG1193" s="7"/>
      <c r="DEH1193" s="7"/>
      <c r="DEI1193" s="7"/>
      <c r="DEJ1193" s="7"/>
      <c r="DEK1193" s="7"/>
      <c r="DEL1193" s="7"/>
      <c r="DEM1193" s="7"/>
      <c r="DEN1193" s="7"/>
      <c r="DEO1193" s="7"/>
      <c r="DEP1193" s="7"/>
      <c r="DEQ1193" s="7"/>
      <c r="DER1193" s="7"/>
      <c r="DES1193" s="7"/>
      <c r="DET1193" s="7"/>
      <c r="DEU1193" s="7"/>
      <c r="DEV1193" s="7"/>
      <c r="DEW1193" s="7"/>
      <c r="DEX1193" s="7"/>
      <c r="DEY1193" s="7"/>
      <c r="DEZ1193" s="7"/>
      <c r="DFA1193" s="7"/>
      <c r="DFB1193" s="7"/>
      <c r="DFC1193" s="7"/>
      <c r="DFD1193" s="7"/>
      <c r="DFE1193" s="7"/>
      <c r="DFF1193" s="7"/>
      <c r="DFG1193" s="7"/>
      <c r="DFH1193" s="7"/>
      <c r="DFI1193" s="7"/>
      <c r="DFJ1193" s="7"/>
      <c r="DFK1193" s="7"/>
      <c r="DFL1193" s="7"/>
      <c r="DFM1193" s="7"/>
      <c r="DFN1193" s="7"/>
      <c r="DFO1193" s="7"/>
      <c r="DFP1193" s="7"/>
      <c r="DFQ1193" s="7"/>
      <c r="DFR1193" s="7"/>
      <c r="DFS1193" s="7"/>
      <c r="DFT1193" s="7"/>
      <c r="DFU1193" s="7"/>
      <c r="DFV1193" s="7"/>
      <c r="DFW1193" s="7"/>
      <c r="DFX1193" s="7"/>
      <c r="DFY1193" s="7"/>
      <c r="DFZ1193" s="7"/>
      <c r="DGA1193" s="7"/>
      <c r="DGB1193" s="7"/>
      <c r="DGC1193" s="7"/>
      <c r="DGD1193" s="7"/>
      <c r="DGE1193" s="7"/>
      <c r="DGF1193" s="7"/>
      <c r="DGG1193" s="7"/>
      <c r="DGH1193" s="7"/>
      <c r="DGI1193" s="7"/>
      <c r="DGJ1193" s="7"/>
      <c r="DGK1193" s="7"/>
      <c r="DGL1193" s="7"/>
      <c r="DGM1193" s="7"/>
      <c r="DGN1193" s="7"/>
      <c r="DGO1193" s="7"/>
      <c r="DGP1193" s="7"/>
      <c r="DGQ1193" s="7"/>
      <c r="DGR1193" s="7"/>
      <c r="DGS1193" s="7"/>
      <c r="DGT1193" s="7"/>
      <c r="DGU1193" s="7"/>
      <c r="DGV1193" s="7"/>
      <c r="DGW1193" s="7"/>
      <c r="DGX1193" s="7"/>
      <c r="DGY1193" s="7"/>
      <c r="DGZ1193" s="7"/>
      <c r="DHA1193" s="7"/>
      <c r="DHB1193" s="7"/>
      <c r="DHC1193" s="7"/>
      <c r="DHD1193" s="7"/>
      <c r="DHE1193" s="7"/>
      <c r="DHF1193" s="7"/>
      <c r="DHG1193" s="7"/>
      <c r="DHH1193" s="7"/>
      <c r="DHI1193" s="7"/>
      <c r="DHJ1193" s="7"/>
      <c r="DHK1193" s="7"/>
      <c r="DHL1193" s="7"/>
      <c r="DHM1193" s="7"/>
      <c r="DHN1193" s="7"/>
      <c r="DHO1193" s="7"/>
      <c r="DHP1193" s="7"/>
      <c r="DHQ1193" s="7"/>
      <c r="DHR1193" s="7"/>
      <c r="DHS1193" s="7"/>
      <c r="DHT1193" s="7"/>
      <c r="DHU1193" s="7"/>
      <c r="DHV1193" s="7"/>
      <c r="DHW1193" s="7"/>
      <c r="DHX1193" s="7"/>
      <c r="DHY1193" s="7"/>
      <c r="DHZ1193" s="7"/>
      <c r="DIA1193" s="7"/>
      <c r="DIB1193" s="7"/>
      <c r="DIC1193" s="7"/>
      <c r="DID1193" s="7"/>
      <c r="DIE1193" s="7"/>
      <c r="DIF1193" s="7"/>
      <c r="DIG1193" s="7"/>
      <c r="DIH1193" s="7"/>
      <c r="DII1193" s="7"/>
      <c r="DIJ1193" s="7"/>
      <c r="DIK1193" s="7"/>
      <c r="DIL1193" s="7"/>
      <c r="DIM1193" s="7"/>
      <c r="DIN1193" s="7"/>
      <c r="DIO1193" s="7"/>
      <c r="DIP1193" s="7"/>
      <c r="DIQ1193" s="7"/>
      <c r="DIR1193" s="7"/>
      <c r="DIS1193" s="7"/>
      <c r="DIT1193" s="7"/>
      <c r="DIU1193" s="7"/>
      <c r="DIV1193" s="7"/>
      <c r="DIW1193" s="7"/>
      <c r="DIX1193" s="7"/>
      <c r="DIY1193" s="7"/>
      <c r="DIZ1193" s="7"/>
      <c r="DJA1193" s="7"/>
      <c r="DJB1193" s="7"/>
      <c r="DJC1193" s="7"/>
      <c r="DJD1193" s="7"/>
      <c r="DJE1193" s="7"/>
      <c r="DJF1193" s="7"/>
      <c r="DJG1193" s="7"/>
      <c r="DJH1193" s="7"/>
      <c r="DJI1193" s="7"/>
      <c r="DJJ1193" s="7"/>
      <c r="DJK1193" s="7"/>
      <c r="DJL1193" s="7"/>
      <c r="DJM1193" s="7"/>
      <c r="DJN1193" s="7"/>
      <c r="DJO1193" s="7"/>
      <c r="DJP1193" s="7"/>
      <c r="DJQ1193" s="7"/>
      <c r="DJR1193" s="7"/>
      <c r="DJS1193" s="7"/>
      <c r="DJT1193" s="7"/>
      <c r="DJU1193" s="7"/>
      <c r="DJV1193" s="7"/>
      <c r="DJW1193" s="7"/>
      <c r="DJX1193" s="7"/>
      <c r="DJY1193" s="7"/>
      <c r="DJZ1193" s="7"/>
      <c r="DKA1193" s="7"/>
      <c r="DKB1193" s="7"/>
      <c r="DKC1193" s="7"/>
      <c r="DKD1193" s="7"/>
      <c r="DKE1193" s="7"/>
      <c r="DKF1193" s="7"/>
      <c r="DKG1193" s="7"/>
      <c r="DKH1193" s="7"/>
      <c r="DKI1193" s="7"/>
      <c r="DKJ1193" s="7"/>
      <c r="DKK1193" s="7"/>
      <c r="DKL1193" s="7"/>
      <c r="DKM1193" s="7"/>
      <c r="DKN1193" s="7"/>
      <c r="DKO1193" s="7"/>
      <c r="DKP1193" s="7"/>
      <c r="DKQ1193" s="7"/>
      <c r="DKR1193" s="7"/>
      <c r="DKS1193" s="7"/>
      <c r="DKT1193" s="7"/>
      <c r="DKU1193" s="7"/>
      <c r="DKV1193" s="7"/>
      <c r="DKW1193" s="7"/>
      <c r="DKX1193" s="7"/>
      <c r="DKY1193" s="7"/>
      <c r="DKZ1193" s="7"/>
      <c r="DLA1193" s="7"/>
      <c r="DLB1193" s="7"/>
      <c r="DLC1193" s="7"/>
      <c r="DLD1193" s="7"/>
      <c r="DLE1193" s="7"/>
      <c r="DLF1193" s="7"/>
      <c r="DLG1193" s="7"/>
      <c r="DLH1193" s="7"/>
      <c r="DLI1193" s="7"/>
      <c r="DLJ1193" s="7"/>
      <c r="DLK1193" s="7"/>
      <c r="DLL1193" s="7"/>
      <c r="DLM1193" s="7"/>
      <c r="DLN1193" s="7"/>
      <c r="DLO1193" s="7"/>
      <c r="DLP1193" s="7"/>
      <c r="DLQ1193" s="7"/>
      <c r="DLR1193" s="7"/>
      <c r="DLS1193" s="7"/>
      <c r="DLT1193" s="7"/>
      <c r="DLU1193" s="7"/>
      <c r="DLV1193" s="7"/>
      <c r="DLW1193" s="7"/>
      <c r="DLX1193" s="7"/>
      <c r="DLY1193" s="7"/>
      <c r="DLZ1193" s="7"/>
      <c r="DMA1193" s="7"/>
      <c r="DMB1193" s="7"/>
      <c r="DMC1193" s="7"/>
      <c r="DMD1193" s="7"/>
      <c r="DME1193" s="7"/>
      <c r="DMF1193" s="7"/>
      <c r="DMG1193" s="7"/>
      <c r="DMH1193" s="7"/>
      <c r="DMI1193" s="7"/>
      <c r="DMJ1193" s="7"/>
      <c r="DMK1193" s="7"/>
      <c r="DML1193" s="7"/>
      <c r="DMM1193" s="7"/>
      <c r="DMN1193" s="7"/>
      <c r="DMO1193" s="7"/>
      <c r="DMP1193" s="7"/>
      <c r="DMQ1193" s="7"/>
      <c r="DMR1193" s="7"/>
      <c r="DMS1193" s="7"/>
      <c r="DMT1193" s="7"/>
      <c r="DMU1193" s="7"/>
      <c r="DMV1193" s="7"/>
      <c r="DMW1193" s="7"/>
      <c r="DMX1193" s="7"/>
      <c r="DMY1193" s="7"/>
      <c r="DMZ1193" s="7"/>
      <c r="DNA1193" s="7"/>
      <c r="DNB1193" s="7"/>
      <c r="DNC1193" s="7"/>
      <c r="DND1193" s="7"/>
      <c r="DNE1193" s="7"/>
      <c r="DNF1193" s="7"/>
      <c r="DNG1193" s="7"/>
      <c r="DNH1193" s="7"/>
      <c r="DNI1193" s="7"/>
      <c r="DNJ1193" s="7"/>
      <c r="DNK1193" s="7"/>
      <c r="DNL1193" s="7"/>
      <c r="DNM1193" s="7"/>
      <c r="DNN1193" s="7"/>
      <c r="DNO1193" s="7"/>
      <c r="DNP1193" s="7"/>
      <c r="DNQ1193" s="7"/>
      <c r="DNR1193" s="7"/>
      <c r="DNS1193" s="7"/>
      <c r="DNT1193" s="7"/>
      <c r="DNU1193" s="7"/>
      <c r="DNV1193" s="7"/>
      <c r="DNW1193" s="7"/>
      <c r="DNX1193" s="7"/>
      <c r="DNY1193" s="7"/>
      <c r="DNZ1193" s="7"/>
      <c r="DOA1193" s="7"/>
      <c r="DOB1193" s="7"/>
      <c r="DOC1193" s="7"/>
      <c r="DOD1193" s="7"/>
      <c r="DOE1193" s="7"/>
      <c r="DOF1193" s="7"/>
      <c r="DOG1193" s="7"/>
      <c r="DOH1193" s="7"/>
      <c r="DOI1193" s="7"/>
      <c r="DOJ1193" s="7"/>
      <c r="DOK1193" s="7"/>
      <c r="DOL1193" s="7"/>
      <c r="DOM1193" s="7"/>
      <c r="DON1193" s="7"/>
      <c r="DOO1193" s="7"/>
      <c r="DOP1193" s="7"/>
      <c r="DOQ1193" s="7"/>
      <c r="DOR1193" s="7"/>
      <c r="DOS1193" s="7"/>
      <c r="DOT1193" s="7"/>
      <c r="DOU1193" s="7"/>
      <c r="DOV1193" s="7"/>
      <c r="DOW1193" s="7"/>
      <c r="DOX1193" s="7"/>
      <c r="DOY1193" s="7"/>
      <c r="DOZ1193" s="7"/>
      <c r="DPA1193" s="7"/>
      <c r="DPB1193" s="7"/>
      <c r="DPC1193" s="7"/>
      <c r="DPD1193" s="7"/>
      <c r="DPE1193" s="7"/>
      <c r="DPF1193" s="7"/>
      <c r="DPG1193" s="7"/>
      <c r="DPH1193" s="7"/>
      <c r="DPI1193" s="7"/>
      <c r="DPJ1193" s="7"/>
      <c r="DPK1193" s="7"/>
      <c r="DPL1193" s="7"/>
      <c r="DPM1193" s="7"/>
      <c r="DPN1193" s="7"/>
      <c r="DPO1193" s="7"/>
      <c r="DPP1193" s="7"/>
      <c r="DPQ1193" s="7"/>
      <c r="DPR1193" s="7"/>
      <c r="DPS1193" s="7"/>
      <c r="DPT1193" s="7"/>
      <c r="DPU1193" s="7"/>
      <c r="DPV1193" s="7"/>
      <c r="DPW1193" s="7"/>
      <c r="DPX1193" s="7"/>
      <c r="DPY1193" s="7"/>
      <c r="DPZ1193" s="7"/>
      <c r="DQA1193" s="7"/>
      <c r="DQB1193" s="7"/>
      <c r="DQC1193" s="7"/>
      <c r="DQD1193" s="7"/>
      <c r="DQE1193" s="7"/>
      <c r="DQF1193" s="7"/>
      <c r="DQG1193" s="7"/>
      <c r="DQH1193" s="7"/>
      <c r="DQI1193" s="7"/>
      <c r="DQJ1193" s="7"/>
      <c r="DQK1193" s="7"/>
      <c r="DQL1193" s="7"/>
      <c r="DQM1193" s="7"/>
      <c r="DQN1193" s="7"/>
      <c r="DQO1193" s="7"/>
      <c r="DQP1193" s="7"/>
      <c r="DQQ1193" s="7"/>
      <c r="DQR1193" s="7"/>
      <c r="DQS1193" s="7"/>
      <c r="DQT1193" s="7"/>
      <c r="DQU1193" s="7"/>
      <c r="DQV1193" s="7"/>
      <c r="DQW1193" s="7"/>
      <c r="DQX1193" s="7"/>
      <c r="DQY1193" s="7"/>
      <c r="DQZ1193" s="7"/>
      <c r="DRA1193" s="7"/>
      <c r="DRB1193" s="7"/>
      <c r="DRC1193" s="7"/>
      <c r="DRD1193" s="7"/>
      <c r="DRE1193" s="7"/>
      <c r="DRF1193" s="7"/>
      <c r="DRG1193" s="7"/>
      <c r="DRH1193" s="7"/>
      <c r="DRI1193" s="7"/>
      <c r="DRJ1193" s="7"/>
      <c r="DRK1193" s="7"/>
      <c r="DRL1193" s="7"/>
      <c r="DRM1193" s="7"/>
      <c r="DRN1193" s="7"/>
      <c r="DRO1193" s="7"/>
      <c r="DRP1193" s="7"/>
      <c r="DRQ1193" s="7"/>
      <c r="DRR1193" s="7"/>
      <c r="DRS1193" s="7"/>
      <c r="DRT1193" s="7"/>
      <c r="DRU1193" s="7"/>
      <c r="DRV1193" s="7"/>
      <c r="DRW1193" s="7"/>
      <c r="DRX1193" s="7"/>
      <c r="DRY1193" s="7"/>
      <c r="DRZ1193" s="7"/>
      <c r="DSA1193" s="7"/>
      <c r="DSB1193" s="7"/>
      <c r="DSC1193" s="7"/>
      <c r="DSD1193" s="7"/>
      <c r="DSE1193" s="7"/>
      <c r="DSF1193" s="7"/>
      <c r="DSG1193" s="7"/>
      <c r="DSH1193" s="7"/>
      <c r="DSI1193" s="7"/>
      <c r="DSJ1193" s="7"/>
      <c r="DSK1193" s="7"/>
      <c r="DSL1193" s="7"/>
      <c r="DSM1193" s="7"/>
      <c r="DSN1193" s="7"/>
      <c r="DSO1193" s="7"/>
      <c r="DSP1193" s="7"/>
      <c r="DSQ1193" s="7"/>
      <c r="DSR1193" s="7"/>
      <c r="DSS1193" s="7"/>
      <c r="DST1193" s="7"/>
      <c r="DSU1193" s="7"/>
      <c r="DSV1193" s="7"/>
      <c r="DSW1193" s="7"/>
      <c r="DSX1193" s="7"/>
      <c r="DSY1193" s="7"/>
      <c r="DSZ1193" s="7"/>
      <c r="DTA1193" s="7"/>
      <c r="DTB1193" s="7"/>
      <c r="DTC1193" s="7"/>
      <c r="DTD1193" s="7"/>
      <c r="DTE1193" s="7"/>
      <c r="DTF1193" s="7"/>
      <c r="DTG1193" s="7"/>
      <c r="DTH1193" s="7"/>
      <c r="DTI1193" s="7"/>
      <c r="DTJ1193" s="7"/>
      <c r="DTK1193" s="7"/>
      <c r="DTL1193" s="7"/>
      <c r="DTM1193" s="7"/>
      <c r="DTN1193" s="7"/>
      <c r="DTO1193" s="7"/>
      <c r="DTP1193" s="7"/>
      <c r="DTQ1193" s="7"/>
      <c r="DTR1193" s="7"/>
      <c r="DTS1193" s="7"/>
      <c r="DTT1193" s="7"/>
      <c r="DTU1193" s="7"/>
      <c r="DTV1193" s="7"/>
      <c r="DTW1193" s="7"/>
      <c r="DTX1193" s="7"/>
      <c r="DTY1193" s="7"/>
      <c r="DTZ1193" s="7"/>
      <c r="DUA1193" s="7"/>
      <c r="DUB1193" s="7"/>
      <c r="DUC1193" s="7"/>
      <c r="DUD1193" s="7"/>
      <c r="DUE1193" s="7"/>
      <c r="DUF1193" s="7"/>
      <c r="DUG1193" s="7"/>
      <c r="DUH1193" s="7"/>
      <c r="DUI1193" s="7"/>
      <c r="DUJ1193" s="7"/>
      <c r="DUK1193" s="7"/>
      <c r="DUL1193" s="7"/>
      <c r="DUM1193" s="7"/>
      <c r="DUN1193" s="7"/>
      <c r="DUO1193" s="7"/>
      <c r="DUP1193" s="7"/>
      <c r="DUQ1193" s="7"/>
      <c r="DUR1193" s="7"/>
      <c r="DUS1193" s="7"/>
      <c r="DUT1193" s="7"/>
      <c r="DUU1193" s="7"/>
      <c r="DUV1193" s="7"/>
      <c r="DUW1193" s="7"/>
      <c r="DUX1193" s="7"/>
      <c r="DUY1193" s="7"/>
      <c r="DUZ1193" s="7"/>
      <c r="DVA1193" s="7"/>
      <c r="DVB1193" s="7"/>
      <c r="DVC1193" s="7"/>
      <c r="DVD1193" s="7"/>
      <c r="DVE1193" s="7"/>
      <c r="DVF1193" s="7"/>
      <c r="DVG1193" s="7"/>
      <c r="DVH1193" s="7"/>
      <c r="DVI1193" s="7"/>
      <c r="DVJ1193" s="7"/>
      <c r="DVK1193" s="7"/>
      <c r="DVL1193" s="7"/>
      <c r="DVM1193" s="7"/>
      <c r="DVN1193" s="7"/>
      <c r="DVO1193" s="7"/>
      <c r="DVP1193" s="7"/>
      <c r="DVQ1193" s="7"/>
      <c r="DVR1193" s="7"/>
      <c r="DVS1193" s="7"/>
      <c r="DVT1193" s="7"/>
      <c r="DVU1193" s="7"/>
      <c r="DVV1193" s="7"/>
      <c r="DVW1193" s="7"/>
      <c r="DVX1193" s="7"/>
      <c r="DVY1193" s="7"/>
      <c r="DVZ1193" s="7"/>
      <c r="DWA1193" s="7"/>
      <c r="DWB1193" s="7"/>
      <c r="DWC1193" s="7"/>
      <c r="DWD1193" s="7"/>
      <c r="DWE1193" s="7"/>
      <c r="DWF1193" s="7"/>
      <c r="DWG1193" s="7"/>
      <c r="DWH1193" s="7"/>
      <c r="DWI1193" s="7"/>
      <c r="DWJ1193" s="7"/>
      <c r="DWK1193" s="7"/>
      <c r="DWL1193" s="7"/>
      <c r="DWM1193" s="7"/>
      <c r="DWN1193" s="7"/>
      <c r="DWO1193" s="7"/>
      <c r="DWP1193" s="7"/>
      <c r="DWQ1193" s="7"/>
      <c r="DWR1193" s="7"/>
      <c r="DWS1193" s="7"/>
      <c r="DWT1193" s="7"/>
      <c r="DWU1193" s="7"/>
      <c r="DWV1193" s="7"/>
      <c r="DWW1193" s="7"/>
      <c r="DWX1193" s="7"/>
      <c r="DWY1193" s="7"/>
      <c r="DWZ1193" s="7"/>
      <c r="DXA1193" s="7"/>
      <c r="DXB1193" s="7"/>
      <c r="DXC1193" s="7"/>
      <c r="DXD1193" s="7"/>
      <c r="DXE1193" s="7"/>
      <c r="DXF1193" s="7"/>
      <c r="DXG1193" s="7"/>
      <c r="DXH1193" s="7"/>
      <c r="DXI1193" s="7"/>
      <c r="DXJ1193" s="7"/>
      <c r="DXK1193" s="7"/>
      <c r="DXL1193" s="7"/>
      <c r="DXM1193" s="7"/>
      <c r="DXN1193" s="7"/>
      <c r="DXO1193" s="7"/>
      <c r="DXP1193" s="7"/>
      <c r="DXQ1193" s="7"/>
      <c r="DXR1193" s="7"/>
      <c r="DXS1193" s="7"/>
      <c r="DXT1193" s="7"/>
      <c r="DXU1193" s="7"/>
      <c r="DXV1193" s="7"/>
      <c r="DXW1193" s="7"/>
      <c r="DXX1193" s="7"/>
      <c r="DXY1193" s="7"/>
      <c r="DXZ1193" s="7"/>
      <c r="DYA1193" s="7"/>
      <c r="DYB1193" s="7"/>
      <c r="DYC1193" s="7"/>
      <c r="DYD1193" s="7"/>
      <c r="DYE1193" s="7"/>
      <c r="DYF1193" s="7"/>
      <c r="DYG1193" s="7"/>
      <c r="DYH1193" s="7"/>
      <c r="DYI1193" s="7"/>
      <c r="DYJ1193" s="7"/>
      <c r="DYK1193" s="7"/>
      <c r="DYL1193" s="7"/>
      <c r="DYM1193" s="7"/>
      <c r="DYN1193" s="7"/>
      <c r="DYO1193" s="7"/>
      <c r="DYP1193" s="7"/>
      <c r="DYQ1193" s="7"/>
      <c r="DYR1193" s="7"/>
      <c r="DYS1193" s="7"/>
      <c r="DYT1193" s="7"/>
      <c r="DYU1193" s="7"/>
      <c r="DYV1193" s="7"/>
      <c r="DYW1193" s="7"/>
      <c r="DYX1193" s="7"/>
      <c r="DYY1193" s="7"/>
      <c r="DYZ1193" s="7"/>
      <c r="DZA1193" s="7"/>
      <c r="DZB1193" s="7"/>
      <c r="DZC1193" s="7"/>
      <c r="DZD1193" s="7"/>
      <c r="DZE1193" s="7"/>
      <c r="DZF1193" s="7"/>
      <c r="DZG1193" s="7"/>
      <c r="DZH1193" s="7"/>
      <c r="DZI1193" s="7"/>
      <c r="DZJ1193" s="7"/>
      <c r="DZK1193" s="7"/>
      <c r="DZL1193" s="7"/>
      <c r="DZM1193" s="7"/>
      <c r="DZN1193" s="7"/>
      <c r="DZO1193" s="7"/>
      <c r="DZP1193" s="7"/>
      <c r="DZQ1193" s="7"/>
      <c r="DZR1193" s="7"/>
      <c r="DZS1193" s="7"/>
      <c r="DZT1193" s="7"/>
      <c r="DZU1193" s="7"/>
      <c r="DZV1193" s="7"/>
      <c r="DZW1193" s="7"/>
      <c r="DZX1193" s="7"/>
      <c r="DZY1193" s="7"/>
      <c r="DZZ1193" s="7"/>
      <c r="EAA1193" s="7"/>
      <c r="EAB1193" s="7"/>
      <c r="EAC1193" s="7"/>
      <c r="EAD1193" s="7"/>
      <c r="EAE1193" s="7"/>
      <c r="EAF1193" s="7"/>
      <c r="EAG1193" s="7"/>
      <c r="EAH1193" s="7"/>
      <c r="EAI1193" s="7"/>
      <c r="EAJ1193" s="7"/>
      <c r="EAK1193" s="7"/>
      <c r="EAL1193" s="7"/>
      <c r="EAM1193" s="7"/>
      <c r="EAN1193" s="7"/>
      <c r="EAO1193" s="7"/>
      <c r="EAP1193" s="7"/>
      <c r="EAQ1193" s="7"/>
      <c r="EAR1193" s="7"/>
      <c r="EAS1193" s="7"/>
      <c r="EAT1193" s="7"/>
      <c r="EAU1193" s="7"/>
      <c r="EAV1193" s="7"/>
      <c r="EAW1193" s="7"/>
      <c r="EAX1193" s="7"/>
      <c r="EAY1193" s="7"/>
      <c r="EAZ1193" s="7"/>
      <c r="EBA1193" s="7"/>
      <c r="EBB1193" s="7"/>
      <c r="EBC1193" s="7"/>
      <c r="EBD1193" s="7"/>
      <c r="EBE1193" s="7"/>
      <c r="EBF1193" s="7"/>
      <c r="EBG1193" s="7"/>
      <c r="EBH1193" s="7"/>
      <c r="EBI1193" s="7"/>
      <c r="EBJ1193" s="7"/>
      <c r="EBK1193" s="7"/>
      <c r="EBL1193" s="7"/>
      <c r="EBM1193" s="7"/>
      <c r="EBN1193" s="7"/>
      <c r="EBO1193" s="7"/>
      <c r="EBP1193" s="7"/>
      <c r="EBQ1193" s="7"/>
      <c r="EBR1193" s="7"/>
      <c r="EBS1193" s="7"/>
      <c r="EBT1193" s="7"/>
      <c r="EBU1193" s="7"/>
      <c r="EBV1193" s="7"/>
      <c r="EBW1193" s="7"/>
      <c r="EBX1193" s="7"/>
      <c r="EBY1193" s="7"/>
      <c r="EBZ1193" s="7"/>
      <c r="ECA1193" s="7"/>
      <c r="ECB1193" s="7"/>
      <c r="ECC1193" s="7"/>
      <c r="ECD1193" s="7"/>
      <c r="ECE1193" s="7"/>
      <c r="ECF1193" s="7"/>
      <c r="ECG1193" s="7"/>
      <c r="ECH1193" s="7"/>
      <c r="ECI1193" s="7"/>
      <c r="ECJ1193" s="7"/>
      <c r="ECK1193" s="7"/>
      <c r="ECL1193" s="7"/>
      <c r="ECM1193" s="7"/>
      <c r="ECN1193" s="7"/>
      <c r="ECO1193" s="7"/>
      <c r="ECP1193" s="7"/>
      <c r="ECQ1193" s="7"/>
      <c r="ECR1193" s="7"/>
      <c r="ECS1193" s="7"/>
      <c r="ECT1193" s="7"/>
      <c r="ECU1193" s="7"/>
      <c r="ECV1193" s="7"/>
      <c r="ECW1193" s="7"/>
      <c r="ECX1193" s="7"/>
      <c r="ECY1193" s="7"/>
      <c r="ECZ1193" s="7"/>
      <c r="EDA1193" s="7"/>
      <c r="EDB1193" s="7"/>
      <c r="EDC1193" s="7"/>
      <c r="EDD1193" s="7"/>
      <c r="EDE1193" s="7"/>
      <c r="EDF1193" s="7"/>
      <c r="EDG1193" s="7"/>
      <c r="EDH1193" s="7"/>
      <c r="EDI1193" s="7"/>
      <c r="EDJ1193" s="7"/>
      <c r="EDK1193" s="7"/>
      <c r="EDL1193" s="7"/>
      <c r="EDM1193" s="7"/>
      <c r="EDN1193" s="7"/>
      <c r="EDO1193" s="7"/>
      <c r="EDP1193" s="7"/>
      <c r="EDQ1193" s="7"/>
      <c r="EDR1193" s="7"/>
      <c r="EDS1193" s="7"/>
      <c r="EDT1193" s="7"/>
      <c r="EDU1193" s="7"/>
      <c r="EDV1193" s="7"/>
      <c r="EDW1193" s="7"/>
      <c r="EDX1193" s="7"/>
      <c r="EDY1193" s="7"/>
      <c r="EDZ1193" s="7"/>
      <c r="EEA1193" s="7"/>
      <c r="EEB1193" s="7"/>
      <c r="EEC1193" s="7"/>
      <c r="EED1193" s="7"/>
      <c r="EEE1193" s="7"/>
      <c r="EEF1193" s="7"/>
      <c r="EEG1193" s="7"/>
      <c r="EEH1193" s="7"/>
      <c r="EEI1193" s="7"/>
      <c r="EEJ1193" s="7"/>
      <c r="EEK1193" s="7"/>
      <c r="EEL1193" s="7"/>
      <c r="EEM1193" s="7"/>
      <c r="EEN1193" s="7"/>
      <c r="EEO1193" s="7"/>
      <c r="EEP1193" s="7"/>
      <c r="EEQ1193" s="7"/>
      <c r="EER1193" s="7"/>
      <c r="EES1193" s="7"/>
      <c r="EET1193" s="7"/>
      <c r="EEU1193" s="7"/>
      <c r="EEV1193" s="7"/>
      <c r="EEW1193" s="7"/>
      <c r="EEX1193" s="7"/>
      <c r="EEY1193" s="7"/>
      <c r="EEZ1193" s="7"/>
      <c r="EFA1193" s="7"/>
      <c r="EFB1193" s="7"/>
      <c r="EFC1193" s="7"/>
      <c r="EFD1193" s="7"/>
      <c r="EFE1193" s="7"/>
      <c r="EFF1193" s="7"/>
      <c r="EFG1193" s="7"/>
      <c r="EFH1193" s="7"/>
      <c r="EFI1193" s="7"/>
      <c r="EFJ1193" s="7"/>
      <c r="EFK1193" s="7"/>
      <c r="EFL1193" s="7"/>
      <c r="EFM1193" s="7"/>
      <c r="EFN1193" s="7"/>
      <c r="EFO1193" s="7"/>
      <c r="EFP1193" s="7"/>
      <c r="EFQ1193" s="7"/>
      <c r="EFR1193" s="7"/>
      <c r="EFS1193" s="7"/>
      <c r="EFT1193" s="7"/>
      <c r="EFU1193" s="7"/>
      <c r="EFV1193" s="7"/>
      <c r="EFW1193" s="7"/>
      <c r="EFX1193" s="7"/>
      <c r="EFY1193" s="7"/>
      <c r="EFZ1193" s="7"/>
      <c r="EGA1193" s="7"/>
      <c r="EGB1193" s="7"/>
      <c r="EGC1193" s="7"/>
      <c r="EGD1193" s="7"/>
      <c r="EGE1193" s="7"/>
      <c r="EGF1193" s="7"/>
      <c r="EGG1193" s="7"/>
      <c r="EGH1193" s="7"/>
      <c r="EGI1193" s="7"/>
      <c r="EGJ1193" s="7"/>
      <c r="EGK1193" s="7"/>
      <c r="EGL1193" s="7"/>
      <c r="EGM1193" s="7"/>
      <c r="EGN1193" s="7"/>
      <c r="EGO1193" s="7"/>
      <c r="EGP1193" s="7"/>
      <c r="EGQ1193" s="7"/>
      <c r="EGR1193" s="7"/>
      <c r="EGS1193" s="7"/>
      <c r="EGT1193" s="7"/>
      <c r="EGU1193" s="7"/>
      <c r="EGV1193" s="7"/>
      <c r="EGW1193" s="7"/>
      <c r="EGX1193" s="7"/>
      <c r="EGY1193" s="7"/>
      <c r="EGZ1193" s="7"/>
      <c r="EHA1193" s="7"/>
      <c r="EHB1193" s="7"/>
      <c r="EHC1193" s="7"/>
      <c r="EHD1193" s="7"/>
      <c r="EHE1193" s="7"/>
      <c r="EHF1193" s="7"/>
      <c r="EHG1193" s="7"/>
      <c r="EHH1193" s="7"/>
      <c r="EHI1193" s="7"/>
      <c r="EHJ1193" s="7"/>
      <c r="EHK1193" s="7"/>
      <c r="EHL1193" s="7"/>
      <c r="EHM1193" s="7"/>
      <c r="EHN1193" s="7"/>
      <c r="EHO1193" s="7"/>
      <c r="EHP1193" s="7"/>
      <c r="EHQ1193" s="7"/>
      <c r="EHR1193" s="7"/>
      <c r="EHS1193" s="7"/>
      <c r="EHT1193" s="7"/>
      <c r="EHU1193" s="7"/>
      <c r="EHV1193" s="7"/>
      <c r="EHW1193" s="7"/>
      <c r="EHX1193" s="7"/>
      <c r="EHY1193" s="7"/>
      <c r="EHZ1193" s="7"/>
      <c r="EIA1193" s="7"/>
      <c r="EIB1193" s="7"/>
      <c r="EIC1193" s="7"/>
      <c r="EID1193" s="7"/>
      <c r="EIE1193" s="7"/>
      <c r="EIF1193" s="7"/>
      <c r="EIG1193" s="7"/>
      <c r="EIH1193" s="7"/>
      <c r="EII1193" s="7"/>
      <c r="EIJ1193" s="7"/>
      <c r="EIK1193" s="7"/>
      <c r="EIL1193" s="7"/>
      <c r="EIM1193" s="7"/>
      <c r="EIN1193" s="7"/>
      <c r="EIO1193" s="7"/>
      <c r="EIP1193" s="7"/>
      <c r="EIQ1193" s="7"/>
      <c r="EIR1193" s="7"/>
      <c r="EIS1193" s="7"/>
      <c r="EIT1193" s="7"/>
      <c r="EIU1193" s="7"/>
      <c r="EIV1193" s="7"/>
      <c r="EIW1193" s="7"/>
      <c r="EIX1193" s="7"/>
      <c r="EIY1193" s="7"/>
      <c r="EIZ1193" s="7"/>
      <c r="EJA1193" s="7"/>
      <c r="EJB1193" s="7"/>
      <c r="EJC1193" s="7"/>
      <c r="EJD1193" s="7"/>
      <c r="EJE1193" s="7"/>
      <c r="EJF1193" s="7"/>
      <c r="EJG1193" s="7"/>
      <c r="EJH1193" s="7"/>
      <c r="EJI1193" s="7"/>
      <c r="EJJ1193" s="7"/>
      <c r="EJK1193" s="7"/>
      <c r="EJL1193" s="7"/>
      <c r="EJM1193" s="7"/>
      <c r="EJN1193" s="7"/>
      <c r="EJO1193" s="7"/>
      <c r="EJP1193" s="7"/>
      <c r="EJQ1193" s="7"/>
      <c r="EJR1193" s="7"/>
      <c r="EJS1193" s="7"/>
      <c r="EJT1193" s="7"/>
      <c r="EJU1193" s="7"/>
      <c r="EJV1193" s="7"/>
      <c r="EJW1193" s="7"/>
      <c r="EJX1193" s="7"/>
      <c r="EJY1193" s="7"/>
      <c r="EJZ1193" s="7"/>
      <c r="EKA1193" s="7"/>
      <c r="EKB1193" s="7"/>
      <c r="EKC1193" s="7"/>
      <c r="EKD1193" s="7"/>
      <c r="EKE1193" s="7"/>
      <c r="EKF1193" s="7"/>
      <c r="EKG1193" s="7"/>
      <c r="EKH1193" s="7"/>
      <c r="EKI1193" s="7"/>
      <c r="EKJ1193" s="7"/>
      <c r="EKK1193" s="7"/>
      <c r="EKL1193" s="7"/>
      <c r="EKM1193" s="7"/>
      <c r="EKN1193" s="7"/>
      <c r="EKO1193" s="7"/>
      <c r="EKP1193" s="7"/>
      <c r="EKQ1193" s="7"/>
      <c r="EKR1193" s="7"/>
      <c r="EKS1193" s="7"/>
      <c r="EKT1193" s="7"/>
      <c r="EKU1193" s="7"/>
      <c r="EKV1193" s="7"/>
      <c r="EKW1193" s="7"/>
      <c r="EKX1193" s="7"/>
      <c r="EKY1193" s="7"/>
      <c r="EKZ1193" s="7"/>
      <c r="ELA1193" s="7"/>
      <c r="ELB1193" s="7"/>
      <c r="ELC1193" s="7"/>
      <c r="ELD1193" s="7"/>
      <c r="ELE1193" s="7"/>
      <c r="ELF1193" s="7"/>
      <c r="ELG1193" s="7"/>
      <c r="ELH1193" s="7"/>
      <c r="ELI1193" s="7"/>
      <c r="ELJ1193" s="7"/>
      <c r="ELK1193" s="7"/>
      <c r="ELL1193" s="7"/>
      <c r="ELM1193" s="7"/>
      <c r="ELN1193" s="7"/>
      <c r="ELO1193" s="7"/>
      <c r="ELP1193" s="7"/>
      <c r="ELQ1193" s="7"/>
      <c r="ELR1193" s="7"/>
      <c r="ELS1193" s="7"/>
      <c r="ELT1193" s="7"/>
      <c r="ELU1193" s="7"/>
      <c r="ELV1193" s="7"/>
      <c r="ELW1193" s="7"/>
      <c r="ELX1193" s="7"/>
      <c r="ELY1193" s="7"/>
      <c r="ELZ1193" s="7"/>
      <c r="EMA1193" s="7"/>
      <c r="EMB1193" s="7"/>
      <c r="EMC1193" s="7"/>
      <c r="EMD1193" s="7"/>
      <c r="EME1193" s="7"/>
      <c r="EMF1193" s="7"/>
      <c r="EMG1193" s="7"/>
      <c r="EMH1193" s="7"/>
      <c r="EMI1193" s="7"/>
      <c r="EMJ1193" s="7"/>
      <c r="EMK1193" s="7"/>
      <c r="EML1193" s="7"/>
      <c r="EMM1193" s="7"/>
      <c r="EMN1193" s="7"/>
      <c r="EMO1193" s="7"/>
      <c r="EMP1193" s="7"/>
      <c r="EMQ1193" s="7"/>
      <c r="EMR1193" s="7"/>
      <c r="EMS1193" s="7"/>
      <c r="EMT1193" s="7"/>
      <c r="EMU1193" s="7"/>
      <c r="EMV1193" s="7"/>
      <c r="EMW1193" s="7"/>
      <c r="EMX1193" s="7"/>
      <c r="EMY1193" s="7"/>
      <c r="EMZ1193" s="7"/>
      <c r="ENA1193" s="7"/>
      <c r="ENB1193" s="7"/>
      <c r="ENC1193" s="7"/>
      <c r="END1193" s="7"/>
      <c r="ENE1193" s="7"/>
      <c r="ENF1193" s="7"/>
      <c r="ENG1193" s="7"/>
      <c r="ENH1193" s="7"/>
      <c r="ENI1193" s="7"/>
      <c r="ENJ1193" s="7"/>
      <c r="ENK1193" s="7"/>
      <c r="ENL1193" s="7"/>
      <c r="ENM1193" s="7"/>
      <c r="ENN1193" s="7"/>
      <c r="ENO1193" s="7"/>
      <c r="ENP1193" s="7"/>
      <c r="ENQ1193" s="7"/>
      <c r="ENR1193" s="7"/>
      <c r="ENS1193" s="7"/>
      <c r="ENT1193" s="7"/>
      <c r="ENU1193" s="7"/>
      <c r="ENV1193" s="7"/>
      <c r="ENW1193" s="7"/>
      <c r="ENX1193" s="7"/>
      <c r="ENY1193" s="7"/>
      <c r="ENZ1193" s="7"/>
      <c r="EOA1193" s="7"/>
      <c r="EOB1193" s="7"/>
      <c r="EOC1193" s="7"/>
      <c r="EOD1193" s="7"/>
      <c r="EOE1193" s="7"/>
      <c r="EOF1193" s="7"/>
      <c r="EOG1193" s="7"/>
      <c r="EOH1193" s="7"/>
      <c r="EOI1193" s="7"/>
      <c r="EOJ1193" s="7"/>
      <c r="EOK1193" s="7"/>
      <c r="EOL1193" s="7"/>
      <c r="EOM1193" s="7"/>
      <c r="EON1193" s="7"/>
      <c r="EOO1193" s="7"/>
      <c r="EOP1193" s="7"/>
      <c r="EOQ1193" s="7"/>
      <c r="EOR1193" s="7"/>
      <c r="EOS1193" s="7"/>
      <c r="EOT1193" s="7"/>
      <c r="EOU1193" s="7"/>
      <c r="EOV1193" s="7"/>
      <c r="EOW1193" s="7"/>
      <c r="EOX1193" s="7"/>
      <c r="EOY1193" s="7"/>
      <c r="EOZ1193" s="7"/>
      <c r="EPA1193" s="7"/>
      <c r="EPB1193" s="7"/>
      <c r="EPC1193" s="7"/>
      <c r="EPD1193" s="7"/>
      <c r="EPE1193" s="7"/>
      <c r="EPF1193" s="7"/>
      <c r="EPG1193" s="7"/>
      <c r="EPH1193" s="7"/>
      <c r="EPI1193" s="7"/>
      <c r="EPJ1193" s="7"/>
      <c r="EPK1193" s="7"/>
      <c r="EPL1193" s="7"/>
      <c r="EPM1193" s="7"/>
      <c r="EPN1193" s="7"/>
      <c r="EPO1193" s="7"/>
      <c r="EPP1193" s="7"/>
      <c r="EPQ1193" s="7"/>
      <c r="EPR1193" s="7"/>
      <c r="EPS1193" s="7"/>
      <c r="EPT1193" s="7"/>
      <c r="EPU1193" s="7"/>
      <c r="EPV1193" s="7"/>
      <c r="EPW1193" s="7"/>
      <c r="EPX1193" s="7"/>
      <c r="EPY1193" s="7"/>
      <c r="EPZ1193" s="7"/>
      <c r="EQA1193" s="7"/>
      <c r="EQB1193" s="7"/>
      <c r="EQC1193" s="7"/>
      <c r="EQD1193" s="7"/>
      <c r="EQE1193" s="7"/>
      <c r="EQF1193" s="7"/>
      <c r="EQG1193" s="7"/>
      <c r="EQH1193" s="7"/>
      <c r="EQI1193" s="7"/>
      <c r="EQJ1193" s="7"/>
      <c r="EQK1193" s="7"/>
      <c r="EQL1193" s="7"/>
      <c r="EQM1193" s="7"/>
      <c r="EQN1193" s="7"/>
      <c r="EQO1193" s="7"/>
      <c r="EQP1193" s="7"/>
      <c r="EQQ1193" s="7"/>
      <c r="EQR1193" s="7"/>
      <c r="EQS1193" s="7"/>
      <c r="EQT1193" s="7"/>
      <c r="EQU1193" s="7"/>
      <c r="EQV1193" s="7"/>
      <c r="EQW1193" s="7"/>
      <c r="EQX1193" s="7"/>
      <c r="EQY1193" s="7"/>
      <c r="EQZ1193" s="7"/>
      <c r="ERA1193" s="7"/>
      <c r="ERB1193" s="7"/>
      <c r="ERC1193" s="7"/>
      <c r="ERD1193" s="7"/>
      <c r="ERE1193" s="7"/>
      <c r="ERF1193" s="7"/>
      <c r="ERG1193" s="7"/>
      <c r="ERH1193" s="7"/>
      <c r="ERI1193" s="7"/>
      <c r="ERJ1193" s="7"/>
      <c r="ERK1193" s="7"/>
      <c r="ERL1193" s="7"/>
      <c r="ERM1193" s="7"/>
      <c r="ERN1193" s="7"/>
      <c r="ERO1193" s="7"/>
      <c r="ERP1193" s="7"/>
      <c r="ERQ1193" s="7"/>
      <c r="ERR1193" s="7"/>
      <c r="ERS1193" s="7"/>
      <c r="ERT1193" s="7"/>
      <c r="ERU1193" s="7"/>
      <c r="ERV1193" s="7"/>
      <c r="ERW1193" s="7"/>
      <c r="ERX1193" s="7"/>
      <c r="ERY1193" s="7"/>
      <c r="ERZ1193" s="7"/>
      <c r="ESA1193" s="7"/>
      <c r="ESB1193" s="7"/>
      <c r="ESC1193" s="7"/>
      <c r="ESD1193" s="7"/>
      <c r="ESE1193" s="7"/>
      <c r="ESF1193" s="7"/>
      <c r="ESG1193" s="7"/>
      <c r="ESH1193" s="7"/>
      <c r="ESI1193" s="7"/>
      <c r="ESJ1193" s="7"/>
      <c r="ESK1193" s="7"/>
      <c r="ESL1193" s="7"/>
      <c r="ESM1193" s="7"/>
      <c r="ESN1193" s="7"/>
      <c r="ESO1193" s="7"/>
      <c r="ESP1193" s="7"/>
      <c r="ESQ1193" s="7"/>
      <c r="ESR1193" s="7"/>
      <c r="ESS1193" s="7"/>
      <c r="EST1193" s="7"/>
      <c r="ESU1193" s="7"/>
      <c r="ESV1193" s="7"/>
      <c r="ESW1193" s="7"/>
      <c r="ESX1193" s="7"/>
      <c r="ESY1193" s="7"/>
      <c r="ESZ1193" s="7"/>
      <c r="ETA1193" s="7"/>
      <c r="ETB1193" s="7"/>
      <c r="ETC1193" s="7"/>
      <c r="ETD1193" s="7"/>
      <c r="ETE1193" s="7"/>
      <c r="ETF1193" s="7"/>
      <c r="ETG1193" s="7"/>
      <c r="ETH1193" s="7"/>
      <c r="ETI1193" s="7"/>
      <c r="ETJ1193" s="7"/>
      <c r="ETK1193" s="7"/>
      <c r="ETL1193" s="7"/>
      <c r="ETM1193" s="7"/>
      <c r="ETN1193" s="7"/>
      <c r="ETO1193" s="7"/>
      <c r="ETP1193" s="7"/>
      <c r="ETQ1193" s="7"/>
      <c r="ETR1193" s="7"/>
      <c r="ETS1193" s="7"/>
      <c r="ETT1193" s="7"/>
      <c r="ETU1193" s="7"/>
      <c r="ETV1193" s="7"/>
      <c r="ETW1193" s="7"/>
      <c r="ETX1193" s="7"/>
      <c r="ETY1193" s="7"/>
      <c r="ETZ1193" s="7"/>
      <c r="EUA1193" s="7"/>
      <c r="EUB1193" s="7"/>
      <c r="EUC1193" s="7"/>
      <c r="EUD1193" s="7"/>
      <c r="EUE1193" s="7"/>
      <c r="EUF1193" s="7"/>
      <c r="EUG1193" s="7"/>
      <c r="EUH1193" s="7"/>
      <c r="EUI1193" s="7"/>
      <c r="EUJ1193" s="7"/>
      <c r="EUK1193" s="7"/>
      <c r="EUL1193" s="7"/>
      <c r="EUM1193" s="7"/>
      <c r="EUN1193" s="7"/>
      <c r="EUO1193" s="7"/>
      <c r="EUP1193" s="7"/>
      <c r="EUQ1193" s="7"/>
      <c r="EUR1193" s="7"/>
      <c r="EUS1193" s="7"/>
      <c r="EUT1193" s="7"/>
      <c r="EUU1193" s="7"/>
      <c r="EUV1193" s="7"/>
      <c r="EUW1193" s="7"/>
      <c r="EUX1193" s="7"/>
      <c r="EUY1193" s="7"/>
      <c r="EUZ1193" s="7"/>
      <c r="EVA1193" s="7"/>
      <c r="EVB1193" s="7"/>
      <c r="EVC1193" s="7"/>
      <c r="EVD1193" s="7"/>
      <c r="EVE1193" s="7"/>
      <c r="EVF1193" s="7"/>
      <c r="EVG1193" s="7"/>
      <c r="EVH1193" s="7"/>
      <c r="EVI1193" s="7"/>
      <c r="EVJ1193" s="7"/>
      <c r="EVK1193" s="7"/>
      <c r="EVL1193" s="7"/>
      <c r="EVM1193" s="7"/>
      <c r="EVN1193" s="7"/>
      <c r="EVO1193" s="7"/>
      <c r="EVP1193" s="7"/>
      <c r="EVQ1193" s="7"/>
      <c r="EVR1193" s="7"/>
      <c r="EVS1193" s="7"/>
      <c r="EVT1193" s="7"/>
      <c r="EVU1193" s="7"/>
      <c r="EVV1193" s="7"/>
      <c r="EVW1193" s="7"/>
      <c r="EVX1193" s="7"/>
      <c r="EVY1193" s="7"/>
      <c r="EVZ1193" s="7"/>
      <c r="EWA1193" s="7"/>
      <c r="EWB1193" s="7"/>
      <c r="EWC1193" s="7"/>
      <c r="EWD1193" s="7"/>
      <c r="EWE1193" s="7"/>
      <c r="EWF1193" s="7"/>
      <c r="EWG1193" s="7"/>
      <c r="EWH1193" s="7"/>
      <c r="EWI1193" s="7"/>
      <c r="EWJ1193" s="7"/>
      <c r="EWK1193" s="7"/>
      <c r="EWL1193" s="7"/>
      <c r="EWM1193" s="7"/>
      <c r="EWN1193" s="7"/>
      <c r="EWO1193" s="7"/>
      <c r="EWP1193" s="7"/>
      <c r="EWQ1193" s="7"/>
      <c r="EWR1193" s="7"/>
      <c r="EWS1193" s="7"/>
      <c r="EWT1193" s="7"/>
      <c r="EWU1193" s="7"/>
      <c r="EWV1193" s="7"/>
      <c r="EWW1193" s="7"/>
      <c r="EWX1193" s="7"/>
      <c r="EWY1193" s="7"/>
      <c r="EWZ1193" s="7"/>
      <c r="EXA1193" s="7"/>
      <c r="EXB1193" s="7"/>
      <c r="EXC1193" s="7"/>
      <c r="EXD1193" s="7"/>
      <c r="EXE1193" s="7"/>
      <c r="EXF1193" s="7"/>
      <c r="EXG1193" s="7"/>
      <c r="EXH1193" s="7"/>
      <c r="EXI1193" s="7"/>
      <c r="EXJ1193" s="7"/>
      <c r="EXK1193" s="7"/>
      <c r="EXL1193" s="7"/>
      <c r="EXM1193" s="7"/>
      <c r="EXN1193" s="7"/>
      <c r="EXO1193" s="7"/>
      <c r="EXP1193" s="7"/>
      <c r="EXQ1193" s="7"/>
      <c r="EXR1193" s="7"/>
      <c r="EXS1193" s="7"/>
      <c r="EXT1193" s="7"/>
      <c r="EXU1193" s="7"/>
      <c r="EXV1193" s="7"/>
      <c r="EXW1193" s="7"/>
      <c r="EXX1193" s="7"/>
      <c r="EXY1193" s="7"/>
      <c r="EXZ1193" s="7"/>
      <c r="EYA1193" s="7"/>
      <c r="EYB1193" s="7"/>
      <c r="EYC1193" s="7"/>
      <c r="EYD1193" s="7"/>
      <c r="EYE1193" s="7"/>
      <c r="EYF1193" s="7"/>
      <c r="EYG1193" s="7"/>
      <c r="EYH1193" s="7"/>
      <c r="EYI1193" s="7"/>
      <c r="EYJ1193" s="7"/>
      <c r="EYK1193" s="7"/>
      <c r="EYL1193" s="7"/>
      <c r="EYM1193" s="7"/>
      <c r="EYN1193" s="7"/>
      <c r="EYO1193" s="7"/>
      <c r="EYP1193" s="7"/>
      <c r="EYQ1193" s="7"/>
      <c r="EYR1193" s="7"/>
      <c r="EYS1193" s="7"/>
      <c r="EYT1193" s="7"/>
      <c r="EYU1193" s="7"/>
      <c r="EYV1193" s="7"/>
      <c r="EYW1193" s="7"/>
      <c r="EYX1193" s="7"/>
      <c r="EYY1193" s="7"/>
      <c r="EYZ1193" s="7"/>
      <c r="EZA1193" s="7"/>
      <c r="EZB1193" s="7"/>
      <c r="EZC1193" s="7"/>
      <c r="EZD1193" s="7"/>
      <c r="EZE1193" s="7"/>
      <c r="EZF1193" s="7"/>
      <c r="EZG1193" s="7"/>
      <c r="EZH1193" s="7"/>
      <c r="EZI1193" s="7"/>
      <c r="EZJ1193" s="7"/>
      <c r="EZK1193" s="7"/>
      <c r="EZL1193" s="7"/>
      <c r="EZM1193" s="7"/>
      <c r="EZN1193" s="7"/>
      <c r="EZO1193" s="7"/>
      <c r="EZP1193" s="7"/>
      <c r="EZQ1193" s="7"/>
      <c r="EZR1193" s="7"/>
      <c r="EZS1193" s="7"/>
      <c r="EZT1193" s="7"/>
      <c r="EZU1193" s="7"/>
      <c r="EZV1193" s="7"/>
      <c r="EZW1193" s="7"/>
      <c r="EZX1193" s="7"/>
      <c r="EZY1193" s="7"/>
      <c r="EZZ1193" s="7"/>
      <c r="FAA1193" s="7"/>
      <c r="FAB1193" s="7"/>
      <c r="FAC1193" s="7"/>
      <c r="FAD1193" s="7"/>
      <c r="FAE1193" s="7"/>
      <c r="FAF1193" s="7"/>
      <c r="FAG1193" s="7"/>
      <c r="FAH1193" s="7"/>
      <c r="FAI1193" s="7"/>
      <c r="FAJ1193" s="7"/>
      <c r="FAK1193" s="7"/>
      <c r="FAL1193" s="7"/>
      <c r="FAM1193" s="7"/>
      <c r="FAN1193" s="7"/>
      <c r="FAO1193" s="7"/>
      <c r="FAP1193" s="7"/>
      <c r="FAQ1193" s="7"/>
      <c r="FAR1193" s="7"/>
      <c r="FAS1193" s="7"/>
      <c r="FAT1193" s="7"/>
      <c r="FAU1193" s="7"/>
      <c r="FAV1193" s="7"/>
      <c r="FAW1193" s="7"/>
      <c r="FAX1193" s="7"/>
      <c r="FAY1193" s="7"/>
      <c r="FAZ1193" s="7"/>
      <c r="FBA1193" s="7"/>
      <c r="FBB1193" s="7"/>
      <c r="FBC1193" s="7"/>
      <c r="FBD1193" s="7"/>
      <c r="FBE1193" s="7"/>
      <c r="FBF1193" s="7"/>
      <c r="FBG1193" s="7"/>
      <c r="FBH1193" s="7"/>
      <c r="FBI1193" s="7"/>
      <c r="FBJ1193" s="7"/>
      <c r="FBK1193" s="7"/>
      <c r="FBL1193" s="7"/>
      <c r="FBM1193" s="7"/>
      <c r="FBN1193" s="7"/>
      <c r="FBO1193" s="7"/>
      <c r="FBP1193" s="7"/>
      <c r="FBQ1193" s="7"/>
      <c r="FBR1193" s="7"/>
      <c r="FBS1193" s="7"/>
      <c r="FBT1193" s="7"/>
      <c r="FBU1193" s="7"/>
      <c r="FBV1193" s="7"/>
      <c r="FBW1193" s="7"/>
      <c r="FBX1193" s="7"/>
      <c r="FBY1193" s="7"/>
      <c r="FBZ1193" s="7"/>
      <c r="FCA1193" s="7"/>
      <c r="FCB1193" s="7"/>
      <c r="FCC1193" s="7"/>
      <c r="FCD1193" s="7"/>
      <c r="FCE1193" s="7"/>
      <c r="FCF1193" s="7"/>
      <c r="FCG1193" s="7"/>
      <c r="FCH1193" s="7"/>
      <c r="FCI1193" s="7"/>
      <c r="FCJ1193" s="7"/>
      <c r="FCK1193" s="7"/>
      <c r="FCL1193" s="7"/>
      <c r="FCM1193" s="7"/>
      <c r="FCN1193" s="7"/>
      <c r="FCO1193" s="7"/>
      <c r="FCP1193" s="7"/>
      <c r="FCQ1193" s="7"/>
      <c r="FCR1193" s="7"/>
      <c r="FCS1193" s="7"/>
      <c r="FCT1193" s="7"/>
      <c r="FCU1193" s="7"/>
      <c r="FCV1193" s="7"/>
      <c r="FCW1193" s="7"/>
      <c r="FCX1193" s="7"/>
      <c r="FCY1193" s="7"/>
      <c r="FCZ1193" s="7"/>
      <c r="FDA1193" s="7"/>
      <c r="FDB1193" s="7"/>
      <c r="FDC1193" s="7"/>
      <c r="FDD1193" s="7"/>
      <c r="FDE1193" s="7"/>
      <c r="FDF1193" s="7"/>
      <c r="FDG1193" s="7"/>
      <c r="FDH1193" s="7"/>
      <c r="FDI1193" s="7"/>
      <c r="FDJ1193" s="7"/>
      <c r="FDK1193" s="7"/>
      <c r="FDL1193" s="7"/>
      <c r="FDM1193" s="7"/>
      <c r="FDN1193" s="7"/>
      <c r="FDO1193" s="7"/>
      <c r="FDP1193" s="7"/>
      <c r="FDQ1193" s="7"/>
      <c r="FDR1193" s="7"/>
      <c r="FDS1193" s="7"/>
      <c r="FDT1193" s="7"/>
      <c r="FDU1193" s="7"/>
      <c r="FDV1193" s="7"/>
      <c r="FDW1193" s="7"/>
      <c r="FDX1193" s="7"/>
      <c r="FDY1193" s="7"/>
      <c r="FDZ1193" s="7"/>
      <c r="FEA1193" s="7"/>
      <c r="FEB1193" s="7"/>
      <c r="FEC1193" s="7"/>
      <c r="FED1193" s="7"/>
      <c r="FEE1193" s="7"/>
      <c r="FEF1193" s="7"/>
      <c r="FEG1193" s="7"/>
      <c r="FEH1193" s="7"/>
      <c r="FEI1193" s="7"/>
      <c r="FEJ1193" s="7"/>
      <c r="FEK1193" s="7"/>
      <c r="FEL1193" s="7"/>
      <c r="FEM1193" s="7"/>
      <c r="FEN1193" s="7"/>
      <c r="FEO1193" s="7"/>
      <c r="FEP1193" s="7"/>
      <c r="FEQ1193" s="7"/>
      <c r="FER1193" s="7"/>
      <c r="FES1193" s="7"/>
      <c r="FET1193" s="7"/>
      <c r="FEU1193" s="7"/>
      <c r="FEV1193" s="7"/>
      <c r="FEW1193" s="7"/>
      <c r="FEX1193" s="7"/>
      <c r="FEY1193" s="7"/>
      <c r="FEZ1193" s="7"/>
      <c r="FFA1193" s="7"/>
      <c r="FFB1193" s="7"/>
      <c r="FFC1193" s="7"/>
      <c r="FFD1193" s="7"/>
      <c r="FFE1193" s="7"/>
      <c r="FFF1193" s="7"/>
      <c r="FFG1193" s="7"/>
      <c r="FFH1193" s="7"/>
      <c r="FFI1193" s="7"/>
      <c r="FFJ1193" s="7"/>
      <c r="FFK1193" s="7"/>
      <c r="FFL1193" s="7"/>
      <c r="FFM1193" s="7"/>
      <c r="FFN1193" s="7"/>
      <c r="FFO1193" s="7"/>
      <c r="FFP1193" s="7"/>
      <c r="FFQ1193" s="7"/>
      <c r="FFR1193" s="7"/>
      <c r="FFS1193" s="7"/>
      <c r="FFT1193" s="7"/>
      <c r="FFU1193" s="7"/>
      <c r="FFV1193" s="7"/>
      <c r="FFW1193" s="7"/>
      <c r="FFX1193" s="7"/>
      <c r="FFY1193" s="7"/>
      <c r="FFZ1193" s="7"/>
      <c r="FGA1193" s="7"/>
      <c r="FGB1193" s="7"/>
      <c r="FGC1193" s="7"/>
      <c r="FGD1193" s="7"/>
      <c r="FGE1193" s="7"/>
      <c r="FGF1193" s="7"/>
      <c r="FGG1193" s="7"/>
      <c r="FGH1193" s="7"/>
      <c r="FGI1193" s="7"/>
      <c r="FGJ1193" s="7"/>
      <c r="FGK1193" s="7"/>
      <c r="FGL1193" s="7"/>
      <c r="FGM1193" s="7"/>
      <c r="FGN1193" s="7"/>
      <c r="FGO1193" s="7"/>
      <c r="FGP1193" s="7"/>
      <c r="FGQ1193" s="7"/>
      <c r="FGR1193" s="7"/>
      <c r="FGS1193" s="7"/>
      <c r="FGT1193" s="7"/>
      <c r="FGU1193" s="7"/>
      <c r="FGV1193" s="7"/>
      <c r="FGW1193" s="7"/>
      <c r="FGX1193" s="7"/>
      <c r="FGY1193" s="7"/>
      <c r="FGZ1193" s="7"/>
      <c r="FHA1193" s="7"/>
      <c r="FHB1193" s="7"/>
      <c r="FHC1193" s="7"/>
      <c r="FHD1193" s="7"/>
      <c r="FHE1193" s="7"/>
      <c r="FHF1193" s="7"/>
      <c r="FHG1193" s="7"/>
      <c r="FHH1193" s="7"/>
      <c r="FHI1193" s="7"/>
      <c r="FHJ1193" s="7"/>
      <c r="FHK1193" s="7"/>
      <c r="FHL1193" s="7"/>
      <c r="FHM1193" s="7"/>
      <c r="FHN1193" s="7"/>
      <c r="FHO1193" s="7"/>
      <c r="FHP1193" s="7"/>
      <c r="FHQ1193" s="7"/>
      <c r="FHR1193" s="7"/>
      <c r="FHS1193" s="7"/>
      <c r="FHT1193" s="7"/>
      <c r="FHU1193" s="7"/>
      <c r="FHV1193" s="7"/>
      <c r="FHW1193" s="7"/>
      <c r="FHX1193" s="7"/>
      <c r="FHY1193" s="7"/>
      <c r="FHZ1193" s="7"/>
      <c r="FIA1193" s="7"/>
      <c r="FIB1193" s="7"/>
      <c r="FIC1193" s="7"/>
      <c r="FID1193" s="7"/>
      <c r="FIE1193" s="7"/>
      <c r="FIF1193" s="7"/>
      <c r="FIG1193" s="7"/>
      <c r="FIH1193" s="7"/>
      <c r="FII1193" s="7"/>
      <c r="FIJ1193" s="7"/>
      <c r="FIK1193" s="7"/>
      <c r="FIL1193" s="7"/>
      <c r="FIM1193" s="7"/>
      <c r="FIN1193" s="7"/>
      <c r="FIO1193" s="7"/>
      <c r="FIP1193" s="7"/>
      <c r="FIQ1193" s="7"/>
      <c r="FIR1193" s="7"/>
      <c r="FIS1193" s="7"/>
      <c r="FIT1193" s="7"/>
      <c r="FIU1193" s="7"/>
      <c r="FIV1193" s="7"/>
      <c r="FIW1193" s="7"/>
      <c r="FIX1193" s="7"/>
      <c r="FIY1193" s="7"/>
      <c r="FIZ1193" s="7"/>
      <c r="FJA1193" s="7"/>
      <c r="FJB1193" s="7"/>
      <c r="FJC1193" s="7"/>
      <c r="FJD1193" s="7"/>
      <c r="FJE1193" s="7"/>
      <c r="FJF1193" s="7"/>
      <c r="FJG1193" s="7"/>
      <c r="FJH1193" s="7"/>
      <c r="FJI1193" s="7"/>
      <c r="FJJ1193" s="7"/>
      <c r="FJK1193" s="7"/>
      <c r="FJL1193" s="7"/>
      <c r="FJM1193" s="7"/>
      <c r="FJN1193" s="7"/>
      <c r="FJO1193" s="7"/>
      <c r="FJP1193" s="7"/>
      <c r="FJQ1193" s="7"/>
      <c r="FJR1193" s="7"/>
      <c r="FJS1193" s="7"/>
      <c r="FJT1193" s="7"/>
      <c r="FJU1193" s="7"/>
      <c r="FJV1193" s="7"/>
      <c r="FJW1193" s="7"/>
      <c r="FJX1193" s="7"/>
      <c r="FJY1193" s="7"/>
      <c r="FJZ1193" s="7"/>
      <c r="FKA1193" s="7"/>
      <c r="FKB1193" s="7"/>
      <c r="FKC1193" s="7"/>
      <c r="FKD1193" s="7"/>
      <c r="FKE1193" s="7"/>
      <c r="FKF1193" s="7"/>
      <c r="FKG1193" s="7"/>
      <c r="FKH1193" s="7"/>
      <c r="FKI1193" s="7"/>
      <c r="FKJ1193" s="7"/>
      <c r="FKK1193" s="7"/>
      <c r="FKL1193" s="7"/>
      <c r="FKM1193" s="7"/>
      <c r="FKN1193" s="7"/>
      <c r="FKO1193" s="7"/>
      <c r="FKP1193" s="7"/>
      <c r="FKQ1193" s="7"/>
      <c r="FKR1193" s="7"/>
      <c r="FKS1193" s="7"/>
      <c r="FKT1193" s="7"/>
      <c r="FKU1193" s="7"/>
      <c r="FKV1193" s="7"/>
      <c r="FKW1193" s="7"/>
      <c r="FKX1193" s="7"/>
      <c r="FKY1193" s="7"/>
      <c r="FKZ1193" s="7"/>
      <c r="FLA1193" s="7"/>
      <c r="FLB1193" s="7"/>
      <c r="FLC1193" s="7"/>
      <c r="FLD1193" s="7"/>
      <c r="FLE1193" s="7"/>
      <c r="FLF1193" s="7"/>
      <c r="FLG1193" s="7"/>
      <c r="FLH1193" s="7"/>
      <c r="FLI1193" s="7"/>
      <c r="FLJ1193" s="7"/>
      <c r="FLK1193" s="7"/>
      <c r="FLL1193" s="7"/>
      <c r="FLM1193" s="7"/>
      <c r="FLN1193" s="7"/>
      <c r="FLO1193" s="7"/>
      <c r="FLP1193" s="7"/>
      <c r="FLQ1193" s="7"/>
      <c r="FLR1193" s="7"/>
      <c r="FLS1193" s="7"/>
      <c r="FLT1193" s="7"/>
      <c r="FLU1193" s="7"/>
      <c r="FLV1193" s="7"/>
      <c r="FLW1193" s="7"/>
      <c r="FLX1193" s="7"/>
      <c r="FLY1193" s="7"/>
      <c r="FLZ1193" s="7"/>
      <c r="FMA1193" s="7"/>
      <c r="FMB1193" s="7"/>
      <c r="FMC1193" s="7"/>
      <c r="FMD1193" s="7"/>
      <c r="FME1193" s="7"/>
      <c r="FMF1193" s="7"/>
      <c r="FMG1193" s="7"/>
      <c r="FMH1193" s="7"/>
      <c r="FMI1193" s="7"/>
      <c r="FMJ1193" s="7"/>
      <c r="FMK1193" s="7"/>
      <c r="FML1193" s="7"/>
      <c r="FMM1193" s="7"/>
      <c r="FMN1193" s="7"/>
      <c r="FMO1193" s="7"/>
      <c r="FMP1193" s="7"/>
      <c r="FMQ1193" s="7"/>
      <c r="FMR1193" s="7"/>
      <c r="FMS1193" s="7"/>
      <c r="FMT1193" s="7"/>
      <c r="FMU1193" s="7"/>
      <c r="FMV1193" s="7"/>
      <c r="FMW1193" s="7"/>
      <c r="FMX1193" s="7"/>
      <c r="FMY1193" s="7"/>
      <c r="FMZ1193" s="7"/>
      <c r="FNA1193" s="7"/>
      <c r="FNB1193" s="7"/>
      <c r="FNC1193" s="7"/>
      <c r="FND1193" s="7"/>
      <c r="FNE1193" s="7"/>
      <c r="FNF1193" s="7"/>
      <c r="FNG1193" s="7"/>
      <c r="FNH1193" s="7"/>
      <c r="FNI1193" s="7"/>
      <c r="FNJ1193" s="7"/>
      <c r="FNK1193" s="7"/>
      <c r="FNL1193" s="7"/>
      <c r="FNM1193" s="7"/>
      <c r="FNN1193" s="7"/>
      <c r="FNO1193" s="7"/>
      <c r="FNP1193" s="7"/>
      <c r="FNQ1193" s="7"/>
      <c r="FNR1193" s="7"/>
      <c r="FNS1193" s="7"/>
      <c r="FNT1193" s="7"/>
      <c r="FNU1193" s="7"/>
      <c r="FNV1193" s="7"/>
      <c r="FNW1193" s="7"/>
      <c r="FNX1193" s="7"/>
      <c r="FNY1193" s="7"/>
      <c r="FNZ1193" s="7"/>
      <c r="FOA1193" s="7"/>
      <c r="FOB1193" s="7"/>
      <c r="FOC1193" s="7"/>
      <c r="FOD1193" s="7"/>
      <c r="FOE1193" s="7"/>
      <c r="FOF1193" s="7"/>
      <c r="FOG1193" s="7"/>
      <c r="FOH1193" s="7"/>
      <c r="FOI1193" s="7"/>
      <c r="FOJ1193" s="7"/>
      <c r="FOK1193" s="7"/>
      <c r="FOL1193" s="7"/>
      <c r="FOM1193" s="7"/>
      <c r="FON1193" s="7"/>
      <c r="FOO1193" s="7"/>
      <c r="FOP1193" s="7"/>
      <c r="FOQ1193" s="7"/>
      <c r="FOR1193" s="7"/>
      <c r="FOS1193" s="7"/>
      <c r="FOT1193" s="7"/>
      <c r="FOU1193" s="7"/>
      <c r="FOV1193" s="7"/>
      <c r="FOW1193" s="7"/>
      <c r="FOX1193" s="7"/>
      <c r="FOY1193" s="7"/>
      <c r="FOZ1193" s="7"/>
      <c r="FPA1193" s="7"/>
      <c r="FPB1193" s="7"/>
      <c r="FPC1193" s="7"/>
      <c r="FPD1193" s="7"/>
      <c r="FPE1193" s="7"/>
      <c r="FPF1193" s="7"/>
      <c r="FPG1193" s="7"/>
      <c r="FPH1193" s="7"/>
      <c r="FPI1193" s="7"/>
      <c r="FPJ1193" s="7"/>
      <c r="FPK1193" s="7"/>
      <c r="FPL1193" s="7"/>
      <c r="FPM1193" s="7"/>
      <c r="FPN1193" s="7"/>
      <c r="FPO1193" s="7"/>
      <c r="FPP1193" s="7"/>
      <c r="FPQ1193" s="7"/>
      <c r="FPR1193" s="7"/>
      <c r="FPS1193" s="7"/>
      <c r="FPT1193" s="7"/>
      <c r="FPU1193" s="7"/>
      <c r="FPV1193" s="7"/>
      <c r="FPW1193" s="7"/>
      <c r="FPX1193" s="7"/>
      <c r="FPY1193" s="7"/>
      <c r="FPZ1193" s="7"/>
      <c r="FQA1193" s="7"/>
      <c r="FQB1193" s="7"/>
      <c r="FQC1193" s="7"/>
      <c r="FQD1193" s="7"/>
      <c r="FQE1193" s="7"/>
      <c r="FQF1193" s="7"/>
      <c r="FQG1193" s="7"/>
      <c r="FQH1193" s="7"/>
      <c r="FQI1193" s="7"/>
      <c r="FQJ1193" s="7"/>
      <c r="FQK1193" s="7"/>
      <c r="FQL1193" s="7"/>
      <c r="FQM1193" s="7"/>
      <c r="FQN1193" s="7"/>
      <c r="FQO1193" s="7"/>
      <c r="FQP1193" s="7"/>
      <c r="FQQ1193" s="7"/>
      <c r="FQR1193" s="7"/>
      <c r="FQS1193" s="7"/>
      <c r="FQT1193" s="7"/>
      <c r="FQU1193" s="7"/>
      <c r="FQV1193" s="7"/>
      <c r="FQW1193" s="7"/>
      <c r="FQX1193" s="7"/>
      <c r="FQY1193" s="7"/>
      <c r="FQZ1193" s="7"/>
      <c r="FRA1193" s="7"/>
      <c r="FRB1193" s="7"/>
      <c r="FRC1193" s="7"/>
      <c r="FRD1193" s="7"/>
      <c r="FRE1193" s="7"/>
      <c r="FRF1193" s="7"/>
      <c r="FRG1193" s="7"/>
      <c r="FRH1193" s="7"/>
      <c r="FRI1193" s="7"/>
      <c r="FRJ1193" s="7"/>
      <c r="FRK1193" s="7"/>
      <c r="FRL1193" s="7"/>
      <c r="FRM1193" s="7"/>
      <c r="FRN1193" s="7"/>
      <c r="FRO1193" s="7"/>
      <c r="FRP1193" s="7"/>
      <c r="FRQ1193" s="7"/>
      <c r="FRR1193" s="7"/>
      <c r="FRS1193" s="7"/>
      <c r="FRT1193" s="7"/>
      <c r="FRU1193" s="7"/>
      <c r="FRV1193" s="7"/>
      <c r="FRW1193" s="7"/>
      <c r="FRX1193" s="7"/>
      <c r="FRY1193" s="7"/>
      <c r="FRZ1193" s="7"/>
      <c r="FSA1193" s="7"/>
      <c r="FSB1193" s="7"/>
      <c r="FSC1193" s="7"/>
      <c r="FSD1193" s="7"/>
      <c r="FSE1193" s="7"/>
      <c r="FSF1193" s="7"/>
      <c r="FSG1193" s="7"/>
      <c r="FSH1193" s="7"/>
      <c r="FSI1193" s="7"/>
      <c r="FSJ1193" s="7"/>
      <c r="FSK1193" s="7"/>
      <c r="FSL1193" s="7"/>
      <c r="FSM1193" s="7"/>
      <c r="FSN1193" s="7"/>
      <c r="FSO1193" s="7"/>
      <c r="FSP1193" s="7"/>
      <c r="FSQ1193" s="7"/>
      <c r="FSR1193" s="7"/>
      <c r="FSS1193" s="7"/>
      <c r="FST1193" s="7"/>
      <c r="FSU1193" s="7"/>
      <c r="FSV1193" s="7"/>
      <c r="FSW1193" s="7"/>
      <c r="FSX1193" s="7"/>
      <c r="FSY1193" s="7"/>
      <c r="FSZ1193" s="7"/>
      <c r="FTA1193" s="7"/>
      <c r="FTB1193" s="7"/>
      <c r="FTC1193" s="7"/>
      <c r="FTD1193" s="7"/>
      <c r="FTE1193" s="7"/>
      <c r="FTF1193" s="7"/>
      <c r="FTG1193" s="7"/>
      <c r="FTH1193" s="7"/>
      <c r="FTI1193" s="7"/>
      <c r="FTJ1193" s="7"/>
      <c r="FTK1193" s="7"/>
      <c r="FTL1193" s="7"/>
      <c r="FTM1193" s="7"/>
      <c r="FTN1193" s="7"/>
      <c r="FTO1193" s="7"/>
      <c r="FTP1193" s="7"/>
      <c r="FTQ1193" s="7"/>
      <c r="FTR1193" s="7"/>
      <c r="FTS1193" s="7"/>
      <c r="FTT1193" s="7"/>
      <c r="FTU1193" s="7"/>
      <c r="FTV1193" s="7"/>
      <c r="FTW1193" s="7"/>
      <c r="FTX1193" s="7"/>
      <c r="FTY1193" s="7"/>
      <c r="FTZ1193" s="7"/>
      <c r="FUA1193" s="7"/>
      <c r="FUB1193" s="7"/>
      <c r="FUC1193" s="7"/>
      <c r="FUD1193" s="7"/>
      <c r="FUE1193" s="7"/>
      <c r="FUF1193" s="7"/>
      <c r="FUG1193" s="7"/>
      <c r="FUH1193" s="7"/>
      <c r="FUI1193" s="7"/>
      <c r="FUJ1193" s="7"/>
      <c r="FUK1193" s="7"/>
      <c r="FUL1193" s="7"/>
      <c r="FUM1193" s="7"/>
      <c r="FUN1193" s="7"/>
      <c r="FUO1193" s="7"/>
      <c r="FUP1193" s="7"/>
      <c r="FUQ1193" s="7"/>
      <c r="FUR1193" s="7"/>
      <c r="FUS1193" s="7"/>
      <c r="FUT1193" s="7"/>
      <c r="FUU1193" s="7"/>
      <c r="FUV1193" s="7"/>
      <c r="FUW1193" s="7"/>
      <c r="FUX1193" s="7"/>
      <c r="FUY1193" s="7"/>
      <c r="FUZ1193" s="7"/>
      <c r="FVA1193" s="7"/>
      <c r="FVB1193" s="7"/>
      <c r="FVC1193" s="7"/>
      <c r="FVD1193" s="7"/>
      <c r="FVE1193" s="7"/>
      <c r="FVF1193" s="7"/>
      <c r="FVG1193" s="7"/>
      <c r="FVH1193" s="7"/>
      <c r="FVI1193" s="7"/>
      <c r="FVJ1193" s="7"/>
      <c r="FVK1193" s="7"/>
      <c r="FVL1193" s="7"/>
      <c r="FVM1193" s="7"/>
      <c r="FVN1193" s="7"/>
      <c r="FVO1193" s="7"/>
      <c r="FVP1193" s="7"/>
      <c r="FVQ1193" s="7"/>
      <c r="FVR1193" s="7"/>
      <c r="FVS1193" s="7"/>
      <c r="FVT1193" s="7"/>
      <c r="FVU1193" s="7"/>
      <c r="FVV1193" s="7"/>
      <c r="FVW1193" s="7"/>
      <c r="FVX1193" s="7"/>
      <c r="FVY1193" s="7"/>
      <c r="FVZ1193" s="7"/>
      <c r="FWA1193" s="7"/>
      <c r="FWB1193" s="7"/>
      <c r="FWC1193" s="7"/>
      <c r="FWD1193" s="7"/>
      <c r="FWE1193" s="7"/>
      <c r="FWF1193" s="7"/>
      <c r="FWG1193" s="7"/>
      <c r="FWH1193" s="7"/>
      <c r="FWI1193" s="7"/>
      <c r="FWJ1193" s="7"/>
      <c r="FWK1193" s="7"/>
      <c r="FWL1193" s="7"/>
      <c r="FWM1193" s="7"/>
      <c r="FWN1193" s="7"/>
      <c r="FWO1193" s="7"/>
      <c r="FWP1193" s="7"/>
      <c r="FWQ1193" s="7"/>
      <c r="FWR1193" s="7"/>
      <c r="FWS1193" s="7"/>
      <c r="FWT1193" s="7"/>
      <c r="FWU1193" s="7"/>
      <c r="FWV1193" s="7"/>
      <c r="FWW1193" s="7"/>
      <c r="FWX1193" s="7"/>
      <c r="FWY1193" s="7"/>
      <c r="FWZ1193" s="7"/>
      <c r="FXA1193" s="7"/>
      <c r="FXB1193" s="7"/>
      <c r="FXC1193" s="7"/>
      <c r="FXD1193" s="7"/>
      <c r="FXE1193" s="7"/>
      <c r="FXF1193" s="7"/>
      <c r="FXG1193" s="7"/>
      <c r="FXH1193" s="7"/>
      <c r="FXI1193" s="7"/>
      <c r="FXJ1193" s="7"/>
      <c r="FXK1193" s="7"/>
      <c r="FXL1193" s="7"/>
      <c r="FXM1193" s="7"/>
      <c r="FXN1193" s="7"/>
      <c r="FXO1193" s="7"/>
      <c r="FXP1193" s="7"/>
      <c r="FXQ1193" s="7"/>
      <c r="FXR1193" s="7"/>
      <c r="FXS1193" s="7"/>
      <c r="FXT1193" s="7"/>
      <c r="FXU1193" s="7"/>
      <c r="FXV1193" s="7"/>
      <c r="FXW1193" s="7"/>
      <c r="FXX1193" s="7"/>
      <c r="FXY1193" s="7"/>
      <c r="FXZ1193" s="7"/>
      <c r="FYA1193" s="7"/>
      <c r="FYB1193" s="7"/>
      <c r="FYC1193" s="7"/>
      <c r="FYD1193" s="7"/>
      <c r="FYE1193" s="7"/>
      <c r="FYF1193" s="7"/>
      <c r="FYG1193" s="7"/>
      <c r="FYH1193" s="7"/>
      <c r="FYI1193" s="7"/>
      <c r="FYJ1193" s="7"/>
      <c r="FYK1193" s="7"/>
      <c r="FYL1193" s="7"/>
      <c r="FYM1193" s="7"/>
      <c r="FYN1193" s="7"/>
      <c r="FYO1193" s="7"/>
      <c r="FYP1193" s="7"/>
      <c r="FYQ1193" s="7"/>
      <c r="FYR1193" s="7"/>
      <c r="FYS1193" s="7"/>
      <c r="FYT1193" s="7"/>
      <c r="FYU1193" s="7"/>
      <c r="FYV1193" s="7"/>
      <c r="FYW1193" s="7"/>
      <c r="FYX1193" s="7"/>
      <c r="FYY1193" s="7"/>
      <c r="FYZ1193" s="7"/>
      <c r="FZA1193" s="7"/>
      <c r="FZB1193" s="7"/>
      <c r="FZC1193" s="7"/>
      <c r="FZD1193" s="7"/>
      <c r="FZE1193" s="7"/>
      <c r="FZF1193" s="7"/>
      <c r="FZG1193" s="7"/>
      <c r="FZH1193" s="7"/>
      <c r="FZI1193" s="7"/>
      <c r="FZJ1193" s="7"/>
      <c r="FZK1193" s="7"/>
      <c r="FZL1193" s="7"/>
      <c r="FZM1193" s="7"/>
      <c r="FZN1193" s="7"/>
      <c r="FZO1193" s="7"/>
      <c r="FZP1193" s="7"/>
      <c r="FZQ1193" s="7"/>
      <c r="FZR1193" s="7"/>
      <c r="FZS1193" s="7"/>
      <c r="FZT1193" s="7"/>
      <c r="FZU1193" s="7"/>
      <c r="FZV1193" s="7"/>
      <c r="FZW1193" s="7"/>
      <c r="FZX1193" s="7"/>
      <c r="FZY1193" s="7"/>
      <c r="FZZ1193" s="7"/>
      <c r="GAA1193" s="7"/>
      <c r="GAB1193" s="7"/>
      <c r="GAC1193" s="7"/>
      <c r="GAD1193" s="7"/>
      <c r="GAE1193" s="7"/>
      <c r="GAF1193" s="7"/>
      <c r="GAG1193" s="7"/>
      <c r="GAH1193" s="7"/>
      <c r="GAI1193" s="7"/>
      <c r="GAJ1193" s="7"/>
      <c r="GAK1193" s="7"/>
      <c r="GAL1193" s="7"/>
      <c r="GAM1193" s="7"/>
      <c r="GAN1193" s="7"/>
      <c r="GAO1193" s="7"/>
      <c r="GAP1193" s="7"/>
      <c r="GAQ1193" s="7"/>
      <c r="GAR1193" s="7"/>
      <c r="GAS1193" s="7"/>
      <c r="GAT1193" s="7"/>
      <c r="GAU1193" s="7"/>
      <c r="GAV1193" s="7"/>
      <c r="GAW1193" s="7"/>
      <c r="GAX1193" s="7"/>
      <c r="GAY1193" s="7"/>
      <c r="GAZ1193" s="7"/>
      <c r="GBA1193" s="7"/>
      <c r="GBB1193" s="7"/>
      <c r="GBC1193" s="7"/>
      <c r="GBD1193" s="7"/>
      <c r="GBE1193" s="7"/>
      <c r="GBF1193" s="7"/>
      <c r="GBG1193" s="7"/>
      <c r="GBH1193" s="7"/>
      <c r="GBI1193" s="7"/>
      <c r="GBJ1193" s="7"/>
      <c r="GBK1193" s="7"/>
      <c r="GBL1193" s="7"/>
      <c r="GBM1193" s="7"/>
      <c r="GBN1193" s="7"/>
      <c r="GBO1193" s="7"/>
      <c r="GBP1193" s="7"/>
      <c r="GBQ1193" s="7"/>
      <c r="GBR1193" s="7"/>
      <c r="GBS1193" s="7"/>
      <c r="GBT1193" s="7"/>
      <c r="GBU1193" s="7"/>
      <c r="GBV1193" s="7"/>
      <c r="GBW1193" s="7"/>
      <c r="GBX1193" s="7"/>
      <c r="GBY1193" s="7"/>
      <c r="GBZ1193" s="7"/>
      <c r="GCA1193" s="7"/>
      <c r="GCB1193" s="7"/>
      <c r="GCC1193" s="7"/>
      <c r="GCD1193" s="7"/>
      <c r="GCE1193" s="7"/>
      <c r="GCF1193" s="7"/>
      <c r="GCG1193" s="7"/>
      <c r="GCH1193" s="7"/>
      <c r="GCI1193" s="7"/>
      <c r="GCJ1193" s="7"/>
      <c r="GCK1193" s="7"/>
      <c r="GCL1193" s="7"/>
      <c r="GCM1193" s="7"/>
      <c r="GCN1193" s="7"/>
      <c r="GCO1193" s="7"/>
      <c r="GCP1193" s="7"/>
      <c r="GCQ1193" s="7"/>
      <c r="GCR1193" s="7"/>
      <c r="GCS1193" s="7"/>
      <c r="GCT1193" s="7"/>
      <c r="GCU1193" s="7"/>
      <c r="GCV1193" s="7"/>
      <c r="GCW1193" s="7"/>
      <c r="GCX1193" s="7"/>
      <c r="GCY1193" s="7"/>
      <c r="GCZ1193" s="7"/>
      <c r="GDA1193" s="7"/>
      <c r="GDB1193" s="7"/>
      <c r="GDC1193" s="7"/>
      <c r="GDD1193" s="7"/>
      <c r="GDE1193" s="7"/>
      <c r="GDF1193" s="7"/>
      <c r="GDG1193" s="7"/>
      <c r="GDH1193" s="7"/>
      <c r="GDI1193" s="7"/>
      <c r="GDJ1193" s="7"/>
      <c r="GDK1193" s="7"/>
      <c r="GDL1193" s="7"/>
      <c r="GDM1193" s="7"/>
      <c r="GDN1193" s="7"/>
      <c r="GDO1193" s="7"/>
      <c r="GDP1193" s="7"/>
      <c r="GDQ1193" s="7"/>
      <c r="GDR1193" s="7"/>
      <c r="GDS1193" s="7"/>
      <c r="GDT1193" s="7"/>
      <c r="GDU1193" s="7"/>
      <c r="GDV1193" s="7"/>
      <c r="GDW1193" s="7"/>
      <c r="GDX1193" s="7"/>
      <c r="GDY1193" s="7"/>
      <c r="GDZ1193" s="7"/>
      <c r="GEA1193" s="7"/>
      <c r="GEB1193" s="7"/>
      <c r="GEC1193" s="7"/>
      <c r="GED1193" s="7"/>
      <c r="GEE1193" s="7"/>
      <c r="GEF1193" s="7"/>
      <c r="GEG1193" s="7"/>
      <c r="GEH1193" s="7"/>
      <c r="GEI1193" s="7"/>
      <c r="GEJ1193" s="7"/>
      <c r="GEK1193" s="7"/>
      <c r="GEL1193" s="7"/>
      <c r="GEM1193" s="7"/>
      <c r="GEN1193" s="7"/>
      <c r="GEO1193" s="7"/>
      <c r="GEP1193" s="7"/>
      <c r="GEQ1193" s="7"/>
      <c r="GER1193" s="7"/>
      <c r="GES1193" s="7"/>
      <c r="GET1193" s="7"/>
      <c r="GEU1193" s="7"/>
      <c r="GEV1193" s="7"/>
      <c r="GEW1193" s="7"/>
      <c r="GEX1193" s="7"/>
      <c r="GEY1193" s="7"/>
      <c r="GEZ1193" s="7"/>
      <c r="GFA1193" s="7"/>
      <c r="GFB1193" s="7"/>
      <c r="GFC1193" s="7"/>
      <c r="GFD1193" s="7"/>
      <c r="GFE1193" s="7"/>
      <c r="GFF1193" s="7"/>
      <c r="GFG1193" s="7"/>
      <c r="GFH1193" s="7"/>
      <c r="GFI1193" s="7"/>
      <c r="GFJ1193" s="7"/>
      <c r="GFK1193" s="7"/>
      <c r="GFL1193" s="7"/>
      <c r="GFM1193" s="7"/>
      <c r="GFN1193" s="7"/>
      <c r="GFO1193" s="7"/>
      <c r="GFP1193" s="7"/>
      <c r="GFQ1193" s="7"/>
      <c r="GFR1193" s="7"/>
      <c r="GFS1193" s="7"/>
      <c r="GFT1193" s="7"/>
      <c r="GFU1193" s="7"/>
      <c r="GFV1193" s="7"/>
      <c r="GFW1193" s="7"/>
      <c r="GFX1193" s="7"/>
      <c r="GFY1193" s="7"/>
      <c r="GFZ1193" s="7"/>
      <c r="GGA1193" s="7"/>
      <c r="GGB1193" s="7"/>
      <c r="GGC1193" s="7"/>
      <c r="GGD1193" s="7"/>
      <c r="GGE1193" s="7"/>
      <c r="GGF1193" s="7"/>
      <c r="GGG1193" s="7"/>
      <c r="GGH1193" s="7"/>
      <c r="GGI1193" s="7"/>
      <c r="GGJ1193" s="7"/>
      <c r="GGK1193" s="7"/>
      <c r="GGL1193" s="7"/>
      <c r="GGM1193" s="7"/>
      <c r="GGN1193" s="7"/>
      <c r="GGO1193" s="7"/>
      <c r="GGP1193" s="7"/>
      <c r="GGQ1193" s="7"/>
      <c r="GGR1193" s="7"/>
      <c r="GGS1193" s="7"/>
      <c r="GGT1193" s="7"/>
      <c r="GGU1193" s="7"/>
      <c r="GGV1193" s="7"/>
      <c r="GGW1193" s="7"/>
      <c r="GGX1193" s="7"/>
      <c r="GGY1193" s="7"/>
      <c r="GGZ1193" s="7"/>
      <c r="GHA1193" s="7"/>
      <c r="GHB1193" s="7"/>
      <c r="GHC1193" s="7"/>
      <c r="GHD1193" s="7"/>
      <c r="GHE1193" s="7"/>
      <c r="GHF1193" s="7"/>
      <c r="GHG1193" s="7"/>
      <c r="GHH1193" s="7"/>
      <c r="GHI1193" s="7"/>
      <c r="GHJ1193" s="7"/>
      <c r="GHK1193" s="7"/>
      <c r="GHL1193" s="7"/>
      <c r="GHM1193" s="7"/>
      <c r="GHN1193" s="7"/>
      <c r="GHO1193" s="7"/>
      <c r="GHP1193" s="7"/>
      <c r="GHQ1193" s="7"/>
      <c r="GHR1193" s="7"/>
      <c r="GHS1193" s="7"/>
      <c r="GHT1193" s="7"/>
      <c r="GHU1193" s="7"/>
      <c r="GHV1193" s="7"/>
      <c r="GHW1193" s="7"/>
      <c r="GHX1193" s="7"/>
      <c r="GHY1193" s="7"/>
      <c r="GHZ1193" s="7"/>
      <c r="GIA1193" s="7"/>
      <c r="GIB1193" s="7"/>
      <c r="GIC1193" s="7"/>
      <c r="GID1193" s="7"/>
      <c r="GIE1193" s="7"/>
      <c r="GIF1193" s="7"/>
      <c r="GIG1193" s="7"/>
      <c r="GIH1193" s="7"/>
      <c r="GII1193" s="7"/>
      <c r="GIJ1193" s="7"/>
      <c r="GIK1193" s="7"/>
      <c r="GIL1193" s="7"/>
      <c r="GIM1193" s="7"/>
      <c r="GIN1193" s="7"/>
      <c r="GIO1193" s="7"/>
      <c r="GIP1193" s="7"/>
      <c r="GIQ1193" s="7"/>
      <c r="GIR1193" s="7"/>
      <c r="GIS1193" s="7"/>
      <c r="GIT1193" s="7"/>
      <c r="GIU1193" s="7"/>
      <c r="GIV1193" s="7"/>
      <c r="GIW1193" s="7"/>
      <c r="GIX1193" s="7"/>
      <c r="GIY1193" s="7"/>
      <c r="GIZ1193" s="7"/>
      <c r="GJA1193" s="7"/>
      <c r="GJB1193" s="7"/>
      <c r="GJC1193" s="7"/>
      <c r="GJD1193" s="7"/>
      <c r="GJE1193" s="7"/>
      <c r="GJF1193" s="7"/>
      <c r="GJG1193" s="7"/>
      <c r="GJH1193" s="7"/>
      <c r="GJI1193" s="7"/>
      <c r="GJJ1193" s="7"/>
      <c r="GJK1193" s="7"/>
      <c r="GJL1193" s="7"/>
      <c r="GJM1193" s="7"/>
      <c r="GJN1193" s="7"/>
      <c r="GJO1193" s="7"/>
      <c r="GJP1193" s="7"/>
      <c r="GJQ1193" s="7"/>
      <c r="GJR1193" s="7"/>
      <c r="GJS1193" s="7"/>
      <c r="GJT1193" s="7"/>
      <c r="GJU1193" s="7"/>
      <c r="GJV1193" s="7"/>
      <c r="GJW1193" s="7"/>
      <c r="GJX1193" s="7"/>
      <c r="GJY1193" s="7"/>
      <c r="GJZ1193" s="7"/>
      <c r="GKA1193" s="7"/>
      <c r="GKB1193" s="7"/>
      <c r="GKC1193" s="7"/>
      <c r="GKD1193" s="7"/>
      <c r="GKE1193" s="7"/>
      <c r="GKF1193" s="7"/>
      <c r="GKG1193" s="7"/>
      <c r="GKH1193" s="7"/>
      <c r="GKI1193" s="7"/>
      <c r="GKJ1193" s="7"/>
      <c r="GKK1193" s="7"/>
      <c r="GKL1193" s="7"/>
      <c r="GKM1193" s="7"/>
      <c r="GKN1193" s="7"/>
      <c r="GKO1193" s="7"/>
      <c r="GKP1193" s="7"/>
      <c r="GKQ1193" s="7"/>
      <c r="GKR1193" s="7"/>
      <c r="GKS1193" s="7"/>
      <c r="GKT1193" s="7"/>
      <c r="GKU1193" s="7"/>
      <c r="GKV1193" s="7"/>
      <c r="GKW1193" s="7"/>
      <c r="GKX1193" s="7"/>
      <c r="GKY1193" s="7"/>
      <c r="GKZ1193" s="7"/>
      <c r="GLA1193" s="7"/>
      <c r="GLB1193" s="7"/>
      <c r="GLC1193" s="7"/>
      <c r="GLD1193" s="7"/>
      <c r="GLE1193" s="7"/>
      <c r="GLF1193" s="7"/>
      <c r="GLG1193" s="7"/>
      <c r="GLH1193" s="7"/>
      <c r="GLI1193" s="7"/>
      <c r="GLJ1193" s="7"/>
      <c r="GLK1193" s="7"/>
      <c r="GLL1193" s="7"/>
      <c r="GLM1193" s="7"/>
      <c r="GLN1193" s="7"/>
      <c r="GLO1193" s="7"/>
      <c r="GLP1193" s="7"/>
      <c r="GLQ1193" s="7"/>
      <c r="GLR1193" s="7"/>
      <c r="GLS1193" s="7"/>
      <c r="GLT1193" s="7"/>
      <c r="GLU1193" s="7"/>
      <c r="GLV1193" s="7"/>
      <c r="GLW1193" s="7"/>
      <c r="GLX1193" s="7"/>
      <c r="GLY1193" s="7"/>
      <c r="GLZ1193" s="7"/>
      <c r="GMA1193" s="7"/>
      <c r="GMB1193" s="7"/>
      <c r="GMC1193" s="7"/>
      <c r="GMD1193" s="7"/>
      <c r="GME1193" s="7"/>
      <c r="GMF1193" s="7"/>
      <c r="GMG1193" s="7"/>
      <c r="GMH1193" s="7"/>
      <c r="GMI1193" s="7"/>
      <c r="GMJ1193" s="7"/>
      <c r="GMK1193" s="7"/>
      <c r="GML1193" s="7"/>
      <c r="GMM1193" s="7"/>
      <c r="GMN1193" s="7"/>
      <c r="GMO1193" s="7"/>
      <c r="GMP1193" s="7"/>
      <c r="GMQ1193" s="7"/>
      <c r="GMR1193" s="7"/>
      <c r="GMS1193" s="7"/>
      <c r="GMT1193" s="7"/>
      <c r="GMU1193" s="7"/>
      <c r="GMV1193" s="7"/>
      <c r="GMW1193" s="7"/>
      <c r="GMX1193" s="7"/>
      <c r="GMY1193" s="7"/>
      <c r="GMZ1193" s="7"/>
      <c r="GNA1193" s="7"/>
      <c r="GNB1193" s="7"/>
      <c r="GNC1193" s="7"/>
      <c r="GND1193" s="7"/>
      <c r="GNE1193" s="7"/>
      <c r="GNF1193" s="7"/>
      <c r="GNG1193" s="7"/>
      <c r="GNH1193" s="7"/>
      <c r="GNI1193" s="7"/>
      <c r="GNJ1193" s="7"/>
      <c r="GNK1193" s="7"/>
      <c r="GNL1193" s="7"/>
      <c r="GNM1193" s="7"/>
      <c r="GNN1193" s="7"/>
      <c r="GNO1193" s="7"/>
      <c r="GNP1193" s="7"/>
      <c r="GNQ1193" s="7"/>
      <c r="GNR1193" s="7"/>
      <c r="GNS1193" s="7"/>
      <c r="GNT1193" s="7"/>
      <c r="GNU1193" s="7"/>
      <c r="GNV1193" s="7"/>
      <c r="GNW1193" s="7"/>
      <c r="GNX1193" s="7"/>
      <c r="GNY1193" s="7"/>
      <c r="GNZ1193" s="7"/>
      <c r="GOA1193" s="7"/>
      <c r="GOB1193" s="7"/>
      <c r="GOC1193" s="7"/>
      <c r="GOD1193" s="7"/>
      <c r="GOE1193" s="7"/>
      <c r="GOF1193" s="7"/>
      <c r="GOG1193" s="7"/>
      <c r="GOH1193" s="7"/>
      <c r="GOI1193" s="7"/>
      <c r="GOJ1193" s="7"/>
      <c r="GOK1193" s="7"/>
      <c r="GOL1193" s="7"/>
      <c r="GOM1193" s="7"/>
      <c r="GON1193" s="7"/>
      <c r="GOO1193" s="7"/>
      <c r="GOP1193" s="7"/>
      <c r="GOQ1193" s="7"/>
      <c r="GOR1193" s="7"/>
      <c r="GOS1193" s="7"/>
      <c r="GOT1193" s="7"/>
      <c r="GOU1193" s="7"/>
      <c r="GOV1193" s="7"/>
      <c r="GOW1193" s="7"/>
      <c r="GOX1193" s="7"/>
      <c r="GOY1193" s="7"/>
      <c r="GOZ1193" s="7"/>
      <c r="GPA1193" s="7"/>
      <c r="GPB1193" s="7"/>
      <c r="GPC1193" s="7"/>
      <c r="GPD1193" s="7"/>
      <c r="GPE1193" s="7"/>
      <c r="GPF1193" s="7"/>
      <c r="GPG1193" s="7"/>
      <c r="GPH1193" s="7"/>
      <c r="GPI1193" s="7"/>
      <c r="GPJ1193" s="7"/>
      <c r="GPK1193" s="7"/>
      <c r="GPL1193" s="7"/>
      <c r="GPM1193" s="7"/>
      <c r="GPN1193" s="7"/>
      <c r="GPO1193" s="7"/>
      <c r="GPP1193" s="7"/>
      <c r="GPQ1193" s="7"/>
      <c r="GPR1193" s="7"/>
      <c r="GPS1193" s="7"/>
      <c r="GPT1193" s="7"/>
      <c r="GPU1193" s="7"/>
      <c r="GPV1193" s="7"/>
      <c r="GPW1193" s="7"/>
      <c r="GPX1193" s="7"/>
      <c r="GPY1193" s="7"/>
      <c r="GPZ1193" s="7"/>
      <c r="GQA1193" s="7"/>
      <c r="GQB1193" s="7"/>
      <c r="GQC1193" s="7"/>
      <c r="GQD1193" s="7"/>
      <c r="GQE1193" s="7"/>
      <c r="GQF1193" s="7"/>
      <c r="GQG1193" s="7"/>
      <c r="GQH1193" s="7"/>
      <c r="GQI1193" s="7"/>
      <c r="GQJ1193" s="7"/>
      <c r="GQK1193" s="7"/>
      <c r="GQL1193" s="7"/>
      <c r="GQM1193" s="7"/>
      <c r="GQN1193" s="7"/>
      <c r="GQO1193" s="7"/>
      <c r="GQP1193" s="7"/>
      <c r="GQQ1193" s="7"/>
      <c r="GQR1193" s="7"/>
      <c r="GQS1193" s="7"/>
      <c r="GQT1193" s="7"/>
      <c r="GQU1193" s="7"/>
      <c r="GQV1193" s="7"/>
      <c r="GQW1193" s="7"/>
      <c r="GQX1193" s="7"/>
      <c r="GQY1193" s="7"/>
      <c r="GQZ1193" s="7"/>
      <c r="GRA1193" s="7"/>
      <c r="GRB1193" s="7"/>
      <c r="GRC1193" s="7"/>
      <c r="GRD1193" s="7"/>
      <c r="GRE1193" s="7"/>
      <c r="GRF1193" s="7"/>
      <c r="GRG1193" s="7"/>
      <c r="GRH1193" s="7"/>
      <c r="GRI1193" s="7"/>
      <c r="GRJ1193" s="7"/>
      <c r="GRK1193" s="7"/>
      <c r="GRL1193" s="7"/>
      <c r="GRM1193" s="7"/>
      <c r="GRN1193" s="7"/>
      <c r="GRO1193" s="7"/>
      <c r="GRP1193" s="7"/>
      <c r="GRQ1193" s="7"/>
      <c r="GRR1193" s="7"/>
      <c r="GRS1193" s="7"/>
      <c r="GRT1193" s="7"/>
      <c r="GRU1193" s="7"/>
      <c r="GRV1193" s="7"/>
      <c r="GRW1193" s="7"/>
      <c r="GRX1193" s="7"/>
      <c r="GRY1193" s="7"/>
      <c r="GRZ1193" s="7"/>
      <c r="GSA1193" s="7"/>
      <c r="GSB1193" s="7"/>
      <c r="GSC1193" s="7"/>
      <c r="GSD1193" s="7"/>
      <c r="GSE1193" s="7"/>
      <c r="GSF1193" s="7"/>
      <c r="GSG1193" s="7"/>
      <c r="GSH1193" s="7"/>
      <c r="GSI1193" s="7"/>
      <c r="GSJ1193" s="7"/>
      <c r="GSK1193" s="7"/>
      <c r="GSL1193" s="7"/>
      <c r="GSM1193" s="7"/>
      <c r="GSN1193" s="7"/>
      <c r="GSO1193" s="7"/>
      <c r="GSP1193" s="7"/>
      <c r="GSQ1193" s="7"/>
      <c r="GSR1193" s="7"/>
      <c r="GSS1193" s="7"/>
      <c r="GST1193" s="7"/>
      <c r="GSU1193" s="7"/>
      <c r="GSV1193" s="7"/>
      <c r="GSW1193" s="7"/>
      <c r="GSX1193" s="7"/>
      <c r="GSY1193" s="7"/>
      <c r="GSZ1193" s="7"/>
      <c r="GTA1193" s="7"/>
      <c r="GTB1193" s="7"/>
      <c r="GTC1193" s="7"/>
      <c r="GTD1193" s="7"/>
      <c r="GTE1193" s="7"/>
      <c r="GTF1193" s="7"/>
      <c r="GTG1193" s="7"/>
      <c r="GTH1193" s="7"/>
      <c r="GTI1193" s="7"/>
      <c r="GTJ1193" s="7"/>
      <c r="GTK1193" s="7"/>
      <c r="GTL1193" s="7"/>
      <c r="GTM1193" s="7"/>
      <c r="GTN1193" s="7"/>
      <c r="GTO1193" s="7"/>
      <c r="GTP1193" s="7"/>
      <c r="GTQ1193" s="7"/>
      <c r="GTR1193" s="7"/>
      <c r="GTS1193" s="7"/>
      <c r="GTT1193" s="7"/>
      <c r="GTU1193" s="7"/>
      <c r="GTV1193" s="7"/>
      <c r="GTW1193" s="7"/>
      <c r="GTX1193" s="7"/>
      <c r="GTY1193" s="7"/>
      <c r="GTZ1193" s="7"/>
      <c r="GUA1193" s="7"/>
      <c r="GUB1193" s="7"/>
      <c r="GUC1193" s="7"/>
      <c r="GUD1193" s="7"/>
      <c r="GUE1193" s="7"/>
      <c r="GUF1193" s="7"/>
      <c r="GUG1193" s="7"/>
      <c r="GUH1193" s="7"/>
      <c r="GUI1193" s="7"/>
      <c r="GUJ1193" s="7"/>
      <c r="GUK1193" s="7"/>
      <c r="GUL1193" s="7"/>
      <c r="GUM1193" s="7"/>
      <c r="GUN1193" s="7"/>
      <c r="GUO1193" s="7"/>
      <c r="GUP1193" s="7"/>
      <c r="GUQ1193" s="7"/>
      <c r="GUR1193" s="7"/>
      <c r="GUS1193" s="7"/>
      <c r="GUT1193" s="7"/>
      <c r="GUU1193" s="7"/>
      <c r="GUV1193" s="7"/>
      <c r="GUW1193" s="7"/>
      <c r="GUX1193" s="7"/>
      <c r="GUY1193" s="7"/>
      <c r="GUZ1193" s="7"/>
      <c r="GVA1193" s="7"/>
      <c r="GVB1193" s="7"/>
      <c r="GVC1193" s="7"/>
      <c r="GVD1193" s="7"/>
      <c r="GVE1193" s="7"/>
      <c r="GVF1193" s="7"/>
      <c r="GVG1193" s="7"/>
      <c r="GVH1193" s="7"/>
      <c r="GVI1193" s="7"/>
      <c r="GVJ1193" s="7"/>
      <c r="GVK1193" s="7"/>
      <c r="GVL1193" s="7"/>
      <c r="GVM1193" s="7"/>
      <c r="GVN1193" s="7"/>
      <c r="GVO1193" s="7"/>
      <c r="GVP1193" s="7"/>
      <c r="GVQ1193" s="7"/>
      <c r="GVR1193" s="7"/>
      <c r="GVS1193" s="7"/>
      <c r="GVT1193" s="7"/>
      <c r="GVU1193" s="7"/>
      <c r="GVV1193" s="7"/>
      <c r="GVW1193" s="7"/>
      <c r="GVX1193" s="7"/>
      <c r="GVY1193" s="7"/>
      <c r="GVZ1193" s="7"/>
      <c r="GWA1193" s="7"/>
      <c r="GWB1193" s="7"/>
      <c r="GWC1193" s="7"/>
      <c r="GWD1193" s="7"/>
      <c r="GWE1193" s="7"/>
      <c r="GWF1193" s="7"/>
      <c r="GWG1193" s="7"/>
      <c r="GWH1193" s="7"/>
      <c r="GWI1193" s="7"/>
      <c r="GWJ1193" s="7"/>
      <c r="GWK1193" s="7"/>
      <c r="GWL1193" s="7"/>
      <c r="GWM1193" s="7"/>
      <c r="GWN1193" s="7"/>
      <c r="GWO1193" s="7"/>
      <c r="GWP1193" s="7"/>
      <c r="GWQ1193" s="7"/>
      <c r="GWR1193" s="7"/>
      <c r="GWS1193" s="7"/>
      <c r="GWT1193" s="7"/>
      <c r="GWU1193" s="7"/>
      <c r="GWV1193" s="7"/>
      <c r="GWW1193" s="7"/>
      <c r="GWX1193" s="7"/>
      <c r="GWY1193" s="7"/>
      <c r="GWZ1193" s="7"/>
      <c r="GXA1193" s="7"/>
      <c r="GXB1193" s="7"/>
      <c r="GXC1193" s="7"/>
      <c r="GXD1193" s="7"/>
      <c r="GXE1193" s="7"/>
      <c r="GXF1193" s="7"/>
      <c r="GXG1193" s="7"/>
      <c r="GXH1193" s="7"/>
      <c r="GXI1193" s="7"/>
      <c r="GXJ1193" s="7"/>
      <c r="GXK1193" s="7"/>
      <c r="GXL1193" s="7"/>
      <c r="GXM1193" s="7"/>
      <c r="GXN1193" s="7"/>
      <c r="GXO1193" s="7"/>
      <c r="GXP1193" s="7"/>
      <c r="GXQ1193" s="7"/>
      <c r="GXR1193" s="7"/>
      <c r="GXS1193" s="7"/>
      <c r="GXT1193" s="7"/>
      <c r="GXU1193" s="7"/>
      <c r="GXV1193" s="7"/>
      <c r="GXW1193" s="7"/>
      <c r="GXX1193" s="7"/>
      <c r="GXY1193" s="7"/>
      <c r="GXZ1193" s="7"/>
      <c r="GYA1193" s="7"/>
      <c r="GYB1193" s="7"/>
      <c r="GYC1193" s="7"/>
      <c r="GYD1193" s="7"/>
      <c r="GYE1193" s="7"/>
      <c r="GYF1193" s="7"/>
      <c r="GYG1193" s="7"/>
      <c r="GYH1193" s="7"/>
      <c r="GYI1193" s="7"/>
      <c r="GYJ1193" s="7"/>
      <c r="GYK1193" s="7"/>
      <c r="GYL1193" s="7"/>
      <c r="GYM1193" s="7"/>
      <c r="GYN1193" s="7"/>
      <c r="GYO1193" s="7"/>
      <c r="GYP1193" s="7"/>
      <c r="GYQ1193" s="7"/>
      <c r="GYR1193" s="7"/>
      <c r="GYS1193" s="7"/>
      <c r="GYT1193" s="7"/>
      <c r="GYU1193" s="7"/>
      <c r="GYV1193" s="7"/>
      <c r="GYW1193" s="7"/>
      <c r="GYX1193" s="7"/>
      <c r="GYY1193" s="7"/>
      <c r="GYZ1193" s="7"/>
      <c r="GZA1193" s="7"/>
      <c r="GZB1193" s="7"/>
      <c r="GZC1193" s="7"/>
      <c r="GZD1193" s="7"/>
      <c r="GZE1193" s="7"/>
      <c r="GZF1193" s="7"/>
      <c r="GZG1193" s="7"/>
      <c r="GZH1193" s="7"/>
      <c r="GZI1193" s="7"/>
      <c r="GZJ1193" s="7"/>
      <c r="GZK1193" s="7"/>
      <c r="GZL1193" s="7"/>
      <c r="GZM1193" s="7"/>
      <c r="GZN1193" s="7"/>
      <c r="GZO1193" s="7"/>
      <c r="GZP1193" s="7"/>
      <c r="GZQ1193" s="7"/>
      <c r="GZR1193" s="7"/>
      <c r="GZS1193" s="7"/>
      <c r="GZT1193" s="7"/>
      <c r="GZU1193" s="7"/>
      <c r="GZV1193" s="7"/>
      <c r="GZW1193" s="7"/>
      <c r="GZX1193" s="7"/>
      <c r="GZY1193" s="7"/>
      <c r="GZZ1193" s="7"/>
      <c r="HAA1193" s="7"/>
      <c r="HAB1193" s="7"/>
      <c r="HAC1193" s="7"/>
      <c r="HAD1193" s="7"/>
      <c r="HAE1193" s="7"/>
      <c r="HAF1193" s="7"/>
      <c r="HAG1193" s="7"/>
      <c r="HAH1193" s="7"/>
      <c r="HAI1193" s="7"/>
      <c r="HAJ1193" s="7"/>
      <c r="HAK1193" s="7"/>
      <c r="HAL1193" s="7"/>
      <c r="HAM1193" s="7"/>
      <c r="HAN1193" s="7"/>
      <c r="HAO1193" s="7"/>
      <c r="HAP1193" s="7"/>
      <c r="HAQ1193" s="7"/>
      <c r="HAR1193" s="7"/>
      <c r="HAS1193" s="7"/>
      <c r="HAT1193" s="7"/>
      <c r="HAU1193" s="7"/>
      <c r="HAV1193" s="7"/>
      <c r="HAW1193" s="7"/>
      <c r="HAX1193" s="7"/>
      <c r="HAY1193" s="7"/>
      <c r="HAZ1193" s="7"/>
      <c r="HBA1193" s="7"/>
      <c r="HBB1193" s="7"/>
      <c r="HBC1193" s="7"/>
      <c r="HBD1193" s="7"/>
      <c r="HBE1193" s="7"/>
      <c r="HBF1193" s="7"/>
      <c r="HBG1193" s="7"/>
      <c r="HBH1193" s="7"/>
      <c r="HBI1193" s="7"/>
      <c r="HBJ1193" s="7"/>
      <c r="HBK1193" s="7"/>
      <c r="HBL1193" s="7"/>
      <c r="HBM1193" s="7"/>
      <c r="HBN1193" s="7"/>
      <c r="HBO1193" s="7"/>
      <c r="HBP1193" s="7"/>
      <c r="HBQ1193" s="7"/>
      <c r="HBR1193" s="7"/>
      <c r="HBS1193" s="7"/>
      <c r="HBT1193" s="7"/>
      <c r="HBU1193" s="7"/>
      <c r="HBV1193" s="7"/>
      <c r="HBW1193" s="7"/>
      <c r="HBX1193" s="7"/>
      <c r="HBY1193" s="7"/>
      <c r="HBZ1193" s="7"/>
      <c r="HCA1193" s="7"/>
      <c r="HCB1193" s="7"/>
      <c r="HCC1193" s="7"/>
      <c r="HCD1193" s="7"/>
      <c r="HCE1193" s="7"/>
      <c r="HCF1193" s="7"/>
      <c r="HCG1193" s="7"/>
      <c r="HCH1193" s="7"/>
      <c r="HCI1193" s="7"/>
      <c r="HCJ1193" s="7"/>
      <c r="HCK1193" s="7"/>
      <c r="HCL1193" s="7"/>
      <c r="HCM1193" s="7"/>
      <c r="HCN1193" s="7"/>
      <c r="HCO1193" s="7"/>
      <c r="HCP1193" s="7"/>
      <c r="HCQ1193" s="7"/>
      <c r="HCR1193" s="7"/>
      <c r="HCS1193" s="7"/>
      <c r="HCT1193" s="7"/>
      <c r="HCU1193" s="7"/>
      <c r="HCV1193" s="7"/>
      <c r="HCW1193" s="7"/>
      <c r="HCX1193" s="7"/>
      <c r="HCY1193" s="7"/>
      <c r="HCZ1193" s="7"/>
      <c r="HDA1193" s="7"/>
      <c r="HDB1193" s="7"/>
      <c r="HDC1193" s="7"/>
      <c r="HDD1193" s="7"/>
      <c r="HDE1193" s="7"/>
      <c r="HDF1193" s="7"/>
      <c r="HDG1193" s="7"/>
      <c r="HDH1193" s="7"/>
      <c r="HDI1193" s="7"/>
      <c r="HDJ1193" s="7"/>
      <c r="HDK1193" s="7"/>
      <c r="HDL1193" s="7"/>
      <c r="HDM1193" s="7"/>
      <c r="HDN1193" s="7"/>
      <c r="HDO1193" s="7"/>
      <c r="HDP1193" s="7"/>
      <c r="HDQ1193" s="7"/>
      <c r="HDR1193" s="7"/>
      <c r="HDS1193" s="7"/>
      <c r="HDT1193" s="7"/>
      <c r="HDU1193" s="7"/>
      <c r="HDV1193" s="7"/>
      <c r="HDW1193" s="7"/>
      <c r="HDX1193" s="7"/>
      <c r="HDY1193" s="7"/>
      <c r="HDZ1193" s="7"/>
      <c r="HEA1193" s="7"/>
      <c r="HEB1193" s="7"/>
      <c r="HEC1193" s="7"/>
      <c r="HED1193" s="7"/>
      <c r="HEE1193" s="7"/>
      <c r="HEF1193" s="7"/>
      <c r="HEG1193" s="7"/>
      <c r="HEH1193" s="7"/>
      <c r="HEI1193" s="7"/>
      <c r="HEJ1193" s="7"/>
      <c r="HEK1193" s="7"/>
      <c r="HEL1193" s="7"/>
      <c r="HEM1193" s="7"/>
      <c r="HEN1193" s="7"/>
      <c r="HEO1193" s="7"/>
      <c r="HEP1193" s="7"/>
      <c r="HEQ1193" s="7"/>
      <c r="HER1193" s="7"/>
      <c r="HES1193" s="7"/>
      <c r="HET1193" s="7"/>
      <c r="HEU1193" s="7"/>
      <c r="HEV1193" s="7"/>
      <c r="HEW1193" s="7"/>
      <c r="HEX1193" s="7"/>
      <c r="HEY1193" s="7"/>
      <c r="HEZ1193" s="7"/>
      <c r="HFA1193" s="7"/>
      <c r="HFB1193" s="7"/>
      <c r="HFC1193" s="7"/>
      <c r="HFD1193" s="7"/>
      <c r="HFE1193" s="7"/>
      <c r="HFF1193" s="7"/>
      <c r="HFG1193" s="7"/>
      <c r="HFH1193" s="7"/>
      <c r="HFI1193" s="7"/>
      <c r="HFJ1193" s="7"/>
      <c r="HFK1193" s="7"/>
      <c r="HFL1193" s="7"/>
      <c r="HFM1193" s="7"/>
      <c r="HFN1193" s="7"/>
      <c r="HFO1193" s="7"/>
      <c r="HFP1193" s="7"/>
      <c r="HFQ1193" s="7"/>
      <c r="HFR1193" s="7"/>
      <c r="HFS1193" s="7"/>
      <c r="HFT1193" s="7"/>
      <c r="HFU1193" s="7"/>
      <c r="HFV1193" s="7"/>
      <c r="HFW1193" s="7"/>
      <c r="HFX1193" s="7"/>
      <c r="HFY1193" s="7"/>
      <c r="HFZ1193" s="7"/>
      <c r="HGA1193" s="7"/>
      <c r="HGB1193" s="7"/>
      <c r="HGC1193" s="7"/>
      <c r="HGD1193" s="7"/>
      <c r="HGE1193" s="7"/>
      <c r="HGF1193" s="7"/>
      <c r="HGG1193" s="7"/>
      <c r="HGH1193" s="7"/>
      <c r="HGI1193" s="7"/>
      <c r="HGJ1193" s="7"/>
      <c r="HGK1193" s="7"/>
      <c r="HGL1193" s="7"/>
      <c r="HGM1193" s="7"/>
      <c r="HGN1193" s="7"/>
      <c r="HGO1193" s="7"/>
      <c r="HGP1193" s="7"/>
      <c r="HGQ1193" s="7"/>
      <c r="HGR1193" s="7"/>
      <c r="HGS1193" s="7"/>
      <c r="HGT1193" s="7"/>
      <c r="HGU1193" s="7"/>
      <c r="HGV1193" s="7"/>
      <c r="HGW1193" s="7"/>
      <c r="HGX1193" s="7"/>
      <c r="HGY1193" s="7"/>
      <c r="HGZ1193" s="7"/>
      <c r="HHA1193" s="7"/>
      <c r="HHB1193" s="7"/>
      <c r="HHC1193" s="7"/>
      <c r="HHD1193" s="7"/>
      <c r="HHE1193" s="7"/>
      <c r="HHF1193" s="7"/>
      <c r="HHG1193" s="7"/>
      <c r="HHH1193" s="7"/>
      <c r="HHI1193" s="7"/>
      <c r="HHJ1193" s="7"/>
      <c r="HHK1193" s="7"/>
      <c r="HHL1193" s="7"/>
      <c r="HHM1193" s="7"/>
      <c r="HHN1193" s="7"/>
      <c r="HHO1193" s="7"/>
      <c r="HHP1193" s="7"/>
      <c r="HHQ1193" s="7"/>
      <c r="HHR1193" s="7"/>
      <c r="HHS1193" s="7"/>
      <c r="HHT1193" s="7"/>
      <c r="HHU1193" s="7"/>
      <c r="HHV1193" s="7"/>
      <c r="HHW1193" s="7"/>
      <c r="HHX1193" s="7"/>
      <c r="HHY1193" s="7"/>
      <c r="HHZ1193" s="7"/>
      <c r="HIA1193" s="7"/>
      <c r="HIB1193" s="7"/>
      <c r="HIC1193" s="7"/>
      <c r="HID1193" s="7"/>
      <c r="HIE1193" s="7"/>
      <c r="HIF1193" s="7"/>
      <c r="HIG1193" s="7"/>
      <c r="HIH1193" s="7"/>
      <c r="HII1193" s="7"/>
      <c r="HIJ1193" s="7"/>
      <c r="HIK1193" s="7"/>
      <c r="HIL1193" s="7"/>
      <c r="HIM1193" s="7"/>
      <c r="HIN1193" s="7"/>
      <c r="HIO1193" s="7"/>
      <c r="HIP1193" s="7"/>
      <c r="HIQ1193" s="7"/>
      <c r="HIR1193" s="7"/>
      <c r="HIS1193" s="7"/>
      <c r="HIT1193" s="7"/>
      <c r="HIU1193" s="7"/>
      <c r="HIV1193" s="7"/>
      <c r="HIW1193" s="7"/>
      <c r="HIX1193" s="7"/>
      <c r="HIY1193" s="7"/>
      <c r="HIZ1193" s="7"/>
      <c r="HJA1193" s="7"/>
      <c r="HJB1193" s="7"/>
      <c r="HJC1193" s="7"/>
      <c r="HJD1193" s="7"/>
      <c r="HJE1193" s="7"/>
      <c r="HJF1193" s="7"/>
      <c r="HJG1193" s="7"/>
      <c r="HJH1193" s="7"/>
      <c r="HJI1193" s="7"/>
      <c r="HJJ1193" s="7"/>
      <c r="HJK1193" s="7"/>
      <c r="HJL1193" s="7"/>
      <c r="HJM1193" s="7"/>
      <c r="HJN1193" s="7"/>
      <c r="HJO1193" s="7"/>
      <c r="HJP1193" s="7"/>
      <c r="HJQ1193" s="7"/>
      <c r="HJR1193" s="7"/>
      <c r="HJS1193" s="7"/>
      <c r="HJT1193" s="7"/>
      <c r="HJU1193" s="7"/>
      <c r="HJV1193" s="7"/>
      <c r="HJW1193" s="7"/>
      <c r="HJX1193" s="7"/>
      <c r="HJY1193" s="7"/>
      <c r="HJZ1193" s="7"/>
      <c r="HKA1193" s="7"/>
      <c r="HKB1193" s="7"/>
      <c r="HKC1193" s="7"/>
      <c r="HKD1193" s="7"/>
      <c r="HKE1193" s="7"/>
      <c r="HKF1193" s="7"/>
      <c r="HKG1193" s="7"/>
      <c r="HKH1193" s="7"/>
      <c r="HKI1193" s="7"/>
      <c r="HKJ1193" s="7"/>
      <c r="HKK1193" s="7"/>
      <c r="HKL1193" s="7"/>
      <c r="HKM1193" s="7"/>
      <c r="HKN1193" s="7"/>
      <c r="HKO1193" s="7"/>
      <c r="HKP1193" s="7"/>
      <c r="HKQ1193" s="7"/>
      <c r="HKR1193" s="7"/>
      <c r="HKS1193" s="7"/>
      <c r="HKT1193" s="7"/>
      <c r="HKU1193" s="7"/>
      <c r="HKV1193" s="7"/>
      <c r="HKW1193" s="7"/>
      <c r="HKX1193" s="7"/>
      <c r="HKY1193" s="7"/>
      <c r="HKZ1193" s="7"/>
      <c r="HLA1193" s="7"/>
      <c r="HLB1193" s="7"/>
      <c r="HLC1193" s="7"/>
      <c r="HLD1193" s="7"/>
      <c r="HLE1193" s="7"/>
      <c r="HLF1193" s="7"/>
      <c r="HLG1193" s="7"/>
      <c r="HLH1193" s="7"/>
      <c r="HLI1193" s="7"/>
      <c r="HLJ1193" s="7"/>
      <c r="HLK1193" s="7"/>
      <c r="HLL1193" s="7"/>
      <c r="HLM1193" s="7"/>
      <c r="HLN1193" s="7"/>
      <c r="HLO1193" s="7"/>
      <c r="HLP1193" s="7"/>
      <c r="HLQ1193" s="7"/>
      <c r="HLR1193" s="7"/>
      <c r="HLS1193" s="7"/>
      <c r="HLT1193" s="7"/>
      <c r="HLU1193" s="7"/>
      <c r="HLV1193" s="7"/>
      <c r="HLW1193" s="7"/>
      <c r="HLX1193" s="7"/>
      <c r="HLY1193" s="7"/>
      <c r="HLZ1193" s="7"/>
      <c r="HMA1193" s="7"/>
      <c r="HMB1193" s="7"/>
      <c r="HMC1193" s="7"/>
      <c r="HMD1193" s="7"/>
      <c r="HME1193" s="7"/>
      <c r="HMF1193" s="7"/>
      <c r="HMG1193" s="7"/>
      <c r="HMH1193" s="7"/>
      <c r="HMI1193" s="7"/>
      <c r="HMJ1193" s="7"/>
      <c r="HMK1193" s="7"/>
      <c r="HML1193" s="7"/>
      <c r="HMM1193" s="7"/>
      <c r="HMN1193" s="7"/>
      <c r="HMO1193" s="7"/>
      <c r="HMP1193" s="7"/>
      <c r="HMQ1193" s="7"/>
      <c r="HMR1193" s="7"/>
      <c r="HMS1193" s="7"/>
      <c r="HMT1193" s="7"/>
      <c r="HMU1193" s="7"/>
      <c r="HMV1193" s="7"/>
      <c r="HMW1193" s="7"/>
      <c r="HMX1193" s="7"/>
      <c r="HMY1193" s="7"/>
      <c r="HMZ1193" s="7"/>
      <c r="HNA1193" s="7"/>
      <c r="HNB1193" s="7"/>
      <c r="HNC1193" s="7"/>
      <c r="HND1193" s="7"/>
      <c r="HNE1193" s="7"/>
      <c r="HNF1193" s="7"/>
      <c r="HNG1193" s="7"/>
      <c r="HNH1193" s="7"/>
      <c r="HNI1193" s="7"/>
      <c r="HNJ1193" s="7"/>
      <c r="HNK1193" s="7"/>
      <c r="HNL1193" s="7"/>
      <c r="HNM1193" s="7"/>
      <c r="HNN1193" s="7"/>
      <c r="HNO1193" s="7"/>
      <c r="HNP1193" s="7"/>
      <c r="HNQ1193" s="7"/>
      <c r="HNR1193" s="7"/>
      <c r="HNS1193" s="7"/>
      <c r="HNT1193" s="7"/>
      <c r="HNU1193" s="7"/>
      <c r="HNV1193" s="7"/>
      <c r="HNW1193" s="7"/>
      <c r="HNX1193" s="7"/>
      <c r="HNY1193" s="7"/>
      <c r="HNZ1193" s="7"/>
      <c r="HOA1193" s="7"/>
      <c r="HOB1193" s="7"/>
      <c r="HOC1193" s="7"/>
      <c r="HOD1193" s="7"/>
      <c r="HOE1193" s="7"/>
      <c r="HOF1193" s="7"/>
      <c r="HOG1193" s="7"/>
      <c r="HOH1193" s="7"/>
      <c r="HOI1193" s="7"/>
      <c r="HOJ1193" s="7"/>
      <c r="HOK1193" s="7"/>
      <c r="HOL1193" s="7"/>
      <c r="HOM1193" s="7"/>
      <c r="HON1193" s="7"/>
      <c r="HOO1193" s="7"/>
      <c r="HOP1193" s="7"/>
      <c r="HOQ1193" s="7"/>
      <c r="HOR1193" s="7"/>
      <c r="HOS1193" s="7"/>
      <c r="HOT1193" s="7"/>
      <c r="HOU1193" s="7"/>
      <c r="HOV1193" s="7"/>
      <c r="HOW1193" s="7"/>
      <c r="HOX1193" s="7"/>
      <c r="HOY1193" s="7"/>
      <c r="HOZ1193" s="7"/>
      <c r="HPA1193" s="7"/>
      <c r="HPB1193" s="7"/>
      <c r="HPC1193" s="7"/>
      <c r="HPD1193" s="7"/>
      <c r="HPE1193" s="7"/>
      <c r="HPF1193" s="7"/>
      <c r="HPG1193" s="7"/>
      <c r="HPH1193" s="7"/>
      <c r="HPI1193" s="7"/>
      <c r="HPJ1193" s="7"/>
      <c r="HPK1193" s="7"/>
      <c r="HPL1193" s="7"/>
      <c r="HPM1193" s="7"/>
      <c r="HPN1193" s="7"/>
      <c r="HPO1193" s="7"/>
      <c r="HPP1193" s="7"/>
      <c r="HPQ1193" s="7"/>
      <c r="HPR1193" s="7"/>
      <c r="HPS1193" s="7"/>
      <c r="HPT1193" s="7"/>
      <c r="HPU1193" s="7"/>
      <c r="HPV1193" s="7"/>
      <c r="HPW1193" s="7"/>
      <c r="HPX1193" s="7"/>
      <c r="HPY1193" s="7"/>
      <c r="HPZ1193" s="7"/>
      <c r="HQA1193" s="7"/>
      <c r="HQB1193" s="7"/>
      <c r="HQC1193" s="7"/>
      <c r="HQD1193" s="7"/>
      <c r="HQE1193" s="7"/>
      <c r="HQF1193" s="7"/>
      <c r="HQG1193" s="7"/>
      <c r="HQH1193" s="7"/>
      <c r="HQI1193" s="7"/>
      <c r="HQJ1193" s="7"/>
      <c r="HQK1193" s="7"/>
      <c r="HQL1193" s="7"/>
      <c r="HQM1193" s="7"/>
      <c r="HQN1193" s="7"/>
      <c r="HQO1193" s="7"/>
      <c r="HQP1193" s="7"/>
      <c r="HQQ1193" s="7"/>
      <c r="HQR1193" s="7"/>
      <c r="HQS1193" s="7"/>
      <c r="HQT1193" s="7"/>
      <c r="HQU1193" s="7"/>
      <c r="HQV1193" s="7"/>
      <c r="HQW1193" s="7"/>
      <c r="HQX1193" s="7"/>
      <c r="HQY1193" s="7"/>
      <c r="HQZ1193" s="7"/>
      <c r="HRA1193" s="7"/>
      <c r="HRB1193" s="7"/>
      <c r="HRC1193" s="7"/>
      <c r="HRD1193" s="7"/>
      <c r="HRE1193" s="7"/>
      <c r="HRF1193" s="7"/>
      <c r="HRG1193" s="7"/>
      <c r="HRH1193" s="7"/>
      <c r="HRI1193" s="7"/>
      <c r="HRJ1193" s="7"/>
      <c r="HRK1193" s="7"/>
      <c r="HRL1193" s="7"/>
      <c r="HRM1193" s="7"/>
      <c r="HRN1193" s="7"/>
      <c r="HRO1193" s="7"/>
      <c r="HRP1193" s="7"/>
      <c r="HRQ1193" s="7"/>
      <c r="HRR1193" s="7"/>
      <c r="HRS1193" s="7"/>
      <c r="HRT1193" s="7"/>
      <c r="HRU1193" s="7"/>
      <c r="HRV1193" s="7"/>
      <c r="HRW1193" s="7"/>
      <c r="HRX1193" s="7"/>
      <c r="HRY1193" s="7"/>
      <c r="HRZ1193" s="7"/>
      <c r="HSA1193" s="7"/>
      <c r="HSB1193" s="7"/>
      <c r="HSC1193" s="7"/>
      <c r="HSD1193" s="7"/>
      <c r="HSE1193" s="7"/>
      <c r="HSF1193" s="7"/>
      <c r="HSG1193" s="7"/>
      <c r="HSH1193" s="7"/>
      <c r="HSI1193" s="7"/>
      <c r="HSJ1193" s="7"/>
      <c r="HSK1193" s="7"/>
      <c r="HSL1193" s="7"/>
      <c r="HSM1193" s="7"/>
      <c r="HSN1193" s="7"/>
      <c r="HSO1193" s="7"/>
      <c r="HSP1193" s="7"/>
      <c r="HSQ1193" s="7"/>
      <c r="HSR1193" s="7"/>
      <c r="HSS1193" s="7"/>
      <c r="HST1193" s="7"/>
      <c r="HSU1193" s="7"/>
      <c r="HSV1193" s="7"/>
      <c r="HSW1193" s="7"/>
      <c r="HSX1193" s="7"/>
      <c r="HSY1193" s="7"/>
      <c r="HSZ1193" s="7"/>
      <c r="HTA1193" s="7"/>
      <c r="HTB1193" s="7"/>
      <c r="HTC1193" s="7"/>
      <c r="HTD1193" s="7"/>
      <c r="HTE1193" s="7"/>
      <c r="HTF1193" s="7"/>
      <c r="HTG1193" s="7"/>
      <c r="HTH1193" s="7"/>
      <c r="HTI1193" s="7"/>
      <c r="HTJ1193" s="7"/>
      <c r="HTK1193" s="7"/>
      <c r="HTL1193" s="7"/>
      <c r="HTM1193" s="7"/>
      <c r="HTN1193" s="7"/>
      <c r="HTO1193" s="7"/>
      <c r="HTP1193" s="7"/>
      <c r="HTQ1193" s="7"/>
      <c r="HTR1193" s="7"/>
      <c r="HTS1193" s="7"/>
      <c r="HTT1193" s="7"/>
      <c r="HTU1193" s="7"/>
      <c r="HTV1193" s="7"/>
      <c r="HTW1193" s="7"/>
      <c r="HTX1193" s="7"/>
      <c r="HTY1193" s="7"/>
      <c r="HTZ1193" s="7"/>
      <c r="HUA1193" s="7"/>
      <c r="HUB1193" s="7"/>
      <c r="HUC1193" s="7"/>
      <c r="HUD1193" s="7"/>
      <c r="HUE1193" s="7"/>
      <c r="HUF1193" s="7"/>
      <c r="HUG1193" s="7"/>
      <c r="HUH1193" s="7"/>
      <c r="HUI1193" s="7"/>
      <c r="HUJ1193" s="7"/>
      <c r="HUK1193" s="7"/>
      <c r="HUL1193" s="7"/>
      <c r="HUM1193" s="7"/>
      <c r="HUN1193" s="7"/>
      <c r="HUO1193" s="7"/>
      <c r="HUP1193" s="7"/>
      <c r="HUQ1193" s="7"/>
      <c r="HUR1193" s="7"/>
      <c r="HUS1193" s="7"/>
      <c r="HUT1193" s="7"/>
      <c r="HUU1193" s="7"/>
      <c r="HUV1193" s="7"/>
      <c r="HUW1193" s="7"/>
      <c r="HUX1193" s="7"/>
      <c r="HUY1193" s="7"/>
      <c r="HUZ1193" s="7"/>
      <c r="HVA1193" s="7"/>
      <c r="HVB1193" s="7"/>
      <c r="HVC1193" s="7"/>
      <c r="HVD1193" s="7"/>
      <c r="HVE1193" s="7"/>
      <c r="HVF1193" s="7"/>
      <c r="HVG1193" s="7"/>
      <c r="HVH1193" s="7"/>
      <c r="HVI1193" s="7"/>
      <c r="HVJ1193" s="7"/>
      <c r="HVK1193" s="7"/>
      <c r="HVL1193" s="7"/>
      <c r="HVM1193" s="7"/>
      <c r="HVN1193" s="7"/>
      <c r="HVO1193" s="7"/>
      <c r="HVP1193" s="7"/>
      <c r="HVQ1193" s="7"/>
      <c r="HVR1193" s="7"/>
      <c r="HVS1193" s="7"/>
      <c r="HVT1193" s="7"/>
      <c r="HVU1193" s="7"/>
      <c r="HVV1193" s="7"/>
      <c r="HVW1193" s="7"/>
      <c r="HVX1193" s="7"/>
      <c r="HVY1193" s="7"/>
      <c r="HVZ1193" s="7"/>
      <c r="HWA1193" s="7"/>
      <c r="HWB1193" s="7"/>
      <c r="HWC1193" s="7"/>
      <c r="HWD1193" s="7"/>
      <c r="HWE1193" s="7"/>
      <c r="HWF1193" s="7"/>
      <c r="HWG1193" s="7"/>
      <c r="HWH1193" s="7"/>
      <c r="HWI1193" s="7"/>
      <c r="HWJ1193" s="7"/>
      <c r="HWK1193" s="7"/>
      <c r="HWL1193" s="7"/>
      <c r="HWM1193" s="7"/>
      <c r="HWN1193" s="7"/>
      <c r="HWO1193" s="7"/>
      <c r="HWP1193" s="7"/>
      <c r="HWQ1193" s="7"/>
      <c r="HWR1193" s="7"/>
      <c r="HWS1193" s="7"/>
      <c r="HWT1193" s="7"/>
      <c r="HWU1193" s="7"/>
      <c r="HWV1193" s="7"/>
      <c r="HWW1193" s="7"/>
      <c r="HWX1193" s="7"/>
      <c r="HWY1193" s="7"/>
      <c r="HWZ1193" s="7"/>
      <c r="HXA1193" s="7"/>
      <c r="HXB1193" s="7"/>
      <c r="HXC1193" s="7"/>
      <c r="HXD1193" s="7"/>
      <c r="HXE1193" s="7"/>
      <c r="HXF1193" s="7"/>
      <c r="HXG1193" s="7"/>
      <c r="HXH1193" s="7"/>
      <c r="HXI1193" s="7"/>
      <c r="HXJ1193" s="7"/>
      <c r="HXK1193" s="7"/>
      <c r="HXL1193" s="7"/>
      <c r="HXM1193" s="7"/>
      <c r="HXN1193" s="7"/>
      <c r="HXO1193" s="7"/>
      <c r="HXP1193" s="7"/>
      <c r="HXQ1193" s="7"/>
      <c r="HXR1193" s="7"/>
      <c r="HXS1193" s="7"/>
      <c r="HXT1193" s="7"/>
      <c r="HXU1193" s="7"/>
      <c r="HXV1193" s="7"/>
      <c r="HXW1193" s="7"/>
      <c r="HXX1193" s="7"/>
      <c r="HXY1193" s="7"/>
      <c r="HXZ1193" s="7"/>
      <c r="HYA1193" s="7"/>
      <c r="HYB1193" s="7"/>
      <c r="HYC1193" s="7"/>
      <c r="HYD1193" s="7"/>
      <c r="HYE1193" s="7"/>
      <c r="HYF1193" s="7"/>
      <c r="HYG1193" s="7"/>
      <c r="HYH1193" s="7"/>
      <c r="HYI1193" s="7"/>
      <c r="HYJ1193" s="7"/>
      <c r="HYK1193" s="7"/>
      <c r="HYL1193" s="7"/>
      <c r="HYM1193" s="7"/>
      <c r="HYN1193" s="7"/>
      <c r="HYO1193" s="7"/>
      <c r="HYP1193" s="7"/>
      <c r="HYQ1193" s="7"/>
      <c r="HYR1193" s="7"/>
      <c r="HYS1193" s="7"/>
      <c r="HYT1193" s="7"/>
      <c r="HYU1193" s="7"/>
      <c r="HYV1193" s="7"/>
      <c r="HYW1193" s="7"/>
      <c r="HYX1193" s="7"/>
      <c r="HYY1193" s="7"/>
      <c r="HYZ1193" s="7"/>
      <c r="HZA1193" s="7"/>
      <c r="HZB1193" s="7"/>
      <c r="HZC1193" s="7"/>
      <c r="HZD1193" s="7"/>
      <c r="HZE1193" s="7"/>
      <c r="HZF1193" s="7"/>
      <c r="HZG1193" s="7"/>
      <c r="HZH1193" s="7"/>
      <c r="HZI1193" s="7"/>
      <c r="HZJ1193" s="7"/>
      <c r="HZK1193" s="7"/>
      <c r="HZL1193" s="7"/>
      <c r="HZM1193" s="7"/>
      <c r="HZN1193" s="7"/>
      <c r="HZO1193" s="7"/>
      <c r="HZP1193" s="7"/>
      <c r="HZQ1193" s="7"/>
      <c r="HZR1193" s="7"/>
      <c r="HZS1193" s="7"/>
      <c r="HZT1193" s="7"/>
      <c r="HZU1193" s="7"/>
      <c r="HZV1193" s="7"/>
      <c r="HZW1193" s="7"/>
      <c r="HZX1193" s="7"/>
      <c r="HZY1193" s="7"/>
      <c r="HZZ1193" s="7"/>
      <c r="IAA1193" s="7"/>
      <c r="IAB1193" s="7"/>
      <c r="IAC1193" s="7"/>
      <c r="IAD1193" s="7"/>
      <c r="IAE1193" s="7"/>
      <c r="IAF1193" s="7"/>
      <c r="IAG1193" s="7"/>
      <c r="IAH1193" s="7"/>
      <c r="IAI1193" s="7"/>
      <c r="IAJ1193" s="7"/>
      <c r="IAK1193" s="7"/>
      <c r="IAL1193" s="7"/>
      <c r="IAM1193" s="7"/>
      <c r="IAN1193" s="7"/>
      <c r="IAO1193" s="7"/>
      <c r="IAP1193" s="7"/>
      <c r="IAQ1193" s="7"/>
      <c r="IAR1193" s="7"/>
      <c r="IAS1193" s="7"/>
      <c r="IAT1193" s="7"/>
      <c r="IAU1193" s="7"/>
      <c r="IAV1193" s="7"/>
      <c r="IAW1193" s="7"/>
      <c r="IAX1193" s="7"/>
      <c r="IAY1193" s="7"/>
      <c r="IAZ1193" s="7"/>
      <c r="IBA1193" s="7"/>
      <c r="IBB1193" s="7"/>
      <c r="IBC1193" s="7"/>
      <c r="IBD1193" s="7"/>
      <c r="IBE1193" s="7"/>
      <c r="IBF1193" s="7"/>
      <c r="IBG1193" s="7"/>
      <c r="IBH1193" s="7"/>
      <c r="IBI1193" s="7"/>
      <c r="IBJ1193" s="7"/>
      <c r="IBK1193" s="7"/>
      <c r="IBL1193" s="7"/>
      <c r="IBM1193" s="7"/>
      <c r="IBN1193" s="7"/>
      <c r="IBO1193" s="7"/>
      <c r="IBP1193" s="7"/>
      <c r="IBQ1193" s="7"/>
      <c r="IBR1193" s="7"/>
      <c r="IBS1193" s="7"/>
      <c r="IBT1193" s="7"/>
      <c r="IBU1193" s="7"/>
      <c r="IBV1193" s="7"/>
      <c r="IBW1193" s="7"/>
      <c r="IBX1193" s="7"/>
      <c r="IBY1193" s="7"/>
      <c r="IBZ1193" s="7"/>
      <c r="ICA1193" s="7"/>
      <c r="ICB1193" s="7"/>
      <c r="ICC1193" s="7"/>
      <c r="ICD1193" s="7"/>
      <c r="ICE1193" s="7"/>
      <c r="ICF1193" s="7"/>
      <c r="ICG1193" s="7"/>
      <c r="ICH1193" s="7"/>
      <c r="ICI1193" s="7"/>
      <c r="ICJ1193" s="7"/>
      <c r="ICK1193" s="7"/>
      <c r="ICL1193" s="7"/>
      <c r="ICM1193" s="7"/>
      <c r="ICN1193" s="7"/>
      <c r="ICO1193" s="7"/>
      <c r="ICP1193" s="7"/>
      <c r="ICQ1193" s="7"/>
      <c r="ICR1193" s="7"/>
      <c r="ICS1193" s="7"/>
      <c r="ICT1193" s="7"/>
      <c r="ICU1193" s="7"/>
      <c r="ICV1193" s="7"/>
      <c r="ICW1193" s="7"/>
      <c r="ICX1193" s="7"/>
      <c r="ICY1193" s="7"/>
      <c r="ICZ1193" s="7"/>
      <c r="IDA1193" s="7"/>
      <c r="IDB1193" s="7"/>
      <c r="IDC1193" s="7"/>
      <c r="IDD1193" s="7"/>
      <c r="IDE1193" s="7"/>
      <c r="IDF1193" s="7"/>
      <c r="IDG1193" s="7"/>
      <c r="IDH1193" s="7"/>
      <c r="IDI1193" s="7"/>
      <c r="IDJ1193" s="7"/>
      <c r="IDK1193" s="7"/>
      <c r="IDL1193" s="7"/>
      <c r="IDM1193" s="7"/>
      <c r="IDN1193" s="7"/>
      <c r="IDO1193" s="7"/>
      <c r="IDP1193" s="7"/>
      <c r="IDQ1193" s="7"/>
      <c r="IDR1193" s="7"/>
      <c r="IDS1193" s="7"/>
      <c r="IDT1193" s="7"/>
      <c r="IDU1193" s="7"/>
      <c r="IDV1193" s="7"/>
      <c r="IDW1193" s="7"/>
      <c r="IDX1193" s="7"/>
      <c r="IDY1193" s="7"/>
      <c r="IDZ1193" s="7"/>
      <c r="IEA1193" s="7"/>
      <c r="IEB1193" s="7"/>
      <c r="IEC1193" s="7"/>
      <c r="IED1193" s="7"/>
      <c r="IEE1193" s="7"/>
      <c r="IEF1193" s="7"/>
      <c r="IEG1193" s="7"/>
      <c r="IEH1193" s="7"/>
      <c r="IEI1193" s="7"/>
      <c r="IEJ1193" s="7"/>
      <c r="IEK1193" s="7"/>
      <c r="IEL1193" s="7"/>
      <c r="IEM1193" s="7"/>
      <c r="IEN1193" s="7"/>
      <c r="IEO1193" s="7"/>
      <c r="IEP1193" s="7"/>
      <c r="IEQ1193" s="7"/>
      <c r="IER1193" s="7"/>
      <c r="IES1193" s="7"/>
      <c r="IET1193" s="7"/>
      <c r="IEU1193" s="7"/>
      <c r="IEV1193" s="7"/>
      <c r="IEW1193" s="7"/>
      <c r="IEX1193" s="7"/>
      <c r="IEY1193" s="7"/>
      <c r="IEZ1193" s="7"/>
      <c r="IFA1193" s="7"/>
      <c r="IFB1193" s="7"/>
      <c r="IFC1193" s="7"/>
      <c r="IFD1193" s="7"/>
      <c r="IFE1193" s="7"/>
      <c r="IFF1193" s="7"/>
      <c r="IFG1193" s="7"/>
      <c r="IFH1193" s="7"/>
      <c r="IFI1193" s="7"/>
      <c r="IFJ1193" s="7"/>
      <c r="IFK1193" s="7"/>
      <c r="IFL1193" s="7"/>
      <c r="IFM1193" s="7"/>
      <c r="IFN1193" s="7"/>
      <c r="IFO1193" s="7"/>
      <c r="IFP1193" s="7"/>
      <c r="IFQ1193" s="7"/>
      <c r="IFR1193" s="7"/>
      <c r="IFS1193" s="7"/>
      <c r="IFT1193" s="7"/>
      <c r="IFU1193" s="7"/>
      <c r="IFV1193" s="7"/>
      <c r="IFW1193" s="7"/>
      <c r="IFX1193" s="7"/>
      <c r="IFY1193" s="7"/>
      <c r="IFZ1193" s="7"/>
      <c r="IGA1193" s="7"/>
      <c r="IGB1193" s="7"/>
      <c r="IGC1193" s="7"/>
      <c r="IGD1193" s="7"/>
      <c r="IGE1193" s="7"/>
      <c r="IGF1193" s="7"/>
      <c r="IGG1193" s="7"/>
      <c r="IGH1193" s="7"/>
      <c r="IGI1193" s="7"/>
      <c r="IGJ1193" s="7"/>
      <c r="IGK1193" s="7"/>
      <c r="IGL1193" s="7"/>
      <c r="IGM1193" s="7"/>
      <c r="IGN1193" s="7"/>
      <c r="IGO1193" s="7"/>
      <c r="IGP1193" s="7"/>
      <c r="IGQ1193" s="7"/>
      <c r="IGR1193" s="7"/>
      <c r="IGS1193" s="7"/>
      <c r="IGT1193" s="7"/>
      <c r="IGU1193" s="7"/>
      <c r="IGV1193" s="7"/>
      <c r="IGW1193" s="7"/>
      <c r="IGX1193" s="7"/>
      <c r="IGY1193" s="7"/>
      <c r="IGZ1193" s="7"/>
      <c r="IHA1193" s="7"/>
      <c r="IHB1193" s="7"/>
      <c r="IHC1193" s="7"/>
      <c r="IHD1193" s="7"/>
      <c r="IHE1193" s="7"/>
      <c r="IHF1193" s="7"/>
      <c r="IHG1193" s="7"/>
      <c r="IHH1193" s="7"/>
      <c r="IHI1193" s="7"/>
      <c r="IHJ1193" s="7"/>
      <c r="IHK1193" s="7"/>
      <c r="IHL1193" s="7"/>
      <c r="IHM1193" s="7"/>
      <c r="IHN1193" s="7"/>
      <c r="IHO1193" s="7"/>
      <c r="IHP1193" s="7"/>
      <c r="IHQ1193" s="7"/>
      <c r="IHR1193" s="7"/>
      <c r="IHS1193" s="7"/>
      <c r="IHT1193" s="7"/>
      <c r="IHU1193" s="7"/>
      <c r="IHV1193" s="7"/>
      <c r="IHW1193" s="7"/>
      <c r="IHX1193" s="7"/>
      <c r="IHY1193" s="7"/>
      <c r="IHZ1193" s="7"/>
      <c r="IIA1193" s="7"/>
      <c r="IIB1193" s="7"/>
      <c r="IIC1193" s="7"/>
      <c r="IID1193" s="7"/>
      <c r="IIE1193" s="7"/>
      <c r="IIF1193" s="7"/>
      <c r="IIG1193" s="7"/>
      <c r="IIH1193" s="7"/>
      <c r="III1193" s="7"/>
      <c r="IIJ1193" s="7"/>
      <c r="IIK1193" s="7"/>
      <c r="IIL1193" s="7"/>
      <c r="IIM1193" s="7"/>
      <c r="IIN1193" s="7"/>
      <c r="IIO1193" s="7"/>
      <c r="IIP1193" s="7"/>
      <c r="IIQ1193" s="7"/>
      <c r="IIR1193" s="7"/>
      <c r="IIS1193" s="7"/>
      <c r="IIT1193" s="7"/>
      <c r="IIU1193" s="7"/>
      <c r="IIV1193" s="7"/>
      <c r="IIW1193" s="7"/>
      <c r="IIX1193" s="7"/>
      <c r="IIY1193" s="7"/>
      <c r="IIZ1193" s="7"/>
      <c r="IJA1193" s="7"/>
      <c r="IJB1193" s="7"/>
      <c r="IJC1193" s="7"/>
      <c r="IJD1193" s="7"/>
      <c r="IJE1193" s="7"/>
      <c r="IJF1193" s="7"/>
      <c r="IJG1193" s="7"/>
      <c r="IJH1193" s="7"/>
      <c r="IJI1193" s="7"/>
      <c r="IJJ1193" s="7"/>
      <c r="IJK1193" s="7"/>
      <c r="IJL1193" s="7"/>
      <c r="IJM1193" s="7"/>
      <c r="IJN1193" s="7"/>
      <c r="IJO1193" s="7"/>
      <c r="IJP1193" s="7"/>
      <c r="IJQ1193" s="7"/>
      <c r="IJR1193" s="7"/>
      <c r="IJS1193" s="7"/>
      <c r="IJT1193" s="7"/>
      <c r="IJU1193" s="7"/>
      <c r="IJV1193" s="7"/>
      <c r="IJW1193" s="7"/>
      <c r="IJX1193" s="7"/>
      <c r="IJY1193" s="7"/>
      <c r="IJZ1193" s="7"/>
      <c r="IKA1193" s="7"/>
      <c r="IKB1193" s="7"/>
      <c r="IKC1193" s="7"/>
      <c r="IKD1193" s="7"/>
      <c r="IKE1193" s="7"/>
      <c r="IKF1193" s="7"/>
      <c r="IKG1193" s="7"/>
      <c r="IKH1193" s="7"/>
      <c r="IKI1193" s="7"/>
      <c r="IKJ1193" s="7"/>
      <c r="IKK1193" s="7"/>
      <c r="IKL1193" s="7"/>
      <c r="IKM1193" s="7"/>
      <c r="IKN1193" s="7"/>
      <c r="IKO1193" s="7"/>
      <c r="IKP1193" s="7"/>
      <c r="IKQ1193" s="7"/>
      <c r="IKR1193" s="7"/>
      <c r="IKS1193" s="7"/>
      <c r="IKT1193" s="7"/>
      <c r="IKU1193" s="7"/>
      <c r="IKV1193" s="7"/>
      <c r="IKW1193" s="7"/>
      <c r="IKX1193" s="7"/>
      <c r="IKY1193" s="7"/>
      <c r="IKZ1193" s="7"/>
      <c r="ILA1193" s="7"/>
      <c r="ILB1193" s="7"/>
      <c r="ILC1193" s="7"/>
      <c r="ILD1193" s="7"/>
      <c r="ILE1193" s="7"/>
      <c r="ILF1193" s="7"/>
      <c r="ILG1193" s="7"/>
      <c r="ILH1193" s="7"/>
      <c r="ILI1193" s="7"/>
      <c r="ILJ1193" s="7"/>
      <c r="ILK1193" s="7"/>
      <c r="ILL1193" s="7"/>
      <c r="ILM1193" s="7"/>
      <c r="ILN1193" s="7"/>
      <c r="ILO1193" s="7"/>
      <c r="ILP1193" s="7"/>
      <c r="ILQ1193" s="7"/>
      <c r="ILR1193" s="7"/>
      <c r="ILS1193" s="7"/>
      <c r="ILT1193" s="7"/>
      <c r="ILU1193" s="7"/>
      <c r="ILV1193" s="7"/>
      <c r="ILW1193" s="7"/>
      <c r="ILX1193" s="7"/>
      <c r="ILY1193" s="7"/>
      <c r="ILZ1193" s="7"/>
      <c r="IMA1193" s="7"/>
      <c r="IMB1193" s="7"/>
      <c r="IMC1193" s="7"/>
      <c r="IMD1193" s="7"/>
      <c r="IME1193" s="7"/>
      <c r="IMF1193" s="7"/>
      <c r="IMG1193" s="7"/>
      <c r="IMH1193" s="7"/>
      <c r="IMI1193" s="7"/>
      <c r="IMJ1193" s="7"/>
      <c r="IMK1193" s="7"/>
      <c r="IML1193" s="7"/>
      <c r="IMM1193" s="7"/>
      <c r="IMN1193" s="7"/>
      <c r="IMO1193" s="7"/>
      <c r="IMP1193" s="7"/>
      <c r="IMQ1193" s="7"/>
      <c r="IMR1193" s="7"/>
      <c r="IMS1193" s="7"/>
      <c r="IMT1193" s="7"/>
      <c r="IMU1193" s="7"/>
      <c r="IMV1193" s="7"/>
      <c r="IMW1193" s="7"/>
      <c r="IMX1193" s="7"/>
      <c r="IMY1193" s="7"/>
      <c r="IMZ1193" s="7"/>
      <c r="INA1193" s="7"/>
      <c r="INB1193" s="7"/>
      <c r="INC1193" s="7"/>
      <c r="IND1193" s="7"/>
      <c r="INE1193" s="7"/>
      <c r="INF1193" s="7"/>
      <c r="ING1193" s="7"/>
      <c r="INH1193" s="7"/>
      <c r="INI1193" s="7"/>
      <c r="INJ1193" s="7"/>
      <c r="INK1193" s="7"/>
      <c r="INL1193" s="7"/>
      <c r="INM1193" s="7"/>
      <c r="INN1193" s="7"/>
      <c r="INO1193" s="7"/>
      <c r="INP1193" s="7"/>
      <c r="INQ1193" s="7"/>
      <c r="INR1193" s="7"/>
      <c r="INS1193" s="7"/>
      <c r="INT1193" s="7"/>
      <c r="INU1193" s="7"/>
      <c r="INV1193" s="7"/>
      <c r="INW1193" s="7"/>
      <c r="INX1193" s="7"/>
      <c r="INY1193" s="7"/>
      <c r="INZ1193" s="7"/>
      <c r="IOA1193" s="7"/>
      <c r="IOB1193" s="7"/>
      <c r="IOC1193" s="7"/>
      <c r="IOD1193" s="7"/>
      <c r="IOE1193" s="7"/>
      <c r="IOF1193" s="7"/>
      <c r="IOG1193" s="7"/>
      <c r="IOH1193" s="7"/>
      <c r="IOI1193" s="7"/>
      <c r="IOJ1193" s="7"/>
      <c r="IOK1193" s="7"/>
      <c r="IOL1193" s="7"/>
      <c r="IOM1193" s="7"/>
      <c r="ION1193" s="7"/>
      <c r="IOO1193" s="7"/>
      <c r="IOP1193" s="7"/>
      <c r="IOQ1193" s="7"/>
      <c r="IOR1193" s="7"/>
      <c r="IOS1193" s="7"/>
      <c r="IOT1193" s="7"/>
      <c r="IOU1193" s="7"/>
      <c r="IOV1193" s="7"/>
      <c r="IOW1193" s="7"/>
      <c r="IOX1193" s="7"/>
      <c r="IOY1193" s="7"/>
      <c r="IOZ1193" s="7"/>
      <c r="IPA1193" s="7"/>
      <c r="IPB1193" s="7"/>
      <c r="IPC1193" s="7"/>
      <c r="IPD1193" s="7"/>
      <c r="IPE1193" s="7"/>
      <c r="IPF1193" s="7"/>
      <c r="IPG1193" s="7"/>
      <c r="IPH1193" s="7"/>
      <c r="IPI1193" s="7"/>
      <c r="IPJ1193" s="7"/>
      <c r="IPK1193" s="7"/>
      <c r="IPL1193" s="7"/>
      <c r="IPM1193" s="7"/>
      <c r="IPN1193" s="7"/>
      <c r="IPO1193" s="7"/>
      <c r="IPP1193" s="7"/>
      <c r="IPQ1193" s="7"/>
      <c r="IPR1193" s="7"/>
      <c r="IPS1193" s="7"/>
      <c r="IPT1193" s="7"/>
      <c r="IPU1193" s="7"/>
      <c r="IPV1193" s="7"/>
      <c r="IPW1193" s="7"/>
      <c r="IPX1193" s="7"/>
      <c r="IPY1193" s="7"/>
      <c r="IPZ1193" s="7"/>
      <c r="IQA1193" s="7"/>
      <c r="IQB1193" s="7"/>
      <c r="IQC1193" s="7"/>
      <c r="IQD1193" s="7"/>
      <c r="IQE1193" s="7"/>
      <c r="IQF1193" s="7"/>
      <c r="IQG1193" s="7"/>
      <c r="IQH1193" s="7"/>
      <c r="IQI1193" s="7"/>
      <c r="IQJ1193" s="7"/>
      <c r="IQK1193" s="7"/>
      <c r="IQL1193" s="7"/>
      <c r="IQM1193" s="7"/>
      <c r="IQN1193" s="7"/>
      <c r="IQO1193" s="7"/>
      <c r="IQP1193" s="7"/>
      <c r="IQQ1193" s="7"/>
      <c r="IQR1193" s="7"/>
      <c r="IQS1193" s="7"/>
      <c r="IQT1193" s="7"/>
      <c r="IQU1193" s="7"/>
      <c r="IQV1193" s="7"/>
      <c r="IQW1193" s="7"/>
      <c r="IQX1193" s="7"/>
      <c r="IQY1193" s="7"/>
      <c r="IQZ1193" s="7"/>
      <c r="IRA1193" s="7"/>
      <c r="IRB1193" s="7"/>
      <c r="IRC1193" s="7"/>
      <c r="IRD1193" s="7"/>
      <c r="IRE1193" s="7"/>
      <c r="IRF1193" s="7"/>
      <c r="IRG1193" s="7"/>
      <c r="IRH1193" s="7"/>
      <c r="IRI1193" s="7"/>
      <c r="IRJ1193" s="7"/>
      <c r="IRK1193" s="7"/>
      <c r="IRL1193" s="7"/>
      <c r="IRM1193" s="7"/>
      <c r="IRN1193" s="7"/>
      <c r="IRO1193" s="7"/>
      <c r="IRP1193" s="7"/>
      <c r="IRQ1193" s="7"/>
      <c r="IRR1193" s="7"/>
      <c r="IRS1193" s="7"/>
      <c r="IRT1193" s="7"/>
      <c r="IRU1193" s="7"/>
      <c r="IRV1193" s="7"/>
      <c r="IRW1193" s="7"/>
      <c r="IRX1193" s="7"/>
      <c r="IRY1193" s="7"/>
      <c r="IRZ1193" s="7"/>
      <c r="ISA1193" s="7"/>
      <c r="ISB1193" s="7"/>
      <c r="ISC1193" s="7"/>
      <c r="ISD1193" s="7"/>
      <c r="ISE1193" s="7"/>
      <c r="ISF1193" s="7"/>
      <c r="ISG1193" s="7"/>
      <c r="ISH1193" s="7"/>
      <c r="ISI1193" s="7"/>
      <c r="ISJ1193" s="7"/>
      <c r="ISK1193" s="7"/>
      <c r="ISL1193" s="7"/>
      <c r="ISM1193" s="7"/>
      <c r="ISN1193" s="7"/>
      <c r="ISO1193" s="7"/>
      <c r="ISP1193" s="7"/>
      <c r="ISQ1193" s="7"/>
      <c r="ISR1193" s="7"/>
      <c r="ISS1193" s="7"/>
      <c r="IST1193" s="7"/>
      <c r="ISU1193" s="7"/>
      <c r="ISV1193" s="7"/>
      <c r="ISW1193" s="7"/>
      <c r="ISX1193" s="7"/>
      <c r="ISY1193" s="7"/>
      <c r="ISZ1193" s="7"/>
      <c r="ITA1193" s="7"/>
      <c r="ITB1193" s="7"/>
      <c r="ITC1193" s="7"/>
      <c r="ITD1193" s="7"/>
      <c r="ITE1193" s="7"/>
      <c r="ITF1193" s="7"/>
      <c r="ITG1193" s="7"/>
      <c r="ITH1193" s="7"/>
      <c r="ITI1193" s="7"/>
      <c r="ITJ1193" s="7"/>
      <c r="ITK1193" s="7"/>
      <c r="ITL1193" s="7"/>
      <c r="ITM1193" s="7"/>
      <c r="ITN1193" s="7"/>
      <c r="ITO1193" s="7"/>
      <c r="ITP1193" s="7"/>
      <c r="ITQ1193" s="7"/>
      <c r="ITR1193" s="7"/>
      <c r="ITS1193" s="7"/>
      <c r="ITT1193" s="7"/>
      <c r="ITU1193" s="7"/>
      <c r="ITV1193" s="7"/>
      <c r="ITW1193" s="7"/>
      <c r="ITX1193" s="7"/>
      <c r="ITY1193" s="7"/>
      <c r="ITZ1193" s="7"/>
      <c r="IUA1193" s="7"/>
      <c r="IUB1193" s="7"/>
      <c r="IUC1193" s="7"/>
      <c r="IUD1193" s="7"/>
      <c r="IUE1193" s="7"/>
      <c r="IUF1193" s="7"/>
      <c r="IUG1193" s="7"/>
      <c r="IUH1193" s="7"/>
      <c r="IUI1193" s="7"/>
      <c r="IUJ1193" s="7"/>
      <c r="IUK1193" s="7"/>
      <c r="IUL1193" s="7"/>
      <c r="IUM1193" s="7"/>
      <c r="IUN1193" s="7"/>
      <c r="IUO1193" s="7"/>
      <c r="IUP1193" s="7"/>
      <c r="IUQ1193" s="7"/>
      <c r="IUR1193" s="7"/>
      <c r="IUS1193" s="7"/>
      <c r="IUT1193" s="7"/>
      <c r="IUU1193" s="7"/>
      <c r="IUV1193" s="7"/>
      <c r="IUW1193" s="7"/>
      <c r="IUX1193" s="7"/>
      <c r="IUY1193" s="7"/>
      <c r="IUZ1193" s="7"/>
      <c r="IVA1193" s="7"/>
      <c r="IVB1193" s="7"/>
      <c r="IVC1193" s="7"/>
      <c r="IVD1193" s="7"/>
      <c r="IVE1193" s="7"/>
      <c r="IVF1193" s="7"/>
      <c r="IVG1193" s="7"/>
      <c r="IVH1193" s="7"/>
      <c r="IVI1193" s="7"/>
      <c r="IVJ1193" s="7"/>
      <c r="IVK1193" s="7"/>
      <c r="IVL1193" s="7"/>
      <c r="IVM1193" s="7"/>
      <c r="IVN1193" s="7"/>
      <c r="IVO1193" s="7"/>
      <c r="IVP1193" s="7"/>
      <c r="IVQ1193" s="7"/>
      <c r="IVR1193" s="7"/>
      <c r="IVS1193" s="7"/>
      <c r="IVT1193" s="7"/>
      <c r="IVU1193" s="7"/>
      <c r="IVV1193" s="7"/>
      <c r="IVW1193" s="7"/>
      <c r="IVX1193" s="7"/>
      <c r="IVY1193" s="7"/>
      <c r="IVZ1193" s="7"/>
      <c r="IWA1193" s="7"/>
      <c r="IWB1193" s="7"/>
      <c r="IWC1193" s="7"/>
      <c r="IWD1193" s="7"/>
      <c r="IWE1193" s="7"/>
      <c r="IWF1193" s="7"/>
      <c r="IWG1193" s="7"/>
      <c r="IWH1193" s="7"/>
      <c r="IWI1193" s="7"/>
      <c r="IWJ1193" s="7"/>
      <c r="IWK1193" s="7"/>
      <c r="IWL1193" s="7"/>
      <c r="IWM1193" s="7"/>
      <c r="IWN1193" s="7"/>
      <c r="IWO1193" s="7"/>
      <c r="IWP1193" s="7"/>
      <c r="IWQ1193" s="7"/>
      <c r="IWR1193" s="7"/>
      <c r="IWS1193" s="7"/>
      <c r="IWT1193" s="7"/>
      <c r="IWU1193" s="7"/>
      <c r="IWV1193" s="7"/>
      <c r="IWW1193" s="7"/>
      <c r="IWX1193" s="7"/>
      <c r="IWY1193" s="7"/>
      <c r="IWZ1193" s="7"/>
      <c r="IXA1193" s="7"/>
      <c r="IXB1193" s="7"/>
      <c r="IXC1193" s="7"/>
      <c r="IXD1193" s="7"/>
      <c r="IXE1193" s="7"/>
      <c r="IXF1193" s="7"/>
      <c r="IXG1193" s="7"/>
      <c r="IXH1193" s="7"/>
      <c r="IXI1193" s="7"/>
      <c r="IXJ1193" s="7"/>
      <c r="IXK1193" s="7"/>
      <c r="IXL1193" s="7"/>
      <c r="IXM1193" s="7"/>
      <c r="IXN1193" s="7"/>
      <c r="IXO1193" s="7"/>
      <c r="IXP1193" s="7"/>
      <c r="IXQ1193" s="7"/>
      <c r="IXR1193" s="7"/>
      <c r="IXS1193" s="7"/>
      <c r="IXT1193" s="7"/>
      <c r="IXU1193" s="7"/>
      <c r="IXV1193" s="7"/>
      <c r="IXW1193" s="7"/>
      <c r="IXX1193" s="7"/>
      <c r="IXY1193" s="7"/>
      <c r="IXZ1193" s="7"/>
      <c r="IYA1193" s="7"/>
      <c r="IYB1193" s="7"/>
      <c r="IYC1193" s="7"/>
      <c r="IYD1193" s="7"/>
      <c r="IYE1193" s="7"/>
      <c r="IYF1193" s="7"/>
      <c r="IYG1193" s="7"/>
      <c r="IYH1193" s="7"/>
      <c r="IYI1193" s="7"/>
      <c r="IYJ1193" s="7"/>
      <c r="IYK1193" s="7"/>
      <c r="IYL1193" s="7"/>
      <c r="IYM1193" s="7"/>
      <c r="IYN1193" s="7"/>
      <c r="IYO1193" s="7"/>
      <c r="IYP1193" s="7"/>
      <c r="IYQ1193" s="7"/>
      <c r="IYR1193" s="7"/>
      <c r="IYS1193" s="7"/>
      <c r="IYT1193" s="7"/>
      <c r="IYU1193" s="7"/>
      <c r="IYV1193" s="7"/>
      <c r="IYW1193" s="7"/>
      <c r="IYX1193" s="7"/>
      <c r="IYY1193" s="7"/>
      <c r="IYZ1193" s="7"/>
      <c r="IZA1193" s="7"/>
      <c r="IZB1193" s="7"/>
      <c r="IZC1193" s="7"/>
      <c r="IZD1193" s="7"/>
      <c r="IZE1193" s="7"/>
      <c r="IZF1193" s="7"/>
      <c r="IZG1193" s="7"/>
      <c r="IZH1193" s="7"/>
      <c r="IZI1193" s="7"/>
      <c r="IZJ1193" s="7"/>
      <c r="IZK1193" s="7"/>
      <c r="IZL1193" s="7"/>
      <c r="IZM1193" s="7"/>
      <c r="IZN1193" s="7"/>
      <c r="IZO1193" s="7"/>
      <c r="IZP1193" s="7"/>
      <c r="IZQ1193" s="7"/>
      <c r="IZR1193" s="7"/>
      <c r="IZS1193" s="7"/>
      <c r="IZT1193" s="7"/>
      <c r="IZU1193" s="7"/>
      <c r="IZV1193" s="7"/>
      <c r="IZW1193" s="7"/>
      <c r="IZX1193" s="7"/>
      <c r="IZY1193" s="7"/>
      <c r="IZZ1193" s="7"/>
      <c r="JAA1193" s="7"/>
      <c r="JAB1193" s="7"/>
      <c r="JAC1193" s="7"/>
      <c r="JAD1193" s="7"/>
      <c r="JAE1193" s="7"/>
      <c r="JAF1193" s="7"/>
      <c r="JAG1193" s="7"/>
      <c r="JAH1193" s="7"/>
      <c r="JAI1193" s="7"/>
      <c r="JAJ1193" s="7"/>
      <c r="JAK1193" s="7"/>
      <c r="JAL1193" s="7"/>
      <c r="JAM1193" s="7"/>
      <c r="JAN1193" s="7"/>
      <c r="JAO1193" s="7"/>
      <c r="JAP1193" s="7"/>
      <c r="JAQ1193" s="7"/>
      <c r="JAR1193" s="7"/>
      <c r="JAS1193" s="7"/>
      <c r="JAT1193" s="7"/>
      <c r="JAU1193" s="7"/>
      <c r="JAV1193" s="7"/>
      <c r="JAW1193" s="7"/>
      <c r="JAX1193" s="7"/>
      <c r="JAY1193" s="7"/>
      <c r="JAZ1193" s="7"/>
      <c r="JBA1193" s="7"/>
      <c r="JBB1193" s="7"/>
      <c r="JBC1193" s="7"/>
      <c r="JBD1193" s="7"/>
      <c r="JBE1193" s="7"/>
      <c r="JBF1193" s="7"/>
      <c r="JBG1193" s="7"/>
      <c r="JBH1193" s="7"/>
      <c r="JBI1193" s="7"/>
      <c r="JBJ1193" s="7"/>
      <c r="JBK1193" s="7"/>
      <c r="JBL1193" s="7"/>
      <c r="JBM1193" s="7"/>
      <c r="JBN1193" s="7"/>
      <c r="JBO1193" s="7"/>
      <c r="JBP1193" s="7"/>
      <c r="JBQ1193" s="7"/>
      <c r="JBR1193" s="7"/>
      <c r="JBS1193" s="7"/>
      <c r="JBT1193" s="7"/>
      <c r="JBU1193" s="7"/>
      <c r="JBV1193" s="7"/>
      <c r="JBW1193" s="7"/>
      <c r="JBX1193" s="7"/>
      <c r="JBY1193" s="7"/>
      <c r="JBZ1193" s="7"/>
      <c r="JCA1193" s="7"/>
      <c r="JCB1193" s="7"/>
      <c r="JCC1193" s="7"/>
      <c r="JCD1193" s="7"/>
      <c r="JCE1193" s="7"/>
      <c r="JCF1193" s="7"/>
      <c r="JCG1193" s="7"/>
      <c r="JCH1193" s="7"/>
      <c r="JCI1193" s="7"/>
      <c r="JCJ1193" s="7"/>
      <c r="JCK1193" s="7"/>
      <c r="JCL1193" s="7"/>
      <c r="JCM1193" s="7"/>
      <c r="JCN1193" s="7"/>
      <c r="JCO1193" s="7"/>
      <c r="JCP1193" s="7"/>
      <c r="JCQ1193" s="7"/>
      <c r="JCR1193" s="7"/>
      <c r="JCS1193" s="7"/>
      <c r="JCT1193" s="7"/>
      <c r="JCU1193" s="7"/>
      <c r="JCV1193" s="7"/>
      <c r="JCW1193" s="7"/>
      <c r="JCX1193" s="7"/>
      <c r="JCY1193" s="7"/>
      <c r="JCZ1193" s="7"/>
      <c r="JDA1193" s="7"/>
      <c r="JDB1193" s="7"/>
      <c r="JDC1193" s="7"/>
      <c r="JDD1193" s="7"/>
      <c r="JDE1193" s="7"/>
      <c r="JDF1193" s="7"/>
      <c r="JDG1193" s="7"/>
      <c r="JDH1193" s="7"/>
      <c r="JDI1193" s="7"/>
      <c r="JDJ1193" s="7"/>
      <c r="JDK1193" s="7"/>
      <c r="JDL1193" s="7"/>
      <c r="JDM1193" s="7"/>
      <c r="JDN1193" s="7"/>
      <c r="JDO1193" s="7"/>
      <c r="JDP1193" s="7"/>
      <c r="JDQ1193" s="7"/>
      <c r="JDR1193" s="7"/>
      <c r="JDS1193" s="7"/>
      <c r="JDT1193" s="7"/>
      <c r="JDU1193" s="7"/>
      <c r="JDV1193" s="7"/>
      <c r="JDW1193" s="7"/>
      <c r="JDX1193" s="7"/>
      <c r="JDY1193" s="7"/>
      <c r="JDZ1193" s="7"/>
      <c r="JEA1193" s="7"/>
      <c r="JEB1193" s="7"/>
      <c r="JEC1193" s="7"/>
      <c r="JED1193" s="7"/>
      <c r="JEE1193" s="7"/>
      <c r="JEF1193" s="7"/>
      <c r="JEG1193" s="7"/>
      <c r="JEH1193" s="7"/>
      <c r="JEI1193" s="7"/>
      <c r="JEJ1193" s="7"/>
      <c r="JEK1193" s="7"/>
      <c r="JEL1193" s="7"/>
      <c r="JEM1193" s="7"/>
      <c r="JEN1193" s="7"/>
      <c r="JEO1193" s="7"/>
      <c r="JEP1193" s="7"/>
      <c r="JEQ1193" s="7"/>
      <c r="JER1193" s="7"/>
      <c r="JES1193" s="7"/>
      <c r="JET1193" s="7"/>
      <c r="JEU1193" s="7"/>
      <c r="JEV1193" s="7"/>
      <c r="JEW1193" s="7"/>
      <c r="JEX1193" s="7"/>
      <c r="JEY1193" s="7"/>
      <c r="JEZ1193" s="7"/>
      <c r="JFA1193" s="7"/>
      <c r="JFB1193" s="7"/>
      <c r="JFC1193" s="7"/>
      <c r="JFD1193" s="7"/>
      <c r="JFE1193" s="7"/>
      <c r="JFF1193" s="7"/>
      <c r="JFG1193" s="7"/>
      <c r="JFH1193" s="7"/>
      <c r="JFI1193" s="7"/>
      <c r="JFJ1193" s="7"/>
      <c r="JFK1193" s="7"/>
      <c r="JFL1193" s="7"/>
      <c r="JFM1193" s="7"/>
      <c r="JFN1193" s="7"/>
      <c r="JFO1193" s="7"/>
      <c r="JFP1193" s="7"/>
      <c r="JFQ1193" s="7"/>
      <c r="JFR1193" s="7"/>
      <c r="JFS1193" s="7"/>
      <c r="JFT1193" s="7"/>
      <c r="JFU1193" s="7"/>
      <c r="JFV1193" s="7"/>
      <c r="JFW1193" s="7"/>
      <c r="JFX1193" s="7"/>
      <c r="JFY1193" s="7"/>
      <c r="JFZ1193" s="7"/>
      <c r="JGA1193" s="7"/>
      <c r="JGB1193" s="7"/>
      <c r="JGC1193" s="7"/>
      <c r="JGD1193" s="7"/>
      <c r="JGE1193" s="7"/>
      <c r="JGF1193" s="7"/>
      <c r="JGG1193" s="7"/>
      <c r="JGH1193" s="7"/>
      <c r="JGI1193" s="7"/>
      <c r="JGJ1193" s="7"/>
      <c r="JGK1193" s="7"/>
      <c r="JGL1193" s="7"/>
      <c r="JGM1193" s="7"/>
      <c r="JGN1193" s="7"/>
      <c r="JGO1193" s="7"/>
      <c r="JGP1193" s="7"/>
      <c r="JGQ1193" s="7"/>
      <c r="JGR1193" s="7"/>
      <c r="JGS1193" s="7"/>
      <c r="JGT1193" s="7"/>
      <c r="JGU1193" s="7"/>
      <c r="JGV1193" s="7"/>
      <c r="JGW1193" s="7"/>
      <c r="JGX1193" s="7"/>
      <c r="JGY1193" s="7"/>
      <c r="JGZ1193" s="7"/>
      <c r="JHA1193" s="7"/>
      <c r="JHB1193" s="7"/>
      <c r="JHC1193" s="7"/>
      <c r="JHD1193" s="7"/>
      <c r="JHE1193" s="7"/>
      <c r="JHF1193" s="7"/>
      <c r="JHG1193" s="7"/>
      <c r="JHH1193" s="7"/>
      <c r="JHI1193" s="7"/>
      <c r="JHJ1193" s="7"/>
      <c r="JHK1193" s="7"/>
      <c r="JHL1193" s="7"/>
      <c r="JHM1193" s="7"/>
      <c r="JHN1193" s="7"/>
      <c r="JHO1193" s="7"/>
      <c r="JHP1193" s="7"/>
      <c r="JHQ1193" s="7"/>
      <c r="JHR1193" s="7"/>
      <c r="JHS1193" s="7"/>
      <c r="JHT1193" s="7"/>
      <c r="JHU1193" s="7"/>
      <c r="JHV1193" s="7"/>
      <c r="JHW1193" s="7"/>
      <c r="JHX1193" s="7"/>
      <c r="JHY1193" s="7"/>
      <c r="JHZ1193" s="7"/>
      <c r="JIA1193" s="7"/>
      <c r="JIB1193" s="7"/>
      <c r="JIC1193" s="7"/>
      <c r="JID1193" s="7"/>
      <c r="JIE1193" s="7"/>
      <c r="JIF1193" s="7"/>
      <c r="JIG1193" s="7"/>
      <c r="JIH1193" s="7"/>
      <c r="JII1193" s="7"/>
      <c r="JIJ1193" s="7"/>
      <c r="JIK1193" s="7"/>
      <c r="JIL1193" s="7"/>
      <c r="JIM1193" s="7"/>
      <c r="JIN1193" s="7"/>
      <c r="JIO1193" s="7"/>
      <c r="JIP1193" s="7"/>
      <c r="JIQ1193" s="7"/>
      <c r="JIR1193" s="7"/>
      <c r="JIS1193" s="7"/>
      <c r="JIT1193" s="7"/>
      <c r="JIU1193" s="7"/>
      <c r="JIV1193" s="7"/>
      <c r="JIW1193" s="7"/>
      <c r="JIX1193" s="7"/>
      <c r="JIY1193" s="7"/>
      <c r="JIZ1193" s="7"/>
      <c r="JJA1193" s="7"/>
      <c r="JJB1193" s="7"/>
      <c r="JJC1193" s="7"/>
      <c r="JJD1193" s="7"/>
      <c r="JJE1193" s="7"/>
      <c r="JJF1193" s="7"/>
      <c r="JJG1193" s="7"/>
      <c r="JJH1193" s="7"/>
      <c r="JJI1193" s="7"/>
      <c r="JJJ1193" s="7"/>
      <c r="JJK1193" s="7"/>
      <c r="JJL1193" s="7"/>
      <c r="JJM1193" s="7"/>
      <c r="JJN1193" s="7"/>
      <c r="JJO1193" s="7"/>
      <c r="JJP1193" s="7"/>
      <c r="JJQ1193" s="7"/>
      <c r="JJR1193" s="7"/>
      <c r="JJS1193" s="7"/>
      <c r="JJT1193" s="7"/>
      <c r="JJU1193" s="7"/>
      <c r="JJV1193" s="7"/>
      <c r="JJW1193" s="7"/>
      <c r="JJX1193" s="7"/>
      <c r="JJY1193" s="7"/>
      <c r="JJZ1193" s="7"/>
      <c r="JKA1193" s="7"/>
      <c r="JKB1193" s="7"/>
      <c r="JKC1193" s="7"/>
      <c r="JKD1193" s="7"/>
      <c r="JKE1193" s="7"/>
      <c r="JKF1193" s="7"/>
      <c r="JKG1193" s="7"/>
      <c r="JKH1193" s="7"/>
      <c r="JKI1193" s="7"/>
      <c r="JKJ1193" s="7"/>
      <c r="JKK1193" s="7"/>
      <c r="JKL1193" s="7"/>
      <c r="JKM1193" s="7"/>
      <c r="JKN1193" s="7"/>
      <c r="JKO1193" s="7"/>
      <c r="JKP1193" s="7"/>
      <c r="JKQ1193" s="7"/>
      <c r="JKR1193" s="7"/>
      <c r="JKS1193" s="7"/>
      <c r="JKT1193" s="7"/>
      <c r="JKU1193" s="7"/>
      <c r="JKV1193" s="7"/>
      <c r="JKW1193" s="7"/>
      <c r="JKX1193" s="7"/>
      <c r="JKY1193" s="7"/>
      <c r="JKZ1193" s="7"/>
      <c r="JLA1193" s="7"/>
      <c r="JLB1193" s="7"/>
      <c r="JLC1193" s="7"/>
      <c r="JLD1193" s="7"/>
      <c r="JLE1193" s="7"/>
      <c r="JLF1193" s="7"/>
      <c r="JLG1193" s="7"/>
      <c r="JLH1193" s="7"/>
      <c r="JLI1193" s="7"/>
      <c r="JLJ1193" s="7"/>
      <c r="JLK1193" s="7"/>
      <c r="JLL1193" s="7"/>
      <c r="JLM1193" s="7"/>
      <c r="JLN1193" s="7"/>
      <c r="JLO1193" s="7"/>
      <c r="JLP1193" s="7"/>
      <c r="JLQ1193" s="7"/>
      <c r="JLR1193" s="7"/>
      <c r="JLS1193" s="7"/>
      <c r="JLT1193" s="7"/>
      <c r="JLU1193" s="7"/>
      <c r="JLV1193" s="7"/>
      <c r="JLW1193" s="7"/>
      <c r="JLX1193" s="7"/>
      <c r="JLY1193" s="7"/>
      <c r="JLZ1193" s="7"/>
      <c r="JMA1193" s="7"/>
      <c r="JMB1193" s="7"/>
      <c r="JMC1193" s="7"/>
      <c r="JMD1193" s="7"/>
      <c r="JME1193" s="7"/>
      <c r="JMF1193" s="7"/>
      <c r="JMG1193" s="7"/>
      <c r="JMH1193" s="7"/>
      <c r="JMI1193" s="7"/>
      <c r="JMJ1193" s="7"/>
      <c r="JMK1193" s="7"/>
      <c r="JML1193" s="7"/>
      <c r="JMM1193" s="7"/>
      <c r="JMN1193" s="7"/>
      <c r="JMO1193" s="7"/>
      <c r="JMP1193" s="7"/>
      <c r="JMQ1193" s="7"/>
      <c r="JMR1193" s="7"/>
      <c r="JMS1193" s="7"/>
      <c r="JMT1193" s="7"/>
      <c r="JMU1193" s="7"/>
      <c r="JMV1193" s="7"/>
      <c r="JMW1193" s="7"/>
      <c r="JMX1193" s="7"/>
      <c r="JMY1193" s="7"/>
      <c r="JMZ1193" s="7"/>
      <c r="JNA1193" s="7"/>
      <c r="JNB1193" s="7"/>
      <c r="JNC1193" s="7"/>
      <c r="JND1193" s="7"/>
      <c r="JNE1193" s="7"/>
      <c r="JNF1193" s="7"/>
      <c r="JNG1193" s="7"/>
      <c r="JNH1193" s="7"/>
      <c r="JNI1193" s="7"/>
      <c r="JNJ1193" s="7"/>
      <c r="JNK1193" s="7"/>
      <c r="JNL1193" s="7"/>
      <c r="JNM1193" s="7"/>
      <c r="JNN1193" s="7"/>
      <c r="JNO1193" s="7"/>
      <c r="JNP1193" s="7"/>
      <c r="JNQ1193" s="7"/>
      <c r="JNR1193" s="7"/>
      <c r="JNS1193" s="7"/>
      <c r="JNT1193" s="7"/>
      <c r="JNU1193" s="7"/>
      <c r="JNV1193" s="7"/>
      <c r="JNW1193" s="7"/>
      <c r="JNX1193" s="7"/>
      <c r="JNY1193" s="7"/>
      <c r="JNZ1193" s="7"/>
      <c r="JOA1193" s="7"/>
      <c r="JOB1193" s="7"/>
      <c r="JOC1193" s="7"/>
      <c r="JOD1193" s="7"/>
      <c r="JOE1193" s="7"/>
      <c r="JOF1193" s="7"/>
      <c r="JOG1193" s="7"/>
      <c r="JOH1193" s="7"/>
      <c r="JOI1193" s="7"/>
      <c r="JOJ1193" s="7"/>
      <c r="JOK1193" s="7"/>
      <c r="JOL1193" s="7"/>
      <c r="JOM1193" s="7"/>
      <c r="JON1193" s="7"/>
      <c r="JOO1193" s="7"/>
      <c r="JOP1193" s="7"/>
      <c r="JOQ1193" s="7"/>
      <c r="JOR1193" s="7"/>
      <c r="JOS1193" s="7"/>
      <c r="JOT1193" s="7"/>
      <c r="JOU1193" s="7"/>
      <c r="JOV1193" s="7"/>
      <c r="JOW1193" s="7"/>
      <c r="JOX1193" s="7"/>
      <c r="JOY1193" s="7"/>
      <c r="JOZ1193" s="7"/>
      <c r="JPA1193" s="7"/>
      <c r="JPB1193" s="7"/>
      <c r="JPC1193" s="7"/>
      <c r="JPD1193" s="7"/>
      <c r="JPE1193" s="7"/>
      <c r="JPF1193" s="7"/>
      <c r="JPG1193" s="7"/>
      <c r="JPH1193" s="7"/>
      <c r="JPI1193" s="7"/>
      <c r="JPJ1193" s="7"/>
      <c r="JPK1193" s="7"/>
      <c r="JPL1193" s="7"/>
      <c r="JPM1193" s="7"/>
      <c r="JPN1193" s="7"/>
      <c r="JPO1193" s="7"/>
      <c r="JPP1193" s="7"/>
      <c r="JPQ1193" s="7"/>
      <c r="JPR1193" s="7"/>
      <c r="JPS1193" s="7"/>
      <c r="JPT1193" s="7"/>
      <c r="JPU1193" s="7"/>
      <c r="JPV1193" s="7"/>
      <c r="JPW1193" s="7"/>
      <c r="JPX1193" s="7"/>
      <c r="JPY1193" s="7"/>
      <c r="JPZ1193" s="7"/>
      <c r="JQA1193" s="7"/>
      <c r="JQB1193" s="7"/>
      <c r="JQC1193" s="7"/>
      <c r="JQD1193" s="7"/>
      <c r="JQE1193" s="7"/>
      <c r="JQF1193" s="7"/>
      <c r="JQG1193" s="7"/>
      <c r="JQH1193" s="7"/>
      <c r="JQI1193" s="7"/>
      <c r="JQJ1193" s="7"/>
      <c r="JQK1193" s="7"/>
      <c r="JQL1193" s="7"/>
      <c r="JQM1193" s="7"/>
      <c r="JQN1193" s="7"/>
      <c r="JQO1193" s="7"/>
      <c r="JQP1193" s="7"/>
      <c r="JQQ1193" s="7"/>
      <c r="JQR1193" s="7"/>
      <c r="JQS1193" s="7"/>
      <c r="JQT1193" s="7"/>
      <c r="JQU1193" s="7"/>
      <c r="JQV1193" s="7"/>
      <c r="JQW1193" s="7"/>
      <c r="JQX1193" s="7"/>
      <c r="JQY1193" s="7"/>
      <c r="JQZ1193" s="7"/>
      <c r="JRA1193" s="7"/>
      <c r="JRB1193" s="7"/>
      <c r="JRC1193" s="7"/>
      <c r="JRD1193" s="7"/>
      <c r="JRE1193" s="7"/>
      <c r="JRF1193" s="7"/>
      <c r="JRG1193" s="7"/>
      <c r="JRH1193" s="7"/>
      <c r="JRI1193" s="7"/>
      <c r="JRJ1193" s="7"/>
      <c r="JRK1193" s="7"/>
      <c r="JRL1193" s="7"/>
      <c r="JRM1193" s="7"/>
      <c r="JRN1193" s="7"/>
      <c r="JRO1193" s="7"/>
      <c r="JRP1193" s="7"/>
      <c r="JRQ1193" s="7"/>
      <c r="JRR1193" s="7"/>
      <c r="JRS1193" s="7"/>
      <c r="JRT1193" s="7"/>
      <c r="JRU1193" s="7"/>
      <c r="JRV1193" s="7"/>
      <c r="JRW1193" s="7"/>
      <c r="JRX1193" s="7"/>
      <c r="JRY1193" s="7"/>
      <c r="JRZ1193" s="7"/>
      <c r="JSA1193" s="7"/>
      <c r="JSB1193" s="7"/>
      <c r="JSC1193" s="7"/>
      <c r="JSD1193" s="7"/>
      <c r="JSE1193" s="7"/>
      <c r="JSF1193" s="7"/>
      <c r="JSG1193" s="7"/>
      <c r="JSH1193" s="7"/>
      <c r="JSI1193" s="7"/>
      <c r="JSJ1193" s="7"/>
      <c r="JSK1193" s="7"/>
      <c r="JSL1193" s="7"/>
      <c r="JSM1193" s="7"/>
      <c r="JSN1193" s="7"/>
      <c r="JSO1193" s="7"/>
      <c r="JSP1193" s="7"/>
      <c r="JSQ1193" s="7"/>
      <c r="JSR1193" s="7"/>
      <c r="JSS1193" s="7"/>
      <c r="JST1193" s="7"/>
      <c r="JSU1193" s="7"/>
      <c r="JSV1193" s="7"/>
      <c r="JSW1193" s="7"/>
      <c r="JSX1193" s="7"/>
      <c r="JSY1193" s="7"/>
      <c r="JSZ1193" s="7"/>
      <c r="JTA1193" s="7"/>
      <c r="JTB1193" s="7"/>
      <c r="JTC1193" s="7"/>
      <c r="JTD1193" s="7"/>
      <c r="JTE1193" s="7"/>
      <c r="JTF1193" s="7"/>
      <c r="JTG1193" s="7"/>
      <c r="JTH1193" s="7"/>
      <c r="JTI1193" s="7"/>
      <c r="JTJ1193" s="7"/>
      <c r="JTK1193" s="7"/>
      <c r="JTL1193" s="7"/>
      <c r="JTM1193" s="7"/>
      <c r="JTN1193" s="7"/>
      <c r="JTO1193" s="7"/>
      <c r="JTP1193" s="7"/>
      <c r="JTQ1193" s="7"/>
      <c r="JTR1193" s="7"/>
      <c r="JTS1193" s="7"/>
      <c r="JTT1193" s="7"/>
      <c r="JTU1193" s="7"/>
      <c r="JTV1193" s="7"/>
      <c r="JTW1193" s="7"/>
      <c r="JTX1193" s="7"/>
      <c r="JTY1193" s="7"/>
      <c r="JTZ1193" s="7"/>
      <c r="JUA1193" s="7"/>
      <c r="JUB1193" s="7"/>
      <c r="JUC1193" s="7"/>
      <c r="JUD1193" s="7"/>
      <c r="JUE1193" s="7"/>
      <c r="JUF1193" s="7"/>
      <c r="JUG1193" s="7"/>
      <c r="JUH1193" s="7"/>
      <c r="JUI1193" s="7"/>
      <c r="JUJ1193" s="7"/>
      <c r="JUK1193" s="7"/>
      <c r="JUL1193" s="7"/>
      <c r="JUM1193" s="7"/>
      <c r="JUN1193" s="7"/>
      <c r="JUO1193" s="7"/>
      <c r="JUP1193" s="7"/>
      <c r="JUQ1193" s="7"/>
      <c r="JUR1193" s="7"/>
      <c r="JUS1193" s="7"/>
      <c r="JUT1193" s="7"/>
      <c r="JUU1193" s="7"/>
      <c r="JUV1193" s="7"/>
      <c r="JUW1193" s="7"/>
      <c r="JUX1193" s="7"/>
      <c r="JUY1193" s="7"/>
      <c r="JUZ1193" s="7"/>
      <c r="JVA1193" s="7"/>
      <c r="JVB1193" s="7"/>
      <c r="JVC1193" s="7"/>
      <c r="JVD1193" s="7"/>
      <c r="JVE1193" s="7"/>
      <c r="JVF1193" s="7"/>
      <c r="JVG1193" s="7"/>
      <c r="JVH1193" s="7"/>
      <c r="JVI1193" s="7"/>
      <c r="JVJ1193" s="7"/>
      <c r="JVK1193" s="7"/>
      <c r="JVL1193" s="7"/>
      <c r="JVM1193" s="7"/>
      <c r="JVN1193" s="7"/>
      <c r="JVO1193" s="7"/>
      <c r="JVP1193" s="7"/>
      <c r="JVQ1193" s="7"/>
      <c r="JVR1193" s="7"/>
      <c r="JVS1193" s="7"/>
      <c r="JVT1193" s="7"/>
      <c r="JVU1193" s="7"/>
      <c r="JVV1193" s="7"/>
      <c r="JVW1193" s="7"/>
      <c r="JVX1193" s="7"/>
      <c r="JVY1193" s="7"/>
      <c r="JVZ1193" s="7"/>
      <c r="JWA1193" s="7"/>
      <c r="JWB1193" s="7"/>
      <c r="JWC1193" s="7"/>
      <c r="JWD1193" s="7"/>
      <c r="JWE1193" s="7"/>
      <c r="JWF1193" s="7"/>
      <c r="JWG1193" s="7"/>
      <c r="JWH1193" s="7"/>
      <c r="JWI1193" s="7"/>
      <c r="JWJ1193" s="7"/>
      <c r="JWK1193" s="7"/>
      <c r="JWL1193" s="7"/>
      <c r="JWM1193" s="7"/>
      <c r="JWN1193" s="7"/>
      <c r="JWO1193" s="7"/>
      <c r="JWP1193" s="7"/>
      <c r="JWQ1193" s="7"/>
      <c r="JWR1193" s="7"/>
      <c r="JWS1193" s="7"/>
      <c r="JWT1193" s="7"/>
      <c r="JWU1193" s="7"/>
      <c r="JWV1193" s="7"/>
      <c r="JWW1193" s="7"/>
      <c r="JWX1193" s="7"/>
      <c r="JWY1193" s="7"/>
      <c r="JWZ1193" s="7"/>
      <c r="JXA1193" s="7"/>
      <c r="JXB1193" s="7"/>
      <c r="JXC1193" s="7"/>
      <c r="JXD1193" s="7"/>
      <c r="JXE1193" s="7"/>
      <c r="JXF1193" s="7"/>
      <c r="JXG1193" s="7"/>
      <c r="JXH1193" s="7"/>
      <c r="JXI1193" s="7"/>
      <c r="JXJ1193" s="7"/>
      <c r="JXK1193" s="7"/>
      <c r="JXL1193" s="7"/>
      <c r="JXM1193" s="7"/>
      <c r="JXN1193" s="7"/>
      <c r="JXO1193" s="7"/>
      <c r="JXP1193" s="7"/>
      <c r="JXQ1193" s="7"/>
      <c r="JXR1193" s="7"/>
      <c r="JXS1193" s="7"/>
      <c r="JXT1193" s="7"/>
      <c r="JXU1193" s="7"/>
      <c r="JXV1193" s="7"/>
      <c r="JXW1193" s="7"/>
      <c r="JXX1193" s="7"/>
      <c r="JXY1193" s="7"/>
      <c r="JXZ1193" s="7"/>
      <c r="JYA1193" s="7"/>
      <c r="JYB1193" s="7"/>
      <c r="JYC1193" s="7"/>
      <c r="JYD1193" s="7"/>
      <c r="JYE1193" s="7"/>
      <c r="JYF1193" s="7"/>
      <c r="JYG1193" s="7"/>
      <c r="JYH1193" s="7"/>
      <c r="JYI1193" s="7"/>
      <c r="JYJ1193" s="7"/>
      <c r="JYK1193" s="7"/>
      <c r="JYL1193" s="7"/>
      <c r="JYM1193" s="7"/>
      <c r="JYN1193" s="7"/>
      <c r="JYO1193" s="7"/>
      <c r="JYP1193" s="7"/>
      <c r="JYQ1193" s="7"/>
      <c r="JYR1193" s="7"/>
      <c r="JYS1193" s="7"/>
      <c r="JYT1193" s="7"/>
      <c r="JYU1193" s="7"/>
      <c r="JYV1193" s="7"/>
      <c r="JYW1193" s="7"/>
      <c r="JYX1193" s="7"/>
      <c r="JYY1193" s="7"/>
      <c r="JYZ1193" s="7"/>
      <c r="JZA1193" s="7"/>
      <c r="JZB1193" s="7"/>
      <c r="JZC1193" s="7"/>
      <c r="JZD1193" s="7"/>
      <c r="JZE1193" s="7"/>
      <c r="JZF1193" s="7"/>
      <c r="JZG1193" s="7"/>
      <c r="JZH1193" s="7"/>
      <c r="JZI1193" s="7"/>
      <c r="JZJ1193" s="7"/>
      <c r="JZK1193" s="7"/>
      <c r="JZL1193" s="7"/>
      <c r="JZM1193" s="7"/>
      <c r="JZN1193" s="7"/>
      <c r="JZO1193" s="7"/>
      <c r="JZP1193" s="7"/>
      <c r="JZQ1193" s="7"/>
      <c r="JZR1193" s="7"/>
      <c r="JZS1193" s="7"/>
      <c r="JZT1193" s="7"/>
      <c r="JZU1193" s="7"/>
      <c r="JZV1193" s="7"/>
      <c r="JZW1193" s="7"/>
      <c r="JZX1193" s="7"/>
      <c r="JZY1193" s="7"/>
      <c r="JZZ1193" s="7"/>
      <c r="KAA1193" s="7"/>
      <c r="KAB1193" s="7"/>
      <c r="KAC1193" s="7"/>
      <c r="KAD1193" s="7"/>
      <c r="KAE1193" s="7"/>
      <c r="KAF1193" s="7"/>
      <c r="KAG1193" s="7"/>
      <c r="KAH1193" s="7"/>
      <c r="KAI1193" s="7"/>
      <c r="KAJ1193" s="7"/>
      <c r="KAK1193" s="7"/>
      <c r="KAL1193" s="7"/>
      <c r="KAM1193" s="7"/>
      <c r="KAN1193" s="7"/>
      <c r="KAO1193" s="7"/>
      <c r="KAP1193" s="7"/>
      <c r="KAQ1193" s="7"/>
      <c r="KAR1193" s="7"/>
      <c r="KAS1193" s="7"/>
      <c r="KAT1193" s="7"/>
      <c r="KAU1193" s="7"/>
      <c r="KAV1193" s="7"/>
      <c r="KAW1193" s="7"/>
      <c r="KAX1193" s="7"/>
      <c r="KAY1193" s="7"/>
      <c r="KAZ1193" s="7"/>
      <c r="KBA1193" s="7"/>
      <c r="KBB1193" s="7"/>
      <c r="KBC1193" s="7"/>
      <c r="KBD1193" s="7"/>
      <c r="KBE1193" s="7"/>
      <c r="KBF1193" s="7"/>
      <c r="KBG1193" s="7"/>
      <c r="KBH1193" s="7"/>
      <c r="KBI1193" s="7"/>
      <c r="KBJ1193" s="7"/>
      <c r="KBK1193" s="7"/>
      <c r="KBL1193" s="7"/>
      <c r="KBM1193" s="7"/>
      <c r="KBN1193" s="7"/>
      <c r="KBO1193" s="7"/>
      <c r="KBP1193" s="7"/>
      <c r="KBQ1193" s="7"/>
      <c r="KBR1193" s="7"/>
      <c r="KBS1193" s="7"/>
      <c r="KBT1193" s="7"/>
      <c r="KBU1193" s="7"/>
      <c r="KBV1193" s="7"/>
      <c r="KBW1193" s="7"/>
      <c r="KBX1193" s="7"/>
      <c r="KBY1193" s="7"/>
      <c r="KBZ1193" s="7"/>
      <c r="KCA1193" s="7"/>
      <c r="KCB1193" s="7"/>
      <c r="KCC1193" s="7"/>
      <c r="KCD1193" s="7"/>
      <c r="KCE1193" s="7"/>
      <c r="KCF1193" s="7"/>
      <c r="KCG1193" s="7"/>
      <c r="KCH1193" s="7"/>
      <c r="KCI1193" s="7"/>
      <c r="KCJ1193" s="7"/>
      <c r="KCK1193" s="7"/>
      <c r="KCL1193" s="7"/>
      <c r="KCM1193" s="7"/>
      <c r="KCN1193" s="7"/>
      <c r="KCO1193" s="7"/>
      <c r="KCP1193" s="7"/>
      <c r="KCQ1193" s="7"/>
      <c r="KCR1193" s="7"/>
      <c r="KCS1193" s="7"/>
      <c r="KCT1193" s="7"/>
      <c r="KCU1193" s="7"/>
      <c r="KCV1193" s="7"/>
      <c r="KCW1193" s="7"/>
      <c r="KCX1193" s="7"/>
      <c r="KCY1193" s="7"/>
      <c r="KCZ1193" s="7"/>
      <c r="KDA1193" s="7"/>
      <c r="KDB1193" s="7"/>
      <c r="KDC1193" s="7"/>
      <c r="KDD1193" s="7"/>
      <c r="KDE1193" s="7"/>
      <c r="KDF1193" s="7"/>
      <c r="KDG1193" s="7"/>
      <c r="KDH1193" s="7"/>
      <c r="KDI1193" s="7"/>
      <c r="KDJ1193" s="7"/>
      <c r="KDK1193" s="7"/>
      <c r="KDL1193" s="7"/>
      <c r="KDM1193" s="7"/>
      <c r="KDN1193" s="7"/>
      <c r="KDO1193" s="7"/>
      <c r="KDP1193" s="7"/>
      <c r="KDQ1193" s="7"/>
      <c r="KDR1193" s="7"/>
      <c r="KDS1193" s="7"/>
      <c r="KDT1193" s="7"/>
      <c r="KDU1193" s="7"/>
      <c r="KDV1193" s="7"/>
      <c r="KDW1193" s="7"/>
      <c r="KDX1193" s="7"/>
      <c r="KDY1193" s="7"/>
      <c r="KDZ1193" s="7"/>
      <c r="KEA1193" s="7"/>
      <c r="KEB1193" s="7"/>
      <c r="KEC1193" s="7"/>
      <c r="KED1193" s="7"/>
      <c r="KEE1193" s="7"/>
      <c r="KEF1193" s="7"/>
      <c r="KEG1193" s="7"/>
      <c r="KEH1193" s="7"/>
      <c r="KEI1193" s="7"/>
      <c r="KEJ1193" s="7"/>
      <c r="KEK1193" s="7"/>
      <c r="KEL1193" s="7"/>
      <c r="KEM1193" s="7"/>
      <c r="KEN1193" s="7"/>
      <c r="KEO1193" s="7"/>
      <c r="KEP1193" s="7"/>
      <c r="KEQ1193" s="7"/>
      <c r="KER1193" s="7"/>
      <c r="KES1193" s="7"/>
      <c r="KET1193" s="7"/>
      <c r="KEU1193" s="7"/>
      <c r="KEV1193" s="7"/>
      <c r="KEW1193" s="7"/>
      <c r="KEX1193" s="7"/>
      <c r="KEY1193" s="7"/>
      <c r="KEZ1193" s="7"/>
      <c r="KFA1193" s="7"/>
      <c r="KFB1193" s="7"/>
      <c r="KFC1193" s="7"/>
      <c r="KFD1193" s="7"/>
      <c r="KFE1193" s="7"/>
      <c r="KFF1193" s="7"/>
      <c r="KFG1193" s="7"/>
      <c r="KFH1193" s="7"/>
      <c r="KFI1193" s="7"/>
      <c r="KFJ1193" s="7"/>
      <c r="KFK1193" s="7"/>
      <c r="KFL1193" s="7"/>
      <c r="KFM1193" s="7"/>
      <c r="KFN1193" s="7"/>
      <c r="KFO1193" s="7"/>
      <c r="KFP1193" s="7"/>
      <c r="KFQ1193" s="7"/>
      <c r="KFR1193" s="7"/>
      <c r="KFS1193" s="7"/>
      <c r="KFT1193" s="7"/>
      <c r="KFU1193" s="7"/>
      <c r="KFV1193" s="7"/>
      <c r="KFW1193" s="7"/>
      <c r="KFX1193" s="7"/>
      <c r="KFY1193" s="7"/>
      <c r="KFZ1193" s="7"/>
      <c r="KGA1193" s="7"/>
      <c r="KGB1193" s="7"/>
      <c r="KGC1193" s="7"/>
      <c r="KGD1193" s="7"/>
      <c r="KGE1193" s="7"/>
      <c r="KGF1193" s="7"/>
      <c r="KGG1193" s="7"/>
      <c r="KGH1193" s="7"/>
      <c r="KGI1193" s="7"/>
      <c r="KGJ1193" s="7"/>
      <c r="KGK1193" s="7"/>
      <c r="KGL1193" s="7"/>
      <c r="KGM1193" s="7"/>
      <c r="KGN1193" s="7"/>
      <c r="KGO1193" s="7"/>
      <c r="KGP1193" s="7"/>
      <c r="KGQ1193" s="7"/>
      <c r="KGR1193" s="7"/>
      <c r="KGS1193" s="7"/>
      <c r="KGT1193" s="7"/>
      <c r="KGU1193" s="7"/>
      <c r="KGV1193" s="7"/>
      <c r="KGW1193" s="7"/>
      <c r="KGX1193" s="7"/>
      <c r="KGY1193" s="7"/>
      <c r="KGZ1193" s="7"/>
      <c r="KHA1193" s="7"/>
      <c r="KHB1193" s="7"/>
      <c r="KHC1193" s="7"/>
      <c r="KHD1193" s="7"/>
      <c r="KHE1193" s="7"/>
      <c r="KHF1193" s="7"/>
      <c r="KHG1193" s="7"/>
      <c r="KHH1193" s="7"/>
      <c r="KHI1193" s="7"/>
      <c r="KHJ1193" s="7"/>
      <c r="KHK1193" s="7"/>
      <c r="KHL1193" s="7"/>
      <c r="KHM1193" s="7"/>
      <c r="KHN1193" s="7"/>
      <c r="KHO1193" s="7"/>
      <c r="KHP1193" s="7"/>
      <c r="KHQ1193" s="7"/>
      <c r="KHR1193" s="7"/>
      <c r="KHS1193" s="7"/>
      <c r="KHT1193" s="7"/>
      <c r="KHU1193" s="7"/>
      <c r="KHV1193" s="7"/>
      <c r="KHW1193" s="7"/>
      <c r="KHX1193" s="7"/>
      <c r="KHY1193" s="7"/>
      <c r="KHZ1193" s="7"/>
      <c r="KIA1193" s="7"/>
      <c r="KIB1193" s="7"/>
      <c r="KIC1193" s="7"/>
      <c r="KID1193" s="7"/>
      <c r="KIE1193" s="7"/>
      <c r="KIF1193" s="7"/>
      <c r="KIG1193" s="7"/>
      <c r="KIH1193" s="7"/>
      <c r="KII1193" s="7"/>
      <c r="KIJ1193" s="7"/>
      <c r="KIK1193" s="7"/>
      <c r="KIL1193" s="7"/>
      <c r="KIM1193" s="7"/>
      <c r="KIN1193" s="7"/>
      <c r="KIO1193" s="7"/>
      <c r="KIP1193" s="7"/>
      <c r="KIQ1193" s="7"/>
      <c r="KIR1193" s="7"/>
      <c r="KIS1193" s="7"/>
      <c r="KIT1193" s="7"/>
      <c r="KIU1193" s="7"/>
      <c r="KIV1193" s="7"/>
      <c r="KIW1193" s="7"/>
      <c r="KIX1193" s="7"/>
      <c r="KIY1193" s="7"/>
      <c r="KIZ1193" s="7"/>
      <c r="KJA1193" s="7"/>
      <c r="KJB1193" s="7"/>
      <c r="KJC1193" s="7"/>
      <c r="KJD1193" s="7"/>
      <c r="KJE1193" s="7"/>
      <c r="KJF1193" s="7"/>
      <c r="KJG1193" s="7"/>
      <c r="KJH1193" s="7"/>
      <c r="KJI1193" s="7"/>
      <c r="KJJ1193" s="7"/>
      <c r="KJK1193" s="7"/>
      <c r="KJL1193" s="7"/>
      <c r="KJM1193" s="7"/>
      <c r="KJN1193" s="7"/>
      <c r="KJO1193" s="7"/>
      <c r="KJP1193" s="7"/>
      <c r="KJQ1193" s="7"/>
      <c r="KJR1193" s="7"/>
      <c r="KJS1193" s="7"/>
      <c r="KJT1193" s="7"/>
      <c r="KJU1193" s="7"/>
      <c r="KJV1193" s="7"/>
      <c r="KJW1193" s="7"/>
      <c r="KJX1193" s="7"/>
      <c r="KJY1193" s="7"/>
      <c r="KJZ1193" s="7"/>
      <c r="KKA1193" s="7"/>
      <c r="KKB1193" s="7"/>
      <c r="KKC1193" s="7"/>
      <c r="KKD1193" s="7"/>
      <c r="KKE1193" s="7"/>
      <c r="KKF1193" s="7"/>
      <c r="KKG1193" s="7"/>
      <c r="KKH1193" s="7"/>
      <c r="KKI1193" s="7"/>
      <c r="KKJ1193" s="7"/>
      <c r="KKK1193" s="7"/>
      <c r="KKL1193" s="7"/>
      <c r="KKM1193" s="7"/>
      <c r="KKN1193" s="7"/>
      <c r="KKO1193" s="7"/>
      <c r="KKP1193" s="7"/>
      <c r="KKQ1193" s="7"/>
      <c r="KKR1193" s="7"/>
      <c r="KKS1193" s="7"/>
      <c r="KKT1193" s="7"/>
      <c r="KKU1193" s="7"/>
      <c r="KKV1193" s="7"/>
      <c r="KKW1193" s="7"/>
      <c r="KKX1193" s="7"/>
      <c r="KKY1193" s="7"/>
      <c r="KKZ1193" s="7"/>
      <c r="KLA1193" s="7"/>
      <c r="KLB1193" s="7"/>
      <c r="KLC1193" s="7"/>
      <c r="KLD1193" s="7"/>
      <c r="KLE1193" s="7"/>
      <c r="KLF1193" s="7"/>
      <c r="KLG1193" s="7"/>
      <c r="KLH1193" s="7"/>
      <c r="KLI1193" s="7"/>
      <c r="KLJ1193" s="7"/>
      <c r="KLK1193" s="7"/>
      <c r="KLL1193" s="7"/>
      <c r="KLM1193" s="7"/>
      <c r="KLN1193" s="7"/>
      <c r="KLO1193" s="7"/>
      <c r="KLP1193" s="7"/>
      <c r="KLQ1193" s="7"/>
      <c r="KLR1193" s="7"/>
      <c r="KLS1193" s="7"/>
      <c r="KLT1193" s="7"/>
      <c r="KLU1193" s="7"/>
      <c r="KLV1193" s="7"/>
      <c r="KLW1193" s="7"/>
      <c r="KLX1193" s="7"/>
      <c r="KLY1193" s="7"/>
      <c r="KLZ1193" s="7"/>
      <c r="KMA1193" s="7"/>
      <c r="KMB1193" s="7"/>
      <c r="KMC1193" s="7"/>
      <c r="KMD1193" s="7"/>
      <c r="KME1193" s="7"/>
      <c r="KMF1193" s="7"/>
      <c r="KMG1193" s="7"/>
      <c r="KMH1193" s="7"/>
      <c r="KMI1193" s="7"/>
      <c r="KMJ1193" s="7"/>
      <c r="KMK1193" s="7"/>
      <c r="KML1193" s="7"/>
      <c r="KMM1193" s="7"/>
      <c r="KMN1193" s="7"/>
      <c r="KMO1193" s="7"/>
      <c r="KMP1193" s="7"/>
      <c r="KMQ1193" s="7"/>
      <c r="KMR1193" s="7"/>
      <c r="KMS1193" s="7"/>
      <c r="KMT1193" s="7"/>
      <c r="KMU1193" s="7"/>
      <c r="KMV1193" s="7"/>
      <c r="KMW1193" s="7"/>
      <c r="KMX1193" s="7"/>
      <c r="KMY1193" s="7"/>
      <c r="KMZ1193" s="7"/>
      <c r="KNA1193" s="7"/>
      <c r="KNB1193" s="7"/>
      <c r="KNC1193" s="7"/>
      <c r="KND1193" s="7"/>
      <c r="KNE1193" s="7"/>
      <c r="KNF1193" s="7"/>
      <c r="KNG1193" s="7"/>
      <c r="KNH1193" s="7"/>
      <c r="KNI1193" s="7"/>
      <c r="KNJ1193" s="7"/>
      <c r="KNK1193" s="7"/>
      <c r="KNL1193" s="7"/>
      <c r="KNM1193" s="7"/>
      <c r="KNN1193" s="7"/>
      <c r="KNO1193" s="7"/>
      <c r="KNP1193" s="7"/>
      <c r="KNQ1193" s="7"/>
      <c r="KNR1193" s="7"/>
      <c r="KNS1193" s="7"/>
      <c r="KNT1193" s="7"/>
      <c r="KNU1193" s="7"/>
      <c r="KNV1193" s="7"/>
      <c r="KNW1193" s="7"/>
      <c r="KNX1193" s="7"/>
      <c r="KNY1193" s="7"/>
      <c r="KNZ1193" s="7"/>
      <c r="KOA1193" s="7"/>
      <c r="KOB1193" s="7"/>
      <c r="KOC1193" s="7"/>
      <c r="KOD1193" s="7"/>
      <c r="KOE1193" s="7"/>
      <c r="KOF1193" s="7"/>
      <c r="KOG1193" s="7"/>
      <c r="KOH1193" s="7"/>
      <c r="KOI1193" s="7"/>
      <c r="KOJ1193" s="7"/>
      <c r="KOK1193" s="7"/>
      <c r="KOL1193" s="7"/>
      <c r="KOM1193" s="7"/>
      <c r="KON1193" s="7"/>
      <c r="KOO1193" s="7"/>
      <c r="KOP1193" s="7"/>
      <c r="KOQ1193" s="7"/>
      <c r="KOR1193" s="7"/>
      <c r="KOS1193" s="7"/>
      <c r="KOT1193" s="7"/>
      <c r="KOU1193" s="7"/>
      <c r="KOV1193" s="7"/>
      <c r="KOW1193" s="7"/>
      <c r="KOX1193" s="7"/>
      <c r="KOY1193" s="7"/>
      <c r="KOZ1193" s="7"/>
      <c r="KPA1193" s="7"/>
      <c r="KPB1193" s="7"/>
      <c r="KPC1193" s="7"/>
      <c r="KPD1193" s="7"/>
      <c r="KPE1193" s="7"/>
      <c r="KPF1193" s="7"/>
      <c r="KPG1193" s="7"/>
      <c r="KPH1193" s="7"/>
      <c r="KPI1193" s="7"/>
      <c r="KPJ1193" s="7"/>
      <c r="KPK1193" s="7"/>
      <c r="KPL1193" s="7"/>
      <c r="KPM1193" s="7"/>
      <c r="KPN1193" s="7"/>
      <c r="KPO1193" s="7"/>
      <c r="KPP1193" s="7"/>
      <c r="KPQ1193" s="7"/>
      <c r="KPR1193" s="7"/>
      <c r="KPS1193" s="7"/>
      <c r="KPT1193" s="7"/>
      <c r="KPU1193" s="7"/>
      <c r="KPV1193" s="7"/>
      <c r="KPW1193" s="7"/>
      <c r="KPX1193" s="7"/>
      <c r="KPY1193" s="7"/>
      <c r="KPZ1193" s="7"/>
      <c r="KQA1193" s="7"/>
      <c r="KQB1193" s="7"/>
      <c r="KQC1193" s="7"/>
      <c r="KQD1193" s="7"/>
      <c r="KQE1193" s="7"/>
      <c r="KQF1193" s="7"/>
      <c r="KQG1193" s="7"/>
      <c r="KQH1193" s="7"/>
      <c r="KQI1193" s="7"/>
      <c r="KQJ1193" s="7"/>
      <c r="KQK1193" s="7"/>
      <c r="KQL1193" s="7"/>
      <c r="KQM1193" s="7"/>
      <c r="KQN1193" s="7"/>
      <c r="KQO1193" s="7"/>
      <c r="KQP1193" s="7"/>
      <c r="KQQ1193" s="7"/>
      <c r="KQR1193" s="7"/>
      <c r="KQS1193" s="7"/>
      <c r="KQT1193" s="7"/>
      <c r="KQU1193" s="7"/>
      <c r="KQV1193" s="7"/>
      <c r="KQW1193" s="7"/>
      <c r="KQX1193" s="7"/>
      <c r="KQY1193" s="7"/>
      <c r="KQZ1193" s="7"/>
      <c r="KRA1193" s="7"/>
      <c r="KRB1193" s="7"/>
      <c r="KRC1193" s="7"/>
      <c r="KRD1193" s="7"/>
      <c r="KRE1193" s="7"/>
      <c r="KRF1193" s="7"/>
      <c r="KRG1193" s="7"/>
      <c r="KRH1193" s="7"/>
      <c r="KRI1193" s="7"/>
      <c r="KRJ1193" s="7"/>
      <c r="KRK1193" s="7"/>
      <c r="KRL1193" s="7"/>
      <c r="KRM1193" s="7"/>
      <c r="KRN1193" s="7"/>
      <c r="KRO1193" s="7"/>
      <c r="KRP1193" s="7"/>
      <c r="KRQ1193" s="7"/>
      <c r="KRR1193" s="7"/>
      <c r="KRS1193" s="7"/>
      <c r="KRT1193" s="7"/>
      <c r="KRU1193" s="7"/>
      <c r="KRV1193" s="7"/>
      <c r="KRW1193" s="7"/>
      <c r="KRX1193" s="7"/>
      <c r="KRY1193" s="7"/>
      <c r="KRZ1193" s="7"/>
      <c r="KSA1193" s="7"/>
      <c r="KSB1193" s="7"/>
      <c r="KSC1193" s="7"/>
      <c r="KSD1193" s="7"/>
      <c r="KSE1193" s="7"/>
      <c r="KSF1193" s="7"/>
      <c r="KSG1193" s="7"/>
      <c r="KSH1193" s="7"/>
      <c r="KSI1193" s="7"/>
      <c r="KSJ1193" s="7"/>
      <c r="KSK1193" s="7"/>
      <c r="KSL1193" s="7"/>
      <c r="KSM1193" s="7"/>
      <c r="KSN1193" s="7"/>
      <c r="KSO1193" s="7"/>
      <c r="KSP1193" s="7"/>
      <c r="KSQ1193" s="7"/>
      <c r="KSR1193" s="7"/>
      <c r="KSS1193" s="7"/>
      <c r="KST1193" s="7"/>
      <c r="KSU1193" s="7"/>
      <c r="KSV1193" s="7"/>
      <c r="KSW1193" s="7"/>
      <c r="KSX1193" s="7"/>
      <c r="KSY1193" s="7"/>
      <c r="KSZ1193" s="7"/>
      <c r="KTA1193" s="7"/>
      <c r="KTB1193" s="7"/>
      <c r="KTC1193" s="7"/>
      <c r="KTD1193" s="7"/>
      <c r="KTE1193" s="7"/>
      <c r="KTF1193" s="7"/>
      <c r="KTG1193" s="7"/>
      <c r="KTH1193" s="7"/>
      <c r="KTI1193" s="7"/>
      <c r="KTJ1193" s="7"/>
      <c r="KTK1193" s="7"/>
      <c r="KTL1193" s="7"/>
      <c r="KTM1193" s="7"/>
      <c r="KTN1193" s="7"/>
      <c r="KTO1193" s="7"/>
      <c r="KTP1193" s="7"/>
      <c r="KTQ1193" s="7"/>
      <c r="KTR1193" s="7"/>
      <c r="KTS1193" s="7"/>
      <c r="KTT1193" s="7"/>
      <c r="KTU1193" s="7"/>
      <c r="KTV1193" s="7"/>
      <c r="KTW1193" s="7"/>
      <c r="KTX1193" s="7"/>
      <c r="KTY1193" s="7"/>
      <c r="KTZ1193" s="7"/>
      <c r="KUA1193" s="7"/>
      <c r="KUB1193" s="7"/>
      <c r="KUC1193" s="7"/>
      <c r="KUD1193" s="7"/>
      <c r="KUE1193" s="7"/>
      <c r="KUF1193" s="7"/>
      <c r="KUG1193" s="7"/>
      <c r="KUH1193" s="7"/>
      <c r="KUI1193" s="7"/>
      <c r="KUJ1193" s="7"/>
      <c r="KUK1193" s="7"/>
      <c r="KUL1193" s="7"/>
      <c r="KUM1193" s="7"/>
      <c r="KUN1193" s="7"/>
      <c r="KUO1193" s="7"/>
      <c r="KUP1193" s="7"/>
      <c r="KUQ1193" s="7"/>
      <c r="KUR1193" s="7"/>
      <c r="KUS1193" s="7"/>
      <c r="KUT1193" s="7"/>
      <c r="KUU1193" s="7"/>
      <c r="KUV1193" s="7"/>
      <c r="KUW1193" s="7"/>
      <c r="KUX1193" s="7"/>
      <c r="KUY1193" s="7"/>
      <c r="KUZ1193" s="7"/>
      <c r="KVA1193" s="7"/>
      <c r="KVB1193" s="7"/>
      <c r="KVC1193" s="7"/>
      <c r="KVD1193" s="7"/>
      <c r="KVE1193" s="7"/>
      <c r="KVF1193" s="7"/>
      <c r="KVG1193" s="7"/>
      <c r="KVH1193" s="7"/>
      <c r="KVI1193" s="7"/>
      <c r="KVJ1193" s="7"/>
      <c r="KVK1193" s="7"/>
      <c r="KVL1193" s="7"/>
      <c r="KVM1193" s="7"/>
      <c r="KVN1193" s="7"/>
      <c r="KVO1193" s="7"/>
      <c r="KVP1193" s="7"/>
      <c r="KVQ1193" s="7"/>
      <c r="KVR1193" s="7"/>
      <c r="KVS1193" s="7"/>
      <c r="KVT1193" s="7"/>
      <c r="KVU1193" s="7"/>
      <c r="KVV1193" s="7"/>
      <c r="KVW1193" s="7"/>
      <c r="KVX1193" s="7"/>
      <c r="KVY1193" s="7"/>
      <c r="KVZ1193" s="7"/>
      <c r="KWA1193" s="7"/>
      <c r="KWB1193" s="7"/>
      <c r="KWC1193" s="7"/>
      <c r="KWD1193" s="7"/>
      <c r="KWE1193" s="7"/>
      <c r="KWF1193" s="7"/>
      <c r="KWG1193" s="7"/>
      <c r="KWH1193" s="7"/>
      <c r="KWI1193" s="7"/>
      <c r="KWJ1193" s="7"/>
      <c r="KWK1193" s="7"/>
      <c r="KWL1193" s="7"/>
      <c r="KWM1193" s="7"/>
      <c r="KWN1193" s="7"/>
      <c r="KWO1193" s="7"/>
      <c r="KWP1193" s="7"/>
      <c r="KWQ1193" s="7"/>
      <c r="KWR1193" s="7"/>
      <c r="KWS1193" s="7"/>
      <c r="KWT1193" s="7"/>
      <c r="KWU1193" s="7"/>
      <c r="KWV1193" s="7"/>
      <c r="KWW1193" s="7"/>
      <c r="KWX1193" s="7"/>
      <c r="KWY1193" s="7"/>
      <c r="KWZ1193" s="7"/>
      <c r="KXA1193" s="7"/>
      <c r="KXB1193" s="7"/>
      <c r="KXC1193" s="7"/>
      <c r="KXD1193" s="7"/>
      <c r="KXE1193" s="7"/>
      <c r="KXF1193" s="7"/>
      <c r="KXG1193" s="7"/>
      <c r="KXH1193" s="7"/>
      <c r="KXI1193" s="7"/>
      <c r="KXJ1193" s="7"/>
      <c r="KXK1193" s="7"/>
      <c r="KXL1193" s="7"/>
      <c r="KXM1193" s="7"/>
      <c r="KXN1193" s="7"/>
      <c r="KXO1193" s="7"/>
      <c r="KXP1193" s="7"/>
      <c r="KXQ1193" s="7"/>
      <c r="KXR1193" s="7"/>
      <c r="KXS1193" s="7"/>
      <c r="KXT1193" s="7"/>
      <c r="KXU1193" s="7"/>
      <c r="KXV1193" s="7"/>
      <c r="KXW1193" s="7"/>
      <c r="KXX1193" s="7"/>
      <c r="KXY1193" s="7"/>
      <c r="KXZ1193" s="7"/>
      <c r="KYA1193" s="7"/>
      <c r="KYB1193" s="7"/>
      <c r="KYC1193" s="7"/>
      <c r="KYD1193" s="7"/>
      <c r="KYE1193" s="7"/>
      <c r="KYF1193" s="7"/>
      <c r="KYG1193" s="7"/>
      <c r="KYH1193" s="7"/>
      <c r="KYI1193" s="7"/>
      <c r="KYJ1193" s="7"/>
      <c r="KYK1193" s="7"/>
      <c r="KYL1193" s="7"/>
      <c r="KYM1193" s="7"/>
      <c r="KYN1193" s="7"/>
      <c r="KYO1193" s="7"/>
      <c r="KYP1193" s="7"/>
      <c r="KYQ1193" s="7"/>
      <c r="KYR1193" s="7"/>
      <c r="KYS1193" s="7"/>
      <c r="KYT1193" s="7"/>
      <c r="KYU1193" s="7"/>
      <c r="KYV1193" s="7"/>
      <c r="KYW1193" s="7"/>
      <c r="KYX1193" s="7"/>
      <c r="KYY1193" s="7"/>
      <c r="KYZ1193" s="7"/>
      <c r="KZA1193" s="7"/>
      <c r="KZB1193" s="7"/>
      <c r="KZC1193" s="7"/>
      <c r="KZD1193" s="7"/>
      <c r="KZE1193" s="7"/>
      <c r="KZF1193" s="7"/>
      <c r="KZG1193" s="7"/>
      <c r="KZH1193" s="7"/>
      <c r="KZI1193" s="7"/>
      <c r="KZJ1193" s="7"/>
      <c r="KZK1193" s="7"/>
      <c r="KZL1193" s="7"/>
      <c r="KZM1193" s="7"/>
      <c r="KZN1193" s="7"/>
      <c r="KZO1193" s="7"/>
      <c r="KZP1193" s="7"/>
      <c r="KZQ1193" s="7"/>
      <c r="KZR1193" s="7"/>
      <c r="KZS1193" s="7"/>
      <c r="KZT1193" s="7"/>
      <c r="KZU1193" s="7"/>
      <c r="KZV1193" s="7"/>
      <c r="KZW1193" s="7"/>
      <c r="KZX1193" s="7"/>
      <c r="KZY1193" s="7"/>
      <c r="KZZ1193" s="7"/>
      <c r="LAA1193" s="7"/>
      <c r="LAB1193" s="7"/>
      <c r="LAC1193" s="7"/>
      <c r="LAD1193" s="7"/>
      <c r="LAE1193" s="7"/>
      <c r="LAF1193" s="7"/>
      <c r="LAG1193" s="7"/>
      <c r="LAH1193" s="7"/>
      <c r="LAI1193" s="7"/>
      <c r="LAJ1193" s="7"/>
      <c r="LAK1193" s="7"/>
      <c r="LAL1193" s="7"/>
      <c r="LAM1193" s="7"/>
      <c r="LAN1193" s="7"/>
      <c r="LAO1193" s="7"/>
      <c r="LAP1193" s="7"/>
      <c r="LAQ1193" s="7"/>
      <c r="LAR1193" s="7"/>
      <c r="LAS1193" s="7"/>
      <c r="LAT1193" s="7"/>
      <c r="LAU1193" s="7"/>
      <c r="LAV1193" s="7"/>
      <c r="LAW1193" s="7"/>
      <c r="LAX1193" s="7"/>
      <c r="LAY1193" s="7"/>
      <c r="LAZ1193" s="7"/>
      <c r="LBA1193" s="7"/>
      <c r="LBB1193" s="7"/>
      <c r="LBC1193" s="7"/>
      <c r="LBD1193" s="7"/>
      <c r="LBE1193" s="7"/>
      <c r="LBF1193" s="7"/>
      <c r="LBG1193" s="7"/>
      <c r="LBH1193" s="7"/>
      <c r="LBI1193" s="7"/>
      <c r="LBJ1193" s="7"/>
      <c r="LBK1193" s="7"/>
      <c r="LBL1193" s="7"/>
      <c r="LBM1193" s="7"/>
      <c r="LBN1193" s="7"/>
      <c r="LBO1193" s="7"/>
      <c r="LBP1193" s="7"/>
      <c r="LBQ1193" s="7"/>
      <c r="LBR1193" s="7"/>
      <c r="LBS1193" s="7"/>
      <c r="LBT1193" s="7"/>
      <c r="LBU1193" s="7"/>
      <c r="LBV1193" s="7"/>
      <c r="LBW1193" s="7"/>
      <c r="LBX1193" s="7"/>
      <c r="LBY1193" s="7"/>
      <c r="LBZ1193" s="7"/>
      <c r="LCA1193" s="7"/>
      <c r="LCB1193" s="7"/>
      <c r="LCC1193" s="7"/>
      <c r="LCD1193" s="7"/>
      <c r="LCE1193" s="7"/>
      <c r="LCF1193" s="7"/>
      <c r="LCG1193" s="7"/>
      <c r="LCH1193" s="7"/>
      <c r="LCI1193" s="7"/>
      <c r="LCJ1193" s="7"/>
      <c r="LCK1193" s="7"/>
      <c r="LCL1193" s="7"/>
      <c r="LCM1193" s="7"/>
      <c r="LCN1193" s="7"/>
      <c r="LCO1193" s="7"/>
      <c r="LCP1193" s="7"/>
      <c r="LCQ1193" s="7"/>
      <c r="LCR1193" s="7"/>
      <c r="LCS1193" s="7"/>
      <c r="LCT1193" s="7"/>
      <c r="LCU1193" s="7"/>
      <c r="LCV1193" s="7"/>
      <c r="LCW1193" s="7"/>
      <c r="LCX1193" s="7"/>
      <c r="LCY1193" s="7"/>
      <c r="LCZ1193" s="7"/>
      <c r="LDA1193" s="7"/>
      <c r="LDB1193" s="7"/>
      <c r="LDC1193" s="7"/>
      <c r="LDD1193" s="7"/>
      <c r="LDE1193" s="7"/>
      <c r="LDF1193" s="7"/>
      <c r="LDG1193" s="7"/>
      <c r="LDH1193" s="7"/>
      <c r="LDI1193" s="7"/>
      <c r="LDJ1193" s="7"/>
      <c r="LDK1193" s="7"/>
      <c r="LDL1193" s="7"/>
      <c r="LDM1193" s="7"/>
      <c r="LDN1193" s="7"/>
      <c r="LDO1193" s="7"/>
      <c r="LDP1193" s="7"/>
      <c r="LDQ1193" s="7"/>
      <c r="LDR1193" s="7"/>
      <c r="LDS1193" s="7"/>
      <c r="LDT1193" s="7"/>
      <c r="LDU1193" s="7"/>
      <c r="LDV1193" s="7"/>
      <c r="LDW1193" s="7"/>
      <c r="LDX1193" s="7"/>
      <c r="LDY1193" s="7"/>
      <c r="LDZ1193" s="7"/>
      <c r="LEA1193" s="7"/>
      <c r="LEB1193" s="7"/>
      <c r="LEC1193" s="7"/>
      <c r="LED1193" s="7"/>
      <c r="LEE1193" s="7"/>
      <c r="LEF1193" s="7"/>
      <c r="LEG1193" s="7"/>
      <c r="LEH1193" s="7"/>
      <c r="LEI1193" s="7"/>
      <c r="LEJ1193" s="7"/>
      <c r="LEK1193" s="7"/>
      <c r="LEL1193" s="7"/>
      <c r="LEM1193" s="7"/>
      <c r="LEN1193" s="7"/>
      <c r="LEO1193" s="7"/>
      <c r="LEP1193" s="7"/>
      <c r="LEQ1193" s="7"/>
      <c r="LER1193" s="7"/>
      <c r="LES1193" s="7"/>
      <c r="LET1193" s="7"/>
      <c r="LEU1193" s="7"/>
      <c r="LEV1193" s="7"/>
      <c r="LEW1193" s="7"/>
      <c r="LEX1193" s="7"/>
      <c r="LEY1193" s="7"/>
      <c r="LEZ1193" s="7"/>
      <c r="LFA1193" s="7"/>
      <c r="LFB1193" s="7"/>
      <c r="LFC1193" s="7"/>
      <c r="LFD1193" s="7"/>
      <c r="LFE1193" s="7"/>
      <c r="LFF1193" s="7"/>
      <c r="LFG1193" s="7"/>
      <c r="LFH1193" s="7"/>
      <c r="LFI1193" s="7"/>
      <c r="LFJ1193" s="7"/>
      <c r="LFK1193" s="7"/>
      <c r="LFL1193" s="7"/>
      <c r="LFM1193" s="7"/>
      <c r="LFN1193" s="7"/>
      <c r="LFO1193" s="7"/>
      <c r="LFP1193" s="7"/>
      <c r="LFQ1193" s="7"/>
      <c r="LFR1193" s="7"/>
      <c r="LFS1193" s="7"/>
      <c r="LFT1193" s="7"/>
      <c r="LFU1193" s="7"/>
      <c r="LFV1193" s="7"/>
      <c r="LFW1193" s="7"/>
      <c r="LFX1193" s="7"/>
      <c r="LFY1193" s="7"/>
      <c r="LFZ1193" s="7"/>
      <c r="LGA1193" s="7"/>
      <c r="LGB1193" s="7"/>
      <c r="LGC1193" s="7"/>
      <c r="LGD1193" s="7"/>
      <c r="LGE1193" s="7"/>
      <c r="LGF1193" s="7"/>
      <c r="LGG1193" s="7"/>
      <c r="LGH1193" s="7"/>
      <c r="LGI1193" s="7"/>
      <c r="LGJ1193" s="7"/>
      <c r="LGK1193" s="7"/>
      <c r="LGL1193" s="7"/>
      <c r="LGM1193" s="7"/>
      <c r="LGN1193" s="7"/>
      <c r="LGO1193" s="7"/>
      <c r="LGP1193" s="7"/>
      <c r="LGQ1193" s="7"/>
      <c r="LGR1193" s="7"/>
      <c r="LGS1193" s="7"/>
      <c r="LGT1193" s="7"/>
      <c r="LGU1193" s="7"/>
      <c r="LGV1193" s="7"/>
      <c r="LGW1193" s="7"/>
      <c r="LGX1193" s="7"/>
      <c r="LGY1193" s="7"/>
      <c r="LGZ1193" s="7"/>
      <c r="LHA1193" s="7"/>
      <c r="LHB1193" s="7"/>
      <c r="LHC1193" s="7"/>
      <c r="LHD1193" s="7"/>
      <c r="LHE1193" s="7"/>
      <c r="LHF1193" s="7"/>
      <c r="LHG1193" s="7"/>
      <c r="LHH1193" s="7"/>
      <c r="LHI1193" s="7"/>
      <c r="LHJ1193" s="7"/>
      <c r="LHK1193" s="7"/>
      <c r="LHL1193" s="7"/>
      <c r="LHM1193" s="7"/>
      <c r="LHN1193" s="7"/>
      <c r="LHO1193" s="7"/>
      <c r="LHP1193" s="7"/>
      <c r="LHQ1193" s="7"/>
      <c r="LHR1193" s="7"/>
      <c r="LHS1193" s="7"/>
      <c r="LHT1193" s="7"/>
      <c r="LHU1193" s="7"/>
      <c r="LHV1193" s="7"/>
      <c r="LHW1193" s="7"/>
      <c r="LHX1193" s="7"/>
      <c r="LHY1193" s="7"/>
      <c r="LHZ1193" s="7"/>
      <c r="LIA1193" s="7"/>
      <c r="LIB1193" s="7"/>
      <c r="LIC1193" s="7"/>
      <c r="LID1193" s="7"/>
      <c r="LIE1193" s="7"/>
      <c r="LIF1193" s="7"/>
      <c r="LIG1193" s="7"/>
      <c r="LIH1193" s="7"/>
      <c r="LII1193" s="7"/>
      <c r="LIJ1193" s="7"/>
      <c r="LIK1193" s="7"/>
      <c r="LIL1193" s="7"/>
      <c r="LIM1193" s="7"/>
      <c r="LIN1193" s="7"/>
      <c r="LIO1193" s="7"/>
      <c r="LIP1193" s="7"/>
      <c r="LIQ1193" s="7"/>
      <c r="LIR1193" s="7"/>
      <c r="LIS1193" s="7"/>
      <c r="LIT1193" s="7"/>
      <c r="LIU1193" s="7"/>
      <c r="LIV1193" s="7"/>
      <c r="LIW1193" s="7"/>
      <c r="LIX1193" s="7"/>
      <c r="LIY1193" s="7"/>
      <c r="LIZ1193" s="7"/>
      <c r="LJA1193" s="7"/>
      <c r="LJB1193" s="7"/>
      <c r="LJC1193" s="7"/>
      <c r="LJD1193" s="7"/>
      <c r="LJE1193" s="7"/>
      <c r="LJF1193" s="7"/>
      <c r="LJG1193" s="7"/>
      <c r="LJH1193" s="7"/>
      <c r="LJI1193" s="7"/>
      <c r="LJJ1193" s="7"/>
      <c r="LJK1193" s="7"/>
      <c r="LJL1193" s="7"/>
      <c r="LJM1193" s="7"/>
      <c r="LJN1193" s="7"/>
      <c r="LJO1193" s="7"/>
      <c r="LJP1193" s="7"/>
      <c r="LJQ1193" s="7"/>
      <c r="LJR1193" s="7"/>
      <c r="LJS1193" s="7"/>
      <c r="LJT1193" s="7"/>
      <c r="LJU1193" s="7"/>
      <c r="LJV1193" s="7"/>
      <c r="LJW1193" s="7"/>
      <c r="LJX1193" s="7"/>
      <c r="LJY1193" s="7"/>
      <c r="LJZ1193" s="7"/>
      <c r="LKA1193" s="7"/>
      <c r="LKB1193" s="7"/>
      <c r="LKC1193" s="7"/>
      <c r="LKD1193" s="7"/>
      <c r="LKE1193" s="7"/>
      <c r="LKF1193" s="7"/>
      <c r="LKG1193" s="7"/>
      <c r="LKH1193" s="7"/>
      <c r="LKI1193" s="7"/>
      <c r="LKJ1193" s="7"/>
      <c r="LKK1193" s="7"/>
      <c r="LKL1193" s="7"/>
      <c r="LKM1193" s="7"/>
      <c r="LKN1193" s="7"/>
      <c r="LKO1193" s="7"/>
      <c r="LKP1193" s="7"/>
      <c r="LKQ1193" s="7"/>
      <c r="LKR1193" s="7"/>
      <c r="LKS1193" s="7"/>
      <c r="LKT1193" s="7"/>
      <c r="LKU1193" s="7"/>
      <c r="LKV1193" s="7"/>
      <c r="LKW1193" s="7"/>
      <c r="LKX1193" s="7"/>
      <c r="LKY1193" s="7"/>
      <c r="LKZ1193" s="7"/>
      <c r="LLA1193" s="7"/>
      <c r="LLB1193" s="7"/>
      <c r="LLC1193" s="7"/>
      <c r="LLD1193" s="7"/>
      <c r="LLE1193" s="7"/>
      <c r="LLF1193" s="7"/>
      <c r="LLG1193" s="7"/>
      <c r="LLH1193" s="7"/>
      <c r="LLI1193" s="7"/>
      <c r="LLJ1193" s="7"/>
      <c r="LLK1193" s="7"/>
      <c r="LLL1193" s="7"/>
      <c r="LLM1193" s="7"/>
      <c r="LLN1193" s="7"/>
      <c r="LLO1193" s="7"/>
      <c r="LLP1193" s="7"/>
      <c r="LLQ1193" s="7"/>
      <c r="LLR1193" s="7"/>
      <c r="LLS1193" s="7"/>
      <c r="LLT1193" s="7"/>
      <c r="LLU1193" s="7"/>
      <c r="LLV1193" s="7"/>
      <c r="LLW1193" s="7"/>
      <c r="LLX1193" s="7"/>
      <c r="LLY1193" s="7"/>
      <c r="LLZ1193" s="7"/>
      <c r="LMA1193" s="7"/>
      <c r="LMB1193" s="7"/>
      <c r="LMC1193" s="7"/>
      <c r="LMD1193" s="7"/>
      <c r="LME1193" s="7"/>
      <c r="LMF1193" s="7"/>
      <c r="LMG1193" s="7"/>
      <c r="LMH1193" s="7"/>
      <c r="LMI1193" s="7"/>
      <c r="LMJ1193" s="7"/>
      <c r="LMK1193" s="7"/>
      <c r="LML1193" s="7"/>
      <c r="LMM1193" s="7"/>
      <c r="LMN1193" s="7"/>
      <c r="LMO1193" s="7"/>
      <c r="LMP1193" s="7"/>
      <c r="LMQ1193" s="7"/>
      <c r="LMR1193" s="7"/>
      <c r="LMS1193" s="7"/>
      <c r="LMT1193" s="7"/>
      <c r="LMU1193" s="7"/>
      <c r="LMV1193" s="7"/>
      <c r="LMW1193" s="7"/>
      <c r="LMX1193" s="7"/>
      <c r="LMY1193" s="7"/>
      <c r="LMZ1193" s="7"/>
      <c r="LNA1193" s="7"/>
      <c r="LNB1193" s="7"/>
      <c r="LNC1193" s="7"/>
      <c r="LND1193" s="7"/>
      <c r="LNE1193" s="7"/>
      <c r="LNF1193" s="7"/>
      <c r="LNG1193" s="7"/>
      <c r="LNH1193" s="7"/>
      <c r="LNI1193" s="7"/>
      <c r="LNJ1193" s="7"/>
      <c r="LNK1193" s="7"/>
      <c r="LNL1193" s="7"/>
      <c r="LNM1193" s="7"/>
      <c r="LNN1193" s="7"/>
      <c r="LNO1193" s="7"/>
      <c r="LNP1193" s="7"/>
      <c r="LNQ1193" s="7"/>
      <c r="LNR1193" s="7"/>
      <c r="LNS1193" s="7"/>
      <c r="LNT1193" s="7"/>
      <c r="LNU1193" s="7"/>
      <c r="LNV1193" s="7"/>
      <c r="LNW1193" s="7"/>
      <c r="LNX1193" s="7"/>
      <c r="LNY1193" s="7"/>
      <c r="LNZ1193" s="7"/>
      <c r="LOA1193" s="7"/>
      <c r="LOB1193" s="7"/>
      <c r="LOC1193" s="7"/>
      <c r="LOD1193" s="7"/>
      <c r="LOE1193" s="7"/>
      <c r="LOF1193" s="7"/>
      <c r="LOG1193" s="7"/>
      <c r="LOH1193" s="7"/>
      <c r="LOI1193" s="7"/>
      <c r="LOJ1193" s="7"/>
      <c r="LOK1193" s="7"/>
      <c r="LOL1193" s="7"/>
      <c r="LOM1193" s="7"/>
      <c r="LON1193" s="7"/>
      <c r="LOO1193" s="7"/>
      <c r="LOP1193" s="7"/>
      <c r="LOQ1193" s="7"/>
      <c r="LOR1193" s="7"/>
      <c r="LOS1193" s="7"/>
      <c r="LOT1193" s="7"/>
      <c r="LOU1193" s="7"/>
      <c r="LOV1193" s="7"/>
      <c r="LOW1193" s="7"/>
      <c r="LOX1193" s="7"/>
      <c r="LOY1193" s="7"/>
      <c r="LOZ1193" s="7"/>
      <c r="LPA1193" s="7"/>
      <c r="LPB1193" s="7"/>
      <c r="LPC1193" s="7"/>
      <c r="LPD1193" s="7"/>
      <c r="LPE1193" s="7"/>
      <c r="LPF1193" s="7"/>
      <c r="LPG1193" s="7"/>
      <c r="LPH1193" s="7"/>
      <c r="LPI1193" s="7"/>
      <c r="LPJ1193" s="7"/>
      <c r="LPK1193" s="7"/>
      <c r="LPL1193" s="7"/>
      <c r="LPM1193" s="7"/>
      <c r="LPN1193" s="7"/>
      <c r="LPO1193" s="7"/>
      <c r="LPP1193" s="7"/>
      <c r="LPQ1193" s="7"/>
      <c r="LPR1193" s="7"/>
      <c r="LPS1193" s="7"/>
      <c r="LPT1193" s="7"/>
      <c r="LPU1193" s="7"/>
      <c r="LPV1193" s="7"/>
      <c r="LPW1193" s="7"/>
      <c r="LPX1193" s="7"/>
      <c r="LPY1193" s="7"/>
      <c r="LPZ1193" s="7"/>
      <c r="LQA1193" s="7"/>
      <c r="LQB1193" s="7"/>
      <c r="LQC1193" s="7"/>
      <c r="LQD1193" s="7"/>
      <c r="LQE1193" s="7"/>
      <c r="LQF1193" s="7"/>
      <c r="LQG1193" s="7"/>
      <c r="LQH1193" s="7"/>
      <c r="LQI1193" s="7"/>
      <c r="LQJ1193" s="7"/>
      <c r="LQK1193" s="7"/>
      <c r="LQL1193" s="7"/>
      <c r="LQM1193" s="7"/>
      <c r="LQN1193" s="7"/>
      <c r="LQO1193" s="7"/>
      <c r="LQP1193" s="7"/>
      <c r="LQQ1193" s="7"/>
      <c r="LQR1193" s="7"/>
      <c r="LQS1193" s="7"/>
      <c r="LQT1193" s="7"/>
      <c r="LQU1193" s="7"/>
      <c r="LQV1193" s="7"/>
      <c r="LQW1193" s="7"/>
      <c r="LQX1193" s="7"/>
      <c r="LQY1193" s="7"/>
      <c r="LQZ1193" s="7"/>
      <c r="LRA1193" s="7"/>
      <c r="LRB1193" s="7"/>
      <c r="LRC1193" s="7"/>
      <c r="LRD1193" s="7"/>
      <c r="LRE1193" s="7"/>
      <c r="LRF1193" s="7"/>
      <c r="LRG1193" s="7"/>
      <c r="LRH1193" s="7"/>
      <c r="LRI1193" s="7"/>
      <c r="LRJ1193" s="7"/>
      <c r="LRK1193" s="7"/>
      <c r="LRL1193" s="7"/>
      <c r="LRM1193" s="7"/>
      <c r="LRN1193" s="7"/>
      <c r="LRO1193" s="7"/>
      <c r="LRP1193" s="7"/>
      <c r="LRQ1193" s="7"/>
      <c r="LRR1193" s="7"/>
      <c r="LRS1193" s="7"/>
      <c r="LRT1193" s="7"/>
      <c r="LRU1193" s="7"/>
      <c r="LRV1193" s="7"/>
      <c r="LRW1193" s="7"/>
      <c r="LRX1193" s="7"/>
      <c r="LRY1193" s="7"/>
      <c r="LRZ1193" s="7"/>
      <c r="LSA1193" s="7"/>
      <c r="LSB1193" s="7"/>
      <c r="LSC1193" s="7"/>
      <c r="LSD1193" s="7"/>
      <c r="LSE1193" s="7"/>
      <c r="LSF1193" s="7"/>
      <c r="LSG1193" s="7"/>
      <c r="LSH1193" s="7"/>
      <c r="LSI1193" s="7"/>
      <c r="LSJ1193" s="7"/>
      <c r="LSK1193" s="7"/>
      <c r="LSL1193" s="7"/>
      <c r="LSM1193" s="7"/>
      <c r="LSN1193" s="7"/>
      <c r="LSO1193" s="7"/>
      <c r="LSP1193" s="7"/>
      <c r="LSQ1193" s="7"/>
      <c r="LSR1193" s="7"/>
      <c r="LSS1193" s="7"/>
      <c r="LST1193" s="7"/>
      <c r="LSU1193" s="7"/>
      <c r="LSV1193" s="7"/>
      <c r="LSW1193" s="7"/>
      <c r="LSX1193" s="7"/>
      <c r="LSY1193" s="7"/>
      <c r="LSZ1193" s="7"/>
      <c r="LTA1193" s="7"/>
      <c r="LTB1193" s="7"/>
      <c r="LTC1193" s="7"/>
      <c r="LTD1193" s="7"/>
      <c r="LTE1193" s="7"/>
      <c r="LTF1193" s="7"/>
      <c r="LTG1193" s="7"/>
      <c r="LTH1193" s="7"/>
      <c r="LTI1193" s="7"/>
      <c r="LTJ1193" s="7"/>
      <c r="LTK1193" s="7"/>
      <c r="LTL1193" s="7"/>
      <c r="LTM1193" s="7"/>
      <c r="LTN1193" s="7"/>
      <c r="LTO1193" s="7"/>
      <c r="LTP1193" s="7"/>
      <c r="LTQ1193" s="7"/>
      <c r="LTR1193" s="7"/>
      <c r="LTS1193" s="7"/>
      <c r="LTT1193" s="7"/>
      <c r="LTU1193" s="7"/>
      <c r="LTV1193" s="7"/>
      <c r="LTW1193" s="7"/>
      <c r="LTX1193" s="7"/>
      <c r="LTY1193" s="7"/>
      <c r="LTZ1193" s="7"/>
      <c r="LUA1193" s="7"/>
      <c r="LUB1193" s="7"/>
      <c r="LUC1193" s="7"/>
      <c r="LUD1193" s="7"/>
      <c r="LUE1193" s="7"/>
      <c r="LUF1193" s="7"/>
      <c r="LUG1193" s="7"/>
      <c r="LUH1193" s="7"/>
      <c r="LUI1193" s="7"/>
      <c r="LUJ1193" s="7"/>
      <c r="LUK1193" s="7"/>
      <c r="LUL1193" s="7"/>
      <c r="LUM1193" s="7"/>
      <c r="LUN1193" s="7"/>
      <c r="LUO1193" s="7"/>
      <c r="LUP1193" s="7"/>
      <c r="LUQ1193" s="7"/>
      <c r="LUR1193" s="7"/>
      <c r="LUS1193" s="7"/>
      <c r="LUT1193" s="7"/>
      <c r="LUU1193" s="7"/>
      <c r="LUV1193" s="7"/>
      <c r="LUW1193" s="7"/>
      <c r="LUX1193" s="7"/>
      <c r="LUY1193" s="7"/>
      <c r="LUZ1193" s="7"/>
      <c r="LVA1193" s="7"/>
      <c r="LVB1193" s="7"/>
      <c r="LVC1193" s="7"/>
      <c r="LVD1193" s="7"/>
      <c r="LVE1193" s="7"/>
      <c r="LVF1193" s="7"/>
      <c r="LVG1193" s="7"/>
      <c r="LVH1193" s="7"/>
      <c r="LVI1193" s="7"/>
      <c r="LVJ1193" s="7"/>
      <c r="LVK1193" s="7"/>
      <c r="LVL1193" s="7"/>
      <c r="LVM1193" s="7"/>
      <c r="LVN1193" s="7"/>
      <c r="LVO1193" s="7"/>
      <c r="LVP1193" s="7"/>
      <c r="LVQ1193" s="7"/>
      <c r="LVR1193" s="7"/>
      <c r="LVS1193" s="7"/>
      <c r="LVT1193" s="7"/>
      <c r="LVU1193" s="7"/>
      <c r="LVV1193" s="7"/>
      <c r="LVW1193" s="7"/>
      <c r="LVX1193" s="7"/>
      <c r="LVY1193" s="7"/>
      <c r="LVZ1193" s="7"/>
      <c r="LWA1193" s="7"/>
      <c r="LWB1193" s="7"/>
      <c r="LWC1193" s="7"/>
      <c r="LWD1193" s="7"/>
      <c r="LWE1193" s="7"/>
      <c r="LWF1193" s="7"/>
      <c r="LWG1193" s="7"/>
      <c r="LWH1193" s="7"/>
      <c r="LWI1193" s="7"/>
      <c r="LWJ1193" s="7"/>
      <c r="LWK1193" s="7"/>
      <c r="LWL1193" s="7"/>
      <c r="LWM1193" s="7"/>
      <c r="LWN1193" s="7"/>
      <c r="LWO1193" s="7"/>
      <c r="LWP1193" s="7"/>
      <c r="LWQ1193" s="7"/>
      <c r="LWR1193" s="7"/>
      <c r="LWS1193" s="7"/>
      <c r="LWT1193" s="7"/>
      <c r="LWU1193" s="7"/>
      <c r="LWV1193" s="7"/>
      <c r="LWW1193" s="7"/>
      <c r="LWX1193" s="7"/>
      <c r="LWY1193" s="7"/>
      <c r="LWZ1193" s="7"/>
      <c r="LXA1193" s="7"/>
      <c r="LXB1193" s="7"/>
      <c r="LXC1193" s="7"/>
      <c r="LXD1193" s="7"/>
      <c r="LXE1193" s="7"/>
      <c r="LXF1193" s="7"/>
      <c r="LXG1193" s="7"/>
      <c r="LXH1193" s="7"/>
      <c r="LXI1193" s="7"/>
      <c r="LXJ1193" s="7"/>
      <c r="LXK1193" s="7"/>
      <c r="LXL1193" s="7"/>
      <c r="LXM1193" s="7"/>
      <c r="LXN1193" s="7"/>
      <c r="LXO1193" s="7"/>
      <c r="LXP1193" s="7"/>
      <c r="LXQ1193" s="7"/>
      <c r="LXR1193" s="7"/>
      <c r="LXS1193" s="7"/>
      <c r="LXT1193" s="7"/>
      <c r="LXU1193" s="7"/>
      <c r="LXV1193" s="7"/>
      <c r="LXW1193" s="7"/>
      <c r="LXX1193" s="7"/>
      <c r="LXY1193" s="7"/>
      <c r="LXZ1193" s="7"/>
      <c r="LYA1193" s="7"/>
      <c r="LYB1193" s="7"/>
      <c r="LYC1193" s="7"/>
      <c r="LYD1193" s="7"/>
      <c r="LYE1193" s="7"/>
      <c r="LYF1193" s="7"/>
      <c r="LYG1193" s="7"/>
      <c r="LYH1193" s="7"/>
      <c r="LYI1193" s="7"/>
      <c r="LYJ1193" s="7"/>
      <c r="LYK1193" s="7"/>
      <c r="LYL1193" s="7"/>
      <c r="LYM1193" s="7"/>
      <c r="LYN1193" s="7"/>
      <c r="LYO1193" s="7"/>
      <c r="LYP1193" s="7"/>
      <c r="LYQ1193" s="7"/>
      <c r="LYR1193" s="7"/>
      <c r="LYS1193" s="7"/>
      <c r="LYT1193" s="7"/>
      <c r="LYU1193" s="7"/>
      <c r="LYV1193" s="7"/>
      <c r="LYW1193" s="7"/>
      <c r="LYX1193" s="7"/>
      <c r="LYY1193" s="7"/>
      <c r="LYZ1193" s="7"/>
      <c r="LZA1193" s="7"/>
      <c r="LZB1193" s="7"/>
      <c r="LZC1193" s="7"/>
      <c r="LZD1193" s="7"/>
      <c r="LZE1193" s="7"/>
      <c r="LZF1193" s="7"/>
      <c r="LZG1193" s="7"/>
      <c r="LZH1193" s="7"/>
      <c r="LZI1193" s="7"/>
      <c r="LZJ1193" s="7"/>
      <c r="LZK1193" s="7"/>
      <c r="LZL1193" s="7"/>
      <c r="LZM1193" s="7"/>
      <c r="LZN1193" s="7"/>
      <c r="LZO1193" s="7"/>
      <c r="LZP1193" s="7"/>
      <c r="LZQ1193" s="7"/>
      <c r="LZR1193" s="7"/>
      <c r="LZS1193" s="7"/>
      <c r="LZT1193" s="7"/>
      <c r="LZU1193" s="7"/>
      <c r="LZV1193" s="7"/>
      <c r="LZW1193" s="7"/>
      <c r="LZX1193" s="7"/>
      <c r="LZY1193" s="7"/>
      <c r="LZZ1193" s="7"/>
      <c r="MAA1193" s="7"/>
      <c r="MAB1193" s="7"/>
      <c r="MAC1193" s="7"/>
      <c r="MAD1193" s="7"/>
      <c r="MAE1193" s="7"/>
      <c r="MAF1193" s="7"/>
      <c r="MAG1193" s="7"/>
      <c r="MAH1193" s="7"/>
      <c r="MAI1193" s="7"/>
      <c r="MAJ1193" s="7"/>
      <c r="MAK1193" s="7"/>
      <c r="MAL1193" s="7"/>
      <c r="MAM1193" s="7"/>
      <c r="MAN1193" s="7"/>
      <c r="MAO1193" s="7"/>
      <c r="MAP1193" s="7"/>
      <c r="MAQ1193" s="7"/>
      <c r="MAR1193" s="7"/>
      <c r="MAS1193" s="7"/>
      <c r="MAT1193" s="7"/>
      <c r="MAU1193" s="7"/>
      <c r="MAV1193" s="7"/>
      <c r="MAW1193" s="7"/>
      <c r="MAX1193" s="7"/>
      <c r="MAY1193" s="7"/>
      <c r="MAZ1193" s="7"/>
      <c r="MBA1193" s="7"/>
      <c r="MBB1193" s="7"/>
      <c r="MBC1193" s="7"/>
      <c r="MBD1193" s="7"/>
      <c r="MBE1193" s="7"/>
      <c r="MBF1193" s="7"/>
      <c r="MBG1193" s="7"/>
      <c r="MBH1193" s="7"/>
      <c r="MBI1193" s="7"/>
      <c r="MBJ1193" s="7"/>
      <c r="MBK1193" s="7"/>
      <c r="MBL1193" s="7"/>
      <c r="MBM1193" s="7"/>
      <c r="MBN1193" s="7"/>
      <c r="MBO1193" s="7"/>
      <c r="MBP1193" s="7"/>
      <c r="MBQ1193" s="7"/>
      <c r="MBR1193" s="7"/>
      <c r="MBS1193" s="7"/>
      <c r="MBT1193" s="7"/>
      <c r="MBU1193" s="7"/>
      <c r="MBV1193" s="7"/>
      <c r="MBW1193" s="7"/>
      <c r="MBX1193" s="7"/>
      <c r="MBY1193" s="7"/>
      <c r="MBZ1193" s="7"/>
      <c r="MCA1193" s="7"/>
      <c r="MCB1193" s="7"/>
      <c r="MCC1193" s="7"/>
      <c r="MCD1193" s="7"/>
      <c r="MCE1193" s="7"/>
      <c r="MCF1193" s="7"/>
      <c r="MCG1193" s="7"/>
      <c r="MCH1193" s="7"/>
      <c r="MCI1193" s="7"/>
      <c r="MCJ1193" s="7"/>
      <c r="MCK1193" s="7"/>
      <c r="MCL1193" s="7"/>
      <c r="MCM1193" s="7"/>
      <c r="MCN1193" s="7"/>
      <c r="MCO1193" s="7"/>
      <c r="MCP1193" s="7"/>
      <c r="MCQ1193" s="7"/>
      <c r="MCR1193" s="7"/>
      <c r="MCS1193" s="7"/>
      <c r="MCT1193" s="7"/>
      <c r="MCU1193" s="7"/>
      <c r="MCV1193" s="7"/>
      <c r="MCW1193" s="7"/>
      <c r="MCX1193" s="7"/>
      <c r="MCY1193" s="7"/>
      <c r="MCZ1193" s="7"/>
      <c r="MDA1193" s="7"/>
      <c r="MDB1193" s="7"/>
      <c r="MDC1193" s="7"/>
      <c r="MDD1193" s="7"/>
      <c r="MDE1193" s="7"/>
      <c r="MDF1193" s="7"/>
      <c r="MDG1193" s="7"/>
      <c r="MDH1193" s="7"/>
      <c r="MDI1193" s="7"/>
      <c r="MDJ1193" s="7"/>
      <c r="MDK1193" s="7"/>
      <c r="MDL1193" s="7"/>
      <c r="MDM1193" s="7"/>
      <c r="MDN1193" s="7"/>
      <c r="MDO1193" s="7"/>
      <c r="MDP1193" s="7"/>
      <c r="MDQ1193" s="7"/>
      <c r="MDR1193" s="7"/>
      <c r="MDS1193" s="7"/>
      <c r="MDT1193" s="7"/>
      <c r="MDU1193" s="7"/>
      <c r="MDV1193" s="7"/>
      <c r="MDW1193" s="7"/>
      <c r="MDX1193" s="7"/>
      <c r="MDY1193" s="7"/>
      <c r="MDZ1193" s="7"/>
      <c r="MEA1193" s="7"/>
      <c r="MEB1193" s="7"/>
      <c r="MEC1193" s="7"/>
      <c r="MED1193" s="7"/>
      <c r="MEE1193" s="7"/>
      <c r="MEF1193" s="7"/>
      <c r="MEG1193" s="7"/>
      <c r="MEH1193" s="7"/>
      <c r="MEI1193" s="7"/>
      <c r="MEJ1193" s="7"/>
      <c r="MEK1193" s="7"/>
      <c r="MEL1193" s="7"/>
      <c r="MEM1193" s="7"/>
      <c r="MEN1193" s="7"/>
      <c r="MEO1193" s="7"/>
      <c r="MEP1193" s="7"/>
      <c r="MEQ1193" s="7"/>
      <c r="MER1193" s="7"/>
      <c r="MES1193" s="7"/>
      <c r="MET1193" s="7"/>
      <c r="MEU1193" s="7"/>
      <c r="MEV1193" s="7"/>
      <c r="MEW1193" s="7"/>
      <c r="MEX1193" s="7"/>
      <c r="MEY1193" s="7"/>
      <c r="MEZ1193" s="7"/>
      <c r="MFA1193" s="7"/>
      <c r="MFB1193" s="7"/>
      <c r="MFC1193" s="7"/>
      <c r="MFD1193" s="7"/>
      <c r="MFE1193" s="7"/>
      <c r="MFF1193" s="7"/>
      <c r="MFG1193" s="7"/>
      <c r="MFH1193" s="7"/>
      <c r="MFI1193" s="7"/>
      <c r="MFJ1193" s="7"/>
      <c r="MFK1193" s="7"/>
      <c r="MFL1193" s="7"/>
      <c r="MFM1193" s="7"/>
      <c r="MFN1193" s="7"/>
      <c r="MFO1193" s="7"/>
      <c r="MFP1193" s="7"/>
      <c r="MFQ1193" s="7"/>
      <c r="MFR1193" s="7"/>
      <c r="MFS1193" s="7"/>
      <c r="MFT1193" s="7"/>
      <c r="MFU1193" s="7"/>
      <c r="MFV1193" s="7"/>
      <c r="MFW1193" s="7"/>
      <c r="MFX1193" s="7"/>
      <c r="MFY1193" s="7"/>
      <c r="MFZ1193" s="7"/>
      <c r="MGA1193" s="7"/>
      <c r="MGB1193" s="7"/>
      <c r="MGC1193" s="7"/>
      <c r="MGD1193" s="7"/>
      <c r="MGE1193" s="7"/>
      <c r="MGF1193" s="7"/>
      <c r="MGG1193" s="7"/>
      <c r="MGH1193" s="7"/>
      <c r="MGI1193" s="7"/>
      <c r="MGJ1193" s="7"/>
      <c r="MGK1193" s="7"/>
      <c r="MGL1193" s="7"/>
      <c r="MGM1193" s="7"/>
      <c r="MGN1193" s="7"/>
      <c r="MGO1193" s="7"/>
      <c r="MGP1193" s="7"/>
      <c r="MGQ1193" s="7"/>
      <c r="MGR1193" s="7"/>
      <c r="MGS1193" s="7"/>
      <c r="MGT1193" s="7"/>
      <c r="MGU1193" s="7"/>
      <c r="MGV1193" s="7"/>
      <c r="MGW1193" s="7"/>
      <c r="MGX1193" s="7"/>
      <c r="MGY1193" s="7"/>
      <c r="MGZ1193" s="7"/>
      <c r="MHA1193" s="7"/>
      <c r="MHB1193" s="7"/>
      <c r="MHC1193" s="7"/>
      <c r="MHD1193" s="7"/>
      <c r="MHE1193" s="7"/>
      <c r="MHF1193" s="7"/>
      <c r="MHG1193" s="7"/>
      <c r="MHH1193" s="7"/>
      <c r="MHI1193" s="7"/>
      <c r="MHJ1193" s="7"/>
      <c r="MHK1193" s="7"/>
      <c r="MHL1193" s="7"/>
      <c r="MHM1193" s="7"/>
      <c r="MHN1193" s="7"/>
      <c r="MHO1193" s="7"/>
      <c r="MHP1193" s="7"/>
      <c r="MHQ1193" s="7"/>
      <c r="MHR1193" s="7"/>
      <c r="MHS1193" s="7"/>
      <c r="MHT1193" s="7"/>
      <c r="MHU1193" s="7"/>
      <c r="MHV1193" s="7"/>
      <c r="MHW1193" s="7"/>
      <c r="MHX1193" s="7"/>
      <c r="MHY1193" s="7"/>
      <c r="MHZ1193" s="7"/>
      <c r="MIA1193" s="7"/>
      <c r="MIB1193" s="7"/>
      <c r="MIC1193" s="7"/>
      <c r="MID1193" s="7"/>
      <c r="MIE1193" s="7"/>
      <c r="MIF1193" s="7"/>
      <c r="MIG1193" s="7"/>
      <c r="MIH1193" s="7"/>
      <c r="MII1193" s="7"/>
      <c r="MIJ1193" s="7"/>
      <c r="MIK1193" s="7"/>
      <c r="MIL1193" s="7"/>
      <c r="MIM1193" s="7"/>
      <c r="MIN1193" s="7"/>
      <c r="MIO1193" s="7"/>
      <c r="MIP1193" s="7"/>
      <c r="MIQ1193" s="7"/>
      <c r="MIR1193" s="7"/>
      <c r="MIS1193" s="7"/>
      <c r="MIT1193" s="7"/>
      <c r="MIU1193" s="7"/>
      <c r="MIV1193" s="7"/>
      <c r="MIW1193" s="7"/>
      <c r="MIX1193" s="7"/>
      <c r="MIY1193" s="7"/>
      <c r="MIZ1193" s="7"/>
      <c r="MJA1193" s="7"/>
      <c r="MJB1193" s="7"/>
      <c r="MJC1193" s="7"/>
      <c r="MJD1193" s="7"/>
      <c r="MJE1193" s="7"/>
      <c r="MJF1193" s="7"/>
      <c r="MJG1193" s="7"/>
      <c r="MJH1193" s="7"/>
      <c r="MJI1193" s="7"/>
      <c r="MJJ1193" s="7"/>
      <c r="MJK1193" s="7"/>
      <c r="MJL1193" s="7"/>
      <c r="MJM1193" s="7"/>
      <c r="MJN1193" s="7"/>
      <c r="MJO1193" s="7"/>
      <c r="MJP1193" s="7"/>
      <c r="MJQ1193" s="7"/>
      <c r="MJR1193" s="7"/>
      <c r="MJS1193" s="7"/>
      <c r="MJT1193" s="7"/>
      <c r="MJU1193" s="7"/>
      <c r="MJV1193" s="7"/>
      <c r="MJW1193" s="7"/>
      <c r="MJX1193" s="7"/>
      <c r="MJY1193" s="7"/>
      <c r="MJZ1193" s="7"/>
      <c r="MKA1193" s="7"/>
      <c r="MKB1193" s="7"/>
      <c r="MKC1193" s="7"/>
      <c r="MKD1193" s="7"/>
      <c r="MKE1193" s="7"/>
      <c r="MKF1193" s="7"/>
      <c r="MKG1193" s="7"/>
      <c r="MKH1193" s="7"/>
      <c r="MKI1193" s="7"/>
      <c r="MKJ1193" s="7"/>
      <c r="MKK1193" s="7"/>
      <c r="MKL1193" s="7"/>
      <c r="MKM1193" s="7"/>
      <c r="MKN1193" s="7"/>
      <c r="MKO1193" s="7"/>
      <c r="MKP1193" s="7"/>
      <c r="MKQ1193" s="7"/>
      <c r="MKR1193" s="7"/>
      <c r="MKS1193" s="7"/>
      <c r="MKT1193" s="7"/>
      <c r="MKU1193" s="7"/>
      <c r="MKV1193" s="7"/>
      <c r="MKW1193" s="7"/>
      <c r="MKX1193" s="7"/>
      <c r="MKY1193" s="7"/>
      <c r="MKZ1193" s="7"/>
      <c r="MLA1193" s="7"/>
      <c r="MLB1193" s="7"/>
      <c r="MLC1193" s="7"/>
      <c r="MLD1193" s="7"/>
      <c r="MLE1193" s="7"/>
      <c r="MLF1193" s="7"/>
      <c r="MLG1193" s="7"/>
      <c r="MLH1193" s="7"/>
      <c r="MLI1193" s="7"/>
      <c r="MLJ1193" s="7"/>
      <c r="MLK1193" s="7"/>
      <c r="MLL1193" s="7"/>
      <c r="MLM1193" s="7"/>
      <c r="MLN1193" s="7"/>
      <c r="MLO1193" s="7"/>
      <c r="MLP1193" s="7"/>
      <c r="MLQ1193" s="7"/>
      <c r="MLR1193" s="7"/>
      <c r="MLS1193" s="7"/>
      <c r="MLT1193" s="7"/>
      <c r="MLU1193" s="7"/>
      <c r="MLV1193" s="7"/>
      <c r="MLW1193" s="7"/>
      <c r="MLX1193" s="7"/>
      <c r="MLY1193" s="7"/>
      <c r="MLZ1193" s="7"/>
      <c r="MMA1193" s="7"/>
      <c r="MMB1193" s="7"/>
      <c r="MMC1193" s="7"/>
      <c r="MMD1193" s="7"/>
      <c r="MME1193" s="7"/>
      <c r="MMF1193" s="7"/>
      <c r="MMG1193" s="7"/>
      <c r="MMH1193" s="7"/>
      <c r="MMI1193" s="7"/>
      <c r="MMJ1193" s="7"/>
      <c r="MMK1193" s="7"/>
      <c r="MML1193" s="7"/>
      <c r="MMM1193" s="7"/>
      <c r="MMN1193" s="7"/>
      <c r="MMO1193" s="7"/>
      <c r="MMP1193" s="7"/>
      <c r="MMQ1193" s="7"/>
      <c r="MMR1193" s="7"/>
      <c r="MMS1193" s="7"/>
      <c r="MMT1193" s="7"/>
      <c r="MMU1193" s="7"/>
      <c r="MMV1193" s="7"/>
      <c r="MMW1193" s="7"/>
      <c r="MMX1193" s="7"/>
      <c r="MMY1193" s="7"/>
      <c r="MMZ1193" s="7"/>
      <c r="MNA1193" s="7"/>
      <c r="MNB1193" s="7"/>
      <c r="MNC1193" s="7"/>
      <c r="MND1193" s="7"/>
      <c r="MNE1193" s="7"/>
      <c r="MNF1193" s="7"/>
      <c r="MNG1193" s="7"/>
      <c r="MNH1193" s="7"/>
      <c r="MNI1193" s="7"/>
      <c r="MNJ1193" s="7"/>
      <c r="MNK1193" s="7"/>
      <c r="MNL1193" s="7"/>
      <c r="MNM1193" s="7"/>
      <c r="MNN1193" s="7"/>
      <c r="MNO1193" s="7"/>
      <c r="MNP1193" s="7"/>
      <c r="MNQ1193" s="7"/>
      <c r="MNR1193" s="7"/>
      <c r="MNS1193" s="7"/>
      <c r="MNT1193" s="7"/>
      <c r="MNU1193" s="7"/>
      <c r="MNV1193" s="7"/>
      <c r="MNW1193" s="7"/>
      <c r="MNX1193" s="7"/>
      <c r="MNY1193" s="7"/>
      <c r="MNZ1193" s="7"/>
      <c r="MOA1193" s="7"/>
      <c r="MOB1193" s="7"/>
      <c r="MOC1193" s="7"/>
      <c r="MOD1193" s="7"/>
      <c r="MOE1193" s="7"/>
      <c r="MOF1193" s="7"/>
      <c r="MOG1193" s="7"/>
      <c r="MOH1193" s="7"/>
      <c r="MOI1193" s="7"/>
      <c r="MOJ1193" s="7"/>
      <c r="MOK1193" s="7"/>
      <c r="MOL1193" s="7"/>
      <c r="MOM1193" s="7"/>
      <c r="MON1193" s="7"/>
      <c r="MOO1193" s="7"/>
      <c r="MOP1193" s="7"/>
      <c r="MOQ1193" s="7"/>
      <c r="MOR1193" s="7"/>
      <c r="MOS1193" s="7"/>
      <c r="MOT1193" s="7"/>
      <c r="MOU1193" s="7"/>
      <c r="MOV1193" s="7"/>
      <c r="MOW1193" s="7"/>
      <c r="MOX1193" s="7"/>
      <c r="MOY1193" s="7"/>
      <c r="MOZ1193" s="7"/>
      <c r="MPA1193" s="7"/>
      <c r="MPB1193" s="7"/>
      <c r="MPC1193" s="7"/>
      <c r="MPD1193" s="7"/>
      <c r="MPE1193" s="7"/>
      <c r="MPF1193" s="7"/>
      <c r="MPG1193" s="7"/>
      <c r="MPH1193" s="7"/>
      <c r="MPI1193" s="7"/>
      <c r="MPJ1193" s="7"/>
      <c r="MPK1193" s="7"/>
      <c r="MPL1193" s="7"/>
      <c r="MPM1193" s="7"/>
      <c r="MPN1193" s="7"/>
      <c r="MPO1193" s="7"/>
      <c r="MPP1193" s="7"/>
      <c r="MPQ1193" s="7"/>
      <c r="MPR1193" s="7"/>
      <c r="MPS1193" s="7"/>
      <c r="MPT1193" s="7"/>
      <c r="MPU1193" s="7"/>
      <c r="MPV1193" s="7"/>
      <c r="MPW1193" s="7"/>
      <c r="MPX1193" s="7"/>
      <c r="MPY1193" s="7"/>
      <c r="MPZ1193" s="7"/>
      <c r="MQA1193" s="7"/>
      <c r="MQB1193" s="7"/>
      <c r="MQC1193" s="7"/>
      <c r="MQD1193" s="7"/>
      <c r="MQE1193" s="7"/>
      <c r="MQF1193" s="7"/>
      <c r="MQG1193" s="7"/>
      <c r="MQH1193" s="7"/>
      <c r="MQI1193" s="7"/>
      <c r="MQJ1193" s="7"/>
      <c r="MQK1193" s="7"/>
      <c r="MQL1193" s="7"/>
      <c r="MQM1193" s="7"/>
      <c r="MQN1193" s="7"/>
      <c r="MQO1193" s="7"/>
      <c r="MQP1193" s="7"/>
      <c r="MQQ1193" s="7"/>
      <c r="MQR1193" s="7"/>
      <c r="MQS1193" s="7"/>
      <c r="MQT1193" s="7"/>
      <c r="MQU1193" s="7"/>
      <c r="MQV1193" s="7"/>
      <c r="MQW1193" s="7"/>
      <c r="MQX1193" s="7"/>
      <c r="MQY1193" s="7"/>
      <c r="MQZ1193" s="7"/>
      <c r="MRA1193" s="7"/>
      <c r="MRB1193" s="7"/>
      <c r="MRC1193" s="7"/>
      <c r="MRD1193" s="7"/>
      <c r="MRE1193" s="7"/>
      <c r="MRF1193" s="7"/>
      <c r="MRG1193" s="7"/>
      <c r="MRH1193" s="7"/>
      <c r="MRI1193" s="7"/>
      <c r="MRJ1193" s="7"/>
      <c r="MRK1193" s="7"/>
      <c r="MRL1193" s="7"/>
      <c r="MRM1193" s="7"/>
      <c r="MRN1193" s="7"/>
      <c r="MRO1193" s="7"/>
      <c r="MRP1193" s="7"/>
      <c r="MRQ1193" s="7"/>
      <c r="MRR1193" s="7"/>
      <c r="MRS1193" s="7"/>
      <c r="MRT1193" s="7"/>
      <c r="MRU1193" s="7"/>
      <c r="MRV1193" s="7"/>
      <c r="MRW1193" s="7"/>
      <c r="MRX1193" s="7"/>
      <c r="MRY1193" s="7"/>
      <c r="MRZ1193" s="7"/>
      <c r="MSA1193" s="7"/>
      <c r="MSB1193" s="7"/>
      <c r="MSC1193" s="7"/>
      <c r="MSD1193" s="7"/>
      <c r="MSE1193" s="7"/>
      <c r="MSF1193" s="7"/>
      <c r="MSG1193" s="7"/>
      <c r="MSH1193" s="7"/>
      <c r="MSI1193" s="7"/>
      <c r="MSJ1193" s="7"/>
      <c r="MSK1193" s="7"/>
      <c r="MSL1193" s="7"/>
      <c r="MSM1193" s="7"/>
      <c r="MSN1193" s="7"/>
      <c r="MSO1193" s="7"/>
      <c r="MSP1193" s="7"/>
      <c r="MSQ1193" s="7"/>
      <c r="MSR1193" s="7"/>
      <c r="MSS1193" s="7"/>
      <c r="MST1193" s="7"/>
      <c r="MSU1193" s="7"/>
      <c r="MSV1193" s="7"/>
      <c r="MSW1193" s="7"/>
      <c r="MSX1193" s="7"/>
      <c r="MSY1193" s="7"/>
      <c r="MSZ1193" s="7"/>
      <c r="MTA1193" s="7"/>
      <c r="MTB1193" s="7"/>
      <c r="MTC1193" s="7"/>
      <c r="MTD1193" s="7"/>
      <c r="MTE1193" s="7"/>
      <c r="MTF1193" s="7"/>
      <c r="MTG1193" s="7"/>
      <c r="MTH1193" s="7"/>
      <c r="MTI1193" s="7"/>
      <c r="MTJ1193" s="7"/>
      <c r="MTK1193" s="7"/>
      <c r="MTL1193" s="7"/>
      <c r="MTM1193" s="7"/>
      <c r="MTN1193" s="7"/>
      <c r="MTO1193" s="7"/>
      <c r="MTP1193" s="7"/>
      <c r="MTQ1193" s="7"/>
      <c r="MTR1193" s="7"/>
      <c r="MTS1193" s="7"/>
      <c r="MTT1193" s="7"/>
      <c r="MTU1193" s="7"/>
      <c r="MTV1193" s="7"/>
      <c r="MTW1193" s="7"/>
      <c r="MTX1193" s="7"/>
      <c r="MTY1193" s="7"/>
      <c r="MTZ1193" s="7"/>
      <c r="MUA1193" s="7"/>
      <c r="MUB1193" s="7"/>
      <c r="MUC1193" s="7"/>
      <c r="MUD1193" s="7"/>
      <c r="MUE1193" s="7"/>
      <c r="MUF1193" s="7"/>
      <c r="MUG1193" s="7"/>
      <c r="MUH1193" s="7"/>
      <c r="MUI1193" s="7"/>
      <c r="MUJ1193" s="7"/>
      <c r="MUK1193" s="7"/>
      <c r="MUL1193" s="7"/>
      <c r="MUM1193" s="7"/>
      <c r="MUN1193" s="7"/>
      <c r="MUO1193" s="7"/>
      <c r="MUP1193" s="7"/>
      <c r="MUQ1193" s="7"/>
      <c r="MUR1193" s="7"/>
      <c r="MUS1193" s="7"/>
      <c r="MUT1193" s="7"/>
      <c r="MUU1193" s="7"/>
      <c r="MUV1193" s="7"/>
      <c r="MUW1193" s="7"/>
      <c r="MUX1193" s="7"/>
      <c r="MUY1193" s="7"/>
      <c r="MUZ1193" s="7"/>
      <c r="MVA1193" s="7"/>
      <c r="MVB1193" s="7"/>
      <c r="MVC1193" s="7"/>
      <c r="MVD1193" s="7"/>
      <c r="MVE1193" s="7"/>
      <c r="MVF1193" s="7"/>
      <c r="MVG1193" s="7"/>
      <c r="MVH1193" s="7"/>
      <c r="MVI1193" s="7"/>
      <c r="MVJ1193" s="7"/>
      <c r="MVK1193" s="7"/>
      <c r="MVL1193" s="7"/>
      <c r="MVM1193" s="7"/>
      <c r="MVN1193" s="7"/>
      <c r="MVO1193" s="7"/>
      <c r="MVP1193" s="7"/>
      <c r="MVQ1193" s="7"/>
      <c r="MVR1193" s="7"/>
      <c r="MVS1193" s="7"/>
      <c r="MVT1193" s="7"/>
      <c r="MVU1193" s="7"/>
      <c r="MVV1193" s="7"/>
      <c r="MVW1193" s="7"/>
      <c r="MVX1193" s="7"/>
      <c r="MVY1193" s="7"/>
      <c r="MVZ1193" s="7"/>
      <c r="MWA1193" s="7"/>
      <c r="MWB1193" s="7"/>
      <c r="MWC1193" s="7"/>
      <c r="MWD1193" s="7"/>
      <c r="MWE1193" s="7"/>
      <c r="MWF1193" s="7"/>
      <c r="MWG1193" s="7"/>
      <c r="MWH1193" s="7"/>
      <c r="MWI1193" s="7"/>
      <c r="MWJ1193" s="7"/>
      <c r="MWK1193" s="7"/>
      <c r="MWL1193" s="7"/>
      <c r="MWM1193" s="7"/>
      <c r="MWN1193" s="7"/>
      <c r="MWO1193" s="7"/>
      <c r="MWP1193" s="7"/>
      <c r="MWQ1193" s="7"/>
      <c r="MWR1193" s="7"/>
      <c r="MWS1193" s="7"/>
      <c r="MWT1193" s="7"/>
      <c r="MWU1193" s="7"/>
      <c r="MWV1193" s="7"/>
      <c r="MWW1193" s="7"/>
      <c r="MWX1193" s="7"/>
      <c r="MWY1193" s="7"/>
      <c r="MWZ1193" s="7"/>
      <c r="MXA1193" s="7"/>
      <c r="MXB1193" s="7"/>
      <c r="MXC1193" s="7"/>
      <c r="MXD1193" s="7"/>
      <c r="MXE1193" s="7"/>
      <c r="MXF1193" s="7"/>
      <c r="MXG1193" s="7"/>
      <c r="MXH1193" s="7"/>
      <c r="MXI1193" s="7"/>
      <c r="MXJ1193" s="7"/>
      <c r="MXK1193" s="7"/>
      <c r="MXL1193" s="7"/>
      <c r="MXM1193" s="7"/>
      <c r="MXN1193" s="7"/>
      <c r="MXO1193" s="7"/>
      <c r="MXP1193" s="7"/>
      <c r="MXQ1193" s="7"/>
      <c r="MXR1193" s="7"/>
      <c r="MXS1193" s="7"/>
      <c r="MXT1193" s="7"/>
      <c r="MXU1193" s="7"/>
      <c r="MXV1193" s="7"/>
      <c r="MXW1193" s="7"/>
      <c r="MXX1193" s="7"/>
      <c r="MXY1193" s="7"/>
      <c r="MXZ1193" s="7"/>
      <c r="MYA1193" s="7"/>
      <c r="MYB1193" s="7"/>
      <c r="MYC1193" s="7"/>
      <c r="MYD1193" s="7"/>
      <c r="MYE1193" s="7"/>
      <c r="MYF1193" s="7"/>
      <c r="MYG1193" s="7"/>
      <c r="MYH1193" s="7"/>
      <c r="MYI1193" s="7"/>
      <c r="MYJ1193" s="7"/>
      <c r="MYK1193" s="7"/>
      <c r="MYL1193" s="7"/>
      <c r="MYM1193" s="7"/>
      <c r="MYN1193" s="7"/>
      <c r="MYO1193" s="7"/>
      <c r="MYP1193" s="7"/>
      <c r="MYQ1193" s="7"/>
      <c r="MYR1193" s="7"/>
      <c r="MYS1193" s="7"/>
      <c r="MYT1193" s="7"/>
      <c r="MYU1193" s="7"/>
      <c r="MYV1193" s="7"/>
      <c r="MYW1193" s="7"/>
      <c r="MYX1193" s="7"/>
      <c r="MYY1193" s="7"/>
      <c r="MYZ1193" s="7"/>
      <c r="MZA1193" s="7"/>
      <c r="MZB1193" s="7"/>
      <c r="MZC1193" s="7"/>
      <c r="MZD1193" s="7"/>
      <c r="MZE1193" s="7"/>
      <c r="MZF1193" s="7"/>
      <c r="MZG1193" s="7"/>
      <c r="MZH1193" s="7"/>
      <c r="MZI1193" s="7"/>
      <c r="MZJ1193" s="7"/>
      <c r="MZK1193" s="7"/>
      <c r="MZL1193" s="7"/>
      <c r="MZM1193" s="7"/>
      <c r="MZN1193" s="7"/>
      <c r="MZO1193" s="7"/>
      <c r="MZP1193" s="7"/>
      <c r="MZQ1193" s="7"/>
      <c r="MZR1193" s="7"/>
      <c r="MZS1193" s="7"/>
      <c r="MZT1193" s="7"/>
      <c r="MZU1193" s="7"/>
      <c r="MZV1193" s="7"/>
      <c r="MZW1193" s="7"/>
      <c r="MZX1193" s="7"/>
      <c r="MZY1193" s="7"/>
      <c r="MZZ1193" s="7"/>
      <c r="NAA1193" s="7"/>
      <c r="NAB1193" s="7"/>
      <c r="NAC1193" s="7"/>
      <c r="NAD1193" s="7"/>
      <c r="NAE1193" s="7"/>
      <c r="NAF1193" s="7"/>
      <c r="NAG1193" s="7"/>
      <c r="NAH1193" s="7"/>
      <c r="NAI1193" s="7"/>
      <c r="NAJ1193" s="7"/>
      <c r="NAK1193" s="7"/>
      <c r="NAL1193" s="7"/>
      <c r="NAM1193" s="7"/>
      <c r="NAN1193" s="7"/>
      <c r="NAO1193" s="7"/>
      <c r="NAP1193" s="7"/>
      <c r="NAQ1193" s="7"/>
      <c r="NAR1193" s="7"/>
      <c r="NAS1193" s="7"/>
      <c r="NAT1193" s="7"/>
      <c r="NAU1193" s="7"/>
      <c r="NAV1193" s="7"/>
      <c r="NAW1193" s="7"/>
      <c r="NAX1193" s="7"/>
      <c r="NAY1193" s="7"/>
      <c r="NAZ1193" s="7"/>
      <c r="NBA1193" s="7"/>
      <c r="NBB1193" s="7"/>
      <c r="NBC1193" s="7"/>
      <c r="NBD1193" s="7"/>
      <c r="NBE1193" s="7"/>
      <c r="NBF1193" s="7"/>
      <c r="NBG1193" s="7"/>
      <c r="NBH1193" s="7"/>
      <c r="NBI1193" s="7"/>
      <c r="NBJ1193" s="7"/>
      <c r="NBK1193" s="7"/>
      <c r="NBL1193" s="7"/>
      <c r="NBM1193" s="7"/>
      <c r="NBN1193" s="7"/>
      <c r="NBO1193" s="7"/>
      <c r="NBP1193" s="7"/>
      <c r="NBQ1193" s="7"/>
      <c r="NBR1193" s="7"/>
      <c r="NBS1193" s="7"/>
      <c r="NBT1193" s="7"/>
      <c r="NBU1193" s="7"/>
      <c r="NBV1193" s="7"/>
      <c r="NBW1193" s="7"/>
      <c r="NBX1193" s="7"/>
      <c r="NBY1193" s="7"/>
      <c r="NBZ1193" s="7"/>
      <c r="NCA1193" s="7"/>
      <c r="NCB1193" s="7"/>
      <c r="NCC1193" s="7"/>
      <c r="NCD1193" s="7"/>
      <c r="NCE1193" s="7"/>
      <c r="NCF1193" s="7"/>
      <c r="NCG1193" s="7"/>
      <c r="NCH1193" s="7"/>
      <c r="NCI1193" s="7"/>
      <c r="NCJ1193" s="7"/>
      <c r="NCK1193" s="7"/>
      <c r="NCL1193" s="7"/>
      <c r="NCM1193" s="7"/>
      <c r="NCN1193" s="7"/>
      <c r="NCO1193" s="7"/>
      <c r="NCP1193" s="7"/>
      <c r="NCQ1193" s="7"/>
      <c r="NCR1193" s="7"/>
      <c r="NCS1193" s="7"/>
      <c r="NCT1193" s="7"/>
      <c r="NCU1193" s="7"/>
      <c r="NCV1193" s="7"/>
      <c r="NCW1193" s="7"/>
      <c r="NCX1193" s="7"/>
      <c r="NCY1193" s="7"/>
      <c r="NCZ1193" s="7"/>
      <c r="NDA1193" s="7"/>
      <c r="NDB1193" s="7"/>
      <c r="NDC1193" s="7"/>
      <c r="NDD1193" s="7"/>
      <c r="NDE1193" s="7"/>
      <c r="NDF1193" s="7"/>
      <c r="NDG1193" s="7"/>
      <c r="NDH1193" s="7"/>
      <c r="NDI1193" s="7"/>
      <c r="NDJ1193" s="7"/>
      <c r="NDK1193" s="7"/>
      <c r="NDL1193" s="7"/>
      <c r="NDM1193" s="7"/>
      <c r="NDN1193" s="7"/>
      <c r="NDO1193" s="7"/>
      <c r="NDP1193" s="7"/>
      <c r="NDQ1193" s="7"/>
      <c r="NDR1193" s="7"/>
      <c r="NDS1193" s="7"/>
      <c r="NDT1193" s="7"/>
      <c r="NDU1193" s="7"/>
      <c r="NDV1193" s="7"/>
      <c r="NDW1193" s="7"/>
      <c r="NDX1193" s="7"/>
      <c r="NDY1193" s="7"/>
      <c r="NDZ1193" s="7"/>
      <c r="NEA1193" s="7"/>
      <c r="NEB1193" s="7"/>
      <c r="NEC1193" s="7"/>
      <c r="NED1193" s="7"/>
      <c r="NEE1193" s="7"/>
      <c r="NEF1193" s="7"/>
      <c r="NEG1193" s="7"/>
      <c r="NEH1193" s="7"/>
      <c r="NEI1193" s="7"/>
      <c r="NEJ1193" s="7"/>
      <c r="NEK1193" s="7"/>
      <c r="NEL1193" s="7"/>
      <c r="NEM1193" s="7"/>
      <c r="NEN1193" s="7"/>
      <c r="NEO1193" s="7"/>
      <c r="NEP1193" s="7"/>
      <c r="NEQ1193" s="7"/>
      <c r="NER1193" s="7"/>
      <c r="NES1193" s="7"/>
      <c r="NET1193" s="7"/>
      <c r="NEU1193" s="7"/>
      <c r="NEV1193" s="7"/>
      <c r="NEW1193" s="7"/>
      <c r="NEX1193" s="7"/>
      <c r="NEY1193" s="7"/>
      <c r="NEZ1193" s="7"/>
      <c r="NFA1193" s="7"/>
      <c r="NFB1193" s="7"/>
      <c r="NFC1193" s="7"/>
      <c r="NFD1193" s="7"/>
      <c r="NFE1193" s="7"/>
      <c r="NFF1193" s="7"/>
      <c r="NFG1193" s="7"/>
      <c r="NFH1193" s="7"/>
      <c r="NFI1193" s="7"/>
      <c r="NFJ1193" s="7"/>
      <c r="NFK1193" s="7"/>
      <c r="NFL1193" s="7"/>
      <c r="NFM1193" s="7"/>
      <c r="NFN1193" s="7"/>
      <c r="NFO1193" s="7"/>
      <c r="NFP1193" s="7"/>
      <c r="NFQ1193" s="7"/>
      <c r="NFR1193" s="7"/>
      <c r="NFS1193" s="7"/>
      <c r="NFT1193" s="7"/>
      <c r="NFU1193" s="7"/>
      <c r="NFV1193" s="7"/>
      <c r="NFW1193" s="7"/>
      <c r="NFX1193" s="7"/>
      <c r="NFY1193" s="7"/>
      <c r="NFZ1193" s="7"/>
      <c r="NGA1193" s="7"/>
      <c r="NGB1193" s="7"/>
      <c r="NGC1193" s="7"/>
      <c r="NGD1193" s="7"/>
      <c r="NGE1193" s="7"/>
      <c r="NGF1193" s="7"/>
      <c r="NGG1193" s="7"/>
      <c r="NGH1193" s="7"/>
      <c r="NGI1193" s="7"/>
      <c r="NGJ1193" s="7"/>
      <c r="NGK1193" s="7"/>
      <c r="NGL1193" s="7"/>
      <c r="NGM1193" s="7"/>
      <c r="NGN1193" s="7"/>
      <c r="NGO1193" s="7"/>
      <c r="NGP1193" s="7"/>
      <c r="NGQ1193" s="7"/>
      <c r="NGR1193" s="7"/>
      <c r="NGS1193" s="7"/>
      <c r="NGT1193" s="7"/>
      <c r="NGU1193" s="7"/>
      <c r="NGV1193" s="7"/>
      <c r="NGW1193" s="7"/>
      <c r="NGX1193" s="7"/>
      <c r="NGY1193" s="7"/>
      <c r="NGZ1193" s="7"/>
      <c r="NHA1193" s="7"/>
      <c r="NHB1193" s="7"/>
      <c r="NHC1193" s="7"/>
      <c r="NHD1193" s="7"/>
      <c r="NHE1193" s="7"/>
      <c r="NHF1193" s="7"/>
      <c r="NHG1193" s="7"/>
      <c r="NHH1193" s="7"/>
      <c r="NHI1193" s="7"/>
      <c r="NHJ1193" s="7"/>
      <c r="NHK1193" s="7"/>
      <c r="NHL1193" s="7"/>
      <c r="NHM1193" s="7"/>
      <c r="NHN1193" s="7"/>
      <c r="NHO1193" s="7"/>
      <c r="NHP1193" s="7"/>
      <c r="NHQ1193" s="7"/>
      <c r="NHR1193" s="7"/>
      <c r="NHS1193" s="7"/>
      <c r="NHT1193" s="7"/>
      <c r="NHU1193" s="7"/>
      <c r="NHV1193" s="7"/>
      <c r="NHW1193" s="7"/>
      <c r="NHX1193" s="7"/>
      <c r="NHY1193" s="7"/>
      <c r="NHZ1193" s="7"/>
      <c r="NIA1193" s="7"/>
      <c r="NIB1193" s="7"/>
      <c r="NIC1193" s="7"/>
      <c r="NID1193" s="7"/>
      <c r="NIE1193" s="7"/>
      <c r="NIF1193" s="7"/>
      <c r="NIG1193" s="7"/>
      <c r="NIH1193" s="7"/>
      <c r="NII1193" s="7"/>
      <c r="NIJ1193" s="7"/>
      <c r="NIK1193" s="7"/>
      <c r="NIL1193" s="7"/>
      <c r="NIM1193" s="7"/>
      <c r="NIN1193" s="7"/>
      <c r="NIO1193" s="7"/>
      <c r="NIP1193" s="7"/>
      <c r="NIQ1193" s="7"/>
      <c r="NIR1193" s="7"/>
      <c r="NIS1193" s="7"/>
      <c r="NIT1193" s="7"/>
      <c r="NIU1193" s="7"/>
      <c r="NIV1193" s="7"/>
      <c r="NIW1193" s="7"/>
      <c r="NIX1193" s="7"/>
      <c r="NIY1193" s="7"/>
      <c r="NIZ1193" s="7"/>
      <c r="NJA1193" s="7"/>
      <c r="NJB1193" s="7"/>
      <c r="NJC1193" s="7"/>
      <c r="NJD1193" s="7"/>
      <c r="NJE1193" s="7"/>
      <c r="NJF1193" s="7"/>
      <c r="NJG1193" s="7"/>
      <c r="NJH1193" s="7"/>
      <c r="NJI1193" s="7"/>
      <c r="NJJ1193" s="7"/>
      <c r="NJK1193" s="7"/>
      <c r="NJL1193" s="7"/>
      <c r="NJM1193" s="7"/>
      <c r="NJN1193" s="7"/>
      <c r="NJO1193" s="7"/>
      <c r="NJP1193" s="7"/>
      <c r="NJQ1193" s="7"/>
      <c r="NJR1193" s="7"/>
      <c r="NJS1193" s="7"/>
      <c r="NJT1193" s="7"/>
      <c r="NJU1193" s="7"/>
      <c r="NJV1193" s="7"/>
      <c r="NJW1193" s="7"/>
      <c r="NJX1193" s="7"/>
      <c r="NJY1193" s="7"/>
      <c r="NJZ1193" s="7"/>
      <c r="NKA1193" s="7"/>
      <c r="NKB1193" s="7"/>
      <c r="NKC1193" s="7"/>
      <c r="NKD1193" s="7"/>
      <c r="NKE1193" s="7"/>
      <c r="NKF1193" s="7"/>
      <c r="NKG1193" s="7"/>
      <c r="NKH1193" s="7"/>
      <c r="NKI1193" s="7"/>
      <c r="NKJ1193" s="7"/>
      <c r="NKK1193" s="7"/>
      <c r="NKL1193" s="7"/>
      <c r="NKM1193" s="7"/>
      <c r="NKN1193" s="7"/>
      <c r="NKO1193" s="7"/>
      <c r="NKP1193" s="7"/>
      <c r="NKQ1193" s="7"/>
      <c r="NKR1193" s="7"/>
      <c r="NKS1193" s="7"/>
      <c r="NKT1193" s="7"/>
      <c r="NKU1193" s="7"/>
      <c r="NKV1193" s="7"/>
      <c r="NKW1193" s="7"/>
      <c r="NKX1193" s="7"/>
      <c r="NKY1193" s="7"/>
      <c r="NKZ1193" s="7"/>
      <c r="NLA1193" s="7"/>
      <c r="NLB1193" s="7"/>
      <c r="NLC1193" s="7"/>
      <c r="NLD1193" s="7"/>
      <c r="NLE1193" s="7"/>
      <c r="NLF1193" s="7"/>
      <c r="NLG1193" s="7"/>
      <c r="NLH1193" s="7"/>
      <c r="NLI1193" s="7"/>
      <c r="NLJ1193" s="7"/>
      <c r="NLK1193" s="7"/>
      <c r="NLL1193" s="7"/>
      <c r="NLM1193" s="7"/>
      <c r="NLN1193" s="7"/>
      <c r="NLO1193" s="7"/>
      <c r="NLP1193" s="7"/>
      <c r="NLQ1193" s="7"/>
      <c r="NLR1193" s="7"/>
      <c r="NLS1193" s="7"/>
      <c r="NLT1193" s="7"/>
      <c r="NLU1193" s="7"/>
      <c r="NLV1193" s="7"/>
      <c r="NLW1193" s="7"/>
      <c r="NLX1193" s="7"/>
      <c r="NLY1193" s="7"/>
      <c r="NLZ1193" s="7"/>
      <c r="NMA1193" s="7"/>
      <c r="NMB1193" s="7"/>
      <c r="NMC1193" s="7"/>
      <c r="NMD1193" s="7"/>
      <c r="NME1193" s="7"/>
      <c r="NMF1193" s="7"/>
      <c r="NMG1193" s="7"/>
      <c r="NMH1193" s="7"/>
      <c r="NMI1193" s="7"/>
      <c r="NMJ1193" s="7"/>
      <c r="NMK1193" s="7"/>
      <c r="NML1193" s="7"/>
      <c r="NMM1193" s="7"/>
      <c r="NMN1193" s="7"/>
      <c r="NMO1193" s="7"/>
      <c r="NMP1193" s="7"/>
      <c r="NMQ1193" s="7"/>
      <c r="NMR1193" s="7"/>
      <c r="NMS1193" s="7"/>
      <c r="NMT1193" s="7"/>
      <c r="NMU1193" s="7"/>
      <c r="NMV1193" s="7"/>
      <c r="NMW1193" s="7"/>
      <c r="NMX1193" s="7"/>
      <c r="NMY1193" s="7"/>
      <c r="NMZ1193" s="7"/>
      <c r="NNA1193" s="7"/>
      <c r="NNB1193" s="7"/>
      <c r="NNC1193" s="7"/>
      <c r="NND1193" s="7"/>
      <c r="NNE1193" s="7"/>
      <c r="NNF1193" s="7"/>
      <c r="NNG1193" s="7"/>
      <c r="NNH1193" s="7"/>
      <c r="NNI1193" s="7"/>
      <c r="NNJ1193" s="7"/>
      <c r="NNK1193" s="7"/>
      <c r="NNL1193" s="7"/>
      <c r="NNM1193" s="7"/>
      <c r="NNN1193" s="7"/>
      <c r="NNO1193" s="7"/>
      <c r="NNP1193" s="7"/>
      <c r="NNQ1193" s="7"/>
      <c r="NNR1193" s="7"/>
      <c r="NNS1193" s="7"/>
      <c r="NNT1193" s="7"/>
      <c r="NNU1193" s="7"/>
      <c r="NNV1193" s="7"/>
      <c r="NNW1193" s="7"/>
      <c r="NNX1193" s="7"/>
      <c r="NNY1193" s="7"/>
      <c r="NNZ1193" s="7"/>
      <c r="NOA1193" s="7"/>
      <c r="NOB1193" s="7"/>
      <c r="NOC1193" s="7"/>
      <c r="NOD1193" s="7"/>
      <c r="NOE1193" s="7"/>
      <c r="NOF1193" s="7"/>
      <c r="NOG1193" s="7"/>
      <c r="NOH1193" s="7"/>
      <c r="NOI1193" s="7"/>
      <c r="NOJ1193" s="7"/>
      <c r="NOK1193" s="7"/>
      <c r="NOL1193" s="7"/>
      <c r="NOM1193" s="7"/>
      <c r="NON1193" s="7"/>
      <c r="NOO1193" s="7"/>
      <c r="NOP1193" s="7"/>
      <c r="NOQ1193" s="7"/>
      <c r="NOR1193" s="7"/>
      <c r="NOS1193" s="7"/>
      <c r="NOT1193" s="7"/>
      <c r="NOU1193" s="7"/>
      <c r="NOV1193" s="7"/>
      <c r="NOW1193" s="7"/>
      <c r="NOX1193" s="7"/>
      <c r="NOY1193" s="7"/>
      <c r="NOZ1193" s="7"/>
      <c r="NPA1193" s="7"/>
      <c r="NPB1193" s="7"/>
      <c r="NPC1193" s="7"/>
      <c r="NPD1193" s="7"/>
      <c r="NPE1193" s="7"/>
      <c r="NPF1193" s="7"/>
      <c r="NPG1193" s="7"/>
      <c r="NPH1193" s="7"/>
      <c r="NPI1193" s="7"/>
      <c r="NPJ1193" s="7"/>
      <c r="NPK1193" s="7"/>
      <c r="NPL1193" s="7"/>
      <c r="NPM1193" s="7"/>
      <c r="NPN1193" s="7"/>
      <c r="NPO1193" s="7"/>
      <c r="NPP1193" s="7"/>
      <c r="NPQ1193" s="7"/>
      <c r="NPR1193" s="7"/>
      <c r="NPS1193" s="7"/>
      <c r="NPT1193" s="7"/>
      <c r="NPU1193" s="7"/>
      <c r="NPV1193" s="7"/>
      <c r="NPW1193" s="7"/>
      <c r="NPX1193" s="7"/>
      <c r="NPY1193" s="7"/>
      <c r="NPZ1193" s="7"/>
      <c r="NQA1193" s="7"/>
      <c r="NQB1193" s="7"/>
      <c r="NQC1193" s="7"/>
      <c r="NQD1193" s="7"/>
      <c r="NQE1193" s="7"/>
      <c r="NQF1193" s="7"/>
      <c r="NQG1193" s="7"/>
      <c r="NQH1193" s="7"/>
      <c r="NQI1193" s="7"/>
      <c r="NQJ1193" s="7"/>
      <c r="NQK1193" s="7"/>
      <c r="NQL1193" s="7"/>
      <c r="NQM1193" s="7"/>
      <c r="NQN1193" s="7"/>
      <c r="NQO1193" s="7"/>
      <c r="NQP1193" s="7"/>
      <c r="NQQ1193" s="7"/>
      <c r="NQR1193" s="7"/>
      <c r="NQS1193" s="7"/>
      <c r="NQT1193" s="7"/>
      <c r="NQU1193" s="7"/>
      <c r="NQV1193" s="7"/>
      <c r="NQW1193" s="7"/>
      <c r="NQX1193" s="7"/>
      <c r="NQY1193" s="7"/>
      <c r="NQZ1193" s="7"/>
      <c r="NRA1193" s="7"/>
      <c r="NRB1193" s="7"/>
      <c r="NRC1193" s="7"/>
      <c r="NRD1193" s="7"/>
      <c r="NRE1193" s="7"/>
      <c r="NRF1193" s="7"/>
      <c r="NRG1193" s="7"/>
      <c r="NRH1193" s="7"/>
      <c r="NRI1193" s="7"/>
      <c r="NRJ1193" s="7"/>
      <c r="NRK1193" s="7"/>
      <c r="NRL1193" s="7"/>
      <c r="NRM1193" s="7"/>
      <c r="NRN1193" s="7"/>
      <c r="NRO1193" s="7"/>
      <c r="NRP1193" s="7"/>
      <c r="NRQ1193" s="7"/>
      <c r="NRR1193" s="7"/>
      <c r="NRS1193" s="7"/>
      <c r="NRT1193" s="7"/>
      <c r="NRU1193" s="7"/>
      <c r="NRV1193" s="7"/>
      <c r="NRW1193" s="7"/>
      <c r="NRX1193" s="7"/>
      <c r="NRY1193" s="7"/>
      <c r="NRZ1193" s="7"/>
      <c r="NSA1193" s="7"/>
      <c r="NSB1193" s="7"/>
      <c r="NSC1193" s="7"/>
      <c r="NSD1193" s="7"/>
      <c r="NSE1193" s="7"/>
      <c r="NSF1193" s="7"/>
      <c r="NSG1193" s="7"/>
      <c r="NSH1193" s="7"/>
      <c r="NSI1193" s="7"/>
      <c r="NSJ1193" s="7"/>
      <c r="NSK1193" s="7"/>
      <c r="NSL1193" s="7"/>
      <c r="NSM1193" s="7"/>
      <c r="NSN1193" s="7"/>
      <c r="NSO1193" s="7"/>
      <c r="NSP1193" s="7"/>
      <c r="NSQ1193" s="7"/>
      <c r="NSR1193" s="7"/>
      <c r="NSS1193" s="7"/>
      <c r="NST1193" s="7"/>
      <c r="NSU1193" s="7"/>
      <c r="NSV1193" s="7"/>
      <c r="NSW1193" s="7"/>
      <c r="NSX1193" s="7"/>
      <c r="NSY1193" s="7"/>
      <c r="NSZ1193" s="7"/>
      <c r="NTA1193" s="7"/>
      <c r="NTB1193" s="7"/>
      <c r="NTC1193" s="7"/>
      <c r="NTD1193" s="7"/>
      <c r="NTE1193" s="7"/>
      <c r="NTF1193" s="7"/>
      <c r="NTG1193" s="7"/>
      <c r="NTH1193" s="7"/>
      <c r="NTI1193" s="7"/>
      <c r="NTJ1193" s="7"/>
      <c r="NTK1193" s="7"/>
      <c r="NTL1193" s="7"/>
      <c r="NTM1193" s="7"/>
      <c r="NTN1193" s="7"/>
      <c r="NTO1193" s="7"/>
      <c r="NTP1193" s="7"/>
      <c r="NTQ1193" s="7"/>
      <c r="NTR1193" s="7"/>
      <c r="NTS1193" s="7"/>
      <c r="NTT1193" s="7"/>
      <c r="NTU1193" s="7"/>
      <c r="NTV1193" s="7"/>
      <c r="NTW1193" s="7"/>
      <c r="NTX1193" s="7"/>
      <c r="NTY1193" s="7"/>
      <c r="NTZ1193" s="7"/>
      <c r="NUA1193" s="7"/>
      <c r="NUB1193" s="7"/>
      <c r="NUC1193" s="7"/>
      <c r="NUD1193" s="7"/>
      <c r="NUE1193" s="7"/>
      <c r="NUF1193" s="7"/>
      <c r="NUG1193" s="7"/>
      <c r="NUH1193" s="7"/>
      <c r="NUI1193" s="7"/>
      <c r="NUJ1193" s="7"/>
      <c r="NUK1193" s="7"/>
      <c r="NUL1193" s="7"/>
      <c r="NUM1193" s="7"/>
      <c r="NUN1193" s="7"/>
      <c r="NUO1193" s="7"/>
      <c r="NUP1193" s="7"/>
      <c r="NUQ1193" s="7"/>
      <c r="NUR1193" s="7"/>
      <c r="NUS1193" s="7"/>
      <c r="NUT1193" s="7"/>
      <c r="NUU1193" s="7"/>
      <c r="NUV1193" s="7"/>
      <c r="NUW1193" s="7"/>
      <c r="NUX1193" s="7"/>
      <c r="NUY1193" s="7"/>
      <c r="NUZ1193" s="7"/>
      <c r="NVA1193" s="7"/>
      <c r="NVB1193" s="7"/>
      <c r="NVC1193" s="7"/>
      <c r="NVD1193" s="7"/>
      <c r="NVE1193" s="7"/>
      <c r="NVF1193" s="7"/>
      <c r="NVG1193" s="7"/>
      <c r="NVH1193" s="7"/>
      <c r="NVI1193" s="7"/>
      <c r="NVJ1193" s="7"/>
      <c r="NVK1193" s="7"/>
      <c r="NVL1193" s="7"/>
      <c r="NVM1193" s="7"/>
      <c r="NVN1193" s="7"/>
      <c r="NVO1193" s="7"/>
      <c r="NVP1193" s="7"/>
      <c r="NVQ1193" s="7"/>
      <c r="NVR1193" s="7"/>
      <c r="NVS1193" s="7"/>
      <c r="NVT1193" s="7"/>
      <c r="NVU1193" s="7"/>
      <c r="NVV1193" s="7"/>
      <c r="NVW1193" s="7"/>
      <c r="NVX1193" s="7"/>
      <c r="NVY1193" s="7"/>
      <c r="NVZ1193" s="7"/>
      <c r="NWA1193" s="7"/>
      <c r="NWB1193" s="7"/>
      <c r="NWC1193" s="7"/>
      <c r="NWD1193" s="7"/>
      <c r="NWE1193" s="7"/>
      <c r="NWF1193" s="7"/>
      <c r="NWG1193" s="7"/>
      <c r="NWH1193" s="7"/>
      <c r="NWI1193" s="7"/>
      <c r="NWJ1193" s="7"/>
      <c r="NWK1193" s="7"/>
      <c r="NWL1193" s="7"/>
      <c r="NWM1193" s="7"/>
      <c r="NWN1193" s="7"/>
      <c r="NWO1193" s="7"/>
      <c r="NWP1193" s="7"/>
      <c r="NWQ1193" s="7"/>
      <c r="NWR1193" s="7"/>
      <c r="NWS1193" s="7"/>
      <c r="NWT1193" s="7"/>
      <c r="NWU1193" s="7"/>
      <c r="NWV1193" s="7"/>
      <c r="NWW1193" s="7"/>
      <c r="NWX1193" s="7"/>
      <c r="NWY1193" s="7"/>
      <c r="NWZ1193" s="7"/>
      <c r="NXA1193" s="7"/>
      <c r="NXB1193" s="7"/>
      <c r="NXC1193" s="7"/>
      <c r="NXD1193" s="7"/>
      <c r="NXE1193" s="7"/>
      <c r="NXF1193" s="7"/>
      <c r="NXG1193" s="7"/>
      <c r="NXH1193" s="7"/>
      <c r="NXI1193" s="7"/>
      <c r="NXJ1193" s="7"/>
      <c r="NXK1193" s="7"/>
      <c r="NXL1193" s="7"/>
      <c r="NXM1193" s="7"/>
      <c r="NXN1193" s="7"/>
      <c r="NXO1193" s="7"/>
      <c r="NXP1193" s="7"/>
      <c r="NXQ1193" s="7"/>
      <c r="NXR1193" s="7"/>
      <c r="NXS1193" s="7"/>
      <c r="NXT1193" s="7"/>
      <c r="NXU1193" s="7"/>
      <c r="NXV1193" s="7"/>
      <c r="NXW1193" s="7"/>
      <c r="NXX1193" s="7"/>
      <c r="NXY1193" s="7"/>
      <c r="NXZ1193" s="7"/>
      <c r="NYA1193" s="7"/>
      <c r="NYB1193" s="7"/>
      <c r="NYC1193" s="7"/>
      <c r="NYD1193" s="7"/>
      <c r="NYE1193" s="7"/>
      <c r="NYF1193" s="7"/>
      <c r="NYG1193" s="7"/>
      <c r="NYH1193" s="7"/>
      <c r="NYI1193" s="7"/>
      <c r="NYJ1193" s="7"/>
      <c r="NYK1193" s="7"/>
      <c r="NYL1193" s="7"/>
      <c r="NYM1193" s="7"/>
      <c r="NYN1193" s="7"/>
      <c r="NYO1193" s="7"/>
      <c r="NYP1193" s="7"/>
      <c r="NYQ1193" s="7"/>
      <c r="NYR1193" s="7"/>
      <c r="NYS1193" s="7"/>
      <c r="NYT1193" s="7"/>
      <c r="NYU1193" s="7"/>
      <c r="NYV1193" s="7"/>
      <c r="NYW1193" s="7"/>
      <c r="NYX1193" s="7"/>
      <c r="NYY1193" s="7"/>
      <c r="NYZ1193" s="7"/>
      <c r="NZA1193" s="7"/>
      <c r="NZB1193" s="7"/>
      <c r="NZC1193" s="7"/>
      <c r="NZD1193" s="7"/>
      <c r="NZE1193" s="7"/>
      <c r="NZF1193" s="7"/>
      <c r="NZG1193" s="7"/>
      <c r="NZH1193" s="7"/>
      <c r="NZI1193" s="7"/>
      <c r="NZJ1193" s="7"/>
      <c r="NZK1193" s="7"/>
      <c r="NZL1193" s="7"/>
      <c r="NZM1193" s="7"/>
      <c r="NZN1193" s="7"/>
      <c r="NZO1193" s="7"/>
      <c r="NZP1193" s="7"/>
      <c r="NZQ1193" s="7"/>
      <c r="NZR1193" s="7"/>
      <c r="NZS1193" s="7"/>
      <c r="NZT1193" s="7"/>
      <c r="NZU1193" s="7"/>
      <c r="NZV1193" s="7"/>
      <c r="NZW1193" s="7"/>
      <c r="NZX1193" s="7"/>
      <c r="NZY1193" s="7"/>
      <c r="NZZ1193" s="7"/>
      <c r="OAA1193" s="7"/>
      <c r="OAB1193" s="7"/>
      <c r="OAC1193" s="7"/>
      <c r="OAD1193" s="7"/>
      <c r="OAE1193" s="7"/>
      <c r="OAF1193" s="7"/>
      <c r="OAG1193" s="7"/>
      <c r="OAH1193" s="7"/>
      <c r="OAI1193" s="7"/>
      <c r="OAJ1193" s="7"/>
      <c r="OAK1193" s="7"/>
      <c r="OAL1193" s="7"/>
      <c r="OAM1193" s="7"/>
      <c r="OAN1193" s="7"/>
      <c r="OAO1193" s="7"/>
      <c r="OAP1193" s="7"/>
      <c r="OAQ1193" s="7"/>
      <c r="OAR1193" s="7"/>
      <c r="OAS1193" s="7"/>
      <c r="OAT1193" s="7"/>
      <c r="OAU1193" s="7"/>
      <c r="OAV1193" s="7"/>
      <c r="OAW1193" s="7"/>
      <c r="OAX1193" s="7"/>
      <c r="OAY1193" s="7"/>
      <c r="OAZ1193" s="7"/>
      <c r="OBA1193" s="7"/>
      <c r="OBB1193" s="7"/>
      <c r="OBC1193" s="7"/>
      <c r="OBD1193" s="7"/>
      <c r="OBE1193" s="7"/>
      <c r="OBF1193" s="7"/>
      <c r="OBG1193" s="7"/>
      <c r="OBH1193" s="7"/>
      <c r="OBI1193" s="7"/>
      <c r="OBJ1193" s="7"/>
      <c r="OBK1193" s="7"/>
      <c r="OBL1193" s="7"/>
      <c r="OBM1193" s="7"/>
      <c r="OBN1193" s="7"/>
      <c r="OBO1193" s="7"/>
      <c r="OBP1193" s="7"/>
      <c r="OBQ1193" s="7"/>
      <c r="OBR1193" s="7"/>
      <c r="OBS1193" s="7"/>
      <c r="OBT1193" s="7"/>
      <c r="OBU1193" s="7"/>
      <c r="OBV1193" s="7"/>
      <c r="OBW1193" s="7"/>
      <c r="OBX1193" s="7"/>
      <c r="OBY1193" s="7"/>
      <c r="OBZ1193" s="7"/>
      <c r="OCA1193" s="7"/>
      <c r="OCB1193" s="7"/>
      <c r="OCC1193" s="7"/>
      <c r="OCD1193" s="7"/>
      <c r="OCE1193" s="7"/>
      <c r="OCF1193" s="7"/>
      <c r="OCG1193" s="7"/>
      <c r="OCH1193" s="7"/>
      <c r="OCI1193" s="7"/>
      <c r="OCJ1193" s="7"/>
      <c r="OCK1193" s="7"/>
      <c r="OCL1193" s="7"/>
      <c r="OCM1193" s="7"/>
      <c r="OCN1193" s="7"/>
      <c r="OCO1193" s="7"/>
      <c r="OCP1193" s="7"/>
      <c r="OCQ1193" s="7"/>
      <c r="OCR1193" s="7"/>
      <c r="OCS1193" s="7"/>
      <c r="OCT1193" s="7"/>
      <c r="OCU1193" s="7"/>
      <c r="OCV1193" s="7"/>
      <c r="OCW1193" s="7"/>
      <c r="OCX1193" s="7"/>
      <c r="OCY1193" s="7"/>
      <c r="OCZ1193" s="7"/>
      <c r="ODA1193" s="7"/>
      <c r="ODB1193" s="7"/>
      <c r="ODC1193" s="7"/>
      <c r="ODD1193" s="7"/>
      <c r="ODE1193" s="7"/>
      <c r="ODF1193" s="7"/>
      <c r="ODG1193" s="7"/>
      <c r="ODH1193" s="7"/>
      <c r="ODI1193" s="7"/>
      <c r="ODJ1193" s="7"/>
      <c r="ODK1193" s="7"/>
      <c r="ODL1193" s="7"/>
      <c r="ODM1193" s="7"/>
      <c r="ODN1193" s="7"/>
      <c r="ODO1193" s="7"/>
      <c r="ODP1193" s="7"/>
      <c r="ODQ1193" s="7"/>
      <c r="ODR1193" s="7"/>
      <c r="ODS1193" s="7"/>
      <c r="ODT1193" s="7"/>
      <c r="ODU1193" s="7"/>
      <c r="ODV1193" s="7"/>
      <c r="ODW1193" s="7"/>
      <c r="ODX1193" s="7"/>
      <c r="ODY1193" s="7"/>
      <c r="ODZ1193" s="7"/>
      <c r="OEA1193" s="7"/>
      <c r="OEB1193" s="7"/>
      <c r="OEC1193" s="7"/>
      <c r="OED1193" s="7"/>
      <c r="OEE1193" s="7"/>
      <c r="OEF1193" s="7"/>
      <c r="OEG1193" s="7"/>
      <c r="OEH1193" s="7"/>
      <c r="OEI1193" s="7"/>
      <c r="OEJ1193" s="7"/>
      <c r="OEK1193" s="7"/>
      <c r="OEL1193" s="7"/>
      <c r="OEM1193" s="7"/>
      <c r="OEN1193" s="7"/>
      <c r="OEO1193" s="7"/>
      <c r="OEP1193" s="7"/>
      <c r="OEQ1193" s="7"/>
      <c r="OER1193" s="7"/>
      <c r="OES1193" s="7"/>
      <c r="OET1193" s="7"/>
      <c r="OEU1193" s="7"/>
      <c r="OEV1193" s="7"/>
      <c r="OEW1193" s="7"/>
      <c r="OEX1193" s="7"/>
      <c r="OEY1193" s="7"/>
      <c r="OEZ1193" s="7"/>
      <c r="OFA1193" s="7"/>
      <c r="OFB1193" s="7"/>
      <c r="OFC1193" s="7"/>
      <c r="OFD1193" s="7"/>
      <c r="OFE1193" s="7"/>
      <c r="OFF1193" s="7"/>
      <c r="OFG1193" s="7"/>
      <c r="OFH1193" s="7"/>
      <c r="OFI1193" s="7"/>
      <c r="OFJ1193" s="7"/>
      <c r="OFK1193" s="7"/>
      <c r="OFL1193" s="7"/>
      <c r="OFM1193" s="7"/>
      <c r="OFN1193" s="7"/>
      <c r="OFO1193" s="7"/>
      <c r="OFP1193" s="7"/>
      <c r="OFQ1193" s="7"/>
      <c r="OFR1193" s="7"/>
      <c r="OFS1193" s="7"/>
      <c r="OFT1193" s="7"/>
      <c r="OFU1193" s="7"/>
      <c r="OFV1193" s="7"/>
      <c r="OFW1193" s="7"/>
      <c r="OFX1193" s="7"/>
      <c r="OFY1193" s="7"/>
      <c r="OFZ1193" s="7"/>
      <c r="OGA1193" s="7"/>
      <c r="OGB1193" s="7"/>
      <c r="OGC1193" s="7"/>
      <c r="OGD1193" s="7"/>
      <c r="OGE1193" s="7"/>
      <c r="OGF1193" s="7"/>
      <c r="OGG1193" s="7"/>
      <c r="OGH1193" s="7"/>
      <c r="OGI1193" s="7"/>
      <c r="OGJ1193" s="7"/>
      <c r="OGK1193" s="7"/>
      <c r="OGL1193" s="7"/>
      <c r="OGM1193" s="7"/>
      <c r="OGN1193" s="7"/>
      <c r="OGO1193" s="7"/>
      <c r="OGP1193" s="7"/>
      <c r="OGQ1193" s="7"/>
      <c r="OGR1193" s="7"/>
      <c r="OGS1193" s="7"/>
      <c r="OGT1193" s="7"/>
      <c r="OGU1193" s="7"/>
      <c r="OGV1193" s="7"/>
      <c r="OGW1193" s="7"/>
      <c r="OGX1193" s="7"/>
      <c r="OGY1193" s="7"/>
      <c r="OGZ1193" s="7"/>
      <c r="OHA1193" s="7"/>
      <c r="OHB1193" s="7"/>
      <c r="OHC1193" s="7"/>
      <c r="OHD1193" s="7"/>
      <c r="OHE1193" s="7"/>
      <c r="OHF1193" s="7"/>
      <c r="OHG1193" s="7"/>
      <c r="OHH1193" s="7"/>
      <c r="OHI1193" s="7"/>
      <c r="OHJ1193" s="7"/>
      <c r="OHK1193" s="7"/>
      <c r="OHL1193" s="7"/>
      <c r="OHM1193" s="7"/>
      <c r="OHN1193" s="7"/>
      <c r="OHO1193" s="7"/>
      <c r="OHP1193" s="7"/>
      <c r="OHQ1193" s="7"/>
      <c r="OHR1193" s="7"/>
      <c r="OHS1193" s="7"/>
      <c r="OHT1193" s="7"/>
      <c r="OHU1193" s="7"/>
      <c r="OHV1193" s="7"/>
      <c r="OHW1193" s="7"/>
      <c r="OHX1193" s="7"/>
      <c r="OHY1193" s="7"/>
      <c r="OHZ1193" s="7"/>
      <c r="OIA1193" s="7"/>
      <c r="OIB1193" s="7"/>
      <c r="OIC1193" s="7"/>
      <c r="OID1193" s="7"/>
      <c r="OIE1193" s="7"/>
      <c r="OIF1193" s="7"/>
      <c r="OIG1193" s="7"/>
      <c r="OIH1193" s="7"/>
      <c r="OII1193" s="7"/>
      <c r="OIJ1193" s="7"/>
      <c r="OIK1193" s="7"/>
      <c r="OIL1193" s="7"/>
      <c r="OIM1193" s="7"/>
      <c r="OIN1193" s="7"/>
      <c r="OIO1193" s="7"/>
      <c r="OIP1193" s="7"/>
      <c r="OIQ1193" s="7"/>
      <c r="OIR1193" s="7"/>
      <c r="OIS1193" s="7"/>
      <c r="OIT1193" s="7"/>
      <c r="OIU1193" s="7"/>
      <c r="OIV1193" s="7"/>
      <c r="OIW1193" s="7"/>
      <c r="OIX1193" s="7"/>
      <c r="OIY1193" s="7"/>
      <c r="OIZ1193" s="7"/>
      <c r="OJA1193" s="7"/>
      <c r="OJB1193" s="7"/>
      <c r="OJC1193" s="7"/>
      <c r="OJD1193" s="7"/>
      <c r="OJE1193" s="7"/>
      <c r="OJF1193" s="7"/>
      <c r="OJG1193" s="7"/>
      <c r="OJH1193" s="7"/>
      <c r="OJI1193" s="7"/>
      <c r="OJJ1193" s="7"/>
      <c r="OJK1193" s="7"/>
      <c r="OJL1193" s="7"/>
      <c r="OJM1193" s="7"/>
      <c r="OJN1193" s="7"/>
      <c r="OJO1193" s="7"/>
      <c r="OJP1193" s="7"/>
      <c r="OJQ1193" s="7"/>
      <c r="OJR1193" s="7"/>
      <c r="OJS1193" s="7"/>
      <c r="OJT1193" s="7"/>
      <c r="OJU1193" s="7"/>
      <c r="OJV1193" s="7"/>
      <c r="OJW1193" s="7"/>
      <c r="OJX1193" s="7"/>
      <c r="OJY1193" s="7"/>
      <c r="OJZ1193" s="7"/>
      <c r="OKA1193" s="7"/>
      <c r="OKB1193" s="7"/>
      <c r="OKC1193" s="7"/>
      <c r="OKD1193" s="7"/>
      <c r="OKE1193" s="7"/>
      <c r="OKF1193" s="7"/>
      <c r="OKG1193" s="7"/>
      <c r="OKH1193" s="7"/>
      <c r="OKI1193" s="7"/>
      <c r="OKJ1193" s="7"/>
      <c r="OKK1193" s="7"/>
      <c r="OKL1193" s="7"/>
      <c r="OKM1193" s="7"/>
      <c r="OKN1193" s="7"/>
      <c r="OKO1193" s="7"/>
      <c r="OKP1193" s="7"/>
      <c r="OKQ1193" s="7"/>
      <c r="OKR1193" s="7"/>
      <c r="OKS1193" s="7"/>
      <c r="OKT1193" s="7"/>
      <c r="OKU1193" s="7"/>
      <c r="OKV1193" s="7"/>
      <c r="OKW1193" s="7"/>
      <c r="OKX1193" s="7"/>
      <c r="OKY1193" s="7"/>
      <c r="OKZ1193" s="7"/>
      <c r="OLA1193" s="7"/>
      <c r="OLB1193" s="7"/>
      <c r="OLC1193" s="7"/>
      <c r="OLD1193" s="7"/>
      <c r="OLE1193" s="7"/>
      <c r="OLF1193" s="7"/>
      <c r="OLG1193" s="7"/>
      <c r="OLH1193" s="7"/>
      <c r="OLI1193" s="7"/>
      <c r="OLJ1193" s="7"/>
      <c r="OLK1193" s="7"/>
      <c r="OLL1193" s="7"/>
      <c r="OLM1193" s="7"/>
      <c r="OLN1193" s="7"/>
      <c r="OLO1193" s="7"/>
      <c r="OLP1193" s="7"/>
      <c r="OLQ1193" s="7"/>
      <c r="OLR1193" s="7"/>
      <c r="OLS1193" s="7"/>
      <c r="OLT1193" s="7"/>
      <c r="OLU1193" s="7"/>
      <c r="OLV1193" s="7"/>
      <c r="OLW1193" s="7"/>
      <c r="OLX1193" s="7"/>
      <c r="OLY1193" s="7"/>
      <c r="OLZ1193" s="7"/>
      <c r="OMA1193" s="7"/>
      <c r="OMB1193" s="7"/>
      <c r="OMC1193" s="7"/>
      <c r="OMD1193" s="7"/>
      <c r="OME1193" s="7"/>
      <c r="OMF1193" s="7"/>
      <c r="OMG1193" s="7"/>
      <c r="OMH1193" s="7"/>
      <c r="OMI1193" s="7"/>
      <c r="OMJ1193" s="7"/>
      <c r="OMK1193" s="7"/>
      <c r="OML1193" s="7"/>
      <c r="OMM1193" s="7"/>
      <c r="OMN1193" s="7"/>
      <c r="OMO1193" s="7"/>
      <c r="OMP1193" s="7"/>
      <c r="OMQ1193" s="7"/>
      <c r="OMR1193" s="7"/>
      <c r="OMS1193" s="7"/>
      <c r="OMT1193" s="7"/>
      <c r="OMU1193" s="7"/>
      <c r="OMV1193" s="7"/>
      <c r="OMW1193" s="7"/>
      <c r="OMX1193" s="7"/>
      <c r="OMY1193" s="7"/>
      <c r="OMZ1193" s="7"/>
      <c r="ONA1193" s="7"/>
      <c r="ONB1193" s="7"/>
      <c r="ONC1193" s="7"/>
      <c r="OND1193" s="7"/>
      <c r="ONE1193" s="7"/>
      <c r="ONF1193" s="7"/>
      <c r="ONG1193" s="7"/>
      <c r="ONH1193" s="7"/>
      <c r="ONI1193" s="7"/>
      <c r="ONJ1193" s="7"/>
      <c r="ONK1193" s="7"/>
      <c r="ONL1193" s="7"/>
      <c r="ONM1193" s="7"/>
      <c r="ONN1193" s="7"/>
      <c r="ONO1193" s="7"/>
      <c r="ONP1193" s="7"/>
      <c r="ONQ1193" s="7"/>
      <c r="ONR1193" s="7"/>
      <c r="ONS1193" s="7"/>
      <c r="ONT1193" s="7"/>
      <c r="ONU1193" s="7"/>
      <c r="ONV1193" s="7"/>
      <c r="ONW1193" s="7"/>
      <c r="ONX1193" s="7"/>
      <c r="ONY1193" s="7"/>
      <c r="ONZ1193" s="7"/>
      <c r="OOA1193" s="7"/>
      <c r="OOB1193" s="7"/>
      <c r="OOC1193" s="7"/>
      <c r="OOD1193" s="7"/>
      <c r="OOE1193" s="7"/>
      <c r="OOF1193" s="7"/>
      <c r="OOG1193" s="7"/>
      <c r="OOH1193" s="7"/>
      <c r="OOI1193" s="7"/>
      <c r="OOJ1193" s="7"/>
      <c r="OOK1193" s="7"/>
      <c r="OOL1193" s="7"/>
      <c r="OOM1193" s="7"/>
      <c r="OON1193" s="7"/>
      <c r="OOO1193" s="7"/>
      <c r="OOP1193" s="7"/>
      <c r="OOQ1193" s="7"/>
      <c r="OOR1193" s="7"/>
      <c r="OOS1193" s="7"/>
      <c r="OOT1193" s="7"/>
      <c r="OOU1193" s="7"/>
      <c r="OOV1193" s="7"/>
      <c r="OOW1193" s="7"/>
      <c r="OOX1193" s="7"/>
      <c r="OOY1193" s="7"/>
      <c r="OOZ1193" s="7"/>
      <c r="OPA1193" s="7"/>
      <c r="OPB1193" s="7"/>
      <c r="OPC1193" s="7"/>
      <c r="OPD1193" s="7"/>
      <c r="OPE1193" s="7"/>
      <c r="OPF1193" s="7"/>
      <c r="OPG1193" s="7"/>
      <c r="OPH1193" s="7"/>
      <c r="OPI1193" s="7"/>
      <c r="OPJ1193" s="7"/>
      <c r="OPK1193" s="7"/>
      <c r="OPL1193" s="7"/>
      <c r="OPM1193" s="7"/>
      <c r="OPN1193" s="7"/>
      <c r="OPO1193" s="7"/>
      <c r="OPP1193" s="7"/>
      <c r="OPQ1193" s="7"/>
      <c r="OPR1193" s="7"/>
      <c r="OPS1193" s="7"/>
      <c r="OPT1193" s="7"/>
      <c r="OPU1193" s="7"/>
      <c r="OPV1193" s="7"/>
      <c r="OPW1193" s="7"/>
      <c r="OPX1193" s="7"/>
      <c r="OPY1193" s="7"/>
      <c r="OPZ1193" s="7"/>
      <c r="OQA1193" s="7"/>
      <c r="OQB1193" s="7"/>
      <c r="OQC1193" s="7"/>
      <c r="OQD1193" s="7"/>
      <c r="OQE1193" s="7"/>
      <c r="OQF1193" s="7"/>
      <c r="OQG1193" s="7"/>
      <c r="OQH1193" s="7"/>
      <c r="OQI1193" s="7"/>
      <c r="OQJ1193" s="7"/>
      <c r="OQK1193" s="7"/>
      <c r="OQL1193" s="7"/>
      <c r="OQM1193" s="7"/>
      <c r="OQN1193" s="7"/>
      <c r="OQO1193" s="7"/>
      <c r="OQP1193" s="7"/>
      <c r="OQQ1193" s="7"/>
      <c r="OQR1193" s="7"/>
      <c r="OQS1193" s="7"/>
      <c r="OQT1193" s="7"/>
      <c r="OQU1193" s="7"/>
      <c r="OQV1193" s="7"/>
      <c r="OQW1193" s="7"/>
      <c r="OQX1193" s="7"/>
      <c r="OQY1193" s="7"/>
      <c r="OQZ1193" s="7"/>
      <c r="ORA1193" s="7"/>
      <c r="ORB1193" s="7"/>
      <c r="ORC1193" s="7"/>
      <c r="ORD1193" s="7"/>
      <c r="ORE1193" s="7"/>
      <c r="ORF1193" s="7"/>
      <c r="ORG1193" s="7"/>
      <c r="ORH1193" s="7"/>
      <c r="ORI1193" s="7"/>
      <c r="ORJ1193" s="7"/>
      <c r="ORK1193" s="7"/>
      <c r="ORL1193" s="7"/>
      <c r="ORM1193" s="7"/>
      <c r="ORN1193" s="7"/>
      <c r="ORO1193" s="7"/>
      <c r="ORP1193" s="7"/>
      <c r="ORQ1193" s="7"/>
      <c r="ORR1193" s="7"/>
      <c r="ORS1193" s="7"/>
      <c r="ORT1193" s="7"/>
      <c r="ORU1193" s="7"/>
      <c r="ORV1193" s="7"/>
      <c r="ORW1193" s="7"/>
      <c r="ORX1193" s="7"/>
      <c r="ORY1193" s="7"/>
      <c r="ORZ1193" s="7"/>
      <c r="OSA1193" s="7"/>
      <c r="OSB1193" s="7"/>
      <c r="OSC1193" s="7"/>
      <c r="OSD1193" s="7"/>
      <c r="OSE1193" s="7"/>
      <c r="OSF1193" s="7"/>
      <c r="OSG1193" s="7"/>
      <c r="OSH1193" s="7"/>
      <c r="OSI1193" s="7"/>
      <c r="OSJ1193" s="7"/>
      <c r="OSK1193" s="7"/>
      <c r="OSL1193" s="7"/>
      <c r="OSM1193" s="7"/>
      <c r="OSN1193" s="7"/>
      <c r="OSO1193" s="7"/>
      <c r="OSP1193" s="7"/>
      <c r="OSQ1193" s="7"/>
      <c r="OSR1193" s="7"/>
      <c r="OSS1193" s="7"/>
      <c r="OST1193" s="7"/>
      <c r="OSU1193" s="7"/>
      <c r="OSV1193" s="7"/>
      <c r="OSW1193" s="7"/>
      <c r="OSX1193" s="7"/>
      <c r="OSY1193" s="7"/>
      <c r="OSZ1193" s="7"/>
      <c r="OTA1193" s="7"/>
      <c r="OTB1193" s="7"/>
      <c r="OTC1193" s="7"/>
      <c r="OTD1193" s="7"/>
      <c r="OTE1193" s="7"/>
      <c r="OTF1193" s="7"/>
      <c r="OTG1193" s="7"/>
      <c r="OTH1193" s="7"/>
      <c r="OTI1193" s="7"/>
      <c r="OTJ1193" s="7"/>
      <c r="OTK1193" s="7"/>
      <c r="OTL1193" s="7"/>
      <c r="OTM1193" s="7"/>
      <c r="OTN1193" s="7"/>
      <c r="OTO1193" s="7"/>
      <c r="OTP1193" s="7"/>
      <c r="OTQ1193" s="7"/>
      <c r="OTR1193" s="7"/>
      <c r="OTS1193" s="7"/>
      <c r="OTT1193" s="7"/>
      <c r="OTU1193" s="7"/>
      <c r="OTV1193" s="7"/>
      <c r="OTW1193" s="7"/>
      <c r="OTX1193" s="7"/>
      <c r="OTY1193" s="7"/>
      <c r="OTZ1193" s="7"/>
      <c r="OUA1193" s="7"/>
      <c r="OUB1193" s="7"/>
      <c r="OUC1193" s="7"/>
      <c r="OUD1193" s="7"/>
      <c r="OUE1193" s="7"/>
      <c r="OUF1193" s="7"/>
      <c r="OUG1193" s="7"/>
      <c r="OUH1193" s="7"/>
      <c r="OUI1193" s="7"/>
      <c r="OUJ1193" s="7"/>
      <c r="OUK1193" s="7"/>
      <c r="OUL1193" s="7"/>
      <c r="OUM1193" s="7"/>
      <c r="OUN1193" s="7"/>
      <c r="OUO1193" s="7"/>
      <c r="OUP1193" s="7"/>
      <c r="OUQ1193" s="7"/>
      <c r="OUR1193" s="7"/>
      <c r="OUS1193" s="7"/>
      <c r="OUT1193" s="7"/>
      <c r="OUU1193" s="7"/>
      <c r="OUV1193" s="7"/>
      <c r="OUW1193" s="7"/>
      <c r="OUX1193" s="7"/>
      <c r="OUY1193" s="7"/>
      <c r="OUZ1193" s="7"/>
      <c r="OVA1193" s="7"/>
      <c r="OVB1193" s="7"/>
      <c r="OVC1193" s="7"/>
      <c r="OVD1193" s="7"/>
      <c r="OVE1193" s="7"/>
      <c r="OVF1193" s="7"/>
      <c r="OVG1193" s="7"/>
      <c r="OVH1193" s="7"/>
      <c r="OVI1193" s="7"/>
      <c r="OVJ1193" s="7"/>
      <c r="OVK1193" s="7"/>
      <c r="OVL1193" s="7"/>
      <c r="OVM1193" s="7"/>
      <c r="OVN1193" s="7"/>
      <c r="OVO1193" s="7"/>
      <c r="OVP1193" s="7"/>
      <c r="OVQ1193" s="7"/>
      <c r="OVR1193" s="7"/>
      <c r="OVS1193" s="7"/>
      <c r="OVT1193" s="7"/>
      <c r="OVU1193" s="7"/>
      <c r="OVV1193" s="7"/>
      <c r="OVW1193" s="7"/>
      <c r="OVX1193" s="7"/>
      <c r="OVY1193" s="7"/>
      <c r="OVZ1193" s="7"/>
      <c r="OWA1193" s="7"/>
      <c r="OWB1193" s="7"/>
      <c r="OWC1193" s="7"/>
      <c r="OWD1193" s="7"/>
      <c r="OWE1193" s="7"/>
      <c r="OWF1193" s="7"/>
      <c r="OWG1193" s="7"/>
      <c r="OWH1193" s="7"/>
      <c r="OWI1193" s="7"/>
      <c r="OWJ1193" s="7"/>
      <c r="OWK1193" s="7"/>
      <c r="OWL1193" s="7"/>
      <c r="OWM1193" s="7"/>
      <c r="OWN1193" s="7"/>
      <c r="OWO1193" s="7"/>
      <c r="OWP1193" s="7"/>
      <c r="OWQ1193" s="7"/>
      <c r="OWR1193" s="7"/>
      <c r="OWS1193" s="7"/>
      <c r="OWT1193" s="7"/>
      <c r="OWU1193" s="7"/>
      <c r="OWV1193" s="7"/>
      <c r="OWW1193" s="7"/>
      <c r="OWX1193" s="7"/>
      <c r="OWY1193" s="7"/>
      <c r="OWZ1193" s="7"/>
      <c r="OXA1193" s="7"/>
      <c r="OXB1193" s="7"/>
      <c r="OXC1193" s="7"/>
      <c r="OXD1193" s="7"/>
      <c r="OXE1193" s="7"/>
      <c r="OXF1193" s="7"/>
      <c r="OXG1193" s="7"/>
      <c r="OXH1193" s="7"/>
      <c r="OXI1193" s="7"/>
      <c r="OXJ1193" s="7"/>
      <c r="OXK1193" s="7"/>
      <c r="OXL1193" s="7"/>
      <c r="OXM1193" s="7"/>
      <c r="OXN1193" s="7"/>
      <c r="OXO1193" s="7"/>
      <c r="OXP1193" s="7"/>
      <c r="OXQ1193" s="7"/>
      <c r="OXR1193" s="7"/>
      <c r="OXS1193" s="7"/>
      <c r="OXT1193" s="7"/>
      <c r="OXU1193" s="7"/>
      <c r="OXV1193" s="7"/>
      <c r="OXW1193" s="7"/>
      <c r="OXX1193" s="7"/>
      <c r="OXY1193" s="7"/>
      <c r="OXZ1193" s="7"/>
      <c r="OYA1193" s="7"/>
      <c r="OYB1193" s="7"/>
      <c r="OYC1193" s="7"/>
      <c r="OYD1193" s="7"/>
      <c r="OYE1193" s="7"/>
      <c r="OYF1193" s="7"/>
      <c r="OYG1193" s="7"/>
      <c r="OYH1193" s="7"/>
      <c r="OYI1193" s="7"/>
      <c r="OYJ1193" s="7"/>
      <c r="OYK1193" s="7"/>
      <c r="OYL1193" s="7"/>
      <c r="OYM1193" s="7"/>
      <c r="OYN1193" s="7"/>
      <c r="OYO1193" s="7"/>
      <c r="OYP1193" s="7"/>
      <c r="OYQ1193" s="7"/>
      <c r="OYR1193" s="7"/>
      <c r="OYS1193" s="7"/>
      <c r="OYT1193" s="7"/>
      <c r="OYU1193" s="7"/>
      <c r="OYV1193" s="7"/>
      <c r="OYW1193" s="7"/>
      <c r="OYX1193" s="7"/>
      <c r="OYY1193" s="7"/>
      <c r="OYZ1193" s="7"/>
      <c r="OZA1193" s="7"/>
      <c r="OZB1193" s="7"/>
      <c r="OZC1193" s="7"/>
      <c r="OZD1193" s="7"/>
      <c r="OZE1193" s="7"/>
      <c r="OZF1193" s="7"/>
      <c r="OZG1193" s="7"/>
      <c r="OZH1193" s="7"/>
      <c r="OZI1193" s="7"/>
      <c r="OZJ1193" s="7"/>
      <c r="OZK1193" s="7"/>
      <c r="OZL1193" s="7"/>
      <c r="OZM1193" s="7"/>
      <c r="OZN1193" s="7"/>
      <c r="OZO1193" s="7"/>
      <c r="OZP1193" s="7"/>
      <c r="OZQ1193" s="7"/>
      <c r="OZR1193" s="7"/>
      <c r="OZS1193" s="7"/>
      <c r="OZT1193" s="7"/>
      <c r="OZU1193" s="7"/>
      <c r="OZV1193" s="7"/>
      <c r="OZW1193" s="7"/>
      <c r="OZX1193" s="7"/>
      <c r="OZY1193" s="7"/>
      <c r="OZZ1193" s="7"/>
      <c r="PAA1193" s="7"/>
      <c r="PAB1193" s="7"/>
      <c r="PAC1193" s="7"/>
      <c r="PAD1193" s="7"/>
      <c r="PAE1193" s="7"/>
      <c r="PAF1193" s="7"/>
      <c r="PAG1193" s="7"/>
      <c r="PAH1193" s="7"/>
      <c r="PAI1193" s="7"/>
      <c r="PAJ1193" s="7"/>
      <c r="PAK1193" s="7"/>
      <c r="PAL1193" s="7"/>
      <c r="PAM1193" s="7"/>
      <c r="PAN1193" s="7"/>
      <c r="PAO1193" s="7"/>
      <c r="PAP1193" s="7"/>
      <c r="PAQ1193" s="7"/>
      <c r="PAR1193" s="7"/>
      <c r="PAS1193" s="7"/>
      <c r="PAT1193" s="7"/>
      <c r="PAU1193" s="7"/>
      <c r="PAV1193" s="7"/>
      <c r="PAW1193" s="7"/>
      <c r="PAX1193" s="7"/>
      <c r="PAY1193" s="7"/>
      <c r="PAZ1193" s="7"/>
      <c r="PBA1193" s="7"/>
      <c r="PBB1193" s="7"/>
      <c r="PBC1193" s="7"/>
      <c r="PBD1193" s="7"/>
      <c r="PBE1193" s="7"/>
      <c r="PBF1193" s="7"/>
      <c r="PBG1193" s="7"/>
      <c r="PBH1193" s="7"/>
      <c r="PBI1193" s="7"/>
      <c r="PBJ1193" s="7"/>
      <c r="PBK1193" s="7"/>
      <c r="PBL1193" s="7"/>
      <c r="PBM1193" s="7"/>
      <c r="PBN1193" s="7"/>
      <c r="PBO1193" s="7"/>
      <c r="PBP1193" s="7"/>
      <c r="PBQ1193" s="7"/>
      <c r="PBR1193" s="7"/>
      <c r="PBS1193" s="7"/>
      <c r="PBT1193" s="7"/>
      <c r="PBU1193" s="7"/>
      <c r="PBV1193" s="7"/>
      <c r="PBW1193" s="7"/>
      <c r="PBX1193" s="7"/>
      <c r="PBY1193" s="7"/>
      <c r="PBZ1193" s="7"/>
      <c r="PCA1193" s="7"/>
      <c r="PCB1193" s="7"/>
      <c r="PCC1193" s="7"/>
      <c r="PCD1193" s="7"/>
      <c r="PCE1193" s="7"/>
      <c r="PCF1193" s="7"/>
      <c r="PCG1193" s="7"/>
      <c r="PCH1193" s="7"/>
      <c r="PCI1193" s="7"/>
      <c r="PCJ1193" s="7"/>
      <c r="PCK1193" s="7"/>
      <c r="PCL1193" s="7"/>
      <c r="PCM1193" s="7"/>
      <c r="PCN1193" s="7"/>
      <c r="PCO1193" s="7"/>
      <c r="PCP1193" s="7"/>
      <c r="PCQ1193" s="7"/>
      <c r="PCR1193" s="7"/>
      <c r="PCS1193" s="7"/>
      <c r="PCT1193" s="7"/>
      <c r="PCU1193" s="7"/>
      <c r="PCV1193" s="7"/>
      <c r="PCW1193" s="7"/>
      <c r="PCX1193" s="7"/>
      <c r="PCY1193" s="7"/>
      <c r="PCZ1193" s="7"/>
      <c r="PDA1193" s="7"/>
      <c r="PDB1193" s="7"/>
      <c r="PDC1193" s="7"/>
      <c r="PDD1193" s="7"/>
      <c r="PDE1193" s="7"/>
      <c r="PDF1193" s="7"/>
      <c r="PDG1193" s="7"/>
      <c r="PDH1193" s="7"/>
      <c r="PDI1193" s="7"/>
      <c r="PDJ1193" s="7"/>
      <c r="PDK1193" s="7"/>
      <c r="PDL1193" s="7"/>
      <c r="PDM1193" s="7"/>
      <c r="PDN1193" s="7"/>
      <c r="PDO1193" s="7"/>
      <c r="PDP1193" s="7"/>
      <c r="PDQ1193" s="7"/>
      <c r="PDR1193" s="7"/>
      <c r="PDS1193" s="7"/>
      <c r="PDT1193" s="7"/>
      <c r="PDU1193" s="7"/>
      <c r="PDV1193" s="7"/>
      <c r="PDW1193" s="7"/>
      <c r="PDX1193" s="7"/>
      <c r="PDY1193" s="7"/>
      <c r="PDZ1193" s="7"/>
      <c r="PEA1193" s="7"/>
      <c r="PEB1193" s="7"/>
      <c r="PEC1193" s="7"/>
      <c r="PED1193" s="7"/>
      <c r="PEE1193" s="7"/>
      <c r="PEF1193" s="7"/>
      <c r="PEG1193" s="7"/>
      <c r="PEH1193" s="7"/>
      <c r="PEI1193" s="7"/>
      <c r="PEJ1193" s="7"/>
      <c r="PEK1193" s="7"/>
      <c r="PEL1193" s="7"/>
      <c r="PEM1193" s="7"/>
      <c r="PEN1193" s="7"/>
      <c r="PEO1193" s="7"/>
      <c r="PEP1193" s="7"/>
      <c r="PEQ1193" s="7"/>
      <c r="PER1193" s="7"/>
      <c r="PES1193" s="7"/>
      <c r="PET1193" s="7"/>
      <c r="PEU1193" s="7"/>
      <c r="PEV1193" s="7"/>
      <c r="PEW1193" s="7"/>
      <c r="PEX1193" s="7"/>
      <c r="PEY1193" s="7"/>
      <c r="PEZ1193" s="7"/>
      <c r="PFA1193" s="7"/>
      <c r="PFB1193" s="7"/>
      <c r="PFC1193" s="7"/>
      <c r="PFD1193" s="7"/>
      <c r="PFE1193" s="7"/>
      <c r="PFF1193" s="7"/>
      <c r="PFG1193" s="7"/>
      <c r="PFH1193" s="7"/>
      <c r="PFI1193" s="7"/>
      <c r="PFJ1193" s="7"/>
      <c r="PFK1193" s="7"/>
      <c r="PFL1193" s="7"/>
      <c r="PFM1193" s="7"/>
      <c r="PFN1193" s="7"/>
      <c r="PFO1193" s="7"/>
      <c r="PFP1193" s="7"/>
      <c r="PFQ1193" s="7"/>
      <c r="PFR1193" s="7"/>
      <c r="PFS1193" s="7"/>
      <c r="PFT1193" s="7"/>
      <c r="PFU1193" s="7"/>
      <c r="PFV1193" s="7"/>
      <c r="PFW1193" s="7"/>
      <c r="PFX1193" s="7"/>
      <c r="PFY1193" s="7"/>
      <c r="PFZ1193" s="7"/>
      <c r="PGA1193" s="7"/>
      <c r="PGB1193" s="7"/>
      <c r="PGC1193" s="7"/>
      <c r="PGD1193" s="7"/>
      <c r="PGE1193" s="7"/>
      <c r="PGF1193" s="7"/>
      <c r="PGG1193" s="7"/>
      <c r="PGH1193" s="7"/>
      <c r="PGI1193" s="7"/>
      <c r="PGJ1193" s="7"/>
      <c r="PGK1193" s="7"/>
      <c r="PGL1193" s="7"/>
      <c r="PGM1193" s="7"/>
      <c r="PGN1193" s="7"/>
      <c r="PGO1193" s="7"/>
      <c r="PGP1193" s="7"/>
      <c r="PGQ1193" s="7"/>
      <c r="PGR1193" s="7"/>
      <c r="PGS1193" s="7"/>
      <c r="PGT1193" s="7"/>
      <c r="PGU1193" s="7"/>
      <c r="PGV1193" s="7"/>
      <c r="PGW1193" s="7"/>
      <c r="PGX1193" s="7"/>
      <c r="PGY1193" s="7"/>
      <c r="PGZ1193" s="7"/>
      <c r="PHA1193" s="7"/>
      <c r="PHB1193" s="7"/>
      <c r="PHC1193" s="7"/>
      <c r="PHD1193" s="7"/>
      <c r="PHE1193" s="7"/>
      <c r="PHF1193" s="7"/>
      <c r="PHG1193" s="7"/>
      <c r="PHH1193" s="7"/>
      <c r="PHI1193" s="7"/>
      <c r="PHJ1193" s="7"/>
      <c r="PHK1193" s="7"/>
      <c r="PHL1193" s="7"/>
      <c r="PHM1193" s="7"/>
      <c r="PHN1193" s="7"/>
      <c r="PHO1193" s="7"/>
      <c r="PHP1193" s="7"/>
      <c r="PHQ1193" s="7"/>
      <c r="PHR1193" s="7"/>
      <c r="PHS1193" s="7"/>
      <c r="PHT1193" s="7"/>
      <c r="PHU1193" s="7"/>
      <c r="PHV1193" s="7"/>
      <c r="PHW1193" s="7"/>
      <c r="PHX1193" s="7"/>
      <c r="PHY1193" s="7"/>
      <c r="PHZ1193" s="7"/>
      <c r="PIA1193" s="7"/>
      <c r="PIB1193" s="7"/>
      <c r="PIC1193" s="7"/>
      <c r="PID1193" s="7"/>
      <c r="PIE1193" s="7"/>
      <c r="PIF1193" s="7"/>
      <c r="PIG1193" s="7"/>
      <c r="PIH1193" s="7"/>
      <c r="PII1193" s="7"/>
      <c r="PIJ1193" s="7"/>
      <c r="PIK1193" s="7"/>
      <c r="PIL1193" s="7"/>
      <c r="PIM1193" s="7"/>
      <c r="PIN1193" s="7"/>
      <c r="PIO1193" s="7"/>
      <c r="PIP1193" s="7"/>
      <c r="PIQ1193" s="7"/>
      <c r="PIR1193" s="7"/>
      <c r="PIS1193" s="7"/>
      <c r="PIT1193" s="7"/>
      <c r="PIU1193" s="7"/>
      <c r="PIV1193" s="7"/>
      <c r="PIW1193" s="7"/>
      <c r="PIX1193" s="7"/>
      <c r="PIY1193" s="7"/>
      <c r="PIZ1193" s="7"/>
      <c r="PJA1193" s="7"/>
      <c r="PJB1193" s="7"/>
      <c r="PJC1193" s="7"/>
      <c r="PJD1193" s="7"/>
      <c r="PJE1193" s="7"/>
      <c r="PJF1193" s="7"/>
      <c r="PJG1193" s="7"/>
      <c r="PJH1193" s="7"/>
      <c r="PJI1193" s="7"/>
      <c r="PJJ1193" s="7"/>
      <c r="PJK1193" s="7"/>
      <c r="PJL1193" s="7"/>
      <c r="PJM1193" s="7"/>
      <c r="PJN1193" s="7"/>
      <c r="PJO1193" s="7"/>
      <c r="PJP1193" s="7"/>
      <c r="PJQ1193" s="7"/>
      <c r="PJR1193" s="7"/>
      <c r="PJS1193" s="7"/>
      <c r="PJT1193" s="7"/>
      <c r="PJU1193" s="7"/>
      <c r="PJV1193" s="7"/>
      <c r="PJW1193" s="7"/>
      <c r="PJX1193" s="7"/>
      <c r="PJY1193" s="7"/>
      <c r="PJZ1193" s="7"/>
      <c r="PKA1193" s="7"/>
      <c r="PKB1193" s="7"/>
      <c r="PKC1193" s="7"/>
      <c r="PKD1193" s="7"/>
      <c r="PKE1193" s="7"/>
      <c r="PKF1193" s="7"/>
      <c r="PKG1193" s="7"/>
      <c r="PKH1193" s="7"/>
      <c r="PKI1193" s="7"/>
      <c r="PKJ1193" s="7"/>
      <c r="PKK1193" s="7"/>
      <c r="PKL1193" s="7"/>
      <c r="PKM1193" s="7"/>
      <c r="PKN1193" s="7"/>
      <c r="PKO1193" s="7"/>
      <c r="PKP1193" s="7"/>
      <c r="PKQ1193" s="7"/>
      <c r="PKR1193" s="7"/>
      <c r="PKS1193" s="7"/>
      <c r="PKT1193" s="7"/>
      <c r="PKU1193" s="7"/>
      <c r="PKV1193" s="7"/>
      <c r="PKW1193" s="7"/>
      <c r="PKX1193" s="7"/>
      <c r="PKY1193" s="7"/>
      <c r="PKZ1193" s="7"/>
      <c r="PLA1193" s="7"/>
      <c r="PLB1193" s="7"/>
      <c r="PLC1193" s="7"/>
      <c r="PLD1193" s="7"/>
      <c r="PLE1193" s="7"/>
      <c r="PLF1193" s="7"/>
      <c r="PLG1193" s="7"/>
      <c r="PLH1193" s="7"/>
      <c r="PLI1193" s="7"/>
      <c r="PLJ1193" s="7"/>
      <c r="PLK1193" s="7"/>
      <c r="PLL1193" s="7"/>
      <c r="PLM1193" s="7"/>
      <c r="PLN1193" s="7"/>
      <c r="PLO1193" s="7"/>
      <c r="PLP1193" s="7"/>
      <c r="PLQ1193" s="7"/>
      <c r="PLR1193" s="7"/>
      <c r="PLS1193" s="7"/>
      <c r="PLT1193" s="7"/>
      <c r="PLU1193" s="7"/>
      <c r="PLV1193" s="7"/>
      <c r="PLW1193" s="7"/>
      <c r="PLX1193" s="7"/>
      <c r="PLY1193" s="7"/>
      <c r="PLZ1193" s="7"/>
      <c r="PMA1193" s="7"/>
      <c r="PMB1193" s="7"/>
      <c r="PMC1193" s="7"/>
      <c r="PMD1193" s="7"/>
      <c r="PME1193" s="7"/>
      <c r="PMF1193" s="7"/>
      <c r="PMG1193" s="7"/>
      <c r="PMH1193" s="7"/>
      <c r="PMI1193" s="7"/>
      <c r="PMJ1193" s="7"/>
      <c r="PMK1193" s="7"/>
      <c r="PML1193" s="7"/>
      <c r="PMM1193" s="7"/>
      <c r="PMN1193" s="7"/>
      <c r="PMO1193" s="7"/>
      <c r="PMP1193" s="7"/>
      <c r="PMQ1193" s="7"/>
      <c r="PMR1193" s="7"/>
      <c r="PMS1193" s="7"/>
      <c r="PMT1193" s="7"/>
      <c r="PMU1193" s="7"/>
      <c r="PMV1193" s="7"/>
      <c r="PMW1193" s="7"/>
      <c r="PMX1193" s="7"/>
      <c r="PMY1193" s="7"/>
      <c r="PMZ1193" s="7"/>
      <c r="PNA1193" s="7"/>
      <c r="PNB1193" s="7"/>
      <c r="PNC1193" s="7"/>
      <c r="PND1193" s="7"/>
      <c r="PNE1193" s="7"/>
      <c r="PNF1193" s="7"/>
      <c r="PNG1193" s="7"/>
      <c r="PNH1193" s="7"/>
      <c r="PNI1193" s="7"/>
      <c r="PNJ1193" s="7"/>
      <c r="PNK1193" s="7"/>
      <c r="PNL1193" s="7"/>
      <c r="PNM1193" s="7"/>
      <c r="PNN1193" s="7"/>
      <c r="PNO1193" s="7"/>
      <c r="PNP1193" s="7"/>
      <c r="PNQ1193" s="7"/>
      <c r="PNR1193" s="7"/>
      <c r="PNS1193" s="7"/>
      <c r="PNT1193" s="7"/>
      <c r="PNU1193" s="7"/>
      <c r="PNV1193" s="7"/>
      <c r="PNW1193" s="7"/>
      <c r="PNX1193" s="7"/>
      <c r="PNY1193" s="7"/>
      <c r="PNZ1193" s="7"/>
      <c r="POA1193" s="7"/>
      <c r="POB1193" s="7"/>
      <c r="POC1193" s="7"/>
      <c r="POD1193" s="7"/>
      <c r="POE1193" s="7"/>
      <c r="POF1193" s="7"/>
      <c r="POG1193" s="7"/>
      <c r="POH1193" s="7"/>
      <c r="POI1193" s="7"/>
      <c r="POJ1193" s="7"/>
      <c r="POK1193" s="7"/>
      <c r="POL1193" s="7"/>
      <c r="POM1193" s="7"/>
      <c r="PON1193" s="7"/>
      <c r="POO1193" s="7"/>
      <c r="POP1193" s="7"/>
      <c r="POQ1193" s="7"/>
      <c r="POR1193" s="7"/>
      <c r="POS1193" s="7"/>
      <c r="POT1193" s="7"/>
      <c r="POU1193" s="7"/>
      <c r="POV1193" s="7"/>
      <c r="POW1193" s="7"/>
      <c r="POX1193" s="7"/>
      <c r="POY1193" s="7"/>
      <c r="POZ1193" s="7"/>
      <c r="PPA1193" s="7"/>
      <c r="PPB1193" s="7"/>
      <c r="PPC1193" s="7"/>
      <c r="PPD1193" s="7"/>
      <c r="PPE1193" s="7"/>
      <c r="PPF1193" s="7"/>
      <c r="PPG1193" s="7"/>
      <c r="PPH1193" s="7"/>
      <c r="PPI1193" s="7"/>
      <c r="PPJ1193" s="7"/>
      <c r="PPK1193" s="7"/>
      <c r="PPL1193" s="7"/>
      <c r="PPM1193" s="7"/>
      <c r="PPN1193" s="7"/>
      <c r="PPO1193" s="7"/>
      <c r="PPP1193" s="7"/>
      <c r="PPQ1193" s="7"/>
      <c r="PPR1193" s="7"/>
      <c r="PPS1193" s="7"/>
      <c r="PPT1193" s="7"/>
      <c r="PPU1193" s="7"/>
      <c r="PPV1193" s="7"/>
      <c r="PPW1193" s="7"/>
      <c r="PPX1193" s="7"/>
      <c r="PPY1193" s="7"/>
      <c r="PPZ1193" s="7"/>
      <c r="PQA1193" s="7"/>
      <c r="PQB1193" s="7"/>
      <c r="PQC1193" s="7"/>
      <c r="PQD1193" s="7"/>
      <c r="PQE1193" s="7"/>
      <c r="PQF1193" s="7"/>
      <c r="PQG1193" s="7"/>
      <c r="PQH1193" s="7"/>
      <c r="PQI1193" s="7"/>
      <c r="PQJ1193" s="7"/>
      <c r="PQK1193" s="7"/>
      <c r="PQL1193" s="7"/>
      <c r="PQM1193" s="7"/>
      <c r="PQN1193" s="7"/>
      <c r="PQO1193" s="7"/>
      <c r="PQP1193" s="7"/>
      <c r="PQQ1193" s="7"/>
      <c r="PQR1193" s="7"/>
      <c r="PQS1193" s="7"/>
      <c r="PQT1193" s="7"/>
      <c r="PQU1193" s="7"/>
      <c r="PQV1193" s="7"/>
      <c r="PQW1193" s="7"/>
      <c r="PQX1193" s="7"/>
      <c r="PQY1193" s="7"/>
      <c r="PQZ1193" s="7"/>
      <c r="PRA1193" s="7"/>
      <c r="PRB1193" s="7"/>
      <c r="PRC1193" s="7"/>
      <c r="PRD1193" s="7"/>
      <c r="PRE1193" s="7"/>
      <c r="PRF1193" s="7"/>
      <c r="PRG1193" s="7"/>
      <c r="PRH1193" s="7"/>
      <c r="PRI1193" s="7"/>
      <c r="PRJ1193" s="7"/>
      <c r="PRK1193" s="7"/>
      <c r="PRL1193" s="7"/>
      <c r="PRM1193" s="7"/>
      <c r="PRN1193" s="7"/>
      <c r="PRO1193" s="7"/>
      <c r="PRP1193" s="7"/>
      <c r="PRQ1193" s="7"/>
      <c r="PRR1193" s="7"/>
      <c r="PRS1193" s="7"/>
      <c r="PRT1193" s="7"/>
      <c r="PRU1193" s="7"/>
      <c r="PRV1193" s="7"/>
      <c r="PRW1193" s="7"/>
      <c r="PRX1193" s="7"/>
      <c r="PRY1193" s="7"/>
      <c r="PRZ1193" s="7"/>
      <c r="PSA1193" s="7"/>
      <c r="PSB1193" s="7"/>
      <c r="PSC1193" s="7"/>
      <c r="PSD1193" s="7"/>
      <c r="PSE1193" s="7"/>
      <c r="PSF1193" s="7"/>
      <c r="PSG1193" s="7"/>
      <c r="PSH1193" s="7"/>
      <c r="PSI1193" s="7"/>
      <c r="PSJ1193" s="7"/>
      <c r="PSK1193" s="7"/>
      <c r="PSL1193" s="7"/>
      <c r="PSM1193" s="7"/>
      <c r="PSN1193" s="7"/>
      <c r="PSO1193" s="7"/>
      <c r="PSP1193" s="7"/>
      <c r="PSQ1193" s="7"/>
      <c r="PSR1193" s="7"/>
      <c r="PSS1193" s="7"/>
      <c r="PST1193" s="7"/>
      <c r="PSU1193" s="7"/>
      <c r="PSV1193" s="7"/>
      <c r="PSW1193" s="7"/>
      <c r="PSX1193" s="7"/>
      <c r="PSY1193" s="7"/>
      <c r="PSZ1193" s="7"/>
      <c r="PTA1193" s="7"/>
      <c r="PTB1193" s="7"/>
      <c r="PTC1193" s="7"/>
      <c r="PTD1193" s="7"/>
      <c r="PTE1193" s="7"/>
      <c r="PTF1193" s="7"/>
      <c r="PTG1193" s="7"/>
      <c r="PTH1193" s="7"/>
      <c r="PTI1193" s="7"/>
      <c r="PTJ1193" s="7"/>
      <c r="PTK1193" s="7"/>
      <c r="PTL1193" s="7"/>
      <c r="PTM1193" s="7"/>
      <c r="PTN1193" s="7"/>
      <c r="PTO1193" s="7"/>
      <c r="PTP1193" s="7"/>
      <c r="PTQ1193" s="7"/>
      <c r="PTR1193" s="7"/>
      <c r="PTS1193" s="7"/>
      <c r="PTT1193" s="7"/>
      <c r="PTU1193" s="7"/>
      <c r="PTV1193" s="7"/>
      <c r="PTW1193" s="7"/>
      <c r="PTX1193" s="7"/>
      <c r="PTY1193" s="7"/>
      <c r="PTZ1193" s="7"/>
      <c r="PUA1193" s="7"/>
      <c r="PUB1193" s="7"/>
      <c r="PUC1193" s="7"/>
      <c r="PUD1193" s="7"/>
      <c r="PUE1193" s="7"/>
      <c r="PUF1193" s="7"/>
      <c r="PUG1193" s="7"/>
      <c r="PUH1193" s="7"/>
      <c r="PUI1193" s="7"/>
      <c r="PUJ1193" s="7"/>
      <c r="PUK1193" s="7"/>
      <c r="PUL1193" s="7"/>
      <c r="PUM1193" s="7"/>
      <c r="PUN1193" s="7"/>
      <c r="PUO1193" s="7"/>
      <c r="PUP1193" s="7"/>
      <c r="PUQ1193" s="7"/>
      <c r="PUR1193" s="7"/>
      <c r="PUS1193" s="7"/>
      <c r="PUT1193" s="7"/>
      <c r="PUU1193" s="7"/>
      <c r="PUV1193" s="7"/>
      <c r="PUW1193" s="7"/>
      <c r="PUX1193" s="7"/>
      <c r="PUY1193" s="7"/>
      <c r="PUZ1193" s="7"/>
      <c r="PVA1193" s="7"/>
      <c r="PVB1193" s="7"/>
      <c r="PVC1193" s="7"/>
      <c r="PVD1193" s="7"/>
      <c r="PVE1193" s="7"/>
      <c r="PVF1193" s="7"/>
      <c r="PVG1193" s="7"/>
      <c r="PVH1193" s="7"/>
      <c r="PVI1193" s="7"/>
      <c r="PVJ1193" s="7"/>
      <c r="PVK1193" s="7"/>
      <c r="PVL1193" s="7"/>
      <c r="PVM1193" s="7"/>
      <c r="PVN1193" s="7"/>
      <c r="PVO1193" s="7"/>
      <c r="PVP1193" s="7"/>
      <c r="PVQ1193" s="7"/>
      <c r="PVR1193" s="7"/>
      <c r="PVS1193" s="7"/>
      <c r="PVT1193" s="7"/>
      <c r="PVU1193" s="7"/>
      <c r="PVV1193" s="7"/>
      <c r="PVW1193" s="7"/>
      <c r="PVX1193" s="7"/>
      <c r="PVY1193" s="7"/>
      <c r="PVZ1193" s="7"/>
      <c r="PWA1193" s="7"/>
      <c r="PWB1193" s="7"/>
      <c r="PWC1193" s="7"/>
      <c r="PWD1193" s="7"/>
      <c r="PWE1193" s="7"/>
      <c r="PWF1193" s="7"/>
      <c r="PWG1193" s="7"/>
      <c r="PWH1193" s="7"/>
      <c r="PWI1193" s="7"/>
      <c r="PWJ1193" s="7"/>
      <c r="PWK1193" s="7"/>
      <c r="PWL1193" s="7"/>
      <c r="PWM1193" s="7"/>
      <c r="PWN1193" s="7"/>
      <c r="PWO1193" s="7"/>
      <c r="PWP1193" s="7"/>
      <c r="PWQ1193" s="7"/>
      <c r="PWR1193" s="7"/>
      <c r="PWS1193" s="7"/>
      <c r="PWT1193" s="7"/>
      <c r="PWU1193" s="7"/>
      <c r="PWV1193" s="7"/>
      <c r="PWW1193" s="7"/>
      <c r="PWX1193" s="7"/>
      <c r="PWY1193" s="7"/>
      <c r="PWZ1193" s="7"/>
      <c r="PXA1193" s="7"/>
      <c r="PXB1193" s="7"/>
      <c r="PXC1193" s="7"/>
      <c r="PXD1193" s="7"/>
      <c r="PXE1193" s="7"/>
      <c r="PXF1193" s="7"/>
      <c r="PXG1193" s="7"/>
      <c r="PXH1193" s="7"/>
      <c r="PXI1193" s="7"/>
      <c r="PXJ1193" s="7"/>
      <c r="PXK1193" s="7"/>
      <c r="PXL1193" s="7"/>
      <c r="PXM1193" s="7"/>
      <c r="PXN1193" s="7"/>
      <c r="PXO1193" s="7"/>
      <c r="PXP1193" s="7"/>
      <c r="PXQ1193" s="7"/>
      <c r="PXR1193" s="7"/>
      <c r="PXS1193" s="7"/>
      <c r="PXT1193" s="7"/>
      <c r="PXU1193" s="7"/>
      <c r="PXV1193" s="7"/>
      <c r="PXW1193" s="7"/>
      <c r="PXX1193" s="7"/>
      <c r="PXY1193" s="7"/>
      <c r="PXZ1193" s="7"/>
      <c r="PYA1193" s="7"/>
      <c r="PYB1193" s="7"/>
      <c r="PYC1193" s="7"/>
      <c r="PYD1193" s="7"/>
      <c r="PYE1193" s="7"/>
      <c r="PYF1193" s="7"/>
      <c r="PYG1193" s="7"/>
      <c r="PYH1193" s="7"/>
      <c r="PYI1193" s="7"/>
      <c r="PYJ1193" s="7"/>
      <c r="PYK1193" s="7"/>
      <c r="PYL1193" s="7"/>
      <c r="PYM1193" s="7"/>
      <c r="PYN1193" s="7"/>
      <c r="PYO1193" s="7"/>
      <c r="PYP1193" s="7"/>
      <c r="PYQ1193" s="7"/>
      <c r="PYR1193" s="7"/>
      <c r="PYS1193" s="7"/>
      <c r="PYT1193" s="7"/>
      <c r="PYU1193" s="7"/>
      <c r="PYV1193" s="7"/>
      <c r="PYW1193" s="7"/>
      <c r="PYX1193" s="7"/>
      <c r="PYY1193" s="7"/>
      <c r="PYZ1193" s="7"/>
      <c r="PZA1193" s="7"/>
      <c r="PZB1193" s="7"/>
      <c r="PZC1193" s="7"/>
      <c r="PZD1193" s="7"/>
      <c r="PZE1193" s="7"/>
      <c r="PZF1193" s="7"/>
      <c r="PZG1193" s="7"/>
      <c r="PZH1193" s="7"/>
      <c r="PZI1193" s="7"/>
      <c r="PZJ1193" s="7"/>
      <c r="PZK1193" s="7"/>
      <c r="PZL1193" s="7"/>
      <c r="PZM1193" s="7"/>
      <c r="PZN1193" s="7"/>
      <c r="PZO1193" s="7"/>
      <c r="PZP1193" s="7"/>
      <c r="PZQ1193" s="7"/>
      <c r="PZR1193" s="7"/>
      <c r="PZS1193" s="7"/>
      <c r="PZT1193" s="7"/>
      <c r="PZU1193" s="7"/>
      <c r="PZV1193" s="7"/>
      <c r="PZW1193" s="7"/>
      <c r="PZX1193" s="7"/>
      <c r="PZY1193" s="7"/>
      <c r="PZZ1193" s="7"/>
      <c r="QAA1193" s="7"/>
      <c r="QAB1193" s="7"/>
      <c r="QAC1193" s="7"/>
      <c r="QAD1193" s="7"/>
      <c r="QAE1193" s="7"/>
      <c r="QAF1193" s="7"/>
      <c r="QAG1193" s="7"/>
      <c r="QAH1193" s="7"/>
      <c r="QAI1193" s="7"/>
      <c r="QAJ1193" s="7"/>
      <c r="QAK1193" s="7"/>
      <c r="QAL1193" s="7"/>
      <c r="QAM1193" s="7"/>
      <c r="QAN1193" s="7"/>
      <c r="QAO1193" s="7"/>
      <c r="QAP1193" s="7"/>
      <c r="QAQ1193" s="7"/>
      <c r="QAR1193" s="7"/>
      <c r="QAS1193" s="7"/>
      <c r="QAT1193" s="7"/>
      <c r="QAU1193" s="7"/>
      <c r="QAV1193" s="7"/>
      <c r="QAW1193" s="7"/>
      <c r="QAX1193" s="7"/>
      <c r="QAY1193" s="7"/>
      <c r="QAZ1193" s="7"/>
      <c r="QBA1193" s="7"/>
      <c r="QBB1193" s="7"/>
      <c r="QBC1193" s="7"/>
      <c r="QBD1193" s="7"/>
      <c r="QBE1193" s="7"/>
      <c r="QBF1193" s="7"/>
      <c r="QBG1193" s="7"/>
      <c r="QBH1193" s="7"/>
      <c r="QBI1193" s="7"/>
      <c r="QBJ1193" s="7"/>
      <c r="QBK1193" s="7"/>
      <c r="QBL1193" s="7"/>
      <c r="QBM1193" s="7"/>
      <c r="QBN1193" s="7"/>
      <c r="QBO1193" s="7"/>
      <c r="QBP1193" s="7"/>
      <c r="QBQ1193" s="7"/>
      <c r="QBR1193" s="7"/>
      <c r="QBS1193" s="7"/>
      <c r="QBT1193" s="7"/>
      <c r="QBU1193" s="7"/>
      <c r="QBV1193" s="7"/>
      <c r="QBW1193" s="7"/>
      <c r="QBX1193" s="7"/>
      <c r="QBY1193" s="7"/>
      <c r="QBZ1193" s="7"/>
      <c r="QCA1193" s="7"/>
      <c r="QCB1193" s="7"/>
      <c r="QCC1193" s="7"/>
      <c r="QCD1193" s="7"/>
      <c r="QCE1193" s="7"/>
      <c r="QCF1193" s="7"/>
      <c r="QCG1193" s="7"/>
      <c r="QCH1193" s="7"/>
      <c r="QCI1193" s="7"/>
      <c r="QCJ1193" s="7"/>
      <c r="QCK1193" s="7"/>
      <c r="QCL1193" s="7"/>
      <c r="QCM1193" s="7"/>
      <c r="QCN1193" s="7"/>
      <c r="QCO1193" s="7"/>
      <c r="QCP1193" s="7"/>
      <c r="QCQ1193" s="7"/>
      <c r="QCR1193" s="7"/>
      <c r="QCS1193" s="7"/>
      <c r="QCT1193" s="7"/>
      <c r="QCU1193" s="7"/>
      <c r="QCV1193" s="7"/>
      <c r="QCW1193" s="7"/>
      <c r="QCX1193" s="7"/>
      <c r="QCY1193" s="7"/>
      <c r="QCZ1193" s="7"/>
      <c r="QDA1193" s="7"/>
      <c r="QDB1193" s="7"/>
      <c r="QDC1193" s="7"/>
      <c r="QDD1193" s="7"/>
      <c r="QDE1193" s="7"/>
      <c r="QDF1193" s="7"/>
      <c r="QDG1193" s="7"/>
      <c r="QDH1193" s="7"/>
      <c r="QDI1193" s="7"/>
      <c r="QDJ1193" s="7"/>
      <c r="QDK1193" s="7"/>
      <c r="QDL1193" s="7"/>
      <c r="QDM1193" s="7"/>
      <c r="QDN1193" s="7"/>
      <c r="QDO1193" s="7"/>
      <c r="QDP1193" s="7"/>
      <c r="QDQ1193" s="7"/>
      <c r="QDR1193" s="7"/>
      <c r="QDS1193" s="7"/>
      <c r="QDT1193" s="7"/>
      <c r="QDU1193" s="7"/>
      <c r="QDV1193" s="7"/>
      <c r="QDW1193" s="7"/>
      <c r="QDX1193" s="7"/>
      <c r="QDY1193" s="7"/>
      <c r="QDZ1193" s="7"/>
      <c r="QEA1193" s="7"/>
      <c r="QEB1193" s="7"/>
      <c r="QEC1193" s="7"/>
      <c r="QED1193" s="7"/>
      <c r="QEE1193" s="7"/>
      <c r="QEF1193" s="7"/>
      <c r="QEG1193" s="7"/>
      <c r="QEH1193" s="7"/>
      <c r="QEI1193" s="7"/>
      <c r="QEJ1193" s="7"/>
      <c r="QEK1193" s="7"/>
      <c r="QEL1193" s="7"/>
      <c r="QEM1193" s="7"/>
      <c r="QEN1193" s="7"/>
      <c r="QEO1193" s="7"/>
      <c r="QEP1193" s="7"/>
      <c r="QEQ1193" s="7"/>
      <c r="QER1193" s="7"/>
      <c r="QES1193" s="7"/>
      <c r="QET1193" s="7"/>
      <c r="QEU1193" s="7"/>
      <c r="QEV1193" s="7"/>
      <c r="QEW1193" s="7"/>
      <c r="QEX1193" s="7"/>
      <c r="QEY1193" s="7"/>
      <c r="QEZ1193" s="7"/>
      <c r="QFA1193" s="7"/>
      <c r="QFB1193" s="7"/>
      <c r="QFC1193" s="7"/>
      <c r="QFD1193" s="7"/>
      <c r="QFE1193" s="7"/>
      <c r="QFF1193" s="7"/>
      <c r="QFG1193" s="7"/>
      <c r="QFH1193" s="7"/>
      <c r="QFI1193" s="7"/>
      <c r="QFJ1193" s="7"/>
      <c r="QFK1193" s="7"/>
      <c r="QFL1193" s="7"/>
      <c r="QFM1193" s="7"/>
      <c r="QFN1193" s="7"/>
      <c r="QFO1193" s="7"/>
      <c r="QFP1193" s="7"/>
      <c r="QFQ1193" s="7"/>
      <c r="QFR1193" s="7"/>
      <c r="QFS1193" s="7"/>
      <c r="QFT1193" s="7"/>
      <c r="QFU1193" s="7"/>
      <c r="QFV1193" s="7"/>
      <c r="QFW1193" s="7"/>
      <c r="QFX1193" s="7"/>
      <c r="QFY1193" s="7"/>
      <c r="QFZ1193" s="7"/>
      <c r="QGA1193" s="7"/>
      <c r="QGB1193" s="7"/>
      <c r="QGC1193" s="7"/>
      <c r="QGD1193" s="7"/>
      <c r="QGE1193" s="7"/>
      <c r="QGF1193" s="7"/>
      <c r="QGG1193" s="7"/>
      <c r="QGH1193" s="7"/>
      <c r="QGI1193" s="7"/>
      <c r="QGJ1193" s="7"/>
      <c r="QGK1193" s="7"/>
      <c r="QGL1193" s="7"/>
      <c r="QGM1193" s="7"/>
      <c r="QGN1193" s="7"/>
      <c r="QGO1193" s="7"/>
      <c r="QGP1193" s="7"/>
      <c r="QGQ1193" s="7"/>
      <c r="QGR1193" s="7"/>
      <c r="QGS1193" s="7"/>
      <c r="QGT1193" s="7"/>
      <c r="QGU1193" s="7"/>
      <c r="QGV1193" s="7"/>
      <c r="QGW1193" s="7"/>
      <c r="QGX1193" s="7"/>
      <c r="QGY1193" s="7"/>
      <c r="QGZ1193" s="7"/>
      <c r="QHA1193" s="7"/>
      <c r="QHB1193" s="7"/>
      <c r="QHC1193" s="7"/>
      <c r="QHD1193" s="7"/>
      <c r="QHE1193" s="7"/>
      <c r="QHF1193" s="7"/>
      <c r="QHG1193" s="7"/>
      <c r="QHH1193" s="7"/>
      <c r="QHI1193" s="7"/>
      <c r="QHJ1193" s="7"/>
      <c r="QHK1193" s="7"/>
      <c r="QHL1193" s="7"/>
      <c r="QHM1193" s="7"/>
      <c r="QHN1193" s="7"/>
      <c r="QHO1193" s="7"/>
      <c r="QHP1193" s="7"/>
      <c r="QHQ1193" s="7"/>
      <c r="QHR1193" s="7"/>
      <c r="QHS1193" s="7"/>
      <c r="QHT1193" s="7"/>
      <c r="QHU1193" s="7"/>
      <c r="QHV1193" s="7"/>
      <c r="QHW1193" s="7"/>
      <c r="QHX1193" s="7"/>
      <c r="QHY1193" s="7"/>
      <c r="QHZ1193" s="7"/>
      <c r="QIA1193" s="7"/>
      <c r="QIB1193" s="7"/>
      <c r="QIC1193" s="7"/>
      <c r="QID1193" s="7"/>
      <c r="QIE1193" s="7"/>
      <c r="QIF1193" s="7"/>
      <c r="QIG1193" s="7"/>
      <c r="QIH1193" s="7"/>
      <c r="QII1193" s="7"/>
      <c r="QIJ1193" s="7"/>
      <c r="QIK1193" s="7"/>
      <c r="QIL1193" s="7"/>
      <c r="QIM1193" s="7"/>
      <c r="QIN1193" s="7"/>
      <c r="QIO1193" s="7"/>
      <c r="QIP1193" s="7"/>
      <c r="QIQ1193" s="7"/>
      <c r="QIR1193" s="7"/>
      <c r="QIS1193" s="7"/>
      <c r="QIT1193" s="7"/>
      <c r="QIU1193" s="7"/>
      <c r="QIV1193" s="7"/>
      <c r="QIW1193" s="7"/>
      <c r="QIX1193" s="7"/>
      <c r="QIY1193" s="7"/>
      <c r="QIZ1193" s="7"/>
      <c r="QJA1193" s="7"/>
      <c r="QJB1193" s="7"/>
      <c r="QJC1193" s="7"/>
      <c r="QJD1193" s="7"/>
      <c r="QJE1193" s="7"/>
      <c r="QJF1193" s="7"/>
      <c r="QJG1193" s="7"/>
      <c r="QJH1193" s="7"/>
      <c r="QJI1193" s="7"/>
      <c r="QJJ1193" s="7"/>
      <c r="QJK1193" s="7"/>
      <c r="QJL1193" s="7"/>
      <c r="QJM1193" s="7"/>
      <c r="QJN1193" s="7"/>
      <c r="QJO1193" s="7"/>
      <c r="QJP1193" s="7"/>
      <c r="QJQ1193" s="7"/>
      <c r="QJR1193" s="7"/>
      <c r="QJS1193" s="7"/>
      <c r="QJT1193" s="7"/>
      <c r="QJU1193" s="7"/>
      <c r="QJV1193" s="7"/>
      <c r="QJW1193" s="7"/>
      <c r="QJX1193" s="7"/>
      <c r="QJY1193" s="7"/>
      <c r="QJZ1193" s="7"/>
      <c r="QKA1193" s="7"/>
      <c r="QKB1193" s="7"/>
      <c r="QKC1193" s="7"/>
      <c r="QKD1193" s="7"/>
      <c r="QKE1193" s="7"/>
      <c r="QKF1193" s="7"/>
      <c r="QKG1193" s="7"/>
      <c r="QKH1193" s="7"/>
      <c r="QKI1193" s="7"/>
      <c r="QKJ1193" s="7"/>
      <c r="QKK1193" s="7"/>
      <c r="QKL1193" s="7"/>
      <c r="QKM1193" s="7"/>
      <c r="QKN1193" s="7"/>
      <c r="QKO1193" s="7"/>
      <c r="QKP1193" s="7"/>
      <c r="QKQ1193" s="7"/>
      <c r="QKR1193" s="7"/>
      <c r="QKS1193" s="7"/>
      <c r="QKT1193" s="7"/>
      <c r="QKU1193" s="7"/>
      <c r="QKV1193" s="7"/>
      <c r="QKW1193" s="7"/>
      <c r="QKX1193" s="7"/>
      <c r="QKY1193" s="7"/>
      <c r="QKZ1193" s="7"/>
      <c r="QLA1193" s="7"/>
      <c r="QLB1193" s="7"/>
      <c r="QLC1193" s="7"/>
      <c r="QLD1193" s="7"/>
      <c r="QLE1193" s="7"/>
      <c r="QLF1193" s="7"/>
      <c r="QLG1193" s="7"/>
      <c r="QLH1193" s="7"/>
      <c r="QLI1193" s="7"/>
      <c r="QLJ1193" s="7"/>
      <c r="QLK1193" s="7"/>
      <c r="QLL1193" s="7"/>
      <c r="QLM1193" s="7"/>
      <c r="QLN1193" s="7"/>
      <c r="QLO1193" s="7"/>
      <c r="QLP1193" s="7"/>
      <c r="QLQ1193" s="7"/>
      <c r="QLR1193" s="7"/>
      <c r="QLS1193" s="7"/>
      <c r="QLT1193" s="7"/>
      <c r="QLU1193" s="7"/>
      <c r="QLV1193" s="7"/>
      <c r="QLW1193" s="7"/>
      <c r="QLX1193" s="7"/>
      <c r="QLY1193" s="7"/>
      <c r="QLZ1193" s="7"/>
      <c r="QMA1193" s="7"/>
      <c r="QMB1193" s="7"/>
      <c r="QMC1193" s="7"/>
      <c r="QMD1193" s="7"/>
      <c r="QME1193" s="7"/>
      <c r="QMF1193" s="7"/>
      <c r="QMG1193" s="7"/>
      <c r="QMH1193" s="7"/>
      <c r="QMI1193" s="7"/>
      <c r="QMJ1193" s="7"/>
      <c r="QMK1193" s="7"/>
      <c r="QML1193" s="7"/>
      <c r="QMM1193" s="7"/>
      <c r="QMN1193" s="7"/>
      <c r="QMO1193" s="7"/>
      <c r="QMP1193" s="7"/>
      <c r="QMQ1193" s="7"/>
      <c r="QMR1193" s="7"/>
      <c r="QMS1193" s="7"/>
      <c r="QMT1193" s="7"/>
      <c r="QMU1193" s="7"/>
      <c r="QMV1193" s="7"/>
      <c r="QMW1193" s="7"/>
      <c r="QMX1193" s="7"/>
      <c r="QMY1193" s="7"/>
      <c r="QMZ1193" s="7"/>
      <c r="QNA1193" s="7"/>
      <c r="QNB1193" s="7"/>
      <c r="QNC1193" s="7"/>
      <c r="QND1193" s="7"/>
      <c r="QNE1193" s="7"/>
      <c r="QNF1193" s="7"/>
      <c r="QNG1193" s="7"/>
      <c r="QNH1193" s="7"/>
      <c r="QNI1193" s="7"/>
      <c r="QNJ1193" s="7"/>
      <c r="QNK1193" s="7"/>
      <c r="QNL1193" s="7"/>
      <c r="QNM1193" s="7"/>
      <c r="QNN1193" s="7"/>
      <c r="QNO1193" s="7"/>
      <c r="QNP1193" s="7"/>
      <c r="QNQ1193" s="7"/>
      <c r="QNR1193" s="7"/>
      <c r="QNS1193" s="7"/>
      <c r="QNT1193" s="7"/>
      <c r="QNU1193" s="7"/>
      <c r="QNV1193" s="7"/>
      <c r="QNW1193" s="7"/>
      <c r="QNX1193" s="7"/>
      <c r="QNY1193" s="7"/>
      <c r="QNZ1193" s="7"/>
      <c r="QOA1193" s="7"/>
      <c r="QOB1193" s="7"/>
      <c r="QOC1193" s="7"/>
      <c r="QOD1193" s="7"/>
      <c r="QOE1193" s="7"/>
      <c r="QOF1193" s="7"/>
      <c r="QOG1193" s="7"/>
      <c r="QOH1193" s="7"/>
      <c r="QOI1193" s="7"/>
      <c r="QOJ1193" s="7"/>
      <c r="QOK1193" s="7"/>
      <c r="QOL1193" s="7"/>
      <c r="QOM1193" s="7"/>
      <c r="QON1193" s="7"/>
      <c r="QOO1193" s="7"/>
      <c r="QOP1193" s="7"/>
      <c r="QOQ1193" s="7"/>
      <c r="QOR1193" s="7"/>
      <c r="QOS1193" s="7"/>
      <c r="QOT1193" s="7"/>
      <c r="QOU1193" s="7"/>
      <c r="QOV1193" s="7"/>
      <c r="QOW1193" s="7"/>
      <c r="QOX1193" s="7"/>
      <c r="QOY1193" s="7"/>
      <c r="QOZ1193" s="7"/>
      <c r="QPA1193" s="7"/>
      <c r="QPB1193" s="7"/>
      <c r="QPC1193" s="7"/>
      <c r="QPD1193" s="7"/>
      <c r="QPE1193" s="7"/>
      <c r="QPF1193" s="7"/>
      <c r="QPG1193" s="7"/>
      <c r="QPH1193" s="7"/>
      <c r="QPI1193" s="7"/>
      <c r="QPJ1193" s="7"/>
      <c r="QPK1193" s="7"/>
      <c r="QPL1193" s="7"/>
      <c r="QPM1193" s="7"/>
      <c r="QPN1193" s="7"/>
      <c r="QPO1193" s="7"/>
      <c r="QPP1193" s="7"/>
      <c r="QPQ1193" s="7"/>
      <c r="QPR1193" s="7"/>
      <c r="QPS1193" s="7"/>
      <c r="QPT1193" s="7"/>
      <c r="QPU1193" s="7"/>
      <c r="QPV1193" s="7"/>
      <c r="QPW1193" s="7"/>
      <c r="QPX1193" s="7"/>
      <c r="QPY1193" s="7"/>
      <c r="QPZ1193" s="7"/>
      <c r="QQA1193" s="7"/>
      <c r="QQB1193" s="7"/>
      <c r="QQC1193" s="7"/>
      <c r="QQD1193" s="7"/>
      <c r="QQE1193" s="7"/>
      <c r="QQF1193" s="7"/>
      <c r="QQG1193" s="7"/>
      <c r="QQH1193" s="7"/>
      <c r="QQI1193" s="7"/>
      <c r="QQJ1193" s="7"/>
      <c r="QQK1193" s="7"/>
      <c r="QQL1193" s="7"/>
      <c r="QQM1193" s="7"/>
      <c r="QQN1193" s="7"/>
      <c r="QQO1193" s="7"/>
      <c r="QQP1193" s="7"/>
      <c r="QQQ1193" s="7"/>
      <c r="QQR1193" s="7"/>
      <c r="QQS1193" s="7"/>
      <c r="QQT1193" s="7"/>
      <c r="QQU1193" s="7"/>
      <c r="QQV1193" s="7"/>
      <c r="QQW1193" s="7"/>
      <c r="QQX1193" s="7"/>
      <c r="QQY1193" s="7"/>
      <c r="QQZ1193" s="7"/>
      <c r="QRA1193" s="7"/>
      <c r="QRB1193" s="7"/>
      <c r="QRC1193" s="7"/>
      <c r="QRD1193" s="7"/>
      <c r="QRE1193" s="7"/>
      <c r="QRF1193" s="7"/>
      <c r="QRG1193" s="7"/>
      <c r="QRH1193" s="7"/>
      <c r="QRI1193" s="7"/>
      <c r="QRJ1193" s="7"/>
      <c r="QRK1193" s="7"/>
      <c r="QRL1193" s="7"/>
      <c r="QRM1193" s="7"/>
      <c r="QRN1193" s="7"/>
      <c r="QRO1193" s="7"/>
      <c r="QRP1193" s="7"/>
      <c r="QRQ1193" s="7"/>
      <c r="QRR1193" s="7"/>
      <c r="QRS1193" s="7"/>
      <c r="QRT1193" s="7"/>
      <c r="QRU1193" s="7"/>
      <c r="QRV1193" s="7"/>
      <c r="QRW1193" s="7"/>
      <c r="QRX1193" s="7"/>
      <c r="QRY1193" s="7"/>
      <c r="QRZ1193" s="7"/>
      <c r="QSA1193" s="7"/>
      <c r="QSB1193" s="7"/>
      <c r="QSC1193" s="7"/>
      <c r="QSD1193" s="7"/>
      <c r="QSE1193" s="7"/>
      <c r="QSF1193" s="7"/>
      <c r="QSG1193" s="7"/>
      <c r="QSH1193" s="7"/>
      <c r="QSI1193" s="7"/>
      <c r="QSJ1193" s="7"/>
      <c r="QSK1193" s="7"/>
      <c r="QSL1193" s="7"/>
      <c r="QSM1193" s="7"/>
      <c r="QSN1193" s="7"/>
      <c r="QSO1193" s="7"/>
      <c r="QSP1193" s="7"/>
      <c r="QSQ1193" s="7"/>
      <c r="QSR1193" s="7"/>
      <c r="QSS1193" s="7"/>
      <c r="QST1193" s="7"/>
      <c r="QSU1193" s="7"/>
      <c r="QSV1193" s="7"/>
      <c r="QSW1193" s="7"/>
      <c r="QSX1193" s="7"/>
      <c r="QSY1193" s="7"/>
      <c r="QSZ1193" s="7"/>
      <c r="QTA1193" s="7"/>
      <c r="QTB1193" s="7"/>
      <c r="QTC1193" s="7"/>
      <c r="QTD1193" s="7"/>
      <c r="QTE1193" s="7"/>
      <c r="QTF1193" s="7"/>
      <c r="QTG1193" s="7"/>
      <c r="QTH1193" s="7"/>
      <c r="QTI1193" s="7"/>
      <c r="QTJ1193" s="7"/>
      <c r="QTK1193" s="7"/>
      <c r="QTL1193" s="7"/>
      <c r="QTM1193" s="7"/>
      <c r="QTN1193" s="7"/>
      <c r="QTO1193" s="7"/>
      <c r="QTP1193" s="7"/>
      <c r="QTQ1193" s="7"/>
      <c r="QTR1193" s="7"/>
      <c r="QTS1193" s="7"/>
      <c r="QTT1193" s="7"/>
      <c r="QTU1193" s="7"/>
      <c r="QTV1193" s="7"/>
      <c r="QTW1193" s="7"/>
      <c r="QTX1193" s="7"/>
      <c r="QTY1193" s="7"/>
      <c r="QTZ1193" s="7"/>
      <c r="QUA1193" s="7"/>
      <c r="QUB1193" s="7"/>
      <c r="QUC1193" s="7"/>
      <c r="QUD1193" s="7"/>
      <c r="QUE1193" s="7"/>
      <c r="QUF1193" s="7"/>
      <c r="QUG1193" s="7"/>
      <c r="QUH1193" s="7"/>
      <c r="QUI1193" s="7"/>
      <c r="QUJ1193" s="7"/>
      <c r="QUK1193" s="7"/>
      <c r="QUL1193" s="7"/>
      <c r="QUM1193" s="7"/>
      <c r="QUN1193" s="7"/>
      <c r="QUO1193" s="7"/>
      <c r="QUP1193" s="7"/>
      <c r="QUQ1193" s="7"/>
      <c r="QUR1193" s="7"/>
      <c r="QUS1193" s="7"/>
      <c r="QUT1193" s="7"/>
      <c r="QUU1193" s="7"/>
      <c r="QUV1193" s="7"/>
      <c r="QUW1193" s="7"/>
      <c r="QUX1193" s="7"/>
      <c r="QUY1193" s="7"/>
      <c r="QUZ1193" s="7"/>
      <c r="QVA1193" s="7"/>
      <c r="QVB1193" s="7"/>
      <c r="QVC1193" s="7"/>
      <c r="QVD1193" s="7"/>
      <c r="QVE1193" s="7"/>
      <c r="QVF1193" s="7"/>
      <c r="QVG1193" s="7"/>
      <c r="QVH1193" s="7"/>
      <c r="QVI1193" s="7"/>
      <c r="QVJ1193" s="7"/>
      <c r="QVK1193" s="7"/>
      <c r="QVL1193" s="7"/>
      <c r="QVM1193" s="7"/>
      <c r="QVN1193" s="7"/>
      <c r="QVO1193" s="7"/>
      <c r="QVP1193" s="7"/>
      <c r="QVQ1193" s="7"/>
      <c r="QVR1193" s="7"/>
      <c r="QVS1193" s="7"/>
      <c r="QVT1193" s="7"/>
      <c r="QVU1193" s="7"/>
      <c r="QVV1193" s="7"/>
      <c r="QVW1193" s="7"/>
      <c r="QVX1193" s="7"/>
      <c r="QVY1193" s="7"/>
      <c r="QVZ1193" s="7"/>
      <c r="QWA1193" s="7"/>
      <c r="QWB1193" s="7"/>
      <c r="QWC1193" s="7"/>
      <c r="QWD1193" s="7"/>
      <c r="QWE1193" s="7"/>
      <c r="QWF1193" s="7"/>
      <c r="QWG1193" s="7"/>
      <c r="QWH1193" s="7"/>
      <c r="QWI1193" s="7"/>
      <c r="QWJ1193" s="7"/>
      <c r="QWK1193" s="7"/>
      <c r="QWL1193" s="7"/>
      <c r="QWM1193" s="7"/>
      <c r="QWN1193" s="7"/>
      <c r="QWO1193" s="7"/>
      <c r="QWP1193" s="7"/>
      <c r="QWQ1193" s="7"/>
      <c r="QWR1193" s="7"/>
      <c r="QWS1193" s="7"/>
      <c r="QWT1193" s="7"/>
      <c r="QWU1193" s="7"/>
      <c r="QWV1193" s="7"/>
      <c r="QWW1193" s="7"/>
      <c r="QWX1193" s="7"/>
      <c r="QWY1193" s="7"/>
      <c r="QWZ1193" s="7"/>
      <c r="QXA1193" s="7"/>
      <c r="QXB1193" s="7"/>
      <c r="QXC1193" s="7"/>
      <c r="QXD1193" s="7"/>
      <c r="QXE1193" s="7"/>
      <c r="QXF1193" s="7"/>
      <c r="QXG1193" s="7"/>
      <c r="QXH1193" s="7"/>
      <c r="QXI1193" s="7"/>
      <c r="QXJ1193" s="7"/>
      <c r="QXK1193" s="7"/>
      <c r="QXL1193" s="7"/>
      <c r="QXM1193" s="7"/>
      <c r="QXN1193" s="7"/>
      <c r="QXO1193" s="7"/>
      <c r="QXP1193" s="7"/>
      <c r="QXQ1193" s="7"/>
      <c r="QXR1193" s="7"/>
      <c r="QXS1193" s="7"/>
      <c r="QXT1193" s="7"/>
      <c r="QXU1193" s="7"/>
      <c r="QXV1193" s="7"/>
      <c r="QXW1193" s="7"/>
      <c r="QXX1193" s="7"/>
      <c r="QXY1193" s="7"/>
      <c r="QXZ1193" s="7"/>
      <c r="QYA1193" s="7"/>
      <c r="QYB1193" s="7"/>
      <c r="QYC1193" s="7"/>
      <c r="QYD1193" s="7"/>
      <c r="QYE1193" s="7"/>
      <c r="QYF1193" s="7"/>
      <c r="QYG1193" s="7"/>
      <c r="QYH1193" s="7"/>
      <c r="QYI1193" s="7"/>
      <c r="QYJ1193" s="7"/>
      <c r="QYK1193" s="7"/>
      <c r="QYL1193" s="7"/>
      <c r="QYM1193" s="7"/>
      <c r="QYN1193" s="7"/>
      <c r="QYO1193" s="7"/>
      <c r="QYP1193" s="7"/>
      <c r="QYQ1193" s="7"/>
      <c r="QYR1193" s="7"/>
      <c r="QYS1193" s="7"/>
      <c r="QYT1193" s="7"/>
      <c r="QYU1193" s="7"/>
      <c r="QYV1193" s="7"/>
      <c r="QYW1193" s="7"/>
      <c r="QYX1193" s="7"/>
      <c r="QYY1193" s="7"/>
      <c r="QYZ1193" s="7"/>
      <c r="QZA1193" s="7"/>
      <c r="QZB1193" s="7"/>
      <c r="QZC1193" s="7"/>
      <c r="QZD1193" s="7"/>
      <c r="QZE1193" s="7"/>
      <c r="QZF1193" s="7"/>
      <c r="QZG1193" s="7"/>
      <c r="QZH1193" s="7"/>
      <c r="QZI1193" s="7"/>
      <c r="QZJ1193" s="7"/>
      <c r="QZK1193" s="7"/>
      <c r="QZL1193" s="7"/>
      <c r="QZM1193" s="7"/>
      <c r="QZN1193" s="7"/>
      <c r="QZO1193" s="7"/>
      <c r="QZP1193" s="7"/>
      <c r="QZQ1193" s="7"/>
      <c r="QZR1193" s="7"/>
      <c r="QZS1193" s="7"/>
      <c r="QZT1193" s="7"/>
      <c r="QZU1193" s="7"/>
      <c r="QZV1193" s="7"/>
      <c r="QZW1193" s="7"/>
      <c r="QZX1193" s="7"/>
      <c r="QZY1193" s="7"/>
      <c r="QZZ1193" s="7"/>
      <c r="RAA1193" s="7"/>
      <c r="RAB1193" s="7"/>
      <c r="RAC1193" s="7"/>
      <c r="RAD1193" s="7"/>
      <c r="RAE1193" s="7"/>
      <c r="RAF1193" s="7"/>
      <c r="RAG1193" s="7"/>
      <c r="RAH1193" s="7"/>
      <c r="RAI1193" s="7"/>
      <c r="RAJ1193" s="7"/>
      <c r="RAK1193" s="7"/>
      <c r="RAL1193" s="7"/>
      <c r="RAM1193" s="7"/>
      <c r="RAN1193" s="7"/>
      <c r="RAO1193" s="7"/>
      <c r="RAP1193" s="7"/>
      <c r="RAQ1193" s="7"/>
      <c r="RAR1193" s="7"/>
      <c r="RAS1193" s="7"/>
      <c r="RAT1193" s="7"/>
      <c r="RAU1193" s="7"/>
      <c r="RAV1193" s="7"/>
      <c r="RAW1193" s="7"/>
      <c r="RAX1193" s="7"/>
      <c r="RAY1193" s="7"/>
      <c r="RAZ1193" s="7"/>
      <c r="RBA1193" s="7"/>
      <c r="RBB1193" s="7"/>
      <c r="RBC1193" s="7"/>
      <c r="RBD1193" s="7"/>
      <c r="RBE1193" s="7"/>
      <c r="RBF1193" s="7"/>
      <c r="RBG1193" s="7"/>
      <c r="RBH1193" s="7"/>
      <c r="RBI1193" s="7"/>
      <c r="RBJ1193" s="7"/>
      <c r="RBK1193" s="7"/>
      <c r="RBL1193" s="7"/>
      <c r="RBM1193" s="7"/>
      <c r="RBN1193" s="7"/>
      <c r="RBO1193" s="7"/>
      <c r="RBP1193" s="7"/>
      <c r="RBQ1193" s="7"/>
      <c r="RBR1193" s="7"/>
      <c r="RBS1193" s="7"/>
      <c r="RBT1193" s="7"/>
      <c r="RBU1193" s="7"/>
      <c r="RBV1193" s="7"/>
      <c r="RBW1193" s="7"/>
      <c r="RBX1193" s="7"/>
      <c r="RBY1193" s="7"/>
      <c r="RBZ1193" s="7"/>
      <c r="RCA1193" s="7"/>
      <c r="RCB1193" s="7"/>
      <c r="RCC1193" s="7"/>
      <c r="RCD1193" s="7"/>
      <c r="RCE1193" s="7"/>
      <c r="RCF1193" s="7"/>
      <c r="RCG1193" s="7"/>
      <c r="RCH1193" s="7"/>
      <c r="RCI1193" s="7"/>
      <c r="RCJ1193" s="7"/>
      <c r="RCK1193" s="7"/>
      <c r="RCL1193" s="7"/>
      <c r="RCM1193" s="7"/>
      <c r="RCN1193" s="7"/>
      <c r="RCO1193" s="7"/>
      <c r="RCP1193" s="7"/>
      <c r="RCQ1193" s="7"/>
      <c r="RCR1193" s="7"/>
      <c r="RCS1193" s="7"/>
      <c r="RCT1193" s="7"/>
      <c r="RCU1193" s="7"/>
      <c r="RCV1193" s="7"/>
      <c r="RCW1193" s="7"/>
      <c r="RCX1193" s="7"/>
      <c r="RCY1193" s="7"/>
      <c r="RCZ1193" s="7"/>
      <c r="RDA1193" s="7"/>
      <c r="RDB1193" s="7"/>
      <c r="RDC1193" s="7"/>
      <c r="RDD1193" s="7"/>
      <c r="RDE1193" s="7"/>
      <c r="RDF1193" s="7"/>
      <c r="RDG1193" s="7"/>
      <c r="RDH1193" s="7"/>
      <c r="RDI1193" s="7"/>
      <c r="RDJ1193" s="7"/>
      <c r="RDK1193" s="7"/>
      <c r="RDL1193" s="7"/>
      <c r="RDM1193" s="7"/>
      <c r="RDN1193" s="7"/>
      <c r="RDO1193" s="7"/>
      <c r="RDP1193" s="7"/>
      <c r="RDQ1193" s="7"/>
      <c r="RDR1193" s="7"/>
      <c r="RDS1193" s="7"/>
      <c r="RDT1193" s="7"/>
      <c r="RDU1193" s="7"/>
      <c r="RDV1193" s="7"/>
      <c r="RDW1193" s="7"/>
      <c r="RDX1193" s="7"/>
      <c r="RDY1193" s="7"/>
      <c r="RDZ1193" s="7"/>
      <c r="REA1193" s="7"/>
      <c r="REB1193" s="7"/>
      <c r="REC1193" s="7"/>
      <c r="RED1193" s="7"/>
      <c r="REE1193" s="7"/>
      <c r="REF1193" s="7"/>
      <c r="REG1193" s="7"/>
      <c r="REH1193" s="7"/>
      <c r="REI1193" s="7"/>
      <c r="REJ1193" s="7"/>
      <c r="REK1193" s="7"/>
      <c r="REL1193" s="7"/>
      <c r="REM1193" s="7"/>
      <c r="REN1193" s="7"/>
      <c r="REO1193" s="7"/>
      <c r="REP1193" s="7"/>
      <c r="REQ1193" s="7"/>
      <c r="RER1193" s="7"/>
      <c r="RES1193" s="7"/>
      <c r="RET1193" s="7"/>
      <c r="REU1193" s="7"/>
      <c r="REV1193" s="7"/>
      <c r="REW1193" s="7"/>
      <c r="REX1193" s="7"/>
      <c r="REY1193" s="7"/>
      <c r="REZ1193" s="7"/>
      <c r="RFA1193" s="7"/>
      <c r="RFB1193" s="7"/>
      <c r="RFC1193" s="7"/>
      <c r="RFD1193" s="7"/>
      <c r="RFE1193" s="7"/>
      <c r="RFF1193" s="7"/>
      <c r="RFG1193" s="7"/>
      <c r="RFH1193" s="7"/>
      <c r="RFI1193" s="7"/>
      <c r="RFJ1193" s="7"/>
      <c r="RFK1193" s="7"/>
      <c r="RFL1193" s="7"/>
      <c r="RFM1193" s="7"/>
      <c r="RFN1193" s="7"/>
      <c r="RFO1193" s="7"/>
      <c r="RFP1193" s="7"/>
      <c r="RFQ1193" s="7"/>
      <c r="RFR1193" s="7"/>
      <c r="RFS1193" s="7"/>
      <c r="RFT1193" s="7"/>
      <c r="RFU1193" s="7"/>
      <c r="RFV1193" s="7"/>
      <c r="RFW1193" s="7"/>
      <c r="RFX1193" s="7"/>
      <c r="RFY1193" s="7"/>
      <c r="RFZ1193" s="7"/>
      <c r="RGA1193" s="7"/>
      <c r="RGB1193" s="7"/>
      <c r="RGC1193" s="7"/>
      <c r="RGD1193" s="7"/>
      <c r="RGE1193" s="7"/>
      <c r="RGF1193" s="7"/>
      <c r="RGG1193" s="7"/>
      <c r="RGH1193" s="7"/>
      <c r="RGI1193" s="7"/>
      <c r="RGJ1193" s="7"/>
      <c r="RGK1193" s="7"/>
      <c r="RGL1193" s="7"/>
      <c r="RGM1193" s="7"/>
      <c r="RGN1193" s="7"/>
      <c r="RGO1193" s="7"/>
      <c r="RGP1193" s="7"/>
      <c r="RGQ1193" s="7"/>
      <c r="RGR1193" s="7"/>
      <c r="RGS1193" s="7"/>
      <c r="RGT1193" s="7"/>
      <c r="RGU1193" s="7"/>
      <c r="RGV1193" s="7"/>
      <c r="RGW1193" s="7"/>
      <c r="RGX1193" s="7"/>
      <c r="RGY1193" s="7"/>
      <c r="RGZ1193" s="7"/>
      <c r="RHA1193" s="7"/>
      <c r="RHB1193" s="7"/>
      <c r="RHC1193" s="7"/>
      <c r="RHD1193" s="7"/>
      <c r="RHE1193" s="7"/>
      <c r="RHF1193" s="7"/>
      <c r="RHG1193" s="7"/>
      <c r="RHH1193" s="7"/>
      <c r="RHI1193" s="7"/>
      <c r="RHJ1193" s="7"/>
      <c r="RHK1193" s="7"/>
      <c r="RHL1193" s="7"/>
      <c r="RHM1193" s="7"/>
      <c r="RHN1193" s="7"/>
      <c r="RHO1193" s="7"/>
      <c r="RHP1193" s="7"/>
      <c r="RHQ1193" s="7"/>
      <c r="RHR1193" s="7"/>
      <c r="RHS1193" s="7"/>
      <c r="RHT1193" s="7"/>
      <c r="RHU1193" s="7"/>
      <c r="RHV1193" s="7"/>
      <c r="RHW1193" s="7"/>
      <c r="RHX1193" s="7"/>
      <c r="RHY1193" s="7"/>
      <c r="RHZ1193" s="7"/>
      <c r="RIA1193" s="7"/>
      <c r="RIB1193" s="7"/>
      <c r="RIC1193" s="7"/>
      <c r="RID1193" s="7"/>
      <c r="RIE1193" s="7"/>
      <c r="RIF1193" s="7"/>
      <c r="RIG1193" s="7"/>
      <c r="RIH1193" s="7"/>
      <c r="RII1193" s="7"/>
      <c r="RIJ1193" s="7"/>
      <c r="RIK1193" s="7"/>
      <c r="RIL1193" s="7"/>
      <c r="RIM1193" s="7"/>
      <c r="RIN1193" s="7"/>
      <c r="RIO1193" s="7"/>
      <c r="RIP1193" s="7"/>
      <c r="RIQ1193" s="7"/>
      <c r="RIR1193" s="7"/>
      <c r="RIS1193" s="7"/>
      <c r="RIT1193" s="7"/>
      <c r="RIU1193" s="7"/>
      <c r="RIV1193" s="7"/>
      <c r="RIW1193" s="7"/>
      <c r="RIX1193" s="7"/>
      <c r="RIY1193" s="7"/>
      <c r="RIZ1193" s="7"/>
      <c r="RJA1193" s="7"/>
      <c r="RJB1193" s="7"/>
      <c r="RJC1193" s="7"/>
      <c r="RJD1193" s="7"/>
      <c r="RJE1193" s="7"/>
      <c r="RJF1193" s="7"/>
      <c r="RJG1193" s="7"/>
      <c r="RJH1193" s="7"/>
      <c r="RJI1193" s="7"/>
      <c r="RJJ1193" s="7"/>
      <c r="RJK1193" s="7"/>
      <c r="RJL1193" s="7"/>
      <c r="RJM1193" s="7"/>
      <c r="RJN1193" s="7"/>
      <c r="RJO1193" s="7"/>
      <c r="RJP1193" s="7"/>
      <c r="RJQ1193" s="7"/>
      <c r="RJR1193" s="7"/>
      <c r="RJS1193" s="7"/>
      <c r="RJT1193" s="7"/>
      <c r="RJU1193" s="7"/>
      <c r="RJV1193" s="7"/>
      <c r="RJW1193" s="7"/>
      <c r="RJX1193" s="7"/>
      <c r="RJY1193" s="7"/>
      <c r="RJZ1193" s="7"/>
      <c r="RKA1193" s="7"/>
      <c r="RKB1193" s="7"/>
      <c r="RKC1193" s="7"/>
      <c r="RKD1193" s="7"/>
      <c r="RKE1193" s="7"/>
      <c r="RKF1193" s="7"/>
      <c r="RKG1193" s="7"/>
      <c r="RKH1193" s="7"/>
      <c r="RKI1193" s="7"/>
      <c r="RKJ1193" s="7"/>
      <c r="RKK1193" s="7"/>
      <c r="RKL1193" s="7"/>
      <c r="RKM1193" s="7"/>
      <c r="RKN1193" s="7"/>
      <c r="RKO1193" s="7"/>
      <c r="RKP1193" s="7"/>
      <c r="RKQ1193" s="7"/>
      <c r="RKR1193" s="7"/>
      <c r="RKS1193" s="7"/>
      <c r="RKT1193" s="7"/>
      <c r="RKU1193" s="7"/>
      <c r="RKV1193" s="7"/>
      <c r="RKW1193" s="7"/>
      <c r="RKX1193" s="7"/>
      <c r="RKY1193" s="7"/>
      <c r="RKZ1193" s="7"/>
      <c r="RLA1193" s="7"/>
      <c r="RLB1193" s="7"/>
      <c r="RLC1193" s="7"/>
      <c r="RLD1193" s="7"/>
      <c r="RLE1193" s="7"/>
      <c r="RLF1193" s="7"/>
      <c r="RLG1193" s="7"/>
      <c r="RLH1193" s="7"/>
      <c r="RLI1193" s="7"/>
      <c r="RLJ1193" s="7"/>
      <c r="RLK1193" s="7"/>
      <c r="RLL1193" s="7"/>
      <c r="RLM1193" s="7"/>
      <c r="RLN1193" s="7"/>
      <c r="RLO1193" s="7"/>
      <c r="RLP1193" s="7"/>
      <c r="RLQ1193" s="7"/>
      <c r="RLR1193" s="7"/>
      <c r="RLS1193" s="7"/>
      <c r="RLT1193" s="7"/>
      <c r="RLU1193" s="7"/>
      <c r="RLV1193" s="7"/>
      <c r="RLW1193" s="7"/>
      <c r="RLX1193" s="7"/>
      <c r="RLY1193" s="7"/>
      <c r="RLZ1193" s="7"/>
      <c r="RMA1193" s="7"/>
      <c r="RMB1193" s="7"/>
      <c r="RMC1193" s="7"/>
      <c r="RMD1193" s="7"/>
      <c r="RME1193" s="7"/>
      <c r="RMF1193" s="7"/>
      <c r="RMG1193" s="7"/>
      <c r="RMH1193" s="7"/>
      <c r="RMI1193" s="7"/>
      <c r="RMJ1193" s="7"/>
      <c r="RMK1193" s="7"/>
      <c r="RML1193" s="7"/>
      <c r="RMM1193" s="7"/>
      <c r="RMN1193" s="7"/>
      <c r="RMO1193" s="7"/>
      <c r="RMP1193" s="7"/>
      <c r="RMQ1193" s="7"/>
      <c r="RMR1193" s="7"/>
      <c r="RMS1193" s="7"/>
      <c r="RMT1193" s="7"/>
      <c r="RMU1193" s="7"/>
      <c r="RMV1193" s="7"/>
      <c r="RMW1193" s="7"/>
      <c r="RMX1193" s="7"/>
      <c r="RMY1193" s="7"/>
      <c r="RMZ1193" s="7"/>
      <c r="RNA1193" s="7"/>
      <c r="RNB1193" s="7"/>
      <c r="RNC1193" s="7"/>
      <c r="RND1193" s="7"/>
      <c r="RNE1193" s="7"/>
      <c r="RNF1193" s="7"/>
      <c r="RNG1193" s="7"/>
      <c r="RNH1193" s="7"/>
      <c r="RNI1193" s="7"/>
      <c r="RNJ1193" s="7"/>
      <c r="RNK1193" s="7"/>
      <c r="RNL1193" s="7"/>
      <c r="RNM1193" s="7"/>
      <c r="RNN1193" s="7"/>
      <c r="RNO1193" s="7"/>
      <c r="RNP1193" s="7"/>
      <c r="RNQ1193" s="7"/>
      <c r="RNR1193" s="7"/>
      <c r="RNS1193" s="7"/>
      <c r="RNT1193" s="7"/>
      <c r="RNU1193" s="7"/>
      <c r="RNV1193" s="7"/>
      <c r="RNW1193" s="7"/>
      <c r="RNX1193" s="7"/>
      <c r="RNY1193" s="7"/>
      <c r="RNZ1193" s="7"/>
      <c r="ROA1193" s="7"/>
      <c r="ROB1193" s="7"/>
      <c r="ROC1193" s="7"/>
      <c r="ROD1193" s="7"/>
      <c r="ROE1193" s="7"/>
      <c r="ROF1193" s="7"/>
      <c r="ROG1193" s="7"/>
      <c r="ROH1193" s="7"/>
      <c r="ROI1193" s="7"/>
      <c r="ROJ1193" s="7"/>
      <c r="ROK1193" s="7"/>
      <c r="ROL1193" s="7"/>
      <c r="ROM1193" s="7"/>
      <c r="RON1193" s="7"/>
      <c r="ROO1193" s="7"/>
      <c r="ROP1193" s="7"/>
      <c r="ROQ1193" s="7"/>
      <c r="ROR1193" s="7"/>
      <c r="ROS1193" s="7"/>
      <c r="ROT1193" s="7"/>
      <c r="ROU1193" s="7"/>
      <c r="ROV1193" s="7"/>
      <c r="ROW1193" s="7"/>
      <c r="ROX1193" s="7"/>
      <c r="ROY1193" s="7"/>
      <c r="ROZ1193" s="7"/>
      <c r="RPA1193" s="7"/>
      <c r="RPB1193" s="7"/>
      <c r="RPC1193" s="7"/>
      <c r="RPD1193" s="7"/>
      <c r="RPE1193" s="7"/>
      <c r="RPF1193" s="7"/>
      <c r="RPG1193" s="7"/>
      <c r="RPH1193" s="7"/>
      <c r="RPI1193" s="7"/>
      <c r="RPJ1193" s="7"/>
      <c r="RPK1193" s="7"/>
      <c r="RPL1193" s="7"/>
      <c r="RPM1193" s="7"/>
      <c r="RPN1193" s="7"/>
      <c r="RPO1193" s="7"/>
      <c r="RPP1193" s="7"/>
      <c r="RPQ1193" s="7"/>
      <c r="RPR1193" s="7"/>
      <c r="RPS1193" s="7"/>
      <c r="RPT1193" s="7"/>
      <c r="RPU1193" s="7"/>
      <c r="RPV1193" s="7"/>
      <c r="RPW1193" s="7"/>
      <c r="RPX1193" s="7"/>
      <c r="RPY1193" s="7"/>
      <c r="RPZ1193" s="7"/>
      <c r="RQA1193" s="7"/>
      <c r="RQB1193" s="7"/>
      <c r="RQC1193" s="7"/>
      <c r="RQD1193" s="7"/>
      <c r="RQE1193" s="7"/>
      <c r="RQF1193" s="7"/>
      <c r="RQG1193" s="7"/>
      <c r="RQH1193" s="7"/>
      <c r="RQI1193" s="7"/>
      <c r="RQJ1193" s="7"/>
      <c r="RQK1193" s="7"/>
      <c r="RQL1193" s="7"/>
      <c r="RQM1193" s="7"/>
      <c r="RQN1193" s="7"/>
      <c r="RQO1193" s="7"/>
      <c r="RQP1193" s="7"/>
      <c r="RQQ1193" s="7"/>
      <c r="RQR1193" s="7"/>
      <c r="RQS1193" s="7"/>
      <c r="RQT1193" s="7"/>
      <c r="RQU1193" s="7"/>
      <c r="RQV1193" s="7"/>
      <c r="RQW1193" s="7"/>
      <c r="RQX1193" s="7"/>
      <c r="RQY1193" s="7"/>
      <c r="RQZ1193" s="7"/>
      <c r="RRA1193" s="7"/>
      <c r="RRB1193" s="7"/>
      <c r="RRC1193" s="7"/>
      <c r="RRD1193" s="7"/>
      <c r="RRE1193" s="7"/>
      <c r="RRF1193" s="7"/>
      <c r="RRG1193" s="7"/>
      <c r="RRH1193" s="7"/>
      <c r="RRI1193" s="7"/>
      <c r="RRJ1193" s="7"/>
      <c r="RRK1193" s="7"/>
      <c r="RRL1193" s="7"/>
      <c r="RRM1193" s="7"/>
      <c r="RRN1193" s="7"/>
      <c r="RRO1193" s="7"/>
      <c r="RRP1193" s="7"/>
      <c r="RRQ1193" s="7"/>
      <c r="RRR1193" s="7"/>
      <c r="RRS1193" s="7"/>
      <c r="RRT1193" s="7"/>
      <c r="RRU1193" s="7"/>
      <c r="RRV1193" s="7"/>
      <c r="RRW1193" s="7"/>
      <c r="RRX1193" s="7"/>
      <c r="RRY1193" s="7"/>
      <c r="RRZ1193" s="7"/>
      <c r="RSA1193" s="7"/>
      <c r="RSB1193" s="7"/>
      <c r="RSC1193" s="7"/>
      <c r="RSD1193" s="7"/>
      <c r="RSE1193" s="7"/>
      <c r="RSF1193" s="7"/>
      <c r="RSG1193" s="7"/>
      <c r="RSH1193" s="7"/>
      <c r="RSI1193" s="7"/>
      <c r="RSJ1193" s="7"/>
      <c r="RSK1193" s="7"/>
      <c r="RSL1193" s="7"/>
      <c r="RSM1193" s="7"/>
      <c r="RSN1193" s="7"/>
      <c r="RSO1193" s="7"/>
      <c r="RSP1193" s="7"/>
      <c r="RSQ1193" s="7"/>
      <c r="RSR1193" s="7"/>
      <c r="RSS1193" s="7"/>
      <c r="RST1193" s="7"/>
      <c r="RSU1193" s="7"/>
      <c r="RSV1193" s="7"/>
      <c r="RSW1193" s="7"/>
      <c r="RSX1193" s="7"/>
      <c r="RSY1193" s="7"/>
      <c r="RSZ1193" s="7"/>
      <c r="RTA1193" s="7"/>
      <c r="RTB1193" s="7"/>
      <c r="RTC1193" s="7"/>
      <c r="RTD1193" s="7"/>
      <c r="RTE1193" s="7"/>
      <c r="RTF1193" s="7"/>
      <c r="RTG1193" s="7"/>
      <c r="RTH1193" s="7"/>
      <c r="RTI1193" s="7"/>
      <c r="RTJ1193" s="7"/>
      <c r="RTK1193" s="7"/>
      <c r="RTL1193" s="7"/>
      <c r="RTM1193" s="7"/>
      <c r="RTN1193" s="7"/>
      <c r="RTO1193" s="7"/>
      <c r="RTP1193" s="7"/>
      <c r="RTQ1193" s="7"/>
      <c r="RTR1193" s="7"/>
      <c r="RTS1193" s="7"/>
      <c r="RTT1193" s="7"/>
      <c r="RTU1193" s="7"/>
      <c r="RTV1193" s="7"/>
      <c r="RTW1193" s="7"/>
      <c r="RTX1193" s="7"/>
      <c r="RTY1193" s="7"/>
      <c r="RTZ1193" s="7"/>
      <c r="RUA1193" s="7"/>
      <c r="RUB1193" s="7"/>
      <c r="RUC1193" s="7"/>
      <c r="RUD1193" s="7"/>
      <c r="RUE1193" s="7"/>
      <c r="RUF1193" s="7"/>
      <c r="RUG1193" s="7"/>
      <c r="RUH1193" s="7"/>
      <c r="RUI1193" s="7"/>
      <c r="RUJ1193" s="7"/>
      <c r="RUK1193" s="7"/>
      <c r="RUL1193" s="7"/>
      <c r="RUM1193" s="7"/>
      <c r="RUN1193" s="7"/>
      <c r="RUO1193" s="7"/>
      <c r="RUP1193" s="7"/>
      <c r="RUQ1193" s="7"/>
      <c r="RUR1193" s="7"/>
      <c r="RUS1193" s="7"/>
      <c r="RUT1193" s="7"/>
      <c r="RUU1193" s="7"/>
      <c r="RUV1193" s="7"/>
      <c r="RUW1193" s="7"/>
      <c r="RUX1193" s="7"/>
      <c r="RUY1193" s="7"/>
      <c r="RUZ1193" s="7"/>
      <c r="RVA1193" s="7"/>
      <c r="RVB1193" s="7"/>
      <c r="RVC1193" s="7"/>
      <c r="RVD1193" s="7"/>
      <c r="RVE1193" s="7"/>
      <c r="RVF1193" s="7"/>
      <c r="RVG1193" s="7"/>
      <c r="RVH1193" s="7"/>
      <c r="RVI1193" s="7"/>
      <c r="RVJ1193" s="7"/>
      <c r="RVK1193" s="7"/>
      <c r="RVL1193" s="7"/>
      <c r="RVM1193" s="7"/>
      <c r="RVN1193" s="7"/>
      <c r="RVO1193" s="7"/>
      <c r="RVP1193" s="7"/>
      <c r="RVQ1193" s="7"/>
      <c r="RVR1193" s="7"/>
      <c r="RVS1193" s="7"/>
      <c r="RVT1193" s="7"/>
      <c r="RVU1193" s="7"/>
      <c r="RVV1193" s="7"/>
      <c r="RVW1193" s="7"/>
      <c r="RVX1193" s="7"/>
      <c r="RVY1193" s="7"/>
      <c r="RVZ1193" s="7"/>
      <c r="RWA1193" s="7"/>
      <c r="RWB1193" s="7"/>
      <c r="RWC1193" s="7"/>
      <c r="RWD1193" s="7"/>
      <c r="RWE1193" s="7"/>
      <c r="RWF1193" s="7"/>
      <c r="RWG1193" s="7"/>
      <c r="RWH1193" s="7"/>
      <c r="RWI1193" s="7"/>
      <c r="RWJ1193" s="7"/>
      <c r="RWK1193" s="7"/>
      <c r="RWL1193" s="7"/>
      <c r="RWM1193" s="7"/>
      <c r="RWN1193" s="7"/>
      <c r="RWO1193" s="7"/>
      <c r="RWP1193" s="7"/>
      <c r="RWQ1193" s="7"/>
      <c r="RWR1193" s="7"/>
      <c r="RWS1193" s="7"/>
      <c r="RWT1193" s="7"/>
      <c r="RWU1193" s="7"/>
      <c r="RWV1193" s="7"/>
      <c r="RWW1193" s="7"/>
      <c r="RWX1193" s="7"/>
      <c r="RWY1193" s="7"/>
      <c r="RWZ1193" s="7"/>
      <c r="RXA1193" s="7"/>
      <c r="RXB1193" s="7"/>
      <c r="RXC1193" s="7"/>
      <c r="RXD1193" s="7"/>
      <c r="RXE1193" s="7"/>
      <c r="RXF1193" s="7"/>
      <c r="RXG1193" s="7"/>
      <c r="RXH1193" s="7"/>
      <c r="RXI1193" s="7"/>
      <c r="RXJ1193" s="7"/>
      <c r="RXK1193" s="7"/>
      <c r="RXL1193" s="7"/>
      <c r="RXM1193" s="7"/>
      <c r="RXN1193" s="7"/>
      <c r="RXO1193" s="7"/>
      <c r="RXP1193" s="7"/>
      <c r="RXQ1193" s="7"/>
      <c r="RXR1193" s="7"/>
      <c r="RXS1193" s="7"/>
      <c r="RXT1193" s="7"/>
      <c r="RXU1193" s="7"/>
      <c r="RXV1193" s="7"/>
      <c r="RXW1193" s="7"/>
      <c r="RXX1193" s="7"/>
      <c r="RXY1193" s="7"/>
      <c r="RXZ1193" s="7"/>
      <c r="RYA1193" s="7"/>
      <c r="RYB1193" s="7"/>
      <c r="RYC1193" s="7"/>
      <c r="RYD1193" s="7"/>
      <c r="RYE1193" s="7"/>
      <c r="RYF1193" s="7"/>
      <c r="RYG1193" s="7"/>
      <c r="RYH1193" s="7"/>
      <c r="RYI1193" s="7"/>
      <c r="RYJ1193" s="7"/>
      <c r="RYK1193" s="7"/>
      <c r="RYL1193" s="7"/>
      <c r="RYM1193" s="7"/>
      <c r="RYN1193" s="7"/>
      <c r="RYO1193" s="7"/>
      <c r="RYP1193" s="7"/>
      <c r="RYQ1193" s="7"/>
      <c r="RYR1193" s="7"/>
      <c r="RYS1193" s="7"/>
      <c r="RYT1193" s="7"/>
      <c r="RYU1193" s="7"/>
      <c r="RYV1193" s="7"/>
      <c r="RYW1193" s="7"/>
      <c r="RYX1193" s="7"/>
      <c r="RYY1193" s="7"/>
      <c r="RYZ1193" s="7"/>
      <c r="RZA1193" s="7"/>
      <c r="RZB1193" s="7"/>
      <c r="RZC1193" s="7"/>
      <c r="RZD1193" s="7"/>
      <c r="RZE1193" s="7"/>
      <c r="RZF1193" s="7"/>
      <c r="RZG1193" s="7"/>
      <c r="RZH1193" s="7"/>
      <c r="RZI1193" s="7"/>
      <c r="RZJ1193" s="7"/>
      <c r="RZK1193" s="7"/>
      <c r="RZL1193" s="7"/>
      <c r="RZM1193" s="7"/>
      <c r="RZN1193" s="7"/>
      <c r="RZO1193" s="7"/>
      <c r="RZP1193" s="7"/>
      <c r="RZQ1193" s="7"/>
      <c r="RZR1193" s="7"/>
      <c r="RZS1193" s="7"/>
      <c r="RZT1193" s="7"/>
      <c r="RZU1193" s="7"/>
      <c r="RZV1193" s="7"/>
      <c r="RZW1193" s="7"/>
      <c r="RZX1193" s="7"/>
      <c r="RZY1193" s="7"/>
      <c r="RZZ1193" s="7"/>
      <c r="SAA1193" s="7"/>
      <c r="SAB1193" s="7"/>
      <c r="SAC1193" s="7"/>
      <c r="SAD1193" s="7"/>
      <c r="SAE1193" s="7"/>
      <c r="SAF1193" s="7"/>
      <c r="SAG1193" s="7"/>
      <c r="SAH1193" s="7"/>
      <c r="SAI1193" s="7"/>
      <c r="SAJ1193" s="7"/>
      <c r="SAK1193" s="7"/>
      <c r="SAL1193" s="7"/>
      <c r="SAM1193" s="7"/>
      <c r="SAN1193" s="7"/>
      <c r="SAO1193" s="7"/>
      <c r="SAP1193" s="7"/>
      <c r="SAQ1193" s="7"/>
      <c r="SAR1193" s="7"/>
      <c r="SAS1193" s="7"/>
      <c r="SAT1193" s="7"/>
      <c r="SAU1193" s="7"/>
      <c r="SAV1193" s="7"/>
      <c r="SAW1193" s="7"/>
      <c r="SAX1193" s="7"/>
      <c r="SAY1193" s="7"/>
      <c r="SAZ1193" s="7"/>
      <c r="SBA1193" s="7"/>
      <c r="SBB1193" s="7"/>
      <c r="SBC1193" s="7"/>
      <c r="SBD1193" s="7"/>
      <c r="SBE1193" s="7"/>
      <c r="SBF1193" s="7"/>
      <c r="SBG1193" s="7"/>
      <c r="SBH1193" s="7"/>
      <c r="SBI1193" s="7"/>
      <c r="SBJ1193" s="7"/>
      <c r="SBK1193" s="7"/>
      <c r="SBL1193" s="7"/>
      <c r="SBM1193" s="7"/>
      <c r="SBN1193" s="7"/>
      <c r="SBO1193" s="7"/>
      <c r="SBP1193" s="7"/>
      <c r="SBQ1193" s="7"/>
      <c r="SBR1193" s="7"/>
      <c r="SBS1193" s="7"/>
      <c r="SBT1193" s="7"/>
      <c r="SBU1193" s="7"/>
      <c r="SBV1193" s="7"/>
      <c r="SBW1193" s="7"/>
      <c r="SBX1193" s="7"/>
      <c r="SBY1193" s="7"/>
      <c r="SBZ1193" s="7"/>
      <c r="SCA1193" s="7"/>
      <c r="SCB1193" s="7"/>
      <c r="SCC1193" s="7"/>
      <c r="SCD1193" s="7"/>
      <c r="SCE1193" s="7"/>
      <c r="SCF1193" s="7"/>
      <c r="SCG1193" s="7"/>
      <c r="SCH1193" s="7"/>
      <c r="SCI1193" s="7"/>
      <c r="SCJ1193" s="7"/>
      <c r="SCK1193" s="7"/>
      <c r="SCL1193" s="7"/>
      <c r="SCM1193" s="7"/>
      <c r="SCN1193" s="7"/>
      <c r="SCO1193" s="7"/>
      <c r="SCP1193" s="7"/>
      <c r="SCQ1193" s="7"/>
      <c r="SCR1193" s="7"/>
      <c r="SCS1193" s="7"/>
      <c r="SCT1193" s="7"/>
      <c r="SCU1193" s="7"/>
      <c r="SCV1193" s="7"/>
      <c r="SCW1193" s="7"/>
      <c r="SCX1193" s="7"/>
      <c r="SCY1193" s="7"/>
      <c r="SCZ1193" s="7"/>
      <c r="SDA1193" s="7"/>
      <c r="SDB1193" s="7"/>
      <c r="SDC1193" s="7"/>
      <c r="SDD1193" s="7"/>
      <c r="SDE1193" s="7"/>
      <c r="SDF1193" s="7"/>
      <c r="SDG1193" s="7"/>
      <c r="SDH1193" s="7"/>
      <c r="SDI1193" s="7"/>
      <c r="SDJ1193" s="7"/>
      <c r="SDK1193" s="7"/>
      <c r="SDL1193" s="7"/>
      <c r="SDM1193" s="7"/>
      <c r="SDN1193" s="7"/>
      <c r="SDO1193" s="7"/>
      <c r="SDP1193" s="7"/>
      <c r="SDQ1193" s="7"/>
      <c r="SDR1193" s="7"/>
      <c r="SDS1193" s="7"/>
      <c r="SDT1193" s="7"/>
      <c r="SDU1193" s="7"/>
      <c r="SDV1193" s="7"/>
      <c r="SDW1193" s="7"/>
      <c r="SDX1193" s="7"/>
      <c r="SDY1193" s="7"/>
      <c r="SDZ1193" s="7"/>
      <c r="SEA1193" s="7"/>
      <c r="SEB1193" s="7"/>
      <c r="SEC1193" s="7"/>
      <c r="SED1193" s="7"/>
      <c r="SEE1193" s="7"/>
      <c r="SEF1193" s="7"/>
      <c r="SEG1193" s="7"/>
      <c r="SEH1193" s="7"/>
      <c r="SEI1193" s="7"/>
      <c r="SEJ1193" s="7"/>
      <c r="SEK1193" s="7"/>
      <c r="SEL1193" s="7"/>
      <c r="SEM1193" s="7"/>
      <c r="SEN1193" s="7"/>
      <c r="SEO1193" s="7"/>
      <c r="SEP1193" s="7"/>
      <c r="SEQ1193" s="7"/>
      <c r="SER1193" s="7"/>
      <c r="SES1193" s="7"/>
      <c r="SET1193" s="7"/>
      <c r="SEU1193" s="7"/>
      <c r="SEV1193" s="7"/>
      <c r="SEW1193" s="7"/>
      <c r="SEX1193" s="7"/>
      <c r="SEY1193" s="7"/>
      <c r="SEZ1193" s="7"/>
      <c r="SFA1193" s="7"/>
      <c r="SFB1193" s="7"/>
      <c r="SFC1193" s="7"/>
      <c r="SFD1193" s="7"/>
      <c r="SFE1193" s="7"/>
      <c r="SFF1193" s="7"/>
      <c r="SFG1193" s="7"/>
      <c r="SFH1193" s="7"/>
      <c r="SFI1193" s="7"/>
      <c r="SFJ1193" s="7"/>
      <c r="SFK1193" s="7"/>
      <c r="SFL1193" s="7"/>
      <c r="SFM1193" s="7"/>
      <c r="SFN1193" s="7"/>
      <c r="SFO1193" s="7"/>
      <c r="SFP1193" s="7"/>
      <c r="SFQ1193" s="7"/>
      <c r="SFR1193" s="7"/>
      <c r="SFS1193" s="7"/>
      <c r="SFT1193" s="7"/>
      <c r="SFU1193" s="7"/>
      <c r="SFV1193" s="7"/>
      <c r="SFW1193" s="7"/>
      <c r="SFX1193" s="7"/>
      <c r="SFY1193" s="7"/>
      <c r="SFZ1193" s="7"/>
      <c r="SGA1193" s="7"/>
      <c r="SGB1193" s="7"/>
      <c r="SGC1193" s="7"/>
      <c r="SGD1193" s="7"/>
      <c r="SGE1193" s="7"/>
      <c r="SGF1193" s="7"/>
      <c r="SGG1193" s="7"/>
      <c r="SGH1193" s="7"/>
      <c r="SGI1193" s="7"/>
      <c r="SGJ1193" s="7"/>
      <c r="SGK1193" s="7"/>
      <c r="SGL1193" s="7"/>
      <c r="SGM1193" s="7"/>
      <c r="SGN1193" s="7"/>
      <c r="SGO1193" s="7"/>
      <c r="SGP1193" s="7"/>
      <c r="SGQ1193" s="7"/>
      <c r="SGR1193" s="7"/>
      <c r="SGS1193" s="7"/>
      <c r="SGT1193" s="7"/>
      <c r="SGU1193" s="7"/>
      <c r="SGV1193" s="7"/>
      <c r="SGW1193" s="7"/>
      <c r="SGX1193" s="7"/>
      <c r="SGY1193" s="7"/>
      <c r="SGZ1193" s="7"/>
      <c r="SHA1193" s="7"/>
      <c r="SHB1193" s="7"/>
      <c r="SHC1193" s="7"/>
      <c r="SHD1193" s="7"/>
      <c r="SHE1193" s="7"/>
      <c r="SHF1193" s="7"/>
      <c r="SHG1193" s="7"/>
      <c r="SHH1193" s="7"/>
      <c r="SHI1193" s="7"/>
      <c r="SHJ1193" s="7"/>
      <c r="SHK1193" s="7"/>
      <c r="SHL1193" s="7"/>
      <c r="SHM1193" s="7"/>
      <c r="SHN1193" s="7"/>
      <c r="SHO1193" s="7"/>
      <c r="SHP1193" s="7"/>
      <c r="SHQ1193" s="7"/>
      <c r="SHR1193" s="7"/>
      <c r="SHS1193" s="7"/>
      <c r="SHT1193" s="7"/>
      <c r="SHU1193" s="7"/>
      <c r="SHV1193" s="7"/>
      <c r="SHW1193" s="7"/>
      <c r="SHX1193" s="7"/>
      <c r="SHY1193" s="7"/>
      <c r="SHZ1193" s="7"/>
      <c r="SIA1193" s="7"/>
      <c r="SIB1193" s="7"/>
      <c r="SIC1193" s="7"/>
      <c r="SID1193" s="7"/>
      <c r="SIE1193" s="7"/>
      <c r="SIF1193" s="7"/>
      <c r="SIG1193" s="7"/>
      <c r="SIH1193" s="7"/>
      <c r="SII1193" s="7"/>
      <c r="SIJ1193" s="7"/>
      <c r="SIK1193" s="7"/>
      <c r="SIL1193" s="7"/>
      <c r="SIM1193" s="7"/>
      <c r="SIN1193" s="7"/>
      <c r="SIO1193" s="7"/>
      <c r="SIP1193" s="7"/>
      <c r="SIQ1193" s="7"/>
      <c r="SIR1193" s="7"/>
      <c r="SIS1193" s="7"/>
      <c r="SIT1193" s="7"/>
      <c r="SIU1193" s="7"/>
      <c r="SIV1193" s="7"/>
      <c r="SIW1193" s="7"/>
      <c r="SIX1193" s="7"/>
      <c r="SIY1193" s="7"/>
      <c r="SIZ1193" s="7"/>
      <c r="SJA1193" s="7"/>
      <c r="SJB1193" s="7"/>
      <c r="SJC1193" s="7"/>
      <c r="SJD1193" s="7"/>
      <c r="SJE1193" s="7"/>
      <c r="SJF1193" s="7"/>
      <c r="SJG1193" s="7"/>
      <c r="SJH1193" s="7"/>
      <c r="SJI1193" s="7"/>
      <c r="SJJ1193" s="7"/>
      <c r="SJK1193" s="7"/>
      <c r="SJL1193" s="7"/>
      <c r="SJM1193" s="7"/>
      <c r="SJN1193" s="7"/>
      <c r="SJO1193" s="7"/>
      <c r="SJP1193" s="7"/>
      <c r="SJQ1193" s="7"/>
      <c r="SJR1193" s="7"/>
      <c r="SJS1193" s="7"/>
      <c r="SJT1193" s="7"/>
      <c r="SJU1193" s="7"/>
      <c r="SJV1193" s="7"/>
      <c r="SJW1193" s="7"/>
      <c r="SJX1193" s="7"/>
      <c r="SJY1193" s="7"/>
      <c r="SJZ1193" s="7"/>
      <c r="SKA1193" s="7"/>
      <c r="SKB1193" s="7"/>
      <c r="SKC1193" s="7"/>
      <c r="SKD1193" s="7"/>
      <c r="SKE1193" s="7"/>
      <c r="SKF1193" s="7"/>
      <c r="SKG1193" s="7"/>
      <c r="SKH1193" s="7"/>
      <c r="SKI1193" s="7"/>
      <c r="SKJ1193" s="7"/>
      <c r="SKK1193" s="7"/>
      <c r="SKL1193" s="7"/>
      <c r="SKM1193" s="7"/>
      <c r="SKN1193" s="7"/>
      <c r="SKO1193" s="7"/>
      <c r="SKP1193" s="7"/>
      <c r="SKQ1193" s="7"/>
      <c r="SKR1193" s="7"/>
      <c r="SKS1193" s="7"/>
      <c r="SKT1193" s="7"/>
      <c r="SKU1193" s="7"/>
      <c r="SKV1193" s="7"/>
      <c r="SKW1193" s="7"/>
      <c r="SKX1193" s="7"/>
      <c r="SKY1193" s="7"/>
      <c r="SKZ1193" s="7"/>
      <c r="SLA1193" s="7"/>
      <c r="SLB1193" s="7"/>
      <c r="SLC1193" s="7"/>
      <c r="SLD1193" s="7"/>
      <c r="SLE1193" s="7"/>
      <c r="SLF1193" s="7"/>
      <c r="SLG1193" s="7"/>
      <c r="SLH1193" s="7"/>
      <c r="SLI1193" s="7"/>
      <c r="SLJ1193" s="7"/>
      <c r="SLK1193" s="7"/>
      <c r="SLL1193" s="7"/>
      <c r="SLM1193" s="7"/>
      <c r="SLN1193" s="7"/>
      <c r="SLO1193" s="7"/>
      <c r="SLP1193" s="7"/>
      <c r="SLQ1193" s="7"/>
      <c r="SLR1193" s="7"/>
      <c r="SLS1193" s="7"/>
      <c r="SLT1193" s="7"/>
      <c r="SLU1193" s="7"/>
      <c r="SLV1193" s="7"/>
      <c r="SLW1193" s="7"/>
      <c r="SLX1193" s="7"/>
      <c r="SLY1193" s="7"/>
      <c r="SLZ1193" s="7"/>
      <c r="SMA1193" s="7"/>
      <c r="SMB1193" s="7"/>
      <c r="SMC1193" s="7"/>
      <c r="SMD1193" s="7"/>
      <c r="SME1193" s="7"/>
      <c r="SMF1193" s="7"/>
      <c r="SMG1193" s="7"/>
      <c r="SMH1193" s="7"/>
      <c r="SMI1193" s="7"/>
      <c r="SMJ1193" s="7"/>
      <c r="SMK1193" s="7"/>
      <c r="SML1193" s="7"/>
      <c r="SMM1193" s="7"/>
      <c r="SMN1193" s="7"/>
      <c r="SMO1193" s="7"/>
      <c r="SMP1193" s="7"/>
      <c r="SMQ1193" s="7"/>
      <c r="SMR1193" s="7"/>
      <c r="SMS1193" s="7"/>
      <c r="SMT1193" s="7"/>
      <c r="SMU1193" s="7"/>
      <c r="SMV1193" s="7"/>
      <c r="SMW1193" s="7"/>
      <c r="SMX1193" s="7"/>
      <c r="SMY1193" s="7"/>
      <c r="SMZ1193" s="7"/>
      <c r="SNA1193" s="7"/>
      <c r="SNB1193" s="7"/>
      <c r="SNC1193" s="7"/>
      <c r="SND1193" s="7"/>
      <c r="SNE1193" s="7"/>
      <c r="SNF1193" s="7"/>
      <c r="SNG1193" s="7"/>
      <c r="SNH1193" s="7"/>
      <c r="SNI1193" s="7"/>
      <c r="SNJ1193" s="7"/>
      <c r="SNK1193" s="7"/>
      <c r="SNL1193" s="7"/>
      <c r="SNM1193" s="7"/>
      <c r="SNN1193" s="7"/>
      <c r="SNO1193" s="7"/>
      <c r="SNP1193" s="7"/>
      <c r="SNQ1193" s="7"/>
      <c r="SNR1193" s="7"/>
      <c r="SNS1193" s="7"/>
      <c r="SNT1193" s="7"/>
      <c r="SNU1193" s="7"/>
      <c r="SNV1193" s="7"/>
      <c r="SNW1193" s="7"/>
      <c r="SNX1193" s="7"/>
      <c r="SNY1193" s="7"/>
      <c r="SNZ1193" s="7"/>
      <c r="SOA1193" s="7"/>
      <c r="SOB1193" s="7"/>
      <c r="SOC1193" s="7"/>
      <c r="SOD1193" s="7"/>
      <c r="SOE1193" s="7"/>
      <c r="SOF1193" s="7"/>
      <c r="SOG1193" s="7"/>
      <c r="SOH1193" s="7"/>
      <c r="SOI1193" s="7"/>
      <c r="SOJ1193" s="7"/>
      <c r="SOK1193" s="7"/>
      <c r="SOL1193" s="7"/>
      <c r="SOM1193" s="7"/>
      <c r="SON1193" s="7"/>
      <c r="SOO1193" s="7"/>
      <c r="SOP1193" s="7"/>
      <c r="SOQ1193" s="7"/>
      <c r="SOR1193" s="7"/>
      <c r="SOS1193" s="7"/>
      <c r="SOT1193" s="7"/>
      <c r="SOU1193" s="7"/>
      <c r="SOV1193" s="7"/>
      <c r="SOW1193" s="7"/>
      <c r="SOX1193" s="7"/>
      <c r="SOY1193" s="7"/>
      <c r="SOZ1193" s="7"/>
      <c r="SPA1193" s="7"/>
      <c r="SPB1193" s="7"/>
      <c r="SPC1193" s="7"/>
      <c r="SPD1193" s="7"/>
      <c r="SPE1193" s="7"/>
      <c r="SPF1193" s="7"/>
      <c r="SPG1193" s="7"/>
      <c r="SPH1193" s="7"/>
      <c r="SPI1193" s="7"/>
      <c r="SPJ1193" s="7"/>
      <c r="SPK1193" s="7"/>
      <c r="SPL1193" s="7"/>
      <c r="SPM1193" s="7"/>
      <c r="SPN1193" s="7"/>
      <c r="SPO1193" s="7"/>
      <c r="SPP1193" s="7"/>
      <c r="SPQ1193" s="7"/>
      <c r="SPR1193" s="7"/>
      <c r="SPS1193" s="7"/>
      <c r="SPT1193" s="7"/>
      <c r="SPU1193" s="7"/>
      <c r="SPV1193" s="7"/>
      <c r="SPW1193" s="7"/>
      <c r="SPX1193" s="7"/>
      <c r="SPY1193" s="7"/>
      <c r="SPZ1193" s="7"/>
      <c r="SQA1193" s="7"/>
      <c r="SQB1193" s="7"/>
      <c r="SQC1193" s="7"/>
      <c r="SQD1193" s="7"/>
      <c r="SQE1193" s="7"/>
      <c r="SQF1193" s="7"/>
      <c r="SQG1193" s="7"/>
      <c r="SQH1193" s="7"/>
      <c r="SQI1193" s="7"/>
      <c r="SQJ1193" s="7"/>
      <c r="SQK1193" s="7"/>
      <c r="SQL1193" s="7"/>
      <c r="SQM1193" s="7"/>
      <c r="SQN1193" s="7"/>
      <c r="SQO1193" s="7"/>
      <c r="SQP1193" s="7"/>
      <c r="SQQ1193" s="7"/>
      <c r="SQR1193" s="7"/>
      <c r="SQS1193" s="7"/>
      <c r="SQT1193" s="7"/>
      <c r="SQU1193" s="7"/>
      <c r="SQV1193" s="7"/>
      <c r="SQW1193" s="7"/>
      <c r="SQX1193" s="7"/>
      <c r="SQY1193" s="7"/>
      <c r="SQZ1193" s="7"/>
      <c r="SRA1193" s="7"/>
      <c r="SRB1193" s="7"/>
      <c r="SRC1193" s="7"/>
      <c r="SRD1193" s="7"/>
      <c r="SRE1193" s="7"/>
      <c r="SRF1193" s="7"/>
      <c r="SRG1193" s="7"/>
      <c r="SRH1193" s="7"/>
      <c r="SRI1193" s="7"/>
      <c r="SRJ1193" s="7"/>
      <c r="SRK1193" s="7"/>
      <c r="SRL1193" s="7"/>
      <c r="SRM1193" s="7"/>
      <c r="SRN1193" s="7"/>
      <c r="SRO1193" s="7"/>
      <c r="SRP1193" s="7"/>
      <c r="SRQ1193" s="7"/>
      <c r="SRR1193" s="7"/>
      <c r="SRS1193" s="7"/>
      <c r="SRT1193" s="7"/>
      <c r="SRU1193" s="7"/>
      <c r="SRV1193" s="7"/>
      <c r="SRW1193" s="7"/>
      <c r="SRX1193" s="7"/>
      <c r="SRY1193" s="7"/>
      <c r="SRZ1193" s="7"/>
      <c r="SSA1193" s="7"/>
      <c r="SSB1193" s="7"/>
      <c r="SSC1193" s="7"/>
      <c r="SSD1193" s="7"/>
      <c r="SSE1193" s="7"/>
      <c r="SSF1193" s="7"/>
      <c r="SSG1193" s="7"/>
      <c r="SSH1193" s="7"/>
      <c r="SSI1193" s="7"/>
      <c r="SSJ1193" s="7"/>
      <c r="SSK1193" s="7"/>
      <c r="SSL1193" s="7"/>
      <c r="SSM1193" s="7"/>
      <c r="SSN1193" s="7"/>
      <c r="SSO1193" s="7"/>
      <c r="SSP1193" s="7"/>
      <c r="SSQ1193" s="7"/>
      <c r="SSR1193" s="7"/>
      <c r="SSS1193" s="7"/>
      <c r="SST1193" s="7"/>
      <c r="SSU1193" s="7"/>
      <c r="SSV1193" s="7"/>
      <c r="SSW1193" s="7"/>
      <c r="SSX1193" s="7"/>
      <c r="SSY1193" s="7"/>
      <c r="SSZ1193" s="7"/>
      <c r="STA1193" s="7"/>
      <c r="STB1193" s="7"/>
      <c r="STC1193" s="7"/>
      <c r="STD1193" s="7"/>
      <c r="STE1193" s="7"/>
      <c r="STF1193" s="7"/>
      <c r="STG1193" s="7"/>
      <c r="STH1193" s="7"/>
      <c r="STI1193" s="7"/>
      <c r="STJ1193" s="7"/>
      <c r="STK1193" s="7"/>
      <c r="STL1193" s="7"/>
      <c r="STM1193" s="7"/>
      <c r="STN1193" s="7"/>
      <c r="STO1193" s="7"/>
      <c r="STP1193" s="7"/>
      <c r="STQ1193" s="7"/>
      <c r="STR1193" s="7"/>
      <c r="STS1193" s="7"/>
      <c r="STT1193" s="7"/>
      <c r="STU1193" s="7"/>
      <c r="STV1193" s="7"/>
      <c r="STW1193" s="7"/>
      <c r="STX1193" s="7"/>
      <c r="STY1193" s="7"/>
      <c r="STZ1193" s="7"/>
      <c r="SUA1193" s="7"/>
      <c r="SUB1193" s="7"/>
      <c r="SUC1193" s="7"/>
      <c r="SUD1193" s="7"/>
      <c r="SUE1193" s="7"/>
      <c r="SUF1193" s="7"/>
      <c r="SUG1193" s="7"/>
      <c r="SUH1193" s="7"/>
      <c r="SUI1193" s="7"/>
      <c r="SUJ1193" s="7"/>
      <c r="SUK1193" s="7"/>
      <c r="SUL1193" s="7"/>
      <c r="SUM1193" s="7"/>
      <c r="SUN1193" s="7"/>
      <c r="SUO1193" s="7"/>
      <c r="SUP1193" s="7"/>
      <c r="SUQ1193" s="7"/>
      <c r="SUR1193" s="7"/>
      <c r="SUS1193" s="7"/>
      <c r="SUT1193" s="7"/>
      <c r="SUU1193" s="7"/>
      <c r="SUV1193" s="7"/>
      <c r="SUW1193" s="7"/>
      <c r="SUX1193" s="7"/>
      <c r="SUY1193" s="7"/>
      <c r="SUZ1193" s="7"/>
      <c r="SVA1193" s="7"/>
      <c r="SVB1193" s="7"/>
      <c r="SVC1193" s="7"/>
      <c r="SVD1193" s="7"/>
      <c r="SVE1193" s="7"/>
      <c r="SVF1193" s="7"/>
      <c r="SVG1193" s="7"/>
      <c r="SVH1193" s="7"/>
      <c r="SVI1193" s="7"/>
      <c r="SVJ1193" s="7"/>
      <c r="SVK1193" s="7"/>
      <c r="SVL1193" s="7"/>
      <c r="SVM1193" s="7"/>
      <c r="SVN1193" s="7"/>
      <c r="SVO1193" s="7"/>
      <c r="SVP1193" s="7"/>
      <c r="SVQ1193" s="7"/>
      <c r="SVR1193" s="7"/>
      <c r="SVS1193" s="7"/>
      <c r="SVT1193" s="7"/>
      <c r="SVU1193" s="7"/>
      <c r="SVV1193" s="7"/>
      <c r="SVW1193" s="7"/>
      <c r="SVX1193" s="7"/>
      <c r="SVY1193" s="7"/>
      <c r="SVZ1193" s="7"/>
      <c r="SWA1193" s="7"/>
      <c r="SWB1193" s="7"/>
      <c r="SWC1193" s="7"/>
      <c r="SWD1193" s="7"/>
      <c r="SWE1193" s="7"/>
      <c r="SWF1193" s="7"/>
      <c r="SWG1193" s="7"/>
      <c r="SWH1193" s="7"/>
      <c r="SWI1193" s="7"/>
      <c r="SWJ1193" s="7"/>
      <c r="SWK1193" s="7"/>
      <c r="SWL1193" s="7"/>
      <c r="SWM1193" s="7"/>
      <c r="SWN1193" s="7"/>
      <c r="SWO1193" s="7"/>
      <c r="SWP1193" s="7"/>
      <c r="SWQ1193" s="7"/>
      <c r="SWR1193" s="7"/>
      <c r="SWS1193" s="7"/>
      <c r="SWT1193" s="7"/>
      <c r="SWU1193" s="7"/>
      <c r="SWV1193" s="7"/>
      <c r="SWW1193" s="7"/>
      <c r="SWX1193" s="7"/>
      <c r="SWY1193" s="7"/>
      <c r="SWZ1193" s="7"/>
      <c r="SXA1193" s="7"/>
      <c r="SXB1193" s="7"/>
      <c r="SXC1193" s="7"/>
      <c r="SXD1193" s="7"/>
      <c r="SXE1193" s="7"/>
      <c r="SXF1193" s="7"/>
      <c r="SXG1193" s="7"/>
      <c r="SXH1193" s="7"/>
      <c r="SXI1193" s="7"/>
      <c r="SXJ1193" s="7"/>
      <c r="SXK1193" s="7"/>
      <c r="SXL1193" s="7"/>
      <c r="SXM1193" s="7"/>
      <c r="SXN1193" s="7"/>
      <c r="SXO1193" s="7"/>
      <c r="SXP1193" s="7"/>
      <c r="SXQ1193" s="7"/>
      <c r="SXR1193" s="7"/>
      <c r="SXS1193" s="7"/>
      <c r="SXT1193" s="7"/>
      <c r="SXU1193" s="7"/>
      <c r="SXV1193" s="7"/>
      <c r="SXW1193" s="7"/>
      <c r="SXX1193" s="7"/>
      <c r="SXY1193" s="7"/>
      <c r="SXZ1193" s="7"/>
      <c r="SYA1193" s="7"/>
      <c r="SYB1193" s="7"/>
      <c r="SYC1193" s="7"/>
      <c r="SYD1193" s="7"/>
      <c r="SYE1193" s="7"/>
      <c r="SYF1193" s="7"/>
      <c r="SYG1193" s="7"/>
      <c r="SYH1193" s="7"/>
      <c r="SYI1193" s="7"/>
      <c r="SYJ1193" s="7"/>
      <c r="SYK1193" s="7"/>
      <c r="SYL1193" s="7"/>
      <c r="SYM1193" s="7"/>
      <c r="SYN1193" s="7"/>
      <c r="SYO1193" s="7"/>
      <c r="SYP1193" s="7"/>
      <c r="SYQ1193" s="7"/>
      <c r="SYR1193" s="7"/>
      <c r="SYS1193" s="7"/>
      <c r="SYT1193" s="7"/>
      <c r="SYU1193" s="7"/>
      <c r="SYV1193" s="7"/>
      <c r="SYW1193" s="7"/>
      <c r="SYX1193" s="7"/>
      <c r="SYY1193" s="7"/>
      <c r="SYZ1193" s="7"/>
      <c r="SZA1193" s="7"/>
      <c r="SZB1193" s="7"/>
      <c r="SZC1193" s="7"/>
      <c r="SZD1193" s="7"/>
      <c r="SZE1193" s="7"/>
      <c r="SZF1193" s="7"/>
      <c r="SZG1193" s="7"/>
      <c r="SZH1193" s="7"/>
      <c r="SZI1193" s="7"/>
      <c r="SZJ1193" s="7"/>
      <c r="SZK1193" s="7"/>
      <c r="SZL1193" s="7"/>
      <c r="SZM1193" s="7"/>
      <c r="SZN1193" s="7"/>
      <c r="SZO1193" s="7"/>
      <c r="SZP1193" s="7"/>
      <c r="SZQ1193" s="7"/>
      <c r="SZR1193" s="7"/>
      <c r="SZS1193" s="7"/>
      <c r="SZT1193" s="7"/>
      <c r="SZU1193" s="7"/>
      <c r="SZV1193" s="7"/>
      <c r="SZW1193" s="7"/>
      <c r="SZX1193" s="7"/>
      <c r="SZY1193" s="7"/>
      <c r="SZZ1193" s="7"/>
      <c r="TAA1193" s="7"/>
      <c r="TAB1193" s="7"/>
      <c r="TAC1193" s="7"/>
      <c r="TAD1193" s="7"/>
      <c r="TAE1193" s="7"/>
      <c r="TAF1193" s="7"/>
      <c r="TAG1193" s="7"/>
      <c r="TAH1193" s="7"/>
      <c r="TAI1193" s="7"/>
      <c r="TAJ1193" s="7"/>
      <c r="TAK1193" s="7"/>
      <c r="TAL1193" s="7"/>
      <c r="TAM1193" s="7"/>
      <c r="TAN1193" s="7"/>
      <c r="TAO1193" s="7"/>
      <c r="TAP1193" s="7"/>
      <c r="TAQ1193" s="7"/>
      <c r="TAR1193" s="7"/>
      <c r="TAS1193" s="7"/>
      <c r="TAT1193" s="7"/>
      <c r="TAU1193" s="7"/>
      <c r="TAV1193" s="7"/>
      <c r="TAW1193" s="7"/>
      <c r="TAX1193" s="7"/>
      <c r="TAY1193" s="7"/>
      <c r="TAZ1193" s="7"/>
      <c r="TBA1193" s="7"/>
      <c r="TBB1193" s="7"/>
      <c r="TBC1193" s="7"/>
      <c r="TBD1193" s="7"/>
      <c r="TBE1193" s="7"/>
      <c r="TBF1193" s="7"/>
      <c r="TBG1193" s="7"/>
      <c r="TBH1193" s="7"/>
      <c r="TBI1193" s="7"/>
      <c r="TBJ1193" s="7"/>
      <c r="TBK1193" s="7"/>
      <c r="TBL1193" s="7"/>
      <c r="TBM1193" s="7"/>
      <c r="TBN1193" s="7"/>
      <c r="TBO1193" s="7"/>
      <c r="TBP1193" s="7"/>
      <c r="TBQ1193" s="7"/>
      <c r="TBR1193" s="7"/>
      <c r="TBS1193" s="7"/>
      <c r="TBT1193" s="7"/>
      <c r="TBU1193" s="7"/>
      <c r="TBV1193" s="7"/>
      <c r="TBW1193" s="7"/>
      <c r="TBX1193" s="7"/>
      <c r="TBY1193" s="7"/>
      <c r="TBZ1193" s="7"/>
      <c r="TCA1193" s="7"/>
      <c r="TCB1193" s="7"/>
      <c r="TCC1193" s="7"/>
      <c r="TCD1193" s="7"/>
      <c r="TCE1193" s="7"/>
      <c r="TCF1193" s="7"/>
      <c r="TCG1193" s="7"/>
      <c r="TCH1193" s="7"/>
      <c r="TCI1193" s="7"/>
      <c r="TCJ1193" s="7"/>
      <c r="TCK1193" s="7"/>
      <c r="TCL1193" s="7"/>
      <c r="TCM1193" s="7"/>
      <c r="TCN1193" s="7"/>
      <c r="TCO1193" s="7"/>
      <c r="TCP1193" s="7"/>
      <c r="TCQ1193" s="7"/>
      <c r="TCR1193" s="7"/>
      <c r="TCS1193" s="7"/>
      <c r="TCT1193" s="7"/>
      <c r="TCU1193" s="7"/>
      <c r="TCV1193" s="7"/>
      <c r="TCW1193" s="7"/>
      <c r="TCX1193" s="7"/>
      <c r="TCY1193" s="7"/>
      <c r="TCZ1193" s="7"/>
      <c r="TDA1193" s="7"/>
      <c r="TDB1193" s="7"/>
      <c r="TDC1193" s="7"/>
      <c r="TDD1193" s="7"/>
      <c r="TDE1193" s="7"/>
      <c r="TDF1193" s="7"/>
      <c r="TDG1193" s="7"/>
      <c r="TDH1193" s="7"/>
      <c r="TDI1193" s="7"/>
      <c r="TDJ1193" s="7"/>
      <c r="TDK1193" s="7"/>
      <c r="TDL1193" s="7"/>
      <c r="TDM1193" s="7"/>
      <c r="TDN1193" s="7"/>
      <c r="TDO1193" s="7"/>
      <c r="TDP1193" s="7"/>
      <c r="TDQ1193" s="7"/>
      <c r="TDR1193" s="7"/>
      <c r="TDS1193" s="7"/>
      <c r="TDT1193" s="7"/>
      <c r="TDU1193" s="7"/>
      <c r="TDV1193" s="7"/>
      <c r="TDW1193" s="7"/>
      <c r="TDX1193" s="7"/>
      <c r="TDY1193" s="7"/>
      <c r="TDZ1193" s="7"/>
      <c r="TEA1193" s="7"/>
      <c r="TEB1193" s="7"/>
      <c r="TEC1193" s="7"/>
      <c r="TED1193" s="7"/>
      <c r="TEE1193" s="7"/>
      <c r="TEF1193" s="7"/>
      <c r="TEG1193" s="7"/>
      <c r="TEH1193" s="7"/>
      <c r="TEI1193" s="7"/>
      <c r="TEJ1193" s="7"/>
      <c r="TEK1193" s="7"/>
      <c r="TEL1193" s="7"/>
      <c r="TEM1193" s="7"/>
      <c r="TEN1193" s="7"/>
      <c r="TEO1193" s="7"/>
      <c r="TEP1193" s="7"/>
      <c r="TEQ1193" s="7"/>
      <c r="TER1193" s="7"/>
      <c r="TES1193" s="7"/>
      <c r="TET1193" s="7"/>
      <c r="TEU1193" s="7"/>
      <c r="TEV1193" s="7"/>
      <c r="TEW1193" s="7"/>
      <c r="TEX1193" s="7"/>
      <c r="TEY1193" s="7"/>
      <c r="TEZ1193" s="7"/>
      <c r="TFA1193" s="7"/>
      <c r="TFB1193" s="7"/>
      <c r="TFC1193" s="7"/>
      <c r="TFD1193" s="7"/>
      <c r="TFE1193" s="7"/>
      <c r="TFF1193" s="7"/>
      <c r="TFG1193" s="7"/>
      <c r="TFH1193" s="7"/>
      <c r="TFI1193" s="7"/>
      <c r="TFJ1193" s="7"/>
      <c r="TFK1193" s="7"/>
      <c r="TFL1193" s="7"/>
      <c r="TFM1193" s="7"/>
      <c r="TFN1193" s="7"/>
      <c r="TFO1193" s="7"/>
      <c r="TFP1193" s="7"/>
      <c r="TFQ1193" s="7"/>
      <c r="TFR1193" s="7"/>
      <c r="TFS1193" s="7"/>
      <c r="TFT1193" s="7"/>
      <c r="TFU1193" s="7"/>
      <c r="TFV1193" s="7"/>
      <c r="TFW1193" s="7"/>
      <c r="TFX1193" s="7"/>
      <c r="TFY1193" s="7"/>
      <c r="TFZ1193" s="7"/>
      <c r="TGA1193" s="7"/>
      <c r="TGB1193" s="7"/>
      <c r="TGC1193" s="7"/>
      <c r="TGD1193" s="7"/>
      <c r="TGE1193" s="7"/>
      <c r="TGF1193" s="7"/>
      <c r="TGG1193" s="7"/>
      <c r="TGH1193" s="7"/>
      <c r="TGI1193" s="7"/>
      <c r="TGJ1193" s="7"/>
      <c r="TGK1193" s="7"/>
      <c r="TGL1193" s="7"/>
      <c r="TGM1193" s="7"/>
      <c r="TGN1193" s="7"/>
      <c r="TGO1193" s="7"/>
      <c r="TGP1193" s="7"/>
      <c r="TGQ1193" s="7"/>
      <c r="TGR1193" s="7"/>
      <c r="TGS1193" s="7"/>
      <c r="TGT1193" s="7"/>
      <c r="TGU1193" s="7"/>
      <c r="TGV1193" s="7"/>
      <c r="TGW1193" s="7"/>
      <c r="TGX1193" s="7"/>
      <c r="TGY1193" s="7"/>
      <c r="TGZ1193" s="7"/>
      <c r="THA1193" s="7"/>
      <c r="THB1193" s="7"/>
      <c r="THC1193" s="7"/>
      <c r="THD1193" s="7"/>
      <c r="THE1193" s="7"/>
      <c r="THF1193" s="7"/>
      <c r="THG1193" s="7"/>
      <c r="THH1193" s="7"/>
      <c r="THI1193" s="7"/>
      <c r="THJ1193" s="7"/>
      <c r="THK1193" s="7"/>
      <c r="THL1193" s="7"/>
      <c r="THM1193" s="7"/>
      <c r="THN1193" s="7"/>
      <c r="THO1193" s="7"/>
      <c r="THP1193" s="7"/>
      <c r="THQ1193" s="7"/>
      <c r="THR1193" s="7"/>
      <c r="THS1193" s="7"/>
      <c r="THT1193" s="7"/>
      <c r="THU1193" s="7"/>
      <c r="THV1193" s="7"/>
      <c r="THW1193" s="7"/>
      <c r="THX1193" s="7"/>
      <c r="THY1193" s="7"/>
      <c r="THZ1193" s="7"/>
      <c r="TIA1193" s="7"/>
      <c r="TIB1193" s="7"/>
      <c r="TIC1193" s="7"/>
      <c r="TID1193" s="7"/>
      <c r="TIE1193" s="7"/>
      <c r="TIF1193" s="7"/>
      <c r="TIG1193" s="7"/>
      <c r="TIH1193" s="7"/>
      <c r="TII1193" s="7"/>
      <c r="TIJ1193" s="7"/>
      <c r="TIK1193" s="7"/>
      <c r="TIL1193" s="7"/>
      <c r="TIM1193" s="7"/>
      <c r="TIN1193" s="7"/>
      <c r="TIO1193" s="7"/>
      <c r="TIP1193" s="7"/>
      <c r="TIQ1193" s="7"/>
      <c r="TIR1193" s="7"/>
      <c r="TIS1193" s="7"/>
      <c r="TIT1193" s="7"/>
      <c r="TIU1193" s="7"/>
      <c r="TIV1193" s="7"/>
      <c r="TIW1193" s="7"/>
      <c r="TIX1193" s="7"/>
      <c r="TIY1193" s="7"/>
      <c r="TIZ1193" s="7"/>
      <c r="TJA1193" s="7"/>
      <c r="TJB1193" s="7"/>
      <c r="TJC1193" s="7"/>
      <c r="TJD1193" s="7"/>
      <c r="TJE1193" s="7"/>
      <c r="TJF1193" s="7"/>
      <c r="TJG1193" s="7"/>
      <c r="TJH1193" s="7"/>
      <c r="TJI1193" s="7"/>
      <c r="TJJ1193" s="7"/>
      <c r="TJK1193" s="7"/>
      <c r="TJL1193" s="7"/>
      <c r="TJM1193" s="7"/>
      <c r="TJN1193" s="7"/>
      <c r="TJO1193" s="7"/>
      <c r="TJP1193" s="7"/>
      <c r="TJQ1193" s="7"/>
      <c r="TJR1193" s="7"/>
      <c r="TJS1193" s="7"/>
      <c r="TJT1193" s="7"/>
      <c r="TJU1193" s="7"/>
      <c r="TJV1193" s="7"/>
      <c r="TJW1193" s="7"/>
      <c r="TJX1193" s="7"/>
      <c r="TJY1193" s="7"/>
      <c r="TJZ1193" s="7"/>
      <c r="TKA1193" s="7"/>
      <c r="TKB1193" s="7"/>
      <c r="TKC1193" s="7"/>
      <c r="TKD1193" s="7"/>
      <c r="TKE1193" s="7"/>
      <c r="TKF1193" s="7"/>
      <c r="TKG1193" s="7"/>
      <c r="TKH1193" s="7"/>
      <c r="TKI1193" s="7"/>
      <c r="TKJ1193" s="7"/>
      <c r="TKK1193" s="7"/>
      <c r="TKL1193" s="7"/>
      <c r="TKM1193" s="7"/>
      <c r="TKN1193" s="7"/>
      <c r="TKO1193" s="7"/>
      <c r="TKP1193" s="7"/>
      <c r="TKQ1193" s="7"/>
      <c r="TKR1193" s="7"/>
      <c r="TKS1193" s="7"/>
      <c r="TKT1193" s="7"/>
      <c r="TKU1193" s="7"/>
      <c r="TKV1193" s="7"/>
      <c r="TKW1193" s="7"/>
      <c r="TKX1193" s="7"/>
      <c r="TKY1193" s="7"/>
      <c r="TKZ1193" s="7"/>
      <c r="TLA1193" s="7"/>
      <c r="TLB1193" s="7"/>
      <c r="TLC1193" s="7"/>
      <c r="TLD1193" s="7"/>
      <c r="TLE1193" s="7"/>
      <c r="TLF1193" s="7"/>
      <c r="TLG1193" s="7"/>
      <c r="TLH1193" s="7"/>
      <c r="TLI1193" s="7"/>
      <c r="TLJ1193" s="7"/>
      <c r="TLK1193" s="7"/>
      <c r="TLL1193" s="7"/>
      <c r="TLM1193" s="7"/>
      <c r="TLN1193" s="7"/>
      <c r="TLO1193" s="7"/>
      <c r="TLP1193" s="7"/>
      <c r="TLQ1193" s="7"/>
      <c r="TLR1193" s="7"/>
      <c r="TLS1193" s="7"/>
      <c r="TLT1193" s="7"/>
      <c r="TLU1193" s="7"/>
      <c r="TLV1193" s="7"/>
      <c r="TLW1193" s="7"/>
      <c r="TLX1193" s="7"/>
      <c r="TLY1193" s="7"/>
      <c r="TLZ1193" s="7"/>
      <c r="TMA1193" s="7"/>
      <c r="TMB1193" s="7"/>
      <c r="TMC1193" s="7"/>
      <c r="TMD1193" s="7"/>
      <c r="TME1193" s="7"/>
      <c r="TMF1193" s="7"/>
      <c r="TMG1193" s="7"/>
      <c r="TMH1193" s="7"/>
      <c r="TMI1193" s="7"/>
      <c r="TMJ1193" s="7"/>
      <c r="TMK1193" s="7"/>
      <c r="TML1193" s="7"/>
      <c r="TMM1193" s="7"/>
      <c r="TMN1193" s="7"/>
      <c r="TMO1193" s="7"/>
      <c r="TMP1193" s="7"/>
      <c r="TMQ1193" s="7"/>
      <c r="TMR1193" s="7"/>
      <c r="TMS1193" s="7"/>
      <c r="TMT1193" s="7"/>
      <c r="TMU1193" s="7"/>
      <c r="TMV1193" s="7"/>
      <c r="TMW1193" s="7"/>
      <c r="TMX1193" s="7"/>
      <c r="TMY1193" s="7"/>
      <c r="TMZ1193" s="7"/>
      <c r="TNA1193" s="7"/>
      <c r="TNB1193" s="7"/>
      <c r="TNC1193" s="7"/>
      <c r="TND1193" s="7"/>
      <c r="TNE1193" s="7"/>
      <c r="TNF1193" s="7"/>
      <c r="TNG1193" s="7"/>
      <c r="TNH1193" s="7"/>
      <c r="TNI1193" s="7"/>
      <c r="TNJ1193" s="7"/>
      <c r="TNK1193" s="7"/>
      <c r="TNL1193" s="7"/>
      <c r="TNM1193" s="7"/>
      <c r="TNN1193" s="7"/>
      <c r="TNO1193" s="7"/>
      <c r="TNP1193" s="7"/>
      <c r="TNQ1193" s="7"/>
      <c r="TNR1193" s="7"/>
      <c r="TNS1193" s="7"/>
      <c r="TNT1193" s="7"/>
      <c r="TNU1193" s="7"/>
      <c r="TNV1193" s="7"/>
      <c r="TNW1193" s="7"/>
      <c r="TNX1193" s="7"/>
      <c r="TNY1193" s="7"/>
      <c r="TNZ1193" s="7"/>
      <c r="TOA1193" s="7"/>
      <c r="TOB1193" s="7"/>
      <c r="TOC1193" s="7"/>
      <c r="TOD1193" s="7"/>
      <c r="TOE1193" s="7"/>
      <c r="TOF1193" s="7"/>
      <c r="TOG1193" s="7"/>
      <c r="TOH1193" s="7"/>
      <c r="TOI1193" s="7"/>
      <c r="TOJ1193" s="7"/>
      <c r="TOK1193" s="7"/>
      <c r="TOL1193" s="7"/>
      <c r="TOM1193" s="7"/>
      <c r="TON1193" s="7"/>
      <c r="TOO1193" s="7"/>
      <c r="TOP1193" s="7"/>
      <c r="TOQ1193" s="7"/>
      <c r="TOR1193" s="7"/>
      <c r="TOS1193" s="7"/>
      <c r="TOT1193" s="7"/>
      <c r="TOU1193" s="7"/>
      <c r="TOV1193" s="7"/>
      <c r="TOW1193" s="7"/>
      <c r="TOX1193" s="7"/>
      <c r="TOY1193" s="7"/>
      <c r="TOZ1193" s="7"/>
      <c r="TPA1193" s="7"/>
      <c r="TPB1193" s="7"/>
      <c r="TPC1193" s="7"/>
      <c r="TPD1193" s="7"/>
      <c r="TPE1193" s="7"/>
      <c r="TPF1193" s="7"/>
      <c r="TPG1193" s="7"/>
      <c r="TPH1193" s="7"/>
      <c r="TPI1193" s="7"/>
      <c r="TPJ1193" s="7"/>
      <c r="TPK1193" s="7"/>
      <c r="TPL1193" s="7"/>
      <c r="TPM1193" s="7"/>
      <c r="TPN1193" s="7"/>
      <c r="TPO1193" s="7"/>
      <c r="TPP1193" s="7"/>
      <c r="TPQ1193" s="7"/>
      <c r="TPR1193" s="7"/>
      <c r="TPS1193" s="7"/>
      <c r="TPT1193" s="7"/>
      <c r="TPU1193" s="7"/>
      <c r="TPV1193" s="7"/>
      <c r="TPW1193" s="7"/>
      <c r="TPX1193" s="7"/>
      <c r="TPY1193" s="7"/>
      <c r="TPZ1193" s="7"/>
      <c r="TQA1193" s="7"/>
      <c r="TQB1193" s="7"/>
      <c r="TQC1193" s="7"/>
      <c r="TQD1193" s="7"/>
      <c r="TQE1193" s="7"/>
      <c r="TQF1193" s="7"/>
      <c r="TQG1193" s="7"/>
      <c r="TQH1193" s="7"/>
      <c r="TQI1193" s="7"/>
      <c r="TQJ1193" s="7"/>
      <c r="TQK1193" s="7"/>
      <c r="TQL1193" s="7"/>
      <c r="TQM1193" s="7"/>
      <c r="TQN1193" s="7"/>
      <c r="TQO1193" s="7"/>
      <c r="TQP1193" s="7"/>
      <c r="TQQ1193" s="7"/>
      <c r="TQR1193" s="7"/>
      <c r="TQS1193" s="7"/>
      <c r="TQT1193" s="7"/>
      <c r="TQU1193" s="7"/>
      <c r="TQV1193" s="7"/>
      <c r="TQW1193" s="7"/>
      <c r="TQX1193" s="7"/>
      <c r="TQY1193" s="7"/>
      <c r="TQZ1193" s="7"/>
      <c r="TRA1193" s="7"/>
      <c r="TRB1193" s="7"/>
      <c r="TRC1193" s="7"/>
      <c r="TRD1193" s="7"/>
      <c r="TRE1193" s="7"/>
      <c r="TRF1193" s="7"/>
      <c r="TRG1193" s="7"/>
      <c r="TRH1193" s="7"/>
      <c r="TRI1193" s="7"/>
      <c r="TRJ1193" s="7"/>
      <c r="TRK1193" s="7"/>
      <c r="TRL1193" s="7"/>
      <c r="TRM1193" s="7"/>
      <c r="TRN1193" s="7"/>
      <c r="TRO1193" s="7"/>
      <c r="TRP1193" s="7"/>
      <c r="TRQ1193" s="7"/>
      <c r="TRR1193" s="7"/>
      <c r="TRS1193" s="7"/>
      <c r="TRT1193" s="7"/>
      <c r="TRU1193" s="7"/>
      <c r="TRV1193" s="7"/>
      <c r="TRW1193" s="7"/>
      <c r="TRX1193" s="7"/>
      <c r="TRY1193" s="7"/>
      <c r="TRZ1193" s="7"/>
      <c r="TSA1193" s="7"/>
      <c r="TSB1193" s="7"/>
      <c r="TSC1193" s="7"/>
      <c r="TSD1193" s="7"/>
      <c r="TSE1193" s="7"/>
      <c r="TSF1193" s="7"/>
      <c r="TSG1193" s="7"/>
      <c r="TSH1193" s="7"/>
      <c r="TSI1193" s="7"/>
      <c r="TSJ1193" s="7"/>
      <c r="TSK1193" s="7"/>
      <c r="TSL1193" s="7"/>
      <c r="TSM1193" s="7"/>
      <c r="TSN1193" s="7"/>
      <c r="TSO1193" s="7"/>
      <c r="TSP1193" s="7"/>
      <c r="TSQ1193" s="7"/>
      <c r="TSR1193" s="7"/>
      <c r="TSS1193" s="7"/>
      <c r="TST1193" s="7"/>
      <c r="TSU1193" s="7"/>
      <c r="TSV1193" s="7"/>
      <c r="TSW1193" s="7"/>
      <c r="TSX1193" s="7"/>
      <c r="TSY1193" s="7"/>
      <c r="TSZ1193" s="7"/>
      <c r="TTA1193" s="7"/>
      <c r="TTB1193" s="7"/>
      <c r="TTC1193" s="7"/>
      <c r="TTD1193" s="7"/>
      <c r="TTE1193" s="7"/>
      <c r="TTF1193" s="7"/>
      <c r="TTG1193" s="7"/>
      <c r="TTH1193" s="7"/>
      <c r="TTI1193" s="7"/>
      <c r="TTJ1193" s="7"/>
      <c r="TTK1193" s="7"/>
      <c r="TTL1193" s="7"/>
      <c r="TTM1193" s="7"/>
      <c r="TTN1193" s="7"/>
      <c r="TTO1193" s="7"/>
      <c r="TTP1193" s="7"/>
      <c r="TTQ1193" s="7"/>
      <c r="TTR1193" s="7"/>
      <c r="TTS1193" s="7"/>
      <c r="TTT1193" s="7"/>
      <c r="TTU1193" s="7"/>
      <c r="TTV1193" s="7"/>
      <c r="TTW1193" s="7"/>
      <c r="TTX1193" s="7"/>
      <c r="TTY1193" s="7"/>
      <c r="TTZ1193" s="7"/>
      <c r="TUA1193" s="7"/>
      <c r="TUB1193" s="7"/>
      <c r="TUC1193" s="7"/>
      <c r="TUD1193" s="7"/>
      <c r="TUE1193" s="7"/>
      <c r="TUF1193" s="7"/>
      <c r="TUG1193" s="7"/>
      <c r="TUH1193" s="7"/>
      <c r="TUI1193" s="7"/>
      <c r="TUJ1193" s="7"/>
      <c r="TUK1193" s="7"/>
      <c r="TUL1193" s="7"/>
      <c r="TUM1193" s="7"/>
      <c r="TUN1193" s="7"/>
      <c r="TUO1193" s="7"/>
      <c r="TUP1193" s="7"/>
      <c r="TUQ1193" s="7"/>
      <c r="TUR1193" s="7"/>
      <c r="TUS1193" s="7"/>
      <c r="TUT1193" s="7"/>
      <c r="TUU1193" s="7"/>
      <c r="TUV1193" s="7"/>
      <c r="TUW1193" s="7"/>
      <c r="TUX1193" s="7"/>
      <c r="TUY1193" s="7"/>
      <c r="TUZ1193" s="7"/>
      <c r="TVA1193" s="7"/>
      <c r="TVB1193" s="7"/>
      <c r="TVC1193" s="7"/>
      <c r="TVD1193" s="7"/>
      <c r="TVE1193" s="7"/>
      <c r="TVF1193" s="7"/>
      <c r="TVG1193" s="7"/>
      <c r="TVH1193" s="7"/>
      <c r="TVI1193" s="7"/>
      <c r="TVJ1193" s="7"/>
      <c r="TVK1193" s="7"/>
      <c r="TVL1193" s="7"/>
      <c r="TVM1193" s="7"/>
      <c r="TVN1193" s="7"/>
      <c r="TVO1193" s="7"/>
      <c r="TVP1193" s="7"/>
      <c r="TVQ1193" s="7"/>
      <c r="TVR1193" s="7"/>
      <c r="TVS1193" s="7"/>
      <c r="TVT1193" s="7"/>
      <c r="TVU1193" s="7"/>
      <c r="TVV1193" s="7"/>
      <c r="TVW1193" s="7"/>
      <c r="TVX1193" s="7"/>
      <c r="TVY1193" s="7"/>
      <c r="TVZ1193" s="7"/>
      <c r="TWA1193" s="7"/>
      <c r="TWB1193" s="7"/>
      <c r="TWC1193" s="7"/>
      <c r="TWD1193" s="7"/>
      <c r="TWE1193" s="7"/>
      <c r="TWF1193" s="7"/>
      <c r="TWG1193" s="7"/>
      <c r="TWH1193" s="7"/>
      <c r="TWI1193" s="7"/>
      <c r="TWJ1193" s="7"/>
      <c r="TWK1193" s="7"/>
      <c r="TWL1193" s="7"/>
      <c r="TWM1193" s="7"/>
      <c r="TWN1193" s="7"/>
      <c r="TWO1193" s="7"/>
      <c r="TWP1193" s="7"/>
      <c r="TWQ1193" s="7"/>
      <c r="TWR1193" s="7"/>
      <c r="TWS1193" s="7"/>
      <c r="TWT1193" s="7"/>
      <c r="TWU1193" s="7"/>
      <c r="TWV1193" s="7"/>
      <c r="TWW1193" s="7"/>
      <c r="TWX1193" s="7"/>
      <c r="TWY1193" s="7"/>
      <c r="TWZ1193" s="7"/>
      <c r="TXA1193" s="7"/>
      <c r="TXB1193" s="7"/>
      <c r="TXC1193" s="7"/>
      <c r="TXD1193" s="7"/>
      <c r="TXE1193" s="7"/>
      <c r="TXF1193" s="7"/>
      <c r="TXG1193" s="7"/>
      <c r="TXH1193" s="7"/>
      <c r="TXI1193" s="7"/>
      <c r="TXJ1193" s="7"/>
      <c r="TXK1193" s="7"/>
      <c r="TXL1193" s="7"/>
      <c r="TXM1193" s="7"/>
      <c r="TXN1193" s="7"/>
      <c r="TXO1193" s="7"/>
      <c r="TXP1193" s="7"/>
      <c r="TXQ1193" s="7"/>
      <c r="TXR1193" s="7"/>
      <c r="TXS1193" s="7"/>
      <c r="TXT1193" s="7"/>
      <c r="TXU1193" s="7"/>
      <c r="TXV1193" s="7"/>
      <c r="TXW1193" s="7"/>
      <c r="TXX1193" s="7"/>
      <c r="TXY1193" s="7"/>
      <c r="TXZ1193" s="7"/>
      <c r="TYA1193" s="7"/>
      <c r="TYB1193" s="7"/>
      <c r="TYC1193" s="7"/>
      <c r="TYD1193" s="7"/>
      <c r="TYE1193" s="7"/>
      <c r="TYF1193" s="7"/>
      <c r="TYG1193" s="7"/>
      <c r="TYH1193" s="7"/>
      <c r="TYI1193" s="7"/>
      <c r="TYJ1193" s="7"/>
      <c r="TYK1193" s="7"/>
      <c r="TYL1193" s="7"/>
      <c r="TYM1193" s="7"/>
      <c r="TYN1193" s="7"/>
      <c r="TYO1193" s="7"/>
      <c r="TYP1193" s="7"/>
      <c r="TYQ1193" s="7"/>
      <c r="TYR1193" s="7"/>
      <c r="TYS1193" s="7"/>
      <c r="TYT1193" s="7"/>
      <c r="TYU1193" s="7"/>
      <c r="TYV1193" s="7"/>
      <c r="TYW1193" s="7"/>
      <c r="TYX1193" s="7"/>
      <c r="TYY1193" s="7"/>
      <c r="TYZ1193" s="7"/>
      <c r="TZA1193" s="7"/>
      <c r="TZB1193" s="7"/>
      <c r="TZC1193" s="7"/>
      <c r="TZD1193" s="7"/>
      <c r="TZE1193" s="7"/>
      <c r="TZF1193" s="7"/>
      <c r="TZG1193" s="7"/>
      <c r="TZH1193" s="7"/>
      <c r="TZI1193" s="7"/>
      <c r="TZJ1193" s="7"/>
      <c r="TZK1193" s="7"/>
      <c r="TZL1193" s="7"/>
      <c r="TZM1193" s="7"/>
      <c r="TZN1193" s="7"/>
      <c r="TZO1193" s="7"/>
      <c r="TZP1193" s="7"/>
      <c r="TZQ1193" s="7"/>
      <c r="TZR1193" s="7"/>
      <c r="TZS1193" s="7"/>
      <c r="TZT1193" s="7"/>
      <c r="TZU1193" s="7"/>
      <c r="TZV1193" s="7"/>
      <c r="TZW1193" s="7"/>
      <c r="TZX1193" s="7"/>
      <c r="TZY1193" s="7"/>
      <c r="TZZ1193" s="7"/>
      <c r="UAA1193" s="7"/>
      <c r="UAB1193" s="7"/>
      <c r="UAC1193" s="7"/>
      <c r="UAD1193" s="7"/>
      <c r="UAE1193" s="7"/>
      <c r="UAF1193" s="7"/>
      <c r="UAG1193" s="7"/>
      <c r="UAH1193" s="7"/>
      <c r="UAI1193" s="7"/>
      <c r="UAJ1193" s="7"/>
      <c r="UAK1193" s="7"/>
      <c r="UAL1193" s="7"/>
      <c r="UAM1193" s="7"/>
      <c r="UAN1193" s="7"/>
      <c r="UAO1193" s="7"/>
      <c r="UAP1193" s="7"/>
      <c r="UAQ1193" s="7"/>
      <c r="UAR1193" s="7"/>
      <c r="UAS1193" s="7"/>
      <c r="UAT1193" s="7"/>
      <c r="UAU1193" s="7"/>
      <c r="UAV1193" s="7"/>
      <c r="UAW1193" s="7"/>
      <c r="UAX1193" s="7"/>
      <c r="UAY1193" s="7"/>
      <c r="UAZ1193" s="7"/>
      <c r="UBA1193" s="7"/>
      <c r="UBB1193" s="7"/>
      <c r="UBC1193" s="7"/>
      <c r="UBD1193" s="7"/>
      <c r="UBE1193" s="7"/>
      <c r="UBF1193" s="7"/>
      <c r="UBG1193" s="7"/>
      <c r="UBH1193" s="7"/>
      <c r="UBI1193" s="7"/>
      <c r="UBJ1193" s="7"/>
      <c r="UBK1193" s="7"/>
      <c r="UBL1193" s="7"/>
      <c r="UBM1193" s="7"/>
      <c r="UBN1193" s="7"/>
      <c r="UBO1193" s="7"/>
      <c r="UBP1193" s="7"/>
      <c r="UBQ1193" s="7"/>
      <c r="UBR1193" s="7"/>
      <c r="UBS1193" s="7"/>
      <c r="UBT1193" s="7"/>
      <c r="UBU1193" s="7"/>
      <c r="UBV1193" s="7"/>
      <c r="UBW1193" s="7"/>
      <c r="UBX1193" s="7"/>
      <c r="UBY1193" s="7"/>
      <c r="UBZ1193" s="7"/>
      <c r="UCA1193" s="7"/>
      <c r="UCB1193" s="7"/>
      <c r="UCC1193" s="7"/>
      <c r="UCD1193" s="7"/>
      <c r="UCE1193" s="7"/>
      <c r="UCF1193" s="7"/>
      <c r="UCG1193" s="7"/>
      <c r="UCH1193" s="7"/>
      <c r="UCI1193" s="7"/>
      <c r="UCJ1193" s="7"/>
      <c r="UCK1193" s="7"/>
      <c r="UCL1193" s="7"/>
      <c r="UCM1193" s="7"/>
      <c r="UCN1193" s="7"/>
      <c r="UCO1193" s="7"/>
      <c r="UCP1193" s="7"/>
      <c r="UCQ1193" s="7"/>
      <c r="UCR1193" s="7"/>
      <c r="UCS1193" s="7"/>
      <c r="UCT1193" s="7"/>
      <c r="UCU1193" s="7"/>
      <c r="UCV1193" s="7"/>
      <c r="UCW1193" s="7"/>
      <c r="UCX1193" s="7"/>
      <c r="UCY1193" s="7"/>
      <c r="UCZ1193" s="7"/>
      <c r="UDA1193" s="7"/>
      <c r="UDB1193" s="7"/>
      <c r="UDC1193" s="7"/>
      <c r="UDD1193" s="7"/>
      <c r="UDE1193" s="7"/>
      <c r="UDF1193" s="7"/>
      <c r="UDG1193" s="7"/>
      <c r="UDH1193" s="7"/>
      <c r="UDI1193" s="7"/>
      <c r="UDJ1193" s="7"/>
      <c r="UDK1193" s="7"/>
      <c r="UDL1193" s="7"/>
      <c r="UDM1193" s="7"/>
      <c r="UDN1193" s="7"/>
      <c r="UDO1193" s="7"/>
      <c r="UDP1193" s="7"/>
      <c r="UDQ1193" s="7"/>
      <c r="UDR1193" s="7"/>
      <c r="UDS1193" s="7"/>
      <c r="UDT1193" s="7"/>
      <c r="UDU1193" s="7"/>
      <c r="UDV1193" s="7"/>
      <c r="UDW1193" s="7"/>
      <c r="UDX1193" s="7"/>
      <c r="UDY1193" s="7"/>
      <c r="UDZ1193" s="7"/>
      <c r="UEA1193" s="7"/>
      <c r="UEB1193" s="7"/>
      <c r="UEC1193" s="7"/>
      <c r="UED1193" s="7"/>
      <c r="UEE1193" s="7"/>
      <c r="UEF1193" s="7"/>
      <c r="UEG1193" s="7"/>
      <c r="UEH1193" s="7"/>
      <c r="UEI1193" s="7"/>
      <c r="UEJ1193" s="7"/>
      <c r="UEK1193" s="7"/>
      <c r="UEL1193" s="7"/>
      <c r="UEM1193" s="7"/>
      <c r="UEN1193" s="7"/>
      <c r="UEO1193" s="7"/>
      <c r="UEP1193" s="7"/>
      <c r="UEQ1193" s="7"/>
      <c r="UER1193" s="7"/>
      <c r="UES1193" s="7"/>
      <c r="UET1193" s="7"/>
      <c r="UEU1193" s="7"/>
      <c r="UEV1193" s="7"/>
      <c r="UEW1193" s="7"/>
      <c r="UEX1193" s="7"/>
      <c r="UEY1193" s="7"/>
      <c r="UEZ1193" s="7"/>
      <c r="UFA1193" s="7"/>
      <c r="UFB1193" s="7"/>
      <c r="UFC1193" s="7"/>
      <c r="UFD1193" s="7"/>
      <c r="UFE1193" s="7"/>
      <c r="UFF1193" s="7"/>
      <c r="UFG1193" s="7"/>
      <c r="UFH1193" s="7"/>
      <c r="UFI1193" s="7"/>
      <c r="UFJ1193" s="7"/>
      <c r="UFK1193" s="7"/>
      <c r="UFL1193" s="7"/>
      <c r="UFM1193" s="7"/>
      <c r="UFN1193" s="7"/>
      <c r="UFO1193" s="7"/>
      <c r="UFP1193" s="7"/>
      <c r="UFQ1193" s="7"/>
      <c r="UFR1193" s="7"/>
      <c r="UFS1193" s="7"/>
      <c r="UFT1193" s="7"/>
      <c r="UFU1193" s="7"/>
      <c r="UFV1193" s="7"/>
      <c r="UFW1193" s="7"/>
      <c r="UFX1193" s="7"/>
      <c r="UFY1193" s="7"/>
      <c r="UFZ1193" s="7"/>
      <c r="UGA1193" s="7"/>
      <c r="UGB1193" s="7"/>
      <c r="UGC1193" s="7"/>
      <c r="UGD1193" s="7"/>
      <c r="UGE1193" s="7"/>
      <c r="UGF1193" s="7"/>
      <c r="UGG1193" s="7"/>
      <c r="UGH1193" s="7"/>
      <c r="UGI1193" s="7"/>
      <c r="UGJ1193" s="7"/>
      <c r="UGK1193" s="7"/>
      <c r="UGL1193" s="7"/>
      <c r="UGM1193" s="7"/>
      <c r="UGN1193" s="7"/>
      <c r="UGO1193" s="7"/>
      <c r="UGP1193" s="7"/>
      <c r="UGQ1193" s="7"/>
      <c r="UGR1193" s="7"/>
      <c r="UGS1193" s="7"/>
      <c r="UGT1193" s="7"/>
      <c r="UGU1193" s="7"/>
      <c r="UGV1193" s="7"/>
      <c r="UGW1193" s="7"/>
      <c r="UGX1193" s="7"/>
      <c r="UGY1193" s="7"/>
      <c r="UGZ1193" s="7"/>
      <c r="UHA1193" s="7"/>
      <c r="UHB1193" s="7"/>
      <c r="UHC1193" s="7"/>
      <c r="UHD1193" s="7"/>
      <c r="UHE1193" s="7"/>
      <c r="UHF1193" s="7"/>
      <c r="UHG1193" s="7"/>
      <c r="UHH1193" s="7"/>
      <c r="UHI1193" s="7"/>
      <c r="UHJ1193" s="7"/>
      <c r="UHK1193" s="7"/>
      <c r="UHL1193" s="7"/>
      <c r="UHM1193" s="7"/>
      <c r="UHN1193" s="7"/>
      <c r="UHO1193" s="7"/>
      <c r="UHP1193" s="7"/>
      <c r="UHQ1193" s="7"/>
      <c r="UHR1193" s="7"/>
      <c r="UHS1193" s="7"/>
      <c r="UHT1193" s="7"/>
      <c r="UHU1193" s="7"/>
      <c r="UHV1193" s="7"/>
      <c r="UHW1193" s="7"/>
      <c r="UHX1193" s="7"/>
      <c r="UHY1193" s="7"/>
      <c r="UHZ1193" s="7"/>
      <c r="UIA1193" s="7"/>
      <c r="UIB1193" s="7"/>
      <c r="UIC1193" s="7"/>
      <c r="UID1193" s="7"/>
      <c r="UIE1193" s="7"/>
      <c r="UIF1193" s="7"/>
      <c r="UIG1193" s="7"/>
      <c r="UIH1193" s="7"/>
      <c r="UII1193" s="7"/>
      <c r="UIJ1193" s="7"/>
      <c r="UIK1193" s="7"/>
      <c r="UIL1193" s="7"/>
      <c r="UIM1193" s="7"/>
      <c r="UIN1193" s="7"/>
      <c r="UIO1193" s="7"/>
      <c r="UIP1193" s="7"/>
      <c r="UIQ1193" s="7"/>
      <c r="UIR1193" s="7"/>
      <c r="UIS1193" s="7"/>
      <c r="UIT1193" s="7"/>
      <c r="UIU1193" s="7"/>
      <c r="UIV1193" s="7"/>
      <c r="UIW1193" s="7"/>
      <c r="UIX1193" s="7"/>
      <c r="UIY1193" s="7"/>
      <c r="UIZ1193" s="7"/>
      <c r="UJA1193" s="7"/>
      <c r="UJB1193" s="7"/>
      <c r="UJC1193" s="7"/>
      <c r="UJD1193" s="7"/>
      <c r="UJE1193" s="7"/>
      <c r="UJF1193" s="7"/>
      <c r="UJG1193" s="7"/>
      <c r="UJH1193" s="7"/>
      <c r="UJI1193" s="7"/>
      <c r="UJJ1193" s="7"/>
      <c r="UJK1193" s="7"/>
      <c r="UJL1193" s="7"/>
      <c r="UJM1193" s="7"/>
      <c r="UJN1193" s="7"/>
      <c r="UJO1193" s="7"/>
      <c r="UJP1193" s="7"/>
      <c r="UJQ1193" s="7"/>
      <c r="UJR1193" s="7"/>
      <c r="UJS1193" s="7"/>
      <c r="UJT1193" s="7"/>
      <c r="UJU1193" s="7"/>
      <c r="UJV1193" s="7"/>
      <c r="UJW1193" s="7"/>
      <c r="UJX1193" s="7"/>
      <c r="UJY1193" s="7"/>
      <c r="UJZ1193" s="7"/>
      <c r="UKA1193" s="7"/>
      <c r="UKB1193" s="7"/>
      <c r="UKC1193" s="7"/>
      <c r="UKD1193" s="7"/>
      <c r="UKE1193" s="7"/>
      <c r="UKF1193" s="7"/>
      <c r="UKG1193" s="7"/>
      <c r="UKH1193" s="7"/>
      <c r="UKI1193" s="7"/>
      <c r="UKJ1193" s="7"/>
      <c r="UKK1193" s="7"/>
      <c r="UKL1193" s="7"/>
      <c r="UKM1193" s="7"/>
      <c r="UKN1193" s="7"/>
      <c r="UKO1193" s="7"/>
      <c r="UKP1193" s="7"/>
      <c r="UKQ1193" s="7"/>
      <c r="UKR1193" s="7"/>
      <c r="UKS1193" s="7"/>
      <c r="UKT1193" s="7"/>
      <c r="UKU1193" s="7"/>
      <c r="UKV1193" s="7"/>
      <c r="UKW1193" s="7"/>
      <c r="UKX1193" s="7"/>
      <c r="UKY1193" s="7"/>
      <c r="UKZ1193" s="7"/>
      <c r="ULA1193" s="7"/>
      <c r="ULB1193" s="7"/>
      <c r="ULC1193" s="7"/>
      <c r="ULD1193" s="7"/>
      <c r="ULE1193" s="7"/>
      <c r="ULF1193" s="7"/>
      <c r="ULG1193" s="7"/>
      <c r="ULH1193" s="7"/>
      <c r="ULI1193" s="7"/>
      <c r="ULJ1193" s="7"/>
      <c r="ULK1193" s="7"/>
      <c r="ULL1193" s="7"/>
      <c r="ULM1193" s="7"/>
      <c r="ULN1193" s="7"/>
      <c r="ULO1193" s="7"/>
      <c r="ULP1193" s="7"/>
      <c r="ULQ1193" s="7"/>
      <c r="ULR1193" s="7"/>
      <c r="ULS1193" s="7"/>
      <c r="ULT1193" s="7"/>
      <c r="ULU1193" s="7"/>
      <c r="ULV1193" s="7"/>
      <c r="ULW1193" s="7"/>
      <c r="ULX1193" s="7"/>
      <c r="ULY1193" s="7"/>
      <c r="ULZ1193" s="7"/>
      <c r="UMA1193" s="7"/>
      <c r="UMB1193" s="7"/>
      <c r="UMC1193" s="7"/>
      <c r="UMD1193" s="7"/>
      <c r="UME1193" s="7"/>
      <c r="UMF1193" s="7"/>
      <c r="UMG1193" s="7"/>
      <c r="UMH1193" s="7"/>
      <c r="UMI1193" s="7"/>
      <c r="UMJ1193" s="7"/>
      <c r="UMK1193" s="7"/>
      <c r="UML1193" s="7"/>
      <c r="UMM1193" s="7"/>
      <c r="UMN1193" s="7"/>
      <c r="UMO1193" s="7"/>
      <c r="UMP1193" s="7"/>
      <c r="UMQ1193" s="7"/>
      <c r="UMR1193" s="7"/>
      <c r="UMS1193" s="7"/>
      <c r="UMT1193" s="7"/>
      <c r="UMU1193" s="7"/>
      <c r="UMV1193" s="7"/>
      <c r="UMW1193" s="7"/>
      <c r="UMX1193" s="7"/>
      <c r="UMY1193" s="7"/>
      <c r="UMZ1193" s="7"/>
      <c r="UNA1193" s="7"/>
      <c r="UNB1193" s="7"/>
      <c r="UNC1193" s="7"/>
      <c r="UND1193" s="7"/>
      <c r="UNE1193" s="7"/>
      <c r="UNF1193" s="7"/>
      <c r="UNG1193" s="7"/>
      <c r="UNH1193" s="7"/>
      <c r="UNI1193" s="7"/>
      <c r="UNJ1193" s="7"/>
      <c r="UNK1193" s="7"/>
      <c r="UNL1193" s="7"/>
      <c r="UNM1193" s="7"/>
      <c r="UNN1193" s="7"/>
      <c r="UNO1193" s="7"/>
      <c r="UNP1193" s="7"/>
      <c r="UNQ1193" s="7"/>
      <c r="UNR1193" s="7"/>
      <c r="UNS1193" s="7"/>
      <c r="UNT1193" s="7"/>
      <c r="UNU1193" s="7"/>
      <c r="UNV1193" s="7"/>
      <c r="UNW1193" s="7"/>
      <c r="UNX1193" s="7"/>
      <c r="UNY1193" s="7"/>
      <c r="UNZ1193" s="7"/>
      <c r="UOA1193" s="7"/>
      <c r="UOB1193" s="7"/>
      <c r="UOC1193" s="7"/>
      <c r="UOD1193" s="7"/>
      <c r="UOE1193" s="7"/>
      <c r="UOF1193" s="7"/>
      <c r="UOG1193" s="7"/>
      <c r="UOH1193" s="7"/>
      <c r="UOI1193" s="7"/>
      <c r="UOJ1193" s="7"/>
      <c r="UOK1193" s="7"/>
      <c r="UOL1193" s="7"/>
      <c r="UOM1193" s="7"/>
      <c r="UON1193" s="7"/>
      <c r="UOO1193" s="7"/>
      <c r="UOP1193" s="7"/>
      <c r="UOQ1193" s="7"/>
      <c r="UOR1193" s="7"/>
      <c r="UOS1193" s="7"/>
      <c r="UOT1193" s="7"/>
      <c r="UOU1193" s="7"/>
      <c r="UOV1193" s="7"/>
      <c r="UOW1193" s="7"/>
      <c r="UOX1193" s="7"/>
      <c r="UOY1193" s="7"/>
      <c r="UOZ1193" s="7"/>
      <c r="UPA1193" s="7"/>
      <c r="UPB1193" s="7"/>
      <c r="UPC1193" s="7"/>
      <c r="UPD1193" s="7"/>
      <c r="UPE1193" s="7"/>
      <c r="UPF1193" s="7"/>
      <c r="UPG1193" s="7"/>
      <c r="UPH1193" s="7"/>
      <c r="UPI1193" s="7"/>
      <c r="UPJ1193" s="7"/>
      <c r="UPK1193" s="7"/>
      <c r="UPL1193" s="7"/>
      <c r="UPM1193" s="7"/>
      <c r="UPN1193" s="7"/>
      <c r="UPO1193" s="7"/>
      <c r="UPP1193" s="7"/>
      <c r="UPQ1193" s="7"/>
      <c r="UPR1193" s="7"/>
      <c r="UPS1193" s="7"/>
      <c r="UPT1193" s="7"/>
      <c r="UPU1193" s="7"/>
      <c r="UPV1193" s="7"/>
      <c r="UPW1193" s="7"/>
      <c r="UPX1193" s="7"/>
      <c r="UPY1193" s="7"/>
      <c r="UPZ1193" s="7"/>
      <c r="UQA1193" s="7"/>
      <c r="UQB1193" s="7"/>
      <c r="UQC1193" s="7"/>
      <c r="UQD1193" s="7"/>
      <c r="UQE1193" s="7"/>
      <c r="UQF1193" s="7"/>
      <c r="UQG1193" s="7"/>
      <c r="UQH1193" s="7"/>
      <c r="UQI1193" s="7"/>
      <c r="UQJ1193" s="7"/>
      <c r="UQK1193" s="7"/>
      <c r="UQL1193" s="7"/>
      <c r="UQM1193" s="7"/>
      <c r="UQN1193" s="7"/>
      <c r="UQO1193" s="7"/>
      <c r="UQP1193" s="7"/>
      <c r="UQQ1193" s="7"/>
      <c r="UQR1193" s="7"/>
      <c r="UQS1193" s="7"/>
      <c r="UQT1193" s="7"/>
      <c r="UQU1193" s="7"/>
      <c r="UQV1193" s="7"/>
      <c r="UQW1193" s="7"/>
      <c r="UQX1193" s="7"/>
      <c r="UQY1193" s="7"/>
      <c r="UQZ1193" s="7"/>
      <c r="URA1193" s="7"/>
      <c r="URB1193" s="7"/>
      <c r="URC1193" s="7"/>
      <c r="URD1193" s="7"/>
      <c r="URE1193" s="7"/>
      <c r="URF1193" s="7"/>
      <c r="URG1193" s="7"/>
      <c r="URH1193" s="7"/>
      <c r="URI1193" s="7"/>
      <c r="URJ1193" s="7"/>
      <c r="URK1193" s="7"/>
      <c r="URL1193" s="7"/>
      <c r="URM1193" s="7"/>
      <c r="URN1193" s="7"/>
      <c r="URO1193" s="7"/>
      <c r="URP1193" s="7"/>
      <c r="URQ1193" s="7"/>
      <c r="URR1193" s="7"/>
      <c r="URS1193" s="7"/>
      <c r="URT1193" s="7"/>
      <c r="URU1193" s="7"/>
      <c r="URV1193" s="7"/>
      <c r="URW1193" s="7"/>
      <c r="URX1193" s="7"/>
      <c r="URY1193" s="7"/>
      <c r="URZ1193" s="7"/>
      <c r="USA1193" s="7"/>
      <c r="USB1193" s="7"/>
      <c r="USC1193" s="7"/>
      <c r="USD1193" s="7"/>
      <c r="USE1193" s="7"/>
      <c r="USF1193" s="7"/>
      <c r="USG1193" s="7"/>
      <c r="USH1193" s="7"/>
      <c r="USI1193" s="7"/>
      <c r="USJ1193" s="7"/>
      <c r="USK1193" s="7"/>
      <c r="USL1193" s="7"/>
      <c r="USM1193" s="7"/>
      <c r="USN1193" s="7"/>
      <c r="USO1193" s="7"/>
      <c r="USP1193" s="7"/>
      <c r="USQ1193" s="7"/>
      <c r="USR1193" s="7"/>
      <c r="USS1193" s="7"/>
      <c r="UST1193" s="7"/>
      <c r="USU1193" s="7"/>
      <c r="USV1193" s="7"/>
      <c r="USW1193" s="7"/>
      <c r="USX1193" s="7"/>
      <c r="USY1193" s="7"/>
      <c r="USZ1193" s="7"/>
      <c r="UTA1193" s="7"/>
      <c r="UTB1193" s="7"/>
      <c r="UTC1193" s="7"/>
      <c r="UTD1193" s="7"/>
      <c r="UTE1193" s="7"/>
      <c r="UTF1193" s="7"/>
      <c r="UTG1193" s="7"/>
      <c r="UTH1193" s="7"/>
      <c r="UTI1193" s="7"/>
      <c r="UTJ1193" s="7"/>
      <c r="UTK1193" s="7"/>
      <c r="UTL1193" s="7"/>
      <c r="UTM1193" s="7"/>
      <c r="UTN1193" s="7"/>
      <c r="UTO1193" s="7"/>
      <c r="UTP1193" s="7"/>
      <c r="UTQ1193" s="7"/>
      <c r="UTR1193" s="7"/>
      <c r="UTS1193" s="7"/>
      <c r="UTT1193" s="7"/>
      <c r="UTU1193" s="7"/>
      <c r="UTV1193" s="7"/>
      <c r="UTW1193" s="7"/>
      <c r="UTX1193" s="7"/>
      <c r="UTY1193" s="7"/>
      <c r="UTZ1193" s="7"/>
      <c r="UUA1193" s="7"/>
      <c r="UUB1193" s="7"/>
      <c r="UUC1193" s="7"/>
      <c r="UUD1193" s="7"/>
      <c r="UUE1193" s="7"/>
      <c r="UUF1193" s="7"/>
      <c r="UUG1193" s="7"/>
      <c r="UUH1193" s="7"/>
      <c r="UUI1193" s="7"/>
      <c r="UUJ1193" s="7"/>
      <c r="UUK1193" s="7"/>
      <c r="UUL1193" s="7"/>
      <c r="UUM1193" s="7"/>
      <c r="UUN1193" s="7"/>
      <c r="UUO1193" s="7"/>
      <c r="UUP1193" s="7"/>
      <c r="UUQ1193" s="7"/>
      <c r="UUR1193" s="7"/>
      <c r="UUS1193" s="7"/>
      <c r="UUT1193" s="7"/>
      <c r="UUU1193" s="7"/>
      <c r="UUV1193" s="7"/>
      <c r="UUW1193" s="7"/>
      <c r="UUX1193" s="7"/>
      <c r="UUY1193" s="7"/>
      <c r="UUZ1193" s="7"/>
      <c r="UVA1193" s="7"/>
      <c r="UVB1193" s="7"/>
      <c r="UVC1193" s="7"/>
      <c r="UVD1193" s="7"/>
      <c r="UVE1193" s="7"/>
      <c r="UVF1193" s="7"/>
      <c r="UVG1193" s="7"/>
      <c r="UVH1193" s="7"/>
      <c r="UVI1193" s="7"/>
      <c r="UVJ1193" s="7"/>
      <c r="UVK1193" s="7"/>
      <c r="UVL1193" s="7"/>
      <c r="UVM1193" s="7"/>
      <c r="UVN1193" s="7"/>
      <c r="UVO1193" s="7"/>
      <c r="UVP1193" s="7"/>
      <c r="UVQ1193" s="7"/>
      <c r="UVR1193" s="7"/>
      <c r="UVS1193" s="7"/>
      <c r="UVT1193" s="7"/>
      <c r="UVU1193" s="7"/>
      <c r="UVV1193" s="7"/>
      <c r="UVW1193" s="7"/>
      <c r="UVX1193" s="7"/>
      <c r="UVY1193" s="7"/>
      <c r="UVZ1193" s="7"/>
      <c r="UWA1193" s="7"/>
      <c r="UWB1193" s="7"/>
      <c r="UWC1193" s="7"/>
      <c r="UWD1193" s="7"/>
      <c r="UWE1193" s="7"/>
      <c r="UWF1193" s="7"/>
      <c r="UWG1193" s="7"/>
      <c r="UWH1193" s="7"/>
      <c r="UWI1193" s="7"/>
      <c r="UWJ1193" s="7"/>
      <c r="UWK1193" s="7"/>
      <c r="UWL1193" s="7"/>
      <c r="UWM1193" s="7"/>
      <c r="UWN1193" s="7"/>
      <c r="UWO1193" s="7"/>
      <c r="UWP1193" s="7"/>
      <c r="UWQ1193" s="7"/>
      <c r="UWR1193" s="7"/>
      <c r="UWS1193" s="7"/>
      <c r="UWT1193" s="7"/>
      <c r="UWU1193" s="7"/>
      <c r="UWV1193" s="7"/>
      <c r="UWW1193" s="7"/>
      <c r="UWX1193" s="7"/>
      <c r="UWY1193" s="7"/>
      <c r="UWZ1193" s="7"/>
      <c r="UXA1193" s="7"/>
      <c r="UXB1193" s="7"/>
      <c r="UXC1193" s="7"/>
      <c r="UXD1193" s="7"/>
      <c r="UXE1193" s="7"/>
      <c r="UXF1193" s="7"/>
      <c r="UXG1193" s="7"/>
      <c r="UXH1193" s="7"/>
      <c r="UXI1193" s="7"/>
      <c r="UXJ1193" s="7"/>
      <c r="UXK1193" s="7"/>
      <c r="UXL1193" s="7"/>
      <c r="UXM1193" s="7"/>
      <c r="UXN1193" s="7"/>
      <c r="UXO1193" s="7"/>
      <c r="UXP1193" s="7"/>
      <c r="UXQ1193" s="7"/>
      <c r="UXR1193" s="7"/>
      <c r="UXS1193" s="7"/>
      <c r="UXT1193" s="7"/>
      <c r="UXU1193" s="7"/>
      <c r="UXV1193" s="7"/>
      <c r="UXW1193" s="7"/>
      <c r="UXX1193" s="7"/>
      <c r="UXY1193" s="7"/>
      <c r="UXZ1193" s="7"/>
      <c r="UYA1193" s="7"/>
      <c r="UYB1193" s="7"/>
      <c r="UYC1193" s="7"/>
      <c r="UYD1193" s="7"/>
      <c r="UYE1193" s="7"/>
      <c r="UYF1193" s="7"/>
      <c r="UYG1193" s="7"/>
      <c r="UYH1193" s="7"/>
      <c r="UYI1193" s="7"/>
      <c r="UYJ1193" s="7"/>
      <c r="UYK1193" s="7"/>
      <c r="UYL1193" s="7"/>
      <c r="UYM1193" s="7"/>
      <c r="UYN1193" s="7"/>
      <c r="UYO1193" s="7"/>
      <c r="UYP1193" s="7"/>
      <c r="UYQ1193" s="7"/>
      <c r="UYR1193" s="7"/>
      <c r="UYS1193" s="7"/>
      <c r="UYT1193" s="7"/>
      <c r="UYU1193" s="7"/>
      <c r="UYV1193" s="7"/>
      <c r="UYW1193" s="7"/>
      <c r="UYX1193" s="7"/>
      <c r="UYY1193" s="7"/>
      <c r="UYZ1193" s="7"/>
      <c r="UZA1193" s="7"/>
      <c r="UZB1193" s="7"/>
      <c r="UZC1193" s="7"/>
      <c r="UZD1193" s="7"/>
      <c r="UZE1193" s="7"/>
      <c r="UZF1193" s="7"/>
      <c r="UZG1193" s="7"/>
      <c r="UZH1193" s="7"/>
      <c r="UZI1193" s="7"/>
      <c r="UZJ1193" s="7"/>
      <c r="UZK1193" s="7"/>
      <c r="UZL1193" s="7"/>
      <c r="UZM1193" s="7"/>
      <c r="UZN1193" s="7"/>
      <c r="UZO1193" s="7"/>
      <c r="UZP1193" s="7"/>
      <c r="UZQ1193" s="7"/>
      <c r="UZR1193" s="7"/>
      <c r="UZS1193" s="7"/>
      <c r="UZT1193" s="7"/>
      <c r="UZU1193" s="7"/>
      <c r="UZV1193" s="7"/>
      <c r="UZW1193" s="7"/>
      <c r="UZX1193" s="7"/>
      <c r="UZY1193" s="7"/>
      <c r="UZZ1193" s="7"/>
      <c r="VAA1193" s="7"/>
      <c r="VAB1193" s="7"/>
      <c r="VAC1193" s="7"/>
      <c r="VAD1193" s="7"/>
      <c r="VAE1193" s="7"/>
      <c r="VAF1193" s="7"/>
      <c r="VAG1193" s="7"/>
      <c r="VAH1193" s="7"/>
      <c r="VAI1193" s="7"/>
      <c r="VAJ1193" s="7"/>
      <c r="VAK1193" s="7"/>
      <c r="VAL1193" s="7"/>
      <c r="VAM1193" s="7"/>
      <c r="VAN1193" s="7"/>
      <c r="VAO1193" s="7"/>
      <c r="VAP1193" s="7"/>
      <c r="VAQ1193" s="7"/>
      <c r="VAR1193" s="7"/>
      <c r="VAS1193" s="7"/>
      <c r="VAT1193" s="7"/>
      <c r="VAU1193" s="7"/>
      <c r="VAV1193" s="7"/>
      <c r="VAW1193" s="7"/>
      <c r="VAX1193" s="7"/>
      <c r="VAY1193" s="7"/>
      <c r="VAZ1193" s="7"/>
      <c r="VBA1193" s="7"/>
      <c r="VBB1193" s="7"/>
      <c r="VBC1193" s="7"/>
      <c r="VBD1193" s="7"/>
      <c r="VBE1193" s="7"/>
      <c r="VBF1193" s="7"/>
      <c r="VBG1193" s="7"/>
      <c r="VBH1193" s="7"/>
      <c r="VBI1193" s="7"/>
      <c r="VBJ1193" s="7"/>
      <c r="VBK1193" s="7"/>
      <c r="VBL1193" s="7"/>
      <c r="VBM1193" s="7"/>
      <c r="VBN1193" s="7"/>
      <c r="VBO1193" s="7"/>
      <c r="VBP1193" s="7"/>
      <c r="VBQ1193" s="7"/>
      <c r="VBR1193" s="7"/>
      <c r="VBS1193" s="7"/>
      <c r="VBT1193" s="7"/>
      <c r="VBU1193" s="7"/>
      <c r="VBV1193" s="7"/>
      <c r="VBW1193" s="7"/>
      <c r="VBX1193" s="7"/>
      <c r="VBY1193" s="7"/>
      <c r="VBZ1193" s="7"/>
      <c r="VCA1193" s="7"/>
      <c r="VCB1193" s="7"/>
      <c r="VCC1193" s="7"/>
      <c r="VCD1193" s="7"/>
      <c r="VCE1193" s="7"/>
      <c r="VCF1193" s="7"/>
      <c r="VCG1193" s="7"/>
      <c r="VCH1193" s="7"/>
      <c r="VCI1193" s="7"/>
      <c r="VCJ1193" s="7"/>
      <c r="VCK1193" s="7"/>
      <c r="VCL1193" s="7"/>
      <c r="VCM1193" s="7"/>
      <c r="VCN1193" s="7"/>
      <c r="VCO1193" s="7"/>
      <c r="VCP1193" s="7"/>
      <c r="VCQ1193" s="7"/>
      <c r="VCR1193" s="7"/>
      <c r="VCS1193" s="7"/>
      <c r="VCT1193" s="7"/>
      <c r="VCU1193" s="7"/>
      <c r="VCV1193" s="7"/>
      <c r="VCW1193" s="7"/>
      <c r="VCX1193" s="7"/>
      <c r="VCY1193" s="7"/>
      <c r="VCZ1193" s="7"/>
      <c r="VDA1193" s="7"/>
      <c r="VDB1193" s="7"/>
      <c r="VDC1193" s="7"/>
      <c r="VDD1193" s="7"/>
      <c r="VDE1193" s="7"/>
      <c r="VDF1193" s="7"/>
      <c r="VDG1193" s="7"/>
      <c r="VDH1193" s="7"/>
      <c r="VDI1193" s="7"/>
      <c r="VDJ1193" s="7"/>
      <c r="VDK1193" s="7"/>
      <c r="VDL1193" s="7"/>
      <c r="VDM1193" s="7"/>
      <c r="VDN1193" s="7"/>
      <c r="VDO1193" s="7"/>
      <c r="VDP1193" s="7"/>
      <c r="VDQ1193" s="7"/>
      <c r="VDR1193" s="7"/>
      <c r="VDS1193" s="7"/>
      <c r="VDT1193" s="7"/>
      <c r="VDU1193" s="7"/>
      <c r="VDV1193" s="7"/>
      <c r="VDW1193" s="7"/>
      <c r="VDX1193" s="7"/>
      <c r="VDY1193" s="7"/>
      <c r="VDZ1193" s="7"/>
      <c r="VEA1193" s="7"/>
      <c r="VEB1193" s="7"/>
      <c r="VEC1193" s="7"/>
      <c r="VED1193" s="7"/>
      <c r="VEE1193" s="7"/>
      <c r="VEF1193" s="7"/>
      <c r="VEG1193" s="7"/>
      <c r="VEH1193" s="7"/>
      <c r="VEI1193" s="7"/>
      <c r="VEJ1193" s="7"/>
      <c r="VEK1193" s="7"/>
      <c r="VEL1193" s="7"/>
      <c r="VEM1193" s="7"/>
      <c r="VEN1193" s="7"/>
      <c r="VEO1193" s="7"/>
      <c r="VEP1193" s="7"/>
      <c r="VEQ1193" s="7"/>
      <c r="VER1193" s="7"/>
      <c r="VES1193" s="7"/>
      <c r="VET1193" s="7"/>
      <c r="VEU1193" s="7"/>
      <c r="VEV1193" s="7"/>
      <c r="VEW1193" s="7"/>
      <c r="VEX1193" s="7"/>
      <c r="VEY1193" s="7"/>
      <c r="VEZ1193" s="7"/>
      <c r="VFA1193" s="7"/>
      <c r="VFB1193" s="7"/>
      <c r="VFC1193" s="7"/>
      <c r="VFD1193" s="7"/>
      <c r="VFE1193" s="7"/>
      <c r="VFF1193" s="7"/>
      <c r="VFG1193" s="7"/>
      <c r="VFH1193" s="7"/>
      <c r="VFI1193" s="7"/>
      <c r="VFJ1193" s="7"/>
      <c r="VFK1193" s="7"/>
      <c r="VFL1193" s="7"/>
      <c r="VFM1193" s="7"/>
      <c r="VFN1193" s="7"/>
      <c r="VFO1193" s="7"/>
      <c r="VFP1193" s="7"/>
      <c r="VFQ1193" s="7"/>
      <c r="VFR1193" s="7"/>
      <c r="VFS1193" s="7"/>
      <c r="VFT1193" s="7"/>
      <c r="VFU1193" s="7"/>
      <c r="VFV1193" s="7"/>
      <c r="VFW1193" s="7"/>
      <c r="VFX1193" s="7"/>
      <c r="VFY1193" s="7"/>
      <c r="VFZ1193" s="7"/>
      <c r="VGA1193" s="7"/>
      <c r="VGB1193" s="7"/>
      <c r="VGC1193" s="7"/>
      <c r="VGD1193" s="7"/>
      <c r="VGE1193" s="7"/>
      <c r="VGF1193" s="7"/>
      <c r="VGG1193" s="7"/>
      <c r="VGH1193" s="7"/>
      <c r="VGI1193" s="7"/>
      <c r="VGJ1193" s="7"/>
      <c r="VGK1193" s="7"/>
      <c r="VGL1193" s="7"/>
      <c r="VGM1193" s="7"/>
      <c r="VGN1193" s="7"/>
      <c r="VGO1193" s="7"/>
      <c r="VGP1193" s="7"/>
      <c r="VGQ1193" s="7"/>
      <c r="VGR1193" s="7"/>
      <c r="VGS1193" s="7"/>
      <c r="VGT1193" s="7"/>
      <c r="VGU1193" s="7"/>
      <c r="VGV1193" s="7"/>
      <c r="VGW1193" s="7"/>
      <c r="VGX1193" s="7"/>
      <c r="VGY1193" s="7"/>
      <c r="VGZ1193" s="7"/>
      <c r="VHA1193" s="7"/>
      <c r="VHB1193" s="7"/>
      <c r="VHC1193" s="7"/>
      <c r="VHD1193" s="7"/>
      <c r="VHE1193" s="7"/>
      <c r="VHF1193" s="7"/>
      <c r="VHG1193" s="7"/>
      <c r="VHH1193" s="7"/>
      <c r="VHI1193" s="7"/>
      <c r="VHJ1193" s="7"/>
      <c r="VHK1193" s="7"/>
      <c r="VHL1193" s="7"/>
      <c r="VHM1193" s="7"/>
      <c r="VHN1193" s="7"/>
      <c r="VHO1193" s="7"/>
      <c r="VHP1193" s="7"/>
      <c r="VHQ1193" s="7"/>
      <c r="VHR1193" s="7"/>
      <c r="VHS1193" s="7"/>
      <c r="VHT1193" s="7"/>
      <c r="VHU1193" s="7"/>
      <c r="VHV1193" s="7"/>
      <c r="VHW1193" s="7"/>
      <c r="VHX1193" s="7"/>
      <c r="VHY1193" s="7"/>
      <c r="VHZ1193" s="7"/>
      <c r="VIA1193" s="7"/>
      <c r="VIB1193" s="7"/>
      <c r="VIC1193" s="7"/>
      <c r="VID1193" s="7"/>
      <c r="VIE1193" s="7"/>
      <c r="VIF1193" s="7"/>
      <c r="VIG1193" s="7"/>
      <c r="VIH1193" s="7"/>
      <c r="VII1193" s="7"/>
      <c r="VIJ1193" s="7"/>
      <c r="VIK1193" s="7"/>
      <c r="VIL1193" s="7"/>
      <c r="VIM1193" s="7"/>
      <c r="VIN1193" s="7"/>
      <c r="VIO1193" s="7"/>
      <c r="VIP1193" s="7"/>
      <c r="VIQ1193" s="7"/>
      <c r="VIR1193" s="7"/>
      <c r="VIS1193" s="7"/>
      <c r="VIT1193" s="7"/>
      <c r="VIU1193" s="7"/>
      <c r="VIV1193" s="7"/>
      <c r="VIW1193" s="7"/>
      <c r="VIX1193" s="7"/>
      <c r="VIY1193" s="7"/>
      <c r="VIZ1193" s="7"/>
      <c r="VJA1193" s="7"/>
      <c r="VJB1193" s="7"/>
      <c r="VJC1193" s="7"/>
      <c r="VJD1193" s="7"/>
      <c r="VJE1193" s="7"/>
      <c r="VJF1193" s="7"/>
      <c r="VJG1193" s="7"/>
      <c r="VJH1193" s="7"/>
      <c r="VJI1193" s="7"/>
      <c r="VJJ1193" s="7"/>
      <c r="VJK1193" s="7"/>
      <c r="VJL1193" s="7"/>
      <c r="VJM1193" s="7"/>
      <c r="VJN1193" s="7"/>
      <c r="VJO1193" s="7"/>
      <c r="VJP1193" s="7"/>
      <c r="VJQ1193" s="7"/>
      <c r="VJR1193" s="7"/>
      <c r="VJS1193" s="7"/>
      <c r="VJT1193" s="7"/>
      <c r="VJU1193" s="7"/>
      <c r="VJV1193" s="7"/>
      <c r="VJW1193" s="7"/>
      <c r="VJX1193" s="7"/>
      <c r="VJY1193" s="7"/>
      <c r="VJZ1193" s="7"/>
      <c r="VKA1193" s="7"/>
      <c r="VKB1193" s="7"/>
      <c r="VKC1193" s="7"/>
      <c r="VKD1193" s="7"/>
      <c r="VKE1193" s="7"/>
      <c r="VKF1193" s="7"/>
      <c r="VKG1193" s="7"/>
      <c r="VKH1193" s="7"/>
      <c r="VKI1193" s="7"/>
      <c r="VKJ1193" s="7"/>
      <c r="VKK1193" s="7"/>
      <c r="VKL1193" s="7"/>
      <c r="VKM1193" s="7"/>
      <c r="VKN1193" s="7"/>
      <c r="VKO1193" s="7"/>
      <c r="VKP1193" s="7"/>
      <c r="VKQ1193" s="7"/>
      <c r="VKR1193" s="7"/>
      <c r="VKS1193" s="7"/>
      <c r="VKT1193" s="7"/>
      <c r="VKU1193" s="7"/>
      <c r="VKV1193" s="7"/>
      <c r="VKW1193" s="7"/>
      <c r="VKX1193" s="7"/>
      <c r="VKY1193" s="7"/>
      <c r="VKZ1193" s="7"/>
      <c r="VLA1193" s="7"/>
      <c r="VLB1193" s="7"/>
      <c r="VLC1193" s="7"/>
      <c r="VLD1193" s="7"/>
      <c r="VLE1193" s="7"/>
      <c r="VLF1193" s="7"/>
      <c r="VLG1193" s="7"/>
      <c r="VLH1193" s="7"/>
      <c r="VLI1193" s="7"/>
      <c r="VLJ1193" s="7"/>
      <c r="VLK1193" s="7"/>
      <c r="VLL1193" s="7"/>
      <c r="VLM1193" s="7"/>
      <c r="VLN1193" s="7"/>
      <c r="VLO1193" s="7"/>
      <c r="VLP1193" s="7"/>
      <c r="VLQ1193" s="7"/>
      <c r="VLR1193" s="7"/>
      <c r="VLS1193" s="7"/>
      <c r="VLT1193" s="7"/>
      <c r="VLU1193" s="7"/>
      <c r="VLV1193" s="7"/>
      <c r="VLW1193" s="7"/>
      <c r="VLX1193" s="7"/>
      <c r="VLY1193" s="7"/>
      <c r="VLZ1193" s="7"/>
      <c r="VMA1193" s="7"/>
      <c r="VMB1193" s="7"/>
      <c r="VMC1193" s="7"/>
      <c r="VMD1193" s="7"/>
      <c r="VME1193" s="7"/>
      <c r="VMF1193" s="7"/>
      <c r="VMG1193" s="7"/>
      <c r="VMH1193" s="7"/>
      <c r="VMI1193" s="7"/>
      <c r="VMJ1193" s="7"/>
      <c r="VMK1193" s="7"/>
      <c r="VML1193" s="7"/>
      <c r="VMM1193" s="7"/>
      <c r="VMN1193" s="7"/>
      <c r="VMO1193" s="7"/>
      <c r="VMP1193" s="7"/>
      <c r="VMQ1193" s="7"/>
      <c r="VMR1193" s="7"/>
      <c r="VMS1193" s="7"/>
      <c r="VMT1193" s="7"/>
      <c r="VMU1193" s="7"/>
      <c r="VMV1193" s="7"/>
      <c r="VMW1193" s="7"/>
      <c r="VMX1193" s="7"/>
      <c r="VMY1193" s="7"/>
      <c r="VMZ1193" s="7"/>
      <c r="VNA1193" s="7"/>
      <c r="VNB1193" s="7"/>
      <c r="VNC1193" s="7"/>
      <c r="VND1193" s="7"/>
      <c r="VNE1193" s="7"/>
      <c r="VNF1193" s="7"/>
      <c r="VNG1193" s="7"/>
      <c r="VNH1193" s="7"/>
      <c r="VNI1193" s="7"/>
      <c r="VNJ1193" s="7"/>
      <c r="VNK1193" s="7"/>
      <c r="VNL1193" s="7"/>
      <c r="VNM1193" s="7"/>
      <c r="VNN1193" s="7"/>
      <c r="VNO1193" s="7"/>
      <c r="VNP1193" s="7"/>
      <c r="VNQ1193" s="7"/>
      <c r="VNR1193" s="7"/>
      <c r="VNS1193" s="7"/>
      <c r="VNT1193" s="7"/>
      <c r="VNU1193" s="7"/>
      <c r="VNV1193" s="7"/>
      <c r="VNW1193" s="7"/>
      <c r="VNX1193" s="7"/>
      <c r="VNY1193" s="7"/>
      <c r="VNZ1193" s="7"/>
      <c r="VOA1193" s="7"/>
      <c r="VOB1193" s="7"/>
      <c r="VOC1193" s="7"/>
      <c r="VOD1193" s="7"/>
      <c r="VOE1193" s="7"/>
      <c r="VOF1193" s="7"/>
      <c r="VOG1193" s="7"/>
      <c r="VOH1193" s="7"/>
      <c r="VOI1193" s="7"/>
      <c r="VOJ1193" s="7"/>
      <c r="VOK1193" s="7"/>
      <c r="VOL1193" s="7"/>
      <c r="VOM1193" s="7"/>
      <c r="VON1193" s="7"/>
      <c r="VOO1193" s="7"/>
      <c r="VOP1193" s="7"/>
      <c r="VOQ1193" s="7"/>
      <c r="VOR1193" s="7"/>
      <c r="VOS1193" s="7"/>
      <c r="VOT1193" s="7"/>
      <c r="VOU1193" s="7"/>
      <c r="VOV1193" s="7"/>
      <c r="VOW1193" s="7"/>
      <c r="VOX1193" s="7"/>
      <c r="VOY1193" s="7"/>
      <c r="VOZ1193" s="7"/>
      <c r="VPA1193" s="7"/>
      <c r="VPB1193" s="7"/>
      <c r="VPC1193" s="7"/>
      <c r="VPD1193" s="7"/>
      <c r="VPE1193" s="7"/>
      <c r="VPF1193" s="7"/>
      <c r="VPG1193" s="7"/>
      <c r="VPH1193" s="7"/>
      <c r="VPI1193" s="7"/>
      <c r="VPJ1193" s="7"/>
      <c r="VPK1193" s="7"/>
      <c r="VPL1193" s="7"/>
      <c r="VPM1193" s="7"/>
      <c r="VPN1193" s="7"/>
      <c r="VPO1193" s="7"/>
      <c r="VPP1193" s="7"/>
      <c r="VPQ1193" s="7"/>
      <c r="VPR1193" s="7"/>
      <c r="VPS1193" s="7"/>
      <c r="VPT1193" s="7"/>
      <c r="VPU1193" s="7"/>
      <c r="VPV1193" s="7"/>
      <c r="VPW1193" s="7"/>
      <c r="VPX1193" s="7"/>
      <c r="VPY1193" s="7"/>
      <c r="VPZ1193" s="7"/>
      <c r="VQA1193" s="7"/>
      <c r="VQB1193" s="7"/>
      <c r="VQC1193" s="7"/>
      <c r="VQD1193" s="7"/>
      <c r="VQE1193" s="7"/>
      <c r="VQF1193" s="7"/>
      <c r="VQG1193" s="7"/>
      <c r="VQH1193" s="7"/>
      <c r="VQI1193" s="7"/>
      <c r="VQJ1193" s="7"/>
      <c r="VQK1193" s="7"/>
      <c r="VQL1193" s="7"/>
      <c r="VQM1193" s="7"/>
      <c r="VQN1193" s="7"/>
      <c r="VQO1193" s="7"/>
      <c r="VQP1193" s="7"/>
      <c r="VQQ1193" s="7"/>
      <c r="VQR1193" s="7"/>
      <c r="VQS1193" s="7"/>
      <c r="VQT1193" s="7"/>
      <c r="VQU1193" s="7"/>
      <c r="VQV1193" s="7"/>
      <c r="VQW1193" s="7"/>
      <c r="VQX1193" s="7"/>
      <c r="VQY1193" s="7"/>
      <c r="VQZ1193" s="7"/>
      <c r="VRA1193" s="7"/>
      <c r="VRB1193" s="7"/>
      <c r="VRC1193" s="7"/>
      <c r="VRD1193" s="7"/>
      <c r="VRE1193" s="7"/>
      <c r="VRF1193" s="7"/>
      <c r="VRG1193" s="7"/>
      <c r="VRH1193" s="7"/>
      <c r="VRI1193" s="7"/>
      <c r="VRJ1193" s="7"/>
      <c r="VRK1193" s="7"/>
      <c r="VRL1193" s="7"/>
      <c r="VRM1193" s="7"/>
      <c r="VRN1193" s="7"/>
      <c r="VRO1193" s="7"/>
      <c r="VRP1193" s="7"/>
      <c r="VRQ1193" s="7"/>
      <c r="VRR1193" s="7"/>
      <c r="VRS1193" s="7"/>
      <c r="VRT1193" s="7"/>
      <c r="VRU1193" s="7"/>
      <c r="VRV1193" s="7"/>
      <c r="VRW1193" s="7"/>
      <c r="VRX1193" s="7"/>
      <c r="VRY1193" s="7"/>
      <c r="VRZ1193" s="7"/>
      <c r="VSA1193" s="7"/>
      <c r="VSB1193" s="7"/>
      <c r="VSC1193" s="7"/>
      <c r="VSD1193" s="7"/>
      <c r="VSE1193" s="7"/>
      <c r="VSF1193" s="7"/>
      <c r="VSG1193" s="7"/>
      <c r="VSH1193" s="7"/>
      <c r="VSI1193" s="7"/>
      <c r="VSJ1193" s="7"/>
      <c r="VSK1193" s="7"/>
      <c r="VSL1193" s="7"/>
      <c r="VSM1193" s="7"/>
      <c r="VSN1193" s="7"/>
      <c r="VSO1193" s="7"/>
      <c r="VSP1193" s="7"/>
      <c r="VSQ1193" s="7"/>
      <c r="VSR1193" s="7"/>
      <c r="VSS1193" s="7"/>
      <c r="VST1193" s="7"/>
      <c r="VSU1193" s="7"/>
      <c r="VSV1193" s="7"/>
      <c r="VSW1193" s="7"/>
      <c r="VSX1193" s="7"/>
      <c r="VSY1193" s="7"/>
      <c r="VSZ1193" s="7"/>
      <c r="VTA1193" s="7"/>
      <c r="VTB1193" s="7"/>
      <c r="VTC1193" s="7"/>
      <c r="VTD1193" s="7"/>
      <c r="VTE1193" s="7"/>
      <c r="VTF1193" s="7"/>
      <c r="VTG1193" s="7"/>
      <c r="VTH1193" s="7"/>
      <c r="VTI1193" s="7"/>
      <c r="VTJ1193" s="7"/>
      <c r="VTK1193" s="7"/>
      <c r="VTL1193" s="7"/>
      <c r="VTM1193" s="7"/>
      <c r="VTN1193" s="7"/>
      <c r="VTO1193" s="7"/>
      <c r="VTP1193" s="7"/>
      <c r="VTQ1193" s="7"/>
      <c r="VTR1193" s="7"/>
      <c r="VTS1193" s="7"/>
      <c r="VTT1193" s="7"/>
      <c r="VTU1193" s="7"/>
      <c r="VTV1193" s="7"/>
      <c r="VTW1193" s="7"/>
      <c r="VTX1193" s="7"/>
      <c r="VTY1193" s="7"/>
      <c r="VTZ1193" s="7"/>
      <c r="VUA1193" s="7"/>
      <c r="VUB1193" s="7"/>
      <c r="VUC1193" s="7"/>
      <c r="VUD1193" s="7"/>
      <c r="VUE1193" s="7"/>
      <c r="VUF1193" s="7"/>
      <c r="VUG1193" s="7"/>
      <c r="VUH1193" s="7"/>
      <c r="VUI1193" s="7"/>
      <c r="VUJ1193" s="7"/>
      <c r="VUK1193" s="7"/>
      <c r="VUL1193" s="7"/>
      <c r="VUM1193" s="7"/>
      <c r="VUN1193" s="7"/>
      <c r="VUO1193" s="7"/>
      <c r="VUP1193" s="7"/>
      <c r="VUQ1193" s="7"/>
      <c r="VUR1193" s="7"/>
      <c r="VUS1193" s="7"/>
      <c r="VUT1193" s="7"/>
      <c r="VUU1193" s="7"/>
      <c r="VUV1193" s="7"/>
      <c r="VUW1193" s="7"/>
      <c r="VUX1193" s="7"/>
      <c r="VUY1193" s="7"/>
      <c r="VUZ1193" s="7"/>
      <c r="VVA1193" s="7"/>
      <c r="VVB1193" s="7"/>
      <c r="VVC1193" s="7"/>
      <c r="VVD1193" s="7"/>
      <c r="VVE1193" s="7"/>
      <c r="VVF1193" s="7"/>
      <c r="VVG1193" s="7"/>
      <c r="VVH1193" s="7"/>
      <c r="VVI1193" s="7"/>
      <c r="VVJ1193" s="7"/>
      <c r="VVK1193" s="7"/>
      <c r="VVL1193" s="7"/>
      <c r="VVM1193" s="7"/>
      <c r="VVN1193" s="7"/>
      <c r="VVO1193" s="7"/>
      <c r="VVP1193" s="7"/>
      <c r="VVQ1193" s="7"/>
      <c r="VVR1193" s="7"/>
      <c r="VVS1193" s="7"/>
      <c r="VVT1193" s="7"/>
      <c r="VVU1193" s="7"/>
      <c r="VVV1193" s="7"/>
      <c r="VVW1193" s="7"/>
      <c r="VVX1193" s="7"/>
      <c r="VVY1193" s="7"/>
      <c r="VVZ1193" s="7"/>
      <c r="VWA1193" s="7"/>
      <c r="VWB1193" s="7"/>
      <c r="VWC1193" s="7"/>
      <c r="VWD1193" s="7"/>
      <c r="VWE1193" s="7"/>
      <c r="VWF1193" s="7"/>
      <c r="VWG1193" s="7"/>
      <c r="VWH1193" s="7"/>
      <c r="VWI1193" s="7"/>
      <c r="VWJ1193" s="7"/>
      <c r="VWK1193" s="7"/>
      <c r="VWL1193" s="7"/>
      <c r="VWM1193" s="7"/>
      <c r="VWN1193" s="7"/>
      <c r="VWO1193" s="7"/>
      <c r="VWP1193" s="7"/>
      <c r="VWQ1193" s="7"/>
      <c r="VWR1193" s="7"/>
      <c r="VWS1193" s="7"/>
      <c r="VWT1193" s="7"/>
      <c r="VWU1193" s="7"/>
      <c r="VWV1193" s="7"/>
      <c r="VWW1193" s="7"/>
      <c r="VWX1193" s="7"/>
      <c r="VWY1193" s="7"/>
      <c r="VWZ1193" s="7"/>
      <c r="VXA1193" s="7"/>
      <c r="VXB1193" s="7"/>
      <c r="VXC1193" s="7"/>
      <c r="VXD1193" s="7"/>
      <c r="VXE1193" s="7"/>
      <c r="VXF1193" s="7"/>
      <c r="VXG1193" s="7"/>
      <c r="VXH1193" s="7"/>
      <c r="VXI1193" s="7"/>
      <c r="VXJ1193" s="7"/>
      <c r="VXK1193" s="7"/>
      <c r="VXL1193" s="7"/>
      <c r="VXM1193" s="7"/>
      <c r="VXN1193" s="7"/>
      <c r="VXO1193" s="7"/>
      <c r="VXP1193" s="7"/>
      <c r="VXQ1193" s="7"/>
      <c r="VXR1193" s="7"/>
      <c r="VXS1193" s="7"/>
      <c r="VXT1193" s="7"/>
      <c r="VXU1193" s="7"/>
      <c r="VXV1193" s="7"/>
      <c r="VXW1193" s="7"/>
      <c r="VXX1193" s="7"/>
      <c r="VXY1193" s="7"/>
      <c r="VXZ1193" s="7"/>
      <c r="VYA1193" s="7"/>
      <c r="VYB1193" s="7"/>
      <c r="VYC1193" s="7"/>
      <c r="VYD1193" s="7"/>
      <c r="VYE1193" s="7"/>
      <c r="VYF1193" s="7"/>
      <c r="VYG1193" s="7"/>
      <c r="VYH1193" s="7"/>
      <c r="VYI1193" s="7"/>
      <c r="VYJ1193" s="7"/>
      <c r="VYK1193" s="7"/>
      <c r="VYL1193" s="7"/>
      <c r="VYM1193" s="7"/>
      <c r="VYN1193" s="7"/>
      <c r="VYO1193" s="7"/>
      <c r="VYP1193" s="7"/>
      <c r="VYQ1193" s="7"/>
      <c r="VYR1193" s="7"/>
      <c r="VYS1193" s="7"/>
      <c r="VYT1193" s="7"/>
      <c r="VYU1193" s="7"/>
      <c r="VYV1193" s="7"/>
      <c r="VYW1193" s="7"/>
      <c r="VYX1193" s="7"/>
      <c r="VYY1193" s="7"/>
      <c r="VYZ1193" s="7"/>
      <c r="VZA1193" s="7"/>
      <c r="VZB1193" s="7"/>
      <c r="VZC1193" s="7"/>
      <c r="VZD1193" s="7"/>
      <c r="VZE1193" s="7"/>
      <c r="VZF1193" s="7"/>
      <c r="VZG1193" s="7"/>
      <c r="VZH1193" s="7"/>
      <c r="VZI1193" s="7"/>
      <c r="VZJ1193" s="7"/>
      <c r="VZK1193" s="7"/>
      <c r="VZL1193" s="7"/>
      <c r="VZM1193" s="7"/>
      <c r="VZN1193" s="7"/>
      <c r="VZO1193" s="7"/>
      <c r="VZP1193" s="7"/>
      <c r="VZQ1193" s="7"/>
      <c r="VZR1193" s="7"/>
      <c r="VZS1193" s="7"/>
      <c r="VZT1193" s="7"/>
      <c r="VZU1193" s="7"/>
      <c r="VZV1193" s="7"/>
      <c r="VZW1193" s="7"/>
      <c r="VZX1193" s="7"/>
      <c r="VZY1193" s="7"/>
      <c r="VZZ1193" s="7"/>
      <c r="WAA1193" s="7"/>
      <c r="WAB1193" s="7"/>
      <c r="WAC1193" s="7"/>
      <c r="WAD1193" s="7"/>
      <c r="WAE1193" s="7"/>
      <c r="WAF1193" s="7"/>
      <c r="WAG1193" s="7"/>
      <c r="WAH1193" s="7"/>
      <c r="WAI1193" s="7"/>
      <c r="WAJ1193" s="7"/>
      <c r="WAK1193" s="7"/>
      <c r="WAL1193" s="7"/>
      <c r="WAM1193" s="7"/>
      <c r="WAN1193" s="7"/>
      <c r="WAO1193" s="7"/>
      <c r="WAP1193" s="7"/>
      <c r="WAQ1193" s="7"/>
      <c r="WAR1193" s="7"/>
      <c r="WAS1193" s="7"/>
      <c r="WAT1193" s="7"/>
      <c r="WAU1193" s="7"/>
      <c r="WAV1193" s="7"/>
      <c r="WAW1193" s="7"/>
      <c r="WAX1193" s="7"/>
      <c r="WAY1193" s="7"/>
      <c r="WAZ1193" s="7"/>
      <c r="WBA1193" s="7"/>
      <c r="WBB1193" s="7"/>
      <c r="WBC1193" s="7"/>
      <c r="WBD1193" s="7"/>
      <c r="WBE1193" s="7"/>
      <c r="WBF1193" s="7"/>
      <c r="WBG1193" s="7"/>
      <c r="WBH1193" s="7"/>
      <c r="WBI1193" s="7"/>
      <c r="WBJ1193" s="7"/>
      <c r="WBK1193" s="7"/>
      <c r="WBL1193" s="7"/>
      <c r="WBM1193" s="7"/>
      <c r="WBN1193" s="7"/>
      <c r="WBO1193" s="7"/>
      <c r="WBP1193" s="7"/>
      <c r="WBQ1193" s="7"/>
      <c r="WBR1193" s="7"/>
      <c r="WBS1193" s="7"/>
      <c r="WBT1193" s="7"/>
      <c r="WBU1193" s="7"/>
      <c r="WBV1193" s="7"/>
      <c r="WBW1193" s="7"/>
      <c r="WBX1193" s="7"/>
      <c r="WBY1193" s="7"/>
      <c r="WBZ1193" s="7"/>
      <c r="WCA1193" s="7"/>
      <c r="WCB1193" s="7"/>
      <c r="WCC1193" s="7"/>
      <c r="WCD1193" s="7"/>
      <c r="WCE1193" s="7"/>
      <c r="WCF1193" s="7"/>
      <c r="WCG1193" s="7"/>
      <c r="WCH1193" s="7"/>
      <c r="WCI1193" s="7"/>
      <c r="WCJ1193" s="7"/>
      <c r="WCK1193" s="7"/>
      <c r="WCL1193" s="7"/>
      <c r="WCM1193" s="7"/>
      <c r="WCN1193" s="7"/>
      <c r="WCO1193" s="7"/>
      <c r="WCP1193" s="7"/>
      <c r="WCQ1193" s="7"/>
      <c r="WCR1193" s="7"/>
      <c r="WCS1193" s="7"/>
      <c r="WCT1193" s="7"/>
      <c r="WCU1193" s="7"/>
      <c r="WCV1193" s="7"/>
      <c r="WCW1193" s="7"/>
      <c r="WCX1193" s="7"/>
      <c r="WCY1193" s="7"/>
      <c r="WCZ1193" s="7"/>
      <c r="WDA1193" s="7"/>
      <c r="WDB1193" s="7"/>
      <c r="WDC1193" s="7"/>
      <c r="WDD1193" s="7"/>
      <c r="WDE1193" s="7"/>
      <c r="WDF1193" s="7"/>
      <c r="WDG1193" s="7"/>
      <c r="WDH1193" s="7"/>
      <c r="WDI1193" s="7"/>
      <c r="WDJ1193" s="7"/>
      <c r="WDK1193" s="7"/>
      <c r="WDL1193" s="7"/>
      <c r="WDM1193" s="7"/>
      <c r="WDN1193" s="7"/>
      <c r="WDO1193" s="7"/>
      <c r="WDP1193" s="7"/>
      <c r="WDQ1193" s="7"/>
      <c r="WDR1193" s="7"/>
      <c r="WDS1193" s="7"/>
      <c r="WDT1193" s="7"/>
      <c r="WDU1193" s="7"/>
      <c r="WDV1193" s="7"/>
      <c r="WDW1193" s="7"/>
      <c r="WDX1193" s="7"/>
      <c r="WDY1193" s="7"/>
      <c r="WDZ1193" s="7"/>
      <c r="WEA1193" s="7"/>
      <c r="WEB1193" s="7"/>
      <c r="WEC1193" s="7"/>
      <c r="WED1193" s="7"/>
      <c r="WEE1193" s="7"/>
      <c r="WEF1193" s="7"/>
      <c r="WEG1193" s="7"/>
      <c r="WEH1193" s="7"/>
      <c r="WEI1193" s="7"/>
      <c r="WEJ1193" s="7"/>
      <c r="WEK1193" s="7"/>
      <c r="WEL1193" s="7"/>
      <c r="WEM1193" s="7"/>
      <c r="WEN1193" s="7"/>
      <c r="WEO1193" s="7"/>
      <c r="WEP1193" s="7"/>
      <c r="WEQ1193" s="7"/>
      <c r="WER1193" s="7"/>
      <c r="WES1193" s="7"/>
      <c r="WET1193" s="7"/>
      <c r="WEU1193" s="7"/>
      <c r="WEV1193" s="7"/>
      <c r="WEW1193" s="7"/>
      <c r="WEX1193" s="7"/>
      <c r="WEY1193" s="7"/>
      <c r="WEZ1193" s="7"/>
      <c r="WFA1193" s="7"/>
      <c r="WFB1193" s="7"/>
      <c r="WFC1193" s="7"/>
      <c r="WFD1193" s="7"/>
      <c r="WFE1193" s="7"/>
      <c r="WFF1193" s="7"/>
      <c r="WFG1193" s="7"/>
      <c r="WFH1193" s="7"/>
      <c r="WFI1193" s="7"/>
      <c r="WFJ1193" s="7"/>
      <c r="WFK1193" s="7"/>
      <c r="WFL1193" s="7"/>
      <c r="WFM1193" s="7"/>
      <c r="WFN1193" s="7"/>
      <c r="WFO1193" s="7"/>
      <c r="WFP1193" s="7"/>
      <c r="WFQ1193" s="7"/>
      <c r="WFR1193" s="7"/>
      <c r="WFS1193" s="7"/>
      <c r="WFT1193" s="7"/>
      <c r="WFU1193" s="7"/>
      <c r="WFV1193" s="7"/>
      <c r="WFW1193" s="7"/>
      <c r="WFX1193" s="7"/>
      <c r="WFY1193" s="7"/>
      <c r="WFZ1193" s="7"/>
      <c r="WGA1193" s="7"/>
      <c r="WGB1193" s="7"/>
      <c r="WGC1193" s="7"/>
      <c r="WGD1193" s="7"/>
      <c r="WGE1193" s="7"/>
      <c r="WGF1193" s="7"/>
      <c r="WGG1193" s="7"/>
      <c r="WGH1193" s="7"/>
      <c r="WGI1193" s="7"/>
      <c r="WGJ1193" s="7"/>
      <c r="WGK1193" s="7"/>
      <c r="WGL1193" s="7"/>
      <c r="WGM1193" s="7"/>
      <c r="WGN1193" s="7"/>
      <c r="WGO1193" s="7"/>
      <c r="WGP1193" s="7"/>
      <c r="WGQ1193" s="7"/>
      <c r="WGR1193" s="7"/>
      <c r="WGS1193" s="7"/>
      <c r="WGT1193" s="7"/>
      <c r="WGU1193" s="7"/>
      <c r="WGV1193" s="7"/>
      <c r="WGW1193" s="7"/>
      <c r="WGX1193" s="7"/>
      <c r="WGY1193" s="7"/>
      <c r="WGZ1193" s="7"/>
      <c r="WHA1193" s="7"/>
      <c r="WHB1193" s="7"/>
      <c r="WHC1193" s="7"/>
      <c r="WHD1193" s="7"/>
      <c r="WHE1193" s="7"/>
      <c r="WHF1193" s="7"/>
      <c r="WHG1193" s="7"/>
      <c r="WHH1193" s="7"/>
      <c r="WHI1193" s="7"/>
      <c r="WHJ1193" s="7"/>
      <c r="WHK1193" s="7"/>
      <c r="WHL1193" s="7"/>
      <c r="WHM1193" s="7"/>
      <c r="WHN1193" s="7"/>
      <c r="WHO1193" s="7"/>
      <c r="WHP1193" s="7"/>
      <c r="WHQ1193" s="7"/>
      <c r="WHR1193" s="7"/>
      <c r="WHS1193" s="7"/>
      <c r="WHT1193" s="7"/>
      <c r="WHU1193" s="7"/>
      <c r="WHV1193" s="7"/>
      <c r="WHW1193" s="7"/>
      <c r="WHX1193" s="7"/>
      <c r="WHY1193" s="7"/>
      <c r="WHZ1193" s="7"/>
      <c r="WIA1193" s="7"/>
      <c r="WIB1193" s="7"/>
      <c r="WIC1193" s="7"/>
      <c r="WID1193" s="7"/>
      <c r="WIE1193" s="7"/>
      <c r="WIF1193" s="7"/>
      <c r="WIG1193" s="7"/>
      <c r="WIH1193" s="7"/>
      <c r="WII1193" s="7"/>
      <c r="WIJ1193" s="7"/>
      <c r="WIK1193" s="7"/>
      <c r="WIL1193" s="7"/>
      <c r="WIM1193" s="7"/>
      <c r="WIN1193" s="7"/>
      <c r="WIO1193" s="7"/>
      <c r="WIP1193" s="7"/>
      <c r="WIQ1193" s="7"/>
      <c r="WIR1193" s="7"/>
      <c r="WIS1193" s="7"/>
      <c r="WIT1193" s="7"/>
      <c r="WIU1193" s="7"/>
      <c r="WIV1193" s="7"/>
      <c r="WIW1193" s="7"/>
      <c r="WIX1193" s="7"/>
      <c r="WIY1193" s="7"/>
      <c r="WIZ1193" s="7"/>
      <c r="WJA1193" s="7"/>
      <c r="WJB1193" s="7"/>
      <c r="WJC1193" s="7"/>
      <c r="WJD1193" s="7"/>
      <c r="WJE1193" s="7"/>
      <c r="WJF1193" s="7"/>
      <c r="WJG1193" s="7"/>
      <c r="WJH1193" s="7"/>
      <c r="WJI1193" s="7"/>
      <c r="WJJ1193" s="7"/>
      <c r="WJK1193" s="7"/>
      <c r="WJL1193" s="7"/>
      <c r="WJM1193" s="7"/>
      <c r="WJN1193" s="7"/>
      <c r="WJO1193" s="7"/>
      <c r="WJP1193" s="7"/>
      <c r="WJQ1193" s="7"/>
      <c r="WJR1193" s="7"/>
      <c r="WJS1193" s="7"/>
      <c r="WJT1193" s="7"/>
      <c r="WJU1193" s="7"/>
      <c r="WJV1193" s="7"/>
      <c r="WJW1193" s="7"/>
      <c r="WJX1193" s="7"/>
      <c r="WJY1193" s="7"/>
      <c r="WJZ1193" s="7"/>
      <c r="WKA1193" s="7"/>
      <c r="WKB1193" s="7"/>
      <c r="WKC1193" s="7"/>
      <c r="WKD1193" s="7"/>
      <c r="WKE1193" s="7"/>
      <c r="WKF1193" s="7"/>
      <c r="WKG1193" s="7"/>
      <c r="WKH1193" s="7"/>
      <c r="WKI1193" s="7"/>
      <c r="WKJ1193" s="7"/>
      <c r="WKK1193" s="7"/>
      <c r="WKL1193" s="7"/>
      <c r="WKM1193" s="7"/>
      <c r="WKN1193" s="7"/>
      <c r="WKO1193" s="7"/>
      <c r="WKP1193" s="7"/>
      <c r="WKQ1193" s="7"/>
      <c r="WKR1193" s="7"/>
      <c r="WKS1193" s="7"/>
      <c r="WKT1193" s="7"/>
      <c r="WKU1193" s="7"/>
      <c r="WKV1193" s="7"/>
      <c r="WKW1193" s="7"/>
      <c r="WKX1193" s="7"/>
      <c r="WKY1193" s="7"/>
      <c r="WKZ1193" s="7"/>
      <c r="WLA1193" s="7"/>
      <c r="WLB1193" s="7"/>
      <c r="WLC1193" s="7"/>
      <c r="WLD1193" s="7"/>
      <c r="WLE1193" s="7"/>
      <c r="WLF1193" s="7"/>
      <c r="WLG1193" s="7"/>
      <c r="WLH1193" s="7"/>
      <c r="WLI1193" s="7"/>
      <c r="WLJ1193" s="7"/>
      <c r="WLK1193" s="7"/>
      <c r="WLL1193" s="7"/>
      <c r="WLM1193" s="7"/>
      <c r="WLN1193" s="7"/>
      <c r="WLO1193" s="7"/>
      <c r="WLP1193" s="7"/>
      <c r="WLQ1193" s="7"/>
      <c r="WLR1193" s="7"/>
      <c r="WLS1193" s="7"/>
      <c r="WLT1193" s="7"/>
      <c r="WLU1193" s="7"/>
      <c r="WLV1193" s="7"/>
      <c r="WLW1193" s="7"/>
      <c r="WLX1193" s="7"/>
      <c r="WLY1193" s="7"/>
      <c r="WLZ1193" s="7"/>
      <c r="WMA1193" s="7"/>
      <c r="WMB1193" s="7"/>
      <c r="WMC1193" s="7"/>
      <c r="WMD1193" s="7"/>
      <c r="WME1193" s="7"/>
      <c r="WMF1193" s="7"/>
      <c r="WMG1193" s="7"/>
      <c r="WMH1193" s="7"/>
      <c r="WMI1193" s="7"/>
      <c r="WMJ1193" s="7"/>
      <c r="WMK1193" s="7"/>
      <c r="WML1193" s="7"/>
      <c r="WMM1193" s="7"/>
      <c r="WMN1193" s="7"/>
      <c r="WMO1193" s="7"/>
      <c r="WMP1193" s="7"/>
      <c r="WMQ1193" s="7"/>
      <c r="WMR1193" s="7"/>
      <c r="WMS1193" s="7"/>
      <c r="WMT1193" s="7"/>
      <c r="WMU1193" s="7"/>
      <c r="WMV1193" s="7"/>
      <c r="WMW1193" s="7"/>
      <c r="WMX1193" s="7"/>
      <c r="WMY1193" s="7"/>
      <c r="WMZ1193" s="7"/>
      <c r="WNA1193" s="7"/>
      <c r="WNB1193" s="7"/>
      <c r="WNC1193" s="7"/>
      <c r="WND1193" s="7"/>
      <c r="WNE1193" s="7"/>
      <c r="WNF1193" s="7"/>
      <c r="WNG1193" s="7"/>
      <c r="WNH1193" s="7"/>
      <c r="WNI1193" s="7"/>
      <c r="WNJ1193" s="7"/>
      <c r="WNK1193" s="7"/>
      <c r="WNL1193" s="7"/>
      <c r="WNM1193" s="7"/>
      <c r="WNN1193" s="7"/>
      <c r="WNO1193" s="7"/>
      <c r="WNP1193" s="7"/>
      <c r="WNQ1193" s="7"/>
      <c r="WNR1193" s="7"/>
      <c r="WNS1193" s="7"/>
      <c r="WNT1193" s="7"/>
      <c r="WNU1193" s="7"/>
      <c r="WNV1193" s="7"/>
      <c r="WNW1193" s="7"/>
      <c r="WNX1193" s="7"/>
      <c r="WNY1193" s="7"/>
      <c r="WNZ1193" s="7"/>
      <c r="WOA1193" s="7"/>
      <c r="WOB1193" s="7"/>
      <c r="WOC1193" s="7"/>
      <c r="WOD1193" s="7"/>
      <c r="WOE1193" s="7"/>
      <c r="WOF1193" s="7"/>
      <c r="WOG1193" s="7"/>
      <c r="WOH1193" s="7"/>
      <c r="WOI1193" s="7"/>
      <c r="WOJ1193" s="7"/>
      <c r="WOK1193" s="7"/>
      <c r="WOL1193" s="7"/>
      <c r="WOM1193" s="7"/>
      <c r="WON1193" s="7"/>
      <c r="WOO1193" s="7"/>
      <c r="WOP1193" s="7"/>
      <c r="WOQ1193" s="7"/>
      <c r="WOR1193" s="7"/>
      <c r="WOS1193" s="7"/>
      <c r="WOT1193" s="7"/>
      <c r="WOU1193" s="7"/>
      <c r="WOV1193" s="7"/>
      <c r="WOW1193" s="7"/>
      <c r="WOX1193" s="7"/>
      <c r="WOY1193" s="7"/>
      <c r="WOZ1193" s="7"/>
      <c r="WPA1193" s="7"/>
      <c r="WPB1193" s="7"/>
      <c r="WPC1193" s="7"/>
      <c r="WPD1193" s="7"/>
      <c r="WPE1193" s="7"/>
      <c r="WPF1193" s="7"/>
      <c r="WPG1193" s="7"/>
      <c r="WPH1193" s="7"/>
      <c r="WPI1193" s="7"/>
      <c r="WPJ1193" s="7"/>
      <c r="WPK1193" s="7"/>
      <c r="WPL1193" s="7"/>
      <c r="WPM1193" s="7"/>
      <c r="WPN1193" s="7"/>
      <c r="WPO1193" s="7"/>
      <c r="WPP1193" s="7"/>
      <c r="WPQ1193" s="7"/>
      <c r="WPR1193" s="7"/>
      <c r="WPS1193" s="7"/>
      <c r="WPT1193" s="7"/>
      <c r="WPU1193" s="7"/>
      <c r="WPV1193" s="7"/>
      <c r="WPW1193" s="7"/>
      <c r="WPX1193" s="7"/>
      <c r="WPY1193" s="7"/>
      <c r="WPZ1193" s="7"/>
      <c r="WQA1193" s="7"/>
      <c r="WQB1193" s="7"/>
      <c r="WQC1193" s="7"/>
      <c r="WQD1193" s="7"/>
      <c r="WQE1193" s="7"/>
      <c r="WQF1193" s="7"/>
      <c r="WQG1193" s="7"/>
      <c r="WQH1193" s="7"/>
      <c r="WQI1193" s="7"/>
      <c r="WQJ1193" s="7"/>
      <c r="WQK1193" s="7"/>
      <c r="WQL1193" s="7"/>
      <c r="WQM1193" s="7"/>
      <c r="WQN1193" s="7"/>
      <c r="WQO1193" s="7"/>
      <c r="WQP1193" s="7"/>
      <c r="WQQ1193" s="7"/>
      <c r="WQR1193" s="7"/>
      <c r="WQS1193" s="7"/>
      <c r="WQT1193" s="7"/>
      <c r="WQU1193" s="7"/>
      <c r="WQV1193" s="7"/>
      <c r="WQW1193" s="7"/>
      <c r="WQX1193" s="7"/>
      <c r="WQY1193" s="7"/>
      <c r="WQZ1193" s="7"/>
      <c r="WRA1193" s="7"/>
      <c r="WRB1193" s="7"/>
      <c r="WRC1193" s="7"/>
      <c r="WRD1193" s="7"/>
      <c r="WRE1193" s="7"/>
      <c r="WRF1193" s="7"/>
      <c r="WRG1193" s="7"/>
      <c r="WRH1193" s="7"/>
      <c r="WRI1193" s="7"/>
      <c r="WRJ1193" s="7"/>
      <c r="WRK1193" s="7"/>
      <c r="WRL1193" s="7"/>
      <c r="WRM1193" s="7"/>
      <c r="WRN1193" s="7"/>
      <c r="WRO1193" s="7"/>
      <c r="WRP1193" s="7"/>
      <c r="WRQ1193" s="7"/>
      <c r="WRR1193" s="7"/>
      <c r="WRS1193" s="7"/>
      <c r="WRT1193" s="7"/>
      <c r="WRU1193" s="7"/>
      <c r="WRV1193" s="7"/>
      <c r="WRW1193" s="7"/>
      <c r="WRX1193" s="7"/>
      <c r="WRY1193" s="7"/>
      <c r="WRZ1193" s="7"/>
      <c r="WSA1193" s="7"/>
      <c r="WSB1193" s="7"/>
      <c r="WSC1193" s="7"/>
      <c r="WSD1193" s="7"/>
      <c r="WSE1193" s="7"/>
      <c r="WSF1193" s="7"/>
      <c r="WSG1193" s="7"/>
      <c r="WSH1193" s="7"/>
      <c r="WSI1193" s="7"/>
      <c r="WSJ1193" s="7"/>
      <c r="WSK1193" s="7"/>
      <c r="WSL1193" s="7"/>
      <c r="WSM1193" s="7"/>
      <c r="WSN1193" s="7"/>
      <c r="WSO1193" s="7"/>
      <c r="WSP1193" s="7"/>
      <c r="WSQ1193" s="7"/>
      <c r="WSR1193" s="7"/>
      <c r="WSS1193" s="7"/>
      <c r="WST1193" s="7"/>
      <c r="WSU1193" s="7"/>
      <c r="WSV1193" s="7"/>
      <c r="WSW1193" s="7"/>
      <c r="WSX1193" s="7"/>
      <c r="WSY1193" s="7"/>
      <c r="WSZ1193" s="7"/>
      <c r="WTA1193" s="7"/>
      <c r="WTB1193" s="7"/>
      <c r="WTC1193" s="7"/>
      <c r="WTD1193" s="7"/>
      <c r="WTE1193" s="7"/>
      <c r="WTF1193" s="7"/>
      <c r="WTG1193" s="7"/>
      <c r="WTH1193" s="7"/>
      <c r="WTI1193" s="7"/>
      <c r="WTJ1193" s="7"/>
      <c r="WTK1193" s="7"/>
      <c r="WTL1193" s="7"/>
      <c r="WTM1193" s="7"/>
      <c r="WTN1193" s="7"/>
      <c r="WTO1193" s="7"/>
      <c r="WTP1193" s="7"/>
      <c r="WTQ1193" s="7"/>
      <c r="WTR1193" s="7"/>
      <c r="WTS1193" s="7"/>
      <c r="WTT1193" s="7"/>
      <c r="WTU1193" s="7"/>
      <c r="WTV1193" s="7"/>
      <c r="WTW1193" s="7"/>
      <c r="WTX1193" s="7"/>
      <c r="WTY1193" s="7"/>
      <c r="WTZ1193" s="7"/>
      <c r="WUA1193" s="7"/>
      <c r="WUB1193" s="7"/>
      <c r="WUC1193" s="7"/>
      <c r="WUD1193" s="7"/>
      <c r="WUE1193" s="7"/>
      <c r="WUF1193" s="7"/>
      <c r="WUG1193" s="7"/>
      <c r="WUH1193" s="7"/>
      <c r="WUI1193" s="7"/>
      <c r="WUJ1193" s="7"/>
      <c r="WUK1193" s="7"/>
      <c r="WUL1193" s="7"/>
      <c r="WUM1193" s="7"/>
      <c r="WUN1193" s="7"/>
      <c r="WUO1193" s="7"/>
      <c r="WUP1193" s="7"/>
      <c r="WUQ1193" s="7"/>
      <c r="WUR1193" s="7"/>
      <c r="WUS1193" s="7"/>
      <c r="WUT1193" s="7"/>
      <c r="WUU1193" s="7"/>
      <c r="WUV1193" s="7"/>
      <c r="WUW1193" s="7"/>
      <c r="WUX1193" s="7"/>
      <c r="WUY1193" s="7"/>
      <c r="WUZ1193" s="7"/>
      <c r="WVA1193" s="7"/>
      <c r="WVB1193" s="7"/>
      <c r="WVC1193" s="7"/>
      <c r="WVD1193" s="7"/>
      <c r="WVE1193" s="7"/>
      <c r="WVF1193" s="7"/>
      <c r="WVG1193" s="7"/>
      <c r="WVH1193" s="7"/>
      <c r="WVI1193" s="7"/>
      <c r="WVJ1193" s="7"/>
      <c r="WVK1193" s="7"/>
      <c r="WVL1193" s="7"/>
      <c r="WVM1193" s="7"/>
      <c r="WVN1193" s="7"/>
      <c r="WVO1193" s="7"/>
      <c r="WVP1193" s="7"/>
      <c r="WVQ1193" s="7"/>
      <c r="WVR1193" s="7"/>
      <c r="WVS1193" s="7"/>
      <c r="WVT1193" s="7"/>
      <c r="WVU1193" s="7"/>
      <c r="WVV1193" s="7"/>
      <c r="WVW1193" s="7"/>
      <c r="WVX1193" s="7"/>
      <c r="WVY1193" s="7"/>
      <c r="WVZ1193" s="7"/>
      <c r="WWA1193" s="7"/>
      <c r="WWB1193" s="7"/>
      <c r="WWC1193" s="7"/>
      <c r="WWD1193" s="7"/>
      <c r="WWE1193" s="7"/>
      <c r="WWF1193" s="7"/>
      <c r="WWG1193" s="7"/>
      <c r="WWH1193" s="7"/>
      <c r="WWI1193" s="7"/>
      <c r="WWJ1193" s="7"/>
      <c r="WWK1193" s="7"/>
      <c r="WWL1193" s="7"/>
      <c r="WWM1193" s="7"/>
      <c r="WWN1193" s="7"/>
      <c r="WWO1193" s="7"/>
      <c r="WWP1193" s="7"/>
      <c r="WWQ1193" s="7"/>
      <c r="WWR1193" s="7"/>
      <c r="WWS1193" s="7"/>
      <c r="WWT1193" s="7"/>
      <c r="WWU1193" s="7"/>
      <c r="WWV1193" s="7"/>
      <c r="WWW1193" s="7"/>
      <c r="WWX1193" s="7"/>
      <c r="WWY1193" s="7"/>
      <c r="WWZ1193" s="7"/>
      <c r="WXA1193" s="7"/>
      <c r="WXB1193" s="7"/>
      <c r="WXC1193" s="7"/>
      <c r="WXD1193" s="7"/>
      <c r="WXE1193" s="7"/>
      <c r="WXF1193" s="7"/>
      <c r="WXG1193" s="7"/>
      <c r="WXH1193" s="7"/>
      <c r="WXI1193" s="7"/>
      <c r="WXJ1193" s="7"/>
      <c r="WXK1193" s="7"/>
      <c r="WXL1193" s="7"/>
      <c r="WXM1193" s="7"/>
      <c r="WXN1193" s="7"/>
      <c r="WXO1193" s="7"/>
      <c r="WXP1193" s="7"/>
      <c r="WXQ1193" s="7"/>
      <c r="WXR1193" s="7"/>
      <c r="WXS1193" s="7"/>
      <c r="WXT1193" s="7"/>
      <c r="WXU1193" s="7"/>
      <c r="WXV1193" s="7"/>
      <c r="WXW1193" s="7"/>
      <c r="WXX1193" s="7"/>
      <c r="WXY1193" s="7"/>
      <c r="WXZ1193" s="7"/>
      <c r="WYA1193" s="7"/>
    </row>
    <row r="1194" spans="1:16199" customFormat="1" ht="61.5" x14ac:dyDescent="0.85">
      <c r="A1194" s="7">
        <v>1</v>
      </c>
      <c r="B1194" s="59">
        <f>SUBTOTAL(103,$A$1032:A1194)</f>
        <v>160</v>
      </c>
      <c r="C1194" s="160" t="s">
        <v>1014</v>
      </c>
      <c r="D1194" s="60">
        <f t="shared" si="196"/>
        <v>3606770.59</v>
      </c>
      <c r="E1194" s="60">
        <v>0</v>
      </c>
      <c r="F1194" s="60">
        <v>0</v>
      </c>
      <c r="G1194" s="60">
        <v>0</v>
      </c>
      <c r="H1194" s="60">
        <v>0</v>
      </c>
      <c r="I1194" s="60">
        <v>0</v>
      </c>
      <c r="J1194" s="60">
        <v>0</v>
      </c>
      <c r="K1194" s="168">
        <v>0</v>
      </c>
      <c r="L1194" s="60">
        <v>0</v>
      </c>
      <c r="M1194" s="60">
        <v>597.82000000000005</v>
      </c>
      <c r="N1194" s="60">
        <v>3560045</v>
      </c>
      <c r="O1194" s="60">
        <v>0</v>
      </c>
      <c r="P1194" s="60">
        <v>0</v>
      </c>
      <c r="Q1194" s="60">
        <v>0</v>
      </c>
      <c r="R1194" s="60">
        <v>0</v>
      </c>
      <c r="S1194" s="60">
        <v>0</v>
      </c>
      <c r="T1194" s="60">
        <v>0</v>
      </c>
      <c r="U1194" s="60">
        <v>0</v>
      </c>
      <c r="V1194" s="60">
        <v>0</v>
      </c>
      <c r="W1194" s="60">
        <v>0</v>
      </c>
      <c r="X1194" s="60">
        <v>0</v>
      </c>
      <c r="Y1194" s="60">
        <v>0</v>
      </c>
      <c r="Z1194" s="60">
        <v>0</v>
      </c>
      <c r="AA1194" s="60">
        <v>0</v>
      </c>
      <c r="AB1194" s="60">
        <v>0</v>
      </c>
      <c r="AC1194" s="60">
        <v>46725.59</v>
      </c>
      <c r="AD1194" s="60">
        <v>0</v>
      </c>
      <c r="AE1194" s="60">
        <v>0</v>
      </c>
      <c r="AF1194" s="170" t="s">
        <v>257</v>
      </c>
      <c r="AG1194" s="170">
        <v>2022</v>
      </c>
      <c r="AH1194" s="63">
        <v>2022</v>
      </c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  <c r="BZ1194" s="7"/>
      <c r="CA1194" s="7"/>
      <c r="CB1194" s="7"/>
      <c r="CC1194" s="7"/>
      <c r="CD1194" s="7"/>
      <c r="CE1194" s="7"/>
      <c r="CF1194" s="7"/>
      <c r="CG1194" s="7"/>
      <c r="CH1194" s="7"/>
      <c r="CI1194" s="7"/>
      <c r="CJ1194" s="7"/>
      <c r="CK1194" s="7"/>
      <c r="CL1194" s="7"/>
      <c r="CM1194" s="7"/>
      <c r="CN1194" s="7"/>
      <c r="CO1194" s="7"/>
      <c r="CP1194" s="7"/>
      <c r="CQ1194" s="7"/>
      <c r="CR1194" s="7"/>
      <c r="CS1194" s="7"/>
      <c r="CT1194" s="7"/>
      <c r="CU1194" s="7"/>
      <c r="CV1194" s="7"/>
      <c r="CW1194" s="7"/>
      <c r="CX1194" s="7"/>
      <c r="CY1194" s="7"/>
      <c r="CZ1194" s="7"/>
      <c r="DA1194" s="7"/>
      <c r="DB1194" s="7"/>
      <c r="DC1194" s="7"/>
      <c r="DD1194" s="7"/>
      <c r="DE1194" s="7"/>
      <c r="DF1194" s="7"/>
      <c r="DG1194" s="7"/>
      <c r="DH1194" s="7"/>
      <c r="DI1194" s="7"/>
      <c r="DJ1194" s="7"/>
      <c r="DK1194" s="7"/>
      <c r="DL1194" s="7"/>
      <c r="DM1194" s="7"/>
      <c r="DN1194" s="7"/>
      <c r="DO1194" s="7"/>
      <c r="DP1194" s="7"/>
      <c r="DQ1194" s="7"/>
      <c r="DR1194" s="7"/>
      <c r="DS1194" s="7"/>
      <c r="DT1194" s="7"/>
      <c r="DU1194" s="7"/>
      <c r="DV1194" s="7"/>
      <c r="DW1194" s="7"/>
      <c r="DX1194" s="7"/>
      <c r="DY1194" s="7"/>
      <c r="DZ1194" s="7"/>
      <c r="EA1194" s="7"/>
      <c r="EB1194" s="7"/>
      <c r="EC1194" s="7"/>
      <c r="ED1194" s="7"/>
      <c r="EE1194" s="7"/>
      <c r="EF1194" s="7"/>
      <c r="EG1194" s="7"/>
      <c r="EH1194" s="7"/>
      <c r="EI1194" s="7"/>
      <c r="EJ1194" s="7"/>
      <c r="EK1194" s="7"/>
      <c r="EL1194" s="7"/>
      <c r="EM1194" s="7"/>
      <c r="EN1194" s="7"/>
      <c r="EO1194" s="7"/>
      <c r="EP1194" s="7"/>
      <c r="EQ1194" s="7"/>
      <c r="ER1194" s="7"/>
      <c r="ES1194" s="7"/>
      <c r="ET1194" s="7"/>
      <c r="EU1194" s="7"/>
      <c r="EV1194" s="7"/>
      <c r="EW1194" s="7"/>
      <c r="EX1194" s="7"/>
      <c r="EY1194" s="7"/>
      <c r="EZ1194" s="7"/>
      <c r="FA1194" s="7"/>
      <c r="FB1194" s="7"/>
      <c r="FC1194" s="7"/>
      <c r="FD1194" s="7"/>
      <c r="FE1194" s="7"/>
      <c r="FF1194" s="7"/>
      <c r="FG1194" s="7"/>
      <c r="FH1194" s="7"/>
      <c r="FI1194" s="7"/>
      <c r="FJ1194" s="7"/>
      <c r="FK1194" s="7"/>
      <c r="FL1194" s="7"/>
      <c r="FM1194" s="7"/>
      <c r="FN1194" s="7"/>
      <c r="FO1194" s="7"/>
      <c r="FP1194" s="7"/>
      <c r="FQ1194" s="7"/>
      <c r="FR1194" s="7"/>
      <c r="FS1194" s="7"/>
      <c r="FT1194" s="7"/>
      <c r="FU1194" s="7"/>
      <c r="FV1194" s="7"/>
      <c r="FW1194" s="7"/>
      <c r="FX1194" s="7"/>
      <c r="FY1194" s="7"/>
      <c r="FZ1194" s="7"/>
      <c r="GA1194" s="7"/>
      <c r="GB1194" s="7"/>
      <c r="GC1194" s="7"/>
      <c r="GD1194" s="7"/>
      <c r="GE1194" s="7"/>
      <c r="GF1194" s="7"/>
      <c r="GG1194" s="7"/>
      <c r="GH1194" s="7"/>
      <c r="GI1194" s="7"/>
      <c r="GJ1194" s="7"/>
      <c r="GK1194" s="7"/>
      <c r="GL1194" s="7"/>
      <c r="GM1194" s="7"/>
      <c r="GN1194" s="7"/>
      <c r="GO1194" s="7"/>
      <c r="GP1194" s="7"/>
      <c r="GQ1194" s="7"/>
      <c r="GR1194" s="7"/>
      <c r="GS1194" s="7"/>
      <c r="GT1194" s="7"/>
      <c r="GU1194" s="7"/>
      <c r="GV1194" s="7"/>
      <c r="GW1194" s="7"/>
      <c r="GX1194" s="7"/>
      <c r="GY1194" s="7"/>
      <c r="GZ1194" s="7"/>
      <c r="HA1194" s="7"/>
      <c r="HB1194" s="7"/>
      <c r="HC1194" s="7"/>
      <c r="HD1194" s="7"/>
      <c r="HE1194" s="7"/>
      <c r="HF1194" s="7"/>
      <c r="HG1194" s="7"/>
      <c r="HH1194" s="7"/>
      <c r="HI1194" s="7"/>
      <c r="HJ1194" s="7"/>
      <c r="HK1194" s="7"/>
      <c r="HL1194" s="7"/>
      <c r="HM1194" s="7"/>
      <c r="HN1194" s="7"/>
      <c r="HO1194" s="7"/>
      <c r="HP1194" s="7"/>
      <c r="HQ1194" s="7"/>
      <c r="HR1194" s="7"/>
      <c r="HS1194" s="7"/>
      <c r="HT1194" s="7"/>
      <c r="HU1194" s="7"/>
      <c r="HV1194" s="7"/>
      <c r="HW1194" s="7"/>
      <c r="HX1194" s="7"/>
      <c r="HY1194" s="7"/>
      <c r="HZ1194" s="7"/>
      <c r="IA1194" s="7"/>
      <c r="IB1194" s="7"/>
      <c r="IC1194" s="7"/>
      <c r="ID1194" s="7"/>
      <c r="IE1194" s="7"/>
      <c r="IF1194" s="7"/>
      <c r="IG1194" s="7"/>
      <c r="IH1194" s="7"/>
      <c r="II1194" s="7"/>
      <c r="IJ1194" s="7"/>
      <c r="IK1194" s="7"/>
      <c r="IL1194" s="7"/>
      <c r="IM1194" s="7"/>
      <c r="IN1194" s="7"/>
      <c r="IO1194" s="7"/>
      <c r="IP1194" s="7"/>
      <c r="IQ1194" s="7"/>
      <c r="IR1194" s="7"/>
      <c r="IS1194" s="7"/>
      <c r="IT1194" s="7"/>
      <c r="IU1194" s="7"/>
      <c r="IV1194" s="7"/>
      <c r="IW1194" s="7"/>
      <c r="IX1194" s="7"/>
      <c r="IY1194" s="7"/>
      <c r="IZ1194" s="7"/>
      <c r="JA1194" s="7"/>
      <c r="JB1194" s="7"/>
      <c r="JC1194" s="7"/>
      <c r="JD1194" s="7"/>
      <c r="JE1194" s="7"/>
      <c r="JF1194" s="7"/>
      <c r="JG1194" s="7"/>
      <c r="JH1194" s="7"/>
      <c r="JI1194" s="7"/>
      <c r="JJ1194" s="7"/>
      <c r="JK1194" s="7"/>
      <c r="JL1194" s="7"/>
      <c r="JM1194" s="7"/>
      <c r="JN1194" s="7"/>
      <c r="JO1194" s="7"/>
      <c r="JP1194" s="7"/>
      <c r="JQ1194" s="7"/>
      <c r="JR1194" s="7"/>
      <c r="JS1194" s="7"/>
      <c r="JT1194" s="7"/>
      <c r="JU1194" s="7"/>
      <c r="JV1194" s="7"/>
      <c r="JW1194" s="7"/>
      <c r="JX1194" s="7"/>
      <c r="JY1194" s="7"/>
      <c r="JZ1194" s="7"/>
      <c r="KA1194" s="7"/>
      <c r="KB1194" s="7"/>
      <c r="KC1194" s="7"/>
      <c r="KD1194" s="7"/>
      <c r="KE1194" s="7"/>
      <c r="KF1194" s="7"/>
      <c r="KG1194" s="7"/>
      <c r="KH1194" s="7"/>
      <c r="KI1194" s="7"/>
      <c r="KJ1194" s="7"/>
      <c r="KK1194" s="7"/>
      <c r="KL1194" s="7"/>
      <c r="KM1194" s="7"/>
      <c r="KN1194" s="7"/>
      <c r="KO1194" s="7"/>
      <c r="KP1194" s="7"/>
      <c r="KQ1194" s="7"/>
      <c r="KR1194" s="7"/>
      <c r="KS1194" s="7"/>
      <c r="KT1194" s="7"/>
      <c r="KU1194" s="7"/>
      <c r="KV1194" s="7"/>
      <c r="KW1194" s="7"/>
      <c r="KX1194" s="7"/>
      <c r="KY1194" s="7"/>
      <c r="KZ1194" s="7"/>
      <c r="LA1194" s="7"/>
      <c r="LB1194" s="7"/>
      <c r="LC1194" s="7"/>
      <c r="LD1194" s="7"/>
      <c r="LE1194" s="7"/>
      <c r="LF1194" s="7"/>
      <c r="LG1194" s="7"/>
      <c r="LH1194" s="7"/>
      <c r="LI1194" s="7"/>
      <c r="LJ1194" s="7"/>
      <c r="LK1194" s="7"/>
      <c r="LL1194" s="7"/>
      <c r="LM1194" s="7"/>
      <c r="LN1194" s="7"/>
      <c r="LO1194" s="7"/>
      <c r="LP1194" s="7"/>
      <c r="LQ1194" s="7"/>
      <c r="LR1194" s="7"/>
      <c r="LS1194" s="7"/>
      <c r="LT1194" s="7"/>
      <c r="LU1194" s="7"/>
      <c r="LV1194" s="7"/>
      <c r="LW1194" s="7"/>
      <c r="LX1194" s="7"/>
      <c r="LY1194" s="7"/>
      <c r="LZ1194" s="7"/>
      <c r="MA1194" s="7"/>
      <c r="MB1194" s="7"/>
      <c r="MC1194" s="7"/>
      <c r="MD1194" s="7"/>
      <c r="ME1194" s="7"/>
      <c r="MF1194" s="7"/>
      <c r="MG1194" s="7"/>
      <c r="MH1194" s="7"/>
      <c r="MI1194" s="7"/>
      <c r="MJ1194" s="7"/>
      <c r="MK1194" s="7"/>
      <c r="ML1194" s="7"/>
      <c r="MM1194" s="7"/>
      <c r="MN1194" s="7"/>
      <c r="MO1194" s="7"/>
      <c r="MP1194" s="7"/>
      <c r="MQ1194" s="7"/>
      <c r="MR1194" s="7"/>
      <c r="MS1194" s="7"/>
      <c r="MT1194" s="7"/>
      <c r="MU1194" s="7"/>
      <c r="MV1194" s="7"/>
      <c r="MW1194" s="7"/>
      <c r="MX1194" s="7"/>
      <c r="MY1194" s="7"/>
      <c r="MZ1194" s="7"/>
      <c r="NA1194" s="7"/>
      <c r="NB1194" s="7"/>
      <c r="NC1194" s="7"/>
      <c r="ND1194" s="7"/>
      <c r="NE1194" s="7"/>
      <c r="NF1194" s="7"/>
      <c r="NG1194" s="7"/>
      <c r="NH1194" s="7"/>
      <c r="NI1194" s="7"/>
      <c r="NJ1194" s="7"/>
      <c r="NK1194" s="7"/>
      <c r="NL1194" s="7"/>
      <c r="NM1194" s="7"/>
      <c r="NN1194" s="7"/>
      <c r="NO1194" s="7"/>
      <c r="NP1194" s="7"/>
      <c r="NQ1194" s="7"/>
      <c r="NR1194" s="7"/>
      <c r="NS1194" s="7"/>
      <c r="NT1194" s="7"/>
      <c r="NU1194" s="7"/>
      <c r="NV1194" s="7"/>
      <c r="NW1194" s="7"/>
      <c r="NX1194" s="7"/>
      <c r="NY1194" s="7"/>
      <c r="NZ1194" s="7"/>
      <c r="OA1194" s="7"/>
      <c r="OB1194" s="7"/>
      <c r="OC1194" s="7"/>
      <c r="OD1194" s="7"/>
      <c r="OE1194" s="7"/>
      <c r="OF1194" s="7"/>
      <c r="OG1194" s="7"/>
      <c r="OH1194" s="7"/>
      <c r="OI1194" s="7"/>
      <c r="OJ1194" s="7"/>
      <c r="OK1194" s="7"/>
      <c r="OL1194" s="7"/>
      <c r="OM1194" s="7"/>
      <c r="ON1194" s="7"/>
      <c r="OO1194" s="7"/>
      <c r="OP1194" s="7"/>
      <c r="OQ1194" s="7"/>
      <c r="OR1194" s="7"/>
      <c r="OS1194" s="7"/>
      <c r="OT1194" s="7"/>
      <c r="OU1194" s="7"/>
      <c r="OV1194" s="7"/>
      <c r="OW1194" s="7"/>
      <c r="OX1194" s="7"/>
      <c r="OY1194" s="7"/>
      <c r="OZ1194" s="7"/>
      <c r="PA1194" s="7"/>
      <c r="PB1194" s="7"/>
      <c r="PC1194" s="7"/>
      <c r="PD1194" s="7"/>
      <c r="PE1194" s="7"/>
      <c r="PF1194" s="7"/>
      <c r="PG1194" s="7"/>
      <c r="PH1194" s="7"/>
      <c r="PI1194" s="7"/>
      <c r="PJ1194" s="7"/>
      <c r="PK1194" s="7"/>
      <c r="PL1194" s="7"/>
      <c r="PM1194" s="7"/>
      <c r="PN1194" s="7"/>
      <c r="PO1194" s="7"/>
      <c r="PP1194" s="7"/>
      <c r="PQ1194" s="7"/>
      <c r="PR1194" s="7"/>
      <c r="PS1194" s="7"/>
      <c r="PT1194" s="7"/>
      <c r="PU1194" s="7"/>
      <c r="PV1194" s="7"/>
      <c r="PW1194" s="7"/>
      <c r="PX1194" s="7"/>
      <c r="PY1194" s="7"/>
      <c r="PZ1194" s="7"/>
      <c r="QA1194" s="7"/>
      <c r="QB1194" s="7"/>
      <c r="QC1194" s="7"/>
      <c r="QD1194" s="7"/>
      <c r="QE1194" s="7"/>
      <c r="QF1194" s="7"/>
      <c r="QG1194" s="7"/>
      <c r="QH1194" s="7"/>
      <c r="QI1194" s="7"/>
      <c r="QJ1194" s="7"/>
      <c r="QK1194" s="7"/>
      <c r="QL1194" s="7"/>
      <c r="QM1194" s="7"/>
      <c r="QN1194" s="7"/>
      <c r="QO1194" s="7"/>
      <c r="QP1194" s="7"/>
      <c r="QQ1194" s="7"/>
      <c r="QR1194" s="7"/>
      <c r="QS1194" s="7"/>
      <c r="QT1194" s="7"/>
      <c r="QU1194" s="7"/>
      <c r="QV1194" s="7"/>
      <c r="QW1194" s="7"/>
      <c r="QX1194" s="7"/>
      <c r="QY1194" s="7"/>
      <c r="QZ1194" s="7"/>
      <c r="RA1194" s="7"/>
      <c r="RB1194" s="7"/>
      <c r="RC1194" s="7"/>
      <c r="RD1194" s="7"/>
      <c r="RE1194" s="7"/>
      <c r="RF1194" s="7"/>
      <c r="RG1194" s="7"/>
      <c r="RH1194" s="7"/>
      <c r="RI1194" s="7"/>
      <c r="RJ1194" s="7"/>
      <c r="RK1194" s="7"/>
      <c r="RL1194" s="7"/>
      <c r="RM1194" s="7"/>
      <c r="RN1194" s="7"/>
      <c r="RO1194" s="7"/>
      <c r="RP1194" s="7"/>
      <c r="RQ1194" s="7"/>
      <c r="RR1194" s="7"/>
      <c r="RS1194" s="7"/>
      <c r="RT1194" s="7"/>
      <c r="RU1194" s="7"/>
      <c r="RV1194" s="7"/>
      <c r="RW1194" s="7"/>
      <c r="RX1194" s="7"/>
      <c r="RY1194" s="7"/>
      <c r="RZ1194" s="7"/>
      <c r="SA1194" s="7"/>
      <c r="SB1194" s="7"/>
      <c r="SC1194" s="7"/>
      <c r="SD1194" s="7"/>
      <c r="SE1194" s="7"/>
      <c r="SF1194" s="7"/>
      <c r="SG1194" s="7"/>
      <c r="SH1194" s="7"/>
      <c r="SI1194" s="7"/>
      <c r="SJ1194" s="7"/>
      <c r="SK1194" s="7"/>
      <c r="SL1194" s="7"/>
      <c r="SM1194" s="7"/>
      <c r="SN1194" s="7"/>
      <c r="SO1194" s="7"/>
      <c r="SP1194" s="7"/>
      <c r="SQ1194" s="7"/>
      <c r="SR1194" s="7"/>
      <c r="SS1194" s="7"/>
      <c r="ST1194" s="7"/>
      <c r="SU1194" s="7"/>
      <c r="SV1194" s="7"/>
      <c r="SW1194" s="7"/>
      <c r="SX1194" s="7"/>
      <c r="SY1194" s="7"/>
      <c r="SZ1194" s="7"/>
      <c r="TA1194" s="7"/>
      <c r="TB1194" s="7"/>
      <c r="TC1194" s="7"/>
      <c r="TD1194" s="7"/>
      <c r="TE1194" s="7"/>
      <c r="TF1194" s="7"/>
      <c r="TG1194" s="7"/>
      <c r="TH1194" s="7"/>
      <c r="TI1194" s="7"/>
      <c r="TJ1194" s="7"/>
      <c r="TK1194" s="7"/>
      <c r="TL1194" s="7"/>
      <c r="TM1194" s="7"/>
      <c r="TN1194" s="7"/>
      <c r="TO1194" s="7"/>
      <c r="TP1194" s="7"/>
      <c r="TQ1194" s="7"/>
      <c r="TR1194" s="7"/>
      <c r="TS1194" s="7"/>
      <c r="TT1194" s="7"/>
      <c r="TU1194" s="7"/>
      <c r="TV1194" s="7"/>
      <c r="TW1194" s="7"/>
      <c r="TX1194" s="7"/>
      <c r="TY1194" s="7"/>
      <c r="TZ1194" s="7"/>
      <c r="UA1194" s="7"/>
      <c r="UB1194" s="7"/>
      <c r="UC1194" s="7"/>
      <c r="UD1194" s="7"/>
      <c r="UE1194" s="7"/>
      <c r="UF1194" s="7"/>
      <c r="UG1194" s="7"/>
      <c r="UH1194" s="7"/>
      <c r="UI1194" s="7"/>
      <c r="UJ1194" s="7"/>
      <c r="UK1194" s="7"/>
      <c r="UL1194" s="7"/>
      <c r="UM1194" s="7"/>
      <c r="UN1194" s="7"/>
      <c r="UO1194" s="7"/>
      <c r="UP1194" s="7"/>
      <c r="UQ1194" s="7"/>
      <c r="UR1194" s="7"/>
      <c r="US1194" s="7"/>
      <c r="UT1194" s="7"/>
      <c r="UU1194" s="7"/>
      <c r="UV1194" s="7"/>
      <c r="UW1194" s="7"/>
      <c r="UX1194" s="7"/>
      <c r="UY1194" s="7"/>
      <c r="UZ1194" s="7"/>
      <c r="VA1194" s="7"/>
      <c r="VB1194" s="7"/>
      <c r="VC1194" s="7"/>
      <c r="VD1194" s="7"/>
      <c r="VE1194" s="7"/>
      <c r="VF1194" s="7"/>
      <c r="VG1194" s="7"/>
      <c r="VH1194" s="7"/>
      <c r="VI1194" s="7"/>
      <c r="VJ1194" s="7"/>
      <c r="VK1194" s="7"/>
      <c r="VL1194" s="7"/>
      <c r="VM1194" s="7"/>
      <c r="VN1194" s="7"/>
      <c r="VO1194" s="7"/>
      <c r="VP1194" s="7"/>
      <c r="VQ1194" s="7"/>
      <c r="VR1194" s="7"/>
      <c r="VS1194" s="7"/>
      <c r="VT1194" s="7"/>
      <c r="VU1194" s="7"/>
      <c r="VV1194" s="7"/>
      <c r="VW1194" s="7"/>
      <c r="VX1194" s="7"/>
      <c r="VY1194" s="7"/>
      <c r="VZ1194" s="7"/>
      <c r="WA1194" s="7"/>
      <c r="WB1194" s="7"/>
      <c r="WC1194" s="7"/>
      <c r="WD1194" s="7"/>
      <c r="WE1194" s="7"/>
      <c r="WF1194" s="7"/>
      <c r="WG1194" s="7"/>
      <c r="WH1194" s="7"/>
      <c r="WI1194" s="7"/>
      <c r="WJ1194" s="7"/>
      <c r="WK1194" s="7"/>
      <c r="WL1194" s="7"/>
      <c r="WM1194" s="7"/>
      <c r="WN1194" s="7"/>
      <c r="WO1194" s="7"/>
      <c r="WP1194" s="7"/>
      <c r="WQ1194" s="7"/>
      <c r="WR1194" s="7"/>
      <c r="WS1194" s="7"/>
      <c r="WT1194" s="7"/>
      <c r="WU1194" s="7"/>
      <c r="WV1194" s="7"/>
      <c r="WW1194" s="7"/>
      <c r="WX1194" s="7"/>
      <c r="WY1194" s="7"/>
      <c r="WZ1194" s="7"/>
      <c r="XA1194" s="7"/>
      <c r="XB1194" s="7"/>
      <c r="XC1194" s="7"/>
      <c r="XD1194" s="7"/>
      <c r="XE1194" s="7"/>
      <c r="XF1194" s="7"/>
      <c r="XG1194" s="7"/>
      <c r="XH1194" s="7"/>
      <c r="XI1194" s="7"/>
      <c r="XJ1194" s="7"/>
      <c r="XK1194" s="7"/>
      <c r="XL1194" s="7"/>
      <c r="XM1194" s="7"/>
      <c r="XN1194" s="7"/>
      <c r="XO1194" s="7"/>
      <c r="XP1194" s="7"/>
      <c r="XQ1194" s="7"/>
      <c r="XR1194" s="7"/>
      <c r="XS1194" s="7"/>
      <c r="XT1194" s="7"/>
      <c r="XU1194" s="7"/>
      <c r="XV1194" s="7"/>
      <c r="XW1194" s="7"/>
      <c r="XX1194" s="7"/>
      <c r="XY1194" s="7"/>
      <c r="XZ1194" s="7"/>
      <c r="YA1194" s="7"/>
      <c r="YB1194" s="7"/>
      <c r="YC1194" s="7"/>
      <c r="YD1194" s="7"/>
      <c r="YE1194" s="7"/>
      <c r="YF1194" s="7"/>
      <c r="YG1194" s="7"/>
      <c r="YH1194" s="7"/>
      <c r="YI1194" s="7"/>
      <c r="YJ1194" s="7"/>
      <c r="YK1194" s="7"/>
      <c r="YL1194" s="7"/>
      <c r="YM1194" s="7"/>
      <c r="YN1194" s="7"/>
      <c r="YO1194" s="7"/>
      <c r="YP1194" s="7"/>
      <c r="YQ1194" s="7"/>
      <c r="YR1194" s="7"/>
      <c r="YS1194" s="7"/>
      <c r="YT1194" s="7"/>
      <c r="YU1194" s="7"/>
      <c r="YV1194" s="7"/>
      <c r="YW1194" s="7"/>
      <c r="YX1194" s="7"/>
      <c r="YY1194" s="7"/>
      <c r="YZ1194" s="7"/>
      <c r="ZA1194" s="7"/>
      <c r="ZB1194" s="7"/>
      <c r="ZC1194" s="7"/>
      <c r="ZD1194" s="7"/>
      <c r="ZE1194" s="7"/>
      <c r="ZF1194" s="7"/>
      <c r="ZG1194" s="7"/>
      <c r="ZH1194" s="7"/>
      <c r="ZI1194" s="7"/>
      <c r="ZJ1194" s="7"/>
      <c r="ZK1194" s="7"/>
      <c r="ZL1194" s="7"/>
      <c r="ZM1194" s="7"/>
      <c r="ZN1194" s="7"/>
      <c r="ZO1194" s="7"/>
      <c r="ZP1194" s="7"/>
      <c r="ZQ1194" s="7"/>
      <c r="ZR1194" s="7"/>
      <c r="ZS1194" s="7"/>
      <c r="ZT1194" s="7"/>
      <c r="ZU1194" s="7"/>
      <c r="ZV1194" s="7"/>
      <c r="ZW1194" s="7"/>
      <c r="ZX1194" s="7"/>
      <c r="ZY1194" s="7"/>
      <c r="ZZ1194" s="7"/>
      <c r="AAA1194" s="7"/>
      <c r="AAB1194" s="7"/>
      <c r="AAC1194" s="7"/>
      <c r="AAD1194" s="7"/>
      <c r="AAE1194" s="7"/>
      <c r="AAF1194" s="7"/>
      <c r="AAG1194" s="7"/>
      <c r="AAH1194" s="7"/>
      <c r="AAI1194" s="7"/>
      <c r="AAJ1194" s="7"/>
      <c r="AAK1194" s="7"/>
      <c r="AAL1194" s="7"/>
      <c r="AAM1194" s="7"/>
      <c r="AAN1194" s="7"/>
      <c r="AAO1194" s="7"/>
      <c r="AAP1194" s="7"/>
      <c r="AAQ1194" s="7"/>
      <c r="AAR1194" s="7"/>
      <c r="AAS1194" s="7"/>
      <c r="AAT1194" s="7"/>
      <c r="AAU1194" s="7"/>
      <c r="AAV1194" s="7"/>
      <c r="AAW1194" s="7"/>
      <c r="AAX1194" s="7"/>
      <c r="AAY1194" s="7"/>
      <c r="AAZ1194" s="7"/>
      <c r="ABA1194" s="7"/>
      <c r="ABB1194" s="7"/>
      <c r="ABC1194" s="7"/>
      <c r="ABD1194" s="7"/>
      <c r="ABE1194" s="7"/>
      <c r="ABF1194" s="7"/>
      <c r="ABG1194" s="7"/>
      <c r="ABH1194" s="7"/>
      <c r="ABI1194" s="7"/>
      <c r="ABJ1194" s="7"/>
      <c r="ABK1194" s="7"/>
      <c r="ABL1194" s="7"/>
      <c r="ABM1194" s="7"/>
      <c r="ABN1194" s="7"/>
      <c r="ABO1194" s="7"/>
      <c r="ABP1194" s="7"/>
      <c r="ABQ1194" s="7"/>
      <c r="ABR1194" s="7"/>
      <c r="ABS1194" s="7"/>
      <c r="ABT1194" s="7"/>
      <c r="ABU1194" s="7"/>
      <c r="ABV1194" s="7"/>
      <c r="ABW1194" s="7"/>
      <c r="ABX1194" s="7"/>
      <c r="ABY1194" s="7"/>
      <c r="ABZ1194" s="7"/>
      <c r="ACA1194" s="7"/>
      <c r="ACB1194" s="7"/>
      <c r="ACC1194" s="7"/>
      <c r="ACD1194" s="7"/>
      <c r="ACE1194" s="7"/>
      <c r="ACF1194" s="7"/>
      <c r="ACG1194" s="7"/>
      <c r="ACH1194" s="7"/>
      <c r="ACI1194" s="7"/>
      <c r="ACJ1194" s="7"/>
      <c r="ACK1194" s="7"/>
      <c r="ACL1194" s="7"/>
      <c r="ACM1194" s="7"/>
      <c r="ACN1194" s="7"/>
      <c r="ACO1194" s="7"/>
      <c r="ACP1194" s="7"/>
      <c r="ACQ1194" s="7"/>
      <c r="ACR1194" s="7"/>
      <c r="ACS1194" s="7"/>
      <c r="ACT1194" s="7"/>
      <c r="ACU1194" s="7"/>
      <c r="ACV1194" s="7"/>
      <c r="ACW1194" s="7"/>
      <c r="ACX1194" s="7"/>
      <c r="ACY1194" s="7"/>
      <c r="ACZ1194" s="7"/>
      <c r="ADA1194" s="7"/>
      <c r="ADB1194" s="7"/>
      <c r="ADC1194" s="7"/>
      <c r="ADD1194" s="7"/>
      <c r="ADE1194" s="7"/>
      <c r="ADF1194" s="7"/>
      <c r="ADG1194" s="7"/>
      <c r="ADH1194" s="7"/>
      <c r="ADI1194" s="7"/>
      <c r="ADJ1194" s="7"/>
      <c r="ADK1194" s="7"/>
      <c r="ADL1194" s="7"/>
      <c r="ADM1194" s="7"/>
      <c r="ADN1194" s="7"/>
      <c r="ADO1194" s="7"/>
      <c r="ADP1194" s="7"/>
      <c r="ADQ1194" s="7"/>
      <c r="ADR1194" s="7"/>
      <c r="ADS1194" s="7"/>
      <c r="ADT1194" s="7"/>
      <c r="ADU1194" s="7"/>
      <c r="ADV1194" s="7"/>
      <c r="ADW1194" s="7"/>
      <c r="ADX1194" s="7"/>
      <c r="ADY1194" s="7"/>
      <c r="ADZ1194" s="7"/>
      <c r="AEA1194" s="7"/>
      <c r="AEB1194" s="7"/>
      <c r="AEC1194" s="7"/>
      <c r="AED1194" s="7"/>
      <c r="AEE1194" s="7"/>
      <c r="AEF1194" s="7"/>
      <c r="AEG1194" s="7"/>
      <c r="AEH1194" s="7"/>
      <c r="AEI1194" s="7"/>
      <c r="AEJ1194" s="7"/>
      <c r="AEK1194" s="7"/>
      <c r="AEL1194" s="7"/>
      <c r="AEM1194" s="7"/>
      <c r="AEN1194" s="7"/>
      <c r="AEO1194" s="7"/>
      <c r="AEP1194" s="7"/>
      <c r="AEQ1194" s="7"/>
      <c r="AER1194" s="7"/>
      <c r="AES1194" s="7"/>
      <c r="AET1194" s="7"/>
      <c r="AEU1194" s="7"/>
      <c r="AEV1194" s="7"/>
      <c r="AEW1194" s="7"/>
      <c r="AEX1194" s="7"/>
      <c r="AEY1194" s="7"/>
      <c r="AEZ1194" s="7"/>
      <c r="AFA1194" s="7"/>
      <c r="AFB1194" s="7"/>
      <c r="AFC1194" s="7"/>
      <c r="AFD1194" s="7"/>
      <c r="AFE1194" s="7"/>
      <c r="AFF1194" s="7"/>
      <c r="AFG1194" s="7"/>
      <c r="AFH1194" s="7"/>
      <c r="AFI1194" s="7"/>
      <c r="AFJ1194" s="7"/>
      <c r="AFK1194" s="7"/>
      <c r="AFL1194" s="7"/>
      <c r="AFM1194" s="7"/>
      <c r="AFN1194" s="7"/>
      <c r="AFO1194" s="7"/>
      <c r="AFP1194" s="7"/>
      <c r="AFQ1194" s="7"/>
      <c r="AFR1194" s="7"/>
      <c r="AFS1194" s="7"/>
      <c r="AFT1194" s="7"/>
      <c r="AFU1194" s="7"/>
      <c r="AFV1194" s="7"/>
      <c r="AFW1194" s="7"/>
      <c r="AFX1194" s="7"/>
      <c r="AFY1194" s="7"/>
      <c r="AFZ1194" s="7"/>
      <c r="AGA1194" s="7"/>
      <c r="AGB1194" s="7"/>
      <c r="AGC1194" s="7"/>
      <c r="AGD1194" s="7"/>
      <c r="AGE1194" s="7"/>
      <c r="AGF1194" s="7"/>
      <c r="AGG1194" s="7"/>
      <c r="AGH1194" s="7"/>
      <c r="AGI1194" s="7"/>
      <c r="AGJ1194" s="7"/>
      <c r="AGK1194" s="7"/>
      <c r="AGL1194" s="7"/>
      <c r="AGM1194" s="7"/>
      <c r="AGN1194" s="7"/>
      <c r="AGO1194" s="7"/>
      <c r="AGP1194" s="7"/>
      <c r="AGQ1194" s="7"/>
      <c r="AGR1194" s="7"/>
      <c r="AGS1194" s="7"/>
      <c r="AGT1194" s="7"/>
      <c r="AGU1194" s="7"/>
      <c r="AGV1194" s="7"/>
      <c r="AGW1194" s="7"/>
      <c r="AGX1194" s="7"/>
      <c r="AGY1194" s="7"/>
      <c r="AGZ1194" s="7"/>
      <c r="AHA1194" s="7"/>
      <c r="AHB1194" s="7"/>
      <c r="AHC1194" s="7"/>
      <c r="AHD1194" s="7"/>
      <c r="AHE1194" s="7"/>
      <c r="AHF1194" s="7"/>
      <c r="AHG1194" s="7"/>
      <c r="AHH1194" s="7"/>
      <c r="AHI1194" s="7"/>
      <c r="AHJ1194" s="7"/>
      <c r="AHK1194" s="7"/>
      <c r="AHL1194" s="7"/>
      <c r="AHM1194" s="7"/>
      <c r="AHN1194" s="7"/>
      <c r="AHO1194" s="7"/>
      <c r="AHP1194" s="7"/>
      <c r="AHQ1194" s="7"/>
      <c r="AHR1194" s="7"/>
      <c r="AHS1194" s="7"/>
      <c r="AHT1194" s="7"/>
      <c r="AHU1194" s="7"/>
      <c r="AHV1194" s="7"/>
      <c r="AHW1194" s="7"/>
      <c r="AHX1194" s="7"/>
      <c r="AHY1194" s="7"/>
      <c r="AHZ1194" s="7"/>
      <c r="AIA1194" s="7"/>
      <c r="AIB1194" s="7"/>
      <c r="AIC1194" s="7"/>
      <c r="AID1194" s="7"/>
      <c r="AIE1194" s="7"/>
      <c r="AIF1194" s="7"/>
      <c r="AIG1194" s="7"/>
      <c r="AIH1194" s="7"/>
      <c r="AII1194" s="7"/>
      <c r="AIJ1194" s="7"/>
      <c r="AIK1194" s="7"/>
      <c r="AIL1194" s="7"/>
      <c r="AIM1194" s="7"/>
      <c r="AIN1194" s="7"/>
      <c r="AIO1194" s="7"/>
      <c r="AIP1194" s="7"/>
      <c r="AIQ1194" s="7"/>
      <c r="AIR1194" s="7"/>
      <c r="AIS1194" s="7"/>
      <c r="AIT1194" s="7"/>
      <c r="AIU1194" s="7"/>
      <c r="AIV1194" s="7"/>
      <c r="AIW1194" s="7"/>
      <c r="AIX1194" s="7"/>
      <c r="AIY1194" s="7"/>
      <c r="AIZ1194" s="7"/>
      <c r="AJA1194" s="7"/>
      <c r="AJB1194" s="7"/>
      <c r="AJC1194" s="7"/>
      <c r="AJD1194" s="7"/>
      <c r="AJE1194" s="7"/>
      <c r="AJF1194" s="7"/>
      <c r="AJG1194" s="7"/>
      <c r="AJH1194" s="7"/>
      <c r="AJI1194" s="7"/>
      <c r="AJJ1194" s="7"/>
      <c r="AJK1194" s="7"/>
      <c r="AJL1194" s="7"/>
      <c r="AJM1194" s="7"/>
      <c r="AJN1194" s="7"/>
      <c r="AJO1194" s="7"/>
      <c r="AJP1194" s="7"/>
      <c r="AJQ1194" s="7"/>
      <c r="AJR1194" s="7"/>
      <c r="AJS1194" s="7"/>
      <c r="AJT1194" s="7"/>
      <c r="AJU1194" s="7"/>
      <c r="AJV1194" s="7"/>
      <c r="AJW1194" s="7"/>
      <c r="AJX1194" s="7"/>
      <c r="AJY1194" s="7"/>
      <c r="AJZ1194" s="7"/>
      <c r="AKA1194" s="7"/>
      <c r="AKB1194" s="7"/>
      <c r="AKC1194" s="7"/>
      <c r="AKD1194" s="7"/>
      <c r="AKE1194" s="7"/>
      <c r="AKF1194" s="7"/>
      <c r="AKG1194" s="7"/>
      <c r="AKH1194" s="7"/>
      <c r="AKI1194" s="7"/>
      <c r="AKJ1194" s="7"/>
      <c r="AKK1194" s="7"/>
      <c r="AKL1194" s="7"/>
      <c r="AKM1194" s="7"/>
      <c r="AKN1194" s="7"/>
      <c r="AKO1194" s="7"/>
      <c r="AKP1194" s="7"/>
      <c r="AKQ1194" s="7"/>
      <c r="AKR1194" s="7"/>
      <c r="AKS1194" s="7"/>
      <c r="AKT1194" s="7"/>
      <c r="AKU1194" s="7"/>
      <c r="AKV1194" s="7"/>
      <c r="AKW1194" s="7"/>
      <c r="AKX1194" s="7"/>
      <c r="AKY1194" s="7"/>
      <c r="AKZ1194" s="7"/>
      <c r="ALA1194" s="7"/>
      <c r="ALB1194" s="7"/>
      <c r="ALC1194" s="7"/>
      <c r="ALD1194" s="7"/>
      <c r="ALE1194" s="7"/>
      <c r="ALF1194" s="7"/>
      <c r="ALG1194" s="7"/>
      <c r="ALH1194" s="7"/>
      <c r="ALI1194" s="7"/>
      <c r="ALJ1194" s="7"/>
      <c r="ALK1194" s="7"/>
      <c r="ALL1194" s="7"/>
      <c r="ALM1194" s="7"/>
      <c r="ALN1194" s="7"/>
      <c r="ALO1194" s="7"/>
      <c r="ALP1194" s="7"/>
      <c r="ALQ1194" s="7"/>
      <c r="ALR1194" s="7"/>
      <c r="ALS1194" s="7"/>
      <c r="ALT1194" s="7"/>
      <c r="ALU1194" s="7"/>
      <c r="ALV1194" s="7"/>
      <c r="ALW1194" s="7"/>
      <c r="ALX1194" s="7"/>
      <c r="ALY1194" s="7"/>
      <c r="ALZ1194" s="7"/>
      <c r="AMA1194" s="7"/>
      <c r="AMB1194" s="7"/>
      <c r="AMC1194" s="7"/>
      <c r="AMD1194" s="7"/>
      <c r="AME1194" s="7"/>
      <c r="AMF1194" s="7"/>
      <c r="AMG1194" s="7"/>
      <c r="AMH1194" s="7"/>
      <c r="AMI1194" s="7"/>
      <c r="AMJ1194" s="7"/>
      <c r="AMK1194" s="7"/>
      <c r="AML1194" s="7"/>
      <c r="AMM1194" s="7"/>
      <c r="AMN1194" s="7"/>
      <c r="AMO1194" s="7"/>
      <c r="AMP1194" s="7"/>
      <c r="AMQ1194" s="7"/>
      <c r="AMR1194" s="7"/>
      <c r="AMS1194" s="7"/>
      <c r="AMT1194" s="7"/>
      <c r="AMU1194" s="7"/>
      <c r="AMV1194" s="7"/>
      <c r="AMW1194" s="7"/>
      <c r="AMX1194" s="7"/>
      <c r="AMY1194" s="7"/>
      <c r="AMZ1194" s="7"/>
      <c r="ANA1194" s="7"/>
      <c r="ANB1194" s="7"/>
      <c r="ANC1194" s="7"/>
      <c r="AND1194" s="7"/>
      <c r="ANE1194" s="7"/>
      <c r="ANF1194" s="7"/>
      <c r="ANG1194" s="7"/>
      <c r="ANH1194" s="7"/>
      <c r="ANI1194" s="7"/>
      <c r="ANJ1194" s="7"/>
      <c r="ANK1194" s="7"/>
      <c r="ANL1194" s="7"/>
      <c r="ANM1194" s="7"/>
      <c r="ANN1194" s="7"/>
      <c r="ANO1194" s="7"/>
      <c r="ANP1194" s="7"/>
      <c r="ANQ1194" s="7"/>
      <c r="ANR1194" s="7"/>
      <c r="ANS1194" s="7"/>
      <c r="ANT1194" s="7"/>
      <c r="ANU1194" s="7"/>
      <c r="ANV1194" s="7"/>
      <c r="ANW1194" s="7"/>
      <c r="ANX1194" s="7"/>
      <c r="ANY1194" s="7"/>
      <c r="ANZ1194" s="7"/>
      <c r="AOA1194" s="7"/>
      <c r="AOB1194" s="7"/>
      <c r="AOC1194" s="7"/>
      <c r="AOD1194" s="7"/>
      <c r="AOE1194" s="7"/>
      <c r="AOF1194" s="7"/>
      <c r="AOG1194" s="7"/>
      <c r="AOH1194" s="7"/>
      <c r="AOI1194" s="7"/>
      <c r="AOJ1194" s="7"/>
      <c r="AOK1194" s="7"/>
      <c r="AOL1194" s="7"/>
      <c r="AOM1194" s="7"/>
      <c r="AON1194" s="7"/>
      <c r="AOO1194" s="7"/>
      <c r="AOP1194" s="7"/>
      <c r="AOQ1194" s="7"/>
      <c r="AOR1194" s="7"/>
      <c r="AOS1194" s="7"/>
      <c r="AOT1194" s="7"/>
      <c r="AOU1194" s="7"/>
      <c r="AOV1194" s="7"/>
      <c r="AOW1194" s="7"/>
      <c r="AOX1194" s="7"/>
      <c r="AOY1194" s="7"/>
      <c r="AOZ1194" s="7"/>
      <c r="APA1194" s="7"/>
      <c r="APB1194" s="7"/>
      <c r="APC1194" s="7"/>
      <c r="APD1194" s="7"/>
      <c r="APE1194" s="7"/>
      <c r="APF1194" s="7"/>
      <c r="APG1194" s="7"/>
      <c r="APH1194" s="7"/>
      <c r="API1194" s="7"/>
      <c r="APJ1194" s="7"/>
      <c r="APK1194" s="7"/>
      <c r="APL1194" s="7"/>
      <c r="APM1194" s="7"/>
      <c r="APN1194" s="7"/>
      <c r="APO1194" s="7"/>
      <c r="APP1194" s="7"/>
      <c r="APQ1194" s="7"/>
      <c r="APR1194" s="7"/>
      <c r="APS1194" s="7"/>
      <c r="APT1194" s="7"/>
      <c r="APU1194" s="7"/>
      <c r="APV1194" s="7"/>
      <c r="APW1194" s="7"/>
      <c r="APX1194" s="7"/>
      <c r="APY1194" s="7"/>
      <c r="APZ1194" s="7"/>
      <c r="AQA1194" s="7"/>
      <c r="AQB1194" s="7"/>
      <c r="AQC1194" s="7"/>
      <c r="AQD1194" s="7"/>
      <c r="AQE1194" s="7"/>
      <c r="AQF1194" s="7"/>
      <c r="AQG1194" s="7"/>
      <c r="AQH1194" s="7"/>
      <c r="AQI1194" s="7"/>
      <c r="AQJ1194" s="7"/>
      <c r="AQK1194" s="7"/>
      <c r="AQL1194" s="7"/>
      <c r="AQM1194" s="7"/>
      <c r="AQN1194" s="7"/>
      <c r="AQO1194" s="7"/>
      <c r="AQP1194" s="7"/>
      <c r="AQQ1194" s="7"/>
      <c r="AQR1194" s="7"/>
      <c r="AQS1194" s="7"/>
      <c r="AQT1194" s="7"/>
      <c r="AQU1194" s="7"/>
      <c r="AQV1194" s="7"/>
      <c r="AQW1194" s="7"/>
      <c r="AQX1194" s="7"/>
      <c r="AQY1194" s="7"/>
      <c r="AQZ1194" s="7"/>
      <c r="ARA1194" s="7"/>
      <c r="ARB1194" s="7"/>
      <c r="ARC1194" s="7"/>
      <c r="ARD1194" s="7"/>
      <c r="ARE1194" s="7"/>
      <c r="ARF1194" s="7"/>
      <c r="ARG1194" s="7"/>
      <c r="ARH1194" s="7"/>
      <c r="ARI1194" s="7"/>
      <c r="ARJ1194" s="7"/>
      <c r="ARK1194" s="7"/>
      <c r="ARL1194" s="7"/>
      <c r="ARM1194" s="7"/>
      <c r="ARN1194" s="7"/>
      <c r="ARO1194" s="7"/>
      <c r="ARP1194" s="7"/>
      <c r="ARQ1194" s="7"/>
      <c r="ARR1194" s="7"/>
      <c r="ARS1194" s="7"/>
      <c r="ART1194" s="7"/>
      <c r="ARU1194" s="7"/>
      <c r="ARV1194" s="7"/>
      <c r="ARW1194" s="7"/>
      <c r="ARX1194" s="7"/>
      <c r="ARY1194" s="7"/>
      <c r="ARZ1194" s="7"/>
      <c r="ASA1194" s="7"/>
      <c r="ASB1194" s="7"/>
      <c r="ASC1194" s="7"/>
      <c r="ASD1194" s="7"/>
      <c r="ASE1194" s="7"/>
      <c r="ASF1194" s="7"/>
      <c r="ASG1194" s="7"/>
      <c r="ASH1194" s="7"/>
      <c r="ASI1194" s="7"/>
      <c r="ASJ1194" s="7"/>
      <c r="ASK1194" s="7"/>
      <c r="ASL1194" s="7"/>
      <c r="ASM1194" s="7"/>
      <c r="ASN1194" s="7"/>
      <c r="ASO1194" s="7"/>
      <c r="ASP1194" s="7"/>
      <c r="ASQ1194" s="7"/>
      <c r="ASR1194" s="7"/>
      <c r="ASS1194" s="7"/>
      <c r="AST1194" s="7"/>
      <c r="ASU1194" s="7"/>
      <c r="ASV1194" s="7"/>
      <c r="ASW1194" s="7"/>
      <c r="ASX1194" s="7"/>
      <c r="ASY1194" s="7"/>
      <c r="ASZ1194" s="7"/>
      <c r="ATA1194" s="7"/>
      <c r="ATB1194" s="7"/>
      <c r="ATC1194" s="7"/>
      <c r="ATD1194" s="7"/>
      <c r="ATE1194" s="7"/>
      <c r="ATF1194" s="7"/>
      <c r="ATG1194" s="7"/>
      <c r="ATH1194" s="7"/>
      <c r="ATI1194" s="7"/>
      <c r="ATJ1194" s="7"/>
      <c r="ATK1194" s="7"/>
      <c r="ATL1194" s="7"/>
      <c r="ATM1194" s="7"/>
      <c r="ATN1194" s="7"/>
      <c r="ATO1194" s="7"/>
      <c r="ATP1194" s="7"/>
      <c r="ATQ1194" s="7"/>
      <c r="ATR1194" s="7"/>
      <c r="ATS1194" s="7"/>
      <c r="ATT1194" s="7"/>
      <c r="ATU1194" s="7"/>
      <c r="ATV1194" s="7"/>
      <c r="ATW1194" s="7"/>
      <c r="ATX1194" s="7"/>
      <c r="ATY1194" s="7"/>
      <c r="ATZ1194" s="7"/>
      <c r="AUA1194" s="7"/>
      <c r="AUB1194" s="7"/>
      <c r="AUC1194" s="7"/>
      <c r="AUD1194" s="7"/>
      <c r="AUE1194" s="7"/>
      <c r="AUF1194" s="7"/>
      <c r="AUG1194" s="7"/>
      <c r="AUH1194" s="7"/>
      <c r="AUI1194" s="7"/>
      <c r="AUJ1194" s="7"/>
      <c r="AUK1194" s="7"/>
      <c r="AUL1194" s="7"/>
      <c r="AUM1194" s="7"/>
      <c r="AUN1194" s="7"/>
      <c r="AUO1194" s="7"/>
      <c r="AUP1194" s="7"/>
      <c r="AUQ1194" s="7"/>
      <c r="AUR1194" s="7"/>
      <c r="AUS1194" s="7"/>
      <c r="AUT1194" s="7"/>
      <c r="AUU1194" s="7"/>
      <c r="AUV1194" s="7"/>
      <c r="AUW1194" s="7"/>
      <c r="AUX1194" s="7"/>
      <c r="AUY1194" s="7"/>
      <c r="AUZ1194" s="7"/>
      <c r="AVA1194" s="7"/>
      <c r="AVB1194" s="7"/>
      <c r="AVC1194" s="7"/>
      <c r="AVD1194" s="7"/>
      <c r="AVE1194" s="7"/>
      <c r="AVF1194" s="7"/>
      <c r="AVG1194" s="7"/>
      <c r="AVH1194" s="7"/>
      <c r="AVI1194" s="7"/>
      <c r="AVJ1194" s="7"/>
      <c r="AVK1194" s="7"/>
      <c r="AVL1194" s="7"/>
      <c r="AVM1194" s="7"/>
      <c r="AVN1194" s="7"/>
      <c r="AVO1194" s="7"/>
      <c r="AVP1194" s="7"/>
      <c r="AVQ1194" s="7"/>
      <c r="AVR1194" s="7"/>
      <c r="AVS1194" s="7"/>
      <c r="AVT1194" s="7"/>
      <c r="AVU1194" s="7"/>
      <c r="AVV1194" s="7"/>
      <c r="AVW1194" s="7"/>
      <c r="AVX1194" s="7"/>
      <c r="AVY1194" s="7"/>
      <c r="AVZ1194" s="7"/>
      <c r="AWA1194" s="7"/>
      <c r="AWB1194" s="7"/>
      <c r="AWC1194" s="7"/>
      <c r="AWD1194" s="7"/>
      <c r="AWE1194" s="7"/>
      <c r="AWF1194" s="7"/>
      <c r="AWG1194" s="7"/>
      <c r="AWH1194" s="7"/>
      <c r="AWI1194" s="7"/>
      <c r="AWJ1194" s="7"/>
      <c r="AWK1194" s="7"/>
      <c r="AWL1194" s="7"/>
      <c r="AWM1194" s="7"/>
      <c r="AWN1194" s="7"/>
      <c r="AWO1194" s="7"/>
      <c r="AWP1194" s="7"/>
      <c r="AWQ1194" s="7"/>
      <c r="AWR1194" s="7"/>
      <c r="AWS1194" s="7"/>
      <c r="AWT1194" s="7"/>
      <c r="AWU1194" s="7"/>
      <c r="AWV1194" s="7"/>
      <c r="AWW1194" s="7"/>
      <c r="AWX1194" s="7"/>
      <c r="AWY1194" s="7"/>
      <c r="AWZ1194" s="7"/>
      <c r="AXA1194" s="7"/>
      <c r="AXB1194" s="7"/>
      <c r="AXC1194" s="7"/>
      <c r="AXD1194" s="7"/>
      <c r="AXE1194" s="7"/>
      <c r="AXF1194" s="7"/>
      <c r="AXG1194" s="7"/>
      <c r="AXH1194" s="7"/>
      <c r="AXI1194" s="7"/>
      <c r="AXJ1194" s="7"/>
      <c r="AXK1194" s="7"/>
      <c r="AXL1194" s="7"/>
      <c r="AXM1194" s="7"/>
      <c r="AXN1194" s="7"/>
      <c r="AXO1194" s="7"/>
      <c r="AXP1194" s="7"/>
      <c r="AXQ1194" s="7"/>
      <c r="AXR1194" s="7"/>
      <c r="AXS1194" s="7"/>
      <c r="AXT1194" s="7"/>
      <c r="AXU1194" s="7"/>
      <c r="AXV1194" s="7"/>
      <c r="AXW1194" s="7"/>
      <c r="AXX1194" s="7"/>
      <c r="AXY1194" s="7"/>
      <c r="AXZ1194" s="7"/>
      <c r="AYA1194" s="7"/>
      <c r="AYB1194" s="7"/>
      <c r="AYC1194" s="7"/>
      <c r="AYD1194" s="7"/>
      <c r="AYE1194" s="7"/>
      <c r="AYF1194" s="7"/>
      <c r="AYG1194" s="7"/>
      <c r="AYH1194" s="7"/>
      <c r="AYI1194" s="7"/>
      <c r="AYJ1194" s="7"/>
      <c r="AYK1194" s="7"/>
      <c r="AYL1194" s="7"/>
      <c r="AYM1194" s="7"/>
      <c r="AYN1194" s="7"/>
      <c r="AYO1194" s="7"/>
      <c r="AYP1194" s="7"/>
      <c r="AYQ1194" s="7"/>
      <c r="AYR1194" s="7"/>
      <c r="AYS1194" s="7"/>
      <c r="AYT1194" s="7"/>
      <c r="AYU1194" s="7"/>
      <c r="AYV1194" s="7"/>
      <c r="AYW1194" s="7"/>
      <c r="AYX1194" s="7"/>
      <c r="AYY1194" s="7"/>
      <c r="AYZ1194" s="7"/>
      <c r="AZA1194" s="7"/>
      <c r="AZB1194" s="7"/>
      <c r="AZC1194" s="7"/>
      <c r="AZD1194" s="7"/>
      <c r="AZE1194" s="7"/>
      <c r="AZF1194" s="7"/>
      <c r="AZG1194" s="7"/>
      <c r="AZH1194" s="7"/>
      <c r="AZI1194" s="7"/>
      <c r="AZJ1194" s="7"/>
      <c r="AZK1194" s="7"/>
      <c r="AZL1194" s="7"/>
      <c r="AZM1194" s="7"/>
      <c r="AZN1194" s="7"/>
      <c r="AZO1194" s="7"/>
      <c r="AZP1194" s="7"/>
      <c r="AZQ1194" s="7"/>
      <c r="AZR1194" s="7"/>
      <c r="AZS1194" s="7"/>
      <c r="AZT1194" s="7"/>
      <c r="AZU1194" s="7"/>
      <c r="AZV1194" s="7"/>
      <c r="AZW1194" s="7"/>
      <c r="AZX1194" s="7"/>
      <c r="AZY1194" s="7"/>
      <c r="AZZ1194" s="7"/>
      <c r="BAA1194" s="7"/>
      <c r="BAB1194" s="7"/>
      <c r="BAC1194" s="7"/>
      <c r="BAD1194" s="7"/>
      <c r="BAE1194" s="7"/>
      <c r="BAF1194" s="7"/>
      <c r="BAG1194" s="7"/>
      <c r="BAH1194" s="7"/>
      <c r="BAI1194" s="7"/>
      <c r="BAJ1194" s="7"/>
      <c r="BAK1194" s="7"/>
      <c r="BAL1194" s="7"/>
      <c r="BAM1194" s="7"/>
      <c r="BAN1194" s="7"/>
      <c r="BAO1194" s="7"/>
      <c r="BAP1194" s="7"/>
      <c r="BAQ1194" s="7"/>
      <c r="BAR1194" s="7"/>
      <c r="BAS1194" s="7"/>
      <c r="BAT1194" s="7"/>
      <c r="BAU1194" s="7"/>
      <c r="BAV1194" s="7"/>
      <c r="BAW1194" s="7"/>
      <c r="BAX1194" s="7"/>
      <c r="BAY1194" s="7"/>
      <c r="BAZ1194" s="7"/>
      <c r="BBA1194" s="7"/>
      <c r="BBB1194" s="7"/>
      <c r="BBC1194" s="7"/>
      <c r="BBD1194" s="7"/>
      <c r="BBE1194" s="7"/>
      <c r="BBF1194" s="7"/>
      <c r="BBG1194" s="7"/>
      <c r="BBH1194" s="7"/>
      <c r="BBI1194" s="7"/>
      <c r="BBJ1194" s="7"/>
      <c r="BBK1194" s="7"/>
      <c r="BBL1194" s="7"/>
      <c r="BBM1194" s="7"/>
      <c r="BBN1194" s="7"/>
      <c r="BBO1194" s="7"/>
      <c r="BBP1194" s="7"/>
      <c r="BBQ1194" s="7"/>
      <c r="BBR1194" s="7"/>
      <c r="BBS1194" s="7"/>
      <c r="BBT1194" s="7"/>
      <c r="BBU1194" s="7"/>
      <c r="BBV1194" s="7"/>
      <c r="BBW1194" s="7"/>
      <c r="BBX1194" s="7"/>
      <c r="BBY1194" s="7"/>
      <c r="BBZ1194" s="7"/>
      <c r="BCA1194" s="7"/>
      <c r="BCB1194" s="7"/>
      <c r="BCC1194" s="7"/>
      <c r="BCD1194" s="7"/>
      <c r="BCE1194" s="7"/>
      <c r="BCF1194" s="7"/>
      <c r="BCG1194" s="7"/>
      <c r="BCH1194" s="7"/>
      <c r="BCI1194" s="7"/>
      <c r="BCJ1194" s="7"/>
      <c r="BCK1194" s="7"/>
      <c r="BCL1194" s="7"/>
      <c r="BCM1194" s="7"/>
      <c r="BCN1194" s="7"/>
      <c r="BCO1194" s="7"/>
      <c r="BCP1194" s="7"/>
      <c r="BCQ1194" s="7"/>
      <c r="BCR1194" s="7"/>
      <c r="BCS1194" s="7"/>
      <c r="BCT1194" s="7"/>
      <c r="BCU1194" s="7"/>
      <c r="BCV1194" s="7"/>
      <c r="BCW1194" s="7"/>
      <c r="BCX1194" s="7"/>
      <c r="BCY1194" s="7"/>
      <c r="BCZ1194" s="7"/>
      <c r="BDA1194" s="7"/>
      <c r="BDB1194" s="7"/>
      <c r="BDC1194" s="7"/>
      <c r="BDD1194" s="7"/>
      <c r="BDE1194" s="7"/>
      <c r="BDF1194" s="7"/>
      <c r="BDG1194" s="7"/>
      <c r="BDH1194" s="7"/>
      <c r="BDI1194" s="7"/>
      <c r="BDJ1194" s="7"/>
      <c r="BDK1194" s="7"/>
      <c r="BDL1194" s="7"/>
      <c r="BDM1194" s="7"/>
      <c r="BDN1194" s="7"/>
      <c r="BDO1194" s="7"/>
      <c r="BDP1194" s="7"/>
      <c r="BDQ1194" s="7"/>
      <c r="BDR1194" s="7"/>
      <c r="BDS1194" s="7"/>
      <c r="BDT1194" s="7"/>
      <c r="BDU1194" s="7"/>
      <c r="BDV1194" s="7"/>
      <c r="BDW1194" s="7"/>
      <c r="BDX1194" s="7"/>
      <c r="BDY1194" s="7"/>
      <c r="BDZ1194" s="7"/>
      <c r="BEA1194" s="7"/>
      <c r="BEB1194" s="7"/>
      <c r="BEC1194" s="7"/>
      <c r="BED1194" s="7"/>
      <c r="BEE1194" s="7"/>
      <c r="BEF1194" s="7"/>
      <c r="BEG1194" s="7"/>
      <c r="BEH1194" s="7"/>
      <c r="BEI1194" s="7"/>
      <c r="BEJ1194" s="7"/>
      <c r="BEK1194" s="7"/>
      <c r="BEL1194" s="7"/>
      <c r="BEM1194" s="7"/>
      <c r="BEN1194" s="7"/>
      <c r="BEO1194" s="7"/>
      <c r="BEP1194" s="7"/>
      <c r="BEQ1194" s="7"/>
      <c r="BER1194" s="7"/>
      <c r="BES1194" s="7"/>
      <c r="BET1194" s="7"/>
      <c r="BEU1194" s="7"/>
      <c r="BEV1194" s="7"/>
      <c r="BEW1194" s="7"/>
      <c r="BEX1194" s="7"/>
      <c r="BEY1194" s="7"/>
      <c r="BEZ1194" s="7"/>
      <c r="BFA1194" s="7"/>
      <c r="BFB1194" s="7"/>
      <c r="BFC1194" s="7"/>
      <c r="BFD1194" s="7"/>
      <c r="BFE1194" s="7"/>
      <c r="BFF1194" s="7"/>
      <c r="BFG1194" s="7"/>
      <c r="BFH1194" s="7"/>
      <c r="BFI1194" s="7"/>
      <c r="BFJ1194" s="7"/>
      <c r="BFK1194" s="7"/>
      <c r="BFL1194" s="7"/>
      <c r="BFM1194" s="7"/>
      <c r="BFN1194" s="7"/>
      <c r="BFO1194" s="7"/>
      <c r="BFP1194" s="7"/>
      <c r="BFQ1194" s="7"/>
      <c r="BFR1194" s="7"/>
      <c r="BFS1194" s="7"/>
      <c r="BFT1194" s="7"/>
      <c r="BFU1194" s="7"/>
      <c r="BFV1194" s="7"/>
      <c r="BFW1194" s="7"/>
      <c r="BFX1194" s="7"/>
      <c r="BFY1194" s="7"/>
      <c r="BFZ1194" s="7"/>
      <c r="BGA1194" s="7"/>
      <c r="BGB1194" s="7"/>
      <c r="BGC1194" s="7"/>
      <c r="BGD1194" s="7"/>
      <c r="BGE1194" s="7"/>
      <c r="BGF1194" s="7"/>
      <c r="BGG1194" s="7"/>
      <c r="BGH1194" s="7"/>
      <c r="BGI1194" s="7"/>
      <c r="BGJ1194" s="7"/>
      <c r="BGK1194" s="7"/>
      <c r="BGL1194" s="7"/>
      <c r="BGM1194" s="7"/>
      <c r="BGN1194" s="7"/>
      <c r="BGO1194" s="7"/>
      <c r="BGP1194" s="7"/>
      <c r="BGQ1194" s="7"/>
      <c r="BGR1194" s="7"/>
      <c r="BGS1194" s="7"/>
      <c r="BGT1194" s="7"/>
      <c r="BGU1194" s="7"/>
      <c r="BGV1194" s="7"/>
      <c r="BGW1194" s="7"/>
      <c r="BGX1194" s="7"/>
      <c r="BGY1194" s="7"/>
      <c r="BGZ1194" s="7"/>
      <c r="BHA1194" s="7"/>
      <c r="BHB1194" s="7"/>
      <c r="BHC1194" s="7"/>
      <c r="BHD1194" s="7"/>
      <c r="BHE1194" s="7"/>
      <c r="BHF1194" s="7"/>
      <c r="BHG1194" s="7"/>
      <c r="BHH1194" s="7"/>
      <c r="BHI1194" s="7"/>
      <c r="BHJ1194" s="7"/>
      <c r="BHK1194" s="7"/>
      <c r="BHL1194" s="7"/>
      <c r="BHM1194" s="7"/>
      <c r="BHN1194" s="7"/>
      <c r="BHO1194" s="7"/>
      <c r="BHP1194" s="7"/>
      <c r="BHQ1194" s="7"/>
      <c r="BHR1194" s="7"/>
      <c r="BHS1194" s="7"/>
      <c r="BHT1194" s="7"/>
      <c r="BHU1194" s="7"/>
      <c r="BHV1194" s="7"/>
      <c r="BHW1194" s="7"/>
      <c r="BHX1194" s="7"/>
      <c r="BHY1194" s="7"/>
      <c r="BHZ1194" s="7"/>
      <c r="BIA1194" s="7"/>
      <c r="BIB1194" s="7"/>
      <c r="BIC1194" s="7"/>
      <c r="BID1194" s="7"/>
      <c r="BIE1194" s="7"/>
      <c r="BIF1194" s="7"/>
      <c r="BIG1194" s="7"/>
      <c r="BIH1194" s="7"/>
      <c r="BII1194" s="7"/>
      <c r="BIJ1194" s="7"/>
      <c r="BIK1194" s="7"/>
      <c r="BIL1194" s="7"/>
      <c r="BIM1194" s="7"/>
      <c r="BIN1194" s="7"/>
      <c r="BIO1194" s="7"/>
      <c r="BIP1194" s="7"/>
      <c r="BIQ1194" s="7"/>
      <c r="BIR1194" s="7"/>
      <c r="BIS1194" s="7"/>
      <c r="BIT1194" s="7"/>
      <c r="BIU1194" s="7"/>
      <c r="BIV1194" s="7"/>
      <c r="BIW1194" s="7"/>
      <c r="BIX1194" s="7"/>
      <c r="BIY1194" s="7"/>
      <c r="BIZ1194" s="7"/>
      <c r="BJA1194" s="7"/>
      <c r="BJB1194" s="7"/>
      <c r="BJC1194" s="7"/>
      <c r="BJD1194" s="7"/>
      <c r="BJE1194" s="7"/>
      <c r="BJF1194" s="7"/>
      <c r="BJG1194" s="7"/>
      <c r="BJH1194" s="7"/>
      <c r="BJI1194" s="7"/>
      <c r="BJJ1194" s="7"/>
      <c r="BJK1194" s="7"/>
      <c r="BJL1194" s="7"/>
      <c r="BJM1194" s="7"/>
      <c r="BJN1194" s="7"/>
      <c r="BJO1194" s="7"/>
      <c r="BJP1194" s="7"/>
      <c r="BJQ1194" s="7"/>
      <c r="BJR1194" s="7"/>
      <c r="BJS1194" s="7"/>
      <c r="BJT1194" s="7"/>
      <c r="BJU1194" s="7"/>
      <c r="BJV1194" s="7"/>
      <c r="BJW1194" s="7"/>
      <c r="BJX1194" s="7"/>
      <c r="BJY1194" s="7"/>
      <c r="BJZ1194" s="7"/>
      <c r="BKA1194" s="7"/>
      <c r="BKB1194" s="7"/>
      <c r="BKC1194" s="7"/>
      <c r="BKD1194" s="7"/>
      <c r="BKE1194" s="7"/>
      <c r="BKF1194" s="7"/>
      <c r="BKG1194" s="7"/>
      <c r="BKH1194" s="7"/>
      <c r="BKI1194" s="7"/>
      <c r="BKJ1194" s="7"/>
      <c r="BKK1194" s="7"/>
      <c r="BKL1194" s="7"/>
      <c r="BKM1194" s="7"/>
      <c r="BKN1194" s="7"/>
      <c r="BKO1194" s="7"/>
      <c r="BKP1194" s="7"/>
      <c r="BKQ1194" s="7"/>
      <c r="BKR1194" s="7"/>
      <c r="BKS1194" s="7"/>
      <c r="BKT1194" s="7"/>
      <c r="BKU1194" s="7"/>
      <c r="BKV1194" s="7"/>
      <c r="BKW1194" s="7"/>
      <c r="BKX1194" s="7"/>
      <c r="BKY1194" s="7"/>
      <c r="BKZ1194" s="7"/>
      <c r="BLA1194" s="7"/>
      <c r="BLB1194" s="7"/>
      <c r="BLC1194" s="7"/>
      <c r="BLD1194" s="7"/>
      <c r="BLE1194" s="7"/>
      <c r="BLF1194" s="7"/>
      <c r="BLG1194" s="7"/>
      <c r="BLH1194" s="7"/>
      <c r="BLI1194" s="7"/>
      <c r="BLJ1194" s="7"/>
      <c r="BLK1194" s="7"/>
      <c r="BLL1194" s="7"/>
      <c r="BLM1194" s="7"/>
      <c r="BLN1194" s="7"/>
      <c r="BLO1194" s="7"/>
      <c r="BLP1194" s="7"/>
      <c r="BLQ1194" s="7"/>
      <c r="BLR1194" s="7"/>
      <c r="BLS1194" s="7"/>
      <c r="BLT1194" s="7"/>
      <c r="BLU1194" s="7"/>
      <c r="BLV1194" s="7"/>
      <c r="BLW1194" s="7"/>
      <c r="BLX1194" s="7"/>
      <c r="BLY1194" s="7"/>
      <c r="BLZ1194" s="7"/>
      <c r="BMA1194" s="7"/>
      <c r="BMB1194" s="7"/>
      <c r="BMC1194" s="7"/>
      <c r="BMD1194" s="7"/>
      <c r="BME1194" s="7"/>
      <c r="BMF1194" s="7"/>
      <c r="BMG1194" s="7"/>
      <c r="BMH1194" s="7"/>
      <c r="BMI1194" s="7"/>
      <c r="BMJ1194" s="7"/>
      <c r="BMK1194" s="7"/>
      <c r="BML1194" s="7"/>
      <c r="BMM1194" s="7"/>
      <c r="BMN1194" s="7"/>
      <c r="BMO1194" s="7"/>
      <c r="BMP1194" s="7"/>
      <c r="BMQ1194" s="7"/>
      <c r="BMR1194" s="7"/>
      <c r="BMS1194" s="7"/>
      <c r="BMT1194" s="7"/>
      <c r="BMU1194" s="7"/>
      <c r="BMV1194" s="7"/>
      <c r="BMW1194" s="7"/>
      <c r="BMX1194" s="7"/>
      <c r="BMY1194" s="7"/>
      <c r="BMZ1194" s="7"/>
      <c r="BNA1194" s="7"/>
      <c r="BNB1194" s="7"/>
      <c r="BNC1194" s="7"/>
      <c r="BND1194" s="7"/>
      <c r="BNE1194" s="7"/>
      <c r="BNF1194" s="7"/>
      <c r="BNG1194" s="7"/>
      <c r="BNH1194" s="7"/>
      <c r="BNI1194" s="7"/>
      <c r="BNJ1194" s="7"/>
      <c r="BNK1194" s="7"/>
      <c r="BNL1194" s="7"/>
      <c r="BNM1194" s="7"/>
      <c r="BNN1194" s="7"/>
      <c r="BNO1194" s="7"/>
      <c r="BNP1194" s="7"/>
      <c r="BNQ1194" s="7"/>
      <c r="BNR1194" s="7"/>
      <c r="BNS1194" s="7"/>
      <c r="BNT1194" s="7"/>
      <c r="BNU1194" s="7"/>
      <c r="BNV1194" s="7"/>
      <c r="BNW1194" s="7"/>
      <c r="BNX1194" s="7"/>
      <c r="BNY1194" s="7"/>
      <c r="BNZ1194" s="7"/>
      <c r="BOA1194" s="7"/>
      <c r="BOB1194" s="7"/>
      <c r="BOC1194" s="7"/>
      <c r="BOD1194" s="7"/>
      <c r="BOE1194" s="7"/>
      <c r="BOF1194" s="7"/>
      <c r="BOG1194" s="7"/>
      <c r="BOH1194" s="7"/>
      <c r="BOI1194" s="7"/>
      <c r="BOJ1194" s="7"/>
      <c r="BOK1194" s="7"/>
      <c r="BOL1194" s="7"/>
      <c r="BOM1194" s="7"/>
      <c r="BON1194" s="7"/>
      <c r="BOO1194" s="7"/>
      <c r="BOP1194" s="7"/>
      <c r="BOQ1194" s="7"/>
      <c r="BOR1194" s="7"/>
      <c r="BOS1194" s="7"/>
      <c r="BOT1194" s="7"/>
      <c r="BOU1194" s="7"/>
      <c r="BOV1194" s="7"/>
      <c r="BOW1194" s="7"/>
      <c r="BOX1194" s="7"/>
      <c r="BOY1194" s="7"/>
      <c r="BOZ1194" s="7"/>
      <c r="BPA1194" s="7"/>
      <c r="BPB1194" s="7"/>
      <c r="BPC1194" s="7"/>
      <c r="BPD1194" s="7"/>
      <c r="BPE1194" s="7"/>
      <c r="BPF1194" s="7"/>
      <c r="BPG1194" s="7"/>
      <c r="BPH1194" s="7"/>
      <c r="BPI1194" s="7"/>
      <c r="BPJ1194" s="7"/>
      <c r="BPK1194" s="7"/>
      <c r="BPL1194" s="7"/>
      <c r="BPM1194" s="7"/>
      <c r="BPN1194" s="7"/>
      <c r="BPO1194" s="7"/>
      <c r="BPP1194" s="7"/>
      <c r="BPQ1194" s="7"/>
      <c r="BPR1194" s="7"/>
      <c r="BPS1194" s="7"/>
      <c r="BPT1194" s="7"/>
      <c r="BPU1194" s="7"/>
      <c r="BPV1194" s="7"/>
      <c r="BPW1194" s="7"/>
      <c r="BPX1194" s="7"/>
      <c r="BPY1194" s="7"/>
      <c r="BPZ1194" s="7"/>
      <c r="BQA1194" s="7"/>
      <c r="BQB1194" s="7"/>
      <c r="BQC1194" s="7"/>
      <c r="BQD1194" s="7"/>
      <c r="BQE1194" s="7"/>
      <c r="BQF1194" s="7"/>
      <c r="BQG1194" s="7"/>
      <c r="BQH1194" s="7"/>
      <c r="BQI1194" s="7"/>
      <c r="BQJ1194" s="7"/>
      <c r="BQK1194" s="7"/>
      <c r="BQL1194" s="7"/>
      <c r="BQM1194" s="7"/>
      <c r="BQN1194" s="7"/>
      <c r="BQO1194" s="7"/>
      <c r="BQP1194" s="7"/>
      <c r="BQQ1194" s="7"/>
      <c r="BQR1194" s="7"/>
      <c r="BQS1194" s="7"/>
      <c r="BQT1194" s="7"/>
      <c r="BQU1194" s="7"/>
      <c r="BQV1194" s="7"/>
      <c r="BQW1194" s="7"/>
      <c r="BQX1194" s="7"/>
      <c r="BQY1194" s="7"/>
      <c r="BQZ1194" s="7"/>
      <c r="BRA1194" s="7"/>
      <c r="BRB1194" s="7"/>
      <c r="BRC1194" s="7"/>
      <c r="BRD1194" s="7"/>
      <c r="BRE1194" s="7"/>
      <c r="BRF1194" s="7"/>
      <c r="BRG1194" s="7"/>
      <c r="BRH1194" s="7"/>
      <c r="BRI1194" s="7"/>
      <c r="BRJ1194" s="7"/>
      <c r="BRK1194" s="7"/>
      <c r="BRL1194" s="7"/>
      <c r="BRM1194" s="7"/>
      <c r="BRN1194" s="7"/>
      <c r="BRO1194" s="7"/>
      <c r="BRP1194" s="7"/>
      <c r="BRQ1194" s="7"/>
      <c r="BRR1194" s="7"/>
      <c r="BRS1194" s="7"/>
      <c r="BRT1194" s="7"/>
      <c r="BRU1194" s="7"/>
      <c r="BRV1194" s="7"/>
      <c r="BRW1194" s="7"/>
      <c r="BRX1194" s="7"/>
      <c r="BRY1194" s="7"/>
      <c r="BRZ1194" s="7"/>
      <c r="BSA1194" s="7"/>
      <c r="BSB1194" s="7"/>
      <c r="BSC1194" s="7"/>
      <c r="BSD1194" s="7"/>
      <c r="BSE1194" s="7"/>
      <c r="BSF1194" s="7"/>
      <c r="BSG1194" s="7"/>
      <c r="BSH1194" s="7"/>
      <c r="BSI1194" s="7"/>
      <c r="BSJ1194" s="7"/>
      <c r="BSK1194" s="7"/>
      <c r="BSL1194" s="7"/>
      <c r="BSM1194" s="7"/>
      <c r="BSN1194" s="7"/>
      <c r="BSO1194" s="7"/>
      <c r="BSP1194" s="7"/>
      <c r="BSQ1194" s="7"/>
      <c r="BSR1194" s="7"/>
      <c r="BSS1194" s="7"/>
      <c r="BST1194" s="7"/>
      <c r="BSU1194" s="7"/>
      <c r="BSV1194" s="7"/>
      <c r="BSW1194" s="7"/>
      <c r="BSX1194" s="7"/>
      <c r="BSY1194" s="7"/>
      <c r="BSZ1194" s="7"/>
      <c r="BTA1194" s="7"/>
      <c r="BTB1194" s="7"/>
      <c r="BTC1194" s="7"/>
      <c r="BTD1194" s="7"/>
      <c r="BTE1194" s="7"/>
      <c r="BTF1194" s="7"/>
      <c r="BTG1194" s="7"/>
      <c r="BTH1194" s="7"/>
      <c r="BTI1194" s="7"/>
      <c r="BTJ1194" s="7"/>
      <c r="BTK1194" s="7"/>
      <c r="BTL1194" s="7"/>
      <c r="BTM1194" s="7"/>
      <c r="BTN1194" s="7"/>
      <c r="BTO1194" s="7"/>
      <c r="BTP1194" s="7"/>
      <c r="BTQ1194" s="7"/>
      <c r="BTR1194" s="7"/>
      <c r="BTS1194" s="7"/>
      <c r="BTT1194" s="7"/>
      <c r="BTU1194" s="7"/>
      <c r="BTV1194" s="7"/>
      <c r="BTW1194" s="7"/>
      <c r="BTX1194" s="7"/>
      <c r="BTY1194" s="7"/>
      <c r="BTZ1194" s="7"/>
      <c r="BUA1194" s="7"/>
      <c r="BUB1194" s="7"/>
      <c r="BUC1194" s="7"/>
      <c r="BUD1194" s="7"/>
      <c r="BUE1194" s="7"/>
      <c r="BUF1194" s="7"/>
      <c r="BUG1194" s="7"/>
      <c r="BUH1194" s="7"/>
      <c r="BUI1194" s="7"/>
      <c r="BUJ1194" s="7"/>
      <c r="BUK1194" s="7"/>
      <c r="BUL1194" s="7"/>
      <c r="BUM1194" s="7"/>
      <c r="BUN1194" s="7"/>
      <c r="BUO1194" s="7"/>
      <c r="BUP1194" s="7"/>
      <c r="BUQ1194" s="7"/>
      <c r="BUR1194" s="7"/>
      <c r="BUS1194" s="7"/>
      <c r="BUT1194" s="7"/>
      <c r="BUU1194" s="7"/>
      <c r="BUV1194" s="7"/>
      <c r="BUW1194" s="7"/>
      <c r="BUX1194" s="7"/>
      <c r="BUY1194" s="7"/>
      <c r="BUZ1194" s="7"/>
      <c r="BVA1194" s="7"/>
      <c r="BVB1194" s="7"/>
      <c r="BVC1194" s="7"/>
      <c r="BVD1194" s="7"/>
      <c r="BVE1194" s="7"/>
      <c r="BVF1194" s="7"/>
      <c r="BVG1194" s="7"/>
      <c r="BVH1194" s="7"/>
      <c r="BVI1194" s="7"/>
      <c r="BVJ1194" s="7"/>
      <c r="BVK1194" s="7"/>
      <c r="BVL1194" s="7"/>
      <c r="BVM1194" s="7"/>
      <c r="BVN1194" s="7"/>
      <c r="BVO1194" s="7"/>
      <c r="BVP1194" s="7"/>
      <c r="BVQ1194" s="7"/>
      <c r="BVR1194" s="7"/>
      <c r="BVS1194" s="7"/>
      <c r="BVT1194" s="7"/>
      <c r="BVU1194" s="7"/>
      <c r="BVV1194" s="7"/>
      <c r="BVW1194" s="7"/>
      <c r="BVX1194" s="7"/>
      <c r="BVY1194" s="7"/>
      <c r="BVZ1194" s="7"/>
      <c r="BWA1194" s="7"/>
      <c r="BWB1194" s="7"/>
      <c r="BWC1194" s="7"/>
      <c r="BWD1194" s="7"/>
      <c r="BWE1194" s="7"/>
      <c r="BWF1194" s="7"/>
      <c r="BWG1194" s="7"/>
      <c r="BWH1194" s="7"/>
      <c r="BWI1194" s="7"/>
      <c r="BWJ1194" s="7"/>
      <c r="BWK1194" s="7"/>
      <c r="BWL1194" s="7"/>
      <c r="BWM1194" s="7"/>
      <c r="BWN1194" s="7"/>
      <c r="BWO1194" s="7"/>
      <c r="BWP1194" s="7"/>
      <c r="BWQ1194" s="7"/>
      <c r="BWR1194" s="7"/>
      <c r="BWS1194" s="7"/>
      <c r="BWT1194" s="7"/>
      <c r="BWU1194" s="7"/>
      <c r="BWV1194" s="7"/>
      <c r="BWW1194" s="7"/>
      <c r="BWX1194" s="7"/>
      <c r="BWY1194" s="7"/>
      <c r="BWZ1194" s="7"/>
      <c r="BXA1194" s="7"/>
      <c r="BXB1194" s="7"/>
      <c r="BXC1194" s="7"/>
      <c r="BXD1194" s="7"/>
      <c r="BXE1194" s="7"/>
      <c r="BXF1194" s="7"/>
      <c r="BXG1194" s="7"/>
      <c r="BXH1194" s="7"/>
      <c r="BXI1194" s="7"/>
      <c r="BXJ1194" s="7"/>
      <c r="BXK1194" s="7"/>
      <c r="BXL1194" s="7"/>
      <c r="BXM1194" s="7"/>
      <c r="BXN1194" s="7"/>
      <c r="BXO1194" s="7"/>
      <c r="BXP1194" s="7"/>
      <c r="BXQ1194" s="7"/>
      <c r="BXR1194" s="7"/>
      <c r="BXS1194" s="7"/>
      <c r="BXT1194" s="7"/>
      <c r="BXU1194" s="7"/>
      <c r="BXV1194" s="7"/>
      <c r="BXW1194" s="7"/>
      <c r="BXX1194" s="7"/>
      <c r="BXY1194" s="7"/>
      <c r="BXZ1194" s="7"/>
      <c r="BYA1194" s="7"/>
      <c r="BYB1194" s="7"/>
      <c r="BYC1194" s="7"/>
      <c r="BYD1194" s="7"/>
      <c r="BYE1194" s="7"/>
      <c r="BYF1194" s="7"/>
      <c r="BYG1194" s="7"/>
      <c r="BYH1194" s="7"/>
      <c r="BYI1194" s="7"/>
      <c r="BYJ1194" s="7"/>
      <c r="BYK1194" s="7"/>
      <c r="BYL1194" s="7"/>
      <c r="BYM1194" s="7"/>
      <c r="BYN1194" s="7"/>
      <c r="BYO1194" s="7"/>
      <c r="BYP1194" s="7"/>
      <c r="BYQ1194" s="7"/>
      <c r="BYR1194" s="7"/>
      <c r="BYS1194" s="7"/>
      <c r="BYT1194" s="7"/>
      <c r="BYU1194" s="7"/>
      <c r="BYV1194" s="7"/>
      <c r="BYW1194" s="7"/>
      <c r="BYX1194" s="7"/>
      <c r="BYY1194" s="7"/>
      <c r="BYZ1194" s="7"/>
      <c r="BZA1194" s="7"/>
      <c r="BZB1194" s="7"/>
      <c r="BZC1194" s="7"/>
      <c r="BZD1194" s="7"/>
      <c r="BZE1194" s="7"/>
      <c r="BZF1194" s="7"/>
      <c r="BZG1194" s="7"/>
      <c r="BZH1194" s="7"/>
      <c r="BZI1194" s="7"/>
      <c r="BZJ1194" s="7"/>
      <c r="BZK1194" s="7"/>
      <c r="BZL1194" s="7"/>
      <c r="BZM1194" s="7"/>
      <c r="BZN1194" s="7"/>
      <c r="BZO1194" s="7"/>
      <c r="BZP1194" s="7"/>
      <c r="BZQ1194" s="7"/>
      <c r="BZR1194" s="7"/>
      <c r="BZS1194" s="7"/>
      <c r="BZT1194" s="7"/>
      <c r="BZU1194" s="7"/>
      <c r="BZV1194" s="7"/>
      <c r="BZW1194" s="7"/>
      <c r="BZX1194" s="7"/>
      <c r="BZY1194" s="7"/>
      <c r="BZZ1194" s="7"/>
      <c r="CAA1194" s="7"/>
      <c r="CAB1194" s="7"/>
      <c r="CAC1194" s="7"/>
      <c r="CAD1194" s="7"/>
      <c r="CAE1194" s="7"/>
      <c r="CAF1194" s="7"/>
      <c r="CAG1194" s="7"/>
      <c r="CAH1194" s="7"/>
      <c r="CAI1194" s="7"/>
      <c r="CAJ1194" s="7"/>
      <c r="CAK1194" s="7"/>
      <c r="CAL1194" s="7"/>
      <c r="CAM1194" s="7"/>
      <c r="CAN1194" s="7"/>
      <c r="CAO1194" s="7"/>
      <c r="CAP1194" s="7"/>
      <c r="CAQ1194" s="7"/>
      <c r="CAR1194" s="7"/>
      <c r="CAS1194" s="7"/>
      <c r="CAT1194" s="7"/>
      <c r="CAU1194" s="7"/>
      <c r="CAV1194" s="7"/>
      <c r="CAW1194" s="7"/>
      <c r="CAX1194" s="7"/>
      <c r="CAY1194" s="7"/>
      <c r="CAZ1194" s="7"/>
      <c r="CBA1194" s="7"/>
      <c r="CBB1194" s="7"/>
      <c r="CBC1194" s="7"/>
      <c r="CBD1194" s="7"/>
      <c r="CBE1194" s="7"/>
      <c r="CBF1194" s="7"/>
      <c r="CBG1194" s="7"/>
      <c r="CBH1194" s="7"/>
      <c r="CBI1194" s="7"/>
      <c r="CBJ1194" s="7"/>
      <c r="CBK1194" s="7"/>
      <c r="CBL1194" s="7"/>
      <c r="CBM1194" s="7"/>
      <c r="CBN1194" s="7"/>
      <c r="CBO1194" s="7"/>
      <c r="CBP1194" s="7"/>
      <c r="CBQ1194" s="7"/>
      <c r="CBR1194" s="7"/>
      <c r="CBS1194" s="7"/>
      <c r="CBT1194" s="7"/>
      <c r="CBU1194" s="7"/>
      <c r="CBV1194" s="7"/>
      <c r="CBW1194" s="7"/>
      <c r="CBX1194" s="7"/>
      <c r="CBY1194" s="7"/>
      <c r="CBZ1194" s="7"/>
      <c r="CCA1194" s="7"/>
      <c r="CCB1194" s="7"/>
      <c r="CCC1194" s="7"/>
      <c r="CCD1194" s="7"/>
      <c r="CCE1194" s="7"/>
      <c r="CCF1194" s="7"/>
      <c r="CCG1194" s="7"/>
      <c r="CCH1194" s="7"/>
      <c r="CCI1194" s="7"/>
      <c r="CCJ1194" s="7"/>
      <c r="CCK1194" s="7"/>
      <c r="CCL1194" s="7"/>
      <c r="CCM1194" s="7"/>
      <c r="CCN1194" s="7"/>
      <c r="CCO1194" s="7"/>
      <c r="CCP1194" s="7"/>
      <c r="CCQ1194" s="7"/>
      <c r="CCR1194" s="7"/>
      <c r="CCS1194" s="7"/>
      <c r="CCT1194" s="7"/>
      <c r="CCU1194" s="7"/>
      <c r="CCV1194" s="7"/>
      <c r="CCW1194" s="7"/>
      <c r="CCX1194" s="7"/>
      <c r="CCY1194" s="7"/>
      <c r="CCZ1194" s="7"/>
      <c r="CDA1194" s="7"/>
      <c r="CDB1194" s="7"/>
      <c r="CDC1194" s="7"/>
      <c r="CDD1194" s="7"/>
      <c r="CDE1194" s="7"/>
      <c r="CDF1194" s="7"/>
      <c r="CDG1194" s="7"/>
      <c r="CDH1194" s="7"/>
      <c r="CDI1194" s="7"/>
      <c r="CDJ1194" s="7"/>
      <c r="CDK1194" s="7"/>
      <c r="CDL1194" s="7"/>
      <c r="CDM1194" s="7"/>
      <c r="CDN1194" s="7"/>
      <c r="CDO1194" s="7"/>
      <c r="CDP1194" s="7"/>
      <c r="CDQ1194" s="7"/>
      <c r="CDR1194" s="7"/>
      <c r="CDS1194" s="7"/>
      <c r="CDT1194" s="7"/>
      <c r="CDU1194" s="7"/>
      <c r="CDV1194" s="7"/>
      <c r="CDW1194" s="7"/>
      <c r="CDX1194" s="7"/>
      <c r="CDY1194" s="7"/>
      <c r="CDZ1194" s="7"/>
      <c r="CEA1194" s="7"/>
      <c r="CEB1194" s="7"/>
      <c r="CEC1194" s="7"/>
      <c r="CED1194" s="7"/>
      <c r="CEE1194" s="7"/>
      <c r="CEF1194" s="7"/>
      <c r="CEG1194" s="7"/>
      <c r="CEH1194" s="7"/>
      <c r="CEI1194" s="7"/>
      <c r="CEJ1194" s="7"/>
      <c r="CEK1194" s="7"/>
      <c r="CEL1194" s="7"/>
      <c r="CEM1194" s="7"/>
      <c r="CEN1194" s="7"/>
      <c r="CEO1194" s="7"/>
      <c r="CEP1194" s="7"/>
      <c r="CEQ1194" s="7"/>
      <c r="CER1194" s="7"/>
      <c r="CES1194" s="7"/>
      <c r="CET1194" s="7"/>
      <c r="CEU1194" s="7"/>
      <c r="CEV1194" s="7"/>
      <c r="CEW1194" s="7"/>
      <c r="CEX1194" s="7"/>
      <c r="CEY1194" s="7"/>
      <c r="CEZ1194" s="7"/>
      <c r="CFA1194" s="7"/>
      <c r="CFB1194" s="7"/>
      <c r="CFC1194" s="7"/>
      <c r="CFD1194" s="7"/>
      <c r="CFE1194" s="7"/>
      <c r="CFF1194" s="7"/>
      <c r="CFG1194" s="7"/>
      <c r="CFH1194" s="7"/>
      <c r="CFI1194" s="7"/>
      <c r="CFJ1194" s="7"/>
      <c r="CFK1194" s="7"/>
      <c r="CFL1194" s="7"/>
      <c r="CFM1194" s="7"/>
      <c r="CFN1194" s="7"/>
      <c r="CFO1194" s="7"/>
      <c r="CFP1194" s="7"/>
      <c r="CFQ1194" s="7"/>
      <c r="CFR1194" s="7"/>
      <c r="CFS1194" s="7"/>
      <c r="CFT1194" s="7"/>
      <c r="CFU1194" s="7"/>
      <c r="CFV1194" s="7"/>
      <c r="CFW1194" s="7"/>
      <c r="CFX1194" s="7"/>
      <c r="CFY1194" s="7"/>
      <c r="CFZ1194" s="7"/>
      <c r="CGA1194" s="7"/>
      <c r="CGB1194" s="7"/>
      <c r="CGC1194" s="7"/>
      <c r="CGD1194" s="7"/>
      <c r="CGE1194" s="7"/>
      <c r="CGF1194" s="7"/>
      <c r="CGG1194" s="7"/>
      <c r="CGH1194" s="7"/>
      <c r="CGI1194" s="7"/>
      <c r="CGJ1194" s="7"/>
      <c r="CGK1194" s="7"/>
      <c r="CGL1194" s="7"/>
      <c r="CGM1194" s="7"/>
      <c r="CGN1194" s="7"/>
      <c r="CGO1194" s="7"/>
      <c r="CGP1194" s="7"/>
      <c r="CGQ1194" s="7"/>
      <c r="CGR1194" s="7"/>
      <c r="CGS1194" s="7"/>
      <c r="CGT1194" s="7"/>
      <c r="CGU1194" s="7"/>
      <c r="CGV1194" s="7"/>
      <c r="CGW1194" s="7"/>
      <c r="CGX1194" s="7"/>
      <c r="CGY1194" s="7"/>
      <c r="CGZ1194" s="7"/>
      <c r="CHA1194" s="7"/>
      <c r="CHB1194" s="7"/>
      <c r="CHC1194" s="7"/>
      <c r="CHD1194" s="7"/>
      <c r="CHE1194" s="7"/>
      <c r="CHF1194" s="7"/>
      <c r="CHG1194" s="7"/>
      <c r="CHH1194" s="7"/>
      <c r="CHI1194" s="7"/>
      <c r="CHJ1194" s="7"/>
      <c r="CHK1194" s="7"/>
      <c r="CHL1194" s="7"/>
      <c r="CHM1194" s="7"/>
      <c r="CHN1194" s="7"/>
      <c r="CHO1194" s="7"/>
      <c r="CHP1194" s="7"/>
      <c r="CHQ1194" s="7"/>
      <c r="CHR1194" s="7"/>
      <c r="CHS1194" s="7"/>
      <c r="CHT1194" s="7"/>
      <c r="CHU1194" s="7"/>
      <c r="CHV1194" s="7"/>
      <c r="CHW1194" s="7"/>
      <c r="CHX1194" s="7"/>
      <c r="CHY1194" s="7"/>
      <c r="CHZ1194" s="7"/>
      <c r="CIA1194" s="7"/>
      <c r="CIB1194" s="7"/>
      <c r="CIC1194" s="7"/>
      <c r="CID1194" s="7"/>
      <c r="CIE1194" s="7"/>
      <c r="CIF1194" s="7"/>
      <c r="CIG1194" s="7"/>
      <c r="CIH1194" s="7"/>
      <c r="CII1194" s="7"/>
      <c r="CIJ1194" s="7"/>
      <c r="CIK1194" s="7"/>
      <c r="CIL1194" s="7"/>
      <c r="CIM1194" s="7"/>
      <c r="CIN1194" s="7"/>
      <c r="CIO1194" s="7"/>
      <c r="CIP1194" s="7"/>
      <c r="CIQ1194" s="7"/>
      <c r="CIR1194" s="7"/>
      <c r="CIS1194" s="7"/>
      <c r="CIT1194" s="7"/>
      <c r="CIU1194" s="7"/>
      <c r="CIV1194" s="7"/>
      <c r="CIW1194" s="7"/>
      <c r="CIX1194" s="7"/>
      <c r="CIY1194" s="7"/>
      <c r="CIZ1194" s="7"/>
      <c r="CJA1194" s="7"/>
      <c r="CJB1194" s="7"/>
      <c r="CJC1194" s="7"/>
      <c r="CJD1194" s="7"/>
      <c r="CJE1194" s="7"/>
      <c r="CJF1194" s="7"/>
      <c r="CJG1194" s="7"/>
      <c r="CJH1194" s="7"/>
      <c r="CJI1194" s="7"/>
      <c r="CJJ1194" s="7"/>
      <c r="CJK1194" s="7"/>
      <c r="CJL1194" s="7"/>
      <c r="CJM1194" s="7"/>
      <c r="CJN1194" s="7"/>
      <c r="CJO1194" s="7"/>
      <c r="CJP1194" s="7"/>
      <c r="CJQ1194" s="7"/>
      <c r="CJR1194" s="7"/>
      <c r="CJS1194" s="7"/>
      <c r="CJT1194" s="7"/>
      <c r="CJU1194" s="7"/>
      <c r="CJV1194" s="7"/>
      <c r="CJW1194" s="7"/>
      <c r="CJX1194" s="7"/>
      <c r="CJY1194" s="7"/>
      <c r="CJZ1194" s="7"/>
      <c r="CKA1194" s="7"/>
      <c r="CKB1194" s="7"/>
      <c r="CKC1194" s="7"/>
      <c r="CKD1194" s="7"/>
      <c r="CKE1194" s="7"/>
      <c r="CKF1194" s="7"/>
      <c r="CKG1194" s="7"/>
      <c r="CKH1194" s="7"/>
      <c r="CKI1194" s="7"/>
      <c r="CKJ1194" s="7"/>
      <c r="CKK1194" s="7"/>
      <c r="CKL1194" s="7"/>
      <c r="CKM1194" s="7"/>
      <c r="CKN1194" s="7"/>
      <c r="CKO1194" s="7"/>
      <c r="CKP1194" s="7"/>
      <c r="CKQ1194" s="7"/>
      <c r="CKR1194" s="7"/>
      <c r="CKS1194" s="7"/>
      <c r="CKT1194" s="7"/>
      <c r="CKU1194" s="7"/>
      <c r="CKV1194" s="7"/>
      <c r="CKW1194" s="7"/>
      <c r="CKX1194" s="7"/>
      <c r="CKY1194" s="7"/>
      <c r="CKZ1194" s="7"/>
      <c r="CLA1194" s="7"/>
      <c r="CLB1194" s="7"/>
      <c r="CLC1194" s="7"/>
      <c r="CLD1194" s="7"/>
      <c r="CLE1194" s="7"/>
      <c r="CLF1194" s="7"/>
      <c r="CLG1194" s="7"/>
      <c r="CLH1194" s="7"/>
      <c r="CLI1194" s="7"/>
      <c r="CLJ1194" s="7"/>
      <c r="CLK1194" s="7"/>
      <c r="CLL1194" s="7"/>
      <c r="CLM1194" s="7"/>
      <c r="CLN1194" s="7"/>
      <c r="CLO1194" s="7"/>
      <c r="CLP1194" s="7"/>
      <c r="CLQ1194" s="7"/>
      <c r="CLR1194" s="7"/>
      <c r="CLS1194" s="7"/>
      <c r="CLT1194" s="7"/>
      <c r="CLU1194" s="7"/>
      <c r="CLV1194" s="7"/>
      <c r="CLW1194" s="7"/>
      <c r="CLX1194" s="7"/>
      <c r="CLY1194" s="7"/>
      <c r="CLZ1194" s="7"/>
      <c r="CMA1194" s="7"/>
      <c r="CMB1194" s="7"/>
      <c r="CMC1194" s="7"/>
      <c r="CMD1194" s="7"/>
      <c r="CME1194" s="7"/>
      <c r="CMF1194" s="7"/>
      <c r="CMG1194" s="7"/>
      <c r="CMH1194" s="7"/>
      <c r="CMI1194" s="7"/>
      <c r="CMJ1194" s="7"/>
      <c r="CMK1194" s="7"/>
      <c r="CML1194" s="7"/>
      <c r="CMM1194" s="7"/>
      <c r="CMN1194" s="7"/>
      <c r="CMO1194" s="7"/>
      <c r="CMP1194" s="7"/>
      <c r="CMQ1194" s="7"/>
      <c r="CMR1194" s="7"/>
      <c r="CMS1194" s="7"/>
      <c r="CMT1194" s="7"/>
      <c r="CMU1194" s="7"/>
      <c r="CMV1194" s="7"/>
      <c r="CMW1194" s="7"/>
      <c r="CMX1194" s="7"/>
      <c r="CMY1194" s="7"/>
      <c r="CMZ1194" s="7"/>
      <c r="CNA1194" s="7"/>
      <c r="CNB1194" s="7"/>
      <c r="CNC1194" s="7"/>
      <c r="CND1194" s="7"/>
      <c r="CNE1194" s="7"/>
      <c r="CNF1194" s="7"/>
      <c r="CNG1194" s="7"/>
      <c r="CNH1194" s="7"/>
      <c r="CNI1194" s="7"/>
      <c r="CNJ1194" s="7"/>
      <c r="CNK1194" s="7"/>
      <c r="CNL1194" s="7"/>
      <c r="CNM1194" s="7"/>
      <c r="CNN1194" s="7"/>
      <c r="CNO1194" s="7"/>
      <c r="CNP1194" s="7"/>
      <c r="CNQ1194" s="7"/>
      <c r="CNR1194" s="7"/>
      <c r="CNS1194" s="7"/>
      <c r="CNT1194" s="7"/>
      <c r="CNU1194" s="7"/>
      <c r="CNV1194" s="7"/>
      <c r="CNW1194" s="7"/>
      <c r="CNX1194" s="7"/>
      <c r="CNY1194" s="7"/>
      <c r="CNZ1194" s="7"/>
      <c r="COA1194" s="7"/>
      <c r="COB1194" s="7"/>
      <c r="COC1194" s="7"/>
      <c r="COD1194" s="7"/>
      <c r="COE1194" s="7"/>
      <c r="COF1194" s="7"/>
      <c r="COG1194" s="7"/>
      <c r="COH1194" s="7"/>
      <c r="COI1194" s="7"/>
      <c r="COJ1194" s="7"/>
      <c r="COK1194" s="7"/>
      <c r="COL1194" s="7"/>
      <c r="COM1194" s="7"/>
      <c r="CON1194" s="7"/>
      <c r="COO1194" s="7"/>
      <c r="COP1194" s="7"/>
      <c r="COQ1194" s="7"/>
      <c r="COR1194" s="7"/>
      <c r="COS1194" s="7"/>
      <c r="COT1194" s="7"/>
      <c r="COU1194" s="7"/>
      <c r="COV1194" s="7"/>
      <c r="COW1194" s="7"/>
      <c r="COX1194" s="7"/>
      <c r="COY1194" s="7"/>
      <c r="COZ1194" s="7"/>
      <c r="CPA1194" s="7"/>
      <c r="CPB1194" s="7"/>
      <c r="CPC1194" s="7"/>
      <c r="CPD1194" s="7"/>
      <c r="CPE1194" s="7"/>
      <c r="CPF1194" s="7"/>
      <c r="CPG1194" s="7"/>
      <c r="CPH1194" s="7"/>
      <c r="CPI1194" s="7"/>
      <c r="CPJ1194" s="7"/>
      <c r="CPK1194" s="7"/>
      <c r="CPL1194" s="7"/>
      <c r="CPM1194" s="7"/>
      <c r="CPN1194" s="7"/>
      <c r="CPO1194" s="7"/>
      <c r="CPP1194" s="7"/>
      <c r="CPQ1194" s="7"/>
      <c r="CPR1194" s="7"/>
      <c r="CPS1194" s="7"/>
      <c r="CPT1194" s="7"/>
      <c r="CPU1194" s="7"/>
      <c r="CPV1194" s="7"/>
      <c r="CPW1194" s="7"/>
      <c r="CPX1194" s="7"/>
      <c r="CPY1194" s="7"/>
      <c r="CPZ1194" s="7"/>
      <c r="CQA1194" s="7"/>
      <c r="CQB1194" s="7"/>
      <c r="CQC1194" s="7"/>
      <c r="CQD1194" s="7"/>
      <c r="CQE1194" s="7"/>
      <c r="CQF1194" s="7"/>
      <c r="CQG1194" s="7"/>
      <c r="CQH1194" s="7"/>
      <c r="CQI1194" s="7"/>
      <c r="CQJ1194" s="7"/>
      <c r="CQK1194" s="7"/>
      <c r="CQL1194" s="7"/>
      <c r="CQM1194" s="7"/>
      <c r="CQN1194" s="7"/>
      <c r="CQO1194" s="7"/>
      <c r="CQP1194" s="7"/>
      <c r="CQQ1194" s="7"/>
      <c r="CQR1194" s="7"/>
      <c r="CQS1194" s="7"/>
      <c r="CQT1194" s="7"/>
      <c r="CQU1194" s="7"/>
      <c r="CQV1194" s="7"/>
      <c r="CQW1194" s="7"/>
      <c r="CQX1194" s="7"/>
      <c r="CQY1194" s="7"/>
      <c r="CQZ1194" s="7"/>
      <c r="CRA1194" s="7"/>
      <c r="CRB1194" s="7"/>
      <c r="CRC1194" s="7"/>
      <c r="CRD1194" s="7"/>
      <c r="CRE1194" s="7"/>
      <c r="CRF1194" s="7"/>
      <c r="CRG1194" s="7"/>
      <c r="CRH1194" s="7"/>
      <c r="CRI1194" s="7"/>
      <c r="CRJ1194" s="7"/>
      <c r="CRK1194" s="7"/>
      <c r="CRL1194" s="7"/>
      <c r="CRM1194" s="7"/>
      <c r="CRN1194" s="7"/>
      <c r="CRO1194" s="7"/>
      <c r="CRP1194" s="7"/>
      <c r="CRQ1194" s="7"/>
      <c r="CRR1194" s="7"/>
      <c r="CRS1194" s="7"/>
      <c r="CRT1194" s="7"/>
      <c r="CRU1194" s="7"/>
      <c r="CRV1194" s="7"/>
      <c r="CRW1194" s="7"/>
      <c r="CRX1194" s="7"/>
      <c r="CRY1194" s="7"/>
      <c r="CRZ1194" s="7"/>
      <c r="CSA1194" s="7"/>
      <c r="CSB1194" s="7"/>
      <c r="CSC1194" s="7"/>
      <c r="CSD1194" s="7"/>
      <c r="CSE1194" s="7"/>
      <c r="CSF1194" s="7"/>
      <c r="CSG1194" s="7"/>
      <c r="CSH1194" s="7"/>
      <c r="CSI1194" s="7"/>
      <c r="CSJ1194" s="7"/>
      <c r="CSK1194" s="7"/>
      <c r="CSL1194" s="7"/>
      <c r="CSM1194" s="7"/>
      <c r="CSN1194" s="7"/>
      <c r="CSO1194" s="7"/>
      <c r="CSP1194" s="7"/>
      <c r="CSQ1194" s="7"/>
      <c r="CSR1194" s="7"/>
      <c r="CSS1194" s="7"/>
      <c r="CST1194" s="7"/>
      <c r="CSU1194" s="7"/>
      <c r="CSV1194" s="7"/>
      <c r="CSW1194" s="7"/>
      <c r="CSX1194" s="7"/>
      <c r="CSY1194" s="7"/>
      <c r="CSZ1194" s="7"/>
      <c r="CTA1194" s="7"/>
      <c r="CTB1194" s="7"/>
      <c r="CTC1194" s="7"/>
      <c r="CTD1194" s="7"/>
      <c r="CTE1194" s="7"/>
      <c r="CTF1194" s="7"/>
      <c r="CTG1194" s="7"/>
      <c r="CTH1194" s="7"/>
      <c r="CTI1194" s="7"/>
      <c r="CTJ1194" s="7"/>
      <c r="CTK1194" s="7"/>
      <c r="CTL1194" s="7"/>
      <c r="CTM1194" s="7"/>
      <c r="CTN1194" s="7"/>
      <c r="CTO1194" s="7"/>
      <c r="CTP1194" s="7"/>
      <c r="CTQ1194" s="7"/>
      <c r="CTR1194" s="7"/>
      <c r="CTS1194" s="7"/>
      <c r="CTT1194" s="7"/>
      <c r="CTU1194" s="7"/>
      <c r="CTV1194" s="7"/>
      <c r="CTW1194" s="7"/>
      <c r="CTX1194" s="7"/>
      <c r="CTY1194" s="7"/>
      <c r="CTZ1194" s="7"/>
      <c r="CUA1194" s="7"/>
      <c r="CUB1194" s="7"/>
      <c r="CUC1194" s="7"/>
      <c r="CUD1194" s="7"/>
      <c r="CUE1194" s="7"/>
      <c r="CUF1194" s="7"/>
      <c r="CUG1194" s="7"/>
      <c r="CUH1194" s="7"/>
      <c r="CUI1194" s="7"/>
      <c r="CUJ1194" s="7"/>
      <c r="CUK1194" s="7"/>
      <c r="CUL1194" s="7"/>
      <c r="CUM1194" s="7"/>
      <c r="CUN1194" s="7"/>
      <c r="CUO1194" s="7"/>
      <c r="CUP1194" s="7"/>
      <c r="CUQ1194" s="7"/>
      <c r="CUR1194" s="7"/>
      <c r="CUS1194" s="7"/>
      <c r="CUT1194" s="7"/>
      <c r="CUU1194" s="7"/>
      <c r="CUV1194" s="7"/>
      <c r="CUW1194" s="7"/>
      <c r="CUX1194" s="7"/>
      <c r="CUY1194" s="7"/>
      <c r="CUZ1194" s="7"/>
      <c r="CVA1194" s="7"/>
      <c r="CVB1194" s="7"/>
      <c r="CVC1194" s="7"/>
      <c r="CVD1194" s="7"/>
      <c r="CVE1194" s="7"/>
      <c r="CVF1194" s="7"/>
      <c r="CVG1194" s="7"/>
      <c r="CVH1194" s="7"/>
      <c r="CVI1194" s="7"/>
      <c r="CVJ1194" s="7"/>
      <c r="CVK1194" s="7"/>
      <c r="CVL1194" s="7"/>
      <c r="CVM1194" s="7"/>
      <c r="CVN1194" s="7"/>
      <c r="CVO1194" s="7"/>
      <c r="CVP1194" s="7"/>
      <c r="CVQ1194" s="7"/>
      <c r="CVR1194" s="7"/>
      <c r="CVS1194" s="7"/>
      <c r="CVT1194" s="7"/>
      <c r="CVU1194" s="7"/>
      <c r="CVV1194" s="7"/>
      <c r="CVW1194" s="7"/>
      <c r="CVX1194" s="7"/>
      <c r="CVY1194" s="7"/>
      <c r="CVZ1194" s="7"/>
      <c r="CWA1194" s="7"/>
      <c r="CWB1194" s="7"/>
      <c r="CWC1194" s="7"/>
      <c r="CWD1194" s="7"/>
      <c r="CWE1194" s="7"/>
      <c r="CWF1194" s="7"/>
      <c r="CWG1194" s="7"/>
      <c r="CWH1194" s="7"/>
      <c r="CWI1194" s="7"/>
      <c r="CWJ1194" s="7"/>
      <c r="CWK1194" s="7"/>
      <c r="CWL1194" s="7"/>
      <c r="CWM1194" s="7"/>
      <c r="CWN1194" s="7"/>
      <c r="CWO1194" s="7"/>
      <c r="CWP1194" s="7"/>
      <c r="CWQ1194" s="7"/>
      <c r="CWR1194" s="7"/>
      <c r="CWS1194" s="7"/>
      <c r="CWT1194" s="7"/>
      <c r="CWU1194" s="7"/>
      <c r="CWV1194" s="7"/>
      <c r="CWW1194" s="7"/>
      <c r="CWX1194" s="7"/>
      <c r="CWY1194" s="7"/>
      <c r="CWZ1194" s="7"/>
      <c r="CXA1194" s="7"/>
      <c r="CXB1194" s="7"/>
      <c r="CXC1194" s="7"/>
      <c r="CXD1194" s="7"/>
      <c r="CXE1194" s="7"/>
      <c r="CXF1194" s="7"/>
      <c r="CXG1194" s="7"/>
      <c r="CXH1194" s="7"/>
      <c r="CXI1194" s="7"/>
      <c r="CXJ1194" s="7"/>
      <c r="CXK1194" s="7"/>
      <c r="CXL1194" s="7"/>
      <c r="CXM1194" s="7"/>
      <c r="CXN1194" s="7"/>
      <c r="CXO1194" s="7"/>
      <c r="CXP1194" s="7"/>
      <c r="CXQ1194" s="7"/>
      <c r="CXR1194" s="7"/>
      <c r="CXS1194" s="7"/>
      <c r="CXT1194" s="7"/>
      <c r="CXU1194" s="7"/>
      <c r="CXV1194" s="7"/>
      <c r="CXW1194" s="7"/>
      <c r="CXX1194" s="7"/>
      <c r="CXY1194" s="7"/>
      <c r="CXZ1194" s="7"/>
      <c r="CYA1194" s="7"/>
      <c r="CYB1194" s="7"/>
      <c r="CYC1194" s="7"/>
      <c r="CYD1194" s="7"/>
      <c r="CYE1194" s="7"/>
      <c r="CYF1194" s="7"/>
      <c r="CYG1194" s="7"/>
      <c r="CYH1194" s="7"/>
      <c r="CYI1194" s="7"/>
      <c r="CYJ1194" s="7"/>
      <c r="CYK1194" s="7"/>
      <c r="CYL1194" s="7"/>
      <c r="CYM1194" s="7"/>
      <c r="CYN1194" s="7"/>
      <c r="CYO1194" s="7"/>
      <c r="CYP1194" s="7"/>
      <c r="CYQ1194" s="7"/>
      <c r="CYR1194" s="7"/>
      <c r="CYS1194" s="7"/>
      <c r="CYT1194" s="7"/>
      <c r="CYU1194" s="7"/>
      <c r="CYV1194" s="7"/>
      <c r="CYW1194" s="7"/>
      <c r="CYX1194" s="7"/>
      <c r="CYY1194" s="7"/>
      <c r="CYZ1194" s="7"/>
      <c r="CZA1194" s="7"/>
      <c r="CZB1194" s="7"/>
      <c r="CZC1194" s="7"/>
      <c r="CZD1194" s="7"/>
      <c r="CZE1194" s="7"/>
      <c r="CZF1194" s="7"/>
      <c r="CZG1194" s="7"/>
      <c r="CZH1194" s="7"/>
      <c r="CZI1194" s="7"/>
      <c r="CZJ1194" s="7"/>
      <c r="CZK1194" s="7"/>
      <c r="CZL1194" s="7"/>
      <c r="CZM1194" s="7"/>
      <c r="CZN1194" s="7"/>
      <c r="CZO1194" s="7"/>
      <c r="CZP1194" s="7"/>
      <c r="CZQ1194" s="7"/>
      <c r="CZR1194" s="7"/>
      <c r="CZS1194" s="7"/>
      <c r="CZT1194" s="7"/>
      <c r="CZU1194" s="7"/>
      <c r="CZV1194" s="7"/>
      <c r="CZW1194" s="7"/>
      <c r="CZX1194" s="7"/>
      <c r="CZY1194" s="7"/>
      <c r="CZZ1194" s="7"/>
      <c r="DAA1194" s="7"/>
      <c r="DAB1194" s="7"/>
      <c r="DAC1194" s="7"/>
      <c r="DAD1194" s="7"/>
      <c r="DAE1194" s="7"/>
      <c r="DAF1194" s="7"/>
      <c r="DAG1194" s="7"/>
      <c r="DAH1194" s="7"/>
      <c r="DAI1194" s="7"/>
      <c r="DAJ1194" s="7"/>
      <c r="DAK1194" s="7"/>
      <c r="DAL1194" s="7"/>
      <c r="DAM1194" s="7"/>
      <c r="DAN1194" s="7"/>
      <c r="DAO1194" s="7"/>
      <c r="DAP1194" s="7"/>
      <c r="DAQ1194" s="7"/>
      <c r="DAR1194" s="7"/>
      <c r="DAS1194" s="7"/>
      <c r="DAT1194" s="7"/>
      <c r="DAU1194" s="7"/>
      <c r="DAV1194" s="7"/>
      <c r="DAW1194" s="7"/>
      <c r="DAX1194" s="7"/>
      <c r="DAY1194" s="7"/>
      <c r="DAZ1194" s="7"/>
      <c r="DBA1194" s="7"/>
      <c r="DBB1194" s="7"/>
      <c r="DBC1194" s="7"/>
      <c r="DBD1194" s="7"/>
      <c r="DBE1194" s="7"/>
      <c r="DBF1194" s="7"/>
      <c r="DBG1194" s="7"/>
      <c r="DBH1194" s="7"/>
      <c r="DBI1194" s="7"/>
      <c r="DBJ1194" s="7"/>
      <c r="DBK1194" s="7"/>
      <c r="DBL1194" s="7"/>
      <c r="DBM1194" s="7"/>
      <c r="DBN1194" s="7"/>
      <c r="DBO1194" s="7"/>
      <c r="DBP1194" s="7"/>
      <c r="DBQ1194" s="7"/>
      <c r="DBR1194" s="7"/>
      <c r="DBS1194" s="7"/>
      <c r="DBT1194" s="7"/>
      <c r="DBU1194" s="7"/>
      <c r="DBV1194" s="7"/>
      <c r="DBW1194" s="7"/>
      <c r="DBX1194" s="7"/>
      <c r="DBY1194" s="7"/>
      <c r="DBZ1194" s="7"/>
      <c r="DCA1194" s="7"/>
      <c r="DCB1194" s="7"/>
      <c r="DCC1194" s="7"/>
      <c r="DCD1194" s="7"/>
      <c r="DCE1194" s="7"/>
      <c r="DCF1194" s="7"/>
      <c r="DCG1194" s="7"/>
      <c r="DCH1194" s="7"/>
      <c r="DCI1194" s="7"/>
      <c r="DCJ1194" s="7"/>
      <c r="DCK1194" s="7"/>
      <c r="DCL1194" s="7"/>
      <c r="DCM1194" s="7"/>
      <c r="DCN1194" s="7"/>
      <c r="DCO1194" s="7"/>
      <c r="DCP1194" s="7"/>
      <c r="DCQ1194" s="7"/>
      <c r="DCR1194" s="7"/>
      <c r="DCS1194" s="7"/>
      <c r="DCT1194" s="7"/>
      <c r="DCU1194" s="7"/>
      <c r="DCV1194" s="7"/>
      <c r="DCW1194" s="7"/>
      <c r="DCX1194" s="7"/>
      <c r="DCY1194" s="7"/>
      <c r="DCZ1194" s="7"/>
      <c r="DDA1194" s="7"/>
      <c r="DDB1194" s="7"/>
      <c r="DDC1194" s="7"/>
      <c r="DDD1194" s="7"/>
      <c r="DDE1194" s="7"/>
      <c r="DDF1194" s="7"/>
      <c r="DDG1194" s="7"/>
      <c r="DDH1194" s="7"/>
      <c r="DDI1194" s="7"/>
      <c r="DDJ1194" s="7"/>
      <c r="DDK1194" s="7"/>
      <c r="DDL1194" s="7"/>
      <c r="DDM1194" s="7"/>
      <c r="DDN1194" s="7"/>
      <c r="DDO1194" s="7"/>
      <c r="DDP1194" s="7"/>
      <c r="DDQ1194" s="7"/>
      <c r="DDR1194" s="7"/>
      <c r="DDS1194" s="7"/>
      <c r="DDT1194" s="7"/>
      <c r="DDU1194" s="7"/>
      <c r="DDV1194" s="7"/>
      <c r="DDW1194" s="7"/>
      <c r="DDX1194" s="7"/>
      <c r="DDY1194" s="7"/>
      <c r="DDZ1194" s="7"/>
      <c r="DEA1194" s="7"/>
      <c r="DEB1194" s="7"/>
      <c r="DEC1194" s="7"/>
      <c r="DED1194" s="7"/>
      <c r="DEE1194" s="7"/>
      <c r="DEF1194" s="7"/>
      <c r="DEG1194" s="7"/>
      <c r="DEH1194" s="7"/>
      <c r="DEI1194" s="7"/>
      <c r="DEJ1194" s="7"/>
      <c r="DEK1194" s="7"/>
      <c r="DEL1194" s="7"/>
      <c r="DEM1194" s="7"/>
      <c r="DEN1194" s="7"/>
      <c r="DEO1194" s="7"/>
      <c r="DEP1194" s="7"/>
      <c r="DEQ1194" s="7"/>
      <c r="DER1194" s="7"/>
      <c r="DES1194" s="7"/>
      <c r="DET1194" s="7"/>
      <c r="DEU1194" s="7"/>
      <c r="DEV1194" s="7"/>
      <c r="DEW1194" s="7"/>
      <c r="DEX1194" s="7"/>
      <c r="DEY1194" s="7"/>
      <c r="DEZ1194" s="7"/>
      <c r="DFA1194" s="7"/>
      <c r="DFB1194" s="7"/>
      <c r="DFC1194" s="7"/>
      <c r="DFD1194" s="7"/>
      <c r="DFE1194" s="7"/>
      <c r="DFF1194" s="7"/>
      <c r="DFG1194" s="7"/>
      <c r="DFH1194" s="7"/>
      <c r="DFI1194" s="7"/>
      <c r="DFJ1194" s="7"/>
      <c r="DFK1194" s="7"/>
      <c r="DFL1194" s="7"/>
      <c r="DFM1194" s="7"/>
      <c r="DFN1194" s="7"/>
      <c r="DFO1194" s="7"/>
      <c r="DFP1194" s="7"/>
      <c r="DFQ1194" s="7"/>
      <c r="DFR1194" s="7"/>
      <c r="DFS1194" s="7"/>
      <c r="DFT1194" s="7"/>
      <c r="DFU1194" s="7"/>
      <c r="DFV1194" s="7"/>
      <c r="DFW1194" s="7"/>
      <c r="DFX1194" s="7"/>
      <c r="DFY1194" s="7"/>
      <c r="DFZ1194" s="7"/>
      <c r="DGA1194" s="7"/>
      <c r="DGB1194" s="7"/>
      <c r="DGC1194" s="7"/>
      <c r="DGD1194" s="7"/>
      <c r="DGE1194" s="7"/>
      <c r="DGF1194" s="7"/>
      <c r="DGG1194" s="7"/>
      <c r="DGH1194" s="7"/>
      <c r="DGI1194" s="7"/>
      <c r="DGJ1194" s="7"/>
      <c r="DGK1194" s="7"/>
      <c r="DGL1194" s="7"/>
      <c r="DGM1194" s="7"/>
      <c r="DGN1194" s="7"/>
      <c r="DGO1194" s="7"/>
      <c r="DGP1194" s="7"/>
      <c r="DGQ1194" s="7"/>
      <c r="DGR1194" s="7"/>
      <c r="DGS1194" s="7"/>
      <c r="DGT1194" s="7"/>
      <c r="DGU1194" s="7"/>
      <c r="DGV1194" s="7"/>
      <c r="DGW1194" s="7"/>
      <c r="DGX1194" s="7"/>
      <c r="DGY1194" s="7"/>
      <c r="DGZ1194" s="7"/>
      <c r="DHA1194" s="7"/>
      <c r="DHB1194" s="7"/>
      <c r="DHC1194" s="7"/>
      <c r="DHD1194" s="7"/>
      <c r="DHE1194" s="7"/>
      <c r="DHF1194" s="7"/>
      <c r="DHG1194" s="7"/>
      <c r="DHH1194" s="7"/>
      <c r="DHI1194" s="7"/>
      <c r="DHJ1194" s="7"/>
      <c r="DHK1194" s="7"/>
      <c r="DHL1194" s="7"/>
      <c r="DHM1194" s="7"/>
      <c r="DHN1194" s="7"/>
      <c r="DHO1194" s="7"/>
      <c r="DHP1194" s="7"/>
      <c r="DHQ1194" s="7"/>
      <c r="DHR1194" s="7"/>
      <c r="DHS1194" s="7"/>
      <c r="DHT1194" s="7"/>
      <c r="DHU1194" s="7"/>
      <c r="DHV1194" s="7"/>
      <c r="DHW1194" s="7"/>
      <c r="DHX1194" s="7"/>
      <c r="DHY1194" s="7"/>
      <c r="DHZ1194" s="7"/>
      <c r="DIA1194" s="7"/>
      <c r="DIB1194" s="7"/>
      <c r="DIC1194" s="7"/>
      <c r="DID1194" s="7"/>
      <c r="DIE1194" s="7"/>
      <c r="DIF1194" s="7"/>
      <c r="DIG1194" s="7"/>
      <c r="DIH1194" s="7"/>
      <c r="DII1194" s="7"/>
      <c r="DIJ1194" s="7"/>
      <c r="DIK1194" s="7"/>
      <c r="DIL1194" s="7"/>
      <c r="DIM1194" s="7"/>
      <c r="DIN1194" s="7"/>
      <c r="DIO1194" s="7"/>
      <c r="DIP1194" s="7"/>
      <c r="DIQ1194" s="7"/>
      <c r="DIR1194" s="7"/>
      <c r="DIS1194" s="7"/>
      <c r="DIT1194" s="7"/>
      <c r="DIU1194" s="7"/>
      <c r="DIV1194" s="7"/>
      <c r="DIW1194" s="7"/>
      <c r="DIX1194" s="7"/>
      <c r="DIY1194" s="7"/>
      <c r="DIZ1194" s="7"/>
      <c r="DJA1194" s="7"/>
      <c r="DJB1194" s="7"/>
      <c r="DJC1194" s="7"/>
      <c r="DJD1194" s="7"/>
      <c r="DJE1194" s="7"/>
      <c r="DJF1194" s="7"/>
      <c r="DJG1194" s="7"/>
      <c r="DJH1194" s="7"/>
      <c r="DJI1194" s="7"/>
      <c r="DJJ1194" s="7"/>
      <c r="DJK1194" s="7"/>
      <c r="DJL1194" s="7"/>
      <c r="DJM1194" s="7"/>
      <c r="DJN1194" s="7"/>
      <c r="DJO1194" s="7"/>
      <c r="DJP1194" s="7"/>
      <c r="DJQ1194" s="7"/>
      <c r="DJR1194" s="7"/>
      <c r="DJS1194" s="7"/>
      <c r="DJT1194" s="7"/>
      <c r="DJU1194" s="7"/>
      <c r="DJV1194" s="7"/>
      <c r="DJW1194" s="7"/>
      <c r="DJX1194" s="7"/>
      <c r="DJY1194" s="7"/>
      <c r="DJZ1194" s="7"/>
      <c r="DKA1194" s="7"/>
      <c r="DKB1194" s="7"/>
      <c r="DKC1194" s="7"/>
      <c r="DKD1194" s="7"/>
      <c r="DKE1194" s="7"/>
      <c r="DKF1194" s="7"/>
      <c r="DKG1194" s="7"/>
      <c r="DKH1194" s="7"/>
      <c r="DKI1194" s="7"/>
      <c r="DKJ1194" s="7"/>
      <c r="DKK1194" s="7"/>
      <c r="DKL1194" s="7"/>
      <c r="DKM1194" s="7"/>
      <c r="DKN1194" s="7"/>
      <c r="DKO1194" s="7"/>
      <c r="DKP1194" s="7"/>
      <c r="DKQ1194" s="7"/>
      <c r="DKR1194" s="7"/>
      <c r="DKS1194" s="7"/>
      <c r="DKT1194" s="7"/>
      <c r="DKU1194" s="7"/>
      <c r="DKV1194" s="7"/>
      <c r="DKW1194" s="7"/>
      <c r="DKX1194" s="7"/>
      <c r="DKY1194" s="7"/>
      <c r="DKZ1194" s="7"/>
      <c r="DLA1194" s="7"/>
      <c r="DLB1194" s="7"/>
      <c r="DLC1194" s="7"/>
      <c r="DLD1194" s="7"/>
      <c r="DLE1194" s="7"/>
      <c r="DLF1194" s="7"/>
      <c r="DLG1194" s="7"/>
      <c r="DLH1194" s="7"/>
      <c r="DLI1194" s="7"/>
      <c r="DLJ1194" s="7"/>
      <c r="DLK1194" s="7"/>
      <c r="DLL1194" s="7"/>
      <c r="DLM1194" s="7"/>
      <c r="DLN1194" s="7"/>
      <c r="DLO1194" s="7"/>
      <c r="DLP1194" s="7"/>
      <c r="DLQ1194" s="7"/>
      <c r="DLR1194" s="7"/>
      <c r="DLS1194" s="7"/>
      <c r="DLT1194" s="7"/>
      <c r="DLU1194" s="7"/>
      <c r="DLV1194" s="7"/>
      <c r="DLW1194" s="7"/>
      <c r="DLX1194" s="7"/>
      <c r="DLY1194" s="7"/>
      <c r="DLZ1194" s="7"/>
      <c r="DMA1194" s="7"/>
      <c r="DMB1194" s="7"/>
      <c r="DMC1194" s="7"/>
      <c r="DMD1194" s="7"/>
      <c r="DME1194" s="7"/>
      <c r="DMF1194" s="7"/>
      <c r="DMG1194" s="7"/>
      <c r="DMH1194" s="7"/>
      <c r="DMI1194" s="7"/>
      <c r="DMJ1194" s="7"/>
      <c r="DMK1194" s="7"/>
      <c r="DML1194" s="7"/>
      <c r="DMM1194" s="7"/>
      <c r="DMN1194" s="7"/>
      <c r="DMO1194" s="7"/>
      <c r="DMP1194" s="7"/>
      <c r="DMQ1194" s="7"/>
      <c r="DMR1194" s="7"/>
      <c r="DMS1194" s="7"/>
      <c r="DMT1194" s="7"/>
      <c r="DMU1194" s="7"/>
      <c r="DMV1194" s="7"/>
      <c r="DMW1194" s="7"/>
      <c r="DMX1194" s="7"/>
      <c r="DMY1194" s="7"/>
      <c r="DMZ1194" s="7"/>
      <c r="DNA1194" s="7"/>
      <c r="DNB1194" s="7"/>
      <c r="DNC1194" s="7"/>
      <c r="DND1194" s="7"/>
      <c r="DNE1194" s="7"/>
      <c r="DNF1194" s="7"/>
      <c r="DNG1194" s="7"/>
      <c r="DNH1194" s="7"/>
      <c r="DNI1194" s="7"/>
      <c r="DNJ1194" s="7"/>
      <c r="DNK1194" s="7"/>
      <c r="DNL1194" s="7"/>
      <c r="DNM1194" s="7"/>
      <c r="DNN1194" s="7"/>
      <c r="DNO1194" s="7"/>
      <c r="DNP1194" s="7"/>
      <c r="DNQ1194" s="7"/>
      <c r="DNR1194" s="7"/>
      <c r="DNS1194" s="7"/>
      <c r="DNT1194" s="7"/>
      <c r="DNU1194" s="7"/>
      <c r="DNV1194" s="7"/>
      <c r="DNW1194" s="7"/>
      <c r="DNX1194" s="7"/>
      <c r="DNY1194" s="7"/>
      <c r="DNZ1194" s="7"/>
      <c r="DOA1194" s="7"/>
      <c r="DOB1194" s="7"/>
      <c r="DOC1194" s="7"/>
      <c r="DOD1194" s="7"/>
      <c r="DOE1194" s="7"/>
      <c r="DOF1194" s="7"/>
      <c r="DOG1194" s="7"/>
      <c r="DOH1194" s="7"/>
      <c r="DOI1194" s="7"/>
      <c r="DOJ1194" s="7"/>
      <c r="DOK1194" s="7"/>
      <c r="DOL1194" s="7"/>
      <c r="DOM1194" s="7"/>
      <c r="DON1194" s="7"/>
      <c r="DOO1194" s="7"/>
      <c r="DOP1194" s="7"/>
      <c r="DOQ1194" s="7"/>
      <c r="DOR1194" s="7"/>
      <c r="DOS1194" s="7"/>
      <c r="DOT1194" s="7"/>
      <c r="DOU1194" s="7"/>
      <c r="DOV1194" s="7"/>
      <c r="DOW1194" s="7"/>
      <c r="DOX1194" s="7"/>
      <c r="DOY1194" s="7"/>
      <c r="DOZ1194" s="7"/>
      <c r="DPA1194" s="7"/>
      <c r="DPB1194" s="7"/>
      <c r="DPC1194" s="7"/>
      <c r="DPD1194" s="7"/>
      <c r="DPE1194" s="7"/>
      <c r="DPF1194" s="7"/>
      <c r="DPG1194" s="7"/>
      <c r="DPH1194" s="7"/>
      <c r="DPI1194" s="7"/>
      <c r="DPJ1194" s="7"/>
      <c r="DPK1194" s="7"/>
      <c r="DPL1194" s="7"/>
      <c r="DPM1194" s="7"/>
      <c r="DPN1194" s="7"/>
      <c r="DPO1194" s="7"/>
      <c r="DPP1194" s="7"/>
      <c r="DPQ1194" s="7"/>
      <c r="DPR1194" s="7"/>
      <c r="DPS1194" s="7"/>
      <c r="DPT1194" s="7"/>
      <c r="DPU1194" s="7"/>
      <c r="DPV1194" s="7"/>
      <c r="DPW1194" s="7"/>
      <c r="DPX1194" s="7"/>
      <c r="DPY1194" s="7"/>
      <c r="DPZ1194" s="7"/>
      <c r="DQA1194" s="7"/>
      <c r="DQB1194" s="7"/>
      <c r="DQC1194" s="7"/>
      <c r="DQD1194" s="7"/>
      <c r="DQE1194" s="7"/>
      <c r="DQF1194" s="7"/>
      <c r="DQG1194" s="7"/>
      <c r="DQH1194" s="7"/>
      <c r="DQI1194" s="7"/>
      <c r="DQJ1194" s="7"/>
      <c r="DQK1194" s="7"/>
      <c r="DQL1194" s="7"/>
      <c r="DQM1194" s="7"/>
      <c r="DQN1194" s="7"/>
      <c r="DQO1194" s="7"/>
      <c r="DQP1194" s="7"/>
      <c r="DQQ1194" s="7"/>
      <c r="DQR1194" s="7"/>
      <c r="DQS1194" s="7"/>
      <c r="DQT1194" s="7"/>
      <c r="DQU1194" s="7"/>
      <c r="DQV1194" s="7"/>
      <c r="DQW1194" s="7"/>
      <c r="DQX1194" s="7"/>
      <c r="DQY1194" s="7"/>
      <c r="DQZ1194" s="7"/>
      <c r="DRA1194" s="7"/>
      <c r="DRB1194" s="7"/>
      <c r="DRC1194" s="7"/>
      <c r="DRD1194" s="7"/>
      <c r="DRE1194" s="7"/>
      <c r="DRF1194" s="7"/>
      <c r="DRG1194" s="7"/>
      <c r="DRH1194" s="7"/>
      <c r="DRI1194" s="7"/>
      <c r="DRJ1194" s="7"/>
      <c r="DRK1194" s="7"/>
      <c r="DRL1194" s="7"/>
      <c r="DRM1194" s="7"/>
      <c r="DRN1194" s="7"/>
      <c r="DRO1194" s="7"/>
      <c r="DRP1194" s="7"/>
      <c r="DRQ1194" s="7"/>
      <c r="DRR1194" s="7"/>
      <c r="DRS1194" s="7"/>
      <c r="DRT1194" s="7"/>
      <c r="DRU1194" s="7"/>
      <c r="DRV1194" s="7"/>
      <c r="DRW1194" s="7"/>
      <c r="DRX1194" s="7"/>
      <c r="DRY1194" s="7"/>
      <c r="DRZ1194" s="7"/>
      <c r="DSA1194" s="7"/>
      <c r="DSB1194" s="7"/>
      <c r="DSC1194" s="7"/>
      <c r="DSD1194" s="7"/>
      <c r="DSE1194" s="7"/>
      <c r="DSF1194" s="7"/>
      <c r="DSG1194" s="7"/>
      <c r="DSH1194" s="7"/>
      <c r="DSI1194" s="7"/>
      <c r="DSJ1194" s="7"/>
      <c r="DSK1194" s="7"/>
      <c r="DSL1194" s="7"/>
      <c r="DSM1194" s="7"/>
      <c r="DSN1194" s="7"/>
      <c r="DSO1194" s="7"/>
      <c r="DSP1194" s="7"/>
      <c r="DSQ1194" s="7"/>
      <c r="DSR1194" s="7"/>
      <c r="DSS1194" s="7"/>
      <c r="DST1194" s="7"/>
      <c r="DSU1194" s="7"/>
      <c r="DSV1194" s="7"/>
      <c r="DSW1194" s="7"/>
      <c r="DSX1194" s="7"/>
      <c r="DSY1194" s="7"/>
      <c r="DSZ1194" s="7"/>
      <c r="DTA1194" s="7"/>
      <c r="DTB1194" s="7"/>
      <c r="DTC1194" s="7"/>
      <c r="DTD1194" s="7"/>
      <c r="DTE1194" s="7"/>
      <c r="DTF1194" s="7"/>
      <c r="DTG1194" s="7"/>
      <c r="DTH1194" s="7"/>
      <c r="DTI1194" s="7"/>
      <c r="DTJ1194" s="7"/>
      <c r="DTK1194" s="7"/>
      <c r="DTL1194" s="7"/>
      <c r="DTM1194" s="7"/>
      <c r="DTN1194" s="7"/>
      <c r="DTO1194" s="7"/>
      <c r="DTP1194" s="7"/>
      <c r="DTQ1194" s="7"/>
      <c r="DTR1194" s="7"/>
      <c r="DTS1194" s="7"/>
      <c r="DTT1194" s="7"/>
      <c r="DTU1194" s="7"/>
      <c r="DTV1194" s="7"/>
      <c r="DTW1194" s="7"/>
      <c r="DTX1194" s="7"/>
      <c r="DTY1194" s="7"/>
      <c r="DTZ1194" s="7"/>
      <c r="DUA1194" s="7"/>
      <c r="DUB1194" s="7"/>
      <c r="DUC1194" s="7"/>
      <c r="DUD1194" s="7"/>
      <c r="DUE1194" s="7"/>
      <c r="DUF1194" s="7"/>
      <c r="DUG1194" s="7"/>
      <c r="DUH1194" s="7"/>
      <c r="DUI1194" s="7"/>
      <c r="DUJ1194" s="7"/>
      <c r="DUK1194" s="7"/>
      <c r="DUL1194" s="7"/>
      <c r="DUM1194" s="7"/>
      <c r="DUN1194" s="7"/>
      <c r="DUO1194" s="7"/>
      <c r="DUP1194" s="7"/>
      <c r="DUQ1194" s="7"/>
      <c r="DUR1194" s="7"/>
      <c r="DUS1194" s="7"/>
      <c r="DUT1194" s="7"/>
      <c r="DUU1194" s="7"/>
      <c r="DUV1194" s="7"/>
      <c r="DUW1194" s="7"/>
      <c r="DUX1194" s="7"/>
      <c r="DUY1194" s="7"/>
      <c r="DUZ1194" s="7"/>
      <c r="DVA1194" s="7"/>
      <c r="DVB1194" s="7"/>
      <c r="DVC1194" s="7"/>
      <c r="DVD1194" s="7"/>
      <c r="DVE1194" s="7"/>
      <c r="DVF1194" s="7"/>
      <c r="DVG1194" s="7"/>
      <c r="DVH1194" s="7"/>
      <c r="DVI1194" s="7"/>
      <c r="DVJ1194" s="7"/>
      <c r="DVK1194" s="7"/>
      <c r="DVL1194" s="7"/>
      <c r="DVM1194" s="7"/>
      <c r="DVN1194" s="7"/>
      <c r="DVO1194" s="7"/>
      <c r="DVP1194" s="7"/>
      <c r="DVQ1194" s="7"/>
      <c r="DVR1194" s="7"/>
      <c r="DVS1194" s="7"/>
      <c r="DVT1194" s="7"/>
      <c r="DVU1194" s="7"/>
      <c r="DVV1194" s="7"/>
      <c r="DVW1194" s="7"/>
      <c r="DVX1194" s="7"/>
      <c r="DVY1194" s="7"/>
      <c r="DVZ1194" s="7"/>
      <c r="DWA1194" s="7"/>
      <c r="DWB1194" s="7"/>
      <c r="DWC1194" s="7"/>
      <c r="DWD1194" s="7"/>
      <c r="DWE1194" s="7"/>
      <c r="DWF1194" s="7"/>
      <c r="DWG1194" s="7"/>
      <c r="DWH1194" s="7"/>
      <c r="DWI1194" s="7"/>
      <c r="DWJ1194" s="7"/>
      <c r="DWK1194" s="7"/>
      <c r="DWL1194" s="7"/>
      <c r="DWM1194" s="7"/>
      <c r="DWN1194" s="7"/>
      <c r="DWO1194" s="7"/>
      <c r="DWP1194" s="7"/>
      <c r="DWQ1194" s="7"/>
      <c r="DWR1194" s="7"/>
      <c r="DWS1194" s="7"/>
      <c r="DWT1194" s="7"/>
      <c r="DWU1194" s="7"/>
      <c r="DWV1194" s="7"/>
      <c r="DWW1194" s="7"/>
      <c r="DWX1194" s="7"/>
      <c r="DWY1194" s="7"/>
      <c r="DWZ1194" s="7"/>
      <c r="DXA1194" s="7"/>
      <c r="DXB1194" s="7"/>
      <c r="DXC1194" s="7"/>
      <c r="DXD1194" s="7"/>
      <c r="DXE1194" s="7"/>
      <c r="DXF1194" s="7"/>
      <c r="DXG1194" s="7"/>
      <c r="DXH1194" s="7"/>
      <c r="DXI1194" s="7"/>
      <c r="DXJ1194" s="7"/>
      <c r="DXK1194" s="7"/>
      <c r="DXL1194" s="7"/>
      <c r="DXM1194" s="7"/>
      <c r="DXN1194" s="7"/>
      <c r="DXO1194" s="7"/>
      <c r="DXP1194" s="7"/>
      <c r="DXQ1194" s="7"/>
      <c r="DXR1194" s="7"/>
      <c r="DXS1194" s="7"/>
      <c r="DXT1194" s="7"/>
      <c r="DXU1194" s="7"/>
      <c r="DXV1194" s="7"/>
      <c r="DXW1194" s="7"/>
      <c r="DXX1194" s="7"/>
      <c r="DXY1194" s="7"/>
      <c r="DXZ1194" s="7"/>
      <c r="DYA1194" s="7"/>
      <c r="DYB1194" s="7"/>
      <c r="DYC1194" s="7"/>
      <c r="DYD1194" s="7"/>
      <c r="DYE1194" s="7"/>
      <c r="DYF1194" s="7"/>
      <c r="DYG1194" s="7"/>
      <c r="DYH1194" s="7"/>
      <c r="DYI1194" s="7"/>
      <c r="DYJ1194" s="7"/>
      <c r="DYK1194" s="7"/>
      <c r="DYL1194" s="7"/>
      <c r="DYM1194" s="7"/>
      <c r="DYN1194" s="7"/>
      <c r="DYO1194" s="7"/>
      <c r="DYP1194" s="7"/>
      <c r="DYQ1194" s="7"/>
      <c r="DYR1194" s="7"/>
      <c r="DYS1194" s="7"/>
      <c r="DYT1194" s="7"/>
      <c r="DYU1194" s="7"/>
      <c r="DYV1194" s="7"/>
      <c r="DYW1194" s="7"/>
      <c r="DYX1194" s="7"/>
      <c r="DYY1194" s="7"/>
      <c r="DYZ1194" s="7"/>
      <c r="DZA1194" s="7"/>
      <c r="DZB1194" s="7"/>
      <c r="DZC1194" s="7"/>
      <c r="DZD1194" s="7"/>
      <c r="DZE1194" s="7"/>
      <c r="DZF1194" s="7"/>
      <c r="DZG1194" s="7"/>
      <c r="DZH1194" s="7"/>
      <c r="DZI1194" s="7"/>
      <c r="DZJ1194" s="7"/>
      <c r="DZK1194" s="7"/>
      <c r="DZL1194" s="7"/>
      <c r="DZM1194" s="7"/>
      <c r="DZN1194" s="7"/>
      <c r="DZO1194" s="7"/>
      <c r="DZP1194" s="7"/>
      <c r="DZQ1194" s="7"/>
      <c r="DZR1194" s="7"/>
      <c r="DZS1194" s="7"/>
      <c r="DZT1194" s="7"/>
      <c r="DZU1194" s="7"/>
      <c r="DZV1194" s="7"/>
      <c r="DZW1194" s="7"/>
      <c r="DZX1194" s="7"/>
      <c r="DZY1194" s="7"/>
      <c r="DZZ1194" s="7"/>
      <c r="EAA1194" s="7"/>
      <c r="EAB1194" s="7"/>
      <c r="EAC1194" s="7"/>
      <c r="EAD1194" s="7"/>
      <c r="EAE1194" s="7"/>
      <c r="EAF1194" s="7"/>
      <c r="EAG1194" s="7"/>
      <c r="EAH1194" s="7"/>
      <c r="EAI1194" s="7"/>
      <c r="EAJ1194" s="7"/>
      <c r="EAK1194" s="7"/>
      <c r="EAL1194" s="7"/>
      <c r="EAM1194" s="7"/>
      <c r="EAN1194" s="7"/>
      <c r="EAO1194" s="7"/>
      <c r="EAP1194" s="7"/>
      <c r="EAQ1194" s="7"/>
      <c r="EAR1194" s="7"/>
      <c r="EAS1194" s="7"/>
      <c r="EAT1194" s="7"/>
      <c r="EAU1194" s="7"/>
      <c r="EAV1194" s="7"/>
      <c r="EAW1194" s="7"/>
      <c r="EAX1194" s="7"/>
      <c r="EAY1194" s="7"/>
      <c r="EAZ1194" s="7"/>
      <c r="EBA1194" s="7"/>
      <c r="EBB1194" s="7"/>
      <c r="EBC1194" s="7"/>
      <c r="EBD1194" s="7"/>
      <c r="EBE1194" s="7"/>
      <c r="EBF1194" s="7"/>
      <c r="EBG1194" s="7"/>
      <c r="EBH1194" s="7"/>
      <c r="EBI1194" s="7"/>
      <c r="EBJ1194" s="7"/>
      <c r="EBK1194" s="7"/>
      <c r="EBL1194" s="7"/>
      <c r="EBM1194" s="7"/>
      <c r="EBN1194" s="7"/>
      <c r="EBO1194" s="7"/>
      <c r="EBP1194" s="7"/>
      <c r="EBQ1194" s="7"/>
      <c r="EBR1194" s="7"/>
      <c r="EBS1194" s="7"/>
      <c r="EBT1194" s="7"/>
      <c r="EBU1194" s="7"/>
      <c r="EBV1194" s="7"/>
      <c r="EBW1194" s="7"/>
      <c r="EBX1194" s="7"/>
      <c r="EBY1194" s="7"/>
      <c r="EBZ1194" s="7"/>
      <c r="ECA1194" s="7"/>
      <c r="ECB1194" s="7"/>
      <c r="ECC1194" s="7"/>
      <c r="ECD1194" s="7"/>
      <c r="ECE1194" s="7"/>
      <c r="ECF1194" s="7"/>
      <c r="ECG1194" s="7"/>
      <c r="ECH1194" s="7"/>
      <c r="ECI1194" s="7"/>
      <c r="ECJ1194" s="7"/>
      <c r="ECK1194" s="7"/>
      <c r="ECL1194" s="7"/>
      <c r="ECM1194" s="7"/>
      <c r="ECN1194" s="7"/>
      <c r="ECO1194" s="7"/>
      <c r="ECP1194" s="7"/>
      <c r="ECQ1194" s="7"/>
      <c r="ECR1194" s="7"/>
      <c r="ECS1194" s="7"/>
      <c r="ECT1194" s="7"/>
      <c r="ECU1194" s="7"/>
      <c r="ECV1194" s="7"/>
      <c r="ECW1194" s="7"/>
      <c r="ECX1194" s="7"/>
      <c r="ECY1194" s="7"/>
      <c r="ECZ1194" s="7"/>
      <c r="EDA1194" s="7"/>
      <c r="EDB1194" s="7"/>
      <c r="EDC1194" s="7"/>
      <c r="EDD1194" s="7"/>
      <c r="EDE1194" s="7"/>
      <c r="EDF1194" s="7"/>
      <c r="EDG1194" s="7"/>
      <c r="EDH1194" s="7"/>
      <c r="EDI1194" s="7"/>
      <c r="EDJ1194" s="7"/>
      <c r="EDK1194" s="7"/>
      <c r="EDL1194" s="7"/>
      <c r="EDM1194" s="7"/>
      <c r="EDN1194" s="7"/>
      <c r="EDO1194" s="7"/>
      <c r="EDP1194" s="7"/>
      <c r="EDQ1194" s="7"/>
      <c r="EDR1194" s="7"/>
      <c r="EDS1194" s="7"/>
      <c r="EDT1194" s="7"/>
      <c r="EDU1194" s="7"/>
      <c r="EDV1194" s="7"/>
      <c r="EDW1194" s="7"/>
      <c r="EDX1194" s="7"/>
      <c r="EDY1194" s="7"/>
      <c r="EDZ1194" s="7"/>
      <c r="EEA1194" s="7"/>
      <c r="EEB1194" s="7"/>
      <c r="EEC1194" s="7"/>
      <c r="EED1194" s="7"/>
      <c r="EEE1194" s="7"/>
      <c r="EEF1194" s="7"/>
      <c r="EEG1194" s="7"/>
      <c r="EEH1194" s="7"/>
      <c r="EEI1194" s="7"/>
      <c r="EEJ1194" s="7"/>
      <c r="EEK1194" s="7"/>
      <c r="EEL1194" s="7"/>
      <c r="EEM1194" s="7"/>
      <c r="EEN1194" s="7"/>
      <c r="EEO1194" s="7"/>
      <c r="EEP1194" s="7"/>
      <c r="EEQ1194" s="7"/>
      <c r="EER1194" s="7"/>
      <c r="EES1194" s="7"/>
      <c r="EET1194" s="7"/>
      <c r="EEU1194" s="7"/>
      <c r="EEV1194" s="7"/>
      <c r="EEW1194" s="7"/>
      <c r="EEX1194" s="7"/>
      <c r="EEY1194" s="7"/>
      <c r="EEZ1194" s="7"/>
      <c r="EFA1194" s="7"/>
      <c r="EFB1194" s="7"/>
      <c r="EFC1194" s="7"/>
      <c r="EFD1194" s="7"/>
      <c r="EFE1194" s="7"/>
      <c r="EFF1194" s="7"/>
      <c r="EFG1194" s="7"/>
      <c r="EFH1194" s="7"/>
      <c r="EFI1194" s="7"/>
      <c r="EFJ1194" s="7"/>
      <c r="EFK1194" s="7"/>
      <c r="EFL1194" s="7"/>
      <c r="EFM1194" s="7"/>
      <c r="EFN1194" s="7"/>
      <c r="EFO1194" s="7"/>
      <c r="EFP1194" s="7"/>
      <c r="EFQ1194" s="7"/>
      <c r="EFR1194" s="7"/>
      <c r="EFS1194" s="7"/>
      <c r="EFT1194" s="7"/>
      <c r="EFU1194" s="7"/>
      <c r="EFV1194" s="7"/>
      <c r="EFW1194" s="7"/>
      <c r="EFX1194" s="7"/>
      <c r="EFY1194" s="7"/>
      <c r="EFZ1194" s="7"/>
      <c r="EGA1194" s="7"/>
      <c r="EGB1194" s="7"/>
      <c r="EGC1194" s="7"/>
      <c r="EGD1194" s="7"/>
      <c r="EGE1194" s="7"/>
      <c r="EGF1194" s="7"/>
      <c r="EGG1194" s="7"/>
      <c r="EGH1194" s="7"/>
      <c r="EGI1194" s="7"/>
      <c r="EGJ1194" s="7"/>
      <c r="EGK1194" s="7"/>
      <c r="EGL1194" s="7"/>
      <c r="EGM1194" s="7"/>
      <c r="EGN1194" s="7"/>
      <c r="EGO1194" s="7"/>
      <c r="EGP1194" s="7"/>
      <c r="EGQ1194" s="7"/>
      <c r="EGR1194" s="7"/>
      <c r="EGS1194" s="7"/>
      <c r="EGT1194" s="7"/>
      <c r="EGU1194" s="7"/>
      <c r="EGV1194" s="7"/>
      <c r="EGW1194" s="7"/>
      <c r="EGX1194" s="7"/>
      <c r="EGY1194" s="7"/>
      <c r="EGZ1194" s="7"/>
      <c r="EHA1194" s="7"/>
      <c r="EHB1194" s="7"/>
      <c r="EHC1194" s="7"/>
      <c r="EHD1194" s="7"/>
      <c r="EHE1194" s="7"/>
      <c r="EHF1194" s="7"/>
      <c r="EHG1194" s="7"/>
      <c r="EHH1194" s="7"/>
      <c r="EHI1194" s="7"/>
      <c r="EHJ1194" s="7"/>
      <c r="EHK1194" s="7"/>
      <c r="EHL1194" s="7"/>
      <c r="EHM1194" s="7"/>
      <c r="EHN1194" s="7"/>
      <c r="EHO1194" s="7"/>
      <c r="EHP1194" s="7"/>
      <c r="EHQ1194" s="7"/>
      <c r="EHR1194" s="7"/>
      <c r="EHS1194" s="7"/>
      <c r="EHT1194" s="7"/>
      <c r="EHU1194" s="7"/>
      <c r="EHV1194" s="7"/>
      <c r="EHW1194" s="7"/>
      <c r="EHX1194" s="7"/>
      <c r="EHY1194" s="7"/>
      <c r="EHZ1194" s="7"/>
      <c r="EIA1194" s="7"/>
      <c r="EIB1194" s="7"/>
      <c r="EIC1194" s="7"/>
      <c r="EID1194" s="7"/>
      <c r="EIE1194" s="7"/>
      <c r="EIF1194" s="7"/>
      <c r="EIG1194" s="7"/>
      <c r="EIH1194" s="7"/>
      <c r="EII1194" s="7"/>
      <c r="EIJ1194" s="7"/>
      <c r="EIK1194" s="7"/>
      <c r="EIL1194" s="7"/>
      <c r="EIM1194" s="7"/>
      <c r="EIN1194" s="7"/>
      <c r="EIO1194" s="7"/>
      <c r="EIP1194" s="7"/>
      <c r="EIQ1194" s="7"/>
      <c r="EIR1194" s="7"/>
      <c r="EIS1194" s="7"/>
      <c r="EIT1194" s="7"/>
      <c r="EIU1194" s="7"/>
      <c r="EIV1194" s="7"/>
      <c r="EIW1194" s="7"/>
      <c r="EIX1194" s="7"/>
      <c r="EIY1194" s="7"/>
      <c r="EIZ1194" s="7"/>
      <c r="EJA1194" s="7"/>
      <c r="EJB1194" s="7"/>
      <c r="EJC1194" s="7"/>
      <c r="EJD1194" s="7"/>
      <c r="EJE1194" s="7"/>
      <c r="EJF1194" s="7"/>
      <c r="EJG1194" s="7"/>
      <c r="EJH1194" s="7"/>
      <c r="EJI1194" s="7"/>
      <c r="EJJ1194" s="7"/>
      <c r="EJK1194" s="7"/>
      <c r="EJL1194" s="7"/>
      <c r="EJM1194" s="7"/>
      <c r="EJN1194" s="7"/>
      <c r="EJO1194" s="7"/>
      <c r="EJP1194" s="7"/>
      <c r="EJQ1194" s="7"/>
      <c r="EJR1194" s="7"/>
      <c r="EJS1194" s="7"/>
      <c r="EJT1194" s="7"/>
      <c r="EJU1194" s="7"/>
      <c r="EJV1194" s="7"/>
      <c r="EJW1194" s="7"/>
      <c r="EJX1194" s="7"/>
      <c r="EJY1194" s="7"/>
      <c r="EJZ1194" s="7"/>
      <c r="EKA1194" s="7"/>
      <c r="EKB1194" s="7"/>
      <c r="EKC1194" s="7"/>
      <c r="EKD1194" s="7"/>
      <c r="EKE1194" s="7"/>
      <c r="EKF1194" s="7"/>
      <c r="EKG1194" s="7"/>
      <c r="EKH1194" s="7"/>
      <c r="EKI1194" s="7"/>
      <c r="EKJ1194" s="7"/>
      <c r="EKK1194" s="7"/>
      <c r="EKL1194" s="7"/>
      <c r="EKM1194" s="7"/>
      <c r="EKN1194" s="7"/>
      <c r="EKO1194" s="7"/>
      <c r="EKP1194" s="7"/>
      <c r="EKQ1194" s="7"/>
      <c r="EKR1194" s="7"/>
      <c r="EKS1194" s="7"/>
      <c r="EKT1194" s="7"/>
      <c r="EKU1194" s="7"/>
      <c r="EKV1194" s="7"/>
      <c r="EKW1194" s="7"/>
      <c r="EKX1194" s="7"/>
      <c r="EKY1194" s="7"/>
      <c r="EKZ1194" s="7"/>
      <c r="ELA1194" s="7"/>
      <c r="ELB1194" s="7"/>
      <c r="ELC1194" s="7"/>
      <c r="ELD1194" s="7"/>
      <c r="ELE1194" s="7"/>
      <c r="ELF1194" s="7"/>
      <c r="ELG1194" s="7"/>
      <c r="ELH1194" s="7"/>
      <c r="ELI1194" s="7"/>
      <c r="ELJ1194" s="7"/>
      <c r="ELK1194" s="7"/>
      <c r="ELL1194" s="7"/>
      <c r="ELM1194" s="7"/>
      <c r="ELN1194" s="7"/>
      <c r="ELO1194" s="7"/>
      <c r="ELP1194" s="7"/>
      <c r="ELQ1194" s="7"/>
      <c r="ELR1194" s="7"/>
      <c r="ELS1194" s="7"/>
      <c r="ELT1194" s="7"/>
      <c r="ELU1194" s="7"/>
      <c r="ELV1194" s="7"/>
      <c r="ELW1194" s="7"/>
      <c r="ELX1194" s="7"/>
      <c r="ELY1194" s="7"/>
      <c r="ELZ1194" s="7"/>
      <c r="EMA1194" s="7"/>
      <c r="EMB1194" s="7"/>
      <c r="EMC1194" s="7"/>
      <c r="EMD1194" s="7"/>
      <c r="EME1194" s="7"/>
      <c r="EMF1194" s="7"/>
      <c r="EMG1194" s="7"/>
      <c r="EMH1194" s="7"/>
      <c r="EMI1194" s="7"/>
      <c r="EMJ1194" s="7"/>
      <c r="EMK1194" s="7"/>
      <c r="EML1194" s="7"/>
      <c r="EMM1194" s="7"/>
      <c r="EMN1194" s="7"/>
      <c r="EMO1194" s="7"/>
      <c r="EMP1194" s="7"/>
      <c r="EMQ1194" s="7"/>
      <c r="EMR1194" s="7"/>
      <c r="EMS1194" s="7"/>
      <c r="EMT1194" s="7"/>
      <c r="EMU1194" s="7"/>
      <c r="EMV1194" s="7"/>
      <c r="EMW1194" s="7"/>
      <c r="EMX1194" s="7"/>
      <c r="EMY1194" s="7"/>
      <c r="EMZ1194" s="7"/>
      <c r="ENA1194" s="7"/>
      <c r="ENB1194" s="7"/>
      <c r="ENC1194" s="7"/>
      <c r="END1194" s="7"/>
      <c r="ENE1194" s="7"/>
      <c r="ENF1194" s="7"/>
      <c r="ENG1194" s="7"/>
      <c r="ENH1194" s="7"/>
      <c r="ENI1194" s="7"/>
      <c r="ENJ1194" s="7"/>
      <c r="ENK1194" s="7"/>
      <c r="ENL1194" s="7"/>
      <c r="ENM1194" s="7"/>
      <c r="ENN1194" s="7"/>
      <c r="ENO1194" s="7"/>
      <c r="ENP1194" s="7"/>
      <c r="ENQ1194" s="7"/>
      <c r="ENR1194" s="7"/>
      <c r="ENS1194" s="7"/>
      <c r="ENT1194" s="7"/>
      <c r="ENU1194" s="7"/>
      <c r="ENV1194" s="7"/>
      <c r="ENW1194" s="7"/>
      <c r="ENX1194" s="7"/>
      <c r="ENY1194" s="7"/>
      <c r="ENZ1194" s="7"/>
      <c r="EOA1194" s="7"/>
      <c r="EOB1194" s="7"/>
      <c r="EOC1194" s="7"/>
      <c r="EOD1194" s="7"/>
      <c r="EOE1194" s="7"/>
      <c r="EOF1194" s="7"/>
      <c r="EOG1194" s="7"/>
      <c r="EOH1194" s="7"/>
      <c r="EOI1194" s="7"/>
      <c r="EOJ1194" s="7"/>
      <c r="EOK1194" s="7"/>
      <c r="EOL1194" s="7"/>
      <c r="EOM1194" s="7"/>
      <c r="EON1194" s="7"/>
      <c r="EOO1194" s="7"/>
      <c r="EOP1194" s="7"/>
      <c r="EOQ1194" s="7"/>
      <c r="EOR1194" s="7"/>
      <c r="EOS1194" s="7"/>
      <c r="EOT1194" s="7"/>
      <c r="EOU1194" s="7"/>
      <c r="EOV1194" s="7"/>
      <c r="EOW1194" s="7"/>
      <c r="EOX1194" s="7"/>
      <c r="EOY1194" s="7"/>
      <c r="EOZ1194" s="7"/>
      <c r="EPA1194" s="7"/>
      <c r="EPB1194" s="7"/>
      <c r="EPC1194" s="7"/>
      <c r="EPD1194" s="7"/>
      <c r="EPE1194" s="7"/>
      <c r="EPF1194" s="7"/>
      <c r="EPG1194" s="7"/>
      <c r="EPH1194" s="7"/>
      <c r="EPI1194" s="7"/>
      <c r="EPJ1194" s="7"/>
      <c r="EPK1194" s="7"/>
      <c r="EPL1194" s="7"/>
      <c r="EPM1194" s="7"/>
      <c r="EPN1194" s="7"/>
      <c r="EPO1194" s="7"/>
      <c r="EPP1194" s="7"/>
      <c r="EPQ1194" s="7"/>
      <c r="EPR1194" s="7"/>
      <c r="EPS1194" s="7"/>
      <c r="EPT1194" s="7"/>
      <c r="EPU1194" s="7"/>
      <c r="EPV1194" s="7"/>
      <c r="EPW1194" s="7"/>
      <c r="EPX1194" s="7"/>
      <c r="EPY1194" s="7"/>
      <c r="EPZ1194" s="7"/>
      <c r="EQA1194" s="7"/>
      <c r="EQB1194" s="7"/>
      <c r="EQC1194" s="7"/>
      <c r="EQD1194" s="7"/>
      <c r="EQE1194" s="7"/>
      <c r="EQF1194" s="7"/>
      <c r="EQG1194" s="7"/>
      <c r="EQH1194" s="7"/>
      <c r="EQI1194" s="7"/>
      <c r="EQJ1194" s="7"/>
      <c r="EQK1194" s="7"/>
      <c r="EQL1194" s="7"/>
      <c r="EQM1194" s="7"/>
      <c r="EQN1194" s="7"/>
      <c r="EQO1194" s="7"/>
      <c r="EQP1194" s="7"/>
      <c r="EQQ1194" s="7"/>
      <c r="EQR1194" s="7"/>
      <c r="EQS1194" s="7"/>
      <c r="EQT1194" s="7"/>
      <c r="EQU1194" s="7"/>
      <c r="EQV1194" s="7"/>
      <c r="EQW1194" s="7"/>
      <c r="EQX1194" s="7"/>
      <c r="EQY1194" s="7"/>
      <c r="EQZ1194" s="7"/>
      <c r="ERA1194" s="7"/>
      <c r="ERB1194" s="7"/>
      <c r="ERC1194" s="7"/>
      <c r="ERD1194" s="7"/>
      <c r="ERE1194" s="7"/>
      <c r="ERF1194" s="7"/>
      <c r="ERG1194" s="7"/>
      <c r="ERH1194" s="7"/>
      <c r="ERI1194" s="7"/>
      <c r="ERJ1194" s="7"/>
      <c r="ERK1194" s="7"/>
      <c r="ERL1194" s="7"/>
      <c r="ERM1194" s="7"/>
      <c r="ERN1194" s="7"/>
      <c r="ERO1194" s="7"/>
      <c r="ERP1194" s="7"/>
      <c r="ERQ1194" s="7"/>
      <c r="ERR1194" s="7"/>
      <c r="ERS1194" s="7"/>
      <c r="ERT1194" s="7"/>
      <c r="ERU1194" s="7"/>
      <c r="ERV1194" s="7"/>
      <c r="ERW1194" s="7"/>
      <c r="ERX1194" s="7"/>
      <c r="ERY1194" s="7"/>
      <c r="ERZ1194" s="7"/>
      <c r="ESA1194" s="7"/>
      <c r="ESB1194" s="7"/>
      <c r="ESC1194" s="7"/>
      <c r="ESD1194" s="7"/>
      <c r="ESE1194" s="7"/>
      <c r="ESF1194" s="7"/>
      <c r="ESG1194" s="7"/>
      <c r="ESH1194" s="7"/>
      <c r="ESI1194" s="7"/>
      <c r="ESJ1194" s="7"/>
      <c r="ESK1194" s="7"/>
      <c r="ESL1194" s="7"/>
      <c r="ESM1194" s="7"/>
      <c r="ESN1194" s="7"/>
      <c r="ESO1194" s="7"/>
      <c r="ESP1194" s="7"/>
      <c r="ESQ1194" s="7"/>
      <c r="ESR1194" s="7"/>
      <c r="ESS1194" s="7"/>
      <c r="EST1194" s="7"/>
      <c r="ESU1194" s="7"/>
      <c r="ESV1194" s="7"/>
      <c r="ESW1194" s="7"/>
      <c r="ESX1194" s="7"/>
      <c r="ESY1194" s="7"/>
      <c r="ESZ1194" s="7"/>
      <c r="ETA1194" s="7"/>
      <c r="ETB1194" s="7"/>
      <c r="ETC1194" s="7"/>
      <c r="ETD1194" s="7"/>
      <c r="ETE1194" s="7"/>
      <c r="ETF1194" s="7"/>
      <c r="ETG1194" s="7"/>
      <c r="ETH1194" s="7"/>
      <c r="ETI1194" s="7"/>
      <c r="ETJ1194" s="7"/>
      <c r="ETK1194" s="7"/>
      <c r="ETL1194" s="7"/>
      <c r="ETM1194" s="7"/>
      <c r="ETN1194" s="7"/>
      <c r="ETO1194" s="7"/>
      <c r="ETP1194" s="7"/>
      <c r="ETQ1194" s="7"/>
      <c r="ETR1194" s="7"/>
      <c r="ETS1194" s="7"/>
      <c r="ETT1194" s="7"/>
      <c r="ETU1194" s="7"/>
      <c r="ETV1194" s="7"/>
      <c r="ETW1194" s="7"/>
      <c r="ETX1194" s="7"/>
      <c r="ETY1194" s="7"/>
      <c r="ETZ1194" s="7"/>
      <c r="EUA1194" s="7"/>
      <c r="EUB1194" s="7"/>
      <c r="EUC1194" s="7"/>
      <c r="EUD1194" s="7"/>
      <c r="EUE1194" s="7"/>
      <c r="EUF1194" s="7"/>
      <c r="EUG1194" s="7"/>
      <c r="EUH1194" s="7"/>
      <c r="EUI1194" s="7"/>
      <c r="EUJ1194" s="7"/>
      <c r="EUK1194" s="7"/>
      <c r="EUL1194" s="7"/>
      <c r="EUM1194" s="7"/>
      <c r="EUN1194" s="7"/>
      <c r="EUO1194" s="7"/>
      <c r="EUP1194" s="7"/>
      <c r="EUQ1194" s="7"/>
      <c r="EUR1194" s="7"/>
      <c r="EUS1194" s="7"/>
      <c r="EUT1194" s="7"/>
      <c r="EUU1194" s="7"/>
      <c r="EUV1194" s="7"/>
      <c r="EUW1194" s="7"/>
      <c r="EUX1194" s="7"/>
      <c r="EUY1194" s="7"/>
      <c r="EUZ1194" s="7"/>
      <c r="EVA1194" s="7"/>
      <c r="EVB1194" s="7"/>
      <c r="EVC1194" s="7"/>
      <c r="EVD1194" s="7"/>
      <c r="EVE1194" s="7"/>
      <c r="EVF1194" s="7"/>
      <c r="EVG1194" s="7"/>
      <c r="EVH1194" s="7"/>
      <c r="EVI1194" s="7"/>
      <c r="EVJ1194" s="7"/>
      <c r="EVK1194" s="7"/>
      <c r="EVL1194" s="7"/>
      <c r="EVM1194" s="7"/>
      <c r="EVN1194" s="7"/>
      <c r="EVO1194" s="7"/>
      <c r="EVP1194" s="7"/>
      <c r="EVQ1194" s="7"/>
      <c r="EVR1194" s="7"/>
      <c r="EVS1194" s="7"/>
      <c r="EVT1194" s="7"/>
      <c r="EVU1194" s="7"/>
      <c r="EVV1194" s="7"/>
      <c r="EVW1194" s="7"/>
      <c r="EVX1194" s="7"/>
      <c r="EVY1194" s="7"/>
      <c r="EVZ1194" s="7"/>
      <c r="EWA1194" s="7"/>
      <c r="EWB1194" s="7"/>
      <c r="EWC1194" s="7"/>
      <c r="EWD1194" s="7"/>
      <c r="EWE1194" s="7"/>
      <c r="EWF1194" s="7"/>
      <c r="EWG1194" s="7"/>
      <c r="EWH1194" s="7"/>
      <c r="EWI1194" s="7"/>
      <c r="EWJ1194" s="7"/>
      <c r="EWK1194" s="7"/>
      <c r="EWL1194" s="7"/>
      <c r="EWM1194" s="7"/>
      <c r="EWN1194" s="7"/>
      <c r="EWO1194" s="7"/>
      <c r="EWP1194" s="7"/>
      <c r="EWQ1194" s="7"/>
      <c r="EWR1194" s="7"/>
      <c r="EWS1194" s="7"/>
      <c r="EWT1194" s="7"/>
      <c r="EWU1194" s="7"/>
      <c r="EWV1194" s="7"/>
      <c r="EWW1194" s="7"/>
      <c r="EWX1194" s="7"/>
      <c r="EWY1194" s="7"/>
      <c r="EWZ1194" s="7"/>
      <c r="EXA1194" s="7"/>
      <c r="EXB1194" s="7"/>
      <c r="EXC1194" s="7"/>
      <c r="EXD1194" s="7"/>
      <c r="EXE1194" s="7"/>
      <c r="EXF1194" s="7"/>
      <c r="EXG1194" s="7"/>
      <c r="EXH1194" s="7"/>
      <c r="EXI1194" s="7"/>
      <c r="EXJ1194" s="7"/>
      <c r="EXK1194" s="7"/>
      <c r="EXL1194" s="7"/>
      <c r="EXM1194" s="7"/>
      <c r="EXN1194" s="7"/>
      <c r="EXO1194" s="7"/>
      <c r="EXP1194" s="7"/>
      <c r="EXQ1194" s="7"/>
      <c r="EXR1194" s="7"/>
      <c r="EXS1194" s="7"/>
      <c r="EXT1194" s="7"/>
      <c r="EXU1194" s="7"/>
      <c r="EXV1194" s="7"/>
      <c r="EXW1194" s="7"/>
      <c r="EXX1194" s="7"/>
      <c r="EXY1194" s="7"/>
      <c r="EXZ1194" s="7"/>
      <c r="EYA1194" s="7"/>
      <c r="EYB1194" s="7"/>
      <c r="EYC1194" s="7"/>
      <c r="EYD1194" s="7"/>
      <c r="EYE1194" s="7"/>
      <c r="EYF1194" s="7"/>
      <c r="EYG1194" s="7"/>
      <c r="EYH1194" s="7"/>
      <c r="EYI1194" s="7"/>
      <c r="EYJ1194" s="7"/>
      <c r="EYK1194" s="7"/>
      <c r="EYL1194" s="7"/>
      <c r="EYM1194" s="7"/>
      <c r="EYN1194" s="7"/>
      <c r="EYO1194" s="7"/>
      <c r="EYP1194" s="7"/>
      <c r="EYQ1194" s="7"/>
      <c r="EYR1194" s="7"/>
      <c r="EYS1194" s="7"/>
      <c r="EYT1194" s="7"/>
      <c r="EYU1194" s="7"/>
      <c r="EYV1194" s="7"/>
      <c r="EYW1194" s="7"/>
      <c r="EYX1194" s="7"/>
      <c r="EYY1194" s="7"/>
      <c r="EYZ1194" s="7"/>
      <c r="EZA1194" s="7"/>
      <c r="EZB1194" s="7"/>
      <c r="EZC1194" s="7"/>
      <c r="EZD1194" s="7"/>
      <c r="EZE1194" s="7"/>
      <c r="EZF1194" s="7"/>
      <c r="EZG1194" s="7"/>
      <c r="EZH1194" s="7"/>
      <c r="EZI1194" s="7"/>
      <c r="EZJ1194" s="7"/>
      <c r="EZK1194" s="7"/>
      <c r="EZL1194" s="7"/>
      <c r="EZM1194" s="7"/>
      <c r="EZN1194" s="7"/>
      <c r="EZO1194" s="7"/>
      <c r="EZP1194" s="7"/>
      <c r="EZQ1194" s="7"/>
      <c r="EZR1194" s="7"/>
      <c r="EZS1194" s="7"/>
      <c r="EZT1194" s="7"/>
      <c r="EZU1194" s="7"/>
      <c r="EZV1194" s="7"/>
      <c r="EZW1194" s="7"/>
      <c r="EZX1194" s="7"/>
      <c r="EZY1194" s="7"/>
      <c r="EZZ1194" s="7"/>
      <c r="FAA1194" s="7"/>
      <c r="FAB1194" s="7"/>
      <c r="FAC1194" s="7"/>
      <c r="FAD1194" s="7"/>
      <c r="FAE1194" s="7"/>
      <c r="FAF1194" s="7"/>
      <c r="FAG1194" s="7"/>
      <c r="FAH1194" s="7"/>
      <c r="FAI1194" s="7"/>
      <c r="FAJ1194" s="7"/>
      <c r="FAK1194" s="7"/>
      <c r="FAL1194" s="7"/>
      <c r="FAM1194" s="7"/>
      <c r="FAN1194" s="7"/>
      <c r="FAO1194" s="7"/>
      <c r="FAP1194" s="7"/>
      <c r="FAQ1194" s="7"/>
      <c r="FAR1194" s="7"/>
      <c r="FAS1194" s="7"/>
      <c r="FAT1194" s="7"/>
      <c r="FAU1194" s="7"/>
      <c r="FAV1194" s="7"/>
      <c r="FAW1194" s="7"/>
      <c r="FAX1194" s="7"/>
      <c r="FAY1194" s="7"/>
      <c r="FAZ1194" s="7"/>
      <c r="FBA1194" s="7"/>
      <c r="FBB1194" s="7"/>
      <c r="FBC1194" s="7"/>
      <c r="FBD1194" s="7"/>
      <c r="FBE1194" s="7"/>
      <c r="FBF1194" s="7"/>
      <c r="FBG1194" s="7"/>
      <c r="FBH1194" s="7"/>
      <c r="FBI1194" s="7"/>
      <c r="FBJ1194" s="7"/>
      <c r="FBK1194" s="7"/>
      <c r="FBL1194" s="7"/>
      <c r="FBM1194" s="7"/>
      <c r="FBN1194" s="7"/>
      <c r="FBO1194" s="7"/>
      <c r="FBP1194" s="7"/>
      <c r="FBQ1194" s="7"/>
      <c r="FBR1194" s="7"/>
      <c r="FBS1194" s="7"/>
      <c r="FBT1194" s="7"/>
      <c r="FBU1194" s="7"/>
      <c r="FBV1194" s="7"/>
      <c r="FBW1194" s="7"/>
      <c r="FBX1194" s="7"/>
      <c r="FBY1194" s="7"/>
      <c r="FBZ1194" s="7"/>
      <c r="FCA1194" s="7"/>
      <c r="FCB1194" s="7"/>
      <c r="FCC1194" s="7"/>
      <c r="FCD1194" s="7"/>
      <c r="FCE1194" s="7"/>
      <c r="FCF1194" s="7"/>
      <c r="FCG1194" s="7"/>
      <c r="FCH1194" s="7"/>
      <c r="FCI1194" s="7"/>
      <c r="FCJ1194" s="7"/>
      <c r="FCK1194" s="7"/>
      <c r="FCL1194" s="7"/>
      <c r="FCM1194" s="7"/>
      <c r="FCN1194" s="7"/>
      <c r="FCO1194" s="7"/>
      <c r="FCP1194" s="7"/>
      <c r="FCQ1194" s="7"/>
      <c r="FCR1194" s="7"/>
      <c r="FCS1194" s="7"/>
      <c r="FCT1194" s="7"/>
      <c r="FCU1194" s="7"/>
      <c r="FCV1194" s="7"/>
      <c r="FCW1194" s="7"/>
      <c r="FCX1194" s="7"/>
      <c r="FCY1194" s="7"/>
      <c r="FCZ1194" s="7"/>
      <c r="FDA1194" s="7"/>
      <c r="FDB1194" s="7"/>
      <c r="FDC1194" s="7"/>
      <c r="FDD1194" s="7"/>
      <c r="FDE1194" s="7"/>
      <c r="FDF1194" s="7"/>
      <c r="FDG1194" s="7"/>
      <c r="FDH1194" s="7"/>
      <c r="FDI1194" s="7"/>
      <c r="FDJ1194" s="7"/>
      <c r="FDK1194" s="7"/>
      <c r="FDL1194" s="7"/>
      <c r="FDM1194" s="7"/>
      <c r="FDN1194" s="7"/>
      <c r="FDO1194" s="7"/>
      <c r="FDP1194" s="7"/>
      <c r="FDQ1194" s="7"/>
      <c r="FDR1194" s="7"/>
      <c r="FDS1194" s="7"/>
      <c r="FDT1194" s="7"/>
      <c r="FDU1194" s="7"/>
      <c r="FDV1194" s="7"/>
      <c r="FDW1194" s="7"/>
      <c r="FDX1194" s="7"/>
      <c r="FDY1194" s="7"/>
      <c r="FDZ1194" s="7"/>
      <c r="FEA1194" s="7"/>
      <c r="FEB1194" s="7"/>
      <c r="FEC1194" s="7"/>
      <c r="FED1194" s="7"/>
      <c r="FEE1194" s="7"/>
      <c r="FEF1194" s="7"/>
      <c r="FEG1194" s="7"/>
      <c r="FEH1194" s="7"/>
      <c r="FEI1194" s="7"/>
      <c r="FEJ1194" s="7"/>
      <c r="FEK1194" s="7"/>
      <c r="FEL1194" s="7"/>
      <c r="FEM1194" s="7"/>
      <c r="FEN1194" s="7"/>
      <c r="FEO1194" s="7"/>
      <c r="FEP1194" s="7"/>
      <c r="FEQ1194" s="7"/>
      <c r="FER1194" s="7"/>
      <c r="FES1194" s="7"/>
      <c r="FET1194" s="7"/>
      <c r="FEU1194" s="7"/>
      <c r="FEV1194" s="7"/>
      <c r="FEW1194" s="7"/>
      <c r="FEX1194" s="7"/>
      <c r="FEY1194" s="7"/>
      <c r="FEZ1194" s="7"/>
      <c r="FFA1194" s="7"/>
      <c r="FFB1194" s="7"/>
      <c r="FFC1194" s="7"/>
      <c r="FFD1194" s="7"/>
      <c r="FFE1194" s="7"/>
      <c r="FFF1194" s="7"/>
      <c r="FFG1194" s="7"/>
      <c r="FFH1194" s="7"/>
      <c r="FFI1194" s="7"/>
      <c r="FFJ1194" s="7"/>
      <c r="FFK1194" s="7"/>
      <c r="FFL1194" s="7"/>
      <c r="FFM1194" s="7"/>
      <c r="FFN1194" s="7"/>
      <c r="FFO1194" s="7"/>
      <c r="FFP1194" s="7"/>
      <c r="FFQ1194" s="7"/>
      <c r="FFR1194" s="7"/>
      <c r="FFS1194" s="7"/>
      <c r="FFT1194" s="7"/>
      <c r="FFU1194" s="7"/>
      <c r="FFV1194" s="7"/>
      <c r="FFW1194" s="7"/>
      <c r="FFX1194" s="7"/>
      <c r="FFY1194" s="7"/>
      <c r="FFZ1194" s="7"/>
      <c r="FGA1194" s="7"/>
      <c r="FGB1194" s="7"/>
      <c r="FGC1194" s="7"/>
      <c r="FGD1194" s="7"/>
      <c r="FGE1194" s="7"/>
      <c r="FGF1194" s="7"/>
      <c r="FGG1194" s="7"/>
      <c r="FGH1194" s="7"/>
      <c r="FGI1194" s="7"/>
      <c r="FGJ1194" s="7"/>
      <c r="FGK1194" s="7"/>
      <c r="FGL1194" s="7"/>
      <c r="FGM1194" s="7"/>
      <c r="FGN1194" s="7"/>
      <c r="FGO1194" s="7"/>
      <c r="FGP1194" s="7"/>
      <c r="FGQ1194" s="7"/>
      <c r="FGR1194" s="7"/>
      <c r="FGS1194" s="7"/>
      <c r="FGT1194" s="7"/>
      <c r="FGU1194" s="7"/>
      <c r="FGV1194" s="7"/>
      <c r="FGW1194" s="7"/>
      <c r="FGX1194" s="7"/>
      <c r="FGY1194" s="7"/>
      <c r="FGZ1194" s="7"/>
      <c r="FHA1194" s="7"/>
      <c r="FHB1194" s="7"/>
      <c r="FHC1194" s="7"/>
      <c r="FHD1194" s="7"/>
      <c r="FHE1194" s="7"/>
      <c r="FHF1194" s="7"/>
      <c r="FHG1194" s="7"/>
      <c r="FHH1194" s="7"/>
      <c r="FHI1194" s="7"/>
      <c r="FHJ1194" s="7"/>
      <c r="FHK1194" s="7"/>
      <c r="FHL1194" s="7"/>
      <c r="FHM1194" s="7"/>
      <c r="FHN1194" s="7"/>
      <c r="FHO1194" s="7"/>
      <c r="FHP1194" s="7"/>
      <c r="FHQ1194" s="7"/>
      <c r="FHR1194" s="7"/>
      <c r="FHS1194" s="7"/>
      <c r="FHT1194" s="7"/>
      <c r="FHU1194" s="7"/>
      <c r="FHV1194" s="7"/>
      <c r="FHW1194" s="7"/>
      <c r="FHX1194" s="7"/>
      <c r="FHY1194" s="7"/>
      <c r="FHZ1194" s="7"/>
      <c r="FIA1194" s="7"/>
      <c r="FIB1194" s="7"/>
      <c r="FIC1194" s="7"/>
      <c r="FID1194" s="7"/>
      <c r="FIE1194" s="7"/>
      <c r="FIF1194" s="7"/>
      <c r="FIG1194" s="7"/>
      <c r="FIH1194" s="7"/>
      <c r="FII1194" s="7"/>
      <c r="FIJ1194" s="7"/>
      <c r="FIK1194" s="7"/>
      <c r="FIL1194" s="7"/>
      <c r="FIM1194" s="7"/>
      <c r="FIN1194" s="7"/>
      <c r="FIO1194" s="7"/>
      <c r="FIP1194" s="7"/>
      <c r="FIQ1194" s="7"/>
      <c r="FIR1194" s="7"/>
      <c r="FIS1194" s="7"/>
      <c r="FIT1194" s="7"/>
      <c r="FIU1194" s="7"/>
      <c r="FIV1194" s="7"/>
      <c r="FIW1194" s="7"/>
      <c r="FIX1194" s="7"/>
      <c r="FIY1194" s="7"/>
      <c r="FIZ1194" s="7"/>
      <c r="FJA1194" s="7"/>
      <c r="FJB1194" s="7"/>
      <c r="FJC1194" s="7"/>
      <c r="FJD1194" s="7"/>
      <c r="FJE1194" s="7"/>
      <c r="FJF1194" s="7"/>
      <c r="FJG1194" s="7"/>
      <c r="FJH1194" s="7"/>
      <c r="FJI1194" s="7"/>
      <c r="FJJ1194" s="7"/>
      <c r="FJK1194" s="7"/>
      <c r="FJL1194" s="7"/>
      <c r="FJM1194" s="7"/>
      <c r="FJN1194" s="7"/>
      <c r="FJO1194" s="7"/>
      <c r="FJP1194" s="7"/>
      <c r="FJQ1194" s="7"/>
      <c r="FJR1194" s="7"/>
      <c r="FJS1194" s="7"/>
      <c r="FJT1194" s="7"/>
      <c r="FJU1194" s="7"/>
      <c r="FJV1194" s="7"/>
      <c r="FJW1194" s="7"/>
      <c r="FJX1194" s="7"/>
      <c r="FJY1194" s="7"/>
      <c r="FJZ1194" s="7"/>
      <c r="FKA1194" s="7"/>
      <c r="FKB1194" s="7"/>
      <c r="FKC1194" s="7"/>
      <c r="FKD1194" s="7"/>
      <c r="FKE1194" s="7"/>
      <c r="FKF1194" s="7"/>
      <c r="FKG1194" s="7"/>
      <c r="FKH1194" s="7"/>
      <c r="FKI1194" s="7"/>
      <c r="FKJ1194" s="7"/>
      <c r="FKK1194" s="7"/>
      <c r="FKL1194" s="7"/>
      <c r="FKM1194" s="7"/>
      <c r="FKN1194" s="7"/>
      <c r="FKO1194" s="7"/>
      <c r="FKP1194" s="7"/>
      <c r="FKQ1194" s="7"/>
      <c r="FKR1194" s="7"/>
      <c r="FKS1194" s="7"/>
      <c r="FKT1194" s="7"/>
      <c r="FKU1194" s="7"/>
      <c r="FKV1194" s="7"/>
      <c r="FKW1194" s="7"/>
      <c r="FKX1194" s="7"/>
      <c r="FKY1194" s="7"/>
      <c r="FKZ1194" s="7"/>
      <c r="FLA1194" s="7"/>
      <c r="FLB1194" s="7"/>
      <c r="FLC1194" s="7"/>
      <c r="FLD1194" s="7"/>
      <c r="FLE1194" s="7"/>
      <c r="FLF1194" s="7"/>
      <c r="FLG1194" s="7"/>
      <c r="FLH1194" s="7"/>
      <c r="FLI1194" s="7"/>
      <c r="FLJ1194" s="7"/>
      <c r="FLK1194" s="7"/>
      <c r="FLL1194" s="7"/>
      <c r="FLM1194" s="7"/>
      <c r="FLN1194" s="7"/>
      <c r="FLO1194" s="7"/>
      <c r="FLP1194" s="7"/>
      <c r="FLQ1194" s="7"/>
      <c r="FLR1194" s="7"/>
      <c r="FLS1194" s="7"/>
      <c r="FLT1194" s="7"/>
      <c r="FLU1194" s="7"/>
      <c r="FLV1194" s="7"/>
      <c r="FLW1194" s="7"/>
      <c r="FLX1194" s="7"/>
      <c r="FLY1194" s="7"/>
      <c r="FLZ1194" s="7"/>
      <c r="FMA1194" s="7"/>
      <c r="FMB1194" s="7"/>
      <c r="FMC1194" s="7"/>
      <c r="FMD1194" s="7"/>
      <c r="FME1194" s="7"/>
      <c r="FMF1194" s="7"/>
      <c r="FMG1194" s="7"/>
      <c r="FMH1194" s="7"/>
      <c r="FMI1194" s="7"/>
      <c r="FMJ1194" s="7"/>
      <c r="FMK1194" s="7"/>
      <c r="FML1194" s="7"/>
      <c r="FMM1194" s="7"/>
      <c r="FMN1194" s="7"/>
      <c r="FMO1194" s="7"/>
      <c r="FMP1194" s="7"/>
      <c r="FMQ1194" s="7"/>
      <c r="FMR1194" s="7"/>
      <c r="FMS1194" s="7"/>
      <c r="FMT1194" s="7"/>
      <c r="FMU1194" s="7"/>
      <c r="FMV1194" s="7"/>
      <c r="FMW1194" s="7"/>
      <c r="FMX1194" s="7"/>
      <c r="FMY1194" s="7"/>
      <c r="FMZ1194" s="7"/>
      <c r="FNA1194" s="7"/>
      <c r="FNB1194" s="7"/>
      <c r="FNC1194" s="7"/>
      <c r="FND1194" s="7"/>
      <c r="FNE1194" s="7"/>
      <c r="FNF1194" s="7"/>
      <c r="FNG1194" s="7"/>
      <c r="FNH1194" s="7"/>
      <c r="FNI1194" s="7"/>
      <c r="FNJ1194" s="7"/>
      <c r="FNK1194" s="7"/>
      <c r="FNL1194" s="7"/>
      <c r="FNM1194" s="7"/>
      <c r="FNN1194" s="7"/>
      <c r="FNO1194" s="7"/>
      <c r="FNP1194" s="7"/>
      <c r="FNQ1194" s="7"/>
      <c r="FNR1194" s="7"/>
      <c r="FNS1194" s="7"/>
      <c r="FNT1194" s="7"/>
      <c r="FNU1194" s="7"/>
      <c r="FNV1194" s="7"/>
      <c r="FNW1194" s="7"/>
      <c r="FNX1194" s="7"/>
      <c r="FNY1194" s="7"/>
      <c r="FNZ1194" s="7"/>
      <c r="FOA1194" s="7"/>
      <c r="FOB1194" s="7"/>
      <c r="FOC1194" s="7"/>
      <c r="FOD1194" s="7"/>
      <c r="FOE1194" s="7"/>
      <c r="FOF1194" s="7"/>
      <c r="FOG1194" s="7"/>
      <c r="FOH1194" s="7"/>
      <c r="FOI1194" s="7"/>
      <c r="FOJ1194" s="7"/>
      <c r="FOK1194" s="7"/>
      <c r="FOL1194" s="7"/>
      <c r="FOM1194" s="7"/>
      <c r="FON1194" s="7"/>
      <c r="FOO1194" s="7"/>
      <c r="FOP1194" s="7"/>
      <c r="FOQ1194" s="7"/>
      <c r="FOR1194" s="7"/>
      <c r="FOS1194" s="7"/>
      <c r="FOT1194" s="7"/>
      <c r="FOU1194" s="7"/>
      <c r="FOV1194" s="7"/>
      <c r="FOW1194" s="7"/>
      <c r="FOX1194" s="7"/>
      <c r="FOY1194" s="7"/>
      <c r="FOZ1194" s="7"/>
      <c r="FPA1194" s="7"/>
      <c r="FPB1194" s="7"/>
      <c r="FPC1194" s="7"/>
      <c r="FPD1194" s="7"/>
      <c r="FPE1194" s="7"/>
      <c r="FPF1194" s="7"/>
      <c r="FPG1194" s="7"/>
      <c r="FPH1194" s="7"/>
      <c r="FPI1194" s="7"/>
      <c r="FPJ1194" s="7"/>
      <c r="FPK1194" s="7"/>
      <c r="FPL1194" s="7"/>
      <c r="FPM1194" s="7"/>
      <c r="FPN1194" s="7"/>
      <c r="FPO1194" s="7"/>
      <c r="FPP1194" s="7"/>
      <c r="FPQ1194" s="7"/>
      <c r="FPR1194" s="7"/>
      <c r="FPS1194" s="7"/>
      <c r="FPT1194" s="7"/>
      <c r="FPU1194" s="7"/>
      <c r="FPV1194" s="7"/>
      <c r="FPW1194" s="7"/>
      <c r="FPX1194" s="7"/>
      <c r="FPY1194" s="7"/>
      <c r="FPZ1194" s="7"/>
      <c r="FQA1194" s="7"/>
      <c r="FQB1194" s="7"/>
      <c r="FQC1194" s="7"/>
      <c r="FQD1194" s="7"/>
      <c r="FQE1194" s="7"/>
      <c r="FQF1194" s="7"/>
      <c r="FQG1194" s="7"/>
      <c r="FQH1194" s="7"/>
      <c r="FQI1194" s="7"/>
      <c r="FQJ1194" s="7"/>
      <c r="FQK1194" s="7"/>
      <c r="FQL1194" s="7"/>
      <c r="FQM1194" s="7"/>
      <c r="FQN1194" s="7"/>
      <c r="FQO1194" s="7"/>
      <c r="FQP1194" s="7"/>
      <c r="FQQ1194" s="7"/>
      <c r="FQR1194" s="7"/>
      <c r="FQS1194" s="7"/>
      <c r="FQT1194" s="7"/>
      <c r="FQU1194" s="7"/>
      <c r="FQV1194" s="7"/>
      <c r="FQW1194" s="7"/>
      <c r="FQX1194" s="7"/>
      <c r="FQY1194" s="7"/>
      <c r="FQZ1194" s="7"/>
      <c r="FRA1194" s="7"/>
      <c r="FRB1194" s="7"/>
      <c r="FRC1194" s="7"/>
      <c r="FRD1194" s="7"/>
      <c r="FRE1194" s="7"/>
      <c r="FRF1194" s="7"/>
      <c r="FRG1194" s="7"/>
      <c r="FRH1194" s="7"/>
      <c r="FRI1194" s="7"/>
      <c r="FRJ1194" s="7"/>
      <c r="FRK1194" s="7"/>
      <c r="FRL1194" s="7"/>
      <c r="FRM1194" s="7"/>
      <c r="FRN1194" s="7"/>
      <c r="FRO1194" s="7"/>
      <c r="FRP1194" s="7"/>
      <c r="FRQ1194" s="7"/>
      <c r="FRR1194" s="7"/>
      <c r="FRS1194" s="7"/>
      <c r="FRT1194" s="7"/>
      <c r="FRU1194" s="7"/>
      <c r="FRV1194" s="7"/>
      <c r="FRW1194" s="7"/>
      <c r="FRX1194" s="7"/>
      <c r="FRY1194" s="7"/>
      <c r="FRZ1194" s="7"/>
      <c r="FSA1194" s="7"/>
      <c r="FSB1194" s="7"/>
      <c r="FSC1194" s="7"/>
      <c r="FSD1194" s="7"/>
      <c r="FSE1194" s="7"/>
      <c r="FSF1194" s="7"/>
      <c r="FSG1194" s="7"/>
      <c r="FSH1194" s="7"/>
      <c r="FSI1194" s="7"/>
      <c r="FSJ1194" s="7"/>
      <c r="FSK1194" s="7"/>
      <c r="FSL1194" s="7"/>
      <c r="FSM1194" s="7"/>
      <c r="FSN1194" s="7"/>
      <c r="FSO1194" s="7"/>
      <c r="FSP1194" s="7"/>
      <c r="FSQ1194" s="7"/>
      <c r="FSR1194" s="7"/>
      <c r="FSS1194" s="7"/>
      <c r="FST1194" s="7"/>
      <c r="FSU1194" s="7"/>
      <c r="FSV1194" s="7"/>
      <c r="FSW1194" s="7"/>
      <c r="FSX1194" s="7"/>
      <c r="FSY1194" s="7"/>
      <c r="FSZ1194" s="7"/>
      <c r="FTA1194" s="7"/>
      <c r="FTB1194" s="7"/>
      <c r="FTC1194" s="7"/>
      <c r="FTD1194" s="7"/>
      <c r="FTE1194" s="7"/>
      <c r="FTF1194" s="7"/>
      <c r="FTG1194" s="7"/>
      <c r="FTH1194" s="7"/>
      <c r="FTI1194" s="7"/>
      <c r="FTJ1194" s="7"/>
      <c r="FTK1194" s="7"/>
      <c r="FTL1194" s="7"/>
      <c r="FTM1194" s="7"/>
      <c r="FTN1194" s="7"/>
      <c r="FTO1194" s="7"/>
      <c r="FTP1194" s="7"/>
      <c r="FTQ1194" s="7"/>
      <c r="FTR1194" s="7"/>
      <c r="FTS1194" s="7"/>
      <c r="FTT1194" s="7"/>
      <c r="FTU1194" s="7"/>
      <c r="FTV1194" s="7"/>
      <c r="FTW1194" s="7"/>
      <c r="FTX1194" s="7"/>
      <c r="FTY1194" s="7"/>
      <c r="FTZ1194" s="7"/>
      <c r="FUA1194" s="7"/>
      <c r="FUB1194" s="7"/>
      <c r="FUC1194" s="7"/>
      <c r="FUD1194" s="7"/>
      <c r="FUE1194" s="7"/>
      <c r="FUF1194" s="7"/>
      <c r="FUG1194" s="7"/>
      <c r="FUH1194" s="7"/>
      <c r="FUI1194" s="7"/>
      <c r="FUJ1194" s="7"/>
      <c r="FUK1194" s="7"/>
      <c r="FUL1194" s="7"/>
      <c r="FUM1194" s="7"/>
      <c r="FUN1194" s="7"/>
      <c r="FUO1194" s="7"/>
      <c r="FUP1194" s="7"/>
      <c r="FUQ1194" s="7"/>
      <c r="FUR1194" s="7"/>
      <c r="FUS1194" s="7"/>
      <c r="FUT1194" s="7"/>
      <c r="FUU1194" s="7"/>
      <c r="FUV1194" s="7"/>
      <c r="FUW1194" s="7"/>
      <c r="FUX1194" s="7"/>
      <c r="FUY1194" s="7"/>
      <c r="FUZ1194" s="7"/>
      <c r="FVA1194" s="7"/>
      <c r="FVB1194" s="7"/>
      <c r="FVC1194" s="7"/>
      <c r="FVD1194" s="7"/>
      <c r="FVE1194" s="7"/>
      <c r="FVF1194" s="7"/>
      <c r="FVG1194" s="7"/>
      <c r="FVH1194" s="7"/>
      <c r="FVI1194" s="7"/>
      <c r="FVJ1194" s="7"/>
      <c r="FVK1194" s="7"/>
      <c r="FVL1194" s="7"/>
      <c r="FVM1194" s="7"/>
      <c r="FVN1194" s="7"/>
      <c r="FVO1194" s="7"/>
      <c r="FVP1194" s="7"/>
      <c r="FVQ1194" s="7"/>
      <c r="FVR1194" s="7"/>
      <c r="FVS1194" s="7"/>
      <c r="FVT1194" s="7"/>
      <c r="FVU1194" s="7"/>
      <c r="FVV1194" s="7"/>
      <c r="FVW1194" s="7"/>
      <c r="FVX1194" s="7"/>
      <c r="FVY1194" s="7"/>
      <c r="FVZ1194" s="7"/>
      <c r="FWA1194" s="7"/>
      <c r="FWB1194" s="7"/>
      <c r="FWC1194" s="7"/>
      <c r="FWD1194" s="7"/>
      <c r="FWE1194" s="7"/>
      <c r="FWF1194" s="7"/>
      <c r="FWG1194" s="7"/>
      <c r="FWH1194" s="7"/>
      <c r="FWI1194" s="7"/>
      <c r="FWJ1194" s="7"/>
      <c r="FWK1194" s="7"/>
      <c r="FWL1194" s="7"/>
      <c r="FWM1194" s="7"/>
      <c r="FWN1194" s="7"/>
      <c r="FWO1194" s="7"/>
      <c r="FWP1194" s="7"/>
      <c r="FWQ1194" s="7"/>
      <c r="FWR1194" s="7"/>
      <c r="FWS1194" s="7"/>
      <c r="FWT1194" s="7"/>
      <c r="FWU1194" s="7"/>
      <c r="FWV1194" s="7"/>
      <c r="FWW1194" s="7"/>
      <c r="FWX1194" s="7"/>
      <c r="FWY1194" s="7"/>
      <c r="FWZ1194" s="7"/>
      <c r="FXA1194" s="7"/>
      <c r="FXB1194" s="7"/>
      <c r="FXC1194" s="7"/>
      <c r="FXD1194" s="7"/>
      <c r="FXE1194" s="7"/>
      <c r="FXF1194" s="7"/>
      <c r="FXG1194" s="7"/>
      <c r="FXH1194" s="7"/>
      <c r="FXI1194" s="7"/>
      <c r="FXJ1194" s="7"/>
      <c r="FXK1194" s="7"/>
      <c r="FXL1194" s="7"/>
      <c r="FXM1194" s="7"/>
      <c r="FXN1194" s="7"/>
      <c r="FXO1194" s="7"/>
      <c r="FXP1194" s="7"/>
      <c r="FXQ1194" s="7"/>
      <c r="FXR1194" s="7"/>
      <c r="FXS1194" s="7"/>
      <c r="FXT1194" s="7"/>
      <c r="FXU1194" s="7"/>
      <c r="FXV1194" s="7"/>
      <c r="FXW1194" s="7"/>
      <c r="FXX1194" s="7"/>
      <c r="FXY1194" s="7"/>
      <c r="FXZ1194" s="7"/>
      <c r="FYA1194" s="7"/>
      <c r="FYB1194" s="7"/>
      <c r="FYC1194" s="7"/>
      <c r="FYD1194" s="7"/>
      <c r="FYE1194" s="7"/>
      <c r="FYF1194" s="7"/>
      <c r="FYG1194" s="7"/>
      <c r="FYH1194" s="7"/>
      <c r="FYI1194" s="7"/>
      <c r="FYJ1194" s="7"/>
      <c r="FYK1194" s="7"/>
      <c r="FYL1194" s="7"/>
      <c r="FYM1194" s="7"/>
      <c r="FYN1194" s="7"/>
      <c r="FYO1194" s="7"/>
      <c r="FYP1194" s="7"/>
      <c r="FYQ1194" s="7"/>
      <c r="FYR1194" s="7"/>
      <c r="FYS1194" s="7"/>
      <c r="FYT1194" s="7"/>
      <c r="FYU1194" s="7"/>
      <c r="FYV1194" s="7"/>
      <c r="FYW1194" s="7"/>
      <c r="FYX1194" s="7"/>
      <c r="FYY1194" s="7"/>
      <c r="FYZ1194" s="7"/>
      <c r="FZA1194" s="7"/>
      <c r="FZB1194" s="7"/>
      <c r="FZC1194" s="7"/>
      <c r="FZD1194" s="7"/>
      <c r="FZE1194" s="7"/>
      <c r="FZF1194" s="7"/>
      <c r="FZG1194" s="7"/>
      <c r="FZH1194" s="7"/>
      <c r="FZI1194" s="7"/>
      <c r="FZJ1194" s="7"/>
      <c r="FZK1194" s="7"/>
      <c r="FZL1194" s="7"/>
      <c r="FZM1194" s="7"/>
      <c r="FZN1194" s="7"/>
      <c r="FZO1194" s="7"/>
      <c r="FZP1194" s="7"/>
      <c r="FZQ1194" s="7"/>
      <c r="FZR1194" s="7"/>
      <c r="FZS1194" s="7"/>
      <c r="FZT1194" s="7"/>
      <c r="FZU1194" s="7"/>
      <c r="FZV1194" s="7"/>
      <c r="FZW1194" s="7"/>
      <c r="FZX1194" s="7"/>
      <c r="FZY1194" s="7"/>
      <c r="FZZ1194" s="7"/>
      <c r="GAA1194" s="7"/>
      <c r="GAB1194" s="7"/>
      <c r="GAC1194" s="7"/>
      <c r="GAD1194" s="7"/>
      <c r="GAE1194" s="7"/>
      <c r="GAF1194" s="7"/>
      <c r="GAG1194" s="7"/>
      <c r="GAH1194" s="7"/>
      <c r="GAI1194" s="7"/>
      <c r="GAJ1194" s="7"/>
      <c r="GAK1194" s="7"/>
      <c r="GAL1194" s="7"/>
      <c r="GAM1194" s="7"/>
      <c r="GAN1194" s="7"/>
      <c r="GAO1194" s="7"/>
      <c r="GAP1194" s="7"/>
      <c r="GAQ1194" s="7"/>
      <c r="GAR1194" s="7"/>
      <c r="GAS1194" s="7"/>
      <c r="GAT1194" s="7"/>
      <c r="GAU1194" s="7"/>
      <c r="GAV1194" s="7"/>
      <c r="GAW1194" s="7"/>
      <c r="GAX1194" s="7"/>
      <c r="GAY1194" s="7"/>
      <c r="GAZ1194" s="7"/>
      <c r="GBA1194" s="7"/>
      <c r="GBB1194" s="7"/>
      <c r="GBC1194" s="7"/>
      <c r="GBD1194" s="7"/>
      <c r="GBE1194" s="7"/>
      <c r="GBF1194" s="7"/>
      <c r="GBG1194" s="7"/>
      <c r="GBH1194" s="7"/>
      <c r="GBI1194" s="7"/>
      <c r="GBJ1194" s="7"/>
      <c r="GBK1194" s="7"/>
      <c r="GBL1194" s="7"/>
      <c r="GBM1194" s="7"/>
      <c r="GBN1194" s="7"/>
      <c r="GBO1194" s="7"/>
      <c r="GBP1194" s="7"/>
      <c r="GBQ1194" s="7"/>
      <c r="GBR1194" s="7"/>
      <c r="GBS1194" s="7"/>
      <c r="GBT1194" s="7"/>
      <c r="GBU1194" s="7"/>
      <c r="GBV1194" s="7"/>
      <c r="GBW1194" s="7"/>
      <c r="GBX1194" s="7"/>
      <c r="GBY1194" s="7"/>
      <c r="GBZ1194" s="7"/>
      <c r="GCA1194" s="7"/>
      <c r="GCB1194" s="7"/>
      <c r="GCC1194" s="7"/>
      <c r="GCD1194" s="7"/>
      <c r="GCE1194" s="7"/>
      <c r="GCF1194" s="7"/>
      <c r="GCG1194" s="7"/>
      <c r="GCH1194" s="7"/>
      <c r="GCI1194" s="7"/>
      <c r="GCJ1194" s="7"/>
      <c r="GCK1194" s="7"/>
      <c r="GCL1194" s="7"/>
      <c r="GCM1194" s="7"/>
      <c r="GCN1194" s="7"/>
      <c r="GCO1194" s="7"/>
      <c r="GCP1194" s="7"/>
      <c r="GCQ1194" s="7"/>
      <c r="GCR1194" s="7"/>
      <c r="GCS1194" s="7"/>
      <c r="GCT1194" s="7"/>
      <c r="GCU1194" s="7"/>
      <c r="GCV1194" s="7"/>
      <c r="GCW1194" s="7"/>
      <c r="GCX1194" s="7"/>
      <c r="GCY1194" s="7"/>
      <c r="GCZ1194" s="7"/>
      <c r="GDA1194" s="7"/>
      <c r="GDB1194" s="7"/>
      <c r="GDC1194" s="7"/>
      <c r="GDD1194" s="7"/>
      <c r="GDE1194" s="7"/>
      <c r="GDF1194" s="7"/>
      <c r="GDG1194" s="7"/>
      <c r="GDH1194" s="7"/>
      <c r="GDI1194" s="7"/>
      <c r="GDJ1194" s="7"/>
      <c r="GDK1194" s="7"/>
      <c r="GDL1194" s="7"/>
      <c r="GDM1194" s="7"/>
      <c r="GDN1194" s="7"/>
      <c r="GDO1194" s="7"/>
      <c r="GDP1194" s="7"/>
      <c r="GDQ1194" s="7"/>
      <c r="GDR1194" s="7"/>
      <c r="GDS1194" s="7"/>
      <c r="GDT1194" s="7"/>
      <c r="GDU1194" s="7"/>
      <c r="GDV1194" s="7"/>
      <c r="GDW1194" s="7"/>
      <c r="GDX1194" s="7"/>
      <c r="GDY1194" s="7"/>
      <c r="GDZ1194" s="7"/>
      <c r="GEA1194" s="7"/>
      <c r="GEB1194" s="7"/>
      <c r="GEC1194" s="7"/>
      <c r="GED1194" s="7"/>
      <c r="GEE1194" s="7"/>
      <c r="GEF1194" s="7"/>
      <c r="GEG1194" s="7"/>
      <c r="GEH1194" s="7"/>
      <c r="GEI1194" s="7"/>
      <c r="GEJ1194" s="7"/>
      <c r="GEK1194" s="7"/>
      <c r="GEL1194" s="7"/>
      <c r="GEM1194" s="7"/>
      <c r="GEN1194" s="7"/>
      <c r="GEO1194" s="7"/>
      <c r="GEP1194" s="7"/>
      <c r="GEQ1194" s="7"/>
      <c r="GER1194" s="7"/>
      <c r="GES1194" s="7"/>
      <c r="GET1194" s="7"/>
      <c r="GEU1194" s="7"/>
      <c r="GEV1194" s="7"/>
      <c r="GEW1194" s="7"/>
      <c r="GEX1194" s="7"/>
      <c r="GEY1194" s="7"/>
      <c r="GEZ1194" s="7"/>
      <c r="GFA1194" s="7"/>
      <c r="GFB1194" s="7"/>
      <c r="GFC1194" s="7"/>
      <c r="GFD1194" s="7"/>
      <c r="GFE1194" s="7"/>
      <c r="GFF1194" s="7"/>
      <c r="GFG1194" s="7"/>
      <c r="GFH1194" s="7"/>
      <c r="GFI1194" s="7"/>
      <c r="GFJ1194" s="7"/>
      <c r="GFK1194" s="7"/>
      <c r="GFL1194" s="7"/>
      <c r="GFM1194" s="7"/>
      <c r="GFN1194" s="7"/>
      <c r="GFO1194" s="7"/>
      <c r="GFP1194" s="7"/>
      <c r="GFQ1194" s="7"/>
      <c r="GFR1194" s="7"/>
      <c r="GFS1194" s="7"/>
      <c r="GFT1194" s="7"/>
      <c r="GFU1194" s="7"/>
      <c r="GFV1194" s="7"/>
      <c r="GFW1194" s="7"/>
      <c r="GFX1194" s="7"/>
      <c r="GFY1194" s="7"/>
      <c r="GFZ1194" s="7"/>
      <c r="GGA1194" s="7"/>
      <c r="GGB1194" s="7"/>
      <c r="GGC1194" s="7"/>
      <c r="GGD1194" s="7"/>
      <c r="GGE1194" s="7"/>
      <c r="GGF1194" s="7"/>
      <c r="GGG1194" s="7"/>
      <c r="GGH1194" s="7"/>
      <c r="GGI1194" s="7"/>
      <c r="GGJ1194" s="7"/>
      <c r="GGK1194" s="7"/>
      <c r="GGL1194" s="7"/>
      <c r="GGM1194" s="7"/>
      <c r="GGN1194" s="7"/>
      <c r="GGO1194" s="7"/>
      <c r="GGP1194" s="7"/>
      <c r="GGQ1194" s="7"/>
      <c r="GGR1194" s="7"/>
      <c r="GGS1194" s="7"/>
      <c r="GGT1194" s="7"/>
      <c r="GGU1194" s="7"/>
      <c r="GGV1194" s="7"/>
      <c r="GGW1194" s="7"/>
      <c r="GGX1194" s="7"/>
      <c r="GGY1194" s="7"/>
      <c r="GGZ1194" s="7"/>
      <c r="GHA1194" s="7"/>
      <c r="GHB1194" s="7"/>
      <c r="GHC1194" s="7"/>
      <c r="GHD1194" s="7"/>
      <c r="GHE1194" s="7"/>
      <c r="GHF1194" s="7"/>
      <c r="GHG1194" s="7"/>
      <c r="GHH1194" s="7"/>
      <c r="GHI1194" s="7"/>
      <c r="GHJ1194" s="7"/>
      <c r="GHK1194" s="7"/>
      <c r="GHL1194" s="7"/>
      <c r="GHM1194" s="7"/>
      <c r="GHN1194" s="7"/>
      <c r="GHO1194" s="7"/>
      <c r="GHP1194" s="7"/>
      <c r="GHQ1194" s="7"/>
      <c r="GHR1194" s="7"/>
      <c r="GHS1194" s="7"/>
      <c r="GHT1194" s="7"/>
      <c r="GHU1194" s="7"/>
      <c r="GHV1194" s="7"/>
      <c r="GHW1194" s="7"/>
      <c r="GHX1194" s="7"/>
      <c r="GHY1194" s="7"/>
      <c r="GHZ1194" s="7"/>
      <c r="GIA1194" s="7"/>
      <c r="GIB1194" s="7"/>
      <c r="GIC1194" s="7"/>
      <c r="GID1194" s="7"/>
      <c r="GIE1194" s="7"/>
      <c r="GIF1194" s="7"/>
      <c r="GIG1194" s="7"/>
      <c r="GIH1194" s="7"/>
      <c r="GII1194" s="7"/>
      <c r="GIJ1194" s="7"/>
      <c r="GIK1194" s="7"/>
      <c r="GIL1194" s="7"/>
      <c r="GIM1194" s="7"/>
      <c r="GIN1194" s="7"/>
      <c r="GIO1194" s="7"/>
      <c r="GIP1194" s="7"/>
      <c r="GIQ1194" s="7"/>
      <c r="GIR1194" s="7"/>
      <c r="GIS1194" s="7"/>
      <c r="GIT1194" s="7"/>
      <c r="GIU1194" s="7"/>
      <c r="GIV1194" s="7"/>
      <c r="GIW1194" s="7"/>
      <c r="GIX1194" s="7"/>
      <c r="GIY1194" s="7"/>
      <c r="GIZ1194" s="7"/>
      <c r="GJA1194" s="7"/>
      <c r="GJB1194" s="7"/>
      <c r="GJC1194" s="7"/>
      <c r="GJD1194" s="7"/>
      <c r="GJE1194" s="7"/>
      <c r="GJF1194" s="7"/>
      <c r="GJG1194" s="7"/>
      <c r="GJH1194" s="7"/>
      <c r="GJI1194" s="7"/>
      <c r="GJJ1194" s="7"/>
      <c r="GJK1194" s="7"/>
      <c r="GJL1194" s="7"/>
      <c r="GJM1194" s="7"/>
      <c r="GJN1194" s="7"/>
      <c r="GJO1194" s="7"/>
      <c r="GJP1194" s="7"/>
      <c r="GJQ1194" s="7"/>
      <c r="GJR1194" s="7"/>
      <c r="GJS1194" s="7"/>
      <c r="GJT1194" s="7"/>
      <c r="GJU1194" s="7"/>
      <c r="GJV1194" s="7"/>
      <c r="GJW1194" s="7"/>
      <c r="GJX1194" s="7"/>
      <c r="GJY1194" s="7"/>
      <c r="GJZ1194" s="7"/>
      <c r="GKA1194" s="7"/>
      <c r="GKB1194" s="7"/>
      <c r="GKC1194" s="7"/>
      <c r="GKD1194" s="7"/>
      <c r="GKE1194" s="7"/>
      <c r="GKF1194" s="7"/>
      <c r="GKG1194" s="7"/>
      <c r="GKH1194" s="7"/>
      <c r="GKI1194" s="7"/>
      <c r="GKJ1194" s="7"/>
      <c r="GKK1194" s="7"/>
      <c r="GKL1194" s="7"/>
      <c r="GKM1194" s="7"/>
      <c r="GKN1194" s="7"/>
      <c r="GKO1194" s="7"/>
      <c r="GKP1194" s="7"/>
      <c r="GKQ1194" s="7"/>
      <c r="GKR1194" s="7"/>
      <c r="GKS1194" s="7"/>
      <c r="GKT1194" s="7"/>
      <c r="GKU1194" s="7"/>
      <c r="GKV1194" s="7"/>
      <c r="GKW1194" s="7"/>
      <c r="GKX1194" s="7"/>
      <c r="GKY1194" s="7"/>
      <c r="GKZ1194" s="7"/>
      <c r="GLA1194" s="7"/>
      <c r="GLB1194" s="7"/>
      <c r="GLC1194" s="7"/>
      <c r="GLD1194" s="7"/>
      <c r="GLE1194" s="7"/>
      <c r="GLF1194" s="7"/>
      <c r="GLG1194" s="7"/>
      <c r="GLH1194" s="7"/>
      <c r="GLI1194" s="7"/>
      <c r="GLJ1194" s="7"/>
      <c r="GLK1194" s="7"/>
      <c r="GLL1194" s="7"/>
      <c r="GLM1194" s="7"/>
      <c r="GLN1194" s="7"/>
      <c r="GLO1194" s="7"/>
      <c r="GLP1194" s="7"/>
      <c r="GLQ1194" s="7"/>
      <c r="GLR1194" s="7"/>
      <c r="GLS1194" s="7"/>
      <c r="GLT1194" s="7"/>
      <c r="GLU1194" s="7"/>
      <c r="GLV1194" s="7"/>
      <c r="GLW1194" s="7"/>
      <c r="GLX1194" s="7"/>
      <c r="GLY1194" s="7"/>
      <c r="GLZ1194" s="7"/>
      <c r="GMA1194" s="7"/>
      <c r="GMB1194" s="7"/>
      <c r="GMC1194" s="7"/>
      <c r="GMD1194" s="7"/>
      <c r="GME1194" s="7"/>
      <c r="GMF1194" s="7"/>
      <c r="GMG1194" s="7"/>
      <c r="GMH1194" s="7"/>
      <c r="GMI1194" s="7"/>
      <c r="GMJ1194" s="7"/>
      <c r="GMK1194" s="7"/>
      <c r="GML1194" s="7"/>
      <c r="GMM1194" s="7"/>
      <c r="GMN1194" s="7"/>
      <c r="GMO1194" s="7"/>
      <c r="GMP1194" s="7"/>
      <c r="GMQ1194" s="7"/>
      <c r="GMR1194" s="7"/>
      <c r="GMS1194" s="7"/>
      <c r="GMT1194" s="7"/>
      <c r="GMU1194" s="7"/>
      <c r="GMV1194" s="7"/>
      <c r="GMW1194" s="7"/>
      <c r="GMX1194" s="7"/>
      <c r="GMY1194" s="7"/>
      <c r="GMZ1194" s="7"/>
      <c r="GNA1194" s="7"/>
      <c r="GNB1194" s="7"/>
      <c r="GNC1194" s="7"/>
      <c r="GND1194" s="7"/>
      <c r="GNE1194" s="7"/>
      <c r="GNF1194" s="7"/>
      <c r="GNG1194" s="7"/>
      <c r="GNH1194" s="7"/>
      <c r="GNI1194" s="7"/>
      <c r="GNJ1194" s="7"/>
      <c r="GNK1194" s="7"/>
      <c r="GNL1194" s="7"/>
      <c r="GNM1194" s="7"/>
      <c r="GNN1194" s="7"/>
      <c r="GNO1194" s="7"/>
      <c r="GNP1194" s="7"/>
      <c r="GNQ1194" s="7"/>
      <c r="GNR1194" s="7"/>
      <c r="GNS1194" s="7"/>
      <c r="GNT1194" s="7"/>
      <c r="GNU1194" s="7"/>
      <c r="GNV1194" s="7"/>
      <c r="GNW1194" s="7"/>
      <c r="GNX1194" s="7"/>
      <c r="GNY1194" s="7"/>
      <c r="GNZ1194" s="7"/>
      <c r="GOA1194" s="7"/>
      <c r="GOB1194" s="7"/>
      <c r="GOC1194" s="7"/>
      <c r="GOD1194" s="7"/>
      <c r="GOE1194" s="7"/>
      <c r="GOF1194" s="7"/>
      <c r="GOG1194" s="7"/>
      <c r="GOH1194" s="7"/>
      <c r="GOI1194" s="7"/>
      <c r="GOJ1194" s="7"/>
      <c r="GOK1194" s="7"/>
      <c r="GOL1194" s="7"/>
      <c r="GOM1194" s="7"/>
      <c r="GON1194" s="7"/>
      <c r="GOO1194" s="7"/>
      <c r="GOP1194" s="7"/>
      <c r="GOQ1194" s="7"/>
      <c r="GOR1194" s="7"/>
      <c r="GOS1194" s="7"/>
      <c r="GOT1194" s="7"/>
      <c r="GOU1194" s="7"/>
      <c r="GOV1194" s="7"/>
      <c r="GOW1194" s="7"/>
      <c r="GOX1194" s="7"/>
      <c r="GOY1194" s="7"/>
      <c r="GOZ1194" s="7"/>
      <c r="GPA1194" s="7"/>
      <c r="GPB1194" s="7"/>
      <c r="GPC1194" s="7"/>
      <c r="GPD1194" s="7"/>
      <c r="GPE1194" s="7"/>
      <c r="GPF1194" s="7"/>
      <c r="GPG1194" s="7"/>
      <c r="GPH1194" s="7"/>
      <c r="GPI1194" s="7"/>
      <c r="GPJ1194" s="7"/>
      <c r="GPK1194" s="7"/>
      <c r="GPL1194" s="7"/>
      <c r="GPM1194" s="7"/>
      <c r="GPN1194" s="7"/>
      <c r="GPO1194" s="7"/>
      <c r="GPP1194" s="7"/>
      <c r="GPQ1194" s="7"/>
      <c r="GPR1194" s="7"/>
      <c r="GPS1194" s="7"/>
      <c r="GPT1194" s="7"/>
      <c r="GPU1194" s="7"/>
      <c r="GPV1194" s="7"/>
      <c r="GPW1194" s="7"/>
      <c r="GPX1194" s="7"/>
      <c r="GPY1194" s="7"/>
      <c r="GPZ1194" s="7"/>
      <c r="GQA1194" s="7"/>
      <c r="GQB1194" s="7"/>
      <c r="GQC1194" s="7"/>
      <c r="GQD1194" s="7"/>
      <c r="GQE1194" s="7"/>
      <c r="GQF1194" s="7"/>
      <c r="GQG1194" s="7"/>
      <c r="GQH1194" s="7"/>
      <c r="GQI1194" s="7"/>
      <c r="GQJ1194" s="7"/>
      <c r="GQK1194" s="7"/>
      <c r="GQL1194" s="7"/>
      <c r="GQM1194" s="7"/>
      <c r="GQN1194" s="7"/>
      <c r="GQO1194" s="7"/>
      <c r="GQP1194" s="7"/>
      <c r="GQQ1194" s="7"/>
      <c r="GQR1194" s="7"/>
      <c r="GQS1194" s="7"/>
      <c r="GQT1194" s="7"/>
      <c r="GQU1194" s="7"/>
      <c r="GQV1194" s="7"/>
      <c r="GQW1194" s="7"/>
      <c r="GQX1194" s="7"/>
      <c r="GQY1194" s="7"/>
      <c r="GQZ1194" s="7"/>
      <c r="GRA1194" s="7"/>
      <c r="GRB1194" s="7"/>
      <c r="GRC1194" s="7"/>
      <c r="GRD1194" s="7"/>
      <c r="GRE1194" s="7"/>
      <c r="GRF1194" s="7"/>
      <c r="GRG1194" s="7"/>
      <c r="GRH1194" s="7"/>
      <c r="GRI1194" s="7"/>
      <c r="GRJ1194" s="7"/>
      <c r="GRK1194" s="7"/>
      <c r="GRL1194" s="7"/>
      <c r="GRM1194" s="7"/>
      <c r="GRN1194" s="7"/>
      <c r="GRO1194" s="7"/>
      <c r="GRP1194" s="7"/>
      <c r="GRQ1194" s="7"/>
      <c r="GRR1194" s="7"/>
      <c r="GRS1194" s="7"/>
      <c r="GRT1194" s="7"/>
      <c r="GRU1194" s="7"/>
      <c r="GRV1194" s="7"/>
      <c r="GRW1194" s="7"/>
      <c r="GRX1194" s="7"/>
      <c r="GRY1194" s="7"/>
      <c r="GRZ1194" s="7"/>
      <c r="GSA1194" s="7"/>
      <c r="GSB1194" s="7"/>
      <c r="GSC1194" s="7"/>
      <c r="GSD1194" s="7"/>
      <c r="GSE1194" s="7"/>
      <c r="GSF1194" s="7"/>
      <c r="GSG1194" s="7"/>
      <c r="GSH1194" s="7"/>
      <c r="GSI1194" s="7"/>
      <c r="GSJ1194" s="7"/>
      <c r="GSK1194" s="7"/>
      <c r="GSL1194" s="7"/>
      <c r="GSM1194" s="7"/>
      <c r="GSN1194" s="7"/>
      <c r="GSO1194" s="7"/>
      <c r="GSP1194" s="7"/>
      <c r="GSQ1194" s="7"/>
      <c r="GSR1194" s="7"/>
      <c r="GSS1194" s="7"/>
      <c r="GST1194" s="7"/>
      <c r="GSU1194" s="7"/>
      <c r="GSV1194" s="7"/>
      <c r="GSW1194" s="7"/>
      <c r="GSX1194" s="7"/>
      <c r="GSY1194" s="7"/>
      <c r="GSZ1194" s="7"/>
      <c r="GTA1194" s="7"/>
      <c r="GTB1194" s="7"/>
      <c r="GTC1194" s="7"/>
      <c r="GTD1194" s="7"/>
      <c r="GTE1194" s="7"/>
      <c r="GTF1194" s="7"/>
      <c r="GTG1194" s="7"/>
      <c r="GTH1194" s="7"/>
      <c r="GTI1194" s="7"/>
      <c r="GTJ1194" s="7"/>
      <c r="GTK1194" s="7"/>
      <c r="GTL1194" s="7"/>
      <c r="GTM1194" s="7"/>
      <c r="GTN1194" s="7"/>
      <c r="GTO1194" s="7"/>
      <c r="GTP1194" s="7"/>
      <c r="GTQ1194" s="7"/>
      <c r="GTR1194" s="7"/>
      <c r="GTS1194" s="7"/>
      <c r="GTT1194" s="7"/>
      <c r="GTU1194" s="7"/>
      <c r="GTV1194" s="7"/>
      <c r="GTW1194" s="7"/>
      <c r="GTX1194" s="7"/>
      <c r="GTY1194" s="7"/>
      <c r="GTZ1194" s="7"/>
      <c r="GUA1194" s="7"/>
      <c r="GUB1194" s="7"/>
      <c r="GUC1194" s="7"/>
      <c r="GUD1194" s="7"/>
      <c r="GUE1194" s="7"/>
      <c r="GUF1194" s="7"/>
      <c r="GUG1194" s="7"/>
      <c r="GUH1194" s="7"/>
      <c r="GUI1194" s="7"/>
      <c r="GUJ1194" s="7"/>
      <c r="GUK1194" s="7"/>
      <c r="GUL1194" s="7"/>
      <c r="GUM1194" s="7"/>
      <c r="GUN1194" s="7"/>
      <c r="GUO1194" s="7"/>
      <c r="GUP1194" s="7"/>
      <c r="GUQ1194" s="7"/>
      <c r="GUR1194" s="7"/>
      <c r="GUS1194" s="7"/>
      <c r="GUT1194" s="7"/>
      <c r="GUU1194" s="7"/>
      <c r="GUV1194" s="7"/>
      <c r="GUW1194" s="7"/>
      <c r="GUX1194" s="7"/>
      <c r="GUY1194" s="7"/>
      <c r="GUZ1194" s="7"/>
      <c r="GVA1194" s="7"/>
      <c r="GVB1194" s="7"/>
      <c r="GVC1194" s="7"/>
      <c r="GVD1194" s="7"/>
      <c r="GVE1194" s="7"/>
      <c r="GVF1194" s="7"/>
      <c r="GVG1194" s="7"/>
      <c r="GVH1194" s="7"/>
      <c r="GVI1194" s="7"/>
      <c r="GVJ1194" s="7"/>
      <c r="GVK1194" s="7"/>
      <c r="GVL1194" s="7"/>
      <c r="GVM1194" s="7"/>
      <c r="GVN1194" s="7"/>
      <c r="GVO1194" s="7"/>
      <c r="GVP1194" s="7"/>
      <c r="GVQ1194" s="7"/>
      <c r="GVR1194" s="7"/>
      <c r="GVS1194" s="7"/>
      <c r="GVT1194" s="7"/>
      <c r="GVU1194" s="7"/>
      <c r="GVV1194" s="7"/>
      <c r="GVW1194" s="7"/>
      <c r="GVX1194" s="7"/>
      <c r="GVY1194" s="7"/>
      <c r="GVZ1194" s="7"/>
      <c r="GWA1194" s="7"/>
      <c r="GWB1194" s="7"/>
      <c r="GWC1194" s="7"/>
      <c r="GWD1194" s="7"/>
      <c r="GWE1194" s="7"/>
      <c r="GWF1194" s="7"/>
      <c r="GWG1194" s="7"/>
      <c r="GWH1194" s="7"/>
      <c r="GWI1194" s="7"/>
      <c r="GWJ1194" s="7"/>
      <c r="GWK1194" s="7"/>
      <c r="GWL1194" s="7"/>
      <c r="GWM1194" s="7"/>
      <c r="GWN1194" s="7"/>
      <c r="GWO1194" s="7"/>
      <c r="GWP1194" s="7"/>
      <c r="GWQ1194" s="7"/>
      <c r="GWR1194" s="7"/>
      <c r="GWS1194" s="7"/>
      <c r="GWT1194" s="7"/>
      <c r="GWU1194" s="7"/>
      <c r="GWV1194" s="7"/>
      <c r="GWW1194" s="7"/>
      <c r="GWX1194" s="7"/>
      <c r="GWY1194" s="7"/>
      <c r="GWZ1194" s="7"/>
      <c r="GXA1194" s="7"/>
      <c r="GXB1194" s="7"/>
      <c r="GXC1194" s="7"/>
      <c r="GXD1194" s="7"/>
      <c r="GXE1194" s="7"/>
      <c r="GXF1194" s="7"/>
      <c r="GXG1194" s="7"/>
      <c r="GXH1194" s="7"/>
      <c r="GXI1194" s="7"/>
      <c r="GXJ1194" s="7"/>
      <c r="GXK1194" s="7"/>
      <c r="GXL1194" s="7"/>
      <c r="GXM1194" s="7"/>
      <c r="GXN1194" s="7"/>
      <c r="GXO1194" s="7"/>
      <c r="GXP1194" s="7"/>
      <c r="GXQ1194" s="7"/>
      <c r="GXR1194" s="7"/>
      <c r="GXS1194" s="7"/>
      <c r="GXT1194" s="7"/>
      <c r="GXU1194" s="7"/>
      <c r="GXV1194" s="7"/>
      <c r="GXW1194" s="7"/>
      <c r="GXX1194" s="7"/>
      <c r="GXY1194" s="7"/>
      <c r="GXZ1194" s="7"/>
      <c r="GYA1194" s="7"/>
      <c r="GYB1194" s="7"/>
      <c r="GYC1194" s="7"/>
      <c r="GYD1194" s="7"/>
      <c r="GYE1194" s="7"/>
      <c r="GYF1194" s="7"/>
      <c r="GYG1194" s="7"/>
      <c r="GYH1194" s="7"/>
      <c r="GYI1194" s="7"/>
      <c r="GYJ1194" s="7"/>
      <c r="GYK1194" s="7"/>
      <c r="GYL1194" s="7"/>
      <c r="GYM1194" s="7"/>
      <c r="GYN1194" s="7"/>
      <c r="GYO1194" s="7"/>
      <c r="GYP1194" s="7"/>
      <c r="GYQ1194" s="7"/>
      <c r="GYR1194" s="7"/>
      <c r="GYS1194" s="7"/>
      <c r="GYT1194" s="7"/>
      <c r="GYU1194" s="7"/>
      <c r="GYV1194" s="7"/>
      <c r="GYW1194" s="7"/>
      <c r="GYX1194" s="7"/>
      <c r="GYY1194" s="7"/>
      <c r="GYZ1194" s="7"/>
      <c r="GZA1194" s="7"/>
      <c r="GZB1194" s="7"/>
      <c r="GZC1194" s="7"/>
      <c r="GZD1194" s="7"/>
      <c r="GZE1194" s="7"/>
      <c r="GZF1194" s="7"/>
      <c r="GZG1194" s="7"/>
      <c r="GZH1194" s="7"/>
      <c r="GZI1194" s="7"/>
      <c r="GZJ1194" s="7"/>
      <c r="GZK1194" s="7"/>
      <c r="GZL1194" s="7"/>
      <c r="GZM1194" s="7"/>
      <c r="GZN1194" s="7"/>
      <c r="GZO1194" s="7"/>
      <c r="GZP1194" s="7"/>
      <c r="GZQ1194" s="7"/>
      <c r="GZR1194" s="7"/>
      <c r="GZS1194" s="7"/>
      <c r="GZT1194" s="7"/>
      <c r="GZU1194" s="7"/>
      <c r="GZV1194" s="7"/>
      <c r="GZW1194" s="7"/>
      <c r="GZX1194" s="7"/>
      <c r="GZY1194" s="7"/>
      <c r="GZZ1194" s="7"/>
      <c r="HAA1194" s="7"/>
      <c r="HAB1194" s="7"/>
      <c r="HAC1194" s="7"/>
      <c r="HAD1194" s="7"/>
      <c r="HAE1194" s="7"/>
      <c r="HAF1194" s="7"/>
      <c r="HAG1194" s="7"/>
      <c r="HAH1194" s="7"/>
      <c r="HAI1194" s="7"/>
      <c r="HAJ1194" s="7"/>
      <c r="HAK1194" s="7"/>
      <c r="HAL1194" s="7"/>
      <c r="HAM1194" s="7"/>
      <c r="HAN1194" s="7"/>
      <c r="HAO1194" s="7"/>
      <c r="HAP1194" s="7"/>
      <c r="HAQ1194" s="7"/>
      <c r="HAR1194" s="7"/>
      <c r="HAS1194" s="7"/>
      <c r="HAT1194" s="7"/>
      <c r="HAU1194" s="7"/>
      <c r="HAV1194" s="7"/>
      <c r="HAW1194" s="7"/>
      <c r="HAX1194" s="7"/>
      <c r="HAY1194" s="7"/>
      <c r="HAZ1194" s="7"/>
      <c r="HBA1194" s="7"/>
      <c r="HBB1194" s="7"/>
      <c r="HBC1194" s="7"/>
      <c r="HBD1194" s="7"/>
      <c r="HBE1194" s="7"/>
      <c r="HBF1194" s="7"/>
      <c r="HBG1194" s="7"/>
      <c r="HBH1194" s="7"/>
      <c r="HBI1194" s="7"/>
      <c r="HBJ1194" s="7"/>
      <c r="HBK1194" s="7"/>
      <c r="HBL1194" s="7"/>
      <c r="HBM1194" s="7"/>
      <c r="HBN1194" s="7"/>
      <c r="HBO1194" s="7"/>
      <c r="HBP1194" s="7"/>
      <c r="HBQ1194" s="7"/>
      <c r="HBR1194" s="7"/>
      <c r="HBS1194" s="7"/>
      <c r="HBT1194" s="7"/>
      <c r="HBU1194" s="7"/>
      <c r="HBV1194" s="7"/>
      <c r="HBW1194" s="7"/>
      <c r="HBX1194" s="7"/>
      <c r="HBY1194" s="7"/>
      <c r="HBZ1194" s="7"/>
      <c r="HCA1194" s="7"/>
      <c r="HCB1194" s="7"/>
      <c r="HCC1194" s="7"/>
      <c r="HCD1194" s="7"/>
      <c r="HCE1194" s="7"/>
      <c r="HCF1194" s="7"/>
      <c r="HCG1194" s="7"/>
      <c r="HCH1194" s="7"/>
      <c r="HCI1194" s="7"/>
      <c r="HCJ1194" s="7"/>
      <c r="HCK1194" s="7"/>
      <c r="HCL1194" s="7"/>
      <c r="HCM1194" s="7"/>
      <c r="HCN1194" s="7"/>
      <c r="HCO1194" s="7"/>
      <c r="HCP1194" s="7"/>
      <c r="HCQ1194" s="7"/>
      <c r="HCR1194" s="7"/>
      <c r="HCS1194" s="7"/>
      <c r="HCT1194" s="7"/>
      <c r="HCU1194" s="7"/>
      <c r="HCV1194" s="7"/>
      <c r="HCW1194" s="7"/>
      <c r="HCX1194" s="7"/>
      <c r="HCY1194" s="7"/>
      <c r="HCZ1194" s="7"/>
      <c r="HDA1194" s="7"/>
      <c r="HDB1194" s="7"/>
      <c r="HDC1194" s="7"/>
      <c r="HDD1194" s="7"/>
      <c r="HDE1194" s="7"/>
      <c r="HDF1194" s="7"/>
      <c r="HDG1194" s="7"/>
      <c r="HDH1194" s="7"/>
      <c r="HDI1194" s="7"/>
      <c r="HDJ1194" s="7"/>
      <c r="HDK1194" s="7"/>
      <c r="HDL1194" s="7"/>
      <c r="HDM1194" s="7"/>
      <c r="HDN1194" s="7"/>
      <c r="HDO1194" s="7"/>
      <c r="HDP1194" s="7"/>
      <c r="HDQ1194" s="7"/>
      <c r="HDR1194" s="7"/>
      <c r="HDS1194" s="7"/>
      <c r="HDT1194" s="7"/>
      <c r="HDU1194" s="7"/>
      <c r="HDV1194" s="7"/>
      <c r="HDW1194" s="7"/>
      <c r="HDX1194" s="7"/>
      <c r="HDY1194" s="7"/>
      <c r="HDZ1194" s="7"/>
      <c r="HEA1194" s="7"/>
      <c r="HEB1194" s="7"/>
      <c r="HEC1194" s="7"/>
      <c r="HED1194" s="7"/>
      <c r="HEE1194" s="7"/>
      <c r="HEF1194" s="7"/>
      <c r="HEG1194" s="7"/>
      <c r="HEH1194" s="7"/>
      <c r="HEI1194" s="7"/>
      <c r="HEJ1194" s="7"/>
      <c r="HEK1194" s="7"/>
      <c r="HEL1194" s="7"/>
      <c r="HEM1194" s="7"/>
      <c r="HEN1194" s="7"/>
      <c r="HEO1194" s="7"/>
      <c r="HEP1194" s="7"/>
      <c r="HEQ1194" s="7"/>
      <c r="HER1194" s="7"/>
      <c r="HES1194" s="7"/>
      <c r="HET1194" s="7"/>
      <c r="HEU1194" s="7"/>
      <c r="HEV1194" s="7"/>
      <c r="HEW1194" s="7"/>
      <c r="HEX1194" s="7"/>
      <c r="HEY1194" s="7"/>
      <c r="HEZ1194" s="7"/>
      <c r="HFA1194" s="7"/>
      <c r="HFB1194" s="7"/>
      <c r="HFC1194" s="7"/>
      <c r="HFD1194" s="7"/>
      <c r="HFE1194" s="7"/>
      <c r="HFF1194" s="7"/>
      <c r="HFG1194" s="7"/>
      <c r="HFH1194" s="7"/>
      <c r="HFI1194" s="7"/>
      <c r="HFJ1194" s="7"/>
      <c r="HFK1194" s="7"/>
      <c r="HFL1194" s="7"/>
      <c r="HFM1194" s="7"/>
      <c r="HFN1194" s="7"/>
      <c r="HFO1194" s="7"/>
      <c r="HFP1194" s="7"/>
      <c r="HFQ1194" s="7"/>
      <c r="HFR1194" s="7"/>
      <c r="HFS1194" s="7"/>
      <c r="HFT1194" s="7"/>
      <c r="HFU1194" s="7"/>
      <c r="HFV1194" s="7"/>
      <c r="HFW1194" s="7"/>
      <c r="HFX1194" s="7"/>
      <c r="HFY1194" s="7"/>
      <c r="HFZ1194" s="7"/>
      <c r="HGA1194" s="7"/>
      <c r="HGB1194" s="7"/>
      <c r="HGC1194" s="7"/>
      <c r="HGD1194" s="7"/>
      <c r="HGE1194" s="7"/>
      <c r="HGF1194" s="7"/>
      <c r="HGG1194" s="7"/>
      <c r="HGH1194" s="7"/>
      <c r="HGI1194" s="7"/>
      <c r="HGJ1194" s="7"/>
      <c r="HGK1194" s="7"/>
      <c r="HGL1194" s="7"/>
      <c r="HGM1194" s="7"/>
      <c r="HGN1194" s="7"/>
      <c r="HGO1194" s="7"/>
      <c r="HGP1194" s="7"/>
      <c r="HGQ1194" s="7"/>
      <c r="HGR1194" s="7"/>
      <c r="HGS1194" s="7"/>
      <c r="HGT1194" s="7"/>
      <c r="HGU1194" s="7"/>
      <c r="HGV1194" s="7"/>
      <c r="HGW1194" s="7"/>
      <c r="HGX1194" s="7"/>
      <c r="HGY1194" s="7"/>
      <c r="HGZ1194" s="7"/>
      <c r="HHA1194" s="7"/>
      <c r="HHB1194" s="7"/>
      <c r="HHC1194" s="7"/>
      <c r="HHD1194" s="7"/>
      <c r="HHE1194" s="7"/>
      <c r="HHF1194" s="7"/>
      <c r="HHG1194" s="7"/>
      <c r="HHH1194" s="7"/>
      <c r="HHI1194" s="7"/>
      <c r="HHJ1194" s="7"/>
      <c r="HHK1194" s="7"/>
      <c r="HHL1194" s="7"/>
      <c r="HHM1194" s="7"/>
      <c r="HHN1194" s="7"/>
      <c r="HHO1194" s="7"/>
      <c r="HHP1194" s="7"/>
      <c r="HHQ1194" s="7"/>
      <c r="HHR1194" s="7"/>
      <c r="HHS1194" s="7"/>
      <c r="HHT1194" s="7"/>
      <c r="HHU1194" s="7"/>
      <c r="HHV1194" s="7"/>
      <c r="HHW1194" s="7"/>
      <c r="HHX1194" s="7"/>
      <c r="HHY1194" s="7"/>
      <c r="HHZ1194" s="7"/>
      <c r="HIA1194" s="7"/>
      <c r="HIB1194" s="7"/>
      <c r="HIC1194" s="7"/>
      <c r="HID1194" s="7"/>
      <c r="HIE1194" s="7"/>
      <c r="HIF1194" s="7"/>
      <c r="HIG1194" s="7"/>
      <c r="HIH1194" s="7"/>
      <c r="HII1194" s="7"/>
      <c r="HIJ1194" s="7"/>
      <c r="HIK1194" s="7"/>
      <c r="HIL1194" s="7"/>
      <c r="HIM1194" s="7"/>
      <c r="HIN1194" s="7"/>
      <c r="HIO1194" s="7"/>
      <c r="HIP1194" s="7"/>
      <c r="HIQ1194" s="7"/>
      <c r="HIR1194" s="7"/>
      <c r="HIS1194" s="7"/>
      <c r="HIT1194" s="7"/>
      <c r="HIU1194" s="7"/>
      <c r="HIV1194" s="7"/>
      <c r="HIW1194" s="7"/>
      <c r="HIX1194" s="7"/>
      <c r="HIY1194" s="7"/>
      <c r="HIZ1194" s="7"/>
      <c r="HJA1194" s="7"/>
      <c r="HJB1194" s="7"/>
      <c r="HJC1194" s="7"/>
      <c r="HJD1194" s="7"/>
      <c r="HJE1194" s="7"/>
      <c r="HJF1194" s="7"/>
      <c r="HJG1194" s="7"/>
      <c r="HJH1194" s="7"/>
      <c r="HJI1194" s="7"/>
      <c r="HJJ1194" s="7"/>
      <c r="HJK1194" s="7"/>
      <c r="HJL1194" s="7"/>
      <c r="HJM1194" s="7"/>
      <c r="HJN1194" s="7"/>
      <c r="HJO1194" s="7"/>
      <c r="HJP1194" s="7"/>
      <c r="HJQ1194" s="7"/>
      <c r="HJR1194" s="7"/>
      <c r="HJS1194" s="7"/>
      <c r="HJT1194" s="7"/>
      <c r="HJU1194" s="7"/>
      <c r="HJV1194" s="7"/>
      <c r="HJW1194" s="7"/>
      <c r="HJX1194" s="7"/>
      <c r="HJY1194" s="7"/>
      <c r="HJZ1194" s="7"/>
      <c r="HKA1194" s="7"/>
      <c r="HKB1194" s="7"/>
      <c r="HKC1194" s="7"/>
      <c r="HKD1194" s="7"/>
      <c r="HKE1194" s="7"/>
      <c r="HKF1194" s="7"/>
      <c r="HKG1194" s="7"/>
      <c r="HKH1194" s="7"/>
      <c r="HKI1194" s="7"/>
      <c r="HKJ1194" s="7"/>
      <c r="HKK1194" s="7"/>
      <c r="HKL1194" s="7"/>
      <c r="HKM1194" s="7"/>
      <c r="HKN1194" s="7"/>
      <c r="HKO1194" s="7"/>
      <c r="HKP1194" s="7"/>
      <c r="HKQ1194" s="7"/>
      <c r="HKR1194" s="7"/>
      <c r="HKS1194" s="7"/>
      <c r="HKT1194" s="7"/>
      <c r="HKU1194" s="7"/>
      <c r="HKV1194" s="7"/>
      <c r="HKW1194" s="7"/>
      <c r="HKX1194" s="7"/>
      <c r="HKY1194" s="7"/>
      <c r="HKZ1194" s="7"/>
      <c r="HLA1194" s="7"/>
      <c r="HLB1194" s="7"/>
      <c r="HLC1194" s="7"/>
      <c r="HLD1194" s="7"/>
      <c r="HLE1194" s="7"/>
      <c r="HLF1194" s="7"/>
      <c r="HLG1194" s="7"/>
      <c r="HLH1194" s="7"/>
      <c r="HLI1194" s="7"/>
      <c r="HLJ1194" s="7"/>
      <c r="HLK1194" s="7"/>
      <c r="HLL1194" s="7"/>
      <c r="HLM1194" s="7"/>
      <c r="HLN1194" s="7"/>
      <c r="HLO1194" s="7"/>
      <c r="HLP1194" s="7"/>
      <c r="HLQ1194" s="7"/>
      <c r="HLR1194" s="7"/>
      <c r="HLS1194" s="7"/>
      <c r="HLT1194" s="7"/>
      <c r="HLU1194" s="7"/>
      <c r="HLV1194" s="7"/>
      <c r="HLW1194" s="7"/>
      <c r="HLX1194" s="7"/>
      <c r="HLY1194" s="7"/>
      <c r="HLZ1194" s="7"/>
      <c r="HMA1194" s="7"/>
      <c r="HMB1194" s="7"/>
      <c r="HMC1194" s="7"/>
      <c r="HMD1194" s="7"/>
      <c r="HME1194" s="7"/>
      <c r="HMF1194" s="7"/>
      <c r="HMG1194" s="7"/>
      <c r="HMH1194" s="7"/>
      <c r="HMI1194" s="7"/>
      <c r="HMJ1194" s="7"/>
      <c r="HMK1194" s="7"/>
      <c r="HML1194" s="7"/>
      <c r="HMM1194" s="7"/>
      <c r="HMN1194" s="7"/>
      <c r="HMO1194" s="7"/>
      <c r="HMP1194" s="7"/>
      <c r="HMQ1194" s="7"/>
      <c r="HMR1194" s="7"/>
      <c r="HMS1194" s="7"/>
      <c r="HMT1194" s="7"/>
      <c r="HMU1194" s="7"/>
      <c r="HMV1194" s="7"/>
      <c r="HMW1194" s="7"/>
      <c r="HMX1194" s="7"/>
      <c r="HMY1194" s="7"/>
      <c r="HMZ1194" s="7"/>
      <c r="HNA1194" s="7"/>
      <c r="HNB1194" s="7"/>
      <c r="HNC1194" s="7"/>
      <c r="HND1194" s="7"/>
      <c r="HNE1194" s="7"/>
      <c r="HNF1194" s="7"/>
      <c r="HNG1194" s="7"/>
      <c r="HNH1194" s="7"/>
      <c r="HNI1194" s="7"/>
      <c r="HNJ1194" s="7"/>
      <c r="HNK1194" s="7"/>
      <c r="HNL1194" s="7"/>
      <c r="HNM1194" s="7"/>
      <c r="HNN1194" s="7"/>
      <c r="HNO1194" s="7"/>
      <c r="HNP1194" s="7"/>
      <c r="HNQ1194" s="7"/>
      <c r="HNR1194" s="7"/>
      <c r="HNS1194" s="7"/>
      <c r="HNT1194" s="7"/>
      <c r="HNU1194" s="7"/>
      <c r="HNV1194" s="7"/>
      <c r="HNW1194" s="7"/>
      <c r="HNX1194" s="7"/>
      <c r="HNY1194" s="7"/>
      <c r="HNZ1194" s="7"/>
      <c r="HOA1194" s="7"/>
      <c r="HOB1194" s="7"/>
      <c r="HOC1194" s="7"/>
      <c r="HOD1194" s="7"/>
      <c r="HOE1194" s="7"/>
      <c r="HOF1194" s="7"/>
      <c r="HOG1194" s="7"/>
      <c r="HOH1194" s="7"/>
      <c r="HOI1194" s="7"/>
      <c r="HOJ1194" s="7"/>
      <c r="HOK1194" s="7"/>
      <c r="HOL1194" s="7"/>
      <c r="HOM1194" s="7"/>
      <c r="HON1194" s="7"/>
      <c r="HOO1194" s="7"/>
      <c r="HOP1194" s="7"/>
      <c r="HOQ1194" s="7"/>
      <c r="HOR1194" s="7"/>
      <c r="HOS1194" s="7"/>
      <c r="HOT1194" s="7"/>
      <c r="HOU1194" s="7"/>
      <c r="HOV1194" s="7"/>
      <c r="HOW1194" s="7"/>
      <c r="HOX1194" s="7"/>
      <c r="HOY1194" s="7"/>
      <c r="HOZ1194" s="7"/>
      <c r="HPA1194" s="7"/>
      <c r="HPB1194" s="7"/>
      <c r="HPC1194" s="7"/>
      <c r="HPD1194" s="7"/>
      <c r="HPE1194" s="7"/>
      <c r="HPF1194" s="7"/>
      <c r="HPG1194" s="7"/>
      <c r="HPH1194" s="7"/>
      <c r="HPI1194" s="7"/>
      <c r="HPJ1194" s="7"/>
      <c r="HPK1194" s="7"/>
      <c r="HPL1194" s="7"/>
      <c r="HPM1194" s="7"/>
      <c r="HPN1194" s="7"/>
      <c r="HPO1194" s="7"/>
      <c r="HPP1194" s="7"/>
      <c r="HPQ1194" s="7"/>
      <c r="HPR1194" s="7"/>
      <c r="HPS1194" s="7"/>
      <c r="HPT1194" s="7"/>
      <c r="HPU1194" s="7"/>
      <c r="HPV1194" s="7"/>
      <c r="HPW1194" s="7"/>
      <c r="HPX1194" s="7"/>
      <c r="HPY1194" s="7"/>
      <c r="HPZ1194" s="7"/>
      <c r="HQA1194" s="7"/>
      <c r="HQB1194" s="7"/>
      <c r="HQC1194" s="7"/>
      <c r="HQD1194" s="7"/>
      <c r="HQE1194" s="7"/>
      <c r="HQF1194" s="7"/>
      <c r="HQG1194" s="7"/>
      <c r="HQH1194" s="7"/>
      <c r="HQI1194" s="7"/>
      <c r="HQJ1194" s="7"/>
      <c r="HQK1194" s="7"/>
      <c r="HQL1194" s="7"/>
      <c r="HQM1194" s="7"/>
      <c r="HQN1194" s="7"/>
      <c r="HQO1194" s="7"/>
      <c r="HQP1194" s="7"/>
      <c r="HQQ1194" s="7"/>
      <c r="HQR1194" s="7"/>
      <c r="HQS1194" s="7"/>
      <c r="HQT1194" s="7"/>
      <c r="HQU1194" s="7"/>
      <c r="HQV1194" s="7"/>
      <c r="HQW1194" s="7"/>
      <c r="HQX1194" s="7"/>
      <c r="HQY1194" s="7"/>
      <c r="HQZ1194" s="7"/>
      <c r="HRA1194" s="7"/>
      <c r="HRB1194" s="7"/>
      <c r="HRC1194" s="7"/>
      <c r="HRD1194" s="7"/>
      <c r="HRE1194" s="7"/>
      <c r="HRF1194" s="7"/>
      <c r="HRG1194" s="7"/>
      <c r="HRH1194" s="7"/>
      <c r="HRI1194" s="7"/>
      <c r="HRJ1194" s="7"/>
      <c r="HRK1194" s="7"/>
      <c r="HRL1194" s="7"/>
      <c r="HRM1194" s="7"/>
      <c r="HRN1194" s="7"/>
      <c r="HRO1194" s="7"/>
      <c r="HRP1194" s="7"/>
      <c r="HRQ1194" s="7"/>
      <c r="HRR1194" s="7"/>
      <c r="HRS1194" s="7"/>
      <c r="HRT1194" s="7"/>
      <c r="HRU1194" s="7"/>
      <c r="HRV1194" s="7"/>
      <c r="HRW1194" s="7"/>
      <c r="HRX1194" s="7"/>
      <c r="HRY1194" s="7"/>
      <c r="HRZ1194" s="7"/>
      <c r="HSA1194" s="7"/>
      <c r="HSB1194" s="7"/>
      <c r="HSC1194" s="7"/>
      <c r="HSD1194" s="7"/>
      <c r="HSE1194" s="7"/>
      <c r="HSF1194" s="7"/>
      <c r="HSG1194" s="7"/>
      <c r="HSH1194" s="7"/>
      <c r="HSI1194" s="7"/>
      <c r="HSJ1194" s="7"/>
      <c r="HSK1194" s="7"/>
      <c r="HSL1194" s="7"/>
      <c r="HSM1194" s="7"/>
      <c r="HSN1194" s="7"/>
      <c r="HSO1194" s="7"/>
      <c r="HSP1194" s="7"/>
      <c r="HSQ1194" s="7"/>
      <c r="HSR1194" s="7"/>
      <c r="HSS1194" s="7"/>
      <c r="HST1194" s="7"/>
      <c r="HSU1194" s="7"/>
      <c r="HSV1194" s="7"/>
      <c r="HSW1194" s="7"/>
      <c r="HSX1194" s="7"/>
      <c r="HSY1194" s="7"/>
      <c r="HSZ1194" s="7"/>
      <c r="HTA1194" s="7"/>
      <c r="HTB1194" s="7"/>
      <c r="HTC1194" s="7"/>
      <c r="HTD1194" s="7"/>
      <c r="HTE1194" s="7"/>
      <c r="HTF1194" s="7"/>
      <c r="HTG1194" s="7"/>
      <c r="HTH1194" s="7"/>
      <c r="HTI1194" s="7"/>
      <c r="HTJ1194" s="7"/>
      <c r="HTK1194" s="7"/>
      <c r="HTL1194" s="7"/>
      <c r="HTM1194" s="7"/>
      <c r="HTN1194" s="7"/>
      <c r="HTO1194" s="7"/>
      <c r="HTP1194" s="7"/>
      <c r="HTQ1194" s="7"/>
      <c r="HTR1194" s="7"/>
      <c r="HTS1194" s="7"/>
      <c r="HTT1194" s="7"/>
      <c r="HTU1194" s="7"/>
      <c r="HTV1194" s="7"/>
      <c r="HTW1194" s="7"/>
      <c r="HTX1194" s="7"/>
      <c r="HTY1194" s="7"/>
      <c r="HTZ1194" s="7"/>
      <c r="HUA1194" s="7"/>
      <c r="HUB1194" s="7"/>
      <c r="HUC1194" s="7"/>
      <c r="HUD1194" s="7"/>
      <c r="HUE1194" s="7"/>
      <c r="HUF1194" s="7"/>
      <c r="HUG1194" s="7"/>
      <c r="HUH1194" s="7"/>
      <c r="HUI1194" s="7"/>
      <c r="HUJ1194" s="7"/>
      <c r="HUK1194" s="7"/>
      <c r="HUL1194" s="7"/>
      <c r="HUM1194" s="7"/>
      <c r="HUN1194" s="7"/>
      <c r="HUO1194" s="7"/>
      <c r="HUP1194" s="7"/>
      <c r="HUQ1194" s="7"/>
      <c r="HUR1194" s="7"/>
      <c r="HUS1194" s="7"/>
      <c r="HUT1194" s="7"/>
      <c r="HUU1194" s="7"/>
      <c r="HUV1194" s="7"/>
      <c r="HUW1194" s="7"/>
      <c r="HUX1194" s="7"/>
      <c r="HUY1194" s="7"/>
      <c r="HUZ1194" s="7"/>
      <c r="HVA1194" s="7"/>
      <c r="HVB1194" s="7"/>
      <c r="HVC1194" s="7"/>
      <c r="HVD1194" s="7"/>
      <c r="HVE1194" s="7"/>
      <c r="HVF1194" s="7"/>
      <c r="HVG1194" s="7"/>
      <c r="HVH1194" s="7"/>
      <c r="HVI1194" s="7"/>
      <c r="HVJ1194" s="7"/>
      <c r="HVK1194" s="7"/>
      <c r="HVL1194" s="7"/>
      <c r="HVM1194" s="7"/>
      <c r="HVN1194" s="7"/>
      <c r="HVO1194" s="7"/>
      <c r="HVP1194" s="7"/>
      <c r="HVQ1194" s="7"/>
      <c r="HVR1194" s="7"/>
      <c r="HVS1194" s="7"/>
      <c r="HVT1194" s="7"/>
      <c r="HVU1194" s="7"/>
      <c r="HVV1194" s="7"/>
      <c r="HVW1194" s="7"/>
      <c r="HVX1194" s="7"/>
      <c r="HVY1194" s="7"/>
      <c r="HVZ1194" s="7"/>
      <c r="HWA1194" s="7"/>
      <c r="HWB1194" s="7"/>
      <c r="HWC1194" s="7"/>
      <c r="HWD1194" s="7"/>
      <c r="HWE1194" s="7"/>
      <c r="HWF1194" s="7"/>
      <c r="HWG1194" s="7"/>
      <c r="HWH1194" s="7"/>
      <c r="HWI1194" s="7"/>
      <c r="HWJ1194" s="7"/>
      <c r="HWK1194" s="7"/>
      <c r="HWL1194" s="7"/>
      <c r="HWM1194" s="7"/>
      <c r="HWN1194" s="7"/>
      <c r="HWO1194" s="7"/>
      <c r="HWP1194" s="7"/>
      <c r="HWQ1194" s="7"/>
      <c r="HWR1194" s="7"/>
      <c r="HWS1194" s="7"/>
      <c r="HWT1194" s="7"/>
      <c r="HWU1194" s="7"/>
      <c r="HWV1194" s="7"/>
      <c r="HWW1194" s="7"/>
      <c r="HWX1194" s="7"/>
      <c r="HWY1194" s="7"/>
      <c r="HWZ1194" s="7"/>
      <c r="HXA1194" s="7"/>
      <c r="HXB1194" s="7"/>
      <c r="HXC1194" s="7"/>
      <c r="HXD1194" s="7"/>
      <c r="HXE1194" s="7"/>
      <c r="HXF1194" s="7"/>
      <c r="HXG1194" s="7"/>
      <c r="HXH1194" s="7"/>
      <c r="HXI1194" s="7"/>
      <c r="HXJ1194" s="7"/>
      <c r="HXK1194" s="7"/>
      <c r="HXL1194" s="7"/>
      <c r="HXM1194" s="7"/>
      <c r="HXN1194" s="7"/>
      <c r="HXO1194" s="7"/>
      <c r="HXP1194" s="7"/>
      <c r="HXQ1194" s="7"/>
      <c r="HXR1194" s="7"/>
      <c r="HXS1194" s="7"/>
      <c r="HXT1194" s="7"/>
      <c r="HXU1194" s="7"/>
      <c r="HXV1194" s="7"/>
      <c r="HXW1194" s="7"/>
      <c r="HXX1194" s="7"/>
      <c r="HXY1194" s="7"/>
      <c r="HXZ1194" s="7"/>
      <c r="HYA1194" s="7"/>
      <c r="HYB1194" s="7"/>
      <c r="HYC1194" s="7"/>
      <c r="HYD1194" s="7"/>
      <c r="HYE1194" s="7"/>
      <c r="HYF1194" s="7"/>
      <c r="HYG1194" s="7"/>
      <c r="HYH1194" s="7"/>
      <c r="HYI1194" s="7"/>
      <c r="HYJ1194" s="7"/>
      <c r="HYK1194" s="7"/>
      <c r="HYL1194" s="7"/>
      <c r="HYM1194" s="7"/>
      <c r="HYN1194" s="7"/>
      <c r="HYO1194" s="7"/>
      <c r="HYP1194" s="7"/>
      <c r="HYQ1194" s="7"/>
      <c r="HYR1194" s="7"/>
      <c r="HYS1194" s="7"/>
      <c r="HYT1194" s="7"/>
      <c r="HYU1194" s="7"/>
      <c r="HYV1194" s="7"/>
      <c r="HYW1194" s="7"/>
      <c r="HYX1194" s="7"/>
      <c r="HYY1194" s="7"/>
      <c r="HYZ1194" s="7"/>
      <c r="HZA1194" s="7"/>
      <c r="HZB1194" s="7"/>
      <c r="HZC1194" s="7"/>
      <c r="HZD1194" s="7"/>
      <c r="HZE1194" s="7"/>
      <c r="HZF1194" s="7"/>
      <c r="HZG1194" s="7"/>
      <c r="HZH1194" s="7"/>
      <c r="HZI1194" s="7"/>
      <c r="HZJ1194" s="7"/>
      <c r="HZK1194" s="7"/>
      <c r="HZL1194" s="7"/>
      <c r="HZM1194" s="7"/>
      <c r="HZN1194" s="7"/>
      <c r="HZO1194" s="7"/>
      <c r="HZP1194" s="7"/>
      <c r="HZQ1194" s="7"/>
      <c r="HZR1194" s="7"/>
      <c r="HZS1194" s="7"/>
      <c r="HZT1194" s="7"/>
      <c r="HZU1194" s="7"/>
      <c r="HZV1194" s="7"/>
      <c r="HZW1194" s="7"/>
      <c r="HZX1194" s="7"/>
      <c r="HZY1194" s="7"/>
      <c r="HZZ1194" s="7"/>
      <c r="IAA1194" s="7"/>
      <c r="IAB1194" s="7"/>
      <c r="IAC1194" s="7"/>
      <c r="IAD1194" s="7"/>
      <c r="IAE1194" s="7"/>
      <c r="IAF1194" s="7"/>
      <c r="IAG1194" s="7"/>
      <c r="IAH1194" s="7"/>
      <c r="IAI1194" s="7"/>
      <c r="IAJ1194" s="7"/>
      <c r="IAK1194" s="7"/>
      <c r="IAL1194" s="7"/>
      <c r="IAM1194" s="7"/>
      <c r="IAN1194" s="7"/>
      <c r="IAO1194" s="7"/>
      <c r="IAP1194" s="7"/>
      <c r="IAQ1194" s="7"/>
      <c r="IAR1194" s="7"/>
      <c r="IAS1194" s="7"/>
      <c r="IAT1194" s="7"/>
      <c r="IAU1194" s="7"/>
      <c r="IAV1194" s="7"/>
      <c r="IAW1194" s="7"/>
      <c r="IAX1194" s="7"/>
      <c r="IAY1194" s="7"/>
      <c r="IAZ1194" s="7"/>
      <c r="IBA1194" s="7"/>
      <c r="IBB1194" s="7"/>
      <c r="IBC1194" s="7"/>
      <c r="IBD1194" s="7"/>
      <c r="IBE1194" s="7"/>
      <c r="IBF1194" s="7"/>
      <c r="IBG1194" s="7"/>
      <c r="IBH1194" s="7"/>
      <c r="IBI1194" s="7"/>
      <c r="IBJ1194" s="7"/>
      <c r="IBK1194" s="7"/>
      <c r="IBL1194" s="7"/>
      <c r="IBM1194" s="7"/>
      <c r="IBN1194" s="7"/>
      <c r="IBO1194" s="7"/>
      <c r="IBP1194" s="7"/>
      <c r="IBQ1194" s="7"/>
      <c r="IBR1194" s="7"/>
      <c r="IBS1194" s="7"/>
      <c r="IBT1194" s="7"/>
      <c r="IBU1194" s="7"/>
      <c r="IBV1194" s="7"/>
      <c r="IBW1194" s="7"/>
      <c r="IBX1194" s="7"/>
      <c r="IBY1194" s="7"/>
      <c r="IBZ1194" s="7"/>
      <c r="ICA1194" s="7"/>
      <c r="ICB1194" s="7"/>
      <c r="ICC1194" s="7"/>
      <c r="ICD1194" s="7"/>
      <c r="ICE1194" s="7"/>
      <c r="ICF1194" s="7"/>
      <c r="ICG1194" s="7"/>
      <c r="ICH1194" s="7"/>
      <c r="ICI1194" s="7"/>
      <c r="ICJ1194" s="7"/>
      <c r="ICK1194" s="7"/>
      <c r="ICL1194" s="7"/>
      <c r="ICM1194" s="7"/>
      <c r="ICN1194" s="7"/>
      <c r="ICO1194" s="7"/>
      <c r="ICP1194" s="7"/>
      <c r="ICQ1194" s="7"/>
      <c r="ICR1194" s="7"/>
      <c r="ICS1194" s="7"/>
      <c r="ICT1194" s="7"/>
      <c r="ICU1194" s="7"/>
      <c r="ICV1194" s="7"/>
      <c r="ICW1194" s="7"/>
      <c r="ICX1194" s="7"/>
      <c r="ICY1194" s="7"/>
      <c r="ICZ1194" s="7"/>
      <c r="IDA1194" s="7"/>
      <c r="IDB1194" s="7"/>
      <c r="IDC1194" s="7"/>
      <c r="IDD1194" s="7"/>
      <c r="IDE1194" s="7"/>
      <c r="IDF1194" s="7"/>
      <c r="IDG1194" s="7"/>
      <c r="IDH1194" s="7"/>
      <c r="IDI1194" s="7"/>
      <c r="IDJ1194" s="7"/>
      <c r="IDK1194" s="7"/>
      <c r="IDL1194" s="7"/>
      <c r="IDM1194" s="7"/>
      <c r="IDN1194" s="7"/>
      <c r="IDO1194" s="7"/>
      <c r="IDP1194" s="7"/>
      <c r="IDQ1194" s="7"/>
      <c r="IDR1194" s="7"/>
      <c r="IDS1194" s="7"/>
      <c r="IDT1194" s="7"/>
      <c r="IDU1194" s="7"/>
      <c r="IDV1194" s="7"/>
      <c r="IDW1194" s="7"/>
      <c r="IDX1194" s="7"/>
      <c r="IDY1194" s="7"/>
      <c r="IDZ1194" s="7"/>
      <c r="IEA1194" s="7"/>
      <c r="IEB1194" s="7"/>
      <c r="IEC1194" s="7"/>
      <c r="IED1194" s="7"/>
      <c r="IEE1194" s="7"/>
      <c r="IEF1194" s="7"/>
      <c r="IEG1194" s="7"/>
      <c r="IEH1194" s="7"/>
      <c r="IEI1194" s="7"/>
      <c r="IEJ1194" s="7"/>
      <c r="IEK1194" s="7"/>
      <c r="IEL1194" s="7"/>
      <c r="IEM1194" s="7"/>
      <c r="IEN1194" s="7"/>
      <c r="IEO1194" s="7"/>
      <c r="IEP1194" s="7"/>
      <c r="IEQ1194" s="7"/>
      <c r="IER1194" s="7"/>
      <c r="IES1194" s="7"/>
      <c r="IET1194" s="7"/>
      <c r="IEU1194" s="7"/>
      <c r="IEV1194" s="7"/>
      <c r="IEW1194" s="7"/>
      <c r="IEX1194" s="7"/>
      <c r="IEY1194" s="7"/>
      <c r="IEZ1194" s="7"/>
      <c r="IFA1194" s="7"/>
      <c r="IFB1194" s="7"/>
      <c r="IFC1194" s="7"/>
      <c r="IFD1194" s="7"/>
      <c r="IFE1194" s="7"/>
      <c r="IFF1194" s="7"/>
      <c r="IFG1194" s="7"/>
      <c r="IFH1194" s="7"/>
      <c r="IFI1194" s="7"/>
      <c r="IFJ1194" s="7"/>
      <c r="IFK1194" s="7"/>
      <c r="IFL1194" s="7"/>
      <c r="IFM1194" s="7"/>
      <c r="IFN1194" s="7"/>
      <c r="IFO1194" s="7"/>
      <c r="IFP1194" s="7"/>
      <c r="IFQ1194" s="7"/>
      <c r="IFR1194" s="7"/>
      <c r="IFS1194" s="7"/>
      <c r="IFT1194" s="7"/>
      <c r="IFU1194" s="7"/>
      <c r="IFV1194" s="7"/>
      <c r="IFW1194" s="7"/>
      <c r="IFX1194" s="7"/>
      <c r="IFY1194" s="7"/>
      <c r="IFZ1194" s="7"/>
      <c r="IGA1194" s="7"/>
      <c r="IGB1194" s="7"/>
      <c r="IGC1194" s="7"/>
      <c r="IGD1194" s="7"/>
      <c r="IGE1194" s="7"/>
      <c r="IGF1194" s="7"/>
      <c r="IGG1194" s="7"/>
      <c r="IGH1194" s="7"/>
      <c r="IGI1194" s="7"/>
      <c r="IGJ1194" s="7"/>
      <c r="IGK1194" s="7"/>
      <c r="IGL1194" s="7"/>
      <c r="IGM1194" s="7"/>
      <c r="IGN1194" s="7"/>
      <c r="IGO1194" s="7"/>
      <c r="IGP1194" s="7"/>
      <c r="IGQ1194" s="7"/>
      <c r="IGR1194" s="7"/>
      <c r="IGS1194" s="7"/>
      <c r="IGT1194" s="7"/>
      <c r="IGU1194" s="7"/>
      <c r="IGV1194" s="7"/>
      <c r="IGW1194" s="7"/>
      <c r="IGX1194" s="7"/>
      <c r="IGY1194" s="7"/>
      <c r="IGZ1194" s="7"/>
      <c r="IHA1194" s="7"/>
      <c r="IHB1194" s="7"/>
      <c r="IHC1194" s="7"/>
      <c r="IHD1194" s="7"/>
      <c r="IHE1194" s="7"/>
      <c r="IHF1194" s="7"/>
      <c r="IHG1194" s="7"/>
      <c r="IHH1194" s="7"/>
      <c r="IHI1194" s="7"/>
      <c r="IHJ1194" s="7"/>
      <c r="IHK1194" s="7"/>
      <c r="IHL1194" s="7"/>
      <c r="IHM1194" s="7"/>
      <c r="IHN1194" s="7"/>
      <c r="IHO1194" s="7"/>
      <c r="IHP1194" s="7"/>
      <c r="IHQ1194" s="7"/>
      <c r="IHR1194" s="7"/>
      <c r="IHS1194" s="7"/>
      <c r="IHT1194" s="7"/>
      <c r="IHU1194" s="7"/>
      <c r="IHV1194" s="7"/>
      <c r="IHW1194" s="7"/>
      <c r="IHX1194" s="7"/>
      <c r="IHY1194" s="7"/>
      <c r="IHZ1194" s="7"/>
      <c r="IIA1194" s="7"/>
      <c r="IIB1194" s="7"/>
      <c r="IIC1194" s="7"/>
      <c r="IID1194" s="7"/>
      <c r="IIE1194" s="7"/>
      <c r="IIF1194" s="7"/>
      <c r="IIG1194" s="7"/>
      <c r="IIH1194" s="7"/>
      <c r="III1194" s="7"/>
      <c r="IIJ1194" s="7"/>
      <c r="IIK1194" s="7"/>
      <c r="IIL1194" s="7"/>
      <c r="IIM1194" s="7"/>
      <c r="IIN1194" s="7"/>
      <c r="IIO1194" s="7"/>
      <c r="IIP1194" s="7"/>
      <c r="IIQ1194" s="7"/>
      <c r="IIR1194" s="7"/>
      <c r="IIS1194" s="7"/>
      <c r="IIT1194" s="7"/>
      <c r="IIU1194" s="7"/>
      <c r="IIV1194" s="7"/>
      <c r="IIW1194" s="7"/>
      <c r="IIX1194" s="7"/>
      <c r="IIY1194" s="7"/>
      <c r="IIZ1194" s="7"/>
      <c r="IJA1194" s="7"/>
      <c r="IJB1194" s="7"/>
      <c r="IJC1194" s="7"/>
      <c r="IJD1194" s="7"/>
      <c r="IJE1194" s="7"/>
      <c r="IJF1194" s="7"/>
      <c r="IJG1194" s="7"/>
      <c r="IJH1194" s="7"/>
      <c r="IJI1194" s="7"/>
      <c r="IJJ1194" s="7"/>
      <c r="IJK1194" s="7"/>
      <c r="IJL1194" s="7"/>
      <c r="IJM1194" s="7"/>
      <c r="IJN1194" s="7"/>
      <c r="IJO1194" s="7"/>
      <c r="IJP1194" s="7"/>
      <c r="IJQ1194" s="7"/>
      <c r="IJR1194" s="7"/>
      <c r="IJS1194" s="7"/>
      <c r="IJT1194" s="7"/>
      <c r="IJU1194" s="7"/>
      <c r="IJV1194" s="7"/>
      <c r="IJW1194" s="7"/>
      <c r="IJX1194" s="7"/>
      <c r="IJY1194" s="7"/>
      <c r="IJZ1194" s="7"/>
      <c r="IKA1194" s="7"/>
      <c r="IKB1194" s="7"/>
      <c r="IKC1194" s="7"/>
      <c r="IKD1194" s="7"/>
      <c r="IKE1194" s="7"/>
      <c r="IKF1194" s="7"/>
      <c r="IKG1194" s="7"/>
      <c r="IKH1194" s="7"/>
      <c r="IKI1194" s="7"/>
      <c r="IKJ1194" s="7"/>
      <c r="IKK1194" s="7"/>
      <c r="IKL1194" s="7"/>
      <c r="IKM1194" s="7"/>
      <c r="IKN1194" s="7"/>
      <c r="IKO1194" s="7"/>
      <c r="IKP1194" s="7"/>
      <c r="IKQ1194" s="7"/>
      <c r="IKR1194" s="7"/>
      <c r="IKS1194" s="7"/>
      <c r="IKT1194" s="7"/>
      <c r="IKU1194" s="7"/>
      <c r="IKV1194" s="7"/>
      <c r="IKW1194" s="7"/>
      <c r="IKX1194" s="7"/>
      <c r="IKY1194" s="7"/>
      <c r="IKZ1194" s="7"/>
      <c r="ILA1194" s="7"/>
      <c r="ILB1194" s="7"/>
      <c r="ILC1194" s="7"/>
      <c r="ILD1194" s="7"/>
      <c r="ILE1194" s="7"/>
      <c r="ILF1194" s="7"/>
      <c r="ILG1194" s="7"/>
      <c r="ILH1194" s="7"/>
      <c r="ILI1194" s="7"/>
      <c r="ILJ1194" s="7"/>
      <c r="ILK1194" s="7"/>
      <c r="ILL1194" s="7"/>
      <c r="ILM1194" s="7"/>
      <c r="ILN1194" s="7"/>
      <c r="ILO1194" s="7"/>
      <c r="ILP1194" s="7"/>
      <c r="ILQ1194" s="7"/>
      <c r="ILR1194" s="7"/>
      <c r="ILS1194" s="7"/>
      <c r="ILT1194" s="7"/>
      <c r="ILU1194" s="7"/>
      <c r="ILV1194" s="7"/>
      <c r="ILW1194" s="7"/>
      <c r="ILX1194" s="7"/>
      <c r="ILY1194" s="7"/>
      <c r="ILZ1194" s="7"/>
      <c r="IMA1194" s="7"/>
      <c r="IMB1194" s="7"/>
      <c r="IMC1194" s="7"/>
      <c r="IMD1194" s="7"/>
      <c r="IME1194" s="7"/>
      <c r="IMF1194" s="7"/>
      <c r="IMG1194" s="7"/>
      <c r="IMH1194" s="7"/>
      <c r="IMI1194" s="7"/>
      <c r="IMJ1194" s="7"/>
      <c r="IMK1194" s="7"/>
      <c r="IML1194" s="7"/>
      <c r="IMM1194" s="7"/>
      <c r="IMN1194" s="7"/>
      <c r="IMO1194" s="7"/>
      <c r="IMP1194" s="7"/>
      <c r="IMQ1194" s="7"/>
      <c r="IMR1194" s="7"/>
      <c r="IMS1194" s="7"/>
      <c r="IMT1194" s="7"/>
      <c r="IMU1194" s="7"/>
      <c r="IMV1194" s="7"/>
      <c r="IMW1194" s="7"/>
      <c r="IMX1194" s="7"/>
      <c r="IMY1194" s="7"/>
      <c r="IMZ1194" s="7"/>
      <c r="INA1194" s="7"/>
      <c r="INB1194" s="7"/>
      <c r="INC1194" s="7"/>
      <c r="IND1194" s="7"/>
      <c r="INE1194" s="7"/>
      <c r="INF1194" s="7"/>
      <c r="ING1194" s="7"/>
      <c r="INH1194" s="7"/>
      <c r="INI1194" s="7"/>
      <c r="INJ1194" s="7"/>
      <c r="INK1194" s="7"/>
      <c r="INL1194" s="7"/>
      <c r="INM1194" s="7"/>
      <c r="INN1194" s="7"/>
      <c r="INO1194" s="7"/>
      <c r="INP1194" s="7"/>
      <c r="INQ1194" s="7"/>
      <c r="INR1194" s="7"/>
      <c r="INS1194" s="7"/>
      <c r="INT1194" s="7"/>
      <c r="INU1194" s="7"/>
      <c r="INV1194" s="7"/>
      <c r="INW1194" s="7"/>
      <c r="INX1194" s="7"/>
      <c r="INY1194" s="7"/>
      <c r="INZ1194" s="7"/>
      <c r="IOA1194" s="7"/>
      <c r="IOB1194" s="7"/>
      <c r="IOC1194" s="7"/>
      <c r="IOD1194" s="7"/>
      <c r="IOE1194" s="7"/>
      <c r="IOF1194" s="7"/>
      <c r="IOG1194" s="7"/>
      <c r="IOH1194" s="7"/>
      <c r="IOI1194" s="7"/>
      <c r="IOJ1194" s="7"/>
      <c r="IOK1194" s="7"/>
      <c r="IOL1194" s="7"/>
      <c r="IOM1194" s="7"/>
      <c r="ION1194" s="7"/>
      <c r="IOO1194" s="7"/>
      <c r="IOP1194" s="7"/>
      <c r="IOQ1194" s="7"/>
      <c r="IOR1194" s="7"/>
      <c r="IOS1194" s="7"/>
      <c r="IOT1194" s="7"/>
      <c r="IOU1194" s="7"/>
      <c r="IOV1194" s="7"/>
      <c r="IOW1194" s="7"/>
      <c r="IOX1194" s="7"/>
      <c r="IOY1194" s="7"/>
      <c r="IOZ1194" s="7"/>
      <c r="IPA1194" s="7"/>
      <c r="IPB1194" s="7"/>
      <c r="IPC1194" s="7"/>
      <c r="IPD1194" s="7"/>
      <c r="IPE1194" s="7"/>
      <c r="IPF1194" s="7"/>
      <c r="IPG1194" s="7"/>
      <c r="IPH1194" s="7"/>
      <c r="IPI1194" s="7"/>
      <c r="IPJ1194" s="7"/>
      <c r="IPK1194" s="7"/>
      <c r="IPL1194" s="7"/>
      <c r="IPM1194" s="7"/>
      <c r="IPN1194" s="7"/>
      <c r="IPO1194" s="7"/>
      <c r="IPP1194" s="7"/>
      <c r="IPQ1194" s="7"/>
      <c r="IPR1194" s="7"/>
      <c r="IPS1194" s="7"/>
      <c r="IPT1194" s="7"/>
      <c r="IPU1194" s="7"/>
      <c r="IPV1194" s="7"/>
      <c r="IPW1194" s="7"/>
      <c r="IPX1194" s="7"/>
      <c r="IPY1194" s="7"/>
      <c r="IPZ1194" s="7"/>
      <c r="IQA1194" s="7"/>
      <c r="IQB1194" s="7"/>
      <c r="IQC1194" s="7"/>
      <c r="IQD1194" s="7"/>
      <c r="IQE1194" s="7"/>
      <c r="IQF1194" s="7"/>
      <c r="IQG1194" s="7"/>
      <c r="IQH1194" s="7"/>
      <c r="IQI1194" s="7"/>
      <c r="IQJ1194" s="7"/>
      <c r="IQK1194" s="7"/>
      <c r="IQL1194" s="7"/>
      <c r="IQM1194" s="7"/>
      <c r="IQN1194" s="7"/>
      <c r="IQO1194" s="7"/>
      <c r="IQP1194" s="7"/>
      <c r="IQQ1194" s="7"/>
      <c r="IQR1194" s="7"/>
      <c r="IQS1194" s="7"/>
      <c r="IQT1194" s="7"/>
      <c r="IQU1194" s="7"/>
      <c r="IQV1194" s="7"/>
      <c r="IQW1194" s="7"/>
      <c r="IQX1194" s="7"/>
      <c r="IQY1194" s="7"/>
      <c r="IQZ1194" s="7"/>
      <c r="IRA1194" s="7"/>
      <c r="IRB1194" s="7"/>
      <c r="IRC1194" s="7"/>
      <c r="IRD1194" s="7"/>
      <c r="IRE1194" s="7"/>
      <c r="IRF1194" s="7"/>
      <c r="IRG1194" s="7"/>
      <c r="IRH1194" s="7"/>
      <c r="IRI1194" s="7"/>
      <c r="IRJ1194" s="7"/>
      <c r="IRK1194" s="7"/>
      <c r="IRL1194" s="7"/>
      <c r="IRM1194" s="7"/>
      <c r="IRN1194" s="7"/>
      <c r="IRO1194" s="7"/>
      <c r="IRP1194" s="7"/>
      <c r="IRQ1194" s="7"/>
      <c r="IRR1194" s="7"/>
      <c r="IRS1194" s="7"/>
      <c r="IRT1194" s="7"/>
      <c r="IRU1194" s="7"/>
      <c r="IRV1194" s="7"/>
      <c r="IRW1194" s="7"/>
      <c r="IRX1194" s="7"/>
      <c r="IRY1194" s="7"/>
      <c r="IRZ1194" s="7"/>
      <c r="ISA1194" s="7"/>
      <c r="ISB1194" s="7"/>
      <c r="ISC1194" s="7"/>
      <c r="ISD1194" s="7"/>
      <c r="ISE1194" s="7"/>
      <c r="ISF1194" s="7"/>
      <c r="ISG1194" s="7"/>
      <c r="ISH1194" s="7"/>
      <c r="ISI1194" s="7"/>
      <c r="ISJ1194" s="7"/>
      <c r="ISK1194" s="7"/>
      <c r="ISL1194" s="7"/>
      <c r="ISM1194" s="7"/>
      <c r="ISN1194" s="7"/>
      <c r="ISO1194" s="7"/>
      <c r="ISP1194" s="7"/>
      <c r="ISQ1194" s="7"/>
      <c r="ISR1194" s="7"/>
      <c r="ISS1194" s="7"/>
      <c r="IST1194" s="7"/>
      <c r="ISU1194" s="7"/>
      <c r="ISV1194" s="7"/>
      <c r="ISW1194" s="7"/>
      <c r="ISX1194" s="7"/>
      <c r="ISY1194" s="7"/>
      <c r="ISZ1194" s="7"/>
      <c r="ITA1194" s="7"/>
      <c r="ITB1194" s="7"/>
      <c r="ITC1194" s="7"/>
      <c r="ITD1194" s="7"/>
      <c r="ITE1194" s="7"/>
      <c r="ITF1194" s="7"/>
      <c r="ITG1194" s="7"/>
      <c r="ITH1194" s="7"/>
      <c r="ITI1194" s="7"/>
      <c r="ITJ1194" s="7"/>
      <c r="ITK1194" s="7"/>
      <c r="ITL1194" s="7"/>
      <c r="ITM1194" s="7"/>
      <c r="ITN1194" s="7"/>
      <c r="ITO1194" s="7"/>
      <c r="ITP1194" s="7"/>
      <c r="ITQ1194" s="7"/>
      <c r="ITR1194" s="7"/>
      <c r="ITS1194" s="7"/>
      <c r="ITT1194" s="7"/>
      <c r="ITU1194" s="7"/>
      <c r="ITV1194" s="7"/>
      <c r="ITW1194" s="7"/>
      <c r="ITX1194" s="7"/>
      <c r="ITY1194" s="7"/>
      <c r="ITZ1194" s="7"/>
      <c r="IUA1194" s="7"/>
      <c r="IUB1194" s="7"/>
      <c r="IUC1194" s="7"/>
      <c r="IUD1194" s="7"/>
      <c r="IUE1194" s="7"/>
      <c r="IUF1194" s="7"/>
      <c r="IUG1194" s="7"/>
      <c r="IUH1194" s="7"/>
      <c r="IUI1194" s="7"/>
      <c r="IUJ1194" s="7"/>
      <c r="IUK1194" s="7"/>
      <c r="IUL1194" s="7"/>
      <c r="IUM1194" s="7"/>
      <c r="IUN1194" s="7"/>
      <c r="IUO1194" s="7"/>
      <c r="IUP1194" s="7"/>
      <c r="IUQ1194" s="7"/>
      <c r="IUR1194" s="7"/>
      <c r="IUS1194" s="7"/>
      <c r="IUT1194" s="7"/>
      <c r="IUU1194" s="7"/>
      <c r="IUV1194" s="7"/>
      <c r="IUW1194" s="7"/>
      <c r="IUX1194" s="7"/>
      <c r="IUY1194" s="7"/>
      <c r="IUZ1194" s="7"/>
      <c r="IVA1194" s="7"/>
      <c r="IVB1194" s="7"/>
      <c r="IVC1194" s="7"/>
      <c r="IVD1194" s="7"/>
      <c r="IVE1194" s="7"/>
      <c r="IVF1194" s="7"/>
      <c r="IVG1194" s="7"/>
      <c r="IVH1194" s="7"/>
      <c r="IVI1194" s="7"/>
      <c r="IVJ1194" s="7"/>
      <c r="IVK1194" s="7"/>
      <c r="IVL1194" s="7"/>
      <c r="IVM1194" s="7"/>
      <c r="IVN1194" s="7"/>
      <c r="IVO1194" s="7"/>
      <c r="IVP1194" s="7"/>
      <c r="IVQ1194" s="7"/>
      <c r="IVR1194" s="7"/>
      <c r="IVS1194" s="7"/>
      <c r="IVT1194" s="7"/>
      <c r="IVU1194" s="7"/>
      <c r="IVV1194" s="7"/>
      <c r="IVW1194" s="7"/>
      <c r="IVX1194" s="7"/>
      <c r="IVY1194" s="7"/>
      <c r="IVZ1194" s="7"/>
      <c r="IWA1194" s="7"/>
      <c r="IWB1194" s="7"/>
      <c r="IWC1194" s="7"/>
      <c r="IWD1194" s="7"/>
      <c r="IWE1194" s="7"/>
      <c r="IWF1194" s="7"/>
      <c r="IWG1194" s="7"/>
      <c r="IWH1194" s="7"/>
      <c r="IWI1194" s="7"/>
      <c r="IWJ1194" s="7"/>
      <c r="IWK1194" s="7"/>
      <c r="IWL1194" s="7"/>
      <c r="IWM1194" s="7"/>
      <c r="IWN1194" s="7"/>
      <c r="IWO1194" s="7"/>
      <c r="IWP1194" s="7"/>
      <c r="IWQ1194" s="7"/>
      <c r="IWR1194" s="7"/>
      <c r="IWS1194" s="7"/>
      <c r="IWT1194" s="7"/>
      <c r="IWU1194" s="7"/>
      <c r="IWV1194" s="7"/>
      <c r="IWW1194" s="7"/>
      <c r="IWX1194" s="7"/>
      <c r="IWY1194" s="7"/>
      <c r="IWZ1194" s="7"/>
      <c r="IXA1194" s="7"/>
      <c r="IXB1194" s="7"/>
      <c r="IXC1194" s="7"/>
      <c r="IXD1194" s="7"/>
      <c r="IXE1194" s="7"/>
      <c r="IXF1194" s="7"/>
      <c r="IXG1194" s="7"/>
      <c r="IXH1194" s="7"/>
      <c r="IXI1194" s="7"/>
      <c r="IXJ1194" s="7"/>
      <c r="IXK1194" s="7"/>
      <c r="IXL1194" s="7"/>
      <c r="IXM1194" s="7"/>
      <c r="IXN1194" s="7"/>
      <c r="IXO1194" s="7"/>
      <c r="IXP1194" s="7"/>
      <c r="IXQ1194" s="7"/>
      <c r="IXR1194" s="7"/>
      <c r="IXS1194" s="7"/>
      <c r="IXT1194" s="7"/>
      <c r="IXU1194" s="7"/>
      <c r="IXV1194" s="7"/>
      <c r="IXW1194" s="7"/>
      <c r="IXX1194" s="7"/>
      <c r="IXY1194" s="7"/>
      <c r="IXZ1194" s="7"/>
      <c r="IYA1194" s="7"/>
      <c r="IYB1194" s="7"/>
      <c r="IYC1194" s="7"/>
      <c r="IYD1194" s="7"/>
      <c r="IYE1194" s="7"/>
      <c r="IYF1194" s="7"/>
      <c r="IYG1194" s="7"/>
      <c r="IYH1194" s="7"/>
      <c r="IYI1194" s="7"/>
      <c r="IYJ1194" s="7"/>
      <c r="IYK1194" s="7"/>
      <c r="IYL1194" s="7"/>
      <c r="IYM1194" s="7"/>
      <c r="IYN1194" s="7"/>
      <c r="IYO1194" s="7"/>
      <c r="IYP1194" s="7"/>
      <c r="IYQ1194" s="7"/>
      <c r="IYR1194" s="7"/>
      <c r="IYS1194" s="7"/>
      <c r="IYT1194" s="7"/>
      <c r="IYU1194" s="7"/>
      <c r="IYV1194" s="7"/>
      <c r="IYW1194" s="7"/>
      <c r="IYX1194" s="7"/>
      <c r="IYY1194" s="7"/>
      <c r="IYZ1194" s="7"/>
      <c r="IZA1194" s="7"/>
      <c r="IZB1194" s="7"/>
      <c r="IZC1194" s="7"/>
      <c r="IZD1194" s="7"/>
      <c r="IZE1194" s="7"/>
      <c r="IZF1194" s="7"/>
      <c r="IZG1194" s="7"/>
      <c r="IZH1194" s="7"/>
      <c r="IZI1194" s="7"/>
      <c r="IZJ1194" s="7"/>
      <c r="IZK1194" s="7"/>
      <c r="IZL1194" s="7"/>
      <c r="IZM1194" s="7"/>
      <c r="IZN1194" s="7"/>
      <c r="IZO1194" s="7"/>
      <c r="IZP1194" s="7"/>
      <c r="IZQ1194" s="7"/>
      <c r="IZR1194" s="7"/>
      <c r="IZS1194" s="7"/>
      <c r="IZT1194" s="7"/>
      <c r="IZU1194" s="7"/>
      <c r="IZV1194" s="7"/>
      <c r="IZW1194" s="7"/>
      <c r="IZX1194" s="7"/>
      <c r="IZY1194" s="7"/>
      <c r="IZZ1194" s="7"/>
      <c r="JAA1194" s="7"/>
      <c r="JAB1194" s="7"/>
      <c r="JAC1194" s="7"/>
      <c r="JAD1194" s="7"/>
      <c r="JAE1194" s="7"/>
      <c r="JAF1194" s="7"/>
      <c r="JAG1194" s="7"/>
      <c r="JAH1194" s="7"/>
      <c r="JAI1194" s="7"/>
      <c r="JAJ1194" s="7"/>
      <c r="JAK1194" s="7"/>
      <c r="JAL1194" s="7"/>
      <c r="JAM1194" s="7"/>
      <c r="JAN1194" s="7"/>
      <c r="JAO1194" s="7"/>
      <c r="JAP1194" s="7"/>
      <c r="JAQ1194" s="7"/>
      <c r="JAR1194" s="7"/>
      <c r="JAS1194" s="7"/>
      <c r="JAT1194" s="7"/>
      <c r="JAU1194" s="7"/>
      <c r="JAV1194" s="7"/>
      <c r="JAW1194" s="7"/>
      <c r="JAX1194" s="7"/>
      <c r="JAY1194" s="7"/>
      <c r="JAZ1194" s="7"/>
      <c r="JBA1194" s="7"/>
      <c r="JBB1194" s="7"/>
      <c r="JBC1194" s="7"/>
      <c r="JBD1194" s="7"/>
      <c r="JBE1194" s="7"/>
      <c r="JBF1194" s="7"/>
      <c r="JBG1194" s="7"/>
      <c r="JBH1194" s="7"/>
      <c r="JBI1194" s="7"/>
      <c r="JBJ1194" s="7"/>
      <c r="JBK1194" s="7"/>
      <c r="JBL1194" s="7"/>
      <c r="JBM1194" s="7"/>
      <c r="JBN1194" s="7"/>
      <c r="JBO1194" s="7"/>
      <c r="JBP1194" s="7"/>
      <c r="JBQ1194" s="7"/>
      <c r="JBR1194" s="7"/>
      <c r="JBS1194" s="7"/>
      <c r="JBT1194" s="7"/>
      <c r="JBU1194" s="7"/>
      <c r="JBV1194" s="7"/>
      <c r="JBW1194" s="7"/>
      <c r="JBX1194" s="7"/>
      <c r="JBY1194" s="7"/>
      <c r="JBZ1194" s="7"/>
      <c r="JCA1194" s="7"/>
      <c r="JCB1194" s="7"/>
      <c r="JCC1194" s="7"/>
      <c r="JCD1194" s="7"/>
      <c r="JCE1194" s="7"/>
      <c r="JCF1194" s="7"/>
      <c r="JCG1194" s="7"/>
      <c r="JCH1194" s="7"/>
      <c r="JCI1194" s="7"/>
      <c r="JCJ1194" s="7"/>
      <c r="JCK1194" s="7"/>
      <c r="JCL1194" s="7"/>
      <c r="JCM1194" s="7"/>
      <c r="JCN1194" s="7"/>
      <c r="JCO1194" s="7"/>
      <c r="JCP1194" s="7"/>
      <c r="JCQ1194" s="7"/>
      <c r="JCR1194" s="7"/>
      <c r="JCS1194" s="7"/>
      <c r="JCT1194" s="7"/>
      <c r="JCU1194" s="7"/>
      <c r="JCV1194" s="7"/>
      <c r="JCW1194" s="7"/>
      <c r="JCX1194" s="7"/>
      <c r="JCY1194" s="7"/>
      <c r="JCZ1194" s="7"/>
      <c r="JDA1194" s="7"/>
      <c r="JDB1194" s="7"/>
      <c r="JDC1194" s="7"/>
      <c r="JDD1194" s="7"/>
      <c r="JDE1194" s="7"/>
      <c r="JDF1194" s="7"/>
      <c r="JDG1194" s="7"/>
      <c r="JDH1194" s="7"/>
      <c r="JDI1194" s="7"/>
      <c r="JDJ1194" s="7"/>
      <c r="JDK1194" s="7"/>
      <c r="JDL1194" s="7"/>
      <c r="JDM1194" s="7"/>
      <c r="JDN1194" s="7"/>
      <c r="JDO1194" s="7"/>
      <c r="JDP1194" s="7"/>
      <c r="JDQ1194" s="7"/>
      <c r="JDR1194" s="7"/>
      <c r="JDS1194" s="7"/>
      <c r="JDT1194" s="7"/>
      <c r="JDU1194" s="7"/>
      <c r="JDV1194" s="7"/>
      <c r="JDW1194" s="7"/>
      <c r="JDX1194" s="7"/>
      <c r="JDY1194" s="7"/>
      <c r="JDZ1194" s="7"/>
      <c r="JEA1194" s="7"/>
      <c r="JEB1194" s="7"/>
      <c r="JEC1194" s="7"/>
      <c r="JED1194" s="7"/>
      <c r="JEE1194" s="7"/>
      <c r="JEF1194" s="7"/>
      <c r="JEG1194" s="7"/>
      <c r="JEH1194" s="7"/>
      <c r="JEI1194" s="7"/>
      <c r="JEJ1194" s="7"/>
      <c r="JEK1194" s="7"/>
      <c r="JEL1194" s="7"/>
      <c r="JEM1194" s="7"/>
      <c r="JEN1194" s="7"/>
      <c r="JEO1194" s="7"/>
      <c r="JEP1194" s="7"/>
      <c r="JEQ1194" s="7"/>
      <c r="JER1194" s="7"/>
      <c r="JES1194" s="7"/>
      <c r="JET1194" s="7"/>
      <c r="JEU1194" s="7"/>
      <c r="JEV1194" s="7"/>
      <c r="JEW1194" s="7"/>
      <c r="JEX1194" s="7"/>
      <c r="JEY1194" s="7"/>
      <c r="JEZ1194" s="7"/>
      <c r="JFA1194" s="7"/>
      <c r="JFB1194" s="7"/>
      <c r="JFC1194" s="7"/>
      <c r="JFD1194" s="7"/>
      <c r="JFE1194" s="7"/>
      <c r="JFF1194" s="7"/>
      <c r="JFG1194" s="7"/>
      <c r="JFH1194" s="7"/>
      <c r="JFI1194" s="7"/>
      <c r="JFJ1194" s="7"/>
      <c r="JFK1194" s="7"/>
      <c r="JFL1194" s="7"/>
      <c r="JFM1194" s="7"/>
      <c r="JFN1194" s="7"/>
      <c r="JFO1194" s="7"/>
      <c r="JFP1194" s="7"/>
      <c r="JFQ1194" s="7"/>
      <c r="JFR1194" s="7"/>
      <c r="JFS1194" s="7"/>
      <c r="JFT1194" s="7"/>
      <c r="JFU1194" s="7"/>
      <c r="JFV1194" s="7"/>
      <c r="JFW1194" s="7"/>
      <c r="JFX1194" s="7"/>
      <c r="JFY1194" s="7"/>
      <c r="JFZ1194" s="7"/>
      <c r="JGA1194" s="7"/>
      <c r="JGB1194" s="7"/>
      <c r="JGC1194" s="7"/>
      <c r="JGD1194" s="7"/>
      <c r="JGE1194" s="7"/>
      <c r="JGF1194" s="7"/>
      <c r="JGG1194" s="7"/>
      <c r="JGH1194" s="7"/>
      <c r="JGI1194" s="7"/>
      <c r="JGJ1194" s="7"/>
      <c r="JGK1194" s="7"/>
      <c r="JGL1194" s="7"/>
      <c r="JGM1194" s="7"/>
      <c r="JGN1194" s="7"/>
      <c r="JGO1194" s="7"/>
      <c r="JGP1194" s="7"/>
      <c r="JGQ1194" s="7"/>
      <c r="JGR1194" s="7"/>
      <c r="JGS1194" s="7"/>
      <c r="JGT1194" s="7"/>
      <c r="JGU1194" s="7"/>
      <c r="JGV1194" s="7"/>
      <c r="JGW1194" s="7"/>
      <c r="JGX1194" s="7"/>
      <c r="JGY1194" s="7"/>
      <c r="JGZ1194" s="7"/>
      <c r="JHA1194" s="7"/>
      <c r="JHB1194" s="7"/>
      <c r="JHC1194" s="7"/>
      <c r="JHD1194" s="7"/>
      <c r="JHE1194" s="7"/>
      <c r="JHF1194" s="7"/>
      <c r="JHG1194" s="7"/>
      <c r="JHH1194" s="7"/>
      <c r="JHI1194" s="7"/>
      <c r="JHJ1194" s="7"/>
      <c r="JHK1194" s="7"/>
      <c r="JHL1194" s="7"/>
      <c r="JHM1194" s="7"/>
      <c r="JHN1194" s="7"/>
      <c r="JHO1194" s="7"/>
      <c r="JHP1194" s="7"/>
      <c r="JHQ1194" s="7"/>
      <c r="JHR1194" s="7"/>
      <c r="JHS1194" s="7"/>
      <c r="JHT1194" s="7"/>
      <c r="JHU1194" s="7"/>
      <c r="JHV1194" s="7"/>
      <c r="JHW1194" s="7"/>
      <c r="JHX1194" s="7"/>
      <c r="JHY1194" s="7"/>
      <c r="JHZ1194" s="7"/>
      <c r="JIA1194" s="7"/>
      <c r="JIB1194" s="7"/>
      <c r="JIC1194" s="7"/>
      <c r="JID1194" s="7"/>
      <c r="JIE1194" s="7"/>
      <c r="JIF1194" s="7"/>
      <c r="JIG1194" s="7"/>
      <c r="JIH1194" s="7"/>
      <c r="JII1194" s="7"/>
      <c r="JIJ1194" s="7"/>
      <c r="JIK1194" s="7"/>
      <c r="JIL1194" s="7"/>
      <c r="JIM1194" s="7"/>
      <c r="JIN1194" s="7"/>
      <c r="JIO1194" s="7"/>
      <c r="JIP1194" s="7"/>
      <c r="JIQ1194" s="7"/>
      <c r="JIR1194" s="7"/>
      <c r="JIS1194" s="7"/>
      <c r="JIT1194" s="7"/>
      <c r="JIU1194" s="7"/>
      <c r="JIV1194" s="7"/>
      <c r="JIW1194" s="7"/>
      <c r="JIX1194" s="7"/>
      <c r="JIY1194" s="7"/>
      <c r="JIZ1194" s="7"/>
      <c r="JJA1194" s="7"/>
      <c r="JJB1194" s="7"/>
      <c r="JJC1194" s="7"/>
      <c r="JJD1194" s="7"/>
      <c r="JJE1194" s="7"/>
      <c r="JJF1194" s="7"/>
      <c r="JJG1194" s="7"/>
      <c r="JJH1194" s="7"/>
      <c r="JJI1194" s="7"/>
      <c r="JJJ1194" s="7"/>
      <c r="JJK1194" s="7"/>
      <c r="JJL1194" s="7"/>
      <c r="JJM1194" s="7"/>
      <c r="JJN1194" s="7"/>
      <c r="JJO1194" s="7"/>
      <c r="JJP1194" s="7"/>
      <c r="JJQ1194" s="7"/>
      <c r="JJR1194" s="7"/>
      <c r="JJS1194" s="7"/>
      <c r="JJT1194" s="7"/>
      <c r="JJU1194" s="7"/>
      <c r="JJV1194" s="7"/>
      <c r="JJW1194" s="7"/>
      <c r="JJX1194" s="7"/>
      <c r="JJY1194" s="7"/>
      <c r="JJZ1194" s="7"/>
      <c r="JKA1194" s="7"/>
      <c r="JKB1194" s="7"/>
      <c r="JKC1194" s="7"/>
      <c r="JKD1194" s="7"/>
      <c r="JKE1194" s="7"/>
      <c r="JKF1194" s="7"/>
      <c r="JKG1194" s="7"/>
      <c r="JKH1194" s="7"/>
      <c r="JKI1194" s="7"/>
      <c r="JKJ1194" s="7"/>
      <c r="JKK1194" s="7"/>
      <c r="JKL1194" s="7"/>
      <c r="JKM1194" s="7"/>
      <c r="JKN1194" s="7"/>
      <c r="JKO1194" s="7"/>
      <c r="JKP1194" s="7"/>
      <c r="JKQ1194" s="7"/>
      <c r="JKR1194" s="7"/>
      <c r="JKS1194" s="7"/>
      <c r="JKT1194" s="7"/>
      <c r="JKU1194" s="7"/>
      <c r="JKV1194" s="7"/>
      <c r="JKW1194" s="7"/>
      <c r="JKX1194" s="7"/>
      <c r="JKY1194" s="7"/>
      <c r="JKZ1194" s="7"/>
      <c r="JLA1194" s="7"/>
      <c r="JLB1194" s="7"/>
      <c r="JLC1194" s="7"/>
      <c r="JLD1194" s="7"/>
      <c r="JLE1194" s="7"/>
      <c r="JLF1194" s="7"/>
      <c r="JLG1194" s="7"/>
      <c r="JLH1194" s="7"/>
      <c r="JLI1194" s="7"/>
      <c r="JLJ1194" s="7"/>
      <c r="JLK1194" s="7"/>
      <c r="JLL1194" s="7"/>
      <c r="JLM1194" s="7"/>
      <c r="JLN1194" s="7"/>
      <c r="JLO1194" s="7"/>
      <c r="JLP1194" s="7"/>
      <c r="JLQ1194" s="7"/>
      <c r="JLR1194" s="7"/>
      <c r="JLS1194" s="7"/>
      <c r="JLT1194" s="7"/>
      <c r="JLU1194" s="7"/>
      <c r="JLV1194" s="7"/>
      <c r="JLW1194" s="7"/>
      <c r="JLX1194" s="7"/>
      <c r="JLY1194" s="7"/>
      <c r="JLZ1194" s="7"/>
      <c r="JMA1194" s="7"/>
      <c r="JMB1194" s="7"/>
      <c r="JMC1194" s="7"/>
      <c r="JMD1194" s="7"/>
      <c r="JME1194" s="7"/>
      <c r="JMF1194" s="7"/>
      <c r="JMG1194" s="7"/>
      <c r="JMH1194" s="7"/>
      <c r="JMI1194" s="7"/>
      <c r="JMJ1194" s="7"/>
      <c r="JMK1194" s="7"/>
      <c r="JML1194" s="7"/>
      <c r="JMM1194" s="7"/>
      <c r="JMN1194" s="7"/>
      <c r="JMO1194" s="7"/>
      <c r="JMP1194" s="7"/>
      <c r="JMQ1194" s="7"/>
      <c r="JMR1194" s="7"/>
      <c r="JMS1194" s="7"/>
      <c r="JMT1194" s="7"/>
      <c r="JMU1194" s="7"/>
      <c r="JMV1194" s="7"/>
      <c r="JMW1194" s="7"/>
      <c r="JMX1194" s="7"/>
      <c r="JMY1194" s="7"/>
      <c r="JMZ1194" s="7"/>
      <c r="JNA1194" s="7"/>
      <c r="JNB1194" s="7"/>
      <c r="JNC1194" s="7"/>
      <c r="JND1194" s="7"/>
      <c r="JNE1194" s="7"/>
      <c r="JNF1194" s="7"/>
      <c r="JNG1194" s="7"/>
      <c r="JNH1194" s="7"/>
      <c r="JNI1194" s="7"/>
      <c r="JNJ1194" s="7"/>
      <c r="JNK1194" s="7"/>
      <c r="JNL1194" s="7"/>
      <c r="JNM1194" s="7"/>
      <c r="JNN1194" s="7"/>
      <c r="JNO1194" s="7"/>
      <c r="JNP1194" s="7"/>
      <c r="JNQ1194" s="7"/>
      <c r="JNR1194" s="7"/>
      <c r="JNS1194" s="7"/>
      <c r="JNT1194" s="7"/>
      <c r="JNU1194" s="7"/>
      <c r="JNV1194" s="7"/>
      <c r="JNW1194" s="7"/>
      <c r="JNX1194" s="7"/>
      <c r="JNY1194" s="7"/>
      <c r="JNZ1194" s="7"/>
      <c r="JOA1194" s="7"/>
      <c r="JOB1194" s="7"/>
      <c r="JOC1194" s="7"/>
      <c r="JOD1194" s="7"/>
      <c r="JOE1194" s="7"/>
      <c r="JOF1194" s="7"/>
      <c r="JOG1194" s="7"/>
      <c r="JOH1194" s="7"/>
      <c r="JOI1194" s="7"/>
      <c r="JOJ1194" s="7"/>
      <c r="JOK1194" s="7"/>
      <c r="JOL1194" s="7"/>
      <c r="JOM1194" s="7"/>
      <c r="JON1194" s="7"/>
      <c r="JOO1194" s="7"/>
      <c r="JOP1194" s="7"/>
      <c r="JOQ1194" s="7"/>
      <c r="JOR1194" s="7"/>
      <c r="JOS1194" s="7"/>
      <c r="JOT1194" s="7"/>
      <c r="JOU1194" s="7"/>
      <c r="JOV1194" s="7"/>
      <c r="JOW1194" s="7"/>
      <c r="JOX1194" s="7"/>
      <c r="JOY1194" s="7"/>
      <c r="JOZ1194" s="7"/>
      <c r="JPA1194" s="7"/>
      <c r="JPB1194" s="7"/>
      <c r="JPC1194" s="7"/>
      <c r="JPD1194" s="7"/>
      <c r="JPE1194" s="7"/>
      <c r="JPF1194" s="7"/>
      <c r="JPG1194" s="7"/>
      <c r="JPH1194" s="7"/>
      <c r="JPI1194" s="7"/>
      <c r="JPJ1194" s="7"/>
      <c r="JPK1194" s="7"/>
      <c r="JPL1194" s="7"/>
      <c r="JPM1194" s="7"/>
      <c r="JPN1194" s="7"/>
      <c r="JPO1194" s="7"/>
      <c r="JPP1194" s="7"/>
      <c r="JPQ1194" s="7"/>
      <c r="JPR1194" s="7"/>
      <c r="JPS1194" s="7"/>
      <c r="JPT1194" s="7"/>
      <c r="JPU1194" s="7"/>
      <c r="JPV1194" s="7"/>
      <c r="JPW1194" s="7"/>
      <c r="JPX1194" s="7"/>
      <c r="JPY1194" s="7"/>
      <c r="JPZ1194" s="7"/>
      <c r="JQA1194" s="7"/>
      <c r="JQB1194" s="7"/>
      <c r="JQC1194" s="7"/>
      <c r="JQD1194" s="7"/>
      <c r="JQE1194" s="7"/>
      <c r="JQF1194" s="7"/>
      <c r="JQG1194" s="7"/>
      <c r="JQH1194" s="7"/>
      <c r="JQI1194" s="7"/>
      <c r="JQJ1194" s="7"/>
      <c r="JQK1194" s="7"/>
      <c r="JQL1194" s="7"/>
      <c r="JQM1194" s="7"/>
      <c r="JQN1194" s="7"/>
      <c r="JQO1194" s="7"/>
      <c r="JQP1194" s="7"/>
      <c r="JQQ1194" s="7"/>
      <c r="JQR1194" s="7"/>
      <c r="JQS1194" s="7"/>
      <c r="JQT1194" s="7"/>
      <c r="JQU1194" s="7"/>
      <c r="JQV1194" s="7"/>
      <c r="JQW1194" s="7"/>
      <c r="JQX1194" s="7"/>
      <c r="JQY1194" s="7"/>
      <c r="JQZ1194" s="7"/>
      <c r="JRA1194" s="7"/>
      <c r="JRB1194" s="7"/>
      <c r="JRC1194" s="7"/>
      <c r="JRD1194" s="7"/>
      <c r="JRE1194" s="7"/>
      <c r="JRF1194" s="7"/>
      <c r="JRG1194" s="7"/>
      <c r="JRH1194" s="7"/>
      <c r="JRI1194" s="7"/>
      <c r="JRJ1194" s="7"/>
      <c r="JRK1194" s="7"/>
      <c r="JRL1194" s="7"/>
      <c r="JRM1194" s="7"/>
      <c r="JRN1194" s="7"/>
      <c r="JRO1194" s="7"/>
      <c r="JRP1194" s="7"/>
      <c r="JRQ1194" s="7"/>
      <c r="JRR1194" s="7"/>
      <c r="JRS1194" s="7"/>
      <c r="JRT1194" s="7"/>
      <c r="JRU1194" s="7"/>
      <c r="JRV1194" s="7"/>
      <c r="JRW1194" s="7"/>
      <c r="JRX1194" s="7"/>
      <c r="JRY1194" s="7"/>
      <c r="JRZ1194" s="7"/>
      <c r="JSA1194" s="7"/>
      <c r="JSB1194" s="7"/>
      <c r="JSC1194" s="7"/>
      <c r="JSD1194" s="7"/>
      <c r="JSE1194" s="7"/>
      <c r="JSF1194" s="7"/>
      <c r="JSG1194" s="7"/>
      <c r="JSH1194" s="7"/>
      <c r="JSI1194" s="7"/>
      <c r="JSJ1194" s="7"/>
      <c r="JSK1194" s="7"/>
      <c r="JSL1194" s="7"/>
      <c r="JSM1194" s="7"/>
      <c r="JSN1194" s="7"/>
      <c r="JSO1194" s="7"/>
      <c r="JSP1194" s="7"/>
      <c r="JSQ1194" s="7"/>
      <c r="JSR1194" s="7"/>
      <c r="JSS1194" s="7"/>
      <c r="JST1194" s="7"/>
      <c r="JSU1194" s="7"/>
      <c r="JSV1194" s="7"/>
      <c r="JSW1194" s="7"/>
      <c r="JSX1194" s="7"/>
      <c r="JSY1194" s="7"/>
      <c r="JSZ1194" s="7"/>
      <c r="JTA1194" s="7"/>
      <c r="JTB1194" s="7"/>
      <c r="JTC1194" s="7"/>
      <c r="JTD1194" s="7"/>
      <c r="JTE1194" s="7"/>
      <c r="JTF1194" s="7"/>
      <c r="JTG1194" s="7"/>
      <c r="JTH1194" s="7"/>
      <c r="JTI1194" s="7"/>
      <c r="JTJ1194" s="7"/>
      <c r="JTK1194" s="7"/>
      <c r="JTL1194" s="7"/>
      <c r="JTM1194" s="7"/>
      <c r="JTN1194" s="7"/>
      <c r="JTO1194" s="7"/>
      <c r="JTP1194" s="7"/>
      <c r="JTQ1194" s="7"/>
      <c r="JTR1194" s="7"/>
      <c r="JTS1194" s="7"/>
      <c r="JTT1194" s="7"/>
      <c r="JTU1194" s="7"/>
      <c r="JTV1194" s="7"/>
      <c r="JTW1194" s="7"/>
      <c r="JTX1194" s="7"/>
      <c r="JTY1194" s="7"/>
      <c r="JTZ1194" s="7"/>
      <c r="JUA1194" s="7"/>
      <c r="JUB1194" s="7"/>
      <c r="JUC1194" s="7"/>
      <c r="JUD1194" s="7"/>
      <c r="JUE1194" s="7"/>
      <c r="JUF1194" s="7"/>
      <c r="JUG1194" s="7"/>
      <c r="JUH1194" s="7"/>
      <c r="JUI1194" s="7"/>
      <c r="JUJ1194" s="7"/>
      <c r="JUK1194" s="7"/>
      <c r="JUL1194" s="7"/>
      <c r="JUM1194" s="7"/>
      <c r="JUN1194" s="7"/>
      <c r="JUO1194" s="7"/>
      <c r="JUP1194" s="7"/>
      <c r="JUQ1194" s="7"/>
      <c r="JUR1194" s="7"/>
      <c r="JUS1194" s="7"/>
      <c r="JUT1194" s="7"/>
      <c r="JUU1194" s="7"/>
      <c r="JUV1194" s="7"/>
      <c r="JUW1194" s="7"/>
      <c r="JUX1194" s="7"/>
      <c r="JUY1194" s="7"/>
      <c r="JUZ1194" s="7"/>
      <c r="JVA1194" s="7"/>
      <c r="JVB1194" s="7"/>
      <c r="JVC1194" s="7"/>
      <c r="JVD1194" s="7"/>
      <c r="JVE1194" s="7"/>
      <c r="JVF1194" s="7"/>
      <c r="JVG1194" s="7"/>
      <c r="JVH1194" s="7"/>
      <c r="JVI1194" s="7"/>
      <c r="JVJ1194" s="7"/>
      <c r="JVK1194" s="7"/>
      <c r="JVL1194" s="7"/>
      <c r="JVM1194" s="7"/>
      <c r="JVN1194" s="7"/>
      <c r="JVO1194" s="7"/>
      <c r="JVP1194" s="7"/>
      <c r="JVQ1194" s="7"/>
      <c r="JVR1194" s="7"/>
      <c r="JVS1194" s="7"/>
      <c r="JVT1194" s="7"/>
      <c r="JVU1194" s="7"/>
      <c r="JVV1194" s="7"/>
      <c r="JVW1194" s="7"/>
      <c r="JVX1194" s="7"/>
      <c r="JVY1194" s="7"/>
      <c r="JVZ1194" s="7"/>
      <c r="JWA1194" s="7"/>
      <c r="JWB1194" s="7"/>
      <c r="JWC1194" s="7"/>
      <c r="JWD1194" s="7"/>
      <c r="JWE1194" s="7"/>
      <c r="JWF1194" s="7"/>
      <c r="JWG1194" s="7"/>
      <c r="JWH1194" s="7"/>
      <c r="JWI1194" s="7"/>
      <c r="JWJ1194" s="7"/>
      <c r="JWK1194" s="7"/>
      <c r="JWL1194" s="7"/>
      <c r="JWM1194" s="7"/>
      <c r="JWN1194" s="7"/>
      <c r="JWO1194" s="7"/>
      <c r="JWP1194" s="7"/>
      <c r="JWQ1194" s="7"/>
      <c r="JWR1194" s="7"/>
      <c r="JWS1194" s="7"/>
      <c r="JWT1194" s="7"/>
      <c r="JWU1194" s="7"/>
      <c r="JWV1194" s="7"/>
      <c r="JWW1194" s="7"/>
      <c r="JWX1194" s="7"/>
      <c r="JWY1194" s="7"/>
      <c r="JWZ1194" s="7"/>
      <c r="JXA1194" s="7"/>
      <c r="JXB1194" s="7"/>
      <c r="JXC1194" s="7"/>
      <c r="JXD1194" s="7"/>
      <c r="JXE1194" s="7"/>
      <c r="JXF1194" s="7"/>
      <c r="JXG1194" s="7"/>
      <c r="JXH1194" s="7"/>
      <c r="JXI1194" s="7"/>
      <c r="JXJ1194" s="7"/>
      <c r="JXK1194" s="7"/>
      <c r="JXL1194" s="7"/>
      <c r="JXM1194" s="7"/>
      <c r="JXN1194" s="7"/>
      <c r="JXO1194" s="7"/>
      <c r="JXP1194" s="7"/>
      <c r="JXQ1194" s="7"/>
      <c r="JXR1194" s="7"/>
      <c r="JXS1194" s="7"/>
      <c r="JXT1194" s="7"/>
      <c r="JXU1194" s="7"/>
      <c r="JXV1194" s="7"/>
      <c r="JXW1194" s="7"/>
      <c r="JXX1194" s="7"/>
      <c r="JXY1194" s="7"/>
      <c r="JXZ1194" s="7"/>
      <c r="JYA1194" s="7"/>
      <c r="JYB1194" s="7"/>
      <c r="JYC1194" s="7"/>
      <c r="JYD1194" s="7"/>
      <c r="JYE1194" s="7"/>
      <c r="JYF1194" s="7"/>
      <c r="JYG1194" s="7"/>
      <c r="JYH1194" s="7"/>
      <c r="JYI1194" s="7"/>
      <c r="JYJ1194" s="7"/>
      <c r="JYK1194" s="7"/>
      <c r="JYL1194" s="7"/>
      <c r="JYM1194" s="7"/>
      <c r="JYN1194" s="7"/>
      <c r="JYO1194" s="7"/>
      <c r="JYP1194" s="7"/>
      <c r="JYQ1194" s="7"/>
      <c r="JYR1194" s="7"/>
      <c r="JYS1194" s="7"/>
      <c r="JYT1194" s="7"/>
      <c r="JYU1194" s="7"/>
      <c r="JYV1194" s="7"/>
      <c r="JYW1194" s="7"/>
      <c r="JYX1194" s="7"/>
      <c r="JYY1194" s="7"/>
      <c r="JYZ1194" s="7"/>
      <c r="JZA1194" s="7"/>
      <c r="JZB1194" s="7"/>
      <c r="JZC1194" s="7"/>
      <c r="JZD1194" s="7"/>
      <c r="JZE1194" s="7"/>
      <c r="JZF1194" s="7"/>
      <c r="JZG1194" s="7"/>
      <c r="JZH1194" s="7"/>
      <c r="JZI1194" s="7"/>
      <c r="JZJ1194" s="7"/>
      <c r="JZK1194" s="7"/>
      <c r="JZL1194" s="7"/>
      <c r="JZM1194" s="7"/>
      <c r="JZN1194" s="7"/>
      <c r="JZO1194" s="7"/>
      <c r="JZP1194" s="7"/>
      <c r="JZQ1194" s="7"/>
      <c r="JZR1194" s="7"/>
      <c r="JZS1194" s="7"/>
      <c r="JZT1194" s="7"/>
      <c r="JZU1194" s="7"/>
      <c r="JZV1194" s="7"/>
      <c r="JZW1194" s="7"/>
      <c r="JZX1194" s="7"/>
      <c r="JZY1194" s="7"/>
      <c r="JZZ1194" s="7"/>
      <c r="KAA1194" s="7"/>
      <c r="KAB1194" s="7"/>
      <c r="KAC1194" s="7"/>
      <c r="KAD1194" s="7"/>
      <c r="KAE1194" s="7"/>
      <c r="KAF1194" s="7"/>
      <c r="KAG1194" s="7"/>
      <c r="KAH1194" s="7"/>
      <c r="KAI1194" s="7"/>
      <c r="KAJ1194" s="7"/>
      <c r="KAK1194" s="7"/>
      <c r="KAL1194" s="7"/>
      <c r="KAM1194" s="7"/>
      <c r="KAN1194" s="7"/>
      <c r="KAO1194" s="7"/>
      <c r="KAP1194" s="7"/>
      <c r="KAQ1194" s="7"/>
      <c r="KAR1194" s="7"/>
      <c r="KAS1194" s="7"/>
      <c r="KAT1194" s="7"/>
      <c r="KAU1194" s="7"/>
      <c r="KAV1194" s="7"/>
      <c r="KAW1194" s="7"/>
      <c r="KAX1194" s="7"/>
      <c r="KAY1194" s="7"/>
      <c r="KAZ1194" s="7"/>
      <c r="KBA1194" s="7"/>
      <c r="KBB1194" s="7"/>
      <c r="KBC1194" s="7"/>
      <c r="KBD1194" s="7"/>
      <c r="KBE1194" s="7"/>
      <c r="KBF1194" s="7"/>
      <c r="KBG1194" s="7"/>
      <c r="KBH1194" s="7"/>
      <c r="KBI1194" s="7"/>
      <c r="KBJ1194" s="7"/>
      <c r="KBK1194" s="7"/>
      <c r="KBL1194" s="7"/>
      <c r="KBM1194" s="7"/>
      <c r="KBN1194" s="7"/>
      <c r="KBO1194" s="7"/>
      <c r="KBP1194" s="7"/>
      <c r="KBQ1194" s="7"/>
      <c r="KBR1194" s="7"/>
      <c r="KBS1194" s="7"/>
      <c r="KBT1194" s="7"/>
      <c r="KBU1194" s="7"/>
      <c r="KBV1194" s="7"/>
      <c r="KBW1194" s="7"/>
      <c r="KBX1194" s="7"/>
      <c r="KBY1194" s="7"/>
      <c r="KBZ1194" s="7"/>
      <c r="KCA1194" s="7"/>
      <c r="KCB1194" s="7"/>
      <c r="KCC1194" s="7"/>
      <c r="KCD1194" s="7"/>
      <c r="KCE1194" s="7"/>
      <c r="KCF1194" s="7"/>
      <c r="KCG1194" s="7"/>
      <c r="KCH1194" s="7"/>
      <c r="KCI1194" s="7"/>
      <c r="KCJ1194" s="7"/>
      <c r="KCK1194" s="7"/>
      <c r="KCL1194" s="7"/>
      <c r="KCM1194" s="7"/>
      <c r="KCN1194" s="7"/>
      <c r="KCO1194" s="7"/>
      <c r="KCP1194" s="7"/>
      <c r="KCQ1194" s="7"/>
      <c r="KCR1194" s="7"/>
      <c r="KCS1194" s="7"/>
      <c r="KCT1194" s="7"/>
      <c r="KCU1194" s="7"/>
      <c r="KCV1194" s="7"/>
      <c r="KCW1194" s="7"/>
      <c r="KCX1194" s="7"/>
      <c r="KCY1194" s="7"/>
      <c r="KCZ1194" s="7"/>
      <c r="KDA1194" s="7"/>
      <c r="KDB1194" s="7"/>
      <c r="KDC1194" s="7"/>
      <c r="KDD1194" s="7"/>
      <c r="KDE1194" s="7"/>
      <c r="KDF1194" s="7"/>
      <c r="KDG1194" s="7"/>
      <c r="KDH1194" s="7"/>
      <c r="KDI1194" s="7"/>
      <c r="KDJ1194" s="7"/>
      <c r="KDK1194" s="7"/>
      <c r="KDL1194" s="7"/>
      <c r="KDM1194" s="7"/>
      <c r="KDN1194" s="7"/>
      <c r="KDO1194" s="7"/>
      <c r="KDP1194" s="7"/>
      <c r="KDQ1194" s="7"/>
      <c r="KDR1194" s="7"/>
      <c r="KDS1194" s="7"/>
      <c r="KDT1194" s="7"/>
      <c r="KDU1194" s="7"/>
      <c r="KDV1194" s="7"/>
      <c r="KDW1194" s="7"/>
      <c r="KDX1194" s="7"/>
      <c r="KDY1194" s="7"/>
      <c r="KDZ1194" s="7"/>
      <c r="KEA1194" s="7"/>
      <c r="KEB1194" s="7"/>
      <c r="KEC1194" s="7"/>
      <c r="KED1194" s="7"/>
      <c r="KEE1194" s="7"/>
      <c r="KEF1194" s="7"/>
      <c r="KEG1194" s="7"/>
      <c r="KEH1194" s="7"/>
      <c r="KEI1194" s="7"/>
      <c r="KEJ1194" s="7"/>
      <c r="KEK1194" s="7"/>
      <c r="KEL1194" s="7"/>
      <c r="KEM1194" s="7"/>
      <c r="KEN1194" s="7"/>
      <c r="KEO1194" s="7"/>
      <c r="KEP1194" s="7"/>
      <c r="KEQ1194" s="7"/>
      <c r="KER1194" s="7"/>
      <c r="KES1194" s="7"/>
      <c r="KET1194" s="7"/>
      <c r="KEU1194" s="7"/>
      <c r="KEV1194" s="7"/>
      <c r="KEW1194" s="7"/>
      <c r="KEX1194" s="7"/>
      <c r="KEY1194" s="7"/>
      <c r="KEZ1194" s="7"/>
      <c r="KFA1194" s="7"/>
      <c r="KFB1194" s="7"/>
      <c r="KFC1194" s="7"/>
      <c r="KFD1194" s="7"/>
      <c r="KFE1194" s="7"/>
      <c r="KFF1194" s="7"/>
      <c r="KFG1194" s="7"/>
      <c r="KFH1194" s="7"/>
      <c r="KFI1194" s="7"/>
      <c r="KFJ1194" s="7"/>
      <c r="KFK1194" s="7"/>
      <c r="KFL1194" s="7"/>
      <c r="KFM1194" s="7"/>
      <c r="KFN1194" s="7"/>
      <c r="KFO1194" s="7"/>
      <c r="KFP1194" s="7"/>
      <c r="KFQ1194" s="7"/>
      <c r="KFR1194" s="7"/>
      <c r="KFS1194" s="7"/>
      <c r="KFT1194" s="7"/>
      <c r="KFU1194" s="7"/>
      <c r="KFV1194" s="7"/>
      <c r="KFW1194" s="7"/>
      <c r="KFX1194" s="7"/>
      <c r="KFY1194" s="7"/>
      <c r="KFZ1194" s="7"/>
      <c r="KGA1194" s="7"/>
      <c r="KGB1194" s="7"/>
      <c r="KGC1194" s="7"/>
      <c r="KGD1194" s="7"/>
      <c r="KGE1194" s="7"/>
      <c r="KGF1194" s="7"/>
      <c r="KGG1194" s="7"/>
      <c r="KGH1194" s="7"/>
      <c r="KGI1194" s="7"/>
      <c r="KGJ1194" s="7"/>
      <c r="KGK1194" s="7"/>
      <c r="KGL1194" s="7"/>
      <c r="KGM1194" s="7"/>
      <c r="KGN1194" s="7"/>
      <c r="KGO1194" s="7"/>
      <c r="KGP1194" s="7"/>
      <c r="KGQ1194" s="7"/>
      <c r="KGR1194" s="7"/>
      <c r="KGS1194" s="7"/>
      <c r="KGT1194" s="7"/>
      <c r="KGU1194" s="7"/>
      <c r="KGV1194" s="7"/>
      <c r="KGW1194" s="7"/>
      <c r="KGX1194" s="7"/>
      <c r="KGY1194" s="7"/>
      <c r="KGZ1194" s="7"/>
      <c r="KHA1194" s="7"/>
      <c r="KHB1194" s="7"/>
      <c r="KHC1194" s="7"/>
      <c r="KHD1194" s="7"/>
      <c r="KHE1194" s="7"/>
      <c r="KHF1194" s="7"/>
      <c r="KHG1194" s="7"/>
      <c r="KHH1194" s="7"/>
      <c r="KHI1194" s="7"/>
      <c r="KHJ1194" s="7"/>
      <c r="KHK1194" s="7"/>
      <c r="KHL1194" s="7"/>
      <c r="KHM1194" s="7"/>
      <c r="KHN1194" s="7"/>
      <c r="KHO1194" s="7"/>
      <c r="KHP1194" s="7"/>
      <c r="KHQ1194" s="7"/>
      <c r="KHR1194" s="7"/>
      <c r="KHS1194" s="7"/>
      <c r="KHT1194" s="7"/>
      <c r="KHU1194" s="7"/>
      <c r="KHV1194" s="7"/>
      <c r="KHW1194" s="7"/>
      <c r="KHX1194" s="7"/>
      <c r="KHY1194" s="7"/>
      <c r="KHZ1194" s="7"/>
      <c r="KIA1194" s="7"/>
      <c r="KIB1194" s="7"/>
      <c r="KIC1194" s="7"/>
      <c r="KID1194" s="7"/>
      <c r="KIE1194" s="7"/>
      <c r="KIF1194" s="7"/>
      <c r="KIG1194" s="7"/>
      <c r="KIH1194" s="7"/>
      <c r="KII1194" s="7"/>
      <c r="KIJ1194" s="7"/>
      <c r="KIK1194" s="7"/>
      <c r="KIL1194" s="7"/>
      <c r="KIM1194" s="7"/>
      <c r="KIN1194" s="7"/>
      <c r="KIO1194" s="7"/>
      <c r="KIP1194" s="7"/>
      <c r="KIQ1194" s="7"/>
      <c r="KIR1194" s="7"/>
      <c r="KIS1194" s="7"/>
      <c r="KIT1194" s="7"/>
      <c r="KIU1194" s="7"/>
      <c r="KIV1194" s="7"/>
      <c r="KIW1194" s="7"/>
      <c r="KIX1194" s="7"/>
      <c r="KIY1194" s="7"/>
      <c r="KIZ1194" s="7"/>
      <c r="KJA1194" s="7"/>
      <c r="KJB1194" s="7"/>
      <c r="KJC1194" s="7"/>
      <c r="KJD1194" s="7"/>
      <c r="KJE1194" s="7"/>
      <c r="KJF1194" s="7"/>
      <c r="KJG1194" s="7"/>
      <c r="KJH1194" s="7"/>
      <c r="KJI1194" s="7"/>
      <c r="KJJ1194" s="7"/>
      <c r="KJK1194" s="7"/>
      <c r="KJL1194" s="7"/>
      <c r="KJM1194" s="7"/>
      <c r="KJN1194" s="7"/>
      <c r="KJO1194" s="7"/>
      <c r="KJP1194" s="7"/>
      <c r="KJQ1194" s="7"/>
      <c r="KJR1194" s="7"/>
      <c r="KJS1194" s="7"/>
      <c r="KJT1194" s="7"/>
      <c r="KJU1194" s="7"/>
      <c r="KJV1194" s="7"/>
      <c r="KJW1194" s="7"/>
      <c r="KJX1194" s="7"/>
      <c r="KJY1194" s="7"/>
      <c r="KJZ1194" s="7"/>
      <c r="KKA1194" s="7"/>
      <c r="KKB1194" s="7"/>
      <c r="KKC1194" s="7"/>
      <c r="KKD1194" s="7"/>
      <c r="KKE1194" s="7"/>
      <c r="KKF1194" s="7"/>
      <c r="KKG1194" s="7"/>
      <c r="KKH1194" s="7"/>
      <c r="KKI1194" s="7"/>
      <c r="KKJ1194" s="7"/>
      <c r="KKK1194" s="7"/>
      <c r="KKL1194" s="7"/>
      <c r="KKM1194" s="7"/>
      <c r="KKN1194" s="7"/>
      <c r="KKO1194" s="7"/>
      <c r="KKP1194" s="7"/>
      <c r="KKQ1194" s="7"/>
      <c r="KKR1194" s="7"/>
      <c r="KKS1194" s="7"/>
      <c r="KKT1194" s="7"/>
      <c r="KKU1194" s="7"/>
      <c r="KKV1194" s="7"/>
      <c r="KKW1194" s="7"/>
      <c r="KKX1194" s="7"/>
      <c r="KKY1194" s="7"/>
      <c r="KKZ1194" s="7"/>
      <c r="KLA1194" s="7"/>
      <c r="KLB1194" s="7"/>
      <c r="KLC1194" s="7"/>
      <c r="KLD1194" s="7"/>
      <c r="KLE1194" s="7"/>
      <c r="KLF1194" s="7"/>
      <c r="KLG1194" s="7"/>
      <c r="KLH1194" s="7"/>
      <c r="KLI1194" s="7"/>
      <c r="KLJ1194" s="7"/>
      <c r="KLK1194" s="7"/>
      <c r="KLL1194" s="7"/>
      <c r="KLM1194" s="7"/>
      <c r="KLN1194" s="7"/>
      <c r="KLO1194" s="7"/>
      <c r="KLP1194" s="7"/>
      <c r="KLQ1194" s="7"/>
      <c r="KLR1194" s="7"/>
      <c r="KLS1194" s="7"/>
      <c r="KLT1194" s="7"/>
      <c r="KLU1194" s="7"/>
      <c r="KLV1194" s="7"/>
      <c r="KLW1194" s="7"/>
      <c r="KLX1194" s="7"/>
      <c r="KLY1194" s="7"/>
      <c r="KLZ1194" s="7"/>
      <c r="KMA1194" s="7"/>
      <c r="KMB1194" s="7"/>
      <c r="KMC1194" s="7"/>
      <c r="KMD1194" s="7"/>
      <c r="KME1194" s="7"/>
      <c r="KMF1194" s="7"/>
      <c r="KMG1194" s="7"/>
      <c r="KMH1194" s="7"/>
      <c r="KMI1194" s="7"/>
      <c r="KMJ1194" s="7"/>
      <c r="KMK1194" s="7"/>
      <c r="KML1194" s="7"/>
      <c r="KMM1194" s="7"/>
      <c r="KMN1194" s="7"/>
      <c r="KMO1194" s="7"/>
      <c r="KMP1194" s="7"/>
      <c r="KMQ1194" s="7"/>
      <c r="KMR1194" s="7"/>
      <c r="KMS1194" s="7"/>
      <c r="KMT1194" s="7"/>
      <c r="KMU1194" s="7"/>
      <c r="KMV1194" s="7"/>
      <c r="KMW1194" s="7"/>
      <c r="KMX1194" s="7"/>
      <c r="KMY1194" s="7"/>
      <c r="KMZ1194" s="7"/>
      <c r="KNA1194" s="7"/>
      <c r="KNB1194" s="7"/>
      <c r="KNC1194" s="7"/>
      <c r="KND1194" s="7"/>
      <c r="KNE1194" s="7"/>
      <c r="KNF1194" s="7"/>
      <c r="KNG1194" s="7"/>
      <c r="KNH1194" s="7"/>
      <c r="KNI1194" s="7"/>
      <c r="KNJ1194" s="7"/>
      <c r="KNK1194" s="7"/>
      <c r="KNL1194" s="7"/>
      <c r="KNM1194" s="7"/>
      <c r="KNN1194" s="7"/>
      <c r="KNO1194" s="7"/>
      <c r="KNP1194" s="7"/>
      <c r="KNQ1194" s="7"/>
      <c r="KNR1194" s="7"/>
      <c r="KNS1194" s="7"/>
      <c r="KNT1194" s="7"/>
      <c r="KNU1194" s="7"/>
      <c r="KNV1194" s="7"/>
      <c r="KNW1194" s="7"/>
      <c r="KNX1194" s="7"/>
      <c r="KNY1194" s="7"/>
      <c r="KNZ1194" s="7"/>
      <c r="KOA1194" s="7"/>
      <c r="KOB1194" s="7"/>
      <c r="KOC1194" s="7"/>
      <c r="KOD1194" s="7"/>
      <c r="KOE1194" s="7"/>
      <c r="KOF1194" s="7"/>
      <c r="KOG1194" s="7"/>
      <c r="KOH1194" s="7"/>
      <c r="KOI1194" s="7"/>
      <c r="KOJ1194" s="7"/>
      <c r="KOK1194" s="7"/>
      <c r="KOL1194" s="7"/>
      <c r="KOM1194" s="7"/>
      <c r="KON1194" s="7"/>
      <c r="KOO1194" s="7"/>
      <c r="KOP1194" s="7"/>
      <c r="KOQ1194" s="7"/>
      <c r="KOR1194" s="7"/>
      <c r="KOS1194" s="7"/>
      <c r="KOT1194" s="7"/>
      <c r="KOU1194" s="7"/>
      <c r="KOV1194" s="7"/>
      <c r="KOW1194" s="7"/>
      <c r="KOX1194" s="7"/>
      <c r="KOY1194" s="7"/>
      <c r="KOZ1194" s="7"/>
      <c r="KPA1194" s="7"/>
      <c r="KPB1194" s="7"/>
      <c r="KPC1194" s="7"/>
      <c r="KPD1194" s="7"/>
      <c r="KPE1194" s="7"/>
      <c r="KPF1194" s="7"/>
      <c r="KPG1194" s="7"/>
      <c r="KPH1194" s="7"/>
      <c r="KPI1194" s="7"/>
      <c r="KPJ1194" s="7"/>
      <c r="KPK1194" s="7"/>
      <c r="KPL1194" s="7"/>
      <c r="KPM1194" s="7"/>
      <c r="KPN1194" s="7"/>
      <c r="KPO1194" s="7"/>
      <c r="KPP1194" s="7"/>
      <c r="KPQ1194" s="7"/>
      <c r="KPR1194" s="7"/>
      <c r="KPS1194" s="7"/>
      <c r="KPT1194" s="7"/>
      <c r="KPU1194" s="7"/>
      <c r="KPV1194" s="7"/>
      <c r="KPW1194" s="7"/>
      <c r="KPX1194" s="7"/>
      <c r="KPY1194" s="7"/>
      <c r="KPZ1194" s="7"/>
      <c r="KQA1194" s="7"/>
      <c r="KQB1194" s="7"/>
      <c r="KQC1194" s="7"/>
      <c r="KQD1194" s="7"/>
      <c r="KQE1194" s="7"/>
      <c r="KQF1194" s="7"/>
      <c r="KQG1194" s="7"/>
      <c r="KQH1194" s="7"/>
      <c r="KQI1194" s="7"/>
      <c r="KQJ1194" s="7"/>
      <c r="KQK1194" s="7"/>
      <c r="KQL1194" s="7"/>
      <c r="KQM1194" s="7"/>
      <c r="KQN1194" s="7"/>
      <c r="KQO1194" s="7"/>
      <c r="KQP1194" s="7"/>
      <c r="KQQ1194" s="7"/>
      <c r="KQR1194" s="7"/>
      <c r="KQS1194" s="7"/>
      <c r="KQT1194" s="7"/>
      <c r="KQU1194" s="7"/>
      <c r="KQV1194" s="7"/>
      <c r="KQW1194" s="7"/>
      <c r="KQX1194" s="7"/>
      <c r="KQY1194" s="7"/>
      <c r="KQZ1194" s="7"/>
      <c r="KRA1194" s="7"/>
      <c r="KRB1194" s="7"/>
      <c r="KRC1194" s="7"/>
      <c r="KRD1194" s="7"/>
      <c r="KRE1194" s="7"/>
      <c r="KRF1194" s="7"/>
      <c r="KRG1194" s="7"/>
      <c r="KRH1194" s="7"/>
      <c r="KRI1194" s="7"/>
      <c r="KRJ1194" s="7"/>
      <c r="KRK1194" s="7"/>
      <c r="KRL1194" s="7"/>
      <c r="KRM1194" s="7"/>
      <c r="KRN1194" s="7"/>
      <c r="KRO1194" s="7"/>
      <c r="KRP1194" s="7"/>
      <c r="KRQ1194" s="7"/>
      <c r="KRR1194" s="7"/>
      <c r="KRS1194" s="7"/>
      <c r="KRT1194" s="7"/>
      <c r="KRU1194" s="7"/>
      <c r="KRV1194" s="7"/>
      <c r="KRW1194" s="7"/>
      <c r="KRX1194" s="7"/>
      <c r="KRY1194" s="7"/>
      <c r="KRZ1194" s="7"/>
      <c r="KSA1194" s="7"/>
      <c r="KSB1194" s="7"/>
      <c r="KSC1194" s="7"/>
      <c r="KSD1194" s="7"/>
      <c r="KSE1194" s="7"/>
      <c r="KSF1194" s="7"/>
      <c r="KSG1194" s="7"/>
      <c r="KSH1194" s="7"/>
      <c r="KSI1194" s="7"/>
      <c r="KSJ1194" s="7"/>
      <c r="KSK1194" s="7"/>
      <c r="KSL1194" s="7"/>
      <c r="KSM1194" s="7"/>
      <c r="KSN1194" s="7"/>
      <c r="KSO1194" s="7"/>
      <c r="KSP1194" s="7"/>
      <c r="KSQ1194" s="7"/>
      <c r="KSR1194" s="7"/>
      <c r="KSS1194" s="7"/>
      <c r="KST1194" s="7"/>
      <c r="KSU1194" s="7"/>
      <c r="KSV1194" s="7"/>
      <c r="KSW1194" s="7"/>
      <c r="KSX1194" s="7"/>
      <c r="KSY1194" s="7"/>
      <c r="KSZ1194" s="7"/>
      <c r="KTA1194" s="7"/>
      <c r="KTB1194" s="7"/>
      <c r="KTC1194" s="7"/>
      <c r="KTD1194" s="7"/>
      <c r="KTE1194" s="7"/>
      <c r="KTF1194" s="7"/>
      <c r="KTG1194" s="7"/>
      <c r="KTH1194" s="7"/>
      <c r="KTI1194" s="7"/>
      <c r="KTJ1194" s="7"/>
      <c r="KTK1194" s="7"/>
      <c r="KTL1194" s="7"/>
      <c r="KTM1194" s="7"/>
      <c r="KTN1194" s="7"/>
      <c r="KTO1194" s="7"/>
      <c r="KTP1194" s="7"/>
      <c r="KTQ1194" s="7"/>
      <c r="KTR1194" s="7"/>
      <c r="KTS1194" s="7"/>
      <c r="KTT1194" s="7"/>
      <c r="KTU1194" s="7"/>
      <c r="KTV1194" s="7"/>
      <c r="KTW1194" s="7"/>
      <c r="KTX1194" s="7"/>
      <c r="KTY1194" s="7"/>
      <c r="KTZ1194" s="7"/>
      <c r="KUA1194" s="7"/>
      <c r="KUB1194" s="7"/>
      <c r="KUC1194" s="7"/>
      <c r="KUD1194" s="7"/>
      <c r="KUE1194" s="7"/>
      <c r="KUF1194" s="7"/>
      <c r="KUG1194" s="7"/>
      <c r="KUH1194" s="7"/>
      <c r="KUI1194" s="7"/>
      <c r="KUJ1194" s="7"/>
      <c r="KUK1194" s="7"/>
      <c r="KUL1194" s="7"/>
      <c r="KUM1194" s="7"/>
      <c r="KUN1194" s="7"/>
      <c r="KUO1194" s="7"/>
      <c r="KUP1194" s="7"/>
      <c r="KUQ1194" s="7"/>
      <c r="KUR1194" s="7"/>
      <c r="KUS1194" s="7"/>
      <c r="KUT1194" s="7"/>
      <c r="KUU1194" s="7"/>
      <c r="KUV1194" s="7"/>
      <c r="KUW1194" s="7"/>
      <c r="KUX1194" s="7"/>
      <c r="KUY1194" s="7"/>
      <c r="KUZ1194" s="7"/>
      <c r="KVA1194" s="7"/>
      <c r="KVB1194" s="7"/>
      <c r="KVC1194" s="7"/>
      <c r="KVD1194" s="7"/>
      <c r="KVE1194" s="7"/>
      <c r="KVF1194" s="7"/>
      <c r="KVG1194" s="7"/>
      <c r="KVH1194" s="7"/>
      <c r="KVI1194" s="7"/>
      <c r="KVJ1194" s="7"/>
      <c r="KVK1194" s="7"/>
      <c r="KVL1194" s="7"/>
      <c r="KVM1194" s="7"/>
      <c r="KVN1194" s="7"/>
      <c r="KVO1194" s="7"/>
      <c r="KVP1194" s="7"/>
      <c r="KVQ1194" s="7"/>
      <c r="KVR1194" s="7"/>
      <c r="KVS1194" s="7"/>
      <c r="KVT1194" s="7"/>
      <c r="KVU1194" s="7"/>
      <c r="KVV1194" s="7"/>
      <c r="KVW1194" s="7"/>
      <c r="KVX1194" s="7"/>
      <c r="KVY1194" s="7"/>
      <c r="KVZ1194" s="7"/>
      <c r="KWA1194" s="7"/>
      <c r="KWB1194" s="7"/>
      <c r="KWC1194" s="7"/>
      <c r="KWD1194" s="7"/>
      <c r="KWE1194" s="7"/>
      <c r="KWF1194" s="7"/>
      <c r="KWG1194" s="7"/>
      <c r="KWH1194" s="7"/>
      <c r="KWI1194" s="7"/>
      <c r="KWJ1194" s="7"/>
      <c r="KWK1194" s="7"/>
      <c r="KWL1194" s="7"/>
      <c r="KWM1194" s="7"/>
      <c r="KWN1194" s="7"/>
      <c r="KWO1194" s="7"/>
      <c r="KWP1194" s="7"/>
      <c r="KWQ1194" s="7"/>
      <c r="KWR1194" s="7"/>
      <c r="KWS1194" s="7"/>
      <c r="KWT1194" s="7"/>
      <c r="KWU1194" s="7"/>
      <c r="KWV1194" s="7"/>
      <c r="KWW1194" s="7"/>
      <c r="KWX1194" s="7"/>
      <c r="KWY1194" s="7"/>
      <c r="KWZ1194" s="7"/>
      <c r="KXA1194" s="7"/>
      <c r="KXB1194" s="7"/>
      <c r="KXC1194" s="7"/>
      <c r="KXD1194" s="7"/>
      <c r="KXE1194" s="7"/>
      <c r="KXF1194" s="7"/>
      <c r="KXG1194" s="7"/>
      <c r="KXH1194" s="7"/>
      <c r="KXI1194" s="7"/>
      <c r="KXJ1194" s="7"/>
      <c r="KXK1194" s="7"/>
      <c r="KXL1194" s="7"/>
      <c r="KXM1194" s="7"/>
      <c r="KXN1194" s="7"/>
      <c r="KXO1194" s="7"/>
      <c r="KXP1194" s="7"/>
      <c r="KXQ1194" s="7"/>
      <c r="KXR1194" s="7"/>
      <c r="KXS1194" s="7"/>
      <c r="KXT1194" s="7"/>
      <c r="KXU1194" s="7"/>
      <c r="KXV1194" s="7"/>
      <c r="KXW1194" s="7"/>
      <c r="KXX1194" s="7"/>
      <c r="KXY1194" s="7"/>
      <c r="KXZ1194" s="7"/>
      <c r="KYA1194" s="7"/>
      <c r="KYB1194" s="7"/>
      <c r="KYC1194" s="7"/>
      <c r="KYD1194" s="7"/>
      <c r="KYE1194" s="7"/>
      <c r="KYF1194" s="7"/>
      <c r="KYG1194" s="7"/>
      <c r="KYH1194" s="7"/>
      <c r="KYI1194" s="7"/>
      <c r="KYJ1194" s="7"/>
      <c r="KYK1194" s="7"/>
      <c r="KYL1194" s="7"/>
      <c r="KYM1194" s="7"/>
      <c r="KYN1194" s="7"/>
      <c r="KYO1194" s="7"/>
      <c r="KYP1194" s="7"/>
      <c r="KYQ1194" s="7"/>
      <c r="KYR1194" s="7"/>
      <c r="KYS1194" s="7"/>
      <c r="KYT1194" s="7"/>
      <c r="KYU1194" s="7"/>
      <c r="KYV1194" s="7"/>
      <c r="KYW1194" s="7"/>
      <c r="KYX1194" s="7"/>
      <c r="KYY1194" s="7"/>
      <c r="KYZ1194" s="7"/>
      <c r="KZA1194" s="7"/>
      <c r="KZB1194" s="7"/>
      <c r="KZC1194" s="7"/>
      <c r="KZD1194" s="7"/>
      <c r="KZE1194" s="7"/>
      <c r="KZF1194" s="7"/>
      <c r="KZG1194" s="7"/>
      <c r="KZH1194" s="7"/>
      <c r="KZI1194" s="7"/>
      <c r="KZJ1194" s="7"/>
      <c r="KZK1194" s="7"/>
      <c r="KZL1194" s="7"/>
      <c r="KZM1194" s="7"/>
      <c r="KZN1194" s="7"/>
      <c r="KZO1194" s="7"/>
      <c r="KZP1194" s="7"/>
      <c r="KZQ1194" s="7"/>
      <c r="KZR1194" s="7"/>
      <c r="KZS1194" s="7"/>
      <c r="KZT1194" s="7"/>
      <c r="KZU1194" s="7"/>
      <c r="KZV1194" s="7"/>
      <c r="KZW1194" s="7"/>
      <c r="KZX1194" s="7"/>
      <c r="KZY1194" s="7"/>
      <c r="KZZ1194" s="7"/>
      <c r="LAA1194" s="7"/>
      <c r="LAB1194" s="7"/>
      <c r="LAC1194" s="7"/>
      <c r="LAD1194" s="7"/>
      <c r="LAE1194" s="7"/>
      <c r="LAF1194" s="7"/>
      <c r="LAG1194" s="7"/>
      <c r="LAH1194" s="7"/>
      <c r="LAI1194" s="7"/>
      <c r="LAJ1194" s="7"/>
      <c r="LAK1194" s="7"/>
      <c r="LAL1194" s="7"/>
      <c r="LAM1194" s="7"/>
      <c r="LAN1194" s="7"/>
      <c r="LAO1194" s="7"/>
      <c r="LAP1194" s="7"/>
      <c r="LAQ1194" s="7"/>
      <c r="LAR1194" s="7"/>
      <c r="LAS1194" s="7"/>
      <c r="LAT1194" s="7"/>
      <c r="LAU1194" s="7"/>
      <c r="LAV1194" s="7"/>
      <c r="LAW1194" s="7"/>
      <c r="LAX1194" s="7"/>
      <c r="LAY1194" s="7"/>
      <c r="LAZ1194" s="7"/>
      <c r="LBA1194" s="7"/>
      <c r="LBB1194" s="7"/>
      <c r="LBC1194" s="7"/>
      <c r="LBD1194" s="7"/>
      <c r="LBE1194" s="7"/>
      <c r="LBF1194" s="7"/>
      <c r="LBG1194" s="7"/>
      <c r="LBH1194" s="7"/>
      <c r="LBI1194" s="7"/>
      <c r="LBJ1194" s="7"/>
      <c r="LBK1194" s="7"/>
      <c r="LBL1194" s="7"/>
      <c r="LBM1194" s="7"/>
      <c r="LBN1194" s="7"/>
      <c r="LBO1194" s="7"/>
      <c r="LBP1194" s="7"/>
      <c r="LBQ1194" s="7"/>
      <c r="LBR1194" s="7"/>
      <c r="LBS1194" s="7"/>
      <c r="LBT1194" s="7"/>
      <c r="LBU1194" s="7"/>
      <c r="LBV1194" s="7"/>
      <c r="LBW1194" s="7"/>
      <c r="LBX1194" s="7"/>
      <c r="LBY1194" s="7"/>
      <c r="LBZ1194" s="7"/>
      <c r="LCA1194" s="7"/>
      <c r="LCB1194" s="7"/>
      <c r="LCC1194" s="7"/>
      <c r="LCD1194" s="7"/>
      <c r="LCE1194" s="7"/>
      <c r="LCF1194" s="7"/>
      <c r="LCG1194" s="7"/>
      <c r="LCH1194" s="7"/>
      <c r="LCI1194" s="7"/>
      <c r="LCJ1194" s="7"/>
      <c r="LCK1194" s="7"/>
      <c r="LCL1194" s="7"/>
      <c r="LCM1194" s="7"/>
      <c r="LCN1194" s="7"/>
      <c r="LCO1194" s="7"/>
      <c r="LCP1194" s="7"/>
      <c r="LCQ1194" s="7"/>
      <c r="LCR1194" s="7"/>
      <c r="LCS1194" s="7"/>
      <c r="LCT1194" s="7"/>
      <c r="LCU1194" s="7"/>
      <c r="LCV1194" s="7"/>
      <c r="LCW1194" s="7"/>
      <c r="LCX1194" s="7"/>
      <c r="LCY1194" s="7"/>
      <c r="LCZ1194" s="7"/>
      <c r="LDA1194" s="7"/>
      <c r="LDB1194" s="7"/>
      <c r="LDC1194" s="7"/>
      <c r="LDD1194" s="7"/>
      <c r="LDE1194" s="7"/>
      <c r="LDF1194" s="7"/>
      <c r="LDG1194" s="7"/>
      <c r="LDH1194" s="7"/>
      <c r="LDI1194" s="7"/>
      <c r="LDJ1194" s="7"/>
      <c r="LDK1194" s="7"/>
      <c r="LDL1194" s="7"/>
      <c r="LDM1194" s="7"/>
      <c r="LDN1194" s="7"/>
      <c r="LDO1194" s="7"/>
      <c r="LDP1194" s="7"/>
      <c r="LDQ1194" s="7"/>
      <c r="LDR1194" s="7"/>
      <c r="LDS1194" s="7"/>
      <c r="LDT1194" s="7"/>
      <c r="LDU1194" s="7"/>
      <c r="LDV1194" s="7"/>
      <c r="LDW1194" s="7"/>
      <c r="LDX1194" s="7"/>
      <c r="LDY1194" s="7"/>
      <c r="LDZ1194" s="7"/>
      <c r="LEA1194" s="7"/>
      <c r="LEB1194" s="7"/>
      <c r="LEC1194" s="7"/>
      <c r="LED1194" s="7"/>
      <c r="LEE1194" s="7"/>
      <c r="LEF1194" s="7"/>
      <c r="LEG1194" s="7"/>
      <c r="LEH1194" s="7"/>
      <c r="LEI1194" s="7"/>
      <c r="LEJ1194" s="7"/>
      <c r="LEK1194" s="7"/>
      <c r="LEL1194" s="7"/>
      <c r="LEM1194" s="7"/>
      <c r="LEN1194" s="7"/>
      <c r="LEO1194" s="7"/>
      <c r="LEP1194" s="7"/>
      <c r="LEQ1194" s="7"/>
      <c r="LER1194" s="7"/>
      <c r="LES1194" s="7"/>
      <c r="LET1194" s="7"/>
      <c r="LEU1194" s="7"/>
      <c r="LEV1194" s="7"/>
      <c r="LEW1194" s="7"/>
      <c r="LEX1194" s="7"/>
      <c r="LEY1194" s="7"/>
      <c r="LEZ1194" s="7"/>
      <c r="LFA1194" s="7"/>
      <c r="LFB1194" s="7"/>
      <c r="LFC1194" s="7"/>
      <c r="LFD1194" s="7"/>
      <c r="LFE1194" s="7"/>
      <c r="LFF1194" s="7"/>
      <c r="LFG1194" s="7"/>
      <c r="LFH1194" s="7"/>
      <c r="LFI1194" s="7"/>
      <c r="LFJ1194" s="7"/>
      <c r="LFK1194" s="7"/>
      <c r="LFL1194" s="7"/>
      <c r="LFM1194" s="7"/>
      <c r="LFN1194" s="7"/>
      <c r="LFO1194" s="7"/>
      <c r="LFP1194" s="7"/>
      <c r="LFQ1194" s="7"/>
      <c r="LFR1194" s="7"/>
      <c r="LFS1194" s="7"/>
      <c r="LFT1194" s="7"/>
      <c r="LFU1194" s="7"/>
      <c r="LFV1194" s="7"/>
      <c r="LFW1194" s="7"/>
      <c r="LFX1194" s="7"/>
      <c r="LFY1194" s="7"/>
      <c r="LFZ1194" s="7"/>
      <c r="LGA1194" s="7"/>
      <c r="LGB1194" s="7"/>
      <c r="LGC1194" s="7"/>
      <c r="LGD1194" s="7"/>
      <c r="LGE1194" s="7"/>
      <c r="LGF1194" s="7"/>
      <c r="LGG1194" s="7"/>
      <c r="LGH1194" s="7"/>
      <c r="LGI1194" s="7"/>
      <c r="LGJ1194" s="7"/>
      <c r="LGK1194" s="7"/>
      <c r="LGL1194" s="7"/>
      <c r="LGM1194" s="7"/>
      <c r="LGN1194" s="7"/>
      <c r="LGO1194" s="7"/>
      <c r="LGP1194" s="7"/>
      <c r="LGQ1194" s="7"/>
      <c r="LGR1194" s="7"/>
      <c r="LGS1194" s="7"/>
      <c r="LGT1194" s="7"/>
      <c r="LGU1194" s="7"/>
      <c r="LGV1194" s="7"/>
      <c r="LGW1194" s="7"/>
      <c r="LGX1194" s="7"/>
      <c r="LGY1194" s="7"/>
      <c r="LGZ1194" s="7"/>
      <c r="LHA1194" s="7"/>
      <c r="LHB1194" s="7"/>
      <c r="LHC1194" s="7"/>
      <c r="LHD1194" s="7"/>
      <c r="LHE1194" s="7"/>
      <c r="LHF1194" s="7"/>
      <c r="LHG1194" s="7"/>
      <c r="LHH1194" s="7"/>
      <c r="LHI1194" s="7"/>
      <c r="LHJ1194" s="7"/>
      <c r="LHK1194" s="7"/>
      <c r="LHL1194" s="7"/>
      <c r="LHM1194" s="7"/>
      <c r="LHN1194" s="7"/>
      <c r="LHO1194" s="7"/>
      <c r="LHP1194" s="7"/>
      <c r="LHQ1194" s="7"/>
      <c r="LHR1194" s="7"/>
      <c r="LHS1194" s="7"/>
      <c r="LHT1194" s="7"/>
      <c r="LHU1194" s="7"/>
      <c r="LHV1194" s="7"/>
      <c r="LHW1194" s="7"/>
      <c r="LHX1194" s="7"/>
      <c r="LHY1194" s="7"/>
      <c r="LHZ1194" s="7"/>
      <c r="LIA1194" s="7"/>
      <c r="LIB1194" s="7"/>
      <c r="LIC1194" s="7"/>
      <c r="LID1194" s="7"/>
      <c r="LIE1194" s="7"/>
      <c r="LIF1194" s="7"/>
      <c r="LIG1194" s="7"/>
      <c r="LIH1194" s="7"/>
      <c r="LII1194" s="7"/>
      <c r="LIJ1194" s="7"/>
      <c r="LIK1194" s="7"/>
      <c r="LIL1194" s="7"/>
      <c r="LIM1194" s="7"/>
      <c r="LIN1194" s="7"/>
      <c r="LIO1194" s="7"/>
      <c r="LIP1194" s="7"/>
      <c r="LIQ1194" s="7"/>
      <c r="LIR1194" s="7"/>
      <c r="LIS1194" s="7"/>
      <c r="LIT1194" s="7"/>
      <c r="LIU1194" s="7"/>
      <c r="LIV1194" s="7"/>
      <c r="LIW1194" s="7"/>
      <c r="LIX1194" s="7"/>
      <c r="LIY1194" s="7"/>
      <c r="LIZ1194" s="7"/>
      <c r="LJA1194" s="7"/>
      <c r="LJB1194" s="7"/>
      <c r="LJC1194" s="7"/>
      <c r="LJD1194" s="7"/>
      <c r="LJE1194" s="7"/>
      <c r="LJF1194" s="7"/>
      <c r="LJG1194" s="7"/>
      <c r="LJH1194" s="7"/>
      <c r="LJI1194" s="7"/>
      <c r="LJJ1194" s="7"/>
      <c r="LJK1194" s="7"/>
      <c r="LJL1194" s="7"/>
      <c r="LJM1194" s="7"/>
      <c r="LJN1194" s="7"/>
      <c r="LJO1194" s="7"/>
      <c r="LJP1194" s="7"/>
      <c r="LJQ1194" s="7"/>
      <c r="LJR1194" s="7"/>
      <c r="LJS1194" s="7"/>
      <c r="LJT1194" s="7"/>
      <c r="LJU1194" s="7"/>
      <c r="LJV1194" s="7"/>
      <c r="LJW1194" s="7"/>
      <c r="LJX1194" s="7"/>
      <c r="LJY1194" s="7"/>
      <c r="LJZ1194" s="7"/>
      <c r="LKA1194" s="7"/>
      <c r="LKB1194" s="7"/>
      <c r="LKC1194" s="7"/>
      <c r="LKD1194" s="7"/>
      <c r="LKE1194" s="7"/>
      <c r="LKF1194" s="7"/>
      <c r="LKG1194" s="7"/>
      <c r="LKH1194" s="7"/>
      <c r="LKI1194" s="7"/>
      <c r="LKJ1194" s="7"/>
      <c r="LKK1194" s="7"/>
      <c r="LKL1194" s="7"/>
      <c r="LKM1194" s="7"/>
      <c r="LKN1194" s="7"/>
      <c r="LKO1194" s="7"/>
      <c r="LKP1194" s="7"/>
      <c r="LKQ1194" s="7"/>
      <c r="LKR1194" s="7"/>
      <c r="LKS1194" s="7"/>
      <c r="LKT1194" s="7"/>
      <c r="LKU1194" s="7"/>
      <c r="LKV1194" s="7"/>
      <c r="LKW1194" s="7"/>
      <c r="LKX1194" s="7"/>
      <c r="LKY1194" s="7"/>
      <c r="LKZ1194" s="7"/>
      <c r="LLA1194" s="7"/>
      <c r="LLB1194" s="7"/>
      <c r="LLC1194" s="7"/>
      <c r="LLD1194" s="7"/>
      <c r="LLE1194" s="7"/>
      <c r="LLF1194" s="7"/>
      <c r="LLG1194" s="7"/>
      <c r="LLH1194" s="7"/>
      <c r="LLI1194" s="7"/>
      <c r="LLJ1194" s="7"/>
      <c r="LLK1194" s="7"/>
      <c r="LLL1194" s="7"/>
      <c r="LLM1194" s="7"/>
      <c r="LLN1194" s="7"/>
      <c r="LLO1194" s="7"/>
      <c r="LLP1194" s="7"/>
      <c r="LLQ1194" s="7"/>
      <c r="LLR1194" s="7"/>
      <c r="LLS1194" s="7"/>
      <c r="LLT1194" s="7"/>
      <c r="LLU1194" s="7"/>
      <c r="LLV1194" s="7"/>
      <c r="LLW1194" s="7"/>
      <c r="LLX1194" s="7"/>
      <c r="LLY1194" s="7"/>
      <c r="LLZ1194" s="7"/>
      <c r="LMA1194" s="7"/>
      <c r="LMB1194" s="7"/>
      <c r="LMC1194" s="7"/>
      <c r="LMD1194" s="7"/>
      <c r="LME1194" s="7"/>
      <c r="LMF1194" s="7"/>
      <c r="LMG1194" s="7"/>
      <c r="LMH1194" s="7"/>
      <c r="LMI1194" s="7"/>
      <c r="LMJ1194" s="7"/>
      <c r="LMK1194" s="7"/>
      <c r="LML1194" s="7"/>
      <c r="LMM1194" s="7"/>
      <c r="LMN1194" s="7"/>
      <c r="LMO1194" s="7"/>
      <c r="LMP1194" s="7"/>
      <c r="LMQ1194" s="7"/>
      <c r="LMR1194" s="7"/>
      <c r="LMS1194" s="7"/>
      <c r="LMT1194" s="7"/>
      <c r="LMU1194" s="7"/>
      <c r="LMV1194" s="7"/>
      <c r="LMW1194" s="7"/>
      <c r="LMX1194" s="7"/>
      <c r="LMY1194" s="7"/>
      <c r="LMZ1194" s="7"/>
      <c r="LNA1194" s="7"/>
      <c r="LNB1194" s="7"/>
      <c r="LNC1194" s="7"/>
      <c r="LND1194" s="7"/>
      <c r="LNE1194" s="7"/>
      <c r="LNF1194" s="7"/>
      <c r="LNG1194" s="7"/>
      <c r="LNH1194" s="7"/>
      <c r="LNI1194" s="7"/>
      <c r="LNJ1194" s="7"/>
      <c r="LNK1194" s="7"/>
      <c r="LNL1194" s="7"/>
      <c r="LNM1194" s="7"/>
      <c r="LNN1194" s="7"/>
      <c r="LNO1194" s="7"/>
      <c r="LNP1194" s="7"/>
      <c r="LNQ1194" s="7"/>
      <c r="LNR1194" s="7"/>
      <c r="LNS1194" s="7"/>
      <c r="LNT1194" s="7"/>
      <c r="LNU1194" s="7"/>
      <c r="LNV1194" s="7"/>
      <c r="LNW1194" s="7"/>
      <c r="LNX1194" s="7"/>
      <c r="LNY1194" s="7"/>
      <c r="LNZ1194" s="7"/>
      <c r="LOA1194" s="7"/>
      <c r="LOB1194" s="7"/>
      <c r="LOC1194" s="7"/>
      <c r="LOD1194" s="7"/>
      <c r="LOE1194" s="7"/>
      <c r="LOF1194" s="7"/>
      <c r="LOG1194" s="7"/>
      <c r="LOH1194" s="7"/>
      <c r="LOI1194" s="7"/>
      <c r="LOJ1194" s="7"/>
      <c r="LOK1194" s="7"/>
      <c r="LOL1194" s="7"/>
      <c r="LOM1194" s="7"/>
      <c r="LON1194" s="7"/>
      <c r="LOO1194" s="7"/>
      <c r="LOP1194" s="7"/>
      <c r="LOQ1194" s="7"/>
      <c r="LOR1194" s="7"/>
      <c r="LOS1194" s="7"/>
      <c r="LOT1194" s="7"/>
      <c r="LOU1194" s="7"/>
      <c r="LOV1194" s="7"/>
      <c r="LOW1194" s="7"/>
      <c r="LOX1194" s="7"/>
      <c r="LOY1194" s="7"/>
      <c r="LOZ1194" s="7"/>
      <c r="LPA1194" s="7"/>
      <c r="LPB1194" s="7"/>
      <c r="LPC1194" s="7"/>
      <c r="LPD1194" s="7"/>
      <c r="LPE1194" s="7"/>
      <c r="LPF1194" s="7"/>
      <c r="LPG1194" s="7"/>
      <c r="LPH1194" s="7"/>
      <c r="LPI1194" s="7"/>
      <c r="LPJ1194" s="7"/>
      <c r="LPK1194" s="7"/>
      <c r="LPL1194" s="7"/>
      <c r="LPM1194" s="7"/>
      <c r="LPN1194" s="7"/>
      <c r="LPO1194" s="7"/>
      <c r="LPP1194" s="7"/>
      <c r="LPQ1194" s="7"/>
      <c r="LPR1194" s="7"/>
      <c r="LPS1194" s="7"/>
      <c r="LPT1194" s="7"/>
      <c r="LPU1194" s="7"/>
      <c r="LPV1194" s="7"/>
      <c r="LPW1194" s="7"/>
      <c r="LPX1194" s="7"/>
      <c r="LPY1194" s="7"/>
      <c r="LPZ1194" s="7"/>
      <c r="LQA1194" s="7"/>
      <c r="LQB1194" s="7"/>
      <c r="LQC1194" s="7"/>
      <c r="LQD1194" s="7"/>
      <c r="LQE1194" s="7"/>
      <c r="LQF1194" s="7"/>
      <c r="LQG1194" s="7"/>
      <c r="LQH1194" s="7"/>
      <c r="LQI1194" s="7"/>
      <c r="LQJ1194" s="7"/>
      <c r="LQK1194" s="7"/>
      <c r="LQL1194" s="7"/>
      <c r="LQM1194" s="7"/>
      <c r="LQN1194" s="7"/>
      <c r="LQO1194" s="7"/>
      <c r="LQP1194" s="7"/>
      <c r="LQQ1194" s="7"/>
      <c r="LQR1194" s="7"/>
      <c r="LQS1194" s="7"/>
      <c r="LQT1194" s="7"/>
      <c r="LQU1194" s="7"/>
      <c r="LQV1194" s="7"/>
      <c r="LQW1194" s="7"/>
      <c r="LQX1194" s="7"/>
      <c r="LQY1194" s="7"/>
      <c r="LQZ1194" s="7"/>
      <c r="LRA1194" s="7"/>
      <c r="LRB1194" s="7"/>
      <c r="LRC1194" s="7"/>
      <c r="LRD1194" s="7"/>
      <c r="LRE1194" s="7"/>
      <c r="LRF1194" s="7"/>
      <c r="LRG1194" s="7"/>
      <c r="LRH1194" s="7"/>
      <c r="LRI1194" s="7"/>
      <c r="LRJ1194" s="7"/>
      <c r="LRK1194" s="7"/>
      <c r="LRL1194" s="7"/>
      <c r="LRM1194" s="7"/>
      <c r="LRN1194" s="7"/>
      <c r="LRO1194" s="7"/>
      <c r="LRP1194" s="7"/>
      <c r="LRQ1194" s="7"/>
      <c r="LRR1194" s="7"/>
      <c r="LRS1194" s="7"/>
      <c r="LRT1194" s="7"/>
      <c r="LRU1194" s="7"/>
      <c r="LRV1194" s="7"/>
      <c r="LRW1194" s="7"/>
      <c r="LRX1194" s="7"/>
      <c r="LRY1194" s="7"/>
      <c r="LRZ1194" s="7"/>
      <c r="LSA1194" s="7"/>
      <c r="LSB1194" s="7"/>
      <c r="LSC1194" s="7"/>
      <c r="LSD1194" s="7"/>
      <c r="LSE1194" s="7"/>
      <c r="LSF1194" s="7"/>
      <c r="LSG1194" s="7"/>
      <c r="LSH1194" s="7"/>
      <c r="LSI1194" s="7"/>
      <c r="LSJ1194" s="7"/>
      <c r="LSK1194" s="7"/>
      <c r="LSL1194" s="7"/>
      <c r="LSM1194" s="7"/>
      <c r="LSN1194" s="7"/>
      <c r="LSO1194" s="7"/>
      <c r="LSP1194" s="7"/>
      <c r="LSQ1194" s="7"/>
      <c r="LSR1194" s="7"/>
      <c r="LSS1194" s="7"/>
      <c r="LST1194" s="7"/>
      <c r="LSU1194" s="7"/>
      <c r="LSV1194" s="7"/>
      <c r="LSW1194" s="7"/>
      <c r="LSX1194" s="7"/>
      <c r="LSY1194" s="7"/>
      <c r="LSZ1194" s="7"/>
      <c r="LTA1194" s="7"/>
      <c r="LTB1194" s="7"/>
      <c r="LTC1194" s="7"/>
      <c r="LTD1194" s="7"/>
      <c r="LTE1194" s="7"/>
      <c r="LTF1194" s="7"/>
      <c r="LTG1194" s="7"/>
      <c r="LTH1194" s="7"/>
      <c r="LTI1194" s="7"/>
      <c r="LTJ1194" s="7"/>
      <c r="LTK1194" s="7"/>
      <c r="LTL1194" s="7"/>
      <c r="LTM1194" s="7"/>
      <c r="LTN1194" s="7"/>
      <c r="LTO1194" s="7"/>
      <c r="LTP1194" s="7"/>
      <c r="LTQ1194" s="7"/>
      <c r="LTR1194" s="7"/>
      <c r="LTS1194" s="7"/>
      <c r="LTT1194" s="7"/>
      <c r="LTU1194" s="7"/>
      <c r="LTV1194" s="7"/>
      <c r="LTW1194" s="7"/>
      <c r="LTX1194" s="7"/>
      <c r="LTY1194" s="7"/>
      <c r="LTZ1194" s="7"/>
      <c r="LUA1194" s="7"/>
      <c r="LUB1194" s="7"/>
      <c r="LUC1194" s="7"/>
      <c r="LUD1194" s="7"/>
      <c r="LUE1194" s="7"/>
      <c r="LUF1194" s="7"/>
      <c r="LUG1194" s="7"/>
      <c r="LUH1194" s="7"/>
      <c r="LUI1194" s="7"/>
      <c r="LUJ1194" s="7"/>
      <c r="LUK1194" s="7"/>
      <c r="LUL1194" s="7"/>
      <c r="LUM1194" s="7"/>
      <c r="LUN1194" s="7"/>
      <c r="LUO1194" s="7"/>
      <c r="LUP1194" s="7"/>
      <c r="LUQ1194" s="7"/>
      <c r="LUR1194" s="7"/>
      <c r="LUS1194" s="7"/>
      <c r="LUT1194" s="7"/>
      <c r="LUU1194" s="7"/>
      <c r="LUV1194" s="7"/>
      <c r="LUW1194" s="7"/>
      <c r="LUX1194" s="7"/>
      <c r="LUY1194" s="7"/>
      <c r="LUZ1194" s="7"/>
      <c r="LVA1194" s="7"/>
      <c r="LVB1194" s="7"/>
      <c r="LVC1194" s="7"/>
      <c r="LVD1194" s="7"/>
      <c r="LVE1194" s="7"/>
      <c r="LVF1194" s="7"/>
      <c r="LVG1194" s="7"/>
      <c r="LVH1194" s="7"/>
      <c r="LVI1194" s="7"/>
      <c r="LVJ1194" s="7"/>
      <c r="LVK1194" s="7"/>
      <c r="LVL1194" s="7"/>
      <c r="LVM1194" s="7"/>
      <c r="LVN1194" s="7"/>
      <c r="LVO1194" s="7"/>
      <c r="LVP1194" s="7"/>
      <c r="LVQ1194" s="7"/>
      <c r="LVR1194" s="7"/>
      <c r="LVS1194" s="7"/>
      <c r="LVT1194" s="7"/>
      <c r="LVU1194" s="7"/>
      <c r="LVV1194" s="7"/>
      <c r="LVW1194" s="7"/>
      <c r="LVX1194" s="7"/>
      <c r="LVY1194" s="7"/>
      <c r="LVZ1194" s="7"/>
      <c r="LWA1194" s="7"/>
      <c r="LWB1194" s="7"/>
      <c r="LWC1194" s="7"/>
      <c r="LWD1194" s="7"/>
      <c r="LWE1194" s="7"/>
      <c r="LWF1194" s="7"/>
      <c r="LWG1194" s="7"/>
      <c r="LWH1194" s="7"/>
      <c r="LWI1194" s="7"/>
      <c r="LWJ1194" s="7"/>
      <c r="LWK1194" s="7"/>
      <c r="LWL1194" s="7"/>
      <c r="LWM1194" s="7"/>
      <c r="LWN1194" s="7"/>
      <c r="LWO1194" s="7"/>
      <c r="LWP1194" s="7"/>
      <c r="LWQ1194" s="7"/>
      <c r="LWR1194" s="7"/>
      <c r="LWS1194" s="7"/>
      <c r="LWT1194" s="7"/>
      <c r="LWU1194" s="7"/>
      <c r="LWV1194" s="7"/>
      <c r="LWW1194" s="7"/>
      <c r="LWX1194" s="7"/>
      <c r="LWY1194" s="7"/>
      <c r="LWZ1194" s="7"/>
      <c r="LXA1194" s="7"/>
      <c r="LXB1194" s="7"/>
      <c r="LXC1194" s="7"/>
      <c r="LXD1194" s="7"/>
      <c r="LXE1194" s="7"/>
      <c r="LXF1194" s="7"/>
      <c r="LXG1194" s="7"/>
      <c r="LXH1194" s="7"/>
      <c r="LXI1194" s="7"/>
      <c r="LXJ1194" s="7"/>
      <c r="LXK1194" s="7"/>
      <c r="LXL1194" s="7"/>
      <c r="LXM1194" s="7"/>
      <c r="LXN1194" s="7"/>
      <c r="LXO1194" s="7"/>
      <c r="LXP1194" s="7"/>
      <c r="LXQ1194" s="7"/>
      <c r="LXR1194" s="7"/>
      <c r="LXS1194" s="7"/>
      <c r="LXT1194" s="7"/>
      <c r="LXU1194" s="7"/>
      <c r="LXV1194" s="7"/>
      <c r="LXW1194" s="7"/>
      <c r="LXX1194" s="7"/>
      <c r="LXY1194" s="7"/>
      <c r="LXZ1194" s="7"/>
      <c r="LYA1194" s="7"/>
      <c r="LYB1194" s="7"/>
      <c r="LYC1194" s="7"/>
      <c r="LYD1194" s="7"/>
      <c r="LYE1194" s="7"/>
      <c r="LYF1194" s="7"/>
      <c r="LYG1194" s="7"/>
      <c r="LYH1194" s="7"/>
      <c r="LYI1194" s="7"/>
      <c r="LYJ1194" s="7"/>
      <c r="LYK1194" s="7"/>
      <c r="LYL1194" s="7"/>
      <c r="LYM1194" s="7"/>
      <c r="LYN1194" s="7"/>
      <c r="LYO1194" s="7"/>
      <c r="LYP1194" s="7"/>
      <c r="LYQ1194" s="7"/>
      <c r="LYR1194" s="7"/>
      <c r="LYS1194" s="7"/>
      <c r="LYT1194" s="7"/>
      <c r="LYU1194" s="7"/>
      <c r="LYV1194" s="7"/>
      <c r="LYW1194" s="7"/>
      <c r="LYX1194" s="7"/>
      <c r="LYY1194" s="7"/>
      <c r="LYZ1194" s="7"/>
      <c r="LZA1194" s="7"/>
      <c r="LZB1194" s="7"/>
      <c r="LZC1194" s="7"/>
      <c r="LZD1194" s="7"/>
      <c r="LZE1194" s="7"/>
      <c r="LZF1194" s="7"/>
      <c r="LZG1194" s="7"/>
      <c r="LZH1194" s="7"/>
      <c r="LZI1194" s="7"/>
      <c r="LZJ1194" s="7"/>
      <c r="LZK1194" s="7"/>
      <c r="LZL1194" s="7"/>
      <c r="LZM1194" s="7"/>
      <c r="LZN1194" s="7"/>
      <c r="LZO1194" s="7"/>
      <c r="LZP1194" s="7"/>
      <c r="LZQ1194" s="7"/>
      <c r="LZR1194" s="7"/>
      <c r="LZS1194" s="7"/>
      <c r="LZT1194" s="7"/>
      <c r="LZU1194" s="7"/>
      <c r="LZV1194" s="7"/>
      <c r="LZW1194" s="7"/>
      <c r="LZX1194" s="7"/>
      <c r="LZY1194" s="7"/>
      <c r="LZZ1194" s="7"/>
      <c r="MAA1194" s="7"/>
      <c r="MAB1194" s="7"/>
      <c r="MAC1194" s="7"/>
      <c r="MAD1194" s="7"/>
      <c r="MAE1194" s="7"/>
      <c r="MAF1194" s="7"/>
      <c r="MAG1194" s="7"/>
      <c r="MAH1194" s="7"/>
      <c r="MAI1194" s="7"/>
      <c r="MAJ1194" s="7"/>
      <c r="MAK1194" s="7"/>
      <c r="MAL1194" s="7"/>
      <c r="MAM1194" s="7"/>
      <c r="MAN1194" s="7"/>
      <c r="MAO1194" s="7"/>
      <c r="MAP1194" s="7"/>
      <c r="MAQ1194" s="7"/>
      <c r="MAR1194" s="7"/>
      <c r="MAS1194" s="7"/>
      <c r="MAT1194" s="7"/>
      <c r="MAU1194" s="7"/>
      <c r="MAV1194" s="7"/>
      <c r="MAW1194" s="7"/>
      <c r="MAX1194" s="7"/>
      <c r="MAY1194" s="7"/>
      <c r="MAZ1194" s="7"/>
      <c r="MBA1194" s="7"/>
      <c r="MBB1194" s="7"/>
      <c r="MBC1194" s="7"/>
      <c r="MBD1194" s="7"/>
      <c r="MBE1194" s="7"/>
      <c r="MBF1194" s="7"/>
      <c r="MBG1194" s="7"/>
      <c r="MBH1194" s="7"/>
      <c r="MBI1194" s="7"/>
      <c r="MBJ1194" s="7"/>
      <c r="MBK1194" s="7"/>
      <c r="MBL1194" s="7"/>
      <c r="MBM1194" s="7"/>
      <c r="MBN1194" s="7"/>
      <c r="MBO1194" s="7"/>
      <c r="MBP1194" s="7"/>
      <c r="MBQ1194" s="7"/>
      <c r="MBR1194" s="7"/>
      <c r="MBS1194" s="7"/>
      <c r="MBT1194" s="7"/>
      <c r="MBU1194" s="7"/>
      <c r="MBV1194" s="7"/>
      <c r="MBW1194" s="7"/>
      <c r="MBX1194" s="7"/>
      <c r="MBY1194" s="7"/>
      <c r="MBZ1194" s="7"/>
      <c r="MCA1194" s="7"/>
      <c r="MCB1194" s="7"/>
      <c r="MCC1194" s="7"/>
      <c r="MCD1194" s="7"/>
      <c r="MCE1194" s="7"/>
      <c r="MCF1194" s="7"/>
      <c r="MCG1194" s="7"/>
      <c r="MCH1194" s="7"/>
      <c r="MCI1194" s="7"/>
      <c r="MCJ1194" s="7"/>
      <c r="MCK1194" s="7"/>
      <c r="MCL1194" s="7"/>
      <c r="MCM1194" s="7"/>
      <c r="MCN1194" s="7"/>
      <c r="MCO1194" s="7"/>
      <c r="MCP1194" s="7"/>
      <c r="MCQ1194" s="7"/>
      <c r="MCR1194" s="7"/>
      <c r="MCS1194" s="7"/>
      <c r="MCT1194" s="7"/>
      <c r="MCU1194" s="7"/>
      <c r="MCV1194" s="7"/>
      <c r="MCW1194" s="7"/>
      <c r="MCX1194" s="7"/>
      <c r="MCY1194" s="7"/>
      <c r="MCZ1194" s="7"/>
      <c r="MDA1194" s="7"/>
      <c r="MDB1194" s="7"/>
      <c r="MDC1194" s="7"/>
      <c r="MDD1194" s="7"/>
      <c r="MDE1194" s="7"/>
      <c r="MDF1194" s="7"/>
      <c r="MDG1194" s="7"/>
      <c r="MDH1194" s="7"/>
      <c r="MDI1194" s="7"/>
      <c r="MDJ1194" s="7"/>
      <c r="MDK1194" s="7"/>
      <c r="MDL1194" s="7"/>
      <c r="MDM1194" s="7"/>
      <c r="MDN1194" s="7"/>
      <c r="MDO1194" s="7"/>
      <c r="MDP1194" s="7"/>
      <c r="MDQ1194" s="7"/>
      <c r="MDR1194" s="7"/>
      <c r="MDS1194" s="7"/>
      <c r="MDT1194" s="7"/>
      <c r="MDU1194" s="7"/>
      <c r="MDV1194" s="7"/>
      <c r="MDW1194" s="7"/>
      <c r="MDX1194" s="7"/>
      <c r="MDY1194" s="7"/>
      <c r="MDZ1194" s="7"/>
      <c r="MEA1194" s="7"/>
      <c r="MEB1194" s="7"/>
      <c r="MEC1194" s="7"/>
      <c r="MED1194" s="7"/>
      <c r="MEE1194" s="7"/>
      <c r="MEF1194" s="7"/>
      <c r="MEG1194" s="7"/>
      <c r="MEH1194" s="7"/>
      <c r="MEI1194" s="7"/>
      <c r="MEJ1194" s="7"/>
      <c r="MEK1194" s="7"/>
      <c r="MEL1194" s="7"/>
      <c r="MEM1194" s="7"/>
      <c r="MEN1194" s="7"/>
      <c r="MEO1194" s="7"/>
      <c r="MEP1194" s="7"/>
      <c r="MEQ1194" s="7"/>
      <c r="MER1194" s="7"/>
      <c r="MES1194" s="7"/>
      <c r="MET1194" s="7"/>
      <c r="MEU1194" s="7"/>
      <c r="MEV1194" s="7"/>
      <c r="MEW1194" s="7"/>
      <c r="MEX1194" s="7"/>
      <c r="MEY1194" s="7"/>
      <c r="MEZ1194" s="7"/>
      <c r="MFA1194" s="7"/>
      <c r="MFB1194" s="7"/>
      <c r="MFC1194" s="7"/>
      <c r="MFD1194" s="7"/>
      <c r="MFE1194" s="7"/>
      <c r="MFF1194" s="7"/>
      <c r="MFG1194" s="7"/>
      <c r="MFH1194" s="7"/>
      <c r="MFI1194" s="7"/>
      <c r="MFJ1194" s="7"/>
      <c r="MFK1194" s="7"/>
      <c r="MFL1194" s="7"/>
      <c r="MFM1194" s="7"/>
      <c r="MFN1194" s="7"/>
      <c r="MFO1194" s="7"/>
      <c r="MFP1194" s="7"/>
      <c r="MFQ1194" s="7"/>
      <c r="MFR1194" s="7"/>
      <c r="MFS1194" s="7"/>
      <c r="MFT1194" s="7"/>
      <c r="MFU1194" s="7"/>
      <c r="MFV1194" s="7"/>
      <c r="MFW1194" s="7"/>
      <c r="MFX1194" s="7"/>
      <c r="MFY1194" s="7"/>
      <c r="MFZ1194" s="7"/>
      <c r="MGA1194" s="7"/>
      <c r="MGB1194" s="7"/>
      <c r="MGC1194" s="7"/>
      <c r="MGD1194" s="7"/>
      <c r="MGE1194" s="7"/>
      <c r="MGF1194" s="7"/>
      <c r="MGG1194" s="7"/>
      <c r="MGH1194" s="7"/>
      <c r="MGI1194" s="7"/>
      <c r="MGJ1194" s="7"/>
      <c r="MGK1194" s="7"/>
      <c r="MGL1194" s="7"/>
      <c r="MGM1194" s="7"/>
      <c r="MGN1194" s="7"/>
      <c r="MGO1194" s="7"/>
      <c r="MGP1194" s="7"/>
      <c r="MGQ1194" s="7"/>
      <c r="MGR1194" s="7"/>
      <c r="MGS1194" s="7"/>
      <c r="MGT1194" s="7"/>
      <c r="MGU1194" s="7"/>
      <c r="MGV1194" s="7"/>
      <c r="MGW1194" s="7"/>
      <c r="MGX1194" s="7"/>
      <c r="MGY1194" s="7"/>
      <c r="MGZ1194" s="7"/>
      <c r="MHA1194" s="7"/>
      <c r="MHB1194" s="7"/>
      <c r="MHC1194" s="7"/>
      <c r="MHD1194" s="7"/>
      <c r="MHE1194" s="7"/>
      <c r="MHF1194" s="7"/>
      <c r="MHG1194" s="7"/>
      <c r="MHH1194" s="7"/>
      <c r="MHI1194" s="7"/>
      <c r="MHJ1194" s="7"/>
      <c r="MHK1194" s="7"/>
      <c r="MHL1194" s="7"/>
      <c r="MHM1194" s="7"/>
      <c r="MHN1194" s="7"/>
      <c r="MHO1194" s="7"/>
      <c r="MHP1194" s="7"/>
      <c r="MHQ1194" s="7"/>
      <c r="MHR1194" s="7"/>
      <c r="MHS1194" s="7"/>
      <c r="MHT1194" s="7"/>
      <c r="MHU1194" s="7"/>
      <c r="MHV1194" s="7"/>
      <c r="MHW1194" s="7"/>
      <c r="MHX1194" s="7"/>
      <c r="MHY1194" s="7"/>
      <c r="MHZ1194" s="7"/>
      <c r="MIA1194" s="7"/>
      <c r="MIB1194" s="7"/>
      <c r="MIC1194" s="7"/>
      <c r="MID1194" s="7"/>
      <c r="MIE1194" s="7"/>
      <c r="MIF1194" s="7"/>
      <c r="MIG1194" s="7"/>
      <c r="MIH1194" s="7"/>
      <c r="MII1194" s="7"/>
      <c r="MIJ1194" s="7"/>
      <c r="MIK1194" s="7"/>
      <c r="MIL1194" s="7"/>
      <c r="MIM1194" s="7"/>
      <c r="MIN1194" s="7"/>
      <c r="MIO1194" s="7"/>
      <c r="MIP1194" s="7"/>
      <c r="MIQ1194" s="7"/>
      <c r="MIR1194" s="7"/>
      <c r="MIS1194" s="7"/>
      <c r="MIT1194" s="7"/>
      <c r="MIU1194" s="7"/>
      <c r="MIV1194" s="7"/>
      <c r="MIW1194" s="7"/>
      <c r="MIX1194" s="7"/>
      <c r="MIY1194" s="7"/>
      <c r="MIZ1194" s="7"/>
      <c r="MJA1194" s="7"/>
      <c r="MJB1194" s="7"/>
      <c r="MJC1194" s="7"/>
      <c r="MJD1194" s="7"/>
      <c r="MJE1194" s="7"/>
      <c r="MJF1194" s="7"/>
      <c r="MJG1194" s="7"/>
      <c r="MJH1194" s="7"/>
      <c r="MJI1194" s="7"/>
      <c r="MJJ1194" s="7"/>
      <c r="MJK1194" s="7"/>
      <c r="MJL1194" s="7"/>
      <c r="MJM1194" s="7"/>
      <c r="MJN1194" s="7"/>
      <c r="MJO1194" s="7"/>
      <c r="MJP1194" s="7"/>
      <c r="MJQ1194" s="7"/>
      <c r="MJR1194" s="7"/>
      <c r="MJS1194" s="7"/>
      <c r="MJT1194" s="7"/>
      <c r="MJU1194" s="7"/>
      <c r="MJV1194" s="7"/>
      <c r="MJW1194" s="7"/>
      <c r="MJX1194" s="7"/>
      <c r="MJY1194" s="7"/>
      <c r="MJZ1194" s="7"/>
      <c r="MKA1194" s="7"/>
      <c r="MKB1194" s="7"/>
      <c r="MKC1194" s="7"/>
      <c r="MKD1194" s="7"/>
      <c r="MKE1194" s="7"/>
      <c r="MKF1194" s="7"/>
      <c r="MKG1194" s="7"/>
      <c r="MKH1194" s="7"/>
      <c r="MKI1194" s="7"/>
      <c r="MKJ1194" s="7"/>
      <c r="MKK1194" s="7"/>
      <c r="MKL1194" s="7"/>
      <c r="MKM1194" s="7"/>
      <c r="MKN1194" s="7"/>
      <c r="MKO1194" s="7"/>
      <c r="MKP1194" s="7"/>
      <c r="MKQ1194" s="7"/>
      <c r="MKR1194" s="7"/>
      <c r="MKS1194" s="7"/>
      <c r="MKT1194" s="7"/>
      <c r="MKU1194" s="7"/>
      <c r="MKV1194" s="7"/>
      <c r="MKW1194" s="7"/>
      <c r="MKX1194" s="7"/>
      <c r="MKY1194" s="7"/>
      <c r="MKZ1194" s="7"/>
      <c r="MLA1194" s="7"/>
      <c r="MLB1194" s="7"/>
      <c r="MLC1194" s="7"/>
      <c r="MLD1194" s="7"/>
      <c r="MLE1194" s="7"/>
      <c r="MLF1194" s="7"/>
      <c r="MLG1194" s="7"/>
      <c r="MLH1194" s="7"/>
      <c r="MLI1194" s="7"/>
      <c r="MLJ1194" s="7"/>
      <c r="MLK1194" s="7"/>
      <c r="MLL1194" s="7"/>
      <c r="MLM1194" s="7"/>
      <c r="MLN1194" s="7"/>
      <c r="MLO1194" s="7"/>
      <c r="MLP1194" s="7"/>
      <c r="MLQ1194" s="7"/>
      <c r="MLR1194" s="7"/>
      <c r="MLS1194" s="7"/>
      <c r="MLT1194" s="7"/>
      <c r="MLU1194" s="7"/>
      <c r="MLV1194" s="7"/>
      <c r="MLW1194" s="7"/>
      <c r="MLX1194" s="7"/>
      <c r="MLY1194" s="7"/>
      <c r="MLZ1194" s="7"/>
      <c r="MMA1194" s="7"/>
      <c r="MMB1194" s="7"/>
      <c r="MMC1194" s="7"/>
      <c r="MMD1194" s="7"/>
      <c r="MME1194" s="7"/>
      <c r="MMF1194" s="7"/>
      <c r="MMG1194" s="7"/>
      <c r="MMH1194" s="7"/>
      <c r="MMI1194" s="7"/>
      <c r="MMJ1194" s="7"/>
      <c r="MMK1194" s="7"/>
      <c r="MML1194" s="7"/>
      <c r="MMM1194" s="7"/>
      <c r="MMN1194" s="7"/>
      <c r="MMO1194" s="7"/>
      <c r="MMP1194" s="7"/>
      <c r="MMQ1194" s="7"/>
      <c r="MMR1194" s="7"/>
      <c r="MMS1194" s="7"/>
      <c r="MMT1194" s="7"/>
      <c r="MMU1194" s="7"/>
      <c r="MMV1194" s="7"/>
      <c r="MMW1194" s="7"/>
      <c r="MMX1194" s="7"/>
      <c r="MMY1194" s="7"/>
      <c r="MMZ1194" s="7"/>
      <c r="MNA1194" s="7"/>
      <c r="MNB1194" s="7"/>
      <c r="MNC1194" s="7"/>
      <c r="MND1194" s="7"/>
      <c r="MNE1194" s="7"/>
      <c r="MNF1194" s="7"/>
      <c r="MNG1194" s="7"/>
      <c r="MNH1194" s="7"/>
      <c r="MNI1194" s="7"/>
      <c r="MNJ1194" s="7"/>
      <c r="MNK1194" s="7"/>
      <c r="MNL1194" s="7"/>
      <c r="MNM1194" s="7"/>
      <c r="MNN1194" s="7"/>
      <c r="MNO1194" s="7"/>
      <c r="MNP1194" s="7"/>
      <c r="MNQ1194" s="7"/>
      <c r="MNR1194" s="7"/>
      <c r="MNS1194" s="7"/>
      <c r="MNT1194" s="7"/>
      <c r="MNU1194" s="7"/>
      <c r="MNV1194" s="7"/>
      <c r="MNW1194" s="7"/>
      <c r="MNX1194" s="7"/>
      <c r="MNY1194" s="7"/>
      <c r="MNZ1194" s="7"/>
      <c r="MOA1194" s="7"/>
      <c r="MOB1194" s="7"/>
      <c r="MOC1194" s="7"/>
      <c r="MOD1194" s="7"/>
      <c r="MOE1194" s="7"/>
      <c r="MOF1194" s="7"/>
      <c r="MOG1194" s="7"/>
      <c r="MOH1194" s="7"/>
      <c r="MOI1194" s="7"/>
      <c r="MOJ1194" s="7"/>
      <c r="MOK1194" s="7"/>
      <c r="MOL1194" s="7"/>
      <c r="MOM1194" s="7"/>
      <c r="MON1194" s="7"/>
      <c r="MOO1194" s="7"/>
      <c r="MOP1194" s="7"/>
      <c r="MOQ1194" s="7"/>
      <c r="MOR1194" s="7"/>
      <c r="MOS1194" s="7"/>
      <c r="MOT1194" s="7"/>
      <c r="MOU1194" s="7"/>
      <c r="MOV1194" s="7"/>
      <c r="MOW1194" s="7"/>
      <c r="MOX1194" s="7"/>
      <c r="MOY1194" s="7"/>
      <c r="MOZ1194" s="7"/>
      <c r="MPA1194" s="7"/>
      <c r="MPB1194" s="7"/>
      <c r="MPC1194" s="7"/>
      <c r="MPD1194" s="7"/>
      <c r="MPE1194" s="7"/>
      <c r="MPF1194" s="7"/>
      <c r="MPG1194" s="7"/>
      <c r="MPH1194" s="7"/>
      <c r="MPI1194" s="7"/>
      <c r="MPJ1194" s="7"/>
      <c r="MPK1194" s="7"/>
      <c r="MPL1194" s="7"/>
      <c r="MPM1194" s="7"/>
      <c r="MPN1194" s="7"/>
      <c r="MPO1194" s="7"/>
      <c r="MPP1194" s="7"/>
      <c r="MPQ1194" s="7"/>
      <c r="MPR1194" s="7"/>
      <c r="MPS1194" s="7"/>
      <c r="MPT1194" s="7"/>
      <c r="MPU1194" s="7"/>
      <c r="MPV1194" s="7"/>
      <c r="MPW1194" s="7"/>
      <c r="MPX1194" s="7"/>
      <c r="MPY1194" s="7"/>
      <c r="MPZ1194" s="7"/>
      <c r="MQA1194" s="7"/>
      <c r="MQB1194" s="7"/>
      <c r="MQC1194" s="7"/>
      <c r="MQD1194" s="7"/>
      <c r="MQE1194" s="7"/>
      <c r="MQF1194" s="7"/>
      <c r="MQG1194" s="7"/>
      <c r="MQH1194" s="7"/>
      <c r="MQI1194" s="7"/>
      <c r="MQJ1194" s="7"/>
      <c r="MQK1194" s="7"/>
      <c r="MQL1194" s="7"/>
      <c r="MQM1194" s="7"/>
      <c r="MQN1194" s="7"/>
      <c r="MQO1194" s="7"/>
      <c r="MQP1194" s="7"/>
      <c r="MQQ1194" s="7"/>
      <c r="MQR1194" s="7"/>
      <c r="MQS1194" s="7"/>
      <c r="MQT1194" s="7"/>
      <c r="MQU1194" s="7"/>
      <c r="MQV1194" s="7"/>
      <c r="MQW1194" s="7"/>
      <c r="MQX1194" s="7"/>
      <c r="MQY1194" s="7"/>
      <c r="MQZ1194" s="7"/>
      <c r="MRA1194" s="7"/>
      <c r="MRB1194" s="7"/>
      <c r="MRC1194" s="7"/>
      <c r="MRD1194" s="7"/>
      <c r="MRE1194" s="7"/>
      <c r="MRF1194" s="7"/>
      <c r="MRG1194" s="7"/>
      <c r="MRH1194" s="7"/>
      <c r="MRI1194" s="7"/>
      <c r="MRJ1194" s="7"/>
      <c r="MRK1194" s="7"/>
      <c r="MRL1194" s="7"/>
      <c r="MRM1194" s="7"/>
      <c r="MRN1194" s="7"/>
      <c r="MRO1194" s="7"/>
      <c r="MRP1194" s="7"/>
      <c r="MRQ1194" s="7"/>
      <c r="MRR1194" s="7"/>
      <c r="MRS1194" s="7"/>
      <c r="MRT1194" s="7"/>
      <c r="MRU1194" s="7"/>
      <c r="MRV1194" s="7"/>
      <c r="MRW1194" s="7"/>
      <c r="MRX1194" s="7"/>
      <c r="MRY1194" s="7"/>
      <c r="MRZ1194" s="7"/>
      <c r="MSA1194" s="7"/>
      <c r="MSB1194" s="7"/>
      <c r="MSC1194" s="7"/>
      <c r="MSD1194" s="7"/>
      <c r="MSE1194" s="7"/>
      <c r="MSF1194" s="7"/>
      <c r="MSG1194" s="7"/>
      <c r="MSH1194" s="7"/>
      <c r="MSI1194" s="7"/>
      <c r="MSJ1194" s="7"/>
      <c r="MSK1194" s="7"/>
      <c r="MSL1194" s="7"/>
      <c r="MSM1194" s="7"/>
      <c r="MSN1194" s="7"/>
      <c r="MSO1194" s="7"/>
      <c r="MSP1194" s="7"/>
      <c r="MSQ1194" s="7"/>
      <c r="MSR1194" s="7"/>
      <c r="MSS1194" s="7"/>
      <c r="MST1194" s="7"/>
      <c r="MSU1194" s="7"/>
      <c r="MSV1194" s="7"/>
      <c r="MSW1194" s="7"/>
      <c r="MSX1194" s="7"/>
      <c r="MSY1194" s="7"/>
      <c r="MSZ1194" s="7"/>
      <c r="MTA1194" s="7"/>
      <c r="MTB1194" s="7"/>
      <c r="MTC1194" s="7"/>
      <c r="MTD1194" s="7"/>
      <c r="MTE1194" s="7"/>
      <c r="MTF1194" s="7"/>
      <c r="MTG1194" s="7"/>
      <c r="MTH1194" s="7"/>
      <c r="MTI1194" s="7"/>
      <c r="MTJ1194" s="7"/>
      <c r="MTK1194" s="7"/>
      <c r="MTL1194" s="7"/>
      <c r="MTM1194" s="7"/>
      <c r="MTN1194" s="7"/>
      <c r="MTO1194" s="7"/>
      <c r="MTP1194" s="7"/>
      <c r="MTQ1194" s="7"/>
      <c r="MTR1194" s="7"/>
      <c r="MTS1194" s="7"/>
      <c r="MTT1194" s="7"/>
      <c r="MTU1194" s="7"/>
      <c r="MTV1194" s="7"/>
      <c r="MTW1194" s="7"/>
      <c r="MTX1194" s="7"/>
      <c r="MTY1194" s="7"/>
      <c r="MTZ1194" s="7"/>
      <c r="MUA1194" s="7"/>
      <c r="MUB1194" s="7"/>
      <c r="MUC1194" s="7"/>
      <c r="MUD1194" s="7"/>
      <c r="MUE1194" s="7"/>
      <c r="MUF1194" s="7"/>
      <c r="MUG1194" s="7"/>
      <c r="MUH1194" s="7"/>
      <c r="MUI1194" s="7"/>
      <c r="MUJ1194" s="7"/>
      <c r="MUK1194" s="7"/>
      <c r="MUL1194" s="7"/>
      <c r="MUM1194" s="7"/>
      <c r="MUN1194" s="7"/>
      <c r="MUO1194" s="7"/>
      <c r="MUP1194" s="7"/>
      <c r="MUQ1194" s="7"/>
      <c r="MUR1194" s="7"/>
      <c r="MUS1194" s="7"/>
      <c r="MUT1194" s="7"/>
      <c r="MUU1194" s="7"/>
      <c r="MUV1194" s="7"/>
      <c r="MUW1194" s="7"/>
      <c r="MUX1194" s="7"/>
      <c r="MUY1194" s="7"/>
      <c r="MUZ1194" s="7"/>
      <c r="MVA1194" s="7"/>
      <c r="MVB1194" s="7"/>
      <c r="MVC1194" s="7"/>
      <c r="MVD1194" s="7"/>
      <c r="MVE1194" s="7"/>
      <c r="MVF1194" s="7"/>
      <c r="MVG1194" s="7"/>
      <c r="MVH1194" s="7"/>
      <c r="MVI1194" s="7"/>
      <c r="MVJ1194" s="7"/>
      <c r="MVK1194" s="7"/>
      <c r="MVL1194" s="7"/>
      <c r="MVM1194" s="7"/>
      <c r="MVN1194" s="7"/>
      <c r="MVO1194" s="7"/>
      <c r="MVP1194" s="7"/>
      <c r="MVQ1194" s="7"/>
      <c r="MVR1194" s="7"/>
      <c r="MVS1194" s="7"/>
      <c r="MVT1194" s="7"/>
      <c r="MVU1194" s="7"/>
      <c r="MVV1194" s="7"/>
      <c r="MVW1194" s="7"/>
      <c r="MVX1194" s="7"/>
      <c r="MVY1194" s="7"/>
      <c r="MVZ1194" s="7"/>
      <c r="MWA1194" s="7"/>
      <c r="MWB1194" s="7"/>
      <c r="MWC1194" s="7"/>
      <c r="MWD1194" s="7"/>
      <c r="MWE1194" s="7"/>
      <c r="MWF1194" s="7"/>
      <c r="MWG1194" s="7"/>
      <c r="MWH1194" s="7"/>
      <c r="MWI1194" s="7"/>
      <c r="MWJ1194" s="7"/>
      <c r="MWK1194" s="7"/>
      <c r="MWL1194" s="7"/>
      <c r="MWM1194" s="7"/>
      <c r="MWN1194" s="7"/>
      <c r="MWO1194" s="7"/>
      <c r="MWP1194" s="7"/>
      <c r="MWQ1194" s="7"/>
      <c r="MWR1194" s="7"/>
      <c r="MWS1194" s="7"/>
      <c r="MWT1194" s="7"/>
      <c r="MWU1194" s="7"/>
      <c r="MWV1194" s="7"/>
      <c r="MWW1194" s="7"/>
      <c r="MWX1194" s="7"/>
      <c r="MWY1194" s="7"/>
      <c r="MWZ1194" s="7"/>
      <c r="MXA1194" s="7"/>
      <c r="MXB1194" s="7"/>
      <c r="MXC1194" s="7"/>
      <c r="MXD1194" s="7"/>
      <c r="MXE1194" s="7"/>
      <c r="MXF1194" s="7"/>
      <c r="MXG1194" s="7"/>
      <c r="MXH1194" s="7"/>
      <c r="MXI1194" s="7"/>
      <c r="MXJ1194" s="7"/>
      <c r="MXK1194" s="7"/>
      <c r="MXL1194" s="7"/>
      <c r="MXM1194" s="7"/>
      <c r="MXN1194" s="7"/>
      <c r="MXO1194" s="7"/>
      <c r="MXP1194" s="7"/>
      <c r="MXQ1194" s="7"/>
      <c r="MXR1194" s="7"/>
      <c r="MXS1194" s="7"/>
      <c r="MXT1194" s="7"/>
      <c r="MXU1194" s="7"/>
      <c r="MXV1194" s="7"/>
      <c r="MXW1194" s="7"/>
      <c r="MXX1194" s="7"/>
      <c r="MXY1194" s="7"/>
      <c r="MXZ1194" s="7"/>
      <c r="MYA1194" s="7"/>
      <c r="MYB1194" s="7"/>
      <c r="MYC1194" s="7"/>
      <c r="MYD1194" s="7"/>
      <c r="MYE1194" s="7"/>
      <c r="MYF1194" s="7"/>
      <c r="MYG1194" s="7"/>
      <c r="MYH1194" s="7"/>
      <c r="MYI1194" s="7"/>
      <c r="MYJ1194" s="7"/>
      <c r="MYK1194" s="7"/>
      <c r="MYL1194" s="7"/>
      <c r="MYM1194" s="7"/>
      <c r="MYN1194" s="7"/>
      <c r="MYO1194" s="7"/>
      <c r="MYP1194" s="7"/>
      <c r="MYQ1194" s="7"/>
      <c r="MYR1194" s="7"/>
      <c r="MYS1194" s="7"/>
      <c r="MYT1194" s="7"/>
      <c r="MYU1194" s="7"/>
      <c r="MYV1194" s="7"/>
      <c r="MYW1194" s="7"/>
      <c r="MYX1194" s="7"/>
      <c r="MYY1194" s="7"/>
      <c r="MYZ1194" s="7"/>
      <c r="MZA1194" s="7"/>
      <c r="MZB1194" s="7"/>
      <c r="MZC1194" s="7"/>
      <c r="MZD1194" s="7"/>
      <c r="MZE1194" s="7"/>
      <c r="MZF1194" s="7"/>
      <c r="MZG1194" s="7"/>
      <c r="MZH1194" s="7"/>
      <c r="MZI1194" s="7"/>
      <c r="MZJ1194" s="7"/>
      <c r="MZK1194" s="7"/>
      <c r="MZL1194" s="7"/>
      <c r="MZM1194" s="7"/>
      <c r="MZN1194" s="7"/>
      <c r="MZO1194" s="7"/>
      <c r="MZP1194" s="7"/>
      <c r="MZQ1194" s="7"/>
      <c r="MZR1194" s="7"/>
      <c r="MZS1194" s="7"/>
      <c r="MZT1194" s="7"/>
      <c r="MZU1194" s="7"/>
      <c r="MZV1194" s="7"/>
      <c r="MZW1194" s="7"/>
      <c r="MZX1194" s="7"/>
      <c r="MZY1194" s="7"/>
      <c r="MZZ1194" s="7"/>
      <c r="NAA1194" s="7"/>
      <c r="NAB1194" s="7"/>
      <c r="NAC1194" s="7"/>
      <c r="NAD1194" s="7"/>
      <c r="NAE1194" s="7"/>
      <c r="NAF1194" s="7"/>
      <c r="NAG1194" s="7"/>
      <c r="NAH1194" s="7"/>
      <c r="NAI1194" s="7"/>
      <c r="NAJ1194" s="7"/>
      <c r="NAK1194" s="7"/>
      <c r="NAL1194" s="7"/>
      <c r="NAM1194" s="7"/>
      <c r="NAN1194" s="7"/>
      <c r="NAO1194" s="7"/>
      <c r="NAP1194" s="7"/>
      <c r="NAQ1194" s="7"/>
      <c r="NAR1194" s="7"/>
      <c r="NAS1194" s="7"/>
      <c r="NAT1194" s="7"/>
      <c r="NAU1194" s="7"/>
      <c r="NAV1194" s="7"/>
      <c r="NAW1194" s="7"/>
      <c r="NAX1194" s="7"/>
      <c r="NAY1194" s="7"/>
      <c r="NAZ1194" s="7"/>
      <c r="NBA1194" s="7"/>
      <c r="NBB1194" s="7"/>
      <c r="NBC1194" s="7"/>
      <c r="NBD1194" s="7"/>
      <c r="NBE1194" s="7"/>
      <c r="NBF1194" s="7"/>
      <c r="NBG1194" s="7"/>
      <c r="NBH1194" s="7"/>
      <c r="NBI1194" s="7"/>
      <c r="NBJ1194" s="7"/>
      <c r="NBK1194" s="7"/>
      <c r="NBL1194" s="7"/>
      <c r="NBM1194" s="7"/>
      <c r="NBN1194" s="7"/>
      <c r="NBO1194" s="7"/>
      <c r="NBP1194" s="7"/>
      <c r="NBQ1194" s="7"/>
      <c r="NBR1194" s="7"/>
      <c r="NBS1194" s="7"/>
      <c r="NBT1194" s="7"/>
      <c r="NBU1194" s="7"/>
      <c r="NBV1194" s="7"/>
      <c r="NBW1194" s="7"/>
      <c r="NBX1194" s="7"/>
      <c r="NBY1194" s="7"/>
      <c r="NBZ1194" s="7"/>
      <c r="NCA1194" s="7"/>
      <c r="NCB1194" s="7"/>
      <c r="NCC1194" s="7"/>
      <c r="NCD1194" s="7"/>
      <c r="NCE1194" s="7"/>
      <c r="NCF1194" s="7"/>
      <c r="NCG1194" s="7"/>
      <c r="NCH1194" s="7"/>
      <c r="NCI1194" s="7"/>
      <c r="NCJ1194" s="7"/>
      <c r="NCK1194" s="7"/>
      <c r="NCL1194" s="7"/>
      <c r="NCM1194" s="7"/>
      <c r="NCN1194" s="7"/>
      <c r="NCO1194" s="7"/>
      <c r="NCP1194" s="7"/>
      <c r="NCQ1194" s="7"/>
      <c r="NCR1194" s="7"/>
      <c r="NCS1194" s="7"/>
      <c r="NCT1194" s="7"/>
      <c r="NCU1194" s="7"/>
      <c r="NCV1194" s="7"/>
      <c r="NCW1194" s="7"/>
      <c r="NCX1194" s="7"/>
      <c r="NCY1194" s="7"/>
      <c r="NCZ1194" s="7"/>
      <c r="NDA1194" s="7"/>
      <c r="NDB1194" s="7"/>
      <c r="NDC1194" s="7"/>
      <c r="NDD1194" s="7"/>
      <c r="NDE1194" s="7"/>
      <c r="NDF1194" s="7"/>
      <c r="NDG1194" s="7"/>
      <c r="NDH1194" s="7"/>
      <c r="NDI1194" s="7"/>
      <c r="NDJ1194" s="7"/>
      <c r="NDK1194" s="7"/>
      <c r="NDL1194" s="7"/>
      <c r="NDM1194" s="7"/>
      <c r="NDN1194" s="7"/>
      <c r="NDO1194" s="7"/>
      <c r="NDP1194" s="7"/>
      <c r="NDQ1194" s="7"/>
      <c r="NDR1194" s="7"/>
      <c r="NDS1194" s="7"/>
      <c r="NDT1194" s="7"/>
      <c r="NDU1194" s="7"/>
      <c r="NDV1194" s="7"/>
      <c r="NDW1194" s="7"/>
      <c r="NDX1194" s="7"/>
      <c r="NDY1194" s="7"/>
      <c r="NDZ1194" s="7"/>
      <c r="NEA1194" s="7"/>
      <c r="NEB1194" s="7"/>
      <c r="NEC1194" s="7"/>
      <c r="NED1194" s="7"/>
      <c r="NEE1194" s="7"/>
      <c r="NEF1194" s="7"/>
      <c r="NEG1194" s="7"/>
      <c r="NEH1194" s="7"/>
      <c r="NEI1194" s="7"/>
      <c r="NEJ1194" s="7"/>
      <c r="NEK1194" s="7"/>
      <c r="NEL1194" s="7"/>
      <c r="NEM1194" s="7"/>
      <c r="NEN1194" s="7"/>
      <c r="NEO1194" s="7"/>
      <c r="NEP1194" s="7"/>
      <c r="NEQ1194" s="7"/>
      <c r="NER1194" s="7"/>
      <c r="NES1194" s="7"/>
      <c r="NET1194" s="7"/>
      <c r="NEU1194" s="7"/>
      <c r="NEV1194" s="7"/>
      <c r="NEW1194" s="7"/>
      <c r="NEX1194" s="7"/>
      <c r="NEY1194" s="7"/>
      <c r="NEZ1194" s="7"/>
      <c r="NFA1194" s="7"/>
      <c r="NFB1194" s="7"/>
      <c r="NFC1194" s="7"/>
      <c r="NFD1194" s="7"/>
      <c r="NFE1194" s="7"/>
      <c r="NFF1194" s="7"/>
      <c r="NFG1194" s="7"/>
      <c r="NFH1194" s="7"/>
      <c r="NFI1194" s="7"/>
      <c r="NFJ1194" s="7"/>
      <c r="NFK1194" s="7"/>
      <c r="NFL1194" s="7"/>
      <c r="NFM1194" s="7"/>
      <c r="NFN1194" s="7"/>
      <c r="NFO1194" s="7"/>
      <c r="NFP1194" s="7"/>
      <c r="NFQ1194" s="7"/>
      <c r="NFR1194" s="7"/>
      <c r="NFS1194" s="7"/>
      <c r="NFT1194" s="7"/>
      <c r="NFU1194" s="7"/>
      <c r="NFV1194" s="7"/>
      <c r="NFW1194" s="7"/>
      <c r="NFX1194" s="7"/>
      <c r="NFY1194" s="7"/>
      <c r="NFZ1194" s="7"/>
      <c r="NGA1194" s="7"/>
      <c r="NGB1194" s="7"/>
      <c r="NGC1194" s="7"/>
      <c r="NGD1194" s="7"/>
      <c r="NGE1194" s="7"/>
      <c r="NGF1194" s="7"/>
      <c r="NGG1194" s="7"/>
      <c r="NGH1194" s="7"/>
      <c r="NGI1194" s="7"/>
      <c r="NGJ1194" s="7"/>
      <c r="NGK1194" s="7"/>
      <c r="NGL1194" s="7"/>
      <c r="NGM1194" s="7"/>
      <c r="NGN1194" s="7"/>
      <c r="NGO1194" s="7"/>
      <c r="NGP1194" s="7"/>
      <c r="NGQ1194" s="7"/>
      <c r="NGR1194" s="7"/>
      <c r="NGS1194" s="7"/>
      <c r="NGT1194" s="7"/>
      <c r="NGU1194" s="7"/>
      <c r="NGV1194" s="7"/>
      <c r="NGW1194" s="7"/>
      <c r="NGX1194" s="7"/>
      <c r="NGY1194" s="7"/>
      <c r="NGZ1194" s="7"/>
      <c r="NHA1194" s="7"/>
      <c r="NHB1194" s="7"/>
      <c r="NHC1194" s="7"/>
      <c r="NHD1194" s="7"/>
      <c r="NHE1194" s="7"/>
      <c r="NHF1194" s="7"/>
      <c r="NHG1194" s="7"/>
      <c r="NHH1194" s="7"/>
      <c r="NHI1194" s="7"/>
      <c r="NHJ1194" s="7"/>
      <c r="NHK1194" s="7"/>
      <c r="NHL1194" s="7"/>
      <c r="NHM1194" s="7"/>
      <c r="NHN1194" s="7"/>
      <c r="NHO1194" s="7"/>
      <c r="NHP1194" s="7"/>
      <c r="NHQ1194" s="7"/>
      <c r="NHR1194" s="7"/>
      <c r="NHS1194" s="7"/>
      <c r="NHT1194" s="7"/>
      <c r="NHU1194" s="7"/>
      <c r="NHV1194" s="7"/>
      <c r="NHW1194" s="7"/>
      <c r="NHX1194" s="7"/>
      <c r="NHY1194" s="7"/>
      <c r="NHZ1194" s="7"/>
      <c r="NIA1194" s="7"/>
      <c r="NIB1194" s="7"/>
      <c r="NIC1194" s="7"/>
      <c r="NID1194" s="7"/>
      <c r="NIE1194" s="7"/>
      <c r="NIF1194" s="7"/>
      <c r="NIG1194" s="7"/>
      <c r="NIH1194" s="7"/>
      <c r="NII1194" s="7"/>
      <c r="NIJ1194" s="7"/>
      <c r="NIK1194" s="7"/>
      <c r="NIL1194" s="7"/>
      <c r="NIM1194" s="7"/>
      <c r="NIN1194" s="7"/>
      <c r="NIO1194" s="7"/>
      <c r="NIP1194" s="7"/>
      <c r="NIQ1194" s="7"/>
      <c r="NIR1194" s="7"/>
      <c r="NIS1194" s="7"/>
      <c r="NIT1194" s="7"/>
      <c r="NIU1194" s="7"/>
      <c r="NIV1194" s="7"/>
      <c r="NIW1194" s="7"/>
      <c r="NIX1194" s="7"/>
      <c r="NIY1194" s="7"/>
      <c r="NIZ1194" s="7"/>
      <c r="NJA1194" s="7"/>
      <c r="NJB1194" s="7"/>
      <c r="NJC1194" s="7"/>
      <c r="NJD1194" s="7"/>
      <c r="NJE1194" s="7"/>
      <c r="NJF1194" s="7"/>
      <c r="NJG1194" s="7"/>
      <c r="NJH1194" s="7"/>
      <c r="NJI1194" s="7"/>
      <c r="NJJ1194" s="7"/>
      <c r="NJK1194" s="7"/>
      <c r="NJL1194" s="7"/>
      <c r="NJM1194" s="7"/>
      <c r="NJN1194" s="7"/>
      <c r="NJO1194" s="7"/>
      <c r="NJP1194" s="7"/>
      <c r="NJQ1194" s="7"/>
      <c r="NJR1194" s="7"/>
      <c r="NJS1194" s="7"/>
      <c r="NJT1194" s="7"/>
      <c r="NJU1194" s="7"/>
      <c r="NJV1194" s="7"/>
      <c r="NJW1194" s="7"/>
      <c r="NJX1194" s="7"/>
      <c r="NJY1194" s="7"/>
      <c r="NJZ1194" s="7"/>
      <c r="NKA1194" s="7"/>
      <c r="NKB1194" s="7"/>
      <c r="NKC1194" s="7"/>
      <c r="NKD1194" s="7"/>
      <c r="NKE1194" s="7"/>
      <c r="NKF1194" s="7"/>
      <c r="NKG1194" s="7"/>
      <c r="NKH1194" s="7"/>
      <c r="NKI1194" s="7"/>
      <c r="NKJ1194" s="7"/>
      <c r="NKK1194" s="7"/>
      <c r="NKL1194" s="7"/>
      <c r="NKM1194" s="7"/>
      <c r="NKN1194" s="7"/>
      <c r="NKO1194" s="7"/>
      <c r="NKP1194" s="7"/>
      <c r="NKQ1194" s="7"/>
      <c r="NKR1194" s="7"/>
      <c r="NKS1194" s="7"/>
      <c r="NKT1194" s="7"/>
      <c r="NKU1194" s="7"/>
      <c r="NKV1194" s="7"/>
      <c r="NKW1194" s="7"/>
      <c r="NKX1194" s="7"/>
      <c r="NKY1194" s="7"/>
      <c r="NKZ1194" s="7"/>
      <c r="NLA1194" s="7"/>
      <c r="NLB1194" s="7"/>
      <c r="NLC1194" s="7"/>
      <c r="NLD1194" s="7"/>
      <c r="NLE1194" s="7"/>
      <c r="NLF1194" s="7"/>
      <c r="NLG1194" s="7"/>
      <c r="NLH1194" s="7"/>
      <c r="NLI1194" s="7"/>
      <c r="NLJ1194" s="7"/>
      <c r="NLK1194" s="7"/>
      <c r="NLL1194" s="7"/>
      <c r="NLM1194" s="7"/>
      <c r="NLN1194" s="7"/>
      <c r="NLO1194" s="7"/>
      <c r="NLP1194" s="7"/>
      <c r="NLQ1194" s="7"/>
      <c r="NLR1194" s="7"/>
      <c r="NLS1194" s="7"/>
      <c r="NLT1194" s="7"/>
      <c r="NLU1194" s="7"/>
      <c r="NLV1194" s="7"/>
      <c r="NLW1194" s="7"/>
      <c r="NLX1194" s="7"/>
      <c r="NLY1194" s="7"/>
      <c r="NLZ1194" s="7"/>
      <c r="NMA1194" s="7"/>
      <c r="NMB1194" s="7"/>
      <c r="NMC1194" s="7"/>
      <c r="NMD1194" s="7"/>
      <c r="NME1194" s="7"/>
      <c r="NMF1194" s="7"/>
      <c r="NMG1194" s="7"/>
      <c r="NMH1194" s="7"/>
      <c r="NMI1194" s="7"/>
      <c r="NMJ1194" s="7"/>
      <c r="NMK1194" s="7"/>
      <c r="NML1194" s="7"/>
      <c r="NMM1194" s="7"/>
      <c r="NMN1194" s="7"/>
      <c r="NMO1194" s="7"/>
      <c r="NMP1194" s="7"/>
      <c r="NMQ1194" s="7"/>
      <c r="NMR1194" s="7"/>
      <c r="NMS1194" s="7"/>
      <c r="NMT1194" s="7"/>
      <c r="NMU1194" s="7"/>
      <c r="NMV1194" s="7"/>
      <c r="NMW1194" s="7"/>
      <c r="NMX1194" s="7"/>
      <c r="NMY1194" s="7"/>
      <c r="NMZ1194" s="7"/>
      <c r="NNA1194" s="7"/>
      <c r="NNB1194" s="7"/>
      <c r="NNC1194" s="7"/>
      <c r="NND1194" s="7"/>
      <c r="NNE1194" s="7"/>
      <c r="NNF1194" s="7"/>
      <c r="NNG1194" s="7"/>
      <c r="NNH1194" s="7"/>
      <c r="NNI1194" s="7"/>
      <c r="NNJ1194" s="7"/>
      <c r="NNK1194" s="7"/>
      <c r="NNL1194" s="7"/>
      <c r="NNM1194" s="7"/>
      <c r="NNN1194" s="7"/>
      <c r="NNO1194" s="7"/>
      <c r="NNP1194" s="7"/>
      <c r="NNQ1194" s="7"/>
      <c r="NNR1194" s="7"/>
      <c r="NNS1194" s="7"/>
      <c r="NNT1194" s="7"/>
      <c r="NNU1194" s="7"/>
      <c r="NNV1194" s="7"/>
      <c r="NNW1194" s="7"/>
      <c r="NNX1194" s="7"/>
      <c r="NNY1194" s="7"/>
      <c r="NNZ1194" s="7"/>
      <c r="NOA1194" s="7"/>
      <c r="NOB1194" s="7"/>
      <c r="NOC1194" s="7"/>
      <c r="NOD1194" s="7"/>
      <c r="NOE1194" s="7"/>
      <c r="NOF1194" s="7"/>
      <c r="NOG1194" s="7"/>
      <c r="NOH1194" s="7"/>
      <c r="NOI1194" s="7"/>
      <c r="NOJ1194" s="7"/>
      <c r="NOK1194" s="7"/>
      <c r="NOL1194" s="7"/>
      <c r="NOM1194" s="7"/>
      <c r="NON1194" s="7"/>
      <c r="NOO1194" s="7"/>
      <c r="NOP1194" s="7"/>
      <c r="NOQ1194" s="7"/>
      <c r="NOR1194" s="7"/>
      <c r="NOS1194" s="7"/>
      <c r="NOT1194" s="7"/>
      <c r="NOU1194" s="7"/>
      <c r="NOV1194" s="7"/>
      <c r="NOW1194" s="7"/>
      <c r="NOX1194" s="7"/>
      <c r="NOY1194" s="7"/>
      <c r="NOZ1194" s="7"/>
      <c r="NPA1194" s="7"/>
      <c r="NPB1194" s="7"/>
      <c r="NPC1194" s="7"/>
      <c r="NPD1194" s="7"/>
      <c r="NPE1194" s="7"/>
      <c r="NPF1194" s="7"/>
      <c r="NPG1194" s="7"/>
      <c r="NPH1194" s="7"/>
      <c r="NPI1194" s="7"/>
      <c r="NPJ1194" s="7"/>
      <c r="NPK1194" s="7"/>
      <c r="NPL1194" s="7"/>
      <c r="NPM1194" s="7"/>
      <c r="NPN1194" s="7"/>
      <c r="NPO1194" s="7"/>
      <c r="NPP1194" s="7"/>
      <c r="NPQ1194" s="7"/>
      <c r="NPR1194" s="7"/>
      <c r="NPS1194" s="7"/>
      <c r="NPT1194" s="7"/>
      <c r="NPU1194" s="7"/>
      <c r="NPV1194" s="7"/>
      <c r="NPW1194" s="7"/>
      <c r="NPX1194" s="7"/>
      <c r="NPY1194" s="7"/>
      <c r="NPZ1194" s="7"/>
      <c r="NQA1194" s="7"/>
      <c r="NQB1194" s="7"/>
      <c r="NQC1194" s="7"/>
      <c r="NQD1194" s="7"/>
      <c r="NQE1194" s="7"/>
      <c r="NQF1194" s="7"/>
      <c r="NQG1194" s="7"/>
      <c r="NQH1194" s="7"/>
      <c r="NQI1194" s="7"/>
      <c r="NQJ1194" s="7"/>
      <c r="NQK1194" s="7"/>
      <c r="NQL1194" s="7"/>
      <c r="NQM1194" s="7"/>
      <c r="NQN1194" s="7"/>
      <c r="NQO1194" s="7"/>
      <c r="NQP1194" s="7"/>
      <c r="NQQ1194" s="7"/>
      <c r="NQR1194" s="7"/>
      <c r="NQS1194" s="7"/>
      <c r="NQT1194" s="7"/>
      <c r="NQU1194" s="7"/>
      <c r="NQV1194" s="7"/>
      <c r="NQW1194" s="7"/>
      <c r="NQX1194" s="7"/>
      <c r="NQY1194" s="7"/>
      <c r="NQZ1194" s="7"/>
      <c r="NRA1194" s="7"/>
      <c r="NRB1194" s="7"/>
      <c r="NRC1194" s="7"/>
      <c r="NRD1194" s="7"/>
      <c r="NRE1194" s="7"/>
      <c r="NRF1194" s="7"/>
      <c r="NRG1194" s="7"/>
      <c r="NRH1194" s="7"/>
      <c r="NRI1194" s="7"/>
      <c r="NRJ1194" s="7"/>
      <c r="NRK1194" s="7"/>
      <c r="NRL1194" s="7"/>
      <c r="NRM1194" s="7"/>
      <c r="NRN1194" s="7"/>
      <c r="NRO1194" s="7"/>
      <c r="NRP1194" s="7"/>
      <c r="NRQ1194" s="7"/>
      <c r="NRR1194" s="7"/>
      <c r="NRS1194" s="7"/>
      <c r="NRT1194" s="7"/>
      <c r="NRU1194" s="7"/>
      <c r="NRV1194" s="7"/>
      <c r="NRW1194" s="7"/>
      <c r="NRX1194" s="7"/>
      <c r="NRY1194" s="7"/>
      <c r="NRZ1194" s="7"/>
      <c r="NSA1194" s="7"/>
      <c r="NSB1194" s="7"/>
      <c r="NSC1194" s="7"/>
      <c r="NSD1194" s="7"/>
      <c r="NSE1194" s="7"/>
      <c r="NSF1194" s="7"/>
      <c r="NSG1194" s="7"/>
      <c r="NSH1194" s="7"/>
      <c r="NSI1194" s="7"/>
      <c r="NSJ1194" s="7"/>
      <c r="NSK1194" s="7"/>
      <c r="NSL1194" s="7"/>
      <c r="NSM1194" s="7"/>
      <c r="NSN1194" s="7"/>
      <c r="NSO1194" s="7"/>
      <c r="NSP1194" s="7"/>
      <c r="NSQ1194" s="7"/>
      <c r="NSR1194" s="7"/>
      <c r="NSS1194" s="7"/>
      <c r="NST1194" s="7"/>
      <c r="NSU1194" s="7"/>
      <c r="NSV1194" s="7"/>
      <c r="NSW1194" s="7"/>
      <c r="NSX1194" s="7"/>
      <c r="NSY1194" s="7"/>
      <c r="NSZ1194" s="7"/>
      <c r="NTA1194" s="7"/>
      <c r="NTB1194" s="7"/>
      <c r="NTC1194" s="7"/>
      <c r="NTD1194" s="7"/>
      <c r="NTE1194" s="7"/>
      <c r="NTF1194" s="7"/>
      <c r="NTG1194" s="7"/>
      <c r="NTH1194" s="7"/>
      <c r="NTI1194" s="7"/>
      <c r="NTJ1194" s="7"/>
      <c r="NTK1194" s="7"/>
      <c r="NTL1194" s="7"/>
      <c r="NTM1194" s="7"/>
      <c r="NTN1194" s="7"/>
      <c r="NTO1194" s="7"/>
      <c r="NTP1194" s="7"/>
      <c r="NTQ1194" s="7"/>
      <c r="NTR1194" s="7"/>
      <c r="NTS1194" s="7"/>
      <c r="NTT1194" s="7"/>
      <c r="NTU1194" s="7"/>
      <c r="NTV1194" s="7"/>
      <c r="NTW1194" s="7"/>
      <c r="NTX1194" s="7"/>
      <c r="NTY1194" s="7"/>
      <c r="NTZ1194" s="7"/>
      <c r="NUA1194" s="7"/>
      <c r="NUB1194" s="7"/>
      <c r="NUC1194" s="7"/>
      <c r="NUD1194" s="7"/>
      <c r="NUE1194" s="7"/>
      <c r="NUF1194" s="7"/>
      <c r="NUG1194" s="7"/>
      <c r="NUH1194" s="7"/>
      <c r="NUI1194" s="7"/>
      <c r="NUJ1194" s="7"/>
      <c r="NUK1194" s="7"/>
      <c r="NUL1194" s="7"/>
      <c r="NUM1194" s="7"/>
      <c r="NUN1194" s="7"/>
      <c r="NUO1194" s="7"/>
      <c r="NUP1194" s="7"/>
      <c r="NUQ1194" s="7"/>
      <c r="NUR1194" s="7"/>
      <c r="NUS1194" s="7"/>
      <c r="NUT1194" s="7"/>
      <c r="NUU1194" s="7"/>
      <c r="NUV1194" s="7"/>
      <c r="NUW1194" s="7"/>
      <c r="NUX1194" s="7"/>
      <c r="NUY1194" s="7"/>
      <c r="NUZ1194" s="7"/>
      <c r="NVA1194" s="7"/>
      <c r="NVB1194" s="7"/>
      <c r="NVC1194" s="7"/>
      <c r="NVD1194" s="7"/>
      <c r="NVE1194" s="7"/>
      <c r="NVF1194" s="7"/>
      <c r="NVG1194" s="7"/>
      <c r="NVH1194" s="7"/>
      <c r="NVI1194" s="7"/>
      <c r="NVJ1194" s="7"/>
      <c r="NVK1194" s="7"/>
      <c r="NVL1194" s="7"/>
      <c r="NVM1194" s="7"/>
      <c r="NVN1194" s="7"/>
      <c r="NVO1194" s="7"/>
      <c r="NVP1194" s="7"/>
      <c r="NVQ1194" s="7"/>
      <c r="NVR1194" s="7"/>
      <c r="NVS1194" s="7"/>
      <c r="NVT1194" s="7"/>
      <c r="NVU1194" s="7"/>
      <c r="NVV1194" s="7"/>
      <c r="NVW1194" s="7"/>
      <c r="NVX1194" s="7"/>
      <c r="NVY1194" s="7"/>
      <c r="NVZ1194" s="7"/>
      <c r="NWA1194" s="7"/>
      <c r="NWB1194" s="7"/>
      <c r="NWC1194" s="7"/>
      <c r="NWD1194" s="7"/>
      <c r="NWE1194" s="7"/>
      <c r="NWF1194" s="7"/>
      <c r="NWG1194" s="7"/>
      <c r="NWH1194" s="7"/>
      <c r="NWI1194" s="7"/>
      <c r="NWJ1194" s="7"/>
      <c r="NWK1194" s="7"/>
      <c r="NWL1194" s="7"/>
      <c r="NWM1194" s="7"/>
      <c r="NWN1194" s="7"/>
      <c r="NWO1194" s="7"/>
      <c r="NWP1194" s="7"/>
      <c r="NWQ1194" s="7"/>
      <c r="NWR1194" s="7"/>
      <c r="NWS1194" s="7"/>
      <c r="NWT1194" s="7"/>
      <c r="NWU1194" s="7"/>
      <c r="NWV1194" s="7"/>
      <c r="NWW1194" s="7"/>
      <c r="NWX1194" s="7"/>
      <c r="NWY1194" s="7"/>
      <c r="NWZ1194" s="7"/>
      <c r="NXA1194" s="7"/>
      <c r="NXB1194" s="7"/>
      <c r="NXC1194" s="7"/>
      <c r="NXD1194" s="7"/>
      <c r="NXE1194" s="7"/>
      <c r="NXF1194" s="7"/>
      <c r="NXG1194" s="7"/>
      <c r="NXH1194" s="7"/>
      <c r="NXI1194" s="7"/>
      <c r="NXJ1194" s="7"/>
      <c r="NXK1194" s="7"/>
      <c r="NXL1194" s="7"/>
      <c r="NXM1194" s="7"/>
      <c r="NXN1194" s="7"/>
      <c r="NXO1194" s="7"/>
      <c r="NXP1194" s="7"/>
      <c r="NXQ1194" s="7"/>
      <c r="NXR1194" s="7"/>
      <c r="NXS1194" s="7"/>
      <c r="NXT1194" s="7"/>
      <c r="NXU1194" s="7"/>
      <c r="NXV1194" s="7"/>
      <c r="NXW1194" s="7"/>
      <c r="NXX1194" s="7"/>
      <c r="NXY1194" s="7"/>
      <c r="NXZ1194" s="7"/>
      <c r="NYA1194" s="7"/>
      <c r="NYB1194" s="7"/>
      <c r="NYC1194" s="7"/>
      <c r="NYD1194" s="7"/>
      <c r="NYE1194" s="7"/>
      <c r="NYF1194" s="7"/>
      <c r="NYG1194" s="7"/>
      <c r="NYH1194" s="7"/>
      <c r="NYI1194" s="7"/>
      <c r="NYJ1194" s="7"/>
      <c r="NYK1194" s="7"/>
      <c r="NYL1194" s="7"/>
      <c r="NYM1194" s="7"/>
      <c r="NYN1194" s="7"/>
      <c r="NYO1194" s="7"/>
      <c r="NYP1194" s="7"/>
      <c r="NYQ1194" s="7"/>
      <c r="NYR1194" s="7"/>
      <c r="NYS1194" s="7"/>
      <c r="NYT1194" s="7"/>
      <c r="NYU1194" s="7"/>
      <c r="NYV1194" s="7"/>
      <c r="NYW1194" s="7"/>
      <c r="NYX1194" s="7"/>
      <c r="NYY1194" s="7"/>
      <c r="NYZ1194" s="7"/>
      <c r="NZA1194" s="7"/>
      <c r="NZB1194" s="7"/>
      <c r="NZC1194" s="7"/>
      <c r="NZD1194" s="7"/>
      <c r="NZE1194" s="7"/>
      <c r="NZF1194" s="7"/>
      <c r="NZG1194" s="7"/>
      <c r="NZH1194" s="7"/>
      <c r="NZI1194" s="7"/>
      <c r="NZJ1194" s="7"/>
      <c r="NZK1194" s="7"/>
      <c r="NZL1194" s="7"/>
      <c r="NZM1194" s="7"/>
      <c r="NZN1194" s="7"/>
      <c r="NZO1194" s="7"/>
      <c r="NZP1194" s="7"/>
      <c r="NZQ1194" s="7"/>
      <c r="NZR1194" s="7"/>
      <c r="NZS1194" s="7"/>
      <c r="NZT1194" s="7"/>
      <c r="NZU1194" s="7"/>
      <c r="NZV1194" s="7"/>
      <c r="NZW1194" s="7"/>
      <c r="NZX1194" s="7"/>
      <c r="NZY1194" s="7"/>
      <c r="NZZ1194" s="7"/>
      <c r="OAA1194" s="7"/>
      <c r="OAB1194" s="7"/>
      <c r="OAC1194" s="7"/>
      <c r="OAD1194" s="7"/>
      <c r="OAE1194" s="7"/>
      <c r="OAF1194" s="7"/>
      <c r="OAG1194" s="7"/>
      <c r="OAH1194" s="7"/>
      <c r="OAI1194" s="7"/>
      <c r="OAJ1194" s="7"/>
      <c r="OAK1194" s="7"/>
      <c r="OAL1194" s="7"/>
      <c r="OAM1194" s="7"/>
      <c r="OAN1194" s="7"/>
      <c r="OAO1194" s="7"/>
      <c r="OAP1194" s="7"/>
      <c r="OAQ1194" s="7"/>
      <c r="OAR1194" s="7"/>
      <c r="OAS1194" s="7"/>
      <c r="OAT1194" s="7"/>
      <c r="OAU1194" s="7"/>
      <c r="OAV1194" s="7"/>
      <c r="OAW1194" s="7"/>
      <c r="OAX1194" s="7"/>
      <c r="OAY1194" s="7"/>
      <c r="OAZ1194" s="7"/>
      <c r="OBA1194" s="7"/>
      <c r="OBB1194" s="7"/>
      <c r="OBC1194" s="7"/>
      <c r="OBD1194" s="7"/>
      <c r="OBE1194" s="7"/>
      <c r="OBF1194" s="7"/>
      <c r="OBG1194" s="7"/>
      <c r="OBH1194" s="7"/>
      <c r="OBI1194" s="7"/>
      <c r="OBJ1194" s="7"/>
      <c r="OBK1194" s="7"/>
      <c r="OBL1194" s="7"/>
      <c r="OBM1194" s="7"/>
      <c r="OBN1194" s="7"/>
      <c r="OBO1194" s="7"/>
      <c r="OBP1194" s="7"/>
      <c r="OBQ1194" s="7"/>
      <c r="OBR1194" s="7"/>
      <c r="OBS1194" s="7"/>
      <c r="OBT1194" s="7"/>
      <c r="OBU1194" s="7"/>
      <c r="OBV1194" s="7"/>
      <c r="OBW1194" s="7"/>
      <c r="OBX1194" s="7"/>
      <c r="OBY1194" s="7"/>
      <c r="OBZ1194" s="7"/>
      <c r="OCA1194" s="7"/>
      <c r="OCB1194" s="7"/>
      <c r="OCC1194" s="7"/>
      <c r="OCD1194" s="7"/>
      <c r="OCE1194" s="7"/>
      <c r="OCF1194" s="7"/>
      <c r="OCG1194" s="7"/>
      <c r="OCH1194" s="7"/>
      <c r="OCI1194" s="7"/>
      <c r="OCJ1194" s="7"/>
      <c r="OCK1194" s="7"/>
      <c r="OCL1194" s="7"/>
      <c r="OCM1194" s="7"/>
      <c r="OCN1194" s="7"/>
      <c r="OCO1194" s="7"/>
      <c r="OCP1194" s="7"/>
      <c r="OCQ1194" s="7"/>
      <c r="OCR1194" s="7"/>
      <c r="OCS1194" s="7"/>
      <c r="OCT1194" s="7"/>
      <c r="OCU1194" s="7"/>
      <c r="OCV1194" s="7"/>
      <c r="OCW1194" s="7"/>
      <c r="OCX1194" s="7"/>
      <c r="OCY1194" s="7"/>
      <c r="OCZ1194" s="7"/>
      <c r="ODA1194" s="7"/>
      <c r="ODB1194" s="7"/>
      <c r="ODC1194" s="7"/>
      <c r="ODD1194" s="7"/>
      <c r="ODE1194" s="7"/>
      <c r="ODF1194" s="7"/>
      <c r="ODG1194" s="7"/>
      <c r="ODH1194" s="7"/>
      <c r="ODI1194" s="7"/>
      <c r="ODJ1194" s="7"/>
      <c r="ODK1194" s="7"/>
      <c r="ODL1194" s="7"/>
      <c r="ODM1194" s="7"/>
      <c r="ODN1194" s="7"/>
      <c r="ODO1194" s="7"/>
      <c r="ODP1194" s="7"/>
      <c r="ODQ1194" s="7"/>
      <c r="ODR1194" s="7"/>
      <c r="ODS1194" s="7"/>
      <c r="ODT1194" s="7"/>
      <c r="ODU1194" s="7"/>
      <c r="ODV1194" s="7"/>
      <c r="ODW1194" s="7"/>
      <c r="ODX1194" s="7"/>
      <c r="ODY1194" s="7"/>
      <c r="ODZ1194" s="7"/>
      <c r="OEA1194" s="7"/>
      <c r="OEB1194" s="7"/>
      <c r="OEC1194" s="7"/>
      <c r="OED1194" s="7"/>
      <c r="OEE1194" s="7"/>
      <c r="OEF1194" s="7"/>
      <c r="OEG1194" s="7"/>
      <c r="OEH1194" s="7"/>
      <c r="OEI1194" s="7"/>
      <c r="OEJ1194" s="7"/>
      <c r="OEK1194" s="7"/>
      <c r="OEL1194" s="7"/>
      <c r="OEM1194" s="7"/>
      <c r="OEN1194" s="7"/>
      <c r="OEO1194" s="7"/>
      <c r="OEP1194" s="7"/>
      <c r="OEQ1194" s="7"/>
      <c r="OER1194" s="7"/>
      <c r="OES1194" s="7"/>
      <c r="OET1194" s="7"/>
      <c r="OEU1194" s="7"/>
      <c r="OEV1194" s="7"/>
      <c r="OEW1194" s="7"/>
      <c r="OEX1194" s="7"/>
      <c r="OEY1194" s="7"/>
      <c r="OEZ1194" s="7"/>
      <c r="OFA1194" s="7"/>
      <c r="OFB1194" s="7"/>
      <c r="OFC1194" s="7"/>
      <c r="OFD1194" s="7"/>
      <c r="OFE1194" s="7"/>
      <c r="OFF1194" s="7"/>
      <c r="OFG1194" s="7"/>
      <c r="OFH1194" s="7"/>
      <c r="OFI1194" s="7"/>
      <c r="OFJ1194" s="7"/>
      <c r="OFK1194" s="7"/>
      <c r="OFL1194" s="7"/>
      <c r="OFM1194" s="7"/>
      <c r="OFN1194" s="7"/>
      <c r="OFO1194" s="7"/>
      <c r="OFP1194" s="7"/>
      <c r="OFQ1194" s="7"/>
      <c r="OFR1194" s="7"/>
      <c r="OFS1194" s="7"/>
      <c r="OFT1194" s="7"/>
      <c r="OFU1194" s="7"/>
      <c r="OFV1194" s="7"/>
      <c r="OFW1194" s="7"/>
      <c r="OFX1194" s="7"/>
      <c r="OFY1194" s="7"/>
      <c r="OFZ1194" s="7"/>
      <c r="OGA1194" s="7"/>
      <c r="OGB1194" s="7"/>
      <c r="OGC1194" s="7"/>
      <c r="OGD1194" s="7"/>
      <c r="OGE1194" s="7"/>
      <c r="OGF1194" s="7"/>
      <c r="OGG1194" s="7"/>
      <c r="OGH1194" s="7"/>
      <c r="OGI1194" s="7"/>
      <c r="OGJ1194" s="7"/>
      <c r="OGK1194" s="7"/>
      <c r="OGL1194" s="7"/>
      <c r="OGM1194" s="7"/>
      <c r="OGN1194" s="7"/>
      <c r="OGO1194" s="7"/>
      <c r="OGP1194" s="7"/>
      <c r="OGQ1194" s="7"/>
      <c r="OGR1194" s="7"/>
      <c r="OGS1194" s="7"/>
      <c r="OGT1194" s="7"/>
      <c r="OGU1194" s="7"/>
      <c r="OGV1194" s="7"/>
      <c r="OGW1194" s="7"/>
      <c r="OGX1194" s="7"/>
      <c r="OGY1194" s="7"/>
      <c r="OGZ1194" s="7"/>
      <c r="OHA1194" s="7"/>
      <c r="OHB1194" s="7"/>
      <c r="OHC1194" s="7"/>
      <c r="OHD1194" s="7"/>
      <c r="OHE1194" s="7"/>
      <c r="OHF1194" s="7"/>
      <c r="OHG1194" s="7"/>
      <c r="OHH1194" s="7"/>
      <c r="OHI1194" s="7"/>
      <c r="OHJ1194" s="7"/>
      <c r="OHK1194" s="7"/>
      <c r="OHL1194" s="7"/>
      <c r="OHM1194" s="7"/>
      <c r="OHN1194" s="7"/>
      <c r="OHO1194" s="7"/>
      <c r="OHP1194" s="7"/>
      <c r="OHQ1194" s="7"/>
      <c r="OHR1194" s="7"/>
      <c r="OHS1194" s="7"/>
      <c r="OHT1194" s="7"/>
      <c r="OHU1194" s="7"/>
      <c r="OHV1194" s="7"/>
      <c r="OHW1194" s="7"/>
      <c r="OHX1194" s="7"/>
      <c r="OHY1194" s="7"/>
      <c r="OHZ1194" s="7"/>
      <c r="OIA1194" s="7"/>
      <c r="OIB1194" s="7"/>
      <c r="OIC1194" s="7"/>
      <c r="OID1194" s="7"/>
      <c r="OIE1194" s="7"/>
      <c r="OIF1194" s="7"/>
      <c r="OIG1194" s="7"/>
      <c r="OIH1194" s="7"/>
      <c r="OII1194" s="7"/>
      <c r="OIJ1194" s="7"/>
      <c r="OIK1194" s="7"/>
      <c r="OIL1194" s="7"/>
      <c r="OIM1194" s="7"/>
      <c r="OIN1194" s="7"/>
      <c r="OIO1194" s="7"/>
      <c r="OIP1194" s="7"/>
      <c r="OIQ1194" s="7"/>
      <c r="OIR1194" s="7"/>
      <c r="OIS1194" s="7"/>
      <c r="OIT1194" s="7"/>
      <c r="OIU1194" s="7"/>
      <c r="OIV1194" s="7"/>
      <c r="OIW1194" s="7"/>
      <c r="OIX1194" s="7"/>
      <c r="OIY1194" s="7"/>
      <c r="OIZ1194" s="7"/>
      <c r="OJA1194" s="7"/>
      <c r="OJB1194" s="7"/>
      <c r="OJC1194" s="7"/>
      <c r="OJD1194" s="7"/>
      <c r="OJE1194" s="7"/>
      <c r="OJF1194" s="7"/>
      <c r="OJG1194" s="7"/>
      <c r="OJH1194" s="7"/>
      <c r="OJI1194" s="7"/>
      <c r="OJJ1194" s="7"/>
      <c r="OJK1194" s="7"/>
      <c r="OJL1194" s="7"/>
      <c r="OJM1194" s="7"/>
      <c r="OJN1194" s="7"/>
      <c r="OJO1194" s="7"/>
      <c r="OJP1194" s="7"/>
      <c r="OJQ1194" s="7"/>
      <c r="OJR1194" s="7"/>
      <c r="OJS1194" s="7"/>
      <c r="OJT1194" s="7"/>
      <c r="OJU1194" s="7"/>
      <c r="OJV1194" s="7"/>
      <c r="OJW1194" s="7"/>
      <c r="OJX1194" s="7"/>
      <c r="OJY1194" s="7"/>
      <c r="OJZ1194" s="7"/>
      <c r="OKA1194" s="7"/>
      <c r="OKB1194" s="7"/>
      <c r="OKC1194" s="7"/>
      <c r="OKD1194" s="7"/>
      <c r="OKE1194" s="7"/>
      <c r="OKF1194" s="7"/>
      <c r="OKG1194" s="7"/>
      <c r="OKH1194" s="7"/>
      <c r="OKI1194" s="7"/>
      <c r="OKJ1194" s="7"/>
      <c r="OKK1194" s="7"/>
      <c r="OKL1194" s="7"/>
      <c r="OKM1194" s="7"/>
      <c r="OKN1194" s="7"/>
      <c r="OKO1194" s="7"/>
      <c r="OKP1194" s="7"/>
      <c r="OKQ1194" s="7"/>
      <c r="OKR1194" s="7"/>
      <c r="OKS1194" s="7"/>
      <c r="OKT1194" s="7"/>
      <c r="OKU1194" s="7"/>
      <c r="OKV1194" s="7"/>
      <c r="OKW1194" s="7"/>
      <c r="OKX1194" s="7"/>
      <c r="OKY1194" s="7"/>
      <c r="OKZ1194" s="7"/>
      <c r="OLA1194" s="7"/>
      <c r="OLB1194" s="7"/>
      <c r="OLC1194" s="7"/>
      <c r="OLD1194" s="7"/>
      <c r="OLE1194" s="7"/>
      <c r="OLF1194" s="7"/>
      <c r="OLG1194" s="7"/>
      <c r="OLH1194" s="7"/>
      <c r="OLI1194" s="7"/>
      <c r="OLJ1194" s="7"/>
      <c r="OLK1194" s="7"/>
      <c r="OLL1194" s="7"/>
      <c r="OLM1194" s="7"/>
      <c r="OLN1194" s="7"/>
      <c r="OLO1194" s="7"/>
      <c r="OLP1194" s="7"/>
      <c r="OLQ1194" s="7"/>
      <c r="OLR1194" s="7"/>
      <c r="OLS1194" s="7"/>
      <c r="OLT1194" s="7"/>
      <c r="OLU1194" s="7"/>
      <c r="OLV1194" s="7"/>
      <c r="OLW1194" s="7"/>
      <c r="OLX1194" s="7"/>
      <c r="OLY1194" s="7"/>
      <c r="OLZ1194" s="7"/>
      <c r="OMA1194" s="7"/>
      <c r="OMB1194" s="7"/>
      <c r="OMC1194" s="7"/>
      <c r="OMD1194" s="7"/>
      <c r="OME1194" s="7"/>
      <c r="OMF1194" s="7"/>
      <c r="OMG1194" s="7"/>
      <c r="OMH1194" s="7"/>
      <c r="OMI1194" s="7"/>
      <c r="OMJ1194" s="7"/>
      <c r="OMK1194" s="7"/>
      <c r="OML1194" s="7"/>
      <c r="OMM1194" s="7"/>
      <c r="OMN1194" s="7"/>
      <c r="OMO1194" s="7"/>
      <c r="OMP1194" s="7"/>
      <c r="OMQ1194" s="7"/>
      <c r="OMR1194" s="7"/>
      <c r="OMS1194" s="7"/>
      <c r="OMT1194" s="7"/>
      <c r="OMU1194" s="7"/>
      <c r="OMV1194" s="7"/>
      <c r="OMW1194" s="7"/>
      <c r="OMX1194" s="7"/>
      <c r="OMY1194" s="7"/>
      <c r="OMZ1194" s="7"/>
      <c r="ONA1194" s="7"/>
      <c r="ONB1194" s="7"/>
      <c r="ONC1194" s="7"/>
      <c r="OND1194" s="7"/>
      <c r="ONE1194" s="7"/>
      <c r="ONF1194" s="7"/>
      <c r="ONG1194" s="7"/>
      <c r="ONH1194" s="7"/>
      <c r="ONI1194" s="7"/>
      <c r="ONJ1194" s="7"/>
      <c r="ONK1194" s="7"/>
      <c r="ONL1194" s="7"/>
      <c r="ONM1194" s="7"/>
      <c r="ONN1194" s="7"/>
      <c r="ONO1194" s="7"/>
      <c r="ONP1194" s="7"/>
      <c r="ONQ1194" s="7"/>
      <c r="ONR1194" s="7"/>
      <c r="ONS1194" s="7"/>
      <c r="ONT1194" s="7"/>
      <c r="ONU1194" s="7"/>
      <c r="ONV1194" s="7"/>
      <c r="ONW1194" s="7"/>
      <c r="ONX1194" s="7"/>
      <c r="ONY1194" s="7"/>
      <c r="ONZ1194" s="7"/>
      <c r="OOA1194" s="7"/>
      <c r="OOB1194" s="7"/>
      <c r="OOC1194" s="7"/>
      <c r="OOD1194" s="7"/>
      <c r="OOE1194" s="7"/>
      <c r="OOF1194" s="7"/>
      <c r="OOG1194" s="7"/>
      <c r="OOH1194" s="7"/>
      <c r="OOI1194" s="7"/>
      <c r="OOJ1194" s="7"/>
      <c r="OOK1194" s="7"/>
      <c r="OOL1194" s="7"/>
      <c r="OOM1194" s="7"/>
      <c r="OON1194" s="7"/>
      <c r="OOO1194" s="7"/>
      <c r="OOP1194" s="7"/>
      <c r="OOQ1194" s="7"/>
      <c r="OOR1194" s="7"/>
      <c r="OOS1194" s="7"/>
      <c r="OOT1194" s="7"/>
      <c r="OOU1194" s="7"/>
      <c r="OOV1194" s="7"/>
      <c r="OOW1194" s="7"/>
      <c r="OOX1194" s="7"/>
      <c r="OOY1194" s="7"/>
      <c r="OOZ1194" s="7"/>
      <c r="OPA1194" s="7"/>
      <c r="OPB1194" s="7"/>
      <c r="OPC1194" s="7"/>
      <c r="OPD1194" s="7"/>
      <c r="OPE1194" s="7"/>
      <c r="OPF1194" s="7"/>
      <c r="OPG1194" s="7"/>
      <c r="OPH1194" s="7"/>
      <c r="OPI1194" s="7"/>
      <c r="OPJ1194" s="7"/>
      <c r="OPK1194" s="7"/>
      <c r="OPL1194" s="7"/>
      <c r="OPM1194" s="7"/>
      <c r="OPN1194" s="7"/>
      <c r="OPO1194" s="7"/>
      <c r="OPP1194" s="7"/>
      <c r="OPQ1194" s="7"/>
      <c r="OPR1194" s="7"/>
      <c r="OPS1194" s="7"/>
      <c r="OPT1194" s="7"/>
      <c r="OPU1194" s="7"/>
      <c r="OPV1194" s="7"/>
      <c r="OPW1194" s="7"/>
      <c r="OPX1194" s="7"/>
      <c r="OPY1194" s="7"/>
      <c r="OPZ1194" s="7"/>
      <c r="OQA1194" s="7"/>
      <c r="OQB1194" s="7"/>
      <c r="OQC1194" s="7"/>
      <c r="OQD1194" s="7"/>
      <c r="OQE1194" s="7"/>
      <c r="OQF1194" s="7"/>
      <c r="OQG1194" s="7"/>
      <c r="OQH1194" s="7"/>
      <c r="OQI1194" s="7"/>
      <c r="OQJ1194" s="7"/>
      <c r="OQK1194" s="7"/>
      <c r="OQL1194" s="7"/>
      <c r="OQM1194" s="7"/>
      <c r="OQN1194" s="7"/>
      <c r="OQO1194" s="7"/>
      <c r="OQP1194" s="7"/>
      <c r="OQQ1194" s="7"/>
      <c r="OQR1194" s="7"/>
      <c r="OQS1194" s="7"/>
      <c r="OQT1194" s="7"/>
      <c r="OQU1194" s="7"/>
      <c r="OQV1194" s="7"/>
      <c r="OQW1194" s="7"/>
      <c r="OQX1194" s="7"/>
      <c r="OQY1194" s="7"/>
      <c r="OQZ1194" s="7"/>
      <c r="ORA1194" s="7"/>
      <c r="ORB1194" s="7"/>
      <c r="ORC1194" s="7"/>
      <c r="ORD1194" s="7"/>
      <c r="ORE1194" s="7"/>
      <c r="ORF1194" s="7"/>
      <c r="ORG1194" s="7"/>
      <c r="ORH1194" s="7"/>
      <c r="ORI1194" s="7"/>
      <c r="ORJ1194" s="7"/>
      <c r="ORK1194" s="7"/>
      <c r="ORL1194" s="7"/>
      <c r="ORM1194" s="7"/>
      <c r="ORN1194" s="7"/>
      <c r="ORO1194" s="7"/>
      <c r="ORP1194" s="7"/>
      <c r="ORQ1194" s="7"/>
      <c r="ORR1194" s="7"/>
      <c r="ORS1194" s="7"/>
      <c r="ORT1194" s="7"/>
      <c r="ORU1194" s="7"/>
      <c r="ORV1194" s="7"/>
      <c r="ORW1194" s="7"/>
      <c r="ORX1194" s="7"/>
      <c r="ORY1194" s="7"/>
      <c r="ORZ1194" s="7"/>
      <c r="OSA1194" s="7"/>
      <c r="OSB1194" s="7"/>
      <c r="OSC1194" s="7"/>
      <c r="OSD1194" s="7"/>
      <c r="OSE1194" s="7"/>
      <c r="OSF1194" s="7"/>
      <c r="OSG1194" s="7"/>
      <c r="OSH1194" s="7"/>
      <c r="OSI1194" s="7"/>
      <c r="OSJ1194" s="7"/>
      <c r="OSK1194" s="7"/>
      <c r="OSL1194" s="7"/>
      <c r="OSM1194" s="7"/>
      <c r="OSN1194" s="7"/>
      <c r="OSO1194" s="7"/>
      <c r="OSP1194" s="7"/>
      <c r="OSQ1194" s="7"/>
      <c r="OSR1194" s="7"/>
      <c r="OSS1194" s="7"/>
      <c r="OST1194" s="7"/>
      <c r="OSU1194" s="7"/>
      <c r="OSV1194" s="7"/>
      <c r="OSW1194" s="7"/>
      <c r="OSX1194" s="7"/>
      <c r="OSY1194" s="7"/>
      <c r="OSZ1194" s="7"/>
      <c r="OTA1194" s="7"/>
      <c r="OTB1194" s="7"/>
      <c r="OTC1194" s="7"/>
      <c r="OTD1194" s="7"/>
      <c r="OTE1194" s="7"/>
      <c r="OTF1194" s="7"/>
      <c r="OTG1194" s="7"/>
      <c r="OTH1194" s="7"/>
      <c r="OTI1194" s="7"/>
      <c r="OTJ1194" s="7"/>
      <c r="OTK1194" s="7"/>
      <c r="OTL1194" s="7"/>
      <c r="OTM1194" s="7"/>
      <c r="OTN1194" s="7"/>
      <c r="OTO1194" s="7"/>
      <c r="OTP1194" s="7"/>
      <c r="OTQ1194" s="7"/>
      <c r="OTR1194" s="7"/>
      <c r="OTS1194" s="7"/>
      <c r="OTT1194" s="7"/>
      <c r="OTU1194" s="7"/>
      <c r="OTV1194" s="7"/>
      <c r="OTW1194" s="7"/>
      <c r="OTX1194" s="7"/>
      <c r="OTY1194" s="7"/>
      <c r="OTZ1194" s="7"/>
      <c r="OUA1194" s="7"/>
      <c r="OUB1194" s="7"/>
      <c r="OUC1194" s="7"/>
      <c r="OUD1194" s="7"/>
      <c r="OUE1194" s="7"/>
      <c r="OUF1194" s="7"/>
      <c r="OUG1194" s="7"/>
      <c r="OUH1194" s="7"/>
      <c r="OUI1194" s="7"/>
      <c r="OUJ1194" s="7"/>
      <c r="OUK1194" s="7"/>
      <c r="OUL1194" s="7"/>
      <c r="OUM1194" s="7"/>
      <c r="OUN1194" s="7"/>
      <c r="OUO1194" s="7"/>
      <c r="OUP1194" s="7"/>
      <c r="OUQ1194" s="7"/>
      <c r="OUR1194" s="7"/>
      <c r="OUS1194" s="7"/>
      <c r="OUT1194" s="7"/>
      <c r="OUU1194" s="7"/>
      <c r="OUV1194" s="7"/>
      <c r="OUW1194" s="7"/>
      <c r="OUX1194" s="7"/>
      <c r="OUY1194" s="7"/>
      <c r="OUZ1194" s="7"/>
      <c r="OVA1194" s="7"/>
      <c r="OVB1194" s="7"/>
      <c r="OVC1194" s="7"/>
      <c r="OVD1194" s="7"/>
      <c r="OVE1194" s="7"/>
      <c r="OVF1194" s="7"/>
      <c r="OVG1194" s="7"/>
      <c r="OVH1194" s="7"/>
      <c r="OVI1194" s="7"/>
      <c r="OVJ1194" s="7"/>
      <c r="OVK1194" s="7"/>
      <c r="OVL1194" s="7"/>
      <c r="OVM1194" s="7"/>
      <c r="OVN1194" s="7"/>
      <c r="OVO1194" s="7"/>
      <c r="OVP1194" s="7"/>
      <c r="OVQ1194" s="7"/>
      <c r="OVR1194" s="7"/>
      <c r="OVS1194" s="7"/>
      <c r="OVT1194" s="7"/>
      <c r="OVU1194" s="7"/>
      <c r="OVV1194" s="7"/>
      <c r="OVW1194" s="7"/>
      <c r="OVX1194" s="7"/>
      <c r="OVY1194" s="7"/>
      <c r="OVZ1194" s="7"/>
      <c r="OWA1194" s="7"/>
      <c r="OWB1194" s="7"/>
      <c r="OWC1194" s="7"/>
      <c r="OWD1194" s="7"/>
      <c r="OWE1194" s="7"/>
      <c r="OWF1194" s="7"/>
      <c r="OWG1194" s="7"/>
      <c r="OWH1194" s="7"/>
      <c r="OWI1194" s="7"/>
      <c r="OWJ1194" s="7"/>
      <c r="OWK1194" s="7"/>
      <c r="OWL1194" s="7"/>
      <c r="OWM1194" s="7"/>
      <c r="OWN1194" s="7"/>
      <c r="OWO1194" s="7"/>
      <c r="OWP1194" s="7"/>
      <c r="OWQ1194" s="7"/>
      <c r="OWR1194" s="7"/>
      <c r="OWS1194" s="7"/>
      <c r="OWT1194" s="7"/>
      <c r="OWU1194" s="7"/>
      <c r="OWV1194" s="7"/>
      <c r="OWW1194" s="7"/>
      <c r="OWX1194" s="7"/>
      <c r="OWY1194" s="7"/>
      <c r="OWZ1194" s="7"/>
      <c r="OXA1194" s="7"/>
      <c r="OXB1194" s="7"/>
      <c r="OXC1194" s="7"/>
      <c r="OXD1194" s="7"/>
      <c r="OXE1194" s="7"/>
      <c r="OXF1194" s="7"/>
      <c r="OXG1194" s="7"/>
      <c r="OXH1194" s="7"/>
      <c r="OXI1194" s="7"/>
      <c r="OXJ1194" s="7"/>
      <c r="OXK1194" s="7"/>
      <c r="OXL1194" s="7"/>
      <c r="OXM1194" s="7"/>
      <c r="OXN1194" s="7"/>
      <c r="OXO1194" s="7"/>
      <c r="OXP1194" s="7"/>
      <c r="OXQ1194" s="7"/>
      <c r="OXR1194" s="7"/>
      <c r="OXS1194" s="7"/>
      <c r="OXT1194" s="7"/>
      <c r="OXU1194" s="7"/>
      <c r="OXV1194" s="7"/>
      <c r="OXW1194" s="7"/>
      <c r="OXX1194" s="7"/>
      <c r="OXY1194" s="7"/>
      <c r="OXZ1194" s="7"/>
      <c r="OYA1194" s="7"/>
      <c r="OYB1194" s="7"/>
      <c r="OYC1194" s="7"/>
      <c r="OYD1194" s="7"/>
      <c r="OYE1194" s="7"/>
      <c r="OYF1194" s="7"/>
      <c r="OYG1194" s="7"/>
      <c r="OYH1194" s="7"/>
      <c r="OYI1194" s="7"/>
      <c r="OYJ1194" s="7"/>
      <c r="OYK1194" s="7"/>
      <c r="OYL1194" s="7"/>
      <c r="OYM1194" s="7"/>
      <c r="OYN1194" s="7"/>
      <c r="OYO1194" s="7"/>
      <c r="OYP1194" s="7"/>
      <c r="OYQ1194" s="7"/>
      <c r="OYR1194" s="7"/>
      <c r="OYS1194" s="7"/>
      <c r="OYT1194" s="7"/>
      <c r="OYU1194" s="7"/>
      <c r="OYV1194" s="7"/>
      <c r="OYW1194" s="7"/>
      <c r="OYX1194" s="7"/>
      <c r="OYY1194" s="7"/>
      <c r="OYZ1194" s="7"/>
      <c r="OZA1194" s="7"/>
      <c r="OZB1194" s="7"/>
      <c r="OZC1194" s="7"/>
      <c r="OZD1194" s="7"/>
      <c r="OZE1194" s="7"/>
      <c r="OZF1194" s="7"/>
      <c r="OZG1194" s="7"/>
      <c r="OZH1194" s="7"/>
      <c r="OZI1194" s="7"/>
      <c r="OZJ1194" s="7"/>
      <c r="OZK1194" s="7"/>
      <c r="OZL1194" s="7"/>
      <c r="OZM1194" s="7"/>
      <c r="OZN1194" s="7"/>
      <c r="OZO1194" s="7"/>
      <c r="OZP1194" s="7"/>
      <c r="OZQ1194" s="7"/>
      <c r="OZR1194" s="7"/>
      <c r="OZS1194" s="7"/>
      <c r="OZT1194" s="7"/>
      <c r="OZU1194" s="7"/>
      <c r="OZV1194" s="7"/>
      <c r="OZW1194" s="7"/>
      <c r="OZX1194" s="7"/>
      <c r="OZY1194" s="7"/>
      <c r="OZZ1194" s="7"/>
      <c r="PAA1194" s="7"/>
      <c r="PAB1194" s="7"/>
      <c r="PAC1194" s="7"/>
      <c r="PAD1194" s="7"/>
      <c r="PAE1194" s="7"/>
      <c r="PAF1194" s="7"/>
      <c r="PAG1194" s="7"/>
      <c r="PAH1194" s="7"/>
      <c r="PAI1194" s="7"/>
      <c r="PAJ1194" s="7"/>
      <c r="PAK1194" s="7"/>
      <c r="PAL1194" s="7"/>
      <c r="PAM1194" s="7"/>
      <c r="PAN1194" s="7"/>
      <c r="PAO1194" s="7"/>
      <c r="PAP1194" s="7"/>
      <c r="PAQ1194" s="7"/>
      <c r="PAR1194" s="7"/>
      <c r="PAS1194" s="7"/>
      <c r="PAT1194" s="7"/>
      <c r="PAU1194" s="7"/>
      <c r="PAV1194" s="7"/>
      <c r="PAW1194" s="7"/>
      <c r="PAX1194" s="7"/>
      <c r="PAY1194" s="7"/>
      <c r="PAZ1194" s="7"/>
      <c r="PBA1194" s="7"/>
      <c r="PBB1194" s="7"/>
      <c r="PBC1194" s="7"/>
      <c r="PBD1194" s="7"/>
      <c r="PBE1194" s="7"/>
      <c r="PBF1194" s="7"/>
      <c r="PBG1194" s="7"/>
      <c r="PBH1194" s="7"/>
      <c r="PBI1194" s="7"/>
      <c r="PBJ1194" s="7"/>
      <c r="PBK1194" s="7"/>
      <c r="PBL1194" s="7"/>
      <c r="PBM1194" s="7"/>
      <c r="PBN1194" s="7"/>
      <c r="PBO1194" s="7"/>
      <c r="PBP1194" s="7"/>
      <c r="PBQ1194" s="7"/>
      <c r="PBR1194" s="7"/>
      <c r="PBS1194" s="7"/>
      <c r="PBT1194" s="7"/>
      <c r="PBU1194" s="7"/>
      <c r="PBV1194" s="7"/>
      <c r="PBW1194" s="7"/>
      <c r="PBX1194" s="7"/>
      <c r="PBY1194" s="7"/>
      <c r="PBZ1194" s="7"/>
      <c r="PCA1194" s="7"/>
      <c r="PCB1194" s="7"/>
      <c r="PCC1194" s="7"/>
      <c r="PCD1194" s="7"/>
      <c r="PCE1194" s="7"/>
      <c r="PCF1194" s="7"/>
      <c r="PCG1194" s="7"/>
      <c r="PCH1194" s="7"/>
      <c r="PCI1194" s="7"/>
      <c r="PCJ1194" s="7"/>
      <c r="PCK1194" s="7"/>
      <c r="PCL1194" s="7"/>
      <c r="PCM1194" s="7"/>
      <c r="PCN1194" s="7"/>
      <c r="PCO1194" s="7"/>
      <c r="PCP1194" s="7"/>
      <c r="PCQ1194" s="7"/>
      <c r="PCR1194" s="7"/>
      <c r="PCS1194" s="7"/>
      <c r="PCT1194" s="7"/>
      <c r="PCU1194" s="7"/>
      <c r="PCV1194" s="7"/>
      <c r="PCW1194" s="7"/>
      <c r="PCX1194" s="7"/>
      <c r="PCY1194" s="7"/>
      <c r="PCZ1194" s="7"/>
      <c r="PDA1194" s="7"/>
      <c r="PDB1194" s="7"/>
      <c r="PDC1194" s="7"/>
      <c r="PDD1194" s="7"/>
      <c r="PDE1194" s="7"/>
      <c r="PDF1194" s="7"/>
      <c r="PDG1194" s="7"/>
      <c r="PDH1194" s="7"/>
      <c r="PDI1194" s="7"/>
      <c r="PDJ1194" s="7"/>
      <c r="PDK1194" s="7"/>
      <c r="PDL1194" s="7"/>
      <c r="PDM1194" s="7"/>
      <c r="PDN1194" s="7"/>
      <c r="PDO1194" s="7"/>
      <c r="PDP1194" s="7"/>
      <c r="PDQ1194" s="7"/>
      <c r="PDR1194" s="7"/>
      <c r="PDS1194" s="7"/>
      <c r="PDT1194" s="7"/>
      <c r="PDU1194" s="7"/>
      <c r="PDV1194" s="7"/>
      <c r="PDW1194" s="7"/>
      <c r="PDX1194" s="7"/>
      <c r="PDY1194" s="7"/>
      <c r="PDZ1194" s="7"/>
      <c r="PEA1194" s="7"/>
      <c r="PEB1194" s="7"/>
      <c r="PEC1194" s="7"/>
      <c r="PED1194" s="7"/>
      <c r="PEE1194" s="7"/>
      <c r="PEF1194" s="7"/>
      <c r="PEG1194" s="7"/>
      <c r="PEH1194" s="7"/>
      <c r="PEI1194" s="7"/>
      <c r="PEJ1194" s="7"/>
      <c r="PEK1194" s="7"/>
      <c r="PEL1194" s="7"/>
      <c r="PEM1194" s="7"/>
      <c r="PEN1194" s="7"/>
      <c r="PEO1194" s="7"/>
      <c r="PEP1194" s="7"/>
      <c r="PEQ1194" s="7"/>
      <c r="PER1194" s="7"/>
      <c r="PES1194" s="7"/>
      <c r="PET1194" s="7"/>
      <c r="PEU1194" s="7"/>
      <c r="PEV1194" s="7"/>
      <c r="PEW1194" s="7"/>
      <c r="PEX1194" s="7"/>
      <c r="PEY1194" s="7"/>
      <c r="PEZ1194" s="7"/>
      <c r="PFA1194" s="7"/>
      <c r="PFB1194" s="7"/>
      <c r="PFC1194" s="7"/>
      <c r="PFD1194" s="7"/>
      <c r="PFE1194" s="7"/>
      <c r="PFF1194" s="7"/>
      <c r="PFG1194" s="7"/>
      <c r="PFH1194" s="7"/>
      <c r="PFI1194" s="7"/>
      <c r="PFJ1194" s="7"/>
      <c r="PFK1194" s="7"/>
      <c r="PFL1194" s="7"/>
      <c r="PFM1194" s="7"/>
      <c r="PFN1194" s="7"/>
      <c r="PFO1194" s="7"/>
      <c r="PFP1194" s="7"/>
      <c r="PFQ1194" s="7"/>
      <c r="PFR1194" s="7"/>
      <c r="PFS1194" s="7"/>
      <c r="PFT1194" s="7"/>
      <c r="PFU1194" s="7"/>
      <c r="PFV1194" s="7"/>
      <c r="PFW1194" s="7"/>
      <c r="PFX1194" s="7"/>
      <c r="PFY1194" s="7"/>
      <c r="PFZ1194" s="7"/>
      <c r="PGA1194" s="7"/>
      <c r="PGB1194" s="7"/>
      <c r="PGC1194" s="7"/>
      <c r="PGD1194" s="7"/>
      <c r="PGE1194" s="7"/>
      <c r="PGF1194" s="7"/>
      <c r="PGG1194" s="7"/>
      <c r="PGH1194" s="7"/>
      <c r="PGI1194" s="7"/>
      <c r="PGJ1194" s="7"/>
      <c r="PGK1194" s="7"/>
      <c r="PGL1194" s="7"/>
      <c r="PGM1194" s="7"/>
      <c r="PGN1194" s="7"/>
      <c r="PGO1194" s="7"/>
      <c r="PGP1194" s="7"/>
      <c r="PGQ1194" s="7"/>
      <c r="PGR1194" s="7"/>
      <c r="PGS1194" s="7"/>
      <c r="PGT1194" s="7"/>
      <c r="PGU1194" s="7"/>
      <c r="PGV1194" s="7"/>
      <c r="PGW1194" s="7"/>
      <c r="PGX1194" s="7"/>
      <c r="PGY1194" s="7"/>
      <c r="PGZ1194" s="7"/>
      <c r="PHA1194" s="7"/>
      <c r="PHB1194" s="7"/>
      <c r="PHC1194" s="7"/>
      <c r="PHD1194" s="7"/>
      <c r="PHE1194" s="7"/>
      <c r="PHF1194" s="7"/>
      <c r="PHG1194" s="7"/>
      <c r="PHH1194" s="7"/>
      <c r="PHI1194" s="7"/>
      <c r="PHJ1194" s="7"/>
      <c r="PHK1194" s="7"/>
      <c r="PHL1194" s="7"/>
      <c r="PHM1194" s="7"/>
      <c r="PHN1194" s="7"/>
      <c r="PHO1194" s="7"/>
      <c r="PHP1194" s="7"/>
      <c r="PHQ1194" s="7"/>
      <c r="PHR1194" s="7"/>
      <c r="PHS1194" s="7"/>
      <c r="PHT1194" s="7"/>
      <c r="PHU1194" s="7"/>
      <c r="PHV1194" s="7"/>
      <c r="PHW1194" s="7"/>
      <c r="PHX1194" s="7"/>
      <c r="PHY1194" s="7"/>
      <c r="PHZ1194" s="7"/>
      <c r="PIA1194" s="7"/>
      <c r="PIB1194" s="7"/>
      <c r="PIC1194" s="7"/>
      <c r="PID1194" s="7"/>
      <c r="PIE1194" s="7"/>
      <c r="PIF1194" s="7"/>
      <c r="PIG1194" s="7"/>
      <c r="PIH1194" s="7"/>
      <c r="PII1194" s="7"/>
      <c r="PIJ1194" s="7"/>
      <c r="PIK1194" s="7"/>
      <c r="PIL1194" s="7"/>
      <c r="PIM1194" s="7"/>
      <c r="PIN1194" s="7"/>
      <c r="PIO1194" s="7"/>
      <c r="PIP1194" s="7"/>
      <c r="PIQ1194" s="7"/>
      <c r="PIR1194" s="7"/>
      <c r="PIS1194" s="7"/>
      <c r="PIT1194" s="7"/>
      <c r="PIU1194" s="7"/>
      <c r="PIV1194" s="7"/>
      <c r="PIW1194" s="7"/>
      <c r="PIX1194" s="7"/>
      <c r="PIY1194" s="7"/>
      <c r="PIZ1194" s="7"/>
      <c r="PJA1194" s="7"/>
      <c r="PJB1194" s="7"/>
      <c r="PJC1194" s="7"/>
      <c r="PJD1194" s="7"/>
      <c r="PJE1194" s="7"/>
      <c r="PJF1194" s="7"/>
      <c r="PJG1194" s="7"/>
      <c r="PJH1194" s="7"/>
      <c r="PJI1194" s="7"/>
      <c r="PJJ1194" s="7"/>
      <c r="PJK1194" s="7"/>
      <c r="PJL1194" s="7"/>
      <c r="PJM1194" s="7"/>
      <c r="PJN1194" s="7"/>
      <c r="PJO1194" s="7"/>
      <c r="PJP1194" s="7"/>
      <c r="PJQ1194" s="7"/>
      <c r="PJR1194" s="7"/>
      <c r="PJS1194" s="7"/>
      <c r="PJT1194" s="7"/>
      <c r="PJU1194" s="7"/>
      <c r="PJV1194" s="7"/>
      <c r="PJW1194" s="7"/>
      <c r="PJX1194" s="7"/>
      <c r="PJY1194" s="7"/>
      <c r="PJZ1194" s="7"/>
      <c r="PKA1194" s="7"/>
      <c r="PKB1194" s="7"/>
      <c r="PKC1194" s="7"/>
      <c r="PKD1194" s="7"/>
      <c r="PKE1194" s="7"/>
      <c r="PKF1194" s="7"/>
      <c r="PKG1194" s="7"/>
      <c r="PKH1194" s="7"/>
      <c r="PKI1194" s="7"/>
      <c r="PKJ1194" s="7"/>
      <c r="PKK1194" s="7"/>
      <c r="PKL1194" s="7"/>
      <c r="PKM1194" s="7"/>
      <c r="PKN1194" s="7"/>
      <c r="PKO1194" s="7"/>
      <c r="PKP1194" s="7"/>
      <c r="PKQ1194" s="7"/>
      <c r="PKR1194" s="7"/>
      <c r="PKS1194" s="7"/>
      <c r="PKT1194" s="7"/>
      <c r="PKU1194" s="7"/>
      <c r="PKV1194" s="7"/>
      <c r="PKW1194" s="7"/>
      <c r="PKX1194" s="7"/>
      <c r="PKY1194" s="7"/>
      <c r="PKZ1194" s="7"/>
      <c r="PLA1194" s="7"/>
      <c r="PLB1194" s="7"/>
      <c r="PLC1194" s="7"/>
      <c r="PLD1194" s="7"/>
      <c r="PLE1194" s="7"/>
      <c r="PLF1194" s="7"/>
      <c r="PLG1194" s="7"/>
      <c r="PLH1194" s="7"/>
      <c r="PLI1194" s="7"/>
      <c r="PLJ1194" s="7"/>
      <c r="PLK1194" s="7"/>
      <c r="PLL1194" s="7"/>
      <c r="PLM1194" s="7"/>
      <c r="PLN1194" s="7"/>
      <c r="PLO1194" s="7"/>
      <c r="PLP1194" s="7"/>
      <c r="PLQ1194" s="7"/>
      <c r="PLR1194" s="7"/>
      <c r="PLS1194" s="7"/>
      <c r="PLT1194" s="7"/>
      <c r="PLU1194" s="7"/>
      <c r="PLV1194" s="7"/>
      <c r="PLW1194" s="7"/>
      <c r="PLX1194" s="7"/>
      <c r="PLY1194" s="7"/>
      <c r="PLZ1194" s="7"/>
      <c r="PMA1194" s="7"/>
      <c r="PMB1194" s="7"/>
      <c r="PMC1194" s="7"/>
      <c r="PMD1194" s="7"/>
      <c r="PME1194" s="7"/>
      <c r="PMF1194" s="7"/>
      <c r="PMG1194" s="7"/>
      <c r="PMH1194" s="7"/>
      <c r="PMI1194" s="7"/>
      <c r="PMJ1194" s="7"/>
      <c r="PMK1194" s="7"/>
      <c r="PML1194" s="7"/>
      <c r="PMM1194" s="7"/>
      <c r="PMN1194" s="7"/>
      <c r="PMO1194" s="7"/>
      <c r="PMP1194" s="7"/>
      <c r="PMQ1194" s="7"/>
      <c r="PMR1194" s="7"/>
      <c r="PMS1194" s="7"/>
      <c r="PMT1194" s="7"/>
      <c r="PMU1194" s="7"/>
      <c r="PMV1194" s="7"/>
      <c r="PMW1194" s="7"/>
      <c r="PMX1194" s="7"/>
      <c r="PMY1194" s="7"/>
      <c r="PMZ1194" s="7"/>
      <c r="PNA1194" s="7"/>
      <c r="PNB1194" s="7"/>
      <c r="PNC1194" s="7"/>
      <c r="PND1194" s="7"/>
      <c r="PNE1194" s="7"/>
      <c r="PNF1194" s="7"/>
      <c r="PNG1194" s="7"/>
      <c r="PNH1194" s="7"/>
      <c r="PNI1194" s="7"/>
      <c r="PNJ1194" s="7"/>
      <c r="PNK1194" s="7"/>
      <c r="PNL1194" s="7"/>
      <c r="PNM1194" s="7"/>
      <c r="PNN1194" s="7"/>
      <c r="PNO1194" s="7"/>
      <c r="PNP1194" s="7"/>
      <c r="PNQ1194" s="7"/>
      <c r="PNR1194" s="7"/>
      <c r="PNS1194" s="7"/>
      <c r="PNT1194" s="7"/>
      <c r="PNU1194" s="7"/>
      <c r="PNV1194" s="7"/>
      <c r="PNW1194" s="7"/>
      <c r="PNX1194" s="7"/>
      <c r="PNY1194" s="7"/>
      <c r="PNZ1194" s="7"/>
      <c r="POA1194" s="7"/>
      <c r="POB1194" s="7"/>
      <c r="POC1194" s="7"/>
      <c r="POD1194" s="7"/>
      <c r="POE1194" s="7"/>
      <c r="POF1194" s="7"/>
      <c r="POG1194" s="7"/>
      <c r="POH1194" s="7"/>
      <c r="POI1194" s="7"/>
      <c r="POJ1194" s="7"/>
      <c r="POK1194" s="7"/>
      <c r="POL1194" s="7"/>
      <c r="POM1194" s="7"/>
      <c r="PON1194" s="7"/>
      <c r="POO1194" s="7"/>
      <c r="POP1194" s="7"/>
      <c r="POQ1194" s="7"/>
      <c r="POR1194" s="7"/>
      <c r="POS1194" s="7"/>
      <c r="POT1194" s="7"/>
      <c r="POU1194" s="7"/>
      <c r="POV1194" s="7"/>
      <c r="POW1194" s="7"/>
      <c r="POX1194" s="7"/>
      <c r="POY1194" s="7"/>
      <c r="POZ1194" s="7"/>
      <c r="PPA1194" s="7"/>
      <c r="PPB1194" s="7"/>
      <c r="PPC1194" s="7"/>
      <c r="PPD1194" s="7"/>
      <c r="PPE1194" s="7"/>
      <c r="PPF1194" s="7"/>
      <c r="PPG1194" s="7"/>
      <c r="PPH1194" s="7"/>
      <c r="PPI1194" s="7"/>
      <c r="PPJ1194" s="7"/>
      <c r="PPK1194" s="7"/>
      <c r="PPL1194" s="7"/>
      <c r="PPM1194" s="7"/>
      <c r="PPN1194" s="7"/>
      <c r="PPO1194" s="7"/>
      <c r="PPP1194" s="7"/>
      <c r="PPQ1194" s="7"/>
      <c r="PPR1194" s="7"/>
      <c r="PPS1194" s="7"/>
      <c r="PPT1194" s="7"/>
      <c r="PPU1194" s="7"/>
      <c r="PPV1194" s="7"/>
      <c r="PPW1194" s="7"/>
      <c r="PPX1194" s="7"/>
      <c r="PPY1194" s="7"/>
      <c r="PPZ1194" s="7"/>
      <c r="PQA1194" s="7"/>
      <c r="PQB1194" s="7"/>
      <c r="PQC1194" s="7"/>
      <c r="PQD1194" s="7"/>
      <c r="PQE1194" s="7"/>
      <c r="PQF1194" s="7"/>
      <c r="PQG1194" s="7"/>
      <c r="PQH1194" s="7"/>
      <c r="PQI1194" s="7"/>
      <c r="PQJ1194" s="7"/>
      <c r="PQK1194" s="7"/>
      <c r="PQL1194" s="7"/>
      <c r="PQM1194" s="7"/>
      <c r="PQN1194" s="7"/>
      <c r="PQO1194" s="7"/>
      <c r="PQP1194" s="7"/>
      <c r="PQQ1194" s="7"/>
      <c r="PQR1194" s="7"/>
      <c r="PQS1194" s="7"/>
      <c r="PQT1194" s="7"/>
      <c r="PQU1194" s="7"/>
      <c r="PQV1194" s="7"/>
      <c r="PQW1194" s="7"/>
      <c r="PQX1194" s="7"/>
      <c r="PQY1194" s="7"/>
      <c r="PQZ1194" s="7"/>
      <c r="PRA1194" s="7"/>
      <c r="PRB1194" s="7"/>
      <c r="PRC1194" s="7"/>
      <c r="PRD1194" s="7"/>
      <c r="PRE1194" s="7"/>
      <c r="PRF1194" s="7"/>
      <c r="PRG1194" s="7"/>
      <c r="PRH1194" s="7"/>
      <c r="PRI1194" s="7"/>
      <c r="PRJ1194" s="7"/>
      <c r="PRK1194" s="7"/>
      <c r="PRL1194" s="7"/>
      <c r="PRM1194" s="7"/>
      <c r="PRN1194" s="7"/>
      <c r="PRO1194" s="7"/>
      <c r="PRP1194" s="7"/>
      <c r="PRQ1194" s="7"/>
      <c r="PRR1194" s="7"/>
      <c r="PRS1194" s="7"/>
      <c r="PRT1194" s="7"/>
      <c r="PRU1194" s="7"/>
      <c r="PRV1194" s="7"/>
      <c r="PRW1194" s="7"/>
      <c r="PRX1194" s="7"/>
      <c r="PRY1194" s="7"/>
      <c r="PRZ1194" s="7"/>
      <c r="PSA1194" s="7"/>
      <c r="PSB1194" s="7"/>
      <c r="PSC1194" s="7"/>
      <c r="PSD1194" s="7"/>
      <c r="PSE1194" s="7"/>
      <c r="PSF1194" s="7"/>
      <c r="PSG1194" s="7"/>
      <c r="PSH1194" s="7"/>
      <c r="PSI1194" s="7"/>
      <c r="PSJ1194" s="7"/>
      <c r="PSK1194" s="7"/>
      <c r="PSL1194" s="7"/>
      <c r="PSM1194" s="7"/>
      <c r="PSN1194" s="7"/>
      <c r="PSO1194" s="7"/>
      <c r="PSP1194" s="7"/>
      <c r="PSQ1194" s="7"/>
      <c r="PSR1194" s="7"/>
      <c r="PSS1194" s="7"/>
      <c r="PST1194" s="7"/>
      <c r="PSU1194" s="7"/>
      <c r="PSV1194" s="7"/>
      <c r="PSW1194" s="7"/>
      <c r="PSX1194" s="7"/>
      <c r="PSY1194" s="7"/>
      <c r="PSZ1194" s="7"/>
      <c r="PTA1194" s="7"/>
      <c r="PTB1194" s="7"/>
      <c r="PTC1194" s="7"/>
      <c r="PTD1194" s="7"/>
      <c r="PTE1194" s="7"/>
      <c r="PTF1194" s="7"/>
      <c r="PTG1194" s="7"/>
      <c r="PTH1194" s="7"/>
      <c r="PTI1194" s="7"/>
      <c r="PTJ1194" s="7"/>
      <c r="PTK1194" s="7"/>
      <c r="PTL1194" s="7"/>
      <c r="PTM1194" s="7"/>
      <c r="PTN1194" s="7"/>
      <c r="PTO1194" s="7"/>
      <c r="PTP1194" s="7"/>
      <c r="PTQ1194" s="7"/>
      <c r="PTR1194" s="7"/>
      <c r="PTS1194" s="7"/>
      <c r="PTT1194" s="7"/>
      <c r="PTU1194" s="7"/>
      <c r="PTV1194" s="7"/>
      <c r="PTW1194" s="7"/>
      <c r="PTX1194" s="7"/>
      <c r="PTY1194" s="7"/>
      <c r="PTZ1194" s="7"/>
      <c r="PUA1194" s="7"/>
      <c r="PUB1194" s="7"/>
      <c r="PUC1194" s="7"/>
      <c r="PUD1194" s="7"/>
      <c r="PUE1194" s="7"/>
      <c r="PUF1194" s="7"/>
      <c r="PUG1194" s="7"/>
      <c r="PUH1194" s="7"/>
      <c r="PUI1194" s="7"/>
      <c r="PUJ1194" s="7"/>
      <c r="PUK1194" s="7"/>
      <c r="PUL1194" s="7"/>
      <c r="PUM1194" s="7"/>
      <c r="PUN1194" s="7"/>
      <c r="PUO1194" s="7"/>
      <c r="PUP1194" s="7"/>
      <c r="PUQ1194" s="7"/>
      <c r="PUR1194" s="7"/>
      <c r="PUS1194" s="7"/>
      <c r="PUT1194" s="7"/>
      <c r="PUU1194" s="7"/>
      <c r="PUV1194" s="7"/>
      <c r="PUW1194" s="7"/>
      <c r="PUX1194" s="7"/>
      <c r="PUY1194" s="7"/>
      <c r="PUZ1194" s="7"/>
      <c r="PVA1194" s="7"/>
      <c r="PVB1194" s="7"/>
      <c r="PVC1194" s="7"/>
      <c r="PVD1194" s="7"/>
      <c r="PVE1194" s="7"/>
      <c r="PVF1194" s="7"/>
      <c r="PVG1194" s="7"/>
      <c r="PVH1194" s="7"/>
      <c r="PVI1194" s="7"/>
      <c r="PVJ1194" s="7"/>
      <c r="PVK1194" s="7"/>
      <c r="PVL1194" s="7"/>
      <c r="PVM1194" s="7"/>
      <c r="PVN1194" s="7"/>
      <c r="PVO1194" s="7"/>
      <c r="PVP1194" s="7"/>
      <c r="PVQ1194" s="7"/>
      <c r="PVR1194" s="7"/>
      <c r="PVS1194" s="7"/>
      <c r="PVT1194" s="7"/>
      <c r="PVU1194" s="7"/>
      <c r="PVV1194" s="7"/>
      <c r="PVW1194" s="7"/>
      <c r="PVX1194" s="7"/>
      <c r="PVY1194" s="7"/>
      <c r="PVZ1194" s="7"/>
      <c r="PWA1194" s="7"/>
      <c r="PWB1194" s="7"/>
      <c r="PWC1194" s="7"/>
      <c r="PWD1194" s="7"/>
      <c r="PWE1194" s="7"/>
      <c r="PWF1194" s="7"/>
      <c r="PWG1194" s="7"/>
      <c r="PWH1194" s="7"/>
      <c r="PWI1194" s="7"/>
      <c r="PWJ1194" s="7"/>
      <c r="PWK1194" s="7"/>
      <c r="PWL1194" s="7"/>
      <c r="PWM1194" s="7"/>
      <c r="PWN1194" s="7"/>
      <c r="PWO1194" s="7"/>
      <c r="PWP1194" s="7"/>
      <c r="PWQ1194" s="7"/>
      <c r="PWR1194" s="7"/>
      <c r="PWS1194" s="7"/>
      <c r="PWT1194" s="7"/>
      <c r="PWU1194" s="7"/>
      <c r="PWV1194" s="7"/>
      <c r="PWW1194" s="7"/>
      <c r="PWX1194" s="7"/>
      <c r="PWY1194" s="7"/>
      <c r="PWZ1194" s="7"/>
      <c r="PXA1194" s="7"/>
      <c r="PXB1194" s="7"/>
      <c r="PXC1194" s="7"/>
      <c r="PXD1194" s="7"/>
      <c r="PXE1194" s="7"/>
      <c r="PXF1194" s="7"/>
      <c r="PXG1194" s="7"/>
      <c r="PXH1194" s="7"/>
      <c r="PXI1194" s="7"/>
      <c r="PXJ1194" s="7"/>
      <c r="PXK1194" s="7"/>
      <c r="PXL1194" s="7"/>
      <c r="PXM1194" s="7"/>
      <c r="PXN1194" s="7"/>
      <c r="PXO1194" s="7"/>
      <c r="PXP1194" s="7"/>
      <c r="PXQ1194" s="7"/>
      <c r="PXR1194" s="7"/>
      <c r="PXS1194" s="7"/>
      <c r="PXT1194" s="7"/>
      <c r="PXU1194" s="7"/>
      <c r="PXV1194" s="7"/>
      <c r="PXW1194" s="7"/>
      <c r="PXX1194" s="7"/>
      <c r="PXY1194" s="7"/>
      <c r="PXZ1194" s="7"/>
      <c r="PYA1194" s="7"/>
      <c r="PYB1194" s="7"/>
      <c r="PYC1194" s="7"/>
      <c r="PYD1194" s="7"/>
      <c r="PYE1194" s="7"/>
      <c r="PYF1194" s="7"/>
      <c r="PYG1194" s="7"/>
      <c r="PYH1194" s="7"/>
      <c r="PYI1194" s="7"/>
      <c r="PYJ1194" s="7"/>
      <c r="PYK1194" s="7"/>
      <c r="PYL1194" s="7"/>
      <c r="PYM1194" s="7"/>
      <c r="PYN1194" s="7"/>
      <c r="PYO1194" s="7"/>
      <c r="PYP1194" s="7"/>
      <c r="PYQ1194" s="7"/>
      <c r="PYR1194" s="7"/>
      <c r="PYS1194" s="7"/>
      <c r="PYT1194" s="7"/>
      <c r="PYU1194" s="7"/>
      <c r="PYV1194" s="7"/>
      <c r="PYW1194" s="7"/>
      <c r="PYX1194" s="7"/>
      <c r="PYY1194" s="7"/>
      <c r="PYZ1194" s="7"/>
      <c r="PZA1194" s="7"/>
      <c r="PZB1194" s="7"/>
      <c r="PZC1194" s="7"/>
      <c r="PZD1194" s="7"/>
      <c r="PZE1194" s="7"/>
      <c r="PZF1194" s="7"/>
      <c r="PZG1194" s="7"/>
      <c r="PZH1194" s="7"/>
      <c r="PZI1194" s="7"/>
      <c r="PZJ1194" s="7"/>
      <c r="PZK1194" s="7"/>
      <c r="PZL1194" s="7"/>
      <c r="PZM1194" s="7"/>
      <c r="PZN1194" s="7"/>
      <c r="PZO1194" s="7"/>
      <c r="PZP1194" s="7"/>
      <c r="PZQ1194" s="7"/>
      <c r="PZR1194" s="7"/>
      <c r="PZS1194" s="7"/>
      <c r="PZT1194" s="7"/>
      <c r="PZU1194" s="7"/>
      <c r="PZV1194" s="7"/>
      <c r="PZW1194" s="7"/>
      <c r="PZX1194" s="7"/>
      <c r="PZY1194" s="7"/>
      <c r="PZZ1194" s="7"/>
      <c r="QAA1194" s="7"/>
      <c r="QAB1194" s="7"/>
      <c r="QAC1194" s="7"/>
      <c r="QAD1194" s="7"/>
      <c r="QAE1194" s="7"/>
      <c r="QAF1194" s="7"/>
      <c r="QAG1194" s="7"/>
      <c r="QAH1194" s="7"/>
      <c r="QAI1194" s="7"/>
      <c r="QAJ1194" s="7"/>
      <c r="QAK1194" s="7"/>
      <c r="QAL1194" s="7"/>
      <c r="QAM1194" s="7"/>
      <c r="QAN1194" s="7"/>
      <c r="QAO1194" s="7"/>
      <c r="QAP1194" s="7"/>
      <c r="QAQ1194" s="7"/>
      <c r="QAR1194" s="7"/>
      <c r="QAS1194" s="7"/>
      <c r="QAT1194" s="7"/>
      <c r="QAU1194" s="7"/>
      <c r="QAV1194" s="7"/>
      <c r="QAW1194" s="7"/>
      <c r="QAX1194" s="7"/>
      <c r="QAY1194" s="7"/>
      <c r="QAZ1194" s="7"/>
      <c r="QBA1194" s="7"/>
      <c r="QBB1194" s="7"/>
      <c r="QBC1194" s="7"/>
      <c r="QBD1194" s="7"/>
      <c r="QBE1194" s="7"/>
      <c r="QBF1194" s="7"/>
      <c r="QBG1194" s="7"/>
      <c r="QBH1194" s="7"/>
      <c r="QBI1194" s="7"/>
      <c r="QBJ1194" s="7"/>
      <c r="QBK1194" s="7"/>
      <c r="QBL1194" s="7"/>
      <c r="QBM1194" s="7"/>
      <c r="QBN1194" s="7"/>
      <c r="QBO1194" s="7"/>
      <c r="QBP1194" s="7"/>
      <c r="QBQ1194" s="7"/>
      <c r="QBR1194" s="7"/>
      <c r="QBS1194" s="7"/>
      <c r="QBT1194" s="7"/>
      <c r="QBU1194" s="7"/>
      <c r="QBV1194" s="7"/>
      <c r="QBW1194" s="7"/>
      <c r="QBX1194" s="7"/>
      <c r="QBY1194" s="7"/>
      <c r="QBZ1194" s="7"/>
      <c r="QCA1194" s="7"/>
      <c r="QCB1194" s="7"/>
      <c r="QCC1194" s="7"/>
      <c r="QCD1194" s="7"/>
      <c r="QCE1194" s="7"/>
      <c r="QCF1194" s="7"/>
      <c r="QCG1194" s="7"/>
      <c r="QCH1194" s="7"/>
      <c r="QCI1194" s="7"/>
      <c r="QCJ1194" s="7"/>
      <c r="QCK1194" s="7"/>
      <c r="QCL1194" s="7"/>
      <c r="QCM1194" s="7"/>
      <c r="QCN1194" s="7"/>
      <c r="QCO1194" s="7"/>
      <c r="QCP1194" s="7"/>
      <c r="QCQ1194" s="7"/>
      <c r="QCR1194" s="7"/>
      <c r="QCS1194" s="7"/>
      <c r="QCT1194" s="7"/>
      <c r="QCU1194" s="7"/>
      <c r="QCV1194" s="7"/>
      <c r="QCW1194" s="7"/>
      <c r="QCX1194" s="7"/>
      <c r="QCY1194" s="7"/>
      <c r="QCZ1194" s="7"/>
      <c r="QDA1194" s="7"/>
      <c r="QDB1194" s="7"/>
      <c r="QDC1194" s="7"/>
      <c r="QDD1194" s="7"/>
      <c r="QDE1194" s="7"/>
      <c r="QDF1194" s="7"/>
      <c r="QDG1194" s="7"/>
      <c r="QDH1194" s="7"/>
      <c r="QDI1194" s="7"/>
      <c r="QDJ1194" s="7"/>
      <c r="QDK1194" s="7"/>
      <c r="QDL1194" s="7"/>
      <c r="QDM1194" s="7"/>
      <c r="QDN1194" s="7"/>
      <c r="QDO1194" s="7"/>
      <c r="QDP1194" s="7"/>
      <c r="QDQ1194" s="7"/>
      <c r="QDR1194" s="7"/>
      <c r="QDS1194" s="7"/>
      <c r="QDT1194" s="7"/>
      <c r="QDU1194" s="7"/>
      <c r="QDV1194" s="7"/>
      <c r="QDW1194" s="7"/>
      <c r="QDX1194" s="7"/>
      <c r="QDY1194" s="7"/>
      <c r="QDZ1194" s="7"/>
      <c r="QEA1194" s="7"/>
      <c r="QEB1194" s="7"/>
      <c r="QEC1194" s="7"/>
      <c r="QED1194" s="7"/>
      <c r="QEE1194" s="7"/>
      <c r="QEF1194" s="7"/>
      <c r="QEG1194" s="7"/>
      <c r="QEH1194" s="7"/>
      <c r="QEI1194" s="7"/>
      <c r="QEJ1194" s="7"/>
      <c r="QEK1194" s="7"/>
      <c r="QEL1194" s="7"/>
      <c r="QEM1194" s="7"/>
      <c r="QEN1194" s="7"/>
      <c r="QEO1194" s="7"/>
      <c r="QEP1194" s="7"/>
      <c r="QEQ1194" s="7"/>
      <c r="QER1194" s="7"/>
      <c r="QES1194" s="7"/>
      <c r="QET1194" s="7"/>
      <c r="QEU1194" s="7"/>
      <c r="QEV1194" s="7"/>
      <c r="QEW1194" s="7"/>
      <c r="QEX1194" s="7"/>
      <c r="QEY1194" s="7"/>
      <c r="QEZ1194" s="7"/>
      <c r="QFA1194" s="7"/>
      <c r="QFB1194" s="7"/>
      <c r="QFC1194" s="7"/>
      <c r="QFD1194" s="7"/>
      <c r="QFE1194" s="7"/>
      <c r="QFF1194" s="7"/>
      <c r="QFG1194" s="7"/>
      <c r="QFH1194" s="7"/>
      <c r="QFI1194" s="7"/>
      <c r="QFJ1194" s="7"/>
      <c r="QFK1194" s="7"/>
      <c r="QFL1194" s="7"/>
      <c r="QFM1194" s="7"/>
      <c r="QFN1194" s="7"/>
      <c r="QFO1194" s="7"/>
      <c r="QFP1194" s="7"/>
      <c r="QFQ1194" s="7"/>
      <c r="QFR1194" s="7"/>
      <c r="QFS1194" s="7"/>
      <c r="QFT1194" s="7"/>
      <c r="QFU1194" s="7"/>
      <c r="QFV1194" s="7"/>
      <c r="QFW1194" s="7"/>
      <c r="QFX1194" s="7"/>
      <c r="QFY1194" s="7"/>
      <c r="QFZ1194" s="7"/>
      <c r="QGA1194" s="7"/>
      <c r="QGB1194" s="7"/>
      <c r="QGC1194" s="7"/>
      <c r="QGD1194" s="7"/>
      <c r="QGE1194" s="7"/>
      <c r="QGF1194" s="7"/>
      <c r="QGG1194" s="7"/>
      <c r="QGH1194" s="7"/>
      <c r="QGI1194" s="7"/>
      <c r="QGJ1194" s="7"/>
      <c r="QGK1194" s="7"/>
      <c r="QGL1194" s="7"/>
      <c r="QGM1194" s="7"/>
      <c r="QGN1194" s="7"/>
      <c r="QGO1194" s="7"/>
      <c r="QGP1194" s="7"/>
      <c r="QGQ1194" s="7"/>
      <c r="QGR1194" s="7"/>
      <c r="QGS1194" s="7"/>
      <c r="QGT1194" s="7"/>
      <c r="QGU1194" s="7"/>
      <c r="QGV1194" s="7"/>
      <c r="QGW1194" s="7"/>
      <c r="QGX1194" s="7"/>
      <c r="QGY1194" s="7"/>
      <c r="QGZ1194" s="7"/>
      <c r="QHA1194" s="7"/>
      <c r="QHB1194" s="7"/>
      <c r="QHC1194" s="7"/>
      <c r="QHD1194" s="7"/>
      <c r="QHE1194" s="7"/>
      <c r="QHF1194" s="7"/>
      <c r="QHG1194" s="7"/>
      <c r="QHH1194" s="7"/>
      <c r="QHI1194" s="7"/>
      <c r="QHJ1194" s="7"/>
      <c r="QHK1194" s="7"/>
      <c r="QHL1194" s="7"/>
      <c r="QHM1194" s="7"/>
      <c r="QHN1194" s="7"/>
      <c r="QHO1194" s="7"/>
      <c r="QHP1194" s="7"/>
      <c r="QHQ1194" s="7"/>
      <c r="QHR1194" s="7"/>
      <c r="QHS1194" s="7"/>
      <c r="QHT1194" s="7"/>
      <c r="QHU1194" s="7"/>
      <c r="QHV1194" s="7"/>
      <c r="QHW1194" s="7"/>
      <c r="QHX1194" s="7"/>
      <c r="QHY1194" s="7"/>
      <c r="QHZ1194" s="7"/>
      <c r="QIA1194" s="7"/>
      <c r="QIB1194" s="7"/>
      <c r="QIC1194" s="7"/>
      <c r="QID1194" s="7"/>
      <c r="QIE1194" s="7"/>
      <c r="QIF1194" s="7"/>
      <c r="QIG1194" s="7"/>
      <c r="QIH1194" s="7"/>
      <c r="QII1194" s="7"/>
      <c r="QIJ1194" s="7"/>
      <c r="QIK1194" s="7"/>
      <c r="QIL1194" s="7"/>
      <c r="QIM1194" s="7"/>
      <c r="QIN1194" s="7"/>
      <c r="QIO1194" s="7"/>
      <c r="QIP1194" s="7"/>
      <c r="QIQ1194" s="7"/>
      <c r="QIR1194" s="7"/>
      <c r="QIS1194" s="7"/>
      <c r="QIT1194" s="7"/>
      <c r="QIU1194" s="7"/>
      <c r="QIV1194" s="7"/>
      <c r="QIW1194" s="7"/>
      <c r="QIX1194" s="7"/>
      <c r="QIY1194" s="7"/>
      <c r="QIZ1194" s="7"/>
      <c r="QJA1194" s="7"/>
      <c r="QJB1194" s="7"/>
      <c r="QJC1194" s="7"/>
      <c r="QJD1194" s="7"/>
      <c r="QJE1194" s="7"/>
      <c r="QJF1194" s="7"/>
      <c r="QJG1194" s="7"/>
      <c r="QJH1194" s="7"/>
      <c r="QJI1194" s="7"/>
      <c r="QJJ1194" s="7"/>
      <c r="QJK1194" s="7"/>
      <c r="QJL1194" s="7"/>
      <c r="QJM1194" s="7"/>
      <c r="QJN1194" s="7"/>
      <c r="QJO1194" s="7"/>
      <c r="QJP1194" s="7"/>
      <c r="QJQ1194" s="7"/>
      <c r="QJR1194" s="7"/>
      <c r="QJS1194" s="7"/>
      <c r="QJT1194" s="7"/>
      <c r="QJU1194" s="7"/>
      <c r="QJV1194" s="7"/>
      <c r="QJW1194" s="7"/>
      <c r="QJX1194" s="7"/>
      <c r="QJY1194" s="7"/>
      <c r="QJZ1194" s="7"/>
      <c r="QKA1194" s="7"/>
      <c r="QKB1194" s="7"/>
      <c r="QKC1194" s="7"/>
      <c r="QKD1194" s="7"/>
      <c r="QKE1194" s="7"/>
      <c r="QKF1194" s="7"/>
      <c r="QKG1194" s="7"/>
      <c r="QKH1194" s="7"/>
      <c r="QKI1194" s="7"/>
      <c r="QKJ1194" s="7"/>
      <c r="QKK1194" s="7"/>
      <c r="QKL1194" s="7"/>
      <c r="QKM1194" s="7"/>
      <c r="QKN1194" s="7"/>
      <c r="QKO1194" s="7"/>
      <c r="QKP1194" s="7"/>
      <c r="QKQ1194" s="7"/>
      <c r="QKR1194" s="7"/>
      <c r="QKS1194" s="7"/>
      <c r="QKT1194" s="7"/>
      <c r="QKU1194" s="7"/>
      <c r="QKV1194" s="7"/>
      <c r="QKW1194" s="7"/>
      <c r="QKX1194" s="7"/>
      <c r="QKY1194" s="7"/>
      <c r="QKZ1194" s="7"/>
      <c r="QLA1194" s="7"/>
      <c r="QLB1194" s="7"/>
      <c r="QLC1194" s="7"/>
      <c r="QLD1194" s="7"/>
      <c r="QLE1194" s="7"/>
      <c r="QLF1194" s="7"/>
      <c r="QLG1194" s="7"/>
      <c r="QLH1194" s="7"/>
      <c r="QLI1194" s="7"/>
      <c r="QLJ1194" s="7"/>
      <c r="QLK1194" s="7"/>
      <c r="QLL1194" s="7"/>
      <c r="QLM1194" s="7"/>
      <c r="QLN1194" s="7"/>
      <c r="QLO1194" s="7"/>
      <c r="QLP1194" s="7"/>
      <c r="QLQ1194" s="7"/>
      <c r="QLR1194" s="7"/>
      <c r="QLS1194" s="7"/>
      <c r="QLT1194" s="7"/>
      <c r="QLU1194" s="7"/>
      <c r="QLV1194" s="7"/>
      <c r="QLW1194" s="7"/>
      <c r="QLX1194" s="7"/>
      <c r="QLY1194" s="7"/>
      <c r="QLZ1194" s="7"/>
      <c r="QMA1194" s="7"/>
      <c r="QMB1194" s="7"/>
      <c r="QMC1194" s="7"/>
      <c r="QMD1194" s="7"/>
      <c r="QME1194" s="7"/>
      <c r="QMF1194" s="7"/>
      <c r="QMG1194" s="7"/>
      <c r="QMH1194" s="7"/>
      <c r="QMI1194" s="7"/>
      <c r="QMJ1194" s="7"/>
      <c r="QMK1194" s="7"/>
      <c r="QML1194" s="7"/>
      <c r="QMM1194" s="7"/>
      <c r="QMN1194" s="7"/>
      <c r="QMO1194" s="7"/>
      <c r="QMP1194" s="7"/>
      <c r="QMQ1194" s="7"/>
      <c r="QMR1194" s="7"/>
      <c r="QMS1194" s="7"/>
      <c r="QMT1194" s="7"/>
      <c r="QMU1194" s="7"/>
      <c r="QMV1194" s="7"/>
      <c r="QMW1194" s="7"/>
      <c r="QMX1194" s="7"/>
      <c r="QMY1194" s="7"/>
      <c r="QMZ1194" s="7"/>
      <c r="QNA1194" s="7"/>
      <c r="QNB1194" s="7"/>
      <c r="QNC1194" s="7"/>
      <c r="QND1194" s="7"/>
      <c r="QNE1194" s="7"/>
      <c r="QNF1194" s="7"/>
      <c r="QNG1194" s="7"/>
      <c r="QNH1194" s="7"/>
      <c r="QNI1194" s="7"/>
      <c r="QNJ1194" s="7"/>
      <c r="QNK1194" s="7"/>
      <c r="QNL1194" s="7"/>
      <c r="QNM1194" s="7"/>
      <c r="QNN1194" s="7"/>
      <c r="QNO1194" s="7"/>
      <c r="QNP1194" s="7"/>
      <c r="QNQ1194" s="7"/>
      <c r="QNR1194" s="7"/>
      <c r="QNS1194" s="7"/>
      <c r="QNT1194" s="7"/>
      <c r="QNU1194" s="7"/>
      <c r="QNV1194" s="7"/>
      <c r="QNW1194" s="7"/>
      <c r="QNX1194" s="7"/>
      <c r="QNY1194" s="7"/>
      <c r="QNZ1194" s="7"/>
      <c r="QOA1194" s="7"/>
      <c r="QOB1194" s="7"/>
      <c r="QOC1194" s="7"/>
      <c r="QOD1194" s="7"/>
      <c r="QOE1194" s="7"/>
      <c r="QOF1194" s="7"/>
      <c r="QOG1194" s="7"/>
      <c r="QOH1194" s="7"/>
      <c r="QOI1194" s="7"/>
      <c r="QOJ1194" s="7"/>
      <c r="QOK1194" s="7"/>
      <c r="QOL1194" s="7"/>
      <c r="QOM1194" s="7"/>
      <c r="QON1194" s="7"/>
      <c r="QOO1194" s="7"/>
      <c r="QOP1194" s="7"/>
      <c r="QOQ1194" s="7"/>
      <c r="QOR1194" s="7"/>
      <c r="QOS1194" s="7"/>
      <c r="QOT1194" s="7"/>
      <c r="QOU1194" s="7"/>
      <c r="QOV1194" s="7"/>
      <c r="QOW1194" s="7"/>
      <c r="QOX1194" s="7"/>
      <c r="QOY1194" s="7"/>
      <c r="QOZ1194" s="7"/>
      <c r="QPA1194" s="7"/>
      <c r="QPB1194" s="7"/>
      <c r="QPC1194" s="7"/>
      <c r="QPD1194" s="7"/>
      <c r="QPE1194" s="7"/>
      <c r="QPF1194" s="7"/>
      <c r="QPG1194" s="7"/>
      <c r="QPH1194" s="7"/>
      <c r="QPI1194" s="7"/>
      <c r="QPJ1194" s="7"/>
      <c r="QPK1194" s="7"/>
      <c r="QPL1194" s="7"/>
      <c r="QPM1194" s="7"/>
      <c r="QPN1194" s="7"/>
      <c r="QPO1194" s="7"/>
      <c r="QPP1194" s="7"/>
      <c r="QPQ1194" s="7"/>
      <c r="QPR1194" s="7"/>
      <c r="QPS1194" s="7"/>
      <c r="QPT1194" s="7"/>
      <c r="QPU1194" s="7"/>
      <c r="QPV1194" s="7"/>
      <c r="QPW1194" s="7"/>
      <c r="QPX1194" s="7"/>
      <c r="QPY1194" s="7"/>
      <c r="QPZ1194" s="7"/>
      <c r="QQA1194" s="7"/>
      <c r="QQB1194" s="7"/>
      <c r="QQC1194" s="7"/>
      <c r="QQD1194" s="7"/>
      <c r="QQE1194" s="7"/>
      <c r="QQF1194" s="7"/>
      <c r="QQG1194" s="7"/>
      <c r="QQH1194" s="7"/>
      <c r="QQI1194" s="7"/>
      <c r="QQJ1194" s="7"/>
      <c r="QQK1194" s="7"/>
      <c r="QQL1194" s="7"/>
      <c r="QQM1194" s="7"/>
      <c r="QQN1194" s="7"/>
      <c r="QQO1194" s="7"/>
      <c r="QQP1194" s="7"/>
      <c r="QQQ1194" s="7"/>
      <c r="QQR1194" s="7"/>
      <c r="QQS1194" s="7"/>
      <c r="QQT1194" s="7"/>
      <c r="QQU1194" s="7"/>
      <c r="QQV1194" s="7"/>
      <c r="QQW1194" s="7"/>
      <c r="QQX1194" s="7"/>
      <c r="QQY1194" s="7"/>
      <c r="QQZ1194" s="7"/>
      <c r="QRA1194" s="7"/>
      <c r="QRB1194" s="7"/>
      <c r="QRC1194" s="7"/>
      <c r="QRD1194" s="7"/>
      <c r="QRE1194" s="7"/>
      <c r="QRF1194" s="7"/>
      <c r="QRG1194" s="7"/>
      <c r="QRH1194" s="7"/>
      <c r="QRI1194" s="7"/>
      <c r="QRJ1194" s="7"/>
      <c r="QRK1194" s="7"/>
      <c r="QRL1194" s="7"/>
      <c r="QRM1194" s="7"/>
      <c r="QRN1194" s="7"/>
      <c r="QRO1194" s="7"/>
      <c r="QRP1194" s="7"/>
      <c r="QRQ1194" s="7"/>
      <c r="QRR1194" s="7"/>
      <c r="QRS1194" s="7"/>
      <c r="QRT1194" s="7"/>
      <c r="QRU1194" s="7"/>
      <c r="QRV1194" s="7"/>
      <c r="QRW1194" s="7"/>
      <c r="QRX1194" s="7"/>
      <c r="QRY1194" s="7"/>
      <c r="QRZ1194" s="7"/>
      <c r="QSA1194" s="7"/>
      <c r="QSB1194" s="7"/>
      <c r="QSC1194" s="7"/>
      <c r="QSD1194" s="7"/>
      <c r="QSE1194" s="7"/>
      <c r="QSF1194" s="7"/>
      <c r="QSG1194" s="7"/>
      <c r="QSH1194" s="7"/>
      <c r="QSI1194" s="7"/>
      <c r="QSJ1194" s="7"/>
      <c r="QSK1194" s="7"/>
      <c r="QSL1194" s="7"/>
      <c r="QSM1194" s="7"/>
      <c r="QSN1194" s="7"/>
      <c r="QSO1194" s="7"/>
      <c r="QSP1194" s="7"/>
      <c r="QSQ1194" s="7"/>
      <c r="QSR1194" s="7"/>
      <c r="QSS1194" s="7"/>
      <c r="QST1194" s="7"/>
      <c r="QSU1194" s="7"/>
      <c r="QSV1194" s="7"/>
      <c r="QSW1194" s="7"/>
      <c r="QSX1194" s="7"/>
      <c r="QSY1194" s="7"/>
      <c r="QSZ1194" s="7"/>
      <c r="QTA1194" s="7"/>
      <c r="QTB1194" s="7"/>
      <c r="QTC1194" s="7"/>
      <c r="QTD1194" s="7"/>
      <c r="QTE1194" s="7"/>
      <c r="QTF1194" s="7"/>
      <c r="QTG1194" s="7"/>
      <c r="QTH1194" s="7"/>
      <c r="QTI1194" s="7"/>
      <c r="QTJ1194" s="7"/>
      <c r="QTK1194" s="7"/>
      <c r="QTL1194" s="7"/>
      <c r="QTM1194" s="7"/>
      <c r="QTN1194" s="7"/>
      <c r="QTO1194" s="7"/>
      <c r="QTP1194" s="7"/>
      <c r="QTQ1194" s="7"/>
      <c r="QTR1194" s="7"/>
      <c r="QTS1194" s="7"/>
      <c r="QTT1194" s="7"/>
      <c r="QTU1194" s="7"/>
      <c r="QTV1194" s="7"/>
      <c r="QTW1194" s="7"/>
      <c r="QTX1194" s="7"/>
      <c r="QTY1194" s="7"/>
      <c r="QTZ1194" s="7"/>
      <c r="QUA1194" s="7"/>
      <c r="QUB1194" s="7"/>
      <c r="QUC1194" s="7"/>
      <c r="QUD1194" s="7"/>
      <c r="QUE1194" s="7"/>
      <c r="QUF1194" s="7"/>
      <c r="QUG1194" s="7"/>
      <c r="QUH1194" s="7"/>
      <c r="QUI1194" s="7"/>
      <c r="QUJ1194" s="7"/>
      <c r="QUK1194" s="7"/>
      <c r="QUL1194" s="7"/>
      <c r="QUM1194" s="7"/>
      <c r="QUN1194" s="7"/>
      <c r="QUO1194" s="7"/>
      <c r="QUP1194" s="7"/>
      <c r="QUQ1194" s="7"/>
      <c r="QUR1194" s="7"/>
      <c r="QUS1194" s="7"/>
      <c r="QUT1194" s="7"/>
      <c r="QUU1194" s="7"/>
      <c r="QUV1194" s="7"/>
      <c r="QUW1194" s="7"/>
      <c r="QUX1194" s="7"/>
      <c r="QUY1194" s="7"/>
      <c r="QUZ1194" s="7"/>
      <c r="QVA1194" s="7"/>
      <c r="QVB1194" s="7"/>
      <c r="QVC1194" s="7"/>
      <c r="QVD1194" s="7"/>
      <c r="QVE1194" s="7"/>
      <c r="QVF1194" s="7"/>
      <c r="QVG1194" s="7"/>
      <c r="QVH1194" s="7"/>
      <c r="QVI1194" s="7"/>
      <c r="QVJ1194" s="7"/>
      <c r="QVK1194" s="7"/>
      <c r="QVL1194" s="7"/>
      <c r="QVM1194" s="7"/>
      <c r="QVN1194" s="7"/>
      <c r="QVO1194" s="7"/>
      <c r="QVP1194" s="7"/>
      <c r="QVQ1194" s="7"/>
      <c r="QVR1194" s="7"/>
      <c r="QVS1194" s="7"/>
      <c r="QVT1194" s="7"/>
      <c r="QVU1194" s="7"/>
      <c r="QVV1194" s="7"/>
      <c r="QVW1194" s="7"/>
      <c r="QVX1194" s="7"/>
      <c r="QVY1194" s="7"/>
      <c r="QVZ1194" s="7"/>
      <c r="QWA1194" s="7"/>
      <c r="QWB1194" s="7"/>
      <c r="QWC1194" s="7"/>
      <c r="QWD1194" s="7"/>
      <c r="QWE1194" s="7"/>
      <c r="QWF1194" s="7"/>
      <c r="QWG1194" s="7"/>
      <c r="QWH1194" s="7"/>
      <c r="QWI1194" s="7"/>
      <c r="QWJ1194" s="7"/>
      <c r="QWK1194" s="7"/>
      <c r="QWL1194" s="7"/>
      <c r="QWM1194" s="7"/>
      <c r="QWN1194" s="7"/>
      <c r="QWO1194" s="7"/>
      <c r="QWP1194" s="7"/>
      <c r="QWQ1194" s="7"/>
      <c r="QWR1194" s="7"/>
      <c r="QWS1194" s="7"/>
      <c r="QWT1194" s="7"/>
      <c r="QWU1194" s="7"/>
      <c r="QWV1194" s="7"/>
      <c r="QWW1194" s="7"/>
      <c r="QWX1194" s="7"/>
      <c r="QWY1194" s="7"/>
      <c r="QWZ1194" s="7"/>
      <c r="QXA1194" s="7"/>
      <c r="QXB1194" s="7"/>
      <c r="QXC1194" s="7"/>
      <c r="QXD1194" s="7"/>
      <c r="QXE1194" s="7"/>
      <c r="QXF1194" s="7"/>
      <c r="QXG1194" s="7"/>
      <c r="QXH1194" s="7"/>
      <c r="QXI1194" s="7"/>
      <c r="QXJ1194" s="7"/>
      <c r="QXK1194" s="7"/>
      <c r="QXL1194" s="7"/>
      <c r="QXM1194" s="7"/>
      <c r="QXN1194" s="7"/>
      <c r="QXO1194" s="7"/>
      <c r="QXP1194" s="7"/>
      <c r="QXQ1194" s="7"/>
      <c r="QXR1194" s="7"/>
      <c r="QXS1194" s="7"/>
      <c r="QXT1194" s="7"/>
      <c r="QXU1194" s="7"/>
      <c r="QXV1194" s="7"/>
      <c r="QXW1194" s="7"/>
      <c r="QXX1194" s="7"/>
      <c r="QXY1194" s="7"/>
      <c r="QXZ1194" s="7"/>
      <c r="QYA1194" s="7"/>
      <c r="QYB1194" s="7"/>
      <c r="QYC1194" s="7"/>
      <c r="QYD1194" s="7"/>
      <c r="QYE1194" s="7"/>
      <c r="QYF1194" s="7"/>
      <c r="QYG1194" s="7"/>
      <c r="QYH1194" s="7"/>
      <c r="QYI1194" s="7"/>
      <c r="QYJ1194" s="7"/>
      <c r="QYK1194" s="7"/>
      <c r="QYL1194" s="7"/>
      <c r="QYM1194" s="7"/>
      <c r="QYN1194" s="7"/>
      <c r="QYO1194" s="7"/>
      <c r="QYP1194" s="7"/>
      <c r="QYQ1194" s="7"/>
      <c r="QYR1194" s="7"/>
      <c r="QYS1194" s="7"/>
      <c r="QYT1194" s="7"/>
      <c r="QYU1194" s="7"/>
      <c r="QYV1194" s="7"/>
      <c r="QYW1194" s="7"/>
      <c r="QYX1194" s="7"/>
      <c r="QYY1194" s="7"/>
      <c r="QYZ1194" s="7"/>
      <c r="QZA1194" s="7"/>
      <c r="QZB1194" s="7"/>
      <c r="QZC1194" s="7"/>
      <c r="QZD1194" s="7"/>
      <c r="QZE1194" s="7"/>
      <c r="QZF1194" s="7"/>
      <c r="QZG1194" s="7"/>
      <c r="QZH1194" s="7"/>
      <c r="QZI1194" s="7"/>
      <c r="QZJ1194" s="7"/>
      <c r="QZK1194" s="7"/>
      <c r="QZL1194" s="7"/>
      <c r="QZM1194" s="7"/>
      <c r="QZN1194" s="7"/>
      <c r="QZO1194" s="7"/>
      <c r="QZP1194" s="7"/>
      <c r="QZQ1194" s="7"/>
      <c r="QZR1194" s="7"/>
      <c r="QZS1194" s="7"/>
      <c r="QZT1194" s="7"/>
      <c r="QZU1194" s="7"/>
      <c r="QZV1194" s="7"/>
      <c r="QZW1194" s="7"/>
      <c r="QZX1194" s="7"/>
      <c r="QZY1194" s="7"/>
      <c r="QZZ1194" s="7"/>
      <c r="RAA1194" s="7"/>
      <c r="RAB1194" s="7"/>
      <c r="RAC1194" s="7"/>
      <c r="RAD1194" s="7"/>
      <c r="RAE1194" s="7"/>
      <c r="RAF1194" s="7"/>
      <c r="RAG1194" s="7"/>
      <c r="RAH1194" s="7"/>
      <c r="RAI1194" s="7"/>
      <c r="RAJ1194" s="7"/>
      <c r="RAK1194" s="7"/>
      <c r="RAL1194" s="7"/>
      <c r="RAM1194" s="7"/>
      <c r="RAN1194" s="7"/>
      <c r="RAO1194" s="7"/>
      <c r="RAP1194" s="7"/>
      <c r="RAQ1194" s="7"/>
      <c r="RAR1194" s="7"/>
      <c r="RAS1194" s="7"/>
      <c r="RAT1194" s="7"/>
      <c r="RAU1194" s="7"/>
      <c r="RAV1194" s="7"/>
      <c r="RAW1194" s="7"/>
      <c r="RAX1194" s="7"/>
      <c r="RAY1194" s="7"/>
      <c r="RAZ1194" s="7"/>
      <c r="RBA1194" s="7"/>
      <c r="RBB1194" s="7"/>
      <c r="RBC1194" s="7"/>
      <c r="RBD1194" s="7"/>
      <c r="RBE1194" s="7"/>
      <c r="RBF1194" s="7"/>
      <c r="RBG1194" s="7"/>
      <c r="RBH1194" s="7"/>
      <c r="RBI1194" s="7"/>
      <c r="RBJ1194" s="7"/>
      <c r="RBK1194" s="7"/>
      <c r="RBL1194" s="7"/>
      <c r="RBM1194" s="7"/>
      <c r="RBN1194" s="7"/>
      <c r="RBO1194" s="7"/>
      <c r="RBP1194" s="7"/>
      <c r="RBQ1194" s="7"/>
      <c r="RBR1194" s="7"/>
      <c r="RBS1194" s="7"/>
      <c r="RBT1194" s="7"/>
      <c r="RBU1194" s="7"/>
      <c r="RBV1194" s="7"/>
      <c r="RBW1194" s="7"/>
      <c r="RBX1194" s="7"/>
      <c r="RBY1194" s="7"/>
      <c r="RBZ1194" s="7"/>
      <c r="RCA1194" s="7"/>
      <c r="RCB1194" s="7"/>
      <c r="RCC1194" s="7"/>
      <c r="RCD1194" s="7"/>
      <c r="RCE1194" s="7"/>
      <c r="RCF1194" s="7"/>
      <c r="RCG1194" s="7"/>
      <c r="RCH1194" s="7"/>
      <c r="RCI1194" s="7"/>
      <c r="RCJ1194" s="7"/>
      <c r="RCK1194" s="7"/>
      <c r="RCL1194" s="7"/>
      <c r="RCM1194" s="7"/>
      <c r="RCN1194" s="7"/>
      <c r="RCO1194" s="7"/>
      <c r="RCP1194" s="7"/>
      <c r="RCQ1194" s="7"/>
      <c r="RCR1194" s="7"/>
      <c r="RCS1194" s="7"/>
      <c r="RCT1194" s="7"/>
      <c r="RCU1194" s="7"/>
      <c r="RCV1194" s="7"/>
      <c r="RCW1194" s="7"/>
      <c r="RCX1194" s="7"/>
      <c r="RCY1194" s="7"/>
      <c r="RCZ1194" s="7"/>
      <c r="RDA1194" s="7"/>
      <c r="RDB1194" s="7"/>
      <c r="RDC1194" s="7"/>
      <c r="RDD1194" s="7"/>
      <c r="RDE1194" s="7"/>
      <c r="RDF1194" s="7"/>
      <c r="RDG1194" s="7"/>
      <c r="RDH1194" s="7"/>
      <c r="RDI1194" s="7"/>
      <c r="RDJ1194" s="7"/>
      <c r="RDK1194" s="7"/>
      <c r="RDL1194" s="7"/>
      <c r="RDM1194" s="7"/>
      <c r="RDN1194" s="7"/>
      <c r="RDO1194" s="7"/>
      <c r="RDP1194" s="7"/>
      <c r="RDQ1194" s="7"/>
      <c r="RDR1194" s="7"/>
      <c r="RDS1194" s="7"/>
      <c r="RDT1194" s="7"/>
      <c r="RDU1194" s="7"/>
      <c r="RDV1194" s="7"/>
      <c r="RDW1194" s="7"/>
      <c r="RDX1194" s="7"/>
      <c r="RDY1194" s="7"/>
      <c r="RDZ1194" s="7"/>
      <c r="REA1194" s="7"/>
      <c r="REB1194" s="7"/>
      <c r="REC1194" s="7"/>
      <c r="RED1194" s="7"/>
      <c r="REE1194" s="7"/>
      <c r="REF1194" s="7"/>
      <c r="REG1194" s="7"/>
      <c r="REH1194" s="7"/>
      <c r="REI1194" s="7"/>
      <c r="REJ1194" s="7"/>
      <c r="REK1194" s="7"/>
      <c r="REL1194" s="7"/>
      <c r="REM1194" s="7"/>
      <c r="REN1194" s="7"/>
      <c r="REO1194" s="7"/>
      <c r="REP1194" s="7"/>
      <c r="REQ1194" s="7"/>
      <c r="RER1194" s="7"/>
      <c r="RES1194" s="7"/>
      <c r="RET1194" s="7"/>
      <c r="REU1194" s="7"/>
      <c r="REV1194" s="7"/>
      <c r="REW1194" s="7"/>
      <c r="REX1194" s="7"/>
      <c r="REY1194" s="7"/>
      <c r="REZ1194" s="7"/>
      <c r="RFA1194" s="7"/>
      <c r="RFB1194" s="7"/>
      <c r="RFC1194" s="7"/>
      <c r="RFD1194" s="7"/>
      <c r="RFE1194" s="7"/>
      <c r="RFF1194" s="7"/>
      <c r="RFG1194" s="7"/>
      <c r="RFH1194" s="7"/>
      <c r="RFI1194" s="7"/>
      <c r="RFJ1194" s="7"/>
      <c r="RFK1194" s="7"/>
      <c r="RFL1194" s="7"/>
      <c r="RFM1194" s="7"/>
      <c r="RFN1194" s="7"/>
      <c r="RFO1194" s="7"/>
      <c r="RFP1194" s="7"/>
      <c r="RFQ1194" s="7"/>
      <c r="RFR1194" s="7"/>
      <c r="RFS1194" s="7"/>
      <c r="RFT1194" s="7"/>
      <c r="RFU1194" s="7"/>
      <c r="RFV1194" s="7"/>
      <c r="RFW1194" s="7"/>
      <c r="RFX1194" s="7"/>
      <c r="RFY1194" s="7"/>
      <c r="RFZ1194" s="7"/>
      <c r="RGA1194" s="7"/>
      <c r="RGB1194" s="7"/>
      <c r="RGC1194" s="7"/>
      <c r="RGD1194" s="7"/>
      <c r="RGE1194" s="7"/>
      <c r="RGF1194" s="7"/>
      <c r="RGG1194" s="7"/>
      <c r="RGH1194" s="7"/>
      <c r="RGI1194" s="7"/>
      <c r="RGJ1194" s="7"/>
      <c r="RGK1194" s="7"/>
      <c r="RGL1194" s="7"/>
      <c r="RGM1194" s="7"/>
      <c r="RGN1194" s="7"/>
      <c r="RGO1194" s="7"/>
      <c r="RGP1194" s="7"/>
      <c r="RGQ1194" s="7"/>
      <c r="RGR1194" s="7"/>
      <c r="RGS1194" s="7"/>
      <c r="RGT1194" s="7"/>
      <c r="RGU1194" s="7"/>
      <c r="RGV1194" s="7"/>
      <c r="RGW1194" s="7"/>
      <c r="RGX1194" s="7"/>
      <c r="RGY1194" s="7"/>
      <c r="RGZ1194" s="7"/>
      <c r="RHA1194" s="7"/>
      <c r="RHB1194" s="7"/>
      <c r="RHC1194" s="7"/>
      <c r="RHD1194" s="7"/>
      <c r="RHE1194" s="7"/>
      <c r="RHF1194" s="7"/>
      <c r="RHG1194" s="7"/>
      <c r="RHH1194" s="7"/>
      <c r="RHI1194" s="7"/>
      <c r="RHJ1194" s="7"/>
      <c r="RHK1194" s="7"/>
      <c r="RHL1194" s="7"/>
      <c r="RHM1194" s="7"/>
      <c r="RHN1194" s="7"/>
      <c r="RHO1194" s="7"/>
      <c r="RHP1194" s="7"/>
      <c r="RHQ1194" s="7"/>
      <c r="RHR1194" s="7"/>
      <c r="RHS1194" s="7"/>
      <c r="RHT1194" s="7"/>
      <c r="RHU1194" s="7"/>
      <c r="RHV1194" s="7"/>
      <c r="RHW1194" s="7"/>
      <c r="RHX1194" s="7"/>
      <c r="RHY1194" s="7"/>
      <c r="RHZ1194" s="7"/>
      <c r="RIA1194" s="7"/>
      <c r="RIB1194" s="7"/>
      <c r="RIC1194" s="7"/>
      <c r="RID1194" s="7"/>
      <c r="RIE1194" s="7"/>
      <c r="RIF1194" s="7"/>
      <c r="RIG1194" s="7"/>
      <c r="RIH1194" s="7"/>
      <c r="RII1194" s="7"/>
      <c r="RIJ1194" s="7"/>
      <c r="RIK1194" s="7"/>
      <c r="RIL1194" s="7"/>
      <c r="RIM1194" s="7"/>
      <c r="RIN1194" s="7"/>
      <c r="RIO1194" s="7"/>
      <c r="RIP1194" s="7"/>
      <c r="RIQ1194" s="7"/>
      <c r="RIR1194" s="7"/>
      <c r="RIS1194" s="7"/>
      <c r="RIT1194" s="7"/>
      <c r="RIU1194" s="7"/>
      <c r="RIV1194" s="7"/>
      <c r="RIW1194" s="7"/>
      <c r="RIX1194" s="7"/>
      <c r="RIY1194" s="7"/>
      <c r="RIZ1194" s="7"/>
      <c r="RJA1194" s="7"/>
      <c r="RJB1194" s="7"/>
      <c r="RJC1194" s="7"/>
      <c r="RJD1194" s="7"/>
      <c r="RJE1194" s="7"/>
      <c r="RJF1194" s="7"/>
      <c r="RJG1194" s="7"/>
      <c r="RJH1194" s="7"/>
      <c r="RJI1194" s="7"/>
      <c r="RJJ1194" s="7"/>
      <c r="RJK1194" s="7"/>
      <c r="RJL1194" s="7"/>
      <c r="RJM1194" s="7"/>
      <c r="RJN1194" s="7"/>
      <c r="RJO1194" s="7"/>
      <c r="RJP1194" s="7"/>
      <c r="RJQ1194" s="7"/>
      <c r="RJR1194" s="7"/>
      <c r="RJS1194" s="7"/>
      <c r="RJT1194" s="7"/>
      <c r="RJU1194" s="7"/>
      <c r="RJV1194" s="7"/>
      <c r="RJW1194" s="7"/>
      <c r="RJX1194" s="7"/>
      <c r="RJY1194" s="7"/>
      <c r="RJZ1194" s="7"/>
      <c r="RKA1194" s="7"/>
      <c r="RKB1194" s="7"/>
      <c r="RKC1194" s="7"/>
      <c r="RKD1194" s="7"/>
      <c r="RKE1194" s="7"/>
      <c r="RKF1194" s="7"/>
      <c r="RKG1194" s="7"/>
      <c r="RKH1194" s="7"/>
      <c r="RKI1194" s="7"/>
      <c r="RKJ1194" s="7"/>
      <c r="RKK1194" s="7"/>
      <c r="RKL1194" s="7"/>
      <c r="RKM1194" s="7"/>
      <c r="RKN1194" s="7"/>
      <c r="RKO1194" s="7"/>
      <c r="RKP1194" s="7"/>
      <c r="RKQ1194" s="7"/>
      <c r="RKR1194" s="7"/>
      <c r="RKS1194" s="7"/>
      <c r="RKT1194" s="7"/>
      <c r="RKU1194" s="7"/>
      <c r="RKV1194" s="7"/>
      <c r="RKW1194" s="7"/>
      <c r="RKX1194" s="7"/>
      <c r="RKY1194" s="7"/>
      <c r="RKZ1194" s="7"/>
      <c r="RLA1194" s="7"/>
      <c r="RLB1194" s="7"/>
      <c r="RLC1194" s="7"/>
      <c r="RLD1194" s="7"/>
      <c r="RLE1194" s="7"/>
      <c r="RLF1194" s="7"/>
      <c r="RLG1194" s="7"/>
      <c r="RLH1194" s="7"/>
      <c r="RLI1194" s="7"/>
      <c r="RLJ1194" s="7"/>
      <c r="RLK1194" s="7"/>
      <c r="RLL1194" s="7"/>
      <c r="RLM1194" s="7"/>
      <c r="RLN1194" s="7"/>
      <c r="RLO1194" s="7"/>
      <c r="RLP1194" s="7"/>
      <c r="RLQ1194" s="7"/>
      <c r="RLR1194" s="7"/>
      <c r="RLS1194" s="7"/>
      <c r="RLT1194" s="7"/>
      <c r="RLU1194" s="7"/>
      <c r="RLV1194" s="7"/>
      <c r="RLW1194" s="7"/>
      <c r="RLX1194" s="7"/>
      <c r="RLY1194" s="7"/>
      <c r="RLZ1194" s="7"/>
      <c r="RMA1194" s="7"/>
      <c r="RMB1194" s="7"/>
      <c r="RMC1194" s="7"/>
      <c r="RMD1194" s="7"/>
      <c r="RME1194" s="7"/>
      <c r="RMF1194" s="7"/>
      <c r="RMG1194" s="7"/>
      <c r="RMH1194" s="7"/>
      <c r="RMI1194" s="7"/>
      <c r="RMJ1194" s="7"/>
      <c r="RMK1194" s="7"/>
      <c r="RML1194" s="7"/>
      <c r="RMM1194" s="7"/>
      <c r="RMN1194" s="7"/>
      <c r="RMO1194" s="7"/>
      <c r="RMP1194" s="7"/>
      <c r="RMQ1194" s="7"/>
      <c r="RMR1194" s="7"/>
      <c r="RMS1194" s="7"/>
      <c r="RMT1194" s="7"/>
      <c r="RMU1194" s="7"/>
      <c r="RMV1194" s="7"/>
      <c r="RMW1194" s="7"/>
      <c r="RMX1194" s="7"/>
      <c r="RMY1194" s="7"/>
      <c r="RMZ1194" s="7"/>
      <c r="RNA1194" s="7"/>
      <c r="RNB1194" s="7"/>
      <c r="RNC1194" s="7"/>
      <c r="RND1194" s="7"/>
      <c r="RNE1194" s="7"/>
      <c r="RNF1194" s="7"/>
      <c r="RNG1194" s="7"/>
      <c r="RNH1194" s="7"/>
      <c r="RNI1194" s="7"/>
      <c r="RNJ1194" s="7"/>
      <c r="RNK1194" s="7"/>
      <c r="RNL1194" s="7"/>
      <c r="RNM1194" s="7"/>
      <c r="RNN1194" s="7"/>
      <c r="RNO1194" s="7"/>
      <c r="RNP1194" s="7"/>
      <c r="RNQ1194" s="7"/>
      <c r="RNR1194" s="7"/>
      <c r="RNS1194" s="7"/>
      <c r="RNT1194" s="7"/>
      <c r="RNU1194" s="7"/>
      <c r="RNV1194" s="7"/>
      <c r="RNW1194" s="7"/>
      <c r="RNX1194" s="7"/>
      <c r="RNY1194" s="7"/>
      <c r="RNZ1194" s="7"/>
      <c r="ROA1194" s="7"/>
      <c r="ROB1194" s="7"/>
      <c r="ROC1194" s="7"/>
      <c r="ROD1194" s="7"/>
      <c r="ROE1194" s="7"/>
      <c r="ROF1194" s="7"/>
      <c r="ROG1194" s="7"/>
      <c r="ROH1194" s="7"/>
      <c r="ROI1194" s="7"/>
      <c r="ROJ1194" s="7"/>
      <c r="ROK1194" s="7"/>
      <c r="ROL1194" s="7"/>
      <c r="ROM1194" s="7"/>
      <c r="RON1194" s="7"/>
      <c r="ROO1194" s="7"/>
      <c r="ROP1194" s="7"/>
      <c r="ROQ1194" s="7"/>
      <c r="ROR1194" s="7"/>
      <c r="ROS1194" s="7"/>
      <c r="ROT1194" s="7"/>
      <c r="ROU1194" s="7"/>
      <c r="ROV1194" s="7"/>
      <c r="ROW1194" s="7"/>
      <c r="ROX1194" s="7"/>
      <c r="ROY1194" s="7"/>
      <c r="ROZ1194" s="7"/>
      <c r="RPA1194" s="7"/>
      <c r="RPB1194" s="7"/>
      <c r="RPC1194" s="7"/>
      <c r="RPD1194" s="7"/>
      <c r="RPE1194" s="7"/>
      <c r="RPF1194" s="7"/>
      <c r="RPG1194" s="7"/>
      <c r="RPH1194" s="7"/>
      <c r="RPI1194" s="7"/>
      <c r="RPJ1194" s="7"/>
      <c r="RPK1194" s="7"/>
      <c r="RPL1194" s="7"/>
      <c r="RPM1194" s="7"/>
      <c r="RPN1194" s="7"/>
      <c r="RPO1194" s="7"/>
      <c r="RPP1194" s="7"/>
      <c r="RPQ1194" s="7"/>
      <c r="RPR1194" s="7"/>
      <c r="RPS1194" s="7"/>
      <c r="RPT1194" s="7"/>
      <c r="RPU1194" s="7"/>
      <c r="RPV1194" s="7"/>
      <c r="RPW1194" s="7"/>
      <c r="RPX1194" s="7"/>
      <c r="RPY1194" s="7"/>
      <c r="RPZ1194" s="7"/>
      <c r="RQA1194" s="7"/>
      <c r="RQB1194" s="7"/>
      <c r="RQC1194" s="7"/>
      <c r="RQD1194" s="7"/>
      <c r="RQE1194" s="7"/>
      <c r="RQF1194" s="7"/>
      <c r="RQG1194" s="7"/>
      <c r="RQH1194" s="7"/>
      <c r="RQI1194" s="7"/>
      <c r="RQJ1194" s="7"/>
      <c r="RQK1194" s="7"/>
      <c r="RQL1194" s="7"/>
      <c r="RQM1194" s="7"/>
      <c r="RQN1194" s="7"/>
      <c r="RQO1194" s="7"/>
      <c r="RQP1194" s="7"/>
      <c r="RQQ1194" s="7"/>
      <c r="RQR1194" s="7"/>
      <c r="RQS1194" s="7"/>
      <c r="RQT1194" s="7"/>
      <c r="RQU1194" s="7"/>
      <c r="RQV1194" s="7"/>
      <c r="RQW1194" s="7"/>
      <c r="RQX1194" s="7"/>
      <c r="RQY1194" s="7"/>
      <c r="RQZ1194" s="7"/>
      <c r="RRA1194" s="7"/>
      <c r="RRB1194" s="7"/>
      <c r="RRC1194" s="7"/>
      <c r="RRD1194" s="7"/>
      <c r="RRE1194" s="7"/>
      <c r="RRF1194" s="7"/>
      <c r="RRG1194" s="7"/>
      <c r="RRH1194" s="7"/>
      <c r="RRI1194" s="7"/>
      <c r="RRJ1194" s="7"/>
      <c r="RRK1194" s="7"/>
      <c r="RRL1194" s="7"/>
      <c r="RRM1194" s="7"/>
      <c r="RRN1194" s="7"/>
      <c r="RRO1194" s="7"/>
      <c r="RRP1194" s="7"/>
      <c r="RRQ1194" s="7"/>
      <c r="RRR1194" s="7"/>
      <c r="RRS1194" s="7"/>
      <c r="RRT1194" s="7"/>
      <c r="RRU1194" s="7"/>
      <c r="RRV1194" s="7"/>
      <c r="RRW1194" s="7"/>
      <c r="RRX1194" s="7"/>
      <c r="RRY1194" s="7"/>
      <c r="RRZ1194" s="7"/>
      <c r="RSA1194" s="7"/>
      <c r="RSB1194" s="7"/>
      <c r="RSC1194" s="7"/>
      <c r="RSD1194" s="7"/>
      <c r="RSE1194" s="7"/>
      <c r="RSF1194" s="7"/>
      <c r="RSG1194" s="7"/>
      <c r="RSH1194" s="7"/>
      <c r="RSI1194" s="7"/>
      <c r="RSJ1194" s="7"/>
      <c r="RSK1194" s="7"/>
      <c r="RSL1194" s="7"/>
      <c r="RSM1194" s="7"/>
      <c r="RSN1194" s="7"/>
      <c r="RSO1194" s="7"/>
      <c r="RSP1194" s="7"/>
      <c r="RSQ1194" s="7"/>
      <c r="RSR1194" s="7"/>
      <c r="RSS1194" s="7"/>
      <c r="RST1194" s="7"/>
      <c r="RSU1194" s="7"/>
      <c r="RSV1194" s="7"/>
      <c r="RSW1194" s="7"/>
      <c r="RSX1194" s="7"/>
      <c r="RSY1194" s="7"/>
      <c r="RSZ1194" s="7"/>
      <c r="RTA1194" s="7"/>
      <c r="RTB1194" s="7"/>
      <c r="RTC1194" s="7"/>
      <c r="RTD1194" s="7"/>
      <c r="RTE1194" s="7"/>
      <c r="RTF1194" s="7"/>
      <c r="RTG1194" s="7"/>
      <c r="RTH1194" s="7"/>
      <c r="RTI1194" s="7"/>
      <c r="RTJ1194" s="7"/>
      <c r="RTK1194" s="7"/>
      <c r="RTL1194" s="7"/>
      <c r="RTM1194" s="7"/>
      <c r="RTN1194" s="7"/>
      <c r="RTO1194" s="7"/>
      <c r="RTP1194" s="7"/>
      <c r="RTQ1194" s="7"/>
      <c r="RTR1194" s="7"/>
      <c r="RTS1194" s="7"/>
      <c r="RTT1194" s="7"/>
      <c r="RTU1194" s="7"/>
      <c r="RTV1194" s="7"/>
      <c r="RTW1194" s="7"/>
      <c r="RTX1194" s="7"/>
      <c r="RTY1194" s="7"/>
      <c r="RTZ1194" s="7"/>
      <c r="RUA1194" s="7"/>
      <c r="RUB1194" s="7"/>
      <c r="RUC1194" s="7"/>
      <c r="RUD1194" s="7"/>
      <c r="RUE1194" s="7"/>
      <c r="RUF1194" s="7"/>
      <c r="RUG1194" s="7"/>
      <c r="RUH1194" s="7"/>
      <c r="RUI1194" s="7"/>
      <c r="RUJ1194" s="7"/>
      <c r="RUK1194" s="7"/>
      <c r="RUL1194" s="7"/>
      <c r="RUM1194" s="7"/>
      <c r="RUN1194" s="7"/>
      <c r="RUO1194" s="7"/>
      <c r="RUP1194" s="7"/>
      <c r="RUQ1194" s="7"/>
      <c r="RUR1194" s="7"/>
      <c r="RUS1194" s="7"/>
      <c r="RUT1194" s="7"/>
      <c r="RUU1194" s="7"/>
      <c r="RUV1194" s="7"/>
      <c r="RUW1194" s="7"/>
      <c r="RUX1194" s="7"/>
      <c r="RUY1194" s="7"/>
      <c r="RUZ1194" s="7"/>
      <c r="RVA1194" s="7"/>
      <c r="RVB1194" s="7"/>
      <c r="RVC1194" s="7"/>
      <c r="RVD1194" s="7"/>
      <c r="RVE1194" s="7"/>
      <c r="RVF1194" s="7"/>
      <c r="RVG1194" s="7"/>
      <c r="RVH1194" s="7"/>
      <c r="RVI1194" s="7"/>
      <c r="RVJ1194" s="7"/>
      <c r="RVK1194" s="7"/>
      <c r="RVL1194" s="7"/>
      <c r="RVM1194" s="7"/>
      <c r="RVN1194" s="7"/>
      <c r="RVO1194" s="7"/>
      <c r="RVP1194" s="7"/>
      <c r="RVQ1194" s="7"/>
      <c r="RVR1194" s="7"/>
      <c r="RVS1194" s="7"/>
      <c r="RVT1194" s="7"/>
      <c r="RVU1194" s="7"/>
      <c r="RVV1194" s="7"/>
      <c r="RVW1194" s="7"/>
      <c r="RVX1194" s="7"/>
      <c r="RVY1194" s="7"/>
      <c r="RVZ1194" s="7"/>
      <c r="RWA1194" s="7"/>
      <c r="RWB1194" s="7"/>
      <c r="RWC1194" s="7"/>
      <c r="RWD1194" s="7"/>
      <c r="RWE1194" s="7"/>
      <c r="RWF1194" s="7"/>
      <c r="RWG1194" s="7"/>
      <c r="RWH1194" s="7"/>
      <c r="RWI1194" s="7"/>
      <c r="RWJ1194" s="7"/>
      <c r="RWK1194" s="7"/>
      <c r="RWL1194" s="7"/>
      <c r="RWM1194" s="7"/>
      <c r="RWN1194" s="7"/>
      <c r="RWO1194" s="7"/>
      <c r="RWP1194" s="7"/>
      <c r="RWQ1194" s="7"/>
      <c r="RWR1194" s="7"/>
      <c r="RWS1194" s="7"/>
      <c r="RWT1194" s="7"/>
      <c r="RWU1194" s="7"/>
      <c r="RWV1194" s="7"/>
      <c r="RWW1194" s="7"/>
      <c r="RWX1194" s="7"/>
      <c r="RWY1194" s="7"/>
      <c r="RWZ1194" s="7"/>
      <c r="RXA1194" s="7"/>
      <c r="RXB1194" s="7"/>
      <c r="RXC1194" s="7"/>
      <c r="RXD1194" s="7"/>
      <c r="RXE1194" s="7"/>
      <c r="RXF1194" s="7"/>
      <c r="RXG1194" s="7"/>
      <c r="RXH1194" s="7"/>
      <c r="RXI1194" s="7"/>
      <c r="RXJ1194" s="7"/>
      <c r="RXK1194" s="7"/>
      <c r="RXL1194" s="7"/>
      <c r="RXM1194" s="7"/>
      <c r="RXN1194" s="7"/>
      <c r="RXO1194" s="7"/>
      <c r="RXP1194" s="7"/>
      <c r="RXQ1194" s="7"/>
      <c r="RXR1194" s="7"/>
      <c r="RXS1194" s="7"/>
      <c r="RXT1194" s="7"/>
      <c r="RXU1194" s="7"/>
      <c r="RXV1194" s="7"/>
      <c r="RXW1194" s="7"/>
      <c r="RXX1194" s="7"/>
      <c r="RXY1194" s="7"/>
      <c r="RXZ1194" s="7"/>
      <c r="RYA1194" s="7"/>
      <c r="RYB1194" s="7"/>
      <c r="RYC1194" s="7"/>
      <c r="RYD1194" s="7"/>
      <c r="RYE1194" s="7"/>
      <c r="RYF1194" s="7"/>
      <c r="RYG1194" s="7"/>
      <c r="RYH1194" s="7"/>
      <c r="RYI1194" s="7"/>
      <c r="RYJ1194" s="7"/>
      <c r="RYK1194" s="7"/>
      <c r="RYL1194" s="7"/>
      <c r="RYM1194" s="7"/>
      <c r="RYN1194" s="7"/>
      <c r="RYO1194" s="7"/>
      <c r="RYP1194" s="7"/>
      <c r="RYQ1194" s="7"/>
      <c r="RYR1194" s="7"/>
      <c r="RYS1194" s="7"/>
      <c r="RYT1194" s="7"/>
      <c r="RYU1194" s="7"/>
      <c r="RYV1194" s="7"/>
      <c r="RYW1194" s="7"/>
      <c r="RYX1194" s="7"/>
      <c r="RYY1194" s="7"/>
      <c r="RYZ1194" s="7"/>
      <c r="RZA1194" s="7"/>
      <c r="RZB1194" s="7"/>
      <c r="RZC1194" s="7"/>
      <c r="RZD1194" s="7"/>
      <c r="RZE1194" s="7"/>
      <c r="RZF1194" s="7"/>
      <c r="RZG1194" s="7"/>
      <c r="RZH1194" s="7"/>
      <c r="RZI1194" s="7"/>
      <c r="RZJ1194" s="7"/>
      <c r="RZK1194" s="7"/>
      <c r="RZL1194" s="7"/>
      <c r="RZM1194" s="7"/>
      <c r="RZN1194" s="7"/>
      <c r="RZO1194" s="7"/>
      <c r="RZP1194" s="7"/>
      <c r="RZQ1194" s="7"/>
      <c r="RZR1194" s="7"/>
      <c r="RZS1194" s="7"/>
      <c r="RZT1194" s="7"/>
      <c r="RZU1194" s="7"/>
      <c r="RZV1194" s="7"/>
      <c r="RZW1194" s="7"/>
      <c r="RZX1194" s="7"/>
      <c r="RZY1194" s="7"/>
      <c r="RZZ1194" s="7"/>
      <c r="SAA1194" s="7"/>
      <c r="SAB1194" s="7"/>
      <c r="SAC1194" s="7"/>
      <c r="SAD1194" s="7"/>
      <c r="SAE1194" s="7"/>
      <c r="SAF1194" s="7"/>
      <c r="SAG1194" s="7"/>
      <c r="SAH1194" s="7"/>
      <c r="SAI1194" s="7"/>
      <c r="SAJ1194" s="7"/>
      <c r="SAK1194" s="7"/>
      <c r="SAL1194" s="7"/>
      <c r="SAM1194" s="7"/>
      <c r="SAN1194" s="7"/>
      <c r="SAO1194" s="7"/>
      <c r="SAP1194" s="7"/>
      <c r="SAQ1194" s="7"/>
      <c r="SAR1194" s="7"/>
      <c r="SAS1194" s="7"/>
      <c r="SAT1194" s="7"/>
      <c r="SAU1194" s="7"/>
      <c r="SAV1194" s="7"/>
      <c r="SAW1194" s="7"/>
      <c r="SAX1194" s="7"/>
      <c r="SAY1194" s="7"/>
      <c r="SAZ1194" s="7"/>
      <c r="SBA1194" s="7"/>
      <c r="SBB1194" s="7"/>
      <c r="SBC1194" s="7"/>
      <c r="SBD1194" s="7"/>
      <c r="SBE1194" s="7"/>
      <c r="SBF1194" s="7"/>
      <c r="SBG1194" s="7"/>
      <c r="SBH1194" s="7"/>
      <c r="SBI1194" s="7"/>
      <c r="SBJ1194" s="7"/>
      <c r="SBK1194" s="7"/>
      <c r="SBL1194" s="7"/>
      <c r="SBM1194" s="7"/>
      <c r="SBN1194" s="7"/>
      <c r="SBO1194" s="7"/>
      <c r="SBP1194" s="7"/>
      <c r="SBQ1194" s="7"/>
      <c r="SBR1194" s="7"/>
      <c r="SBS1194" s="7"/>
      <c r="SBT1194" s="7"/>
      <c r="SBU1194" s="7"/>
      <c r="SBV1194" s="7"/>
      <c r="SBW1194" s="7"/>
      <c r="SBX1194" s="7"/>
      <c r="SBY1194" s="7"/>
      <c r="SBZ1194" s="7"/>
      <c r="SCA1194" s="7"/>
      <c r="SCB1194" s="7"/>
      <c r="SCC1194" s="7"/>
      <c r="SCD1194" s="7"/>
      <c r="SCE1194" s="7"/>
      <c r="SCF1194" s="7"/>
      <c r="SCG1194" s="7"/>
      <c r="SCH1194" s="7"/>
      <c r="SCI1194" s="7"/>
      <c r="SCJ1194" s="7"/>
      <c r="SCK1194" s="7"/>
      <c r="SCL1194" s="7"/>
      <c r="SCM1194" s="7"/>
      <c r="SCN1194" s="7"/>
      <c r="SCO1194" s="7"/>
      <c r="SCP1194" s="7"/>
      <c r="SCQ1194" s="7"/>
      <c r="SCR1194" s="7"/>
      <c r="SCS1194" s="7"/>
      <c r="SCT1194" s="7"/>
      <c r="SCU1194" s="7"/>
      <c r="SCV1194" s="7"/>
      <c r="SCW1194" s="7"/>
      <c r="SCX1194" s="7"/>
      <c r="SCY1194" s="7"/>
      <c r="SCZ1194" s="7"/>
      <c r="SDA1194" s="7"/>
      <c r="SDB1194" s="7"/>
      <c r="SDC1194" s="7"/>
      <c r="SDD1194" s="7"/>
      <c r="SDE1194" s="7"/>
      <c r="SDF1194" s="7"/>
      <c r="SDG1194" s="7"/>
      <c r="SDH1194" s="7"/>
      <c r="SDI1194" s="7"/>
      <c r="SDJ1194" s="7"/>
      <c r="SDK1194" s="7"/>
      <c r="SDL1194" s="7"/>
      <c r="SDM1194" s="7"/>
      <c r="SDN1194" s="7"/>
      <c r="SDO1194" s="7"/>
      <c r="SDP1194" s="7"/>
      <c r="SDQ1194" s="7"/>
      <c r="SDR1194" s="7"/>
      <c r="SDS1194" s="7"/>
      <c r="SDT1194" s="7"/>
      <c r="SDU1194" s="7"/>
      <c r="SDV1194" s="7"/>
      <c r="SDW1194" s="7"/>
      <c r="SDX1194" s="7"/>
      <c r="SDY1194" s="7"/>
      <c r="SDZ1194" s="7"/>
      <c r="SEA1194" s="7"/>
      <c r="SEB1194" s="7"/>
      <c r="SEC1194" s="7"/>
      <c r="SED1194" s="7"/>
      <c r="SEE1194" s="7"/>
      <c r="SEF1194" s="7"/>
      <c r="SEG1194" s="7"/>
      <c r="SEH1194" s="7"/>
      <c r="SEI1194" s="7"/>
      <c r="SEJ1194" s="7"/>
      <c r="SEK1194" s="7"/>
      <c r="SEL1194" s="7"/>
      <c r="SEM1194" s="7"/>
      <c r="SEN1194" s="7"/>
      <c r="SEO1194" s="7"/>
      <c r="SEP1194" s="7"/>
      <c r="SEQ1194" s="7"/>
      <c r="SER1194" s="7"/>
      <c r="SES1194" s="7"/>
      <c r="SET1194" s="7"/>
      <c r="SEU1194" s="7"/>
      <c r="SEV1194" s="7"/>
      <c r="SEW1194" s="7"/>
      <c r="SEX1194" s="7"/>
      <c r="SEY1194" s="7"/>
      <c r="SEZ1194" s="7"/>
      <c r="SFA1194" s="7"/>
      <c r="SFB1194" s="7"/>
      <c r="SFC1194" s="7"/>
      <c r="SFD1194" s="7"/>
      <c r="SFE1194" s="7"/>
      <c r="SFF1194" s="7"/>
      <c r="SFG1194" s="7"/>
      <c r="SFH1194" s="7"/>
      <c r="SFI1194" s="7"/>
      <c r="SFJ1194" s="7"/>
      <c r="SFK1194" s="7"/>
      <c r="SFL1194" s="7"/>
      <c r="SFM1194" s="7"/>
      <c r="SFN1194" s="7"/>
      <c r="SFO1194" s="7"/>
      <c r="SFP1194" s="7"/>
      <c r="SFQ1194" s="7"/>
      <c r="SFR1194" s="7"/>
      <c r="SFS1194" s="7"/>
      <c r="SFT1194" s="7"/>
      <c r="SFU1194" s="7"/>
      <c r="SFV1194" s="7"/>
      <c r="SFW1194" s="7"/>
      <c r="SFX1194" s="7"/>
      <c r="SFY1194" s="7"/>
      <c r="SFZ1194" s="7"/>
      <c r="SGA1194" s="7"/>
      <c r="SGB1194" s="7"/>
      <c r="SGC1194" s="7"/>
      <c r="SGD1194" s="7"/>
      <c r="SGE1194" s="7"/>
      <c r="SGF1194" s="7"/>
      <c r="SGG1194" s="7"/>
      <c r="SGH1194" s="7"/>
      <c r="SGI1194" s="7"/>
      <c r="SGJ1194" s="7"/>
      <c r="SGK1194" s="7"/>
      <c r="SGL1194" s="7"/>
      <c r="SGM1194" s="7"/>
      <c r="SGN1194" s="7"/>
      <c r="SGO1194" s="7"/>
      <c r="SGP1194" s="7"/>
      <c r="SGQ1194" s="7"/>
      <c r="SGR1194" s="7"/>
      <c r="SGS1194" s="7"/>
      <c r="SGT1194" s="7"/>
      <c r="SGU1194" s="7"/>
      <c r="SGV1194" s="7"/>
      <c r="SGW1194" s="7"/>
      <c r="SGX1194" s="7"/>
      <c r="SGY1194" s="7"/>
      <c r="SGZ1194" s="7"/>
      <c r="SHA1194" s="7"/>
      <c r="SHB1194" s="7"/>
      <c r="SHC1194" s="7"/>
      <c r="SHD1194" s="7"/>
      <c r="SHE1194" s="7"/>
      <c r="SHF1194" s="7"/>
      <c r="SHG1194" s="7"/>
      <c r="SHH1194" s="7"/>
      <c r="SHI1194" s="7"/>
      <c r="SHJ1194" s="7"/>
      <c r="SHK1194" s="7"/>
      <c r="SHL1194" s="7"/>
      <c r="SHM1194" s="7"/>
      <c r="SHN1194" s="7"/>
      <c r="SHO1194" s="7"/>
      <c r="SHP1194" s="7"/>
      <c r="SHQ1194" s="7"/>
      <c r="SHR1194" s="7"/>
      <c r="SHS1194" s="7"/>
      <c r="SHT1194" s="7"/>
      <c r="SHU1194" s="7"/>
      <c r="SHV1194" s="7"/>
      <c r="SHW1194" s="7"/>
      <c r="SHX1194" s="7"/>
      <c r="SHY1194" s="7"/>
      <c r="SHZ1194" s="7"/>
      <c r="SIA1194" s="7"/>
      <c r="SIB1194" s="7"/>
      <c r="SIC1194" s="7"/>
      <c r="SID1194" s="7"/>
      <c r="SIE1194" s="7"/>
      <c r="SIF1194" s="7"/>
      <c r="SIG1194" s="7"/>
      <c r="SIH1194" s="7"/>
      <c r="SII1194" s="7"/>
      <c r="SIJ1194" s="7"/>
      <c r="SIK1194" s="7"/>
      <c r="SIL1194" s="7"/>
      <c r="SIM1194" s="7"/>
      <c r="SIN1194" s="7"/>
      <c r="SIO1194" s="7"/>
      <c r="SIP1194" s="7"/>
      <c r="SIQ1194" s="7"/>
      <c r="SIR1194" s="7"/>
      <c r="SIS1194" s="7"/>
      <c r="SIT1194" s="7"/>
      <c r="SIU1194" s="7"/>
      <c r="SIV1194" s="7"/>
      <c r="SIW1194" s="7"/>
      <c r="SIX1194" s="7"/>
      <c r="SIY1194" s="7"/>
      <c r="SIZ1194" s="7"/>
      <c r="SJA1194" s="7"/>
      <c r="SJB1194" s="7"/>
      <c r="SJC1194" s="7"/>
      <c r="SJD1194" s="7"/>
      <c r="SJE1194" s="7"/>
      <c r="SJF1194" s="7"/>
      <c r="SJG1194" s="7"/>
      <c r="SJH1194" s="7"/>
      <c r="SJI1194" s="7"/>
      <c r="SJJ1194" s="7"/>
      <c r="SJK1194" s="7"/>
      <c r="SJL1194" s="7"/>
      <c r="SJM1194" s="7"/>
      <c r="SJN1194" s="7"/>
      <c r="SJO1194" s="7"/>
      <c r="SJP1194" s="7"/>
      <c r="SJQ1194" s="7"/>
      <c r="SJR1194" s="7"/>
      <c r="SJS1194" s="7"/>
      <c r="SJT1194" s="7"/>
      <c r="SJU1194" s="7"/>
      <c r="SJV1194" s="7"/>
      <c r="SJW1194" s="7"/>
      <c r="SJX1194" s="7"/>
      <c r="SJY1194" s="7"/>
      <c r="SJZ1194" s="7"/>
      <c r="SKA1194" s="7"/>
      <c r="SKB1194" s="7"/>
      <c r="SKC1194" s="7"/>
      <c r="SKD1194" s="7"/>
      <c r="SKE1194" s="7"/>
      <c r="SKF1194" s="7"/>
      <c r="SKG1194" s="7"/>
      <c r="SKH1194" s="7"/>
      <c r="SKI1194" s="7"/>
      <c r="SKJ1194" s="7"/>
      <c r="SKK1194" s="7"/>
      <c r="SKL1194" s="7"/>
      <c r="SKM1194" s="7"/>
      <c r="SKN1194" s="7"/>
      <c r="SKO1194" s="7"/>
      <c r="SKP1194" s="7"/>
      <c r="SKQ1194" s="7"/>
      <c r="SKR1194" s="7"/>
      <c r="SKS1194" s="7"/>
      <c r="SKT1194" s="7"/>
      <c r="SKU1194" s="7"/>
      <c r="SKV1194" s="7"/>
      <c r="SKW1194" s="7"/>
      <c r="SKX1194" s="7"/>
      <c r="SKY1194" s="7"/>
      <c r="SKZ1194" s="7"/>
      <c r="SLA1194" s="7"/>
      <c r="SLB1194" s="7"/>
      <c r="SLC1194" s="7"/>
      <c r="SLD1194" s="7"/>
      <c r="SLE1194" s="7"/>
      <c r="SLF1194" s="7"/>
      <c r="SLG1194" s="7"/>
      <c r="SLH1194" s="7"/>
      <c r="SLI1194" s="7"/>
      <c r="SLJ1194" s="7"/>
      <c r="SLK1194" s="7"/>
      <c r="SLL1194" s="7"/>
      <c r="SLM1194" s="7"/>
      <c r="SLN1194" s="7"/>
      <c r="SLO1194" s="7"/>
      <c r="SLP1194" s="7"/>
      <c r="SLQ1194" s="7"/>
      <c r="SLR1194" s="7"/>
      <c r="SLS1194" s="7"/>
      <c r="SLT1194" s="7"/>
      <c r="SLU1194" s="7"/>
      <c r="SLV1194" s="7"/>
      <c r="SLW1194" s="7"/>
      <c r="SLX1194" s="7"/>
      <c r="SLY1194" s="7"/>
      <c r="SLZ1194" s="7"/>
      <c r="SMA1194" s="7"/>
      <c r="SMB1194" s="7"/>
      <c r="SMC1194" s="7"/>
      <c r="SMD1194" s="7"/>
      <c r="SME1194" s="7"/>
      <c r="SMF1194" s="7"/>
      <c r="SMG1194" s="7"/>
      <c r="SMH1194" s="7"/>
      <c r="SMI1194" s="7"/>
      <c r="SMJ1194" s="7"/>
      <c r="SMK1194" s="7"/>
      <c r="SML1194" s="7"/>
      <c r="SMM1194" s="7"/>
      <c r="SMN1194" s="7"/>
      <c r="SMO1194" s="7"/>
      <c r="SMP1194" s="7"/>
      <c r="SMQ1194" s="7"/>
      <c r="SMR1194" s="7"/>
      <c r="SMS1194" s="7"/>
      <c r="SMT1194" s="7"/>
      <c r="SMU1194" s="7"/>
      <c r="SMV1194" s="7"/>
      <c r="SMW1194" s="7"/>
      <c r="SMX1194" s="7"/>
      <c r="SMY1194" s="7"/>
      <c r="SMZ1194" s="7"/>
      <c r="SNA1194" s="7"/>
      <c r="SNB1194" s="7"/>
      <c r="SNC1194" s="7"/>
      <c r="SND1194" s="7"/>
      <c r="SNE1194" s="7"/>
      <c r="SNF1194" s="7"/>
      <c r="SNG1194" s="7"/>
      <c r="SNH1194" s="7"/>
      <c r="SNI1194" s="7"/>
      <c r="SNJ1194" s="7"/>
      <c r="SNK1194" s="7"/>
      <c r="SNL1194" s="7"/>
      <c r="SNM1194" s="7"/>
      <c r="SNN1194" s="7"/>
      <c r="SNO1194" s="7"/>
      <c r="SNP1194" s="7"/>
      <c r="SNQ1194" s="7"/>
      <c r="SNR1194" s="7"/>
      <c r="SNS1194" s="7"/>
      <c r="SNT1194" s="7"/>
      <c r="SNU1194" s="7"/>
      <c r="SNV1194" s="7"/>
      <c r="SNW1194" s="7"/>
      <c r="SNX1194" s="7"/>
      <c r="SNY1194" s="7"/>
      <c r="SNZ1194" s="7"/>
      <c r="SOA1194" s="7"/>
      <c r="SOB1194" s="7"/>
      <c r="SOC1194" s="7"/>
      <c r="SOD1194" s="7"/>
      <c r="SOE1194" s="7"/>
      <c r="SOF1194" s="7"/>
      <c r="SOG1194" s="7"/>
      <c r="SOH1194" s="7"/>
      <c r="SOI1194" s="7"/>
      <c r="SOJ1194" s="7"/>
      <c r="SOK1194" s="7"/>
      <c r="SOL1194" s="7"/>
      <c r="SOM1194" s="7"/>
      <c r="SON1194" s="7"/>
      <c r="SOO1194" s="7"/>
      <c r="SOP1194" s="7"/>
      <c r="SOQ1194" s="7"/>
      <c r="SOR1194" s="7"/>
      <c r="SOS1194" s="7"/>
      <c r="SOT1194" s="7"/>
      <c r="SOU1194" s="7"/>
      <c r="SOV1194" s="7"/>
      <c r="SOW1194" s="7"/>
      <c r="SOX1194" s="7"/>
      <c r="SOY1194" s="7"/>
      <c r="SOZ1194" s="7"/>
      <c r="SPA1194" s="7"/>
      <c r="SPB1194" s="7"/>
      <c r="SPC1194" s="7"/>
      <c r="SPD1194" s="7"/>
      <c r="SPE1194" s="7"/>
      <c r="SPF1194" s="7"/>
      <c r="SPG1194" s="7"/>
      <c r="SPH1194" s="7"/>
      <c r="SPI1194" s="7"/>
      <c r="SPJ1194" s="7"/>
      <c r="SPK1194" s="7"/>
      <c r="SPL1194" s="7"/>
      <c r="SPM1194" s="7"/>
      <c r="SPN1194" s="7"/>
      <c r="SPO1194" s="7"/>
      <c r="SPP1194" s="7"/>
      <c r="SPQ1194" s="7"/>
      <c r="SPR1194" s="7"/>
      <c r="SPS1194" s="7"/>
      <c r="SPT1194" s="7"/>
      <c r="SPU1194" s="7"/>
      <c r="SPV1194" s="7"/>
      <c r="SPW1194" s="7"/>
      <c r="SPX1194" s="7"/>
      <c r="SPY1194" s="7"/>
      <c r="SPZ1194" s="7"/>
      <c r="SQA1194" s="7"/>
      <c r="SQB1194" s="7"/>
      <c r="SQC1194" s="7"/>
      <c r="SQD1194" s="7"/>
      <c r="SQE1194" s="7"/>
      <c r="SQF1194" s="7"/>
      <c r="SQG1194" s="7"/>
      <c r="SQH1194" s="7"/>
      <c r="SQI1194" s="7"/>
      <c r="SQJ1194" s="7"/>
      <c r="SQK1194" s="7"/>
      <c r="SQL1194" s="7"/>
      <c r="SQM1194" s="7"/>
      <c r="SQN1194" s="7"/>
      <c r="SQO1194" s="7"/>
      <c r="SQP1194" s="7"/>
      <c r="SQQ1194" s="7"/>
      <c r="SQR1194" s="7"/>
      <c r="SQS1194" s="7"/>
      <c r="SQT1194" s="7"/>
      <c r="SQU1194" s="7"/>
      <c r="SQV1194" s="7"/>
      <c r="SQW1194" s="7"/>
      <c r="SQX1194" s="7"/>
      <c r="SQY1194" s="7"/>
      <c r="SQZ1194" s="7"/>
      <c r="SRA1194" s="7"/>
      <c r="SRB1194" s="7"/>
      <c r="SRC1194" s="7"/>
      <c r="SRD1194" s="7"/>
      <c r="SRE1194" s="7"/>
      <c r="SRF1194" s="7"/>
      <c r="SRG1194" s="7"/>
      <c r="SRH1194" s="7"/>
      <c r="SRI1194" s="7"/>
      <c r="SRJ1194" s="7"/>
      <c r="SRK1194" s="7"/>
      <c r="SRL1194" s="7"/>
      <c r="SRM1194" s="7"/>
      <c r="SRN1194" s="7"/>
      <c r="SRO1194" s="7"/>
      <c r="SRP1194" s="7"/>
      <c r="SRQ1194" s="7"/>
      <c r="SRR1194" s="7"/>
      <c r="SRS1194" s="7"/>
      <c r="SRT1194" s="7"/>
      <c r="SRU1194" s="7"/>
      <c r="SRV1194" s="7"/>
      <c r="SRW1194" s="7"/>
      <c r="SRX1194" s="7"/>
      <c r="SRY1194" s="7"/>
      <c r="SRZ1194" s="7"/>
      <c r="SSA1194" s="7"/>
      <c r="SSB1194" s="7"/>
      <c r="SSC1194" s="7"/>
      <c r="SSD1194" s="7"/>
      <c r="SSE1194" s="7"/>
      <c r="SSF1194" s="7"/>
      <c r="SSG1194" s="7"/>
      <c r="SSH1194" s="7"/>
      <c r="SSI1194" s="7"/>
      <c r="SSJ1194" s="7"/>
      <c r="SSK1194" s="7"/>
      <c r="SSL1194" s="7"/>
      <c r="SSM1194" s="7"/>
      <c r="SSN1194" s="7"/>
      <c r="SSO1194" s="7"/>
      <c r="SSP1194" s="7"/>
      <c r="SSQ1194" s="7"/>
      <c r="SSR1194" s="7"/>
      <c r="SSS1194" s="7"/>
      <c r="SST1194" s="7"/>
      <c r="SSU1194" s="7"/>
      <c r="SSV1194" s="7"/>
      <c r="SSW1194" s="7"/>
      <c r="SSX1194" s="7"/>
      <c r="SSY1194" s="7"/>
      <c r="SSZ1194" s="7"/>
      <c r="STA1194" s="7"/>
      <c r="STB1194" s="7"/>
      <c r="STC1194" s="7"/>
      <c r="STD1194" s="7"/>
      <c r="STE1194" s="7"/>
      <c r="STF1194" s="7"/>
      <c r="STG1194" s="7"/>
      <c r="STH1194" s="7"/>
      <c r="STI1194" s="7"/>
      <c r="STJ1194" s="7"/>
      <c r="STK1194" s="7"/>
      <c r="STL1194" s="7"/>
      <c r="STM1194" s="7"/>
      <c r="STN1194" s="7"/>
      <c r="STO1194" s="7"/>
      <c r="STP1194" s="7"/>
      <c r="STQ1194" s="7"/>
      <c r="STR1194" s="7"/>
      <c r="STS1194" s="7"/>
      <c r="STT1194" s="7"/>
      <c r="STU1194" s="7"/>
      <c r="STV1194" s="7"/>
      <c r="STW1194" s="7"/>
      <c r="STX1194" s="7"/>
      <c r="STY1194" s="7"/>
      <c r="STZ1194" s="7"/>
      <c r="SUA1194" s="7"/>
      <c r="SUB1194" s="7"/>
      <c r="SUC1194" s="7"/>
      <c r="SUD1194" s="7"/>
      <c r="SUE1194" s="7"/>
      <c r="SUF1194" s="7"/>
      <c r="SUG1194" s="7"/>
      <c r="SUH1194" s="7"/>
      <c r="SUI1194" s="7"/>
      <c r="SUJ1194" s="7"/>
      <c r="SUK1194" s="7"/>
      <c r="SUL1194" s="7"/>
      <c r="SUM1194" s="7"/>
      <c r="SUN1194" s="7"/>
      <c r="SUO1194" s="7"/>
      <c r="SUP1194" s="7"/>
      <c r="SUQ1194" s="7"/>
      <c r="SUR1194" s="7"/>
      <c r="SUS1194" s="7"/>
      <c r="SUT1194" s="7"/>
      <c r="SUU1194" s="7"/>
      <c r="SUV1194" s="7"/>
      <c r="SUW1194" s="7"/>
      <c r="SUX1194" s="7"/>
      <c r="SUY1194" s="7"/>
      <c r="SUZ1194" s="7"/>
      <c r="SVA1194" s="7"/>
      <c r="SVB1194" s="7"/>
      <c r="SVC1194" s="7"/>
      <c r="SVD1194" s="7"/>
      <c r="SVE1194" s="7"/>
      <c r="SVF1194" s="7"/>
      <c r="SVG1194" s="7"/>
      <c r="SVH1194" s="7"/>
      <c r="SVI1194" s="7"/>
      <c r="SVJ1194" s="7"/>
      <c r="SVK1194" s="7"/>
      <c r="SVL1194" s="7"/>
      <c r="SVM1194" s="7"/>
      <c r="SVN1194" s="7"/>
      <c r="SVO1194" s="7"/>
      <c r="SVP1194" s="7"/>
      <c r="SVQ1194" s="7"/>
      <c r="SVR1194" s="7"/>
      <c r="SVS1194" s="7"/>
      <c r="SVT1194" s="7"/>
      <c r="SVU1194" s="7"/>
      <c r="SVV1194" s="7"/>
      <c r="SVW1194" s="7"/>
      <c r="SVX1194" s="7"/>
      <c r="SVY1194" s="7"/>
      <c r="SVZ1194" s="7"/>
      <c r="SWA1194" s="7"/>
      <c r="SWB1194" s="7"/>
      <c r="SWC1194" s="7"/>
      <c r="SWD1194" s="7"/>
      <c r="SWE1194" s="7"/>
      <c r="SWF1194" s="7"/>
      <c r="SWG1194" s="7"/>
      <c r="SWH1194" s="7"/>
      <c r="SWI1194" s="7"/>
      <c r="SWJ1194" s="7"/>
      <c r="SWK1194" s="7"/>
      <c r="SWL1194" s="7"/>
      <c r="SWM1194" s="7"/>
      <c r="SWN1194" s="7"/>
      <c r="SWO1194" s="7"/>
      <c r="SWP1194" s="7"/>
      <c r="SWQ1194" s="7"/>
      <c r="SWR1194" s="7"/>
      <c r="SWS1194" s="7"/>
      <c r="SWT1194" s="7"/>
      <c r="SWU1194" s="7"/>
      <c r="SWV1194" s="7"/>
      <c r="SWW1194" s="7"/>
      <c r="SWX1194" s="7"/>
      <c r="SWY1194" s="7"/>
      <c r="SWZ1194" s="7"/>
      <c r="SXA1194" s="7"/>
      <c r="SXB1194" s="7"/>
      <c r="SXC1194" s="7"/>
      <c r="SXD1194" s="7"/>
      <c r="SXE1194" s="7"/>
      <c r="SXF1194" s="7"/>
      <c r="SXG1194" s="7"/>
      <c r="SXH1194" s="7"/>
      <c r="SXI1194" s="7"/>
      <c r="SXJ1194" s="7"/>
      <c r="SXK1194" s="7"/>
      <c r="SXL1194" s="7"/>
      <c r="SXM1194" s="7"/>
      <c r="SXN1194" s="7"/>
      <c r="SXO1194" s="7"/>
      <c r="SXP1194" s="7"/>
      <c r="SXQ1194" s="7"/>
      <c r="SXR1194" s="7"/>
      <c r="SXS1194" s="7"/>
      <c r="SXT1194" s="7"/>
      <c r="SXU1194" s="7"/>
      <c r="SXV1194" s="7"/>
      <c r="SXW1194" s="7"/>
      <c r="SXX1194" s="7"/>
      <c r="SXY1194" s="7"/>
      <c r="SXZ1194" s="7"/>
      <c r="SYA1194" s="7"/>
      <c r="SYB1194" s="7"/>
      <c r="SYC1194" s="7"/>
      <c r="SYD1194" s="7"/>
      <c r="SYE1194" s="7"/>
      <c r="SYF1194" s="7"/>
      <c r="SYG1194" s="7"/>
      <c r="SYH1194" s="7"/>
      <c r="SYI1194" s="7"/>
      <c r="SYJ1194" s="7"/>
      <c r="SYK1194" s="7"/>
      <c r="SYL1194" s="7"/>
      <c r="SYM1194" s="7"/>
      <c r="SYN1194" s="7"/>
      <c r="SYO1194" s="7"/>
      <c r="SYP1194" s="7"/>
      <c r="SYQ1194" s="7"/>
      <c r="SYR1194" s="7"/>
      <c r="SYS1194" s="7"/>
      <c r="SYT1194" s="7"/>
      <c r="SYU1194" s="7"/>
      <c r="SYV1194" s="7"/>
      <c r="SYW1194" s="7"/>
      <c r="SYX1194" s="7"/>
      <c r="SYY1194" s="7"/>
      <c r="SYZ1194" s="7"/>
      <c r="SZA1194" s="7"/>
      <c r="SZB1194" s="7"/>
      <c r="SZC1194" s="7"/>
      <c r="SZD1194" s="7"/>
      <c r="SZE1194" s="7"/>
      <c r="SZF1194" s="7"/>
      <c r="SZG1194" s="7"/>
      <c r="SZH1194" s="7"/>
      <c r="SZI1194" s="7"/>
      <c r="SZJ1194" s="7"/>
      <c r="SZK1194" s="7"/>
      <c r="SZL1194" s="7"/>
      <c r="SZM1194" s="7"/>
      <c r="SZN1194" s="7"/>
      <c r="SZO1194" s="7"/>
      <c r="SZP1194" s="7"/>
      <c r="SZQ1194" s="7"/>
      <c r="SZR1194" s="7"/>
      <c r="SZS1194" s="7"/>
      <c r="SZT1194" s="7"/>
      <c r="SZU1194" s="7"/>
      <c r="SZV1194" s="7"/>
      <c r="SZW1194" s="7"/>
      <c r="SZX1194" s="7"/>
      <c r="SZY1194" s="7"/>
      <c r="SZZ1194" s="7"/>
      <c r="TAA1194" s="7"/>
      <c r="TAB1194" s="7"/>
      <c r="TAC1194" s="7"/>
      <c r="TAD1194" s="7"/>
      <c r="TAE1194" s="7"/>
      <c r="TAF1194" s="7"/>
      <c r="TAG1194" s="7"/>
      <c r="TAH1194" s="7"/>
      <c r="TAI1194" s="7"/>
      <c r="TAJ1194" s="7"/>
      <c r="TAK1194" s="7"/>
      <c r="TAL1194" s="7"/>
      <c r="TAM1194" s="7"/>
      <c r="TAN1194" s="7"/>
      <c r="TAO1194" s="7"/>
      <c r="TAP1194" s="7"/>
      <c r="TAQ1194" s="7"/>
      <c r="TAR1194" s="7"/>
      <c r="TAS1194" s="7"/>
      <c r="TAT1194" s="7"/>
      <c r="TAU1194" s="7"/>
      <c r="TAV1194" s="7"/>
      <c r="TAW1194" s="7"/>
      <c r="TAX1194" s="7"/>
      <c r="TAY1194" s="7"/>
      <c r="TAZ1194" s="7"/>
      <c r="TBA1194" s="7"/>
      <c r="TBB1194" s="7"/>
      <c r="TBC1194" s="7"/>
      <c r="TBD1194" s="7"/>
      <c r="TBE1194" s="7"/>
      <c r="TBF1194" s="7"/>
      <c r="TBG1194" s="7"/>
      <c r="TBH1194" s="7"/>
      <c r="TBI1194" s="7"/>
      <c r="TBJ1194" s="7"/>
      <c r="TBK1194" s="7"/>
      <c r="TBL1194" s="7"/>
      <c r="TBM1194" s="7"/>
      <c r="TBN1194" s="7"/>
      <c r="TBO1194" s="7"/>
      <c r="TBP1194" s="7"/>
      <c r="TBQ1194" s="7"/>
      <c r="TBR1194" s="7"/>
      <c r="TBS1194" s="7"/>
      <c r="TBT1194" s="7"/>
      <c r="TBU1194" s="7"/>
      <c r="TBV1194" s="7"/>
      <c r="TBW1194" s="7"/>
      <c r="TBX1194" s="7"/>
      <c r="TBY1194" s="7"/>
      <c r="TBZ1194" s="7"/>
      <c r="TCA1194" s="7"/>
      <c r="TCB1194" s="7"/>
      <c r="TCC1194" s="7"/>
      <c r="TCD1194" s="7"/>
      <c r="TCE1194" s="7"/>
      <c r="TCF1194" s="7"/>
      <c r="TCG1194" s="7"/>
      <c r="TCH1194" s="7"/>
      <c r="TCI1194" s="7"/>
      <c r="TCJ1194" s="7"/>
      <c r="TCK1194" s="7"/>
      <c r="TCL1194" s="7"/>
      <c r="TCM1194" s="7"/>
      <c r="TCN1194" s="7"/>
      <c r="TCO1194" s="7"/>
      <c r="TCP1194" s="7"/>
      <c r="TCQ1194" s="7"/>
      <c r="TCR1194" s="7"/>
      <c r="TCS1194" s="7"/>
      <c r="TCT1194" s="7"/>
      <c r="TCU1194" s="7"/>
      <c r="TCV1194" s="7"/>
      <c r="TCW1194" s="7"/>
      <c r="TCX1194" s="7"/>
      <c r="TCY1194" s="7"/>
      <c r="TCZ1194" s="7"/>
      <c r="TDA1194" s="7"/>
      <c r="TDB1194" s="7"/>
      <c r="TDC1194" s="7"/>
      <c r="TDD1194" s="7"/>
      <c r="TDE1194" s="7"/>
      <c r="TDF1194" s="7"/>
      <c r="TDG1194" s="7"/>
      <c r="TDH1194" s="7"/>
      <c r="TDI1194" s="7"/>
      <c r="TDJ1194" s="7"/>
      <c r="TDK1194" s="7"/>
      <c r="TDL1194" s="7"/>
      <c r="TDM1194" s="7"/>
      <c r="TDN1194" s="7"/>
      <c r="TDO1194" s="7"/>
      <c r="TDP1194" s="7"/>
      <c r="TDQ1194" s="7"/>
      <c r="TDR1194" s="7"/>
      <c r="TDS1194" s="7"/>
      <c r="TDT1194" s="7"/>
      <c r="TDU1194" s="7"/>
      <c r="TDV1194" s="7"/>
      <c r="TDW1194" s="7"/>
      <c r="TDX1194" s="7"/>
      <c r="TDY1194" s="7"/>
      <c r="TDZ1194" s="7"/>
      <c r="TEA1194" s="7"/>
      <c r="TEB1194" s="7"/>
      <c r="TEC1194" s="7"/>
      <c r="TED1194" s="7"/>
      <c r="TEE1194" s="7"/>
      <c r="TEF1194" s="7"/>
      <c r="TEG1194" s="7"/>
      <c r="TEH1194" s="7"/>
      <c r="TEI1194" s="7"/>
      <c r="TEJ1194" s="7"/>
      <c r="TEK1194" s="7"/>
      <c r="TEL1194" s="7"/>
      <c r="TEM1194" s="7"/>
      <c r="TEN1194" s="7"/>
      <c r="TEO1194" s="7"/>
      <c r="TEP1194" s="7"/>
      <c r="TEQ1194" s="7"/>
      <c r="TER1194" s="7"/>
      <c r="TES1194" s="7"/>
      <c r="TET1194" s="7"/>
      <c r="TEU1194" s="7"/>
      <c r="TEV1194" s="7"/>
      <c r="TEW1194" s="7"/>
      <c r="TEX1194" s="7"/>
      <c r="TEY1194" s="7"/>
      <c r="TEZ1194" s="7"/>
      <c r="TFA1194" s="7"/>
      <c r="TFB1194" s="7"/>
      <c r="TFC1194" s="7"/>
      <c r="TFD1194" s="7"/>
      <c r="TFE1194" s="7"/>
      <c r="TFF1194" s="7"/>
      <c r="TFG1194" s="7"/>
      <c r="TFH1194" s="7"/>
      <c r="TFI1194" s="7"/>
      <c r="TFJ1194" s="7"/>
      <c r="TFK1194" s="7"/>
      <c r="TFL1194" s="7"/>
      <c r="TFM1194" s="7"/>
      <c r="TFN1194" s="7"/>
      <c r="TFO1194" s="7"/>
      <c r="TFP1194" s="7"/>
      <c r="TFQ1194" s="7"/>
      <c r="TFR1194" s="7"/>
      <c r="TFS1194" s="7"/>
      <c r="TFT1194" s="7"/>
      <c r="TFU1194" s="7"/>
      <c r="TFV1194" s="7"/>
      <c r="TFW1194" s="7"/>
      <c r="TFX1194" s="7"/>
      <c r="TFY1194" s="7"/>
      <c r="TFZ1194" s="7"/>
      <c r="TGA1194" s="7"/>
      <c r="TGB1194" s="7"/>
      <c r="TGC1194" s="7"/>
      <c r="TGD1194" s="7"/>
      <c r="TGE1194" s="7"/>
      <c r="TGF1194" s="7"/>
      <c r="TGG1194" s="7"/>
      <c r="TGH1194" s="7"/>
      <c r="TGI1194" s="7"/>
      <c r="TGJ1194" s="7"/>
      <c r="TGK1194" s="7"/>
      <c r="TGL1194" s="7"/>
      <c r="TGM1194" s="7"/>
      <c r="TGN1194" s="7"/>
      <c r="TGO1194" s="7"/>
      <c r="TGP1194" s="7"/>
      <c r="TGQ1194" s="7"/>
      <c r="TGR1194" s="7"/>
      <c r="TGS1194" s="7"/>
      <c r="TGT1194" s="7"/>
      <c r="TGU1194" s="7"/>
      <c r="TGV1194" s="7"/>
      <c r="TGW1194" s="7"/>
      <c r="TGX1194" s="7"/>
      <c r="TGY1194" s="7"/>
      <c r="TGZ1194" s="7"/>
      <c r="THA1194" s="7"/>
      <c r="THB1194" s="7"/>
      <c r="THC1194" s="7"/>
      <c r="THD1194" s="7"/>
      <c r="THE1194" s="7"/>
      <c r="THF1194" s="7"/>
      <c r="THG1194" s="7"/>
      <c r="THH1194" s="7"/>
      <c r="THI1194" s="7"/>
      <c r="THJ1194" s="7"/>
      <c r="THK1194" s="7"/>
      <c r="THL1194" s="7"/>
      <c r="THM1194" s="7"/>
      <c r="THN1194" s="7"/>
      <c r="THO1194" s="7"/>
      <c r="THP1194" s="7"/>
      <c r="THQ1194" s="7"/>
      <c r="THR1194" s="7"/>
      <c r="THS1194" s="7"/>
      <c r="THT1194" s="7"/>
      <c r="THU1194" s="7"/>
      <c r="THV1194" s="7"/>
      <c r="THW1194" s="7"/>
      <c r="THX1194" s="7"/>
      <c r="THY1194" s="7"/>
      <c r="THZ1194" s="7"/>
      <c r="TIA1194" s="7"/>
      <c r="TIB1194" s="7"/>
      <c r="TIC1194" s="7"/>
      <c r="TID1194" s="7"/>
      <c r="TIE1194" s="7"/>
      <c r="TIF1194" s="7"/>
      <c r="TIG1194" s="7"/>
      <c r="TIH1194" s="7"/>
      <c r="TII1194" s="7"/>
      <c r="TIJ1194" s="7"/>
      <c r="TIK1194" s="7"/>
      <c r="TIL1194" s="7"/>
      <c r="TIM1194" s="7"/>
      <c r="TIN1194" s="7"/>
      <c r="TIO1194" s="7"/>
      <c r="TIP1194" s="7"/>
      <c r="TIQ1194" s="7"/>
      <c r="TIR1194" s="7"/>
      <c r="TIS1194" s="7"/>
      <c r="TIT1194" s="7"/>
      <c r="TIU1194" s="7"/>
      <c r="TIV1194" s="7"/>
      <c r="TIW1194" s="7"/>
      <c r="TIX1194" s="7"/>
      <c r="TIY1194" s="7"/>
      <c r="TIZ1194" s="7"/>
      <c r="TJA1194" s="7"/>
      <c r="TJB1194" s="7"/>
      <c r="TJC1194" s="7"/>
      <c r="TJD1194" s="7"/>
      <c r="TJE1194" s="7"/>
      <c r="TJF1194" s="7"/>
      <c r="TJG1194" s="7"/>
      <c r="TJH1194" s="7"/>
      <c r="TJI1194" s="7"/>
      <c r="TJJ1194" s="7"/>
      <c r="TJK1194" s="7"/>
      <c r="TJL1194" s="7"/>
      <c r="TJM1194" s="7"/>
      <c r="TJN1194" s="7"/>
      <c r="TJO1194" s="7"/>
      <c r="TJP1194" s="7"/>
      <c r="TJQ1194" s="7"/>
      <c r="TJR1194" s="7"/>
      <c r="TJS1194" s="7"/>
      <c r="TJT1194" s="7"/>
      <c r="TJU1194" s="7"/>
      <c r="TJV1194" s="7"/>
      <c r="TJW1194" s="7"/>
      <c r="TJX1194" s="7"/>
      <c r="TJY1194" s="7"/>
      <c r="TJZ1194" s="7"/>
      <c r="TKA1194" s="7"/>
      <c r="TKB1194" s="7"/>
      <c r="TKC1194" s="7"/>
      <c r="TKD1194" s="7"/>
      <c r="TKE1194" s="7"/>
      <c r="TKF1194" s="7"/>
      <c r="TKG1194" s="7"/>
      <c r="TKH1194" s="7"/>
      <c r="TKI1194" s="7"/>
      <c r="TKJ1194" s="7"/>
      <c r="TKK1194" s="7"/>
      <c r="TKL1194" s="7"/>
      <c r="TKM1194" s="7"/>
      <c r="TKN1194" s="7"/>
      <c r="TKO1194" s="7"/>
      <c r="TKP1194" s="7"/>
      <c r="TKQ1194" s="7"/>
      <c r="TKR1194" s="7"/>
      <c r="TKS1194" s="7"/>
      <c r="TKT1194" s="7"/>
      <c r="TKU1194" s="7"/>
      <c r="TKV1194" s="7"/>
      <c r="TKW1194" s="7"/>
      <c r="TKX1194" s="7"/>
      <c r="TKY1194" s="7"/>
      <c r="TKZ1194" s="7"/>
      <c r="TLA1194" s="7"/>
      <c r="TLB1194" s="7"/>
      <c r="TLC1194" s="7"/>
      <c r="TLD1194" s="7"/>
      <c r="TLE1194" s="7"/>
      <c r="TLF1194" s="7"/>
      <c r="TLG1194" s="7"/>
      <c r="TLH1194" s="7"/>
      <c r="TLI1194" s="7"/>
      <c r="TLJ1194" s="7"/>
      <c r="TLK1194" s="7"/>
      <c r="TLL1194" s="7"/>
      <c r="TLM1194" s="7"/>
      <c r="TLN1194" s="7"/>
      <c r="TLO1194" s="7"/>
      <c r="TLP1194" s="7"/>
      <c r="TLQ1194" s="7"/>
      <c r="TLR1194" s="7"/>
      <c r="TLS1194" s="7"/>
      <c r="TLT1194" s="7"/>
      <c r="TLU1194" s="7"/>
      <c r="TLV1194" s="7"/>
      <c r="TLW1194" s="7"/>
      <c r="TLX1194" s="7"/>
      <c r="TLY1194" s="7"/>
      <c r="TLZ1194" s="7"/>
      <c r="TMA1194" s="7"/>
      <c r="TMB1194" s="7"/>
      <c r="TMC1194" s="7"/>
      <c r="TMD1194" s="7"/>
      <c r="TME1194" s="7"/>
      <c r="TMF1194" s="7"/>
      <c r="TMG1194" s="7"/>
      <c r="TMH1194" s="7"/>
      <c r="TMI1194" s="7"/>
      <c r="TMJ1194" s="7"/>
      <c r="TMK1194" s="7"/>
      <c r="TML1194" s="7"/>
      <c r="TMM1194" s="7"/>
      <c r="TMN1194" s="7"/>
      <c r="TMO1194" s="7"/>
      <c r="TMP1194" s="7"/>
      <c r="TMQ1194" s="7"/>
      <c r="TMR1194" s="7"/>
      <c r="TMS1194" s="7"/>
      <c r="TMT1194" s="7"/>
      <c r="TMU1194" s="7"/>
      <c r="TMV1194" s="7"/>
      <c r="TMW1194" s="7"/>
      <c r="TMX1194" s="7"/>
      <c r="TMY1194" s="7"/>
      <c r="TMZ1194" s="7"/>
      <c r="TNA1194" s="7"/>
      <c r="TNB1194" s="7"/>
      <c r="TNC1194" s="7"/>
      <c r="TND1194" s="7"/>
      <c r="TNE1194" s="7"/>
      <c r="TNF1194" s="7"/>
      <c r="TNG1194" s="7"/>
      <c r="TNH1194" s="7"/>
      <c r="TNI1194" s="7"/>
      <c r="TNJ1194" s="7"/>
      <c r="TNK1194" s="7"/>
      <c r="TNL1194" s="7"/>
      <c r="TNM1194" s="7"/>
      <c r="TNN1194" s="7"/>
      <c r="TNO1194" s="7"/>
      <c r="TNP1194" s="7"/>
      <c r="TNQ1194" s="7"/>
      <c r="TNR1194" s="7"/>
      <c r="TNS1194" s="7"/>
      <c r="TNT1194" s="7"/>
      <c r="TNU1194" s="7"/>
      <c r="TNV1194" s="7"/>
      <c r="TNW1194" s="7"/>
      <c r="TNX1194" s="7"/>
      <c r="TNY1194" s="7"/>
      <c r="TNZ1194" s="7"/>
      <c r="TOA1194" s="7"/>
      <c r="TOB1194" s="7"/>
      <c r="TOC1194" s="7"/>
      <c r="TOD1194" s="7"/>
      <c r="TOE1194" s="7"/>
      <c r="TOF1194" s="7"/>
      <c r="TOG1194" s="7"/>
      <c r="TOH1194" s="7"/>
      <c r="TOI1194" s="7"/>
      <c r="TOJ1194" s="7"/>
      <c r="TOK1194" s="7"/>
      <c r="TOL1194" s="7"/>
      <c r="TOM1194" s="7"/>
      <c r="TON1194" s="7"/>
      <c r="TOO1194" s="7"/>
      <c r="TOP1194" s="7"/>
      <c r="TOQ1194" s="7"/>
      <c r="TOR1194" s="7"/>
      <c r="TOS1194" s="7"/>
      <c r="TOT1194" s="7"/>
      <c r="TOU1194" s="7"/>
      <c r="TOV1194" s="7"/>
      <c r="TOW1194" s="7"/>
      <c r="TOX1194" s="7"/>
      <c r="TOY1194" s="7"/>
      <c r="TOZ1194" s="7"/>
      <c r="TPA1194" s="7"/>
      <c r="TPB1194" s="7"/>
      <c r="TPC1194" s="7"/>
      <c r="TPD1194" s="7"/>
      <c r="TPE1194" s="7"/>
      <c r="TPF1194" s="7"/>
      <c r="TPG1194" s="7"/>
      <c r="TPH1194" s="7"/>
      <c r="TPI1194" s="7"/>
      <c r="TPJ1194" s="7"/>
      <c r="TPK1194" s="7"/>
      <c r="TPL1194" s="7"/>
      <c r="TPM1194" s="7"/>
      <c r="TPN1194" s="7"/>
      <c r="TPO1194" s="7"/>
      <c r="TPP1194" s="7"/>
      <c r="TPQ1194" s="7"/>
      <c r="TPR1194" s="7"/>
      <c r="TPS1194" s="7"/>
      <c r="TPT1194" s="7"/>
      <c r="TPU1194" s="7"/>
      <c r="TPV1194" s="7"/>
      <c r="TPW1194" s="7"/>
      <c r="TPX1194" s="7"/>
      <c r="TPY1194" s="7"/>
      <c r="TPZ1194" s="7"/>
      <c r="TQA1194" s="7"/>
      <c r="TQB1194" s="7"/>
      <c r="TQC1194" s="7"/>
      <c r="TQD1194" s="7"/>
      <c r="TQE1194" s="7"/>
      <c r="TQF1194" s="7"/>
      <c r="TQG1194" s="7"/>
      <c r="TQH1194" s="7"/>
      <c r="TQI1194" s="7"/>
      <c r="TQJ1194" s="7"/>
      <c r="TQK1194" s="7"/>
      <c r="TQL1194" s="7"/>
      <c r="TQM1194" s="7"/>
      <c r="TQN1194" s="7"/>
      <c r="TQO1194" s="7"/>
      <c r="TQP1194" s="7"/>
      <c r="TQQ1194" s="7"/>
      <c r="TQR1194" s="7"/>
      <c r="TQS1194" s="7"/>
      <c r="TQT1194" s="7"/>
      <c r="TQU1194" s="7"/>
      <c r="TQV1194" s="7"/>
      <c r="TQW1194" s="7"/>
      <c r="TQX1194" s="7"/>
      <c r="TQY1194" s="7"/>
      <c r="TQZ1194" s="7"/>
      <c r="TRA1194" s="7"/>
      <c r="TRB1194" s="7"/>
      <c r="TRC1194" s="7"/>
      <c r="TRD1194" s="7"/>
      <c r="TRE1194" s="7"/>
      <c r="TRF1194" s="7"/>
      <c r="TRG1194" s="7"/>
      <c r="TRH1194" s="7"/>
      <c r="TRI1194" s="7"/>
      <c r="TRJ1194" s="7"/>
      <c r="TRK1194" s="7"/>
      <c r="TRL1194" s="7"/>
      <c r="TRM1194" s="7"/>
      <c r="TRN1194" s="7"/>
      <c r="TRO1194" s="7"/>
      <c r="TRP1194" s="7"/>
      <c r="TRQ1194" s="7"/>
      <c r="TRR1194" s="7"/>
      <c r="TRS1194" s="7"/>
      <c r="TRT1194" s="7"/>
      <c r="TRU1194" s="7"/>
      <c r="TRV1194" s="7"/>
      <c r="TRW1194" s="7"/>
      <c r="TRX1194" s="7"/>
      <c r="TRY1194" s="7"/>
      <c r="TRZ1194" s="7"/>
      <c r="TSA1194" s="7"/>
      <c r="TSB1194" s="7"/>
      <c r="TSC1194" s="7"/>
      <c r="TSD1194" s="7"/>
      <c r="TSE1194" s="7"/>
      <c r="TSF1194" s="7"/>
      <c r="TSG1194" s="7"/>
      <c r="TSH1194" s="7"/>
      <c r="TSI1194" s="7"/>
      <c r="TSJ1194" s="7"/>
      <c r="TSK1194" s="7"/>
      <c r="TSL1194" s="7"/>
      <c r="TSM1194" s="7"/>
      <c r="TSN1194" s="7"/>
      <c r="TSO1194" s="7"/>
      <c r="TSP1194" s="7"/>
      <c r="TSQ1194" s="7"/>
      <c r="TSR1194" s="7"/>
      <c r="TSS1194" s="7"/>
      <c r="TST1194" s="7"/>
      <c r="TSU1194" s="7"/>
      <c r="TSV1194" s="7"/>
      <c r="TSW1194" s="7"/>
      <c r="TSX1194" s="7"/>
      <c r="TSY1194" s="7"/>
      <c r="TSZ1194" s="7"/>
      <c r="TTA1194" s="7"/>
      <c r="TTB1194" s="7"/>
      <c r="TTC1194" s="7"/>
      <c r="TTD1194" s="7"/>
      <c r="TTE1194" s="7"/>
      <c r="TTF1194" s="7"/>
      <c r="TTG1194" s="7"/>
      <c r="TTH1194" s="7"/>
      <c r="TTI1194" s="7"/>
      <c r="TTJ1194" s="7"/>
      <c r="TTK1194" s="7"/>
      <c r="TTL1194" s="7"/>
      <c r="TTM1194" s="7"/>
      <c r="TTN1194" s="7"/>
      <c r="TTO1194" s="7"/>
      <c r="TTP1194" s="7"/>
      <c r="TTQ1194" s="7"/>
      <c r="TTR1194" s="7"/>
      <c r="TTS1194" s="7"/>
      <c r="TTT1194" s="7"/>
      <c r="TTU1194" s="7"/>
      <c r="TTV1194" s="7"/>
      <c r="TTW1194" s="7"/>
      <c r="TTX1194" s="7"/>
      <c r="TTY1194" s="7"/>
      <c r="TTZ1194" s="7"/>
      <c r="TUA1194" s="7"/>
      <c r="TUB1194" s="7"/>
      <c r="TUC1194" s="7"/>
      <c r="TUD1194" s="7"/>
      <c r="TUE1194" s="7"/>
      <c r="TUF1194" s="7"/>
      <c r="TUG1194" s="7"/>
      <c r="TUH1194" s="7"/>
      <c r="TUI1194" s="7"/>
      <c r="TUJ1194" s="7"/>
      <c r="TUK1194" s="7"/>
      <c r="TUL1194" s="7"/>
      <c r="TUM1194" s="7"/>
      <c r="TUN1194" s="7"/>
      <c r="TUO1194" s="7"/>
      <c r="TUP1194" s="7"/>
      <c r="TUQ1194" s="7"/>
      <c r="TUR1194" s="7"/>
      <c r="TUS1194" s="7"/>
      <c r="TUT1194" s="7"/>
      <c r="TUU1194" s="7"/>
      <c r="TUV1194" s="7"/>
      <c r="TUW1194" s="7"/>
      <c r="TUX1194" s="7"/>
      <c r="TUY1194" s="7"/>
      <c r="TUZ1194" s="7"/>
      <c r="TVA1194" s="7"/>
      <c r="TVB1194" s="7"/>
      <c r="TVC1194" s="7"/>
      <c r="TVD1194" s="7"/>
      <c r="TVE1194" s="7"/>
      <c r="TVF1194" s="7"/>
      <c r="TVG1194" s="7"/>
      <c r="TVH1194" s="7"/>
      <c r="TVI1194" s="7"/>
      <c r="TVJ1194" s="7"/>
      <c r="TVK1194" s="7"/>
      <c r="TVL1194" s="7"/>
      <c r="TVM1194" s="7"/>
      <c r="TVN1194" s="7"/>
      <c r="TVO1194" s="7"/>
      <c r="TVP1194" s="7"/>
      <c r="TVQ1194" s="7"/>
      <c r="TVR1194" s="7"/>
      <c r="TVS1194" s="7"/>
      <c r="TVT1194" s="7"/>
      <c r="TVU1194" s="7"/>
      <c r="TVV1194" s="7"/>
      <c r="TVW1194" s="7"/>
      <c r="TVX1194" s="7"/>
      <c r="TVY1194" s="7"/>
      <c r="TVZ1194" s="7"/>
      <c r="TWA1194" s="7"/>
      <c r="TWB1194" s="7"/>
      <c r="TWC1194" s="7"/>
      <c r="TWD1194" s="7"/>
      <c r="TWE1194" s="7"/>
      <c r="TWF1194" s="7"/>
      <c r="TWG1194" s="7"/>
      <c r="TWH1194" s="7"/>
      <c r="TWI1194" s="7"/>
      <c r="TWJ1194" s="7"/>
      <c r="TWK1194" s="7"/>
      <c r="TWL1194" s="7"/>
      <c r="TWM1194" s="7"/>
      <c r="TWN1194" s="7"/>
      <c r="TWO1194" s="7"/>
      <c r="TWP1194" s="7"/>
      <c r="TWQ1194" s="7"/>
      <c r="TWR1194" s="7"/>
      <c r="TWS1194" s="7"/>
      <c r="TWT1194" s="7"/>
      <c r="TWU1194" s="7"/>
      <c r="TWV1194" s="7"/>
      <c r="TWW1194" s="7"/>
      <c r="TWX1194" s="7"/>
      <c r="TWY1194" s="7"/>
      <c r="TWZ1194" s="7"/>
      <c r="TXA1194" s="7"/>
      <c r="TXB1194" s="7"/>
      <c r="TXC1194" s="7"/>
      <c r="TXD1194" s="7"/>
      <c r="TXE1194" s="7"/>
      <c r="TXF1194" s="7"/>
      <c r="TXG1194" s="7"/>
      <c r="TXH1194" s="7"/>
      <c r="TXI1194" s="7"/>
      <c r="TXJ1194" s="7"/>
      <c r="TXK1194" s="7"/>
      <c r="TXL1194" s="7"/>
      <c r="TXM1194" s="7"/>
      <c r="TXN1194" s="7"/>
      <c r="TXO1194" s="7"/>
      <c r="TXP1194" s="7"/>
      <c r="TXQ1194" s="7"/>
      <c r="TXR1194" s="7"/>
      <c r="TXS1194" s="7"/>
      <c r="TXT1194" s="7"/>
      <c r="TXU1194" s="7"/>
      <c r="TXV1194" s="7"/>
      <c r="TXW1194" s="7"/>
      <c r="TXX1194" s="7"/>
      <c r="TXY1194" s="7"/>
      <c r="TXZ1194" s="7"/>
      <c r="TYA1194" s="7"/>
      <c r="TYB1194" s="7"/>
      <c r="TYC1194" s="7"/>
      <c r="TYD1194" s="7"/>
      <c r="TYE1194" s="7"/>
      <c r="TYF1194" s="7"/>
      <c r="TYG1194" s="7"/>
      <c r="TYH1194" s="7"/>
      <c r="TYI1194" s="7"/>
      <c r="TYJ1194" s="7"/>
      <c r="TYK1194" s="7"/>
      <c r="TYL1194" s="7"/>
      <c r="TYM1194" s="7"/>
      <c r="TYN1194" s="7"/>
      <c r="TYO1194" s="7"/>
      <c r="TYP1194" s="7"/>
      <c r="TYQ1194" s="7"/>
      <c r="TYR1194" s="7"/>
      <c r="TYS1194" s="7"/>
      <c r="TYT1194" s="7"/>
      <c r="TYU1194" s="7"/>
      <c r="TYV1194" s="7"/>
      <c r="TYW1194" s="7"/>
      <c r="TYX1194" s="7"/>
      <c r="TYY1194" s="7"/>
      <c r="TYZ1194" s="7"/>
      <c r="TZA1194" s="7"/>
      <c r="TZB1194" s="7"/>
      <c r="TZC1194" s="7"/>
      <c r="TZD1194" s="7"/>
      <c r="TZE1194" s="7"/>
      <c r="TZF1194" s="7"/>
      <c r="TZG1194" s="7"/>
      <c r="TZH1194" s="7"/>
      <c r="TZI1194" s="7"/>
      <c r="TZJ1194" s="7"/>
      <c r="TZK1194" s="7"/>
      <c r="TZL1194" s="7"/>
      <c r="TZM1194" s="7"/>
      <c r="TZN1194" s="7"/>
      <c r="TZO1194" s="7"/>
      <c r="TZP1194" s="7"/>
      <c r="TZQ1194" s="7"/>
      <c r="TZR1194" s="7"/>
      <c r="TZS1194" s="7"/>
      <c r="TZT1194" s="7"/>
      <c r="TZU1194" s="7"/>
      <c r="TZV1194" s="7"/>
      <c r="TZW1194" s="7"/>
      <c r="TZX1194" s="7"/>
      <c r="TZY1194" s="7"/>
      <c r="TZZ1194" s="7"/>
      <c r="UAA1194" s="7"/>
      <c r="UAB1194" s="7"/>
      <c r="UAC1194" s="7"/>
      <c r="UAD1194" s="7"/>
      <c r="UAE1194" s="7"/>
      <c r="UAF1194" s="7"/>
      <c r="UAG1194" s="7"/>
      <c r="UAH1194" s="7"/>
      <c r="UAI1194" s="7"/>
      <c r="UAJ1194" s="7"/>
      <c r="UAK1194" s="7"/>
      <c r="UAL1194" s="7"/>
      <c r="UAM1194" s="7"/>
      <c r="UAN1194" s="7"/>
      <c r="UAO1194" s="7"/>
      <c r="UAP1194" s="7"/>
      <c r="UAQ1194" s="7"/>
      <c r="UAR1194" s="7"/>
      <c r="UAS1194" s="7"/>
      <c r="UAT1194" s="7"/>
      <c r="UAU1194" s="7"/>
      <c r="UAV1194" s="7"/>
      <c r="UAW1194" s="7"/>
      <c r="UAX1194" s="7"/>
      <c r="UAY1194" s="7"/>
      <c r="UAZ1194" s="7"/>
      <c r="UBA1194" s="7"/>
      <c r="UBB1194" s="7"/>
      <c r="UBC1194" s="7"/>
      <c r="UBD1194" s="7"/>
      <c r="UBE1194" s="7"/>
      <c r="UBF1194" s="7"/>
      <c r="UBG1194" s="7"/>
      <c r="UBH1194" s="7"/>
      <c r="UBI1194" s="7"/>
      <c r="UBJ1194" s="7"/>
      <c r="UBK1194" s="7"/>
      <c r="UBL1194" s="7"/>
      <c r="UBM1194" s="7"/>
      <c r="UBN1194" s="7"/>
      <c r="UBO1194" s="7"/>
      <c r="UBP1194" s="7"/>
      <c r="UBQ1194" s="7"/>
      <c r="UBR1194" s="7"/>
      <c r="UBS1194" s="7"/>
      <c r="UBT1194" s="7"/>
      <c r="UBU1194" s="7"/>
      <c r="UBV1194" s="7"/>
      <c r="UBW1194" s="7"/>
      <c r="UBX1194" s="7"/>
      <c r="UBY1194" s="7"/>
      <c r="UBZ1194" s="7"/>
      <c r="UCA1194" s="7"/>
      <c r="UCB1194" s="7"/>
      <c r="UCC1194" s="7"/>
      <c r="UCD1194" s="7"/>
      <c r="UCE1194" s="7"/>
      <c r="UCF1194" s="7"/>
      <c r="UCG1194" s="7"/>
      <c r="UCH1194" s="7"/>
      <c r="UCI1194" s="7"/>
      <c r="UCJ1194" s="7"/>
      <c r="UCK1194" s="7"/>
      <c r="UCL1194" s="7"/>
      <c r="UCM1194" s="7"/>
      <c r="UCN1194" s="7"/>
      <c r="UCO1194" s="7"/>
      <c r="UCP1194" s="7"/>
      <c r="UCQ1194" s="7"/>
      <c r="UCR1194" s="7"/>
      <c r="UCS1194" s="7"/>
      <c r="UCT1194" s="7"/>
      <c r="UCU1194" s="7"/>
      <c r="UCV1194" s="7"/>
      <c r="UCW1194" s="7"/>
      <c r="UCX1194" s="7"/>
      <c r="UCY1194" s="7"/>
      <c r="UCZ1194" s="7"/>
      <c r="UDA1194" s="7"/>
      <c r="UDB1194" s="7"/>
      <c r="UDC1194" s="7"/>
      <c r="UDD1194" s="7"/>
      <c r="UDE1194" s="7"/>
      <c r="UDF1194" s="7"/>
      <c r="UDG1194" s="7"/>
      <c r="UDH1194" s="7"/>
      <c r="UDI1194" s="7"/>
      <c r="UDJ1194" s="7"/>
      <c r="UDK1194" s="7"/>
      <c r="UDL1194" s="7"/>
      <c r="UDM1194" s="7"/>
      <c r="UDN1194" s="7"/>
      <c r="UDO1194" s="7"/>
      <c r="UDP1194" s="7"/>
      <c r="UDQ1194" s="7"/>
      <c r="UDR1194" s="7"/>
      <c r="UDS1194" s="7"/>
      <c r="UDT1194" s="7"/>
      <c r="UDU1194" s="7"/>
      <c r="UDV1194" s="7"/>
      <c r="UDW1194" s="7"/>
      <c r="UDX1194" s="7"/>
      <c r="UDY1194" s="7"/>
      <c r="UDZ1194" s="7"/>
      <c r="UEA1194" s="7"/>
      <c r="UEB1194" s="7"/>
      <c r="UEC1194" s="7"/>
      <c r="UED1194" s="7"/>
      <c r="UEE1194" s="7"/>
      <c r="UEF1194" s="7"/>
      <c r="UEG1194" s="7"/>
      <c r="UEH1194" s="7"/>
      <c r="UEI1194" s="7"/>
      <c r="UEJ1194" s="7"/>
      <c r="UEK1194" s="7"/>
      <c r="UEL1194" s="7"/>
      <c r="UEM1194" s="7"/>
      <c r="UEN1194" s="7"/>
      <c r="UEO1194" s="7"/>
      <c r="UEP1194" s="7"/>
      <c r="UEQ1194" s="7"/>
      <c r="UER1194" s="7"/>
      <c r="UES1194" s="7"/>
      <c r="UET1194" s="7"/>
      <c r="UEU1194" s="7"/>
      <c r="UEV1194" s="7"/>
      <c r="UEW1194" s="7"/>
      <c r="UEX1194" s="7"/>
      <c r="UEY1194" s="7"/>
      <c r="UEZ1194" s="7"/>
      <c r="UFA1194" s="7"/>
      <c r="UFB1194" s="7"/>
      <c r="UFC1194" s="7"/>
      <c r="UFD1194" s="7"/>
      <c r="UFE1194" s="7"/>
      <c r="UFF1194" s="7"/>
      <c r="UFG1194" s="7"/>
      <c r="UFH1194" s="7"/>
      <c r="UFI1194" s="7"/>
      <c r="UFJ1194" s="7"/>
      <c r="UFK1194" s="7"/>
      <c r="UFL1194" s="7"/>
      <c r="UFM1194" s="7"/>
      <c r="UFN1194" s="7"/>
      <c r="UFO1194" s="7"/>
      <c r="UFP1194" s="7"/>
      <c r="UFQ1194" s="7"/>
      <c r="UFR1194" s="7"/>
      <c r="UFS1194" s="7"/>
      <c r="UFT1194" s="7"/>
      <c r="UFU1194" s="7"/>
      <c r="UFV1194" s="7"/>
      <c r="UFW1194" s="7"/>
      <c r="UFX1194" s="7"/>
      <c r="UFY1194" s="7"/>
      <c r="UFZ1194" s="7"/>
      <c r="UGA1194" s="7"/>
      <c r="UGB1194" s="7"/>
      <c r="UGC1194" s="7"/>
      <c r="UGD1194" s="7"/>
      <c r="UGE1194" s="7"/>
      <c r="UGF1194" s="7"/>
      <c r="UGG1194" s="7"/>
      <c r="UGH1194" s="7"/>
      <c r="UGI1194" s="7"/>
      <c r="UGJ1194" s="7"/>
      <c r="UGK1194" s="7"/>
      <c r="UGL1194" s="7"/>
      <c r="UGM1194" s="7"/>
      <c r="UGN1194" s="7"/>
      <c r="UGO1194" s="7"/>
      <c r="UGP1194" s="7"/>
      <c r="UGQ1194" s="7"/>
      <c r="UGR1194" s="7"/>
      <c r="UGS1194" s="7"/>
      <c r="UGT1194" s="7"/>
      <c r="UGU1194" s="7"/>
      <c r="UGV1194" s="7"/>
      <c r="UGW1194" s="7"/>
      <c r="UGX1194" s="7"/>
      <c r="UGY1194" s="7"/>
      <c r="UGZ1194" s="7"/>
      <c r="UHA1194" s="7"/>
      <c r="UHB1194" s="7"/>
      <c r="UHC1194" s="7"/>
      <c r="UHD1194" s="7"/>
      <c r="UHE1194" s="7"/>
      <c r="UHF1194" s="7"/>
      <c r="UHG1194" s="7"/>
      <c r="UHH1194" s="7"/>
      <c r="UHI1194" s="7"/>
      <c r="UHJ1194" s="7"/>
      <c r="UHK1194" s="7"/>
      <c r="UHL1194" s="7"/>
      <c r="UHM1194" s="7"/>
      <c r="UHN1194" s="7"/>
      <c r="UHO1194" s="7"/>
      <c r="UHP1194" s="7"/>
      <c r="UHQ1194" s="7"/>
      <c r="UHR1194" s="7"/>
      <c r="UHS1194" s="7"/>
      <c r="UHT1194" s="7"/>
      <c r="UHU1194" s="7"/>
      <c r="UHV1194" s="7"/>
      <c r="UHW1194" s="7"/>
      <c r="UHX1194" s="7"/>
      <c r="UHY1194" s="7"/>
      <c r="UHZ1194" s="7"/>
      <c r="UIA1194" s="7"/>
      <c r="UIB1194" s="7"/>
      <c r="UIC1194" s="7"/>
      <c r="UID1194" s="7"/>
      <c r="UIE1194" s="7"/>
      <c r="UIF1194" s="7"/>
      <c r="UIG1194" s="7"/>
      <c r="UIH1194" s="7"/>
      <c r="UII1194" s="7"/>
      <c r="UIJ1194" s="7"/>
      <c r="UIK1194" s="7"/>
      <c r="UIL1194" s="7"/>
      <c r="UIM1194" s="7"/>
      <c r="UIN1194" s="7"/>
      <c r="UIO1194" s="7"/>
      <c r="UIP1194" s="7"/>
      <c r="UIQ1194" s="7"/>
      <c r="UIR1194" s="7"/>
      <c r="UIS1194" s="7"/>
      <c r="UIT1194" s="7"/>
      <c r="UIU1194" s="7"/>
      <c r="UIV1194" s="7"/>
      <c r="UIW1194" s="7"/>
      <c r="UIX1194" s="7"/>
      <c r="UIY1194" s="7"/>
      <c r="UIZ1194" s="7"/>
      <c r="UJA1194" s="7"/>
      <c r="UJB1194" s="7"/>
      <c r="UJC1194" s="7"/>
      <c r="UJD1194" s="7"/>
      <c r="UJE1194" s="7"/>
      <c r="UJF1194" s="7"/>
      <c r="UJG1194" s="7"/>
      <c r="UJH1194" s="7"/>
      <c r="UJI1194" s="7"/>
      <c r="UJJ1194" s="7"/>
      <c r="UJK1194" s="7"/>
      <c r="UJL1194" s="7"/>
      <c r="UJM1194" s="7"/>
      <c r="UJN1194" s="7"/>
      <c r="UJO1194" s="7"/>
      <c r="UJP1194" s="7"/>
      <c r="UJQ1194" s="7"/>
      <c r="UJR1194" s="7"/>
      <c r="UJS1194" s="7"/>
      <c r="UJT1194" s="7"/>
      <c r="UJU1194" s="7"/>
      <c r="UJV1194" s="7"/>
      <c r="UJW1194" s="7"/>
      <c r="UJX1194" s="7"/>
      <c r="UJY1194" s="7"/>
      <c r="UJZ1194" s="7"/>
      <c r="UKA1194" s="7"/>
      <c r="UKB1194" s="7"/>
      <c r="UKC1194" s="7"/>
      <c r="UKD1194" s="7"/>
      <c r="UKE1194" s="7"/>
      <c r="UKF1194" s="7"/>
      <c r="UKG1194" s="7"/>
      <c r="UKH1194" s="7"/>
      <c r="UKI1194" s="7"/>
      <c r="UKJ1194" s="7"/>
      <c r="UKK1194" s="7"/>
      <c r="UKL1194" s="7"/>
      <c r="UKM1194" s="7"/>
      <c r="UKN1194" s="7"/>
      <c r="UKO1194" s="7"/>
      <c r="UKP1194" s="7"/>
      <c r="UKQ1194" s="7"/>
      <c r="UKR1194" s="7"/>
      <c r="UKS1194" s="7"/>
      <c r="UKT1194" s="7"/>
      <c r="UKU1194" s="7"/>
      <c r="UKV1194" s="7"/>
      <c r="UKW1194" s="7"/>
      <c r="UKX1194" s="7"/>
      <c r="UKY1194" s="7"/>
      <c r="UKZ1194" s="7"/>
      <c r="ULA1194" s="7"/>
      <c r="ULB1194" s="7"/>
      <c r="ULC1194" s="7"/>
      <c r="ULD1194" s="7"/>
      <c r="ULE1194" s="7"/>
      <c r="ULF1194" s="7"/>
      <c r="ULG1194" s="7"/>
      <c r="ULH1194" s="7"/>
      <c r="ULI1194" s="7"/>
      <c r="ULJ1194" s="7"/>
      <c r="ULK1194" s="7"/>
      <c r="ULL1194" s="7"/>
      <c r="ULM1194" s="7"/>
      <c r="ULN1194" s="7"/>
      <c r="ULO1194" s="7"/>
      <c r="ULP1194" s="7"/>
      <c r="ULQ1194" s="7"/>
      <c r="ULR1194" s="7"/>
      <c r="ULS1194" s="7"/>
      <c r="ULT1194" s="7"/>
      <c r="ULU1194" s="7"/>
      <c r="ULV1194" s="7"/>
      <c r="ULW1194" s="7"/>
      <c r="ULX1194" s="7"/>
      <c r="ULY1194" s="7"/>
      <c r="ULZ1194" s="7"/>
      <c r="UMA1194" s="7"/>
      <c r="UMB1194" s="7"/>
      <c r="UMC1194" s="7"/>
      <c r="UMD1194" s="7"/>
      <c r="UME1194" s="7"/>
      <c r="UMF1194" s="7"/>
      <c r="UMG1194" s="7"/>
      <c r="UMH1194" s="7"/>
      <c r="UMI1194" s="7"/>
      <c r="UMJ1194" s="7"/>
      <c r="UMK1194" s="7"/>
      <c r="UML1194" s="7"/>
      <c r="UMM1194" s="7"/>
      <c r="UMN1194" s="7"/>
      <c r="UMO1194" s="7"/>
      <c r="UMP1194" s="7"/>
      <c r="UMQ1194" s="7"/>
      <c r="UMR1194" s="7"/>
      <c r="UMS1194" s="7"/>
      <c r="UMT1194" s="7"/>
      <c r="UMU1194" s="7"/>
      <c r="UMV1194" s="7"/>
      <c r="UMW1194" s="7"/>
      <c r="UMX1194" s="7"/>
      <c r="UMY1194" s="7"/>
      <c r="UMZ1194" s="7"/>
      <c r="UNA1194" s="7"/>
      <c r="UNB1194" s="7"/>
      <c r="UNC1194" s="7"/>
      <c r="UND1194" s="7"/>
      <c r="UNE1194" s="7"/>
      <c r="UNF1194" s="7"/>
      <c r="UNG1194" s="7"/>
      <c r="UNH1194" s="7"/>
      <c r="UNI1194" s="7"/>
      <c r="UNJ1194" s="7"/>
      <c r="UNK1194" s="7"/>
      <c r="UNL1194" s="7"/>
      <c r="UNM1194" s="7"/>
      <c r="UNN1194" s="7"/>
      <c r="UNO1194" s="7"/>
      <c r="UNP1194" s="7"/>
      <c r="UNQ1194" s="7"/>
      <c r="UNR1194" s="7"/>
      <c r="UNS1194" s="7"/>
      <c r="UNT1194" s="7"/>
      <c r="UNU1194" s="7"/>
      <c r="UNV1194" s="7"/>
      <c r="UNW1194" s="7"/>
      <c r="UNX1194" s="7"/>
      <c r="UNY1194" s="7"/>
      <c r="UNZ1194" s="7"/>
      <c r="UOA1194" s="7"/>
      <c r="UOB1194" s="7"/>
      <c r="UOC1194" s="7"/>
      <c r="UOD1194" s="7"/>
      <c r="UOE1194" s="7"/>
      <c r="UOF1194" s="7"/>
      <c r="UOG1194" s="7"/>
      <c r="UOH1194" s="7"/>
      <c r="UOI1194" s="7"/>
      <c r="UOJ1194" s="7"/>
      <c r="UOK1194" s="7"/>
      <c r="UOL1194" s="7"/>
      <c r="UOM1194" s="7"/>
      <c r="UON1194" s="7"/>
      <c r="UOO1194" s="7"/>
      <c r="UOP1194" s="7"/>
      <c r="UOQ1194" s="7"/>
      <c r="UOR1194" s="7"/>
      <c r="UOS1194" s="7"/>
      <c r="UOT1194" s="7"/>
      <c r="UOU1194" s="7"/>
      <c r="UOV1194" s="7"/>
      <c r="UOW1194" s="7"/>
      <c r="UOX1194" s="7"/>
      <c r="UOY1194" s="7"/>
      <c r="UOZ1194" s="7"/>
      <c r="UPA1194" s="7"/>
      <c r="UPB1194" s="7"/>
      <c r="UPC1194" s="7"/>
      <c r="UPD1194" s="7"/>
      <c r="UPE1194" s="7"/>
      <c r="UPF1194" s="7"/>
      <c r="UPG1194" s="7"/>
      <c r="UPH1194" s="7"/>
      <c r="UPI1194" s="7"/>
      <c r="UPJ1194" s="7"/>
      <c r="UPK1194" s="7"/>
      <c r="UPL1194" s="7"/>
      <c r="UPM1194" s="7"/>
      <c r="UPN1194" s="7"/>
      <c r="UPO1194" s="7"/>
      <c r="UPP1194" s="7"/>
      <c r="UPQ1194" s="7"/>
      <c r="UPR1194" s="7"/>
      <c r="UPS1194" s="7"/>
      <c r="UPT1194" s="7"/>
      <c r="UPU1194" s="7"/>
      <c r="UPV1194" s="7"/>
      <c r="UPW1194" s="7"/>
      <c r="UPX1194" s="7"/>
      <c r="UPY1194" s="7"/>
      <c r="UPZ1194" s="7"/>
      <c r="UQA1194" s="7"/>
      <c r="UQB1194" s="7"/>
      <c r="UQC1194" s="7"/>
      <c r="UQD1194" s="7"/>
      <c r="UQE1194" s="7"/>
      <c r="UQF1194" s="7"/>
      <c r="UQG1194" s="7"/>
      <c r="UQH1194" s="7"/>
      <c r="UQI1194" s="7"/>
      <c r="UQJ1194" s="7"/>
      <c r="UQK1194" s="7"/>
      <c r="UQL1194" s="7"/>
      <c r="UQM1194" s="7"/>
      <c r="UQN1194" s="7"/>
      <c r="UQO1194" s="7"/>
      <c r="UQP1194" s="7"/>
      <c r="UQQ1194" s="7"/>
      <c r="UQR1194" s="7"/>
      <c r="UQS1194" s="7"/>
      <c r="UQT1194" s="7"/>
      <c r="UQU1194" s="7"/>
      <c r="UQV1194" s="7"/>
      <c r="UQW1194" s="7"/>
      <c r="UQX1194" s="7"/>
      <c r="UQY1194" s="7"/>
      <c r="UQZ1194" s="7"/>
      <c r="URA1194" s="7"/>
      <c r="URB1194" s="7"/>
      <c r="URC1194" s="7"/>
      <c r="URD1194" s="7"/>
      <c r="URE1194" s="7"/>
      <c r="URF1194" s="7"/>
      <c r="URG1194" s="7"/>
      <c r="URH1194" s="7"/>
      <c r="URI1194" s="7"/>
      <c r="URJ1194" s="7"/>
      <c r="URK1194" s="7"/>
      <c r="URL1194" s="7"/>
      <c r="URM1194" s="7"/>
      <c r="URN1194" s="7"/>
      <c r="URO1194" s="7"/>
      <c r="URP1194" s="7"/>
      <c r="URQ1194" s="7"/>
      <c r="URR1194" s="7"/>
      <c r="URS1194" s="7"/>
      <c r="URT1194" s="7"/>
      <c r="URU1194" s="7"/>
      <c r="URV1194" s="7"/>
      <c r="URW1194" s="7"/>
      <c r="URX1194" s="7"/>
      <c r="URY1194" s="7"/>
      <c r="URZ1194" s="7"/>
      <c r="USA1194" s="7"/>
      <c r="USB1194" s="7"/>
      <c r="USC1194" s="7"/>
      <c r="USD1194" s="7"/>
      <c r="USE1194" s="7"/>
      <c r="USF1194" s="7"/>
      <c r="USG1194" s="7"/>
      <c r="USH1194" s="7"/>
      <c r="USI1194" s="7"/>
      <c r="USJ1194" s="7"/>
      <c r="USK1194" s="7"/>
      <c r="USL1194" s="7"/>
      <c r="USM1194" s="7"/>
      <c r="USN1194" s="7"/>
      <c r="USO1194" s="7"/>
      <c r="USP1194" s="7"/>
      <c r="USQ1194" s="7"/>
      <c r="USR1194" s="7"/>
      <c r="USS1194" s="7"/>
      <c r="UST1194" s="7"/>
      <c r="USU1194" s="7"/>
      <c r="USV1194" s="7"/>
      <c r="USW1194" s="7"/>
      <c r="USX1194" s="7"/>
      <c r="USY1194" s="7"/>
      <c r="USZ1194" s="7"/>
      <c r="UTA1194" s="7"/>
      <c r="UTB1194" s="7"/>
      <c r="UTC1194" s="7"/>
      <c r="UTD1194" s="7"/>
      <c r="UTE1194" s="7"/>
      <c r="UTF1194" s="7"/>
      <c r="UTG1194" s="7"/>
      <c r="UTH1194" s="7"/>
      <c r="UTI1194" s="7"/>
      <c r="UTJ1194" s="7"/>
      <c r="UTK1194" s="7"/>
      <c r="UTL1194" s="7"/>
      <c r="UTM1194" s="7"/>
      <c r="UTN1194" s="7"/>
      <c r="UTO1194" s="7"/>
      <c r="UTP1194" s="7"/>
      <c r="UTQ1194" s="7"/>
      <c r="UTR1194" s="7"/>
      <c r="UTS1194" s="7"/>
      <c r="UTT1194" s="7"/>
      <c r="UTU1194" s="7"/>
      <c r="UTV1194" s="7"/>
      <c r="UTW1194" s="7"/>
      <c r="UTX1194" s="7"/>
      <c r="UTY1194" s="7"/>
      <c r="UTZ1194" s="7"/>
      <c r="UUA1194" s="7"/>
      <c r="UUB1194" s="7"/>
      <c r="UUC1194" s="7"/>
      <c r="UUD1194" s="7"/>
      <c r="UUE1194" s="7"/>
      <c r="UUF1194" s="7"/>
      <c r="UUG1194" s="7"/>
      <c r="UUH1194" s="7"/>
      <c r="UUI1194" s="7"/>
      <c r="UUJ1194" s="7"/>
      <c r="UUK1194" s="7"/>
      <c r="UUL1194" s="7"/>
      <c r="UUM1194" s="7"/>
      <c r="UUN1194" s="7"/>
      <c r="UUO1194" s="7"/>
      <c r="UUP1194" s="7"/>
      <c r="UUQ1194" s="7"/>
      <c r="UUR1194" s="7"/>
      <c r="UUS1194" s="7"/>
      <c r="UUT1194" s="7"/>
      <c r="UUU1194" s="7"/>
      <c r="UUV1194" s="7"/>
      <c r="UUW1194" s="7"/>
      <c r="UUX1194" s="7"/>
      <c r="UUY1194" s="7"/>
      <c r="UUZ1194" s="7"/>
      <c r="UVA1194" s="7"/>
      <c r="UVB1194" s="7"/>
      <c r="UVC1194" s="7"/>
      <c r="UVD1194" s="7"/>
      <c r="UVE1194" s="7"/>
      <c r="UVF1194" s="7"/>
      <c r="UVG1194" s="7"/>
      <c r="UVH1194" s="7"/>
      <c r="UVI1194" s="7"/>
      <c r="UVJ1194" s="7"/>
      <c r="UVK1194" s="7"/>
      <c r="UVL1194" s="7"/>
      <c r="UVM1194" s="7"/>
      <c r="UVN1194" s="7"/>
      <c r="UVO1194" s="7"/>
      <c r="UVP1194" s="7"/>
      <c r="UVQ1194" s="7"/>
      <c r="UVR1194" s="7"/>
      <c r="UVS1194" s="7"/>
      <c r="UVT1194" s="7"/>
      <c r="UVU1194" s="7"/>
      <c r="UVV1194" s="7"/>
      <c r="UVW1194" s="7"/>
      <c r="UVX1194" s="7"/>
      <c r="UVY1194" s="7"/>
      <c r="UVZ1194" s="7"/>
      <c r="UWA1194" s="7"/>
      <c r="UWB1194" s="7"/>
      <c r="UWC1194" s="7"/>
      <c r="UWD1194" s="7"/>
      <c r="UWE1194" s="7"/>
      <c r="UWF1194" s="7"/>
      <c r="UWG1194" s="7"/>
      <c r="UWH1194" s="7"/>
      <c r="UWI1194" s="7"/>
      <c r="UWJ1194" s="7"/>
      <c r="UWK1194" s="7"/>
      <c r="UWL1194" s="7"/>
      <c r="UWM1194" s="7"/>
      <c r="UWN1194" s="7"/>
      <c r="UWO1194" s="7"/>
      <c r="UWP1194" s="7"/>
      <c r="UWQ1194" s="7"/>
      <c r="UWR1194" s="7"/>
      <c r="UWS1194" s="7"/>
      <c r="UWT1194" s="7"/>
      <c r="UWU1194" s="7"/>
      <c r="UWV1194" s="7"/>
      <c r="UWW1194" s="7"/>
      <c r="UWX1194" s="7"/>
      <c r="UWY1194" s="7"/>
      <c r="UWZ1194" s="7"/>
      <c r="UXA1194" s="7"/>
      <c r="UXB1194" s="7"/>
      <c r="UXC1194" s="7"/>
      <c r="UXD1194" s="7"/>
      <c r="UXE1194" s="7"/>
      <c r="UXF1194" s="7"/>
      <c r="UXG1194" s="7"/>
      <c r="UXH1194" s="7"/>
      <c r="UXI1194" s="7"/>
      <c r="UXJ1194" s="7"/>
      <c r="UXK1194" s="7"/>
      <c r="UXL1194" s="7"/>
      <c r="UXM1194" s="7"/>
      <c r="UXN1194" s="7"/>
      <c r="UXO1194" s="7"/>
      <c r="UXP1194" s="7"/>
      <c r="UXQ1194" s="7"/>
      <c r="UXR1194" s="7"/>
      <c r="UXS1194" s="7"/>
      <c r="UXT1194" s="7"/>
      <c r="UXU1194" s="7"/>
      <c r="UXV1194" s="7"/>
      <c r="UXW1194" s="7"/>
      <c r="UXX1194" s="7"/>
      <c r="UXY1194" s="7"/>
      <c r="UXZ1194" s="7"/>
      <c r="UYA1194" s="7"/>
      <c r="UYB1194" s="7"/>
      <c r="UYC1194" s="7"/>
      <c r="UYD1194" s="7"/>
      <c r="UYE1194" s="7"/>
      <c r="UYF1194" s="7"/>
      <c r="UYG1194" s="7"/>
      <c r="UYH1194" s="7"/>
      <c r="UYI1194" s="7"/>
      <c r="UYJ1194" s="7"/>
      <c r="UYK1194" s="7"/>
      <c r="UYL1194" s="7"/>
      <c r="UYM1194" s="7"/>
      <c r="UYN1194" s="7"/>
      <c r="UYO1194" s="7"/>
      <c r="UYP1194" s="7"/>
      <c r="UYQ1194" s="7"/>
      <c r="UYR1194" s="7"/>
      <c r="UYS1194" s="7"/>
      <c r="UYT1194" s="7"/>
      <c r="UYU1194" s="7"/>
      <c r="UYV1194" s="7"/>
      <c r="UYW1194" s="7"/>
      <c r="UYX1194" s="7"/>
      <c r="UYY1194" s="7"/>
      <c r="UYZ1194" s="7"/>
      <c r="UZA1194" s="7"/>
      <c r="UZB1194" s="7"/>
      <c r="UZC1194" s="7"/>
      <c r="UZD1194" s="7"/>
      <c r="UZE1194" s="7"/>
      <c r="UZF1194" s="7"/>
      <c r="UZG1194" s="7"/>
      <c r="UZH1194" s="7"/>
      <c r="UZI1194" s="7"/>
      <c r="UZJ1194" s="7"/>
      <c r="UZK1194" s="7"/>
      <c r="UZL1194" s="7"/>
      <c r="UZM1194" s="7"/>
      <c r="UZN1194" s="7"/>
      <c r="UZO1194" s="7"/>
      <c r="UZP1194" s="7"/>
      <c r="UZQ1194" s="7"/>
      <c r="UZR1194" s="7"/>
      <c r="UZS1194" s="7"/>
      <c r="UZT1194" s="7"/>
      <c r="UZU1194" s="7"/>
      <c r="UZV1194" s="7"/>
      <c r="UZW1194" s="7"/>
      <c r="UZX1194" s="7"/>
      <c r="UZY1194" s="7"/>
      <c r="UZZ1194" s="7"/>
      <c r="VAA1194" s="7"/>
      <c r="VAB1194" s="7"/>
      <c r="VAC1194" s="7"/>
      <c r="VAD1194" s="7"/>
      <c r="VAE1194" s="7"/>
      <c r="VAF1194" s="7"/>
      <c r="VAG1194" s="7"/>
      <c r="VAH1194" s="7"/>
      <c r="VAI1194" s="7"/>
      <c r="VAJ1194" s="7"/>
      <c r="VAK1194" s="7"/>
      <c r="VAL1194" s="7"/>
      <c r="VAM1194" s="7"/>
      <c r="VAN1194" s="7"/>
      <c r="VAO1194" s="7"/>
      <c r="VAP1194" s="7"/>
      <c r="VAQ1194" s="7"/>
      <c r="VAR1194" s="7"/>
      <c r="VAS1194" s="7"/>
      <c r="VAT1194" s="7"/>
      <c r="VAU1194" s="7"/>
      <c r="VAV1194" s="7"/>
      <c r="VAW1194" s="7"/>
      <c r="VAX1194" s="7"/>
      <c r="VAY1194" s="7"/>
      <c r="VAZ1194" s="7"/>
      <c r="VBA1194" s="7"/>
      <c r="VBB1194" s="7"/>
      <c r="VBC1194" s="7"/>
      <c r="VBD1194" s="7"/>
      <c r="VBE1194" s="7"/>
      <c r="VBF1194" s="7"/>
      <c r="VBG1194" s="7"/>
      <c r="VBH1194" s="7"/>
      <c r="VBI1194" s="7"/>
      <c r="VBJ1194" s="7"/>
      <c r="VBK1194" s="7"/>
      <c r="VBL1194" s="7"/>
      <c r="VBM1194" s="7"/>
      <c r="VBN1194" s="7"/>
      <c r="VBO1194" s="7"/>
      <c r="VBP1194" s="7"/>
      <c r="VBQ1194" s="7"/>
      <c r="VBR1194" s="7"/>
      <c r="VBS1194" s="7"/>
      <c r="VBT1194" s="7"/>
      <c r="VBU1194" s="7"/>
      <c r="VBV1194" s="7"/>
      <c r="VBW1194" s="7"/>
      <c r="VBX1194" s="7"/>
      <c r="VBY1194" s="7"/>
      <c r="VBZ1194" s="7"/>
      <c r="VCA1194" s="7"/>
      <c r="VCB1194" s="7"/>
      <c r="VCC1194" s="7"/>
      <c r="VCD1194" s="7"/>
      <c r="VCE1194" s="7"/>
      <c r="VCF1194" s="7"/>
      <c r="VCG1194" s="7"/>
      <c r="VCH1194" s="7"/>
      <c r="VCI1194" s="7"/>
      <c r="VCJ1194" s="7"/>
      <c r="VCK1194" s="7"/>
      <c r="VCL1194" s="7"/>
      <c r="VCM1194" s="7"/>
      <c r="VCN1194" s="7"/>
      <c r="VCO1194" s="7"/>
      <c r="VCP1194" s="7"/>
      <c r="VCQ1194" s="7"/>
      <c r="VCR1194" s="7"/>
      <c r="VCS1194" s="7"/>
      <c r="VCT1194" s="7"/>
      <c r="VCU1194" s="7"/>
      <c r="VCV1194" s="7"/>
      <c r="VCW1194" s="7"/>
      <c r="VCX1194" s="7"/>
      <c r="VCY1194" s="7"/>
      <c r="VCZ1194" s="7"/>
      <c r="VDA1194" s="7"/>
      <c r="VDB1194" s="7"/>
      <c r="VDC1194" s="7"/>
      <c r="VDD1194" s="7"/>
      <c r="VDE1194" s="7"/>
      <c r="VDF1194" s="7"/>
      <c r="VDG1194" s="7"/>
      <c r="VDH1194" s="7"/>
      <c r="VDI1194" s="7"/>
      <c r="VDJ1194" s="7"/>
      <c r="VDK1194" s="7"/>
      <c r="VDL1194" s="7"/>
      <c r="VDM1194" s="7"/>
      <c r="VDN1194" s="7"/>
      <c r="VDO1194" s="7"/>
      <c r="VDP1194" s="7"/>
      <c r="VDQ1194" s="7"/>
      <c r="VDR1194" s="7"/>
      <c r="VDS1194" s="7"/>
      <c r="VDT1194" s="7"/>
      <c r="VDU1194" s="7"/>
      <c r="VDV1194" s="7"/>
      <c r="VDW1194" s="7"/>
      <c r="VDX1194" s="7"/>
      <c r="VDY1194" s="7"/>
      <c r="VDZ1194" s="7"/>
      <c r="VEA1194" s="7"/>
      <c r="VEB1194" s="7"/>
      <c r="VEC1194" s="7"/>
      <c r="VED1194" s="7"/>
      <c r="VEE1194" s="7"/>
      <c r="VEF1194" s="7"/>
      <c r="VEG1194" s="7"/>
      <c r="VEH1194" s="7"/>
      <c r="VEI1194" s="7"/>
      <c r="VEJ1194" s="7"/>
      <c r="VEK1194" s="7"/>
      <c r="VEL1194" s="7"/>
      <c r="VEM1194" s="7"/>
      <c r="VEN1194" s="7"/>
      <c r="VEO1194" s="7"/>
      <c r="VEP1194" s="7"/>
      <c r="VEQ1194" s="7"/>
      <c r="VER1194" s="7"/>
      <c r="VES1194" s="7"/>
      <c r="VET1194" s="7"/>
      <c r="VEU1194" s="7"/>
      <c r="VEV1194" s="7"/>
      <c r="VEW1194" s="7"/>
      <c r="VEX1194" s="7"/>
      <c r="VEY1194" s="7"/>
      <c r="VEZ1194" s="7"/>
      <c r="VFA1194" s="7"/>
      <c r="VFB1194" s="7"/>
      <c r="VFC1194" s="7"/>
      <c r="VFD1194" s="7"/>
      <c r="VFE1194" s="7"/>
      <c r="VFF1194" s="7"/>
      <c r="VFG1194" s="7"/>
      <c r="VFH1194" s="7"/>
      <c r="VFI1194" s="7"/>
      <c r="VFJ1194" s="7"/>
      <c r="VFK1194" s="7"/>
      <c r="VFL1194" s="7"/>
      <c r="VFM1194" s="7"/>
      <c r="VFN1194" s="7"/>
      <c r="VFO1194" s="7"/>
      <c r="VFP1194" s="7"/>
      <c r="VFQ1194" s="7"/>
      <c r="VFR1194" s="7"/>
      <c r="VFS1194" s="7"/>
      <c r="VFT1194" s="7"/>
      <c r="VFU1194" s="7"/>
      <c r="VFV1194" s="7"/>
      <c r="VFW1194" s="7"/>
      <c r="VFX1194" s="7"/>
      <c r="VFY1194" s="7"/>
      <c r="VFZ1194" s="7"/>
      <c r="VGA1194" s="7"/>
      <c r="VGB1194" s="7"/>
      <c r="VGC1194" s="7"/>
      <c r="VGD1194" s="7"/>
      <c r="VGE1194" s="7"/>
      <c r="VGF1194" s="7"/>
      <c r="VGG1194" s="7"/>
      <c r="VGH1194" s="7"/>
      <c r="VGI1194" s="7"/>
      <c r="VGJ1194" s="7"/>
      <c r="VGK1194" s="7"/>
      <c r="VGL1194" s="7"/>
      <c r="VGM1194" s="7"/>
      <c r="VGN1194" s="7"/>
      <c r="VGO1194" s="7"/>
      <c r="VGP1194" s="7"/>
      <c r="VGQ1194" s="7"/>
      <c r="VGR1194" s="7"/>
      <c r="VGS1194" s="7"/>
      <c r="VGT1194" s="7"/>
      <c r="VGU1194" s="7"/>
      <c r="VGV1194" s="7"/>
      <c r="VGW1194" s="7"/>
      <c r="VGX1194" s="7"/>
      <c r="VGY1194" s="7"/>
      <c r="VGZ1194" s="7"/>
      <c r="VHA1194" s="7"/>
      <c r="VHB1194" s="7"/>
      <c r="VHC1194" s="7"/>
      <c r="VHD1194" s="7"/>
      <c r="VHE1194" s="7"/>
      <c r="VHF1194" s="7"/>
      <c r="VHG1194" s="7"/>
      <c r="VHH1194" s="7"/>
      <c r="VHI1194" s="7"/>
      <c r="VHJ1194" s="7"/>
      <c r="VHK1194" s="7"/>
      <c r="VHL1194" s="7"/>
      <c r="VHM1194" s="7"/>
      <c r="VHN1194" s="7"/>
      <c r="VHO1194" s="7"/>
      <c r="VHP1194" s="7"/>
      <c r="VHQ1194" s="7"/>
      <c r="VHR1194" s="7"/>
      <c r="VHS1194" s="7"/>
      <c r="VHT1194" s="7"/>
      <c r="VHU1194" s="7"/>
      <c r="VHV1194" s="7"/>
      <c r="VHW1194" s="7"/>
      <c r="VHX1194" s="7"/>
      <c r="VHY1194" s="7"/>
      <c r="VHZ1194" s="7"/>
      <c r="VIA1194" s="7"/>
      <c r="VIB1194" s="7"/>
      <c r="VIC1194" s="7"/>
      <c r="VID1194" s="7"/>
      <c r="VIE1194" s="7"/>
      <c r="VIF1194" s="7"/>
      <c r="VIG1194" s="7"/>
      <c r="VIH1194" s="7"/>
      <c r="VII1194" s="7"/>
      <c r="VIJ1194" s="7"/>
      <c r="VIK1194" s="7"/>
      <c r="VIL1194" s="7"/>
      <c r="VIM1194" s="7"/>
      <c r="VIN1194" s="7"/>
      <c r="VIO1194" s="7"/>
      <c r="VIP1194" s="7"/>
      <c r="VIQ1194" s="7"/>
      <c r="VIR1194" s="7"/>
      <c r="VIS1194" s="7"/>
      <c r="VIT1194" s="7"/>
      <c r="VIU1194" s="7"/>
      <c r="VIV1194" s="7"/>
      <c r="VIW1194" s="7"/>
      <c r="VIX1194" s="7"/>
      <c r="VIY1194" s="7"/>
      <c r="VIZ1194" s="7"/>
      <c r="VJA1194" s="7"/>
      <c r="VJB1194" s="7"/>
      <c r="VJC1194" s="7"/>
      <c r="VJD1194" s="7"/>
      <c r="VJE1194" s="7"/>
      <c r="VJF1194" s="7"/>
      <c r="VJG1194" s="7"/>
      <c r="VJH1194" s="7"/>
      <c r="VJI1194" s="7"/>
      <c r="VJJ1194" s="7"/>
      <c r="VJK1194" s="7"/>
      <c r="VJL1194" s="7"/>
      <c r="VJM1194" s="7"/>
      <c r="VJN1194" s="7"/>
      <c r="VJO1194" s="7"/>
      <c r="VJP1194" s="7"/>
      <c r="VJQ1194" s="7"/>
      <c r="VJR1194" s="7"/>
      <c r="VJS1194" s="7"/>
      <c r="VJT1194" s="7"/>
      <c r="VJU1194" s="7"/>
      <c r="VJV1194" s="7"/>
      <c r="VJW1194" s="7"/>
      <c r="VJX1194" s="7"/>
      <c r="VJY1194" s="7"/>
      <c r="VJZ1194" s="7"/>
      <c r="VKA1194" s="7"/>
      <c r="VKB1194" s="7"/>
      <c r="VKC1194" s="7"/>
      <c r="VKD1194" s="7"/>
      <c r="VKE1194" s="7"/>
      <c r="VKF1194" s="7"/>
      <c r="VKG1194" s="7"/>
      <c r="VKH1194" s="7"/>
      <c r="VKI1194" s="7"/>
      <c r="VKJ1194" s="7"/>
      <c r="VKK1194" s="7"/>
      <c r="VKL1194" s="7"/>
      <c r="VKM1194" s="7"/>
      <c r="VKN1194" s="7"/>
      <c r="VKO1194" s="7"/>
      <c r="VKP1194" s="7"/>
      <c r="VKQ1194" s="7"/>
      <c r="VKR1194" s="7"/>
      <c r="VKS1194" s="7"/>
      <c r="VKT1194" s="7"/>
      <c r="VKU1194" s="7"/>
      <c r="VKV1194" s="7"/>
      <c r="VKW1194" s="7"/>
      <c r="VKX1194" s="7"/>
      <c r="VKY1194" s="7"/>
      <c r="VKZ1194" s="7"/>
      <c r="VLA1194" s="7"/>
      <c r="VLB1194" s="7"/>
      <c r="VLC1194" s="7"/>
      <c r="VLD1194" s="7"/>
      <c r="VLE1194" s="7"/>
      <c r="VLF1194" s="7"/>
      <c r="VLG1194" s="7"/>
      <c r="VLH1194" s="7"/>
      <c r="VLI1194" s="7"/>
      <c r="VLJ1194" s="7"/>
      <c r="VLK1194" s="7"/>
      <c r="VLL1194" s="7"/>
      <c r="VLM1194" s="7"/>
      <c r="VLN1194" s="7"/>
      <c r="VLO1194" s="7"/>
      <c r="VLP1194" s="7"/>
      <c r="VLQ1194" s="7"/>
      <c r="VLR1194" s="7"/>
      <c r="VLS1194" s="7"/>
      <c r="VLT1194" s="7"/>
      <c r="VLU1194" s="7"/>
      <c r="VLV1194" s="7"/>
      <c r="VLW1194" s="7"/>
      <c r="VLX1194" s="7"/>
      <c r="VLY1194" s="7"/>
      <c r="VLZ1194" s="7"/>
      <c r="VMA1194" s="7"/>
      <c r="VMB1194" s="7"/>
      <c r="VMC1194" s="7"/>
      <c r="VMD1194" s="7"/>
      <c r="VME1194" s="7"/>
      <c r="VMF1194" s="7"/>
      <c r="VMG1194" s="7"/>
      <c r="VMH1194" s="7"/>
      <c r="VMI1194" s="7"/>
      <c r="VMJ1194" s="7"/>
      <c r="VMK1194" s="7"/>
      <c r="VML1194" s="7"/>
      <c r="VMM1194" s="7"/>
      <c r="VMN1194" s="7"/>
      <c r="VMO1194" s="7"/>
      <c r="VMP1194" s="7"/>
      <c r="VMQ1194" s="7"/>
      <c r="VMR1194" s="7"/>
      <c r="VMS1194" s="7"/>
      <c r="VMT1194" s="7"/>
      <c r="VMU1194" s="7"/>
      <c r="VMV1194" s="7"/>
      <c r="VMW1194" s="7"/>
      <c r="VMX1194" s="7"/>
      <c r="VMY1194" s="7"/>
      <c r="VMZ1194" s="7"/>
      <c r="VNA1194" s="7"/>
      <c r="VNB1194" s="7"/>
      <c r="VNC1194" s="7"/>
      <c r="VND1194" s="7"/>
      <c r="VNE1194" s="7"/>
      <c r="VNF1194" s="7"/>
      <c r="VNG1194" s="7"/>
      <c r="VNH1194" s="7"/>
      <c r="VNI1194" s="7"/>
      <c r="VNJ1194" s="7"/>
      <c r="VNK1194" s="7"/>
      <c r="VNL1194" s="7"/>
      <c r="VNM1194" s="7"/>
      <c r="VNN1194" s="7"/>
      <c r="VNO1194" s="7"/>
      <c r="VNP1194" s="7"/>
      <c r="VNQ1194" s="7"/>
      <c r="VNR1194" s="7"/>
      <c r="VNS1194" s="7"/>
      <c r="VNT1194" s="7"/>
      <c r="VNU1194" s="7"/>
      <c r="VNV1194" s="7"/>
      <c r="VNW1194" s="7"/>
      <c r="VNX1194" s="7"/>
      <c r="VNY1194" s="7"/>
      <c r="VNZ1194" s="7"/>
      <c r="VOA1194" s="7"/>
      <c r="VOB1194" s="7"/>
      <c r="VOC1194" s="7"/>
      <c r="VOD1194" s="7"/>
      <c r="VOE1194" s="7"/>
      <c r="VOF1194" s="7"/>
      <c r="VOG1194" s="7"/>
      <c r="VOH1194" s="7"/>
      <c r="VOI1194" s="7"/>
      <c r="VOJ1194" s="7"/>
      <c r="VOK1194" s="7"/>
      <c r="VOL1194" s="7"/>
      <c r="VOM1194" s="7"/>
      <c r="VON1194" s="7"/>
      <c r="VOO1194" s="7"/>
      <c r="VOP1194" s="7"/>
      <c r="VOQ1194" s="7"/>
      <c r="VOR1194" s="7"/>
      <c r="VOS1194" s="7"/>
      <c r="VOT1194" s="7"/>
      <c r="VOU1194" s="7"/>
      <c r="VOV1194" s="7"/>
      <c r="VOW1194" s="7"/>
      <c r="VOX1194" s="7"/>
      <c r="VOY1194" s="7"/>
      <c r="VOZ1194" s="7"/>
      <c r="VPA1194" s="7"/>
      <c r="VPB1194" s="7"/>
      <c r="VPC1194" s="7"/>
      <c r="VPD1194" s="7"/>
      <c r="VPE1194" s="7"/>
      <c r="VPF1194" s="7"/>
      <c r="VPG1194" s="7"/>
      <c r="VPH1194" s="7"/>
      <c r="VPI1194" s="7"/>
      <c r="VPJ1194" s="7"/>
      <c r="VPK1194" s="7"/>
      <c r="VPL1194" s="7"/>
      <c r="VPM1194" s="7"/>
      <c r="VPN1194" s="7"/>
      <c r="VPO1194" s="7"/>
      <c r="VPP1194" s="7"/>
      <c r="VPQ1194" s="7"/>
      <c r="VPR1194" s="7"/>
      <c r="VPS1194" s="7"/>
      <c r="VPT1194" s="7"/>
      <c r="VPU1194" s="7"/>
      <c r="VPV1194" s="7"/>
      <c r="VPW1194" s="7"/>
      <c r="VPX1194" s="7"/>
      <c r="VPY1194" s="7"/>
      <c r="VPZ1194" s="7"/>
      <c r="VQA1194" s="7"/>
      <c r="VQB1194" s="7"/>
      <c r="VQC1194" s="7"/>
      <c r="VQD1194" s="7"/>
      <c r="VQE1194" s="7"/>
      <c r="VQF1194" s="7"/>
      <c r="VQG1194" s="7"/>
      <c r="VQH1194" s="7"/>
      <c r="VQI1194" s="7"/>
      <c r="VQJ1194" s="7"/>
      <c r="VQK1194" s="7"/>
      <c r="VQL1194" s="7"/>
      <c r="VQM1194" s="7"/>
      <c r="VQN1194" s="7"/>
      <c r="VQO1194" s="7"/>
      <c r="VQP1194" s="7"/>
      <c r="VQQ1194" s="7"/>
      <c r="VQR1194" s="7"/>
      <c r="VQS1194" s="7"/>
      <c r="VQT1194" s="7"/>
      <c r="VQU1194" s="7"/>
      <c r="VQV1194" s="7"/>
      <c r="VQW1194" s="7"/>
      <c r="VQX1194" s="7"/>
      <c r="VQY1194" s="7"/>
      <c r="VQZ1194" s="7"/>
      <c r="VRA1194" s="7"/>
      <c r="VRB1194" s="7"/>
      <c r="VRC1194" s="7"/>
      <c r="VRD1194" s="7"/>
      <c r="VRE1194" s="7"/>
      <c r="VRF1194" s="7"/>
      <c r="VRG1194" s="7"/>
      <c r="VRH1194" s="7"/>
      <c r="VRI1194" s="7"/>
      <c r="VRJ1194" s="7"/>
      <c r="VRK1194" s="7"/>
      <c r="VRL1194" s="7"/>
      <c r="VRM1194" s="7"/>
      <c r="VRN1194" s="7"/>
      <c r="VRO1194" s="7"/>
      <c r="VRP1194" s="7"/>
      <c r="VRQ1194" s="7"/>
      <c r="VRR1194" s="7"/>
      <c r="VRS1194" s="7"/>
      <c r="VRT1194" s="7"/>
      <c r="VRU1194" s="7"/>
      <c r="VRV1194" s="7"/>
      <c r="VRW1194" s="7"/>
      <c r="VRX1194" s="7"/>
      <c r="VRY1194" s="7"/>
      <c r="VRZ1194" s="7"/>
      <c r="VSA1194" s="7"/>
      <c r="VSB1194" s="7"/>
      <c r="VSC1194" s="7"/>
      <c r="VSD1194" s="7"/>
      <c r="VSE1194" s="7"/>
      <c r="VSF1194" s="7"/>
      <c r="VSG1194" s="7"/>
      <c r="VSH1194" s="7"/>
      <c r="VSI1194" s="7"/>
      <c r="VSJ1194" s="7"/>
      <c r="VSK1194" s="7"/>
      <c r="VSL1194" s="7"/>
      <c r="VSM1194" s="7"/>
      <c r="VSN1194" s="7"/>
      <c r="VSO1194" s="7"/>
      <c r="VSP1194" s="7"/>
      <c r="VSQ1194" s="7"/>
      <c r="VSR1194" s="7"/>
      <c r="VSS1194" s="7"/>
      <c r="VST1194" s="7"/>
      <c r="VSU1194" s="7"/>
      <c r="VSV1194" s="7"/>
      <c r="VSW1194" s="7"/>
      <c r="VSX1194" s="7"/>
      <c r="VSY1194" s="7"/>
      <c r="VSZ1194" s="7"/>
      <c r="VTA1194" s="7"/>
      <c r="VTB1194" s="7"/>
      <c r="VTC1194" s="7"/>
      <c r="VTD1194" s="7"/>
      <c r="VTE1194" s="7"/>
      <c r="VTF1194" s="7"/>
      <c r="VTG1194" s="7"/>
      <c r="VTH1194" s="7"/>
      <c r="VTI1194" s="7"/>
      <c r="VTJ1194" s="7"/>
      <c r="VTK1194" s="7"/>
      <c r="VTL1194" s="7"/>
      <c r="VTM1194" s="7"/>
      <c r="VTN1194" s="7"/>
      <c r="VTO1194" s="7"/>
      <c r="VTP1194" s="7"/>
      <c r="VTQ1194" s="7"/>
      <c r="VTR1194" s="7"/>
      <c r="VTS1194" s="7"/>
      <c r="VTT1194" s="7"/>
      <c r="VTU1194" s="7"/>
      <c r="VTV1194" s="7"/>
      <c r="VTW1194" s="7"/>
      <c r="VTX1194" s="7"/>
      <c r="VTY1194" s="7"/>
      <c r="VTZ1194" s="7"/>
      <c r="VUA1194" s="7"/>
      <c r="VUB1194" s="7"/>
      <c r="VUC1194" s="7"/>
      <c r="VUD1194" s="7"/>
      <c r="VUE1194" s="7"/>
      <c r="VUF1194" s="7"/>
      <c r="VUG1194" s="7"/>
      <c r="VUH1194" s="7"/>
      <c r="VUI1194" s="7"/>
      <c r="VUJ1194" s="7"/>
      <c r="VUK1194" s="7"/>
      <c r="VUL1194" s="7"/>
      <c r="VUM1194" s="7"/>
      <c r="VUN1194" s="7"/>
      <c r="VUO1194" s="7"/>
      <c r="VUP1194" s="7"/>
      <c r="VUQ1194" s="7"/>
      <c r="VUR1194" s="7"/>
      <c r="VUS1194" s="7"/>
      <c r="VUT1194" s="7"/>
      <c r="VUU1194" s="7"/>
      <c r="VUV1194" s="7"/>
      <c r="VUW1194" s="7"/>
      <c r="VUX1194" s="7"/>
      <c r="VUY1194" s="7"/>
      <c r="VUZ1194" s="7"/>
      <c r="VVA1194" s="7"/>
      <c r="VVB1194" s="7"/>
      <c r="VVC1194" s="7"/>
      <c r="VVD1194" s="7"/>
      <c r="VVE1194" s="7"/>
      <c r="VVF1194" s="7"/>
      <c r="VVG1194" s="7"/>
      <c r="VVH1194" s="7"/>
      <c r="VVI1194" s="7"/>
      <c r="VVJ1194" s="7"/>
      <c r="VVK1194" s="7"/>
      <c r="VVL1194" s="7"/>
      <c r="VVM1194" s="7"/>
      <c r="VVN1194" s="7"/>
      <c r="VVO1194" s="7"/>
      <c r="VVP1194" s="7"/>
      <c r="VVQ1194" s="7"/>
      <c r="VVR1194" s="7"/>
      <c r="VVS1194" s="7"/>
      <c r="VVT1194" s="7"/>
      <c r="VVU1194" s="7"/>
      <c r="VVV1194" s="7"/>
      <c r="VVW1194" s="7"/>
      <c r="VVX1194" s="7"/>
      <c r="VVY1194" s="7"/>
      <c r="VVZ1194" s="7"/>
      <c r="VWA1194" s="7"/>
      <c r="VWB1194" s="7"/>
      <c r="VWC1194" s="7"/>
      <c r="VWD1194" s="7"/>
      <c r="VWE1194" s="7"/>
      <c r="VWF1194" s="7"/>
      <c r="VWG1194" s="7"/>
      <c r="VWH1194" s="7"/>
      <c r="VWI1194" s="7"/>
      <c r="VWJ1194" s="7"/>
      <c r="VWK1194" s="7"/>
      <c r="VWL1194" s="7"/>
      <c r="VWM1194" s="7"/>
      <c r="VWN1194" s="7"/>
      <c r="VWO1194" s="7"/>
      <c r="VWP1194" s="7"/>
      <c r="VWQ1194" s="7"/>
      <c r="VWR1194" s="7"/>
      <c r="VWS1194" s="7"/>
      <c r="VWT1194" s="7"/>
      <c r="VWU1194" s="7"/>
      <c r="VWV1194" s="7"/>
      <c r="VWW1194" s="7"/>
      <c r="VWX1194" s="7"/>
      <c r="VWY1194" s="7"/>
      <c r="VWZ1194" s="7"/>
      <c r="VXA1194" s="7"/>
      <c r="VXB1194" s="7"/>
      <c r="VXC1194" s="7"/>
      <c r="VXD1194" s="7"/>
      <c r="VXE1194" s="7"/>
      <c r="VXF1194" s="7"/>
      <c r="VXG1194" s="7"/>
      <c r="VXH1194" s="7"/>
      <c r="VXI1194" s="7"/>
      <c r="VXJ1194" s="7"/>
      <c r="VXK1194" s="7"/>
      <c r="VXL1194" s="7"/>
      <c r="VXM1194" s="7"/>
      <c r="VXN1194" s="7"/>
      <c r="VXO1194" s="7"/>
      <c r="VXP1194" s="7"/>
      <c r="VXQ1194" s="7"/>
      <c r="VXR1194" s="7"/>
      <c r="VXS1194" s="7"/>
      <c r="VXT1194" s="7"/>
      <c r="VXU1194" s="7"/>
      <c r="VXV1194" s="7"/>
      <c r="VXW1194" s="7"/>
      <c r="VXX1194" s="7"/>
      <c r="VXY1194" s="7"/>
      <c r="VXZ1194" s="7"/>
      <c r="VYA1194" s="7"/>
      <c r="VYB1194" s="7"/>
      <c r="VYC1194" s="7"/>
      <c r="VYD1194" s="7"/>
      <c r="VYE1194" s="7"/>
      <c r="VYF1194" s="7"/>
      <c r="VYG1194" s="7"/>
      <c r="VYH1194" s="7"/>
      <c r="VYI1194" s="7"/>
      <c r="VYJ1194" s="7"/>
      <c r="VYK1194" s="7"/>
      <c r="VYL1194" s="7"/>
      <c r="VYM1194" s="7"/>
      <c r="VYN1194" s="7"/>
      <c r="VYO1194" s="7"/>
      <c r="VYP1194" s="7"/>
      <c r="VYQ1194" s="7"/>
      <c r="VYR1194" s="7"/>
      <c r="VYS1194" s="7"/>
      <c r="VYT1194" s="7"/>
      <c r="VYU1194" s="7"/>
      <c r="VYV1194" s="7"/>
      <c r="VYW1194" s="7"/>
      <c r="VYX1194" s="7"/>
      <c r="VYY1194" s="7"/>
      <c r="VYZ1194" s="7"/>
      <c r="VZA1194" s="7"/>
      <c r="VZB1194" s="7"/>
      <c r="VZC1194" s="7"/>
      <c r="VZD1194" s="7"/>
      <c r="VZE1194" s="7"/>
      <c r="VZF1194" s="7"/>
      <c r="VZG1194" s="7"/>
      <c r="VZH1194" s="7"/>
      <c r="VZI1194" s="7"/>
      <c r="VZJ1194" s="7"/>
      <c r="VZK1194" s="7"/>
      <c r="VZL1194" s="7"/>
      <c r="VZM1194" s="7"/>
      <c r="VZN1194" s="7"/>
      <c r="VZO1194" s="7"/>
      <c r="VZP1194" s="7"/>
      <c r="VZQ1194" s="7"/>
      <c r="VZR1194" s="7"/>
      <c r="VZS1194" s="7"/>
      <c r="VZT1194" s="7"/>
      <c r="VZU1194" s="7"/>
      <c r="VZV1194" s="7"/>
      <c r="VZW1194" s="7"/>
      <c r="VZX1194" s="7"/>
      <c r="VZY1194" s="7"/>
      <c r="VZZ1194" s="7"/>
      <c r="WAA1194" s="7"/>
      <c r="WAB1194" s="7"/>
      <c r="WAC1194" s="7"/>
      <c r="WAD1194" s="7"/>
      <c r="WAE1194" s="7"/>
      <c r="WAF1194" s="7"/>
      <c r="WAG1194" s="7"/>
      <c r="WAH1194" s="7"/>
      <c r="WAI1194" s="7"/>
      <c r="WAJ1194" s="7"/>
      <c r="WAK1194" s="7"/>
      <c r="WAL1194" s="7"/>
      <c r="WAM1194" s="7"/>
      <c r="WAN1194" s="7"/>
      <c r="WAO1194" s="7"/>
      <c r="WAP1194" s="7"/>
      <c r="WAQ1194" s="7"/>
      <c r="WAR1194" s="7"/>
      <c r="WAS1194" s="7"/>
      <c r="WAT1194" s="7"/>
      <c r="WAU1194" s="7"/>
      <c r="WAV1194" s="7"/>
      <c r="WAW1194" s="7"/>
      <c r="WAX1194" s="7"/>
      <c r="WAY1194" s="7"/>
      <c r="WAZ1194" s="7"/>
      <c r="WBA1194" s="7"/>
      <c r="WBB1194" s="7"/>
      <c r="WBC1194" s="7"/>
      <c r="WBD1194" s="7"/>
      <c r="WBE1194" s="7"/>
      <c r="WBF1194" s="7"/>
      <c r="WBG1194" s="7"/>
      <c r="WBH1194" s="7"/>
      <c r="WBI1194" s="7"/>
      <c r="WBJ1194" s="7"/>
      <c r="WBK1194" s="7"/>
      <c r="WBL1194" s="7"/>
      <c r="WBM1194" s="7"/>
      <c r="WBN1194" s="7"/>
      <c r="WBO1194" s="7"/>
      <c r="WBP1194" s="7"/>
      <c r="WBQ1194" s="7"/>
      <c r="WBR1194" s="7"/>
      <c r="WBS1194" s="7"/>
      <c r="WBT1194" s="7"/>
      <c r="WBU1194" s="7"/>
      <c r="WBV1194" s="7"/>
      <c r="WBW1194" s="7"/>
      <c r="WBX1194" s="7"/>
      <c r="WBY1194" s="7"/>
      <c r="WBZ1194" s="7"/>
      <c r="WCA1194" s="7"/>
      <c r="WCB1194" s="7"/>
      <c r="WCC1194" s="7"/>
      <c r="WCD1194" s="7"/>
      <c r="WCE1194" s="7"/>
      <c r="WCF1194" s="7"/>
      <c r="WCG1194" s="7"/>
      <c r="WCH1194" s="7"/>
      <c r="WCI1194" s="7"/>
      <c r="WCJ1194" s="7"/>
      <c r="WCK1194" s="7"/>
      <c r="WCL1194" s="7"/>
      <c r="WCM1194" s="7"/>
      <c r="WCN1194" s="7"/>
      <c r="WCO1194" s="7"/>
      <c r="WCP1194" s="7"/>
      <c r="WCQ1194" s="7"/>
      <c r="WCR1194" s="7"/>
      <c r="WCS1194" s="7"/>
      <c r="WCT1194" s="7"/>
      <c r="WCU1194" s="7"/>
      <c r="WCV1194" s="7"/>
      <c r="WCW1194" s="7"/>
      <c r="WCX1194" s="7"/>
      <c r="WCY1194" s="7"/>
      <c r="WCZ1194" s="7"/>
      <c r="WDA1194" s="7"/>
      <c r="WDB1194" s="7"/>
      <c r="WDC1194" s="7"/>
      <c r="WDD1194" s="7"/>
      <c r="WDE1194" s="7"/>
      <c r="WDF1194" s="7"/>
      <c r="WDG1194" s="7"/>
      <c r="WDH1194" s="7"/>
      <c r="WDI1194" s="7"/>
      <c r="WDJ1194" s="7"/>
      <c r="WDK1194" s="7"/>
      <c r="WDL1194" s="7"/>
      <c r="WDM1194" s="7"/>
      <c r="WDN1194" s="7"/>
      <c r="WDO1194" s="7"/>
      <c r="WDP1194" s="7"/>
      <c r="WDQ1194" s="7"/>
      <c r="WDR1194" s="7"/>
      <c r="WDS1194" s="7"/>
      <c r="WDT1194" s="7"/>
      <c r="WDU1194" s="7"/>
      <c r="WDV1194" s="7"/>
      <c r="WDW1194" s="7"/>
      <c r="WDX1194" s="7"/>
      <c r="WDY1194" s="7"/>
      <c r="WDZ1194" s="7"/>
      <c r="WEA1194" s="7"/>
      <c r="WEB1194" s="7"/>
      <c r="WEC1194" s="7"/>
      <c r="WED1194" s="7"/>
      <c r="WEE1194" s="7"/>
      <c r="WEF1194" s="7"/>
      <c r="WEG1194" s="7"/>
      <c r="WEH1194" s="7"/>
      <c r="WEI1194" s="7"/>
      <c r="WEJ1194" s="7"/>
      <c r="WEK1194" s="7"/>
      <c r="WEL1194" s="7"/>
      <c r="WEM1194" s="7"/>
      <c r="WEN1194" s="7"/>
      <c r="WEO1194" s="7"/>
      <c r="WEP1194" s="7"/>
      <c r="WEQ1194" s="7"/>
      <c r="WER1194" s="7"/>
      <c r="WES1194" s="7"/>
      <c r="WET1194" s="7"/>
      <c r="WEU1194" s="7"/>
      <c r="WEV1194" s="7"/>
      <c r="WEW1194" s="7"/>
      <c r="WEX1194" s="7"/>
      <c r="WEY1194" s="7"/>
      <c r="WEZ1194" s="7"/>
      <c r="WFA1194" s="7"/>
      <c r="WFB1194" s="7"/>
      <c r="WFC1194" s="7"/>
      <c r="WFD1194" s="7"/>
      <c r="WFE1194" s="7"/>
      <c r="WFF1194" s="7"/>
      <c r="WFG1194" s="7"/>
      <c r="WFH1194" s="7"/>
      <c r="WFI1194" s="7"/>
      <c r="WFJ1194" s="7"/>
      <c r="WFK1194" s="7"/>
      <c r="WFL1194" s="7"/>
      <c r="WFM1194" s="7"/>
      <c r="WFN1194" s="7"/>
      <c r="WFO1194" s="7"/>
      <c r="WFP1194" s="7"/>
      <c r="WFQ1194" s="7"/>
      <c r="WFR1194" s="7"/>
      <c r="WFS1194" s="7"/>
      <c r="WFT1194" s="7"/>
      <c r="WFU1194" s="7"/>
      <c r="WFV1194" s="7"/>
      <c r="WFW1194" s="7"/>
      <c r="WFX1194" s="7"/>
      <c r="WFY1194" s="7"/>
      <c r="WFZ1194" s="7"/>
      <c r="WGA1194" s="7"/>
      <c r="WGB1194" s="7"/>
      <c r="WGC1194" s="7"/>
      <c r="WGD1194" s="7"/>
      <c r="WGE1194" s="7"/>
      <c r="WGF1194" s="7"/>
      <c r="WGG1194" s="7"/>
      <c r="WGH1194" s="7"/>
      <c r="WGI1194" s="7"/>
      <c r="WGJ1194" s="7"/>
      <c r="WGK1194" s="7"/>
      <c r="WGL1194" s="7"/>
      <c r="WGM1194" s="7"/>
      <c r="WGN1194" s="7"/>
      <c r="WGO1194" s="7"/>
      <c r="WGP1194" s="7"/>
      <c r="WGQ1194" s="7"/>
      <c r="WGR1194" s="7"/>
      <c r="WGS1194" s="7"/>
      <c r="WGT1194" s="7"/>
      <c r="WGU1194" s="7"/>
      <c r="WGV1194" s="7"/>
      <c r="WGW1194" s="7"/>
      <c r="WGX1194" s="7"/>
      <c r="WGY1194" s="7"/>
      <c r="WGZ1194" s="7"/>
      <c r="WHA1194" s="7"/>
      <c r="WHB1194" s="7"/>
      <c r="WHC1194" s="7"/>
      <c r="WHD1194" s="7"/>
      <c r="WHE1194" s="7"/>
      <c r="WHF1194" s="7"/>
      <c r="WHG1194" s="7"/>
      <c r="WHH1194" s="7"/>
      <c r="WHI1194" s="7"/>
      <c r="WHJ1194" s="7"/>
      <c r="WHK1194" s="7"/>
      <c r="WHL1194" s="7"/>
      <c r="WHM1194" s="7"/>
      <c r="WHN1194" s="7"/>
      <c r="WHO1194" s="7"/>
      <c r="WHP1194" s="7"/>
      <c r="WHQ1194" s="7"/>
      <c r="WHR1194" s="7"/>
      <c r="WHS1194" s="7"/>
      <c r="WHT1194" s="7"/>
      <c r="WHU1194" s="7"/>
      <c r="WHV1194" s="7"/>
      <c r="WHW1194" s="7"/>
      <c r="WHX1194" s="7"/>
      <c r="WHY1194" s="7"/>
      <c r="WHZ1194" s="7"/>
      <c r="WIA1194" s="7"/>
      <c r="WIB1194" s="7"/>
      <c r="WIC1194" s="7"/>
      <c r="WID1194" s="7"/>
      <c r="WIE1194" s="7"/>
      <c r="WIF1194" s="7"/>
      <c r="WIG1194" s="7"/>
      <c r="WIH1194" s="7"/>
      <c r="WII1194" s="7"/>
      <c r="WIJ1194" s="7"/>
      <c r="WIK1194" s="7"/>
      <c r="WIL1194" s="7"/>
      <c r="WIM1194" s="7"/>
      <c r="WIN1194" s="7"/>
      <c r="WIO1194" s="7"/>
      <c r="WIP1194" s="7"/>
      <c r="WIQ1194" s="7"/>
      <c r="WIR1194" s="7"/>
      <c r="WIS1194" s="7"/>
      <c r="WIT1194" s="7"/>
      <c r="WIU1194" s="7"/>
      <c r="WIV1194" s="7"/>
      <c r="WIW1194" s="7"/>
      <c r="WIX1194" s="7"/>
      <c r="WIY1194" s="7"/>
      <c r="WIZ1194" s="7"/>
      <c r="WJA1194" s="7"/>
      <c r="WJB1194" s="7"/>
      <c r="WJC1194" s="7"/>
      <c r="WJD1194" s="7"/>
      <c r="WJE1194" s="7"/>
      <c r="WJF1194" s="7"/>
      <c r="WJG1194" s="7"/>
      <c r="WJH1194" s="7"/>
      <c r="WJI1194" s="7"/>
      <c r="WJJ1194" s="7"/>
      <c r="WJK1194" s="7"/>
      <c r="WJL1194" s="7"/>
      <c r="WJM1194" s="7"/>
      <c r="WJN1194" s="7"/>
      <c r="WJO1194" s="7"/>
      <c r="WJP1194" s="7"/>
      <c r="WJQ1194" s="7"/>
      <c r="WJR1194" s="7"/>
      <c r="WJS1194" s="7"/>
      <c r="WJT1194" s="7"/>
      <c r="WJU1194" s="7"/>
      <c r="WJV1194" s="7"/>
      <c r="WJW1194" s="7"/>
      <c r="WJX1194" s="7"/>
      <c r="WJY1194" s="7"/>
      <c r="WJZ1194" s="7"/>
      <c r="WKA1194" s="7"/>
      <c r="WKB1194" s="7"/>
      <c r="WKC1194" s="7"/>
      <c r="WKD1194" s="7"/>
      <c r="WKE1194" s="7"/>
      <c r="WKF1194" s="7"/>
      <c r="WKG1194" s="7"/>
      <c r="WKH1194" s="7"/>
      <c r="WKI1194" s="7"/>
      <c r="WKJ1194" s="7"/>
      <c r="WKK1194" s="7"/>
      <c r="WKL1194" s="7"/>
      <c r="WKM1194" s="7"/>
      <c r="WKN1194" s="7"/>
      <c r="WKO1194" s="7"/>
      <c r="WKP1194" s="7"/>
      <c r="WKQ1194" s="7"/>
      <c r="WKR1194" s="7"/>
      <c r="WKS1194" s="7"/>
      <c r="WKT1194" s="7"/>
      <c r="WKU1194" s="7"/>
      <c r="WKV1194" s="7"/>
      <c r="WKW1194" s="7"/>
      <c r="WKX1194" s="7"/>
      <c r="WKY1194" s="7"/>
      <c r="WKZ1194" s="7"/>
      <c r="WLA1194" s="7"/>
      <c r="WLB1194" s="7"/>
      <c r="WLC1194" s="7"/>
      <c r="WLD1194" s="7"/>
      <c r="WLE1194" s="7"/>
      <c r="WLF1194" s="7"/>
      <c r="WLG1194" s="7"/>
      <c r="WLH1194" s="7"/>
      <c r="WLI1194" s="7"/>
      <c r="WLJ1194" s="7"/>
      <c r="WLK1194" s="7"/>
      <c r="WLL1194" s="7"/>
      <c r="WLM1194" s="7"/>
      <c r="WLN1194" s="7"/>
      <c r="WLO1194" s="7"/>
      <c r="WLP1194" s="7"/>
      <c r="WLQ1194" s="7"/>
      <c r="WLR1194" s="7"/>
      <c r="WLS1194" s="7"/>
      <c r="WLT1194" s="7"/>
      <c r="WLU1194" s="7"/>
      <c r="WLV1194" s="7"/>
      <c r="WLW1194" s="7"/>
      <c r="WLX1194" s="7"/>
      <c r="WLY1194" s="7"/>
      <c r="WLZ1194" s="7"/>
      <c r="WMA1194" s="7"/>
      <c r="WMB1194" s="7"/>
      <c r="WMC1194" s="7"/>
      <c r="WMD1194" s="7"/>
      <c r="WME1194" s="7"/>
      <c r="WMF1194" s="7"/>
      <c r="WMG1194" s="7"/>
      <c r="WMH1194" s="7"/>
      <c r="WMI1194" s="7"/>
      <c r="WMJ1194" s="7"/>
      <c r="WMK1194" s="7"/>
      <c r="WML1194" s="7"/>
      <c r="WMM1194" s="7"/>
      <c r="WMN1194" s="7"/>
      <c r="WMO1194" s="7"/>
      <c r="WMP1194" s="7"/>
      <c r="WMQ1194" s="7"/>
      <c r="WMR1194" s="7"/>
      <c r="WMS1194" s="7"/>
      <c r="WMT1194" s="7"/>
      <c r="WMU1194" s="7"/>
      <c r="WMV1194" s="7"/>
      <c r="WMW1194" s="7"/>
      <c r="WMX1194" s="7"/>
      <c r="WMY1194" s="7"/>
      <c r="WMZ1194" s="7"/>
      <c r="WNA1194" s="7"/>
      <c r="WNB1194" s="7"/>
      <c r="WNC1194" s="7"/>
      <c r="WND1194" s="7"/>
      <c r="WNE1194" s="7"/>
      <c r="WNF1194" s="7"/>
      <c r="WNG1194" s="7"/>
      <c r="WNH1194" s="7"/>
      <c r="WNI1194" s="7"/>
      <c r="WNJ1194" s="7"/>
      <c r="WNK1194" s="7"/>
      <c r="WNL1194" s="7"/>
      <c r="WNM1194" s="7"/>
      <c r="WNN1194" s="7"/>
      <c r="WNO1194" s="7"/>
      <c r="WNP1194" s="7"/>
      <c r="WNQ1194" s="7"/>
      <c r="WNR1194" s="7"/>
      <c r="WNS1194" s="7"/>
      <c r="WNT1194" s="7"/>
      <c r="WNU1194" s="7"/>
      <c r="WNV1194" s="7"/>
      <c r="WNW1194" s="7"/>
      <c r="WNX1194" s="7"/>
      <c r="WNY1194" s="7"/>
      <c r="WNZ1194" s="7"/>
      <c r="WOA1194" s="7"/>
      <c r="WOB1194" s="7"/>
      <c r="WOC1194" s="7"/>
      <c r="WOD1194" s="7"/>
      <c r="WOE1194" s="7"/>
      <c r="WOF1194" s="7"/>
      <c r="WOG1194" s="7"/>
      <c r="WOH1194" s="7"/>
      <c r="WOI1194" s="7"/>
      <c r="WOJ1194" s="7"/>
      <c r="WOK1194" s="7"/>
      <c r="WOL1194" s="7"/>
      <c r="WOM1194" s="7"/>
      <c r="WON1194" s="7"/>
      <c r="WOO1194" s="7"/>
      <c r="WOP1194" s="7"/>
      <c r="WOQ1194" s="7"/>
      <c r="WOR1194" s="7"/>
      <c r="WOS1194" s="7"/>
      <c r="WOT1194" s="7"/>
      <c r="WOU1194" s="7"/>
      <c r="WOV1194" s="7"/>
      <c r="WOW1194" s="7"/>
      <c r="WOX1194" s="7"/>
      <c r="WOY1194" s="7"/>
      <c r="WOZ1194" s="7"/>
      <c r="WPA1194" s="7"/>
      <c r="WPB1194" s="7"/>
      <c r="WPC1194" s="7"/>
      <c r="WPD1194" s="7"/>
      <c r="WPE1194" s="7"/>
      <c r="WPF1194" s="7"/>
      <c r="WPG1194" s="7"/>
      <c r="WPH1194" s="7"/>
      <c r="WPI1194" s="7"/>
      <c r="WPJ1194" s="7"/>
      <c r="WPK1194" s="7"/>
      <c r="WPL1194" s="7"/>
      <c r="WPM1194" s="7"/>
      <c r="WPN1194" s="7"/>
      <c r="WPO1194" s="7"/>
      <c r="WPP1194" s="7"/>
      <c r="WPQ1194" s="7"/>
      <c r="WPR1194" s="7"/>
      <c r="WPS1194" s="7"/>
      <c r="WPT1194" s="7"/>
      <c r="WPU1194" s="7"/>
      <c r="WPV1194" s="7"/>
      <c r="WPW1194" s="7"/>
      <c r="WPX1194" s="7"/>
      <c r="WPY1194" s="7"/>
      <c r="WPZ1194" s="7"/>
      <c r="WQA1194" s="7"/>
      <c r="WQB1194" s="7"/>
      <c r="WQC1194" s="7"/>
      <c r="WQD1194" s="7"/>
      <c r="WQE1194" s="7"/>
      <c r="WQF1194" s="7"/>
      <c r="WQG1194" s="7"/>
      <c r="WQH1194" s="7"/>
      <c r="WQI1194" s="7"/>
      <c r="WQJ1194" s="7"/>
      <c r="WQK1194" s="7"/>
      <c r="WQL1194" s="7"/>
      <c r="WQM1194" s="7"/>
      <c r="WQN1194" s="7"/>
      <c r="WQO1194" s="7"/>
      <c r="WQP1194" s="7"/>
      <c r="WQQ1194" s="7"/>
      <c r="WQR1194" s="7"/>
      <c r="WQS1194" s="7"/>
      <c r="WQT1194" s="7"/>
      <c r="WQU1194" s="7"/>
      <c r="WQV1194" s="7"/>
      <c r="WQW1194" s="7"/>
      <c r="WQX1194" s="7"/>
      <c r="WQY1194" s="7"/>
      <c r="WQZ1194" s="7"/>
      <c r="WRA1194" s="7"/>
      <c r="WRB1194" s="7"/>
      <c r="WRC1194" s="7"/>
      <c r="WRD1194" s="7"/>
      <c r="WRE1194" s="7"/>
      <c r="WRF1194" s="7"/>
      <c r="WRG1194" s="7"/>
      <c r="WRH1194" s="7"/>
      <c r="WRI1194" s="7"/>
      <c r="WRJ1194" s="7"/>
      <c r="WRK1194" s="7"/>
      <c r="WRL1194" s="7"/>
      <c r="WRM1194" s="7"/>
      <c r="WRN1194" s="7"/>
      <c r="WRO1194" s="7"/>
      <c r="WRP1194" s="7"/>
      <c r="WRQ1194" s="7"/>
      <c r="WRR1194" s="7"/>
      <c r="WRS1194" s="7"/>
      <c r="WRT1194" s="7"/>
      <c r="WRU1194" s="7"/>
      <c r="WRV1194" s="7"/>
      <c r="WRW1194" s="7"/>
      <c r="WRX1194" s="7"/>
      <c r="WRY1194" s="7"/>
      <c r="WRZ1194" s="7"/>
      <c r="WSA1194" s="7"/>
      <c r="WSB1194" s="7"/>
      <c r="WSC1194" s="7"/>
      <c r="WSD1194" s="7"/>
      <c r="WSE1194" s="7"/>
      <c r="WSF1194" s="7"/>
      <c r="WSG1194" s="7"/>
      <c r="WSH1194" s="7"/>
      <c r="WSI1194" s="7"/>
      <c r="WSJ1194" s="7"/>
      <c r="WSK1194" s="7"/>
      <c r="WSL1194" s="7"/>
      <c r="WSM1194" s="7"/>
      <c r="WSN1194" s="7"/>
      <c r="WSO1194" s="7"/>
      <c r="WSP1194" s="7"/>
      <c r="WSQ1194" s="7"/>
      <c r="WSR1194" s="7"/>
      <c r="WSS1194" s="7"/>
      <c r="WST1194" s="7"/>
      <c r="WSU1194" s="7"/>
      <c r="WSV1194" s="7"/>
      <c r="WSW1194" s="7"/>
      <c r="WSX1194" s="7"/>
      <c r="WSY1194" s="7"/>
      <c r="WSZ1194" s="7"/>
      <c r="WTA1194" s="7"/>
      <c r="WTB1194" s="7"/>
      <c r="WTC1194" s="7"/>
      <c r="WTD1194" s="7"/>
      <c r="WTE1194" s="7"/>
      <c r="WTF1194" s="7"/>
      <c r="WTG1194" s="7"/>
      <c r="WTH1194" s="7"/>
      <c r="WTI1194" s="7"/>
      <c r="WTJ1194" s="7"/>
      <c r="WTK1194" s="7"/>
      <c r="WTL1194" s="7"/>
      <c r="WTM1194" s="7"/>
      <c r="WTN1194" s="7"/>
      <c r="WTO1194" s="7"/>
      <c r="WTP1194" s="7"/>
      <c r="WTQ1194" s="7"/>
      <c r="WTR1194" s="7"/>
      <c r="WTS1194" s="7"/>
      <c r="WTT1194" s="7"/>
      <c r="WTU1194" s="7"/>
      <c r="WTV1194" s="7"/>
      <c r="WTW1194" s="7"/>
      <c r="WTX1194" s="7"/>
      <c r="WTY1194" s="7"/>
      <c r="WTZ1194" s="7"/>
      <c r="WUA1194" s="7"/>
      <c r="WUB1194" s="7"/>
      <c r="WUC1194" s="7"/>
      <c r="WUD1194" s="7"/>
      <c r="WUE1194" s="7"/>
      <c r="WUF1194" s="7"/>
      <c r="WUG1194" s="7"/>
      <c r="WUH1194" s="7"/>
      <c r="WUI1194" s="7"/>
      <c r="WUJ1194" s="7"/>
      <c r="WUK1194" s="7"/>
      <c r="WUL1194" s="7"/>
      <c r="WUM1194" s="7"/>
      <c r="WUN1194" s="7"/>
      <c r="WUO1194" s="7"/>
      <c r="WUP1194" s="7"/>
      <c r="WUQ1194" s="7"/>
      <c r="WUR1194" s="7"/>
      <c r="WUS1194" s="7"/>
      <c r="WUT1194" s="7"/>
      <c r="WUU1194" s="7"/>
      <c r="WUV1194" s="7"/>
      <c r="WUW1194" s="7"/>
      <c r="WUX1194" s="7"/>
      <c r="WUY1194" s="7"/>
      <c r="WUZ1194" s="7"/>
      <c r="WVA1194" s="7"/>
      <c r="WVB1194" s="7"/>
      <c r="WVC1194" s="7"/>
      <c r="WVD1194" s="7"/>
      <c r="WVE1194" s="7"/>
      <c r="WVF1194" s="7"/>
      <c r="WVG1194" s="7"/>
      <c r="WVH1194" s="7"/>
      <c r="WVI1194" s="7"/>
      <c r="WVJ1194" s="7"/>
      <c r="WVK1194" s="7"/>
      <c r="WVL1194" s="7"/>
      <c r="WVM1194" s="7"/>
      <c r="WVN1194" s="7"/>
      <c r="WVO1194" s="7"/>
      <c r="WVP1194" s="7"/>
      <c r="WVQ1194" s="7"/>
      <c r="WVR1194" s="7"/>
      <c r="WVS1194" s="7"/>
      <c r="WVT1194" s="7"/>
      <c r="WVU1194" s="7"/>
      <c r="WVV1194" s="7"/>
      <c r="WVW1194" s="7"/>
      <c r="WVX1194" s="7"/>
      <c r="WVY1194" s="7"/>
      <c r="WVZ1194" s="7"/>
      <c r="WWA1194" s="7"/>
      <c r="WWB1194" s="7"/>
      <c r="WWC1194" s="7"/>
      <c r="WWD1194" s="7"/>
      <c r="WWE1194" s="7"/>
      <c r="WWF1194" s="7"/>
      <c r="WWG1194" s="7"/>
      <c r="WWH1194" s="7"/>
      <c r="WWI1194" s="7"/>
      <c r="WWJ1194" s="7"/>
      <c r="WWK1194" s="7"/>
      <c r="WWL1194" s="7"/>
      <c r="WWM1194" s="7"/>
      <c r="WWN1194" s="7"/>
      <c r="WWO1194" s="7"/>
      <c r="WWP1194" s="7"/>
      <c r="WWQ1194" s="7"/>
      <c r="WWR1194" s="7"/>
      <c r="WWS1194" s="7"/>
      <c r="WWT1194" s="7"/>
      <c r="WWU1194" s="7"/>
      <c r="WWV1194" s="7"/>
      <c r="WWW1194" s="7"/>
      <c r="WWX1194" s="7"/>
      <c r="WWY1194" s="7"/>
      <c r="WWZ1194" s="7"/>
      <c r="WXA1194" s="7"/>
      <c r="WXB1194" s="7"/>
      <c r="WXC1194" s="7"/>
      <c r="WXD1194" s="7"/>
      <c r="WXE1194" s="7"/>
      <c r="WXF1194" s="7"/>
      <c r="WXG1194" s="7"/>
      <c r="WXH1194" s="7"/>
      <c r="WXI1194" s="7"/>
      <c r="WXJ1194" s="7"/>
      <c r="WXK1194" s="7"/>
      <c r="WXL1194" s="7"/>
      <c r="WXM1194" s="7"/>
      <c r="WXN1194" s="7"/>
      <c r="WXO1194" s="7"/>
      <c r="WXP1194" s="7"/>
      <c r="WXQ1194" s="7"/>
      <c r="WXR1194" s="7"/>
      <c r="WXS1194" s="7"/>
      <c r="WXT1194" s="7"/>
      <c r="WXU1194" s="7"/>
      <c r="WXV1194" s="7"/>
      <c r="WXW1194" s="7"/>
      <c r="WXX1194" s="7"/>
      <c r="WXY1194" s="7"/>
      <c r="WXZ1194" s="7"/>
      <c r="WYA1194" s="7"/>
    </row>
    <row r="1195" spans="1:16199" customFormat="1" ht="61.5" x14ac:dyDescent="0.85">
      <c r="A1195" s="7">
        <v>1</v>
      </c>
      <c r="B1195" s="59">
        <f>SUBTOTAL(103,$A$1032:A1195)</f>
        <v>161</v>
      </c>
      <c r="C1195" s="160" t="s">
        <v>2012</v>
      </c>
      <c r="D1195" s="60">
        <f t="shared" si="196"/>
        <v>3566490.02</v>
      </c>
      <c r="E1195" s="60">
        <v>0</v>
      </c>
      <c r="F1195" s="60">
        <v>0</v>
      </c>
      <c r="G1195" s="60">
        <v>0</v>
      </c>
      <c r="H1195" s="60">
        <v>0</v>
      </c>
      <c r="I1195" s="60">
        <v>0</v>
      </c>
      <c r="J1195" s="60">
        <v>0</v>
      </c>
      <c r="K1195" s="168">
        <v>2</v>
      </c>
      <c r="L1195" s="60">
        <v>3540731.2</v>
      </c>
      <c r="M1195" s="60">
        <v>0</v>
      </c>
      <c r="N1195" s="60">
        <v>0</v>
      </c>
      <c r="O1195" s="60">
        <v>0</v>
      </c>
      <c r="P1195" s="60">
        <v>0</v>
      </c>
      <c r="Q1195" s="60">
        <v>0</v>
      </c>
      <c r="R1195" s="60">
        <v>0</v>
      </c>
      <c r="S1195" s="60">
        <v>0</v>
      </c>
      <c r="T1195" s="60">
        <v>0</v>
      </c>
      <c r="U1195" s="60">
        <v>0</v>
      </c>
      <c r="V1195" s="60">
        <v>0</v>
      </c>
      <c r="W1195" s="60">
        <v>0</v>
      </c>
      <c r="X1195" s="60">
        <v>0</v>
      </c>
      <c r="Y1195" s="60">
        <v>0</v>
      </c>
      <c r="Z1195" s="60">
        <v>0</v>
      </c>
      <c r="AA1195" s="60">
        <v>0</v>
      </c>
      <c r="AB1195" s="60">
        <v>0</v>
      </c>
      <c r="AC1195" s="60">
        <v>25758.82</v>
      </c>
      <c r="AD1195" s="60">
        <v>0</v>
      </c>
      <c r="AE1195" s="60">
        <v>0</v>
      </c>
      <c r="AF1195" s="170" t="s">
        <v>257</v>
      </c>
      <c r="AG1195" s="170">
        <v>2022</v>
      </c>
      <c r="AH1195" s="63">
        <v>2022</v>
      </c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  <c r="BZ1195" s="7"/>
      <c r="CA1195" s="7"/>
      <c r="CB1195" s="7"/>
      <c r="CC1195" s="7"/>
      <c r="CD1195" s="7"/>
      <c r="CE1195" s="7"/>
      <c r="CF1195" s="7"/>
      <c r="CG1195" s="7"/>
      <c r="CH1195" s="7"/>
      <c r="CI1195" s="7"/>
      <c r="CJ1195" s="7"/>
      <c r="CK1195" s="7"/>
      <c r="CL1195" s="7"/>
      <c r="CM1195" s="7"/>
      <c r="CN1195" s="7"/>
      <c r="CO1195" s="7"/>
      <c r="CP1195" s="7"/>
      <c r="CQ1195" s="7"/>
      <c r="CR1195" s="7"/>
      <c r="CS1195" s="7"/>
      <c r="CT1195" s="7"/>
      <c r="CU1195" s="7"/>
      <c r="CV1195" s="7"/>
      <c r="CW1195" s="7"/>
      <c r="CX1195" s="7"/>
      <c r="CY1195" s="7"/>
      <c r="CZ1195" s="7"/>
      <c r="DA1195" s="7"/>
      <c r="DB1195" s="7"/>
      <c r="DC1195" s="7"/>
      <c r="DD1195" s="7"/>
      <c r="DE1195" s="7"/>
      <c r="DF1195" s="7"/>
      <c r="DG1195" s="7"/>
      <c r="DH1195" s="7"/>
      <c r="DI1195" s="7"/>
      <c r="DJ1195" s="7"/>
      <c r="DK1195" s="7"/>
      <c r="DL1195" s="7"/>
      <c r="DM1195" s="7"/>
      <c r="DN1195" s="7"/>
      <c r="DO1195" s="7"/>
      <c r="DP1195" s="7"/>
      <c r="DQ1195" s="7"/>
      <c r="DR1195" s="7"/>
      <c r="DS1195" s="7"/>
      <c r="DT1195" s="7"/>
      <c r="DU1195" s="7"/>
      <c r="DV1195" s="7"/>
      <c r="DW1195" s="7"/>
      <c r="DX1195" s="7"/>
      <c r="DY1195" s="7"/>
      <c r="DZ1195" s="7"/>
      <c r="EA1195" s="7"/>
      <c r="EB1195" s="7"/>
      <c r="EC1195" s="7"/>
      <c r="ED1195" s="7"/>
      <c r="EE1195" s="7"/>
      <c r="EF1195" s="7"/>
      <c r="EG1195" s="7"/>
      <c r="EH1195" s="7"/>
      <c r="EI1195" s="7"/>
      <c r="EJ1195" s="7"/>
      <c r="EK1195" s="7"/>
      <c r="EL1195" s="7"/>
      <c r="EM1195" s="7"/>
      <c r="EN1195" s="7"/>
      <c r="EO1195" s="7"/>
      <c r="EP1195" s="7"/>
      <c r="EQ1195" s="7"/>
      <c r="ER1195" s="7"/>
      <c r="ES1195" s="7"/>
      <c r="ET1195" s="7"/>
      <c r="EU1195" s="7"/>
      <c r="EV1195" s="7"/>
      <c r="EW1195" s="7"/>
      <c r="EX1195" s="7"/>
      <c r="EY1195" s="7"/>
      <c r="EZ1195" s="7"/>
      <c r="FA1195" s="7"/>
      <c r="FB1195" s="7"/>
      <c r="FC1195" s="7"/>
      <c r="FD1195" s="7"/>
      <c r="FE1195" s="7"/>
      <c r="FF1195" s="7"/>
      <c r="FG1195" s="7"/>
      <c r="FH1195" s="7"/>
      <c r="FI1195" s="7"/>
      <c r="FJ1195" s="7"/>
      <c r="FK1195" s="7"/>
      <c r="FL1195" s="7"/>
      <c r="FM1195" s="7"/>
      <c r="FN1195" s="7"/>
      <c r="FO1195" s="7"/>
      <c r="FP1195" s="7"/>
      <c r="FQ1195" s="7"/>
      <c r="FR1195" s="7"/>
      <c r="FS1195" s="7"/>
      <c r="FT1195" s="7"/>
      <c r="FU1195" s="7"/>
      <c r="FV1195" s="7"/>
      <c r="FW1195" s="7"/>
      <c r="FX1195" s="7"/>
      <c r="FY1195" s="7"/>
      <c r="FZ1195" s="7"/>
      <c r="GA1195" s="7"/>
      <c r="GB1195" s="7"/>
      <c r="GC1195" s="7"/>
      <c r="GD1195" s="7"/>
      <c r="GE1195" s="7"/>
      <c r="GF1195" s="7"/>
      <c r="GG1195" s="7"/>
      <c r="GH1195" s="7"/>
      <c r="GI1195" s="7"/>
      <c r="GJ1195" s="7"/>
      <c r="GK1195" s="7"/>
      <c r="GL1195" s="7"/>
      <c r="GM1195" s="7"/>
      <c r="GN1195" s="7"/>
      <c r="GO1195" s="7"/>
      <c r="GP1195" s="7"/>
      <c r="GQ1195" s="7"/>
      <c r="GR1195" s="7"/>
      <c r="GS1195" s="7"/>
      <c r="GT1195" s="7"/>
      <c r="GU1195" s="7"/>
      <c r="GV1195" s="7"/>
      <c r="GW1195" s="7"/>
      <c r="GX1195" s="7"/>
      <c r="GY1195" s="7"/>
      <c r="GZ1195" s="7"/>
      <c r="HA1195" s="7"/>
      <c r="HB1195" s="7"/>
      <c r="HC1195" s="7"/>
      <c r="HD1195" s="7"/>
      <c r="HE1195" s="7"/>
      <c r="HF1195" s="7"/>
      <c r="HG1195" s="7"/>
      <c r="HH1195" s="7"/>
      <c r="HI1195" s="7"/>
      <c r="HJ1195" s="7"/>
      <c r="HK1195" s="7"/>
      <c r="HL1195" s="7"/>
      <c r="HM1195" s="7"/>
      <c r="HN1195" s="7"/>
      <c r="HO1195" s="7"/>
      <c r="HP1195" s="7"/>
      <c r="HQ1195" s="7"/>
      <c r="HR1195" s="7"/>
      <c r="HS1195" s="7"/>
      <c r="HT1195" s="7"/>
      <c r="HU1195" s="7"/>
      <c r="HV1195" s="7"/>
      <c r="HW1195" s="7"/>
      <c r="HX1195" s="7"/>
      <c r="HY1195" s="7"/>
      <c r="HZ1195" s="7"/>
      <c r="IA1195" s="7"/>
      <c r="IB1195" s="7"/>
      <c r="IC1195" s="7"/>
      <c r="ID1195" s="7"/>
      <c r="IE1195" s="7"/>
      <c r="IF1195" s="7"/>
      <c r="IG1195" s="7"/>
      <c r="IH1195" s="7"/>
      <c r="II1195" s="7"/>
      <c r="IJ1195" s="7"/>
      <c r="IK1195" s="7"/>
      <c r="IL1195" s="7"/>
      <c r="IM1195" s="7"/>
      <c r="IN1195" s="7"/>
      <c r="IO1195" s="7"/>
      <c r="IP1195" s="7"/>
      <c r="IQ1195" s="7"/>
      <c r="IR1195" s="7"/>
      <c r="IS1195" s="7"/>
      <c r="IT1195" s="7"/>
      <c r="IU1195" s="7"/>
      <c r="IV1195" s="7"/>
      <c r="IW1195" s="7"/>
      <c r="IX1195" s="7"/>
      <c r="IY1195" s="7"/>
      <c r="IZ1195" s="7"/>
      <c r="JA1195" s="7"/>
      <c r="JB1195" s="7"/>
      <c r="JC1195" s="7"/>
      <c r="JD1195" s="7"/>
      <c r="JE1195" s="7"/>
      <c r="JF1195" s="7"/>
      <c r="JG1195" s="7"/>
      <c r="JH1195" s="7"/>
      <c r="JI1195" s="7"/>
      <c r="JJ1195" s="7"/>
      <c r="JK1195" s="7"/>
      <c r="JL1195" s="7"/>
      <c r="JM1195" s="7"/>
      <c r="JN1195" s="7"/>
      <c r="JO1195" s="7"/>
      <c r="JP1195" s="7"/>
      <c r="JQ1195" s="7"/>
      <c r="JR1195" s="7"/>
      <c r="JS1195" s="7"/>
      <c r="JT1195" s="7"/>
      <c r="JU1195" s="7"/>
      <c r="JV1195" s="7"/>
      <c r="JW1195" s="7"/>
      <c r="JX1195" s="7"/>
      <c r="JY1195" s="7"/>
      <c r="JZ1195" s="7"/>
      <c r="KA1195" s="7"/>
      <c r="KB1195" s="7"/>
      <c r="KC1195" s="7"/>
      <c r="KD1195" s="7"/>
      <c r="KE1195" s="7"/>
      <c r="KF1195" s="7"/>
      <c r="KG1195" s="7"/>
      <c r="KH1195" s="7"/>
      <c r="KI1195" s="7"/>
      <c r="KJ1195" s="7"/>
      <c r="KK1195" s="7"/>
      <c r="KL1195" s="7"/>
      <c r="KM1195" s="7"/>
      <c r="KN1195" s="7"/>
      <c r="KO1195" s="7"/>
      <c r="KP1195" s="7"/>
      <c r="KQ1195" s="7"/>
      <c r="KR1195" s="7"/>
      <c r="KS1195" s="7"/>
      <c r="KT1195" s="7"/>
      <c r="KU1195" s="7"/>
      <c r="KV1195" s="7"/>
      <c r="KW1195" s="7"/>
      <c r="KX1195" s="7"/>
      <c r="KY1195" s="7"/>
      <c r="KZ1195" s="7"/>
      <c r="LA1195" s="7"/>
      <c r="LB1195" s="7"/>
      <c r="LC1195" s="7"/>
      <c r="LD1195" s="7"/>
      <c r="LE1195" s="7"/>
      <c r="LF1195" s="7"/>
      <c r="LG1195" s="7"/>
      <c r="LH1195" s="7"/>
      <c r="LI1195" s="7"/>
      <c r="LJ1195" s="7"/>
      <c r="LK1195" s="7"/>
      <c r="LL1195" s="7"/>
      <c r="LM1195" s="7"/>
      <c r="LN1195" s="7"/>
      <c r="LO1195" s="7"/>
      <c r="LP1195" s="7"/>
      <c r="LQ1195" s="7"/>
      <c r="LR1195" s="7"/>
      <c r="LS1195" s="7"/>
      <c r="LT1195" s="7"/>
      <c r="LU1195" s="7"/>
      <c r="LV1195" s="7"/>
      <c r="LW1195" s="7"/>
      <c r="LX1195" s="7"/>
      <c r="LY1195" s="7"/>
      <c r="LZ1195" s="7"/>
      <c r="MA1195" s="7"/>
      <c r="MB1195" s="7"/>
      <c r="MC1195" s="7"/>
      <c r="MD1195" s="7"/>
      <c r="ME1195" s="7"/>
      <c r="MF1195" s="7"/>
      <c r="MG1195" s="7"/>
      <c r="MH1195" s="7"/>
      <c r="MI1195" s="7"/>
      <c r="MJ1195" s="7"/>
      <c r="MK1195" s="7"/>
      <c r="ML1195" s="7"/>
      <c r="MM1195" s="7"/>
      <c r="MN1195" s="7"/>
      <c r="MO1195" s="7"/>
      <c r="MP1195" s="7"/>
      <c r="MQ1195" s="7"/>
      <c r="MR1195" s="7"/>
      <c r="MS1195" s="7"/>
      <c r="MT1195" s="7"/>
      <c r="MU1195" s="7"/>
      <c r="MV1195" s="7"/>
      <c r="MW1195" s="7"/>
      <c r="MX1195" s="7"/>
      <c r="MY1195" s="7"/>
      <c r="MZ1195" s="7"/>
      <c r="NA1195" s="7"/>
      <c r="NB1195" s="7"/>
      <c r="NC1195" s="7"/>
      <c r="ND1195" s="7"/>
      <c r="NE1195" s="7"/>
      <c r="NF1195" s="7"/>
      <c r="NG1195" s="7"/>
      <c r="NH1195" s="7"/>
      <c r="NI1195" s="7"/>
      <c r="NJ1195" s="7"/>
      <c r="NK1195" s="7"/>
      <c r="NL1195" s="7"/>
      <c r="NM1195" s="7"/>
      <c r="NN1195" s="7"/>
      <c r="NO1195" s="7"/>
      <c r="NP1195" s="7"/>
      <c r="NQ1195" s="7"/>
      <c r="NR1195" s="7"/>
      <c r="NS1195" s="7"/>
      <c r="NT1195" s="7"/>
      <c r="NU1195" s="7"/>
      <c r="NV1195" s="7"/>
      <c r="NW1195" s="7"/>
      <c r="NX1195" s="7"/>
      <c r="NY1195" s="7"/>
      <c r="NZ1195" s="7"/>
      <c r="OA1195" s="7"/>
      <c r="OB1195" s="7"/>
      <c r="OC1195" s="7"/>
      <c r="OD1195" s="7"/>
      <c r="OE1195" s="7"/>
      <c r="OF1195" s="7"/>
      <c r="OG1195" s="7"/>
      <c r="OH1195" s="7"/>
      <c r="OI1195" s="7"/>
      <c r="OJ1195" s="7"/>
      <c r="OK1195" s="7"/>
      <c r="OL1195" s="7"/>
      <c r="OM1195" s="7"/>
      <c r="ON1195" s="7"/>
      <c r="OO1195" s="7"/>
      <c r="OP1195" s="7"/>
      <c r="OQ1195" s="7"/>
      <c r="OR1195" s="7"/>
      <c r="OS1195" s="7"/>
      <c r="OT1195" s="7"/>
      <c r="OU1195" s="7"/>
      <c r="OV1195" s="7"/>
      <c r="OW1195" s="7"/>
      <c r="OX1195" s="7"/>
      <c r="OY1195" s="7"/>
      <c r="OZ1195" s="7"/>
      <c r="PA1195" s="7"/>
      <c r="PB1195" s="7"/>
      <c r="PC1195" s="7"/>
      <c r="PD1195" s="7"/>
      <c r="PE1195" s="7"/>
      <c r="PF1195" s="7"/>
      <c r="PG1195" s="7"/>
      <c r="PH1195" s="7"/>
      <c r="PI1195" s="7"/>
      <c r="PJ1195" s="7"/>
      <c r="PK1195" s="7"/>
      <c r="PL1195" s="7"/>
      <c r="PM1195" s="7"/>
      <c r="PN1195" s="7"/>
      <c r="PO1195" s="7"/>
      <c r="PP1195" s="7"/>
      <c r="PQ1195" s="7"/>
      <c r="PR1195" s="7"/>
      <c r="PS1195" s="7"/>
      <c r="PT1195" s="7"/>
      <c r="PU1195" s="7"/>
      <c r="PV1195" s="7"/>
      <c r="PW1195" s="7"/>
      <c r="PX1195" s="7"/>
      <c r="PY1195" s="7"/>
      <c r="PZ1195" s="7"/>
      <c r="QA1195" s="7"/>
      <c r="QB1195" s="7"/>
      <c r="QC1195" s="7"/>
      <c r="QD1195" s="7"/>
      <c r="QE1195" s="7"/>
      <c r="QF1195" s="7"/>
      <c r="QG1195" s="7"/>
      <c r="QH1195" s="7"/>
      <c r="QI1195" s="7"/>
      <c r="QJ1195" s="7"/>
      <c r="QK1195" s="7"/>
      <c r="QL1195" s="7"/>
      <c r="QM1195" s="7"/>
      <c r="QN1195" s="7"/>
      <c r="QO1195" s="7"/>
      <c r="QP1195" s="7"/>
      <c r="QQ1195" s="7"/>
      <c r="QR1195" s="7"/>
      <c r="QS1195" s="7"/>
      <c r="QT1195" s="7"/>
      <c r="QU1195" s="7"/>
      <c r="QV1195" s="7"/>
      <c r="QW1195" s="7"/>
      <c r="QX1195" s="7"/>
      <c r="QY1195" s="7"/>
      <c r="QZ1195" s="7"/>
      <c r="RA1195" s="7"/>
      <c r="RB1195" s="7"/>
      <c r="RC1195" s="7"/>
      <c r="RD1195" s="7"/>
      <c r="RE1195" s="7"/>
      <c r="RF1195" s="7"/>
      <c r="RG1195" s="7"/>
      <c r="RH1195" s="7"/>
      <c r="RI1195" s="7"/>
      <c r="RJ1195" s="7"/>
      <c r="RK1195" s="7"/>
      <c r="RL1195" s="7"/>
      <c r="RM1195" s="7"/>
      <c r="RN1195" s="7"/>
      <c r="RO1195" s="7"/>
      <c r="RP1195" s="7"/>
      <c r="RQ1195" s="7"/>
      <c r="RR1195" s="7"/>
      <c r="RS1195" s="7"/>
      <c r="RT1195" s="7"/>
      <c r="RU1195" s="7"/>
      <c r="RV1195" s="7"/>
      <c r="RW1195" s="7"/>
      <c r="RX1195" s="7"/>
      <c r="RY1195" s="7"/>
      <c r="RZ1195" s="7"/>
      <c r="SA1195" s="7"/>
      <c r="SB1195" s="7"/>
      <c r="SC1195" s="7"/>
      <c r="SD1195" s="7"/>
      <c r="SE1195" s="7"/>
      <c r="SF1195" s="7"/>
      <c r="SG1195" s="7"/>
      <c r="SH1195" s="7"/>
      <c r="SI1195" s="7"/>
      <c r="SJ1195" s="7"/>
      <c r="SK1195" s="7"/>
      <c r="SL1195" s="7"/>
      <c r="SM1195" s="7"/>
      <c r="SN1195" s="7"/>
      <c r="SO1195" s="7"/>
      <c r="SP1195" s="7"/>
      <c r="SQ1195" s="7"/>
      <c r="SR1195" s="7"/>
      <c r="SS1195" s="7"/>
      <c r="ST1195" s="7"/>
      <c r="SU1195" s="7"/>
      <c r="SV1195" s="7"/>
      <c r="SW1195" s="7"/>
      <c r="SX1195" s="7"/>
      <c r="SY1195" s="7"/>
      <c r="SZ1195" s="7"/>
      <c r="TA1195" s="7"/>
      <c r="TB1195" s="7"/>
      <c r="TC1195" s="7"/>
      <c r="TD1195" s="7"/>
      <c r="TE1195" s="7"/>
      <c r="TF1195" s="7"/>
      <c r="TG1195" s="7"/>
      <c r="TH1195" s="7"/>
      <c r="TI1195" s="7"/>
      <c r="TJ1195" s="7"/>
      <c r="TK1195" s="7"/>
      <c r="TL1195" s="7"/>
      <c r="TM1195" s="7"/>
      <c r="TN1195" s="7"/>
      <c r="TO1195" s="7"/>
      <c r="TP1195" s="7"/>
      <c r="TQ1195" s="7"/>
      <c r="TR1195" s="7"/>
      <c r="TS1195" s="7"/>
      <c r="TT1195" s="7"/>
      <c r="TU1195" s="7"/>
      <c r="TV1195" s="7"/>
      <c r="TW1195" s="7"/>
      <c r="TX1195" s="7"/>
      <c r="TY1195" s="7"/>
      <c r="TZ1195" s="7"/>
      <c r="UA1195" s="7"/>
      <c r="UB1195" s="7"/>
      <c r="UC1195" s="7"/>
      <c r="UD1195" s="7"/>
      <c r="UE1195" s="7"/>
      <c r="UF1195" s="7"/>
      <c r="UG1195" s="7"/>
      <c r="UH1195" s="7"/>
      <c r="UI1195" s="7"/>
      <c r="UJ1195" s="7"/>
      <c r="UK1195" s="7"/>
      <c r="UL1195" s="7"/>
      <c r="UM1195" s="7"/>
      <c r="UN1195" s="7"/>
      <c r="UO1195" s="7"/>
      <c r="UP1195" s="7"/>
      <c r="UQ1195" s="7"/>
      <c r="UR1195" s="7"/>
      <c r="US1195" s="7"/>
      <c r="UT1195" s="7"/>
      <c r="UU1195" s="7"/>
      <c r="UV1195" s="7"/>
      <c r="UW1195" s="7"/>
      <c r="UX1195" s="7"/>
      <c r="UY1195" s="7"/>
      <c r="UZ1195" s="7"/>
      <c r="VA1195" s="7"/>
      <c r="VB1195" s="7"/>
      <c r="VC1195" s="7"/>
      <c r="VD1195" s="7"/>
      <c r="VE1195" s="7"/>
      <c r="VF1195" s="7"/>
      <c r="VG1195" s="7"/>
      <c r="VH1195" s="7"/>
      <c r="VI1195" s="7"/>
      <c r="VJ1195" s="7"/>
      <c r="VK1195" s="7"/>
      <c r="VL1195" s="7"/>
      <c r="VM1195" s="7"/>
      <c r="VN1195" s="7"/>
      <c r="VO1195" s="7"/>
      <c r="VP1195" s="7"/>
      <c r="VQ1195" s="7"/>
      <c r="VR1195" s="7"/>
      <c r="VS1195" s="7"/>
      <c r="VT1195" s="7"/>
      <c r="VU1195" s="7"/>
      <c r="VV1195" s="7"/>
      <c r="VW1195" s="7"/>
      <c r="VX1195" s="7"/>
      <c r="VY1195" s="7"/>
      <c r="VZ1195" s="7"/>
      <c r="WA1195" s="7"/>
      <c r="WB1195" s="7"/>
      <c r="WC1195" s="7"/>
      <c r="WD1195" s="7"/>
      <c r="WE1195" s="7"/>
      <c r="WF1195" s="7"/>
      <c r="WG1195" s="7"/>
      <c r="WH1195" s="7"/>
      <c r="WI1195" s="7"/>
      <c r="WJ1195" s="7"/>
      <c r="WK1195" s="7"/>
      <c r="WL1195" s="7"/>
      <c r="WM1195" s="7"/>
      <c r="WN1195" s="7"/>
      <c r="WO1195" s="7"/>
      <c r="WP1195" s="7"/>
      <c r="WQ1195" s="7"/>
      <c r="WR1195" s="7"/>
      <c r="WS1195" s="7"/>
      <c r="WT1195" s="7"/>
      <c r="WU1195" s="7"/>
      <c r="WV1195" s="7"/>
      <c r="WW1195" s="7"/>
      <c r="WX1195" s="7"/>
      <c r="WY1195" s="7"/>
      <c r="WZ1195" s="7"/>
      <c r="XA1195" s="7"/>
      <c r="XB1195" s="7"/>
      <c r="XC1195" s="7"/>
      <c r="XD1195" s="7"/>
      <c r="XE1195" s="7"/>
      <c r="XF1195" s="7"/>
      <c r="XG1195" s="7"/>
      <c r="XH1195" s="7"/>
      <c r="XI1195" s="7"/>
      <c r="XJ1195" s="7"/>
      <c r="XK1195" s="7"/>
      <c r="XL1195" s="7"/>
      <c r="XM1195" s="7"/>
      <c r="XN1195" s="7"/>
      <c r="XO1195" s="7"/>
      <c r="XP1195" s="7"/>
      <c r="XQ1195" s="7"/>
      <c r="XR1195" s="7"/>
      <c r="XS1195" s="7"/>
      <c r="XT1195" s="7"/>
      <c r="XU1195" s="7"/>
      <c r="XV1195" s="7"/>
      <c r="XW1195" s="7"/>
      <c r="XX1195" s="7"/>
      <c r="XY1195" s="7"/>
      <c r="XZ1195" s="7"/>
      <c r="YA1195" s="7"/>
      <c r="YB1195" s="7"/>
      <c r="YC1195" s="7"/>
      <c r="YD1195" s="7"/>
      <c r="YE1195" s="7"/>
      <c r="YF1195" s="7"/>
      <c r="YG1195" s="7"/>
      <c r="YH1195" s="7"/>
      <c r="YI1195" s="7"/>
      <c r="YJ1195" s="7"/>
      <c r="YK1195" s="7"/>
      <c r="YL1195" s="7"/>
      <c r="YM1195" s="7"/>
      <c r="YN1195" s="7"/>
      <c r="YO1195" s="7"/>
      <c r="YP1195" s="7"/>
      <c r="YQ1195" s="7"/>
      <c r="YR1195" s="7"/>
      <c r="YS1195" s="7"/>
      <c r="YT1195" s="7"/>
      <c r="YU1195" s="7"/>
      <c r="YV1195" s="7"/>
      <c r="YW1195" s="7"/>
      <c r="YX1195" s="7"/>
      <c r="YY1195" s="7"/>
      <c r="YZ1195" s="7"/>
      <c r="ZA1195" s="7"/>
      <c r="ZB1195" s="7"/>
      <c r="ZC1195" s="7"/>
      <c r="ZD1195" s="7"/>
      <c r="ZE1195" s="7"/>
      <c r="ZF1195" s="7"/>
      <c r="ZG1195" s="7"/>
      <c r="ZH1195" s="7"/>
      <c r="ZI1195" s="7"/>
      <c r="ZJ1195" s="7"/>
      <c r="ZK1195" s="7"/>
      <c r="ZL1195" s="7"/>
      <c r="ZM1195" s="7"/>
      <c r="ZN1195" s="7"/>
      <c r="ZO1195" s="7"/>
      <c r="ZP1195" s="7"/>
      <c r="ZQ1195" s="7"/>
      <c r="ZR1195" s="7"/>
      <c r="ZS1195" s="7"/>
      <c r="ZT1195" s="7"/>
      <c r="ZU1195" s="7"/>
      <c r="ZV1195" s="7"/>
      <c r="ZW1195" s="7"/>
      <c r="ZX1195" s="7"/>
      <c r="ZY1195" s="7"/>
      <c r="ZZ1195" s="7"/>
      <c r="AAA1195" s="7"/>
      <c r="AAB1195" s="7"/>
      <c r="AAC1195" s="7"/>
      <c r="AAD1195" s="7"/>
      <c r="AAE1195" s="7"/>
      <c r="AAF1195" s="7"/>
      <c r="AAG1195" s="7"/>
      <c r="AAH1195" s="7"/>
      <c r="AAI1195" s="7"/>
      <c r="AAJ1195" s="7"/>
      <c r="AAK1195" s="7"/>
      <c r="AAL1195" s="7"/>
      <c r="AAM1195" s="7"/>
      <c r="AAN1195" s="7"/>
      <c r="AAO1195" s="7"/>
      <c r="AAP1195" s="7"/>
      <c r="AAQ1195" s="7"/>
      <c r="AAR1195" s="7"/>
      <c r="AAS1195" s="7"/>
      <c r="AAT1195" s="7"/>
      <c r="AAU1195" s="7"/>
      <c r="AAV1195" s="7"/>
      <c r="AAW1195" s="7"/>
      <c r="AAX1195" s="7"/>
      <c r="AAY1195" s="7"/>
      <c r="AAZ1195" s="7"/>
      <c r="ABA1195" s="7"/>
      <c r="ABB1195" s="7"/>
      <c r="ABC1195" s="7"/>
      <c r="ABD1195" s="7"/>
      <c r="ABE1195" s="7"/>
      <c r="ABF1195" s="7"/>
      <c r="ABG1195" s="7"/>
      <c r="ABH1195" s="7"/>
      <c r="ABI1195" s="7"/>
      <c r="ABJ1195" s="7"/>
      <c r="ABK1195" s="7"/>
      <c r="ABL1195" s="7"/>
      <c r="ABM1195" s="7"/>
      <c r="ABN1195" s="7"/>
      <c r="ABO1195" s="7"/>
      <c r="ABP1195" s="7"/>
      <c r="ABQ1195" s="7"/>
      <c r="ABR1195" s="7"/>
      <c r="ABS1195" s="7"/>
      <c r="ABT1195" s="7"/>
      <c r="ABU1195" s="7"/>
      <c r="ABV1195" s="7"/>
      <c r="ABW1195" s="7"/>
      <c r="ABX1195" s="7"/>
      <c r="ABY1195" s="7"/>
      <c r="ABZ1195" s="7"/>
      <c r="ACA1195" s="7"/>
      <c r="ACB1195" s="7"/>
      <c r="ACC1195" s="7"/>
      <c r="ACD1195" s="7"/>
      <c r="ACE1195" s="7"/>
      <c r="ACF1195" s="7"/>
      <c r="ACG1195" s="7"/>
      <c r="ACH1195" s="7"/>
      <c r="ACI1195" s="7"/>
      <c r="ACJ1195" s="7"/>
      <c r="ACK1195" s="7"/>
      <c r="ACL1195" s="7"/>
      <c r="ACM1195" s="7"/>
      <c r="ACN1195" s="7"/>
      <c r="ACO1195" s="7"/>
      <c r="ACP1195" s="7"/>
      <c r="ACQ1195" s="7"/>
      <c r="ACR1195" s="7"/>
      <c r="ACS1195" s="7"/>
      <c r="ACT1195" s="7"/>
      <c r="ACU1195" s="7"/>
      <c r="ACV1195" s="7"/>
      <c r="ACW1195" s="7"/>
      <c r="ACX1195" s="7"/>
      <c r="ACY1195" s="7"/>
      <c r="ACZ1195" s="7"/>
      <c r="ADA1195" s="7"/>
      <c r="ADB1195" s="7"/>
      <c r="ADC1195" s="7"/>
      <c r="ADD1195" s="7"/>
      <c r="ADE1195" s="7"/>
      <c r="ADF1195" s="7"/>
      <c r="ADG1195" s="7"/>
      <c r="ADH1195" s="7"/>
      <c r="ADI1195" s="7"/>
      <c r="ADJ1195" s="7"/>
      <c r="ADK1195" s="7"/>
      <c r="ADL1195" s="7"/>
      <c r="ADM1195" s="7"/>
      <c r="ADN1195" s="7"/>
      <c r="ADO1195" s="7"/>
      <c r="ADP1195" s="7"/>
      <c r="ADQ1195" s="7"/>
      <c r="ADR1195" s="7"/>
      <c r="ADS1195" s="7"/>
      <c r="ADT1195" s="7"/>
      <c r="ADU1195" s="7"/>
      <c r="ADV1195" s="7"/>
      <c r="ADW1195" s="7"/>
      <c r="ADX1195" s="7"/>
      <c r="ADY1195" s="7"/>
      <c r="ADZ1195" s="7"/>
      <c r="AEA1195" s="7"/>
      <c r="AEB1195" s="7"/>
      <c r="AEC1195" s="7"/>
      <c r="AED1195" s="7"/>
      <c r="AEE1195" s="7"/>
      <c r="AEF1195" s="7"/>
      <c r="AEG1195" s="7"/>
      <c r="AEH1195" s="7"/>
      <c r="AEI1195" s="7"/>
      <c r="AEJ1195" s="7"/>
      <c r="AEK1195" s="7"/>
      <c r="AEL1195" s="7"/>
      <c r="AEM1195" s="7"/>
      <c r="AEN1195" s="7"/>
      <c r="AEO1195" s="7"/>
      <c r="AEP1195" s="7"/>
      <c r="AEQ1195" s="7"/>
      <c r="AER1195" s="7"/>
      <c r="AES1195" s="7"/>
      <c r="AET1195" s="7"/>
      <c r="AEU1195" s="7"/>
      <c r="AEV1195" s="7"/>
      <c r="AEW1195" s="7"/>
      <c r="AEX1195" s="7"/>
      <c r="AEY1195" s="7"/>
      <c r="AEZ1195" s="7"/>
      <c r="AFA1195" s="7"/>
      <c r="AFB1195" s="7"/>
      <c r="AFC1195" s="7"/>
      <c r="AFD1195" s="7"/>
      <c r="AFE1195" s="7"/>
      <c r="AFF1195" s="7"/>
      <c r="AFG1195" s="7"/>
      <c r="AFH1195" s="7"/>
      <c r="AFI1195" s="7"/>
      <c r="AFJ1195" s="7"/>
      <c r="AFK1195" s="7"/>
      <c r="AFL1195" s="7"/>
      <c r="AFM1195" s="7"/>
      <c r="AFN1195" s="7"/>
      <c r="AFO1195" s="7"/>
      <c r="AFP1195" s="7"/>
      <c r="AFQ1195" s="7"/>
      <c r="AFR1195" s="7"/>
      <c r="AFS1195" s="7"/>
      <c r="AFT1195" s="7"/>
      <c r="AFU1195" s="7"/>
      <c r="AFV1195" s="7"/>
      <c r="AFW1195" s="7"/>
      <c r="AFX1195" s="7"/>
      <c r="AFY1195" s="7"/>
      <c r="AFZ1195" s="7"/>
      <c r="AGA1195" s="7"/>
      <c r="AGB1195" s="7"/>
      <c r="AGC1195" s="7"/>
      <c r="AGD1195" s="7"/>
      <c r="AGE1195" s="7"/>
      <c r="AGF1195" s="7"/>
      <c r="AGG1195" s="7"/>
      <c r="AGH1195" s="7"/>
      <c r="AGI1195" s="7"/>
      <c r="AGJ1195" s="7"/>
      <c r="AGK1195" s="7"/>
      <c r="AGL1195" s="7"/>
      <c r="AGM1195" s="7"/>
      <c r="AGN1195" s="7"/>
      <c r="AGO1195" s="7"/>
      <c r="AGP1195" s="7"/>
      <c r="AGQ1195" s="7"/>
      <c r="AGR1195" s="7"/>
      <c r="AGS1195" s="7"/>
      <c r="AGT1195" s="7"/>
      <c r="AGU1195" s="7"/>
      <c r="AGV1195" s="7"/>
      <c r="AGW1195" s="7"/>
      <c r="AGX1195" s="7"/>
      <c r="AGY1195" s="7"/>
      <c r="AGZ1195" s="7"/>
      <c r="AHA1195" s="7"/>
      <c r="AHB1195" s="7"/>
      <c r="AHC1195" s="7"/>
      <c r="AHD1195" s="7"/>
      <c r="AHE1195" s="7"/>
      <c r="AHF1195" s="7"/>
      <c r="AHG1195" s="7"/>
      <c r="AHH1195" s="7"/>
      <c r="AHI1195" s="7"/>
      <c r="AHJ1195" s="7"/>
      <c r="AHK1195" s="7"/>
      <c r="AHL1195" s="7"/>
      <c r="AHM1195" s="7"/>
      <c r="AHN1195" s="7"/>
      <c r="AHO1195" s="7"/>
      <c r="AHP1195" s="7"/>
      <c r="AHQ1195" s="7"/>
      <c r="AHR1195" s="7"/>
      <c r="AHS1195" s="7"/>
      <c r="AHT1195" s="7"/>
      <c r="AHU1195" s="7"/>
      <c r="AHV1195" s="7"/>
      <c r="AHW1195" s="7"/>
      <c r="AHX1195" s="7"/>
      <c r="AHY1195" s="7"/>
      <c r="AHZ1195" s="7"/>
      <c r="AIA1195" s="7"/>
      <c r="AIB1195" s="7"/>
      <c r="AIC1195" s="7"/>
      <c r="AID1195" s="7"/>
      <c r="AIE1195" s="7"/>
      <c r="AIF1195" s="7"/>
      <c r="AIG1195" s="7"/>
      <c r="AIH1195" s="7"/>
      <c r="AII1195" s="7"/>
      <c r="AIJ1195" s="7"/>
      <c r="AIK1195" s="7"/>
      <c r="AIL1195" s="7"/>
      <c r="AIM1195" s="7"/>
      <c r="AIN1195" s="7"/>
      <c r="AIO1195" s="7"/>
      <c r="AIP1195" s="7"/>
      <c r="AIQ1195" s="7"/>
      <c r="AIR1195" s="7"/>
      <c r="AIS1195" s="7"/>
      <c r="AIT1195" s="7"/>
      <c r="AIU1195" s="7"/>
      <c r="AIV1195" s="7"/>
      <c r="AIW1195" s="7"/>
      <c r="AIX1195" s="7"/>
      <c r="AIY1195" s="7"/>
      <c r="AIZ1195" s="7"/>
      <c r="AJA1195" s="7"/>
      <c r="AJB1195" s="7"/>
      <c r="AJC1195" s="7"/>
      <c r="AJD1195" s="7"/>
      <c r="AJE1195" s="7"/>
      <c r="AJF1195" s="7"/>
      <c r="AJG1195" s="7"/>
      <c r="AJH1195" s="7"/>
      <c r="AJI1195" s="7"/>
      <c r="AJJ1195" s="7"/>
      <c r="AJK1195" s="7"/>
      <c r="AJL1195" s="7"/>
      <c r="AJM1195" s="7"/>
      <c r="AJN1195" s="7"/>
      <c r="AJO1195" s="7"/>
      <c r="AJP1195" s="7"/>
      <c r="AJQ1195" s="7"/>
      <c r="AJR1195" s="7"/>
      <c r="AJS1195" s="7"/>
      <c r="AJT1195" s="7"/>
      <c r="AJU1195" s="7"/>
      <c r="AJV1195" s="7"/>
      <c r="AJW1195" s="7"/>
      <c r="AJX1195" s="7"/>
      <c r="AJY1195" s="7"/>
      <c r="AJZ1195" s="7"/>
      <c r="AKA1195" s="7"/>
      <c r="AKB1195" s="7"/>
      <c r="AKC1195" s="7"/>
      <c r="AKD1195" s="7"/>
      <c r="AKE1195" s="7"/>
      <c r="AKF1195" s="7"/>
      <c r="AKG1195" s="7"/>
      <c r="AKH1195" s="7"/>
      <c r="AKI1195" s="7"/>
      <c r="AKJ1195" s="7"/>
      <c r="AKK1195" s="7"/>
      <c r="AKL1195" s="7"/>
      <c r="AKM1195" s="7"/>
      <c r="AKN1195" s="7"/>
      <c r="AKO1195" s="7"/>
      <c r="AKP1195" s="7"/>
      <c r="AKQ1195" s="7"/>
      <c r="AKR1195" s="7"/>
      <c r="AKS1195" s="7"/>
      <c r="AKT1195" s="7"/>
      <c r="AKU1195" s="7"/>
      <c r="AKV1195" s="7"/>
      <c r="AKW1195" s="7"/>
      <c r="AKX1195" s="7"/>
      <c r="AKY1195" s="7"/>
      <c r="AKZ1195" s="7"/>
      <c r="ALA1195" s="7"/>
      <c r="ALB1195" s="7"/>
      <c r="ALC1195" s="7"/>
      <c r="ALD1195" s="7"/>
      <c r="ALE1195" s="7"/>
      <c r="ALF1195" s="7"/>
      <c r="ALG1195" s="7"/>
      <c r="ALH1195" s="7"/>
      <c r="ALI1195" s="7"/>
      <c r="ALJ1195" s="7"/>
      <c r="ALK1195" s="7"/>
      <c r="ALL1195" s="7"/>
      <c r="ALM1195" s="7"/>
      <c r="ALN1195" s="7"/>
      <c r="ALO1195" s="7"/>
      <c r="ALP1195" s="7"/>
      <c r="ALQ1195" s="7"/>
      <c r="ALR1195" s="7"/>
      <c r="ALS1195" s="7"/>
      <c r="ALT1195" s="7"/>
      <c r="ALU1195" s="7"/>
      <c r="ALV1195" s="7"/>
      <c r="ALW1195" s="7"/>
      <c r="ALX1195" s="7"/>
      <c r="ALY1195" s="7"/>
      <c r="ALZ1195" s="7"/>
      <c r="AMA1195" s="7"/>
      <c r="AMB1195" s="7"/>
      <c r="AMC1195" s="7"/>
      <c r="AMD1195" s="7"/>
      <c r="AME1195" s="7"/>
      <c r="AMF1195" s="7"/>
      <c r="AMG1195" s="7"/>
      <c r="AMH1195" s="7"/>
      <c r="AMI1195" s="7"/>
      <c r="AMJ1195" s="7"/>
      <c r="AMK1195" s="7"/>
      <c r="AML1195" s="7"/>
      <c r="AMM1195" s="7"/>
      <c r="AMN1195" s="7"/>
      <c r="AMO1195" s="7"/>
      <c r="AMP1195" s="7"/>
      <c r="AMQ1195" s="7"/>
      <c r="AMR1195" s="7"/>
      <c r="AMS1195" s="7"/>
      <c r="AMT1195" s="7"/>
      <c r="AMU1195" s="7"/>
      <c r="AMV1195" s="7"/>
      <c r="AMW1195" s="7"/>
      <c r="AMX1195" s="7"/>
      <c r="AMY1195" s="7"/>
      <c r="AMZ1195" s="7"/>
      <c r="ANA1195" s="7"/>
      <c r="ANB1195" s="7"/>
      <c r="ANC1195" s="7"/>
      <c r="AND1195" s="7"/>
      <c r="ANE1195" s="7"/>
      <c r="ANF1195" s="7"/>
      <c r="ANG1195" s="7"/>
      <c r="ANH1195" s="7"/>
      <c r="ANI1195" s="7"/>
      <c r="ANJ1195" s="7"/>
      <c r="ANK1195" s="7"/>
      <c r="ANL1195" s="7"/>
      <c r="ANM1195" s="7"/>
      <c r="ANN1195" s="7"/>
      <c r="ANO1195" s="7"/>
      <c r="ANP1195" s="7"/>
      <c r="ANQ1195" s="7"/>
      <c r="ANR1195" s="7"/>
      <c r="ANS1195" s="7"/>
      <c r="ANT1195" s="7"/>
      <c r="ANU1195" s="7"/>
      <c r="ANV1195" s="7"/>
      <c r="ANW1195" s="7"/>
      <c r="ANX1195" s="7"/>
      <c r="ANY1195" s="7"/>
      <c r="ANZ1195" s="7"/>
      <c r="AOA1195" s="7"/>
      <c r="AOB1195" s="7"/>
      <c r="AOC1195" s="7"/>
      <c r="AOD1195" s="7"/>
      <c r="AOE1195" s="7"/>
      <c r="AOF1195" s="7"/>
      <c r="AOG1195" s="7"/>
      <c r="AOH1195" s="7"/>
      <c r="AOI1195" s="7"/>
      <c r="AOJ1195" s="7"/>
      <c r="AOK1195" s="7"/>
      <c r="AOL1195" s="7"/>
      <c r="AOM1195" s="7"/>
      <c r="AON1195" s="7"/>
      <c r="AOO1195" s="7"/>
      <c r="AOP1195" s="7"/>
      <c r="AOQ1195" s="7"/>
      <c r="AOR1195" s="7"/>
      <c r="AOS1195" s="7"/>
      <c r="AOT1195" s="7"/>
      <c r="AOU1195" s="7"/>
      <c r="AOV1195" s="7"/>
      <c r="AOW1195" s="7"/>
      <c r="AOX1195" s="7"/>
      <c r="AOY1195" s="7"/>
      <c r="AOZ1195" s="7"/>
      <c r="APA1195" s="7"/>
      <c r="APB1195" s="7"/>
      <c r="APC1195" s="7"/>
      <c r="APD1195" s="7"/>
      <c r="APE1195" s="7"/>
      <c r="APF1195" s="7"/>
      <c r="APG1195" s="7"/>
      <c r="APH1195" s="7"/>
      <c r="API1195" s="7"/>
      <c r="APJ1195" s="7"/>
      <c r="APK1195" s="7"/>
      <c r="APL1195" s="7"/>
      <c r="APM1195" s="7"/>
      <c r="APN1195" s="7"/>
      <c r="APO1195" s="7"/>
      <c r="APP1195" s="7"/>
      <c r="APQ1195" s="7"/>
      <c r="APR1195" s="7"/>
      <c r="APS1195" s="7"/>
      <c r="APT1195" s="7"/>
      <c r="APU1195" s="7"/>
      <c r="APV1195" s="7"/>
      <c r="APW1195" s="7"/>
      <c r="APX1195" s="7"/>
      <c r="APY1195" s="7"/>
      <c r="APZ1195" s="7"/>
      <c r="AQA1195" s="7"/>
      <c r="AQB1195" s="7"/>
      <c r="AQC1195" s="7"/>
      <c r="AQD1195" s="7"/>
      <c r="AQE1195" s="7"/>
      <c r="AQF1195" s="7"/>
      <c r="AQG1195" s="7"/>
      <c r="AQH1195" s="7"/>
      <c r="AQI1195" s="7"/>
      <c r="AQJ1195" s="7"/>
      <c r="AQK1195" s="7"/>
      <c r="AQL1195" s="7"/>
      <c r="AQM1195" s="7"/>
      <c r="AQN1195" s="7"/>
      <c r="AQO1195" s="7"/>
      <c r="AQP1195" s="7"/>
      <c r="AQQ1195" s="7"/>
      <c r="AQR1195" s="7"/>
      <c r="AQS1195" s="7"/>
      <c r="AQT1195" s="7"/>
      <c r="AQU1195" s="7"/>
      <c r="AQV1195" s="7"/>
      <c r="AQW1195" s="7"/>
      <c r="AQX1195" s="7"/>
      <c r="AQY1195" s="7"/>
      <c r="AQZ1195" s="7"/>
      <c r="ARA1195" s="7"/>
      <c r="ARB1195" s="7"/>
      <c r="ARC1195" s="7"/>
      <c r="ARD1195" s="7"/>
      <c r="ARE1195" s="7"/>
      <c r="ARF1195" s="7"/>
      <c r="ARG1195" s="7"/>
      <c r="ARH1195" s="7"/>
      <c r="ARI1195" s="7"/>
      <c r="ARJ1195" s="7"/>
      <c r="ARK1195" s="7"/>
      <c r="ARL1195" s="7"/>
      <c r="ARM1195" s="7"/>
      <c r="ARN1195" s="7"/>
      <c r="ARO1195" s="7"/>
      <c r="ARP1195" s="7"/>
      <c r="ARQ1195" s="7"/>
      <c r="ARR1195" s="7"/>
      <c r="ARS1195" s="7"/>
      <c r="ART1195" s="7"/>
      <c r="ARU1195" s="7"/>
      <c r="ARV1195" s="7"/>
      <c r="ARW1195" s="7"/>
      <c r="ARX1195" s="7"/>
      <c r="ARY1195" s="7"/>
      <c r="ARZ1195" s="7"/>
      <c r="ASA1195" s="7"/>
      <c r="ASB1195" s="7"/>
      <c r="ASC1195" s="7"/>
      <c r="ASD1195" s="7"/>
      <c r="ASE1195" s="7"/>
      <c r="ASF1195" s="7"/>
      <c r="ASG1195" s="7"/>
      <c r="ASH1195" s="7"/>
      <c r="ASI1195" s="7"/>
      <c r="ASJ1195" s="7"/>
      <c r="ASK1195" s="7"/>
      <c r="ASL1195" s="7"/>
      <c r="ASM1195" s="7"/>
      <c r="ASN1195" s="7"/>
      <c r="ASO1195" s="7"/>
      <c r="ASP1195" s="7"/>
      <c r="ASQ1195" s="7"/>
      <c r="ASR1195" s="7"/>
      <c r="ASS1195" s="7"/>
      <c r="AST1195" s="7"/>
      <c r="ASU1195" s="7"/>
      <c r="ASV1195" s="7"/>
      <c r="ASW1195" s="7"/>
      <c r="ASX1195" s="7"/>
      <c r="ASY1195" s="7"/>
      <c r="ASZ1195" s="7"/>
      <c r="ATA1195" s="7"/>
      <c r="ATB1195" s="7"/>
      <c r="ATC1195" s="7"/>
      <c r="ATD1195" s="7"/>
      <c r="ATE1195" s="7"/>
      <c r="ATF1195" s="7"/>
      <c r="ATG1195" s="7"/>
      <c r="ATH1195" s="7"/>
      <c r="ATI1195" s="7"/>
      <c r="ATJ1195" s="7"/>
      <c r="ATK1195" s="7"/>
      <c r="ATL1195" s="7"/>
      <c r="ATM1195" s="7"/>
      <c r="ATN1195" s="7"/>
      <c r="ATO1195" s="7"/>
      <c r="ATP1195" s="7"/>
      <c r="ATQ1195" s="7"/>
      <c r="ATR1195" s="7"/>
      <c r="ATS1195" s="7"/>
      <c r="ATT1195" s="7"/>
      <c r="ATU1195" s="7"/>
      <c r="ATV1195" s="7"/>
      <c r="ATW1195" s="7"/>
      <c r="ATX1195" s="7"/>
      <c r="ATY1195" s="7"/>
      <c r="ATZ1195" s="7"/>
      <c r="AUA1195" s="7"/>
      <c r="AUB1195" s="7"/>
      <c r="AUC1195" s="7"/>
      <c r="AUD1195" s="7"/>
      <c r="AUE1195" s="7"/>
      <c r="AUF1195" s="7"/>
      <c r="AUG1195" s="7"/>
      <c r="AUH1195" s="7"/>
      <c r="AUI1195" s="7"/>
      <c r="AUJ1195" s="7"/>
      <c r="AUK1195" s="7"/>
      <c r="AUL1195" s="7"/>
      <c r="AUM1195" s="7"/>
      <c r="AUN1195" s="7"/>
      <c r="AUO1195" s="7"/>
      <c r="AUP1195" s="7"/>
      <c r="AUQ1195" s="7"/>
      <c r="AUR1195" s="7"/>
      <c r="AUS1195" s="7"/>
      <c r="AUT1195" s="7"/>
      <c r="AUU1195" s="7"/>
      <c r="AUV1195" s="7"/>
      <c r="AUW1195" s="7"/>
      <c r="AUX1195" s="7"/>
      <c r="AUY1195" s="7"/>
      <c r="AUZ1195" s="7"/>
      <c r="AVA1195" s="7"/>
      <c r="AVB1195" s="7"/>
      <c r="AVC1195" s="7"/>
      <c r="AVD1195" s="7"/>
      <c r="AVE1195" s="7"/>
      <c r="AVF1195" s="7"/>
      <c r="AVG1195" s="7"/>
      <c r="AVH1195" s="7"/>
      <c r="AVI1195" s="7"/>
      <c r="AVJ1195" s="7"/>
      <c r="AVK1195" s="7"/>
      <c r="AVL1195" s="7"/>
      <c r="AVM1195" s="7"/>
      <c r="AVN1195" s="7"/>
      <c r="AVO1195" s="7"/>
      <c r="AVP1195" s="7"/>
      <c r="AVQ1195" s="7"/>
      <c r="AVR1195" s="7"/>
      <c r="AVS1195" s="7"/>
      <c r="AVT1195" s="7"/>
      <c r="AVU1195" s="7"/>
      <c r="AVV1195" s="7"/>
      <c r="AVW1195" s="7"/>
      <c r="AVX1195" s="7"/>
      <c r="AVY1195" s="7"/>
      <c r="AVZ1195" s="7"/>
      <c r="AWA1195" s="7"/>
      <c r="AWB1195" s="7"/>
      <c r="AWC1195" s="7"/>
      <c r="AWD1195" s="7"/>
      <c r="AWE1195" s="7"/>
      <c r="AWF1195" s="7"/>
      <c r="AWG1195" s="7"/>
      <c r="AWH1195" s="7"/>
      <c r="AWI1195" s="7"/>
      <c r="AWJ1195" s="7"/>
      <c r="AWK1195" s="7"/>
      <c r="AWL1195" s="7"/>
      <c r="AWM1195" s="7"/>
      <c r="AWN1195" s="7"/>
      <c r="AWO1195" s="7"/>
      <c r="AWP1195" s="7"/>
      <c r="AWQ1195" s="7"/>
      <c r="AWR1195" s="7"/>
      <c r="AWS1195" s="7"/>
      <c r="AWT1195" s="7"/>
      <c r="AWU1195" s="7"/>
      <c r="AWV1195" s="7"/>
      <c r="AWW1195" s="7"/>
      <c r="AWX1195" s="7"/>
      <c r="AWY1195" s="7"/>
      <c r="AWZ1195" s="7"/>
      <c r="AXA1195" s="7"/>
      <c r="AXB1195" s="7"/>
      <c r="AXC1195" s="7"/>
      <c r="AXD1195" s="7"/>
      <c r="AXE1195" s="7"/>
      <c r="AXF1195" s="7"/>
      <c r="AXG1195" s="7"/>
      <c r="AXH1195" s="7"/>
      <c r="AXI1195" s="7"/>
      <c r="AXJ1195" s="7"/>
      <c r="AXK1195" s="7"/>
      <c r="AXL1195" s="7"/>
      <c r="AXM1195" s="7"/>
      <c r="AXN1195" s="7"/>
      <c r="AXO1195" s="7"/>
      <c r="AXP1195" s="7"/>
      <c r="AXQ1195" s="7"/>
      <c r="AXR1195" s="7"/>
      <c r="AXS1195" s="7"/>
      <c r="AXT1195" s="7"/>
      <c r="AXU1195" s="7"/>
      <c r="AXV1195" s="7"/>
      <c r="AXW1195" s="7"/>
      <c r="AXX1195" s="7"/>
      <c r="AXY1195" s="7"/>
      <c r="AXZ1195" s="7"/>
      <c r="AYA1195" s="7"/>
      <c r="AYB1195" s="7"/>
      <c r="AYC1195" s="7"/>
      <c r="AYD1195" s="7"/>
      <c r="AYE1195" s="7"/>
      <c r="AYF1195" s="7"/>
      <c r="AYG1195" s="7"/>
      <c r="AYH1195" s="7"/>
      <c r="AYI1195" s="7"/>
      <c r="AYJ1195" s="7"/>
      <c r="AYK1195" s="7"/>
      <c r="AYL1195" s="7"/>
      <c r="AYM1195" s="7"/>
      <c r="AYN1195" s="7"/>
      <c r="AYO1195" s="7"/>
      <c r="AYP1195" s="7"/>
      <c r="AYQ1195" s="7"/>
      <c r="AYR1195" s="7"/>
      <c r="AYS1195" s="7"/>
      <c r="AYT1195" s="7"/>
      <c r="AYU1195" s="7"/>
      <c r="AYV1195" s="7"/>
      <c r="AYW1195" s="7"/>
      <c r="AYX1195" s="7"/>
      <c r="AYY1195" s="7"/>
      <c r="AYZ1195" s="7"/>
      <c r="AZA1195" s="7"/>
      <c r="AZB1195" s="7"/>
      <c r="AZC1195" s="7"/>
      <c r="AZD1195" s="7"/>
      <c r="AZE1195" s="7"/>
      <c r="AZF1195" s="7"/>
      <c r="AZG1195" s="7"/>
      <c r="AZH1195" s="7"/>
      <c r="AZI1195" s="7"/>
      <c r="AZJ1195" s="7"/>
      <c r="AZK1195" s="7"/>
      <c r="AZL1195" s="7"/>
      <c r="AZM1195" s="7"/>
      <c r="AZN1195" s="7"/>
      <c r="AZO1195" s="7"/>
      <c r="AZP1195" s="7"/>
      <c r="AZQ1195" s="7"/>
      <c r="AZR1195" s="7"/>
      <c r="AZS1195" s="7"/>
      <c r="AZT1195" s="7"/>
      <c r="AZU1195" s="7"/>
      <c r="AZV1195" s="7"/>
      <c r="AZW1195" s="7"/>
      <c r="AZX1195" s="7"/>
      <c r="AZY1195" s="7"/>
      <c r="AZZ1195" s="7"/>
      <c r="BAA1195" s="7"/>
      <c r="BAB1195" s="7"/>
      <c r="BAC1195" s="7"/>
      <c r="BAD1195" s="7"/>
      <c r="BAE1195" s="7"/>
      <c r="BAF1195" s="7"/>
      <c r="BAG1195" s="7"/>
      <c r="BAH1195" s="7"/>
      <c r="BAI1195" s="7"/>
      <c r="BAJ1195" s="7"/>
      <c r="BAK1195" s="7"/>
      <c r="BAL1195" s="7"/>
      <c r="BAM1195" s="7"/>
      <c r="BAN1195" s="7"/>
      <c r="BAO1195" s="7"/>
      <c r="BAP1195" s="7"/>
      <c r="BAQ1195" s="7"/>
      <c r="BAR1195" s="7"/>
      <c r="BAS1195" s="7"/>
      <c r="BAT1195" s="7"/>
      <c r="BAU1195" s="7"/>
      <c r="BAV1195" s="7"/>
      <c r="BAW1195" s="7"/>
      <c r="BAX1195" s="7"/>
      <c r="BAY1195" s="7"/>
      <c r="BAZ1195" s="7"/>
      <c r="BBA1195" s="7"/>
      <c r="BBB1195" s="7"/>
      <c r="BBC1195" s="7"/>
      <c r="BBD1195" s="7"/>
      <c r="BBE1195" s="7"/>
      <c r="BBF1195" s="7"/>
      <c r="BBG1195" s="7"/>
      <c r="BBH1195" s="7"/>
      <c r="BBI1195" s="7"/>
      <c r="BBJ1195" s="7"/>
      <c r="BBK1195" s="7"/>
      <c r="BBL1195" s="7"/>
      <c r="BBM1195" s="7"/>
      <c r="BBN1195" s="7"/>
      <c r="BBO1195" s="7"/>
      <c r="BBP1195" s="7"/>
      <c r="BBQ1195" s="7"/>
      <c r="BBR1195" s="7"/>
      <c r="BBS1195" s="7"/>
      <c r="BBT1195" s="7"/>
      <c r="BBU1195" s="7"/>
      <c r="BBV1195" s="7"/>
      <c r="BBW1195" s="7"/>
      <c r="BBX1195" s="7"/>
      <c r="BBY1195" s="7"/>
      <c r="BBZ1195" s="7"/>
      <c r="BCA1195" s="7"/>
      <c r="BCB1195" s="7"/>
      <c r="BCC1195" s="7"/>
      <c r="BCD1195" s="7"/>
      <c r="BCE1195" s="7"/>
      <c r="BCF1195" s="7"/>
      <c r="BCG1195" s="7"/>
      <c r="BCH1195" s="7"/>
      <c r="BCI1195" s="7"/>
      <c r="BCJ1195" s="7"/>
      <c r="BCK1195" s="7"/>
      <c r="BCL1195" s="7"/>
      <c r="BCM1195" s="7"/>
      <c r="BCN1195" s="7"/>
      <c r="BCO1195" s="7"/>
      <c r="BCP1195" s="7"/>
      <c r="BCQ1195" s="7"/>
      <c r="BCR1195" s="7"/>
      <c r="BCS1195" s="7"/>
      <c r="BCT1195" s="7"/>
      <c r="BCU1195" s="7"/>
      <c r="BCV1195" s="7"/>
      <c r="BCW1195" s="7"/>
      <c r="BCX1195" s="7"/>
      <c r="BCY1195" s="7"/>
      <c r="BCZ1195" s="7"/>
      <c r="BDA1195" s="7"/>
      <c r="BDB1195" s="7"/>
      <c r="BDC1195" s="7"/>
      <c r="BDD1195" s="7"/>
      <c r="BDE1195" s="7"/>
      <c r="BDF1195" s="7"/>
      <c r="BDG1195" s="7"/>
      <c r="BDH1195" s="7"/>
      <c r="BDI1195" s="7"/>
      <c r="BDJ1195" s="7"/>
      <c r="BDK1195" s="7"/>
      <c r="BDL1195" s="7"/>
      <c r="BDM1195" s="7"/>
      <c r="BDN1195" s="7"/>
      <c r="BDO1195" s="7"/>
      <c r="BDP1195" s="7"/>
      <c r="BDQ1195" s="7"/>
      <c r="BDR1195" s="7"/>
      <c r="BDS1195" s="7"/>
      <c r="BDT1195" s="7"/>
      <c r="BDU1195" s="7"/>
      <c r="BDV1195" s="7"/>
      <c r="BDW1195" s="7"/>
      <c r="BDX1195" s="7"/>
      <c r="BDY1195" s="7"/>
      <c r="BDZ1195" s="7"/>
      <c r="BEA1195" s="7"/>
      <c r="BEB1195" s="7"/>
      <c r="BEC1195" s="7"/>
      <c r="BED1195" s="7"/>
      <c r="BEE1195" s="7"/>
      <c r="BEF1195" s="7"/>
      <c r="BEG1195" s="7"/>
      <c r="BEH1195" s="7"/>
      <c r="BEI1195" s="7"/>
      <c r="BEJ1195" s="7"/>
      <c r="BEK1195" s="7"/>
      <c r="BEL1195" s="7"/>
      <c r="BEM1195" s="7"/>
      <c r="BEN1195" s="7"/>
      <c r="BEO1195" s="7"/>
      <c r="BEP1195" s="7"/>
      <c r="BEQ1195" s="7"/>
      <c r="BER1195" s="7"/>
      <c r="BES1195" s="7"/>
      <c r="BET1195" s="7"/>
      <c r="BEU1195" s="7"/>
      <c r="BEV1195" s="7"/>
      <c r="BEW1195" s="7"/>
      <c r="BEX1195" s="7"/>
      <c r="BEY1195" s="7"/>
      <c r="BEZ1195" s="7"/>
      <c r="BFA1195" s="7"/>
      <c r="BFB1195" s="7"/>
      <c r="BFC1195" s="7"/>
      <c r="BFD1195" s="7"/>
      <c r="BFE1195" s="7"/>
      <c r="BFF1195" s="7"/>
      <c r="BFG1195" s="7"/>
      <c r="BFH1195" s="7"/>
      <c r="BFI1195" s="7"/>
      <c r="BFJ1195" s="7"/>
      <c r="BFK1195" s="7"/>
      <c r="BFL1195" s="7"/>
      <c r="BFM1195" s="7"/>
      <c r="BFN1195" s="7"/>
      <c r="BFO1195" s="7"/>
      <c r="BFP1195" s="7"/>
      <c r="BFQ1195" s="7"/>
      <c r="BFR1195" s="7"/>
      <c r="BFS1195" s="7"/>
      <c r="BFT1195" s="7"/>
      <c r="BFU1195" s="7"/>
      <c r="BFV1195" s="7"/>
      <c r="BFW1195" s="7"/>
      <c r="BFX1195" s="7"/>
      <c r="BFY1195" s="7"/>
      <c r="BFZ1195" s="7"/>
      <c r="BGA1195" s="7"/>
      <c r="BGB1195" s="7"/>
      <c r="BGC1195" s="7"/>
      <c r="BGD1195" s="7"/>
      <c r="BGE1195" s="7"/>
      <c r="BGF1195" s="7"/>
      <c r="BGG1195" s="7"/>
      <c r="BGH1195" s="7"/>
      <c r="BGI1195" s="7"/>
      <c r="BGJ1195" s="7"/>
      <c r="BGK1195" s="7"/>
      <c r="BGL1195" s="7"/>
      <c r="BGM1195" s="7"/>
      <c r="BGN1195" s="7"/>
      <c r="BGO1195" s="7"/>
      <c r="BGP1195" s="7"/>
      <c r="BGQ1195" s="7"/>
      <c r="BGR1195" s="7"/>
      <c r="BGS1195" s="7"/>
      <c r="BGT1195" s="7"/>
      <c r="BGU1195" s="7"/>
      <c r="BGV1195" s="7"/>
      <c r="BGW1195" s="7"/>
      <c r="BGX1195" s="7"/>
      <c r="BGY1195" s="7"/>
      <c r="BGZ1195" s="7"/>
      <c r="BHA1195" s="7"/>
      <c r="BHB1195" s="7"/>
      <c r="BHC1195" s="7"/>
      <c r="BHD1195" s="7"/>
      <c r="BHE1195" s="7"/>
      <c r="BHF1195" s="7"/>
      <c r="BHG1195" s="7"/>
      <c r="BHH1195" s="7"/>
      <c r="BHI1195" s="7"/>
      <c r="BHJ1195" s="7"/>
      <c r="BHK1195" s="7"/>
      <c r="BHL1195" s="7"/>
      <c r="BHM1195" s="7"/>
      <c r="BHN1195" s="7"/>
      <c r="BHO1195" s="7"/>
      <c r="BHP1195" s="7"/>
      <c r="BHQ1195" s="7"/>
      <c r="BHR1195" s="7"/>
      <c r="BHS1195" s="7"/>
      <c r="BHT1195" s="7"/>
      <c r="BHU1195" s="7"/>
      <c r="BHV1195" s="7"/>
      <c r="BHW1195" s="7"/>
      <c r="BHX1195" s="7"/>
      <c r="BHY1195" s="7"/>
      <c r="BHZ1195" s="7"/>
      <c r="BIA1195" s="7"/>
      <c r="BIB1195" s="7"/>
      <c r="BIC1195" s="7"/>
      <c r="BID1195" s="7"/>
      <c r="BIE1195" s="7"/>
      <c r="BIF1195" s="7"/>
      <c r="BIG1195" s="7"/>
      <c r="BIH1195" s="7"/>
      <c r="BII1195" s="7"/>
      <c r="BIJ1195" s="7"/>
      <c r="BIK1195" s="7"/>
      <c r="BIL1195" s="7"/>
      <c r="BIM1195" s="7"/>
      <c r="BIN1195" s="7"/>
      <c r="BIO1195" s="7"/>
      <c r="BIP1195" s="7"/>
      <c r="BIQ1195" s="7"/>
      <c r="BIR1195" s="7"/>
      <c r="BIS1195" s="7"/>
      <c r="BIT1195" s="7"/>
      <c r="BIU1195" s="7"/>
      <c r="BIV1195" s="7"/>
      <c r="BIW1195" s="7"/>
      <c r="BIX1195" s="7"/>
      <c r="BIY1195" s="7"/>
      <c r="BIZ1195" s="7"/>
      <c r="BJA1195" s="7"/>
      <c r="BJB1195" s="7"/>
      <c r="BJC1195" s="7"/>
      <c r="BJD1195" s="7"/>
      <c r="BJE1195" s="7"/>
      <c r="BJF1195" s="7"/>
      <c r="BJG1195" s="7"/>
      <c r="BJH1195" s="7"/>
      <c r="BJI1195" s="7"/>
      <c r="BJJ1195" s="7"/>
      <c r="BJK1195" s="7"/>
      <c r="BJL1195" s="7"/>
      <c r="BJM1195" s="7"/>
      <c r="BJN1195" s="7"/>
      <c r="BJO1195" s="7"/>
      <c r="BJP1195" s="7"/>
      <c r="BJQ1195" s="7"/>
      <c r="BJR1195" s="7"/>
      <c r="BJS1195" s="7"/>
      <c r="BJT1195" s="7"/>
      <c r="BJU1195" s="7"/>
      <c r="BJV1195" s="7"/>
      <c r="BJW1195" s="7"/>
      <c r="BJX1195" s="7"/>
      <c r="BJY1195" s="7"/>
      <c r="BJZ1195" s="7"/>
      <c r="BKA1195" s="7"/>
      <c r="BKB1195" s="7"/>
      <c r="BKC1195" s="7"/>
      <c r="BKD1195" s="7"/>
      <c r="BKE1195" s="7"/>
      <c r="BKF1195" s="7"/>
      <c r="BKG1195" s="7"/>
      <c r="BKH1195" s="7"/>
      <c r="BKI1195" s="7"/>
      <c r="BKJ1195" s="7"/>
      <c r="BKK1195" s="7"/>
      <c r="BKL1195" s="7"/>
      <c r="BKM1195" s="7"/>
      <c r="BKN1195" s="7"/>
      <c r="BKO1195" s="7"/>
      <c r="BKP1195" s="7"/>
      <c r="BKQ1195" s="7"/>
      <c r="BKR1195" s="7"/>
      <c r="BKS1195" s="7"/>
      <c r="BKT1195" s="7"/>
      <c r="BKU1195" s="7"/>
      <c r="BKV1195" s="7"/>
      <c r="BKW1195" s="7"/>
      <c r="BKX1195" s="7"/>
      <c r="BKY1195" s="7"/>
      <c r="BKZ1195" s="7"/>
      <c r="BLA1195" s="7"/>
      <c r="BLB1195" s="7"/>
      <c r="BLC1195" s="7"/>
      <c r="BLD1195" s="7"/>
      <c r="BLE1195" s="7"/>
      <c r="BLF1195" s="7"/>
      <c r="BLG1195" s="7"/>
      <c r="BLH1195" s="7"/>
      <c r="BLI1195" s="7"/>
      <c r="BLJ1195" s="7"/>
      <c r="BLK1195" s="7"/>
      <c r="BLL1195" s="7"/>
      <c r="BLM1195" s="7"/>
      <c r="BLN1195" s="7"/>
      <c r="BLO1195" s="7"/>
      <c r="BLP1195" s="7"/>
      <c r="BLQ1195" s="7"/>
      <c r="BLR1195" s="7"/>
      <c r="BLS1195" s="7"/>
      <c r="BLT1195" s="7"/>
      <c r="BLU1195" s="7"/>
      <c r="BLV1195" s="7"/>
      <c r="BLW1195" s="7"/>
      <c r="BLX1195" s="7"/>
      <c r="BLY1195" s="7"/>
      <c r="BLZ1195" s="7"/>
      <c r="BMA1195" s="7"/>
      <c r="BMB1195" s="7"/>
      <c r="BMC1195" s="7"/>
      <c r="BMD1195" s="7"/>
      <c r="BME1195" s="7"/>
      <c r="BMF1195" s="7"/>
      <c r="BMG1195" s="7"/>
      <c r="BMH1195" s="7"/>
      <c r="BMI1195" s="7"/>
      <c r="BMJ1195" s="7"/>
      <c r="BMK1195" s="7"/>
      <c r="BML1195" s="7"/>
      <c r="BMM1195" s="7"/>
      <c r="BMN1195" s="7"/>
      <c r="BMO1195" s="7"/>
      <c r="BMP1195" s="7"/>
      <c r="BMQ1195" s="7"/>
      <c r="BMR1195" s="7"/>
      <c r="BMS1195" s="7"/>
      <c r="BMT1195" s="7"/>
      <c r="BMU1195" s="7"/>
      <c r="BMV1195" s="7"/>
      <c r="BMW1195" s="7"/>
      <c r="BMX1195" s="7"/>
      <c r="BMY1195" s="7"/>
      <c r="BMZ1195" s="7"/>
      <c r="BNA1195" s="7"/>
      <c r="BNB1195" s="7"/>
      <c r="BNC1195" s="7"/>
      <c r="BND1195" s="7"/>
      <c r="BNE1195" s="7"/>
      <c r="BNF1195" s="7"/>
      <c r="BNG1195" s="7"/>
      <c r="BNH1195" s="7"/>
      <c r="BNI1195" s="7"/>
      <c r="BNJ1195" s="7"/>
      <c r="BNK1195" s="7"/>
      <c r="BNL1195" s="7"/>
      <c r="BNM1195" s="7"/>
      <c r="BNN1195" s="7"/>
      <c r="BNO1195" s="7"/>
      <c r="BNP1195" s="7"/>
      <c r="BNQ1195" s="7"/>
      <c r="BNR1195" s="7"/>
      <c r="BNS1195" s="7"/>
      <c r="BNT1195" s="7"/>
      <c r="BNU1195" s="7"/>
      <c r="BNV1195" s="7"/>
      <c r="BNW1195" s="7"/>
      <c r="BNX1195" s="7"/>
      <c r="BNY1195" s="7"/>
      <c r="BNZ1195" s="7"/>
      <c r="BOA1195" s="7"/>
      <c r="BOB1195" s="7"/>
      <c r="BOC1195" s="7"/>
      <c r="BOD1195" s="7"/>
      <c r="BOE1195" s="7"/>
      <c r="BOF1195" s="7"/>
      <c r="BOG1195" s="7"/>
      <c r="BOH1195" s="7"/>
      <c r="BOI1195" s="7"/>
      <c r="BOJ1195" s="7"/>
      <c r="BOK1195" s="7"/>
      <c r="BOL1195" s="7"/>
      <c r="BOM1195" s="7"/>
      <c r="BON1195" s="7"/>
      <c r="BOO1195" s="7"/>
      <c r="BOP1195" s="7"/>
      <c r="BOQ1195" s="7"/>
      <c r="BOR1195" s="7"/>
      <c r="BOS1195" s="7"/>
      <c r="BOT1195" s="7"/>
      <c r="BOU1195" s="7"/>
      <c r="BOV1195" s="7"/>
      <c r="BOW1195" s="7"/>
      <c r="BOX1195" s="7"/>
      <c r="BOY1195" s="7"/>
      <c r="BOZ1195" s="7"/>
      <c r="BPA1195" s="7"/>
      <c r="BPB1195" s="7"/>
      <c r="BPC1195" s="7"/>
      <c r="BPD1195" s="7"/>
      <c r="BPE1195" s="7"/>
      <c r="BPF1195" s="7"/>
      <c r="BPG1195" s="7"/>
      <c r="BPH1195" s="7"/>
      <c r="BPI1195" s="7"/>
      <c r="BPJ1195" s="7"/>
      <c r="BPK1195" s="7"/>
      <c r="BPL1195" s="7"/>
      <c r="BPM1195" s="7"/>
      <c r="BPN1195" s="7"/>
      <c r="BPO1195" s="7"/>
      <c r="BPP1195" s="7"/>
      <c r="BPQ1195" s="7"/>
      <c r="BPR1195" s="7"/>
      <c r="BPS1195" s="7"/>
      <c r="BPT1195" s="7"/>
      <c r="BPU1195" s="7"/>
      <c r="BPV1195" s="7"/>
      <c r="BPW1195" s="7"/>
      <c r="BPX1195" s="7"/>
      <c r="BPY1195" s="7"/>
      <c r="BPZ1195" s="7"/>
      <c r="BQA1195" s="7"/>
      <c r="BQB1195" s="7"/>
      <c r="BQC1195" s="7"/>
      <c r="BQD1195" s="7"/>
      <c r="BQE1195" s="7"/>
      <c r="BQF1195" s="7"/>
      <c r="BQG1195" s="7"/>
      <c r="BQH1195" s="7"/>
      <c r="BQI1195" s="7"/>
      <c r="BQJ1195" s="7"/>
      <c r="BQK1195" s="7"/>
      <c r="BQL1195" s="7"/>
      <c r="BQM1195" s="7"/>
      <c r="BQN1195" s="7"/>
      <c r="BQO1195" s="7"/>
      <c r="BQP1195" s="7"/>
      <c r="BQQ1195" s="7"/>
      <c r="BQR1195" s="7"/>
      <c r="BQS1195" s="7"/>
      <c r="BQT1195" s="7"/>
      <c r="BQU1195" s="7"/>
      <c r="BQV1195" s="7"/>
      <c r="BQW1195" s="7"/>
      <c r="BQX1195" s="7"/>
      <c r="BQY1195" s="7"/>
      <c r="BQZ1195" s="7"/>
      <c r="BRA1195" s="7"/>
      <c r="BRB1195" s="7"/>
      <c r="BRC1195" s="7"/>
      <c r="BRD1195" s="7"/>
      <c r="BRE1195" s="7"/>
      <c r="BRF1195" s="7"/>
      <c r="BRG1195" s="7"/>
      <c r="BRH1195" s="7"/>
      <c r="BRI1195" s="7"/>
      <c r="BRJ1195" s="7"/>
      <c r="BRK1195" s="7"/>
      <c r="BRL1195" s="7"/>
      <c r="BRM1195" s="7"/>
      <c r="BRN1195" s="7"/>
      <c r="BRO1195" s="7"/>
      <c r="BRP1195" s="7"/>
      <c r="BRQ1195" s="7"/>
      <c r="BRR1195" s="7"/>
      <c r="BRS1195" s="7"/>
      <c r="BRT1195" s="7"/>
      <c r="BRU1195" s="7"/>
      <c r="BRV1195" s="7"/>
      <c r="BRW1195" s="7"/>
      <c r="BRX1195" s="7"/>
      <c r="BRY1195" s="7"/>
      <c r="BRZ1195" s="7"/>
      <c r="BSA1195" s="7"/>
      <c r="BSB1195" s="7"/>
      <c r="BSC1195" s="7"/>
      <c r="BSD1195" s="7"/>
      <c r="BSE1195" s="7"/>
      <c r="BSF1195" s="7"/>
      <c r="BSG1195" s="7"/>
      <c r="BSH1195" s="7"/>
      <c r="BSI1195" s="7"/>
      <c r="BSJ1195" s="7"/>
      <c r="BSK1195" s="7"/>
      <c r="BSL1195" s="7"/>
      <c r="BSM1195" s="7"/>
      <c r="BSN1195" s="7"/>
      <c r="BSO1195" s="7"/>
      <c r="BSP1195" s="7"/>
      <c r="BSQ1195" s="7"/>
      <c r="BSR1195" s="7"/>
      <c r="BSS1195" s="7"/>
      <c r="BST1195" s="7"/>
      <c r="BSU1195" s="7"/>
      <c r="BSV1195" s="7"/>
      <c r="BSW1195" s="7"/>
      <c r="BSX1195" s="7"/>
      <c r="BSY1195" s="7"/>
      <c r="BSZ1195" s="7"/>
      <c r="BTA1195" s="7"/>
      <c r="BTB1195" s="7"/>
      <c r="BTC1195" s="7"/>
      <c r="BTD1195" s="7"/>
      <c r="BTE1195" s="7"/>
      <c r="BTF1195" s="7"/>
      <c r="BTG1195" s="7"/>
      <c r="BTH1195" s="7"/>
      <c r="BTI1195" s="7"/>
      <c r="BTJ1195" s="7"/>
      <c r="BTK1195" s="7"/>
      <c r="BTL1195" s="7"/>
      <c r="BTM1195" s="7"/>
      <c r="BTN1195" s="7"/>
      <c r="BTO1195" s="7"/>
      <c r="BTP1195" s="7"/>
      <c r="BTQ1195" s="7"/>
      <c r="BTR1195" s="7"/>
      <c r="BTS1195" s="7"/>
      <c r="BTT1195" s="7"/>
      <c r="BTU1195" s="7"/>
      <c r="BTV1195" s="7"/>
      <c r="BTW1195" s="7"/>
      <c r="BTX1195" s="7"/>
      <c r="BTY1195" s="7"/>
      <c r="BTZ1195" s="7"/>
      <c r="BUA1195" s="7"/>
      <c r="BUB1195" s="7"/>
      <c r="BUC1195" s="7"/>
      <c r="BUD1195" s="7"/>
      <c r="BUE1195" s="7"/>
      <c r="BUF1195" s="7"/>
      <c r="BUG1195" s="7"/>
      <c r="BUH1195" s="7"/>
      <c r="BUI1195" s="7"/>
      <c r="BUJ1195" s="7"/>
      <c r="BUK1195" s="7"/>
      <c r="BUL1195" s="7"/>
      <c r="BUM1195" s="7"/>
      <c r="BUN1195" s="7"/>
      <c r="BUO1195" s="7"/>
      <c r="BUP1195" s="7"/>
      <c r="BUQ1195" s="7"/>
      <c r="BUR1195" s="7"/>
      <c r="BUS1195" s="7"/>
      <c r="BUT1195" s="7"/>
      <c r="BUU1195" s="7"/>
      <c r="BUV1195" s="7"/>
      <c r="BUW1195" s="7"/>
      <c r="BUX1195" s="7"/>
      <c r="BUY1195" s="7"/>
      <c r="BUZ1195" s="7"/>
      <c r="BVA1195" s="7"/>
      <c r="BVB1195" s="7"/>
      <c r="BVC1195" s="7"/>
      <c r="BVD1195" s="7"/>
      <c r="BVE1195" s="7"/>
      <c r="BVF1195" s="7"/>
      <c r="BVG1195" s="7"/>
      <c r="BVH1195" s="7"/>
      <c r="BVI1195" s="7"/>
      <c r="BVJ1195" s="7"/>
      <c r="BVK1195" s="7"/>
      <c r="BVL1195" s="7"/>
      <c r="BVM1195" s="7"/>
      <c r="BVN1195" s="7"/>
      <c r="BVO1195" s="7"/>
      <c r="BVP1195" s="7"/>
      <c r="BVQ1195" s="7"/>
      <c r="BVR1195" s="7"/>
      <c r="BVS1195" s="7"/>
      <c r="BVT1195" s="7"/>
      <c r="BVU1195" s="7"/>
      <c r="BVV1195" s="7"/>
      <c r="BVW1195" s="7"/>
      <c r="BVX1195" s="7"/>
      <c r="BVY1195" s="7"/>
      <c r="BVZ1195" s="7"/>
      <c r="BWA1195" s="7"/>
      <c r="BWB1195" s="7"/>
      <c r="BWC1195" s="7"/>
      <c r="BWD1195" s="7"/>
      <c r="BWE1195" s="7"/>
      <c r="BWF1195" s="7"/>
      <c r="BWG1195" s="7"/>
      <c r="BWH1195" s="7"/>
      <c r="BWI1195" s="7"/>
      <c r="BWJ1195" s="7"/>
      <c r="BWK1195" s="7"/>
      <c r="BWL1195" s="7"/>
      <c r="BWM1195" s="7"/>
      <c r="BWN1195" s="7"/>
      <c r="BWO1195" s="7"/>
      <c r="BWP1195" s="7"/>
      <c r="BWQ1195" s="7"/>
      <c r="BWR1195" s="7"/>
      <c r="BWS1195" s="7"/>
      <c r="BWT1195" s="7"/>
      <c r="BWU1195" s="7"/>
      <c r="BWV1195" s="7"/>
      <c r="BWW1195" s="7"/>
      <c r="BWX1195" s="7"/>
      <c r="BWY1195" s="7"/>
      <c r="BWZ1195" s="7"/>
      <c r="BXA1195" s="7"/>
      <c r="BXB1195" s="7"/>
      <c r="BXC1195" s="7"/>
      <c r="BXD1195" s="7"/>
      <c r="BXE1195" s="7"/>
      <c r="BXF1195" s="7"/>
      <c r="BXG1195" s="7"/>
      <c r="BXH1195" s="7"/>
      <c r="BXI1195" s="7"/>
      <c r="BXJ1195" s="7"/>
      <c r="BXK1195" s="7"/>
      <c r="BXL1195" s="7"/>
      <c r="BXM1195" s="7"/>
      <c r="BXN1195" s="7"/>
      <c r="BXO1195" s="7"/>
      <c r="BXP1195" s="7"/>
      <c r="BXQ1195" s="7"/>
      <c r="BXR1195" s="7"/>
      <c r="BXS1195" s="7"/>
      <c r="BXT1195" s="7"/>
      <c r="BXU1195" s="7"/>
      <c r="BXV1195" s="7"/>
      <c r="BXW1195" s="7"/>
      <c r="BXX1195" s="7"/>
      <c r="BXY1195" s="7"/>
      <c r="BXZ1195" s="7"/>
      <c r="BYA1195" s="7"/>
      <c r="BYB1195" s="7"/>
      <c r="BYC1195" s="7"/>
      <c r="BYD1195" s="7"/>
      <c r="BYE1195" s="7"/>
      <c r="BYF1195" s="7"/>
      <c r="BYG1195" s="7"/>
      <c r="BYH1195" s="7"/>
      <c r="BYI1195" s="7"/>
      <c r="BYJ1195" s="7"/>
      <c r="BYK1195" s="7"/>
      <c r="BYL1195" s="7"/>
      <c r="BYM1195" s="7"/>
      <c r="BYN1195" s="7"/>
      <c r="BYO1195" s="7"/>
      <c r="BYP1195" s="7"/>
      <c r="BYQ1195" s="7"/>
      <c r="BYR1195" s="7"/>
      <c r="BYS1195" s="7"/>
      <c r="BYT1195" s="7"/>
      <c r="BYU1195" s="7"/>
      <c r="BYV1195" s="7"/>
      <c r="BYW1195" s="7"/>
      <c r="BYX1195" s="7"/>
      <c r="BYY1195" s="7"/>
      <c r="BYZ1195" s="7"/>
      <c r="BZA1195" s="7"/>
      <c r="BZB1195" s="7"/>
      <c r="BZC1195" s="7"/>
      <c r="BZD1195" s="7"/>
      <c r="BZE1195" s="7"/>
      <c r="BZF1195" s="7"/>
      <c r="BZG1195" s="7"/>
      <c r="BZH1195" s="7"/>
      <c r="BZI1195" s="7"/>
      <c r="BZJ1195" s="7"/>
      <c r="BZK1195" s="7"/>
      <c r="BZL1195" s="7"/>
      <c r="BZM1195" s="7"/>
      <c r="BZN1195" s="7"/>
      <c r="BZO1195" s="7"/>
      <c r="BZP1195" s="7"/>
      <c r="BZQ1195" s="7"/>
      <c r="BZR1195" s="7"/>
      <c r="BZS1195" s="7"/>
      <c r="BZT1195" s="7"/>
      <c r="BZU1195" s="7"/>
      <c r="BZV1195" s="7"/>
      <c r="BZW1195" s="7"/>
      <c r="BZX1195" s="7"/>
      <c r="BZY1195" s="7"/>
      <c r="BZZ1195" s="7"/>
      <c r="CAA1195" s="7"/>
      <c r="CAB1195" s="7"/>
      <c r="CAC1195" s="7"/>
      <c r="CAD1195" s="7"/>
      <c r="CAE1195" s="7"/>
      <c r="CAF1195" s="7"/>
      <c r="CAG1195" s="7"/>
      <c r="CAH1195" s="7"/>
      <c r="CAI1195" s="7"/>
      <c r="CAJ1195" s="7"/>
      <c r="CAK1195" s="7"/>
      <c r="CAL1195" s="7"/>
      <c r="CAM1195" s="7"/>
      <c r="CAN1195" s="7"/>
      <c r="CAO1195" s="7"/>
      <c r="CAP1195" s="7"/>
      <c r="CAQ1195" s="7"/>
      <c r="CAR1195" s="7"/>
      <c r="CAS1195" s="7"/>
      <c r="CAT1195" s="7"/>
      <c r="CAU1195" s="7"/>
      <c r="CAV1195" s="7"/>
      <c r="CAW1195" s="7"/>
      <c r="CAX1195" s="7"/>
      <c r="CAY1195" s="7"/>
      <c r="CAZ1195" s="7"/>
      <c r="CBA1195" s="7"/>
      <c r="CBB1195" s="7"/>
      <c r="CBC1195" s="7"/>
      <c r="CBD1195" s="7"/>
      <c r="CBE1195" s="7"/>
      <c r="CBF1195" s="7"/>
      <c r="CBG1195" s="7"/>
      <c r="CBH1195" s="7"/>
      <c r="CBI1195" s="7"/>
      <c r="CBJ1195" s="7"/>
      <c r="CBK1195" s="7"/>
      <c r="CBL1195" s="7"/>
      <c r="CBM1195" s="7"/>
      <c r="CBN1195" s="7"/>
      <c r="CBO1195" s="7"/>
      <c r="CBP1195" s="7"/>
      <c r="CBQ1195" s="7"/>
      <c r="CBR1195" s="7"/>
      <c r="CBS1195" s="7"/>
      <c r="CBT1195" s="7"/>
      <c r="CBU1195" s="7"/>
      <c r="CBV1195" s="7"/>
      <c r="CBW1195" s="7"/>
      <c r="CBX1195" s="7"/>
      <c r="CBY1195" s="7"/>
      <c r="CBZ1195" s="7"/>
      <c r="CCA1195" s="7"/>
      <c r="CCB1195" s="7"/>
      <c r="CCC1195" s="7"/>
      <c r="CCD1195" s="7"/>
      <c r="CCE1195" s="7"/>
      <c r="CCF1195" s="7"/>
      <c r="CCG1195" s="7"/>
      <c r="CCH1195" s="7"/>
      <c r="CCI1195" s="7"/>
      <c r="CCJ1195" s="7"/>
      <c r="CCK1195" s="7"/>
      <c r="CCL1195" s="7"/>
      <c r="CCM1195" s="7"/>
      <c r="CCN1195" s="7"/>
      <c r="CCO1195" s="7"/>
      <c r="CCP1195" s="7"/>
      <c r="CCQ1195" s="7"/>
      <c r="CCR1195" s="7"/>
      <c r="CCS1195" s="7"/>
      <c r="CCT1195" s="7"/>
      <c r="CCU1195" s="7"/>
      <c r="CCV1195" s="7"/>
      <c r="CCW1195" s="7"/>
      <c r="CCX1195" s="7"/>
      <c r="CCY1195" s="7"/>
      <c r="CCZ1195" s="7"/>
      <c r="CDA1195" s="7"/>
      <c r="CDB1195" s="7"/>
      <c r="CDC1195" s="7"/>
      <c r="CDD1195" s="7"/>
      <c r="CDE1195" s="7"/>
      <c r="CDF1195" s="7"/>
      <c r="CDG1195" s="7"/>
      <c r="CDH1195" s="7"/>
      <c r="CDI1195" s="7"/>
      <c r="CDJ1195" s="7"/>
      <c r="CDK1195" s="7"/>
      <c r="CDL1195" s="7"/>
      <c r="CDM1195" s="7"/>
      <c r="CDN1195" s="7"/>
      <c r="CDO1195" s="7"/>
      <c r="CDP1195" s="7"/>
      <c r="CDQ1195" s="7"/>
      <c r="CDR1195" s="7"/>
      <c r="CDS1195" s="7"/>
      <c r="CDT1195" s="7"/>
      <c r="CDU1195" s="7"/>
      <c r="CDV1195" s="7"/>
      <c r="CDW1195" s="7"/>
      <c r="CDX1195" s="7"/>
      <c r="CDY1195" s="7"/>
      <c r="CDZ1195" s="7"/>
      <c r="CEA1195" s="7"/>
      <c r="CEB1195" s="7"/>
      <c r="CEC1195" s="7"/>
      <c r="CED1195" s="7"/>
      <c r="CEE1195" s="7"/>
      <c r="CEF1195" s="7"/>
      <c r="CEG1195" s="7"/>
      <c r="CEH1195" s="7"/>
      <c r="CEI1195" s="7"/>
      <c r="CEJ1195" s="7"/>
      <c r="CEK1195" s="7"/>
      <c r="CEL1195" s="7"/>
      <c r="CEM1195" s="7"/>
      <c r="CEN1195" s="7"/>
      <c r="CEO1195" s="7"/>
      <c r="CEP1195" s="7"/>
      <c r="CEQ1195" s="7"/>
      <c r="CER1195" s="7"/>
      <c r="CES1195" s="7"/>
      <c r="CET1195" s="7"/>
      <c r="CEU1195" s="7"/>
      <c r="CEV1195" s="7"/>
      <c r="CEW1195" s="7"/>
      <c r="CEX1195" s="7"/>
      <c r="CEY1195" s="7"/>
      <c r="CEZ1195" s="7"/>
      <c r="CFA1195" s="7"/>
      <c r="CFB1195" s="7"/>
      <c r="CFC1195" s="7"/>
      <c r="CFD1195" s="7"/>
      <c r="CFE1195" s="7"/>
      <c r="CFF1195" s="7"/>
      <c r="CFG1195" s="7"/>
      <c r="CFH1195" s="7"/>
      <c r="CFI1195" s="7"/>
      <c r="CFJ1195" s="7"/>
      <c r="CFK1195" s="7"/>
      <c r="CFL1195" s="7"/>
      <c r="CFM1195" s="7"/>
      <c r="CFN1195" s="7"/>
      <c r="CFO1195" s="7"/>
      <c r="CFP1195" s="7"/>
      <c r="CFQ1195" s="7"/>
      <c r="CFR1195" s="7"/>
      <c r="CFS1195" s="7"/>
      <c r="CFT1195" s="7"/>
      <c r="CFU1195" s="7"/>
      <c r="CFV1195" s="7"/>
      <c r="CFW1195" s="7"/>
      <c r="CFX1195" s="7"/>
      <c r="CFY1195" s="7"/>
      <c r="CFZ1195" s="7"/>
      <c r="CGA1195" s="7"/>
      <c r="CGB1195" s="7"/>
      <c r="CGC1195" s="7"/>
      <c r="CGD1195" s="7"/>
      <c r="CGE1195" s="7"/>
      <c r="CGF1195" s="7"/>
      <c r="CGG1195" s="7"/>
      <c r="CGH1195" s="7"/>
      <c r="CGI1195" s="7"/>
      <c r="CGJ1195" s="7"/>
      <c r="CGK1195" s="7"/>
      <c r="CGL1195" s="7"/>
      <c r="CGM1195" s="7"/>
      <c r="CGN1195" s="7"/>
      <c r="CGO1195" s="7"/>
      <c r="CGP1195" s="7"/>
      <c r="CGQ1195" s="7"/>
      <c r="CGR1195" s="7"/>
      <c r="CGS1195" s="7"/>
      <c r="CGT1195" s="7"/>
      <c r="CGU1195" s="7"/>
      <c r="CGV1195" s="7"/>
      <c r="CGW1195" s="7"/>
      <c r="CGX1195" s="7"/>
      <c r="CGY1195" s="7"/>
      <c r="CGZ1195" s="7"/>
      <c r="CHA1195" s="7"/>
      <c r="CHB1195" s="7"/>
      <c r="CHC1195" s="7"/>
      <c r="CHD1195" s="7"/>
      <c r="CHE1195" s="7"/>
      <c r="CHF1195" s="7"/>
      <c r="CHG1195" s="7"/>
      <c r="CHH1195" s="7"/>
      <c r="CHI1195" s="7"/>
      <c r="CHJ1195" s="7"/>
      <c r="CHK1195" s="7"/>
      <c r="CHL1195" s="7"/>
      <c r="CHM1195" s="7"/>
      <c r="CHN1195" s="7"/>
      <c r="CHO1195" s="7"/>
      <c r="CHP1195" s="7"/>
      <c r="CHQ1195" s="7"/>
      <c r="CHR1195" s="7"/>
      <c r="CHS1195" s="7"/>
      <c r="CHT1195" s="7"/>
      <c r="CHU1195" s="7"/>
      <c r="CHV1195" s="7"/>
      <c r="CHW1195" s="7"/>
      <c r="CHX1195" s="7"/>
      <c r="CHY1195" s="7"/>
      <c r="CHZ1195" s="7"/>
      <c r="CIA1195" s="7"/>
      <c r="CIB1195" s="7"/>
      <c r="CIC1195" s="7"/>
      <c r="CID1195" s="7"/>
      <c r="CIE1195" s="7"/>
      <c r="CIF1195" s="7"/>
      <c r="CIG1195" s="7"/>
      <c r="CIH1195" s="7"/>
      <c r="CII1195" s="7"/>
      <c r="CIJ1195" s="7"/>
      <c r="CIK1195" s="7"/>
      <c r="CIL1195" s="7"/>
      <c r="CIM1195" s="7"/>
      <c r="CIN1195" s="7"/>
      <c r="CIO1195" s="7"/>
      <c r="CIP1195" s="7"/>
      <c r="CIQ1195" s="7"/>
      <c r="CIR1195" s="7"/>
      <c r="CIS1195" s="7"/>
      <c r="CIT1195" s="7"/>
      <c r="CIU1195" s="7"/>
      <c r="CIV1195" s="7"/>
      <c r="CIW1195" s="7"/>
      <c r="CIX1195" s="7"/>
      <c r="CIY1195" s="7"/>
      <c r="CIZ1195" s="7"/>
      <c r="CJA1195" s="7"/>
      <c r="CJB1195" s="7"/>
      <c r="CJC1195" s="7"/>
      <c r="CJD1195" s="7"/>
      <c r="CJE1195" s="7"/>
      <c r="CJF1195" s="7"/>
      <c r="CJG1195" s="7"/>
      <c r="CJH1195" s="7"/>
      <c r="CJI1195" s="7"/>
      <c r="CJJ1195" s="7"/>
      <c r="CJK1195" s="7"/>
      <c r="CJL1195" s="7"/>
      <c r="CJM1195" s="7"/>
      <c r="CJN1195" s="7"/>
      <c r="CJO1195" s="7"/>
      <c r="CJP1195" s="7"/>
      <c r="CJQ1195" s="7"/>
      <c r="CJR1195" s="7"/>
      <c r="CJS1195" s="7"/>
      <c r="CJT1195" s="7"/>
      <c r="CJU1195" s="7"/>
      <c r="CJV1195" s="7"/>
      <c r="CJW1195" s="7"/>
      <c r="CJX1195" s="7"/>
      <c r="CJY1195" s="7"/>
      <c r="CJZ1195" s="7"/>
      <c r="CKA1195" s="7"/>
      <c r="CKB1195" s="7"/>
      <c r="CKC1195" s="7"/>
      <c r="CKD1195" s="7"/>
      <c r="CKE1195" s="7"/>
      <c r="CKF1195" s="7"/>
      <c r="CKG1195" s="7"/>
      <c r="CKH1195" s="7"/>
      <c r="CKI1195" s="7"/>
      <c r="CKJ1195" s="7"/>
      <c r="CKK1195" s="7"/>
      <c r="CKL1195" s="7"/>
      <c r="CKM1195" s="7"/>
      <c r="CKN1195" s="7"/>
      <c r="CKO1195" s="7"/>
      <c r="CKP1195" s="7"/>
      <c r="CKQ1195" s="7"/>
      <c r="CKR1195" s="7"/>
      <c r="CKS1195" s="7"/>
      <c r="CKT1195" s="7"/>
      <c r="CKU1195" s="7"/>
      <c r="CKV1195" s="7"/>
      <c r="CKW1195" s="7"/>
      <c r="CKX1195" s="7"/>
      <c r="CKY1195" s="7"/>
      <c r="CKZ1195" s="7"/>
      <c r="CLA1195" s="7"/>
      <c r="CLB1195" s="7"/>
      <c r="CLC1195" s="7"/>
      <c r="CLD1195" s="7"/>
      <c r="CLE1195" s="7"/>
      <c r="CLF1195" s="7"/>
      <c r="CLG1195" s="7"/>
      <c r="CLH1195" s="7"/>
      <c r="CLI1195" s="7"/>
      <c r="CLJ1195" s="7"/>
      <c r="CLK1195" s="7"/>
      <c r="CLL1195" s="7"/>
      <c r="CLM1195" s="7"/>
      <c r="CLN1195" s="7"/>
      <c r="CLO1195" s="7"/>
      <c r="CLP1195" s="7"/>
      <c r="CLQ1195" s="7"/>
      <c r="CLR1195" s="7"/>
      <c r="CLS1195" s="7"/>
      <c r="CLT1195" s="7"/>
      <c r="CLU1195" s="7"/>
      <c r="CLV1195" s="7"/>
      <c r="CLW1195" s="7"/>
      <c r="CLX1195" s="7"/>
      <c r="CLY1195" s="7"/>
      <c r="CLZ1195" s="7"/>
      <c r="CMA1195" s="7"/>
      <c r="CMB1195" s="7"/>
      <c r="CMC1195" s="7"/>
      <c r="CMD1195" s="7"/>
      <c r="CME1195" s="7"/>
      <c r="CMF1195" s="7"/>
      <c r="CMG1195" s="7"/>
      <c r="CMH1195" s="7"/>
      <c r="CMI1195" s="7"/>
      <c r="CMJ1195" s="7"/>
      <c r="CMK1195" s="7"/>
      <c r="CML1195" s="7"/>
      <c r="CMM1195" s="7"/>
      <c r="CMN1195" s="7"/>
      <c r="CMO1195" s="7"/>
      <c r="CMP1195" s="7"/>
      <c r="CMQ1195" s="7"/>
      <c r="CMR1195" s="7"/>
      <c r="CMS1195" s="7"/>
      <c r="CMT1195" s="7"/>
      <c r="CMU1195" s="7"/>
      <c r="CMV1195" s="7"/>
      <c r="CMW1195" s="7"/>
      <c r="CMX1195" s="7"/>
      <c r="CMY1195" s="7"/>
      <c r="CMZ1195" s="7"/>
      <c r="CNA1195" s="7"/>
      <c r="CNB1195" s="7"/>
      <c r="CNC1195" s="7"/>
      <c r="CND1195" s="7"/>
      <c r="CNE1195" s="7"/>
      <c r="CNF1195" s="7"/>
      <c r="CNG1195" s="7"/>
      <c r="CNH1195" s="7"/>
      <c r="CNI1195" s="7"/>
      <c r="CNJ1195" s="7"/>
      <c r="CNK1195" s="7"/>
      <c r="CNL1195" s="7"/>
      <c r="CNM1195" s="7"/>
      <c r="CNN1195" s="7"/>
      <c r="CNO1195" s="7"/>
      <c r="CNP1195" s="7"/>
      <c r="CNQ1195" s="7"/>
      <c r="CNR1195" s="7"/>
      <c r="CNS1195" s="7"/>
      <c r="CNT1195" s="7"/>
      <c r="CNU1195" s="7"/>
      <c r="CNV1195" s="7"/>
      <c r="CNW1195" s="7"/>
      <c r="CNX1195" s="7"/>
      <c r="CNY1195" s="7"/>
      <c r="CNZ1195" s="7"/>
      <c r="COA1195" s="7"/>
      <c r="COB1195" s="7"/>
      <c r="COC1195" s="7"/>
      <c r="COD1195" s="7"/>
      <c r="COE1195" s="7"/>
      <c r="COF1195" s="7"/>
      <c r="COG1195" s="7"/>
      <c r="COH1195" s="7"/>
      <c r="COI1195" s="7"/>
      <c r="COJ1195" s="7"/>
      <c r="COK1195" s="7"/>
      <c r="COL1195" s="7"/>
      <c r="COM1195" s="7"/>
      <c r="CON1195" s="7"/>
      <c r="COO1195" s="7"/>
      <c r="COP1195" s="7"/>
      <c r="COQ1195" s="7"/>
      <c r="COR1195" s="7"/>
      <c r="COS1195" s="7"/>
      <c r="COT1195" s="7"/>
      <c r="COU1195" s="7"/>
      <c r="COV1195" s="7"/>
      <c r="COW1195" s="7"/>
      <c r="COX1195" s="7"/>
      <c r="COY1195" s="7"/>
      <c r="COZ1195" s="7"/>
      <c r="CPA1195" s="7"/>
      <c r="CPB1195" s="7"/>
      <c r="CPC1195" s="7"/>
      <c r="CPD1195" s="7"/>
      <c r="CPE1195" s="7"/>
      <c r="CPF1195" s="7"/>
      <c r="CPG1195" s="7"/>
      <c r="CPH1195" s="7"/>
      <c r="CPI1195" s="7"/>
      <c r="CPJ1195" s="7"/>
      <c r="CPK1195" s="7"/>
      <c r="CPL1195" s="7"/>
      <c r="CPM1195" s="7"/>
      <c r="CPN1195" s="7"/>
      <c r="CPO1195" s="7"/>
      <c r="CPP1195" s="7"/>
      <c r="CPQ1195" s="7"/>
      <c r="CPR1195" s="7"/>
      <c r="CPS1195" s="7"/>
      <c r="CPT1195" s="7"/>
      <c r="CPU1195" s="7"/>
      <c r="CPV1195" s="7"/>
      <c r="CPW1195" s="7"/>
      <c r="CPX1195" s="7"/>
      <c r="CPY1195" s="7"/>
      <c r="CPZ1195" s="7"/>
      <c r="CQA1195" s="7"/>
      <c r="CQB1195" s="7"/>
      <c r="CQC1195" s="7"/>
      <c r="CQD1195" s="7"/>
      <c r="CQE1195" s="7"/>
      <c r="CQF1195" s="7"/>
      <c r="CQG1195" s="7"/>
      <c r="CQH1195" s="7"/>
      <c r="CQI1195" s="7"/>
      <c r="CQJ1195" s="7"/>
      <c r="CQK1195" s="7"/>
      <c r="CQL1195" s="7"/>
      <c r="CQM1195" s="7"/>
      <c r="CQN1195" s="7"/>
      <c r="CQO1195" s="7"/>
      <c r="CQP1195" s="7"/>
      <c r="CQQ1195" s="7"/>
      <c r="CQR1195" s="7"/>
      <c r="CQS1195" s="7"/>
      <c r="CQT1195" s="7"/>
      <c r="CQU1195" s="7"/>
      <c r="CQV1195" s="7"/>
      <c r="CQW1195" s="7"/>
      <c r="CQX1195" s="7"/>
      <c r="CQY1195" s="7"/>
      <c r="CQZ1195" s="7"/>
      <c r="CRA1195" s="7"/>
      <c r="CRB1195" s="7"/>
      <c r="CRC1195" s="7"/>
      <c r="CRD1195" s="7"/>
      <c r="CRE1195" s="7"/>
      <c r="CRF1195" s="7"/>
      <c r="CRG1195" s="7"/>
      <c r="CRH1195" s="7"/>
      <c r="CRI1195" s="7"/>
      <c r="CRJ1195" s="7"/>
      <c r="CRK1195" s="7"/>
      <c r="CRL1195" s="7"/>
      <c r="CRM1195" s="7"/>
      <c r="CRN1195" s="7"/>
      <c r="CRO1195" s="7"/>
      <c r="CRP1195" s="7"/>
      <c r="CRQ1195" s="7"/>
      <c r="CRR1195" s="7"/>
      <c r="CRS1195" s="7"/>
      <c r="CRT1195" s="7"/>
      <c r="CRU1195" s="7"/>
      <c r="CRV1195" s="7"/>
      <c r="CRW1195" s="7"/>
      <c r="CRX1195" s="7"/>
      <c r="CRY1195" s="7"/>
      <c r="CRZ1195" s="7"/>
      <c r="CSA1195" s="7"/>
      <c r="CSB1195" s="7"/>
      <c r="CSC1195" s="7"/>
      <c r="CSD1195" s="7"/>
      <c r="CSE1195" s="7"/>
      <c r="CSF1195" s="7"/>
      <c r="CSG1195" s="7"/>
      <c r="CSH1195" s="7"/>
      <c r="CSI1195" s="7"/>
      <c r="CSJ1195" s="7"/>
      <c r="CSK1195" s="7"/>
      <c r="CSL1195" s="7"/>
      <c r="CSM1195" s="7"/>
      <c r="CSN1195" s="7"/>
      <c r="CSO1195" s="7"/>
      <c r="CSP1195" s="7"/>
      <c r="CSQ1195" s="7"/>
      <c r="CSR1195" s="7"/>
      <c r="CSS1195" s="7"/>
      <c r="CST1195" s="7"/>
      <c r="CSU1195" s="7"/>
      <c r="CSV1195" s="7"/>
      <c r="CSW1195" s="7"/>
      <c r="CSX1195" s="7"/>
      <c r="CSY1195" s="7"/>
      <c r="CSZ1195" s="7"/>
      <c r="CTA1195" s="7"/>
      <c r="CTB1195" s="7"/>
      <c r="CTC1195" s="7"/>
      <c r="CTD1195" s="7"/>
      <c r="CTE1195" s="7"/>
      <c r="CTF1195" s="7"/>
      <c r="CTG1195" s="7"/>
      <c r="CTH1195" s="7"/>
      <c r="CTI1195" s="7"/>
      <c r="CTJ1195" s="7"/>
      <c r="CTK1195" s="7"/>
      <c r="CTL1195" s="7"/>
      <c r="CTM1195" s="7"/>
      <c r="CTN1195" s="7"/>
      <c r="CTO1195" s="7"/>
      <c r="CTP1195" s="7"/>
      <c r="CTQ1195" s="7"/>
      <c r="CTR1195" s="7"/>
      <c r="CTS1195" s="7"/>
      <c r="CTT1195" s="7"/>
      <c r="CTU1195" s="7"/>
      <c r="CTV1195" s="7"/>
      <c r="CTW1195" s="7"/>
      <c r="CTX1195" s="7"/>
      <c r="CTY1195" s="7"/>
      <c r="CTZ1195" s="7"/>
      <c r="CUA1195" s="7"/>
      <c r="CUB1195" s="7"/>
      <c r="CUC1195" s="7"/>
      <c r="CUD1195" s="7"/>
      <c r="CUE1195" s="7"/>
      <c r="CUF1195" s="7"/>
      <c r="CUG1195" s="7"/>
      <c r="CUH1195" s="7"/>
      <c r="CUI1195" s="7"/>
      <c r="CUJ1195" s="7"/>
      <c r="CUK1195" s="7"/>
      <c r="CUL1195" s="7"/>
      <c r="CUM1195" s="7"/>
      <c r="CUN1195" s="7"/>
      <c r="CUO1195" s="7"/>
      <c r="CUP1195" s="7"/>
      <c r="CUQ1195" s="7"/>
      <c r="CUR1195" s="7"/>
      <c r="CUS1195" s="7"/>
      <c r="CUT1195" s="7"/>
      <c r="CUU1195" s="7"/>
      <c r="CUV1195" s="7"/>
      <c r="CUW1195" s="7"/>
      <c r="CUX1195" s="7"/>
      <c r="CUY1195" s="7"/>
      <c r="CUZ1195" s="7"/>
      <c r="CVA1195" s="7"/>
      <c r="CVB1195" s="7"/>
      <c r="CVC1195" s="7"/>
      <c r="CVD1195" s="7"/>
      <c r="CVE1195" s="7"/>
      <c r="CVF1195" s="7"/>
      <c r="CVG1195" s="7"/>
      <c r="CVH1195" s="7"/>
      <c r="CVI1195" s="7"/>
      <c r="CVJ1195" s="7"/>
      <c r="CVK1195" s="7"/>
      <c r="CVL1195" s="7"/>
      <c r="CVM1195" s="7"/>
      <c r="CVN1195" s="7"/>
      <c r="CVO1195" s="7"/>
      <c r="CVP1195" s="7"/>
      <c r="CVQ1195" s="7"/>
      <c r="CVR1195" s="7"/>
      <c r="CVS1195" s="7"/>
      <c r="CVT1195" s="7"/>
      <c r="CVU1195" s="7"/>
      <c r="CVV1195" s="7"/>
      <c r="CVW1195" s="7"/>
      <c r="CVX1195" s="7"/>
      <c r="CVY1195" s="7"/>
      <c r="CVZ1195" s="7"/>
      <c r="CWA1195" s="7"/>
      <c r="CWB1195" s="7"/>
      <c r="CWC1195" s="7"/>
      <c r="CWD1195" s="7"/>
      <c r="CWE1195" s="7"/>
      <c r="CWF1195" s="7"/>
      <c r="CWG1195" s="7"/>
      <c r="CWH1195" s="7"/>
      <c r="CWI1195" s="7"/>
      <c r="CWJ1195" s="7"/>
      <c r="CWK1195" s="7"/>
      <c r="CWL1195" s="7"/>
      <c r="CWM1195" s="7"/>
      <c r="CWN1195" s="7"/>
      <c r="CWO1195" s="7"/>
      <c r="CWP1195" s="7"/>
      <c r="CWQ1195" s="7"/>
      <c r="CWR1195" s="7"/>
      <c r="CWS1195" s="7"/>
      <c r="CWT1195" s="7"/>
      <c r="CWU1195" s="7"/>
      <c r="CWV1195" s="7"/>
      <c r="CWW1195" s="7"/>
      <c r="CWX1195" s="7"/>
      <c r="CWY1195" s="7"/>
      <c r="CWZ1195" s="7"/>
      <c r="CXA1195" s="7"/>
      <c r="CXB1195" s="7"/>
      <c r="CXC1195" s="7"/>
      <c r="CXD1195" s="7"/>
      <c r="CXE1195" s="7"/>
      <c r="CXF1195" s="7"/>
      <c r="CXG1195" s="7"/>
      <c r="CXH1195" s="7"/>
      <c r="CXI1195" s="7"/>
      <c r="CXJ1195" s="7"/>
      <c r="CXK1195" s="7"/>
      <c r="CXL1195" s="7"/>
      <c r="CXM1195" s="7"/>
      <c r="CXN1195" s="7"/>
      <c r="CXO1195" s="7"/>
      <c r="CXP1195" s="7"/>
      <c r="CXQ1195" s="7"/>
      <c r="CXR1195" s="7"/>
      <c r="CXS1195" s="7"/>
      <c r="CXT1195" s="7"/>
      <c r="CXU1195" s="7"/>
      <c r="CXV1195" s="7"/>
      <c r="CXW1195" s="7"/>
      <c r="CXX1195" s="7"/>
      <c r="CXY1195" s="7"/>
      <c r="CXZ1195" s="7"/>
      <c r="CYA1195" s="7"/>
      <c r="CYB1195" s="7"/>
      <c r="CYC1195" s="7"/>
      <c r="CYD1195" s="7"/>
      <c r="CYE1195" s="7"/>
      <c r="CYF1195" s="7"/>
      <c r="CYG1195" s="7"/>
      <c r="CYH1195" s="7"/>
      <c r="CYI1195" s="7"/>
      <c r="CYJ1195" s="7"/>
      <c r="CYK1195" s="7"/>
      <c r="CYL1195" s="7"/>
      <c r="CYM1195" s="7"/>
      <c r="CYN1195" s="7"/>
      <c r="CYO1195" s="7"/>
      <c r="CYP1195" s="7"/>
      <c r="CYQ1195" s="7"/>
      <c r="CYR1195" s="7"/>
      <c r="CYS1195" s="7"/>
      <c r="CYT1195" s="7"/>
      <c r="CYU1195" s="7"/>
      <c r="CYV1195" s="7"/>
      <c r="CYW1195" s="7"/>
      <c r="CYX1195" s="7"/>
      <c r="CYY1195" s="7"/>
      <c r="CYZ1195" s="7"/>
      <c r="CZA1195" s="7"/>
      <c r="CZB1195" s="7"/>
      <c r="CZC1195" s="7"/>
      <c r="CZD1195" s="7"/>
      <c r="CZE1195" s="7"/>
      <c r="CZF1195" s="7"/>
      <c r="CZG1195" s="7"/>
      <c r="CZH1195" s="7"/>
      <c r="CZI1195" s="7"/>
      <c r="CZJ1195" s="7"/>
      <c r="CZK1195" s="7"/>
      <c r="CZL1195" s="7"/>
      <c r="CZM1195" s="7"/>
      <c r="CZN1195" s="7"/>
      <c r="CZO1195" s="7"/>
      <c r="CZP1195" s="7"/>
      <c r="CZQ1195" s="7"/>
      <c r="CZR1195" s="7"/>
      <c r="CZS1195" s="7"/>
      <c r="CZT1195" s="7"/>
      <c r="CZU1195" s="7"/>
      <c r="CZV1195" s="7"/>
      <c r="CZW1195" s="7"/>
      <c r="CZX1195" s="7"/>
      <c r="CZY1195" s="7"/>
      <c r="CZZ1195" s="7"/>
      <c r="DAA1195" s="7"/>
      <c r="DAB1195" s="7"/>
      <c r="DAC1195" s="7"/>
      <c r="DAD1195" s="7"/>
      <c r="DAE1195" s="7"/>
      <c r="DAF1195" s="7"/>
      <c r="DAG1195" s="7"/>
      <c r="DAH1195" s="7"/>
      <c r="DAI1195" s="7"/>
      <c r="DAJ1195" s="7"/>
      <c r="DAK1195" s="7"/>
      <c r="DAL1195" s="7"/>
      <c r="DAM1195" s="7"/>
      <c r="DAN1195" s="7"/>
      <c r="DAO1195" s="7"/>
      <c r="DAP1195" s="7"/>
      <c r="DAQ1195" s="7"/>
      <c r="DAR1195" s="7"/>
      <c r="DAS1195" s="7"/>
      <c r="DAT1195" s="7"/>
      <c r="DAU1195" s="7"/>
      <c r="DAV1195" s="7"/>
      <c r="DAW1195" s="7"/>
      <c r="DAX1195" s="7"/>
      <c r="DAY1195" s="7"/>
      <c r="DAZ1195" s="7"/>
      <c r="DBA1195" s="7"/>
      <c r="DBB1195" s="7"/>
      <c r="DBC1195" s="7"/>
      <c r="DBD1195" s="7"/>
      <c r="DBE1195" s="7"/>
      <c r="DBF1195" s="7"/>
      <c r="DBG1195" s="7"/>
      <c r="DBH1195" s="7"/>
      <c r="DBI1195" s="7"/>
      <c r="DBJ1195" s="7"/>
      <c r="DBK1195" s="7"/>
      <c r="DBL1195" s="7"/>
      <c r="DBM1195" s="7"/>
      <c r="DBN1195" s="7"/>
      <c r="DBO1195" s="7"/>
      <c r="DBP1195" s="7"/>
      <c r="DBQ1195" s="7"/>
      <c r="DBR1195" s="7"/>
      <c r="DBS1195" s="7"/>
      <c r="DBT1195" s="7"/>
      <c r="DBU1195" s="7"/>
      <c r="DBV1195" s="7"/>
      <c r="DBW1195" s="7"/>
      <c r="DBX1195" s="7"/>
      <c r="DBY1195" s="7"/>
      <c r="DBZ1195" s="7"/>
      <c r="DCA1195" s="7"/>
      <c r="DCB1195" s="7"/>
      <c r="DCC1195" s="7"/>
      <c r="DCD1195" s="7"/>
      <c r="DCE1195" s="7"/>
      <c r="DCF1195" s="7"/>
      <c r="DCG1195" s="7"/>
      <c r="DCH1195" s="7"/>
      <c r="DCI1195" s="7"/>
      <c r="DCJ1195" s="7"/>
      <c r="DCK1195" s="7"/>
      <c r="DCL1195" s="7"/>
      <c r="DCM1195" s="7"/>
      <c r="DCN1195" s="7"/>
      <c r="DCO1195" s="7"/>
      <c r="DCP1195" s="7"/>
      <c r="DCQ1195" s="7"/>
      <c r="DCR1195" s="7"/>
      <c r="DCS1195" s="7"/>
      <c r="DCT1195" s="7"/>
      <c r="DCU1195" s="7"/>
      <c r="DCV1195" s="7"/>
      <c r="DCW1195" s="7"/>
      <c r="DCX1195" s="7"/>
      <c r="DCY1195" s="7"/>
      <c r="DCZ1195" s="7"/>
      <c r="DDA1195" s="7"/>
      <c r="DDB1195" s="7"/>
      <c r="DDC1195" s="7"/>
      <c r="DDD1195" s="7"/>
      <c r="DDE1195" s="7"/>
      <c r="DDF1195" s="7"/>
      <c r="DDG1195" s="7"/>
      <c r="DDH1195" s="7"/>
      <c r="DDI1195" s="7"/>
      <c r="DDJ1195" s="7"/>
      <c r="DDK1195" s="7"/>
      <c r="DDL1195" s="7"/>
      <c r="DDM1195" s="7"/>
      <c r="DDN1195" s="7"/>
      <c r="DDO1195" s="7"/>
      <c r="DDP1195" s="7"/>
      <c r="DDQ1195" s="7"/>
      <c r="DDR1195" s="7"/>
      <c r="DDS1195" s="7"/>
      <c r="DDT1195" s="7"/>
      <c r="DDU1195" s="7"/>
      <c r="DDV1195" s="7"/>
      <c r="DDW1195" s="7"/>
      <c r="DDX1195" s="7"/>
      <c r="DDY1195" s="7"/>
      <c r="DDZ1195" s="7"/>
      <c r="DEA1195" s="7"/>
      <c r="DEB1195" s="7"/>
      <c r="DEC1195" s="7"/>
      <c r="DED1195" s="7"/>
      <c r="DEE1195" s="7"/>
      <c r="DEF1195" s="7"/>
      <c r="DEG1195" s="7"/>
      <c r="DEH1195" s="7"/>
      <c r="DEI1195" s="7"/>
      <c r="DEJ1195" s="7"/>
      <c r="DEK1195" s="7"/>
      <c r="DEL1195" s="7"/>
      <c r="DEM1195" s="7"/>
      <c r="DEN1195" s="7"/>
      <c r="DEO1195" s="7"/>
      <c r="DEP1195" s="7"/>
      <c r="DEQ1195" s="7"/>
      <c r="DER1195" s="7"/>
      <c r="DES1195" s="7"/>
      <c r="DET1195" s="7"/>
      <c r="DEU1195" s="7"/>
      <c r="DEV1195" s="7"/>
      <c r="DEW1195" s="7"/>
      <c r="DEX1195" s="7"/>
      <c r="DEY1195" s="7"/>
      <c r="DEZ1195" s="7"/>
      <c r="DFA1195" s="7"/>
      <c r="DFB1195" s="7"/>
      <c r="DFC1195" s="7"/>
      <c r="DFD1195" s="7"/>
      <c r="DFE1195" s="7"/>
      <c r="DFF1195" s="7"/>
      <c r="DFG1195" s="7"/>
      <c r="DFH1195" s="7"/>
      <c r="DFI1195" s="7"/>
      <c r="DFJ1195" s="7"/>
      <c r="DFK1195" s="7"/>
      <c r="DFL1195" s="7"/>
      <c r="DFM1195" s="7"/>
      <c r="DFN1195" s="7"/>
      <c r="DFO1195" s="7"/>
      <c r="DFP1195" s="7"/>
      <c r="DFQ1195" s="7"/>
      <c r="DFR1195" s="7"/>
      <c r="DFS1195" s="7"/>
      <c r="DFT1195" s="7"/>
      <c r="DFU1195" s="7"/>
      <c r="DFV1195" s="7"/>
      <c r="DFW1195" s="7"/>
      <c r="DFX1195" s="7"/>
      <c r="DFY1195" s="7"/>
      <c r="DFZ1195" s="7"/>
      <c r="DGA1195" s="7"/>
      <c r="DGB1195" s="7"/>
      <c r="DGC1195" s="7"/>
      <c r="DGD1195" s="7"/>
      <c r="DGE1195" s="7"/>
      <c r="DGF1195" s="7"/>
      <c r="DGG1195" s="7"/>
      <c r="DGH1195" s="7"/>
      <c r="DGI1195" s="7"/>
      <c r="DGJ1195" s="7"/>
      <c r="DGK1195" s="7"/>
      <c r="DGL1195" s="7"/>
      <c r="DGM1195" s="7"/>
      <c r="DGN1195" s="7"/>
      <c r="DGO1195" s="7"/>
      <c r="DGP1195" s="7"/>
      <c r="DGQ1195" s="7"/>
      <c r="DGR1195" s="7"/>
      <c r="DGS1195" s="7"/>
      <c r="DGT1195" s="7"/>
      <c r="DGU1195" s="7"/>
      <c r="DGV1195" s="7"/>
      <c r="DGW1195" s="7"/>
      <c r="DGX1195" s="7"/>
      <c r="DGY1195" s="7"/>
      <c r="DGZ1195" s="7"/>
      <c r="DHA1195" s="7"/>
      <c r="DHB1195" s="7"/>
      <c r="DHC1195" s="7"/>
      <c r="DHD1195" s="7"/>
      <c r="DHE1195" s="7"/>
      <c r="DHF1195" s="7"/>
      <c r="DHG1195" s="7"/>
      <c r="DHH1195" s="7"/>
      <c r="DHI1195" s="7"/>
      <c r="DHJ1195" s="7"/>
      <c r="DHK1195" s="7"/>
      <c r="DHL1195" s="7"/>
      <c r="DHM1195" s="7"/>
      <c r="DHN1195" s="7"/>
      <c r="DHO1195" s="7"/>
      <c r="DHP1195" s="7"/>
      <c r="DHQ1195" s="7"/>
      <c r="DHR1195" s="7"/>
      <c r="DHS1195" s="7"/>
      <c r="DHT1195" s="7"/>
      <c r="DHU1195" s="7"/>
      <c r="DHV1195" s="7"/>
      <c r="DHW1195" s="7"/>
      <c r="DHX1195" s="7"/>
      <c r="DHY1195" s="7"/>
      <c r="DHZ1195" s="7"/>
      <c r="DIA1195" s="7"/>
      <c r="DIB1195" s="7"/>
      <c r="DIC1195" s="7"/>
      <c r="DID1195" s="7"/>
      <c r="DIE1195" s="7"/>
      <c r="DIF1195" s="7"/>
      <c r="DIG1195" s="7"/>
      <c r="DIH1195" s="7"/>
      <c r="DII1195" s="7"/>
      <c r="DIJ1195" s="7"/>
      <c r="DIK1195" s="7"/>
      <c r="DIL1195" s="7"/>
      <c r="DIM1195" s="7"/>
      <c r="DIN1195" s="7"/>
      <c r="DIO1195" s="7"/>
      <c r="DIP1195" s="7"/>
      <c r="DIQ1195" s="7"/>
      <c r="DIR1195" s="7"/>
      <c r="DIS1195" s="7"/>
      <c r="DIT1195" s="7"/>
      <c r="DIU1195" s="7"/>
      <c r="DIV1195" s="7"/>
      <c r="DIW1195" s="7"/>
      <c r="DIX1195" s="7"/>
      <c r="DIY1195" s="7"/>
      <c r="DIZ1195" s="7"/>
      <c r="DJA1195" s="7"/>
      <c r="DJB1195" s="7"/>
      <c r="DJC1195" s="7"/>
      <c r="DJD1195" s="7"/>
      <c r="DJE1195" s="7"/>
      <c r="DJF1195" s="7"/>
      <c r="DJG1195" s="7"/>
      <c r="DJH1195" s="7"/>
      <c r="DJI1195" s="7"/>
      <c r="DJJ1195" s="7"/>
      <c r="DJK1195" s="7"/>
      <c r="DJL1195" s="7"/>
      <c r="DJM1195" s="7"/>
      <c r="DJN1195" s="7"/>
      <c r="DJO1195" s="7"/>
      <c r="DJP1195" s="7"/>
      <c r="DJQ1195" s="7"/>
      <c r="DJR1195" s="7"/>
      <c r="DJS1195" s="7"/>
      <c r="DJT1195" s="7"/>
      <c r="DJU1195" s="7"/>
      <c r="DJV1195" s="7"/>
      <c r="DJW1195" s="7"/>
      <c r="DJX1195" s="7"/>
      <c r="DJY1195" s="7"/>
      <c r="DJZ1195" s="7"/>
      <c r="DKA1195" s="7"/>
      <c r="DKB1195" s="7"/>
      <c r="DKC1195" s="7"/>
      <c r="DKD1195" s="7"/>
      <c r="DKE1195" s="7"/>
      <c r="DKF1195" s="7"/>
      <c r="DKG1195" s="7"/>
      <c r="DKH1195" s="7"/>
      <c r="DKI1195" s="7"/>
      <c r="DKJ1195" s="7"/>
      <c r="DKK1195" s="7"/>
      <c r="DKL1195" s="7"/>
      <c r="DKM1195" s="7"/>
      <c r="DKN1195" s="7"/>
      <c r="DKO1195" s="7"/>
      <c r="DKP1195" s="7"/>
      <c r="DKQ1195" s="7"/>
      <c r="DKR1195" s="7"/>
      <c r="DKS1195" s="7"/>
      <c r="DKT1195" s="7"/>
      <c r="DKU1195" s="7"/>
      <c r="DKV1195" s="7"/>
      <c r="DKW1195" s="7"/>
      <c r="DKX1195" s="7"/>
      <c r="DKY1195" s="7"/>
      <c r="DKZ1195" s="7"/>
      <c r="DLA1195" s="7"/>
      <c r="DLB1195" s="7"/>
      <c r="DLC1195" s="7"/>
      <c r="DLD1195" s="7"/>
      <c r="DLE1195" s="7"/>
      <c r="DLF1195" s="7"/>
      <c r="DLG1195" s="7"/>
      <c r="DLH1195" s="7"/>
      <c r="DLI1195" s="7"/>
      <c r="DLJ1195" s="7"/>
      <c r="DLK1195" s="7"/>
      <c r="DLL1195" s="7"/>
      <c r="DLM1195" s="7"/>
      <c r="DLN1195" s="7"/>
      <c r="DLO1195" s="7"/>
      <c r="DLP1195" s="7"/>
      <c r="DLQ1195" s="7"/>
      <c r="DLR1195" s="7"/>
      <c r="DLS1195" s="7"/>
      <c r="DLT1195" s="7"/>
      <c r="DLU1195" s="7"/>
      <c r="DLV1195" s="7"/>
      <c r="DLW1195" s="7"/>
      <c r="DLX1195" s="7"/>
      <c r="DLY1195" s="7"/>
      <c r="DLZ1195" s="7"/>
      <c r="DMA1195" s="7"/>
      <c r="DMB1195" s="7"/>
      <c r="DMC1195" s="7"/>
      <c r="DMD1195" s="7"/>
      <c r="DME1195" s="7"/>
      <c r="DMF1195" s="7"/>
      <c r="DMG1195" s="7"/>
      <c r="DMH1195" s="7"/>
      <c r="DMI1195" s="7"/>
      <c r="DMJ1195" s="7"/>
      <c r="DMK1195" s="7"/>
      <c r="DML1195" s="7"/>
      <c r="DMM1195" s="7"/>
      <c r="DMN1195" s="7"/>
      <c r="DMO1195" s="7"/>
      <c r="DMP1195" s="7"/>
      <c r="DMQ1195" s="7"/>
      <c r="DMR1195" s="7"/>
      <c r="DMS1195" s="7"/>
      <c r="DMT1195" s="7"/>
      <c r="DMU1195" s="7"/>
      <c r="DMV1195" s="7"/>
      <c r="DMW1195" s="7"/>
      <c r="DMX1195" s="7"/>
      <c r="DMY1195" s="7"/>
      <c r="DMZ1195" s="7"/>
      <c r="DNA1195" s="7"/>
      <c r="DNB1195" s="7"/>
      <c r="DNC1195" s="7"/>
      <c r="DND1195" s="7"/>
      <c r="DNE1195" s="7"/>
      <c r="DNF1195" s="7"/>
      <c r="DNG1195" s="7"/>
      <c r="DNH1195" s="7"/>
      <c r="DNI1195" s="7"/>
      <c r="DNJ1195" s="7"/>
      <c r="DNK1195" s="7"/>
      <c r="DNL1195" s="7"/>
      <c r="DNM1195" s="7"/>
      <c r="DNN1195" s="7"/>
      <c r="DNO1195" s="7"/>
      <c r="DNP1195" s="7"/>
      <c r="DNQ1195" s="7"/>
      <c r="DNR1195" s="7"/>
      <c r="DNS1195" s="7"/>
      <c r="DNT1195" s="7"/>
      <c r="DNU1195" s="7"/>
      <c r="DNV1195" s="7"/>
      <c r="DNW1195" s="7"/>
      <c r="DNX1195" s="7"/>
      <c r="DNY1195" s="7"/>
      <c r="DNZ1195" s="7"/>
      <c r="DOA1195" s="7"/>
      <c r="DOB1195" s="7"/>
      <c r="DOC1195" s="7"/>
      <c r="DOD1195" s="7"/>
      <c r="DOE1195" s="7"/>
      <c r="DOF1195" s="7"/>
      <c r="DOG1195" s="7"/>
      <c r="DOH1195" s="7"/>
      <c r="DOI1195" s="7"/>
      <c r="DOJ1195" s="7"/>
      <c r="DOK1195" s="7"/>
      <c r="DOL1195" s="7"/>
      <c r="DOM1195" s="7"/>
      <c r="DON1195" s="7"/>
      <c r="DOO1195" s="7"/>
      <c r="DOP1195" s="7"/>
      <c r="DOQ1195" s="7"/>
      <c r="DOR1195" s="7"/>
      <c r="DOS1195" s="7"/>
      <c r="DOT1195" s="7"/>
      <c r="DOU1195" s="7"/>
      <c r="DOV1195" s="7"/>
      <c r="DOW1195" s="7"/>
      <c r="DOX1195" s="7"/>
      <c r="DOY1195" s="7"/>
      <c r="DOZ1195" s="7"/>
      <c r="DPA1195" s="7"/>
      <c r="DPB1195" s="7"/>
      <c r="DPC1195" s="7"/>
      <c r="DPD1195" s="7"/>
      <c r="DPE1195" s="7"/>
      <c r="DPF1195" s="7"/>
      <c r="DPG1195" s="7"/>
      <c r="DPH1195" s="7"/>
      <c r="DPI1195" s="7"/>
      <c r="DPJ1195" s="7"/>
      <c r="DPK1195" s="7"/>
      <c r="DPL1195" s="7"/>
      <c r="DPM1195" s="7"/>
      <c r="DPN1195" s="7"/>
      <c r="DPO1195" s="7"/>
      <c r="DPP1195" s="7"/>
      <c r="DPQ1195" s="7"/>
      <c r="DPR1195" s="7"/>
      <c r="DPS1195" s="7"/>
      <c r="DPT1195" s="7"/>
      <c r="DPU1195" s="7"/>
      <c r="DPV1195" s="7"/>
      <c r="DPW1195" s="7"/>
      <c r="DPX1195" s="7"/>
      <c r="DPY1195" s="7"/>
      <c r="DPZ1195" s="7"/>
      <c r="DQA1195" s="7"/>
      <c r="DQB1195" s="7"/>
      <c r="DQC1195" s="7"/>
      <c r="DQD1195" s="7"/>
      <c r="DQE1195" s="7"/>
      <c r="DQF1195" s="7"/>
      <c r="DQG1195" s="7"/>
      <c r="DQH1195" s="7"/>
      <c r="DQI1195" s="7"/>
      <c r="DQJ1195" s="7"/>
      <c r="DQK1195" s="7"/>
      <c r="DQL1195" s="7"/>
      <c r="DQM1195" s="7"/>
      <c r="DQN1195" s="7"/>
      <c r="DQO1195" s="7"/>
      <c r="DQP1195" s="7"/>
      <c r="DQQ1195" s="7"/>
      <c r="DQR1195" s="7"/>
      <c r="DQS1195" s="7"/>
      <c r="DQT1195" s="7"/>
      <c r="DQU1195" s="7"/>
      <c r="DQV1195" s="7"/>
      <c r="DQW1195" s="7"/>
      <c r="DQX1195" s="7"/>
      <c r="DQY1195" s="7"/>
      <c r="DQZ1195" s="7"/>
      <c r="DRA1195" s="7"/>
      <c r="DRB1195" s="7"/>
      <c r="DRC1195" s="7"/>
      <c r="DRD1195" s="7"/>
      <c r="DRE1195" s="7"/>
      <c r="DRF1195" s="7"/>
      <c r="DRG1195" s="7"/>
      <c r="DRH1195" s="7"/>
      <c r="DRI1195" s="7"/>
      <c r="DRJ1195" s="7"/>
      <c r="DRK1195" s="7"/>
      <c r="DRL1195" s="7"/>
      <c r="DRM1195" s="7"/>
      <c r="DRN1195" s="7"/>
      <c r="DRO1195" s="7"/>
      <c r="DRP1195" s="7"/>
      <c r="DRQ1195" s="7"/>
      <c r="DRR1195" s="7"/>
      <c r="DRS1195" s="7"/>
      <c r="DRT1195" s="7"/>
      <c r="DRU1195" s="7"/>
      <c r="DRV1195" s="7"/>
      <c r="DRW1195" s="7"/>
      <c r="DRX1195" s="7"/>
      <c r="DRY1195" s="7"/>
      <c r="DRZ1195" s="7"/>
      <c r="DSA1195" s="7"/>
      <c r="DSB1195" s="7"/>
      <c r="DSC1195" s="7"/>
      <c r="DSD1195" s="7"/>
      <c r="DSE1195" s="7"/>
      <c r="DSF1195" s="7"/>
      <c r="DSG1195" s="7"/>
      <c r="DSH1195" s="7"/>
      <c r="DSI1195" s="7"/>
      <c r="DSJ1195" s="7"/>
      <c r="DSK1195" s="7"/>
      <c r="DSL1195" s="7"/>
      <c r="DSM1195" s="7"/>
      <c r="DSN1195" s="7"/>
      <c r="DSO1195" s="7"/>
      <c r="DSP1195" s="7"/>
      <c r="DSQ1195" s="7"/>
      <c r="DSR1195" s="7"/>
      <c r="DSS1195" s="7"/>
      <c r="DST1195" s="7"/>
      <c r="DSU1195" s="7"/>
      <c r="DSV1195" s="7"/>
      <c r="DSW1195" s="7"/>
      <c r="DSX1195" s="7"/>
      <c r="DSY1195" s="7"/>
      <c r="DSZ1195" s="7"/>
      <c r="DTA1195" s="7"/>
      <c r="DTB1195" s="7"/>
      <c r="DTC1195" s="7"/>
      <c r="DTD1195" s="7"/>
      <c r="DTE1195" s="7"/>
      <c r="DTF1195" s="7"/>
      <c r="DTG1195" s="7"/>
      <c r="DTH1195" s="7"/>
      <c r="DTI1195" s="7"/>
      <c r="DTJ1195" s="7"/>
      <c r="DTK1195" s="7"/>
      <c r="DTL1195" s="7"/>
      <c r="DTM1195" s="7"/>
      <c r="DTN1195" s="7"/>
      <c r="DTO1195" s="7"/>
      <c r="DTP1195" s="7"/>
      <c r="DTQ1195" s="7"/>
      <c r="DTR1195" s="7"/>
      <c r="DTS1195" s="7"/>
      <c r="DTT1195" s="7"/>
      <c r="DTU1195" s="7"/>
      <c r="DTV1195" s="7"/>
      <c r="DTW1195" s="7"/>
      <c r="DTX1195" s="7"/>
      <c r="DTY1195" s="7"/>
      <c r="DTZ1195" s="7"/>
      <c r="DUA1195" s="7"/>
      <c r="DUB1195" s="7"/>
      <c r="DUC1195" s="7"/>
      <c r="DUD1195" s="7"/>
      <c r="DUE1195" s="7"/>
      <c r="DUF1195" s="7"/>
      <c r="DUG1195" s="7"/>
      <c r="DUH1195" s="7"/>
      <c r="DUI1195" s="7"/>
      <c r="DUJ1195" s="7"/>
      <c r="DUK1195" s="7"/>
      <c r="DUL1195" s="7"/>
      <c r="DUM1195" s="7"/>
      <c r="DUN1195" s="7"/>
      <c r="DUO1195" s="7"/>
      <c r="DUP1195" s="7"/>
      <c r="DUQ1195" s="7"/>
      <c r="DUR1195" s="7"/>
      <c r="DUS1195" s="7"/>
      <c r="DUT1195" s="7"/>
      <c r="DUU1195" s="7"/>
      <c r="DUV1195" s="7"/>
      <c r="DUW1195" s="7"/>
      <c r="DUX1195" s="7"/>
      <c r="DUY1195" s="7"/>
      <c r="DUZ1195" s="7"/>
      <c r="DVA1195" s="7"/>
      <c r="DVB1195" s="7"/>
      <c r="DVC1195" s="7"/>
      <c r="DVD1195" s="7"/>
      <c r="DVE1195" s="7"/>
      <c r="DVF1195" s="7"/>
      <c r="DVG1195" s="7"/>
      <c r="DVH1195" s="7"/>
      <c r="DVI1195" s="7"/>
      <c r="DVJ1195" s="7"/>
      <c r="DVK1195" s="7"/>
      <c r="DVL1195" s="7"/>
      <c r="DVM1195" s="7"/>
      <c r="DVN1195" s="7"/>
      <c r="DVO1195" s="7"/>
      <c r="DVP1195" s="7"/>
      <c r="DVQ1195" s="7"/>
      <c r="DVR1195" s="7"/>
      <c r="DVS1195" s="7"/>
      <c r="DVT1195" s="7"/>
      <c r="DVU1195" s="7"/>
      <c r="DVV1195" s="7"/>
      <c r="DVW1195" s="7"/>
      <c r="DVX1195" s="7"/>
      <c r="DVY1195" s="7"/>
      <c r="DVZ1195" s="7"/>
      <c r="DWA1195" s="7"/>
      <c r="DWB1195" s="7"/>
      <c r="DWC1195" s="7"/>
      <c r="DWD1195" s="7"/>
      <c r="DWE1195" s="7"/>
      <c r="DWF1195" s="7"/>
      <c r="DWG1195" s="7"/>
      <c r="DWH1195" s="7"/>
      <c r="DWI1195" s="7"/>
      <c r="DWJ1195" s="7"/>
      <c r="DWK1195" s="7"/>
      <c r="DWL1195" s="7"/>
      <c r="DWM1195" s="7"/>
      <c r="DWN1195" s="7"/>
      <c r="DWO1195" s="7"/>
      <c r="DWP1195" s="7"/>
      <c r="DWQ1195" s="7"/>
      <c r="DWR1195" s="7"/>
      <c r="DWS1195" s="7"/>
      <c r="DWT1195" s="7"/>
      <c r="DWU1195" s="7"/>
      <c r="DWV1195" s="7"/>
      <c r="DWW1195" s="7"/>
      <c r="DWX1195" s="7"/>
      <c r="DWY1195" s="7"/>
      <c r="DWZ1195" s="7"/>
      <c r="DXA1195" s="7"/>
      <c r="DXB1195" s="7"/>
      <c r="DXC1195" s="7"/>
      <c r="DXD1195" s="7"/>
      <c r="DXE1195" s="7"/>
      <c r="DXF1195" s="7"/>
      <c r="DXG1195" s="7"/>
      <c r="DXH1195" s="7"/>
      <c r="DXI1195" s="7"/>
      <c r="DXJ1195" s="7"/>
      <c r="DXK1195" s="7"/>
      <c r="DXL1195" s="7"/>
      <c r="DXM1195" s="7"/>
      <c r="DXN1195" s="7"/>
      <c r="DXO1195" s="7"/>
      <c r="DXP1195" s="7"/>
      <c r="DXQ1195" s="7"/>
      <c r="DXR1195" s="7"/>
      <c r="DXS1195" s="7"/>
      <c r="DXT1195" s="7"/>
      <c r="DXU1195" s="7"/>
      <c r="DXV1195" s="7"/>
      <c r="DXW1195" s="7"/>
      <c r="DXX1195" s="7"/>
      <c r="DXY1195" s="7"/>
      <c r="DXZ1195" s="7"/>
      <c r="DYA1195" s="7"/>
      <c r="DYB1195" s="7"/>
      <c r="DYC1195" s="7"/>
      <c r="DYD1195" s="7"/>
      <c r="DYE1195" s="7"/>
      <c r="DYF1195" s="7"/>
      <c r="DYG1195" s="7"/>
      <c r="DYH1195" s="7"/>
      <c r="DYI1195" s="7"/>
      <c r="DYJ1195" s="7"/>
      <c r="DYK1195" s="7"/>
      <c r="DYL1195" s="7"/>
      <c r="DYM1195" s="7"/>
      <c r="DYN1195" s="7"/>
      <c r="DYO1195" s="7"/>
      <c r="DYP1195" s="7"/>
      <c r="DYQ1195" s="7"/>
      <c r="DYR1195" s="7"/>
      <c r="DYS1195" s="7"/>
      <c r="DYT1195" s="7"/>
      <c r="DYU1195" s="7"/>
      <c r="DYV1195" s="7"/>
      <c r="DYW1195" s="7"/>
      <c r="DYX1195" s="7"/>
      <c r="DYY1195" s="7"/>
      <c r="DYZ1195" s="7"/>
      <c r="DZA1195" s="7"/>
      <c r="DZB1195" s="7"/>
      <c r="DZC1195" s="7"/>
      <c r="DZD1195" s="7"/>
      <c r="DZE1195" s="7"/>
      <c r="DZF1195" s="7"/>
      <c r="DZG1195" s="7"/>
      <c r="DZH1195" s="7"/>
      <c r="DZI1195" s="7"/>
      <c r="DZJ1195" s="7"/>
      <c r="DZK1195" s="7"/>
      <c r="DZL1195" s="7"/>
      <c r="DZM1195" s="7"/>
      <c r="DZN1195" s="7"/>
      <c r="DZO1195" s="7"/>
      <c r="DZP1195" s="7"/>
      <c r="DZQ1195" s="7"/>
      <c r="DZR1195" s="7"/>
      <c r="DZS1195" s="7"/>
      <c r="DZT1195" s="7"/>
      <c r="DZU1195" s="7"/>
      <c r="DZV1195" s="7"/>
      <c r="DZW1195" s="7"/>
      <c r="DZX1195" s="7"/>
      <c r="DZY1195" s="7"/>
      <c r="DZZ1195" s="7"/>
      <c r="EAA1195" s="7"/>
      <c r="EAB1195" s="7"/>
      <c r="EAC1195" s="7"/>
      <c r="EAD1195" s="7"/>
      <c r="EAE1195" s="7"/>
      <c r="EAF1195" s="7"/>
      <c r="EAG1195" s="7"/>
      <c r="EAH1195" s="7"/>
      <c r="EAI1195" s="7"/>
      <c r="EAJ1195" s="7"/>
      <c r="EAK1195" s="7"/>
      <c r="EAL1195" s="7"/>
      <c r="EAM1195" s="7"/>
      <c r="EAN1195" s="7"/>
      <c r="EAO1195" s="7"/>
      <c r="EAP1195" s="7"/>
      <c r="EAQ1195" s="7"/>
      <c r="EAR1195" s="7"/>
      <c r="EAS1195" s="7"/>
      <c r="EAT1195" s="7"/>
      <c r="EAU1195" s="7"/>
      <c r="EAV1195" s="7"/>
      <c r="EAW1195" s="7"/>
      <c r="EAX1195" s="7"/>
      <c r="EAY1195" s="7"/>
      <c r="EAZ1195" s="7"/>
      <c r="EBA1195" s="7"/>
      <c r="EBB1195" s="7"/>
      <c r="EBC1195" s="7"/>
      <c r="EBD1195" s="7"/>
      <c r="EBE1195" s="7"/>
      <c r="EBF1195" s="7"/>
      <c r="EBG1195" s="7"/>
      <c r="EBH1195" s="7"/>
      <c r="EBI1195" s="7"/>
      <c r="EBJ1195" s="7"/>
      <c r="EBK1195" s="7"/>
      <c r="EBL1195" s="7"/>
      <c r="EBM1195" s="7"/>
      <c r="EBN1195" s="7"/>
      <c r="EBO1195" s="7"/>
      <c r="EBP1195" s="7"/>
      <c r="EBQ1195" s="7"/>
      <c r="EBR1195" s="7"/>
      <c r="EBS1195" s="7"/>
      <c r="EBT1195" s="7"/>
      <c r="EBU1195" s="7"/>
      <c r="EBV1195" s="7"/>
      <c r="EBW1195" s="7"/>
      <c r="EBX1195" s="7"/>
      <c r="EBY1195" s="7"/>
      <c r="EBZ1195" s="7"/>
      <c r="ECA1195" s="7"/>
      <c r="ECB1195" s="7"/>
      <c r="ECC1195" s="7"/>
      <c r="ECD1195" s="7"/>
      <c r="ECE1195" s="7"/>
      <c r="ECF1195" s="7"/>
      <c r="ECG1195" s="7"/>
      <c r="ECH1195" s="7"/>
      <c r="ECI1195" s="7"/>
      <c r="ECJ1195" s="7"/>
      <c r="ECK1195" s="7"/>
      <c r="ECL1195" s="7"/>
      <c r="ECM1195" s="7"/>
      <c r="ECN1195" s="7"/>
      <c r="ECO1195" s="7"/>
      <c r="ECP1195" s="7"/>
      <c r="ECQ1195" s="7"/>
      <c r="ECR1195" s="7"/>
      <c r="ECS1195" s="7"/>
      <c r="ECT1195" s="7"/>
      <c r="ECU1195" s="7"/>
      <c r="ECV1195" s="7"/>
      <c r="ECW1195" s="7"/>
      <c r="ECX1195" s="7"/>
      <c r="ECY1195" s="7"/>
      <c r="ECZ1195" s="7"/>
      <c r="EDA1195" s="7"/>
      <c r="EDB1195" s="7"/>
      <c r="EDC1195" s="7"/>
      <c r="EDD1195" s="7"/>
      <c r="EDE1195" s="7"/>
      <c r="EDF1195" s="7"/>
      <c r="EDG1195" s="7"/>
      <c r="EDH1195" s="7"/>
      <c r="EDI1195" s="7"/>
      <c r="EDJ1195" s="7"/>
      <c r="EDK1195" s="7"/>
      <c r="EDL1195" s="7"/>
      <c r="EDM1195" s="7"/>
      <c r="EDN1195" s="7"/>
      <c r="EDO1195" s="7"/>
      <c r="EDP1195" s="7"/>
      <c r="EDQ1195" s="7"/>
      <c r="EDR1195" s="7"/>
      <c r="EDS1195" s="7"/>
      <c r="EDT1195" s="7"/>
      <c r="EDU1195" s="7"/>
      <c r="EDV1195" s="7"/>
      <c r="EDW1195" s="7"/>
      <c r="EDX1195" s="7"/>
      <c r="EDY1195" s="7"/>
      <c r="EDZ1195" s="7"/>
      <c r="EEA1195" s="7"/>
      <c r="EEB1195" s="7"/>
      <c r="EEC1195" s="7"/>
      <c r="EED1195" s="7"/>
      <c r="EEE1195" s="7"/>
      <c r="EEF1195" s="7"/>
      <c r="EEG1195" s="7"/>
      <c r="EEH1195" s="7"/>
      <c r="EEI1195" s="7"/>
      <c r="EEJ1195" s="7"/>
      <c r="EEK1195" s="7"/>
      <c r="EEL1195" s="7"/>
      <c r="EEM1195" s="7"/>
      <c r="EEN1195" s="7"/>
      <c r="EEO1195" s="7"/>
      <c r="EEP1195" s="7"/>
      <c r="EEQ1195" s="7"/>
      <c r="EER1195" s="7"/>
      <c r="EES1195" s="7"/>
      <c r="EET1195" s="7"/>
      <c r="EEU1195" s="7"/>
      <c r="EEV1195" s="7"/>
      <c r="EEW1195" s="7"/>
      <c r="EEX1195" s="7"/>
      <c r="EEY1195" s="7"/>
      <c r="EEZ1195" s="7"/>
      <c r="EFA1195" s="7"/>
      <c r="EFB1195" s="7"/>
      <c r="EFC1195" s="7"/>
      <c r="EFD1195" s="7"/>
      <c r="EFE1195" s="7"/>
      <c r="EFF1195" s="7"/>
      <c r="EFG1195" s="7"/>
      <c r="EFH1195" s="7"/>
      <c r="EFI1195" s="7"/>
      <c r="EFJ1195" s="7"/>
      <c r="EFK1195" s="7"/>
      <c r="EFL1195" s="7"/>
      <c r="EFM1195" s="7"/>
      <c r="EFN1195" s="7"/>
      <c r="EFO1195" s="7"/>
      <c r="EFP1195" s="7"/>
      <c r="EFQ1195" s="7"/>
      <c r="EFR1195" s="7"/>
      <c r="EFS1195" s="7"/>
      <c r="EFT1195" s="7"/>
      <c r="EFU1195" s="7"/>
      <c r="EFV1195" s="7"/>
      <c r="EFW1195" s="7"/>
      <c r="EFX1195" s="7"/>
      <c r="EFY1195" s="7"/>
      <c r="EFZ1195" s="7"/>
      <c r="EGA1195" s="7"/>
      <c r="EGB1195" s="7"/>
      <c r="EGC1195" s="7"/>
      <c r="EGD1195" s="7"/>
      <c r="EGE1195" s="7"/>
      <c r="EGF1195" s="7"/>
      <c r="EGG1195" s="7"/>
      <c r="EGH1195" s="7"/>
      <c r="EGI1195" s="7"/>
      <c r="EGJ1195" s="7"/>
      <c r="EGK1195" s="7"/>
      <c r="EGL1195" s="7"/>
      <c r="EGM1195" s="7"/>
      <c r="EGN1195" s="7"/>
      <c r="EGO1195" s="7"/>
      <c r="EGP1195" s="7"/>
      <c r="EGQ1195" s="7"/>
      <c r="EGR1195" s="7"/>
      <c r="EGS1195" s="7"/>
      <c r="EGT1195" s="7"/>
      <c r="EGU1195" s="7"/>
      <c r="EGV1195" s="7"/>
      <c r="EGW1195" s="7"/>
      <c r="EGX1195" s="7"/>
      <c r="EGY1195" s="7"/>
      <c r="EGZ1195" s="7"/>
      <c r="EHA1195" s="7"/>
      <c r="EHB1195" s="7"/>
      <c r="EHC1195" s="7"/>
      <c r="EHD1195" s="7"/>
      <c r="EHE1195" s="7"/>
      <c r="EHF1195" s="7"/>
      <c r="EHG1195" s="7"/>
      <c r="EHH1195" s="7"/>
      <c r="EHI1195" s="7"/>
      <c r="EHJ1195" s="7"/>
      <c r="EHK1195" s="7"/>
      <c r="EHL1195" s="7"/>
      <c r="EHM1195" s="7"/>
      <c r="EHN1195" s="7"/>
      <c r="EHO1195" s="7"/>
      <c r="EHP1195" s="7"/>
      <c r="EHQ1195" s="7"/>
      <c r="EHR1195" s="7"/>
      <c r="EHS1195" s="7"/>
      <c r="EHT1195" s="7"/>
      <c r="EHU1195" s="7"/>
      <c r="EHV1195" s="7"/>
      <c r="EHW1195" s="7"/>
      <c r="EHX1195" s="7"/>
      <c r="EHY1195" s="7"/>
      <c r="EHZ1195" s="7"/>
      <c r="EIA1195" s="7"/>
      <c r="EIB1195" s="7"/>
      <c r="EIC1195" s="7"/>
      <c r="EID1195" s="7"/>
      <c r="EIE1195" s="7"/>
      <c r="EIF1195" s="7"/>
      <c r="EIG1195" s="7"/>
      <c r="EIH1195" s="7"/>
      <c r="EII1195" s="7"/>
      <c r="EIJ1195" s="7"/>
      <c r="EIK1195" s="7"/>
      <c r="EIL1195" s="7"/>
      <c r="EIM1195" s="7"/>
      <c r="EIN1195" s="7"/>
      <c r="EIO1195" s="7"/>
      <c r="EIP1195" s="7"/>
      <c r="EIQ1195" s="7"/>
      <c r="EIR1195" s="7"/>
      <c r="EIS1195" s="7"/>
      <c r="EIT1195" s="7"/>
      <c r="EIU1195" s="7"/>
      <c r="EIV1195" s="7"/>
      <c r="EIW1195" s="7"/>
      <c r="EIX1195" s="7"/>
      <c r="EIY1195" s="7"/>
      <c r="EIZ1195" s="7"/>
      <c r="EJA1195" s="7"/>
      <c r="EJB1195" s="7"/>
      <c r="EJC1195" s="7"/>
      <c r="EJD1195" s="7"/>
      <c r="EJE1195" s="7"/>
      <c r="EJF1195" s="7"/>
      <c r="EJG1195" s="7"/>
      <c r="EJH1195" s="7"/>
      <c r="EJI1195" s="7"/>
      <c r="EJJ1195" s="7"/>
      <c r="EJK1195" s="7"/>
      <c r="EJL1195" s="7"/>
      <c r="EJM1195" s="7"/>
      <c r="EJN1195" s="7"/>
      <c r="EJO1195" s="7"/>
      <c r="EJP1195" s="7"/>
      <c r="EJQ1195" s="7"/>
      <c r="EJR1195" s="7"/>
      <c r="EJS1195" s="7"/>
      <c r="EJT1195" s="7"/>
      <c r="EJU1195" s="7"/>
      <c r="EJV1195" s="7"/>
      <c r="EJW1195" s="7"/>
      <c r="EJX1195" s="7"/>
      <c r="EJY1195" s="7"/>
      <c r="EJZ1195" s="7"/>
      <c r="EKA1195" s="7"/>
      <c r="EKB1195" s="7"/>
      <c r="EKC1195" s="7"/>
      <c r="EKD1195" s="7"/>
      <c r="EKE1195" s="7"/>
      <c r="EKF1195" s="7"/>
      <c r="EKG1195" s="7"/>
      <c r="EKH1195" s="7"/>
      <c r="EKI1195" s="7"/>
      <c r="EKJ1195" s="7"/>
      <c r="EKK1195" s="7"/>
      <c r="EKL1195" s="7"/>
      <c r="EKM1195" s="7"/>
      <c r="EKN1195" s="7"/>
      <c r="EKO1195" s="7"/>
      <c r="EKP1195" s="7"/>
      <c r="EKQ1195" s="7"/>
      <c r="EKR1195" s="7"/>
      <c r="EKS1195" s="7"/>
      <c r="EKT1195" s="7"/>
      <c r="EKU1195" s="7"/>
      <c r="EKV1195" s="7"/>
      <c r="EKW1195" s="7"/>
      <c r="EKX1195" s="7"/>
      <c r="EKY1195" s="7"/>
      <c r="EKZ1195" s="7"/>
      <c r="ELA1195" s="7"/>
      <c r="ELB1195" s="7"/>
      <c r="ELC1195" s="7"/>
      <c r="ELD1195" s="7"/>
      <c r="ELE1195" s="7"/>
      <c r="ELF1195" s="7"/>
      <c r="ELG1195" s="7"/>
      <c r="ELH1195" s="7"/>
      <c r="ELI1195" s="7"/>
      <c r="ELJ1195" s="7"/>
      <c r="ELK1195" s="7"/>
      <c r="ELL1195" s="7"/>
      <c r="ELM1195" s="7"/>
      <c r="ELN1195" s="7"/>
      <c r="ELO1195" s="7"/>
      <c r="ELP1195" s="7"/>
      <c r="ELQ1195" s="7"/>
      <c r="ELR1195" s="7"/>
      <c r="ELS1195" s="7"/>
      <c r="ELT1195" s="7"/>
      <c r="ELU1195" s="7"/>
      <c r="ELV1195" s="7"/>
      <c r="ELW1195" s="7"/>
      <c r="ELX1195" s="7"/>
      <c r="ELY1195" s="7"/>
      <c r="ELZ1195" s="7"/>
      <c r="EMA1195" s="7"/>
      <c r="EMB1195" s="7"/>
      <c r="EMC1195" s="7"/>
      <c r="EMD1195" s="7"/>
      <c r="EME1195" s="7"/>
      <c r="EMF1195" s="7"/>
      <c r="EMG1195" s="7"/>
      <c r="EMH1195" s="7"/>
      <c r="EMI1195" s="7"/>
      <c r="EMJ1195" s="7"/>
      <c r="EMK1195" s="7"/>
      <c r="EML1195" s="7"/>
      <c r="EMM1195" s="7"/>
      <c r="EMN1195" s="7"/>
      <c r="EMO1195" s="7"/>
      <c r="EMP1195" s="7"/>
      <c r="EMQ1195" s="7"/>
      <c r="EMR1195" s="7"/>
      <c r="EMS1195" s="7"/>
      <c r="EMT1195" s="7"/>
      <c r="EMU1195" s="7"/>
      <c r="EMV1195" s="7"/>
      <c r="EMW1195" s="7"/>
      <c r="EMX1195" s="7"/>
      <c r="EMY1195" s="7"/>
      <c r="EMZ1195" s="7"/>
      <c r="ENA1195" s="7"/>
      <c r="ENB1195" s="7"/>
      <c r="ENC1195" s="7"/>
      <c r="END1195" s="7"/>
      <c r="ENE1195" s="7"/>
      <c r="ENF1195" s="7"/>
      <c r="ENG1195" s="7"/>
      <c r="ENH1195" s="7"/>
      <c r="ENI1195" s="7"/>
      <c r="ENJ1195" s="7"/>
      <c r="ENK1195" s="7"/>
      <c r="ENL1195" s="7"/>
      <c r="ENM1195" s="7"/>
      <c r="ENN1195" s="7"/>
      <c r="ENO1195" s="7"/>
      <c r="ENP1195" s="7"/>
      <c r="ENQ1195" s="7"/>
      <c r="ENR1195" s="7"/>
      <c r="ENS1195" s="7"/>
      <c r="ENT1195" s="7"/>
      <c r="ENU1195" s="7"/>
      <c r="ENV1195" s="7"/>
      <c r="ENW1195" s="7"/>
      <c r="ENX1195" s="7"/>
      <c r="ENY1195" s="7"/>
      <c r="ENZ1195" s="7"/>
      <c r="EOA1195" s="7"/>
      <c r="EOB1195" s="7"/>
      <c r="EOC1195" s="7"/>
      <c r="EOD1195" s="7"/>
      <c r="EOE1195" s="7"/>
      <c r="EOF1195" s="7"/>
      <c r="EOG1195" s="7"/>
      <c r="EOH1195" s="7"/>
      <c r="EOI1195" s="7"/>
      <c r="EOJ1195" s="7"/>
      <c r="EOK1195" s="7"/>
      <c r="EOL1195" s="7"/>
      <c r="EOM1195" s="7"/>
      <c r="EON1195" s="7"/>
      <c r="EOO1195" s="7"/>
      <c r="EOP1195" s="7"/>
      <c r="EOQ1195" s="7"/>
      <c r="EOR1195" s="7"/>
      <c r="EOS1195" s="7"/>
      <c r="EOT1195" s="7"/>
      <c r="EOU1195" s="7"/>
      <c r="EOV1195" s="7"/>
      <c r="EOW1195" s="7"/>
      <c r="EOX1195" s="7"/>
      <c r="EOY1195" s="7"/>
      <c r="EOZ1195" s="7"/>
      <c r="EPA1195" s="7"/>
      <c r="EPB1195" s="7"/>
      <c r="EPC1195" s="7"/>
      <c r="EPD1195" s="7"/>
      <c r="EPE1195" s="7"/>
      <c r="EPF1195" s="7"/>
      <c r="EPG1195" s="7"/>
      <c r="EPH1195" s="7"/>
      <c r="EPI1195" s="7"/>
      <c r="EPJ1195" s="7"/>
      <c r="EPK1195" s="7"/>
      <c r="EPL1195" s="7"/>
      <c r="EPM1195" s="7"/>
      <c r="EPN1195" s="7"/>
      <c r="EPO1195" s="7"/>
      <c r="EPP1195" s="7"/>
      <c r="EPQ1195" s="7"/>
      <c r="EPR1195" s="7"/>
      <c r="EPS1195" s="7"/>
      <c r="EPT1195" s="7"/>
      <c r="EPU1195" s="7"/>
      <c r="EPV1195" s="7"/>
      <c r="EPW1195" s="7"/>
      <c r="EPX1195" s="7"/>
      <c r="EPY1195" s="7"/>
      <c r="EPZ1195" s="7"/>
      <c r="EQA1195" s="7"/>
      <c r="EQB1195" s="7"/>
      <c r="EQC1195" s="7"/>
      <c r="EQD1195" s="7"/>
      <c r="EQE1195" s="7"/>
      <c r="EQF1195" s="7"/>
      <c r="EQG1195" s="7"/>
      <c r="EQH1195" s="7"/>
      <c r="EQI1195" s="7"/>
      <c r="EQJ1195" s="7"/>
      <c r="EQK1195" s="7"/>
      <c r="EQL1195" s="7"/>
      <c r="EQM1195" s="7"/>
      <c r="EQN1195" s="7"/>
      <c r="EQO1195" s="7"/>
      <c r="EQP1195" s="7"/>
      <c r="EQQ1195" s="7"/>
      <c r="EQR1195" s="7"/>
      <c r="EQS1195" s="7"/>
      <c r="EQT1195" s="7"/>
      <c r="EQU1195" s="7"/>
      <c r="EQV1195" s="7"/>
      <c r="EQW1195" s="7"/>
      <c r="EQX1195" s="7"/>
      <c r="EQY1195" s="7"/>
      <c r="EQZ1195" s="7"/>
      <c r="ERA1195" s="7"/>
      <c r="ERB1195" s="7"/>
      <c r="ERC1195" s="7"/>
      <c r="ERD1195" s="7"/>
      <c r="ERE1195" s="7"/>
      <c r="ERF1195" s="7"/>
      <c r="ERG1195" s="7"/>
      <c r="ERH1195" s="7"/>
      <c r="ERI1195" s="7"/>
      <c r="ERJ1195" s="7"/>
      <c r="ERK1195" s="7"/>
      <c r="ERL1195" s="7"/>
      <c r="ERM1195" s="7"/>
      <c r="ERN1195" s="7"/>
      <c r="ERO1195" s="7"/>
      <c r="ERP1195" s="7"/>
      <c r="ERQ1195" s="7"/>
      <c r="ERR1195" s="7"/>
      <c r="ERS1195" s="7"/>
      <c r="ERT1195" s="7"/>
      <c r="ERU1195" s="7"/>
      <c r="ERV1195" s="7"/>
      <c r="ERW1195" s="7"/>
      <c r="ERX1195" s="7"/>
      <c r="ERY1195" s="7"/>
      <c r="ERZ1195" s="7"/>
      <c r="ESA1195" s="7"/>
      <c r="ESB1195" s="7"/>
      <c r="ESC1195" s="7"/>
      <c r="ESD1195" s="7"/>
      <c r="ESE1195" s="7"/>
      <c r="ESF1195" s="7"/>
      <c r="ESG1195" s="7"/>
      <c r="ESH1195" s="7"/>
      <c r="ESI1195" s="7"/>
      <c r="ESJ1195" s="7"/>
      <c r="ESK1195" s="7"/>
      <c r="ESL1195" s="7"/>
      <c r="ESM1195" s="7"/>
      <c r="ESN1195" s="7"/>
      <c r="ESO1195" s="7"/>
      <c r="ESP1195" s="7"/>
      <c r="ESQ1195" s="7"/>
      <c r="ESR1195" s="7"/>
      <c r="ESS1195" s="7"/>
      <c r="EST1195" s="7"/>
      <c r="ESU1195" s="7"/>
      <c r="ESV1195" s="7"/>
      <c r="ESW1195" s="7"/>
      <c r="ESX1195" s="7"/>
      <c r="ESY1195" s="7"/>
      <c r="ESZ1195" s="7"/>
      <c r="ETA1195" s="7"/>
      <c r="ETB1195" s="7"/>
      <c r="ETC1195" s="7"/>
      <c r="ETD1195" s="7"/>
      <c r="ETE1195" s="7"/>
      <c r="ETF1195" s="7"/>
      <c r="ETG1195" s="7"/>
      <c r="ETH1195" s="7"/>
      <c r="ETI1195" s="7"/>
      <c r="ETJ1195" s="7"/>
      <c r="ETK1195" s="7"/>
      <c r="ETL1195" s="7"/>
      <c r="ETM1195" s="7"/>
      <c r="ETN1195" s="7"/>
      <c r="ETO1195" s="7"/>
      <c r="ETP1195" s="7"/>
      <c r="ETQ1195" s="7"/>
      <c r="ETR1195" s="7"/>
      <c r="ETS1195" s="7"/>
      <c r="ETT1195" s="7"/>
      <c r="ETU1195" s="7"/>
      <c r="ETV1195" s="7"/>
      <c r="ETW1195" s="7"/>
      <c r="ETX1195" s="7"/>
      <c r="ETY1195" s="7"/>
      <c r="ETZ1195" s="7"/>
      <c r="EUA1195" s="7"/>
      <c r="EUB1195" s="7"/>
      <c r="EUC1195" s="7"/>
      <c r="EUD1195" s="7"/>
      <c r="EUE1195" s="7"/>
      <c r="EUF1195" s="7"/>
      <c r="EUG1195" s="7"/>
      <c r="EUH1195" s="7"/>
      <c r="EUI1195" s="7"/>
      <c r="EUJ1195" s="7"/>
      <c r="EUK1195" s="7"/>
      <c r="EUL1195" s="7"/>
      <c r="EUM1195" s="7"/>
      <c r="EUN1195" s="7"/>
      <c r="EUO1195" s="7"/>
      <c r="EUP1195" s="7"/>
      <c r="EUQ1195" s="7"/>
      <c r="EUR1195" s="7"/>
      <c r="EUS1195" s="7"/>
      <c r="EUT1195" s="7"/>
      <c r="EUU1195" s="7"/>
      <c r="EUV1195" s="7"/>
      <c r="EUW1195" s="7"/>
      <c r="EUX1195" s="7"/>
      <c r="EUY1195" s="7"/>
      <c r="EUZ1195" s="7"/>
      <c r="EVA1195" s="7"/>
      <c r="EVB1195" s="7"/>
      <c r="EVC1195" s="7"/>
      <c r="EVD1195" s="7"/>
      <c r="EVE1195" s="7"/>
      <c r="EVF1195" s="7"/>
      <c r="EVG1195" s="7"/>
      <c r="EVH1195" s="7"/>
      <c r="EVI1195" s="7"/>
      <c r="EVJ1195" s="7"/>
      <c r="EVK1195" s="7"/>
      <c r="EVL1195" s="7"/>
      <c r="EVM1195" s="7"/>
      <c r="EVN1195" s="7"/>
      <c r="EVO1195" s="7"/>
      <c r="EVP1195" s="7"/>
      <c r="EVQ1195" s="7"/>
      <c r="EVR1195" s="7"/>
      <c r="EVS1195" s="7"/>
      <c r="EVT1195" s="7"/>
      <c r="EVU1195" s="7"/>
      <c r="EVV1195" s="7"/>
      <c r="EVW1195" s="7"/>
      <c r="EVX1195" s="7"/>
      <c r="EVY1195" s="7"/>
      <c r="EVZ1195" s="7"/>
      <c r="EWA1195" s="7"/>
      <c r="EWB1195" s="7"/>
      <c r="EWC1195" s="7"/>
      <c r="EWD1195" s="7"/>
      <c r="EWE1195" s="7"/>
      <c r="EWF1195" s="7"/>
      <c r="EWG1195" s="7"/>
      <c r="EWH1195" s="7"/>
      <c r="EWI1195" s="7"/>
      <c r="EWJ1195" s="7"/>
      <c r="EWK1195" s="7"/>
      <c r="EWL1195" s="7"/>
      <c r="EWM1195" s="7"/>
      <c r="EWN1195" s="7"/>
      <c r="EWO1195" s="7"/>
      <c r="EWP1195" s="7"/>
      <c r="EWQ1195" s="7"/>
      <c r="EWR1195" s="7"/>
      <c r="EWS1195" s="7"/>
      <c r="EWT1195" s="7"/>
      <c r="EWU1195" s="7"/>
      <c r="EWV1195" s="7"/>
      <c r="EWW1195" s="7"/>
      <c r="EWX1195" s="7"/>
      <c r="EWY1195" s="7"/>
      <c r="EWZ1195" s="7"/>
      <c r="EXA1195" s="7"/>
      <c r="EXB1195" s="7"/>
      <c r="EXC1195" s="7"/>
      <c r="EXD1195" s="7"/>
      <c r="EXE1195" s="7"/>
      <c r="EXF1195" s="7"/>
      <c r="EXG1195" s="7"/>
      <c r="EXH1195" s="7"/>
      <c r="EXI1195" s="7"/>
      <c r="EXJ1195" s="7"/>
      <c r="EXK1195" s="7"/>
      <c r="EXL1195" s="7"/>
      <c r="EXM1195" s="7"/>
      <c r="EXN1195" s="7"/>
      <c r="EXO1195" s="7"/>
      <c r="EXP1195" s="7"/>
      <c r="EXQ1195" s="7"/>
      <c r="EXR1195" s="7"/>
      <c r="EXS1195" s="7"/>
      <c r="EXT1195" s="7"/>
      <c r="EXU1195" s="7"/>
      <c r="EXV1195" s="7"/>
      <c r="EXW1195" s="7"/>
      <c r="EXX1195" s="7"/>
      <c r="EXY1195" s="7"/>
      <c r="EXZ1195" s="7"/>
      <c r="EYA1195" s="7"/>
      <c r="EYB1195" s="7"/>
      <c r="EYC1195" s="7"/>
      <c r="EYD1195" s="7"/>
      <c r="EYE1195" s="7"/>
      <c r="EYF1195" s="7"/>
      <c r="EYG1195" s="7"/>
      <c r="EYH1195" s="7"/>
      <c r="EYI1195" s="7"/>
      <c r="EYJ1195" s="7"/>
      <c r="EYK1195" s="7"/>
      <c r="EYL1195" s="7"/>
      <c r="EYM1195" s="7"/>
      <c r="EYN1195" s="7"/>
      <c r="EYO1195" s="7"/>
      <c r="EYP1195" s="7"/>
      <c r="EYQ1195" s="7"/>
      <c r="EYR1195" s="7"/>
      <c r="EYS1195" s="7"/>
      <c r="EYT1195" s="7"/>
      <c r="EYU1195" s="7"/>
      <c r="EYV1195" s="7"/>
      <c r="EYW1195" s="7"/>
      <c r="EYX1195" s="7"/>
      <c r="EYY1195" s="7"/>
      <c r="EYZ1195" s="7"/>
      <c r="EZA1195" s="7"/>
      <c r="EZB1195" s="7"/>
      <c r="EZC1195" s="7"/>
      <c r="EZD1195" s="7"/>
      <c r="EZE1195" s="7"/>
      <c r="EZF1195" s="7"/>
      <c r="EZG1195" s="7"/>
      <c r="EZH1195" s="7"/>
      <c r="EZI1195" s="7"/>
      <c r="EZJ1195" s="7"/>
      <c r="EZK1195" s="7"/>
      <c r="EZL1195" s="7"/>
      <c r="EZM1195" s="7"/>
      <c r="EZN1195" s="7"/>
      <c r="EZO1195" s="7"/>
      <c r="EZP1195" s="7"/>
      <c r="EZQ1195" s="7"/>
      <c r="EZR1195" s="7"/>
      <c r="EZS1195" s="7"/>
      <c r="EZT1195" s="7"/>
      <c r="EZU1195" s="7"/>
      <c r="EZV1195" s="7"/>
      <c r="EZW1195" s="7"/>
      <c r="EZX1195" s="7"/>
      <c r="EZY1195" s="7"/>
      <c r="EZZ1195" s="7"/>
      <c r="FAA1195" s="7"/>
      <c r="FAB1195" s="7"/>
      <c r="FAC1195" s="7"/>
      <c r="FAD1195" s="7"/>
      <c r="FAE1195" s="7"/>
      <c r="FAF1195" s="7"/>
      <c r="FAG1195" s="7"/>
      <c r="FAH1195" s="7"/>
      <c r="FAI1195" s="7"/>
      <c r="FAJ1195" s="7"/>
      <c r="FAK1195" s="7"/>
      <c r="FAL1195" s="7"/>
      <c r="FAM1195" s="7"/>
      <c r="FAN1195" s="7"/>
      <c r="FAO1195" s="7"/>
      <c r="FAP1195" s="7"/>
      <c r="FAQ1195" s="7"/>
      <c r="FAR1195" s="7"/>
      <c r="FAS1195" s="7"/>
      <c r="FAT1195" s="7"/>
      <c r="FAU1195" s="7"/>
      <c r="FAV1195" s="7"/>
      <c r="FAW1195" s="7"/>
      <c r="FAX1195" s="7"/>
      <c r="FAY1195" s="7"/>
      <c r="FAZ1195" s="7"/>
      <c r="FBA1195" s="7"/>
      <c r="FBB1195" s="7"/>
      <c r="FBC1195" s="7"/>
      <c r="FBD1195" s="7"/>
      <c r="FBE1195" s="7"/>
      <c r="FBF1195" s="7"/>
      <c r="FBG1195" s="7"/>
      <c r="FBH1195" s="7"/>
      <c r="FBI1195" s="7"/>
      <c r="FBJ1195" s="7"/>
      <c r="FBK1195" s="7"/>
      <c r="FBL1195" s="7"/>
      <c r="FBM1195" s="7"/>
      <c r="FBN1195" s="7"/>
      <c r="FBO1195" s="7"/>
      <c r="FBP1195" s="7"/>
      <c r="FBQ1195" s="7"/>
      <c r="FBR1195" s="7"/>
      <c r="FBS1195" s="7"/>
      <c r="FBT1195" s="7"/>
      <c r="FBU1195" s="7"/>
      <c r="FBV1195" s="7"/>
      <c r="FBW1195" s="7"/>
      <c r="FBX1195" s="7"/>
      <c r="FBY1195" s="7"/>
      <c r="FBZ1195" s="7"/>
      <c r="FCA1195" s="7"/>
      <c r="FCB1195" s="7"/>
      <c r="FCC1195" s="7"/>
      <c r="FCD1195" s="7"/>
      <c r="FCE1195" s="7"/>
      <c r="FCF1195" s="7"/>
      <c r="FCG1195" s="7"/>
      <c r="FCH1195" s="7"/>
      <c r="FCI1195" s="7"/>
      <c r="FCJ1195" s="7"/>
      <c r="FCK1195" s="7"/>
      <c r="FCL1195" s="7"/>
      <c r="FCM1195" s="7"/>
      <c r="FCN1195" s="7"/>
      <c r="FCO1195" s="7"/>
      <c r="FCP1195" s="7"/>
      <c r="FCQ1195" s="7"/>
      <c r="FCR1195" s="7"/>
      <c r="FCS1195" s="7"/>
      <c r="FCT1195" s="7"/>
      <c r="FCU1195" s="7"/>
      <c r="FCV1195" s="7"/>
      <c r="FCW1195" s="7"/>
      <c r="FCX1195" s="7"/>
      <c r="FCY1195" s="7"/>
      <c r="FCZ1195" s="7"/>
      <c r="FDA1195" s="7"/>
      <c r="FDB1195" s="7"/>
      <c r="FDC1195" s="7"/>
      <c r="FDD1195" s="7"/>
      <c r="FDE1195" s="7"/>
      <c r="FDF1195" s="7"/>
      <c r="FDG1195" s="7"/>
      <c r="FDH1195" s="7"/>
      <c r="FDI1195" s="7"/>
      <c r="FDJ1195" s="7"/>
      <c r="FDK1195" s="7"/>
      <c r="FDL1195" s="7"/>
      <c r="FDM1195" s="7"/>
      <c r="FDN1195" s="7"/>
      <c r="FDO1195" s="7"/>
      <c r="FDP1195" s="7"/>
      <c r="FDQ1195" s="7"/>
      <c r="FDR1195" s="7"/>
      <c r="FDS1195" s="7"/>
      <c r="FDT1195" s="7"/>
      <c r="FDU1195" s="7"/>
      <c r="FDV1195" s="7"/>
      <c r="FDW1195" s="7"/>
      <c r="FDX1195" s="7"/>
      <c r="FDY1195" s="7"/>
      <c r="FDZ1195" s="7"/>
      <c r="FEA1195" s="7"/>
      <c r="FEB1195" s="7"/>
      <c r="FEC1195" s="7"/>
      <c r="FED1195" s="7"/>
      <c r="FEE1195" s="7"/>
      <c r="FEF1195" s="7"/>
      <c r="FEG1195" s="7"/>
      <c r="FEH1195" s="7"/>
      <c r="FEI1195" s="7"/>
      <c r="FEJ1195" s="7"/>
      <c r="FEK1195" s="7"/>
      <c r="FEL1195" s="7"/>
      <c r="FEM1195" s="7"/>
      <c r="FEN1195" s="7"/>
      <c r="FEO1195" s="7"/>
      <c r="FEP1195" s="7"/>
      <c r="FEQ1195" s="7"/>
      <c r="FER1195" s="7"/>
      <c r="FES1195" s="7"/>
      <c r="FET1195" s="7"/>
      <c r="FEU1195" s="7"/>
      <c r="FEV1195" s="7"/>
      <c r="FEW1195" s="7"/>
      <c r="FEX1195" s="7"/>
      <c r="FEY1195" s="7"/>
      <c r="FEZ1195" s="7"/>
      <c r="FFA1195" s="7"/>
      <c r="FFB1195" s="7"/>
      <c r="FFC1195" s="7"/>
      <c r="FFD1195" s="7"/>
      <c r="FFE1195" s="7"/>
      <c r="FFF1195" s="7"/>
      <c r="FFG1195" s="7"/>
      <c r="FFH1195" s="7"/>
      <c r="FFI1195" s="7"/>
      <c r="FFJ1195" s="7"/>
      <c r="FFK1195" s="7"/>
      <c r="FFL1195" s="7"/>
      <c r="FFM1195" s="7"/>
      <c r="FFN1195" s="7"/>
      <c r="FFO1195" s="7"/>
      <c r="FFP1195" s="7"/>
      <c r="FFQ1195" s="7"/>
      <c r="FFR1195" s="7"/>
      <c r="FFS1195" s="7"/>
      <c r="FFT1195" s="7"/>
      <c r="FFU1195" s="7"/>
      <c r="FFV1195" s="7"/>
      <c r="FFW1195" s="7"/>
      <c r="FFX1195" s="7"/>
      <c r="FFY1195" s="7"/>
      <c r="FFZ1195" s="7"/>
      <c r="FGA1195" s="7"/>
      <c r="FGB1195" s="7"/>
      <c r="FGC1195" s="7"/>
      <c r="FGD1195" s="7"/>
      <c r="FGE1195" s="7"/>
      <c r="FGF1195" s="7"/>
      <c r="FGG1195" s="7"/>
      <c r="FGH1195" s="7"/>
      <c r="FGI1195" s="7"/>
      <c r="FGJ1195" s="7"/>
      <c r="FGK1195" s="7"/>
      <c r="FGL1195" s="7"/>
      <c r="FGM1195" s="7"/>
      <c r="FGN1195" s="7"/>
      <c r="FGO1195" s="7"/>
      <c r="FGP1195" s="7"/>
      <c r="FGQ1195" s="7"/>
      <c r="FGR1195" s="7"/>
      <c r="FGS1195" s="7"/>
      <c r="FGT1195" s="7"/>
      <c r="FGU1195" s="7"/>
      <c r="FGV1195" s="7"/>
      <c r="FGW1195" s="7"/>
      <c r="FGX1195" s="7"/>
      <c r="FGY1195" s="7"/>
      <c r="FGZ1195" s="7"/>
      <c r="FHA1195" s="7"/>
      <c r="FHB1195" s="7"/>
      <c r="FHC1195" s="7"/>
      <c r="FHD1195" s="7"/>
      <c r="FHE1195" s="7"/>
      <c r="FHF1195" s="7"/>
      <c r="FHG1195" s="7"/>
      <c r="FHH1195" s="7"/>
      <c r="FHI1195" s="7"/>
      <c r="FHJ1195" s="7"/>
      <c r="FHK1195" s="7"/>
      <c r="FHL1195" s="7"/>
      <c r="FHM1195" s="7"/>
      <c r="FHN1195" s="7"/>
      <c r="FHO1195" s="7"/>
      <c r="FHP1195" s="7"/>
      <c r="FHQ1195" s="7"/>
      <c r="FHR1195" s="7"/>
      <c r="FHS1195" s="7"/>
      <c r="FHT1195" s="7"/>
      <c r="FHU1195" s="7"/>
      <c r="FHV1195" s="7"/>
      <c r="FHW1195" s="7"/>
      <c r="FHX1195" s="7"/>
      <c r="FHY1195" s="7"/>
      <c r="FHZ1195" s="7"/>
      <c r="FIA1195" s="7"/>
      <c r="FIB1195" s="7"/>
      <c r="FIC1195" s="7"/>
      <c r="FID1195" s="7"/>
      <c r="FIE1195" s="7"/>
      <c r="FIF1195" s="7"/>
      <c r="FIG1195" s="7"/>
      <c r="FIH1195" s="7"/>
      <c r="FII1195" s="7"/>
      <c r="FIJ1195" s="7"/>
      <c r="FIK1195" s="7"/>
      <c r="FIL1195" s="7"/>
      <c r="FIM1195" s="7"/>
      <c r="FIN1195" s="7"/>
      <c r="FIO1195" s="7"/>
      <c r="FIP1195" s="7"/>
      <c r="FIQ1195" s="7"/>
      <c r="FIR1195" s="7"/>
      <c r="FIS1195" s="7"/>
      <c r="FIT1195" s="7"/>
      <c r="FIU1195" s="7"/>
      <c r="FIV1195" s="7"/>
      <c r="FIW1195" s="7"/>
      <c r="FIX1195" s="7"/>
      <c r="FIY1195" s="7"/>
      <c r="FIZ1195" s="7"/>
      <c r="FJA1195" s="7"/>
      <c r="FJB1195" s="7"/>
      <c r="FJC1195" s="7"/>
      <c r="FJD1195" s="7"/>
      <c r="FJE1195" s="7"/>
      <c r="FJF1195" s="7"/>
      <c r="FJG1195" s="7"/>
      <c r="FJH1195" s="7"/>
      <c r="FJI1195" s="7"/>
      <c r="FJJ1195" s="7"/>
      <c r="FJK1195" s="7"/>
      <c r="FJL1195" s="7"/>
      <c r="FJM1195" s="7"/>
      <c r="FJN1195" s="7"/>
      <c r="FJO1195" s="7"/>
      <c r="FJP1195" s="7"/>
      <c r="FJQ1195" s="7"/>
      <c r="FJR1195" s="7"/>
      <c r="FJS1195" s="7"/>
      <c r="FJT1195" s="7"/>
      <c r="FJU1195" s="7"/>
      <c r="FJV1195" s="7"/>
      <c r="FJW1195" s="7"/>
      <c r="FJX1195" s="7"/>
      <c r="FJY1195" s="7"/>
      <c r="FJZ1195" s="7"/>
      <c r="FKA1195" s="7"/>
      <c r="FKB1195" s="7"/>
      <c r="FKC1195" s="7"/>
      <c r="FKD1195" s="7"/>
      <c r="FKE1195" s="7"/>
      <c r="FKF1195" s="7"/>
      <c r="FKG1195" s="7"/>
      <c r="FKH1195" s="7"/>
      <c r="FKI1195" s="7"/>
      <c r="FKJ1195" s="7"/>
      <c r="FKK1195" s="7"/>
      <c r="FKL1195" s="7"/>
      <c r="FKM1195" s="7"/>
      <c r="FKN1195" s="7"/>
      <c r="FKO1195" s="7"/>
      <c r="FKP1195" s="7"/>
      <c r="FKQ1195" s="7"/>
      <c r="FKR1195" s="7"/>
      <c r="FKS1195" s="7"/>
      <c r="FKT1195" s="7"/>
      <c r="FKU1195" s="7"/>
      <c r="FKV1195" s="7"/>
      <c r="FKW1195" s="7"/>
      <c r="FKX1195" s="7"/>
      <c r="FKY1195" s="7"/>
      <c r="FKZ1195" s="7"/>
      <c r="FLA1195" s="7"/>
      <c r="FLB1195" s="7"/>
      <c r="FLC1195" s="7"/>
      <c r="FLD1195" s="7"/>
      <c r="FLE1195" s="7"/>
      <c r="FLF1195" s="7"/>
      <c r="FLG1195" s="7"/>
      <c r="FLH1195" s="7"/>
      <c r="FLI1195" s="7"/>
      <c r="FLJ1195" s="7"/>
      <c r="FLK1195" s="7"/>
      <c r="FLL1195" s="7"/>
      <c r="FLM1195" s="7"/>
      <c r="FLN1195" s="7"/>
      <c r="FLO1195" s="7"/>
      <c r="FLP1195" s="7"/>
      <c r="FLQ1195" s="7"/>
      <c r="FLR1195" s="7"/>
      <c r="FLS1195" s="7"/>
      <c r="FLT1195" s="7"/>
      <c r="FLU1195" s="7"/>
      <c r="FLV1195" s="7"/>
      <c r="FLW1195" s="7"/>
      <c r="FLX1195" s="7"/>
      <c r="FLY1195" s="7"/>
      <c r="FLZ1195" s="7"/>
      <c r="FMA1195" s="7"/>
      <c r="FMB1195" s="7"/>
      <c r="FMC1195" s="7"/>
      <c r="FMD1195" s="7"/>
      <c r="FME1195" s="7"/>
      <c r="FMF1195" s="7"/>
      <c r="FMG1195" s="7"/>
      <c r="FMH1195" s="7"/>
      <c r="FMI1195" s="7"/>
      <c r="FMJ1195" s="7"/>
      <c r="FMK1195" s="7"/>
      <c r="FML1195" s="7"/>
      <c r="FMM1195" s="7"/>
      <c r="FMN1195" s="7"/>
      <c r="FMO1195" s="7"/>
      <c r="FMP1195" s="7"/>
      <c r="FMQ1195" s="7"/>
      <c r="FMR1195" s="7"/>
      <c r="FMS1195" s="7"/>
      <c r="FMT1195" s="7"/>
      <c r="FMU1195" s="7"/>
      <c r="FMV1195" s="7"/>
      <c r="FMW1195" s="7"/>
      <c r="FMX1195" s="7"/>
      <c r="FMY1195" s="7"/>
      <c r="FMZ1195" s="7"/>
      <c r="FNA1195" s="7"/>
      <c r="FNB1195" s="7"/>
      <c r="FNC1195" s="7"/>
      <c r="FND1195" s="7"/>
      <c r="FNE1195" s="7"/>
      <c r="FNF1195" s="7"/>
      <c r="FNG1195" s="7"/>
      <c r="FNH1195" s="7"/>
      <c r="FNI1195" s="7"/>
      <c r="FNJ1195" s="7"/>
      <c r="FNK1195" s="7"/>
      <c r="FNL1195" s="7"/>
      <c r="FNM1195" s="7"/>
      <c r="FNN1195" s="7"/>
      <c r="FNO1195" s="7"/>
      <c r="FNP1195" s="7"/>
      <c r="FNQ1195" s="7"/>
      <c r="FNR1195" s="7"/>
      <c r="FNS1195" s="7"/>
      <c r="FNT1195" s="7"/>
      <c r="FNU1195" s="7"/>
      <c r="FNV1195" s="7"/>
      <c r="FNW1195" s="7"/>
      <c r="FNX1195" s="7"/>
      <c r="FNY1195" s="7"/>
      <c r="FNZ1195" s="7"/>
      <c r="FOA1195" s="7"/>
      <c r="FOB1195" s="7"/>
      <c r="FOC1195" s="7"/>
      <c r="FOD1195" s="7"/>
      <c r="FOE1195" s="7"/>
      <c r="FOF1195" s="7"/>
      <c r="FOG1195" s="7"/>
      <c r="FOH1195" s="7"/>
      <c r="FOI1195" s="7"/>
      <c r="FOJ1195" s="7"/>
      <c r="FOK1195" s="7"/>
      <c r="FOL1195" s="7"/>
      <c r="FOM1195" s="7"/>
      <c r="FON1195" s="7"/>
      <c r="FOO1195" s="7"/>
      <c r="FOP1195" s="7"/>
      <c r="FOQ1195" s="7"/>
      <c r="FOR1195" s="7"/>
      <c r="FOS1195" s="7"/>
      <c r="FOT1195" s="7"/>
      <c r="FOU1195" s="7"/>
      <c r="FOV1195" s="7"/>
      <c r="FOW1195" s="7"/>
      <c r="FOX1195" s="7"/>
      <c r="FOY1195" s="7"/>
      <c r="FOZ1195" s="7"/>
      <c r="FPA1195" s="7"/>
      <c r="FPB1195" s="7"/>
      <c r="FPC1195" s="7"/>
      <c r="FPD1195" s="7"/>
      <c r="FPE1195" s="7"/>
      <c r="FPF1195" s="7"/>
      <c r="FPG1195" s="7"/>
      <c r="FPH1195" s="7"/>
      <c r="FPI1195" s="7"/>
      <c r="FPJ1195" s="7"/>
      <c r="FPK1195" s="7"/>
      <c r="FPL1195" s="7"/>
      <c r="FPM1195" s="7"/>
      <c r="FPN1195" s="7"/>
      <c r="FPO1195" s="7"/>
      <c r="FPP1195" s="7"/>
      <c r="FPQ1195" s="7"/>
      <c r="FPR1195" s="7"/>
      <c r="FPS1195" s="7"/>
      <c r="FPT1195" s="7"/>
      <c r="FPU1195" s="7"/>
      <c r="FPV1195" s="7"/>
      <c r="FPW1195" s="7"/>
      <c r="FPX1195" s="7"/>
      <c r="FPY1195" s="7"/>
      <c r="FPZ1195" s="7"/>
      <c r="FQA1195" s="7"/>
      <c r="FQB1195" s="7"/>
      <c r="FQC1195" s="7"/>
      <c r="FQD1195" s="7"/>
      <c r="FQE1195" s="7"/>
      <c r="FQF1195" s="7"/>
      <c r="FQG1195" s="7"/>
      <c r="FQH1195" s="7"/>
      <c r="FQI1195" s="7"/>
      <c r="FQJ1195" s="7"/>
      <c r="FQK1195" s="7"/>
      <c r="FQL1195" s="7"/>
      <c r="FQM1195" s="7"/>
      <c r="FQN1195" s="7"/>
      <c r="FQO1195" s="7"/>
      <c r="FQP1195" s="7"/>
      <c r="FQQ1195" s="7"/>
      <c r="FQR1195" s="7"/>
      <c r="FQS1195" s="7"/>
      <c r="FQT1195" s="7"/>
      <c r="FQU1195" s="7"/>
      <c r="FQV1195" s="7"/>
      <c r="FQW1195" s="7"/>
      <c r="FQX1195" s="7"/>
      <c r="FQY1195" s="7"/>
      <c r="FQZ1195" s="7"/>
      <c r="FRA1195" s="7"/>
      <c r="FRB1195" s="7"/>
      <c r="FRC1195" s="7"/>
      <c r="FRD1195" s="7"/>
      <c r="FRE1195" s="7"/>
      <c r="FRF1195" s="7"/>
      <c r="FRG1195" s="7"/>
      <c r="FRH1195" s="7"/>
      <c r="FRI1195" s="7"/>
      <c r="FRJ1195" s="7"/>
      <c r="FRK1195" s="7"/>
      <c r="FRL1195" s="7"/>
      <c r="FRM1195" s="7"/>
      <c r="FRN1195" s="7"/>
      <c r="FRO1195" s="7"/>
      <c r="FRP1195" s="7"/>
      <c r="FRQ1195" s="7"/>
      <c r="FRR1195" s="7"/>
      <c r="FRS1195" s="7"/>
      <c r="FRT1195" s="7"/>
      <c r="FRU1195" s="7"/>
      <c r="FRV1195" s="7"/>
      <c r="FRW1195" s="7"/>
      <c r="FRX1195" s="7"/>
      <c r="FRY1195" s="7"/>
      <c r="FRZ1195" s="7"/>
      <c r="FSA1195" s="7"/>
      <c r="FSB1195" s="7"/>
      <c r="FSC1195" s="7"/>
      <c r="FSD1195" s="7"/>
      <c r="FSE1195" s="7"/>
      <c r="FSF1195" s="7"/>
      <c r="FSG1195" s="7"/>
      <c r="FSH1195" s="7"/>
      <c r="FSI1195" s="7"/>
      <c r="FSJ1195" s="7"/>
      <c r="FSK1195" s="7"/>
      <c r="FSL1195" s="7"/>
      <c r="FSM1195" s="7"/>
      <c r="FSN1195" s="7"/>
      <c r="FSO1195" s="7"/>
      <c r="FSP1195" s="7"/>
      <c r="FSQ1195" s="7"/>
      <c r="FSR1195" s="7"/>
      <c r="FSS1195" s="7"/>
      <c r="FST1195" s="7"/>
      <c r="FSU1195" s="7"/>
      <c r="FSV1195" s="7"/>
      <c r="FSW1195" s="7"/>
      <c r="FSX1195" s="7"/>
      <c r="FSY1195" s="7"/>
      <c r="FSZ1195" s="7"/>
      <c r="FTA1195" s="7"/>
      <c r="FTB1195" s="7"/>
      <c r="FTC1195" s="7"/>
      <c r="FTD1195" s="7"/>
      <c r="FTE1195" s="7"/>
      <c r="FTF1195" s="7"/>
      <c r="FTG1195" s="7"/>
      <c r="FTH1195" s="7"/>
      <c r="FTI1195" s="7"/>
      <c r="FTJ1195" s="7"/>
      <c r="FTK1195" s="7"/>
      <c r="FTL1195" s="7"/>
      <c r="FTM1195" s="7"/>
      <c r="FTN1195" s="7"/>
      <c r="FTO1195" s="7"/>
      <c r="FTP1195" s="7"/>
      <c r="FTQ1195" s="7"/>
      <c r="FTR1195" s="7"/>
      <c r="FTS1195" s="7"/>
      <c r="FTT1195" s="7"/>
      <c r="FTU1195" s="7"/>
      <c r="FTV1195" s="7"/>
      <c r="FTW1195" s="7"/>
      <c r="FTX1195" s="7"/>
      <c r="FTY1195" s="7"/>
      <c r="FTZ1195" s="7"/>
      <c r="FUA1195" s="7"/>
      <c r="FUB1195" s="7"/>
      <c r="FUC1195" s="7"/>
      <c r="FUD1195" s="7"/>
      <c r="FUE1195" s="7"/>
      <c r="FUF1195" s="7"/>
      <c r="FUG1195" s="7"/>
      <c r="FUH1195" s="7"/>
      <c r="FUI1195" s="7"/>
      <c r="FUJ1195" s="7"/>
      <c r="FUK1195" s="7"/>
      <c r="FUL1195" s="7"/>
      <c r="FUM1195" s="7"/>
      <c r="FUN1195" s="7"/>
      <c r="FUO1195" s="7"/>
      <c r="FUP1195" s="7"/>
      <c r="FUQ1195" s="7"/>
      <c r="FUR1195" s="7"/>
      <c r="FUS1195" s="7"/>
      <c r="FUT1195" s="7"/>
      <c r="FUU1195" s="7"/>
      <c r="FUV1195" s="7"/>
      <c r="FUW1195" s="7"/>
      <c r="FUX1195" s="7"/>
      <c r="FUY1195" s="7"/>
      <c r="FUZ1195" s="7"/>
      <c r="FVA1195" s="7"/>
      <c r="FVB1195" s="7"/>
      <c r="FVC1195" s="7"/>
      <c r="FVD1195" s="7"/>
      <c r="FVE1195" s="7"/>
      <c r="FVF1195" s="7"/>
      <c r="FVG1195" s="7"/>
      <c r="FVH1195" s="7"/>
      <c r="FVI1195" s="7"/>
      <c r="FVJ1195" s="7"/>
      <c r="FVK1195" s="7"/>
      <c r="FVL1195" s="7"/>
      <c r="FVM1195" s="7"/>
      <c r="FVN1195" s="7"/>
      <c r="FVO1195" s="7"/>
      <c r="FVP1195" s="7"/>
      <c r="FVQ1195" s="7"/>
      <c r="FVR1195" s="7"/>
      <c r="FVS1195" s="7"/>
      <c r="FVT1195" s="7"/>
      <c r="FVU1195" s="7"/>
      <c r="FVV1195" s="7"/>
      <c r="FVW1195" s="7"/>
      <c r="FVX1195" s="7"/>
      <c r="FVY1195" s="7"/>
      <c r="FVZ1195" s="7"/>
      <c r="FWA1195" s="7"/>
      <c r="FWB1195" s="7"/>
      <c r="FWC1195" s="7"/>
      <c r="FWD1195" s="7"/>
      <c r="FWE1195" s="7"/>
      <c r="FWF1195" s="7"/>
      <c r="FWG1195" s="7"/>
      <c r="FWH1195" s="7"/>
      <c r="FWI1195" s="7"/>
      <c r="FWJ1195" s="7"/>
      <c r="FWK1195" s="7"/>
      <c r="FWL1195" s="7"/>
      <c r="FWM1195" s="7"/>
      <c r="FWN1195" s="7"/>
      <c r="FWO1195" s="7"/>
      <c r="FWP1195" s="7"/>
      <c r="FWQ1195" s="7"/>
      <c r="FWR1195" s="7"/>
      <c r="FWS1195" s="7"/>
      <c r="FWT1195" s="7"/>
      <c r="FWU1195" s="7"/>
      <c r="FWV1195" s="7"/>
      <c r="FWW1195" s="7"/>
      <c r="FWX1195" s="7"/>
      <c r="FWY1195" s="7"/>
      <c r="FWZ1195" s="7"/>
      <c r="FXA1195" s="7"/>
      <c r="FXB1195" s="7"/>
      <c r="FXC1195" s="7"/>
      <c r="FXD1195" s="7"/>
      <c r="FXE1195" s="7"/>
      <c r="FXF1195" s="7"/>
      <c r="FXG1195" s="7"/>
      <c r="FXH1195" s="7"/>
      <c r="FXI1195" s="7"/>
      <c r="FXJ1195" s="7"/>
      <c r="FXK1195" s="7"/>
      <c r="FXL1195" s="7"/>
      <c r="FXM1195" s="7"/>
      <c r="FXN1195" s="7"/>
      <c r="FXO1195" s="7"/>
      <c r="FXP1195" s="7"/>
      <c r="FXQ1195" s="7"/>
      <c r="FXR1195" s="7"/>
      <c r="FXS1195" s="7"/>
      <c r="FXT1195" s="7"/>
      <c r="FXU1195" s="7"/>
      <c r="FXV1195" s="7"/>
      <c r="FXW1195" s="7"/>
      <c r="FXX1195" s="7"/>
      <c r="FXY1195" s="7"/>
      <c r="FXZ1195" s="7"/>
      <c r="FYA1195" s="7"/>
      <c r="FYB1195" s="7"/>
      <c r="FYC1195" s="7"/>
      <c r="FYD1195" s="7"/>
      <c r="FYE1195" s="7"/>
      <c r="FYF1195" s="7"/>
      <c r="FYG1195" s="7"/>
      <c r="FYH1195" s="7"/>
      <c r="FYI1195" s="7"/>
      <c r="FYJ1195" s="7"/>
      <c r="FYK1195" s="7"/>
      <c r="FYL1195" s="7"/>
      <c r="FYM1195" s="7"/>
      <c r="FYN1195" s="7"/>
      <c r="FYO1195" s="7"/>
      <c r="FYP1195" s="7"/>
      <c r="FYQ1195" s="7"/>
      <c r="FYR1195" s="7"/>
      <c r="FYS1195" s="7"/>
      <c r="FYT1195" s="7"/>
      <c r="FYU1195" s="7"/>
      <c r="FYV1195" s="7"/>
      <c r="FYW1195" s="7"/>
      <c r="FYX1195" s="7"/>
      <c r="FYY1195" s="7"/>
      <c r="FYZ1195" s="7"/>
      <c r="FZA1195" s="7"/>
      <c r="FZB1195" s="7"/>
      <c r="FZC1195" s="7"/>
      <c r="FZD1195" s="7"/>
      <c r="FZE1195" s="7"/>
      <c r="FZF1195" s="7"/>
      <c r="FZG1195" s="7"/>
      <c r="FZH1195" s="7"/>
      <c r="FZI1195" s="7"/>
      <c r="FZJ1195" s="7"/>
      <c r="FZK1195" s="7"/>
      <c r="FZL1195" s="7"/>
      <c r="FZM1195" s="7"/>
      <c r="FZN1195" s="7"/>
      <c r="FZO1195" s="7"/>
      <c r="FZP1195" s="7"/>
      <c r="FZQ1195" s="7"/>
      <c r="FZR1195" s="7"/>
      <c r="FZS1195" s="7"/>
      <c r="FZT1195" s="7"/>
      <c r="FZU1195" s="7"/>
      <c r="FZV1195" s="7"/>
      <c r="FZW1195" s="7"/>
      <c r="FZX1195" s="7"/>
      <c r="FZY1195" s="7"/>
      <c r="FZZ1195" s="7"/>
      <c r="GAA1195" s="7"/>
      <c r="GAB1195" s="7"/>
      <c r="GAC1195" s="7"/>
      <c r="GAD1195" s="7"/>
      <c r="GAE1195" s="7"/>
      <c r="GAF1195" s="7"/>
      <c r="GAG1195" s="7"/>
      <c r="GAH1195" s="7"/>
      <c r="GAI1195" s="7"/>
      <c r="GAJ1195" s="7"/>
      <c r="GAK1195" s="7"/>
      <c r="GAL1195" s="7"/>
      <c r="GAM1195" s="7"/>
      <c r="GAN1195" s="7"/>
      <c r="GAO1195" s="7"/>
      <c r="GAP1195" s="7"/>
      <c r="GAQ1195" s="7"/>
      <c r="GAR1195" s="7"/>
      <c r="GAS1195" s="7"/>
      <c r="GAT1195" s="7"/>
      <c r="GAU1195" s="7"/>
      <c r="GAV1195" s="7"/>
      <c r="GAW1195" s="7"/>
      <c r="GAX1195" s="7"/>
      <c r="GAY1195" s="7"/>
      <c r="GAZ1195" s="7"/>
      <c r="GBA1195" s="7"/>
      <c r="GBB1195" s="7"/>
      <c r="GBC1195" s="7"/>
      <c r="GBD1195" s="7"/>
      <c r="GBE1195" s="7"/>
      <c r="GBF1195" s="7"/>
      <c r="GBG1195" s="7"/>
      <c r="GBH1195" s="7"/>
      <c r="GBI1195" s="7"/>
      <c r="GBJ1195" s="7"/>
      <c r="GBK1195" s="7"/>
      <c r="GBL1195" s="7"/>
      <c r="GBM1195" s="7"/>
      <c r="GBN1195" s="7"/>
      <c r="GBO1195" s="7"/>
      <c r="GBP1195" s="7"/>
      <c r="GBQ1195" s="7"/>
      <c r="GBR1195" s="7"/>
      <c r="GBS1195" s="7"/>
      <c r="GBT1195" s="7"/>
      <c r="GBU1195" s="7"/>
      <c r="GBV1195" s="7"/>
      <c r="GBW1195" s="7"/>
      <c r="GBX1195" s="7"/>
      <c r="GBY1195" s="7"/>
      <c r="GBZ1195" s="7"/>
      <c r="GCA1195" s="7"/>
      <c r="GCB1195" s="7"/>
      <c r="GCC1195" s="7"/>
      <c r="GCD1195" s="7"/>
      <c r="GCE1195" s="7"/>
      <c r="GCF1195" s="7"/>
      <c r="GCG1195" s="7"/>
      <c r="GCH1195" s="7"/>
      <c r="GCI1195" s="7"/>
      <c r="GCJ1195" s="7"/>
      <c r="GCK1195" s="7"/>
      <c r="GCL1195" s="7"/>
      <c r="GCM1195" s="7"/>
      <c r="GCN1195" s="7"/>
      <c r="GCO1195" s="7"/>
      <c r="GCP1195" s="7"/>
      <c r="GCQ1195" s="7"/>
      <c r="GCR1195" s="7"/>
      <c r="GCS1195" s="7"/>
      <c r="GCT1195" s="7"/>
      <c r="GCU1195" s="7"/>
      <c r="GCV1195" s="7"/>
      <c r="GCW1195" s="7"/>
      <c r="GCX1195" s="7"/>
      <c r="GCY1195" s="7"/>
      <c r="GCZ1195" s="7"/>
      <c r="GDA1195" s="7"/>
      <c r="GDB1195" s="7"/>
      <c r="GDC1195" s="7"/>
      <c r="GDD1195" s="7"/>
      <c r="GDE1195" s="7"/>
      <c r="GDF1195" s="7"/>
      <c r="GDG1195" s="7"/>
      <c r="GDH1195" s="7"/>
      <c r="GDI1195" s="7"/>
      <c r="GDJ1195" s="7"/>
      <c r="GDK1195" s="7"/>
      <c r="GDL1195" s="7"/>
      <c r="GDM1195" s="7"/>
      <c r="GDN1195" s="7"/>
      <c r="GDO1195" s="7"/>
      <c r="GDP1195" s="7"/>
      <c r="GDQ1195" s="7"/>
      <c r="GDR1195" s="7"/>
      <c r="GDS1195" s="7"/>
      <c r="GDT1195" s="7"/>
      <c r="GDU1195" s="7"/>
      <c r="GDV1195" s="7"/>
      <c r="GDW1195" s="7"/>
      <c r="GDX1195" s="7"/>
      <c r="GDY1195" s="7"/>
      <c r="GDZ1195" s="7"/>
      <c r="GEA1195" s="7"/>
      <c r="GEB1195" s="7"/>
      <c r="GEC1195" s="7"/>
      <c r="GED1195" s="7"/>
      <c r="GEE1195" s="7"/>
      <c r="GEF1195" s="7"/>
      <c r="GEG1195" s="7"/>
      <c r="GEH1195" s="7"/>
      <c r="GEI1195" s="7"/>
      <c r="GEJ1195" s="7"/>
      <c r="GEK1195" s="7"/>
      <c r="GEL1195" s="7"/>
      <c r="GEM1195" s="7"/>
      <c r="GEN1195" s="7"/>
      <c r="GEO1195" s="7"/>
      <c r="GEP1195" s="7"/>
      <c r="GEQ1195" s="7"/>
      <c r="GER1195" s="7"/>
      <c r="GES1195" s="7"/>
      <c r="GET1195" s="7"/>
      <c r="GEU1195" s="7"/>
      <c r="GEV1195" s="7"/>
      <c r="GEW1195" s="7"/>
      <c r="GEX1195" s="7"/>
      <c r="GEY1195" s="7"/>
      <c r="GEZ1195" s="7"/>
      <c r="GFA1195" s="7"/>
      <c r="GFB1195" s="7"/>
      <c r="GFC1195" s="7"/>
      <c r="GFD1195" s="7"/>
      <c r="GFE1195" s="7"/>
      <c r="GFF1195" s="7"/>
      <c r="GFG1195" s="7"/>
      <c r="GFH1195" s="7"/>
      <c r="GFI1195" s="7"/>
      <c r="GFJ1195" s="7"/>
      <c r="GFK1195" s="7"/>
      <c r="GFL1195" s="7"/>
      <c r="GFM1195" s="7"/>
      <c r="GFN1195" s="7"/>
      <c r="GFO1195" s="7"/>
      <c r="GFP1195" s="7"/>
      <c r="GFQ1195" s="7"/>
      <c r="GFR1195" s="7"/>
      <c r="GFS1195" s="7"/>
      <c r="GFT1195" s="7"/>
      <c r="GFU1195" s="7"/>
      <c r="GFV1195" s="7"/>
      <c r="GFW1195" s="7"/>
      <c r="GFX1195" s="7"/>
      <c r="GFY1195" s="7"/>
      <c r="GFZ1195" s="7"/>
      <c r="GGA1195" s="7"/>
      <c r="GGB1195" s="7"/>
      <c r="GGC1195" s="7"/>
      <c r="GGD1195" s="7"/>
      <c r="GGE1195" s="7"/>
      <c r="GGF1195" s="7"/>
      <c r="GGG1195" s="7"/>
      <c r="GGH1195" s="7"/>
      <c r="GGI1195" s="7"/>
      <c r="GGJ1195" s="7"/>
      <c r="GGK1195" s="7"/>
      <c r="GGL1195" s="7"/>
      <c r="GGM1195" s="7"/>
      <c r="GGN1195" s="7"/>
      <c r="GGO1195" s="7"/>
      <c r="GGP1195" s="7"/>
      <c r="GGQ1195" s="7"/>
      <c r="GGR1195" s="7"/>
      <c r="GGS1195" s="7"/>
      <c r="GGT1195" s="7"/>
      <c r="GGU1195" s="7"/>
      <c r="GGV1195" s="7"/>
      <c r="GGW1195" s="7"/>
      <c r="GGX1195" s="7"/>
      <c r="GGY1195" s="7"/>
      <c r="GGZ1195" s="7"/>
      <c r="GHA1195" s="7"/>
      <c r="GHB1195" s="7"/>
      <c r="GHC1195" s="7"/>
      <c r="GHD1195" s="7"/>
      <c r="GHE1195" s="7"/>
      <c r="GHF1195" s="7"/>
      <c r="GHG1195" s="7"/>
      <c r="GHH1195" s="7"/>
      <c r="GHI1195" s="7"/>
      <c r="GHJ1195" s="7"/>
      <c r="GHK1195" s="7"/>
      <c r="GHL1195" s="7"/>
      <c r="GHM1195" s="7"/>
      <c r="GHN1195" s="7"/>
      <c r="GHO1195" s="7"/>
      <c r="GHP1195" s="7"/>
      <c r="GHQ1195" s="7"/>
      <c r="GHR1195" s="7"/>
      <c r="GHS1195" s="7"/>
      <c r="GHT1195" s="7"/>
      <c r="GHU1195" s="7"/>
      <c r="GHV1195" s="7"/>
      <c r="GHW1195" s="7"/>
      <c r="GHX1195" s="7"/>
      <c r="GHY1195" s="7"/>
      <c r="GHZ1195" s="7"/>
      <c r="GIA1195" s="7"/>
      <c r="GIB1195" s="7"/>
      <c r="GIC1195" s="7"/>
      <c r="GID1195" s="7"/>
      <c r="GIE1195" s="7"/>
      <c r="GIF1195" s="7"/>
      <c r="GIG1195" s="7"/>
      <c r="GIH1195" s="7"/>
      <c r="GII1195" s="7"/>
      <c r="GIJ1195" s="7"/>
      <c r="GIK1195" s="7"/>
      <c r="GIL1195" s="7"/>
      <c r="GIM1195" s="7"/>
      <c r="GIN1195" s="7"/>
      <c r="GIO1195" s="7"/>
      <c r="GIP1195" s="7"/>
      <c r="GIQ1195" s="7"/>
      <c r="GIR1195" s="7"/>
      <c r="GIS1195" s="7"/>
      <c r="GIT1195" s="7"/>
      <c r="GIU1195" s="7"/>
      <c r="GIV1195" s="7"/>
      <c r="GIW1195" s="7"/>
      <c r="GIX1195" s="7"/>
      <c r="GIY1195" s="7"/>
      <c r="GIZ1195" s="7"/>
      <c r="GJA1195" s="7"/>
      <c r="GJB1195" s="7"/>
      <c r="GJC1195" s="7"/>
      <c r="GJD1195" s="7"/>
      <c r="GJE1195" s="7"/>
      <c r="GJF1195" s="7"/>
      <c r="GJG1195" s="7"/>
      <c r="GJH1195" s="7"/>
      <c r="GJI1195" s="7"/>
      <c r="GJJ1195" s="7"/>
      <c r="GJK1195" s="7"/>
      <c r="GJL1195" s="7"/>
      <c r="GJM1195" s="7"/>
      <c r="GJN1195" s="7"/>
      <c r="GJO1195" s="7"/>
      <c r="GJP1195" s="7"/>
      <c r="GJQ1195" s="7"/>
      <c r="GJR1195" s="7"/>
      <c r="GJS1195" s="7"/>
      <c r="GJT1195" s="7"/>
      <c r="GJU1195" s="7"/>
      <c r="GJV1195" s="7"/>
      <c r="GJW1195" s="7"/>
      <c r="GJX1195" s="7"/>
      <c r="GJY1195" s="7"/>
      <c r="GJZ1195" s="7"/>
      <c r="GKA1195" s="7"/>
      <c r="GKB1195" s="7"/>
      <c r="GKC1195" s="7"/>
      <c r="GKD1195" s="7"/>
      <c r="GKE1195" s="7"/>
      <c r="GKF1195" s="7"/>
      <c r="GKG1195" s="7"/>
      <c r="GKH1195" s="7"/>
      <c r="GKI1195" s="7"/>
      <c r="GKJ1195" s="7"/>
      <c r="GKK1195" s="7"/>
      <c r="GKL1195" s="7"/>
      <c r="GKM1195" s="7"/>
      <c r="GKN1195" s="7"/>
      <c r="GKO1195" s="7"/>
      <c r="GKP1195" s="7"/>
      <c r="GKQ1195" s="7"/>
      <c r="GKR1195" s="7"/>
      <c r="GKS1195" s="7"/>
      <c r="GKT1195" s="7"/>
      <c r="GKU1195" s="7"/>
      <c r="GKV1195" s="7"/>
      <c r="GKW1195" s="7"/>
      <c r="GKX1195" s="7"/>
      <c r="GKY1195" s="7"/>
      <c r="GKZ1195" s="7"/>
      <c r="GLA1195" s="7"/>
      <c r="GLB1195" s="7"/>
      <c r="GLC1195" s="7"/>
      <c r="GLD1195" s="7"/>
      <c r="GLE1195" s="7"/>
      <c r="GLF1195" s="7"/>
      <c r="GLG1195" s="7"/>
      <c r="GLH1195" s="7"/>
      <c r="GLI1195" s="7"/>
      <c r="GLJ1195" s="7"/>
      <c r="GLK1195" s="7"/>
      <c r="GLL1195" s="7"/>
      <c r="GLM1195" s="7"/>
      <c r="GLN1195" s="7"/>
      <c r="GLO1195" s="7"/>
      <c r="GLP1195" s="7"/>
      <c r="GLQ1195" s="7"/>
      <c r="GLR1195" s="7"/>
      <c r="GLS1195" s="7"/>
      <c r="GLT1195" s="7"/>
      <c r="GLU1195" s="7"/>
      <c r="GLV1195" s="7"/>
      <c r="GLW1195" s="7"/>
      <c r="GLX1195" s="7"/>
      <c r="GLY1195" s="7"/>
      <c r="GLZ1195" s="7"/>
      <c r="GMA1195" s="7"/>
      <c r="GMB1195" s="7"/>
      <c r="GMC1195" s="7"/>
      <c r="GMD1195" s="7"/>
      <c r="GME1195" s="7"/>
      <c r="GMF1195" s="7"/>
      <c r="GMG1195" s="7"/>
      <c r="GMH1195" s="7"/>
      <c r="GMI1195" s="7"/>
      <c r="GMJ1195" s="7"/>
      <c r="GMK1195" s="7"/>
      <c r="GML1195" s="7"/>
      <c r="GMM1195" s="7"/>
      <c r="GMN1195" s="7"/>
      <c r="GMO1195" s="7"/>
      <c r="GMP1195" s="7"/>
      <c r="GMQ1195" s="7"/>
      <c r="GMR1195" s="7"/>
      <c r="GMS1195" s="7"/>
      <c r="GMT1195" s="7"/>
      <c r="GMU1195" s="7"/>
      <c r="GMV1195" s="7"/>
      <c r="GMW1195" s="7"/>
      <c r="GMX1195" s="7"/>
      <c r="GMY1195" s="7"/>
      <c r="GMZ1195" s="7"/>
      <c r="GNA1195" s="7"/>
      <c r="GNB1195" s="7"/>
      <c r="GNC1195" s="7"/>
      <c r="GND1195" s="7"/>
      <c r="GNE1195" s="7"/>
      <c r="GNF1195" s="7"/>
      <c r="GNG1195" s="7"/>
      <c r="GNH1195" s="7"/>
      <c r="GNI1195" s="7"/>
      <c r="GNJ1195" s="7"/>
      <c r="GNK1195" s="7"/>
      <c r="GNL1195" s="7"/>
      <c r="GNM1195" s="7"/>
      <c r="GNN1195" s="7"/>
      <c r="GNO1195" s="7"/>
      <c r="GNP1195" s="7"/>
      <c r="GNQ1195" s="7"/>
      <c r="GNR1195" s="7"/>
      <c r="GNS1195" s="7"/>
      <c r="GNT1195" s="7"/>
      <c r="GNU1195" s="7"/>
      <c r="GNV1195" s="7"/>
      <c r="GNW1195" s="7"/>
      <c r="GNX1195" s="7"/>
      <c r="GNY1195" s="7"/>
      <c r="GNZ1195" s="7"/>
      <c r="GOA1195" s="7"/>
      <c r="GOB1195" s="7"/>
      <c r="GOC1195" s="7"/>
      <c r="GOD1195" s="7"/>
      <c r="GOE1195" s="7"/>
      <c r="GOF1195" s="7"/>
      <c r="GOG1195" s="7"/>
      <c r="GOH1195" s="7"/>
      <c r="GOI1195" s="7"/>
      <c r="GOJ1195" s="7"/>
      <c r="GOK1195" s="7"/>
      <c r="GOL1195" s="7"/>
      <c r="GOM1195" s="7"/>
      <c r="GON1195" s="7"/>
      <c r="GOO1195" s="7"/>
      <c r="GOP1195" s="7"/>
      <c r="GOQ1195" s="7"/>
      <c r="GOR1195" s="7"/>
      <c r="GOS1195" s="7"/>
      <c r="GOT1195" s="7"/>
      <c r="GOU1195" s="7"/>
      <c r="GOV1195" s="7"/>
      <c r="GOW1195" s="7"/>
      <c r="GOX1195" s="7"/>
      <c r="GOY1195" s="7"/>
      <c r="GOZ1195" s="7"/>
      <c r="GPA1195" s="7"/>
      <c r="GPB1195" s="7"/>
      <c r="GPC1195" s="7"/>
      <c r="GPD1195" s="7"/>
      <c r="GPE1195" s="7"/>
      <c r="GPF1195" s="7"/>
      <c r="GPG1195" s="7"/>
      <c r="GPH1195" s="7"/>
      <c r="GPI1195" s="7"/>
      <c r="GPJ1195" s="7"/>
      <c r="GPK1195" s="7"/>
      <c r="GPL1195" s="7"/>
      <c r="GPM1195" s="7"/>
      <c r="GPN1195" s="7"/>
      <c r="GPO1195" s="7"/>
      <c r="GPP1195" s="7"/>
      <c r="GPQ1195" s="7"/>
      <c r="GPR1195" s="7"/>
      <c r="GPS1195" s="7"/>
      <c r="GPT1195" s="7"/>
      <c r="GPU1195" s="7"/>
      <c r="GPV1195" s="7"/>
      <c r="GPW1195" s="7"/>
      <c r="GPX1195" s="7"/>
      <c r="GPY1195" s="7"/>
      <c r="GPZ1195" s="7"/>
      <c r="GQA1195" s="7"/>
      <c r="GQB1195" s="7"/>
      <c r="GQC1195" s="7"/>
      <c r="GQD1195" s="7"/>
      <c r="GQE1195" s="7"/>
      <c r="GQF1195" s="7"/>
      <c r="GQG1195" s="7"/>
      <c r="GQH1195" s="7"/>
      <c r="GQI1195" s="7"/>
      <c r="GQJ1195" s="7"/>
      <c r="GQK1195" s="7"/>
      <c r="GQL1195" s="7"/>
      <c r="GQM1195" s="7"/>
      <c r="GQN1195" s="7"/>
      <c r="GQO1195" s="7"/>
      <c r="GQP1195" s="7"/>
      <c r="GQQ1195" s="7"/>
      <c r="GQR1195" s="7"/>
      <c r="GQS1195" s="7"/>
      <c r="GQT1195" s="7"/>
      <c r="GQU1195" s="7"/>
      <c r="GQV1195" s="7"/>
      <c r="GQW1195" s="7"/>
      <c r="GQX1195" s="7"/>
      <c r="GQY1195" s="7"/>
      <c r="GQZ1195" s="7"/>
      <c r="GRA1195" s="7"/>
      <c r="GRB1195" s="7"/>
      <c r="GRC1195" s="7"/>
      <c r="GRD1195" s="7"/>
      <c r="GRE1195" s="7"/>
      <c r="GRF1195" s="7"/>
      <c r="GRG1195" s="7"/>
      <c r="GRH1195" s="7"/>
      <c r="GRI1195" s="7"/>
      <c r="GRJ1195" s="7"/>
      <c r="GRK1195" s="7"/>
      <c r="GRL1195" s="7"/>
      <c r="GRM1195" s="7"/>
      <c r="GRN1195" s="7"/>
      <c r="GRO1195" s="7"/>
      <c r="GRP1195" s="7"/>
      <c r="GRQ1195" s="7"/>
      <c r="GRR1195" s="7"/>
      <c r="GRS1195" s="7"/>
      <c r="GRT1195" s="7"/>
      <c r="GRU1195" s="7"/>
      <c r="GRV1195" s="7"/>
      <c r="GRW1195" s="7"/>
      <c r="GRX1195" s="7"/>
      <c r="GRY1195" s="7"/>
      <c r="GRZ1195" s="7"/>
      <c r="GSA1195" s="7"/>
      <c r="GSB1195" s="7"/>
      <c r="GSC1195" s="7"/>
      <c r="GSD1195" s="7"/>
      <c r="GSE1195" s="7"/>
      <c r="GSF1195" s="7"/>
      <c r="GSG1195" s="7"/>
      <c r="GSH1195" s="7"/>
      <c r="GSI1195" s="7"/>
      <c r="GSJ1195" s="7"/>
      <c r="GSK1195" s="7"/>
      <c r="GSL1195" s="7"/>
      <c r="GSM1195" s="7"/>
      <c r="GSN1195" s="7"/>
      <c r="GSO1195" s="7"/>
      <c r="GSP1195" s="7"/>
      <c r="GSQ1195" s="7"/>
      <c r="GSR1195" s="7"/>
      <c r="GSS1195" s="7"/>
      <c r="GST1195" s="7"/>
      <c r="GSU1195" s="7"/>
      <c r="GSV1195" s="7"/>
      <c r="GSW1195" s="7"/>
      <c r="GSX1195" s="7"/>
      <c r="GSY1195" s="7"/>
      <c r="GSZ1195" s="7"/>
      <c r="GTA1195" s="7"/>
      <c r="GTB1195" s="7"/>
      <c r="GTC1195" s="7"/>
      <c r="GTD1195" s="7"/>
      <c r="GTE1195" s="7"/>
      <c r="GTF1195" s="7"/>
      <c r="GTG1195" s="7"/>
      <c r="GTH1195" s="7"/>
      <c r="GTI1195" s="7"/>
      <c r="GTJ1195" s="7"/>
      <c r="GTK1195" s="7"/>
      <c r="GTL1195" s="7"/>
      <c r="GTM1195" s="7"/>
      <c r="GTN1195" s="7"/>
      <c r="GTO1195" s="7"/>
      <c r="GTP1195" s="7"/>
      <c r="GTQ1195" s="7"/>
      <c r="GTR1195" s="7"/>
      <c r="GTS1195" s="7"/>
      <c r="GTT1195" s="7"/>
      <c r="GTU1195" s="7"/>
      <c r="GTV1195" s="7"/>
      <c r="GTW1195" s="7"/>
      <c r="GTX1195" s="7"/>
      <c r="GTY1195" s="7"/>
      <c r="GTZ1195" s="7"/>
      <c r="GUA1195" s="7"/>
      <c r="GUB1195" s="7"/>
      <c r="GUC1195" s="7"/>
      <c r="GUD1195" s="7"/>
      <c r="GUE1195" s="7"/>
      <c r="GUF1195" s="7"/>
      <c r="GUG1195" s="7"/>
      <c r="GUH1195" s="7"/>
      <c r="GUI1195" s="7"/>
      <c r="GUJ1195" s="7"/>
      <c r="GUK1195" s="7"/>
      <c r="GUL1195" s="7"/>
      <c r="GUM1195" s="7"/>
      <c r="GUN1195" s="7"/>
      <c r="GUO1195" s="7"/>
      <c r="GUP1195" s="7"/>
      <c r="GUQ1195" s="7"/>
      <c r="GUR1195" s="7"/>
      <c r="GUS1195" s="7"/>
      <c r="GUT1195" s="7"/>
      <c r="GUU1195" s="7"/>
      <c r="GUV1195" s="7"/>
      <c r="GUW1195" s="7"/>
      <c r="GUX1195" s="7"/>
      <c r="GUY1195" s="7"/>
      <c r="GUZ1195" s="7"/>
      <c r="GVA1195" s="7"/>
      <c r="GVB1195" s="7"/>
      <c r="GVC1195" s="7"/>
      <c r="GVD1195" s="7"/>
      <c r="GVE1195" s="7"/>
      <c r="GVF1195" s="7"/>
      <c r="GVG1195" s="7"/>
      <c r="GVH1195" s="7"/>
      <c r="GVI1195" s="7"/>
      <c r="GVJ1195" s="7"/>
      <c r="GVK1195" s="7"/>
      <c r="GVL1195" s="7"/>
      <c r="GVM1195" s="7"/>
      <c r="GVN1195" s="7"/>
      <c r="GVO1195" s="7"/>
      <c r="GVP1195" s="7"/>
      <c r="GVQ1195" s="7"/>
      <c r="GVR1195" s="7"/>
      <c r="GVS1195" s="7"/>
      <c r="GVT1195" s="7"/>
      <c r="GVU1195" s="7"/>
      <c r="GVV1195" s="7"/>
      <c r="GVW1195" s="7"/>
      <c r="GVX1195" s="7"/>
      <c r="GVY1195" s="7"/>
      <c r="GVZ1195" s="7"/>
      <c r="GWA1195" s="7"/>
      <c r="GWB1195" s="7"/>
      <c r="GWC1195" s="7"/>
      <c r="GWD1195" s="7"/>
      <c r="GWE1195" s="7"/>
      <c r="GWF1195" s="7"/>
      <c r="GWG1195" s="7"/>
      <c r="GWH1195" s="7"/>
      <c r="GWI1195" s="7"/>
      <c r="GWJ1195" s="7"/>
      <c r="GWK1195" s="7"/>
      <c r="GWL1195" s="7"/>
      <c r="GWM1195" s="7"/>
      <c r="GWN1195" s="7"/>
      <c r="GWO1195" s="7"/>
      <c r="GWP1195" s="7"/>
      <c r="GWQ1195" s="7"/>
      <c r="GWR1195" s="7"/>
      <c r="GWS1195" s="7"/>
      <c r="GWT1195" s="7"/>
      <c r="GWU1195" s="7"/>
      <c r="GWV1195" s="7"/>
      <c r="GWW1195" s="7"/>
      <c r="GWX1195" s="7"/>
      <c r="GWY1195" s="7"/>
      <c r="GWZ1195" s="7"/>
      <c r="GXA1195" s="7"/>
      <c r="GXB1195" s="7"/>
      <c r="GXC1195" s="7"/>
      <c r="GXD1195" s="7"/>
      <c r="GXE1195" s="7"/>
      <c r="GXF1195" s="7"/>
      <c r="GXG1195" s="7"/>
      <c r="GXH1195" s="7"/>
      <c r="GXI1195" s="7"/>
      <c r="GXJ1195" s="7"/>
      <c r="GXK1195" s="7"/>
      <c r="GXL1195" s="7"/>
      <c r="GXM1195" s="7"/>
      <c r="GXN1195" s="7"/>
      <c r="GXO1195" s="7"/>
      <c r="GXP1195" s="7"/>
      <c r="GXQ1195" s="7"/>
      <c r="GXR1195" s="7"/>
      <c r="GXS1195" s="7"/>
      <c r="GXT1195" s="7"/>
      <c r="GXU1195" s="7"/>
      <c r="GXV1195" s="7"/>
      <c r="GXW1195" s="7"/>
      <c r="GXX1195" s="7"/>
      <c r="GXY1195" s="7"/>
      <c r="GXZ1195" s="7"/>
      <c r="GYA1195" s="7"/>
      <c r="GYB1195" s="7"/>
      <c r="GYC1195" s="7"/>
      <c r="GYD1195" s="7"/>
      <c r="GYE1195" s="7"/>
      <c r="GYF1195" s="7"/>
      <c r="GYG1195" s="7"/>
      <c r="GYH1195" s="7"/>
      <c r="GYI1195" s="7"/>
      <c r="GYJ1195" s="7"/>
      <c r="GYK1195" s="7"/>
      <c r="GYL1195" s="7"/>
      <c r="GYM1195" s="7"/>
      <c r="GYN1195" s="7"/>
      <c r="GYO1195" s="7"/>
      <c r="GYP1195" s="7"/>
      <c r="GYQ1195" s="7"/>
      <c r="GYR1195" s="7"/>
      <c r="GYS1195" s="7"/>
      <c r="GYT1195" s="7"/>
      <c r="GYU1195" s="7"/>
      <c r="GYV1195" s="7"/>
      <c r="GYW1195" s="7"/>
      <c r="GYX1195" s="7"/>
      <c r="GYY1195" s="7"/>
      <c r="GYZ1195" s="7"/>
      <c r="GZA1195" s="7"/>
      <c r="GZB1195" s="7"/>
      <c r="GZC1195" s="7"/>
      <c r="GZD1195" s="7"/>
      <c r="GZE1195" s="7"/>
      <c r="GZF1195" s="7"/>
      <c r="GZG1195" s="7"/>
      <c r="GZH1195" s="7"/>
      <c r="GZI1195" s="7"/>
      <c r="GZJ1195" s="7"/>
      <c r="GZK1195" s="7"/>
      <c r="GZL1195" s="7"/>
      <c r="GZM1195" s="7"/>
      <c r="GZN1195" s="7"/>
      <c r="GZO1195" s="7"/>
      <c r="GZP1195" s="7"/>
      <c r="GZQ1195" s="7"/>
      <c r="GZR1195" s="7"/>
      <c r="GZS1195" s="7"/>
      <c r="GZT1195" s="7"/>
      <c r="GZU1195" s="7"/>
      <c r="GZV1195" s="7"/>
      <c r="GZW1195" s="7"/>
      <c r="GZX1195" s="7"/>
      <c r="GZY1195" s="7"/>
      <c r="GZZ1195" s="7"/>
      <c r="HAA1195" s="7"/>
      <c r="HAB1195" s="7"/>
      <c r="HAC1195" s="7"/>
      <c r="HAD1195" s="7"/>
      <c r="HAE1195" s="7"/>
      <c r="HAF1195" s="7"/>
      <c r="HAG1195" s="7"/>
      <c r="HAH1195" s="7"/>
      <c r="HAI1195" s="7"/>
      <c r="HAJ1195" s="7"/>
      <c r="HAK1195" s="7"/>
      <c r="HAL1195" s="7"/>
      <c r="HAM1195" s="7"/>
      <c r="HAN1195" s="7"/>
      <c r="HAO1195" s="7"/>
      <c r="HAP1195" s="7"/>
      <c r="HAQ1195" s="7"/>
      <c r="HAR1195" s="7"/>
      <c r="HAS1195" s="7"/>
      <c r="HAT1195" s="7"/>
      <c r="HAU1195" s="7"/>
      <c r="HAV1195" s="7"/>
      <c r="HAW1195" s="7"/>
      <c r="HAX1195" s="7"/>
      <c r="HAY1195" s="7"/>
      <c r="HAZ1195" s="7"/>
      <c r="HBA1195" s="7"/>
      <c r="HBB1195" s="7"/>
      <c r="HBC1195" s="7"/>
      <c r="HBD1195" s="7"/>
      <c r="HBE1195" s="7"/>
      <c r="HBF1195" s="7"/>
      <c r="HBG1195" s="7"/>
      <c r="HBH1195" s="7"/>
      <c r="HBI1195" s="7"/>
      <c r="HBJ1195" s="7"/>
      <c r="HBK1195" s="7"/>
      <c r="HBL1195" s="7"/>
      <c r="HBM1195" s="7"/>
      <c r="HBN1195" s="7"/>
      <c r="HBO1195" s="7"/>
      <c r="HBP1195" s="7"/>
      <c r="HBQ1195" s="7"/>
      <c r="HBR1195" s="7"/>
      <c r="HBS1195" s="7"/>
      <c r="HBT1195" s="7"/>
      <c r="HBU1195" s="7"/>
      <c r="HBV1195" s="7"/>
      <c r="HBW1195" s="7"/>
      <c r="HBX1195" s="7"/>
      <c r="HBY1195" s="7"/>
      <c r="HBZ1195" s="7"/>
      <c r="HCA1195" s="7"/>
      <c r="HCB1195" s="7"/>
      <c r="HCC1195" s="7"/>
      <c r="HCD1195" s="7"/>
      <c r="HCE1195" s="7"/>
      <c r="HCF1195" s="7"/>
      <c r="HCG1195" s="7"/>
      <c r="HCH1195" s="7"/>
      <c r="HCI1195" s="7"/>
      <c r="HCJ1195" s="7"/>
      <c r="HCK1195" s="7"/>
      <c r="HCL1195" s="7"/>
      <c r="HCM1195" s="7"/>
      <c r="HCN1195" s="7"/>
      <c r="HCO1195" s="7"/>
      <c r="HCP1195" s="7"/>
      <c r="HCQ1195" s="7"/>
      <c r="HCR1195" s="7"/>
      <c r="HCS1195" s="7"/>
      <c r="HCT1195" s="7"/>
      <c r="HCU1195" s="7"/>
      <c r="HCV1195" s="7"/>
      <c r="HCW1195" s="7"/>
      <c r="HCX1195" s="7"/>
      <c r="HCY1195" s="7"/>
      <c r="HCZ1195" s="7"/>
      <c r="HDA1195" s="7"/>
      <c r="HDB1195" s="7"/>
      <c r="HDC1195" s="7"/>
      <c r="HDD1195" s="7"/>
      <c r="HDE1195" s="7"/>
      <c r="HDF1195" s="7"/>
      <c r="HDG1195" s="7"/>
      <c r="HDH1195" s="7"/>
      <c r="HDI1195" s="7"/>
      <c r="HDJ1195" s="7"/>
      <c r="HDK1195" s="7"/>
      <c r="HDL1195" s="7"/>
      <c r="HDM1195" s="7"/>
      <c r="HDN1195" s="7"/>
      <c r="HDO1195" s="7"/>
      <c r="HDP1195" s="7"/>
      <c r="HDQ1195" s="7"/>
      <c r="HDR1195" s="7"/>
      <c r="HDS1195" s="7"/>
      <c r="HDT1195" s="7"/>
      <c r="HDU1195" s="7"/>
      <c r="HDV1195" s="7"/>
      <c r="HDW1195" s="7"/>
      <c r="HDX1195" s="7"/>
      <c r="HDY1195" s="7"/>
      <c r="HDZ1195" s="7"/>
      <c r="HEA1195" s="7"/>
      <c r="HEB1195" s="7"/>
      <c r="HEC1195" s="7"/>
      <c r="HED1195" s="7"/>
      <c r="HEE1195" s="7"/>
      <c r="HEF1195" s="7"/>
      <c r="HEG1195" s="7"/>
      <c r="HEH1195" s="7"/>
      <c r="HEI1195" s="7"/>
      <c r="HEJ1195" s="7"/>
      <c r="HEK1195" s="7"/>
      <c r="HEL1195" s="7"/>
      <c r="HEM1195" s="7"/>
      <c r="HEN1195" s="7"/>
      <c r="HEO1195" s="7"/>
      <c r="HEP1195" s="7"/>
      <c r="HEQ1195" s="7"/>
      <c r="HER1195" s="7"/>
      <c r="HES1195" s="7"/>
      <c r="HET1195" s="7"/>
      <c r="HEU1195" s="7"/>
      <c r="HEV1195" s="7"/>
      <c r="HEW1195" s="7"/>
      <c r="HEX1195" s="7"/>
      <c r="HEY1195" s="7"/>
      <c r="HEZ1195" s="7"/>
      <c r="HFA1195" s="7"/>
      <c r="HFB1195" s="7"/>
      <c r="HFC1195" s="7"/>
      <c r="HFD1195" s="7"/>
      <c r="HFE1195" s="7"/>
      <c r="HFF1195" s="7"/>
      <c r="HFG1195" s="7"/>
      <c r="HFH1195" s="7"/>
      <c r="HFI1195" s="7"/>
      <c r="HFJ1195" s="7"/>
      <c r="HFK1195" s="7"/>
      <c r="HFL1195" s="7"/>
      <c r="HFM1195" s="7"/>
      <c r="HFN1195" s="7"/>
      <c r="HFO1195" s="7"/>
      <c r="HFP1195" s="7"/>
      <c r="HFQ1195" s="7"/>
      <c r="HFR1195" s="7"/>
      <c r="HFS1195" s="7"/>
      <c r="HFT1195" s="7"/>
      <c r="HFU1195" s="7"/>
      <c r="HFV1195" s="7"/>
      <c r="HFW1195" s="7"/>
      <c r="HFX1195" s="7"/>
      <c r="HFY1195" s="7"/>
      <c r="HFZ1195" s="7"/>
      <c r="HGA1195" s="7"/>
      <c r="HGB1195" s="7"/>
      <c r="HGC1195" s="7"/>
      <c r="HGD1195" s="7"/>
      <c r="HGE1195" s="7"/>
      <c r="HGF1195" s="7"/>
      <c r="HGG1195" s="7"/>
      <c r="HGH1195" s="7"/>
      <c r="HGI1195" s="7"/>
      <c r="HGJ1195" s="7"/>
      <c r="HGK1195" s="7"/>
      <c r="HGL1195" s="7"/>
      <c r="HGM1195" s="7"/>
      <c r="HGN1195" s="7"/>
      <c r="HGO1195" s="7"/>
      <c r="HGP1195" s="7"/>
      <c r="HGQ1195" s="7"/>
      <c r="HGR1195" s="7"/>
      <c r="HGS1195" s="7"/>
      <c r="HGT1195" s="7"/>
      <c r="HGU1195" s="7"/>
      <c r="HGV1195" s="7"/>
      <c r="HGW1195" s="7"/>
      <c r="HGX1195" s="7"/>
      <c r="HGY1195" s="7"/>
      <c r="HGZ1195" s="7"/>
      <c r="HHA1195" s="7"/>
      <c r="HHB1195" s="7"/>
      <c r="HHC1195" s="7"/>
      <c r="HHD1195" s="7"/>
      <c r="HHE1195" s="7"/>
      <c r="HHF1195" s="7"/>
      <c r="HHG1195" s="7"/>
      <c r="HHH1195" s="7"/>
      <c r="HHI1195" s="7"/>
      <c r="HHJ1195" s="7"/>
      <c r="HHK1195" s="7"/>
      <c r="HHL1195" s="7"/>
      <c r="HHM1195" s="7"/>
      <c r="HHN1195" s="7"/>
      <c r="HHO1195" s="7"/>
      <c r="HHP1195" s="7"/>
      <c r="HHQ1195" s="7"/>
      <c r="HHR1195" s="7"/>
      <c r="HHS1195" s="7"/>
      <c r="HHT1195" s="7"/>
      <c r="HHU1195" s="7"/>
      <c r="HHV1195" s="7"/>
      <c r="HHW1195" s="7"/>
      <c r="HHX1195" s="7"/>
      <c r="HHY1195" s="7"/>
      <c r="HHZ1195" s="7"/>
      <c r="HIA1195" s="7"/>
      <c r="HIB1195" s="7"/>
      <c r="HIC1195" s="7"/>
      <c r="HID1195" s="7"/>
      <c r="HIE1195" s="7"/>
      <c r="HIF1195" s="7"/>
      <c r="HIG1195" s="7"/>
      <c r="HIH1195" s="7"/>
      <c r="HII1195" s="7"/>
      <c r="HIJ1195" s="7"/>
      <c r="HIK1195" s="7"/>
      <c r="HIL1195" s="7"/>
      <c r="HIM1195" s="7"/>
      <c r="HIN1195" s="7"/>
      <c r="HIO1195" s="7"/>
      <c r="HIP1195" s="7"/>
      <c r="HIQ1195" s="7"/>
      <c r="HIR1195" s="7"/>
      <c r="HIS1195" s="7"/>
      <c r="HIT1195" s="7"/>
      <c r="HIU1195" s="7"/>
      <c r="HIV1195" s="7"/>
      <c r="HIW1195" s="7"/>
      <c r="HIX1195" s="7"/>
      <c r="HIY1195" s="7"/>
      <c r="HIZ1195" s="7"/>
      <c r="HJA1195" s="7"/>
      <c r="HJB1195" s="7"/>
      <c r="HJC1195" s="7"/>
      <c r="HJD1195" s="7"/>
      <c r="HJE1195" s="7"/>
      <c r="HJF1195" s="7"/>
      <c r="HJG1195" s="7"/>
      <c r="HJH1195" s="7"/>
      <c r="HJI1195" s="7"/>
      <c r="HJJ1195" s="7"/>
      <c r="HJK1195" s="7"/>
      <c r="HJL1195" s="7"/>
      <c r="HJM1195" s="7"/>
      <c r="HJN1195" s="7"/>
      <c r="HJO1195" s="7"/>
      <c r="HJP1195" s="7"/>
      <c r="HJQ1195" s="7"/>
      <c r="HJR1195" s="7"/>
      <c r="HJS1195" s="7"/>
      <c r="HJT1195" s="7"/>
      <c r="HJU1195" s="7"/>
      <c r="HJV1195" s="7"/>
      <c r="HJW1195" s="7"/>
      <c r="HJX1195" s="7"/>
      <c r="HJY1195" s="7"/>
      <c r="HJZ1195" s="7"/>
      <c r="HKA1195" s="7"/>
      <c r="HKB1195" s="7"/>
      <c r="HKC1195" s="7"/>
      <c r="HKD1195" s="7"/>
      <c r="HKE1195" s="7"/>
      <c r="HKF1195" s="7"/>
      <c r="HKG1195" s="7"/>
      <c r="HKH1195" s="7"/>
      <c r="HKI1195" s="7"/>
      <c r="HKJ1195" s="7"/>
      <c r="HKK1195" s="7"/>
      <c r="HKL1195" s="7"/>
      <c r="HKM1195" s="7"/>
      <c r="HKN1195" s="7"/>
      <c r="HKO1195" s="7"/>
      <c r="HKP1195" s="7"/>
      <c r="HKQ1195" s="7"/>
      <c r="HKR1195" s="7"/>
      <c r="HKS1195" s="7"/>
      <c r="HKT1195" s="7"/>
      <c r="HKU1195" s="7"/>
      <c r="HKV1195" s="7"/>
      <c r="HKW1195" s="7"/>
      <c r="HKX1195" s="7"/>
      <c r="HKY1195" s="7"/>
      <c r="HKZ1195" s="7"/>
      <c r="HLA1195" s="7"/>
      <c r="HLB1195" s="7"/>
      <c r="HLC1195" s="7"/>
      <c r="HLD1195" s="7"/>
      <c r="HLE1195" s="7"/>
      <c r="HLF1195" s="7"/>
      <c r="HLG1195" s="7"/>
      <c r="HLH1195" s="7"/>
      <c r="HLI1195" s="7"/>
      <c r="HLJ1195" s="7"/>
      <c r="HLK1195" s="7"/>
      <c r="HLL1195" s="7"/>
      <c r="HLM1195" s="7"/>
      <c r="HLN1195" s="7"/>
      <c r="HLO1195" s="7"/>
      <c r="HLP1195" s="7"/>
      <c r="HLQ1195" s="7"/>
      <c r="HLR1195" s="7"/>
      <c r="HLS1195" s="7"/>
      <c r="HLT1195" s="7"/>
      <c r="HLU1195" s="7"/>
      <c r="HLV1195" s="7"/>
      <c r="HLW1195" s="7"/>
      <c r="HLX1195" s="7"/>
      <c r="HLY1195" s="7"/>
      <c r="HLZ1195" s="7"/>
      <c r="HMA1195" s="7"/>
      <c r="HMB1195" s="7"/>
      <c r="HMC1195" s="7"/>
      <c r="HMD1195" s="7"/>
      <c r="HME1195" s="7"/>
      <c r="HMF1195" s="7"/>
      <c r="HMG1195" s="7"/>
      <c r="HMH1195" s="7"/>
      <c r="HMI1195" s="7"/>
      <c r="HMJ1195" s="7"/>
      <c r="HMK1195" s="7"/>
      <c r="HML1195" s="7"/>
      <c r="HMM1195" s="7"/>
      <c r="HMN1195" s="7"/>
      <c r="HMO1195" s="7"/>
      <c r="HMP1195" s="7"/>
      <c r="HMQ1195" s="7"/>
      <c r="HMR1195" s="7"/>
      <c r="HMS1195" s="7"/>
      <c r="HMT1195" s="7"/>
      <c r="HMU1195" s="7"/>
      <c r="HMV1195" s="7"/>
      <c r="HMW1195" s="7"/>
      <c r="HMX1195" s="7"/>
      <c r="HMY1195" s="7"/>
      <c r="HMZ1195" s="7"/>
      <c r="HNA1195" s="7"/>
      <c r="HNB1195" s="7"/>
      <c r="HNC1195" s="7"/>
      <c r="HND1195" s="7"/>
      <c r="HNE1195" s="7"/>
      <c r="HNF1195" s="7"/>
      <c r="HNG1195" s="7"/>
      <c r="HNH1195" s="7"/>
      <c r="HNI1195" s="7"/>
      <c r="HNJ1195" s="7"/>
      <c r="HNK1195" s="7"/>
      <c r="HNL1195" s="7"/>
      <c r="HNM1195" s="7"/>
      <c r="HNN1195" s="7"/>
      <c r="HNO1195" s="7"/>
      <c r="HNP1195" s="7"/>
      <c r="HNQ1195" s="7"/>
      <c r="HNR1195" s="7"/>
      <c r="HNS1195" s="7"/>
      <c r="HNT1195" s="7"/>
      <c r="HNU1195" s="7"/>
      <c r="HNV1195" s="7"/>
      <c r="HNW1195" s="7"/>
      <c r="HNX1195" s="7"/>
      <c r="HNY1195" s="7"/>
      <c r="HNZ1195" s="7"/>
      <c r="HOA1195" s="7"/>
      <c r="HOB1195" s="7"/>
      <c r="HOC1195" s="7"/>
      <c r="HOD1195" s="7"/>
      <c r="HOE1195" s="7"/>
      <c r="HOF1195" s="7"/>
      <c r="HOG1195" s="7"/>
      <c r="HOH1195" s="7"/>
      <c r="HOI1195" s="7"/>
      <c r="HOJ1195" s="7"/>
      <c r="HOK1195" s="7"/>
      <c r="HOL1195" s="7"/>
      <c r="HOM1195" s="7"/>
      <c r="HON1195" s="7"/>
      <c r="HOO1195" s="7"/>
      <c r="HOP1195" s="7"/>
      <c r="HOQ1195" s="7"/>
      <c r="HOR1195" s="7"/>
      <c r="HOS1195" s="7"/>
      <c r="HOT1195" s="7"/>
      <c r="HOU1195" s="7"/>
      <c r="HOV1195" s="7"/>
      <c r="HOW1195" s="7"/>
      <c r="HOX1195" s="7"/>
      <c r="HOY1195" s="7"/>
      <c r="HOZ1195" s="7"/>
      <c r="HPA1195" s="7"/>
      <c r="HPB1195" s="7"/>
      <c r="HPC1195" s="7"/>
      <c r="HPD1195" s="7"/>
      <c r="HPE1195" s="7"/>
      <c r="HPF1195" s="7"/>
      <c r="HPG1195" s="7"/>
      <c r="HPH1195" s="7"/>
      <c r="HPI1195" s="7"/>
      <c r="HPJ1195" s="7"/>
      <c r="HPK1195" s="7"/>
      <c r="HPL1195" s="7"/>
      <c r="HPM1195" s="7"/>
      <c r="HPN1195" s="7"/>
      <c r="HPO1195" s="7"/>
      <c r="HPP1195" s="7"/>
      <c r="HPQ1195" s="7"/>
      <c r="HPR1195" s="7"/>
      <c r="HPS1195" s="7"/>
      <c r="HPT1195" s="7"/>
      <c r="HPU1195" s="7"/>
      <c r="HPV1195" s="7"/>
      <c r="HPW1195" s="7"/>
      <c r="HPX1195" s="7"/>
      <c r="HPY1195" s="7"/>
      <c r="HPZ1195" s="7"/>
      <c r="HQA1195" s="7"/>
      <c r="HQB1195" s="7"/>
      <c r="HQC1195" s="7"/>
      <c r="HQD1195" s="7"/>
      <c r="HQE1195" s="7"/>
      <c r="HQF1195" s="7"/>
      <c r="HQG1195" s="7"/>
      <c r="HQH1195" s="7"/>
      <c r="HQI1195" s="7"/>
      <c r="HQJ1195" s="7"/>
      <c r="HQK1195" s="7"/>
      <c r="HQL1195" s="7"/>
      <c r="HQM1195" s="7"/>
      <c r="HQN1195" s="7"/>
      <c r="HQO1195" s="7"/>
      <c r="HQP1195" s="7"/>
      <c r="HQQ1195" s="7"/>
      <c r="HQR1195" s="7"/>
      <c r="HQS1195" s="7"/>
      <c r="HQT1195" s="7"/>
      <c r="HQU1195" s="7"/>
      <c r="HQV1195" s="7"/>
      <c r="HQW1195" s="7"/>
      <c r="HQX1195" s="7"/>
      <c r="HQY1195" s="7"/>
      <c r="HQZ1195" s="7"/>
      <c r="HRA1195" s="7"/>
      <c r="HRB1195" s="7"/>
      <c r="HRC1195" s="7"/>
      <c r="HRD1195" s="7"/>
      <c r="HRE1195" s="7"/>
      <c r="HRF1195" s="7"/>
      <c r="HRG1195" s="7"/>
      <c r="HRH1195" s="7"/>
      <c r="HRI1195" s="7"/>
      <c r="HRJ1195" s="7"/>
      <c r="HRK1195" s="7"/>
      <c r="HRL1195" s="7"/>
      <c r="HRM1195" s="7"/>
      <c r="HRN1195" s="7"/>
      <c r="HRO1195" s="7"/>
      <c r="HRP1195" s="7"/>
      <c r="HRQ1195" s="7"/>
      <c r="HRR1195" s="7"/>
      <c r="HRS1195" s="7"/>
      <c r="HRT1195" s="7"/>
      <c r="HRU1195" s="7"/>
      <c r="HRV1195" s="7"/>
      <c r="HRW1195" s="7"/>
      <c r="HRX1195" s="7"/>
      <c r="HRY1195" s="7"/>
      <c r="HRZ1195" s="7"/>
      <c r="HSA1195" s="7"/>
      <c r="HSB1195" s="7"/>
      <c r="HSC1195" s="7"/>
      <c r="HSD1195" s="7"/>
      <c r="HSE1195" s="7"/>
      <c r="HSF1195" s="7"/>
      <c r="HSG1195" s="7"/>
      <c r="HSH1195" s="7"/>
      <c r="HSI1195" s="7"/>
      <c r="HSJ1195" s="7"/>
      <c r="HSK1195" s="7"/>
      <c r="HSL1195" s="7"/>
      <c r="HSM1195" s="7"/>
      <c r="HSN1195" s="7"/>
      <c r="HSO1195" s="7"/>
      <c r="HSP1195" s="7"/>
      <c r="HSQ1195" s="7"/>
      <c r="HSR1195" s="7"/>
      <c r="HSS1195" s="7"/>
      <c r="HST1195" s="7"/>
      <c r="HSU1195" s="7"/>
      <c r="HSV1195" s="7"/>
      <c r="HSW1195" s="7"/>
      <c r="HSX1195" s="7"/>
      <c r="HSY1195" s="7"/>
      <c r="HSZ1195" s="7"/>
      <c r="HTA1195" s="7"/>
      <c r="HTB1195" s="7"/>
      <c r="HTC1195" s="7"/>
      <c r="HTD1195" s="7"/>
      <c r="HTE1195" s="7"/>
      <c r="HTF1195" s="7"/>
      <c r="HTG1195" s="7"/>
      <c r="HTH1195" s="7"/>
      <c r="HTI1195" s="7"/>
      <c r="HTJ1195" s="7"/>
      <c r="HTK1195" s="7"/>
      <c r="HTL1195" s="7"/>
      <c r="HTM1195" s="7"/>
      <c r="HTN1195" s="7"/>
      <c r="HTO1195" s="7"/>
      <c r="HTP1195" s="7"/>
      <c r="HTQ1195" s="7"/>
      <c r="HTR1195" s="7"/>
      <c r="HTS1195" s="7"/>
      <c r="HTT1195" s="7"/>
      <c r="HTU1195" s="7"/>
      <c r="HTV1195" s="7"/>
      <c r="HTW1195" s="7"/>
      <c r="HTX1195" s="7"/>
      <c r="HTY1195" s="7"/>
      <c r="HTZ1195" s="7"/>
      <c r="HUA1195" s="7"/>
      <c r="HUB1195" s="7"/>
      <c r="HUC1195" s="7"/>
      <c r="HUD1195" s="7"/>
      <c r="HUE1195" s="7"/>
      <c r="HUF1195" s="7"/>
      <c r="HUG1195" s="7"/>
      <c r="HUH1195" s="7"/>
      <c r="HUI1195" s="7"/>
      <c r="HUJ1195" s="7"/>
      <c r="HUK1195" s="7"/>
      <c r="HUL1195" s="7"/>
      <c r="HUM1195" s="7"/>
      <c r="HUN1195" s="7"/>
      <c r="HUO1195" s="7"/>
      <c r="HUP1195" s="7"/>
      <c r="HUQ1195" s="7"/>
      <c r="HUR1195" s="7"/>
      <c r="HUS1195" s="7"/>
      <c r="HUT1195" s="7"/>
      <c r="HUU1195" s="7"/>
      <c r="HUV1195" s="7"/>
      <c r="HUW1195" s="7"/>
      <c r="HUX1195" s="7"/>
      <c r="HUY1195" s="7"/>
      <c r="HUZ1195" s="7"/>
      <c r="HVA1195" s="7"/>
      <c r="HVB1195" s="7"/>
      <c r="HVC1195" s="7"/>
      <c r="HVD1195" s="7"/>
      <c r="HVE1195" s="7"/>
      <c r="HVF1195" s="7"/>
      <c r="HVG1195" s="7"/>
      <c r="HVH1195" s="7"/>
      <c r="HVI1195" s="7"/>
      <c r="HVJ1195" s="7"/>
      <c r="HVK1195" s="7"/>
      <c r="HVL1195" s="7"/>
      <c r="HVM1195" s="7"/>
      <c r="HVN1195" s="7"/>
      <c r="HVO1195" s="7"/>
      <c r="HVP1195" s="7"/>
      <c r="HVQ1195" s="7"/>
      <c r="HVR1195" s="7"/>
      <c r="HVS1195" s="7"/>
      <c r="HVT1195" s="7"/>
      <c r="HVU1195" s="7"/>
      <c r="HVV1195" s="7"/>
      <c r="HVW1195" s="7"/>
      <c r="HVX1195" s="7"/>
      <c r="HVY1195" s="7"/>
      <c r="HVZ1195" s="7"/>
      <c r="HWA1195" s="7"/>
      <c r="HWB1195" s="7"/>
      <c r="HWC1195" s="7"/>
      <c r="HWD1195" s="7"/>
      <c r="HWE1195" s="7"/>
      <c r="HWF1195" s="7"/>
      <c r="HWG1195" s="7"/>
      <c r="HWH1195" s="7"/>
      <c r="HWI1195" s="7"/>
      <c r="HWJ1195" s="7"/>
      <c r="HWK1195" s="7"/>
      <c r="HWL1195" s="7"/>
      <c r="HWM1195" s="7"/>
      <c r="HWN1195" s="7"/>
      <c r="HWO1195" s="7"/>
      <c r="HWP1195" s="7"/>
      <c r="HWQ1195" s="7"/>
      <c r="HWR1195" s="7"/>
      <c r="HWS1195" s="7"/>
      <c r="HWT1195" s="7"/>
      <c r="HWU1195" s="7"/>
      <c r="HWV1195" s="7"/>
      <c r="HWW1195" s="7"/>
      <c r="HWX1195" s="7"/>
      <c r="HWY1195" s="7"/>
      <c r="HWZ1195" s="7"/>
      <c r="HXA1195" s="7"/>
      <c r="HXB1195" s="7"/>
      <c r="HXC1195" s="7"/>
      <c r="HXD1195" s="7"/>
      <c r="HXE1195" s="7"/>
      <c r="HXF1195" s="7"/>
      <c r="HXG1195" s="7"/>
      <c r="HXH1195" s="7"/>
      <c r="HXI1195" s="7"/>
      <c r="HXJ1195" s="7"/>
      <c r="HXK1195" s="7"/>
      <c r="HXL1195" s="7"/>
      <c r="HXM1195" s="7"/>
      <c r="HXN1195" s="7"/>
      <c r="HXO1195" s="7"/>
      <c r="HXP1195" s="7"/>
      <c r="HXQ1195" s="7"/>
      <c r="HXR1195" s="7"/>
      <c r="HXS1195" s="7"/>
      <c r="HXT1195" s="7"/>
      <c r="HXU1195" s="7"/>
      <c r="HXV1195" s="7"/>
      <c r="HXW1195" s="7"/>
      <c r="HXX1195" s="7"/>
      <c r="HXY1195" s="7"/>
      <c r="HXZ1195" s="7"/>
      <c r="HYA1195" s="7"/>
      <c r="HYB1195" s="7"/>
      <c r="HYC1195" s="7"/>
      <c r="HYD1195" s="7"/>
      <c r="HYE1195" s="7"/>
      <c r="HYF1195" s="7"/>
      <c r="HYG1195" s="7"/>
      <c r="HYH1195" s="7"/>
      <c r="HYI1195" s="7"/>
      <c r="HYJ1195" s="7"/>
      <c r="HYK1195" s="7"/>
      <c r="HYL1195" s="7"/>
      <c r="HYM1195" s="7"/>
      <c r="HYN1195" s="7"/>
      <c r="HYO1195" s="7"/>
      <c r="HYP1195" s="7"/>
      <c r="HYQ1195" s="7"/>
      <c r="HYR1195" s="7"/>
      <c r="HYS1195" s="7"/>
      <c r="HYT1195" s="7"/>
      <c r="HYU1195" s="7"/>
      <c r="HYV1195" s="7"/>
      <c r="HYW1195" s="7"/>
      <c r="HYX1195" s="7"/>
      <c r="HYY1195" s="7"/>
      <c r="HYZ1195" s="7"/>
      <c r="HZA1195" s="7"/>
      <c r="HZB1195" s="7"/>
      <c r="HZC1195" s="7"/>
      <c r="HZD1195" s="7"/>
      <c r="HZE1195" s="7"/>
      <c r="HZF1195" s="7"/>
      <c r="HZG1195" s="7"/>
      <c r="HZH1195" s="7"/>
      <c r="HZI1195" s="7"/>
      <c r="HZJ1195" s="7"/>
      <c r="HZK1195" s="7"/>
      <c r="HZL1195" s="7"/>
      <c r="HZM1195" s="7"/>
      <c r="HZN1195" s="7"/>
      <c r="HZO1195" s="7"/>
      <c r="HZP1195" s="7"/>
      <c r="HZQ1195" s="7"/>
      <c r="HZR1195" s="7"/>
      <c r="HZS1195" s="7"/>
      <c r="HZT1195" s="7"/>
      <c r="HZU1195" s="7"/>
      <c r="HZV1195" s="7"/>
      <c r="HZW1195" s="7"/>
      <c r="HZX1195" s="7"/>
      <c r="HZY1195" s="7"/>
      <c r="HZZ1195" s="7"/>
      <c r="IAA1195" s="7"/>
      <c r="IAB1195" s="7"/>
      <c r="IAC1195" s="7"/>
      <c r="IAD1195" s="7"/>
      <c r="IAE1195" s="7"/>
      <c r="IAF1195" s="7"/>
      <c r="IAG1195" s="7"/>
      <c r="IAH1195" s="7"/>
      <c r="IAI1195" s="7"/>
      <c r="IAJ1195" s="7"/>
      <c r="IAK1195" s="7"/>
      <c r="IAL1195" s="7"/>
      <c r="IAM1195" s="7"/>
      <c r="IAN1195" s="7"/>
      <c r="IAO1195" s="7"/>
      <c r="IAP1195" s="7"/>
      <c r="IAQ1195" s="7"/>
      <c r="IAR1195" s="7"/>
      <c r="IAS1195" s="7"/>
      <c r="IAT1195" s="7"/>
      <c r="IAU1195" s="7"/>
      <c r="IAV1195" s="7"/>
      <c r="IAW1195" s="7"/>
      <c r="IAX1195" s="7"/>
      <c r="IAY1195" s="7"/>
      <c r="IAZ1195" s="7"/>
      <c r="IBA1195" s="7"/>
      <c r="IBB1195" s="7"/>
      <c r="IBC1195" s="7"/>
      <c r="IBD1195" s="7"/>
      <c r="IBE1195" s="7"/>
      <c r="IBF1195" s="7"/>
      <c r="IBG1195" s="7"/>
      <c r="IBH1195" s="7"/>
      <c r="IBI1195" s="7"/>
      <c r="IBJ1195" s="7"/>
      <c r="IBK1195" s="7"/>
      <c r="IBL1195" s="7"/>
      <c r="IBM1195" s="7"/>
      <c r="IBN1195" s="7"/>
      <c r="IBO1195" s="7"/>
      <c r="IBP1195" s="7"/>
      <c r="IBQ1195" s="7"/>
      <c r="IBR1195" s="7"/>
      <c r="IBS1195" s="7"/>
      <c r="IBT1195" s="7"/>
      <c r="IBU1195" s="7"/>
      <c r="IBV1195" s="7"/>
      <c r="IBW1195" s="7"/>
      <c r="IBX1195" s="7"/>
      <c r="IBY1195" s="7"/>
      <c r="IBZ1195" s="7"/>
      <c r="ICA1195" s="7"/>
      <c r="ICB1195" s="7"/>
      <c r="ICC1195" s="7"/>
      <c r="ICD1195" s="7"/>
      <c r="ICE1195" s="7"/>
      <c r="ICF1195" s="7"/>
      <c r="ICG1195" s="7"/>
      <c r="ICH1195" s="7"/>
      <c r="ICI1195" s="7"/>
      <c r="ICJ1195" s="7"/>
      <c r="ICK1195" s="7"/>
      <c r="ICL1195" s="7"/>
      <c r="ICM1195" s="7"/>
      <c r="ICN1195" s="7"/>
      <c r="ICO1195" s="7"/>
      <c r="ICP1195" s="7"/>
      <c r="ICQ1195" s="7"/>
      <c r="ICR1195" s="7"/>
      <c r="ICS1195" s="7"/>
      <c r="ICT1195" s="7"/>
      <c r="ICU1195" s="7"/>
      <c r="ICV1195" s="7"/>
      <c r="ICW1195" s="7"/>
      <c r="ICX1195" s="7"/>
      <c r="ICY1195" s="7"/>
      <c r="ICZ1195" s="7"/>
      <c r="IDA1195" s="7"/>
      <c r="IDB1195" s="7"/>
      <c r="IDC1195" s="7"/>
      <c r="IDD1195" s="7"/>
      <c r="IDE1195" s="7"/>
      <c r="IDF1195" s="7"/>
      <c r="IDG1195" s="7"/>
      <c r="IDH1195" s="7"/>
      <c r="IDI1195" s="7"/>
      <c r="IDJ1195" s="7"/>
      <c r="IDK1195" s="7"/>
      <c r="IDL1195" s="7"/>
      <c r="IDM1195" s="7"/>
      <c r="IDN1195" s="7"/>
      <c r="IDO1195" s="7"/>
      <c r="IDP1195" s="7"/>
      <c r="IDQ1195" s="7"/>
      <c r="IDR1195" s="7"/>
      <c r="IDS1195" s="7"/>
      <c r="IDT1195" s="7"/>
      <c r="IDU1195" s="7"/>
      <c r="IDV1195" s="7"/>
      <c r="IDW1195" s="7"/>
      <c r="IDX1195" s="7"/>
      <c r="IDY1195" s="7"/>
      <c r="IDZ1195" s="7"/>
      <c r="IEA1195" s="7"/>
      <c r="IEB1195" s="7"/>
      <c r="IEC1195" s="7"/>
      <c r="IED1195" s="7"/>
      <c r="IEE1195" s="7"/>
      <c r="IEF1195" s="7"/>
      <c r="IEG1195" s="7"/>
      <c r="IEH1195" s="7"/>
      <c r="IEI1195" s="7"/>
      <c r="IEJ1195" s="7"/>
      <c r="IEK1195" s="7"/>
      <c r="IEL1195" s="7"/>
      <c r="IEM1195" s="7"/>
      <c r="IEN1195" s="7"/>
      <c r="IEO1195" s="7"/>
      <c r="IEP1195" s="7"/>
      <c r="IEQ1195" s="7"/>
      <c r="IER1195" s="7"/>
      <c r="IES1195" s="7"/>
      <c r="IET1195" s="7"/>
      <c r="IEU1195" s="7"/>
      <c r="IEV1195" s="7"/>
      <c r="IEW1195" s="7"/>
      <c r="IEX1195" s="7"/>
      <c r="IEY1195" s="7"/>
      <c r="IEZ1195" s="7"/>
      <c r="IFA1195" s="7"/>
      <c r="IFB1195" s="7"/>
      <c r="IFC1195" s="7"/>
      <c r="IFD1195" s="7"/>
      <c r="IFE1195" s="7"/>
      <c r="IFF1195" s="7"/>
      <c r="IFG1195" s="7"/>
      <c r="IFH1195" s="7"/>
      <c r="IFI1195" s="7"/>
      <c r="IFJ1195" s="7"/>
      <c r="IFK1195" s="7"/>
      <c r="IFL1195" s="7"/>
      <c r="IFM1195" s="7"/>
      <c r="IFN1195" s="7"/>
      <c r="IFO1195" s="7"/>
      <c r="IFP1195" s="7"/>
      <c r="IFQ1195" s="7"/>
      <c r="IFR1195" s="7"/>
      <c r="IFS1195" s="7"/>
      <c r="IFT1195" s="7"/>
      <c r="IFU1195" s="7"/>
      <c r="IFV1195" s="7"/>
      <c r="IFW1195" s="7"/>
      <c r="IFX1195" s="7"/>
      <c r="IFY1195" s="7"/>
      <c r="IFZ1195" s="7"/>
      <c r="IGA1195" s="7"/>
      <c r="IGB1195" s="7"/>
      <c r="IGC1195" s="7"/>
      <c r="IGD1195" s="7"/>
      <c r="IGE1195" s="7"/>
      <c r="IGF1195" s="7"/>
      <c r="IGG1195" s="7"/>
      <c r="IGH1195" s="7"/>
      <c r="IGI1195" s="7"/>
      <c r="IGJ1195" s="7"/>
      <c r="IGK1195" s="7"/>
      <c r="IGL1195" s="7"/>
      <c r="IGM1195" s="7"/>
      <c r="IGN1195" s="7"/>
      <c r="IGO1195" s="7"/>
      <c r="IGP1195" s="7"/>
      <c r="IGQ1195" s="7"/>
      <c r="IGR1195" s="7"/>
      <c r="IGS1195" s="7"/>
      <c r="IGT1195" s="7"/>
      <c r="IGU1195" s="7"/>
      <c r="IGV1195" s="7"/>
      <c r="IGW1195" s="7"/>
      <c r="IGX1195" s="7"/>
      <c r="IGY1195" s="7"/>
      <c r="IGZ1195" s="7"/>
      <c r="IHA1195" s="7"/>
      <c r="IHB1195" s="7"/>
      <c r="IHC1195" s="7"/>
      <c r="IHD1195" s="7"/>
      <c r="IHE1195" s="7"/>
      <c r="IHF1195" s="7"/>
      <c r="IHG1195" s="7"/>
      <c r="IHH1195" s="7"/>
      <c r="IHI1195" s="7"/>
      <c r="IHJ1195" s="7"/>
      <c r="IHK1195" s="7"/>
      <c r="IHL1195" s="7"/>
      <c r="IHM1195" s="7"/>
      <c r="IHN1195" s="7"/>
      <c r="IHO1195" s="7"/>
      <c r="IHP1195" s="7"/>
      <c r="IHQ1195" s="7"/>
      <c r="IHR1195" s="7"/>
      <c r="IHS1195" s="7"/>
      <c r="IHT1195" s="7"/>
      <c r="IHU1195" s="7"/>
      <c r="IHV1195" s="7"/>
      <c r="IHW1195" s="7"/>
      <c r="IHX1195" s="7"/>
      <c r="IHY1195" s="7"/>
      <c r="IHZ1195" s="7"/>
      <c r="IIA1195" s="7"/>
      <c r="IIB1195" s="7"/>
      <c r="IIC1195" s="7"/>
      <c r="IID1195" s="7"/>
      <c r="IIE1195" s="7"/>
      <c r="IIF1195" s="7"/>
      <c r="IIG1195" s="7"/>
      <c r="IIH1195" s="7"/>
      <c r="III1195" s="7"/>
      <c r="IIJ1195" s="7"/>
      <c r="IIK1195" s="7"/>
      <c r="IIL1195" s="7"/>
      <c r="IIM1195" s="7"/>
      <c r="IIN1195" s="7"/>
      <c r="IIO1195" s="7"/>
      <c r="IIP1195" s="7"/>
      <c r="IIQ1195" s="7"/>
      <c r="IIR1195" s="7"/>
      <c r="IIS1195" s="7"/>
      <c r="IIT1195" s="7"/>
      <c r="IIU1195" s="7"/>
      <c r="IIV1195" s="7"/>
      <c r="IIW1195" s="7"/>
      <c r="IIX1195" s="7"/>
      <c r="IIY1195" s="7"/>
      <c r="IIZ1195" s="7"/>
      <c r="IJA1195" s="7"/>
      <c r="IJB1195" s="7"/>
      <c r="IJC1195" s="7"/>
      <c r="IJD1195" s="7"/>
      <c r="IJE1195" s="7"/>
      <c r="IJF1195" s="7"/>
      <c r="IJG1195" s="7"/>
      <c r="IJH1195" s="7"/>
      <c r="IJI1195" s="7"/>
      <c r="IJJ1195" s="7"/>
      <c r="IJK1195" s="7"/>
      <c r="IJL1195" s="7"/>
      <c r="IJM1195" s="7"/>
      <c r="IJN1195" s="7"/>
      <c r="IJO1195" s="7"/>
      <c r="IJP1195" s="7"/>
      <c r="IJQ1195" s="7"/>
      <c r="IJR1195" s="7"/>
      <c r="IJS1195" s="7"/>
      <c r="IJT1195" s="7"/>
      <c r="IJU1195" s="7"/>
      <c r="IJV1195" s="7"/>
      <c r="IJW1195" s="7"/>
      <c r="IJX1195" s="7"/>
      <c r="IJY1195" s="7"/>
      <c r="IJZ1195" s="7"/>
      <c r="IKA1195" s="7"/>
      <c r="IKB1195" s="7"/>
      <c r="IKC1195" s="7"/>
      <c r="IKD1195" s="7"/>
      <c r="IKE1195" s="7"/>
      <c r="IKF1195" s="7"/>
      <c r="IKG1195" s="7"/>
      <c r="IKH1195" s="7"/>
      <c r="IKI1195" s="7"/>
      <c r="IKJ1195" s="7"/>
      <c r="IKK1195" s="7"/>
      <c r="IKL1195" s="7"/>
      <c r="IKM1195" s="7"/>
      <c r="IKN1195" s="7"/>
      <c r="IKO1195" s="7"/>
      <c r="IKP1195" s="7"/>
      <c r="IKQ1195" s="7"/>
      <c r="IKR1195" s="7"/>
      <c r="IKS1195" s="7"/>
      <c r="IKT1195" s="7"/>
      <c r="IKU1195" s="7"/>
      <c r="IKV1195" s="7"/>
      <c r="IKW1195" s="7"/>
      <c r="IKX1195" s="7"/>
      <c r="IKY1195" s="7"/>
      <c r="IKZ1195" s="7"/>
      <c r="ILA1195" s="7"/>
      <c r="ILB1195" s="7"/>
      <c r="ILC1195" s="7"/>
      <c r="ILD1195" s="7"/>
      <c r="ILE1195" s="7"/>
      <c r="ILF1195" s="7"/>
      <c r="ILG1195" s="7"/>
      <c r="ILH1195" s="7"/>
      <c r="ILI1195" s="7"/>
      <c r="ILJ1195" s="7"/>
      <c r="ILK1195" s="7"/>
      <c r="ILL1195" s="7"/>
      <c r="ILM1195" s="7"/>
      <c r="ILN1195" s="7"/>
      <c r="ILO1195" s="7"/>
      <c r="ILP1195" s="7"/>
      <c r="ILQ1195" s="7"/>
      <c r="ILR1195" s="7"/>
      <c r="ILS1195" s="7"/>
      <c r="ILT1195" s="7"/>
      <c r="ILU1195" s="7"/>
      <c r="ILV1195" s="7"/>
      <c r="ILW1195" s="7"/>
      <c r="ILX1195" s="7"/>
      <c r="ILY1195" s="7"/>
      <c r="ILZ1195" s="7"/>
      <c r="IMA1195" s="7"/>
      <c r="IMB1195" s="7"/>
      <c r="IMC1195" s="7"/>
      <c r="IMD1195" s="7"/>
      <c r="IME1195" s="7"/>
      <c r="IMF1195" s="7"/>
      <c r="IMG1195" s="7"/>
      <c r="IMH1195" s="7"/>
      <c r="IMI1195" s="7"/>
      <c r="IMJ1195" s="7"/>
      <c r="IMK1195" s="7"/>
      <c r="IML1195" s="7"/>
      <c r="IMM1195" s="7"/>
      <c r="IMN1195" s="7"/>
      <c r="IMO1195" s="7"/>
      <c r="IMP1195" s="7"/>
      <c r="IMQ1195" s="7"/>
      <c r="IMR1195" s="7"/>
      <c r="IMS1195" s="7"/>
      <c r="IMT1195" s="7"/>
      <c r="IMU1195" s="7"/>
      <c r="IMV1195" s="7"/>
      <c r="IMW1195" s="7"/>
      <c r="IMX1195" s="7"/>
      <c r="IMY1195" s="7"/>
      <c r="IMZ1195" s="7"/>
      <c r="INA1195" s="7"/>
      <c r="INB1195" s="7"/>
      <c r="INC1195" s="7"/>
      <c r="IND1195" s="7"/>
      <c r="INE1195" s="7"/>
      <c r="INF1195" s="7"/>
      <c r="ING1195" s="7"/>
      <c r="INH1195" s="7"/>
      <c r="INI1195" s="7"/>
      <c r="INJ1195" s="7"/>
      <c r="INK1195" s="7"/>
      <c r="INL1195" s="7"/>
      <c r="INM1195" s="7"/>
      <c r="INN1195" s="7"/>
      <c r="INO1195" s="7"/>
      <c r="INP1195" s="7"/>
      <c r="INQ1195" s="7"/>
      <c r="INR1195" s="7"/>
      <c r="INS1195" s="7"/>
      <c r="INT1195" s="7"/>
      <c r="INU1195" s="7"/>
      <c r="INV1195" s="7"/>
      <c r="INW1195" s="7"/>
      <c r="INX1195" s="7"/>
      <c r="INY1195" s="7"/>
      <c r="INZ1195" s="7"/>
      <c r="IOA1195" s="7"/>
      <c r="IOB1195" s="7"/>
      <c r="IOC1195" s="7"/>
      <c r="IOD1195" s="7"/>
      <c r="IOE1195" s="7"/>
      <c r="IOF1195" s="7"/>
      <c r="IOG1195" s="7"/>
      <c r="IOH1195" s="7"/>
      <c r="IOI1195" s="7"/>
      <c r="IOJ1195" s="7"/>
      <c r="IOK1195" s="7"/>
      <c r="IOL1195" s="7"/>
      <c r="IOM1195" s="7"/>
      <c r="ION1195" s="7"/>
      <c r="IOO1195" s="7"/>
      <c r="IOP1195" s="7"/>
      <c r="IOQ1195" s="7"/>
      <c r="IOR1195" s="7"/>
      <c r="IOS1195" s="7"/>
      <c r="IOT1195" s="7"/>
      <c r="IOU1195" s="7"/>
      <c r="IOV1195" s="7"/>
      <c r="IOW1195" s="7"/>
      <c r="IOX1195" s="7"/>
      <c r="IOY1195" s="7"/>
      <c r="IOZ1195" s="7"/>
      <c r="IPA1195" s="7"/>
      <c r="IPB1195" s="7"/>
      <c r="IPC1195" s="7"/>
      <c r="IPD1195" s="7"/>
      <c r="IPE1195" s="7"/>
      <c r="IPF1195" s="7"/>
      <c r="IPG1195" s="7"/>
      <c r="IPH1195" s="7"/>
      <c r="IPI1195" s="7"/>
      <c r="IPJ1195" s="7"/>
      <c r="IPK1195" s="7"/>
      <c r="IPL1195" s="7"/>
      <c r="IPM1195" s="7"/>
      <c r="IPN1195" s="7"/>
      <c r="IPO1195" s="7"/>
      <c r="IPP1195" s="7"/>
      <c r="IPQ1195" s="7"/>
      <c r="IPR1195" s="7"/>
      <c r="IPS1195" s="7"/>
      <c r="IPT1195" s="7"/>
      <c r="IPU1195" s="7"/>
      <c r="IPV1195" s="7"/>
      <c r="IPW1195" s="7"/>
      <c r="IPX1195" s="7"/>
      <c r="IPY1195" s="7"/>
      <c r="IPZ1195" s="7"/>
      <c r="IQA1195" s="7"/>
      <c r="IQB1195" s="7"/>
      <c r="IQC1195" s="7"/>
      <c r="IQD1195" s="7"/>
      <c r="IQE1195" s="7"/>
      <c r="IQF1195" s="7"/>
      <c r="IQG1195" s="7"/>
      <c r="IQH1195" s="7"/>
      <c r="IQI1195" s="7"/>
      <c r="IQJ1195" s="7"/>
      <c r="IQK1195" s="7"/>
      <c r="IQL1195" s="7"/>
      <c r="IQM1195" s="7"/>
      <c r="IQN1195" s="7"/>
      <c r="IQO1195" s="7"/>
      <c r="IQP1195" s="7"/>
      <c r="IQQ1195" s="7"/>
      <c r="IQR1195" s="7"/>
      <c r="IQS1195" s="7"/>
      <c r="IQT1195" s="7"/>
      <c r="IQU1195" s="7"/>
      <c r="IQV1195" s="7"/>
      <c r="IQW1195" s="7"/>
      <c r="IQX1195" s="7"/>
      <c r="IQY1195" s="7"/>
      <c r="IQZ1195" s="7"/>
      <c r="IRA1195" s="7"/>
      <c r="IRB1195" s="7"/>
      <c r="IRC1195" s="7"/>
      <c r="IRD1195" s="7"/>
      <c r="IRE1195" s="7"/>
      <c r="IRF1195" s="7"/>
      <c r="IRG1195" s="7"/>
      <c r="IRH1195" s="7"/>
      <c r="IRI1195" s="7"/>
      <c r="IRJ1195" s="7"/>
      <c r="IRK1195" s="7"/>
      <c r="IRL1195" s="7"/>
      <c r="IRM1195" s="7"/>
      <c r="IRN1195" s="7"/>
      <c r="IRO1195" s="7"/>
      <c r="IRP1195" s="7"/>
      <c r="IRQ1195" s="7"/>
      <c r="IRR1195" s="7"/>
      <c r="IRS1195" s="7"/>
      <c r="IRT1195" s="7"/>
      <c r="IRU1195" s="7"/>
      <c r="IRV1195" s="7"/>
      <c r="IRW1195" s="7"/>
      <c r="IRX1195" s="7"/>
      <c r="IRY1195" s="7"/>
      <c r="IRZ1195" s="7"/>
      <c r="ISA1195" s="7"/>
      <c r="ISB1195" s="7"/>
      <c r="ISC1195" s="7"/>
      <c r="ISD1195" s="7"/>
      <c r="ISE1195" s="7"/>
      <c r="ISF1195" s="7"/>
      <c r="ISG1195" s="7"/>
      <c r="ISH1195" s="7"/>
      <c r="ISI1195" s="7"/>
      <c r="ISJ1195" s="7"/>
      <c r="ISK1195" s="7"/>
      <c r="ISL1195" s="7"/>
      <c r="ISM1195" s="7"/>
      <c r="ISN1195" s="7"/>
      <c r="ISO1195" s="7"/>
      <c r="ISP1195" s="7"/>
      <c r="ISQ1195" s="7"/>
      <c r="ISR1195" s="7"/>
      <c r="ISS1195" s="7"/>
      <c r="IST1195" s="7"/>
      <c r="ISU1195" s="7"/>
      <c r="ISV1195" s="7"/>
      <c r="ISW1195" s="7"/>
      <c r="ISX1195" s="7"/>
      <c r="ISY1195" s="7"/>
      <c r="ISZ1195" s="7"/>
      <c r="ITA1195" s="7"/>
      <c r="ITB1195" s="7"/>
      <c r="ITC1195" s="7"/>
      <c r="ITD1195" s="7"/>
      <c r="ITE1195" s="7"/>
      <c r="ITF1195" s="7"/>
      <c r="ITG1195" s="7"/>
      <c r="ITH1195" s="7"/>
      <c r="ITI1195" s="7"/>
      <c r="ITJ1195" s="7"/>
      <c r="ITK1195" s="7"/>
      <c r="ITL1195" s="7"/>
      <c r="ITM1195" s="7"/>
      <c r="ITN1195" s="7"/>
      <c r="ITO1195" s="7"/>
      <c r="ITP1195" s="7"/>
      <c r="ITQ1195" s="7"/>
      <c r="ITR1195" s="7"/>
      <c r="ITS1195" s="7"/>
      <c r="ITT1195" s="7"/>
      <c r="ITU1195" s="7"/>
      <c r="ITV1195" s="7"/>
      <c r="ITW1195" s="7"/>
      <c r="ITX1195" s="7"/>
      <c r="ITY1195" s="7"/>
      <c r="ITZ1195" s="7"/>
      <c r="IUA1195" s="7"/>
      <c r="IUB1195" s="7"/>
      <c r="IUC1195" s="7"/>
      <c r="IUD1195" s="7"/>
      <c r="IUE1195" s="7"/>
      <c r="IUF1195" s="7"/>
      <c r="IUG1195" s="7"/>
      <c r="IUH1195" s="7"/>
      <c r="IUI1195" s="7"/>
      <c r="IUJ1195" s="7"/>
      <c r="IUK1195" s="7"/>
      <c r="IUL1195" s="7"/>
      <c r="IUM1195" s="7"/>
      <c r="IUN1195" s="7"/>
      <c r="IUO1195" s="7"/>
      <c r="IUP1195" s="7"/>
      <c r="IUQ1195" s="7"/>
      <c r="IUR1195" s="7"/>
      <c r="IUS1195" s="7"/>
      <c r="IUT1195" s="7"/>
      <c r="IUU1195" s="7"/>
      <c r="IUV1195" s="7"/>
      <c r="IUW1195" s="7"/>
      <c r="IUX1195" s="7"/>
      <c r="IUY1195" s="7"/>
      <c r="IUZ1195" s="7"/>
      <c r="IVA1195" s="7"/>
      <c r="IVB1195" s="7"/>
      <c r="IVC1195" s="7"/>
      <c r="IVD1195" s="7"/>
      <c r="IVE1195" s="7"/>
      <c r="IVF1195" s="7"/>
      <c r="IVG1195" s="7"/>
      <c r="IVH1195" s="7"/>
      <c r="IVI1195" s="7"/>
      <c r="IVJ1195" s="7"/>
      <c r="IVK1195" s="7"/>
      <c r="IVL1195" s="7"/>
      <c r="IVM1195" s="7"/>
      <c r="IVN1195" s="7"/>
      <c r="IVO1195" s="7"/>
      <c r="IVP1195" s="7"/>
      <c r="IVQ1195" s="7"/>
      <c r="IVR1195" s="7"/>
      <c r="IVS1195" s="7"/>
      <c r="IVT1195" s="7"/>
      <c r="IVU1195" s="7"/>
      <c r="IVV1195" s="7"/>
      <c r="IVW1195" s="7"/>
      <c r="IVX1195" s="7"/>
      <c r="IVY1195" s="7"/>
      <c r="IVZ1195" s="7"/>
      <c r="IWA1195" s="7"/>
      <c r="IWB1195" s="7"/>
      <c r="IWC1195" s="7"/>
      <c r="IWD1195" s="7"/>
      <c r="IWE1195" s="7"/>
      <c r="IWF1195" s="7"/>
      <c r="IWG1195" s="7"/>
      <c r="IWH1195" s="7"/>
      <c r="IWI1195" s="7"/>
      <c r="IWJ1195" s="7"/>
      <c r="IWK1195" s="7"/>
      <c r="IWL1195" s="7"/>
      <c r="IWM1195" s="7"/>
      <c r="IWN1195" s="7"/>
      <c r="IWO1195" s="7"/>
      <c r="IWP1195" s="7"/>
      <c r="IWQ1195" s="7"/>
      <c r="IWR1195" s="7"/>
      <c r="IWS1195" s="7"/>
      <c r="IWT1195" s="7"/>
      <c r="IWU1195" s="7"/>
      <c r="IWV1195" s="7"/>
      <c r="IWW1195" s="7"/>
      <c r="IWX1195" s="7"/>
      <c r="IWY1195" s="7"/>
      <c r="IWZ1195" s="7"/>
      <c r="IXA1195" s="7"/>
      <c r="IXB1195" s="7"/>
      <c r="IXC1195" s="7"/>
      <c r="IXD1195" s="7"/>
      <c r="IXE1195" s="7"/>
      <c r="IXF1195" s="7"/>
      <c r="IXG1195" s="7"/>
      <c r="IXH1195" s="7"/>
      <c r="IXI1195" s="7"/>
      <c r="IXJ1195" s="7"/>
      <c r="IXK1195" s="7"/>
      <c r="IXL1195" s="7"/>
      <c r="IXM1195" s="7"/>
      <c r="IXN1195" s="7"/>
      <c r="IXO1195" s="7"/>
      <c r="IXP1195" s="7"/>
      <c r="IXQ1195" s="7"/>
      <c r="IXR1195" s="7"/>
      <c r="IXS1195" s="7"/>
      <c r="IXT1195" s="7"/>
      <c r="IXU1195" s="7"/>
      <c r="IXV1195" s="7"/>
      <c r="IXW1195" s="7"/>
      <c r="IXX1195" s="7"/>
      <c r="IXY1195" s="7"/>
      <c r="IXZ1195" s="7"/>
      <c r="IYA1195" s="7"/>
      <c r="IYB1195" s="7"/>
      <c r="IYC1195" s="7"/>
      <c r="IYD1195" s="7"/>
      <c r="IYE1195" s="7"/>
      <c r="IYF1195" s="7"/>
      <c r="IYG1195" s="7"/>
      <c r="IYH1195" s="7"/>
      <c r="IYI1195" s="7"/>
      <c r="IYJ1195" s="7"/>
      <c r="IYK1195" s="7"/>
      <c r="IYL1195" s="7"/>
      <c r="IYM1195" s="7"/>
      <c r="IYN1195" s="7"/>
      <c r="IYO1195" s="7"/>
      <c r="IYP1195" s="7"/>
      <c r="IYQ1195" s="7"/>
      <c r="IYR1195" s="7"/>
      <c r="IYS1195" s="7"/>
      <c r="IYT1195" s="7"/>
      <c r="IYU1195" s="7"/>
      <c r="IYV1195" s="7"/>
      <c r="IYW1195" s="7"/>
      <c r="IYX1195" s="7"/>
      <c r="IYY1195" s="7"/>
      <c r="IYZ1195" s="7"/>
      <c r="IZA1195" s="7"/>
      <c r="IZB1195" s="7"/>
      <c r="IZC1195" s="7"/>
      <c r="IZD1195" s="7"/>
      <c r="IZE1195" s="7"/>
      <c r="IZF1195" s="7"/>
      <c r="IZG1195" s="7"/>
      <c r="IZH1195" s="7"/>
      <c r="IZI1195" s="7"/>
      <c r="IZJ1195" s="7"/>
      <c r="IZK1195" s="7"/>
      <c r="IZL1195" s="7"/>
      <c r="IZM1195" s="7"/>
      <c r="IZN1195" s="7"/>
      <c r="IZO1195" s="7"/>
      <c r="IZP1195" s="7"/>
      <c r="IZQ1195" s="7"/>
      <c r="IZR1195" s="7"/>
      <c r="IZS1195" s="7"/>
      <c r="IZT1195" s="7"/>
      <c r="IZU1195" s="7"/>
      <c r="IZV1195" s="7"/>
      <c r="IZW1195" s="7"/>
      <c r="IZX1195" s="7"/>
      <c r="IZY1195" s="7"/>
      <c r="IZZ1195" s="7"/>
      <c r="JAA1195" s="7"/>
      <c r="JAB1195" s="7"/>
      <c r="JAC1195" s="7"/>
      <c r="JAD1195" s="7"/>
      <c r="JAE1195" s="7"/>
      <c r="JAF1195" s="7"/>
      <c r="JAG1195" s="7"/>
      <c r="JAH1195" s="7"/>
      <c r="JAI1195" s="7"/>
      <c r="JAJ1195" s="7"/>
      <c r="JAK1195" s="7"/>
      <c r="JAL1195" s="7"/>
      <c r="JAM1195" s="7"/>
      <c r="JAN1195" s="7"/>
      <c r="JAO1195" s="7"/>
      <c r="JAP1195" s="7"/>
      <c r="JAQ1195" s="7"/>
      <c r="JAR1195" s="7"/>
      <c r="JAS1195" s="7"/>
      <c r="JAT1195" s="7"/>
      <c r="JAU1195" s="7"/>
      <c r="JAV1195" s="7"/>
      <c r="JAW1195" s="7"/>
      <c r="JAX1195" s="7"/>
      <c r="JAY1195" s="7"/>
      <c r="JAZ1195" s="7"/>
      <c r="JBA1195" s="7"/>
      <c r="JBB1195" s="7"/>
      <c r="JBC1195" s="7"/>
      <c r="JBD1195" s="7"/>
      <c r="JBE1195" s="7"/>
      <c r="JBF1195" s="7"/>
      <c r="JBG1195" s="7"/>
      <c r="JBH1195" s="7"/>
      <c r="JBI1195" s="7"/>
      <c r="JBJ1195" s="7"/>
      <c r="JBK1195" s="7"/>
      <c r="JBL1195" s="7"/>
      <c r="JBM1195" s="7"/>
      <c r="JBN1195" s="7"/>
      <c r="JBO1195" s="7"/>
      <c r="JBP1195" s="7"/>
      <c r="JBQ1195" s="7"/>
      <c r="JBR1195" s="7"/>
      <c r="JBS1195" s="7"/>
      <c r="JBT1195" s="7"/>
      <c r="JBU1195" s="7"/>
      <c r="JBV1195" s="7"/>
      <c r="JBW1195" s="7"/>
      <c r="JBX1195" s="7"/>
      <c r="JBY1195" s="7"/>
      <c r="JBZ1195" s="7"/>
      <c r="JCA1195" s="7"/>
      <c r="JCB1195" s="7"/>
      <c r="JCC1195" s="7"/>
      <c r="JCD1195" s="7"/>
      <c r="JCE1195" s="7"/>
      <c r="JCF1195" s="7"/>
      <c r="JCG1195" s="7"/>
      <c r="JCH1195" s="7"/>
      <c r="JCI1195" s="7"/>
      <c r="JCJ1195" s="7"/>
      <c r="JCK1195" s="7"/>
      <c r="JCL1195" s="7"/>
      <c r="JCM1195" s="7"/>
      <c r="JCN1195" s="7"/>
      <c r="JCO1195" s="7"/>
      <c r="JCP1195" s="7"/>
      <c r="JCQ1195" s="7"/>
      <c r="JCR1195" s="7"/>
      <c r="JCS1195" s="7"/>
      <c r="JCT1195" s="7"/>
      <c r="JCU1195" s="7"/>
      <c r="JCV1195" s="7"/>
      <c r="JCW1195" s="7"/>
      <c r="JCX1195" s="7"/>
      <c r="JCY1195" s="7"/>
      <c r="JCZ1195" s="7"/>
      <c r="JDA1195" s="7"/>
      <c r="JDB1195" s="7"/>
      <c r="JDC1195" s="7"/>
      <c r="JDD1195" s="7"/>
      <c r="JDE1195" s="7"/>
      <c r="JDF1195" s="7"/>
      <c r="JDG1195" s="7"/>
      <c r="JDH1195" s="7"/>
      <c r="JDI1195" s="7"/>
      <c r="JDJ1195" s="7"/>
      <c r="JDK1195" s="7"/>
      <c r="JDL1195" s="7"/>
      <c r="JDM1195" s="7"/>
      <c r="JDN1195" s="7"/>
      <c r="JDO1195" s="7"/>
      <c r="JDP1195" s="7"/>
      <c r="JDQ1195" s="7"/>
      <c r="JDR1195" s="7"/>
      <c r="JDS1195" s="7"/>
      <c r="JDT1195" s="7"/>
      <c r="JDU1195" s="7"/>
      <c r="JDV1195" s="7"/>
      <c r="JDW1195" s="7"/>
      <c r="JDX1195" s="7"/>
      <c r="JDY1195" s="7"/>
      <c r="JDZ1195" s="7"/>
      <c r="JEA1195" s="7"/>
      <c r="JEB1195" s="7"/>
      <c r="JEC1195" s="7"/>
      <c r="JED1195" s="7"/>
      <c r="JEE1195" s="7"/>
      <c r="JEF1195" s="7"/>
      <c r="JEG1195" s="7"/>
      <c r="JEH1195" s="7"/>
      <c r="JEI1195" s="7"/>
      <c r="JEJ1195" s="7"/>
      <c r="JEK1195" s="7"/>
      <c r="JEL1195" s="7"/>
      <c r="JEM1195" s="7"/>
      <c r="JEN1195" s="7"/>
      <c r="JEO1195" s="7"/>
      <c r="JEP1195" s="7"/>
      <c r="JEQ1195" s="7"/>
      <c r="JER1195" s="7"/>
      <c r="JES1195" s="7"/>
      <c r="JET1195" s="7"/>
      <c r="JEU1195" s="7"/>
      <c r="JEV1195" s="7"/>
      <c r="JEW1195" s="7"/>
      <c r="JEX1195" s="7"/>
      <c r="JEY1195" s="7"/>
      <c r="JEZ1195" s="7"/>
      <c r="JFA1195" s="7"/>
      <c r="JFB1195" s="7"/>
      <c r="JFC1195" s="7"/>
      <c r="JFD1195" s="7"/>
      <c r="JFE1195" s="7"/>
      <c r="JFF1195" s="7"/>
      <c r="JFG1195" s="7"/>
      <c r="JFH1195" s="7"/>
      <c r="JFI1195" s="7"/>
      <c r="JFJ1195" s="7"/>
      <c r="JFK1195" s="7"/>
      <c r="JFL1195" s="7"/>
      <c r="JFM1195" s="7"/>
      <c r="JFN1195" s="7"/>
      <c r="JFO1195" s="7"/>
      <c r="JFP1195" s="7"/>
      <c r="JFQ1195" s="7"/>
      <c r="JFR1195" s="7"/>
      <c r="JFS1195" s="7"/>
      <c r="JFT1195" s="7"/>
      <c r="JFU1195" s="7"/>
      <c r="JFV1195" s="7"/>
      <c r="JFW1195" s="7"/>
      <c r="JFX1195" s="7"/>
      <c r="JFY1195" s="7"/>
      <c r="JFZ1195" s="7"/>
      <c r="JGA1195" s="7"/>
      <c r="JGB1195" s="7"/>
      <c r="JGC1195" s="7"/>
      <c r="JGD1195" s="7"/>
      <c r="JGE1195" s="7"/>
      <c r="JGF1195" s="7"/>
      <c r="JGG1195" s="7"/>
      <c r="JGH1195" s="7"/>
      <c r="JGI1195" s="7"/>
      <c r="JGJ1195" s="7"/>
      <c r="JGK1195" s="7"/>
      <c r="JGL1195" s="7"/>
      <c r="JGM1195" s="7"/>
      <c r="JGN1195" s="7"/>
      <c r="JGO1195" s="7"/>
      <c r="JGP1195" s="7"/>
      <c r="JGQ1195" s="7"/>
      <c r="JGR1195" s="7"/>
      <c r="JGS1195" s="7"/>
      <c r="JGT1195" s="7"/>
      <c r="JGU1195" s="7"/>
      <c r="JGV1195" s="7"/>
      <c r="JGW1195" s="7"/>
      <c r="JGX1195" s="7"/>
      <c r="JGY1195" s="7"/>
      <c r="JGZ1195" s="7"/>
      <c r="JHA1195" s="7"/>
      <c r="JHB1195" s="7"/>
      <c r="JHC1195" s="7"/>
      <c r="JHD1195" s="7"/>
      <c r="JHE1195" s="7"/>
      <c r="JHF1195" s="7"/>
      <c r="JHG1195" s="7"/>
      <c r="JHH1195" s="7"/>
      <c r="JHI1195" s="7"/>
      <c r="JHJ1195" s="7"/>
      <c r="JHK1195" s="7"/>
      <c r="JHL1195" s="7"/>
      <c r="JHM1195" s="7"/>
      <c r="JHN1195" s="7"/>
      <c r="JHO1195" s="7"/>
      <c r="JHP1195" s="7"/>
      <c r="JHQ1195" s="7"/>
      <c r="JHR1195" s="7"/>
      <c r="JHS1195" s="7"/>
      <c r="JHT1195" s="7"/>
      <c r="JHU1195" s="7"/>
      <c r="JHV1195" s="7"/>
      <c r="JHW1195" s="7"/>
      <c r="JHX1195" s="7"/>
      <c r="JHY1195" s="7"/>
      <c r="JHZ1195" s="7"/>
      <c r="JIA1195" s="7"/>
      <c r="JIB1195" s="7"/>
      <c r="JIC1195" s="7"/>
      <c r="JID1195" s="7"/>
      <c r="JIE1195" s="7"/>
      <c r="JIF1195" s="7"/>
      <c r="JIG1195" s="7"/>
      <c r="JIH1195" s="7"/>
      <c r="JII1195" s="7"/>
      <c r="JIJ1195" s="7"/>
      <c r="JIK1195" s="7"/>
      <c r="JIL1195" s="7"/>
      <c r="JIM1195" s="7"/>
      <c r="JIN1195" s="7"/>
      <c r="JIO1195" s="7"/>
      <c r="JIP1195" s="7"/>
      <c r="JIQ1195" s="7"/>
      <c r="JIR1195" s="7"/>
      <c r="JIS1195" s="7"/>
      <c r="JIT1195" s="7"/>
      <c r="JIU1195" s="7"/>
      <c r="JIV1195" s="7"/>
      <c r="JIW1195" s="7"/>
      <c r="JIX1195" s="7"/>
      <c r="JIY1195" s="7"/>
      <c r="JIZ1195" s="7"/>
      <c r="JJA1195" s="7"/>
      <c r="JJB1195" s="7"/>
      <c r="JJC1195" s="7"/>
      <c r="JJD1195" s="7"/>
      <c r="JJE1195" s="7"/>
      <c r="JJF1195" s="7"/>
      <c r="JJG1195" s="7"/>
      <c r="JJH1195" s="7"/>
      <c r="JJI1195" s="7"/>
      <c r="JJJ1195" s="7"/>
      <c r="JJK1195" s="7"/>
      <c r="JJL1195" s="7"/>
      <c r="JJM1195" s="7"/>
      <c r="JJN1195" s="7"/>
      <c r="JJO1195" s="7"/>
      <c r="JJP1195" s="7"/>
      <c r="JJQ1195" s="7"/>
      <c r="JJR1195" s="7"/>
      <c r="JJS1195" s="7"/>
      <c r="JJT1195" s="7"/>
      <c r="JJU1195" s="7"/>
      <c r="JJV1195" s="7"/>
      <c r="JJW1195" s="7"/>
      <c r="JJX1195" s="7"/>
      <c r="JJY1195" s="7"/>
      <c r="JJZ1195" s="7"/>
      <c r="JKA1195" s="7"/>
      <c r="JKB1195" s="7"/>
      <c r="JKC1195" s="7"/>
      <c r="JKD1195" s="7"/>
      <c r="JKE1195" s="7"/>
      <c r="JKF1195" s="7"/>
      <c r="JKG1195" s="7"/>
      <c r="JKH1195" s="7"/>
      <c r="JKI1195" s="7"/>
      <c r="JKJ1195" s="7"/>
      <c r="JKK1195" s="7"/>
      <c r="JKL1195" s="7"/>
      <c r="JKM1195" s="7"/>
      <c r="JKN1195" s="7"/>
      <c r="JKO1195" s="7"/>
      <c r="JKP1195" s="7"/>
      <c r="JKQ1195" s="7"/>
      <c r="JKR1195" s="7"/>
      <c r="JKS1195" s="7"/>
      <c r="JKT1195" s="7"/>
      <c r="JKU1195" s="7"/>
      <c r="JKV1195" s="7"/>
      <c r="JKW1195" s="7"/>
      <c r="JKX1195" s="7"/>
      <c r="JKY1195" s="7"/>
      <c r="JKZ1195" s="7"/>
      <c r="JLA1195" s="7"/>
      <c r="JLB1195" s="7"/>
      <c r="JLC1195" s="7"/>
      <c r="JLD1195" s="7"/>
      <c r="JLE1195" s="7"/>
      <c r="JLF1195" s="7"/>
      <c r="JLG1195" s="7"/>
      <c r="JLH1195" s="7"/>
      <c r="JLI1195" s="7"/>
      <c r="JLJ1195" s="7"/>
      <c r="JLK1195" s="7"/>
      <c r="JLL1195" s="7"/>
      <c r="JLM1195" s="7"/>
      <c r="JLN1195" s="7"/>
      <c r="JLO1195" s="7"/>
      <c r="JLP1195" s="7"/>
      <c r="JLQ1195" s="7"/>
      <c r="JLR1195" s="7"/>
      <c r="JLS1195" s="7"/>
      <c r="JLT1195" s="7"/>
      <c r="JLU1195" s="7"/>
      <c r="JLV1195" s="7"/>
      <c r="JLW1195" s="7"/>
      <c r="JLX1195" s="7"/>
      <c r="JLY1195" s="7"/>
      <c r="JLZ1195" s="7"/>
      <c r="JMA1195" s="7"/>
      <c r="JMB1195" s="7"/>
      <c r="JMC1195" s="7"/>
      <c r="JMD1195" s="7"/>
      <c r="JME1195" s="7"/>
      <c r="JMF1195" s="7"/>
      <c r="JMG1195" s="7"/>
      <c r="JMH1195" s="7"/>
      <c r="JMI1195" s="7"/>
      <c r="JMJ1195" s="7"/>
      <c r="JMK1195" s="7"/>
      <c r="JML1195" s="7"/>
      <c r="JMM1195" s="7"/>
      <c r="JMN1195" s="7"/>
      <c r="JMO1195" s="7"/>
      <c r="JMP1195" s="7"/>
      <c r="JMQ1195" s="7"/>
      <c r="JMR1195" s="7"/>
      <c r="JMS1195" s="7"/>
      <c r="JMT1195" s="7"/>
      <c r="JMU1195" s="7"/>
      <c r="JMV1195" s="7"/>
      <c r="JMW1195" s="7"/>
      <c r="JMX1195" s="7"/>
      <c r="JMY1195" s="7"/>
      <c r="JMZ1195" s="7"/>
      <c r="JNA1195" s="7"/>
      <c r="JNB1195" s="7"/>
      <c r="JNC1195" s="7"/>
      <c r="JND1195" s="7"/>
      <c r="JNE1195" s="7"/>
      <c r="JNF1195" s="7"/>
      <c r="JNG1195" s="7"/>
      <c r="JNH1195" s="7"/>
      <c r="JNI1195" s="7"/>
      <c r="JNJ1195" s="7"/>
      <c r="JNK1195" s="7"/>
      <c r="JNL1195" s="7"/>
      <c r="JNM1195" s="7"/>
      <c r="JNN1195" s="7"/>
      <c r="JNO1195" s="7"/>
      <c r="JNP1195" s="7"/>
      <c r="JNQ1195" s="7"/>
      <c r="JNR1195" s="7"/>
      <c r="JNS1195" s="7"/>
      <c r="JNT1195" s="7"/>
      <c r="JNU1195" s="7"/>
      <c r="JNV1195" s="7"/>
      <c r="JNW1195" s="7"/>
      <c r="JNX1195" s="7"/>
      <c r="JNY1195" s="7"/>
      <c r="JNZ1195" s="7"/>
      <c r="JOA1195" s="7"/>
      <c r="JOB1195" s="7"/>
      <c r="JOC1195" s="7"/>
      <c r="JOD1195" s="7"/>
      <c r="JOE1195" s="7"/>
      <c r="JOF1195" s="7"/>
      <c r="JOG1195" s="7"/>
      <c r="JOH1195" s="7"/>
      <c r="JOI1195" s="7"/>
      <c r="JOJ1195" s="7"/>
      <c r="JOK1195" s="7"/>
      <c r="JOL1195" s="7"/>
      <c r="JOM1195" s="7"/>
      <c r="JON1195" s="7"/>
      <c r="JOO1195" s="7"/>
      <c r="JOP1195" s="7"/>
      <c r="JOQ1195" s="7"/>
      <c r="JOR1195" s="7"/>
      <c r="JOS1195" s="7"/>
      <c r="JOT1195" s="7"/>
      <c r="JOU1195" s="7"/>
      <c r="JOV1195" s="7"/>
      <c r="JOW1195" s="7"/>
      <c r="JOX1195" s="7"/>
      <c r="JOY1195" s="7"/>
      <c r="JOZ1195" s="7"/>
      <c r="JPA1195" s="7"/>
      <c r="JPB1195" s="7"/>
      <c r="JPC1195" s="7"/>
      <c r="JPD1195" s="7"/>
      <c r="JPE1195" s="7"/>
      <c r="JPF1195" s="7"/>
      <c r="JPG1195" s="7"/>
      <c r="JPH1195" s="7"/>
      <c r="JPI1195" s="7"/>
      <c r="JPJ1195" s="7"/>
      <c r="JPK1195" s="7"/>
      <c r="JPL1195" s="7"/>
      <c r="JPM1195" s="7"/>
      <c r="JPN1195" s="7"/>
      <c r="JPO1195" s="7"/>
      <c r="JPP1195" s="7"/>
      <c r="JPQ1195" s="7"/>
      <c r="JPR1195" s="7"/>
      <c r="JPS1195" s="7"/>
      <c r="JPT1195" s="7"/>
      <c r="JPU1195" s="7"/>
      <c r="JPV1195" s="7"/>
      <c r="JPW1195" s="7"/>
      <c r="JPX1195" s="7"/>
      <c r="JPY1195" s="7"/>
      <c r="JPZ1195" s="7"/>
      <c r="JQA1195" s="7"/>
      <c r="JQB1195" s="7"/>
      <c r="JQC1195" s="7"/>
      <c r="JQD1195" s="7"/>
      <c r="JQE1195" s="7"/>
      <c r="JQF1195" s="7"/>
      <c r="JQG1195" s="7"/>
      <c r="JQH1195" s="7"/>
      <c r="JQI1195" s="7"/>
      <c r="JQJ1195" s="7"/>
      <c r="JQK1195" s="7"/>
      <c r="JQL1195" s="7"/>
      <c r="JQM1195" s="7"/>
      <c r="JQN1195" s="7"/>
      <c r="JQO1195" s="7"/>
      <c r="JQP1195" s="7"/>
      <c r="JQQ1195" s="7"/>
      <c r="JQR1195" s="7"/>
      <c r="JQS1195" s="7"/>
      <c r="JQT1195" s="7"/>
      <c r="JQU1195" s="7"/>
      <c r="JQV1195" s="7"/>
      <c r="JQW1195" s="7"/>
      <c r="JQX1195" s="7"/>
      <c r="JQY1195" s="7"/>
      <c r="JQZ1195" s="7"/>
      <c r="JRA1195" s="7"/>
      <c r="JRB1195" s="7"/>
      <c r="JRC1195" s="7"/>
      <c r="JRD1195" s="7"/>
      <c r="JRE1195" s="7"/>
      <c r="JRF1195" s="7"/>
      <c r="JRG1195" s="7"/>
      <c r="JRH1195" s="7"/>
      <c r="JRI1195" s="7"/>
      <c r="JRJ1195" s="7"/>
      <c r="JRK1195" s="7"/>
      <c r="JRL1195" s="7"/>
      <c r="JRM1195" s="7"/>
      <c r="JRN1195" s="7"/>
      <c r="JRO1195" s="7"/>
      <c r="JRP1195" s="7"/>
      <c r="JRQ1195" s="7"/>
      <c r="JRR1195" s="7"/>
      <c r="JRS1195" s="7"/>
      <c r="JRT1195" s="7"/>
      <c r="JRU1195" s="7"/>
      <c r="JRV1195" s="7"/>
      <c r="JRW1195" s="7"/>
      <c r="JRX1195" s="7"/>
      <c r="JRY1195" s="7"/>
      <c r="JRZ1195" s="7"/>
      <c r="JSA1195" s="7"/>
      <c r="JSB1195" s="7"/>
      <c r="JSC1195" s="7"/>
      <c r="JSD1195" s="7"/>
      <c r="JSE1195" s="7"/>
      <c r="JSF1195" s="7"/>
      <c r="JSG1195" s="7"/>
      <c r="JSH1195" s="7"/>
      <c r="JSI1195" s="7"/>
      <c r="JSJ1195" s="7"/>
      <c r="JSK1195" s="7"/>
      <c r="JSL1195" s="7"/>
      <c r="JSM1195" s="7"/>
      <c r="JSN1195" s="7"/>
      <c r="JSO1195" s="7"/>
      <c r="JSP1195" s="7"/>
      <c r="JSQ1195" s="7"/>
      <c r="JSR1195" s="7"/>
      <c r="JSS1195" s="7"/>
      <c r="JST1195" s="7"/>
      <c r="JSU1195" s="7"/>
      <c r="JSV1195" s="7"/>
      <c r="JSW1195" s="7"/>
      <c r="JSX1195" s="7"/>
      <c r="JSY1195" s="7"/>
      <c r="JSZ1195" s="7"/>
      <c r="JTA1195" s="7"/>
      <c r="JTB1195" s="7"/>
      <c r="JTC1195" s="7"/>
      <c r="JTD1195" s="7"/>
      <c r="JTE1195" s="7"/>
      <c r="JTF1195" s="7"/>
      <c r="JTG1195" s="7"/>
      <c r="JTH1195" s="7"/>
      <c r="JTI1195" s="7"/>
      <c r="JTJ1195" s="7"/>
      <c r="JTK1195" s="7"/>
      <c r="JTL1195" s="7"/>
      <c r="JTM1195" s="7"/>
      <c r="JTN1195" s="7"/>
      <c r="JTO1195" s="7"/>
      <c r="JTP1195" s="7"/>
      <c r="JTQ1195" s="7"/>
      <c r="JTR1195" s="7"/>
      <c r="JTS1195" s="7"/>
      <c r="JTT1195" s="7"/>
      <c r="JTU1195" s="7"/>
      <c r="JTV1195" s="7"/>
      <c r="JTW1195" s="7"/>
      <c r="JTX1195" s="7"/>
      <c r="JTY1195" s="7"/>
      <c r="JTZ1195" s="7"/>
      <c r="JUA1195" s="7"/>
      <c r="JUB1195" s="7"/>
      <c r="JUC1195" s="7"/>
      <c r="JUD1195" s="7"/>
      <c r="JUE1195" s="7"/>
      <c r="JUF1195" s="7"/>
      <c r="JUG1195" s="7"/>
      <c r="JUH1195" s="7"/>
      <c r="JUI1195" s="7"/>
      <c r="JUJ1195" s="7"/>
      <c r="JUK1195" s="7"/>
      <c r="JUL1195" s="7"/>
      <c r="JUM1195" s="7"/>
      <c r="JUN1195" s="7"/>
      <c r="JUO1195" s="7"/>
      <c r="JUP1195" s="7"/>
      <c r="JUQ1195" s="7"/>
      <c r="JUR1195" s="7"/>
      <c r="JUS1195" s="7"/>
      <c r="JUT1195" s="7"/>
      <c r="JUU1195" s="7"/>
      <c r="JUV1195" s="7"/>
      <c r="JUW1195" s="7"/>
      <c r="JUX1195" s="7"/>
      <c r="JUY1195" s="7"/>
      <c r="JUZ1195" s="7"/>
      <c r="JVA1195" s="7"/>
      <c r="JVB1195" s="7"/>
      <c r="JVC1195" s="7"/>
      <c r="JVD1195" s="7"/>
      <c r="JVE1195" s="7"/>
      <c r="JVF1195" s="7"/>
      <c r="JVG1195" s="7"/>
      <c r="JVH1195" s="7"/>
      <c r="JVI1195" s="7"/>
      <c r="JVJ1195" s="7"/>
      <c r="JVK1195" s="7"/>
      <c r="JVL1195" s="7"/>
      <c r="JVM1195" s="7"/>
      <c r="JVN1195" s="7"/>
      <c r="JVO1195" s="7"/>
      <c r="JVP1195" s="7"/>
      <c r="JVQ1195" s="7"/>
      <c r="JVR1195" s="7"/>
      <c r="JVS1195" s="7"/>
      <c r="JVT1195" s="7"/>
      <c r="JVU1195" s="7"/>
      <c r="JVV1195" s="7"/>
      <c r="JVW1195" s="7"/>
      <c r="JVX1195" s="7"/>
      <c r="JVY1195" s="7"/>
      <c r="JVZ1195" s="7"/>
      <c r="JWA1195" s="7"/>
      <c r="JWB1195" s="7"/>
      <c r="JWC1195" s="7"/>
      <c r="JWD1195" s="7"/>
      <c r="JWE1195" s="7"/>
      <c r="JWF1195" s="7"/>
      <c r="JWG1195" s="7"/>
      <c r="JWH1195" s="7"/>
      <c r="JWI1195" s="7"/>
      <c r="JWJ1195" s="7"/>
      <c r="JWK1195" s="7"/>
      <c r="JWL1195" s="7"/>
      <c r="JWM1195" s="7"/>
      <c r="JWN1195" s="7"/>
      <c r="JWO1195" s="7"/>
      <c r="JWP1195" s="7"/>
      <c r="JWQ1195" s="7"/>
      <c r="JWR1195" s="7"/>
      <c r="JWS1195" s="7"/>
      <c r="JWT1195" s="7"/>
      <c r="JWU1195" s="7"/>
      <c r="JWV1195" s="7"/>
      <c r="JWW1195" s="7"/>
      <c r="JWX1195" s="7"/>
      <c r="JWY1195" s="7"/>
      <c r="JWZ1195" s="7"/>
      <c r="JXA1195" s="7"/>
      <c r="JXB1195" s="7"/>
      <c r="JXC1195" s="7"/>
      <c r="JXD1195" s="7"/>
      <c r="JXE1195" s="7"/>
      <c r="JXF1195" s="7"/>
      <c r="JXG1195" s="7"/>
      <c r="JXH1195" s="7"/>
      <c r="JXI1195" s="7"/>
      <c r="JXJ1195" s="7"/>
      <c r="JXK1195" s="7"/>
      <c r="JXL1195" s="7"/>
      <c r="JXM1195" s="7"/>
      <c r="JXN1195" s="7"/>
      <c r="JXO1195" s="7"/>
      <c r="JXP1195" s="7"/>
      <c r="JXQ1195" s="7"/>
      <c r="JXR1195" s="7"/>
      <c r="JXS1195" s="7"/>
      <c r="JXT1195" s="7"/>
      <c r="JXU1195" s="7"/>
      <c r="JXV1195" s="7"/>
      <c r="JXW1195" s="7"/>
      <c r="JXX1195" s="7"/>
      <c r="JXY1195" s="7"/>
      <c r="JXZ1195" s="7"/>
      <c r="JYA1195" s="7"/>
      <c r="JYB1195" s="7"/>
      <c r="JYC1195" s="7"/>
      <c r="JYD1195" s="7"/>
      <c r="JYE1195" s="7"/>
      <c r="JYF1195" s="7"/>
      <c r="JYG1195" s="7"/>
      <c r="JYH1195" s="7"/>
      <c r="JYI1195" s="7"/>
      <c r="JYJ1195" s="7"/>
      <c r="JYK1195" s="7"/>
      <c r="JYL1195" s="7"/>
      <c r="JYM1195" s="7"/>
      <c r="JYN1195" s="7"/>
      <c r="JYO1195" s="7"/>
      <c r="JYP1195" s="7"/>
      <c r="JYQ1195" s="7"/>
      <c r="JYR1195" s="7"/>
      <c r="JYS1195" s="7"/>
      <c r="JYT1195" s="7"/>
      <c r="JYU1195" s="7"/>
      <c r="JYV1195" s="7"/>
      <c r="JYW1195" s="7"/>
      <c r="JYX1195" s="7"/>
      <c r="JYY1195" s="7"/>
      <c r="JYZ1195" s="7"/>
      <c r="JZA1195" s="7"/>
      <c r="JZB1195" s="7"/>
      <c r="JZC1195" s="7"/>
      <c r="JZD1195" s="7"/>
      <c r="JZE1195" s="7"/>
      <c r="JZF1195" s="7"/>
      <c r="JZG1195" s="7"/>
      <c r="JZH1195" s="7"/>
      <c r="JZI1195" s="7"/>
      <c r="JZJ1195" s="7"/>
      <c r="JZK1195" s="7"/>
      <c r="JZL1195" s="7"/>
      <c r="JZM1195" s="7"/>
      <c r="JZN1195" s="7"/>
      <c r="JZO1195" s="7"/>
      <c r="JZP1195" s="7"/>
      <c r="JZQ1195" s="7"/>
      <c r="JZR1195" s="7"/>
      <c r="JZS1195" s="7"/>
      <c r="JZT1195" s="7"/>
      <c r="JZU1195" s="7"/>
      <c r="JZV1195" s="7"/>
      <c r="JZW1195" s="7"/>
      <c r="JZX1195" s="7"/>
      <c r="JZY1195" s="7"/>
      <c r="JZZ1195" s="7"/>
      <c r="KAA1195" s="7"/>
      <c r="KAB1195" s="7"/>
      <c r="KAC1195" s="7"/>
      <c r="KAD1195" s="7"/>
      <c r="KAE1195" s="7"/>
      <c r="KAF1195" s="7"/>
      <c r="KAG1195" s="7"/>
      <c r="KAH1195" s="7"/>
      <c r="KAI1195" s="7"/>
      <c r="KAJ1195" s="7"/>
      <c r="KAK1195" s="7"/>
      <c r="KAL1195" s="7"/>
      <c r="KAM1195" s="7"/>
      <c r="KAN1195" s="7"/>
      <c r="KAO1195" s="7"/>
      <c r="KAP1195" s="7"/>
      <c r="KAQ1195" s="7"/>
      <c r="KAR1195" s="7"/>
      <c r="KAS1195" s="7"/>
      <c r="KAT1195" s="7"/>
      <c r="KAU1195" s="7"/>
      <c r="KAV1195" s="7"/>
      <c r="KAW1195" s="7"/>
      <c r="KAX1195" s="7"/>
      <c r="KAY1195" s="7"/>
      <c r="KAZ1195" s="7"/>
      <c r="KBA1195" s="7"/>
      <c r="KBB1195" s="7"/>
      <c r="KBC1195" s="7"/>
      <c r="KBD1195" s="7"/>
      <c r="KBE1195" s="7"/>
      <c r="KBF1195" s="7"/>
      <c r="KBG1195" s="7"/>
      <c r="KBH1195" s="7"/>
      <c r="KBI1195" s="7"/>
      <c r="KBJ1195" s="7"/>
      <c r="KBK1195" s="7"/>
      <c r="KBL1195" s="7"/>
      <c r="KBM1195" s="7"/>
      <c r="KBN1195" s="7"/>
      <c r="KBO1195" s="7"/>
      <c r="KBP1195" s="7"/>
      <c r="KBQ1195" s="7"/>
      <c r="KBR1195" s="7"/>
      <c r="KBS1195" s="7"/>
      <c r="KBT1195" s="7"/>
      <c r="KBU1195" s="7"/>
      <c r="KBV1195" s="7"/>
      <c r="KBW1195" s="7"/>
      <c r="KBX1195" s="7"/>
      <c r="KBY1195" s="7"/>
      <c r="KBZ1195" s="7"/>
      <c r="KCA1195" s="7"/>
      <c r="KCB1195" s="7"/>
      <c r="KCC1195" s="7"/>
      <c r="KCD1195" s="7"/>
      <c r="KCE1195" s="7"/>
      <c r="KCF1195" s="7"/>
      <c r="KCG1195" s="7"/>
      <c r="KCH1195" s="7"/>
      <c r="KCI1195" s="7"/>
      <c r="KCJ1195" s="7"/>
      <c r="KCK1195" s="7"/>
      <c r="KCL1195" s="7"/>
      <c r="KCM1195" s="7"/>
      <c r="KCN1195" s="7"/>
      <c r="KCO1195" s="7"/>
      <c r="KCP1195" s="7"/>
      <c r="KCQ1195" s="7"/>
      <c r="KCR1195" s="7"/>
      <c r="KCS1195" s="7"/>
      <c r="KCT1195" s="7"/>
      <c r="KCU1195" s="7"/>
      <c r="KCV1195" s="7"/>
      <c r="KCW1195" s="7"/>
      <c r="KCX1195" s="7"/>
      <c r="KCY1195" s="7"/>
      <c r="KCZ1195" s="7"/>
      <c r="KDA1195" s="7"/>
      <c r="KDB1195" s="7"/>
      <c r="KDC1195" s="7"/>
      <c r="KDD1195" s="7"/>
      <c r="KDE1195" s="7"/>
      <c r="KDF1195" s="7"/>
      <c r="KDG1195" s="7"/>
      <c r="KDH1195" s="7"/>
      <c r="KDI1195" s="7"/>
      <c r="KDJ1195" s="7"/>
      <c r="KDK1195" s="7"/>
      <c r="KDL1195" s="7"/>
      <c r="KDM1195" s="7"/>
      <c r="KDN1195" s="7"/>
      <c r="KDO1195" s="7"/>
      <c r="KDP1195" s="7"/>
      <c r="KDQ1195" s="7"/>
      <c r="KDR1195" s="7"/>
      <c r="KDS1195" s="7"/>
      <c r="KDT1195" s="7"/>
      <c r="KDU1195" s="7"/>
      <c r="KDV1195" s="7"/>
      <c r="KDW1195" s="7"/>
      <c r="KDX1195" s="7"/>
      <c r="KDY1195" s="7"/>
      <c r="KDZ1195" s="7"/>
      <c r="KEA1195" s="7"/>
      <c r="KEB1195" s="7"/>
      <c r="KEC1195" s="7"/>
      <c r="KED1195" s="7"/>
      <c r="KEE1195" s="7"/>
      <c r="KEF1195" s="7"/>
      <c r="KEG1195" s="7"/>
      <c r="KEH1195" s="7"/>
      <c r="KEI1195" s="7"/>
      <c r="KEJ1195" s="7"/>
      <c r="KEK1195" s="7"/>
      <c r="KEL1195" s="7"/>
      <c r="KEM1195" s="7"/>
      <c r="KEN1195" s="7"/>
      <c r="KEO1195" s="7"/>
      <c r="KEP1195" s="7"/>
      <c r="KEQ1195" s="7"/>
      <c r="KER1195" s="7"/>
      <c r="KES1195" s="7"/>
      <c r="KET1195" s="7"/>
      <c r="KEU1195" s="7"/>
      <c r="KEV1195" s="7"/>
      <c r="KEW1195" s="7"/>
      <c r="KEX1195" s="7"/>
      <c r="KEY1195" s="7"/>
      <c r="KEZ1195" s="7"/>
      <c r="KFA1195" s="7"/>
      <c r="KFB1195" s="7"/>
      <c r="KFC1195" s="7"/>
      <c r="KFD1195" s="7"/>
      <c r="KFE1195" s="7"/>
      <c r="KFF1195" s="7"/>
      <c r="KFG1195" s="7"/>
      <c r="KFH1195" s="7"/>
      <c r="KFI1195" s="7"/>
      <c r="KFJ1195" s="7"/>
      <c r="KFK1195" s="7"/>
      <c r="KFL1195" s="7"/>
      <c r="KFM1195" s="7"/>
      <c r="KFN1195" s="7"/>
      <c r="KFO1195" s="7"/>
      <c r="KFP1195" s="7"/>
      <c r="KFQ1195" s="7"/>
      <c r="KFR1195" s="7"/>
      <c r="KFS1195" s="7"/>
      <c r="KFT1195" s="7"/>
      <c r="KFU1195" s="7"/>
      <c r="KFV1195" s="7"/>
      <c r="KFW1195" s="7"/>
      <c r="KFX1195" s="7"/>
      <c r="KFY1195" s="7"/>
      <c r="KFZ1195" s="7"/>
      <c r="KGA1195" s="7"/>
      <c r="KGB1195" s="7"/>
      <c r="KGC1195" s="7"/>
      <c r="KGD1195" s="7"/>
      <c r="KGE1195" s="7"/>
      <c r="KGF1195" s="7"/>
      <c r="KGG1195" s="7"/>
      <c r="KGH1195" s="7"/>
      <c r="KGI1195" s="7"/>
      <c r="KGJ1195" s="7"/>
      <c r="KGK1195" s="7"/>
      <c r="KGL1195" s="7"/>
      <c r="KGM1195" s="7"/>
      <c r="KGN1195" s="7"/>
      <c r="KGO1195" s="7"/>
      <c r="KGP1195" s="7"/>
      <c r="KGQ1195" s="7"/>
      <c r="KGR1195" s="7"/>
      <c r="KGS1195" s="7"/>
      <c r="KGT1195" s="7"/>
      <c r="KGU1195" s="7"/>
      <c r="KGV1195" s="7"/>
      <c r="KGW1195" s="7"/>
      <c r="KGX1195" s="7"/>
      <c r="KGY1195" s="7"/>
      <c r="KGZ1195" s="7"/>
      <c r="KHA1195" s="7"/>
      <c r="KHB1195" s="7"/>
      <c r="KHC1195" s="7"/>
      <c r="KHD1195" s="7"/>
      <c r="KHE1195" s="7"/>
      <c r="KHF1195" s="7"/>
      <c r="KHG1195" s="7"/>
      <c r="KHH1195" s="7"/>
      <c r="KHI1195" s="7"/>
      <c r="KHJ1195" s="7"/>
      <c r="KHK1195" s="7"/>
      <c r="KHL1195" s="7"/>
      <c r="KHM1195" s="7"/>
      <c r="KHN1195" s="7"/>
      <c r="KHO1195" s="7"/>
      <c r="KHP1195" s="7"/>
      <c r="KHQ1195" s="7"/>
      <c r="KHR1195" s="7"/>
      <c r="KHS1195" s="7"/>
      <c r="KHT1195" s="7"/>
      <c r="KHU1195" s="7"/>
      <c r="KHV1195" s="7"/>
      <c r="KHW1195" s="7"/>
      <c r="KHX1195" s="7"/>
      <c r="KHY1195" s="7"/>
      <c r="KHZ1195" s="7"/>
      <c r="KIA1195" s="7"/>
      <c r="KIB1195" s="7"/>
      <c r="KIC1195" s="7"/>
      <c r="KID1195" s="7"/>
      <c r="KIE1195" s="7"/>
      <c r="KIF1195" s="7"/>
      <c r="KIG1195" s="7"/>
      <c r="KIH1195" s="7"/>
      <c r="KII1195" s="7"/>
      <c r="KIJ1195" s="7"/>
      <c r="KIK1195" s="7"/>
      <c r="KIL1195" s="7"/>
      <c r="KIM1195" s="7"/>
      <c r="KIN1195" s="7"/>
      <c r="KIO1195" s="7"/>
      <c r="KIP1195" s="7"/>
      <c r="KIQ1195" s="7"/>
      <c r="KIR1195" s="7"/>
      <c r="KIS1195" s="7"/>
      <c r="KIT1195" s="7"/>
      <c r="KIU1195" s="7"/>
      <c r="KIV1195" s="7"/>
      <c r="KIW1195" s="7"/>
      <c r="KIX1195" s="7"/>
      <c r="KIY1195" s="7"/>
      <c r="KIZ1195" s="7"/>
      <c r="KJA1195" s="7"/>
      <c r="KJB1195" s="7"/>
      <c r="KJC1195" s="7"/>
      <c r="KJD1195" s="7"/>
      <c r="KJE1195" s="7"/>
      <c r="KJF1195" s="7"/>
      <c r="KJG1195" s="7"/>
      <c r="KJH1195" s="7"/>
      <c r="KJI1195" s="7"/>
      <c r="KJJ1195" s="7"/>
      <c r="KJK1195" s="7"/>
      <c r="KJL1195" s="7"/>
      <c r="KJM1195" s="7"/>
      <c r="KJN1195" s="7"/>
      <c r="KJO1195" s="7"/>
      <c r="KJP1195" s="7"/>
      <c r="KJQ1195" s="7"/>
      <c r="KJR1195" s="7"/>
      <c r="KJS1195" s="7"/>
      <c r="KJT1195" s="7"/>
      <c r="KJU1195" s="7"/>
      <c r="KJV1195" s="7"/>
      <c r="KJW1195" s="7"/>
      <c r="KJX1195" s="7"/>
      <c r="KJY1195" s="7"/>
      <c r="KJZ1195" s="7"/>
      <c r="KKA1195" s="7"/>
      <c r="KKB1195" s="7"/>
      <c r="KKC1195" s="7"/>
      <c r="KKD1195" s="7"/>
      <c r="KKE1195" s="7"/>
      <c r="KKF1195" s="7"/>
      <c r="KKG1195" s="7"/>
      <c r="KKH1195" s="7"/>
      <c r="KKI1195" s="7"/>
      <c r="KKJ1195" s="7"/>
      <c r="KKK1195" s="7"/>
      <c r="KKL1195" s="7"/>
      <c r="KKM1195" s="7"/>
      <c r="KKN1195" s="7"/>
      <c r="KKO1195" s="7"/>
      <c r="KKP1195" s="7"/>
      <c r="KKQ1195" s="7"/>
      <c r="KKR1195" s="7"/>
      <c r="KKS1195" s="7"/>
      <c r="KKT1195" s="7"/>
      <c r="KKU1195" s="7"/>
      <c r="KKV1195" s="7"/>
      <c r="KKW1195" s="7"/>
      <c r="KKX1195" s="7"/>
      <c r="KKY1195" s="7"/>
      <c r="KKZ1195" s="7"/>
      <c r="KLA1195" s="7"/>
      <c r="KLB1195" s="7"/>
      <c r="KLC1195" s="7"/>
      <c r="KLD1195" s="7"/>
      <c r="KLE1195" s="7"/>
      <c r="KLF1195" s="7"/>
      <c r="KLG1195" s="7"/>
      <c r="KLH1195" s="7"/>
      <c r="KLI1195" s="7"/>
      <c r="KLJ1195" s="7"/>
      <c r="KLK1195" s="7"/>
      <c r="KLL1195" s="7"/>
      <c r="KLM1195" s="7"/>
      <c r="KLN1195" s="7"/>
      <c r="KLO1195" s="7"/>
      <c r="KLP1195" s="7"/>
      <c r="KLQ1195" s="7"/>
      <c r="KLR1195" s="7"/>
      <c r="KLS1195" s="7"/>
      <c r="KLT1195" s="7"/>
      <c r="KLU1195" s="7"/>
      <c r="KLV1195" s="7"/>
      <c r="KLW1195" s="7"/>
      <c r="KLX1195" s="7"/>
      <c r="KLY1195" s="7"/>
      <c r="KLZ1195" s="7"/>
      <c r="KMA1195" s="7"/>
      <c r="KMB1195" s="7"/>
      <c r="KMC1195" s="7"/>
      <c r="KMD1195" s="7"/>
      <c r="KME1195" s="7"/>
      <c r="KMF1195" s="7"/>
      <c r="KMG1195" s="7"/>
      <c r="KMH1195" s="7"/>
      <c r="KMI1195" s="7"/>
      <c r="KMJ1195" s="7"/>
      <c r="KMK1195" s="7"/>
      <c r="KML1195" s="7"/>
      <c r="KMM1195" s="7"/>
      <c r="KMN1195" s="7"/>
      <c r="KMO1195" s="7"/>
      <c r="KMP1195" s="7"/>
      <c r="KMQ1195" s="7"/>
      <c r="KMR1195" s="7"/>
      <c r="KMS1195" s="7"/>
      <c r="KMT1195" s="7"/>
      <c r="KMU1195" s="7"/>
      <c r="KMV1195" s="7"/>
      <c r="KMW1195" s="7"/>
      <c r="KMX1195" s="7"/>
      <c r="KMY1195" s="7"/>
      <c r="KMZ1195" s="7"/>
      <c r="KNA1195" s="7"/>
      <c r="KNB1195" s="7"/>
      <c r="KNC1195" s="7"/>
      <c r="KND1195" s="7"/>
      <c r="KNE1195" s="7"/>
      <c r="KNF1195" s="7"/>
      <c r="KNG1195" s="7"/>
      <c r="KNH1195" s="7"/>
      <c r="KNI1195" s="7"/>
      <c r="KNJ1195" s="7"/>
      <c r="KNK1195" s="7"/>
      <c r="KNL1195" s="7"/>
      <c r="KNM1195" s="7"/>
      <c r="KNN1195" s="7"/>
      <c r="KNO1195" s="7"/>
      <c r="KNP1195" s="7"/>
      <c r="KNQ1195" s="7"/>
      <c r="KNR1195" s="7"/>
      <c r="KNS1195" s="7"/>
      <c r="KNT1195" s="7"/>
      <c r="KNU1195" s="7"/>
      <c r="KNV1195" s="7"/>
      <c r="KNW1195" s="7"/>
      <c r="KNX1195" s="7"/>
      <c r="KNY1195" s="7"/>
      <c r="KNZ1195" s="7"/>
      <c r="KOA1195" s="7"/>
      <c r="KOB1195" s="7"/>
      <c r="KOC1195" s="7"/>
      <c r="KOD1195" s="7"/>
      <c r="KOE1195" s="7"/>
      <c r="KOF1195" s="7"/>
      <c r="KOG1195" s="7"/>
      <c r="KOH1195" s="7"/>
      <c r="KOI1195" s="7"/>
      <c r="KOJ1195" s="7"/>
      <c r="KOK1195" s="7"/>
      <c r="KOL1195" s="7"/>
      <c r="KOM1195" s="7"/>
      <c r="KON1195" s="7"/>
      <c r="KOO1195" s="7"/>
      <c r="KOP1195" s="7"/>
      <c r="KOQ1195" s="7"/>
      <c r="KOR1195" s="7"/>
      <c r="KOS1195" s="7"/>
      <c r="KOT1195" s="7"/>
      <c r="KOU1195" s="7"/>
      <c r="KOV1195" s="7"/>
      <c r="KOW1195" s="7"/>
      <c r="KOX1195" s="7"/>
      <c r="KOY1195" s="7"/>
      <c r="KOZ1195" s="7"/>
      <c r="KPA1195" s="7"/>
      <c r="KPB1195" s="7"/>
      <c r="KPC1195" s="7"/>
      <c r="KPD1195" s="7"/>
      <c r="KPE1195" s="7"/>
      <c r="KPF1195" s="7"/>
      <c r="KPG1195" s="7"/>
      <c r="KPH1195" s="7"/>
      <c r="KPI1195" s="7"/>
      <c r="KPJ1195" s="7"/>
      <c r="KPK1195" s="7"/>
      <c r="KPL1195" s="7"/>
      <c r="KPM1195" s="7"/>
      <c r="KPN1195" s="7"/>
      <c r="KPO1195" s="7"/>
      <c r="KPP1195" s="7"/>
      <c r="KPQ1195" s="7"/>
      <c r="KPR1195" s="7"/>
      <c r="KPS1195" s="7"/>
      <c r="KPT1195" s="7"/>
      <c r="KPU1195" s="7"/>
      <c r="KPV1195" s="7"/>
      <c r="KPW1195" s="7"/>
      <c r="KPX1195" s="7"/>
      <c r="KPY1195" s="7"/>
      <c r="KPZ1195" s="7"/>
      <c r="KQA1195" s="7"/>
      <c r="KQB1195" s="7"/>
      <c r="KQC1195" s="7"/>
      <c r="KQD1195" s="7"/>
      <c r="KQE1195" s="7"/>
      <c r="KQF1195" s="7"/>
      <c r="KQG1195" s="7"/>
      <c r="KQH1195" s="7"/>
      <c r="KQI1195" s="7"/>
      <c r="KQJ1195" s="7"/>
      <c r="KQK1195" s="7"/>
      <c r="KQL1195" s="7"/>
      <c r="KQM1195" s="7"/>
      <c r="KQN1195" s="7"/>
      <c r="KQO1195" s="7"/>
      <c r="KQP1195" s="7"/>
      <c r="KQQ1195" s="7"/>
      <c r="KQR1195" s="7"/>
      <c r="KQS1195" s="7"/>
      <c r="KQT1195" s="7"/>
      <c r="KQU1195" s="7"/>
      <c r="KQV1195" s="7"/>
      <c r="KQW1195" s="7"/>
      <c r="KQX1195" s="7"/>
      <c r="KQY1195" s="7"/>
      <c r="KQZ1195" s="7"/>
      <c r="KRA1195" s="7"/>
      <c r="KRB1195" s="7"/>
      <c r="KRC1195" s="7"/>
      <c r="KRD1195" s="7"/>
      <c r="KRE1195" s="7"/>
      <c r="KRF1195" s="7"/>
      <c r="KRG1195" s="7"/>
      <c r="KRH1195" s="7"/>
      <c r="KRI1195" s="7"/>
      <c r="KRJ1195" s="7"/>
      <c r="KRK1195" s="7"/>
      <c r="KRL1195" s="7"/>
      <c r="KRM1195" s="7"/>
      <c r="KRN1195" s="7"/>
      <c r="KRO1195" s="7"/>
      <c r="KRP1195" s="7"/>
      <c r="KRQ1195" s="7"/>
      <c r="KRR1195" s="7"/>
      <c r="KRS1195" s="7"/>
      <c r="KRT1195" s="7"/>
      <c r="KRU1195" s="7"/>
      <c r="KRV1195" s="7"/>
      <c r="KRW1195" s="7"/>
      <c r="KRX1195" s="7"/>
      <c r="KRY1195" s="7"/>
      <c r="KRZ1195" s="7"/>
      <c r="KSA1195" s="7"/>
      <c r="KSB1195" s="7"/>
      <c r="KSC1195" s="7"/>
      <c r="KSD1195" s="7"/>
      <c r="KSE1195" s="7"/>
      <c r="KSF1195" s="7"/>
      <c r="KSG1195" s="7"/>
      <c r="KSH1195" s="7"/>
      <c r="KSI1195" s="7"/>
      <c r="KSJ1195" s="7"/>
      <c r="KSK1195" s="7"/>
      <c r="KSL1195" s="7"/>
      <c r="KSM1195" s="7"/>
      <c r="KSN1195" s="7"/>
      <c r="KSO1195" s="7"/>
      <c r="KSP1195" s="7"/>
      <c r="KSQ1195" s="7"/>
      <c r="KSR1195" s="7"/>
      <c r="KSS1195" s="7"/>
      <c r="KST1195" s="7"/>
      <c r="KSU1195" s="7"/>
      <c r="KSV1195" s="7"/>
      <c r="KSW1195" s="7"/>
      <c r="KSX1195" s="7"/>
      <c r="KSY1195" s="7"/>
      <c r="KSZ1195" s="7"/>
      <c r="KTA1195" s="7"/>
      <c r="KTB1195" s="7"/>
      <c r="KTC1195" s="7"/>
      <c r="KTD1195" s="7"/>
      <c r="KTE1195" s="7"/>
      <c r="KTF1195" s="7"/>
      <c r="KTG1195" s="7"/>
      <c r="KTH1195" s="7"/>
      <c r="KTI1195" s="7"/>
      <c r="KTJ1195" s="7"/>
      <c r="KTK1195" s="7"/>
      <c r="KTL1195" s="7"/>
      <c r="KTM1195" s="7"/>
      <c r="KTN1195" s="7"/>
      <c r="KTO1195" s="7"/>
      <c r="KTP1195" s="7"/>
      <c r="KTQ1195" s="7"/>
      <c r="KTR1195" s="7"/>
      <c r="KTS1195" s="7"/>
      <c r="KTT1195" s="7"/>
      <c r="KTU1195" s="7"/>
      <c r="KTV1195" s="7"/>
      <c r="KTW1195" s="7"/>
      <c r="KTX1195" s="7"/>
      <c r="KTY1195" s="7"/>
      <c r="KTZ1195" s="7"/>
      <c r="KUA1195" s="7"/>
      <c r="KUB1195" s="7"/>
      <c r="KUC1195" s="7"/>
      <c r="KUD1195" s="7"/>
      <c r="KUE1195" s="7"/>
      <c r="KUF1195" s="7"/>
      <c r="KUG1195" s="7"/>
      <c r="KUH1195" s="7"/>
      <c r="KUI1195" s="7"/>
      <c r="KUJ1195" s="7"/>
      <c r="KUK1195" s="7"/>
      <c r="KUL1195" s="7"/>
      <c r="KUM1195" s="7"/>
      <c r="KUN1195" s="7"/>
      <c r="KUO1195" s="7"/>
      <c r="KUP1195" s="7"/>
      <c r="KUQ1195" s="7"/>
      <c r="KUR1195" s="7"/>
      <c r="KUS1195" s="7"/>
      <c r="KUT1195" s="7"/>
      <c r="KUU1195" s="7"/>
      <c r="KUV1195" s="7"/>
      <c r="KUW1195" s="7"/>
      <c r="KUX1195" s="7"/>
      <c r="KUY1195" s="7"/>
      <c r="KUZ1195" s="7"/>
      <c r="KVA1195" s="7"/>
      <c r="KVB1195" s="7"/>
      <c r="KVC1195" s="7"/>
      <c r="KVD1195" s="7"/>
      <c r="KVE1195" s="7"/>
      <c r="KVF1195" s="7"/>
      <c r="KVG1195" s="7"/>
      <c r="KVH1195" s="7"/>
      <c r="KVI1195" s="7"/>
      <c r="KVJ1195" s="7"/>
      <c r="KVK1195" s="7"/>
      <c r="KVL1195" s="7"/>
      <c r="KVM1195" s="7"/>
      <c r="KVN1195" s="7"/>
      <c r="KVO1195" s="7"/>
      <c r="KVP1195" s="7"/>
      <c r="KVQ1195" s="7"/>
      <c r="KVR1195" s="7"/>
      <c r="KVS1195" s="7"/>
      <c r="KVT1195" s="7"/>
      <c r="KVU1195" s="7"/>
      <c r="KVV1195" s="7"/>
      <c r="KVW1195" s="7"/>
      <c r="KVX1195" s="7"/>
      <c r="KVY1195" s="7"/>
      <c r="KVZ1195" s="7"/>
      <c r="KWA1195" s="7"/>
      <c r="KWB1195" s="7"/>
      <c r="KWC1195" s="7"/>
      <c r="KWD1195" s="7"/>
      <c r="KWE1195" s="7"/>
      <c r="KWF1195" s="7"/>
      <c r="KWG1195" s="7"/>
      <c r="KWH1195" s="7"/>
      <c r="KWI1195" s="7"/>
      <c r="KWJ1195" s="7"/>
      <c r="KWK1195" s="7"/>
      <c r="KWL1195" s="7"/>
      <c r="KWM1195" s="7"/>
      <c r="KWN1195" s="7"/>
      <c r="KWO1195" s="7"/>
      <c r="KWP1195" s="7"/>
      <c r="KWQ1195" s="7"/>
      <c r="KWR1195" s="7"/>
      <c r="KWS1195" s="7"/>
      <c r="KWT1195" s="7"/>
      <c r="KWU1195" s="7"/>
      <c r="KWV1195" s="7"/>
      <c r="KWW1195" s="7"/>
      <c r="KWX1195" s="7"/>
      <c r="KWY1195" s="7"/>
      <c r="KWZ1195" s="7"/>
      <c r="KXA1195" s="7"/>
      <c r="KXB1195" s="7"/>
      <c r="KXC1195" s="7"/>
      <c r="KXD1195" s="7"/>
      <c r="KXE1195" s="7"/>
      <c r="KXF1195" s="7"/>
      <c r="KXG1195" s="7"/>
      <c r="KXH1195" s="7"/>
      <c r="KXI1195" s="7"/>
      <c r="KXJ1195" s="7"/>
      <c r="KXK1195" s="7"/>
      <c r="KXL1195" s="7"/>
      <c r="KXM1195" s="7"/>
      <c r="KXN1195" s="7"/>
      <c r="KXO1195" s="7"/>
      <c r="KXP1195" s="7"/>
      <c r="KXQ1195" s="7"/>
      <c r="KXR1195" s="7"/>
      <c r="KXS1195" s="7"/>
      <c r="KXT1195" s="7"/>
      <c r="KXU1195" s="7"/>
      <c r="KXV1195" s="7"/>
      <c r="KXW1195" s="7"/>
      <c r="KXX1195" s="7"/>
      <c r="KXY1195" s="7"/>
      <c r="KXZ1195" s="7"/>
      <c r="KYA1195" s="7"/>
      <c r="KYB1195" s="7"/>
      <c r="KYC1195" s="7"/>
      <c r="KYD1195" s="7"/>
      <c r="KYE1195" s="7"/>
      <c r="KYF1195" s="7"/>
      <c r="KYG1195" s="7"/>
      <c r="KYH1195" s="7"/>
      <c r="KYI1195" s="7"/>
      <c r="KYJ1195" s="7"/>
      <c r="KYK1195" s="7"/>
      <c r="KYL1195" s="7"/>
      <c r="KYM1195" s="7"/>
      <c r="KYN1195" s="7"/>
      <c r="KYO1195" s="7"/>
      <c r="KYP1195" s="7"/>
      <c r="KYQ1195" s="7"/>
      <c r="KYR1195" s="7"/>
      <c r="KYS1195" s="7"/>
      <c r="KYT1195" s="7"/>
      <c r="KYU1195" s="7"/>
      <c r="KYV1195" s="7"/>
      <c r="KYW1195" s="7"/>
      <c r="KYX1195" s="7"/>
      <c r="KYY1195" s="7"/>
      <c r="KYZ1195" s="7"/>
      <c r="KZA1195" s="7"/>
      <c r="KZB1195" s="7"/>
      <c r="KZC1195" s="7"/>
      <c r="KZD1195" s="7"/>
      <c r="KZE1195" s="7"/>
      <c r="KZF1195" s="7"/>
      <c r="KZG1195" s="7"/>
      <c r="KZH1195" s="7"/>
      <c r="KZI1195" s="7"/>
      <c r="KZJ1195" s="7"/>
      <c r="KZK1195" s="7"/>
      <c r="KZL1195" s="7"/>
      <c r="KZM1195" s="7"/>
      <c r="KZN1195" s="7"/>
      <c r="KZO1195" s="7"/>
      <c r="KZP1195" s="7"/>
      <c r="KZQ1195" s="7"/>
      <c r="KZR1195" s="7"/>
      <c r="KZS1195" s="7"/>
      <c r="KZT1195" s="7"/>
      <c r="KZU1195" s="7"/>
      <c r="KZV1195" s="7"/>
      <c r="KZW1195" s="7"/>
      <c r="KZX1195" s="7"/>
      <c r="KZY1195" s="7"/>
      <c r="KZZ1195" s="7"/>
      <c r="LAA1195" s="7"/>
      <c r="LAB1195" s="7"/>
      <c r="LAC1195" s="7"/>
      <c r="LAD1195" s="7"/>
      <c r="LAE1195" s="7"/>
      <c r="LAF1195" s="7"/>
      <c r="LAG1195" s="7"/>
      <c r="LAH1195" s="7"/>
      <c r="LAI1195" s="7"/>
      <c r="LAJ1195" s="7"/>
      <c r="LAK1195" s="7"/>
      <c r="LAL1195" s="7"/>
      <c r="LAM1195" s="7"/>
      <c r="LAN1195" s="7"/>
      <c r="LAO1195" s="7"/>
      <c r="LAP1195" s="7"/>
      <c r="LAQ1195" s="7"/>
      <c r="LAR1195" s="7"/>
      <c r="LAS1195" s="7"/>
      <c r="LAT1195" s="7"/>
      <c r="LAU1195" s="7"/>
      <c r="LAV1195" s="7"/>
      <c r="LAW1195" s="7"/>
      <c r="LAX1195" s="7"/>
      <c r="LAY1195" s="7"/>
      <c r="LAZ1195" s="7"/>
      <c r="LBA1195" s="7"/>
      <c r="LBB1195" s="7"/>
      <c r="LBC1195" s="7"/>
      <c r="LBD1195" s="7"/>
      <c r="LBE1195" s="7"/>
      <c r="LBF1195" s="7"/>
      <c r="LBG1195" s="7"/>
      <c r="LBH1195" s="7"/>
      <c r="LBI1195" s="7"/>
      <c r="LBJ1195" s="7"/>
      <c r="LBK1195" s="7"/>
      <c r="LBL1195" s="7"/>
      <c r="LBM1195" s="7"/>
      <c r="LBN1195" s="7"/>
      <c r="LBO1195" s="7"/>
      <c r="LBP1195" s="7"/>
      <c r="LBQ1195" s="7"/>
      <c r="LBR1195" s="7"/>
      <c r="LBS1195" s="7"/>
      <c r="LBT1195" s="7"/>
      <c r="LBU1195" s="7"/>
      <c r="LBV1195" s="7"/>
      <c r="LBW1195" s="7"/>
      <c r="LBX1195" s="7"/>
      <c r="LBY1195" s="7"/>
      <c r="LBZ1195" s="7"/>
      <c r="LCA1195" s="7"/>
      <c r="LCB1195" s="7"/>
      <c r="LCC1195" s="7"/>
      <c r="LCD1195" s="7"/>
      <c r="LCE1195" s="7"/>
      <c r="LCF1195" s="7"/>
      <c r="LCG1195" s="7"/>
      <c r="LCH1195" s="7"/>
      <c r="LCI1195" s="7"/>
      <c r="LCJ1195" s="7"/>
      <c r="LCK1195" s="7"/>
      <c r="LCL1195" s="7"/>
      <c r="LCM1195" s="7"/>
      <c r="LCN1195" s="7"/>
      <c r="LCO1195" s="7"/>
      <c r="LCP1195" s="7"/>
      <c r="LCQ1195" s="7"/>
      <c r="LCR1195" s="7"/>
      <c r="LCS1195" s="7"/>
      <c r="LCT1195" s="7"/>
      <c r="LCU1195" s="7"/>
      <c r="LCV1195" s="7"/>
      <c r="LCW1195" s="7"/>
      <c r="LCX1195" s="7"/>
      <c r="LCY1195" s="7"/>
      <c r="LCZ1195" s="7"/>
      <c r="LDA1195" s="7"/>
      <c r="LDB1195" s="7"/>
      <c r="LDC1195" s="7"/>
      <c r="LDD1195" s="7"/>
      <c r="LDE1195" s="7"/>
      <c r="LDF1195" s="7"/>
      <c r="LDG1195" s="7"/>
      <c r="LDH1195" s="7"/>
      <c r="LDI1195" s="7"/>
      <c r="LDJ1195" s="7"/>
      <c r="LDK1195" s="7"/>
      <c r="LDL1195" s="7"/>
      <c r="LDM1195" s="7"/>
      <c r="LDN1195" s="7"/>
      <c r="LDO1195" s="7"/>
      <c r="LDP1195" s="7"/>
      <c r="LDQ1195" s="7"/>
      <c r="LDR1195" s="7"/>
      <c r="LDS1195" s="7"/>
      <c r="LDT1195" s="7"/>
      <c r="LDU1195" s="7"/>
      <c r="LDV1195" s="7"/>
      <c r="LDW1195" s="7"/>
      <c r="LDX1195" s="7"/>
      <c r="LDY1195" s="7"/>
      <c r="LDZ1195" s="7"/>
      <c r="LEA1195" s="7"/>
      <c r="LEB1195" s="7"/>
      <c r="LEC1195" s="7"/>
      <c r="LED1195" s="7"/>
      <c r="LEE1195" s="7"/>
      <c r="LEF1195" s="7"/>
      <c r="LEG1195" s="7"/>
      <c r="LEH1195" s="7"/>
      <c r="LEI1195" s="7"/>
      <c r="LEJ1195" s="7"/>
      <c r="LEK1195" s="7"/>
      <c r="LEL1195" s="7"/>
      <c r="LEM1195" s="7"/>
      <c r="LEN1195" s="7"/>
      <c r="LEO1195" s="7"/>
      <c r="LEP1195" s="7"/>
      <c r="LEQ1195" s="7"/>
      <c r="LER1195" s="7"/>
      <c r="LES1195" s="7"/>
      <c r="LET1195" s="7"/>
      <c r="LEU1195" s="7"/>
      <c r="LEV1195" s="7"/>
      <c r="LEW1195" s="7"/>
      <c r="LEX1195" s="7"/>
      <c r="LEY1195" s="7"/>
      <c r="LEZ1195" s="7"/>
      <c r="LFA1195" s="7"/>
      <c r="LFB1195" s="7"/>
      <c r="LFC1195" s="7"/>
      <c r="LFD1195" s="7"/>
      <c r="LFE1195" s="7"/>
      <c r="LFF1195" s="7"/>
      <c r="LFG1195" s="7"/>
      <c r="LFH1195" s="7"/>
      <c r="LFI1195" s="7"/>
      <c r="LFJ1195" s="7"/>
      <c r="LFK1195" s="7"/>
      <c r="LFL1195" s="7"/>
      <c r="LFM1195" s="7"/>
      <c r="LFN1195" s="7"/>
      <c r="LFO1195" s="7"/>
      <c r="LFP1195" s="7"/>
      <c r="LFQ1195" s="7"/>
      <c r="LFR1195" s="7"/>
      <c r="LFS1195" s="7"/>
      <c r="LFT1195" s="7"/>
      <c r="LFU1195" s="7"/>
      <c r="LFV1195" s="7"/>
      <c r="LFW1195" s="7"/>
      <c r="LFX1195" s="7"/>
      <c r="LFY1195" s="7"/>
      <c r="LFZ1195" s="7"/>
      <c r="LGA1195" s="7"/>
      <c r="LGB1195" s="7"/>
      <c r="LGC1195" s="7"/>
      <c r="LGD1195" s="7"/>
      <c r="LGE1195" s="7"/>
      <c r="LGF1195" s="7"/>
      <c r="LGG1195" s="7"/>
      <c r="LGH1195" s="7"/>
      <c r="LGI1195" s="7"/>
      <c r="LGJ1195" s="7"/>
      <c r="LGK1195" s="7"/>
      <c r="LGL1195" s="7"/>
      <c r="LGM1195" s="7"/>
      <c r="LGN1195" s="7"/>
      <c r="LGO1195" s="7"/>
      <c r="LGP1195" s="7"/>
      <c r="LGQ1195" s="7"/>
      <c r="LGR1195" s="7"/>
      <c r="LGS1195" s="7"/>
      <c r="LGT1195" s="7"/>
      <c r="LGU1195" s="7"/>
      <c r="LGV1195" s="7"/>
      <c r="LGW1195" s="7"/>
      <c r="LGX1195" s="7"/>
      <c r="LGY1195" s="7"/>
      <c r="LGZ1195" s="7"/>
      <c r="LHA1195" s="7"/>
      <c r="LHB1195" s="7"/>
      <c r="LHC1195" s="7"/>
      <c r="LHD1195" s="7"/>
      <c r="LHE1195" s="7"/>
      <c r="LHF1195" s="7"/>
      <c r="LHG1195" s="7"/>
      <c r="LHH1195" s="7"/>
      <c r="LHI1195" s="7"/>
      <c r="LHJ1195" s="7"/>
      <c r="LHK1195" s="7"/>
      <c r="LHL1195" s="7"/>
      <c r="LHM1195" s="7"/>
      <c r="LHN1195" s="7"/>
      <c r="LHO1195" s="7"/>
      <c r="LHP1195" s="7"/>
      <c r="LHQ1195" s="7"/>
      <c r="LHR1195" s="7"/>
      <c r="LHS1195" s="7"/>
      <c r="LHT1195" s="7"/>
      <c r="LHU1195" s="7"/>
      <c r="LHV1195" s="7"/>
      <c r="LHW1195" s="7"/>
      <c r="LHX1195" s="7"/>
      <c r="LHY1195" s="7"/>
      <c r="LHZ1195" s="7"/>
      <c r="LIA1195" s="7"/>
      <c r="LIB1195" s="7"/>
      <c r="LIC1195" s="7"/>
      <c r="LID1195" s="7"/>
      <c r="LIE1195" s="7"/>
      <c r="LIF1195" s="7"/>
      <c r="LIG1195" s="7"/>
      <c r="LIH1195" s="7"/>
      <c r="LII1195" s="7"/>
      <c r="LIJ1195" s="7"/>
      <c r="LIK1195" s="7"/>
      <c r="LIL1195" s="7"/>
      <c r="LIM1195" s="7"/>
      <c r="LIN1195" s="7"/>
      <c r="LIO1195" s="7"/>
      <c r="LIP1195" s="7"/>
      <c r="LIQ1195" s="7"/>
      <c r="LIR1195" s="7"/>
      <c r="LIS1195" s="7"/>
      <c r="LIT1195" s="7"/>
      <c r="LIU1195" s="7"/>
      <c r="LIV1195" s="7"/>
      <c r="LIW1195" s="7"/>
      <c r="LIX1195" s="7"/>
      <c r="LIY1195" s="7"/>
      <c r="LIZ1195" s="7"/>
      <c r="LJA1195" s="7"/>
      <c r="LJB1195" s="7"/>
      <c r="LJC1195" s="7"/>
      <c r="LJD1195" s="7"/>
      <c r="LJE1195" s="7"/>
      <c r="LJF1195" s="7"/>
      <c r="LJG1195" s="7"/>
      <c r="LJH1195" s="7"/>
      <c r="LJI1195" s="7"/>
      <c r="LJJ1195" s="7"/>
      <c r="LJK1195" s="7"/>
      <c r="LJL1195" s="7"/>
      <c r="LJM1195" s="7"/>
      <c r="LJN1195" s="7"/>
      <c r="LJO1195" s="7"/>
      <c r="LJP1195" s="7"/>
      <c r="LJQ1195" s="7"/>
      <c r="LJR1195" s="7"/>
      <c r="LJS1195" s="7"/>
      <c r="LJT1195" s="7"/>
      <c r="LJU1195" s="7"/>
      <c r="LJV1195" s="7"/>
      <c r="LJW1195" s="7"/>
      <c r="LJX1195" s="7"/>
      <c r="LJY1195" s="7"/>
      <c r="LJZ1195" s="7"/>
      <c r="LKA1195" s="7"/>
      <c r="LKB1195" s="7"/>
      <c r="LKC1195" s="7"/>
      <c r="LKD1195" s="7"/>
      <c r="LKE1195" s="7"/>
      <c r="LKF1195" s="7"/>
      <c r="LKG1195" s="7"/>
      <c r="LKH1195" s="7"/>
      <c r="LKI1195" s="7"/>
      <c r="LKJ1195" s="7"/>
      <c r="LKK1195" s="7"/>
      <c r="LKL1195" s="7"/>
      <c r="LKM1195" s="7"/>
      <c r="LKN1195" s="7"/>
      <c r="LKO1195" s="7"/>
      <c r="LKP1195" s="7"/>
      <c r="LKQ1195" s="7"/>
      <c r="LKR1195" s="7"/>
      <c r="LKS1195" s="7"/>
      <c r="LKT1195" s="7"/>
      <c r="LKU1195" s="7"/>
      <c r="LKV1195" s="7"/>
      <c r="LKW1195" s="7"/>
      <c r="LKX1195" s="7"/>
      <c r="LKY1195" s="7"/>
      <c r="LKZ1195" s="7"/>
      <c r="LLA1195" s="7"/>
      <c r="LLB1195" s="7"/>
      <c r="LLC1195" s="7"/>
      <c r="LLD1195" s="7"/>
      <c r="LLE1195" s="7"/>
      <c r="LLF1195" s="7"/>
      <c r="LLG1195" s="7"/>
      <c r="LLH1195" s="7"/>
      <c r="LLI1195" s="7"/>
      <c r="LLJ1195" s="7"/>
      <c r="LLK1195" s="7"/>
      <c r="LLL1195" s="7"/>
      <c r="LLM1195" s="7"/>
      <c r="LLN1195" s="7"/>
      <c r="LLO1195" s="7"/>
      <c r="LLP1195" s="7"/>
      <c r="LLQ1195" s="7"/>
      <c r="LLR1195" s="7"/>
      <c r="LLS1195" s="7"/>
      <c r="LLT1195" s="7"/>
      <c r="LLU1195" s="7"/>
      <c r="LLV1195" s="7"/>
      <c r="LLW1195" s="7"/>
      <c r="LLX1195" s="7"/>
      <c r="LLY1195" s="7"/>
      <c r="LLZ1195" s="7"/>
      <c r="LMA1195" s="7"/>
      <c r="LMB1195" s="7"/>
      <c r="LMC1195" s="7"/>
      <c r="LMD1195" s="7"/>
      <c r="LME1195" s="7"/>
      <c r="LMF1195" s="7"/>
      <c r="LMG1195" s="7"/>
      <c r="LMH1195" s="7"/>
      <c r="LMI1195" s="7"/>
      <c r="LMJ1195" s="7"/>
      <c r="LMK1195" s="7"/>
      <c r="LML1195" s="7"/>
      <c r="LMM1195" s="7"/>
      <c r="LMN1195" s="7"/>
      <c r="LMO1195" s="7"/>
      <c r="LMP1195" s="7"/>
      <c r="LMQ1195" s="7"/>
      <c r="LMR1195" s="7"/>
      <c r="LMS1195" s="7"/>
      <c r="LMT1195" s="7"/>
      <c r="LMU1195" s="7"/>
      <c r="LMV1195" s="7"/>
      <c r="LMW1195" s="7"/>
      <c r="LMX1195" s="7"/>
      <c r="LMY1195" s="7"/>
      <c r="LMZ1195" s="7"/>
      <c r="LNA1195" s="7"/>
      <c r="LNB1195" s="7"/>
      <c r="LNC1195" s="7"/>
      <c r="LND1195" s="7"/>
      <c r="LNE1195" s="7"/>
      <c r="LNF1195" s="7"/>
      <c r="LNG1195" s="7"/>
      <c r="LNH1195" s="7"/>
      <c r="LNI1195" s="7"/>
      <c r="LNJ1195" s="7"/>
      <c r="LNK1195" s="7"/>
      <c r="LNL1195" s="7"/>
      <c r="LNM1195" s="7"/>
      <c r="LNN1195" s="7"/>
      <c r="LNO1195" s="7"/>
      <c r="LNP1195" s="7"/>
      <c r="LNQ1195" s="7"/>
      <c r="LNR1195" s="7"/>
      <c r="LNS1195" s="7"/>
      <c r="LNT1195" s="7"/>
      <c r="LNU1195" s="7"/>
      <c r="LNV1195" s="7"/>
      <c r="LNW1195" s="7"/>
      <c r="LNX1195" s="7"/>
      <c r="LNY1195" s="7"/>
      <c r="LNZ1195" s="7"/>
      <c r="LOA1195" s="7"/>
      <c r="LOB1195" s="7"/>
      <c r="LOC1195" s="7"/>
      <c r="LOD1195" s="7"/>
      <c r="LOE1195" s="7"/>
      <c r="LOF1195" s="7"/>
      <c r="LOG1195" s="7"/>
      <c r="LOH1195" s="7"/>
      <c r="LOI1195" s="7"/>
      <c r="LOJ1195" s="7"/>
      <c r="LOK1195" s="7"/>
      <c r="LOL1195" s="7"/>
      <c r="LOM1195" s="7"/>
      <c r="LON1195" s="7"/>
      <c r="LOO1195" s="7"/>
      <c r="LOP1195" s="7"/>
      <c r="LOQ1195" s="7"/>
      <c r="LOR1195" s="7"/>
      <c r="LOS1195" s="7"/>
      <c r="LOT1195" s="7"/>
      <c r="LOU1195" s="7"/>
      <c r="LOV1195" s="7"/>
      <c r="LOW1195" s="7"/>
      <c r="LOX1195" s="7"/>
      <c r="LOY1195" s="7"/>
      <c r="LOZ1195" s="7"/>
      <c r="LPA1195" s="7"/>
      <c r="LPB1195" s="7"/>
      <c r="LPC1195" s="7"/>
      <c r="LPD1195" s="7"/>
      <c r="LPE1195" s="7"/>
      <c r="LPF1195" s="7"/>
      <c r="LPG1195" s="7"/>
      <c r="LPH1195" s="7"/>
      <c r="LPI1195" s="7"/>
      <c r="LPJ1195" s="7"/>
      <c r="LPK1195" s="7"/>
      <c r="LPL1195" s="7"/>
      <c r="LPM1195" s="7"/>
      <c r="LPN1195" s="7"/>
      <c r="LPO1195" s="7"/>
      <c r="LPP1195" s="7"/>
      <c r="LPQ1195" s="7"/>
      <c r="LPR1195" s="7"/>
      <c r="LPS1195" s="7"/>
      <c r="LPT1195" s="7"/>
      <c r="LPU1195" s="7"/>
      <c r="LPV1195" s="7"/>
      <c r="LPW1195" s="7"/>
      <c r="LPX1195" s="7"/>
      <c r="LPY1195" s="7"/>
      <c r="LPZ1195" s="7"/>
      <c r="LQA1195" s="7"/>
      <c r="LQB1195" s="7"/>
      <c r="LQC1195" s="7"/>
      <c r="LQD1195" s="7"/>
      <c r="LQE1195" s="7"/>
      <c r="LQF1195" s="7"/>
      <c r="LQG1195" s="7"/>
      <c r="LQH1195" s="7"/>
      <c r="LQI1195" s="7"/>
      <c r="LQJ1195" s="7"/>
      <c r="LQK1195" s="7"/>
      <c r="LQL1195" s="7"/>
      <c r="LQM1195" s="7"/>
      <c r="LQN1195" s="7"/>
      <c r="LQO1195" s="7"/>
      <c r="LQP1195" s="7"/>
      <c r="LQQ1195" s="7"/>
      <c r="LQR1195" s="7"/>
      <c r="LQS1195" s="7"/>
      <c r="LQT1195" s="7"/>
      <c r="LQU1195" s="7"/>
      <c r="LQV1195" s="7"/>
      <c r="LQW1195" s="7"/>
      <c r="LQX1195" s="7"/>
      <c r="LQY1195" s="7"/>
      <c r="LQZ1195" s="7"/>
      <c r="LRA1195" s="7"/>
      <c r="LRB1195" s="7"/>
      <c r="LRC1195" s="7"/>
      <c r="LRD1195" s="7"/>
      <c r="LRE1195" s="7"/>
      <c r="LRF1195" s="7"/>
      <c r="LRG1195" s="7"/>
      <c r="LRH1195" s="7"/>
      <c r="LRI1195" s="7"/>
      <c r="LRJ1195" s="7"/>
      <c r="LRK1195" s="7"/>
      <c r="LRL1195" s="7"/>
      <c r="LRM1195" s="7"/>
      <c r="LRN1195" s="7"/>
      <c r="LRO1195" s="7"/>
      <c r="LRP1195" s="7"/>
      <c r="LRQ1195" s="7"/>
      <c r="LRR1195" s="7"/>
      <c r="LRS1195" s="7"/>
      <c r="LRT1195" s="7"/>
      <c r="LRU1195" s="7"/>
      <c r="LRV1195" s="7"/>
      <c r="LRW1195" s="7"/>
      <c r="LRX1195" s="7"/>
      <c r="LRY1195" s="7"/>
      <c r="LRZ1195" s="7"/>
      <c r="LSA1195" s="7"/>
      <c r="LSB1195" s="7"/>
      <c r="LSC1195" s="7"/>
      <c r="LSD1195" s="7"/>
      <c r="LSE1195" s="7"/>
      <c r="LSF1195" s="7"/>
      <c r="LSG1195" s="7"/>
      <c r="LSH1195" s="7"/>
      <c r="LSI1195" s="7"/>
      <c r="LSJ1195" s="7"/>
      <c r="LSK1195" s="7"/>
      <c r="LSL1195" s="7"/>
      <c r="LSM1195" s="7"/>
      <c r="LSN1195" s="7"/>
      <c r="LSO1195" s="7"/>
      <c r="LSP1195" s="7"/>
      <c r="LSQ1195" s="7"/>
      <c r="LSR1195" s="7"/>
      <c r="LSS1195" s="7"/>
      <c r="LST1195" s="7"/>
      <c r="LSU1195" s="7"/>
      <c r="LSV1195" s="7"/>
      <c r="LSW1195" s="7"/>
      <c r="LSX1195" s="7"/>
      <c r="LSY1195" s="7"/>
      <c r="LSZ1195" s="7"/>
      <c r="LTA1195" s="7"/>
      <c r="LTB1195" s="7"/>
      <c r="LTC1195" s="7"/>
      <c r="LTD1195" s="7"/>
      <c r="LTE1195" s="7"/>
      <c r="LTF1195" s="7"/>
      <c r="LTG1195" s="7"/>
      <c r="LTH1195" s="7"/>
      <c r="LTI1195" s="7"/>
      <c r="LTJ1195" s="7"/>
      <c r="LTK1195" s="7"/>
      <c r="LTL1195" s="7"/>
      <c r="LTM1195" s="7"/>
      <c r="LTN1195" s="7"/>
      <c r="LTO1195" s="7"/>
      <c r="LTP1195" s="7"/>
      <c r="LTQ1195" s="7"/>
      <c r="LTR1195" s="7"/>
      <c r="LTS1195" s="7"/>
      <c r="LTT1195" s="7"/>
      <c r="LTU1195" s="7"/>
      <c r="LTV1195" s="7"/>
      <c r="LTW1195" s="7"/>
      <c r="LTX1195" s="7"/>
      <c r="LTY1195" s="7"/>
      <c r="LTZ1195" s="7"/>
      <c r="LUA1195" s="7"/>
      <c r="LUB1195" s="7"/>
      <c r="LUC1195" s="7"/>
      <c r="LUD1195" s="7"/>
      <c r="LUE1195" s="7"/>
      <c r="LUF1195" s="7"/>
      <c r="LUG1195" s="7"/>
      <c r="LUH1195" s="7"/>
      <c r="LUI1195" s="7"/>
      <c r="LUJ1195" s="7"/>
      <c r="LUK1195" s="7"/>
      <c r="LUL1195" s="7"/>
      <c r="LUM1195" s="7"/>
      <c r="LUN1195" s="7"/>
      <c r="LUO1195" s="7"/>
      <c r="LUP1195" s="7"/>
      <c r="LUQ1195" s="7"/>
      <c r="LUR1195" s="7"/>
      <c r="LUS1195" s="7"/>
      <c r="LUT1195" s="7"/>
      <c r="LUU1195" s="7"/>
      <c r="LUV1195" s="7"/>
      <c r="LUW1195" s="7"/>
      <c r="LUX1195" s="7"/>
      <c r="LUY1195" s="7"/>
      <c r="LUZ1195" s="7"/>
      <c r="LVA1195" s="7"/>
      <c r="LVB1195" s="7"/>
      <c r="LVC1195" s="7"/>
      <c r="LVD1195" s="7"/>
      <c r="LVE1195" s="7"/>
      <c r="LVF1195" s="7"/>
      <c r="LVG1195" s="7"/>
      <c r="LVH1195" s="7"/>
      <c r="LVI1195" s="7"/>
      <c r="LVJ1195" s="7"/>
      <c r="LVK1195" s="7"/>
      <c r="LVL1195" s="7"/>
      <c r="LVM1195" s="7"/>
      <c r="LVN1195" s="7"/>
      <c r="LVO1195" s="7"/>
      <c r="LVP1195" s="7"/>
      <c r="LVQ1195" s="7"/>
      <c r="LVR1195" s="7"/>
      <c r="LVS1195" s="7"/>
      <c r="LVT1195" s="7"/>
      <c r="LVU1195" s="7"/>
      <c r="LVV1195" s="7"/>
      <c r="LVW1195" s="7"/>
      <c r="LVX1195" s="7"/>
      <c r="LVY1195" s="7"/>
      <c r="LVZ1195" s="7"/>
      <c r="LWA1195" s="7"/>
      <c r="LWB1195" s="7"/>
      <c r="LWC1195" s="7"/>
      <c r="LWD1195" s="7"/>
      <c r="LWE1195" s="7"/>
      <c r="LWF1195" s="7"/>
      <c r="LWG1195" s="7"/>
      <c r="LWH1195" s="7"/>
      <c r="LWI1195" s="7"/>
      <c r="LWJ1195" s="7"/>
      <c r="LWK1195" s="7"/>
      <c r="LWL1195" s="7"/>
      <c r="LWM1195" s="7"/>
      <c r="LWN1195" s="7"/>
      <c r="LWO1195" s="7"/>
      <c r="LWP1195" s="7"/>
      <c r="LWQ1195" s="7"/>
      <c r="LWR1195" s="7"/>
      <c r="LWS1195" s="7"/>
      <c r="LWT1195" s="7"/>
      <c r="LWU1195" s="7"/>
      <c r="LWV1195" s="7"/>
      <c r="LWW1195" s="7"/>
      <c r="LWX1195" s="7"/>
      <c r="LWY1195" s="7"/>
      <c r="LWZ1195" s="7"/>
      <c r="LXA1195" s="7"/>
      <c r="LXB1195" s="7"/>
      <c r="LXC1195" s="7"/>
      <c r="LXD1195" s="7"/>
      <c r="LXE1195" s="7"/>
      <c r="LXF1195" s="7"/>
      <c r="LXG1195" s="7"/>
      <c r="LXH1195" s="7"/>
      <c r="LXI1195" s="7"/>
      <c r="LXJ1195" s="7"/>
      <c r="LXK1195" s="7"/>
      <c r="LXL1195" s="7"/>
      <c r="LXM1195" s="7"/>
      <c r="LXN1195" s="7"/>
      <c r="LXO1195" s="7"/>
      <c r="LXP1195" s="7"/>
      <c r="LXQ1195" s="7"/>
      <c r="LXR1195" s="7"/>
      <c r="LXS1195" s="7"/>
      <c r="LXT1195" s="7"/>
      <c r="LXU1195" s="7"/>
      <c r="LXV1195" s="7"/>
      <c r="LXW1195" s="7"/>
      <c r="LXX1195" s="7"/>
      <c r="LXY1195" s="7"/>
      <c r="LXZ1195" s="7"/>
      <c r="LYA1195" s="7"/>
      <c r="LYB1195" s="7"/>
      <c r="LYC1195" s="7"/>
      <c r="LYD1195" s="7"/>
      <c r="LYE1195" s="7"/>
      <c r="LYF1195" s="7"/>
      <c r="LYG1195" s="7"/>
      <c r="LYH1195" s="7"/>
      <c r="LYI1195" s="7"/>
      <c r="LYJ1195" s="7"/>
      <c r="LYK1195" s="7"/>
      <c r="LYL1195" s="7"/>
      <c r="LYM1195" s="7"/>
      <c r="LYN1195" s="7"/>
      <c r="LYO1195" s="7"/>
      <c r="LYP1195" s="7"/>
      <c r="LYQ1195" s="7"/>
      <c r="LYR1195" s="7"/>
      <c r="LYS1195" s="7"/>
      <c r="LYT1195" s="7"/>
      <c r="LYU1195" s="7"/>
      <c r="LYV1195" s="7"/>
      <c r="LYW1195" s="7"/>
      <c r="LYX1195" s="7"/>
      <c r="LYY1195" s="7"/>
      <c r="LYZ1195" s="7"/>
      <c r="LZA1195" s="7"/>
      <c r="LZB1195" s="7"/>
      <c r="LZC1195" s="7"/>
      <c r="LZD1195" s="7"/>
      <c r="LZE1195" s="7"/>
      <c r="LZF1195" s="7"/>
      <c r="LZG1195" s="7"/>
      <c r="LZH1195" s="7"/>
      <c r="LZI1195" s="7"/>
      <c r="LZJ1195" s="7"/>
      <c r="LZK1195" s="7"/>
      <c r="LZL1195" s="7"/>
      <c r="LZM1195" s="7"/>
      <c r="LZN1195" s="7"/>
      <c r="LZO1195" s="7"/>
      <c r="LZP1195" s="7"/>
      <c r="LZQ1195" s="7"/>
      <c r="LZR1195" s="7"/>
      <c r="LZS1195" s="7"/>
      <c r="LZT1195" s="7"/>
      <c r="LZU1195" s="7"/>
      <c r="LZV1195" s="7"/>
      <c r="LZW1195" s="7"/>
      <c r="LZX1195" s="7"/>
      <c r="LZY1195" s="7"/>
      <c r="LZZ1195" s="7"/>
      <c r="MAA1195" s="7"/>
      <c r="MAB1195" s="7"/>
      <c r="MAC1195" s="7"/>
      <c r="MAD1195" s="7"/>
      <c r="MAE1195" s="7"/>
      <c r="MAF1195" s="7"/>
      <c r="MAG1195" s="7"/>
      <c r="MAH1195" s="7"/>
      <c r="MAI1195" s="7"/>
      <c r="MAJ1195" s="7"/>
      <c r="MAK1195" s="7"/>
      <c r="MAL1195" s="7"/>
      <c r="MAM1195" s="7"/>
      <c r="MAN1195" s="7"/>
      <c r="MAO1195" s="7"/>
      <c r="MAP1195" s="7"/>
      <c r="MAQ1195" s="7"/>
      <c r="MAR1195" s="7"/>
      <c r="MAS1195" s="7"/>
      <c r="MAT1195" s="7"/>
      <c r="MAU1195" s="7"/>
      <c r="MAV1195" s="7"/>
      <c r="MAW1195" s="7"/>
      <c r="MAX1195" s="7"/>
      <c r="MAY1195" s="7"/>
      <c r="MAZ1195" s="7"/>
      <c r="MBA1195" s="7"/>
      <c r="MBB1195" s="7"/>
      <c r="MBC1195" s="7"/>
      <c r="MBD1195" s="7"/>
      <c r="MBE1195" s="7"/>
      <c r="MBF1195" s="7"/>
      <c r="MBG1195" s="7"/>
      <c r="MBH1195" s="7"/>
      <c r="MBI1195" s="7"/>
      <c r="MBJ1195" s="7"/>
      <c r="MBK1195" s="7"/>
      <c r="MBL1195" s="7"/>
      <c r="MBM1195" s="7"/>
      <c r="MBN1195" s="7"/>
      <c r="MBO1195" s="7"/>
      <c r="MBP1195" s="7"/>
      <c r="MBQ1195" s="7"/>
      <c r="MBR1195" s="7"/>
      <c r="MBS1195" s="7"/>
      <c r="MBT1195" s="7"/>
      <c r="MBU1195" s="7"/>
      <c r="MBV1195" s="7"/>
      <c r="MBW1195" s="7"/>
      <c r="MBX1195" s="7"/>
      <c r="MBY1195" s="7"/>
      <c r="MBZ1195" s="7"/>
      <c r="MCA1195" s="7"/>
      <c r="MCB1195" s="7"/>
      <c r="MCC1195" s="7"/>
      <c r="MCD1195" s="7"/>
      <c r="MCE1195" s="7"/>
      <c r="MCF1195" s="7"/>
      <c r="MCG1195" s="7"/>
      <c r="MCH1195" s="7"/>
      <c r="MCI1195" s="7"/>
      <c r="MCJ1195" s="7"/>
      <c r="MCK1195" s="7"/>
      <c r="MCL1195" s="7"/>
      <c r="MCM1195" s="7"/>
      <c r="MCN1195" s="7"/>
      <c r="MCO1195" s="7"/>
      <c r="MCP1195" s="7"/>
      <c r="MCQ1195" s="7"/>
      <c r="MCR1195" s="7"/>
      <c r="MCS1195" s="7"/>
      <c r="MCT1195" s="7"/>
      <c r="MCU1195" s="7"/>
      <c r="MCV1195" s="7"/>
      <c r="MCW1195" s="7"/>
      <c r="MCX1195" s="7"/>
      <c r="MCY1195" s="7"/>
      <c r="MCZ1195" s="7"/>
      <c r="MDA1195" s="7"/>
      <c r="MDB1195" s="7"/>
      <c r="MDC1195" s="7"/>
      <c r="MDD1195" s="7"/>
      <c r="MDE1195" s="7"/>
      <c r="MDF1195" s="7"/>
      <c r="MDG1195" s="7"/>
      <c r="MDH1195" s="7"/>
      <c r="MDI1195" s="7"/>
      <c r="MDJ1195" s="7"/>
      <c r="MDK1195" s="7"/>
      <c r="MDL1195" s="7"/>
      <c r="MDM1195" s="7"/>
      <c r="MDN1195" s="7"/>
      <c r="MDO1195" s="7"/>
      <c r="MDP1195" s="7"/>
      <c r="MDQ1195" s="7"/>
      <c r="MDR1195" s="7"/>
      <c r="MDS1195" s="7"/>
      <c r="MDT1195" s="7"/>
      <c r="MDU1195" s="7"/>
      <c r="MDV1195" s="7"/>
      <c r="MDW1195" s="7"/>
      <c r="MDX1195" s="7"/>
      <c r="MDY1195" s="7"/>
      <c r="MDZ1195" s="7"/>
      <c r="MEA1195" s="7"/>
      <c r="MEB1195" s="7"/>
      <c r="MEC1195" s="7"/>
      <c r="MED1195" s="7"/>
      <c r="MEE1195" s="7"/>
      <c r="MEF1195" s="7"/>
      <c r="MEG1195" s="7"/>
      <c r="MEH1195" s="7"/>
      <c r="MEI1195" s="7"/>
      <c r="MEJ1195" s="7"/>
      <c r="MEK1195" s="7"/>
      <c r="MEL1195" s="7"/>
      <c r="MEM1195" s="7"/>
      <c r="MEN1195" s="7"/>
      <c r="MEO1195" s="7"/>
      <c r="MEP1195" s="7"/>
      <c r="MEQ1195" s="7"/>
      <c r="MER1195" s="7"/>
      <c r="MES1195" s="7"/>
      <c r="MET1195" s="7"/>
      <c r="MEU1195" s="7"/>
      <c r="MEV1195" s="7"/>
      <c r="MEW1195" s="7"/>
      <c r="MEX1195" s="7"/>
      <c r="MEY1195" s="7"/>
      <c r="MEZ1195" s="7"/>
      <c r="MFA1195" s="7"/>
      <c r="MFB1195" s="7"/>
      <c r="MFC1195" s="7"/>
      <c r="MFD1195" s="7"/>
      <c r="MFE1195" s="7"/>
      <c r="MFF1195" s="7"/>
      <c r="MFG1195" s="7"/>
      <c r="MFH1195" s="7"/>
      <c r="MFI1195" s="7"/>
      <c r="MFJ1195" s="7"/>
      <c r="MFK1195" s="7"/>
      <c r="MFL1195" s="7"/>
      <c r="MFM1195" s="7"/>
      <c r="MFN1195" s="7"/>
      <c r="MFO1195" s="7"/>
      <c r="MFP1195" s="7"/>
      <c r="MFQ1195" s="7"/>
      <c r="MFR1195" s="7"/>
      <c r="MFS1195" s="7"/>
      <c r="MFT1195" s="7"/>
      <c r="MFU1195" s="7"/>
      <c r="MFV1195" s="7"/>
      <c r="MFW1195" s="7"/>
      <c r="MFX1195" s="7"/>
      <c r="MFY1195" s="7"/>
      <c r="MFZ1195" s="7"/>
      <c r="MGA1195" s="7"/>
      <c r="MGB1195" s="7"/>
      <c r="MGC1195" s="7"/>
      <c r="MGD1195" s="7"/>
      <c r="MGE1195" s="7"/>
      <c r="MGF1195" s="7"/>
      <c r="MGG1195" s="7"/>
      <c r="MGH1195" s="7"/>
      <c r="MGI1195" s="7"/>
      <c r="MGJ1195" s="7"/>
      <c r="MGK1195" s="7"/>
      <c r="MGL1195" s="7"/>
      <c r="MGM1195" s="7"/>
      <c r="MGN1195" s="7"/>
      <c r="MGO1195" s="7"/>
      <c r="MGP1195" s="7"/>
      <c r="MGQ1195" s="7"/>
      <c r="MGR1195" s="7"/>
      <c r="MGS1195" s="7"/>
      <c r="MGT1195" s="7"/>
      <c r="MGU1195" s="7"/>
      <c r="MGV1195" s="7"/>
      <c r="MGW1195" s="7"/>
      <c r="MGX1195" s="7"/>
      <c r="MGY1195" s="7"/>
      <c r="MGZ1195" s="7"/>
      <c r="MHA1195" s="7"/>
      <c r="MHB1195" s="7"/>
      <c r="MHC1195" s="7"/>
      <c r="MHD1195" s="7"/>
      <c r="MHE1195" s="7"/>
      <c r="MHF1195" s="7"/>
      <c r="MHG1195" s="7"/>
      <c r="MHH1195" s="7"/>
      <c r="MHI1195" s="7"/>
      <c r="MHJ1195" s="7"/>
      <c r="MHK1195" s="7"/>
      <c r="MHL1195" s="7"/>
      <c r="MHM1195" s="7"/>
      <c r="MHN1195" s="7"/>
      <c r="MHO1195" s="7"/>
      <c r="MHP1195" s="7"/>
      <c r="MHQ1195" s="7"/>
      <c r="MHR1195" s="7"/>
      <c r="MHS1195" s="7"/>
      <c r="MHT1195" s="7"/>
      <c r="MHU1195" s="7"/>
      <c r="MHV1195" s="7"/>
      <c r="MHW1195" s="7"/>
      <c r="MHX1195" s="7"/>
      <c r="MHY1195" s="7"/>
      <c r="MHZ1195" s="7"/>
      <c r="MIA1195" s="7"/>
      <c r="MIB1195" s="7"/>
      <c r="MIC1195" s="7"/>
      <c r="MID1195" s="7"/>
      <c r="MIE1195" s="7"/>
      <c r="MIF1195" s="7"/>
      <c r="MIG1195" s="7"/>
      <c r="MIH1195" s="7"/>
      <c r="MII1195" s="7"/>
      <c r="MIJ1195" s="7"/>
      <c r="MIK1195" s="7"/>
      <c r="MIL1195" s="7"/>
      <c r="MIM1195" s="7"/>
      <c r="MIN1195" s="7"/>
      <c r="MIO1195" s="7"/>
      <c r="MIP1195" s="7"/>
      <c r="MIQ1195" s="7"/>
      <c r="MIR1195" s="7"/>
      <c r="MIS1195" s="7"/>
      <c r="MIT1195" s="7"/>
      <c r="MIU1195" s="7"/>
      <c r="MIV1195" s="7"/>
      <c r="MIW1195" s="7"/>
      <c r="MIX1195" s="7"/>
      <c r="MIY1195" s="7"/>
      <c r="MIZ1195" s="7"/>
      <c r="MJA1195" s="7"/>
      <c r="MJB1195" s="7"/>
      <c r="MJC1195" s="7"/>
      <c r="MJD1195" s="7"/>
      <c r="MJE1195" s="7"/>
      <c r="MJF1195" s="7"/>
      <c r="MJG1195" s="7"/>
      <c r="MJH1195" s="7"/>
      <c r="MJI1195" s="7"/>
      <c r="MJJ1195" s="7"/>
      <c r="MJK1195" s="7"/>
      <c r="MJL1195" s="7"/>
      <c r="MJM1195" s="7"/>
      <c r="MJN1195" s="7"/>
      <c r="MJO1195" s="7"/>
      <c r="MJP1195" s="7"/>
      <c r="MJQ1195" s="7"/>
      <c r="MJR1195" s="7"/>
      <c r="MJS1195" s="7"/>
      <c r="MJT1195" s="7"/>
      <c r="MJU1195" s="7"/>
      <c r="MJV1195" s="7"/>
      <c r="MJW1195" s="7"/>
      <c r="MJX1195" s="7"/>
      <c r="MJY1195" s="7"/>
      <c r="MJZ1195" s="7"/>
      <c r="MKA1195" s="7"/>
      <c r="MKB1195" s="7"/>
      <c r="MKC1195" s="7"/>
      <c r="MKD1195" s="7"/>
      <c r="MKE1195" s="7"/>
      <c r="MKF1195" s="7"/>
      <c r="MKG1195" s="7"/>
      <c r="MKH1195" s="7"/>
      <c r="MKI1195" s="7"/>
      <c r="MKJ1195" s="7"/>
      <c r="MKK1195" s="7"/>
      <c r="MKL1195" s="7"/>
      <c r="MKM1195" s="7"/>
      <c r="MKN1195" s="7"/>
      <c r="MKO1195" s="7"/>
      <c r="MKP1195" s="7"/>
      <c r="MKQ1195" s="7"/>
      <c r="MKR1195" s="7"/>
      <c r="MKS1195" s="7"/>
      <c r="MKT1195" s="7"/>
      <c r="MKU1195" s="7"/>
      <c r="MKV1195" s="7"/>
      <c r="MKW1195" s="7"/>
      <c r="MKX1195" s="7"/>
      <c r="MKY1195" s="7"/>
      <c r="MKZ1195" s="7"/>
      <c r="MLA1195" s="7"/>
      <c r="MLB1195" s="7"/>
      <c r="MLC1195" s="7"/>
      <c r="MLD1195" s="7"/>
      <c r="MLE1195" s="7"/>
      <c r="MLF1195" s="7"/>
      <c r="MLG1195" s="7"/>
      <c r="MLH1195" s="7"/>
      <c r="MLI1195" s="7"/>
      <c r="MLJ1195" s="7"/>
      <c r="MLK1195" s="7"/>
      <c r="MLL1195" s="7"/>
      <c r="MLM1195" s="7"/>
      <c r="MLN1195" s="7"/>
      <c r="MLO1195" s="7"/>
      <c r="MLP1195" s="7"/>
      <c r="MLQ1195" s="7"/>
      <c r="MLR1195" s="7"/>
      <c r="MLS1195" s="7"/>
      <c r="MLT1195" s="7"/>
      <c r="MLU1195" s="7"/>
      <c r="MLV1195" s="7"/>
      <c r="MLW1195" s="7"/>
      <c r="MLX1195" s="7"/>
      <c r="MLY1195" s="7"/>
      <c r="MLZ1195" s="7"/>
      <c r="MMA1195" s="7"/>
      <c r="MMB1195" s="7"/>
      <c r="MMC1195" s="7"/>
      <c r="MMD1195" s="7"/>
      <c r="MME1195" s="7"/>
      <c r="MMF1195" s="7"/>
      <c r="MMG1195" s="7"/>
      <c r="MMH1195" s="7"/>
      <c r="MMI1195" s="7"/>
      <c r="MMJ1195" s="7"/>
      <c r="MMK1195" s="7"/>
      <c r="MML1195" s="7"/>
      <c r="MMM1195" s="7"/>
      <c r="MMN1195" s="7"/>
      <c r="MMO1195" s="7"/>
      <c r="MMP1195" s="7"/>
      <c r="MMQ1195" s="7"/>
      <c r="MMR1195" s="7"/>
      <c r="MMS1195" s="7"/>
      <c r="MMT1195" s="7"/>
      <c r="MMU1195" s="7"/>
      <c r="MMV1195" s="7"/>
      <c r="MMW1195" s="7"/>
      <c r="MMX1195" s="7"/>
      <c r="MMY1195" s="7"/>
      <c r="MMZ1195" s="7"/>
      <c r="MNA1195" s="7"/>
      <c r="MNB1195" s="7"/>
      <c r="MNC1195" s="7"/>
      <c r="MND1195" s="7"/>
      <c r="MNE1195" s="7"/>
      <c r="MNF1195" s="7"/>
      <c r="MNG1195" s="7"/>
      <c r="MNH1195" s="7"/>
      <c r="MNI1195" s="7"/>
      <c r="MNJ1195" s="7"/>
      <c r="MNK1195" s="7"/>
      <c r="MNL1195" s="7"/>
      <c r="MNM1195" s="7"/>
      <c r="MNN1195" s="7"/>
      <c r="MNO1195" s="7"/>
      <c r="MNP1195" s="7"/>
      <c r="MNQ1195" s="7"/>
      <c r="MNR1195" s="7"/>
      <c r="MNS1195" s="7"/>
      <c r="MNT1195" s="7"/>
      <c r="MNU1195" s="7"/>
      <c r="MNV1195" s="7"/>
      <c r="MNW1195" s="7"/>
      <c r="MNX1195" s="7"/>
      <c r="MNY1195" s="7"/>
      <c r="MNZ1195" s="7"/>
      <c r="MOA1195" s="7"/>
      <c r="MOB1195" s="7"/>
      <c r="MOC1195" s="7"/>
      <c r="MOD1195" s="7"/>
      <c r="MOE1195" s="7"/>
      <c r="MOF1195" s="7"/>
      <c r="MOG1195" s="7"/>
      <c r="MOH1195" s="7"/>
      <c r="MOI1195" s="7"/>
      <c r="MOJ1195" s="7"/>
      <c r="MOK1195" s="7"/>
      <c r="MOL1195" s="7"/>
      <c r="MOM1195" s="7"/>
      <c r="MON1195" s="7"/>
      <c r="MOO1195" s="7"/>
      <c r="MOP1195" s="7"/>
      <c r="MOQ1195" s="7"/>
      <c r="MOR1195" s="7"/>
      <c r="MOS1195" s="7"/>
      <c r="MOT1195" s="7"/>
      <c r="MOU1195" s="7"/>
      <c r="MOV1195" s="7"/>
      <c r="MOW1195" s="7"/>
      <c r="MOX1195" s="7"/>
      <c r="MOY1195" s="7"/>
      <c r="MOZ1195" s="7"/>
      <c r="MPA1195" s="7"/>
      <c r="MPB1195" s="7"/>
      <c r="MPC1195" s="7"/>
      <c r="MPD1195" s="7"/>
      <c r="MPE1195" s="7"/>
      <c r="MPF1195" s="7"/>
      <c r="MPG1195" s="7"/>
      <c r="MPH1195" s="7"/>
      <c r="MPI1195" s="7"/>
      <c r="MPJ1195" s="7"/>
      <c r="MPK1195" s="7"/>
      <c r="MPL1195" s="7"/>
      <c r="MPM1195" s="7"/>
      <c r="MPN1195" s="7"/>
      <c r="MPO1195" s="7"/>
      <c r="MPP1195" s="7"/>
      <c r="MPQ1195" s="7"/>
      <c r="MPR1195" s="7"/>
      <c r="MPS1195" s="7"/>
      <c r="MPT1195" s="7"/>
      <c r="MPU1195" s="7"/>
      <c r="MPV1195" s="7"/>
      <c r="MPW1195" s="7"/>
      <c r="MPX1195" s="7"/>
      <c r="MPY1195" s="7"/>
      <c r="MPZ1195" s="7"/>
      <c r="MQA1195" s="7"/>
      <c r="MQB1195" s="7"/>
      <c r="MQC1195" s="7"/>
      <c r="MQD1195" s="7"/>
      <c r="MQE1195" s="7"/>
      <c r="MQF1195" s="7"/>
      <c r="MQG1195" s="7"/>
      <c r="MQH1195" s="7"/>
      <c r="MQI1195" s="7"/>
      <c r="MQJ1195" s="7"/>
      <c r="MQK1195" s="7"/>
      <c r="MQL1195" s="7"/>
      <c r="MQM1195" s="7"/>
      <c r="MQN1195" s="7"/>
      <c r="MQO1195" s="7"/>
      <c r="MQP1195" s="7"/>
      <c r="MQQ1195" s="7"/>
      <c r="MQR1195" s="7"/>
      <c r="MQS1195" s="7"/>
      <c r="MQT1195" s="7"/>
      <c r="MQU1195" s="7"/>
      <c r="MQV1195" s="7"/>
      <c r="MQW1195" s="7"/>
      <c r="MQX1195" s="7"/>
      <c r="MQY1195" s="7"/>
      <c r="MQZ1195" s="7"/>
      <c r="MRA1195" s="7"/>
      <c r="MRB1195" s="7"/>
      <c r="MRC1195" s="7"/>
      <c r="MRD1195" s="7"/>
      <c r="MRE1195" s="7"/>
      <c r="MRF1195" s="7"/>
      <c r="MRG1195" s="7"/>
      <c r="MRH1195" s="7"/>
      <c r="MRI1195" s="7"/>
      <c r="MRJ1195" s="7"/>
      <c r="MRK1195" s="7"/>
      <c r="MRL1195" s="7"/>
      <c r="MRM1195" s="7"/>
      <c r="MRN1195" s="7"/>
      <c r="MRO1195" s="7"/>
      <c r="MRP1195" s="7"/>
      <c r="MRQ1195" s="7"/>
      <c r="MRR1195" s="7"/>
      <c r="MRS1195" s="7"/>
      <c r="MRT1195" s="7"/>
      <c r="MRU1195" s="7"/>
      <c r="MRV1195" s="7"/>
      <c r="MRW1195" s="7"/>
      <c r="MRX1195" s="7"/>
      <c r="MRY1195" s="7"/>
      <c r="MRZ1195" s="7"/>
      <c r="MSA1195" s="7"/>
      <c r="MSB1195" s="7"/>
      <c r="MSC1195" s="7"/>
      <c r="MSD1195" s="7"/>
      <c r="MSE1195" s="7"/>
      <c r="MSF1195" s="7"/>
      <c r="MSG1195" s="7"/>
      <c r="MSH1195" s="7"/>
      <c r="MSI1195" s="7"/>
      <c r="MSJ1195" s="7"/>
      <c r="MSK1195" s="7"/>
      <c r="MSL1195" s="7"/>
      <c r="MSM1195" s="7"/>
      <c r="MSN1195" s="7"/>
      <c r="MSO1195" s="7"/>
      <c r="MSP1195" s="7"/>
      <c r="MSQ1195" s="7"/>
      <c r="MSR1195" s="7"/>
      <c r="MSS1195" s="7"/>
      <c r="MST1195" s="7"/>
      <c r="MSU1195" s="7"/>
      <c r="MSV1195" s="7"/>
      <c r="MSW1195" s="7"/>
      <c r="MSX1195" s="7"/>
      <c r="MSY1195" s="7"/>
      <c r="MSZ1195" s="7"/>
      <c r="MTA1195" s="7"/>
      <c r="MTB1195" s="7"/>
      <c r="MTC1195" s="7"/>
      <c r="MTD1195" s="7"/>
      <c r="MTE1195" s="7"/>
      <c r="MTF1195" s="7"/>
      <c r="MTG1195" s="7"/>
      <c r="MTH1195" s="7"/>
      <c r="MTI1195" s="7"/>
      <c r="MTJ1195" s="7"/>
      <c r="MTK1195" s="7"/>
      <c r="MTL1195" s="7"/>
      <c r="MTM1195" s="7"/>
      <c r="MTN1195" s="7"/>
      <c r="MTO1195" s="7"/>
      <c r="MTP1195" s="7"/>
      <c r="MTQ1195" s="7"/>
      <c r="MTR1195" s="7"/>
      <c r="MTS1195" s="7"/>
      <c r="MTT1195" s="7"/>
      <c r="MTU1195" s="7"/>
      <c r="MTV1195" s="7"/>
      <c r="MTW1195" s="7"/>
      <c r="MTX1195" s="7"/>
      <c r="MTY1195" s="7"/>
      <c r="MTZ1195" s="7"/>
      <c r="MUA1195" s="7"/>
      <c r="MUB1195" s="7"/>
      <c r="MUC1195" s="7"/>
      <c r="MUD1195" s="7"/>
      <c r="MUE1195" s="7"/>
      <c r="MUF1195" s="7"/>
      <c r="MUG1195" s="7"/>
      <c r="MUH1195" s="7"/>
      <c r="MUI1195" s="7"/>
      <c r="MUJ1195" s="7"/>
      <c r="MUK1195" s="7"/>
      <c r="MUL1195" s="7"/>
      <c r="MUM1195" s="7"/>
      <c r="MUN1195" s="7"/>
      <c r="MUO1195" s="7"/>
      <c r="MUP1195" s="7"/>
      <c r="MUQ1195" s="7"/>
      <c r="MUR1195" s="7"/>
      <c r="MUS1195" s="7"/>
      <c r="MUT1195" s="7"/>
      <c r="MUU1195" s="7"/>
      <c r="MUV1195" s="7"/>
      <c r="MUW1195" s="7"/>
      <c r="MUX1195" s="7"/>
      <c r="MUY1195" s="7"/>
      <c r="MUZ1195" s="7"/>
      <c r="MVA1195" s="7"/>
      <c r="MVB1195" s="7"/>
      <c r="MVC1195" s="7"/>
      <c r="MVD1195" s="7"/>
      <c r="MVE1195" s="7"/>
      <c r="MVF1195" s="7"/>
      <c r="MVG1195" s="7"/>
      <c r="MVH1195" s="7"/>
      <c r="MVI1195" s="7"/>
      <c r="MVJ1195" s="7"/>
      <c r="MVK1195" s="7"/>
      <c r="MVL1195" s="7"/>
      <c r="MVM1195" s="7"/>
      <c r="MVN1195" s="7"/>
      <c r="MVO1195" s="7"/>
      <c r="MVP1195" s="7"/>
      <c r="MVQ1195" s="7"/>
      <c r="MVR1195" s="7"/>
      <c r="MVS1195" s="7"/>
      <c r="MVT1195" s="7"/>
      <c r="MVU1195" s="7"/>
      <c r="MVV1195" s="7"/>
      <c r="MVW1195" s="7"/>
      <c r="MVX1195" s="7"/>
      <c r="MVY1195" s="7"/>
      <c r="MVZ1195" s="7"/>
      <c r="MWA1195" s="7"/>
      <c r="MWB1195" s="7"/>
      <c r="MWC1195" s="7"/>
      <c r="MWD1195" s="7"/>
      <c r="MWE1195" s="7"/>
      <c r="MWF1195" s="7"/>
      <c r="MWG1195" s="7"/>
      <c r="MWH1195" s="7"/>
      <c r="MWI1195" s="7"/>
      <c r="MWJ1195" s="7"/>
      <c r="MWK1195" s="7"/>
      <c r="MWL1195" s="7"/>
      <c r="MWM1195" s="7"/>
      <c r="MWN1195" s="7"/>
      <c r="MWO1195" s="7"/>
      <c r="MWP1195" s="7"/>
      <c r="MWQ1195" s="7"/>
      <c r="MWR1195" s="7"/>
      <c r="MWS1195" s="7"/>
      <c r="MWT1195" s="7"/>
      <c r="MWU1195" s="7"/>
      <c r="MWV1195" s="7"/>
      <c r="MWW1195" s="7"/>
      <c r="MWX1195" s="7"/>
      <c r="MWY1195" s="7"/>
      <c r="MWZ1195" s="7"/>
      <c r="MXA1195" s="7"/>
      <c r="MXB1195" s="7"/>
      <c r="MXC1195" s="7"/>
      <c r="MXD1195" s="7"/>
      <c r="MXE1195" s="7"/>
      <c r="MXF1195" s="7"/>
      <c r="MXG1195" s="7"/>
      <c r="MXH1195" s="7"/>
      <c r="MXI1195" s="7"/>
      <c r="MXJ1195" s="7"/>
      <c r="MXK1195" s="7"/>
      <c r="MXL1195" s="7"/>
      <c r="MXM1195" s="7"/>
      <c r="MXN1195" s="7"/>
      <c r="MXO1195" s="7"/>
      <c r="MXP1195" s="7"/>
      <c r="MXQ1195" s="7"/>
      <c r="MXR1195" s="7"/>
      <c r="MXS1195" s="7"/>
      <c r="MXT1195" s="7"/>
      <c r="MXU1195" s="7"/>
      <c r="MXV1195" s="7"/>
      <c r="MXW1195" s="7"/>
      <c r="MXX1195" s="7"/>
      <c r="MXY1195" s="7"/>
      <c r="MXZ1195" s="7"/>
      <c r="MYA1195" s="7"/>
      <c r="MYB1195" s="7"/>
      <c r="MYC1195" s="7"/>
      <c r="MYD1195" s="7"/>
      <c r="MYE1195" s="7"/>
      <c r="MYF1195" s="7"/>
      <c r="MYG1195" s="7"/>
      <c r="MYH1195" s="7"/>
      <c r="MYI1195" s="7"/>
      <c r="MYJ1195" s="7"/>
      <c r="MYK1195" s="7"/>
      <c r="MYL1195" s="7"/>
      <c r="MYM1195" s="7"/>
      <c r="MYN1195" s="7"/>
      <c r="MYO1195" s="7"/>
      <c r="MYP1195" s="7"/>
      <c r="MYQ1195" s="7"/>
      <c r="MYR1195" s="7"/>
      <c r="MYS1195" s="7"/>
      <c r="MYT1195" s="7"/>
      <c r="MYU1195" s="7"/>
      <c r="MYV1195" s="7"/>
      <c r="MYW1195" s="7"/>
      <c r="MYX1195" s="7"/>
      <c r="MYY1195" s="7"/>
      <c r="MYZ1195" s="7"/>
      <c r="MZA1195" s="7"/>
      <c r="MZB1195" s="7"/>
      <c r="MZC1195" s="7"/>
      <c r="MZD1195" s="7"/>
      <c r="MZE1195" s="7"/>
      <c r="MZF1195" s="7"/>
      <c r="MZG1195" s="7"/>
      <c r="MZH1195" s="7"/>
      <c r="MZI1195" s="7"/>
      <c r="MZJ1195" s="7"/>
      <c r="MZK1195" s="7"/>
      <c r="MZL1195" s="7"/>
      <c r="MZM1195" s="7"/>
      <c r="MZN1195" s="7"/>
      <c r="MZO1195" s="7"/>
      <c r="MZP1195" s="7"/>
      <c r="MZQ1195" s="7"/>
      <c r="MZR1195" s="7"/>
      <c r="MZS1195" s="7"/>
      <c r="MZT1195" s="7"/>
      <c r="MZU1195" s="7"/>
      <c r="MZV1195" s="7"/>
      <c r="MZW1195" s="7"/>
      <c r="MZX1195" s="7"/>
      <c r="MZY1195" s="7"/>
      <c r="MZZ1195" s="7"/>
      <c r="NAA1195" s="7"/>
      <c r="NAB1195" s="7"/>
      <c r="NAC1195" s="7"/>
      <c r="NAD1195" s="7"/>
      <c r="NAE1195" s="7"/>
      <c r="NAF1195" s="7"/>
      <c r="NAG1195" s="7"/>
      <c r="NAH1195" s="7"/>
      <c r="NAI1195" s="7"/>
      <c r="NAJ1195" s="7"/>
      <c r="NAK1195" s="7"/>
      <c r="NAL1195" s="7"/>
      <c r="NAM1195" s="7"/>
      <c r="NAN1195" s="7"/>
      <c r="NAO1195" s="7"/>
      <c r="NAP1195" s="7"/>
      <c r="NAQ1195" s="7"/>
      <c r="NAR1195" s="7"/>
      <c r="NAS1195" s="7"/>
      <c r="NAT1195" s="7"/>
      <c r="NAU1195" s="7"/>
      <c r="NAV1195" s="7"/>
      <c r="NAW1195" s="7"/>
      <c r="NAX1195" s="7"/>
      <c r="NAY1195" s="7"/>
      <c r="NAZ1195" s="7"/>
      <c r="NBA1195" s="7"/>
      <c r="NBB1195" s="7"/>
      <c r="NBC1195" s="7"/>
      <c r="NBD1195" s="7"/>
      <c r="NBE1195" s="7"/>
      <c r="NBF1195" s="7"/>
      <c r="NBG1195" s="7"/>
      <c r="NBH1195" s="7"/>
      <c r="NBI1195" s="7"/>
      <c r="NBJ1195" s="7"/>
      <c r="NBK1195" s="7"/>
      <c r="NBL1195" s="7"/>
      <c r="NBM1195" s="7"/>
      <c r="NBN1195" s="7"/>
      <c r="NBO1195" s="7"/>
      <c r="NBP1195" s="7"/>
      <c r="NBQ1195" s="7"/>
      <c r="NBR1195" s="7"/>
      <c r="NBS1195" s="7"/>
      <c r="NBT1195" s="7"/>
      <c r="NBU1195" s="7"/>
      <c r="NBV1195" s="7"/>
      <c r="NBW1195" s="7"/>
      <c r="NBX1195" s="7"/>
      <c r="NBY1195" s="7"/>
      <c r="NBZ1195" s="7"/>
      <c r="NCA1195" s="7"/>
      <c r="NCB1195" s="7"/>
      <c r="NCC1195" s="7"/>
      <c r="NCD1195" s="7"/>
      <c r="NCE1195" s="7"/>
      <c r="NCF1195" s="7"/>
      <c r="NCG1195" s="7"/>
      <c r="NCH1195" s="7"/>
      <c r="NCI1195" s="7"/>
      <c r="NCJ1195" s="7"/>
      <c r="NCK1195" s="7"/>
      <c r="NCL1195" s="7"/>
      <c r="NCM1195" s="7"/>
      <c r="NCN1195" s="7"/>
      <c r="NCO1195" s="7"/>
      <c r="NCP1195" s="7"/>
      <c r="NCQ1195" s="7"/>
      <c r="NCR1195" s="7"/>
      <c r="NCS1195" s="7"/>
      <c r="NCT1195" s="7"/>
      <c r="NCU1195" s="7"/>
      <c r="NCV1195" s="7"/>
      <c r="NCW1195" s="7"/>
      <c r="NCX1195" s="7"/>
      <c r="NCY1195" s="7"/>
      <c r="NCZ1195" s="7"/>
      <c r="NDA1195" s="7"/>
      <c r="NDB1195" s="7"/>
      <c r="NDC1195" s="7"/>
      <c r="NDD1195" s="7"/>
      <c r="NDE1195" s="7"/>
      <c r="NDF1195" s="7"/>
      <c r="NDG1195" s="7"/>
      <c r="NDH1195" s="7"/>
      <c r="NDI1195" s="7"/>
      <c r="NDJ1195" s="7"/>
      <c r="NDK1195" s="7"/>
      <c r="NDL1195" s="7"/>
      <c r="NDM1195" s="7"/>
      <c r="NDN1195" s="7"/>
      <c r="NDO1195" s="7"/>
      <c r="NDP1195" s="7"/>
      <c r="NDQ1195" s="7"/>
      <c r="NDR1195" s="7"/>
      <c r="NDS1195" s="7"/>
      <c r="NDT1195" s="7"/>
      <c r="NDU1195" s="7"/>
      <c r="NDV1195" s="7"/>
      <c r="NDW1195" s="7"/>
      <c r="NDX1195" s="7"/>
      <c r="NDY1195" s="7"/>
      <c r="NDZ1195" s="7"/>
      <c r="NEA1195" s="7"/>
      <c r="NEB1195" s="7"/>
      <c r="NEC1195" s="7"/>
      <c r="NED1195" s="7"/>
      <c r="NEE1195" s="7"/>
      <c r="NEF1195" s="7"/>
      <c r="NEG1195" s="7"/>
      <c r="NEH1195" s="7"/>
      <c r="NEI1195" s="7"/>
      <c r="NEJ1195" s="7"/>
      <c r="NEK1195" s="7"/>
      <c r="NEL1195" s="7"/>
      <c r="NEM1195" s="7"/>
      <c r="NEN1195" s="7"/>
      <c r="NEO1195" s="7"/>
      <c r="NEP1195" s="7"/>
      <c r="NEQ1195" s="7"/>
      <c r="NER1195" s="7"/>
      <c r="NES1195" s="7"/>
      <c r="NET1195" s="7"/>
      <c r="NEU1195" s="7"/>
      <c r="NEV1195" s="7"/>
      <c r="NEW1195" s="7"/>
      <c r="NEX1195" s="7"/>
      <c r="NEY1195" s="7"/>
      <c r="NEZ1195" s="7"/>
      <c r="NFA1195" s="7"/>
      <c r="NFB1195" s="7"/>
      <c r="NFC1195" s="7"/>
      <c r="NFD1195" s="7"/>
      <c r="NFE1195" s="7"/>
      <c r="NFF1195" s="7"/>
      <c r="NFG1195" s="7"/>
      <c r="NFH1195" s="7"/>
      <c r="NFI1195" s="7"/>
      <c r="NFJ1195" s="7"/>
      <c r="NFK1195" s="7"/>
      <c r="NFL1195" s="7"/>
      <c r="NFM1195" s="7"/>
      <c r="NFN1195" s="7"/>
      <c r="NFO1195" s="7"/>
      <c r="NFP1195" s="7"/>
      <c r="NFQ1195" s="7"/>
      <c r="NFR1195" s="7"/>
      <c r="NFS1195" s="7"/>
      <c r="NFT1195" s="7"/>
      <c r="NFU1195" s="7"/>
      <c r="NFV1195" s="7"/>
      <c r="NFW1195" s="7"/>
      <c r="NFX1195" s="7"/>
      <c r="NFY1195" s="7"/>
      <c r="NFZ1195" s="7"/>
      <c r="NGA1195" s="7"/>
      <c r="NGB1195" s="7"/>
      <c r="NGC1195" s="7"/>
      <c r="NGD1195" s="7"/>
      <c r="NGE1195" s="7"/>
      <c r="NGF1195" s="7"/>
      <c r="NGG1195" s="7"/>
      <c r="NGH1195" s="7"/>
      <c r="NGI1195" s="7"/>
      <c r="NGJ1195" s="7"/>
      <c r="NGK1195" s="7"/>
      <c r="NGL1195" s="7"/>
      <c r="NGM1195" s="7"/>
      <c r="NGN1195" s="7"/>
      <c r="NGO1195" s="7"/>
      <c r="NGP1195" s="7"/>
      <c r="NGQ1195" s="7"/>
      <c r="NGR1195" s="7"/>
      <c r="NGS1195" s="7"/>
      <c r="NGT1195" s="7"/>
      <c r="NGU1195" s="7"/>
      <c r="NGV1195" s="7"/>
      <c r="NGW1195" s="7"/>
      <c r="NGX1195" s="7"/>
      <c r="NGY1195" s="7"/>
      <c r="NGZ1195" s="7"/>
      <c r="NHA1195" s="7"/>
      <c r="NHB1195" s="7"/>
      <c r="NHC1195" s="7"/>
      <c r="NHD1195" s="7"/>
      <c r="NHE1195" s="7"/>
      <c r="NHF1195" s="7"/>
      <c r="NHG1195" s="7"/>
      <c r="NHH1195" s="7"/>
      <c r="NHI1195" s="7"/>
      <c r="NHJ1195" s="7"/>
      <c r="NHK1195" s="7"/>
      <c r="NHL1195" s="7"/>
      <c r="NHM1195" s="7"/>
      <c r="NHN1195" s="7"/>
      <c r="NHO1195" s="7"/>
      <c r="NHP1195" s="7"/>
      <c r="NHQ1195" s="7"/>
      <c r="NHR1195" s="7"/>
      <c r="NHS1195" s="7"/>
      <c r="NHT1195" s="7"/>
      <c r="NHU1195" s="7"/>
      <c r="NHV1195" s="7"/>
      <c r="NHW1195" s="7"/>
      <c r="NHX1195" s="7"/>
      <c r="NHY1195" s="7"/>
      <c r="NHZ1195" s="7"/>
      <c r="NIA1195" s="7"/>
      <c r="NIB1195" s="7"/>
      <c r="NIC1195" s="7"/>
      <c r="NID1195" s="7"/>
      <c r="NIE1195" s="7"/>
      <c r="NIF1195" s="7"/>
      <c r="NIG1195" s="7"/>
      <c r="NIH1195" s="7"/>
      <c r="NII1195" s="7"/>
      <c r="NIJ1195" s="7"/>
      <c r="NIK1195" s="7"/>
      <c r="NIL1195" s="7"/>
      <c r="NIM1195" s="7"/>
      <c r="NIN1195" s="7"/>
      <c r="NIO1195" s="7"/>
      <c r="NIP1195" s="7"/>
      <c r="NIQ1195" s="7"/>
      <c r="NIR1195" s="7"/>
      <c r="NIS1195" s="7"/>
      <c r="NIT1195" s="7"/>
      <c r="NIU1195" s="7"/>
      <c r="NIV1195" s="7"/>
      <c r="NIW1195" s="7"/>
      <c r="NIX1195" s="7"/>
      <c r="NIY1195" s="7"/>
      <c r="NIZ1195" s="7"/>
      <c r="NJA1195" s="7"/>
      <c r="NJB1195" s="7"/>
      <c r="NJC1195" s="7"/>
      <c r="NJD1195" s="7"/>
      <c r="NJE1195" s="7"/>
      <c r="NJF1195" s="7"/>
      <c r="NJG1195" s="7"/>
      <c r="NJH1195" s="7"/>
      <c r="NJI1195" s="7"/>
      <c r="NJJ1195" s="7"/>
      <c r="NJK1195" s="7"/>
      <c r="NJL1195" s="7"/>
      <c r="NJM1195" s="7"/>
      <c r="NJN1195" s="7"/>
      <c r="NJO1195" s="7"/>
      <c r="NJP1195" s="7"/>
      <c r="NJQ1195" s="7"/>
      <c r="NJR1195" s="7"/>
      <c r="NJS1195" s="7"/>
      <c r="NJT1195" s="7"/>
      <c r="NJU1195" s="7"/>
      <c r="NJV1195" s="7"/>
      <c r="NJW1195" s="7"/>
      <c r="NJX1195" s="7"/>
      <c r="NJY1195" s="7"/>
      <c r="NJZ1195" s="7"/>
      <c r="NKA1195" s="7"/>
      <c r="NKB1195" s="7"/>
      <c r="NKC1195" s="7"/>
      <c r="NKD1195" s="7"/>
      <c r="NKE1195" s="7"/>
      <c r="NKF1195" s="7"/>
      <c r="NKG1195" s="7"/>
      <c r="NKH1195" s="7"/>
      <c r="NKI1195" s="7"/>
      <c r="NKJ1195" s="7"/>
      <c r="NKK1195" s="7"/>
      <c r="NKL1195" s="7"/>
      <c r="NKM1195" s="7"/>
      <c r="NKN1195" s="7"/>
      <c r="NKO1195" s="7"/>
      <c r="NKP1195" s="7"/>
      <c r="NKQ1195" s="7"/>
      <c r="NKR1195" s="7"/>
      <c r="NKS1195" s="7"/>
      <c r="NKT1195" s="7"/>
      <c r="NKU1195" s="7"/>
      <c r="NKV1195" s="7"/>
      <c r="NKW1195" s="7"/>
      <c r="NKX1195" s="7"/>
      <c r="NKY1195" s="7"/>
      <c r="NKZ1195" s="7"/>
      <c r="NLA1195" s="7"/>
      <c r="NLB1195" s="7"/>
      <c r="NLC1195" s="7"/>
      <c r="NLD1195" s="7"/>
      <c r="NLE1195" s="7"/>
      <c r="NLF1195" s="7"/>
      <c r="NLG1195" s="7"/>
      <c r="NLH1195" s="7"/>
      <c r="NLI1195" s="7"/>
      <c r="NLJ1195" s="7"/>
      <c r="NLK1195" s="7"/>
      <c r="NLL1195" s="7"/>
      <c r="NLM1195" s="7"/>
      <c r="NLN1195" s="7"/>
      <c r="NLO1195" s="7"/>
      <c r="NLP1195" s="7"/>
      <c r="NLQ1195" s="7"/>
      <c r="NLR1195" s="7"/>
      <c r="NLS1195" s="7"/>
      <c r="NLT1195" s="7"/>
      <c r="NLU1195" s="7"/>
      <c r="NLV1195" s="7"/>
      <c r="NLW1195" s="7"/>
      <c r="NLX1195" s="7"/>
      <c r="NLY1195" s="7"/>
      <c r="NLZ1195" s="7"/>
      <c r="NMA1195" s="7"/>
      <c r="NMB1195" s="7"/>
      <c r="NMC1195" s="7"/>
      <c r="NMD1195" s="7"/>
      <c r="NME1195" s="7"/>
      <c r="NMF1195" s="7"/>
      <c r="NMG1195" s="7"/>
      <c r="NMH1195" s="7"/>
      <c r="NMI1195" s="7"/>
      <c r="NMJ1195" s="7"/>
      <c r="NMK1195" s="7"/>
      <c r="NML1195" s="7"/>
      <c r="NMM1195" s="7"/>
      <c r="NMN1195" s="7"/>
      <c r="NMO1195" s="7"/>
      <c r="NMP1195" s="7"/>
      <c r="NMQ1195" s="7"/>
      <c r="NMR1195" s="7"/>
      <c r="NMS1195" s="7"/>
      <c r="NMT1195" s="7"/>
      <c r="NMU1195" s="7"/>
      <c r="NMV1195" s="7"/>
      <c r="NMW1195" s="7"/>
      <c r="NMX1195" s="7"/>
      <c r="NMY1195" s="7"/>
      <c r="NMZ1195" s="7"/>
      <c r="NNA1195" s="7"/>
      <c r="NNB1195" s="7"/>
      <c r="NNC1195" s="7"/>
      <c r="NND1195" s="7"/>
      <c r="NNE1195" s="7"/>
      <c r="NNF1195" s="7"/>
      <c r="NNG1195" s="7"/>
      <c r="NNH1195" s="7"/>
      <c r="NNI1195" s="7"/>
      <c r="NNJ1195" s="7"/>
      <c r="NNK1195" s="7"/>
      <c r="NNL1195" s="7"/>
      <c r="NNM1195" s="7"/>
      <c r="NNN1195" s="7"/>
      <c r="NNO1195" s="7"/>
      <c r="NNP1195" s="7"/>
      <c r="NNQ1195" s="7"/>
      <c r="NNR1195" s="7"/>
      <c r="NNS1195" s="7"/>
      <c r="NNT1195" s="7"/>
      <c r="NNU1195" s="7"/>
      <c r="NNV1195" s="7"/>
      <c r="NNW1195" s="7"/>
      <c r="NNX1195" s="7"/>
      <c r="NNY1195" s="7"/>
      <c r="NNZ1195" s="7"/>
      <c r="NOA1195" s="7"/>
      <c r="NOB1195" s="7"/>
      <c r="NOC1195" s="7"/>
      <c r="NOD1195" s="7"/>
      <c r="NOE1195" s="7"/>
      <c r="NOF1195" s="7"/>
      <c r="NOG1195" s="7"/>
      <c r="NOH1195" s="7"/>
      <c r="NOI1195" s="7"/>
      <c r="NOJ1195" s="7"/>
      <c r="NOK1195" s="7"/>
      <c r="NOL1195" s="7"/>
      <c r="NOM1195" s="7"/>
      <c r="NON1195" s="7"/>
      <c r="NOO1195" s="7"/>
      <c r="NOP1195" s="7"/>
      <c r="NOQ1195" s="7"/>
      <c r="NOR1195" s="7"/>
      <c r="NOS1195" s="7"/>
      <c r="NOT1195" s="7"/>
      <c r="NOU1195" s="7"/>
      <c r="NOV1195" s="7"/>
      <c r="NOW1195" s="7"/>
      <c r="NOX1195" s="7"/>
      <c r="NOY1195" s="7"/>
      <c r="NOZ1195" s="7"/>
      <c r="NPA1195" s="7"/>
      <c r="NPB1195" s="7"/>
      <c r="NPC1195" s="7"/>
      <c r="NPD1195" s="7"/>
      <c r="NPE1195" s="7"/>
      <c r="NPF1195" s="7"/>
      <c r="NPG1195" s="7"/>
      <c r="NPH1195" s="7"/>
      <c r="NPI1195" s="7"/>
      <c r="NPJ1195" s="7"/>
      <c r="NPK1195" s="7"/>
      <c r="NPL1195" s="7"/>
      <c r="NPM1195" s="7"/>
      <c r="NPN1195" s="7"/>
      <c r="NPO1195" s="7"/>
      <c r="NPP1195" s="7"/>
      <c r="NPQ1195" s="7"/>
      <c r="NPR1195" s="7"/>
      <c r="NPS1195" s="7"/>
      <c r="NPT1195" s="7"/>
      <c r="NPU1195" s="7"/>
      <c r="NPV1195" s="7"/>
      <c r="NPW1195" s="7"/>
      <c r="NPX1195" s="7"/>
      <c r="NPY1195" s="7"/>
      <c r="NPZ1195" s="7"/>
      <c r="NQA1195" s="7"/>
      <c r="NQB1195" s="7"/>
      <c r="NQC1195" s="7"/>
      <c r="NQD1195" s="7"/>
      <c r="NQE1195" s="7"/>
      <c r="NQF1195" s="7"/>
      <c r="NQG1195" s="7"/>
      <c r="NQH1195" s="7"/>
      <c r="NQI1195" s="7"/>
      <c r="NQJ1195" s="7"/>
      <c r="NQK1195" s="7"/>
      <c r="NQL1195" s="7"/>
      <c r="NQM1195" s="7"/>
      <c r="NQN1195" s="7"/>
      <c r="NQO1195" s="7"/>
      <c r="NQP1195" s="7"/>
      <c r="NQQ1195" s="7"/>
      <c r="NQR1195" s="7"/>
      <c r="NQS1195" s="7"/>
      <c r="NQT1195" s="7"/>
      <c r="NQU1195" s="7"/>
      <c r="NQV1195" s="7"/>
      <c r="NQW1195" s="7"/>
      <c r="NQX1195" s="7"/>
      <c r="NQY1195" s="7"/>
      <c r="NQZ1195" s="7"/>
      <c r="NRA1195" s="7"/>
      <c r="NRB1195" s="7"/>
      <c r="NRC1195" s="7"/>
      <c r="NRD1195" s="7"/>
      <c r="NRE1195" s="7"/>
      <c r="NRF1195" s="7"/>
      <c r="NRG1195" s="7"/>
      <c r="NRH1195" s="7"/>
      <c r="NRI1195" s="7"/>
      <c r="NRJ1195" s="7"/>
      <c r="NRK1195" s="7"/>
      <c r="NRL1195" s="7"/>
      <c r="NRM1195" s="7"/>
      <c r="NRN1195" s="7"/>
      <c r="NRO1195" s="7"/>
      <c r="NRP1195" s="7"/>
      <c r="NRQ1195" s="7"/>
      <c r="NRR1195" s="7"/>
      <c r="NRS1195" s="7"/>
      <c r="NRT1195" s="7"/>
      <c r="NRU1195" s="7"/>
      <c r="NRV1195" s="7"/>
      <c r="NRW1195" s="7"/>
      <c r="NRX1195" s="7"/>
      <c r="NRY1195" s="7"/>
      <c r="NRZ1195" s="7"/>
      <c r="NSA1195" s="7"/>
      <c r="NSB1195" s="7"/>
      <c r="NSC1195" s="7"/>
      <c r="NSD1195" s="7"/>
      <c r="NSE1195" s="7"/>
      <c r="NSF1195" s="7"/>
      <c r="NSG1195" s="7"/>
      <c r="NSH1195" s="7"/>
      <c r="NSI1195" s="7"/>
      <c r="NSJ1195" s="7"/>
      <c r="NSK1195" s="7"/>
      <c r="NSL1195" s="7"/>
      <c r="NSM1195" s="7"/>
      <c r="NSN1195" s="7"/>
      <c r="NSO1195" s="7"/>
      <c r="NSP1195" s="7"/>
      <c r="NSQ1195" s="7"/>
      <c r="NSR1195" s="7"/>
      <c r="NSS1195" s="7"/>
      <c r="NST1195" s="7"/>
      <c r="NSU1195" s="7"/>
      <c r="NSV1195" s="7"/>
      <c r="NSW1195" s="7"/>
      <c r="NSX1195" s="7"/>
      <c r="NSY1195" s="7"/>
      <c r="NSZ1195" s="7"/>
      <c r="NTA1195" s="7"/>
      <c r="NTB1195" s="7"/>
      <c r="NTC1195" s="7"/>
      <c r="NTD1195" s="7"/>
      <c r="NTE1195" s="7"/>
      <c r="NTF1195" s="7"/>
      <c r="NTG1195" s="7"/>
      <c r="NTH1195" s="7"/>
      <c r="NTI1195" s="7"/>
      <c r="NTJ1195" s="7"/>
      <c r="NTK1195" s="7"/>
      <c r="NTL1195" s="7"/>
      <c r="NTM1195" s="7"/>
      <c r="NTN1195" s="7"/>
      <c r="NTO1195" s="7"/>
      <c r="NTP1195" s="7"/>
      <c r="NTQ1195" s="7"/>
      <c r="NTR1195" s="7"/>
      <c r="NTS1195" s="7"/>
      <c r="NTT1195" s="7"/>
      <c r="NTU1195" s="7"/>
      <c r="NTV1195" s="7"/>
      <c r="NTW1195" s="7"/>
      <c r="NTX1195" s="7"/>
      <c r="NTY1195" s="7"/>
      <c r="NTZ1195" s="7"/>
      <c r="NUA1195" s="7"/>
      <c r="NUB1195" s="7"/>
      <c r="NUC1195" s="7"/>
      <c r="NUD1195" s="7"/>
      <c r="NUE1195" s="7"/>
      <c r="NUF1195" s="7"/>
      <c r="NUG1195" s="7"/>
      <c r="NUH1195" s="7"/>
      <c r="NUI1195" s="7"/>
      <c r="NUJ1195" s="7"/>
      <c r="NUK1195" s="7"/>
      <c r="NUL1195" s="7"/>
      <c r="NUM1195" s="7"/>
      <c r="NUN1195" s="7"/>
      <c r="NUO1195" s="7"/>
      <c r="NUP1195" s="7"/>
      <c r="NUQ1195" s="7"/>
      <c r="NUR1195" s="7"/>
      <c r="NUS1195" s="7"/>
      <c r="NUT1195" s="7"/>
      <c r="NUU1195" s="7"/>
      <c r="NUV1195" s="7"/>
      <c r="NUW1195" s="7"/>
      <c r="NUX1195" s="7"/>
      <c r="NUY1195" s="7"/>
      <c r="NUZ1195" s="7"/>
      <c r="NVA1195" s="7"/>
      <c r="NVB1195" s="7"/>
      <c r="NVC1195" s="7"/>
      <c r="NVD1195" s="7"/>
      <c r="NVE1195" s="7"/>
      <c r="NVF1195" s="7"/>
      <c r="NVG1195" s="7"/>
      <c r="NVH1195" s="7"/>
      <c r="NVI1195" s="7"/>
      <c r="NVJ1195" s="7"/>
      <c r="NVK1195" s="7"/>
      <c r="NVL1195" s="7"/>
      <c r="NVM1195" s="7"/>
      <c r="NVN1195" s="7"/>
      <c r="NVO1195" s="7"/>
      <c r="NVP1195" s="7"/>
      <c r="NVQ1195" s="7"/>
      <c r="NVR1195" s="7"/>
      <c r="NVS1195" s="7"/>
      <c r="NVT1195" s="7"/>
      <c r="NVU1195" s="7"/>
      <c r="NVV1195" s="7"/>
      <c r="NVW1195" s="7"/>
      <c r="NVX1195" s="7"/>
      <c r="NVY1195" s="7"/>
      <c r="NVZ1195" s="7"/>
      <c r="NWA1195" s="7"/>
      <c r="NWB1195" s="7"/>
      <c r="NWC1195" s="7"/>
      <c r="NWD1195" s="7"/>
      <c r="NWE1195" s="7"/>
      <c r="NWF1195" s="7"/>
      <c r="NWG1195" s="7"/>
      <c r="NWH1195" s="7"/>
      <c r="NWI1195" s="7"/>
      <c r="NWJ1195" s="7"/>
      <c r="NWK1195" s="7"/>
      <c r="NWL1195" s="7"/>
      <c r="NWM1195" s="7"/>
      <c r="NWN1195" s="7"/>
      <c r="NWO1195" s="7"/>
      <c r="NWP1195" s="7"/>
      <c r="NWQ1195" s="7"/>
      <c r="NWR1195" s="7"/>
      <c r="NWS1195" s="7"/>
      <c r="NWT1195" s="7"/>
      <c r="NWU1195" s="7"/>
      <c r="NWV1195" s="7"/>
      <c r="NWW1195" s="7"/>
      <c r="NWX1195" s="7"/>
      <c r="NWY1195" s="7"/>
      <c r="NWZ1195" s="7"/>
      <c r="NXA1195" s="7"/>
      <c r="NXB1195" s="7"/>
      <c r="NXC1195" s="7"/>
      <c r="NXD1195" s="7"/>
      <c r="NXE1195" s="7"/>
      <c r="NXF1195" s="7"/>
      <c r="NXG1195" s="7"/>
      <c r="NXH1195" s="7"/>
      <c r="NXI1195" s="7"/>
      <c r="NXJ1195" s="7"/>
      <c r="NXK1195" s="7"/>
      <c r="NXL1195" s="7"/>
      <c r="NXM1195" s="7"/>
      <c r="NXN1195" s="7"/>
      <c r="NXO1195" s="7"/>
      <c r="NXP1195" s="7"/>
      <c r="NXQ1195" s="7"/>
      <c r="NXR1195" s="7"/>
      <c r="NXS1195" s="7"/>
      <c r="NXT1195" s="7"/>
      <c r="NXU1195" s="7"/>
      <c r="NXV1195" s="7"/>
      <c r="NXW1195" s="7"/>
      <c r="NXX1195" s="7"/>
      <c r="NXY1195" s="7"/>
      <c r="NXZ1195" s="7"/>
      <c r="NYA1195" s="7"/>
      <c r="NYB1195" s="7"/>
      <c r="NYC1195" s="7"/>
      <c r="NYD1195" s="7"/>
      <c r="NYE1195" s="7"/>
      <c r="NYF1195" s="7"/>
      <c r="NYG1195" s="7"/>
      <c r="NYH1195" s="7"/>
      <c r="NYI1195" s="7"/>
      <c r="NYJ1195" s="7"/>
      <c r="NYK1195" s="7"/>
      <c r="NYL1195" s="7"/>
      <c r="NYM1195" s="7"/>
      <c r="NYN1195" s="7"/>
      <c r="NYO1195" s="7"/>
      <c r="NYP1195" s="7"/>
      <c r="NYQ1195" s="7"/>
      <c r="NYR1195" s="7"/>
      <c r="NYS1195" s="7"/>
      <c r="NYT1195" s="7"/>
      <c r="NYU1195" s="7"/>
      <c r="NYV1195" s="7"/>
      <c r="NYW1195" s="7"/>
      <c r="NYX1195" s="7"/>
      <c r="NYY1195" s="7"/>
      <c r="NYZ1195" s="7"/>
      <c r="NZA1195" s="7"/>
      <c r="NZB1195" s="7"/>
      <c r="NZC1195" s="7"/>
      <c r="NZD1195" s="7"/>
      <c r="NZE1195" s="7"/>
      <c r="NZF1195" s="7"/>
      <c r="NZG1195" s="7"/>
      <c r="NZH1195" s="7"/>
      <c r="NZI1195" s="7"/>
      <c r="NZJ1195" s="7"/>
      <c r="NZK1195" s="7"/>
      <c r="NZL1195" s="7"/>
      <c r="NZM1195" s="7"/>
      <c r="NZN1195" s="7"/>
      <c r="NZO1195" s="7"/>
      <c r="NZP1195" s="7"/>
      <c r="NZQ1195" s="7"/>
      <c r="NZR1195" s="7"/>
      <c r="NZS1195" s="7"/>
      <c r="NZT1195" s="7"/>
      <c r="NZU1195" s="7"/>
      <c r="NZV1195" s="7"/>
      <c r="NZW1195" s="7"/>
      <c r="NZX1195" s="7"/>
      <c r="NZY1195" s="7"/>
      <c r="NZZ1195" s="7"/>
      <c r="OAA1195" s="7"/>
      <c r="OAB1195" s="7"/>
      <c r="OAC1195" s="7"/>
      <c r="OAD1195" s="7"/>
      <c r="OAE1195" s="7"/>
      <c r="OAF1195" s="7"/>
      <c r="OAG1195" s="7"/>
      <c r="OAH1195" s="7"/>
      <c r="OAI1195" s="7"/>
      <c r="OAJ1195" s="7"/>
      <c r="OAK1195" s="7"/>
      <c r="OAL1195" s="7"/>
      <c r="OAM1195" s="7"/>
      <c r="OAN1195" s="7"/>
      <c r="OAO1195" s="7"/>
      <c r="OAP1195" s="7"/>
      <c r="OAQ1195" s="7"/>
      <c r="OAR1195" s="7"/>
      <c r="OAS1195" s="7"/>
      <c r="OAT1195" s="7"/>
      <c r="OAU1195" s="7"/>
      <c r="OAV1195" s="7"/>
      <c r="OAW1195" s="7"/>
      <c r="OAX1195" s="7"/>
      <c r="OAY1195" s="7"/>
      <c r="OAZ1195" s="7"/>
      <c r="OBA1195" s="7"/>
      <c r="OBB1195" s="7"/>
      <c r="OBC1195" s="7"/>
      <c r="OBD1195" s="7"/>
      <c r="OBE1195" s="7"/>
      <c r="OBF1195" s="7"/>
      <c r="OBG1195" s="7"/>
      <c r="OBH1195" s="7"/>
      <c r="OBI1195" s="7"/>
      <c r="OBJ1195" s="7"/>
      <c r="OBK1195" s="7"/>
      <c r="OBL1195" s="7"/>
      <c r="OBM1195" s="7"/>
      <c r="OBN1195" s="7"/>
      <c r="OBO1195" s="7"/>
      <c r="OBP1195" s="7"/>
      <c r="OBQ1195" s="7"/>
      <c r="OBR1195" s="7"/>
      <c r="OBS1195" s="7"/>
      <c r="OBT1195" s="7"/>
      <c r="OBU1195" s="7"/>
      <c r="OBV1195" s="7"/>
      <c r="OBW1195" s="7"/>
      <c r="OBX1195" s="7"/>
      <c r="OBY1195" s="7"/>
      <c r="OBZ1195" s="7"/>
      <c r="OCA1195" s="7"/>
      <c r="OCB1195" s="7"/>
      <c r="OCC1195" s="7"/>
      <c r="OCD1195" s="7"/>
      <c r="OCE1195" s="7"/>
      <c r="OCF1195" s="7"/>
      <c r="OCG1195" s="7"/>
      <c r="OCH1195" s="7"/>
      <c r="OCI1195" s="7"/>
      <c r="OCJ1195" s="7"/>
      <c r="OCK1195" s="7"/>
      <c r="OCL1195" s="7"/>
      <c r="OCM1195" s="7"/>
      <c r="OCN1195" s="7"/>
      <c r="OCO1195" s="7"/>
      <c r="OCP1195" s="7"/>
      <c r="OCQ1195" s="7"/>
      <c r="OCR1195" s="7"/>
      <c r="OCS1195" s="7"/>
      <c r="OCT1195" s="7"/>
      <c r="OCU1195" s="7"/>
      <c r="OCV1195" s="7"/>
      <c r="OCW1195" s="7"/>
      <c r="OCX1195" s="7"/>
      <c r="OCY1195" s="7"/>
      <c r="OCZ1195" s="7"/>
      <c r="ODA1195" s="7"/>
      <c r="ODB1195" s="7"/>
      <c r="ODC1195" s="7"/>
      <c r="ODD1195" s="7"/>
      <c r="ODE1195" s="7"/>
      <c r="ODF1195" s="7"/>
      <c r="ODG1195" s="7"/>
      <c r="ODH1195" s="7"/>
      <c r="ODI1195" s="7"/>
      <c r="ODJ1195" s="7"/>
      <c r="ODK1195" s="7"/>
      <c r="ODL1195" s="7"/>
      <c r="ODM1195" s="7"/>
      <c r="ODN1195" s="7"/>
      <c r="ODO1195" s="7"/>
      <c r="ODP1195" s="7"/>
      <c r="ODQ1195" s="7"/>
      <c r="ODR1195" s="7"/>
      <c r="ODS1195" s="7"/>
      <c r="ODT1195" s="7"/>
      <c r="ODU1195" s="7"/>
      <c r="ODV1195" s="7"/>
      <c r="ODW1195" s="7"/>
      <c r="ODX1195" s="7"/>
      <c r="ODY1195" s="7"/>
      <c r="ODZ1195" s="7"/>
      <c r="OEA1195" s="7"/>
      <c r="OEB1195" s="7"/>
      <c r="OEC1195" s="7"/>
      <c r="OED1195" s="7"/>
      <c r="OEE1195" s="7"/>
      <c r="OEF1195" s="7"/>
      <c r="OEG1195" s="7"/>
      <c r="OEH1195" s="7"/>
      <c r="OEI1195" s="7"/>
      <c r="OEJ1195" s="7"/>
      <c r="OEK1195" s="7"/>
      <c r="OEL1195" s="7"/>
      <c r="OEM1195" s="7"/>
      <c r="OEN1195" s="7"/>
      <c r="OEO1195" s="7"/>
      <c r="OEP1195" s="7"/>
      <c r="OEQ1195" s="7"/>
      <c r="OER1195" s="7"/>
      <c r="OES1195" s="7"/>
      <c r="OET1195" s="7"/>
      <c r="OEU1195" s="7"/>
      <c r="OEV1195" s="7"/>
      <c r="OEW1195" s="7"/>
      <c r="OEX1195" s="7"/>
      <c r="OEY1195" s="7"/>
      <c r="OEZ1195" s="7"/>
      <c r="OFA1195" s="7"/>
      <c r="OFB1195" s="7"/>
      <c r="OFC1195" s="7"/>
      <c r="OFD1195" s="7"/>
      <c r="OFE1195" s="7"/>
      <c r="OFF1195" s="7"/>
      <c r="OFG1195" s="7"/>
      <c r="OFH1195" s="7"/>
      <c r="OFI1195" s="7"/>
      <c r="OFJ1195" s="7"/>
      <c r="OFK1195" s="7"/>
      <c r="OFL1195" s="7"/>
      <c r="OFM1195" s="7"/>
      <c r="OFN1195" s="7"/>
      <c r="OFO1195" s="7"/>
      <c r="OFP1195" s="7"/>
      <c r="OFQ1195" s="7"/>
      <c r="OFR1195" s="7"/>
      <c r="OFS1195" s="7"/>
      <c r="OFT1195" s="7"/>
      <c r="OFU1195" s="7"/>
      <c r="OFV1195" s="7"/>
      <c r="OFW1195" s="7"/>
      <c r="OFX1195" s="7"/>
      <c r="OFY1195" s="7"/>
      <c r="OFZ1195" s="7"/>
      <c r="OGA1195" s="7"/>
      <c r="OGB1195" s="7"/>
      <c r="OGC1195" s="7"/>
      <c r="OGD1195" s="7"/>
      <c r="OGE1195" s="7"/>
      <c r="OGF1195" s="7"/>
      <c r="OGG1195" s="7"/>
      <c r="OGH1195" s="7"/>
      <c r="OGI1195" s="7"/>
      <c r="OGJ1195" s="7"/>
      <c r="OGK1195" s="7"/>
      <c r="OGL1195" s="7"/>
      <c r="OGM1195" s="7"/>
      <c r="OGN1195" s="7"/>
      <c r="OGO1195" s="7"/>
      <c r="OGP1195" s="7"/>
      <c r="OGQ1195" s="7"/>
      <c r="OGR1195" s="7"/>
      <c r="OGS1195" s="7"/>
      <c r="OGT1195" s="7"/>
      <c r="OGU1195" s="7"/>
      <c r="OGV1195" s="7"/>
      <c r="OGW1195" s="7"/>
      <c r="OGX1195" s="7"/>
      <c r="OGY1195" s="7"/>
      <c r="OGZ1195" s="7"/>
      <c r="OHA1195" s="7"/>
      <c r="OHB1195" s="7"/>
      <c r="OHC1195" s="7"/>
      <c r="OHD1195" s="7"/>
      <c r="OHE1195" s="7"/>
      <c r="OHF1195" s="7"/>
      <c r="OHG1195" s="7"/>
      <c r="OHH1195" s="7"/>
      <c r="OHI1195" s="7"/>
      <c r="OHJ1195" s="7"/>
      <c r="OHK1195" s="7"/>
      <c r="OHL1195" s="7"/>
      <c r="OHM1195" s="7"/>
      <c r="OHN1195" s="7"/>
      <c r="OHO1195" s="7"/>
      <c r="OHP1195" s="7"/>
      <c r="OHQ1195" s="7"/>
      <c r="OHR1195" s="7"/>
      <c r="OHS1195" s="7"/>
      <c r="OHT1195" s="7"/>
      <c r="OHU1195" s="7"/>
      <c r="OHV1195" s="7"/>
      <c r="OHW1195" s="7"/>
      <c r="OHX1195" s="7"/>
      <c r="OHY1195" s="7"/>
      <c r="OHZ1195" s="7"/>
      <c r="OIA1195" s="7"/>
      <c r="OIB1195" s="7"/>
      <c r="OIC1195" s="7"/>
      <c r="OID1195" s="7"/>
      <c r="OIE1195" s="7"/>
      <c r="OIF1195" s="7"/>
      <c r="OIG1195" s="7"/>
      <c r="OIH1195" s="7"/>
      <c r="OII1195" s="7"/>
      <c r="OIJ1195" s="7"/>
      <c r="OIK1195" s="7"/>
      <c r="OIL1195" s="7"/>
      <c r="OIM1195" s="7"/>
      <c r="OIN1195" s="7"/>
      <c r="OIO1195" s="7"/>
      <c r="OIP1195" s="7"/>
      <c r="OIQ1195" s="7"/>
      <c r="OIR1195" s="7"/>
      <c r="OIS1195" s="7"/>
      <c r="OIT1195" s="7"/>
      <c r="OIU1195" s="7"/>
      <c r="OIV1195" s="7"/>
      <c r="OIW1195" s="7"/>
      <c r="OIX1195" s="7"/>
      <c r="OIY1195" s="7"/>
      <c r="OIZ1195" s="7"/>
      <c r="OJA1195" s="7"/>
      <c r="OJB1195" s="7"/>
      <c r="OJC1195" s="7"/>
      <c r="OJD1195" s="7"/>
      <c r="OJE1195" s="7"/>
      <c r="OJF1195" s="7"/>
      <c r="OJG1195" s="7"/>
      <c r="OJH1195" s="7"/>
      <c r="OJI1195" s="7"/>
      <c r="OJJ1195" s="7"/>
      <c r="OJK1195" s="7"/>
      <c r="OJL1195" s="7"/>
      <c r="OJM1195" s="7"/>
      <c r="OJN1195" s="7"/>
      <c r="OJO1195" s="7"/>
      <c r="OJP1195" s="7"/>
      <c r="OJQ1195" s="7"/>
      <c r="OJR1195" s="7"/>
      <c r="OJS1195" s="7"/>
      <c r="OJT1195" s="7"/>
      <c r="OJU1195" s="7"/>
      <c r="OJV1195" s="7"/>
      <c r="OJW1195" s="7"/>
      <c r="OJX1195" s="7"/>
      <c r="OJY1195" s="7"/>
      <c r="OJZ1195" s="7"/>
      <c r="OKA1195" s="7"/>
      <c r="OKB1195" s="7"/>
      <c r="OKC1195" s="7"/>
      <c r="OKD1195" s="7"/>
      <c r="OKE1195" s="7"/>
      <c r="OKF1195" s="7"/>
      <c r="OKG1195" s="7"/>
      <c r="OKH1195" s="7"/>
      <c r="OKI1195" s="7"/>
      <c r="OKJ1195" s="7"/>
      <c r="OKK1195" s="7"/>
      <c r="OKL1195" s="7"/>
      <c r="OKM1195" s="7"/>
      <c r="OKN1195" s="7"/>
      <c r="OKO1195" s="7"/>
      <c r="OKP1195" s="7"/>
      <c r="OKQ1195" s="7"/>
      <c r="OKR1195" s="7"/>
      <c r="OKS1195" s="7"/>
      <c r="OKT1195" s="7"/>
      <c r="OKU1195" s="7"/>
      <c r="OKV1195" s="7"/>
      <c r="OKW1195" s="7"/>
      <c r="OKX1195" s="7"/>
      <c r="OKY1195" s="7"/>
      <c r="OKZ1195" s="7"/>
      <c r="OLA1195" s="7"/>
      <c r="OLB1195" s="7"/>
      <c r="OLC1195" s="7"/>
      <c r="OLD1195" s="7"/>
      <c r="OLE1195" s="7"/>
      <c r="OLF1195" s="7"/>
      <c r="OLG1195" s="7"/>
      <c r="OLH1195" s="7"/>
      <c r="OLI1195" s="7"/>
      <c r="OLJ1195" s="7"/>
      <c r="OLK1195" s="7"/>
      <c r="OLL1195" s="7"/>
      <c r="OLM1195" s="7"/>
      <c r="OLN1195" s="7"/>
      <c r="OLO1195" s="7"/>
      <c r="OLP1195" s="7"/>
      <c r="OLQ1195" s="7"/>
      <c r="OLR1195" s="7"/>
      <c r="OLS1195" s="7"/>
      <c r="OLT1195" s="7"/>
      <c r="OLU1195" s="7"/>
      <c r="OLV1195" s="7"/>
      <c r="OLW1195" s="7"/>
      <c r="OLX1195" s="7"/>
      <c r="OLY1195" s="7"/>
      <c r="OLZ1195" s="7"/>
      <c r="OMA1195" s="7"/>
      <c r="OMB1195" s="7"/>
      <c r="OMC1195" s="7"/>
      <c r="OMD1195" s="7"/>
      <c r="OME1195" s="7"/>
      <c r="OMF1195" s="7"/>
      <c r="OMG1195" s="7"/>
      <c r="OMH1195" s="7"/>
      <c r="OMI1195" s="7"/>
      <c r="OMJ1195" s="7"/>
      <c r="OMK1195" s="7"/>
      <c r="OML1195" s="7"/>
      <c r="OMM1195" s="7"/>
      <c r="OMN1195" s="7"/>
      <c r="OMO1195" s="7"/>
      <c r="OMP1195" s="7"/>
      <c r="OMQ1195" s="7"/>
      <c r="OMR1195" s="7"/>
      <c r="OMS1195" s="7"/>
      <c r="OMT1195" s="7"/>
      <c r="OMU1195" s="7"/>
      <c r="OMV1195" s="7"/>
      <c r="OMW1195" s="7"/>
      <c r="OMX1195" s="7"/>
      <c r="OMY1195" s="7"/>
      <c r="OMZ1195" s="7"/>
      <c r="ONA1195" s="7"/>
      <c r="ONB1195" s="7"/>
      <c r="ONC1195" s="7"/>
      <c r="OND1195" s="7"/>
      <c r="ONE1195" s="7"/>
      <c r="ONF1195" s="7"/>
      <c r="ONG1195" s="7"/>
      <c r="ONH1195" s="7"/>
      <c r="ONI1195" s="7"/>
      <c r="ONJ1195" s="7"/>
      <c r="ONK1195" s="7"/>
      <c r="ONL1195" s="7"/>
      <c r="ONM1195" s="7"/>
      <c r="ONN1195" s="7"/>
      <c r="ONO1195" s="7"/>
      <c r="ONP1195" s="7"/>
      <c r="ONQ1195" s="7"/>
      <c r="ONR1195" s="7"/>
      <c r="ONS1195" s="7"/>
      <c r="ONT1195" s="7"/>
      <c r="ONU1195" s="7"/>
      <c r="ONV1195" s="7"/>
      <c r="ONW1195" s="7"/>
      <c r="ONX1195" s="7"/>
      <c r="ONY1195" s="7"/>
      <c r="ONZ1195" s="7"/>
      <c r="OOA1195" s="7"/>
      <c r="OOB1195" s="7"/>
      <c r="OOC1195" s="7"/>
      <c r="OOD1195" s="7"/>
      <c r="OOE1195" s="7"/>
      <c r="OOF1195" s="7"/>
      <c r="OOG1195" s="7"/>
      <c r="OOH1195" s="7"/>
      <c r="OOI1195" s="7"/>
      <c r="OOJ1195" s="7"/>
      <c r="OOK1195" s="7"/>
      <c r="OOL1195" s="7"/>
      <c r="OOM1195" s="7"/>
      <c r="OON1195" s="7"/>
      <c r="OOO1195" s="7"/>
      <c r="OOP1195" s="7"/>
      <c r="OOQ1195" s="7"/>
      <c r="OOR1195" s="7"/>
      <c r="OOS1195" s="7"/>
      <c r="OOT1195" s="7"/>
      <c r="OOU1195" s="7"/>
      <c r="OOV1195" s="7"/>
      <c r="OOW1195" s="7"/>
      <c r="OOX1195" s="7"/>
      <c r="OOY1195" s="7"/>
      <c r="OOZ1195" s="7"/>
      <c r="OPA1195" s="7"/>
      <c r="OPB1195" s="7"/>
      <c r="OPC1195" s="7"/>
      <c r="OPD1195" s="7"/>
      <c r="OPE1195" s="7"/>
      <c r="OPF1195" s="7"/>
      <c r="OPG1195" s="7"/>
      <c r="OPH1195" s="7"/>
      <c r="OPI1195" s="7"/>
      <c r="OPJ1195" s="7"/>
      <c r="OPK1195" s="7"/>
      <c r="OPL1195" s="7"/>
      <c r="OPM1195" s="7"/>
      <c r="OPN1195" s="7"/>
      <c r="OPO1195" s="7"/>
      <c r="OPP1195" s="7"/>
      <c r="OPQ1195" s="7"/>
      <c r="OPR1195" s="7"/>
      <c r="OPS1195" s="7"/>
      <c r="OPT1195" s="7"/>
      <c r="OPU1195" s="7"/>
      <c r="OPV1195" s="7"/>
      <c r="OPW1195" s="7"/>
      <c r="OPX1195" s="7"/>
      <c r="OPY1195" s="7"/>
      <c r="OPZ1195" s="7"/>
      <c r="OQA1195" s="7"/>
      <c r="OQB1195" s="7"/>
      <c r="OQC1195" s="7"/>
      <c r="OQD1195" s="7"/>
      <c r="OQE1195" s="7"/>
      <c r="OQF1195" s="7"/>
      <c r="OQG1195" s="7"/>
      <c r="OQH1195" s="7"/>
      <c r="OQI1195" s="7"/>
      <c r="OQJ1195" s="7"/>
      <c r="OQK1195" s="7"/>
      <c r="OQL1195" s="7"/>
      <c r="OQM1195" s="7"/>
      <c r="OQN1195" s="7"/>
      <c r="OQO1195" s="7"/>
      <c r="OQP1195" s="7"/>
      <c r="OQQ1195" s="7"/>
      <c r="OQR1195" s="7"/>
      <c r="OQS1195" s="7"/>
      <c r="OQT1195" s="7"/>
      <c r="OQU1195" s="7"/>
      <c r="OQV1195" s="7"/>
      <c r="OQW1195" s="7"/>
      <c r="OQX1195" s="7"/>
      <c r="OQY1195" s="7"/>
      <c r="OQZ1195" s="7"/>
      <c r="ORA1195" s="7"/>
      <c r="ORB1195" s="7"/>
      <c r="ORC1195" s="7"/>
      <c r="ORD1195" s="7"/>
      <c r="ORE1195" s="7"/>
      <c r="ORF1195" s="7"/>
      <c r="ORG1195" s="7"/>
      <c r="ORH1195" s="7"/>
      <c r="ORI1195" s="7"/>
      <c r="ORJ1195" s="7"/>
      <c r="ORK1195" s="7"/>
      <c r="ORL1195" s="7"/>
      <c r="ORM1195" s="7"/>
      <c r="ORN1195" s="7"/>
      <c r="ORO1195" s="7"/>
      <c r="ORP1195" s="7"/>
      <c r="ORQ1195" s="7"/>
      <c r="ORR1195" s="7"/>
      <c r="ORS1195" s="7"/>
      <c r="ORT1195" s="7"/>
      <c r="ORU1195" s="7"/>
      <c r="ORV1195" s="7"/>
      <c r="ORW1195" s="7"/>
      <c r="ORX1195" s="7"/>
      <c r="ORY1195" s="7"/>
      <c r="ORZ1195" s="7"/>
      <c r="OSA1195" s="7"/>
      <c r="OSB1195" s="7"/>
      <c r="OSC1195" s="7"/>
      <c r="OSD1195" s="7"/>
      <c r="OSE1195" s="7"/>
      <c r="OSF1195" s="7"/>
      <c r="OSG1195" s="7"/>
      <c r="OSH1195" s="7"/>
      <c r="OSI1195" s="7"/>
      <c r="OSJ1195" s="7"/>
      <c r="OSK1195" s="7"/>
      <c r="OSL1195" s="7"/>
      <c r="OSM1195" s="7"/>
      <c r="OSN1195" s="7"/>
      <c r="OSO1195" s="7"/>
      <c r="OSP1195" s="7"/>
      <c r="OSQ1195" s="7"/>
      <c r="OSR1195" s="7"/>
      <c r="OSS1195" s="7"/>
      <c r="OST1195" s="7"/>
      <c r="OSU1195" s="7"/>
      <c r="OSV1195" s="7"/>
      <c r="OSW1195" s="7"/>
      <c r="OSX1195" s="7"/>
      <c r="OSY1195" s="7"/>
      <c r="OSZ1195" s="7"/>
      <c r="OTA1195" s="7"/>
      <c r="OTB1195" s="7"/>
      <c r="OTC1195" s="7"/>
      <c r="OTD1195" s="7"/>
      <c r="OTE1195" s="7"/>
      <c r="OTF1195" s="7"/>
      <c r="OTG1195" s="7"/>
      <c r="OTH1195" s="7"/>
      <c r="OTI1195" s="7"/>
      <c r="OTJ1195" s="7"/>
      <c r="OTK1195" s="7"/>
      <c r="OTL1195" s="7"/>
      <c r="OTM1195" s="7"/>
      <c r="OTN1195" s="7"/>
      <c r="OTO1195" s="7"/>
      <c r="OTP1195" s="7"/>
      <c r="OTQ1195" s="7"/>
      <c r="OTR1195" s="7"/>
      <c r="OTS1195" s="7"/>
      <c r="OTT1195" s="7"/>
      <c r="OTU1195" s="7"/>
      <c r="OTV1195" s="7"/>
      <c r="OTW1195" s="7"/>
      <c r="OTX1195" s="7"/>
      <c r="OTY1195" s="7"/>
      <c r="OTZ1195" s="7"/>
      <c r="OUA1195" s="7"/>
      <c r="OUB1195" s="7"/>
      <c r="OUC1195" s="7"/>
      <c r="OUD1195" s="7"/>
      <c r="OUE1195" s="7"/>
      <c r="OUF1195" s="7"/>
      <c r="OUG1195" s="7"/>
      <c r="OUH1195" s="7"/>
      <c r="OUI1195" s="7"/>
      <c r="OUJ1195" s="7"/>
      <c r="OUK1195" s="7"/>
      <c r="OUL1195" s="7"/>
      <c r="OUM1195" s="7"/>
      <c r="OUN1195" s="7"/>
      <c r="OUO1195" s="7"/>
      <c r="OUP1195" s="7"/>
      <c r="OUQ1195" s="7"/>
      <c r="OUR1195" s="7"/>
      <c r="OUS1195" s="7"/>
      <c r="OUT1195" s="7"/>
      <c r="OUU1195" s="7"/>
      <c r="OUV1195" s="7"/>
      <c r="OUW1195" s="7"/>
      <c r="OUX1195" s="7"/>
      <c r="OUY1195" s="7"/>
      <c r="OUZ1195" s="7"/>
      <c r="OVA1195" s="7"/>
      <c r="OVB1195" s="7"/>
      <c r="OVC1195" s="7"/>
      <c r="OVD1195" s="7"/>
      <c r="OVE1195" s="7"/>
      <c r="OVF1195" s="7"/>
      <c r="OVG1195" s="7"/>
      <c r="OVH1195" s="7"/>
      <c r="OVI1195" s="7"/>
      <c r="OVJ1195" s="7"/>
      <c r="OVK1195" s="7"/>
      <c r="OVL1195" s="7"/>
      <c r="OVM1195" s="7"/>
      <c r="OVN1195" s="7"/>
      <c r="OVO1195" s="7"/>
      <c r="OVP1195" s="7"/>
      <c r="OVQ1195" s="7"/>
      <c r="OVR1195" s="7"/>
      <c r="OVS1195" s="7"/>
      <c r="OVT1195" s="7"/>
      <c r="OVU1195" s="7"/>
      <c r="OVV1195" s="7"/>
      <c r="OVW1195" s="7"/>
      <c r="OVX1195" s="7"/>
      <c r="OVY1195" s="7"/>
      <c r="OVZ1195" s="7"/>
      <c r="OWA1195" s="7"/>
      <c r="OWB1195" s="7"/>
      <c r="OWC1195" s="7"/>
      <c r="OWD1195" s="7"/>
      <c r="OWE1195" s="7"/>
      <c r="OWF1195" s="7"/>
      <c r="OWG1195" s="7"/>
      <c r="OWH1195" s="7"/>
      <c r="OWI1195" s="7"/>
      <c r="OWJ1195" s="7"/>
      <c r="OWK1195" s="7"/>
      <c r="OWL1195" s="7"/>
      <c r="OWM1195" s="7"/>
      <c r="OWN1195" s="7"/>
      <c r="OWO1195" s="7"/>
      <c r="OWP1195" s="7"/>
      <c r="OWQ1195" s="7"/>
      <c r="OWR1195" s="7"/>
      <c r="OWS1195" s="7"/>
      <c r="OWT1195" s="7"/>
      <c r="OWU1195" s="7"/>
      <c r="OWV1195" s="7"/>
      <c r="OWW1195" s="7"/>
      <c r="OWX1195" s="7"/>
      <c r="OWY1195" s="7"/>
      <c r="OWZ1195" s="7"/>
      <c r="OXA1195" s="7"/>
      <c r="OXB1195" s="7"/>
      <c r="OXC1195" s="7"/>
      <c r="OXD1195" s="7"/>
      <c r="OXE1195" s="7"/>
      <c r="OXF1195" s="7"/>
      <c r="OXG1195" s="7"/>
      <c r="OXH1195" s="7"/>
      <c r="OXI1195" s="7"/>
      <c r="OXJ1195" s="7"/>
      <c r="OXK1195" s="7"/>
      <c r="OXL1195" s="7"/>
      <c r="OXM1195" s="7"/>
      <c r="OXN1195" s="7"/>
      <c r="OXO1195" s="7"/>
      <c r="OXP1195" s="7"/>
      <c r="OXQ1195" s="7"/>
      <c r="OXR1195" s="7"/>
      <c r="OXS1195" s="7"/>
      <c r="OXT1195" s="7"/>
      <c r="OXU1195" s="7"/>
      <c r="OXV1195" s="7"/>
      <c r="OXW1195" s="7"/>
      <c r="OXX1195" s="7"/>
      <c r="OXY1195" s="7"/>
      <c r="OXZ1195" s="7"/>
      <c r="OYA1195" s="7"/>
      <c r="OYB1195" s="7"/>
      <c r="OYC1195" s="7"/>
      <c r="OYD1195" s="7"/>
      <c r="OYE1195" s="7"/>
      <c r="OYF1195" s="7"/>
      <c r="OYG1195" s="7"/>
      <c r="OYH1195" s="7"/>
      <c r="OYI1195" s="7"/>
      <c r="OYJ1195" s="7"/>
      <c r="OYK1195" s="7"/>
      <c r="OYL1195" s="7"/>
      <c r="OYM1195" s="7"/>
      <c r="OYN1195" s="7"/>
      <c r="OYO1195" s="7"/>
      <c r="OYP1195" s="7"/>
      <c r="OYQ1195" s="7"/>
      <c r="OYR1195" s="7"/>
      <c r="OYS1195" s="7"/>
      <c r="OYT1195" s="7"/>
      <c r="OYU1195" s="7"/>
      <c r="OYV1195" s="7"/>
      <c r="OYW1195" s="7"/>
      <c r="OYX1195" s="7"/>
      <c r="OYY1195" s="7"/>
      <c r="OYZ1195" s="7"/>
      <c r="OZA1195" s="7"/>
      <c r="OZB1195" s="7"/>
      <c r="OZC1195" s="7"/>
      <c r="OZD1195" s="7"/>
      <c r="OZE1195" s="7"/>
      <c r="OZF1195" s="7"/>
      <c r="OZG1195" s="7"/>
      <c r="OZH1195" s="7"/>
      <c r="OZI1195" s="7"/>
      <c r="OZJ1195" s="7"/>
      <c r="OZK1195" s="7"/>
      <c r="OZL1195" s="7"/>
      <c r="OZM1195" s="7"/>
      <c r="OZN1195" s="7"/>
      <c r="OZO1195" s="7"/>
      <c r="OZP1195" s="7"/>
      <c r="OZQ1195" s="7"/>
      <c r="OZR1195" s="7"/>
      <c r="OZS1195" s="7"/>
      <c r="OZT1195" s="7"/>
      <c r="OZU1195" s="7"/>
      <c r="OZV1195" s="7"/>
      <c r="OZW1195" s="7"/>
      <c r="OZX1195" s="7"/>
      <c r="OZY1195" s="7"/>
      <c r="OZZ1195" s="7"/>
      <c r="PAA1195" s="7"/>
      <c r="PAB1195" s="7"/>
      <c r="PAC1195" s="7"/>
      <c r="PAD1195" s="7"/>
      <c r="PAE1195" s="7"/>
      <c r="PAF1195" s="7"/>
      <c r="PAG1195" s="7"/>
      <c r="PAH1195" s="7"/>
      <c r="PAI1195" s="7"/>
      <c r="PAJ1195" s="7"/>
      <c r="PAK1195" s="7"/>
      <c r="PAL1195" s="7"/>
      <c r="PAM1195" s="7"/>
      <c r="PAN1195" s="7"/>
      <c r="PAO1195" s="7"/>
      <c r="PAP1195" s="7"/>
      <c r="PAQ1195" s="7"/>
      <c r="PAR1195" s="7"/>
      <c r="PAS1195" s="7"/>
      <c r="PAT1195" s="7"/>
      <c r="PAU1195" s="7"/>
      <c r="PAV1195" s="7"/>
      <c r="PAW1195" s="7"/>
      <c r="PAX1195" s="7"/>
      <c r="PAY1195" s="7"/>
      <c r="PAZ1195" s="7"/>
      <c r="PBA1195" s="7"/>
      <c r="PBB1195" s="7"/>
      <c r="PBC1195" s="7"/>
      <c r="PBD1195" s="7"/>
      <c r="PBE1195" s="7"/>
      <c r="PBF1195" s="7"/>
      <c r="PBG1195" s="7"/>
      <c r="PBH1195" s="7"/>
      <c r="PBI1195" s="7"/>
      <c r="PBJ1195" s="7"/>
      <c r="PBK1195" s="7"/>
      <c r="PBL1195" s="7"/>
      <c r="PBM1195" s="7"/>
      <c r="PBN1195" s="7"/>
      <c r="PBO1195" s="7"/>
      <c r="PBP1195" s="7"/>
      <c r="PBQ1195" s="7"/>
      <c r="PBR1195" s="7"/>
      <c r="PBS1195" s="7"/>
      <c r="PBT1195" s="7"/>
      <c r="PBU1195" s="7"/>
      <c r="PBV1195" s="7"/>
      <c r="PBW1195" s="7"/>
      <c r="PBX1195" s="7"/>
      <c r="PBY1195" s="7"/>
      <c r="PBZ1195" s="7"/>
      <c r="PCA1195" s="7"/>
      <c r="PCB1195" s="7"/>
      <c r="PCC1195" s="7"/>
      <c r="PCD1195" s="7"/>
      <c r="PCE1195" s="7"/>
      <c r="PCF1195" s="7"/>
      <c r="PCG1195" s="7"/>
      <c r="PCH1195" s="7"/>
      <c r="PCI1195" s="7"/>
      <c r="PCJ1195" s="7"/>
      <c r="PCK1195" s="7"/>
      <c r="PCL1195" s="7"/>
      <c r="PCM1195" s="7"/>
      <c r="PCN1195" s="7"/>
      <c r="PCO1195" s="7"/>
      <c r="PCP1195" s="7"/>
      <c r="PCQ1195" s="7"/>
      <c r="PCR1195" s="7"/>
      <c r="PCS1195" s="7"/>
      <c r="PCT1195" s="7"/>
      <c r="PCU1195" s="7"/>
      <c r="PCV1195" s="7"/>
      <c r="PCW1195" s="7"/>
      <c r="PCX1195" s="7"/>
      <c r="PCY1195" s="7"/>
      <c r="PCZ1195" s="7"/>
      <c r="PDA1195" s="7"/>
      <c r="PDB1195" s="7"/>
      <c r="PDC1195" s="7"/>
      <c r="PDD1195" s="7"/>
      <c r="PDE1195" s="7"/>
      <c r="PDF1195" s="7"/>
      <c r="PDG1195" s="7"/>
      <c r="PDH1195" s="7"/>
      <c r="PDI1195" s="7"/>
      <c r="PDJ1195" s="7"/>
      <c r="PDK1195" s="7"/>
      <c r="PDL1195" s="7"/>
      <c r="PDM1195" s="7"/>
      <c r="PDN1195" s="7"/>
      <c r="PDO1195" s="7"/>
      <c r="PDP1195" s="7"/>
      <c r="PDQ1195" s="7"/>
      <c r="PDR1195" s="7"/>
      <c r="PDS1195" s="7"/>
      <c r="PDT1195" s="7"/>
      <c r="PDU1195" s="7"/>
      <c r="PDV1195" s="7"/>
      <c r="PDW1195" s="7"/>
      <c r="PDX1195" s="7"/>
      <c r="PDY1195" s="7"/>
      <c r="PDZ1195" s="7"/>
      <c r="PEA1195" s="7"/>
      <c r="PEB1195" s="7"/>
      <c r="PEC1195" s="7"/>
      <c r="PED1195" s="7"/>
      <c r="PEE1195" s="7"/>
      <c r="PEF1195" s="7"/>
      <c r="PEG1195" s="7"/>
      <c r="PEH1195" s="7"/>
      <c r="PEI1195" s="7"/>
      <c r="PEJ1195" s="7"/>
      <c r="PEK1195" s="7"/>
      <c r="PEL1195" s="7"/>
      <c r="PEM1195" s="7"/>
      <c r="PEN1195" s="7"/>
      <c r="PEO1195" s="7"/>
      <c r="PEP1195" s="7"/>
      <c r="PEQ1195" s="7"/>
      <c r="PER1195" s="7"/>
      <c r="PES1195" s="7"/>
      <c r="PET1195" s="7"/>
      <c r="PEU1195" s="7"/>
      <c r="PEV1195" s="7"/>
      <c r="PEW1195" s="7"/>
      <c r="PEX1195" s="7"/>
      <c r="PEY1195" s="7"/>
      <c r="PEZ1195" s="7"/>
      <c r="PFA1195" s="7"/>
      <c r="PFB1195" s="7"/>
      <c r="PFC1195" s="7"/>
      <c r="PFD1195" s="7"/>
      <c r="PFE1195" s="7"/>
      <c r="PFF1195" s="7"/>
      <c r="PFG1195" s="7"/>
      <c r="PFH1195" s="7"/>
      <c r="PFI1195" s="7"/>
      <c r="PFJ1195" s="7"/>
      <c r="PFK1195" s="7"/>
      <c r="PFL1195" s="7"/>
      <c r="PFM1195" s="7"/>
      <c r="PFN1195" s="7"/>
      <c r="PFO1195" s="7"/>
      <c r="PFP1195" s="7"/>
      <c r="PFQ1195" s="7"/>
      <c r="PFR1195" s="7"/>
      <c r="PFS1195" s="7"/>
      <c r="PFT1195" s="7"/>
      <c r="PFU1195" s="7"/>
      <c r="PFV1195" s="7"/>
      <c r="PFW1195" s="7"/>
      <c r="PFX1195" s="7"/>
      <c r="PFY1195" s="7"/>
      <c r="PFZ1195" s="7"/>
      <c r="PGA1195" s="7"/>
      <c r="PGB1195" s="7"/>
      <c r="PGC1195" s="7"/>
      <c r="PGD1195" s="7"/>
      <c r="PGE1195" s="7"/>
      <c r="PGF1195" s="7"/>
      <c r="PGG1195" s="7"/>
      <c r="PGH1195" s="7"/>
      <c r="PGI1195" s="7"/>
      <c r="PGJ1195" s="7"/>
      <c r="PGK1195" s="7"/>
      <c r="PGL1195" s="7"/>
      <c r="PGM1195" s="7"/>
      <c r="PGN1195" s="7"/>
      <c r="PGO1195" s="7"/>
      <c r="PGP1195" s="7"/>
      <c r="PGQ1195" s="7"/>
      <c r="PGR1195" s="7"/>
      <c r="PGS1195" s="7"/>
      <c r="PGT1195" s="7"/>
      <c r="PGU1195" s="7"/>
      <c r="PGV1195" s="7"/>
      <c r="PGW1195" s="7"/>
      <c r="PGX1195" s="7"/>
      <c r="PGY1195" s="7"/>
      <c r="PGZ1195" s="7"/>
      <c r="PHA1195" s="7"/>
      <c r="PHB1195" s="7"/>
      <c r="PHC1195" s="7"/>
      <c r="PHD1195" s="7"/>
      <c r="PHE1195" s="7"/>
      <c r="PHF1195" s="7"/>
      <c r="PHG1195" s="7"/>
      <c r="PHH1195" s="7"/>
      <c r="PHI1195" s="7"/>
      <c r="PHJ1195" s="7"/>
      <c r="PHK1195" s="7"/>
      <c r="PHL1195" s="7"/>
      <c r="PHM1195" s="7"/>
      <c r="PHN1195" s="7"/>
      <c r="PHO1195" s="7"/>
      <c r="PHP1195" s="7"/>
      <c r="PHQ1195" s="7"/>
      <c r="PHR1195" s="7"/>
      <c r="PHS1195" s="7"/>
      <c r="PHT1195" s="7"/>
      <c r="PHU1195" s="7"/>
      <c r="PHV1195" s="7"/>
      <c r="PHW1195" s="7"/>
      <c r="PHX1195" s="7"/>
      <c r="PHY1195" s="7"/>
      <c r="PHZ1195" s="7"/>
      <c r="PIA1195" s="7"/>
      <c r="PIB1195" s="7"/>
      <c r="PIC1195" s="7"/>
      <c r="PID1195" s="7"/>
      <c r="PIE1195" s="7"/>
      <c r="PIF1195" s="7"/>
      <c r="PIG1195" s="7"/>
      <c r="PIH1195" s="7"/>
      <c r="PII1195" s="7"/>
      <c r="PIJ1195" s="7"/>
      <c r="PIK1195" s="7"/>
      <c r="PIL1195" s="7"/>
      <c r="PIM1195" s="7"/>
      <c r="PIN1195" s="7"/>
      <c r="PIO1195" s="7"/>
      <c r="PIP1195" s="7"/>
      <c r="PIQ1195" s="7"/>
      <c r="PIR1195" s="7"/>
      <c r="PIS1195" s="7"/>
      <c r="PIT1195" s="7"/>
      <c r="PIU1195" s="7"/>
      <c r="PIV1195" s="7"/>
      <c r="PIW1195" s="7"/>
      <c r="PIX1195" s="7"/>
      <c r="PIY1195" s="7"/>
      <c r="PIZ1195" s="7"/>
      <c r="PJA1195" s="7"/>
      <c r="PJB1195" s="7"/>
      <c r="PJC1195" s="7"/>
      <c r="PJD1195" s="7"/>
      <c r="PJE1195" s="7"/>
      <c r="PJF1195" s="7"/>
      <c r="PJG1195" s="7"/>
      <c r="PJH1195" s="7"/>
      <c r="PJI1195" s="7"/>
      <c r="PJJ1195" s="7"/>
      <c r="PJK1195" s="7"/>
      <c r="PJL1195" s="7"/>
      <c r="PJM1195" s="7"/>
      <c r="PJN1195" s="7"/>
      <c r="PJO1195" s="7"/>
      <c r="PJP1195" s="7"/>
      <c r="PJQ1195" s="7"/>
      <c r="PJR1195" s="7"/>
      <c r="PJS1195" s="7"/>
      <c r="PJT1195" s="7"/>
      <c r="PJU1195" s="7"/>
      <c r="PJV1195" s="7"/>
      <c r="PJW1195" s="7"/>
      <c r="PJX1195" s="7"/>
      <c r="PJY1195" s="7"/>
      <c r="PJZ1195" s="7"/>
      <c r="PKA1195" s="7"/>
      <c r="PKB1195" s="7"/>
      <c r="PKC1195" s="7"/>
      <c r="PKD1195" s="7"/>
      <c r="PKE1195" s="7"/>
      <c r="PKF1195" s="7"/>
      <c r="PKG1195" s="7"/>
      <c r="PKH1195" s="7"/>
      <c r="PKI1195" s="7"/>
      <c r="PKJ1195" s="7"/>
      <c r="PKK1195" s="7"/>
      <c r="PKL1195" s="7"/>
      <c r="PKM1195" s="7"/>
      <c r="PKN1195" s="7"/>
      <c r="PKO1195" s="7"/>
      <c r="PKP1195" s="7"/>
      <c r="PKQ1195" s="7"/>
      <c r="PKR1195" s="7"/>
      <c r="PKS1195" s="7"/>
      <c r="PKT1195" s="7"/>
      <c r="PKU1195" s="7"/>
      <c r="PKV1195" s="7"/>
      <c r="PKW1195" s="7"/>
      <c r="PKX1195" s="7"/>
      <c r="PKY1195" s="7"/>
      <c r="PKZ1195" s="7"/>
      <c r="PLA1195" s="7"/>
      <c r="PLB1195" s="7"/>
      <c r="PLC1195" s="7"/>
      <c r="PLD1195" s="7"/>
      <c r="PLE1195" s="7"/>
      <c r="PLF1195" s="7"/>
      <c r="PLG1195" s="7"/>
      <c r="PLH1195" s="7"/>
      <c r="PLI1195" s="7"/>
      <c r="PLJ1195" s="7"/>
      <c r="PLK1195" s="7"/>
      <c r="PLL1195" s="7"/>
      <c r="PLM1195" s="7"/>
      <c r="PLN1195" s="7"/>
      <c r="PLO1195" s="7"/>
      <c r="PLP1195" s="7"/>
      <c r="PLQ1195" s="7"/>
      <c r="PLR1195" s="7"/>
      <c r="PLS1195" s="7"/>
      <c r="PLT1195" s="7"/>
      <c r="PLU1195" s="7"/>
      <c r="PLV1195" s="7"/>
      <c r="PLW1195" s="7"/>
      <c r="PLX1195" s="7"/>
      <c r="PLY1195" s="7"/>
      <c r="PLZ1195" s="7"/>
      <c r="PMA1195" s="7"/>
      <c r="PMB1195" s="7"/>
      <c r="PMC1195" s="7"/>
      <c r="PMD1195" s="7"/>
      <c r="PME1195" s="7"/>
      <c r="PMF1195" s="7"/>
      <c r="PMG1195" s="7"/>
      <c r="PMH1195" s="7"/>
      <c r="PMI1195" s="7"/>
      <c r="PMJ1195" s="7"/>
      <c r="PMK1195" s="7"/>
      <c r="PML1195" s="7"/>
      <c r="PMM1195" s="7"/>
      <c r="PMN1195" s="7"/>
      <c r="PMO1195" s="7"/>
      <c r="PMP1195" s="7"/>
      <c r="PMQ1195" s="7"/>
      <c r="PMR1195" s="7"/>
      <c r="PMS1195" s="7"/>
      <c r="PMT1195" s="7"/>
      <c r="PMU1195" s="7"/>
      <c r="PMV1195" s="7"/>
      <c r="PMW1195" s="7"/>
      <c r="PMX1195" s="7"/>
      <c r="PMY1195" s="7"/>
      <c r="PMZ1195" s="7"/>
      <c r="PNA1195" s="7"/>
      <c r="PNB1195" s="7"/>
      <c r="PNC1195" s="7"/>
      <c r="PND1195" s="7"/>
      <c r="PNE1195" s="7"/>
      <c r="PNF1195" s="7"/>
      <c r="PNG1195" s="7"/>
      <c r="PNH1195" s="7"/>
      <c r="PNI1195" s="7"/>
      <c r="PNJ1195" s="7"/>
      <c r="PNK1195" s="7"/>
      <c r="PNL1195" s="7"/>
      <c r="PNM1195" s="7"/>
      <c r="PNN1195" s="7"/>
      <c r="PNO1195" s="7"/>
      <c r="PNP1195" s="7"/>
      <c r="PNQ1195" s="7"/>
      <c r="PNR1195" s="7"/>
      <c r="PNS1195" s="7"/>
      <c r="PNT1195" s="7"/>
      <c r="PNU1195" s="7"/>
      <c r="PNV1195" s="7"/>
      <c r="PNW1195" s="7"/>
      <c r="PNX1195" s="7"/>
      <c r="PNY1195" s="7"/>
      <c r="PNZ1195" s="7"/>
      <c r="POA1195" s="7"/>
      <c r="POB1195" s="7"/>
      <c r="POC1195" s="7"/>
      <c r="POD1195" s="7"/>
      <c r="POE1195" s="7"/>
      <c r="POF1195" s="7"/>
      <c r="POG1195" s="7"/>
      <c r="POH1195" s="7"/>
      <c r="POI1195" s="7"/>
      <c r="POJ1195" s="7"/>
      <c r="POK1195" s="7"/>
      <c r="POL1195" s="7"/>
      <c r="POM1195" s="7"/>
      <c r="PON1195" s="7"/>
      <c r="POO1195" s="7"/>
      <c r="POP1195" s="7"/>
      <c r="POQ1195" s="7"/>
      <c r="POR1195" s="7"/>
      <c r="POS1195" s="7"/>
      <c r="POT1195" s="7"/>
      <c r="POU1195" s="7"/>
      <c r="POV1195" s="7"/>
      <c r="POW1195" s="7"/>
      <c r="POX1195" s="7"/>
      <c r="POY1195" s="7"/>
      <c r="POZ1195" s="7"/>
      <c r="PPA1195" s="7"/>
      <c r="PPB1195" s="7"/>
      <c r="PPC1195" s="7"/>
      <c r="PPD1195" s="7"/>
      <c r="PPE1195" s="7"/>
      <c r="PPF1195" s="7"/>
      <c r="PPG1195" s="7"/>
      <c r="PPH1195" s="7"/>
      <c r="PPI1195" s="7"/>
      <c r="PPJ1195" s="7"/>
      <c r="PPK1195" s="7"/>
      <c r="PPL1195" s="7"/>
      <c r="PPM1195" s="7"/>
      <c r="PPN1195" s="7"/>
      <c r="PPO1195" s="7"/>
      <c r="PPP1195" s="7"/>
      <c r="PPQ1195" s="7"/>
      <c r="PPR1195" s="7"/>
      <c r="PPS1195" s="7"/>
      <c r="PPT1195" s="7"/>
      <c r="PPU1195" s="7"/>
      <c r="PPV1195" s="7"/>
      <c r="PPW1195" s="7"/>
      <c r="PPX1195" s="7"/>
      <c r="PPY1195" s="7"/>
      <c r="PPZ1195" s="7"/>
      <c r="PQA1195" s="7"/>
      <c r="PQB1195" s="7"/>
      <c r="PQC1195" s="7"/>
      <c r="PQD1195" s="7"/>
      <c r="PQE1195" s="7"/>
      <c r="PQF1195" s="7"/>
      <c r="PQG1195" s="7"/>
      <c r="PQH1195" s="7"/>
      <c r="PQI1195" s="7"/>
      <c r="PQJ1195" s="7"/>
      <c r="PQK1195" s="7"/>
      <c r="PQL1195" s="7"/>
      <c r="PQM1195" s="7"/>
      <c r="PQN1195" s="7"/>
      <c r="PQO1195" s="7"/>
      <c r="PQP1195" s="7"/>
      <c r="PQQ1195" s="7"/>
      <c r="PQR1195" s="7"/>
      <c r="PQS1195" s="7"/>
      <c r="PQT1195" s="7"/>
      <c r="PQU1195" s="7"/>
      <c r="PQV1195" s="7"/>
      <c r="PQW1195" s="7"/>
      <c r="PQX1195" s="7"/>
      <c r="PQY1195" s="7"/>
      <c r="PQZ1195" s="7"/>
      <c r="PRA1195" s="7"/>
      <c r="PRB1195" s="7"/>
      <c r="PRC1195" s="7"/>
      <c r="PRD1195" s="7"/>
      <c r="PRE1195" s="7"/>
      <c r="PRF1195" s="7"/>
      <c r="PRG1195" s="7"/>
      <c r="PRH1195" s="7"/>
      <c r="PRI1195" s="7"/>
      <c r="PRJ1195" s="7"/>
      <c r="PRK1195" s="7"/>
      <c r="PRL1195" s="7"/>
      <c r="PRM1195" s="7"/>
      <c r="PRN1195" s="7"/>
      <c r="PRO1195" s="7"/>
      <c r="PRP1195" s="7"/>
      <c r="PRQ1195" s="7"/>
      <c r="PRR1195" s="7"/>
      <c r="PRS1195" s="7"/>
      <c r="PRT1195" s="7"/>
      <c r="PRU1195" s="7"/>
      <c r="PRV1195" s="7"/>
      <c r="PRW1195" s="7"/>
      <c r="PRX1195" s="7"/>
      <c r="PRY1195" s="7"/>
      <c r="PRZ1195" s="7"/>
      <c r="PSA1195" s="7"/>
      <c r="PSB1195" s="7"/>
      <c r="PSC1195" s="7"/>
      <c r="PSD1195" s="7"/>
      <c r="PSE1195" s="7"/>
      <c r="PSF1195" s="7"/>
      <c r="PSG1195" s="7"/>
      <c r="PSH1195" s="7"/>
      <c r="PSI1195" s="7"/>
      <c r="PSJ1195" s="7"/>
      <c r="PSK1195" s="7"/>
      <c r="PSL1195" s="7"/>
      <c r="PSM1195" s="7"/>
      <c r="PSN1195" s="7"/>
      <c r="PSO1195" s="7"/>
      <c r="PSP1195" s="7"/>
      <c r="PSQ1195" s="7"/>
      <c r="PSR1195" s="7"/>
      <c r="PSS1195" s="7"/>
      <c r="PST1195" s="7"/>
      <c r="PSU1195" s="7"/>
      <c r="PSV1195" s="7"/>
      <c r="PSW1195" s="7"/>
      <c r="PSX1195" s="7"/>
      <c r="PSY1195" s="7"/>
      <c r="PSZ1195" s="7"/>
      <c r="PTA1195" s="7"/>
      <c r="PTB1195" s="7"/>
      <c r="PTC1195" s="7"/>
      <c r="PTD1195" s="7"/>
      <c r="PTE1195" s="7"/>
      <c r="PTF1195" s="7"/>
      <c r="PTG1195" s="7"/>
      <c r="PTH1195" s="7"/>
      <c r="PTI1195" s="7"/>
      <c r="PTJ1195" s="7"/>
      <c r="PTK1195" s="7"/>
      <c r="PTL1195" s="7"/>
      <c r="PTM1195" s="7"/>
      <c r="PTN1195" s="7"/>
      <c r="PTO1195" s="7"/>
      <c r="PTP1195" s="7"/>
      <c r="PTQ1195" s="7"/>
      <c r="PTR1195" s="7"/>
      <c r="PTS1195" s="7"/>
      <c r="PTT1195" s="7"/>
      <c r="PTU1195" s="7"/>
      <c r="PTV1195" s="7"/>
      <c r="PTW1195" s="7"/>
      <c r="PTX1195" s="7"/>
      <c r="PTY1195" s="7"/>
      <c r="PTZ1195" s="7"/>
      <c r="PUA1195" s="7"/>
      <c r="PUB1195" s="7"/>
      <c r="PUC1195" s="7"/>
      <c r="PUD1195" s="7"/>
      <c r="PUE1195" s="7"/>
      <c r="PUF1195" s="7"/>
      <c r="PUG1195" s="7"/>
      <c r="PUH1195" s="7"/>
      <c r="PUI1195" s="7"/>
      <c r="PUJ1195" s="7"/>
      <c r="PUK1195" s="7"/>
      <c r="PUL1195" s="7"/>
      <c r="PUM1195" s="7"/>
      <c r="PUN1195" s="7"/>
      <c r="PUO1195" s="7"/>
      <c r="PUP1195" s="7"/>
      <c r="PUQ1195" s="7"/>
      <c r="PUR1195" s="7"/>
      <c r="PUS1195" s="7"/>
      <c r="PUT1195" s="7"/>
      <c r="PUU1195" s="7"/>
      <c r="PUV1195" s="7"/>
      <c r="PUW1195" s="7"/>
      <c r="PUX1195" s="7"/>
      <c r="PUY1195" s="7"/>
      <c r="PUZ1195" s="7"/>
      <c r="PVA1195" s="7"/>
      <c r="PVB1195" s="7"/>
      <c r="PVC1195" s="7"/>
      <c r="PVD1195" s="7"/>
      <c r="PVE1195" s="7"/>
      <c r="PVF1195" s="7"/>
      <c r="PVG1195" s="7"/>
      <c r="PVH1195" s="7"/>
      <c r="PVI1195" s="7"/>
      <c r="PVJ1195" s="7"/>
      <c r="PVK1195" s="7"/>
      <c r="PVL1195" s="7"/>
      <c r="PVM1195" s="7"/>
      <c r="PVN1195" s="7"/>
      <c r="PVO1195" s="7"/>
      <c r="PVP1195" s="7"/>
      <c r="PVQ1195" s="7"/>
      <c r="PVR1195" s="7"/>
      <c r="PVS1195" s="7"/>
      <c r="PVT1195" s="7"/>
      <c r="PVU1195" s="7"/>
      <c r="PVV1195" s="7"/>
      <c r="PVW1195" s="7"/>
      <c r="PVX1195" s="7"/>
      <c r="PVY1195" s="7"/>
      <c r="PVZ1195" s="7"/>
      <c r="PWA1195" s="7"/>
      <c r="PWB1195" s="7"/>
      <c r="PWC1195" s="7"/>
      <c r="PWD1195" s="7"/>
      <c r="PWE1195" s="7"/>
      <c r="PWF1195" s="7"/>
      <c r="PWG1195" s="7"/>
      <c r="PWH1195" s="7"/>
      <c r="PWI1195" s="7"/>
      <c r="PWJ1195" s="7"/>
      <c r="PWK1195" s="7"/>
      <c r="PWL1195" s="7"/>
      <c r="PWM1195" s="7"/>
      <c r="PWN1195" s="7"/>
      <c r="PWO1195" s="7"/>
      <c r="PWP1195" s="7"/>
      <c r="PWQ1195" s="7"/>
      <c r="PWR1195" s="7"/>
      <c r="PWS1195" s="7"/>
      <c r="PWT1195" s="7"/>
      <c r="PWU1195" s="7"/>
      <c r="PWV1195" s="7"/>
      <c r="PWW1195" s="7"/>
      <c r="PWX1195" s="7"/>
      <c r="PWY1195" s="7"/>
      <c r="PWZ1195" s="7"/>
      <c r="PXA1195" s="7"/>
      <c r="PXB1195" s="7"/>
      <c r="PXC1195" s="7"/>
      <c r="PXD1195" s="7"/>
      <c r="PXE1195" s="7"/>
      <c r="PXF1195" s="7"/>
      <c r="PXG1195" s="7"/>
      <c r="PXH1195" s="7"/>
      <c r="PXI1195" s="7"/>
      <c r="PXJ1195" s="7"/>
      <c r="PXK1195" s="7"/>
      <c r="PXL1195" s="7"/>
      <c r="PXM1195" s="7"/>
      <c r="PXN1195" s="7"/>
      <c r="PXO1195" s="7"/>
      <c r="PXP1195" s="7"/>
      <c r="PXQ1195" s="7"/>
      <c r="PXR1195" s="7"/>
      <c r="PXS1195" s="7"/>
      <c r="PXT1195" s="7"/>
      <c r="PXU1195" s="7"/>
      <c r="PXV1195" s="7"/>
      <c r="PXW1195" s="7"/>
      <c r="PXX1195" s="7"/>
      <c r="PXY1195" s="7"/>
      <c r="PXZ1195" s="7"/>
      <c r="PYA1195" s="7"/>
      <c r="PYB1195" s="7"/>
      <c r="PYC1195" s="7"/>
      <c r="PYD1195" s="7"/>
      <c r="PYE1195" s="7"/>
      <c r="PYF1195" s="7"/>
      <c r="PYG1195" s="7"/>
      <c r="PYH1195" s="7"/>
      <c r="PYI1195" s="7"/>
      <c r="PYJ1195" s="7"/>
      <c r="PYK1195" s="7"/>
      <c r="PYL1195" s="7"/>
      <c r="PYM1195" s="7"/>
      <c r="PYN1195" s="7"/>
      <c r="PYO1195" s="7"/>
      <c r="PYP1195" s="7"/>
      <c r="PYQ1195" s="7"/>
      <c r="PYR1195" s="7"/>
      <c r="PYS1195" s="7"/>
      <c r="PYT1195" s="7"/>
      <c r="PYU1195" s="7"/>
      <c r="PYV1195" s="7"/>
      <c r="PYW1195" s="7"/>
      <c r="PYX1195" s="7"/>
      <c r="PYY1195" s="7"/>
      <c r="PYZ1195" s="7"/>
      <c r="PZA1195" s="7"/>
      <c r="PZB1195" s="7"/>
      <c r="PZC1195" s="7"/>
      <c r="PZD1195" s="7"/>
      <c r="PZE1195" s="7"/>
      <c r="PZF1195" s="7"/>
      <c r="PZG1195" s="7"/>
      <c r="PZH1195" s="7"/>
      <c r="PZI1195" s="7"/>
      <c r="PZJ1195" s="7"/>
      <c r="PZK1195" s="7"/>
      <c r="PZL1195" s="7"/>
      <c r="PZM1195" s="7"/>
      <c r="PZN1195" s="7"/>
      <c r="PZO1195" s="7"/>
      <c r="PZP1195" s="7"/>
      <c r="PZQ1195" s="7"/>
      <c r="PZR1195" s="7"/>
      <c r="PZS1195" s="7"/>
      <c r="PZT1195" s="7"/>
      <c r="PZU1195" s="7"/>
      <c r="PZV1195" s="7"/>
      <c r="PZW1195" s="7"/>
      <c r="PZX1195" s="7"/>
      <c r="PZY1195" s="7"/>
      <c r="PZZ1195" s="7"/>
      <c r="QAA1195" s="7"/>
      <c r="QAB1195" s="7"/>
      <c r="QAC1195" s="7"/>
      <c r="QAD1195" s="7"/>
      <c r="QAE1195" s="7"/>
      <c r="QAF1195" s="7"/>
      <c r="QAG1195" s="7"/>
      <c r="QAH1195" s="7"/>
      <c r="QAI1195" s="7"/>
      <c r="QAJ1195" s="7"/>
      <c r="QAK1195" s="7"/>
      <c r="QAL1195" s="7"/>
      <c r="QAM1195" s="7"/>
      <c r="QAN1195" s="7"/>
      <c r="QAO1195" s="7"/>
      <c r="QAP1195" s="7"/>
      <c r="QAQ1195" s="7"/>
      <c r="QAR1195" s="7"/>
      <c r="QAS1195" s="7"/>
      <c r="QAT1195" s="7"/>
      <c r="QAU1195" s="7"/>
      <c r="QAV1195" s="7"/>
      <c r="QAW1195" s="7"/>
      <c r="QAX1195" s="7"/>
      <c r="QAY1195" s="7"/>
      <c r="QAZ1195" s="7"/>
      <c r="QBA1195" s="7"/>
      <c r="QBB1195" s="7"/>
      <c r="QBC1195" s="7"/>
      <c r="QBD1195" s="7"/>
      <c r="QBE1195" s="7"/>
      <c r="QBF1195" s="7"/>
      <c r="QBG1195" s="7"/>
      <c r="QBH1195" s="7"/>
      <c r="QBI1195" s="7"/>
      <c r="QBJ1195" s="7"/>
      <c r="QBK1195" s="7"/>
      <c r="QBL1195" s="7"/>
      <c r="QBM1195" s="7"/>
      <c r="QBN1195" s="7"/>
      <c r="QBO1195" s="7"/>
      <c r="QBP1195" s="7"/>
      <c r="QBQ1195" s="7"/>
      <c r="QBR1195" s="7"/>
      <c r="QBS1195" s="7"/>
      <c r="QBT1195" s="7"/>
      <c r="QBU1195" s="7"/>
      <c r="QBV1195" s="7"/>
      <c r="QBW1195" s="7"/>
      <c r="QBX1195" s="7"/>
      <c r="QBY1195" s="7"/>
      <c r="QBZ1195" s="7"/>
      <c r="QCA1195" s="7"/>
      <c r="QCB1195" s="7"/>
      <c r="QCC1195" s="7"/>
      <c r="QCD1195" s="7"/>
      <c r="QCE1195" s="7"/>
      <c r="QCF1195" s="7"/>
      <c r="QCG1195" s="7"/>
      <c r="QCH1195" s="7"/>
      <c r="QCI1195" s="7"/>
      <c r="QCJ1195" s="7"/>
      <c r="QCK1195" s="7"/>
      <c r="QCL1195" s="7"/>
      <c r="QCM1195" s="7"/>
      <c r="QCN1195" s="7"/>
      <c r="QCO1195" s="7"/>
      <c r="QCP1195" s="7"/>
      <c r="QCQ1195" s="7"/>
      <c r="QCR1195" s="7"/>
      <c r="QCS1195" s="7"/>
      <c r="QCT1195" s="7"/>
      <c r="QCU1195" s="7"/>
      <c r="QCV1195" s="7"/>
      <c r="QCW1195" s="7"/>
      <c r="QCX1195" s="7"/>
      <c r="QCY1195" s="7"/>
      <c r="QCZ1195" s="7"/>
      <c r="QDA1195" s="7"/>
      <c r="QDB1195" s="7"/>
      <c r="QDC1195" s="7"/>
      <c r="QDD1195" s="7"/>
      <c r="QDE1195" s="7"/>
      <c r="QDF1195" s="7"/>
      <c r="QDG1195" s="7"/>
      <c r="QDH1195" s="7"/>
      <c r="QDI1195" s="7"/>
      <c r="QDJ1195" s="7"/>
      <c r="QDK1195" s="7"/>
      <c r="QDL1195" s="7"/>
      <c r="QDM1195" s="7"/>
      <c r="QDN1195" s="7"/>
      <c r="QDO1195" s="7"/>
      <c r="QDP1195" s="7"/>
      <c r="QDQ1195" s="7"/>
      <c r="QDR1195" s="7"/>
      <c r="QDS1195" s="7"/>
      <c r="QDT1195" s="7"/>
      <c r="QDU1195" s="7"/>
      <c r="QDV1195" s="7"/>
      <c r="QDW1195" s="7"/>
      <c r="QDX1195" s="7"/>
      <c r="QDY1195" s="7"/>
      <c r="QDZ1195" s="7"/>
      <c r="QEA1195" s="7"/>
      <c r="QEB1195" s="7"/>
      <c r="QEC1195" s="7"/>
      <c r="QED1195" s="7"/>
      <c r="QEE1195" s="7"/>
      <c r="QEF1195" s="7"/>
      <c r="QEG1195" s="7"/>
      <c r="QEH1195" s="7"/>
      <c r="QEI1195" s="7"/>
      <c r="QEJ1195" s="7"/>
      <c r="QEK1195" s="7"/>
      <c r="QEL1195" s="7"/>
      <c r="QEM1195" s="7"/>
      <c r="QEN1195" s="7"/>
      <c r="QEO1195" s="7"/>
      <c r="QEP1195" s="7"/>
      <c r="QEQ1195" s="7"/>
      <c r="QER1195" s="7"/>
      <c r="QES1195" s="7"/>
      <c r="QET1195" s="7"/>
      <c r="QEU1195" s="7"/>
      <c r="QEV1195" s="7"/>
      <c r="QEW1195" s="7"/>
      <c r="QEX1195" s="7"/>
      <c r="QEY1195" s="7"/>
      <c r="QEZ1195" s="7"/>
      <c r="QFA1195" s="7"/>
      <c r="QFB1195" s="7"/>
      <c r="QFC1195" s="7"/>
      <c r="QFD1195" s="7"/>
      <c r="QFE1195" s="7"/>
      <c r="QFF1195" s="7"/>
      <c r="QFG1195" s="7"/>
      <c r="QFH1195" s="7"/>
      <c r="QFI1195" s="7"/>
      <c r="QFJ1195" s="7"/>
      <c r="QFK1195" s="7"/>
      <c r="QFL1195" s="7"/>
      <c r="QFM1195" s="7"/>
      <c r="QFN1195" s="7"/>
      <c r="QFO1195" s="7"/>
      <c r="QFP1195" s="7"/>
      <c r="QFQ1195" s="7"/>
      <c r="QFR1195" s="7"/>
      <c r="QFS1195" s="7"/>
      <c r="QFT1195" s="7"/>
      <c r="QFU1195" s="7"/>
      <c r="QFV1195" s="7"/>
      <c r="QFW1195" s="7"/>
      <c r="QFX1195" s="7"/>
      <c r="QFY1195" s="7"/>
      <c r="QFZ1195" s="7"/>
      <c r="QGA1195" s="7"/>
      <c r="QGB1195" s="7"/>
      <c r="QGC1195" s="7"/>
      <c r="QGD1195" s="7"/>
      <c r="QGE1195" s="7"/>
      <c r="QGF1195" s="7"/>
      <c r="QGG1195" s="7"/>
      <c r="QGH1195" s="7"/>
      <c r="QGI1195" s="7"/>
      <c r="QGJ1195" s="7"/>
      <c r="QGK1195" s="7"/>
      <c r="QGL1195" s="7"/>
      <c r="QGM1195" s="7"/>
      <c r="QGN1195" s="7"/>
      <c r="QGO1195" s="7"/>
      <c r="QGP1195" s="7"/>
      <c r="QGQ1195" s="7"/>
      <c r="QGR1195" s="7"/>
      <c r="QGS1195" s="7"/>
      <c r="QGT1195" s="7"/>
      <c r="QGU1195" s="7"/>
      <c r="QGV1195" s="7"/>
      <c r="QGW1195" s="7"/>
      <c r="QGX1195" s="7"/>
      <c r="QGY1195" s="7"/>
      <c r="QGZ1195" s="7"/>
      <c r="QHA1195" s="7"/>
      <c r="QHB1195" s="7"/>
      <c r="QHC1195" s="7"/>
      <c r="QHD1195" s="7"/>
      <c r="QHE1195" s="7"/>
      <c r="QHF1195" s="7"/>
      <c r="QHG1195" s="7"/>
      <c r="QHH1195" s="7"/>
      <c r="QHI1195" s="7"/>
      <c r="QHJ1195" s="7"/>
      <c r="QHK1195" s="7"/>
      <c r="QHL1195" s="7"/>
      <c r="QHM1195" s="7"/>
      <c r="QHN1195" s="7"/>
      <c r="QHO1195" s="7"/>
      <c r="QHP1195" s="7"/>
      <c r="QHQ1195" s="7"/>
      <c r="QHR1195" s="7"/>
      <c r="QHS1195" s="7"/>
      <c r="QHT1195" s="7"/>
      <c r="QHU1195" s="7"/>
      <c r="QHV1195" s="7"/>
      <c r="QHW1195" s="7"/>
      <c r="QHX1195" s="7"/>
      <c r="QHY1195" s="7"/>
      <c r="QHZ1195" s="7"/>
      <c r="QIA1195" s="7"/>
      <c r="QIB1195" s="7"/>
      <c r="QIC1195" s="7"/>
      <c r="QID1195" s="7"/>
      <c r="QIE1195" s="7"/>
      <c r="QIF1195" s="7"/>
      <c r="QIG1195" s="7"/>
      <c r="QIH1195" s="7"/>
      <c r="QII1195" s="7"/>
      <c r="QIJ1195" s="7"/>
      <c r="QIK1195" s="7"/>
      <c r="QIL1195" s="7"/>
      <c r="QIM1195" s="7"/>
      <c r="QIN1195" s="7"/>
      <c r="QIO1195" s="7"/>
      <c r="QIP1195" s="7"/>
      <c r="QIQ1195" s="7"/>
      <c r="QIR1195" s="7"/>
      <c r="QIS1195" s="7"/>
      <c r="QIT1195" s="7"/>
      <c r="QIU1195" s="7"/>
      <c r="QIV1195" s="7"/>
      <c r="QIW1195" s="7"/>
      <c r="QIX1195" s="7"/>
      <c r="QIY1195" s="7"/>
      <c r="QIZ1195" s="7"/>
      <c r="QJA1195" s="7"/>
      <c r="QJB1195" s="7"/>
      <c r="QJC1195" s="7"/>
      <c r="QJD1195" s="7"/>
      <c r="QJE1195" s="7"/>
      <c r="QJF1195" s="7"/>
      <c r="QJG1195" s="7"/>
      <c r="QJH1195" s="7"/>
      <c r="QJI1195" s="7"/>
      <c r="QJJ1195" s="7"/>
      <c r="QJK1195" s="7"/>
      <c r="QJL1195" s="7"/>
      <c r="QJM1195" s="7"/>
      <c r="QJN1195" s="7"/>
      <c r="QJO1195" s="7"/>
      <c r="QJP1195" s="7"/>
      <c r="QJQ1195" s="7"/>
      <c r="QJR1195" s="7"/>
      <c r="QJS1195" s="7"/>
      <c r="QJT1195" s="7"/>
      <c r="QJU1195" s="7"/>
      <c r="QJV1195" s="7"/>
      <c r="QJW1195" s="7"/>
      <c r="QJX1195" s="7"/>
      <c r="QJY1195" s="7"/>
      <c r="QJZ1195" s="7"/>
      <c r="QKA1195" s="7"/>
      <c r="QKB1195" s="7"/>
      <c r="QKC1195" s="7"/>
      <c r="QKD1195" s="7"/>
      <c r="QKE1195" s="7"/>
      <c r="QKF1195" s="7"/>
      <c r="QKG1195" s="7"/>
      <c r="QKH1195" s="7"/>
      <c r="QKI1195" s="7"/>
      <c r="QKJ1195" s="7"/>
      <c r="QKK1195" s="7"/>
      <c r="QKL1195" s="7"/>
      <c r="QKM1195" s="7"/>
      <c r="QKN1195" s="7"/>
      <c r="QKO1195" s="7"/>
      <c r="QKP1195" s="7"/>
      <c r="QKQ1195" s="7"/>
      <c r="QKR1195" s="7"/>
      <c r="QKS1195" s="7"/>
      <c r="QKT1195" s="7"/>
      <c r="QKU1195" s="7"/>
      <c r="QKV1195" s="7"/>
      <c r="QKW1195" s="7"/>
      <c r="QKX1195" s="7"/>
      <c r="QKY1195" s="7"/>
      <c r="QKZ1195" s="7"/>
      <c r="QLA1195" s="7"/>
      <c r="QLB1195" s="7"/>
      <c r="QLC1195" s="7"/>
      <c r="QLD1195" s="7"/>
      <c r="QLE1195" s="7"/>
      <c r="QLF1195" s="7"/>
      <c r="QLG1195" s="7"/>
      <c r="QLH1195" s="7"/>
      <c r="QLI1195" s="7"/>
      <c r="QLJ1195" s="7"/>
      <c r="QLK1195" s="7"/>
      <c r="QLL1195" s="7"/>
      <c r="QLM1195" s="7"/>
      <c r="QLN1195" s="7"/>
      <c r="QLO1195" s="7"/>
      <c r="QLP1195" s="7"/>
      <c r="QLQ1195" s="7"/>
      <c r="QLR1195" s="7"/>
      <c r="QLS1195" s="7"/>
      <c r="QLT1195" s="7"/>
      <c r="QLU1195" s="7"/>
      <c r="QLV1195" s="7"/>
      <c r="QLW1195" s="7"/>
      <c r="QLX1195" s="7"/>
      <c r="QLY1195" s="7"/>
      <c r="QLZ1195" s="7"/>
      <c r="QMA1195" s="7"/>
      <c r="QMB1195" s="7"/>
      <c r="QMC1195" s="7"/>
      <c r="QMD1195" s="7"/>
      <c r="QME1195" s="7"/>
      <c r="QMF1195" s="7"/>
      <c r="QMG1195" s="7"/>
      <c r="QMH1195" s="7"/>
      <c r="QMI1195" s="7"/>
      <c r="QMJ1195" s="7"/>
      <c r="QMK1195" s="7"/>
      <c r="QML1195" s="7"/>
      <c r="QMM1195" s="7"/>
      <c r="QMN1195" s="7"/>
      <c r="QMO1195" s="7"/>
      <c r="QMP1195" s="7"/>
      <c r="QMQ1195" s="7"/>
      <c r="QMR1195" s="7"/>
      <c r="QMS1195" s="7"/>
      <c r="QMT1195" s="7"/>
      <c r="QMU1195" s="7"/>
      <c r="QMV1195" s="7"/>
      <c r="QMW1195" s="7"/>
      <c r="QMX1195" s="7"/>
      <c r="QMY1195" s="7"/>
      <c r="QMZ1195" s="7"/>
      <c r="QNA1195" s="7"/>
      <c r="QNB1195" s="7"/>
      <c r="QNC1195" s="7"/>
      <c r="QND1195" s="7"/>
      <c r="QNE1195" s="7"/>
      <c r="QNF1195" s="7"/>
      <c r="QNG1195" s="7"/>
      <c r="QNH1195" s="7"/>
      <c r="QNI1195" s="7"/>
      <c r="QNJ1195" s="7"/>
      <c r="QNK1195" s="7"/>
      <c r="QNL1195" s="7"/>
      <c r="QNM1195" s="7"/>
      <c r="QNN1195" s="7"/>
      <c r="QNO1195" s="7"/>
      <c r="QNP1195" s="7"/>
      <c r="QNQ1195" s="7"/>
      <c r="QNR1195" s="7"/>
      <c r="QNS1195" s="7"/>
      <c r="QNT1195" s="7"/>
      <c r="QNU1195" s="7"/>
      <c r="QNV1195" s="7"/>
      <c r="QNW1195" s="7"/>
      <c r="QNX1195" s="7"/>
      <c r="QNY1195" s="7"/>
      <c r="QNZ1195" s="7"/>
      <c r="QOA1195" s="7"/>
      <c r="QOB1195" s="7"/>
      <c r="QOC1195" s="7"/>
      <c r="QOD1195" s="7"/>
      <c r="QOE1195" s="7"/>
      <c r="QOF1195" s="7"/>
      <c r="QOG1195" s="7"/>
      <c r="QOH1195" s="7"/>
      <c r="QOI1195" s="7"/>
      <c r="QOJ1195" s="7"/>
      <c r="QOK1195" s="7"/>
      <c r="QOL1195" s="7"/>
      <c r="QOM1195" s="7"/>
      <c r="QON1195" s="7"/>
      <c r="QOO1195" s="7"/>
      <c r="QOP1195" s="7"/>
      <c r="QOQ1195" s="7"/>
      <c r="QOR1195" s="7"/>
      <c r="QOS1195" s="7"/>
      <c r="QOT1195" s="7"/>
      <c r="QOU1195" s="7"/>
      <c r="QOV1195" s="7"/>
      <c r="QOW1195" s="7"/>
      <c r="QOX1195" s="7"/>
      <c r="QOY1195" s="7"/>
      <c r="QOZ1195" s="7"/>
      <c r="QPA1195" s="7"/>
      <c r="QPB1195" s="7"/>
      <c r="QPC1195" s="7"/>
      <c r="QPD1195" s="7"/>
      <c r="QPE1195" s="7"/>
      <c r="QPF1195" s="7"/>
      <c r="QPG1195" s="7"/>
      <c r="QPH1195" s="7"/>
      <c r="QPI1195" s="7"/>
      <c r="QPJ1195" s="7"/>
      <c r="QPK1195" s="7"/>
      <c r="QPL1195" s="7"/>
      <c r="QPM1195" s="7"/>
      <c r="QPN1195" s="7"/>
      <c r="QPO1195" s="7"/>
      <c r="QPP1195" s="7"/>
      <c r="QPQ1195" s="7"/>
      <c r="QPR1195" s="7"/>
      <c r="QPS1195" s="7"/>
      <c r="QPT1195" s="7"/>
      <c r="QPU1195" s="7"/>
      <c r="QPV1195" s="7"/>
      <c r="QPW1195" s="7"/>
      <c r="QPX1195" s="7"/>
      <c r="QPY1195" s="7"/>
      <c r="QPZ1195" s="7"/>
      <c r="QQA1195" s="7"/>
      <c r="QQB1195" s="7"/>
      <c r="QQC1195" s="7"/>
      <c r="QQD1195" s="7"/>
      <c r="QQE1195" s="7"/>
      <c r="QQF1195" s="7"/>
      <c r="QQG1195" s="7"/>
      <c r="QQH1195" s="7"/>
      <c r="QQI1195" s="7"/>
      <c r="QQJ1195" s="7"/>
      <c r="QQK1195" s="7"/>
      <c r="QQL1195" s="7"/>
      <c r="QQM1195" s="7"/>
      <c r="QQN1195" s="7"/>
      <c r="QQO1195" s="7"/>
      <c r="QQP1195" s="7"/>
      <c r="QQQ1195" s="7"/>
      <c r="QQR1195" s="7"/>
      <c r="QQS1195" s="7"/>
      <c r="QQT1195" s="7"/>
      <c r="QQU1195" s="7"/>
      <c r="QQV1195" s="7"/>
      <c r="QQW1195" s="7"/>
      <c r="QQX1195" s="7"/>
      <c r="QQY1195" s="7"/>
      <c r="QQZ1195" s="7"/>
      <c r="QRA1195" s="7"/>
      <c r="QRB1195" s="7"/>
      <c r="QRC1195" s="7"/>
      <c r="QRD1195" s="7"/>
      <c r="QRE1195" s="7"/>
      <c r="QRF1195" s="7"/>
      <c r="QRG1195" s="7"/>
      <c r="QRH1195" s="7"/>
      <c r="QRI1195" s="7"/>
      <c r="QRJ1195" s="7"/>
      <c r="QRK1195" s="7"/>
      <c r="QRL1195" s="7"/>
      <c r="QRM1195" s="7"/>
      <c r="QRN1195" s="7"/>
      <c r="QRO1195" s="7"/>
      <c r="QRP1195" s="7"/>
      <c r="QRQ1195" s="7"/>
      <c r="QRR1195" s="7"/>
      <c r="QRS1195" s="7"/>
      <c r="QRT1195" s="7"/>
      <c r="QRU1195" s="7"/>
      <c r="QRV1195" s="7"/>
      <c r="QRW1195" s="7"/>
      <c r="QRX1195" s="7"/>
      <c r="QRY1195" s="7"/>
      <c r="QRZ1195" s="7"/>
      <c r="QSA1195" s="7"/>
      <c r="QSB1195" s="7"/>
      <c r="QSC1195" s="7"/>
      <c r="QSD1195" s="7"/>
      <c r="QSE1195" s="7"/>
      <c r="QSF1195" s="7"/>
      <c r="QSG1195" s="7"/>
      <c r="QSH1195" s="7"/>
      <c r="QSI1195" s="7"/>
      <c r="QSJ1195" s="7"/>
      <c r="QSK1195" s="7"/>
      <c r="QSL1195" s="7"/>
      <c r="QSM1195" s="7"/>
      <c r="QSN1195" s="7"/>
      <c r="QSO1195" s="7"/>
      <c r="QSP1195" s="7"/>
      <c r="QSQ1195" s="7"/>
      <c r="QSR1195" s="7"/>
      <c r="QSS1195" s="7"/>
      <c r="QST1195" s="7"/>
      <c r="QSU1195" s="7"/>
      <c r="QSV1195" s="7"/>
      <c r="QSW1195" s="7"/>
      <c r="QSX1195" s="7"/>
      <c r="QSY1195" s="7"/>
      <c r="QSZ1195" s="7"/>
      <c r="QTA1195" s="7"/>
      <c r="QTB1195" s="7"/>
      <c r="QTC1195" s="7"/>
      <c r="QTD1195" s="7"/>
      <c r="QTE1195" s="7"/>
      <c r="QTF1195" s="7"/>
      <c r="QTG1195" s="7"/>
      <c r="QTH1195" s="7"/>
      <c r="QTI1195" s="7"/>
      <c r="QTJ1195" s="7"/>
      <c r="QTK1195" s="7"/>
      <c r="QTL1195" s="7"/>
      <c r="QTM1195" s="7"/>
      <c r="QTN1195" s="7"/>
      <c r="QTO1195" s="7"/>
      <c r="QTP1195" s="7"/>
      <c r="QTQ1195" s="7"/>
      <c r="QTR1195" s="7"/>
      <c r="QTS1195" s="7"/>
      <c r="QTT1195" s="7"/>
      <c r="QTU1195" s="7"/>
      <c r="QTV1195" s="7"/>
      <c r="QTW1195" s="7"/>
      <c r="QTX1195" s="7"/>
      <c r="QTY1195" s="7"/>
      <c r="QTZ1195" s="7"/>
      <c r="QUA1195" s="7"/>
      <c r="QUB1195" s="7"/>
      <c r="QUC1195" s="7"/>
      <c r="QUD1195" s="7"/>
      <c r="QUE1195" s="7"/>
      <c r="QUF1195" s="7"/>
      <c r="QUG1195" s="7"/>
      <c r="QUH1195" s="7"/>
      <c r="QUI1195" s="7"/>
      <c r="QUJ1195" s="7"/>
      <c r="QUK1195" s="7"/>
      <c r="QUL1195" s="7"/>
      <c r="QUM1195" s="7"/>
      <c r="QUN1195" s="7"/>
      <c r="QUO1195" s="7"/>
      <c r="QUP1195" s="7"/>
      <c r="QUQ1195" s="7"/>
      <c r="QUR1195" s="7"/>
      <c r="QUS1195" s="7"/>
      <c r="QUT1195" s="7"/>
      <c r="QUU1195" s="7"/>
      <c r="QUV1195" s="7"/>
      <c r="QUW1195" s="7"/>
      <c r="QUX1195" s="7"/>
      <c r="QUY1195" s="7"/>
      <c r="QUZ1195" s="7"/>
      <c r="QVA1195" s="7"/>
      <c r="QVB1195" s="7"/>
      <c r="QVC1195" s="7"/>
      <c r="QVD1195" s="7"/>
      <c r="QVE1195" s="7"/>
      <c r="QVF1195" s="7"/>
      <c r="QVG1195" s="7"/>
      <c r="QVH1195" s="7"/>
      <c r="QVI1195" s="7"/>
      <c r="QVJ1195" s="7"/>
      <c r="QVK1195" s="7"/>
      <c r="QVL1195" s="7"/>
      <c r="QVM1195" s="7"/>
      <c r="QVN1195" s="7"/>
      <c r="QVO1195" s="7"/>
      <c r="QVP1195" s="7"/>
      <c r="QVQ1195" s="7"/>
      <c r="QVR1195" s="7"/>
      <c r="QVS1195" s="7"/>
      <c r="QVT1195" s="7"/>
      <c r="QVU1195" s="7"/>
      <c r="QVV1195" s="7"/>
      <c r="QVW1195" s="7"/>
      <c r="QVX1195" s="7"/>
      <c r="QVY1195" s="7"/>
      <c r="QVZ1195" s="7"/>
      <c r="QWA1195" s="7"/>
      <c r="QWB1195" s="7"/>
      <c r="QWC1195" s="7"/>
      <c r="QWD1195" s="7"/>
      <c r="QWE1195" s="7"/>
      <c r="QWF1195" s="7"/>
      <c r="QWG1195" s="7"/>
      <c r="QWH1195" s="7"/>
      <c r="QWI1195" s="7"/>
      <c r="QWJ1195" s="7"/>
      <c r="QWK1195" s="7"/>
      <c r="QWL1195" s="7"/>
      <c r="QWM1195" s="7"/>
      <c r="QWN1195" s="7"/>
      <c r="QWO1195" s="7"/>
      <c r="QWP1195" s="7"/>
      <c r="QWQ1195" s="7"/>
      <c r="QWR1195" s="7"/>
      <c r="QWS1195" s="7"/>
      <c r="QWT1195" s="7"/>
      <c r="QWU1195" s="7"/>
      <c r="QWV1195" s="7"/>
      <c r="QWW1195" s="7"/>
      <c r="QWX1195" s="7"/>
      <c r="QWY1195" s="7"/>
      <c r="QWZ1195" s="7"/>
      <c r="QXA1195" s="7"/>
      <c r="QXB1195" s="7"/>
      <c r="QXC1195" s="7"/>
      <c r="QXD1195" s="7"/>
      <c r="QXE1195" s="7"/>
      <c r="QXF1195" s="7"/>
      <c r="QXG1195" s="7"/>
      <c r="QXH1195" s="7"/>
      <c r="QXI1195" s="7"/>
      <c r="QXJ1195" s="7"/>
      <c r="QXK1195" s="7"/>
      <c r="QXL1195" s="7"/>
      <c r="QXM1195" s="7"/>
      <c r="QXN1195" s="7"/>
      <c r="QXO1195" s="7"/>
      <c r="QXP1195" s="7"/>
      <c r="QXQ1195" s="7"/>
      <c r="QXR1195" s="7"/>
      <c r="QXS1195" s="7"/>
      <c r="QXT1195" s="7"/>
      <c r="QXU1195" s="7"/>
      <c r="QXV1195" s="7"/>
      <c r="QXW1195" s="7"/>
      <c r="QXX1195" s="7"/>
      <c r="QXY1195" s="7"/>
      <c r="QXZ1195" s="7"/>
      <c r="QYA1195" s="7"/>
      <c r="QYB1195" s="7"/>
      <c r="QYC1195" s="7"/>
      <c r="QYD1195" s="7"/>
      <c r="QYE1195" s="7"/>
      <c r="QYF1195" s="7"/>
      <c r="QYG1195" s="7"/>
      <c r="QYH1195" s="7"/>
      <c r="QYI1195" s="7"/>
      <c r="QYJ1195" s="7"/>
      <c r="QYK1195" s="7"/>
      <c r="QYL1195" s="7"/>
      <c r="QYM1195" s="7"/>
      <c r="QYN1195" s="7"/>
      <c r="QYO1195" s="7"/>
      <c r="QYP1195" s="7"/>
      <c r="QYQ1195" s="7"/>
      <c r="QYR1195" s="7"/>
      <c r="QYS1195" s="7"/>
      <c r="QYT1195" s="7"/>
      <c r="QYU1195" s="7"/>
      <c r="QYV1195" s="7"/>
      <c r="QYW1195" s="7"/>
      <c r="QYX1195" s="7"/>
      <c r="QYY1195" s="7"/>
      <c r="QYZ1195" s="7"/>
      <c r="QZA1195" s="7"/>
      <c r="QZB1195" s="7"/>
      <c r="QZC1195" s="7"/>
      <c r="QZD1195" s="7"/>
      <c r="QZE1195" s="7"/>
      <c r="QZF1195" s="7"/>
      <c r="QZG1195" s="7"/>
      <c r="QZH1195" s="7"/>
      <c r="QZI1195" s="7"/>
      <c r="QZJ1195" s="7"/>
      <c r="QZK1195" s="7"/>
      <c r="QZL1195" s="7"/>
      <c r="QZM1195" s="7"/>
      <c r="QZN1195" s="7"/>
      <c r="QZO1195" s="7"/>
      <c r="QZP1195" s="7"/>
      <c r="QZQ1195" s="7"/>
      <c r="QZR1195" s="7"/>
      <c r="QZS1195" s="7"/>
      <c r="QZT1195" s="7"/>
      <c r="QZU1195" s="7"/>
      <c r="QZV1195" s="7"/>
      <c r="QZW1195" s="7"/>
      <c r="QZX1195" s="7"/>
      <c r="QZY1195" s="7"/>
      <c r="QZZ1195" s="7"/>
      <c r="RAA1195" s="7"/>
      <c r="RAB1195" s="7"/>
      <c r="RAC1195" s="7"/>
      <c r="RAD1195" s="7"/>
      <c r="RAE1195" s="7"/>
      <c r="RAF1195" s="7"/>
      <c r="RAG1195" s="7"/>
      <c r="RAH1195" s="7"/>
      <c r="RAI1195" s="7"/>
      <c r="RAJ1195" s="7"/>
      <c r="RAK1195" s="7"/>
      <c r="RAL1195" s="7"/>
      <c r="RAM1195" s="7"/>
      <c r="RAN1195" s="7"/>
      <c r="RAO1195" s="7"/>
      <c r="RAP1195" s="7"/>
      <c r="RAQ1195" s="7"/>
      <c r="RAR1195" s="7"/>
      <c r="RAS1195" s="7"/>
      <c r="RAT1195" s="7"/>
      <c r="RAU1195" s="7"/>
      <c r="RAV1195" s="7"/>
      <c r="RAW1195" s="7"/>
      <c r="RAX1195" s="7"/>
      <c r="RAY1195" s="7"/>
      <c r="RAZ1195" s="7"/>
      <c r="RBA1195" s="7"/>
      <c r="RBB1195" s="7"/>
      <c r="RBC1195" s="7"/>
      <c r="RBD1195" s="7"/>
      <c r="RBE1195" s="7"/>
      <c r="RBF1195" s="7"/>
      <c r="RBG1195" s="7"/>
      <c r="RBH1195" s="7"/>
      <c r="RBI1195" s="7"/>
      <c r="RBJ1195" s="7"/>
      <c r="RBK1195" s="7"/>
      <c r="RBL1195" s="7"/>
      <c r="RBM1195" s="7"/>
      <c r="RBN1195" s="7"/>
      <c r="RBO1195" s="7"/>
      <c r="RBP1195" s="7"/>
      <c r="RBQ1195" s="7"/>
      <c r="RBR1195" s="7"/>
      <c r="RBS1195" s="7"/>
      <c r="RBT1195" s="7"/>
      <c r="RBU1195" s="7"/>
      <c r="RBV1195" s="7"/>
      <c r="RBW1195" s="7"/>
      <c r="RBX1195" s="7"/>
      <c r="RBY1195" s="7"/>
      <c r="RBZ1195" s="7"/>
      <c r="RCA1195" s="7"/>
      <c r="RCB1195" s="7"/>
      <c r="RCC1195" s="7"/>
      <c r="RCD1195" s="7"/>
      <c r="RCE1195" s="7"/>
      <c r="RCF1195" s="7"/>
      <c r="RCG1195" s="7"/>
      <c r="RCH1195" s="7"/>
      <c r="RCI1195" s="7"/>
      <c r="RCJ1195" s="7"/>
      <c r="RCK1195" s="7"/>
      <c r="RCL1195" s="7"/>
      <c r="RCM1195" s="7"/>
      <c r="RCN1195" s="7"/>
      <c r="RCO1195" s="7"/>
      <c r="RCP1195" s="7"/>
      <c r="RCQ1195" s="7"/>
      <c r="RCR1195" s="7"/>
      <c r="RCS1195" s="7"/>
      <c r="RCT1195" s="7"/>
      <c r="RCU1195" s="7"/>
      <c r="RCV1195" s="7"/>
      <c r="RCW1195" s="7"/>
      <c r="RCX1195" s="7"/>
      <c r="RCY1195" s="7"/>
      <c r="RCZ1195" s="7"/>
      <c r="RDA1195" s="7"/>
      <c r="RDB1195" s="7"/>
      <c r="RDC1195" s="7"/>
      <c r="RDD1195" s="7"/>
      <c r="RDE1195" s="7"/>
      <c r="RDF1195" s="7"/>
      <c r="RDG1195" s="7"/>
      <c r="RDH1195" s="7"/>
      <c r="RDI1195" s="7"/>
      <c r="RDJ1195" s="7"/>
      <c r="RDK1195" s="7"/>
      <c r="RDL1195" s="7"/>
      <c r="RDM1195" s="7"/>
      <c r="RDN1195" s="7"/>
      <c r="RDO1195" s="7"/>
      <c r="RDP1195" s="7"/>
      <c r="RDQ1195" s="7"/>
      <c r="RDR1195" s="7"/>
      <c r="RDS1195" s="7"/>
      <c r="RDT1195" s="7"/>
      <c r="RDU1195" s="7"/>
      <c r="RDV1195" s="7"/>
      <c r="RDW1195" s="7"/>
      <c r="RDX1195" s="7"/>
      <c r="RDY1195" s="7"/>
      <c r="RDZ1195" s="7"/>
      <c r="REA1195" s="7"/>
      <c r="REB1195" s="7"/>
      <c r="REC1195" s="7"/>
      <c r="RED1195" s="7"/>
      <c r="REE1195" s="7"/>
      <c r="REF1195" s="7"/>
      <c r="REG1195" s="7"/>
      <c r="REH1195" s="7"/>
      <c r="REI1195" s="7"/>
      <c r="REJ1195" s="7"/>
      <c r="REK1195" s="7"/>
      <c r="REL1195" s="7"/>
      <c r="REM1195" s="7"/>
      <c r="REN1195" s="7"/>
      <c r="REO1195" s="7"/>
      <c r="REP1195" s="7"/>
      <c r="REQ1195" s="7"/>
      <c r="RER1195" s="7"/>
      <c r="RES1195" s="7"/>
      <c r="RET1195" s="7"/>
      <c r="REU1195" s="7"/>
      <c r="REV1195" s="7"/>
      <c r="REW1195" s="7"/>
      <c r="REX1195" s="7"/>
      <c r="REY1195" s="7"/>
      <c r="REZ1195" s="7"/>
      <c r="RFA1195" s="7"/>
      <c r="RFB1195" s="7"/>
      <c r="RFC1195" s="7"/>
      <c r="RFD1195" s="7"/>
      <c r="RFE1195" s="7"/>
      <c r="RFF1195" s="7"/>
      <c r="RFG1195" s="7"/>
      <c r="RFH1195" s="7"/>
      <c r="RFI1195" s="7"/>
      <c r="RFJ1195" s="7"/>
      <c r="RFK1195" s="7"/>
      <c r="RFL1195" s="7"/>
      <c r="RFM1195" s="7"/>
      <c r="RFN1195" s="7"/>
      <c r="RFO1195" s="7"/>
      <c r="RFP1195" s="7"/>
      <c r="RFQ1195" s="7"/>
      <c r="RFR1195" s="7"/>
      <c r="RFS1195" s="7"/>
      <c r="RFT1195" s="7"/>
      <c r="RFU1195" s="7"/>
      <c r="RFV1195" s="7"/>
      <c r="RFW1195" s="7"/>
      <c r="RFX1195" s="7"/>
      <c r="RFY1195" s="7"/>
      <c r="RFZ1195" s="7"/>
      <c r="RGA1195" s="7"/>
      <c r="RGB1195" s="7"/>
      <c r="RGC1195" s="7"/>
      <c r="RGD1195" s="7"/>
      <c r="RGE1195" s="7"/>
      <c r="RGF1195" s="7"/>
      <c r="RGG1195" s="7"/>
      <c r="RGH1195" s="7"/>
      <c r="RGI1195" s="7"/>
      <c r="RGJ1195" s="7"/>
      <c r="RGK1195" s="7"/>
      <c r="RGL1195" s="7"/>
      <c r="RGM1195" s="7"/>
      <c r="RGN1195" s="7"/>
      <c r="RGO1195" s="7"/>
      <c r="RGP1195" s="7"/>
      <c r="RGQ1195" s="7"/>
      <c r="RGR1195" s="7"/>
      <c r="RGS1195" s="7"/>
      <c r="RGT1195" s="7"/>
      <c r="RGU1195" s="7"/>
      <c r="RGV1195" s="7"/>
      <c r="RGW1195" s="7"/>
      <c r="RGX1195" s="7"/>
      <c r="RGY1195" s="7"/>
      <c r="RGZ1195" s="7"/>
      <c r="RHA1195" s="7"/>
      <c r="RHB1195" s="7"/>
      <c r="RHC1195" s="7"/>
      <c r="RHD1195" s="7"/>
      <c r="RHE1195" s="7"/>
      <c r="RHF1195" s="7"/>
      <c r="RHG1195" s="7"/>
      <c r="RHH1195" s="7"/>
      <c r="RHI1195" s="7"/>
      <c r="RHJ1195" s="7"/>
      <c r="RHK1195" s="7"/>
      <c r="RHL1195" s="7"/>
      <c r="RHM1195" s="7"/>
      <c r="RHN1195" s="7"/>
      <c r="RHO1195" s="7"/>
      <c r="RHP1195" s="7"/>
      <c r="RHQ1195" s="7"/>
      <c r="RHR1195" s="7"/>
      <c r="RHS1195" s="7"/>
      <c r="RHT1195" s="7"/>
      <c r="RHU1195" s="7"/>
      <c r="RHV1195" s="7"/>
      <c r="RHW1195" s="7"/>
      <c r="RHX1195" s="7"/>
      <c r="RHY1195" s="7"/>
      <c r="RHZ1195" s="7"/>
      <c r="RIA1195" s="7"/>
      <c r="RIB1195" s="7"/>
      <c r="RIC1195" s="7"/>
      <c r="RID1195" s="7"/>
      <c r="RIE1195" s="7"/>
      <c r="RIF1195" s="7"/>
      <c r="RIG1195" s="7"/>
      <c r="RIH1195" s="7"/>
      <c r="RII1195" s="7"/>
      <c r="RIJ1195" s="7"/>
      <c r="RIK1195" s="7"/>
      <c r="RIL1195" s="7"/>
      <c r="RIM1195" s="7"/>
      <c r="RIN1195" s="7"/>
      <c r="RIO1195" s="7"/>
      <c r="RIP1195" s="7"/>
      <c r="RIQ1195" s="7"/>
      <c r="RIR1195" s="7"/>
      <c r="RIS1195" s="7"/>
      <c r="RIT1195" s="7"/>
      <c r="RIU1195" s="7"/>
      <c r="RIV1195" s="7"/>
      <c r="RIW1195" s="7"/>
      <c r="RIX1195" s="7"/>
      <c r="RIY1195" s="7"/>
      <c r="RIZ1195" s="7"/>
      <c r="RJA1195" s="7"/>
      <c r="RJB1195" s="7"/>
      <c r="RJC1195" s="7"/>
      <c r="RJD1195" s="7"/>
      <c r="RJE1195" s="7"/>
      <c r="RJF1195" s="7"/>
      <c r="RJG1195" s="7"/>
      <c r="RJH1195" s="7"/>
      <c r="RJI1195" s="7"/>
      <c r="RJJ1195" s="7"/>
      <c r="RJK1195" s="7"/>
      <c r="RJL1195" s="7"/>
      <c r="RJM1195" s="7"/>
      <c r="RJN1195" s="7"/>
      <c r="RJO1195" s="7"/>
      <c r="RJP1195" s="7"/>
      <c r="RJQ1195" s="7"/>
      <c r="RJR1195" s="7"/>
      <c r="RJS1195" s="7"/>
      <c r="RJT1195" s="7"/>
      <c r="RJU1195" s="7"/>
      <c r="RJV1195" s="7"/>
      <c r="RJW1195" s="7"/>
      <c r="RJX1195" s="7"/>
      <c r="RJY1195" s="7"/>
      <c r="RJZ1195" s="7"/>
      <c r="RKA1195" s="7"/>
      <c r="RKB1195" s="7"/>
      <c r="RKC1195" s="7"/>
      <c r="RKD1195" s="7"/>
      <c r="RKE1195" s="7"/>
      <c r="RKF1195" s="7"/>
      <c r="RKG1195" s="7"/>
      <c r="RKH1195" s="7"/>
      <c r="RKI1195" s="7"/>
      <c r="RKJ1195" s="7"/>
      <c r="RKK1195" s="7"/>
      <c r="RKL1195" s="7"/>
      <c r="RKM1195" s="7"/>
      <c r="RKN1195" s="7"/>
      <c r="RKO1195" s="7"/>
      <c r="RKP1195" s="7"/>
      <c r="RKQ1195" s="7"/>
      <c r="RKR1195" s="7"/>
      <c r="RKS1195" s="7"/>
      <c r="RKT1195" s="7"/>
      <c r="RKU1195" s="7"/>
      <c r="RKV1195" s="7"/>
      <c r="RKW1195" s="7"/>
      <c r="RKX1195" s="7"/>
      <c r="RKY1195" s="7"/>
      <c r="RKZ1195" s="7"/>
      <c r="RLA1195" s="7"/>
      <c r="RLB1195" s="7"/>
      <c r="RLC1195" s="7"/>
      <c r="RLD1195" s="7"/>
      <c r="RLE1195" s="7"/>
      <c r="RLF1195" s="7"/>
      <c r="RLG1195" s="7"/>
      <c r="RLH1195" s="7"/>
      <c r="RLI1195" s="7"/>
      <c r="RLJ1195" s="7"/>
      <c r="RLK1195" s="7"/>
      <c r="RLL1195" s="7"/>
      <c r="RLM1195" s="7"/>
      <c r="RLN1195" s="7"/>
      <c r="RLO1195" s="7"/>
      <c r="RLP1195" s="7"/>
      <c r="RLQ1195" s="7"/>
      <c r="RLR1195" s="7"/>
      <c r="RLS1195" s="7"/>
      <c r="RLT1195" s="7"/>
      <c r="RLU1195" s="7"/>
      <c r="RLV1195" s="7"/>
      <c r="RLW1195" s="7"/>
      <c r="RLX1195" s="7"/>
      <c r="RLY1195" s="7"/>
      <c r="RLZ1195" s="7"/>
      <c r="RMA1195" s="7"/>
      <c r="RMB1195" s="7"/>
      <c r="RMC1195" s="7"/>
      <c r="RMD1195" s="7"/>
      <c r="RME1195" s="7"/>
      <c r="RMF1195" s="7"/>
      <c r="RMG1195" s="7"/>
      <c r="RMH1195" s="7"/>
      <c r="RMI1195" s="7"/>
      <c r="RMJ1195" s="7"/>
      <c r="RMK1195" s="7"/>
      <c r="RML1195" s="7"/>
      <c r="RMM1195" s="7"/>
      <c r="RMN1195" s="7"/>
      <c r="RMO1195" s="7"/>
      <c r="RMP1195" s="7"/>
      <c r="RMQ1195" s="7"/>
      <c r="RMR1195" s="7"/>
      <c r="RMS1195" s="7"/>
      <c r="RMT1195" s="7"/>
      <c r="RMU1195" s="7"/>
      <c r="RMV1195" s="7"/>
      <c r="RMW1195" s="7"/>
      <c r="RMX1195" s="7"/>
      <c r="RMY1195" s="7"/>
      <c r="RMZ1195" s="7"/>
      <c r="RNA1195" s="7"/>
      <c r="RNB1195" s="7"/>
      <c r="RNC1195" s="7"/>
      <c r="RND1195" s="7"/>
      <c r="RNE1195" s="7"/>
      <c r="RNF1195" s="7"/>
      <c r="RNG1195" s="7"/>
      <c r="RNH1195" s="7"/>
      <c r="RNI1195" s="7"/>
      <c r="RNJ1195" s="7"/>
      <c r="RNK1195" s="7"/>
      <c r="RNL1195" s="7"/>
      <c r="RNM1195" s="7"/>
      <c r="RNN1195" s="7"/>
      <c r="RNO1195" s="7"/>
      <c r="RNP1195" s="7"/>
      <c r="RNQ1195" s="7"/>
      <c r="RNR1195" s="7"/>
      <c r="RNS1195" s="7"/>
      <c r="RNT1195" s="7"/>
      <c r="RNU1195" s="7"/>
      <c r="RNV1195" s="7"/>
      <c r="RNW1195" s="7"/>
      <c r="RNX1195" s="7"/>
      <c r="RNY1195" s="7"/>
      <c r="RNZ1195" s="7"/>
      <c r="ROA1195" s="7"/>
      <c r="ROB1195" s="7"/>
      <c r="ROC1195" s="7"/>
      <c r="ROD1195" s="7"/>
      <c r="ROE1195" s="7"/>
      <c r="ROF1195" s="7"/>
      <c r="ROG1195" s="7"/>
      <c r="ROH1195" s="7"/>
      <c r="ROI1195" s="7"/>
      <c r="ROJ1195" s="7"/>
      <c r="ROK1195" s="7"/>
      <c r="ROL1195" s="7"/>
      <c r="ROM1195" s="7"/>
      <c r="RON1195" s="7"/>
      <c r="ROO1195" s="7"/>
      <c r="ROP1195" s="7"/>
      <c r="ROQ1195" s="7"/>
      <c r="ROR1195" s="7"/>
      <c r="ROS1195" s="7"/>
      <c r="ROT1195" s="7"/>
      <c r="ROU1195" s="7"/>
      <c r="ROV1195" s="7"/>
      <c r="ROW1195" s="7"/>
      <c r="ROX1195" s="7"/>
      <c r="ROY1195" s="7"/>
      <c r="ROZ1195" s="7"/>
      <c r="RPA1195" s="7"/>
      <c r="RPB1195" s="7"/>
      <c r="RPC1195" s="7"/>
      <c r="RPD1195" s="7"/>
      <c r="RPE1195" s="7"/>
      <c r="RPF1195" s="7"/>
      <c r="RPG1195" s="7"/>
      <c r="RPH1195" s="7"/>
      <c r="RPI1195" s="7"/>
      <c r="RPJ1195" s="7"/>
      <c r="RPK1195" s="7"/>
      <c r="RPL1195" s="7"/>
      <c r="RPM1195" s="7"/>
      <c r="RPN1195" s="7"/>
      <c r="RPO1195" s="7"/>
      <c r="RPP1195" s="7"/>
      <c r="RPQ1195" s="7"/>
      <c r="RPR1195" s="7"/>
      <c r="RPS1195" s="7"/>
      <c r="RPT1195" s="7"/>
      <c r="RPU1195" s="7"/>
      <c r="RPV1195" s="7"/>
      <c r="RPW1195" s="7"/>
      <c r="RPX1195" s="7"/>
      <c r="RPY1195" s="7"/>
      <c r="RPZ1195" s="7"/>
      <c r="RQA1195" s="7"/>
      <c r="RQB1195" s="7"/>
      <c r="RQC1195" s="7"/>
      <c r="RQD1195" s="7"/>
      <c r="RQE1195" s="7"/>
      <c r="RQF1195" s="7"/>
      <c r="RQG1195" s="7"/>
      <c r="RQH1195" s="7"/>
      <c r="RQI1195" s="7"/>
      <c r="RQJ1195" s="7"/>
      <c r="RQK1195" s="7"/>
      <c r="RQL1195" s="7"/>
      <c r="RQM1195" s="7"/>
      <c r="RQN1195" s="7"/>
      <c r="RQO1195" s="7"/>
      <c r="RQP1195" s="7"/>
      <c r="RQQ1195" s="7"/>
      <c r="RQR1195" s="7"/>
      <c r="RQS1195" s="7"/>
      <c r="RQT1195" s="7"/>
      <c r="RQU1195" s="7"/>
      <c r="RQV1195" s="7"/>
      <c r="RQW1195" s="7"/>
      <c r="RQX1195" s="7"/>
      <c r="RQY1195" s="7"/>
      <c r="RQZ1195" s="7"/>
      <c r="RRA1195" s="7"/>
      <c r="RRB1195" s="7"/>
      <c r="RRC1195" s="7"/>
      <c r="RRD1195" s="7"/>
      <c r="RRE1195" s="7"/>
      <c r="RRF1195" s="7"/>
      <c r="RRG1195" s="7"/>
      <c r="RRH1195" s="7"/>
      <c r="RRI1195" s="7"/>
      <c r="RRJ1195" s="7"/>
      <c r="RRK1195" s="7"/>
      <c r="RRL1195" s="7"/>
      <c r="RRM1195" s="7"/>
      <c r="RRN1195" s="7"/>
      <c r="RRO1195" s="7"/>
      <c r="RRP1195" s="7"/>
      <c r="RRQ1195" s="7"/>
      <c r="RRR1195" s="7"/>
      <c r="RRS1195" s="7"/>
      <c r="RRT1195" s="7"/>
      <c r="RRU1195" s="7"/>
      <c r="RRV1195" s="7"/>
      <c r="RRW1195" s="7"/>
      <c r="RRX1195" s="7"/>
      <c r="RRY1195" s="7"/>
      <c r="RRZ1195" s="7"/>
      <c r="RSA1195" s="7"/>
      <c r="RSB1195" s="7"/>
      <c r="RSC1195" s="7"/>
      <c r="RSD1195" s="7"/>
      <c r="RSE1195" s="7"/>
      <c r="RSF1195" s="7"/>
      <c r="RSG1195" s="7"/>
      <c r="RSH1195" s="7"/>
      <c r="RSI1195" s="7"/>
      <c r="RSJ1195" s="7"/>
      <c r="RSK1195" s="7"/>
      <c r="RSL1195" s="7"/>
      <c r="RSM1195" s="7"/>
      <c r="RSN1195" s="7"/>
      <c r="RSO1195" s="7"/>
      <c r="RSP1195" s="7"/>
      <c r="RSQ1195" s="7"/>
      <c r="RSR1195" s="7"/>
      <c r="RSS1195" s="7"/>
      <c r="RST1195" s="7"/>
      <c r="RSU1195" s="7"/>
      <c r="RSV1195" s="7"/>
      <c r="RSW1195" s="7"/>
      <c r="RSX1195" s="7"/>
      <c r="RSY1195" s="7"/>
      <c r="RSZ1195" s="7"/>
      <c r="RTA1195" s="7"/>
      <c r="RTB1195" s="7"/>
      <c r="RTC1195" s="7"/>
      <c r="RTD1195" s="7"/>
      <c r="RTE1195" s="7"/>
      <c r="RTF1195" s="7"/>
      <c r="RTG1195" s="7"/>
      <c r="RTH1195" s="7"/>
      <c r="RTI1195" s="7"/>
      <c r="RTJ1195" s="7"/>
      <c r="RTK1195" s="7"/>
      <c r="RTL1195" s="7"/>
      <c r="RTM1195" s="7"/>
      <c r="RTN1195" s="7"/>
      <c r="RTO1195" s="7"/>
      <c r="RTP1195" s="7"/>
      <c r="RTQ1195" s="7"/>
      <c r="RTR1195" s="7"/>
      <c r="RTS1195" s="7"/>
      <c r="RTT1195" s="7"/>
      <c r="RTU1195" s="7"/>
      <c r="RTV1195" s="7"/>
      <c r="RTW1195" s="7"/>
      <c r="RTX1195" s="7"/>
      <c r="RTY1195" s="7"/>
      <c r="RTZ1195" s="7"/>
      <c r="RUA1195" s="7"/>
      <c r="RUB1195" s="7"/>
      <c r="RUC1195" s="7"/>
      <c r="RUD1195" s="7"/>
      <c r="RUE1195" s="7"/>
      <c r="RUF1195" s="7"/>
      <c r="RUG1195" s="7"/>
      <c r="RUH1195" s="7"/>
      <c r="RUI1195" s="7"/>
      <c r="RUJ1195" s="7"/>
      <c r="RUK1195" s="7"/>
      <c r="RUL1195" s="7"/>
      <c r="RUM1195" s="7"/>
      <c r="RUN1195" s="7"/>
      <c r="RUO1195" s="7"/>
      <c r="RUP1195" s="7"/>
      <c r="RUQ1195" s="7"/>
      <c r="RUR1195" s="7"/>
      <c r="RUS1195" s="7"/>
      <c r="RUT1195" s="7"/>
      <c r="RUU1195" s="7"/>
      <c r="RUV1195" s="7"/>
      <c r="RUW1195" s="7"/>
      <c r="RUX1195" s="7"/>
      <c r="RUY1195" s="7"/>
      <c r="RUZ1195" s="7"/>
      <c r="RVA1195" s="7"/>
      <c r="RVB1195" s="7"/>
      <c r="RVC1195" s="7"/>
      <c r="RVD1195" s="7"/>
      <c r="RVE1195" s="7"/>
      <c r="RVF1195" s="7"/>
      <c r="RVG1195" s="7"/>
      <c r="RVH1195" s="7"/>
      <c r="RVI1195" s="7"/>
      <c r="RVJ1195" s="7"/>
      <c r="RVK1195" s="7"/>
      <c r="RVL1195" s="7"/>
      <c r="RVM1195" s="7"/>
      <c r="RVN1195" s="7"/>
      <c r="RVO1195" s="7"/>
      <c r="RVP1195" s="7"/>
      <c r="RVQ1195" s="7"/>
      <c r="RVR1195" s="7"/>
      <c r="RVS1195" s="7"/>
      <c r="RVT1195" s="7"/>
      <c r="RVU1195" s="7"/>
      <c r="RVV1195" s="7"/>
      <c r="RVW1195" s="7"/>
      <c r="RVX1195" s="7"/>
      <c r="RVY1195" s="7"/>
      <c r="RVZ1195" s="7"/>
      <c r="RWA1195" s="7"/>
      <c r="RWB1195" s="7"/>
      <c r="RWC1195" s="7"/>
      <c r="RWD1195" s="7"/>
      <c r="RWE1195" s="7"/>
      <c r="RWF1195" s="7"/>
      <c r="RWG1195" s="7"/>
      <c r="RWH1195" s="7"/>
      <c r="RWI1195" s="7"/>
      <c r="RWJ1195" s="7"/>
      <c r="RWK1195" s="7"/>
      <c r="RWL1195" s="7"/>
      <c r="RWM1195" s="7"/>
      <c r="RWN1195" s="7"/>
      <c r="RWO1195" s="7"/>
      <c r="RWP1195" s="7"/>
      <c r="RWQ1195" s="7"/>
      <c r="RWR1195" s="7"/>
      <c r="RWS1195" s="7"/>
      <c r="RWT1195" s="7"/>
      <c r="RWU1195" s="7"/>
      <c r="RWV1195" s="7"/>
      <c r="RWW1195" s="7"/>
      <c r="RWX1195" s="7"/>
      <c r="RWY1195" s="7"/>
      <c r="RWZ1195" s="7"/>
      <c r="RXA1195" s="7"/>
      <c r="RXB1195" s="7"/>
      <c r="RXC1195" s="7"/>
      <c r="RXD1195" s="7"/>
      <c r="RXE1195" s="7"/>
      <c r="RXF1195" s="7"/>
      <c r="RXG1195" s="7"/>
      <c r="RXH1195" s="7"/>
      <c r="RXI1195" s="7"/>
      <c r="RXJ1195" s="7"/>
      <c r="RXK1195" s="7"/>
      <c r="RXL1195" s="7"/>
      <c r="RXM1195" s="7"/>
      <c r="RXN1195" s="7"/>
      <c r="RXO1195" s="7"/>
      <c r="RXP1195" s="7"/>
      <c r="RXQ1195" s="7"/>
      <c r="RXR1195" s="7"/>
      <c r="RXS1195" s="7"/>
      <c r="RXT1195" s="7"/>
      <c r="RXU1195" s="7"/>
      <c r="RXV1195" s="7"/>
      <c r="RXW1195" s="7"/>
      <c r="RXX1195" s="7"/>
      <c r="RXY1195" s="7"/>
      <c r="RXZ1195" s="7"/>
      <c r="RYA1195" s="7"/>
      <c r="RYB1195" s="7"/>
      <c r="RYC1195" s="7"/>
      <c r="RYD1195" s="7"/>
      <c r="RYE1195" s="7"/>
      <c r="RYF1195" s="7"/>
      <c r="RYG1195" s="7"/>
      <c r="RYH1195" s="7"/>
      <c r="RYI1195" s="7"/>
      <c r="RYJ1195" s="7"/>
      <c r="RYK1195" s="7"/>
      <c r="RYL1195" s="7"/>
      <c r="RYM1195" s="7"/>
      <c r="RYN1195" s="7"/>
      <c r="RYO1195" s="7"/>
      <c r="RYP1195" s="7"/>
      <c r="RYQ1195" s="7"/>
      <c r="RYR1195" s="7"/>
      <c r="RYS1195" s="7"/>
      <c r="RYT1195" s="7"/>
      <c r="RYU1195" s="7"/>
      <c r="RYV1195" s="7"/>
      <c r="RYW1195" s="7"/>
      <c r="RYX1195" s="7"/>
      <c r="RYY1195" s="7"/>
      <c r="RYZ1195" s="7"/>
      <c r="RZA1195" s="7"/>
      <c r="RZB1195" s="7"/>
      <c r="RZC1195" s="7"/>
      <c r="RZD1195" s="7"/>
      <c r="RZE1195" s="7"/>
      <c r="RZF1195" s="7"/>
      <c r="RZG1195" s="7"/>
      <c r="RZH1195" s="7"/>
      <c r="RZI1195" s="7"/>
      <c r="RZJ1195" s="7"/>
      <c r="RZK1195" s="7"/>
      <c r="RZL1195" s="7"/>
      <c r="RZM1195" s="7"/>
      <c r="RZN1195" s="7"/>
      <c r="RZO1195" s="7"/>
      <c r="RZP1195" s="7"/>
      <c r="RZQ1195" s="7"/>
      <c r="RZR1195" s="7"/>
      <c r="RZS1195" s="7"/>
      <c r="RZT1195" s="7"/>
      <c r="RZU1195" s="7"/>
      <c r="RZV1195" s="7"/>
      <c r="RZW1195" s="7"/>
      <c r="RZX1195" s="7"/>
      <c r="RZY1195" s="7"/>
      <c r="RZZ1195" s="7"/>
      <c r="SAA1195" s="7"/>
      <c r="SAB1195" s="7"/>
      <c r="SAC1195" s="7"/>
      <c r="SAD1195" s="7"/>
      <c r="SAE1195" s="7"/>
      <c r="SAF1195" s="7"/>
      <c r="SAG1195" s="7"/>
      <c r="SAH1195" s="7"/>
      <c r="SAI1195" s="7"/>
      <c r="SAJ1195" s="7"/>
      <c r="SAK1195" s="7"/>
      <c r="SAL1195" s="7"/>
      <c r="SAM1195" s="7"/>
      <c r="SAN1195" s="7"/>
      <c r="SAO1195" s="7"/>
      <c r="SAP1195" s="7"/>
      <c r="SAQ1195" s="7"/>
      <c r="SAR1195" s="7"/>
      <c r="SAS1195" s="7"/>
      <c r="SAT1195" s="7"/>
      <c r="SAU1195" s="7"/>
      <c r="SAV1195" s="7"/>
      <c r="SAW1195" s="7"/>
      <c r="SAX1195" s="7"/>
      <c r="SAY1195" s="7"/>
      <c r="SAZ1195" s="7"/>
      <c r="SBA1195" s="7"/>
      <c r="SBB1195" s="7"/>
      <c r="SBC1195" s="7"/>
      <c r="SBD1195" s="7"/>
      <c r="SBE1195" s="7"/>
      <c r="SBF1195" s="7"/>
      <c r="SBG1195" s="7"/>
      <c r="SBH1195" s="7"/>
      <c r="SBI1195" s="7"/>
      <c r="SBJ1195" s="7"/>
      <c r="SBK1195" s="7"/>
      <c r="SBL1195" s="7"/>
      <c r="SBM1195" s="7"/>
      <c r="SBN1195" s="7"/>
      <c r="SBO1195" s="7"/>
      <c r="SBP1195" s="7"/>
      <c r="SBQ1195" s="7"/>
      <c r="SBR1195" s="7"/>
      <c r="SBS1195" s="7"/>
      <c r="SBT1195" s="7"/>
      <c r="SBU1195" s="7"/>
      <c r="SBV1195" s="7"/>
      <c r="SBW1195" s="7"/>
      <c r="SBX1195" s="7"/>
      <c r="SBY1195" s="7"/>
      <c r="SBZ1195" s="7"/>
      <c r="SCA1195" s="7"/>
      <c r="SCB1195" s="7"/>
      <c r="SCC1195" s="7"/>
      <c r="SCD1195" s="7"/>
      <c r="SCE1195" s="7"/>
      <c r="SCF1195" s="7"/>
      <c r="SCG1195" s="7"/>
      <c r="SCH1195" s="7"/>
      <c r="SCI1195" s="7"/>
      <c r="SCJ1195" s="7"/>
      <c r="SCK1195" s="7"/>
      <c r="SCL1195" s="7"/>
      <c r="SCM1195" s="7"/>
      <c r="SCN1195" s="7"/>
      <c r="SCO1195" s="7"/>
      <c r="SCP1195" s="7"/>
      <c r="SCQ1195" s="7"/>
      <c r="SCR1195" s="7"/>
      <c r="SCS1195" s="7"/>
      <c r="SCT1195" s="7"/>
      <c r="SCU1195" s="7"/>
      <c r="SCV1195" s="7"/>
      <c r="SCW1195" s="7"/>
      <c r="SCX1195" s="7"/>
      <c r="SCY1195" s="7"/>
      <c r="SCZ1195" s="7"/>
      <c r="SDA1195" s="7"/>
      <c r="SDB1195" s="7"/>
      <c r="SDC1195" s="7"/>
      <c r="SDD1195" s="7"/>
      <c r="SDE1195" s="7"/>
      <c r="SDF1195" s="7"/>
      <c r="SDG1195" s="7"/>
      <c r="SDH1195" s="7"/>
      <c r="SDI1195" s="7"/>
      <c r="SDJ1195" s="7"/>
      <c r="SDK1195" s="7"/>
      <c r="SDL1195" s="7"/>
      <c r="SDM1195" s="7"/>
      <c r="SDN1195" s="7"/>
      <c r="SDO1195" s="7"/>
      <c r="SDP1195" s="7"/>
      <c r="SDQ1195" s="7"/>
      <c r="SDR1195" s="7"/>
      <c r="SDS1195" s="7"/>
      <c r="SDT1195" s="7"/>
      <c r="SDU1195" s="7"/>
      <c r="SDV1195" s="7"/>
      <c r="SDW1195" s="7"/>
      <c r="SDX1195" s="7"/>
      <c r="SDY1195" s="7"/>
      <c r="SDZ1195" s="7"/>
      <c r="SEA1195" s="7"/>
      <c r="SEB1195" s="7"/>
      <c r="SEC1195" s="7"/>
      <c r="SED1195" s="7"/>
      <c r="SEE1195" s="7"/>
      <c r="SEF1195" s="7"/>
      <c r="SEG1195" s="7"/>
      <c r="SEH1195" s="7"/>
      <c r="SEI1195" s="7"/>
      <c r="SEJ1195" s="7"/>
      <c r="SEK1195" s="7"/>
      <c r="SEL1195" s="7"/>
      <c r="SEM1195" s="7"/>
      <c r="SEN1195" s="7"/>
      <c r="SEO1195" s="7"/>
      <c r="SEP1195" s="7"/>
      <c r="SEQ1195" s="7"/>
      <c r="SER1195" s="7"/>
      <c r="SES1195" s="7"/>
      <c r="SET1195" s="7"/>
      <c r="SEU1195" s="7"/>
      <c r="SEV1195" s="7"/>
      <c r="SEW1195" s="7"/>
      <c r="SEX1195" s="7"/>
      <c r="SEY1195" s="7"/>
      <c r="SEZ1195" s="7"/>
      <c r="SFA1195" s="7"/>
      <c r="SFB1195" s="7"/>
      <c r="SFC1195" s="7"/>
      <c r="SFD1195" s="7"/>
      <c r="SFE1195" s="7"/>
      <c r="SFF1195" s="7"/>
      <c r="SFG1195" s="7"/>
      <c r="SFH1195" s="7"/>
      <c r="SFI1195" s="7"/>
      <c r="SFJ1195" s="7"/>
      <c r="SFK1195" s="7"/>
      <c r="SFL1195" s="7"/>
      <c r="SFM1195" s="7"/>
      <c r="SFN1195" s="7"/>
      <c r="SFO1195" s="7"/>
      <c r="SFP1195" s="7"/>
      <c r="SFQ1195" s="7"/>
      <c r="SFR1195" s="7"/>
      <c r="SFS1195" s="7"/>
      <c r="SFT1195" s="7"/>
      <c r="SFU1195" s="7"/>
      <c r="SFV1195" s="7"/>
      <c r="SFW1195" s="7"/>
      <c r="SFX1195" s="7"/>
      <c r="SFY1195" s="7"/>
      <c r="SFZ1195" s="7"/>
      <c r="SGA1195" s="7"/>
      <c r="SGB1195" s="7"/>
      <c r="SGC1195" s="7"/>
      <c r="SGD1195" s="7"/>
      <c r="SGE1195" s="7"/>
      <c r="SGF1195" s="7"/>
      <c r="SGG1195" s="7"/>
      <c r="SGH1195" s="7"/>
      <c r="SGI1195" s="7"/>
      <c r="SGJ1195" s="7"/>
      <c r="SGK1195" s="7"/>
      <c r="SGL1195" s="7"/>
      <c r="SGM1195" s="7"/>
      <c r="SGN1195" s="7"/>
      <c r="SGO1195" s="7"/>
      <c r="SGP1195" s="7"/>
      <c r="SGQ1195" s="7"/>
      <c r="SGR1195" s="7"/>
      <c r="SGS1195" s="7"/>
      <c r="SGT1195" s="7"/>
      <c r="SGU1195" s="7"/>
      <c r="SGV1195" s="7"/>
      <c r="SGW1195" s="7"/>
      <c r="SGX1195" s="7"/>
      <c r="SGY1195" s="7"/>
      <c r="SGZ1195" s="7"/>
      <c r="SHA1195" s="7"/>
      <c r="SHB1195" s="7"/>
      <c r="SHC1195" s="7"/>
      <c r="SHD1195" s="7"/>
      <c r="SHE1195" s="7"/>
      <c r="SHF1195" s="7"/>
      <c r="SHG1195" s="7"/>
      <c r="SHH1195" s="7"/>
      <c r="SHI1195" s="7"/>
      <c r="SHJ1195" s="7"/>
      <c r="SHK1195" s="7"/>
      <c r="SHL1195" s="7"/>
      <c r="SHM1195" s="7"/>
      <c r="SHN1195" s="7"/>
      <c r="SHO1195" s="7"/>
      <c r="SHP1195" s="7"/>
      <c r="SHQ1195" s="7"/>
      <c r="SHR1195" s="7"/>
      <c r="SHS1195" s="7"/>
      <c r="SHT1195" s="7"/>
      <c r="SHU1195" s="7"/>
      <c r="SHV1195" s="7"/>
      <c r="SHW1195" s="7"/>
      <c r="SHX1195" s="7"/>
      <c r="SHY1195" s="7"/>
      <c r="SHZ1195" s="7"/>
      <c r="SIA1195" s="7"/>
      <c r="SIB1195" s="7"/>
      <c r="SIC1195" s="7"/>
      <c r="SID1195" s="7"/>
      <c r="SIE1195" s="7"/>
      <c r="SIF1195" s="7"/>
      <c r="SIG1195" s="7"/>
      <c r="SIH1195" s="7"/>
      <c r="SII1195" s="7"/>
      <c r="SIJ1195" s="7"/>
      <c r="SIK1195" s="7"/>
      <c r="SIL1195" s="7"/>
      <c r="SIM1195" s="7"/>
      <c r="SIN1195" s="7"/>
      <c r="SIO1195" s="7"/>
      <c r="SIP1195" s="7"/>
      <c r="SIQ1195" s="7"/>
      <c r="SIR1195" s="7"/>
      <c r="SIS1195" s="7"/>
      <c r="SIT1195" s="7"/>
      <c r="SIU1195" s="7"/>
      <c r="SIV1195" s="7"/>
      <c r="SIW1195" s="7"/>
      <c r="SIX1195" s="7"/>
      <c r="SIY1195" s="7"/>
      <c r="SIZ1195" s="7"/>
      <c r="SJA1195" s="7"/>
      <c r="SJB1195" s="7"/>
      <c r="SJC1195" s="7"/>
      <c r="SJD1195" s="7"/>
      <c r="SJE1195" s="7"/>
      <c r="SJF1195" s="7"/>
      <c r="SJG1195" s="7"/>
      <c r="SJH1195" s="7"/>
      <c r="SJI1195" s="7"/>
      <c r="SJJ1195" s="7"/>
      <c r="SJK1195" s="7"/>
      <c r="SJL1195" s="7"/>
      <c r="SJM1195" s="7"/>
      <c r="SJN1195" s="7"/>
      <c r="SJO1195" s="7"/>
      <c r="SJP1195" s="7"/>
      <c r="SJQ1195" s="7"/>
      <c r="SJR1195" s="7"/>
      <c r="SJS1195" s="7"/>
      <c r="SJT1195" s="7"/>
      <c r="SJU1195" s="7"/>
      <c r="SJV1195" s="7"/>
      <c r="SJW1195" s="7"/>
      <c r="SJX1195" s="7"/>
      <c r="SJY1195" s="7"/>
      <c r="SJZ1195" s="7"/>
      <c r="SKA1195" s="7"/>
      <c r="SKB1195" s="7"/>
      <c r="SKC1195" s="7"/>
      <c r="SKD1195" s="7"/>
      <c r="SKE1195" s="7"/>
      <c r="SKF1195" s="7"/>
      <c r="SKG1195" s="7"/>
      <c r="SKH1195" s="7"/>
      <c r="SKI1195" s="7"/>
      <c r="SKJ1195" s="7"/>
      <c r="SKK1195" s="7"/>
      <c r="SKL1195" s="7"/>
      <c r="SKM1195" s="7"/>
      <c r="SKN1195" s="7"/>
      <c r="SKO1195" s="7"/>
      <c r="SKP1195" s="7"/>
      <c r="SKQ1195" s="7"/>
      <c r="SKR1195" s="7"/>
      <c r="SKS1195" s="7"/>
      <c r="SKT1195" s="7"/>
      <c r="SKU1195" s="7"/>
      <c r="SKV1195" s="7"/>
      <c r="SKW1195" s="7"/>
      <c r="SKX1195" s="7"/>
      <c r="SKY1195" s="7"/>
      <c r="SKZ1195" s="7"/>
      <c r="SLA1195" s="7"/>
      <c r="SLB1195" s="7"/>
      <c r="SLC1195" s="7"/>
      <c r="SLD1195" s="7"/>
      <c r="SLE1195" s="7"/>
      <c r="SLF1195" s="7"/>
      <c r="SLG1195" s="7"/>
      <c r="SLH1195" s="7"/>
      <c r="SLI1195" s="7"/>
      <c r="SLJ1195" s="7"/>
      <c r="SLK1195" s="7"/>
      <c r="SLL1195" s="7"/>
      <c r="SLM1195" s="7"/>
      <c r="SLN1195" s="7"/>
      <c r="SLO1195" s="7"/>
      <c r="SLP1195" s="7"/>
      <c r="SLQ1195" s="7"/>
      <c r="SLR1195" s="7"/>
      <c r="SLS1195" s="7"/>
      <c r="SLT1195" s="7"/>
      <c r="SLU1195" s="7"/>
      <c r="SLV1195" s="7"/>
      <c r="SLW1195" s="7"/>
      <c r="SLX1195" s="7"/>
      <c r="SLY1195" s="7"/>
      <c r="SLZ1195" s="7"/>
      <c r="SMA1195" s="7"/>
      <c r="SMB1195" s="7"/>
      <c r="SMC1195" s="7"/>
      <c r="SMD1195" s="7"/>
      <c r="SME1195" s="7"/>
      <c r="SMF1195" s="7"/>
      <c r="SMG1195" s="7"/>
      <c r="SMH1195" s="7"/>
      <c r="SMI1195" s="7"/>
      <c r="SMJ1195" s="7"/>
      <c r="SMK1195" s="7"/>
      <c r="SML1195" s="7"/>
      <c r="SMM1195" s="7"/>
      <c r="SMN1195" s="7"/>
      <c r="SMO1195" s="7"/>
      <c r="SMP1195" s="7"/>
      <c r="SMQ1195" s="7"/>
      <c r="SMR1195" s="7"/>
      <c r="SMS1195" s="7"/>
      <c r="SMT1195" s="7"/>
      <c r="SMU1195" s="7"/>
      <c r="SMV1195" s="7"/>
      <c r="SMW1195" s="7"/>
      <c r="SMX1195" s="7"/>
      <c r="SMY1195" s="7"/>
      <c r="SMZ1195" s="7"/>
      <c r="SNA1195" s="7"/>
      <c r="SNB1195" s="7"/>
      <c r="SNC1195" s="7"/>
      <c r="SND1195" s="7"/>
      <c r="SNE1195" s="7"/>
      <c r="SNF1195" s="7"/>
      <c r="SNG1195" s="7"/>
      <c r="SNH1195" s="7"/>
      <c r="SNI1195" s="7"/>
      <c r="SNJ1195" s="7"/>
      <c r="SNK1195" s="7"/>
      <c r="SNL1195" s="7"/>
      <c r="SNM1195" s="7"/>
      <c r="SNN1195" s="7"/>
      <c r="SNO1195" s="7"/>
      <c r="SNP1195" s="7"/>
      <c r="SNQ1195" s="7"/>
      <c r="SNR1195" s="7"/>
      <c r="SNS1195" s="7"/>
      <c r="SNT1195" s="7"/>
      <c r="SNU1195" s="7"/>
      <c r="SNV1195" s="7"/>
      <c r="SNW1195" s="7"/>
      <c r="SNX1195" s="7"/>
      <c r="SNY1195" s="7"/>
      <c r="SNZ1195" s="7"/>
      <c r="SOA1195" s="7"/>
      <c r="SOB1195" s="7"/>
      <c r="SOC1195" s="7"/>
      <c r="SOD1195" s="7"/>
      <c r="SOE1195" s="7"/>
      <c r="SOF1195" s="7"/>
      <c r="SOG1195" s="7"/>
      <c r="SOH1195" s="7"/>
      <c r="SOI1195" s="7"/>
      <c r="SOJ1195" s="7"/>
      <c r="SOK1195" s="7"/>
      <c r="SOL1195" s="7"/>
      <c r="SOM1195" s="7"/>
      <c r="SON1195" s="7"/>
      <c r="SOO1195" s="7"/>
      <c r="SOP1195" s="7"/>
      <c r="SOQ1195" s="7"/>
      <c r="SOR1195" s="7"/>
      <c r="SOS1195" s="7"/>
      <c r="SOT1195" s="7"/>
      <c r="SOU1195" s="7"/>
      <c r="SOV1195" s="7"/>
      <c r="SOW1195" s="7"/>
      <c r="SOX1195" s="7"/>
      <c r="SOY1195" s="7"/>
      <c r="SOZ1195" s="7"/>
      <c r="SPA1195" s="7"/>
      <c r="SPB1195" s="7"/>
      <c r="SPC1195" s="7"/>
      <c r="SPD1195" s="7"/>
      <c r="SPE1195" s="7"/>
      <c r="SPF1195" s="7"/>
      <c r="SPG1195" s="7"/>
      <c r="SPH1195" s="7"/>
      <c r="SPI1195" s="7"/>
      <c r="SPJ1195" s="7"/>
      <c r="SPK1195" s="7"/>
      <c r="SPL1195" s="7"/>
      <c r="SPM1195" s="7"/>
      <c r="SPN1195" s="7"/>
      <c r="SPO1195" s="7"/>
      <c r="SPP1195" s="7"/>
      <c r="SPQ1195" s="7"/>
      <c r="SPR1195" s="7"/>
      <c r="SPS1195" s="7"/>
      <c r="SPT1195" s="7"/>
      <c r="SPU1195" s="7"/>
      <c r="SPV1195" s="7"/>
      <c r="SPW1195" s="7"/>
      <c r="SPX1195" s="7"/>
      <c r="SPY1195" s="7"/>
      <c r="SPZ1195" s="7"/>
      <c r="SQA1195" s="7"/>
      <c r="SQB1195" s="7"/>
      <c r="SQC1195" s="7"/>
      <c r="SQD1195" s="7"/>
      <c r="SQE1195" s="7"/>
      <c r="SQF1195" s="7"/>
      <c r="SQG1195" s="7"/>
      <c r="SQH1195" s="7"/>
      <c r="SQI1195" s="7"/>
      <c r="SQJ1195" s="7"/>
      <c r="SQK1195" s="7"/>
      <c r="SQL1195" s="7"/>
      <c r="SQM1195" s="7"/>
      <c r="SQN1195" s="7"/>
      <c r="SQO1195" s="7"/>
      <c r="SQP1195" s="7"/>
      <c r="SQQ1195" s="7"/>
      <c r="SQR1195" s="7"/>
      <c r="SQS1195" s="7"/>
      <c r="SQT1195" s="7"/>
      <c r="SQU1195" s="7"/>
      <c r="SQV1195" s="7"/>
      <c r="SQW1195" s="7"/>
      <c r="SQX1195" s="7"/>
      <c r="SQY1195" s="7"/>
      <c r="SQZ1195" s="7"/>
      <c r="SRA1195" s="7"/>
      <c r="SRB1195" s="7"/>
      <c r="SRC1195" s="7"/>
      <c r="SRD1195" s="7"/>
      <c r="SRE1195" s="7"/>
      <c r="SRF1195" s="7"/>
      <c r="SRG1195" s="7"/>
      <c r="SRH1195" s="7"/>
      <c r="SRI1195" s="7"/>
      <c r="SRJ1195" s="7"/>
      <c r="SRK1195" s="7"/>
      <c r="SRL1195" s="7"/>
      <c r="SRM1195" s="7"/>
      <c r="SRN1195" s="7"/>
      <c r="SRO1195" s="7"/>
      <c r="SRP1195" s="7"/>
      <c r="SRQ1195" s="7"/>
      <c r="SRR1195" s="7"/>
      <c r="SRS1195" s="7"/>
      <c r="SRT1195" s="7"/>
      <c r="SRU1195" s="7"/>
      <c r="SRV1195" s="7"/>
      <c r="SRW1195" s="7"/>
      <c r="SRX1195" s="7"/>
      <c r="SRY1195" s="7"/>
      <c r="SRZ1195" s="7"/>
      <c r="SSA1195" s="7"/>
      <c r="SSB1195" s="7"/>
      <c r="SSC1195" s="7"/>
      <c r="SSD1195" s="7"/>
      <c r="SSE1195" s="7"/>
      <c r="SSF1195" s="7"/>
      <c r="SSG1195" s="7"/>
      <c r="SSH1195" s="7"/>
      <c r="SSI1195" s="7"/>
      <c r="SSJ1195" s="7"/>
      <c r="SSK1195" s="7"/>
      <c r="SSL1195" s="7"/>
      <c r="SSM1195" s="7"/>
      <c r="SSN1195" s="7"/>
      <c r="SSO1195" s="7"/>
      <c r="SSP1195" s="7"/>
      <c r="SSQ1195" s="7"/>
      <c r="SSR1195" s="7"/>
      <c r="SSS1195" s="7"/>
      <c r="SST1195" s="7"/>
      <c r="SSU1195" s="7"/>
      <c r="SSV1195" s="7"/>
      <c r="SSW1195" s="7"/>
      <c r="SSX1195" s="7"/>
      <c r="SSY1195" s="7"/>
      <c r="SSZ1195" s="7"/>
      <c r="STA1195" s="7"/>
      <c r="STB1195" s="7"/>
      <c r="STC1195" s="7"/>
      <c r="STD1195" s="7"/>
      <c r="STE1195" s="7"/>
      <c r="STF1195" s="7"/>
      <c r="STG1195" s="7"/>
      <c r="STH1195" s="7"/>
      <c r="STI1195" s="7"/>
      <c r="STJ1195" s="7"/>
      <c r="STK1195" s="7"/>
      <c r="STL1195" s="7"/>
      <c r="STM1195" s="7"/>
      <c r="STN1195" s="7"/>
      <c r="STO1195" s="7"/>
      <c r="STP1195" s="7"/>
      <c r="STQ1195" s="7"/>
      <c r="STR1195" s="7"/>
      <c r="STS1195" s="7"/>
      <c r="STT1195" s="7"/>
      <c r="STU1195" s="7"/>
      <c r="STV1195" s="7"/>
      <c r="STW1195" s="7"/>
      <c r="STX1195" s="7"/>
      <c r="STY1195" s="7"/>
      <c r="STZ1195" s="7"/>
      <c r="SUA1195" s="7"/>
      <c r="SUB1195" s="7"/>
      <c r="SUC1195" s="7"/>
      <c r="SUD1195" s="7"/>
      <c r="SUE1195" s="7"/>
      <c r="SUF1195" s="7"/>
      <c r="SUG1195" s="7"/>
      <c r="SUH1195" s="7"/>
      <c r="SUI1195" s="7"/>
      <c r="SUJ1195" s="7"/>
      <c r="SUK1195" s="7"/>
      <c r="SUL1195" s="7"/>
      <c r="SUM1195" s="7"/>
      <c r="SUN1195" s="7"/>
      <c r="SUO1195" s="7"/>
      <c r="SUP1195" s="7"/>
      <c r="SUQ1195" s="7"/>
      <c r="SUR1195" s="7"/>
      <c r="SUS1195" s="7"/>
      <c r="SUT1195" s="7"/>
      <c r="SUU1195" s="7"/>
      <c r="SUV1195" s="7"/>
      <c r="SUW1195" s="7"/>
      <c r="SUX1195" s="7"/>
      <c r="SUY1195" s="7"/>
      <c r="SUZ1195" s="7"/>
      <c r="SVA1195" s="7"/>
      <c r="SVB1195" s="7"/>
      <c r="SVC1195" s="7"/>
      <c r="SVD1195" s="7"/>
      <c r="SVE1195" s="7"/>
      <c r="SVF1195" s="7"/>
      <c r="SVG1195" s="7"/>
      <c r="SVH1195" s="7"/>
      <c r="SVI1195" s="7"/>
      <c r="SVJ1195" s="7"/>
      <c r="SVK1195" s="7"/>
      <c r="SVL1195" s="7"/>
      <c r="SVM1195" s="7"/>
      <c r="SVN1195" s="7"/>
      <c r="SVO1195" s="7"/>
      <c r="SVP1195" s="7"/>
      <c r="SVQ1195" s="7"/>
      <c r="SVR1195" s="7"/>
      <c r="SVS1195" s="7"/>
      <c r="SVT1195" s="7"/>
      <c r="SVU1195" s="7"/>
      <c r="SVV1195" s="7"/>
      <c r="SVW1195" s="7"/>
      <c r="SVX1195" s="7"/>
      <c r="SVY1195" s="7"/>
      <c r="SVZ1195" s="7"/>
      <c r="SWA1195" s="7"/>
      <c r="SWB1195" s="7"/>
      <c r="SWC1195" s="7"/>
      <c r="SWD1195" s="7"/>
      <c r="SWE1195" s="7"/>
      <c r="SWF1195" s="7"/>
      <c r="SWG1195" s="7"/>
      <c r="SWH1195" s="7"/>
      <c r="SWI1195" s="7"/>
      <c r="SWJ1195" s="7"/>
      <c r="SWK1195" s="7"/>
      <c r="SWL1195" s="7"/>
      <c r="SWM1195" s="7"/>
      <c r="SWN1195" s="7"/>
      <c r="SWO1195" s="7"/>
      <c r="SWP1195" s="7"/>
      <c r="SWQ1195" s="7"/>
      <c r="SWR1195" s="7"/>
      <c r="SWS1195" s="7"/>
      <c r="SWT1195" s="7"/>
      <c r="SWU1195" s="7"/>
      <c r="SWV1195" s="7"/>
      <c r="SWW1195" s="7"/>
      <c r="SWX1195" s="7"/>
      <c r="SWY1195" s="7"/>
      <c r="SWZ1195" s="7"/>
      <c r="SXA1195" s="7"/>
      <c r="SXB1195" s="7"/>
      <c r="SXC1195" s="7"/>
      <c r="SXD1195" s="7"/>
      <c r="SXE1195" s="7"/>
      <c r="SXF1195" s="7"/>
      <c r="SXG1195" s="7"/>
      <c r="SXH1195" s="7"/>
      <c r="SXI1195" s="7"/>
      <c r="SXJ1195" s="7"/>
      <c r="SXK1195" s="7"/>
      <c r="SXL1195" s="7"/>
      <c r="SXM1195" s="7"/>
      <c r="SXN1195" s="7"/>
      <c r="SXO1195" s="7"/>
      <c r="SXP1195" s="7"/>
      <c r="SXQ1195" s="7"/>
      <c r="SXR1195" s="7"/>
      <c r="SXS1195" s="7"/>
      <c r="SXT1195" s="7"/>
      <c r="SXU1195" s="7"/>
      <c r="SXV1195" s="7"/>
      <c r="SXW1195" s="7"/>
      <c r="SXX1195" s="7"/>
      <c r="SXY1195" s="7"/>
      <c r="SXZ1195" s="7"/>
      <c r="SYA1195" s="7"/>
      <c r="SYB1195" s="7"/>
      <c r="SYC1195" s="7"/>
      <c r="SYD1195" s="7"/>
      <c r="SYE1195" s="7"/>
      <c r="SYF1195" s="7"/>
      <c r="SYG1195" s="7"/>
      <c r="SYH1195" s="7"/>
      <c r="SYI1195" s="7"/>
      <c r="SYJ1195" s="7"/>
      <c r="SYK1195" s="7"/>
      <c r="SYL1195" s="7"/>
      <c r="SYM1195" s="7"/>
      <c r="SYN1195" s="7"/>
      <c r="SYO1195" s="7"/>
      <c r="SYP1195" s="7"/>
      <c r="SYQ1195" s="7"/>
      <c r="SYR1195" s="7"/>
      <c r="SYS1195" s="7"/>
      <c r="SYT1195" s="7"/>
      <c r="SYU1195" s="7"/>
      <c r="SYV1195" s="7"/>
      <c r="SYW1195" s="7"/>
      <c r="SYX1195" s="7"/>
      <c r="SYY1195" s="7"/>
      <c r="SYZ1195" s="7"/>
      <c r="SZA1195" s="7"/>
      <c r="SZB1195" s="7"/>
      <c r="SZC1195" s="7"/>
      <c r="SZD1195" s="7"/>
      <c r="SZE1195" s="7"/>
      <c r="SZF1195" s="7"/>
      <c r="SZG1195" s="7"/>
      <c r="SZH1195" s="7"/>
      <c r="SZI1195" s="7"/>
      <c r="SZJ1195" s="7"/>
      <c r="SZK1195" s="7"/>
      <c r="SZL1195" s="7"/>
      <c r="SZM1195" s="7"/>
      <c r="SZN1195" s="7"/>
      <c r="SZO1195" s="7"/>
      <c r="SZP1195" s="7"/>
      <c r="SZQ1195" s="7"/>
      <c r="SZR1195" s="7"/>
      <c r="SZS1195" s="7"/>
      <c r="SZT1195" s="7"/>
      <c r="SZU1195" s="7"/>
      <c r="SZV1195" s="7"/>
      <c r="SZW1195" s="7"/>
      <c r="SZX1195" s="7"/>
      <c r="SZY1195" s="7"/>
      <c r="SZZ1195" s="7"/>
      <c r="TAA1195" s="7"/>
      <c r="TAB1195" s="7"/>
      <c r="TAC1195" s="7"/>
      <c r="TAD1195" s="7"/>
      <c r="TAE1195" s="7"/>
      <c r="TAF1195" s="7"/>
      <c r="TAG1195" s="7"/>
      <c r="TAH1195" s="7"/>
      <c r="TAI1195" s="7"/>
      <c r="TAJ1195" s="7"/>
      <c r="TAK1195" s="7"/>
      <c r="TAL1195" s="7"/>
      <c r="TAM1195" s="7"/>
      <c r="TAN1195" s="7"/>
      <c r="TAO1195" s="7"/>
      <c r="TAP1195" s="7"/>
      <c r="TAQ1195" s="7"/>
      <c r="TAR1195" s="7"/>
      <c r="TAS1195" s="7"/>
      <c r="TAT1195" s="7"/>
      <c r="TAU1195" s="7"/>
      <c r="TAV1195" s="7"/>
      <c r="TAW1195" s="7"/>
      <c r="TAX1195" s="7"/>
      <c r="TAY1195" s="7"/>
      <c r="TAZ1195" s="7"/>
      <c r="TBA1195" s="7"/>
      <c r="TBB1195" s="7"/>
      <c r="TBC1195" s="7"/>
      <c r="TBD1195" s="7"/>
      <c r="TBE1195" s="7"/>
      <c r="TBF1195" s="7"/>
      <c r="TBG1195" s="7"/>
      <c r="TBH1195" s="7"/>
      <c r="TBI1195" s="7"/>
      <c r="TBJ1195" s="7"/>
      <c r="TBK1195" s="7"/>
      <c r="TBL1195" s="7"/>
      <c r="TBM1195" s="7"/>
      <c r="TBN1195" s="7"/>
      <c r="TBO1195" s="7"/>
      <c r="TBP1195" s="7"/>
      <c r="TBQ1195" s="7"/>
      <c r="TBR1195" s="7"/>
      <c r="TBS1195" s="7"/>
      <c r="TBT1195" s="7"/>
      <c r="TBU1195" s="7"/>
      <c r="TBV1195" s="7"/>
      <c r="TBW1195" s="7"/>
      <c r="TBX1195" s="7"/>
      <c r="TBY1195" s="7"/>
      <c r="TBZ1195" s="7"/>
      <c r="TCA1195" s="7"/>
      <c r="TCB1195" s="7"/>
      <c r="TCC1195" s="7"/>
      <c r="TCD1195" s="7"/>
      <c r="TCE1195" s="7"/>
      <c r="TCF1195" s="7"/>
      <c r="TCG1195" s="7"/>
      <c r="TCH1195" s="7"/>
      <c r="TCI1195" s="7"/>
      <c r="TCJ1195" s="7"/>
      <c r="TCK1195" s="7"/>
      <c r="TCL1195" s="7"/>
      <c r="TCM1195" s="7"/>
      <c r="TCN1195" s="7"/>
      <c r="TCO1195" s="7"/>
      <c r="TCP1195" s="7"/>
      <c r="TCQ1195" s="7"/>
      <c r="TCR1195" s="7"/>
      <c r="TCS1195" s="7"/>
      <c r="TCT1195" s="7"/>
      <c r="TCU1195" s="7"/>
      <c r="TCV1195" s="7"/>
      <c r="TCW1195" s="7"/>
      <c r="TCX1195" s="7"/>
      <c r="TCY1195" s="7"/>
      <c r="TCZ1195" s="7"/>
      <c r="TDA1195" s="7"/>
      <c r="TDB1195" s="7"/>
      <c r="TDC1195" s="7"/>
      <c r="TDD1195" s="7"/>
      <c r="TDE1195" s="7"/>
      <c r="TDF1195" s="7"/>
      <c r="TDG1195" s="7"/>
      <c r="TDH1195" s="7"/>
      <c r="TDI1195" s="7"/>
      <c r="TDJ1195" s="7"/>
      <c r="TDK1195" s="7"/>
      <c r="TDL1195" s="7"/>
      <c r="TDM1195" s="7"/>
      <c r="TDN1195" s="7"/>
      <c r="TDO1195" s="7"/>
      <c r="TDP1195" s="7"/>
      <c r="TDQ1195" s="7"/>
      <c r="TDR1195" s="7"/>
      <c r="TDS1195" s="7"/>
      <c r="TDT1195" s="7"/>
      <c r="TDU1195" s="7"/>
      <c r="TDV1195" s="7"/>
      <c r="TDW1195" s="7"/>
      <c r="TDX1195" s="7"/>
      <c r="TDY1195" s="7"/>
      <c r="TDZ1195" s="7"/>
      <c r="TEA1195" s="7"/>
      <c r="TEB1195" s="7"/>
      <c r="TEC1195" s="7"/>
      <c r="TED1195" s="7"/>
      <c r="TEE1195" s="7"/>
      <c r="TEF1195" s="7"/>
      <c r="TEG1195" s="7"/>
      <c r="TEH1195" s="7"/>
      <c r="TEI1195" s="7"/>
      <c r="TEJ1195" s="7"/>
      <c r="TEK1195" s="7"/>
      <c r="TEL1195" s="7"/>
      <c r="TEM1195" s="7"/>
      <c r="TEN1195" s="7"/>
      <c r="TEO1195" s="7"/>
      <c r="TEP1195" s="7"/>
      <c r="TEQ1195" s="7"/>
      <c r="TER1195" s="7"/>
      <c r="TES1195" s="7"/>
      <c r="TET1195" s="7"/>
      <c r="TEU1195" s="7"/>
      <c r="TEV1195" s="7"/>
      <c r="TEW1195" s="7"/>
      <c r="TEX1195" s="7"/>
      <c r="TEY1195" s="7"/>
      <c r="TEZ1195" s="7"/>
      <c r="TFA1195" s="7"/>
      <c r="TFB1195" s="7"/>
      <c r="TFC1195" s="7"/>
      <c r="TFD1195" s="7"/>
      <c r="TFE1195" s="7"/>
      <c r="TFF1195" s="7"/>
      <c r="TFG1195" s="7"/>
      <c r="TFH1195" s="7"/>
      <c r="TFI1195" s="7"/>
      <c r="TFJ1195" s="7"/>
      <c r="TFK1195" s="7"/>
      <c r="TFL1195" s="7"/>
      <c r="TFM1195" s="7"/>
      <c r="TFN1195" s="7"/>
      <c r="TFO1195" s="7"/>
      <c r="TFP1195" s="7"/>
      <c r="TFQ1195" s="7"/>
      <c r="TFR1195" s="7"/>
      <c r="TFS1195" s="7"/>
      <c r="TFT1195" s="7"/>
      <c r="TFU1195" s="7"/>
      <c r="TFV1195" s="7"/>
      <c r="TFW1195" s="7"/>
      <c r="TFX1195" s="7"/>
      <c r="TFY1195" s="7"/>
      <c r="TFZ1195" s="7"/>
      <c r="TGA1195" s="7"/>
      <c r="TGB1195" s="7"/>
      <c r="TGC1195" s="7"/>
      <c r="TGD1195" s="7"/>
      <c r="TGE1195" s="7"/>
      <c r="TGF1195" s="7"/>
      <c r="TGG1195" s="7"/>
      <c r="TGH1195" s="7"/>
      <c r="TGI1195" s="7"/>
      <c r="TGJ1195" s="7"/>
      <c r="TGK1195" s="7"/>
      <c r="TGL1195" s="7"/>
      <c r="TGM1195" s="7"/>
      <c r="TGN1195" s="7"/>
      <c r="TGO1195" s="7"/>
      <c r="TGP1195" s="7"/>
      <c r="TGQ1195" s="7"/>
      <c r="TGR1195" s="7"/>
      <c r="TGS1195" s="7"/>
      <c r="TGT1195" s="7"/>
      <c r="TGU1195" s="7"/>
      <c r="TGV1195" s="7"/>
      <c r="TGW1195" s="7"/>
      <c r="TGX1195" s="7"/>
      <c r="TGY1195" s="7"/>
      <c r="TGZ1195" s="7"/>
      <c r="THA1195" s="7"/>
      <c r="THB1195" s="7"/>
      <c r="THC1195" s="7"/>
      <c r="THD1195" s="7"/>
      <c r="THE1195" s="7"/>
      <c r="THF1195" s="7"/>
      <c r="THG1195" s="7"/>
      <c r="THH1195" s="7"/>
      <c r="THI1195" s="7"/>
      <c r="THJ1195" s="7"/>
      <c r="THK1195" s="7"/>
      <c r="THL1195" s="7"/>
      <c r="THM1195" s="7"/>
      <c r="THN1195" s="7"/>
      <c r="THO1195" s="7"/>
      <c r="THP1195" s="7"/>
      <c r="THQ1195" s="7"/>
      <c r="THR1195" s="7"/>
      <c r="THS1195" s="7"/>
      <c r="THT1195" s="7"/>
      <c r="THU1195" s="7"/>
      <c r="THV1195" s="7"/>
      <c r="THW1195" s="7"/>
      <c r="THX1195" s="7"/>
      <c r="THY1195" s="7"/>
      <c r="THZ1195" s="7"/>
      <c r="TIA1195" s="7"/>
      <c r="TIB1195" s="7"/>
      <c r="TIC1195" s="7"/>
      <c r="TID1195" s="7"/>
      <c r="TIE1195" s="7"/>
      <c r="TIF1195" s="7"/>
      <c r="TIG1195" s="7"/>
      <c r="TIH1195" s="7"/>
      <c r="TII1195" s="7"/>
      <c r="TIJ1195" s="7"/>
      <c r="TIK1195" s="7"/>
      <c r="TIL1195" s="7"/>
      <c r="TIM1195" s="7"/>
      <c r="TIN1195" s="7"/>
      <c r="TIO1195" s="7"/>
      <c r="TIP1195" s="7"/>
      <c r="TIQ1195" s="7"/>
      <c r="TIR1195" s="7"/>
      <c r="TIS1195" s="7"/>
      <c r="TIT1195" s="7"/>
      <c r="TIU1195" s="7"/>
      <c r="TIV1195" s="7"/>
      <c r="TIW1195" s="7"/>
      <c r="TIX1195" s="7"/>
      <c r="TIY1195" s="7"/>
      <c r="TIZ1195" s="7"/>
      <c r="TJA1195" s="7"/>
      <c r="TJB1195" s="7"/>
      <c r="TJC1195" s="7"/>
      <c r="TJD1195" s="7"/>
      <c r="TJE1195" s="7"/>
      <c r="TJF1195" s="7"/>
      <c r="TJG1195" s="7"/>
      <c r="TJH1195" s="7"/>
      <c r="TJI1195" s="7"/>
      <c r="TJJ1195" s="7"/>
      <c r="TJK1195" s="7"/>
      <c r="TJL1195" s="7"/>
      <c r="TJM1195" s="7"/>
      <c r="TJN1195" s="7"/>
      <c r="TJO1195" s="7"/>
      <c r="TJP1195" s="7"/>
      <c r="TJQ1195" s="7"/>
      <c r="TJR1195" s="7"/>
      <c r="TJS1195" s="7"/>
      <c r="TJT1195" s="7"/>
      <c r="TJU1195" s="7"/>
      <c r="TJV1195" s="7"/>
      <c r="TJW1195" s="7"/>
      <c r="TJX1195" s="7"/>
      <c r="TJY1195" s="7"/>
      <c r="TJZ1195" s="7"/>
      <c r="TKA1195" s="7"/>
      <c r="TKB1195" s="7"/>
      <c r="TKC1195" s="7"/>
      <c r="TKD1195" s="7"/>
      <c r="TKE1195" s="7"/>
      <c r="TKF1195" s="7"/>
      <c r="TKG1195" s="7"/>
      <c r="TKH1195" s="7"/>
      <c r="TKI1195" s="7"/>
      <c r="TKJ1195" s="7"/>
      <c r="TKK1195" s="7"/>
      <c r="TKL1195" s="7"/>
      <c r="TKM1195" s="7"/>
      <c r="TKN1195" s="7"/>
      <c r="TKO1195" s="7"/>
      <c r="TKP1195" s="7"/>
      <c r="TKQ1195" s="7"/>
      <c r="TKR1195" s="7"/>
      <c r="TKS1195" s="7"/>
      <c r="TKT1195" s="7"/>
      <c r="TKU1195" s="7"/>
      <c r="TKV1195" s="7"/>
      <c r="TKW1195" s="7"/>
      <c r="TKX1195" s="7"/>
      <c r="TKY1195" s="7"/>
      <c r="TKZ1195" s="7"/>
      <c r="TLA1195" s="7"/>
      <c r="TLB1195" s="7"/>
      <c r="TLC1195" s="7"/>
      <c r="TLD1195" s="7"/>
      <c r="TLE1195" s="7"/>
      <c r="TLF1195" s="7"/>
      <c r="TLG1195" s="7"/>
      <c r="TLH1195" s="7"/>
      <c r="TLI1195" s="7"/>
      <c r="TLJ1195" s="7"/>
      <c r="TLK1195" s="7"/>
      <c r="TLL1195" s="7"/>
      <c r="TLM1195" s="7"/>
      <c r="TLN1195" s="7"/>
      <c r="TLO1195" s="7"/>
      <c r="TLP1195" s="7"/>
      <c r="TLQ1195" s="7"/>
      <c r="TLR1195" s="7"/>
      <c r="TLS1195" s="7"/>
      <c r="TLT1195" s="7"/>
      <c r="TLU1195" s="7"/>
      <c r="TLV1195" s="7"/>
      <c r="TLW1195" s="7"/>
      <c r="TLX1195" s="7"/>
      <c r="TLY1195" s="7"/>
      <c r="TLZ1195" s="7"/>
      <c r="TMA1195" s="7"/>
      <c r="TMB1195" s="7"/>
      <c r="TMC1195" s="7"/>
      <c r="TMD1195" s="7"/>
      <c r="TME1195" s="7"/>
      <c r="TMF1195" s="7"/>
      <c r="TMG1195" s="7"/>
      <c r="TMH1195" s="7"/>
      <c r="TMI1195" s="7"/>
      <c r="TMJ1195" s="7"/>
      <c r="TMK1195" s="7"/>
      <c r="TML1195" s="7"/>
      <c r="TMM1195" s="7"/>
      <c r="TMN1195" s="7"/>
      <c r="TMO1195" s="7"/>
      <c r="TMP1195" s="7"/>
      <c r="TMQ1195" s="7"/>
      <c r="TMR1195" s="7"/>
      <c r="TMS1195" s="7"/>
      <c r="TMT1195" s="7"/>
      <c r="TMU1195" s="7"/>
      <c r="TMV1195" s="7"/>
      <c r="TMW1195" s="7"/>
      <c r="TMX1195" s="7"/>
      <c r="TMY1195" s="7"/>
      <c r="TMZ1195" s="7"/>
      <c r="TNA1195" s="7"/>
      <c r="TNB1195" s="7"/>
      <c r="TNC1195" s="7"/>
      <c r="TND1195" s="7"/>
      <c r="TNE1195" s="7"/>
      <c r="TNF1195" s="7"/>
      <c r="TNG1195" s="7"/>
      <c r="TNH1195" s="7"/>
      <c r="TNI1195" s="7"/>
      <c r="TNJ1195" s="7"/>
      <c r="TNK1195" s="7"/>
      <c r="TNL1195" s="7"/>
      <c r="TNM1195" s="7"/>
      <c r="TNN1195" s="7"/>
      <c r="TNO1195" s="7"/>
      <c r="TNP1195" s="7"/>
      <c r="TNQ1195" s="7"/>
      <c r="TNR1195" s="7"/>
      <c r="TNS1195" s="7"/>
      <c r="TNT1195" s="7"/>
      <c r="TNU1195" s="7"/>
      <c r="TNV1195" s="7"/>
      <c r="TNW1195" s="7"/>
      <c r="TNX1195" s="7"/>
      <c r="TNY1195" s="7"/>
      <c r="TNZ1195" s="7"/>
      <c r="TOA1195" s="7"/>
      <c r="TOB1195" s="7"/>
      <c r="TOC1195" s="7"/>
      <c r="TOD1195" s="7"/>
      <c r="TOE1195" s="7"/>
      <c r="TOF1195" s="7"/>
      <c r="TOG1195" s="7"/>
      <c r="TOH1195" s="7"/>
      <c r="TOI1195" s="7"/>
      <c r="TOJ1195" s="7"/>
      <c r="TOK1195" s="7"/>
      <c r="TOL1195" s="7"/>
      <c r="TOM1195" s="7"/>
      <c r="TON1195" s="7"/>
      <c r="TOO1195" s="7"/>
      <c r="TOP1195" s="7"/>
      <c r="TOQ1195" s="7"/>
      <c r="TOR1195" s="7"/>
      <c r="TOS1195" s="7"/>
      <c r="TOT1195" s="7"/>
      <c r="TOU1195" s="7"/>
      <c r="TOV1195" s="7"/>
      <c r="TOW1195" s="7"/>
      <c r="TOX1195" s="7"/>
      <c r="TOY1195" s="7"/>
      <c r="TOZ1195" s="7"/>
      <c r="TPA1195" s="7"/>
      <c r="TPB1195" s="7"/>
      <c r="TPC1195" s="7"/>
      <c r="TPD1195" s="7"/>
      <c r="TPE1195" s="7"/>
      <c r="TPF1195" s="7"/>
      <c r="TPG1195" s="7"/>
      <c r="TPH1195" s="7"/>
      <c r="TPI1195" s="7"/>
      <c r="TPJ1195" s="7"/>
      <c r="TPK1195" s="7"/>
      <c r="TPL1195" s="7"/>
      <c r="TPM1195" s="7"/>
      <c r="TPN1195" s="7"/>
      <c r="TPO1195" s="7"/>
      <c r="TPP1195" s="7"/>
      <c r="TPQ1195" s="7"/>
      <c r="TPR1195" s="7"/>
      <c r="TPS1195" s="7"/>
      <c r="TPT1195" s="7"/>
      <c r="TPU1195" s="7"/>
      <c r="TPV1195" s="7"/>
      <c r="TPW1195" s="7"/>
      <c r="TPX1195" s="7"/>
      <c r="TPY1195" s="7"/>
      <c r="TPZ1195" s="7"/>
      <c r="TQA1195" s="7"/>
      <c r="TQB1195" s="7"/>
      <c r="TQC1195" s="7"/>
      <c r="TQD1195" s="7"/>
      <c r="TQE1195" s="7"/>
      <c r="TQF1195" s="7"/>
      <c r="TQG1195" s="7"/>
      <c r="TQH1195" s="7"/>
      <c r="TQI1195" s="7"/>
      <c r="TQJ1195" s="7"/>
      <c r="TQK1195" s="7"/>
      <c r="TQL1195" s="7"/>
      <c r="TQM1195" s="7"/>
      <c r="TQN1195" s="7"/>
      <c r="TQO1195" s="7"/>
      <c r="TQP1195" s="7"/>
      <c r="TQQ1195" s="7"/>
      <c r="TQR1195" s="7"/>
      <c r="TQS1195" s="7"/>
      <c r="TQT1195" s="7"/>
      <c r="TQU1195" s="7"/>
      <c r="TQV1195" s="7"/>
      <c r="TQW1195" s="7"/>
      <c r="TQX1195" s="7"/>
      <c r="TQY1195" s="7"/>
      <c r="TQZ1195" s="7"/>
      <c r="TRA1195" s="7"/>
      <c r="TRB1195" s="7"/>
      <c r="TRC1195" s="7"/>
      <c r="TRD1195" s="7"/>
      <c r="TRE1195" s="7"/>
      <c r="TRF1195" s="7"/>
      <c r="TRG1195" s="7"/>
      <c r="TRH1195" s="7"/>
      <c r="TRI1195" s="7"/>
      <c r="TRJ1195" s="7"/>
      <c r="TRK1195" s="7"/>
      <c r="TRL1195" s="7"/>
      <c r="TRM1195" s="7"/>
      <c r="TRN1195" s="7"/>
      <c r="TRO1195" s="7"/>
      <c r="TRP1195" s="7"/>
      <c r="TRQ1195" s="7"/>
      <c r="TRR1195" s="7"/>
      <c r="TRS1195" s="7"/>
      <c r="TRT1195" s="7"/>
      <c r="TRU1195" s="7"/>
      <c r="TRV1195" s="7"/>
      <c r="TRW1195" s="7"/>
      <c r="TRX1195" s="7"/>
      <c r="TRY1195" s="7"/>
      <c r="TRZ1195" s="7"/>
      <c r="TSA1195" s="7"/>
      <c r="TSB1195" s="7"/>
      <c r="TSC1195" s="7"/>
      <c r="TSD1195" s="7"/>
      <c r="TSE1195" s="7"/>
      <c r="TSF1195" s="7"/>
      <c r="TSG1195" s="7"/>
      <c r="TSH1195" s="7"/>
      <c r="TSI1195" s="7"/>
      <c r="TSJ1195" s="7"/>
      <c r="TSK1195" s="7"/>
      <c r="TSL1195" s="7"/>
      <c r="TSM1195" s="7"/>
      <c r="TSN1195" s="7"/>
      <c r="TSO1195" s="7"/>
      <c r="TSP1195" s="7"/>
      <c r="TSQ1195" s="7"/>
      <c r="TSR1195" s="7"/>
      <c r="TSS1195" s="7"/>
      <c r="TST1195" s="7"/>
      <c r="TSU1195" s="7"/>
      <c r="TSV1195" s="7"/>
      <c r="TSW1195" s="7"/>
      <c r="TSX1195" s="7"/>
      <c r="TSY1195" s="7"/>
      <c r="TSZ1195" s="7"/>
      <c r="TTA1195" s="7"/>
      <c r="TTB1195" s="7"/>
      <c r="TTC1195" s="7"/>
      <c r="TTD1195" s="7"/>
      <c r="TTE1195" s="7"/>
      <c r="TTF1195" s="7"/>
      <c r="TTG1195" s="7"/>
      <c r="TTH1195" s="7"/>
      <c r="TTI1195" s="7"/>
      <c r="TTJ1195" s="7"/>
      <c r="TTK1195" s="7"/>
      <c r="TTL1195" s="7"/>
      <c r="TTM1195" s="7"/>
      <c r="TTN1195" s="7"/>
      <c r="TTO1195" s="7"/>
      <c r="TTP1195" s="7"/>
      <c r="TTQ1195" s="7"/>
      <c r="TTR1195" s="7"/>
      <c r="TTS1195" s="7"/>
      <c r="TTT1195" s="7"/>
      <c r="TTU1195" s="7"/>
      <c r="TTV1195" s="7"/>
      <c r="TTW1195" s="7"/>
      <c r="TTX1195" s="7"/>
      <c r="TTY1195" s="7"/>
      <c r="TTZ1195" s="7"/>
      <c r="TUA1195" s="7"/>
      <c r="TUB1195" s="7"/>
      <c r="TUC1195" s="7"/>
      <c r="TUD1195" s="7"/>
      <c r="TUE1195" s="7"/>
      <c r="TUF1195" s="7"/>
      <c r="TUG1195" s="7"/>
      <c r="TUH1195" s="7"/>
      <c r="TUI1195" s="7"/>
      <c r="TUJ1195" s="7"/>
      <c r="TUK1195" s="7"/>
      <c r="TUL1195" s="7"/>
      <c r="TUM1195" s="7"/>
      <c r="TUN1195" s="7"/>
      <c r="TUO1195" s="7"/>
      <c r="TUP1195" s="7"/>
      <c r="TUQ1195" s="7"/>
      <c r="TUR1195" s="7"/>
      <c r="TUS1195" s="7"/>
      <c r="TUT1195" s="7"/>
      <c r="TUU1195" s="7"/>
      <c r="TUV1195" s="7"/>
      <c r="TUW1195" s="7"/>
      <c r="TUX1195" s="7"/>
      <c r="TUY1195" s="7"/>
      <c r="TUZ1195" s="7"/>
      <c r="TVA1195" s="7"/>
      <c r="TVB1195" s="7"/>
      <c r="TVC1195" s="7"/>
      <c r="TVD1195" s="7"/>
      <c r="TVE1195" s="7"/>
      <c r="TVF1195" s="7"/>
      <c r="TVG1195" s="7"/>
      <c r="TVH1195" s="7"/>
      <c r="TVI1195" s="7"/>
      <c r="TVJ1195" s="7"/>
      <c r="TVK1195" s="7"/>
      <c r="TVL1195" s="7"/>
      <c r="TVM1195" s="7"/>
      <c r="TVN1195" s="7"/>
      <c r="TVO1195" s="7"/>
      <c r="TVP1195" s="7"/>
      <c r="TVQ1195" s="7"/>
      <c r="TVR1195" s="7"/>
      <c r="TVS1195" s="7"/>
      <c r="TVT1195" s="7"/>
      <c r="TVU1195" s="7"/>
      <c r="TVV1195" s="7"/>
      <c r="TVW1195" s="7"/>
      <c r="TVX1195" s="7"/>
      <c r="TVY1195" s="7"/>
      <c r="TVZ1195" s="7"/>
      <c r="TWA1195" s="7"/>
      <c r="TWB1195" s="7"/>
      <c r="TWC1195" s="7"/>
      <c r="TWD1195" s="7"/>
      <c r="TWE1195" s="7"/>
      <c r="TWF1195" s="7"/>
      <c r="TWG1195" s="7"/>
      <c r="TWH1195" s="7"/>
      <c r="TWI1195" s="7"/>
      <c r="TWJ1195" s="7"/>
      <c r="TWK1195" s="7"/>
      <c r="TWL1195" s="7"/>
      <c r="TWM1195" s="7"/>
      <c r="TWN1195" s="7"/>
      <c r="TWO1195" s="7"/>
      <c r="TWP1195" s="7"/>
      <c r="TWQ1195" s="7"/>
      <c r="TWR1195" s="7"/>
      <c r="TWS1195" s="7"/>
      <c r="TWT1195" s="7"/>
      <c r="TWU1195" s="7"/>
      <c r="TWV1195" s="7"/>
      <c r="TWW1195" s="7"/>
      <c r="TWX1195" s="7"/>
      <c r="TWY1195" s="7"/>
      <c r="TWZ1195" s="7"/>
      <c r="TXA1195" s="7"/>
      <c r="TXB1195" s="7"/>
      <c r="TXC1195" s="7"/>
      <c r="TXD1195" s="7"/>
      <c r="TXE1195" s="7"/>
      <c r="TXF1195" s="7"/>
      <c r="TXG1195" s="7"/>
      <c r="TXH1195" s="7"/>
      <c r="TXI1195" s="7"/>
      <c r="TXJ1195" s="7"/>
      <c r="TXK1195" s="7"/>
      <c r="TXL1195" s="7"/>
      <c r="TXM1195" s="7"/>
      <c r="TXN1195" s="7"/>
      <c r="TXO1195" s="7"/>
      <c r="TXP1195" s="7"/>
      <c r="TXQ1195" s="7"/>
      <c r="TXR1195" s="7"/>
      <c r="TXS1195" s="7"/>
      <c r="TXT1195" s="7"/>
      <c r="TXU1195" s="7"/>
      <c r="TXV1195" s="7"/>
      <c r="TXW1195" s="7"/>
      <c r="TXX1195" s="7"/>
      <c r="TXY1195" s="7"/>
      <c r="TXZ1195" s="7"/>
      <c r="TYA1195" s="7"/>
      <c r="TYB1195" s="7"/>
      <c r="TYC1195" s="7"/>
      <c r="TYD1195" s="7"/>
      <c r="TYE1195" s="7"/>
      <c r="TYF1195" s="7"/>
      <c r="TYG1195" s="7"/>
      <c r="TYH1195" s="7"/>
      <c r="TYI1195" s="7"/>
      <c r="TYJ1195" s="7"/>
      <c r="TYK1195" s="7"/>
      <c r="TYL1195" s="7"/>
      <c r="TYM1195" s="7"/>
      <c r="TYN1195" s="7"/>
      <c r="TYO1195" s="7"/>
      <c r="TYP1195" s="7"/>
      <c r="TYQ1195" s="7"/>
      <c r="TYR1195" s="7"/>
      <c r="TYS1195" s="7"/>
      <c r="TYT1195" s="7"/>
      <c r="TYU1195" s="7"/>
      <c r="TYV1195" s="7"/>
      <c r="TYW1195" s="7"/>
      <c r="TYX1195" s="7"/>
      <c r="TYY1195" s="7"/>
      <c r="TYZ1195" s="7"/>
      <c r="TZA1195" s="7"/>
      <c r="TZB1195" s="7"/>
      <c r="TZC1195" s="7"/>
      <c r="TZD1195" s="7"/>
      <c r="TZE1195" s="7"/>
      <c r="TZF1195" s="7"/>
      <c r="TZG1195" s="7"/>
      <c r="TZH1195" s="7"/>
      <c r="TZI1195" s="7"/>
      <c r="TZJ1195" s="7"/>
      <c r="TZK1195" s="7"/>
      <c r="TZL1195" s="7"/>
      <c r="TZM1195" s="7"/>
      <c r="TZN1195" s="7"/>
      <c r="TZO1195" s="7"/>
      <c r="TZP1195" s="7"/>
      <c r="TZQ1195" s="7"/>
      <c r="TZR1195" s="7"/>
      <c r="TZS1195" s="7"/>
      <c r="TZT1195" s="7"/>
      <c r="TZU1195" s="7"/>
      <c r="TZV1195" s="7"/>
      <c r="TZW1195" s="7"/>
      <c r="TZX1195" s="7"/>
      <c r="TZY1195" s="7"/>
      <c r="TZZ1195" s="7"/>
      <c r="UAA1195" s="7"/>
      <c r="UAB1195" s="7"/>
      <c r="UAC1195" s="7"/>
      <c r="UAD1195" s="7"/>
      <c r="UAE1195" s="7"/>
      <c r="UAF1195" s="7"/>
      <c r="UAG1195" s="7"/>
      <c r="UAH1195" s="7"/>
      <c r="UAI1195" s="7"/>
      <c r="UAJ1195" s="7"/>
      <c r="UAK1195" s="7"/>
      <c r="UAL1195" s="7"/>
      <c r="UAM1195" s="7"/>
      <c r="UAN1195" s="7"/>
      <c r="UAO1195" s="7"/>
      <c r="UAP1195" s="7"/>
      <c r="UAQ1195" s="7"/>
      <c r="UAR1195" s="7"/>
      <c r="UAS1195" s="7"/>
      <c r="UAT1195" s="7"/>
      <c r="UAU1195" s="7"/>
      <c r="UAV1195" s="7"/>
      <c r="UAW1195" s="7"/>
      <c r="UAX1195" s="7"/>
      <c r="UAY1195" s="7"/>
      <c r="UAZ1195" s="7"/>
      <c r="UBA1195" s="7"/>
      <c r="UBB1195" s="7"/>
      <c r="UBC1195" s="7"/>
      <c r="UBD1195" s="7"/>
      <c r="UBE1195" s="7"/>
      <c r="UBF1195" s="7"/>
      <c r="UBG1195" s="7"/>
      <c r="UBH1195" s="7"/>
      <c r="UBI1195" s="7"/>
      <c r="UBJ1195" s="7"/>
      <c r="UBK1195" s="7"/>
      <c r="UBL1195" s="7"/>
      <c r="UBM1195" s="7"/>
      <c r="UBN1195" s="7"/>
      <c r="UBO1195" s="7"/>
      <c r="UBP1195" s="7"/>
      <c r="UBQ1195" s="7"/>
      <c r="UBR1195" s="7"/>
      <c r="UBS1195" s="7"/>
      <c r="UBT1195" s="7"/>
      <c r="UBU1195" s="7"/>
      <c r="UBV1195" s="7"/>
      <c r="UBW1195" s="7"/>
      <c r="UBX1195" s="7"/>
      <c r="UBY1195" s="7"/>
      <c r="UBZ1195" s="7"/>
      <c r="UCA1195" s="7"/>
      <c r="UCB1195" s="7"/>
      <c r="UCC1195" s="7"/>
      <c r="UCD1195" s="7"/>
      <c r="UCE1195" s="7"/>
      <c r="UCF1195" s="7"/>
      <c r="UCG1195" s="7"/>
      <c r="UCH1195" s="7"/>
      <c r="UCI1195" s="7"/>
      <c r="UCJ1195" s="7"/>
      <c r="UCK1195" s="7"/>
      <c r="UCL1195" s="7"/>
      <c r="UCM1195" s="7"/>
      <c r="UCN1195" s="7"/>
      <c r="UCO1195" s="7"/>
      <c r="UCP1195" s="7"/>
      <c r="UCQ1195" s="7"/>
      <c r="UCR1195" s="7"/>
      <c r="UCS1195" s="7"/>
      <c r="UCT1195" s="7"/>
      <c r="UCU1195" s="7"/>
      <c r="UCV1195" s="7"/>
      <c r="UCW1195" s="7"/>
      <c r="UCX1195" s="7"/>
      <c r="UCY1195" s="7"/>
      <c r="UCZ1195" s="7"/>
      <c r="UDA1195" s="7"/>
      <c r="UDB1195" s="7"/>
      <c r="UDC1195" s="7"/>
      <c r="UDD1195" s="7"/>
      <c r="UDE1195" s="7"/>
      <c r="UDF1195" s="7"/>
      <c r="UDG1195" s="7"/>
      <c r="UDH1195" s="7"/>
      <c r="UDI1195" s="7"/>
      <c r="UDJ1195" s="7"/>
      <c r="UDK1195" s="7"/>
      <c r="UDL1195" s="7"/>
      <c r="UDM1195" s="7"/>
      <c r="UDN1195" s="7"/>
      <c r="UDO1195" s="7"/>
      <c r="UDP1195" s="7"/>
      <c r="UDQ1195" s="7"/>
      <c r="UDR1195" s="7"/>
      <c r="UDS1195" s="7"/>
      <c r="UDT1195" s="7"/>
      <c r="UDU1195" s="7"/>
      <c r="UDV1195" s="7"/>
      <c r="UDW1195" s="7"/>
      <c r="UDX1195" s="7"/>
      <c r="UDY1195" s="7"/>
      <c r="UDZ1195" s="7"/>
      <c r="UEA1195" s="7"/>
      <c r="UEB1195" s="7"/>
      <c r="UEC1195" s="7"/>
      <c r="UED1195" s="7"/>
      <c r="UEE1195" s="7"/>
      <c r="UEF1195" s="7"/>
      <c r="UEG1195" s="7"/>
      <c r="UEH1195" s="7"/>
      <c r="UEI1195" s="7"/>
      <c r="UEJ1195" s="7"/>
      <c r="UEK1195" s="7"/>
      <c r="UEL1195" s="7"/>
      <c r="UEM1195" s="7"/>
      <c r="UEN1195" s="7"/>
      <c r="UEO1195" s="7"/>
      <c r="UEP1195" s="7"/>
      <c r="UEQ1195" s="7"/>
      <c r="UER1195" s="7"/>
      <c r="UES1195" s="7"/>
      <c r="UET1195" s="7"/>
      <c r="UEU1195" s="7"/>
      <c r="UEV1195" s="7"/>
      <c r="UEW1195" s="7"/>
      <c r="UEX1195" s="7"/>
      <c r="UEY1195" s="7"/>
      <c r="UEZ1195" s="7"/>
      <c r="UFA1195" s="7"/>
      <c r="UFB1195" s="7"/>
      <c r="UFC1195" s="7"/>
      <c r="UFD1195" s="7"/>
      <c r="UFE1195" s="7"/>
      <c r="UFF1195" s="7"/>
      <c r="UFG1195" s="7"/>
      <c r="UFH1195" s="7"/>
      <c r="UFI1195" s="7"/>
      <c r="UFJ1195" s="7"/>
      <c r="UFK1195" s="7"/>
      <c r="UFL1195" s="7"/>
      <c r="UFM1195" s="7"/>
      <c r="UFN1195" s="7"/>
      <c r="UFO1195" s="7"/>
      <c r="UFP1195" s="7"/>
      <c r="UFQ1195" s="7"/>
      <c r="UFR1195" s="7"/>
      <c r="UFS1195" s="7"/>
      <c r="UFT1195" s="7"/>
      <c r="UFU1195" s="7"/>
      <c r="UFV1195" s="7"/>
      <c r="UFW1195" s="7"/>
      <c r="UFX1195" s="7"/>
      <c r="UFY1195" s="7"/>
      <c r="UFZ1195" s="7"/>
      <c r="UGA1195" s="7"/>
      <c r="UGB1195" s="7"/>
      <c r="UGC1195" s="7"/>
      <c r="UGD1195" s="7"/>
      <c r="UGE1195" s="7"/>
      <c r="UGF1195" s="7"/>
      <c r="UGG1195" s="7"/>
      <c r="UGH1195" s="7"/>
      <c r="UGI1195" s="7"/>
      <c r="UGJ1195" s="7"/>
      <c r="UGK1195" s="7"/>
      <c r="UGL1195" s="7"/>
      <c r="UGM1195" s="7"/>
      <c r="UGN1195" s="7"/>
      <c r="UGO1195" s="7"/>
      <c r="UGP1195" s="7"/>
      <c r="UGQ1195" s="7"/>
      <c r="UGR1195" s="7"/>
      <c r="UGS1195" s="7"/>
      <c r="UGT1195" s="7"/>
      <c r="UGU1195" s="7"/>
      <c r="UGV1195" s="7"/>
      <c r="UGW1195" s="7"/>
      <c r="UGX1195" s="7"/>
      <c r="UGY1195" s="7"/>
      <c r="UGZ1195" s="7"/>
      <c r="UHA1195" s="7"/>
      <c r="UHB1195" s="7"/>
      <c r="UHC1195" s="7"/>
      <c r="UHD1195" s="7"/>
      <c r="UHE1195" s="7"/>
      <c r="UHF1195" s="7"/>
      <c r="UHG1195" s="7"/>
      <c r="UHH1195" s="7"/>
      <c r="UHI1195" s="7"/>
      <c r="UHJ1195" s="7"/>
      <c r="UHK1195" s="7"/>
      <c r="UHL1195" s="7"/>
      <c r="UHM1195" s="7"/>
      <c r="UHN1195" s="7"/>
      <c r="UHO1195" s="7"/>
      <c r="UHP1195" s="7"/>
      <c r="UHQ1195" s="7"/>
      <c r="UHR1195" s="7"/>
      <c r="UHS1195" s="7"/>
      <c r="UHT1195" s="7"/>
      <c r="UHU1195" s="7"/>
      <c r="UHV1195" s="7"/>
      <c r="UHW1195" s="7"/>
      <c r="UHX1195" s="7"/>
      <c r="UHY1195" s="7"/>
      <c r="UHZ1195" s="7"/>
      <c r="UIA1195" s="7"/>
      <c r="UIB1195" s="7"/>
      <c r="UIC1195" s="7"/>
      <c r="UID1195" s="7"/>
      <c r="UIE1195" s="7"/>
      <c r="UIF1195" s="7"/>
      <c r="UIG1195" s="7"/>
      <c r="UIH1195" s="7"/>
      <c r="UII1195" s="7"/>
      <c r="UIJ1195" s="7"/>
      <c r="UIK1195" s="7"/>
      <c r="UIL1195" s="7"/>
      <c r="UIM1195" s="7"/>
      <c r="UIN1195" s="7"/>
      <c r="UIO1195" s="7"/>
      <c r="UIP1195" s="7"/>
      <c r="UIQ1195" s="7"/>
      <c r="UIR1195" s="7"/>
      <c r="UIS1195" s="7"/>
      <c r="UIT1195" s="7"/>
      <c r="UIU1195" s="7"/>
      <c r="UIV1195" s="7"/>
      <c r="UIW1195" s="7"/>
      <c r="UIX1195" s="7"/>
      <c r="UIY1195" s="7"/>
      <c r="UIZ1195" s="7"/>
      <c r="UJA1195" s="7"/>
      <c r="UJB1195" s="7"/>
      <c r="UJC1195" s="7"/>
      <c r="UJD1195" s="7"/>
      <c r="UJE1195" s="7"/>
      <c r="UJF1195" s="7"/>
      <c r="UJG1195" s="7"/>
      <c r="UJH1195" s="7"/>
      <c r="UJI1195" s="7"/>
      <c r="UJJ1195" s="7"/>
      <c r="UJK1195" s="7"/>
      <c r="UJL1195" s="7"/>
      <c r="UJM1195" s="7"/>
      <c r="UJN1195" s="7"/>
      <c r="UJO1195" s="7"/>
      <c r="UJP1195" s="7"/>
      <c r="UJQ1195" s="7"/>
      <c r="UJR1195" s="7"/>
      <c r="UJS1195" s="7"/>
      <c r="UJT1195" s="7"/>
      <c r="UJU1195" s="7"/>
      <c r="UJV1195" s="7"/>
      <c r="UJW1195" s="7"/>
      <c r="UJX1195" s="7"/>
      <c r="UJY1195" s="7"/>
      <c r="UJZ1195" s="7"/>
      <c r="UKA1195" s="7"/>
      <c r="UKB1195" s="7"/>
      <c r="UKC1195" s="7"/>
      <c r="UKD1195" s="7"/>
      <c r="UKE1195" s="7"/>
      <c r="UKF1195" s="7"/>
      <c r="UKG1195" s="7"/>
      <c r="UKH1195" s="7"/>
      <c r="UKI1195" s="7"/>
      <c r="UKJ1195" s="7"/>
      <c r="UKK1195" s="7"/>
      <c r="UKL1195" s="7"/>
      <c r="UKM1195" s="7"/>
      <c r="UKN1195" s="7"/>
      <c r="UKO1195" s="7"/>
      <c r="UKP1195" s="7"/>
      <c r="UKQ1195" s="7"/>
      <c r="UKR1195" s="7"/>
      <c r="UKS1195" s="7"/>
      <c r="UKT1195" s="7"/>
      <c r="UKU1195" s="7"/>
      <c r="UKV1195" s="7"/>
      <c r="UKW1195" s="7"/>
      <c r="UKX1195" s="7"/>
      <c r="UKY1195" s="7"/>
      <c r="UKZ1195" s="7"/>
      <c r="ULA1195" s="7"/>
      <c r="ULB1195" s="7"/>
      <c r="ULC1195" s="7"/>
      <c r="ULD1195" s="7"/>
      <c r="ULE1195" s="7"/>
      <c r="ULF1195" s="7"/>
      <c r="ULG1195" s="7"/>
      <c r="ULH1195" s="7"/>
      <c r="ULI1195" s="7"/>
      <c r="ULJ1195" s="7"/>
      <c r="ULK1195" s="7"/>
      <c r="ULL1195" s="7"/>
      <c r="ULM1195" s="7"/>
      <c r="ULN1195" s="7"/>
      <c r="ULO1195" s="7"/>
      <c r="ULP1195" s="7"/>
      <c r="ULQ1195" s="7"/>
      <c r="ULR1195" s="7"/>
      <c r="ULS1195" s="7"/>
      <c r="ULT1195" s="7"/>
      <c r="ULU1195" s="7"/>
      <c r="ULV1195" s="7"/>
      <c r="ULW1195" s="7"/>
      <c r="ULX1195" s="7"/>
      <c r="ULY1195" s="7"/>
      <c r="ULZ1195" s="7"/>
      <c r="UMA1195" s="7"/>
      <c r="UMB1195" s="7"/>
      <c r="UMC1195" s="7"/>
      <c r="UMD1195" s="7"/>
      <c r="UME1195" s="7"/>
      <c r="UMF1195" s="7"/>
      <c r="UMG1195" s="7"/>
      <c r="UMH1195" s="7"/>
      <c r="UMI1195" s="7"/>
      <c r="UMJ1195" s="7"/>
      <c r="UMK1195" s="7"/>
      <c r="UML1195" s="7"/>
      <c r="UMM1195" s="7"/>
      <c r="UMN1195" s="7"/>
      <c r="UMO1195" s="7"/>
      <c r="UMP1195" s="7"/>
      <c r="UMQ1195" s="7"/>
      <c r="UMR1195" s="7"/>
      <c r="UMS1195" s="7"/>
      <c r="UMT1195" s="7"/>
      <c r="UMU1195" s="7"/>
      <c r="UMV1195" s="7"/>
      <c r="UMW1195" s="7"/>
      <c r="UMX1195" s="7"/>
      <c r="UMY1195" s="7"/>
      <c r="UMZ1195" s="7"/>
      <c r="UNA1195" s="7"/>
      <c r="UNB1195" s="7"/>
      <c r="UNC1195" s="7"/>
      <c r="UND1195" s="7"/>
      <c r="UNE1195" s="7"/>
      <c r="UNF1195" s="7"/>
      <c r="UNG1195" s="7"/>
      <c r="UNH1195" s="7"/>
      <c r="UNI1195" s="7"/>
      <c r="UNJ1195" s="7"/>
      <c r="UNK1195" s="7"/>
      <c r="UNL1195" s="7"/>
      <c r="UNM1195" s="7"/>
      <c r="UNN1195" s="7"/>
      <c r="UNO1195" s="7"/>
      <c r="UNP1195" s="7"/>
      <c r="UNQ1195" s="7"/>
      <c r="UNR1195" s="7"/>
      <c r="UNS1195" s="7"/>
      <c r="UNT1195" s="7"/>
      <c r="UNU1195" s="7"/>
      <c r="UNV1195" s="7"/>
      <c r="UNW1195" s="7"/>
      <c r="UNX1195" s="7"/>
      <c r="UNY1195" s="7"/>
      <c r="UNZ1195" s="7"/>
      <c r="UOA1195" s="7"/>
      <c r="UOB1195" s="7"/>
      <c r="UOC1195" s="7"/>
      <c r="UOD1195" s="7"/>
      <c r="UOE1195" s="7"/>
      <c r="UOF1195" s="7"/>
      <c r="UOG1195" s="7"/>
      <c r="UOH1195" s="7"/>
      <c r="UOI1195" s="7"/>
      <c r="UOJ1195" s="7"/>
      <c r="UOK1195" s="7"/>
      <c r="UOL1195" s="7"/>
      <c r="UOM1195" s="7"/>
      <c r="UON1195" s="7"/>
      <c r="UOO1195" s="7"/>
      <c r="UOP1195" s="7"/>
      <c r="UOQ1195" s="7"/>
      <c r="UOR1195" s="7"/>
      <c r="UOS1195" s="7"/>
      <c r="UOT1195" s="7"/>
      <c r="UOU1195" s="7"/>
      <c r="UOV1195" s="7"/>
      <c r="UOW1195" s="7"/>
      <c r="UOX1195" s="7"/>
      <c r="UOY1195" s="7"/>
      <c r="UOZ1195" s="7"/>
      <c r="UPA1195" s="7"/>
      <c r="UPB1195" s="7"/>
      <c r="UPC1195" s="7"/>
      <c r="UPD1195" s="7"/>
      <c r="UPE1195" s="7"/>
      <c r="UPF1195" s="7"/>
      <c r="UPG1195" s="7"/>
      <c r="UPH1195" s="7"/>
      <c r="UPI1195" s="7"/>
      <c r="UPJ1195" s="7"/>
      <c r="UPK1195" s="7"/>
      <c r="UPL1195" s="7"/>
      <c r="UPM1195" s="7"/>
      <c r="UPN1195" s="7"/>
      <c r="UPO1195" s="7"/>
      <c r="UPP1195" s="7"/>
      <c r="UPQ1195" s="7"/>
      <c r="UPR1195" s="7"/>
      <c r="UPS1195" s="7"/>
      <c r="UPT1195" s="7"/>
      <c r="UPU1195" s="7"/>
      <c r="UPV1195" s="7"/>
      <c r="UPW1195" s="7"/>
      <c r="UPX1195" s="7"/>
      <c r="UPY1195" s="7"/>
      <c r="UPZ1195" s="7"/>
      <c r="UQA1195" s="7"/>
      <c r="UQB1195" s="7"/>
      <c r="UQC1195" s="7"/>
      <c r="UQD1195" s="7"/>
      <c r="UQE1195" s="7"/>
      <c r="UQF1195" s="7"/>
      <c r="UQG1195" s="7"/>
      <c r="UQH1195" s="7"/>
      <c r="UQI1195" s="7"/>
      <c r="UQJ1195" s="7"/>
      <c r="UQK1195" s="7"/>
      <c r="UQL1195" s="7"/>
      <c r="UQM1195" s="7"/>
      <c r="UQN1195" s="7"/>
      <c r="UQO1195" s="7"/>
      <c r="UQP1195" s="7"/>
      <c r="UQQ1195" s="7"/>
      <c r="UQR1195" s="7"/>
      <c r="UQS1195" s="7"/>
      <c r="UQT1195" s="7"/>
      <c r="UQU1195" s="7"/>
      <c r="UQV1195" s="7"/>
      <c r="UQW1195" s="7"/>
      <c r="UQX1195" s="7"/>
      <c r="UQY1195" s="7"/>
      <c r="UQZ1195" s="7"/>
      <c r="URA1195" s="7"/>
      <c r="URB1195" s="7"/>
      <c r="URC1195" s="7"/>
      <c r="URD1195" s="7"/>
      <c r="URE1195" s="7"/>
      <c r="URF1195" s="7"/>
      <c r="URG1195" s="7"/>
      <c r="URH1195" s="7"/>
      <c r="URI1195" s="7"/>
      <c r="URJ1195" s="7"/>
      <c r="URK1195" s="7"/>
      <c r="URL1195" s="7"/>
      <c r="URM1195" s="7"/>
      <c r="URN1195" s="7"/>
      <c r="URO1195" s="7"/>
      <c r="URP1195" s="7"/>
      <c r="URQ1195" s="7"/>
      <c r="URR1195" s="7"/>
      <c r="URS1195" s="7"/>
      <c r="URT1195" s="7"/>
      <c r="URU1195" s="7"/>
      <c r="URV1195" s="7"/>
      <c r="URW1195" s="7"/>
      <c r="URX1195" s="7"/>
      <c r="URY1195" s="7"/>
      <c r="URZ1195" s="7"/>
      <c r="USA1195" s="7"/>
      <c r="USB1195" s="7"/>
      <c r="USC1195" s="7"/>
      <c r="USD1195" s="7"/>
      <c r="USE1195" s="7"/>
      <c r="USF1195" s="7"/>
      <c r="USG1195" s="7"/>
      <c r="USH1195" s="7"/>
      <c r="USI1195" s="7"/>
      <c r="USJ1195" s="7"/>
      <c r="USK1195" s="7"/>
      <c r="USL1195" s="7"/>
      <c r="USM1195" s="7"/>
      <c r="USN1195" s="7"/>
      <c r="USO1195" s="7"/>
      <c r="USP1195" s="7"/>
      <c r="USQ1195" s="7"/>
      <c r="USR1195" s="7"/>
      <c r="USS1195" s="7"/>
      <c r="UST1195" s="7"/>
      <c r="USU1195" s="7"/>
      <c r="USV1195" s="7"/>
      <c r="USW1195" s="7"/>
      <c r="USX1195" s="7"/>
      <c r="USY1195" s="7"/>
      <c r="USZ1195" s="7"/>
      <c r="UTA1195" s="7"/>
      <c r="UTB1195" s="7"/>
      <c r="UTC1195" s="7"/>
      <c r="UTD1195" s="7"/>
      <c r="UTE1195" s="7"/>
      <c r="UTF1195" s="7"/>
      <c r="UTG1195" s="7"/>
      <c r="UTH1195" s="7"/>
      <c r="UTI1195" s="7"/>
      <c r="UTJ1195" s="7"/>
      <c r="UTK1195" s="7"/>
      <c r="UTL1195" s="7"/>
      <c r="UTM1195" s="7"/>
      <c r="UTN1195" s="7"/>
      <c r="UTO1195" s="7"/>
      <c r="UTP1195" s="7"/>
      <c r="UTQ1195" s="7"/>
      <c r="UTR1195" s="7"/>
      <c r="UTS1195" s="7"/>
      <c r="UTT1195" s="7"/>
      <c r="UTU1195" s="7"/>
      <c r="UTV1195" s="7"/>
      <c r="UTW1195" s="7"/>
      <c r="UTX1195" s="7"/>
      <c r="UTY1195" s="7"/>
      <c r="UTZ1195" s="7"/>
      <c r="UUA1195" s="7"/>
      <c r="UUB1195" s="7"/>
      <c r="UUC1195" s="7"/>
      <c r="UUD1195" s="7"/>
      <c r="UUE1195" s="7"/>
      <c r="UUF1195" s="7"/>
      <c r="UUG1195" s="7"/>
      <c r="UUH1195" s="7"/>
      <c r="UUI1195" s="7"/>
      <c r="UUJ1195" s="7"/>
      <c r="UUK1195" s="7"/>
      <c r="UUL1195" s="7"/>
      <c r="UUM1195" s="7"/>
      <c r="UUN1195" s="7"/>
      <c r="UUO1195" s="7"/>
      <c r="UUP1195" s="7"/>
      <c r="UUQ1195" s="7"/>
      <c r="UUR1195" s="7"/>
      <c r="UUS1195" s="7"/>
      <c r="UUT1195" s="7"/>
      <c r="UUU1195" s="7"/>
      <c r="UUV1195" s="7"/>
      <c r="UUW1195" s="7"/>
      <c r="UUX1195" s="7"/>
      <c r="UUY1195" s="7"/>
      <c r="UUZ1195" s="7"/>
      <c r="UVA1195" s="7"/>
      <c r="UVB1195" s="7"/>
      <c r="UVC1195" s="7"/>
      <c r="UVD1195" s="7"/>
      <c r="UVE1195" s="7"/>
      <c r="UVF1195" s="7"/>
      <c r="UVG1195" s="7"/>
      <c r="UVH1195" s="7"/>
      <c r="UVI1195" s="7"/>
      <c r="UVJ1195" s="7"/>
      <c r="UVK1195" s="7"/>
      <c r="UVL1195" s="7"/>
      <c r="UVM1195" s="7"/>
      <c r="UVN1195" s="7"/>
      <c r="UVO1195" s="7"/>
      <c r="UVP1195" s="7"/>
      <c r="UVQ1195" s="7"/>
      <c r="UVR1195" s="7"/>
      <c r="UVS1195" s="7"/>
      <c r="UVT1195" s="7"/>
      <c r="UVU1195" s="7"/>
      <c r="UVV1195" s="7"/>
      <c r="UVW1195" s="7"/>
      <c r="UVX1195" s="7"/>
      <c r="UVY1195" s="7"/>
      <c r="UVZ1195" s="7"/>
      <c r="UWA1195" s="7"/>
      <c r="UWB1195" s="7"/>
      <c r="UWC1195" s="7"/>
      <c r="UWD1195" s="7"/>
      <c r="UWE1195" s="7"/>
      <c r="UWF1195" s="7"/>
      <c r="UWG1195" s="7"/>
      <c r="UWH1195" s="7"/>
      <c r="UWI1195" s="7"/>
      <c r="UWJ1195" s="7"/>
      <c r="UWK1195" s="7"/>
      <c r="UWL1195" s="7"/>
      <c r="UWM1195" s="7"/>
      <c r="UWN1195" s="7"/>
      <c r="UWO1195" s="7"/>
      <c r="UWP1195" s="7"/>
      <c r="UWQ1195" s="7"/>
      <c r="UWR1195" s="7"/>
      <c r="UWS1195" s="7"/>
      <c r="UWT1195" s="7"/>
      <c r="UWU1195" s="7"/>
      <c r="UWV1195" s="7"/>
      <c r="UWW1195" s="7"/>
      <c r="UWX1195" s="7"/>
      <c r="UWY1195" s="7"/>
      <c r="UWZ1195" s="7"/>
      <c r="UXA1195" s="7"/>
      <c r="UXB1195" s="7"/>
      <c r="UXC1195" s="7"/>
      <c r="UXD1195" s="7"/>
      <c r="UXE1195" s="7"/>
      <c r="UXF1195" s="7"/>
      <c r="UXG1195" s="7"/>
      <c r="UXH1195" s="7"/>
      <c r="UXI1195" s="7"/>
      <c r="UXJ1195" s="7"/>
      <c r="UXK1195" s="7"/>
      <c r="UXL1195" s="7"/>
      <c r="UXM1195" s="7"/>
      <c r="UXN1195" s="7"/>
      <c r="UXO1195" s="7"/>
      <c r="UXP1195" s="7"/>
      <c r="UXQ1195" s="7"/>
      <c r="UXR1195" s="7"/>
      <c r="UXS1195" s="7"/>
      <c r="UXT1195" s="7"/>
      <c r="UXU1195" s="7"/>
      <c r="UXV1195" s="7"/>
      <c r="UXW1195" s="7"/>
      <c r="UXX1195" s="7"/>
      <c r="UXY1195" s="7"/>
      <c r="UXZ1195" s="7"/>
      <c r="UYA1195" s="7"/>
      <c r="UYB1195" s="7"/>
      <c r="UYC1195" s="7"/>
      <c r="UYD1195" s="7"/>
      <c r="UYE1195" s="7"/>
      <c r="UYF1195" s="7"/>
      <c r="UYG1195" s="7"/>
      <c r="UYH1195" s="7"/>
      <c r="UYI1195" s="7"/>
      <c r="UYJ1195" s="7"/>
      <c r="UYK1195" s="7"/>
      <c r="UYL1195" s="7"/>
      <c r="UYM1195" s="7"/>
      <c r="UYN1195" s="7"/>
      <c r="UYO1195" s="7"/>
      <c r="UYP1195" s="7"/>
      <c r="UYQ1195" s="7"/>
      <c r="UYR1195" s="7"/>
      <c r="UYS1195" s="7"/>
      <c r="UYT1195" s="7"/>
      <c r="UYU1195" s="7"/>
      <c r="UYV1195" s="7"/>
      <c r="UYW1195" s="7"/>
      <c r="UYX1195" s="7"/>
      <c r="UYY1195" s="7"/>
      <c r="UYZ1195" s="7"/>
      <c r="UZA1195" s="7"/>
      <c r="UZB1195" s="7"/>
      <c r="UZC1195" s="7"/>
      <c r="UZD1195" s="7"/>
      <c r="UZE1195" s="7"/>
      <c r="UZF1195" s="7"/>
      <c r="UZG1195" s="7"/>
      <c r="UZH1195" s="7"/>
      <c r="UZI1195" s="7"/>
      <c r="UZJ1195" s="7"/>
      <c r="UZK1195" s="7"/>
      <c r="UZL1195" s="7"/>
      <c r="UZM1195" s="7"/>
      <c r="UZN1195" s="7"/>
      <c r="UZO1195" s="7"/>
      <c r="UZP1195" s="7"/>
      <c r="UZQ1195" s="7"/>
      <c r="UZR1195" s="7"/>
      <c r="UZS1195" s="7"/>
      <c r="UZT1195" s="7"/>
      <c r="UZU1195" s="7"/>
      <c r="UZV1195" s="7"/>
      <c r="UZW1195" s="7"/>
      <c r="UZX1195" s="7"/>
      <c r="UZY1195" s="7"/>
      <c r="UZZ1195" s="7"/>
      <c r="VAA1195" s="7"/>
      <c r="VAB1195" s="7"/>
      <c r="VAC1195" s="7"/>
      <c r="VAD1195" s="7"/>
      <c r="VAE1195" s="7"/>
      <c r="VAF1195" s="7"/>
      <c r="VAG1195" s="7"/>
      <c r="VAH1195" s="7"/>
      <c r="VAI1195" s="7"/>
      <c r="VAJ1195" s="7"/>
      <c r="VAK1195" s="7"/>
      <c r="VAL1195" s="7"/>
      <c r="VAM1195" s="7"/>
      <c r="VAN1195" s="7"/>
      <c r="VAO1195" s="7"/>
      <c r="VAP1195" s="7"/>
      <c r="VAQ1195" s="7"/>
      <c r="VAR1195" s="7"/>
      <c r="VAS1195" s="7"/>
      <c r="VAT1195" s="7"/>
      <c r="VAU1195" s="7"/>
      <c r="VAV1195" s="7"/>
      <c r="VAW1195" s="7"/>
      <c r="VAX1195" s="7"/>
      <c r="VAY1195" s="7"/>
      <c r="VAZ1195" s="7"/>
      <c r="VBA1195" s="7"/>
      <c r="VBB1195" s="7"/>
      <c r="VBC1195" s="7"/>
      <c r="VBD1195" s="7"/>
      <c r="VBE1195" s="7"/>
      <c r="VBF1195" s="7"/>
      <c r="VBG1195" s="7"/>
      <c r="VBH1195" s="7"/>
      <c r="VBI1195" s="7"/>
      <c r="VBJ1195" s="7"/>
      <c r="VBK1195" s="7"/>
      <c r="VBL1195" s="7"/>
      <c r="VBM1195" s="7"/>
      <c r="VBN1195" s="7"/>
      <c r="VBO1195" s="7"/>
      <c r="VBP1195" s="7"/>
      <c r="VBQ1195" s="7"/>
      <c r="VBR1195" s="7"/>
      <c r="VBS1195" s="7"/>
      <c r="VBT1195" s="7"/>
      <c r="VBU1195" s="7"/>
      <c r="VBV1195" s="7"/>
      <c r="VBW1195" s="7"/>
      <c r="VBX1195" s="7"/>
      <c r="VBY1195" s="7"/>
      <c r="VBZ1195" s="7"/>
      <c r="VCA1195" s="7"/>
      <c r="VCB1195" s="7"/>
      <c r="VCC1195" s="7"/>
      <c r="VCD1195" s="7"/>
      <c r="VCE1195" s="7"/>
      <c r="VCF1195" s="7"/>
      <c r="VCG1195" s="7"/>
      <c r="VCH1195" s="7"/>
      <c r="VCI1195" s="7"/>
      <c r="VCJ1195" s="7"/>
      <c r="VCK1195" s="7"/>
      <c r="VCL1195" s="7"/>
      <c r="VCM1195" s="7"/>
      <c r="VCN1195" s="7"/>
      <c r="VCO1195" s="7"/>
      <c r="VCP1195" s="7"/>
      <c r="VCQ1195" s="7"/>
      <c r="VCR1195" s="7"/>
      <c r="VCS1195" s="7"/>
      <c r="VCT1195" s="7"/>
      <c r="VCU1195" s="7"/>
      <c r="VCV1195" s="7"/>
      <c r="VCW1195" s="7"/>
      <c r="VCX1195" s="7"/>
      <c r="VCY1195" s="7"/>
      <c r="VCZ1195" s="7"/>
      <c r="VDA1195" s="7"/>
      <c r="VDB1195" s="7"/>
      <c r="VDC1195" s="7"/>
      <c r="VDD1195" s="7"/>
      <c r="VDE1195" s="7"/>
      <c r="VDF1195" s="7"/>
      <c r="VDG1195" s="7"/>
      <c r="VDH1195" s="7"/>
      <c r="VDI1195" s="7"/>
      <c r="VDJ1195" s="7"/>
      <c r="VDK1195" s="7"/>
      <c r="VDL1195" s="7"/>
      <c r="VDM1195" s="7"/>
      <c r="VDN1195" s="7"/>
      <c r="VDO1195" s="7"/>
      <c r="VDP1195" s="7"/>
      <c r="VDQ1195" s="7"/>
      <c r="VDR1195" s="7"/>
      <c r="VDS1195" s="7"/>
      <c r="VDT1195" s="7"/>
      <c r="VDU1195" s="7"/>
      <c r="VDV1195" s="7"/>
      <c r="VDW1195" s="7"/>
      <c r="VDX1195" s="7"/>
      <c r="VDY1195" s="7"/>
      <c r="VDZ1195" s="7"/>
      <c r="VEA1195" s="7"/>
      <c r="VEB1195" s="7"/>
      <c r="VEC1195" s="7"/>
      <c r="VED1195" s="7"/>
      <c r="VEE1195" s="7"/>
      <c r="VEF1195" s="7"/>
      <c r="VEG1195" s="7"/>
      <c r="VEH1195" s="7"/>
      <c r="VEI1195" s="7"/>
      <c r="VEJ1195" s="7"/>
      <c r="VEK1195" s="7"/>
      <c r="VEL1195" s="7"/>
      <c r="VEM1195" s="7"/>
      <c r="VEN1195" s="7"/>
      <c r="VEO1195" s="7"/>
      <c r="VEP1195" s="7"/>
      <c r="VEQ1195" s="7"/>
      <c r="VER1195" s="7"/>
      <c r="VES1195" s="7"/>
      <c r="VET1195" s="7"/>
      <c r="VEU1195" s="7"/>
      <c r="VEV1195" s="7"/>
      <c r="VEW1195" s="7"/>
      <c r="VEX1195" s="7"/>
      <c r="VEY1195" s="7"/>
      <c r="VEZ1195" s="7"/>
      <c r="VFA1195" s="7"/>
      <c r="VFB1195" s="7"/>
      <c r="VFC1195" s="7"/>
      <c r="VFD1195" s="7"/>
      <c r="VFE1195" s="7"/>
      <c r="VFF1195" s="7"/>
      <c r="VFG1195" s="7"/>
      <c r="VFH1195" s="7"/>
      <c r="VFI1195" s="7"/>
      <c r="VFJ1195" s="7"/>
      <c r="VFK1195" s="7"/>
      <c r="VFL1195" s="7"/>
      <c r="VFM1195" s="7"/>
      <c r="VFN1195" s="7"/>
      <c r="VFO1195" s="7"/>
      <c r="VFP1195" s="7"/>
      <c r="VFQ1195" s="7"/>
      <c r="VFR1195" s="7"/>
      <c r="VFS1195" s="7"/>
      <c r="VFT1195" s="7"/>
      <c r="VFU1195" s="7"/>
      <c r="VFV1195" s="7"/>
      <c r="VFW1195" s="7"/>
      <c r="VFX1195" s="7"/>
      <c r="VFY1195" s="7"/>
      <c r="VFZ1195" s="7"/>
      <c r="VGA1195" s="7"/>
      <c r="VGB1195" s="7"/>
      <c r="VGC1195" s="7"/>
      <c r="VGD1195" s="7"/>
      <c r="VGE1195" s="7"/>
      <c r="VGF1195" s="7"/>
      <c r="VGG1195" s="7"/>
      <c r="VGH1195" s="7"/>
      <c r="VGI1195" s="7"/>
      <c r="VGJ1195" s="7"/>
      <c r="VGK1195" s="7"/>
      <c r="VGL1195" s="7"/>
      <c r="VGM1195" s="7"/>
      <c r="VGN1195" s="7"/>
      <c r="VGO1195" s="7"/>
      <c r="VGP1195" s="7"/>
      <c r="VGQ1195" s="7"/>
      <c r="VGR1195" s="7"/>
      <c r="VGS1195" s="7"/>
      <c r="VGT1195" s="7"/>
      <c r="VGU1195" s="7"/>
      <c r="VGV1195" s="7"/>
      <c r="VGW1195" s="7"/>
      <c r="VGX1195" s="7"/>
      <c r="VGY1195" s="7"/>
      <c r="VGZ1195" s="7"/>
      <c r="VHA1195" s="7"/>
      <c r="VHB1195" s="7"/>
      <c r="VHC1195" s="7"/>
      <c r="VHD1195" s="7"/>
      <c r="VHE1195" s="7"/>
      <c r="VHF1195" s="7"/>
      <c r="VHG1195" s="7"/>
      <c r="VHH1195" s="7"/>
      <c r="VHI1195" s="7"/>
      <c r="VHJ1195" s="7"/>
      <c r="VHK1195" s="7"/>
      <c r="VHL1195" s="7"/>
      <c r="VHM1195" s="7"/>
      <c r="VHN1195" s="7"/>
      <c r="VHO1195" s="7"/>
      <c r="VHP1195" s="7"/>
      <c r="VHQ1195" s="7"/>
      <c r="VHR1195" s="7"/>
      <c r="VHS1195" s="7"/>
      <c r="VHT1195" s="7"/>
      <c r="VHU1195" s="7"/>
      <c r="VHV1195" s="7"/>
      <c r="VHW1195" s="7"/>
      <c r="VHX1195" s="7"/>
      <c r="VHY1195" s="7"/>
      <c r="VHZ1195" s="7"/>
      <c r="VIA1195" s="7"/>
      <c r="VIB1195" s="7"/>
      <c r="VIC1195" s="7"/>
      <c r="VID1195" s="7"/>
      <c r="VIE1195" s="7"/>
      <c r="VIF1195" s="7"/>
      <c r="VIG1195" s="7"/>
      <c r="VIH1195" s="7"/>
      <c r="VII1195" s="7"/>
      <c r="VIJ1195" s="7"/>
      <c r="VIK1195" s="7"/>
      <c r="VIL1195" s="7"/>
      <c r="VIM1195" s="7"/>
      <c r="VIN1195" s="7"/>
      <c r="VIO1195" s="7"/>
      <c r="VIP1195" s="7"/>
      <c r="VIQ1195" s="7"/>
      <c r="VIR1195" s="7"/>
      <c r="VIS1195" s="7"/>
      <c r="VIT1195" s="7"/>
      <c r="VIU1195" s="7"/>
      <c r="VIV1195" s="7"/>
      <c r="VIW1195" s="7"/>
      <c r="VIX1195" s="7"/>
      <c r="VIY1195" s="7"/>
      <c r="VIZ1195" s="7"/>
      <c r="VJA1195" s="7"/>
      <c r="VJB1195" s="7"/>
      <c r="VJC1195" s="7"/>
      <c r="VJD1195" s="7"/>
      <c r="VJE1195" s="7"/>
      <c r="VJF1195" s="7"/>
      <c r="VJG1195" s="7"/>
      <c r="VJH1195" s="7"/>
      <c r="VJI1195" s="7"/>
      <c r="VJJ1195" s="7"/>
      <c r="VJK1195" s="7"/>
      <c r="VJL1195" s="7"/>
      <c r="VJM1195" s="7"/>
      <c r="VJN1195" s="7"/>
      <c r="VJO1195" s="7"/>
      <c r="VJP1195" s="7"/>
      <c r="VJQ1195" s="7"/>
      <c r="VJR1195" s="7"/>
      <c r="VJS1195" s="7"/>
      <c r="VJT1195" s="7"/>
      <c r="VJU1195" s="7"/>
      <c r="VJV1195" s="7"/>
      <c r="VJW1195" s="7"/>
      <c r="VJX1195" s="7"/>
      <c r="VJY1195" s="7"/>
      <c r="VJZ1195" s="7"/>
      <c r="VKA1195" s="7"/>
      <c r="VKB1195" s="7"/>
      <c r="VKC1195" s="7"/>
      <c r="VKD1195" s="7"/>
      <c r="VKE1195" s="7"/>
      <c r="VKF1195" s="7"/>
      <c r="VKG1195" s="7"/>
      <c r="VKH1195" s="7"/>
      <c r="VKI1195" s="7"/>
      <c r="VKJ1195" s="7"/>
      <c r="VKK1195" s="7"/>
      <c r="VKL1195" s="7"/>
      <c r="VKM1195" s="7"/>
      <c r="VKN1195" s="7"/>
      <c r="VKO1195" s="7"/>
      <c r="VKP1195" s="7"/>
      <c r="VKQ1195" s="7"/>
      <c r="VKR1195" s="7"/>
      <c r="VKS1195" s="7"/>
      <c r="VKT1195" s="7"/>
      <c r="VKU1195" s="7"/>
      <c r="VKV1195" s="7"/>
      <c r="VKW1195" s="7"/>
      <c r="VKX1195" s="7"/>
      <c r="VKY1195" s="7"/>
      <c r="VKZ1195" s="7"/>
      <c r="VLA1195" s="7"/>
      <c r="VLB1195" s="7"/>
      <c r="VLC1195" s="7"/>
      <c r="VLD1195" s="7"/>
      <c r="VLE1195" s="7"/>
      <c r="VLF1195" s="7"/>
      <c r="VLG1195" s="7"/>
      <c r="VLH1195" s="7"/>
      <c r="VLI1195" s="7"/>
      <c r="VLJ1195" s="7"/>
      <c r="VLK1195" s="7"/>
      <c r="VLL1195" s="7"/>
      <c r="VLM1195" s="7"/>
      <c r="VLN1195" s="7"/>
      <c r="VLO1195" s="7"/>
      <c r="VLP1195" s="7"/>
      <c r="VLQ1195" s="7"/>
      <c r="VLR1195" s="7"/>
      <c r="VLS1195" s="7"/>
      <c r="VLT1195" s="7"/>
      <c r="VLU1195" s="7"/>
      <c r="VLV1195" s="7"/>
      <c r="VLW1195" s="7"/>
      <c r="VLX1195" s="7"/>
      <c r="VLY1195" s="7"/>
      <c r="VLZ1195" s="7"/>
      <c r="VMA1195" s="7"/>
      <c r="VMB1195" s="7"/>
      <c r="VMC1195" s="7"/>
      <c r="VMD1195" s="7"/>
      <c r="VME1195" s="7"/>
      <c r="VMF1195" s="7"/>
      <c r="VMG1195" s="7"/>
      <c r="VMH1195" s="7"/>
      <c r="VMI1195" s="7"/>
      <c r="VMJ1195" s="7"/>
      <c r="VMK1195" s="7"/>
      <c r="VML1195" s="7"/>
      <c r="VMM1195" s="7"/>
      <c r="VMN1195" s="7"/>
      <c r="VMO1195" s="7"/>
      <c r="VMP1195" s="7"/>
      <c r="VMQ1195" s="7"/>
      <c r="VMR1195" s="7"/>
      <c r="VMS1195" s="7"/>
      <c r="VMT1195" s="7"/>
      <c r="VMU1195" s="7"/>
      <c r="VMV1195" s="7"/>
      <c r="VMW1195" s="7"/>
      <c r="VMX1195" s="7"/>
      <c r="VMY1195" s="7"/>
      <c r="VMZ1195" s="7"/>
      <c r="VNA1195" s="7"/>
      <c r="VNB1195" s="7"/>
      <c r="VNC1195" s="7"/>
      <c r="VND1195" s="7"/>
      <c r="VNE1195" s="7"/>
      <c r="VNF1195" s="7"/>
      <c r="VNG1195" s="7"/>
      <c r="VNH1195" s="7"/>
      <c r="VNI1195" s="7"/>
      <c r="VNJ1195" s="7"/>
      <c r="VNK1195" s="7"/>
      <c r="VNL1195" s="7"/>
      <c r="VNM1195" s="7"/>
      <c r="VNN1195" s="7"/>
      <c r="VNO1195" s="7"/>
      <c r="VNP1195" s="7"/>
      <c r="VNQ1195" s="7"/>
      <c r="VNR1195" s="7"/>
      <c r="VNS1195" s="7"/>
      <c r="VNT1195" s="7"/>
      <c r="VNU1195" s="7"/>
      <c r="VNV1195" s="7"/>
      <c r="VNW1195" s="7"/>
      <c r="VNX1195" s="7"/>
      <c r="VNY1195" s="7"/>
      <c r="VNZ1195" s="7"/>
      <c r="VOA1195" s="7"/>
      <c r="VOB1195" s="7"/>
      <c r="VOC1195" s="7"/>
      <c r="VOD1195" s="7"/>
      <c r="VOE1195" s="7"/>
      <c r="VOF1195" s="7"/>
      <c r="VOG1195" s="7"/>
      <c r="VOH1195" s="7"/>
      <c r="VOI1195" s="7"/>
      <c r="VOJ1195" s="7"/>
      <c r="VOK1195" s="7"/>
      <c r="VOL1195" s="7"/>
      <c r="VOM1195" s="7"/>
      <c r="VON1195" s="7"/>
      <c r="VOO1195" s="7"/>
      <c r="VOP1195" s="7"/>
      <c r="VOQ1195" s="7"/>
      <c r="VOR1195" s="7"/>
      <c r="VOS1195" s="7"/>
      <c r="VOT1195" s="7"/>
      <c r="VOU1195" s="7"/>
      <c r="VOV1195" s="7"/>
      <c r="VOW1195" s="7"/>
      <c r="VOX1195" s="7"/>
      <c r="VOY1195" s="7"/>
      <c r="VOZ1195" s="7"/>
      <c r="VPA1195" s="7"/>
      <c r="VPB1195" s="7"/>
      <c r="VPC1195" s="7"/>
      <c r="VPD1195" s="7"/>
      <c r="VPE1195" s="7"/>
      <c r="VPF1195" s="7"/>
      <c r="VPG1195" s="7"/>
      <c r="VPH1195" s="7"/>
      <c r="VPI1195" s="7"/>
      <c r="VPJ1195" s="7"/>
      <c r="VPK1195" s="7"/>
      <c r="VPL1195" s="7"/>
      <c r="VPM1195" s="7"/>
      <c r="VPN1195" s="7"/>
      <c r="VPO1195" s="7"/>
      <c r="VPP1195" s="7"/>
      <c r="VPQ1195" s="7"/>
      <c r="VPR1195" s="7"/>
      <c r="VPS1195" s="7"/>
      <c r="VPT1195" s="7"/>
      <c r="VPU1195" s="7"/>
      <c r="VPV1195" s="7"/>
      <c r="VPW1195" s="7"/>
      <c r="VPX1195" s="7"/>
      <c r="VPY1195" s="7"/>
      <c r="VPZ1195" s="7"/>
      <c r="VQA1195" s="7"/>
      <c r="VQB1195" s="7"/>
      <c r="VQC1195" s="7"/>
      <c r="VQD1195" s="7"/>
      <c r="VQE1195" s="7"/>
      <c r="VQF1195" s="7"/>
      <c r="VQG1195" s="7"/>
      <c r="VQH1195" s="7"/>
      <c r="VQI1195" s="7"/>
      <c r="VQJ1195" s="7"/>
      <c r="VQK1195" s="7"/>
      <c r="VQL1195" s="7"/>
      <c r="VQM1195" s="7"/>
      <c r="VQN1195" s="7"/>
      <c r="VQO1195" s="7"/>
      <c r="VQP1195" s="7"/>
      <c r="VQQ1195" s="7"/>
      <c r="VQR1195" s="7"/>
      <c r="VQS1195" s="7"/>
      <c r="VQT1195" s="7"/>
      <c r="VQU1195" s="7"/>
      <c r="VQV1195" s="7"/>
      <c r="VQW1195" s="7"/>
      <c r="VQX1195" s="7"/>
      <c r="VQY1195" s="7"/>
      <c r="VQZ1195" s="7"/>
      <c r="VRA1195" s="7"/>
      <c r="VRB1195" s="7"/>
      <c r="VRC1195" s="7"/>
      <c r="VRD1195" s="7"/>
      <c r="VRE1195" s="7"/>
      <c r="VRF1195" s="7"/>
      <c r="VRG1195" s="7"/>
      <c r="VRH1195" s="7"/>
      <c r="VRI1195" s="7"/>
      <c r="VRJ1195" s="7"/>
      <c r="VRK1195" s="7"/>
      <c r="VRL1195" s="7"/>
      <c r="VRM1195" s="7"/>
      <c r="VRN1195" s="7"/>
      <c r="VRO1195" s="7"/>
      <c r="VRP1195" s="7"/>
      <c r="VRQ1195" s="7"/>
      <c r="VRR1195" s="7"/>
      <c r="VRS1195" s="7"/>
      <c r="VRT1195" s="7"/>
      <c r="VRU1195" s="7"/>
      <c r="VRV1195" s="7"/>
      <c r="VRW1195" s="7"/>
      <c r="VRX1195" s="7"/>
      <c r="VRY1195" s="7"/>
      <c r="VRZ1195" s="7"/>
      <c r="VSA1195" s="7"/>
      <c r="VSB1195" s="7"/>
      <c r="VSC1195" s="7"/>
      <c r="VSD1195" s="7"/>
      <c r="VSE1195" s="7"/>
      <c r="VSF1195" s="7"/>
      <c r="VSG1195" s="7"/>
      <c r="VSH1195" s="7"/>
      <c r="VSI1195" s="7"/>
      <c r="VSJ1195" s="7"/>
      <c r="VSK1195" s="7"/>
      <c r="VSL1195" s="7"/>
      <c r="VSM1195" s="7"/>
      <c r="VSN1195" s="7"/>
      <c r="VSO1195" s="7"/>
      <c r="VSP1195" s="7"/>
      <c r="VSQ1195" s="7"/>
      <c r="VSR1195" s="7"/>
      <c r="VSS1195" s="7"/>
      <c r="VST1195" s="7"/>
      <c r="VSU1195" s="7"/>
      <c r="VSV1195" s="7"/>
      <c r="VSW1195" s="7"/>
      <c r="VSX1195" s="7"/>
      <c r="VSY1195" s="7"/>
      <c r="VSZ1195" s="7"/>
      <c r="VTA1195" s="7"/>
      <c r="VTB1195" s="7"/>
      <c r="VTC1195" s="7"/>
      <c r="VTD1195" s="7"/>
      <c r="VTE1195" s="7"/>
      <c r="VTF1195" s="7"/>
      <c r="VTG1195" s="7"/>
      <c r="VTH1195" s="7"/>
      <c r="VTI1195" s="7"/>
      <c r="VTJ1195" s="7"/>
      <c r="VTK1195" s="7"/>
      <c r="VTL1195" s="7"/>
      <c r="VTM1195" s="7"/>
      <c r="VTN1195" s="7"/>
      <c r="VTO1195" s="7"/>
      <c r="VTP1195" s="7"/>
      <c r="VTQ1195" s="7"/>
      <c r="VTR1195" s="7"/>
      <c r="VTS1195" s="7"/>
      <c r="VTT1195" s="7"/>
      <c r="VTU1195" s="7"/>
      <c r="VTV1195" s="7"/>
      <c r="VTW1195" s="7"/>
      <c r="VTX1195" s="7"/>
      <c r="VTY1195" s="7"/>
      <c r="VTZ1195" s="7"/>
      <c r="VUA1195" s="7"/>
      <c r="VUB1195" s="7"/>
      <c r="VUC1195" s="7"/>
      <c r="VUD1195" s="7"/>
      <c r="VUE1195" s="7"/>
      <c r="VUF1195" s="7"/>
      <c r="VUG1195" s="7"/>
      <c r="VUH1195" s="7"/>
      <c r="VUI1195" s="7"/>
      <c r="VUJ1195" s="7"/>
      <c r="VUK1195" s="7"/>
      <c r="VUL1195" s="7"/>
      <c r="VUM1195" s="7"/>
      <c r="VUN1195" s="7"/>
      <c r="VUO1195" s="7"/>
      <c r="VUP1195" s="7"/>
      <c r="VUQ1195" s="7"/>
      <c r="VUR1195" s="7"/>
      <c r="VUS1195" s="7"/>
      <c r="VUT1195" s="7"/>
      <c r="VUU1195" s="7"/>
      <c r="VUV1195" s="7"/>
      <c r="VUW1195" s="7"/>
      <c r="VUX1195" s="7"/>
      <c r="VUY1195" s="7"/>
      <c r="VUZ1195" s="7"/>
      <c r="VVA1195" s="7"/>
      <c r="VVB1195" s="7"/>
      <c r="VVC1195" s="7"/>
      <c r="VVD1195" s="7"/>
      <c r="VVE1195" s="7"/>
      <c r="VVF1195" s="7"/>
      <c r="VVG1195" s="7"/>
      <c r="VVH1195" s="7"/>
      <c r="VVI1195" s="7"/>
      <c r="VVJ1195" s="7"/>
      <c r="VVK1195" s="7"/>
      <c r="VVL1195" s="7"/>
      <c r="VVM1195" s="7"/>
      <c r="VVN1195" s="7"/>
      <c r="VVO1195" s="7"/>
      <c r="VVP1195" s="7"/>
      <c r="VVQ1195" s="7"/>
      <c r="VVR1195" s="7"/>
      <c r="VVS1195" s="7"/>
      <c r="VVT1195" s="7"/>
      <c r="VVU1195" s="7"/>
      <c r="VVV1195" s="7"/>
      <c r="VVW1195" s="7"/>
      <c r="VVX1195" s="7"/>
      <c r="VVY1195" s="7"/>
      <c r="VVZ1195" s="7"/>
      <c r="VWA1195" s="7"/>
      <c r="VWB1195" s="7"/>
      <c r="VWC1195" s="7"/>
      <c r="VWD1195" s="7"/>
      <c r="VWE1195" s="7"/>
      <c r="VWF1195" s="7"/>
      <c r="VWG1195" s="7"/>
      <c r="VWH1195" s="7"/>
      <c r="VWI1195" s="7"/>
      <c r="VWJ1195" s="7"/>
      <c r="VWK1195" s="7"/>
      <c r="VWL1195" s="7"/>
      <c r="VWM1195" s="7"/>
      <c r="VWN1195" s="7"/>
      <c r="VWO1195" s="7"/>
      <c r="VWP1195" s="7"/>
      <c r="VWQ1195" s="7"/>
      <c r="VWR1195" s="7"/>
      <c r="VWS1195" s="7"/>
      <c r="VWT1195" s="7"/>
      <c r="VWU1195" s="7"/>
      <c r="VWV1195" s="7"/>
      <c r="VWW1195" s="7"/>
      <c r="VWX1195" s="7"/>
      <c r="VWY1195" s="7"/>
      <c r="VWZ1195" s="7"/>
      <c r="VXA1195" s="7"/>
      <c r="VXB1195" s="7"/>
      <c r="VXC1195" s="7"/>
      <c r="VXD1195" s="7"/>
      <c r="VXE1195" s="7"/>
      <c r="VXF1195" s="7"/>
      <c r="VXG1195" s="7"/>
      <c r="VXH1195" s="7"/>
      <c r="VXI1195" s="7"/>
      <c r="VXJ1195" s="7"/>
      <c r="VXK1195" s="7"/>
      <c r="VXL1195" s="7"/>
      <c r="VXM1195" s="7"/>
      <c r="VXN1195" s="7"/>
      <c r="VXO1195" s="7"/>
      <c r="VXP1195" s="7"/>
      <c r="VXQ1195" s="7"/>
      <c r="VXR1195" s="7"/>
      <c r="VXS1195" s="7"/>
      <c r="VXT1195" s="7"/>
      <c r="VXU1195" s="7"/>
      <c r="VXV1195" s="7"/>
      <c r="VXW1195" s="7"/>
      <c r="VXX1195" s="7"/>
      <c r="VXY1195" s="7"/>
      <c r="VXZ1195" s="7"/>
      <c r="VYA1195" s="7"/>
      <c r="VYB1195" s="7"/>
      <c r="VYC1195" s="7"/>
      <c r="VYD1195" s="7"/>
      <c r="VYE1195" s="7"/>
      <c r="VYF1195" s="7"/>
      <c r="VYG1195" s="7"/>
      <c r="VYH1195" s="7"/>
      <c r="VYI1195" s="7"/>
      <c r="VYJ1195" s="7"/>
      <c r="VYK1195" s="7"/>
      <c r="VYL1195" s="7"/>
      <c r="VYM1195" s="7"/>
      <c r="VYN1195" s="7"/>
      <c r="VYO1195" s="7"/>
      <c r="VYP1195" s="7"/>
      <c r="VYQ1195" s="7"/>
      <c r="VYR1195" s="7"/>
      <c r="VYS1195" s="7"/>
      <c r="VYT1195" s="7"/>
      <c r="VYU1195" s="7"/>
      <c r="VYV1195" s="7"/>
      <c r="VYW1195" s="7"/>
      <c r="VYX1195" s="7"/>
      <c r="VYY1195" s="7"/>
      <c r="VYZ1195" s="7"/>
      <c r="VZA1195" s="7"/>
      <c r="VZB1195" s="7"/>
      <c r="VZC1195" s="7"/>
      <c r="VZD1195" s="7"/>
      <c r="VZE1195" s="7"/>
      <c r="VZF1195" s="7"/>
      <c r="VZG1195" s="7"/>
      <c r="VZH1195" s="7"/>
      <c r="VZI1195" s="7"/>
      <c r="VZJ1195" s="7"/>
      <c r="VZK1195" s="7"/>
      <c r="VZL1195" s="7"/>
      <c r="VZM1195" s="7"/>
      <c r="VZN1195" s="7"/>
      <c r="VZO1195" s="7"/>
      <c r="VZP1195" s="7"/>
      <c r="VZQ1195" s="7"/>
      <c r="VZR1195" s="7"/>
      <c r="VZS1195" s="7"/>
      <c r="VZT1195" s="7"/>
      <c r="VZU1195" s="7"/>
      <c r="VZV1195" s="7"/>
      <c r="VZW1195" s="7"/>
      <c r="VZX1195" s="7"/>
      <c r="VZY1195" s="7"/>
      <c r="VZZ1195" s="7"/>
      <c r="WAA1195" s="7"/>
      <c r="WAB1195" s="7"/>
      <c r="WAC1195" s="7"/>
      <c r="WAD1195" s="7"/>
      <c r="WAE1195" s="7"/>
      <c r="WAF1195" s="7"/>
      <c r="WAG1195" s="7"/>
      <c r="WAH1195" s="7"/>
      <c r="WAI1195" s="7"/>
      <c r="WAJ1195" s="7"/>
      <c r="WAK1195" s="7"/>
      <c r="WAL1195" s="7"/>
      <c r="WAM1195" s="7"/>
      <c r="WAN1195" s="7"/>
      <c r="WAO1195" s="7"/>
      <c r="WAP1195" s="7"/>
      <c r="WAQ1195" s="7"/>
      <c r="WAR1195" s="7"/>
      <c r="WAS1195" s="7"/>
      <c r="WAT1195" s="7"/>
      <c r="WAU1195" s="7"/>
      <c r="WAV1195" s="7"/>
      <c r="WAW1195" s="7"/>
      <c r="WAX1195" s="7"/>
      <c r="WAY1195" s="7"/>
      <c r="WAZ1195" s="7"/>
      <c r="WBA1195" s="7"/>
      <c r="WBB1195" s="7"/>
      <c r="WBC1195" s="7"/>
      <c r="WBD1195" s="7"/>
      <c r="WBE1195" s="7"/>
      <c r="WBF1195" s="7"/>
      <c r="WBG1195" s="7"/>
      <c r="WBH1195" s="7"/>
      <c r="WBI1195" s="7"/>
      <c r="WBJ1195" s="7"/>
      <c r="WBK1195" s="7"/>
      <c r="WBL1195" s="7"/>
      <c r="WBM1195" s="7"/>
      <c r="WBN1195" s="7"/>
      <c r="WBO1195" s="7"/>
      <c r="WBP1195" s="7"/>
      <c r="WBQ1195" s="7"/>
      <c r="WBR1195" s="7"/>
      <c r="WBS1195" s="7"/>
      <c r="WBT1195" s="7"/>
      <c r="WBU1195" s="7"/>
      <c r="WBV1195" s="7"/>
      <c r="WBW1195" s="7"/>
      <c r="WBX1195" s="7"/>
      <c r="WBY1195" s="7"/>
      <c r="WBZ1195" s="7"/>
      <c r="WCA1195" s="7"/>
      <c r="WCB1195" s="7"/>
      <c r="WCC1195" s="7"/>
      <c r="WCD1195" s="7"/>
      <c r="WCE1195" s="7"/>
      <c r="WCF1195" s="7"/>
      <c r="WCG1195" s="7"/>
      <c r="WCH1195" s="7"/>
      <c r="WCI1195" s="7"/>
      <c r="WCJ1195" s="7"/>
      <c r="WCK1195" s="7"/>
      <c r="WCL1195" s="7"/>
      <c r="WCM1195" s="7"/>
      <c r="WCN1195" s="7"/>
      <c r="WCO1195" s="7"/>
      <c r="WCP1195" s="7"/>
      <c r="WCQ1195" s="7"/>
      <c r="WCR1195" s="7"/>
      <c r="WCS1195" s="7"/>
      <c r="WCT1195" s="7"/>
      <c r="WCU1195" s="7"/>
      <c r="WCV1195" s="7"/>
      <c r="WCW1195" s="7"/>
      <c r="WCX1195" s="7"/>
      <c r="WCY1195" s="7"/>
      <c r="WCZ1195" s="7"/>
      <c r="WDA1195" s="7"/>
      <c r="WDB1195" s="7"/>
      <c r="WDC1195" s="7"/>
      <c r="WDD1195" s="7"/>
      <c r="WDE1195" s="7"/>
      <c r="WDF1195" s="7"/>
      <c r="WDG1195" s="7"/>
      <c r="WDH1195" s="7"/>
      <c r="WDI1195" s="7"/>
      <c r="WDJ1195" s="7"/>
      <c r="WDK1195" s="7"/>
      <c r="WDL1195" s="7"/>
      <c r="WDM1195" s="7"/>
      <c r="WDN1195" s="7"/>
      <c r="WDO1195" s="7"/>
      <c r="WDP1195" s="7"/>
      <c r="WDQ1195" s="7"/>
      <c r="WDR1195" s="7"/>
      <c r="WDS1195" s="7"/>
      <c r="WDT1195" s="7"/>
      <c r="WDU1195" s="7"/>
      <c r="WDV1195" s="7"/>
      <c r="WDW1195" s="7"/>
      <c r="WDX1195" s="7"/>
      <c r="WDY1195" s="7"/>
      <c r="WDZ1195" s="7"/>
      <c r="WEA1195" s="7"/>
      <c r="WEB1195" s="7"/>
      <c r="WEC1195" s="7"/>
      <c r="WED1195" s="7"/>
      <c r="WEE1195" s="7"/>
      <c r="WEF1195" s="7"/>
      <c r="WEG1195" s="7"/>
      <c r="WEH1195" s="7"/>
      <c r="WEI1195" s="7"/>
      <c r="WEJ1195" s="7"/>
      <c r="WEK1195" s="7"/>
      <c r="WEL1195" s="7"/>
      <c r="WEM1195" s="7"/>
      <c r="WEN1195" s="7"/>
      <c r="WEO1195" s="7"/>
      <c r="WEP1195" s="7"/>
      <c r="WEQ1195" s="7"/>
      <c r="WER1195" s="7"/>
      <c r="WES1195" s="7"/>
      <c r="WET1195" s="7"/>
      <c r="WEU1195" s="7"/>
      <c r="WEV1195" s="7"/>
      <c r="WEW1195" s="7"/>
      <c r="WEX1195" s="7"/>
      <c r="WEY1195" s="7"/>
      <c r="WEZ1195" s="7"/>
      <c r="WFA1195" s="7"/>
      <c r="WFB1195" s="7"/>
      <c r="WFC1195" s="7"/>
      <c r="WFD1195" s="7"/>
      <c r="WFE1195" s="7"/>
      <c r="WFF1195" s="7"/>
      <c r="WFG1195" s="7"/>
      <c r="WFH1195" s="7"/>
      <c r="WFI1195" s="7"/>
      <c r="WFJ1195" s="7"/>
      <c r="WFK1195" s="7"/>
      <c r="WFL1195" s="7"/>
      <c r="WFM1195" s="7"/>
      <c r="WFN1195" s="7"/>
      <c r="WFO1195" s="7"/>
      <c r="WFP1195" s="7"/>
      <c r="WFQ1195" s="7"/>
      <c r="WFR1195" s="7"/>
      <c r="WFS1195" s="7"/>
      <c r="WFT1195" s="7"/>
      <c r="WFU1195" s="7"/>
      <c r="WFV1195" s="7"/>
      <c r="WFW1195" s="7"/>
      <c r="WFX1195" s="7"/>
      <c r="WFY1195" s="7"/>
      <c r="WFZ1195" s="7"/>
      <c r="WGA1195" s="7"/>
      <c r="WGB1195" s="7"/>
      <c r="WGC1195" s="7"/>
      <c r="WGD1195" s="7"/>
      <c r="WGE1195" s="7"/>
      <c r="WGF1195" s="7"/>
      <c r="WGG1195" s="7"/>
      <c r="WGH1195" s="7"/>
      <c r="WGI1195" s="7"/>
      <c r="WGJ1195" s="7"/>
      <c r="WGK1195" s="7"/>
      <c r="WGL1195" s="7"/>
      <c r="WGM1195" s="7"/>
      <c r="WGN1195" s="7"/>
      <c r="WGO1195" s="7"/>
      <c r="WGP1195" s="7"/>
      <c r="WGQ1195" s="7"/>
      <c r="WGR1195" s="7"/>
      <c r="WGS1195" s="7"/>
      <c r="WGT1195" s="7"/>
      <c r="WGU1195" s="7"/>
      <c r="WGV1195" s="7"/>
      <c r="WGW1195" s="7"/>
      <c r="WGX1195" s="7"/>
      <c r="WGY1195" s="7"/>
      <c r="WGZ1195" s="7"/>
      <c r="WHA1195" s="7"/>
      <c r="WHB1195" s="7"/>
      <c r="WHC1195" s="7"/>
      <c r="WHD1195" s="7"/>
      <c r="WHE1195" s="7"/>
      <c r="WHF1195" s="7"/>
      <c r="WHG1195" s="7"/>
      <c r="WHH1195" s="7"/>
      <c r="WHI1195" s="7"/>
      <c r="WHJ1195" s="7"/>
      <c r="WHK1195" s="7"/>
      <c r="WHL1195" s="7"/>
      <c r="WHM1195" s="7"/>
      <c r="WHN1195" s="7"/>
      <c r="WHO1195" s="7"/>
      <c r="WHP1195" s="7"/>
      <c r="WHQ1195" s="7"/>
      <c r="WHR1195" s="7"/>
      <c r="WHS1195" s="7"/>
      <c r="WHT1195" s="7"/>
      <c r="WHU1195" s="7"/>
      <c r="WHV1195" s="7"/>
      <c r="WHW1195" s="7"/>
      <c r="WHX1195" s="7"/>
      <c r="WHY1195" s="7"/>
      <c r="WHZ1195" s="7"/>
      <c r="WIA1195" s="7"/>
      <c r="WIB1195" s="7"/>
      <c r="WIC1195" s="7"/>
      <c r="WID1195" s="7"/>
      <c r="WIE1195" s="7"/>
      <c r="WIF1195" s="7"/>
      <c r="WIG1195" s="7"/>
      <c r="WIH1195" s="7"/>
      <c r="WII1195" s="7"/>
      <c r="WIJ1195" s="7"/>
      <c r="WIK1195" s="7"/>
      <c r="WIL1195" s="7"/>
      <c r="WIM1195" s="7"/>
      <c r="WIN1195" s="7"/>
      <c r="WIO1195" s="7"/>
      <c r="WIP1195" s="7"/>
      <c r="WIQ1195" s="7"/>
      <c r="WIR1195" s="7"/>
      <c r="WIS1195" s="7"/>
      <c r="WIT1195" s="7"/>
      <c r="WIU1195" s="7"/>
      <c r="WIV1195" s="7"/>
      <c r="WIW1195" s="7"/>
      <c r="WIX1195" s="7"/>
      <c r="WIY1195" s="7"/>
      <c r="WIZ1195" s="7"/>
      <c r="WJA1195" s="7"/>
      <c r="WJB1195" s="7"/>
      <c r="WJC1195" s="7"/>
      <c r="WJD1195" s="7"/>
      <c r="WJE1195" s="7"/>
      <c r="WJF1195" s="7"/>
      <c r="WJG1195" s="7"/>
      <c r="WJH1195" s="7"/>
      <c r="WJI1195" s="7"/>
      <c r="WJJ1195" s="7"/>
      <c r="WJK1195" s="7"/>
      <c r="WJL1195" s="7"/>
      <c r="WJM1195" s="7"/>
      <c r="WJN1195" s="7"/>
      <c r="WJO1195" s="7"/>
      <c r="WJP1195" s="7"/>
      <c r="WJQ1195" s="7"/>
      <c r="WJR1195" s="7"/>
      <c r="WJS1195" s="7"/>
      <c r="WJT1195" s="7"/>
      <c r="WJU1195" s="7"/>
      <c r="WJV1195" s="7"/>
      <c r="WJW1195" s="7"/>
      <c r="WJX1195" s="7"/>
      <c r="WJY1195" s="7"/>
      <c r="WJZ1195" s="7"/>
      <c r="WKA1195" s="7"/>
      <c r="WKB1195" s="7"/>
      <c r="WKC1195" s="7"/>
      <c r="WKD1195" s="7"/>
      <c r="WKE1195" s="7"/>
      <c r="WKF1195" s="7"/>
      <c r="WKG1195" s="7"/>
      <c r="WKH1195" s="7"/>
      <c r="WKI1195" s="7"/>
      <c r="WKJ1195" s="7"/>
      <c r="WKK1195" s="7"/>
      <c r="WKL1195" s="7"/>
      <c r="WKM1195" s="7"/>
      <c r="WKN1195" s="7"/>
      <c r="WKO1195" s="7"/>
      <c r="WKP1195" s="7"/>
      <c r="WKQ1195" s="7"/>
      <c r="WKR1195" s="7"/>
      <c r="WKS1195" s="7"/>
      <c r="WKT1195" s="7"/>
      <c r="WKU1195" s="7"/>
      <c r="WKV1195" s="7"/>
      <c r="WKW1195" s="7"/>
      <c r="WKX1195" s="7"/>
      <c r="WKY1195" s="7"/>
      <c r="WKZ1195" s="7"/>
      <c r="WLA1195" s="7"/>
      <c r="WLB1195" s="7"/>
      <c r="WLC1195" s="7"/>
      <c r="WLD1195" s="7"/>
      <c r="WLE1195" s="7"/>
      <c r="WLF1195" s="7"/>
      <c r="WLG1195" s="7"/>
      <c r="WLH1195" s="7"/>
      <c r="WLI1195" s="7"/>
      <c r="WLJ1195" s="7"/>
      <c r="WLK1195" s="7"/>
      <c r="WLL1195" s="7"/>
      <c r="WLM1195" s="7"/>
      <c r="WLN1195" s="7"/>
      <c r="WLO1195" s="7"/>
      <c r="WLP1195" s="7"/>
      <c r="WLQ1195" s="7"/>
      <c r="WLR1195" s="7"/>
      <c r="WLS1195" s="7"/>
      <c r="WLT1195" s="7"/>
      <c r="WLU1195" s="7"/>
      <c r="WLV1195" s="7"/>
      <c r="WLW1195" s="7"/>
      <c r="WLX1195" s="7"/>
      <c r="WLY1195" s="7"/>
      <c r="WLZ1195" s="7"/>
      <c r="WMA1195" s="7"/>
      <c r="WMB1195" s="7"/>
      <c r="WMC1195" s="7"/>
      <c r="WMD1195" s="7"/>
      <c r="WME1195" s="7"/>
      <c r="WMF1195" s="7"/>
      <c r="WMG1195" s="7"/>
      <c r="WMH1195" s="7"/>
      <c r="WMI1195" s="7"/>
      <c r="WMJ1195" s="7"/>
      <c r="WMK1195" s="7"/>
      <c r="WML1195" s="7"/>
      <c r="WMM1195" s="7"/>
      <c r="WMN1195" s="7"/>
      <c r="WMO1195" s="7"/>
      <c r="WMP1195" s="7"/>
      <c r="WMQ1195" s="7"/>
      <c r="WMR1195" s="7"/>
      <c r="WMS1195" s="7"/>
      <c r="WMT1195" s="7"/>
      <c r="WMU1195" s="7"/>
      <c r="WMV1195" s="7"/>
      <c r="WMW1195" s="7"/>
      <c r="WMX1195" s="7"/>
      <c r="WMY1195" s="7"/>
      <c r="WMZ1195" s="7"/>
      <c r="WNA1195" s="7"/>
      <c r="WNB1195" s="7"/>
      <c r="WNC1195" s="7"/>
      <c r="WND1195" s="7"/>
      <c r="WNE1195" s="7"/>
      <c r="WNF1195" s="7"/>
      <c r="WNG1195" s="7"/>
      <c r="WNH1195" s="7"/>
      <c r="WNI1195" s="7"/>
      <c r="WNJ1195" s="7"/>
      <c r="WNK1195" s="7"/>
      <c r="WNL1195" s="7"/>
      <c r="WNM1195" s="7"/>
      <c r="WNN1195" s="7"/>
      <c r="WNO1195" s="7"/>
      <c r="WNP1195" s="7"/>
      <c r="WNQ1195" s="7"/>
      <c r="WNR1195" s="7"/>
      <c r="WNS1195" s="7"/>
      <c r="WNT1195" s="7"/>
      <c r="WNU1195" s="7"/>
      <c r="WNV1195" s="7"/>
      <c r="WNW1195" s="7"/>
      <c r="WNX1195" s="7"/>
      <c r="WNY1195" s="7"/>
      <c r="WNZ1195" s="7"/>
      <c r="WOA1195" s="7"/>
      <c r="WOB1195" s="7"/>
      <c r="WOC1195" s="7"/>
      <c r="WOD1195" s="7"/>
      <c r="WOE1195" s="7"/>
      <c r="WOF1195" s="7"/>
      <c r="WOG1195" s="7"/>
      <c r="WOH1195" s="7"/>
      <c r="WOI1195" s="7"/>
      <c r="WOJ1195" s="7"/>
      <c r="WOK1195" s="7"/>
      <c r="WOL1195" s="7"/>
      <c r="WOM1195" s="7"/>
      <c r="WON1195" s="7"/>
      <c r="WOO1195" s="7"/>
      <c r="WOP1195" s="7"/>
      <c r="WOQ1195" s="7"/>
      <c r="WOR1195" s="7"/>
      <c r="WOS1195" s="7"/>
      <c r="WOT1195" s="7"/>
      <c r="WOU1195" s="7"/>
      <c r="WOV1195" s="7"/>
      <c r="WOW1195" s="7"/>
      <c r="WOX1195" s="7"/>
      <c r="WOY1195" s="7"/>
      <c r="WOZ1195" s="7"/>
      <c r="WPA1195" s="7"/>
      <c r="WPB1195" s="7"/>
      <c r="WPC1195" s="7"/>
      <c r="WPD1195" s="7"/>
      <c r="WPE1195" s="7"/>
      <c r="WPF1195" s="7"/>
      <c r="WPG1195" s="7"/>
      <c r="WPH1195" s="7"/>
      <c r="WPI1195" s="7"/>
      <c r="WPJ1195" s="7"/>
      <c r="WPK1195" s="7"/>
      <c r="WPL1195" s="7"/>
      <c r="WPM1195" s="7"/>
      <c r="WPN1195" s="7"/>
      <c r="WPO1195" s="7"/>
      <c r="WPP1195" s="7"/>
      <c r="WPQ1195" s="7"/>
      <c r="WPR1195" s="7"/>
      <c r="WPS1195" s="7"/>
      <c r="WPT1195" s="7"/>
      <c r="WPU1195" s="7"/>
      <c r="WPV1195" s="7"/>
      <c r="WPW1195" s="7"/>
      <c r="WPX1195" s="7"/>
      <c r="WPY1195" s="7"/>
      <c r="WPZ1195" s="7"/>
      <c r="WQA1195" s="7"/>
      <c r="WQB1195" s="7"/>
      <c r="WQC1195" s="7"/>
      <c r="WQD1195" s="7"/>
      <c r="WQE1195" s="7"/>
      <c r="WQF1195" s="7"/>
      <c r="WQG1195" s="7"/>
      <c r="WQH1195" s="7"/>
      <c r="WQI1195" s="7"/>
      <c r="WQJ1195" s="7"/>
      <c r="WQK1195" s="7"/>
      <c r="WQL1195" s="7"/>
      <c r="WQM1195" s="7"/>
      <c r="WQN1195" s="7"/>
      <c r="WQO1195" s="7"/>
      <c r="WQP1195" s="7"/>
      <c r="WQQ1195" s="7"/>
      <c r="WQR1195" s="7"/>
      <c r="WQS1195" s="7"/>
      <c r="WQT1195" s="7"/>
      <c r="WQU1195" s="7"/>
      <c r="WQV1195" s="7"/>
      <c r="WQW1195" s="7"/>
      <c r="WQX1195" s="7"/>
      <c r="WQY1195" s="7"/>
      <c r="WQZ1195" s="7"/>
      <c r="WRA1195" s="7"/>
      <c r="WRB1195" s="7"/>
      <c r="WRC1195" s="7"/>
      <c r="WRD1195" s="7"/>
      <c r="WRE1195" s="7"/>
      <c r="WRF1195" s="7"/>
      <c r="WRG1195" s="7"/>
      <c r="WRH1195" s="7"/>
      <c r="WRI1195" s="7"/>
      <c r="WRJ1195" s="7"/>
      <c r="WRK1195" s="7"/>
      <c r="WRL1195" s="7"/>
      <c r="WRM1195" s="7"/>
      <c r="WRN1195" s="7"/>
      <c r="WRO1195" s="7"/>
      <c r="WRP1195" s="7"/>
      <c r="WRQ1195" s="7"/>
      <c r="WRR1195" s="7"/>
      <c r="WRS1195" s="7"/>
      <c r="WRT1195" s="7"/>
      <c r="WRU1195" s="7"/>
      <c r="WRV1195" s="7"/>
      <c r="WRW1195" s="7"/>
      <c r="WRX1195" s="7"/>
      <c r="WRY1195" s="7"/>
      <c r="WRZ1195" s="7"/>
      <c r="WSA1195" s="7"/>
      <c r="WSB1195" s="7"/>
      <c r="WSC1195" s="7"/>
      <c r="WSD1195" s="7"/>
      <c r="WSE1195" s="7"/>
      <c r="WSF1195" s="7"/>
      <c r="WSG1195" s="7"/>
      <c r="WSH1195" s="7"/>
      <c r="WSI1195" s="7"/>
      <c r="WSJ1195" s="7"/>
      <c r="WSK1195" s="7"/>
      <c r="WSL1195" s="7"/>
      <c r="WSM1195" s="7"/>
      <c r="WSN1195" s="7"/>
      <c r="WSO1195" s="7"/>
      <c r="WSP1195" s="7"/>
      <c r="WSQ1195" s="7"/>
      <c r="WSR1195" s="7"/>
      <c r="WSS1195" s="7"/>
      <c r="WST1195" s="7"/>
      <c r="WSU1195" s="7"/>
      <c r="WSV1195" s="7"/>
      <c r="WSW1195" s="7"/>
      <c r="WSX1195" s="7"/>
      <c r="WSY1195" s="7"/>
      <c r="WSZ1195" s="7"/>
      <c r="WTA1195" s="7"/>
      <c r="WTB1195" s="7"/>
      <c r="WTC1195" s="7"/>
      <c r="WTD1195" s="7"/>
      <c r="WTE1195" s="7"/>
      <c r="WTF1195" s="7"/>
      <c r="WTG1195" s="7"/>
      <c r="WTH1195" s="7"/>
      <c r="WTI1195" s="7"/>
      <c r="WTJ1195" s="7"/>
      <c r="WTK1195" s="7"/>
      <c r="WTL1195" s="7"/>
      <c r="WTM1195" s="7"/>
      <c r="WTN1195" s="7"/>
      <c r="WTO1195" s="7"/>
      <c r="WTP1195" s="7"/>
      <c r="WTQ1195" s="7"/>
      <c r="WTR1195" s="7"/>
      <c r="WTS1195" s="7"/>
      <c r="WTT1195" s="7"/>
      <c r="WTU1195" s="7"/>
      <c r="WTV1195" s="7"/>
      <c r="WTW1195" s="7"/>
      <c r="WTX1195" s="7"/>
      <c r="WTY1195" s="7"/>
      <c r="WTZ1195" s="7"/>
      <c r="WUA1195" s="7"/>
      <c r="WUB1195" s="7"/>
      <c r="WUC1195" s="7"/>
      <c r="WUD1195" s="7"/>
      <c r="WUE1195" s="7"/>
      <c r="WUF1195" s="7"/>
      <c r="WUG1195" s="7"/>
      <c r="WUH1195" s="7"/>
      <c r="WUI1195" s="7"/>
      <c r="WUJ1195" s="7"/>
      <c r="WUK1195" s="7"/>
      <c r="WUL1195" s="7"/>
      <c r="WUM1195" s="7"/>
      <c r="WUN1195" s="7"/>
      <c r="WUO1195" s="7"/>
      <c r="WUP1195" s="7"/>
      <c r="WUQ1195" s="7"/>
      <c r="WUR1195" s="7"/>
      <c r="WUS1195" s="7"/>
      <c r="WUT1195" s="7"/>
      <c r="WUU1195" s="7"/>
      <c r="WUV1195" s="7"/>
      <c r="WUW1195" s="7"/>
      <c r="WUX1195" s="7"/>
      <c r="WUY1195" s="7"/>
      <c r="WUZ1195" s="7"/>
      <c r="WVA1195" s="7"/>
      <c r="WVB1195" s="7"/>
      <c r="WVC1195" s="7"/>
      <c r="WVD1195" s="7"/>
      <c r="WVE1195" s="7"/>
      <c r="WVF1195" s="7"/>
      <c r="WVG1195" s="7"/>
      <c r="WVH1195" s="7"/>
      <c r="WVI1195" s="7"/>
      <c r="WVJ1195" s="7"/>
      <c r="WVK1195" s="7"/>
      <c r="WVL1195" s="7"/>
      <c r="WVM1195" s="7"/>
      <c r="WVN1195" s="7"/>
      <c r="WVO1195" s="7"/>
      <c r="WVP1195" s="7"/>
      <c r="WVQ1195" s="7"/>
      <c r="WVR1195" s="7"/>
      <c r="WVS1195" s="7"/>
      <c r="WVT1195" s="7"/>
      <c r="WVU1195" s="7"/>
      <c r="WVV1195" s="7"/>
      <c r="WVW1195" s="7"/>
      <c r="WVX1195" s="7"/>
      <c r="WVY1195" s="7"/>
      <c r="WVZ1195" s="7"/>
      <c r="WWA1195" s="7"/>
      <c r="WWB1195" s="7"/>
      <c r="WWC1195" s="7"/>
      <c r="WWD1195" s="7"/>
      <c r="WWE1195" s="7"/>
      <c r="WWF1195" s="7"/>
      <c r="WWG1195" s="7"/>
      <c r="WWH1195" s="7"/>
      <c r="WWI1195" s="7"/>
      <c r="WWJ1195" s="7"/>
      <c r="WWK1195" s="7"/>
      <c r="WWL1195" s="7"/>
      <c r="WWM1195" s="7"/>
      <c r="WWN1195" s="7"/>
      <c r="WWO1195" s="7"/>
      <c r="WWP1195" s="7"/>
      <c r="WWQ1195" s="7"/>
      <c r="WWR1195" s="7"/>
      <c r="WWS1195" s="7"/>
      <c r="WWT1195" s="7"/>
      <c r="WWU1195" s="7"/>
      <c r="WWV1195" s="7"/>
      <c r="WWW1195" s="7"/>
      <c r="WWX1195" s="7"/>
      <c r="WWY1195" s="7"/>
      <c r="WWZ1195" s="7"/>
      <c r="WXA1195" s="7"/>
      <c r="WXB1195" s="7"/>
      <c r="WXC1195" s="7"/>
      <c r="WXD1195" s="7"/>
      <c r="WXE1195" s="7"/>
      <c r="WXF1195" s="7"/>
      <c r="WXG1195" s="7"/>
      <c r="WXH1195" s="7"/>
      <c r="WXI1195" s="7"/>
      <c r="WXJ1195" s="7"/>
      <c r="WXK1195" s="7"/>
      <c r="WXL1195" s="7"/>
      <c r="WXM1195" s="7"/>
      <c r="WXN1195" s="7"/>
      <c r="WXO1195" s="7"/>
      <c r="WXP1195" s="7"/>
      <c r="WXQ1195" s="7"/>
      <c r="WXR1195" s="7"/>
      <c r="WXS1195" s="7"/>
      <c r="WXT1195" s="7"/>
      <c r="WXU1195" s="7"/>
      <c r="WXV1195" s="7"/>
      <c r="WXW1195" s="7"/>
      <c r="WXX1195" s="7"/>
      <c r="WXY1195" s="7"/>
      <c r="WXZ1195" s="7"/>
      <c r="WYA1195" s="7"/>
    </row>
    <row r="1196" spans="1:16199" ht="61.5" x14ac:dyDescent="0.85">
      <c r="A1196" s="7">
        <v>1</v>
      </c>
      <c r="B1196" s="59">
        <f>SUBTOTAL(103,$A$1032:A1196)</f>
        <v>162</v>
      </c>
      <c r="C1196" s="160" t="s">
        <v>713</v>
      </c>
      <c r="D1196" s="60">
        <f t="shared" si="194"/>
        <v>2397627.48</v>
      </c>
      <c r="E1196" s="60">
        <v>0</v>
      </c>
      <c r="F1196" s="60">
        <v>0</v>
      </c>
      <c r="G1196" s="60">
        <v>0</v>
      </c>
      <c r="H1196" s="60">
        <v>0</v>
      </c>
      <c r="I1196" s="60">
        <v>0</v>
      </c>
      <c r="J1196" s="60">
        <v>0</v>
      </c>
      <c r="K1196" s="168">
        <v>0</v>
      </c>
      <c r="L1196" s="60">
        <v>0</v>
      </c>
      <c r="M1196" s="62">
        <v>253.4</v>
      </c>
      <c r="N1196" s="62">
        <v>2367092</v>
      </c>
      <c r="O1196" s="60">
        <v>0</v>
      </c>
      <c r="P1196" s="60">
        <v>0</v>
      </c>
      <c r="Q1196" s="60">
        <v>0</v>
      </c>
      <c r="R1196" s="60">
        <v>0</v>
      </c>
      <c r="S1196" s="60">
        <v>0</v>
      </c>
      <c r="T1196" s="60">
        <v>0</v>
      </c>
      <c r="U1196" s="60">
        <v>0</v>
      </c>
      <c r="V1196" s="60">
        <v>0</v>
      </c>
      <c r="W1196" s="60">
        <v>0</v>
      </c>
      <c r="X1196" s="60">
        <v>0</v>
      </c>
      <c r="Y1196" s="60">
        <v>0</v>
      </c>
      <c r="Z1196" s="60">
        <v>0</v>
      </c>
      <c r="AA1196" s="60">
        <v>0</v>
      </c>
      <c r="AB1196" s="60">
        <v>0</v>
      </c>
      <c r="AC1196" s="60">
        <v>30535.48</v>
      </c>
      <c r="AD1196" s="60">
        <v>0</v>
      </c>
      <c r="AE1196" s="60">
        <v>0</v>
      </c>
      <c r="AF1196" s="170" t="s">
        <v>257</v>
      </c>
      <c r="AG1196" s="170">
        <v>2022</v>
      </c>
      <c r="AH1196" s="63">
        <v>2022</v>
      </c>
    </row>
    <row r="1197" spans="1:16199" ht="61.5" x14ac:dyDescent="0.85">
      <c r="A1197" s="7">
        <v>1</v>
      </c>
      <c r="B1197" s="59">
        <f>SUBTOTAL(103,$A$1032:A1197)</f>
        <v>163</v>
      </c>
      <c r="C1197" s="160" t="s">
        <v>721</v>
      </c>
      <c r="D1197" s="60">
        <f t="shared" si="194"/>
        <v>8267506.5599999996</v>
      </c>
      <c r="E1197" s="60">
        <v>0</v>
      </c>
      <c r="F1197" s="60">
        <v>0</v>
      </c>
      <c r="G1197" s="60">
        <v>0</v>
      </c>
      <c r="H1197" s="60">
        <v>0</v>
      </c>
      <c r="I1197" s="60">
        <v>0</v>
      </c>
      <c r="J1197" s="60">
        <v>0</v>
      </c>
      <c r="K1197" s="168">
        <v>0</v>
      </c>
      <c r="L1197" s="60">
        <v>0</v>
      </c>
      <c r="M1197" s="60">
        <v>943.67</v>
      </c>
      <c r="N1197" s="62">
        <v>8162214</v>
      </c>
      <c r="O1197" s="60">
        <v>0</v>
      </c>
      <c r="P1197" s="60">
        <v>0</v>
      </c>
      <c r="Q1197" s="60">
        <v>0</v>
      </c>
      <c r="R1197" s="60">
        <v>0</v>
      </c>
      <c r="S1197" s="60">
        <v>0</v>
      </c>
      <c r="T1197" s="60">
        <v>0</v>
      </c>
      <c r="U1197" s="60">
        <v>0</v>
      </c>
      <c r="V1197" s="60">
        <v>0</v>
      </c>
      <c r="W1197" s="60">
        <v>0</v>
      </c>
      <c r="X1197" s="60">
        <v>0</v>
      </c>
      <c r="Y1197" s="60">
        <v>0</v>
      </c>
      <c r="Z1197" s="60">
        <v>0</v>
      </c>
      <c r="AA1197" s="60">
        <v>0</v>
      </c>
      <c r="AB1197" s="60">
        <v>0</v>
      </c>
      <c r="AC1197" s="60">
        <v>105292.56</v>
      </c>
      <c r="AD1197" s="60">
        <v>0</v>
      </c>
      <c r="AE1197" s="60">
        <v>0</v>
      </c>
      <c r="AF1197" s="170" t="s">
        <v>257</v>
      </c>
      <c r="AG1197" s="170">
        <v>2022</v>
      </c>
      <c r="AH1197" s="63">
        <v>2022</v>
      </c>
    </row>
    <row r="1198" spans="1:16199" ht="61.5" x14ac:dyDescent="0.85">
      <c r="A1198" s="7">
        <v>1</v>
      </c>
      <c r="B1198" s="59">
        <f>SUBTOTAL(103,$A$1032:A1198)</f>
        <v>164</v>
      </c>
      <c r="C1198" s="160" t="s">
        <v>722</v>
      </c>
      <c r="D1198" s="60">
        <f>E1198+F1198+G1198+H1198+I1198+J1198+L1198+N1198+P1198+R1198+T1198+U1198+V1198+W1198+X1198+Y1198+Z1198+AA1198+AB1198+AC1198+AD1198+AE1198</f>
        <v>3696006.93</v>
      </c>
      <c r="E1198" s="60">
        <v>0</v>
      </c>
      <c r="F1198" s="60">
        <v>0</v>
      </c>
      <c r="G1198" s="60">
        <v>0</v>
      </c>
      <c r="H1198" s="60">
        <v>0</v>
      </c>
      <c r="I1198" s="60">
        <v>0</v>
      </c>
      <c r="J1198" s="60">
        <v>0</v>
      </c>
      <c r="K1198" s="168">
        <v>0</v>
      </c>
      <c r="L1198" s="60">
        <v>0</v>
      </c>
      <c r="M1198" s="60">
        <v>622.15</v>
      </c>
      <c r="N1198" s="60">
        <v>3648125.29</v>
      </c>
      <c r="O1198" s="60">
        <v>0</v>
      </c>
      <c r="P1198" s="60">
        <v>0</v>
      </c>
      <c r="Q1198" s="60">
        <v>0</v>
      </c>
      <c r="R1198" s="60">
        <v>0</v>
      </c>
      <c r="S1198" s="60">
        <v>0</v>
      </c>
      <c r="T1198" s="60">
        <v>0</v>
      </c>
      <c r="U1198" s="60">
        <v>0</v>
      </c>
      <c r="V1198" s="60">
        <v>0</v>
      </c>
      <c r="W1198" s="60">
        <v>0</v>
      </c>
      <c r="X1198" s="60">
        <v>0</v>
      </c>
      <c r="Y1198" s="60">
        <v>0</v>
      </c>
      <c r="Z1198" s="60">
        <v>0</v>
      </c>
      <c r="AA1198" s="60">
        <v>0</v>
      </c>
      <c r="AB1198" s="60">
        <v>0</v>
      </c>
      <c r="AC1198" s="60">
        <v>47881.64</v>
      </c>
      <c r="AD1198" s="60">
        <v>0</v>
      </c>
      <c r="AE1198" s="60">
        <v>0</v>
      </c>
      <c r="AF1198" s="170" t="s">
        <v>257</v>
      </c>
      <c r="AG1198" s="170">
        <v>2022</v>
      </c>
      <c r="AH1198" s="63">
        <v>2022</v>
      </c>
    </row>
    <row r="1199" spans="1:16199" ht="61.5" x14ac:dyDescent="0.85">
      <c r="A1199" s="7">
        <v>1</v>
      </c>
      <c r="B1199" s="59">
        <f>SUBTOTAL(103,$A$1032:A1199)</f>
        <v>165</v>
      </c>
      <c r="C1199" s="160" t="s">
        <v>727</v>
      </c>
      <c r="D1199" s="60">
        <f>E1199+F1199+G1199+H1199+I1199+J1199+L1199+N1199+P1199+R1199+T1199+U1199+V1199+W1199+X1199+Y1199+Z1199+AA1199+AB1199+AC1199+AD1199+AE1199</f>
        <v>5400690.3099999996</v>
      </c>
      <c r="E1199" s="60">
        <v>0</v>
      </c>
      <c r="F1199" s="60">
        <v>0</v>
      </c>
      <c r="G1199" s="60">
        <v>0</v>
      </c>
      <c r="H1199" s="60">
        <v>0</v>
      </c>
      <c r="I1199" s="60">
        <v>0</v>
      </c>
      <c r="J1199" s="60">
        <v>0</v>
      </c>
      <c r="K1199" s="168">
        <v>0</v>
      </c>
      <c r="L1199" s="60">
        <v>0</v>
      </c>
      <c r="M1199" s="60">
        <v>1077.29</v>
      </c>
      <c r="N1199" s="60">
        <v>5330724.55</v>
      </c>
      <c r="O1199" s="60">
        <v>0</v>
      </c>
      <c r="P1199" s="60">
        <v>0</v>
      </c>
      <c r="Q1199" s="60">
        <v>0</v>
      </c>
      <c r="R1199" s="60">
        <v>0</v>
      </c>
      <c r="S1199" s="60">
        <v>0</v>
      </c>
      <c r="T1199" s="60">
        <v>0</v>
      </c>
      <c r="U1199" s="60">
        <v>0</v>
      </c>
      <c r="V1199" s="60">
        <v>0</v>
      </c>
      <c r="W1199" s="60">
        <v>0</v>
      </c>
      <c r="X1199" s="60">
        <v>0</v>
      </c>
      <c r="Y1199" s="60">
        <v>0</v>
      </c>
      <c r="Z1199" s="60">
        <v>0</v>
      </c>
      <c r="AA1199" s="60">
        <v>0</v>
      </c>
      <c r="AB1199" s="60">
        <v>0</v>
      </c>
      <c r="AC1199" s="60">
        <v>69965.759999999995</v>
      </c>
      <c r="AD1199" s="60">
        <v>0</v>
      </c>
      <c r="AE1199" s="60">
        <v>0</v>
      </c>
      <c r="AF1199" s="170" t="s">
        <v>257</v>
      </c>
      <c r="AG1199" s="170">
        <v>2022</v>
      </c>
      <c r="AH1199" s="63">
        <v>2022</v>
      </c>
    </row>
    <row r="1200" spans="1:16199" ht="61.5" x14ac:dyDescent="0.85">
      <c r="A1200" s="7">
        <v>1</v>
      </c>
      <c r="B1200" s="59">
        <f>SUBTOTAL(103,$A$1032:A1200)</f>
        <v>166</v>
      </c>
      <c r="C1200" s="160" t="s">
        <v>2131</v>
      </c>
      <c r="D1200" s="60">
        <f t="shared" ref="D1200:D1216" si="197">E1200+F1200+G1200+H1200+I1200+J1200+L1200+N1200+P1200+R1200+T1200+U1200+V1200+W1200+X1200+Y1200+Z1200+AA1200+AB1200+AC1200+AD1200+AE1200</f>
        <v>151078.81</v>
      </c>
      <c r="E1200" s="60">
        <v>0</v>
      </c>
      <c r="F1200" s="60">
        <v>0</v>
      </c>
      <c r="G1200" s="60">
        <v>0</v>
      </c>
      <c r="H1200" s="60">
        <v>0</v>
      </c>
      <c r="I1200" s="60">
        <v>0</v>
      </c>
      <c r="J1200" s="60">
        <v>0</v>
      </c>
      <c r="K1200" s="168">
        <v>0</v>
      </c>
      <c r="L1200" s="60">
        <v>0</v>
      </c>
      <c r="M1200" s="60">
        <v>0</v>
      </c>
      <c r="N1200" s="60">
        <v>0</v>
      </c>
      <c r="O1200" s="60">
        <v>0</v>
      </c>
      <c r="P1200" s="60">
        <v>0</v>
      </c>
      <c r="Q1200" s="60">
        <v>0</v>
      </c>
      <c r="R1200" s="60">
        <v>0</v>
      </c>
      <c r="S1200" s="60">
        <v>0</v>
      </c>
      <c r="T1200" s="60">
        <v>0</v>
      </c>
      <c r="U1200" s="60">
        <v>0</v>
      </c>
      <c r="V1200" s="60">
        <v>0</v>
      </c>
      <c r="W1200" s="60">
        <v>0</v>
      </c>
      <c r="X1200" s="60">
        <v>0</v>
      </c>
      <c r="Y1200" s="60">
        <v>0</v>
      </c>
      <c r="Z1200" s="60">
        <v>0</v>
      </c>
      <c r="AA1200" s="60">
        <v>0</v>
      </c>
      <c r="AB1200" s="60">
        <v>0</v>
      </c>
      <c r="AC1200" s="60">
        <v>0</v>
      </c>
      <c r="AD1200" s="60">
        <v>151078.81</v>
      </c>
      <c r="AE1200" s="60">
        <v>0</v>
      </c>
      <c r="AF1200" s="170">
        <v>2022</v>
      </c>
      <c r="AG1200" s="170" t="s">
        <v>257</v>
      </c>
      <c r="AH1200" s="63" t="s">
        <v>257</v>
      </c>
    </row>
    <row r="1201" spans="1:34" ht="61.5" x14ac:dyDescent="0.85">
      <c r="A1201" s="7">
        <v>1</v>
      </c>
      <c r="B1201" s="59">
        <f>SUBTOTAL(103,$A$1032:A1201)</f>
        <v>167</v>
      </c>
      <c r="C1201" s="160" t="s">
        <v>735</v>
      </c>
      <c r="D1201" s="60">
        <f t="shared" si="197"/>
        <v>10763863.199999999</v>
      </c>
      <c r="E1201" s="60">
        <v>0</v>
      </c>
      <c r="F1201" s="60">
        <v>0</v>
      </c>
      <c r="G1201" s="60">
        <v>0</v>
      </c>
      <c r="H1201" s="60">
        <v>0</v>
      </c>
      <c r="I1201" s="60">
        <v>0</v>
      </c>
      <c r="J1201" s="60">
        <v>0</v>
      </c>
      <c r="K1201" s="168">
        <v>0</v>
      </c>
      <c r="L1201" s="60">
        <v>0</v>
      </c>
      <c r="M1201" s="60">
        <v>1253.1199999999999</v>
      </c>
      <c r="N1201" s="60">
        <v>10396025.75</v>
      </c>
      <c r="O1201" s="60">
        <v>0</v>
      </c>
      <c r="P1201" s="60">
        <v>0</v>
      </c>
      <c r="Q1201" s="60">
        <v>0</v>
      </c>
      <c r="R1201" s="60">
        <v>0</v>
      </c>
      <c r="S1201" s="60">
        <v>0</v>
      </c>
      <c r="T1201" s="60">
        <v>0</v>
      </c>
      <c r="U1201" s="60">
        <v>0</v>
      </c>
      <c r="V1201" s="60">
        <v>0</v>
      </c>
      <c r="W1201" s="60">
        <v>0</v>
      </c>
      <c r="X1201" s="60">
        <v>0</v>
      </c>
      <c r="Y1201" s="60">
        <v>0</v>
      </c>
      <c r="Z1201" s="60">
        <v>0</v>
      </c>
      <c r="AA1201" s="60">
        <v>0</v>
      </c>
      <c r="AB1201" s="60">
        <v>0</v>
      </c>
      <c r="AC1201" s="60">
        <f t="shared" ref="AC1201" si="198">ROUND(N1201*1.0593%,2)+ROUND(E1201*1.0593%,2)+ROUND(F1201*1.0593%,2)+ROUND(G1201*1.0593%,2)+ROUND(H1201*1.0593%,2)+ROUND(I1201*1.0593%,2)+ROUND(J1201*1.0593%,2)+ROUND(L1201*1.0593%,2)+ROUND(P1201*1.0593%,2)+ROUND(R1201*1.0593%,2)+ROUND(T1201*1.0593%,2)+ROUND(U1201*1.0593%,2)+ROUND(V1201*1.0593%,2)+ROUND(W1201*1.0593%,2)+ROUND(X1201*1.0593%,2)+ROUND(Y1201*1.0593%,2)+ROUND(Z1201*1.0593%,2)+ROUND(AA1201*1.0593%,2)+ROUND(AB1201*1.0593%,2)</f>
        <v>110125.1</v>
      </c>
      <c r="AD1201" s="60">
        <v>257712.35</v>
      </c>
      <c r="AE1201" s="60">
        <v>0</v>
      </c>
      <c r="AF1201" s="170">
        <v>2022</v>
      </c>
      <c r="AG1201" s="170">
        <v>2022</v>
      </c>
      <c r="AH1201" s="63">
        <v>2022</v>
      </c>
    </row>
    <row r="1202" spans="1:34" ht="61.5" x14ac:dyDescent="0.85">
      <c r="A1202" s="7">
        <v>1</v>
      </c>
      <c r="B1202" s="59">
        <f>SUBTOTAL(103,$A$1032:A1202)</f>
        <v>168</v>
      </c>
      <c r="C1202" s="160" t="s">
        <v>2155</v>
      </c>
      <c r="D1202" s="60">
        <f t="shared" si="197"/>
        <v>2336541.27</v>
      </c>
      <c r="E1202" s="60">
        <v>0</v>
      </c>
      <c r="F1202" s="60">
        <v>0</v>
      </c>
      <c r="G1202" s="60">
        <v>0</v>
      </c>
      <c r="H1202" s="60">
        <v>0</v>
      </c>
      <c r="I1202" s="60">
        <v>0</v>
      </c>
      <c r="J1202" s="60">
        <v>0</v>
      </c>
      <c r="K1202" s="168">
        <v>0</v>
      </c>
      <c r="L1202" s="60">
        <v>0</v>
      </c>
      <c r="M1202" s="201">
        <v>263.58</v>
      </c>
      <c r="N1202" s="201">
        <v>2245982.73</v>
      </c>
      <c r="O1202" s="60">
        <v>0</v>
      </c>
      <c r="P1202" s="60">
        <v>0</v>
      </c>
      <c r="Q1202" s="60">
        <v>0</v>
      </c>
      <c r="R1202" s="60">
        <v>0</v>
      </c>
      <c r="S1202" s="60">
        <v>0</v>
      </c>
      <c r="T1202" s="60">
        <v>0</v>
      </c>
      <c r="U1202" s="60">
        <v>0</v>
      </c>
      <c r="V1202" s="60">
        <v>0</v>
      </c>
      <c r="W1202" s="60">
        <v>0</v>
      </c>
      <c r="X1202" s="60">
        <v>0</v>
      </c>
      <c r="Y1202" s="60">
        <v>0</v>
      </c>
      <c r="Z1202" s="60">
        <v>0</v>
      </c>
      <c r="AA1202" s="60">
        <v>0</v>
      </c>
      <c r="AB1202" s="60">
        <v>0</v>
      </c>
      <c r="AC1202" s="60">
        <f>ROUND(N1202*1.3125%,2)</f>
        <v>29478.52</v>
      </c>
      <c r="AD1202" s="60">
        <v>61080.02</v>
      </c>
      <c r="AE1202" s="60">
        <v>0</v>
      </c>
      <c r="AF1202" s="170">
        <v>2022</v>
      </c>
      <c r="AG1202" s="170">
        <v>2022</v>
      </c>
      <c r="AH1202" s="63">
        <v>2022</v>
      </c>
    </row>
    <row r="1203" spans="1:34" ht="61.5" x14ac:dyDescent="0.85">
      <c r="A1203" s="7">
        <v>1</v>
      </c>
      <c r="B1203" s="59">
        <f>SUBTOTAL(103,$A$1032:A1203)</f>
        <v>169</v>
      </c>
      <c r="C1203" s="160" t="s">
        <v>2385</v>
      </c>
      <c r="D1203" s="60">
        <f t="shared" si="197"/>
        <v>5849650.5499999998</v>
      </c>
      <c r="E1203" s="62">
        <v>0</v>
      </c>
      <c r="F1203" s="62">
        <v>0</v>
      </c>
      <c r="G1203" s="62">
        <v>0</v>
      </c>
      <c r="H1203" s="62">
        <v>0</v>
      </c>
      <c r="I1203" s="62">
        <v>0</v>
      </c>
      <c r="J1203" s="62">
        <v>0</v>
      </c>
      <c r="K1203" s="168">
        <v>2</v>
      </c>
      <c r="L1203" s="201">
        <v>5726464.5999999996</v>
      </c>
      <c r="M1203" s="204">
        <v>0</v>
      </c>
      <c r="N1203" s="201">
        <v>0</v>
      </c>
      <c r="O1203" s="62">
        <v>0</v>
      </c>
      <c r="P1203" s="62">
        <v>0</v>
      </c>
      <c r="Q1203" s="201">
        <v>0</v>
      </c>
      <c r="R1203" s="201">
        <v>0</v>
      </c>
      <c r="S1203" s="62">
        <v>0</v>
      </c>
      <c r="T1203" s="62">
        <v>0</v>
      </c>
      <c r="U1203" s="62">
        <v>0</v>
      </c>
      <c r="V1203" s="62">
        <v>0</v>
      </c>
      <c r="W1203" s="62">
        <v>0</v>
      </c>
      <c r="X1203" s="62">
        <v>0</v>
      </c>
      <c r="Y1203" s="62">
        <v>0</v>
      </c>
      <c r="Z1203" s="62">
        <v>0</v>
      </c>
      <c r="AA1203" s="62">
        <v>0</v>
      </c>
      <c r="AB1203" s="62">
        <v>0</v>
      </c>
      <c r="AC1203" s="201">
        <v>0</v>
      </c>
      <c r="AD1203" s="201">
        <v>123185.95</v>
      </c>
      <c r="AE1203" s="62">
        <v>0</v>
      </c>
      <c r="AF1203" s="202">
        <v>2022</v>
      </c>
      <c r="AG1203" s="170">
        <v>2022</v>
      </c>
      <c r="AH1203" s="202" t="s">
        <v>257</v>
      </c>
    </row>
    <row r="1204" spans="1:34" ht="61.5" x14ac:dyDescent="0.85">
      <c r="A1204" s="7">
        <v>1</v>
      </c>
      <c r="B1204" s="59">
        <f>SUBTOTAL(103,$A$1032:A1204)</f>
        <v>170</v>
      </c>
      <c r="C1204" s="160" t="s">
        <v>3251</v>
      </c>
      <c r="D1204" s="60">
        <f t="shared" si="197"/>
        <v>9149005.4800000004</v>
      </c>
      <c r="E1204" s="62">
        <v>0</v>
      </c>
      <c r="F1204" s="62">
        <v>0</v>
      </c>
      <c r="G1204" s="62">
        <v>0</v>
      </c>
      <c r="H1204" s="62">
        <v>0</v>
      </c>
      <c r="I1204" s="62">
        <v>0</v>
      </c>
      <c r="J1204" s="62">
        <v>0</v>
      </c>
      <c r="K1204" s="168">
        <v>3</v>
      </c>
      <c r="L1204" s="201">
        <v>9017282.7300000004</v>
      </c>
      <c r="M1204" s="204">
        <v>0</v>
      </c>
      <c r="N1204" s="201">
        <v>0</v>
      </c>
      <c r="O1204" s="62">
        <v>0</v>
      </c>
      <c r="P1204" s="62">
        <v>0</v>
      </c>
      <c r="Q1204" s="201">
        <v>0</v>
      </c>
      <c r="R1204" s="201">
        <v>0</v>
      </c>
      <c r="S1204" s="62">
        <v>0</v>
      </c>
      <c r="T1204" s="62">
        <v>0</v>
      </c>
      <c r="U1204" s="62">
        <v>0</v>
      </c>
      <c r="V1204" s="62">
        <v>0</v>
      </c>
      <c r="W1204" s="62">
        <v>0</v>
      </c>
      <c r="X1204" s="62">
        <v>0</v>
      </c>
      <c r="Y1204" s="62">
        <v>0</v>
      </c>
      <c r="Z1204" s="62">
        <v>0</v>
      </c>
      <c r="AA1204" s="62">
        <v>0</v>
      </c>
      <c r="AB1204" s="62">
        <v>0</v>
      </c>
      <c r="AC1204" s="201">
        <v>0</v>
      </c>
      <c r="AD1204" s="201">
        <v>131722.75</v>
      </c>
      <c r="AE1204" s="62">
        <v>0</v>
      </c>
      <c r="AF1204" s="202">
        <v>2022</v>
      </c>
      <c r="AG1204" s="170">
        <v>2022</v>
      </c>
      <c r="AH1204" s="202" t="s">
        <v>257</v>
      </c>
    </row>
    <row r="1205" spans="1:34" ht="61.5" x14ac:dyDescent="0.85">
      <c r="A1205" s="7">
        <v>1</v>
      </c>
      <c r="B1205" s="59">
        <f>SUBTOTAL(103,$A$1032:A1205)</f>
        <v>171</v>
      </c>
      <c r="C1205" s="160" t="s">
        <v>2389</v>
      </c>
      <c r="D1205" s="60">
        <f t="shared" si="197"/>
        <v>6077158.7199999997</v>
      </c>
      <c r="E1205" s="62">
        <v>0</v>
      </c>
      <c r="F1205" s="62">
        <v>0</v>
      </c>
      <c r="G1205" s="62">
        <v>0</v>
      </c>
      <c r="H1205" s="62">
        <v>0</v>
      </c>
      <c r="I1205" s="62">
        <v>0</v>
      </c>
      <c r="J1205" s="62">
        <v>0</v>
      </c>
      <c r="K1205" s="168">
        <v>2</v>
      </c>
      <c r="L1205" s="201">
        <v>5951644.46</v>
      </c>
      <c r="M1205" s="204">
        <v>0</v>
      </c>
      <c r="N1205" s="201">
        <v>0</v>
      </c>
      <c r="O1205" s="62">
        <v>0</v>
      </c>
      <c r="P1205" s="62">
        <v>0</v>
      </c>
      <c r="Q1205" s="201">
        <v>0</v>
      </c>
      <c r="R1205" s="201">
        <v>0</v>
      </c>
      <c r="S1205" s="62">
        <v>0</v>
      </c>
      <c r="T1205" s="62">
        <v>0</v>
      </c>
      <c r="U1205" s="62">
        <v>0</v>
      </c>
      <c r="V1205" s="62">
        <v>0</v>
      </c>
      <c r="W1205" s="62">
        <v>0</v>
      </c>
      <c r="X1205" s="62">
        <v>0</v>
      </c>
      <c r="Y1205" s="62">
        <v>0</v>
      </c>
      <c r="Z1205" s="62">
        <v>0</v>
      </c>
      <c r="AA1205" s="62">
        <v>0</v>
      </c>
      <c r="AB1205" s="62">
        <v>0</v>
      </c>
      <c r="AC1205" s="201">
        <v>0</v>
      </c>
      <c r="AD1205" s="201">
        <v>125514.26</v>
      </c>
      <c r="AE1205" s="62">
        <v>0</v>
      </c>
      <c r="AF1205" s="202">
        <v>2022</v>
      </c>
      <c r="AG1205" s="170">
        <v>2022</v>
      </c>
      <c r="AH1205" s="202" t="s">
        <v>257</v>
      </c>
    </row>
    <row r="1206" spans="1:34" ht="61.5" x14ac:dyDescent="0.85">
      <c r="A1206" s="7">
        <v>1</v>
      </c>
      <c r="B1206" s="59">
        <f>SUBTOTAL(103,$A$1032:A1206)</f>
        <v>172</v>
      </c>
      <c r="C1206" s="160" t="s">
        <v>3252</v>
      </c>
      <c r="D1206" s="60">
        <f t="shared" si="197"/>
        <v>9169647.7799999993</v>
      </c>
      <c r="E1206" s="62">
        <v>0</v>
      </c>
      <c r="F1206" s="62">
        <v>0</v>
      </c>
      <c r="G1206" s="62">
        <v>0</v>
      </c>
      <c r="H1206" s="62">
        <v>0</v>
      </c>
      <c r="I1206" s="62">
        <v>0</v>
      </c>
      <c r="J1206" s="62">
        <v>0</v>
      </c>
      <c r="K1206" s="168">
        <v>3</v>
      </c>
      <c r="L1206" s="201">
        <v>9041373.209999999</v>
      </c>
      <c r="M1206" s="204">
        <v>0</v>
      </c>
      <c r="N1206" s="201">
        <v>0</v>
      </c>
      <c r="O1206" s="62">
        <v>0</v>
      </c>
      <c r="P1206" s="62">
        <v>0</v>
      </c>
      <c r="Q1206" s="201">
        <v>0</v>
      </c>
      <c r="R1206" s="201">
        <v>0</v>
      </c>
      <c r="S1206" s="62">
        <v>0</v>
      </c>
      <c r="T1206" s="62">
        <v>0</v>
      </c>
      <c r="U1206" s="62">
        <v>0</v>
      </c>
      <c r="V1206" s="62">
        <v>0</v>
      </c>
      <c r="W1206" s="62">
        <v>0</v>
      </c>
      <c r="X1206" s="62">
        <v>0</v>
      </c>
      <c r="Y1206" s="62">
        <v>0</v>
      </c>
      <c r="Z1206" s="62">
        <v>0</v>
      </c>
      <c r="AA1206" s="62">
        <v>0</v>
      </c>
      <c r="AB1206" s="62">
        <v>0</v>
      </c>
      <c r="AC1206" s="201">
        <v>0</v>
      </c>
      <c r="AD1206" s="201">
        <v>128274.57</v>
      </c>
      <c r="AE1206" s="62">
        <v>0</v>
      </c>
      <c r="AF1206" s="202">
        <v>2022</v>
      </c>
      <c r="AG1206" s="170">
        <v>2022</v>
      </c>
      <c r="AH1206" s="202" t="s">
        <v>257</v>
      </c>
    </row>
    <row r="1207" spans="1:34" ht="61.5" x14ac:dyDescent="0.85">
      <c r="A1207" s="7">
        <v>1</v>
      </c>
      <c r="B1207" s="59">
        <f>SUBTOTAL(103,$A$1032:A1207)</f>
        <v>173</v>
      </c>
      <c r="C1207" s="160" t="s">
        <v>3253</v>
      </c>
      <c r="D1207" s="60">
        <f t="shared" si="197"/>
        <v>12255481.440000001</v>
      </c>
      <c r="E1207" s="62">
        <v>0</v>
      </c>
      <c r="F1207" s="62">
        <v>0</v>
      </c>
      <c r="G1207" s="62">
        <v>0</v>
      </c>
      <c r="H1207" s="62">
        <v>0</v>
      </c>
      <c r="I1207" s="62">
        <v>0</v>
      </c>
      <c r="J1207" s="62">
        <v>0</v>
      </c>
      <c r="K1207" s="168">
        <v>4</v>
      </c>
      <c r="L1207" s="201">
        <v>12118970.880000001</v>
      </c>
      <c r="M1207" s="204">
        <v>0</v>
      </c>
      <c r="N1207" s="201">
        <v>0</v>
      </c>
      <c r="O1207" s="62">
        <v>0</v>
      </c>
      <c r="P1207" s="62">
        <v>0</v>
      </c>
      <c r="Q1207" s="201">
        <v>0</v>
      </c>
      <c r="R1207" s="201">
        <v>0</v>
      </c>
      <c r="S1207" s="62">
        <v>0</v>
      </c>
      <c r="T1207" s="62">
        <v>0</v>
      </c>
      <c r="U1207" s="62">
        <v>0</v>
      </c>
      <c r="V1207" s="62">
        <v>0</v>
      </c>
      <c r="W1207" s="62">
        <v>0</v>
      </c>
      <c r="X1207" s="62">
        <v>0</v>
      </c>
      <c r="Y1207" s="62">
        <v>0</v>
      </c>
      <c r="Z1207" s="62">
        <v>0</v>
      </c>
      <c r="AA1207" s="62">
        <v>0</v>
      </c>
      <c r="AB1207" s="62">
        <v>0</v>
      </c>
      <c r="AC1207" s="201">
        <v>0</v>
      </c>
      <c r="AD1207" s="201">
        <v>136510.56</v>
      </c>
      <c r="AE1207" s="62">
        <v>0</v>
      </c>
      <c r="AF1207" s="202">
        <v>2022</v>
      </c>
      <c r="AG1207" s="170">
        <v>2022</v>
      </c>
      <c r="AH1207" s="202" t="s">
        <v>257</v>
      </c>
    </row>
    <row r="1208" spans="1:34" ht="61.5" x14ac:dyDescent="0.85">
      <c r="A1208" s="7">
        <v>1</v>
      </c>
      <c r="B1208" s="59">
        <f>SUBTOTAL(103,$A$1032:A1208)</f>
        <v>174</v>
      </c>
      <c r="C1208" s="160" t="s">
        <v>3254</v>
      </c>
      <c r="D1208" s="60">
        <f t="shared" si="197"/>
        <v>14462666.060000002</v>
      </c>
      <c r="E1208" s="62">
        <v>0</v>
      </c>
      <c r="F1208" s="62">
        <v>0</v>
      </c>
      <c r="G1208" s="62">
        <v>0</v>
      </c>
      <c r="H1208" s="62">
        <v>0</v>
      </c>
      <c r="I1208" s="62">
        <v>0</v>
      </c>
      <c r="J1208" s="62">
        <v>0</v>
      </c>
      <c r="K1208" s="168">
        <v>5</v>
      </c>
      <c r="L1208" s="201">
        <v>14307564.380000003</v>
      </c>
      <c r="M1208" s="204">
        <v>0</v>
      </c>
      <c r="N1208" s="201">
        <v>0</v>
      </c>
      <c r="O1208" s="62">
        <v>0</v>
      </c>
      <c r="P1208" s="62">
        <v>0</v>
      </c>
      <c r="Q1208" s="201">
        <v>0</v>
      </c>
      <c r="R1208" s="201">
        <v>0</v>
      </c>
      <c r="S1208" s="62">
        <v>0</v>
      </c>
      <c r="T1208" s="62">
        <v>0</v>
      </c>
      <c r="U1208" s="62">
        <v>0</v>
      </c>
      <c r="V1208" s="62">
        <v>0</v>
      </c>
      <c r="W1208" s="62">
        <v>0</v>
      </c>
      <c r="X1208" s="62">
        <v>0</v>
      </c>
      <c r="Y1208" s="62">
        <v>0</v>
      </c>
      <c r="Z1208" s="62">
        <v>0</v>
      </c>
      <c r="AA1208" s="62">
        <v>0</v>
      </c>
      <c r="AB1208" s="62">
        <v>0</v>
      </c>
      <c r="AC1208" s="201">
        <v>0</v>
      </c>
      <c r="AD1208" s="201">
        <v>155101.68</v>
      </c>
      <c r="AE1208" s="62">
        <v>0</v>
      </c>
      <c r="AF1208" s="202">
        <v>2022</v>
      </c>
      <c r="AG1208" s="170">
        <v>2022</v>
      </c>
      <c r="AH1208" s="202" t="s">
        <v>257</v>
      </c>
    </row>
    <row r="1209" spans="1:34" ht="61.5" x14ac:dyDescent="0.85">
      <c r="A1209" s="7">
        <v>1</v>
      </c>
      <c r="B1209" s="59">
        <f>SUBTOTAL(103,$A$1032:A1209)</f>
        <v>175</v>
      </c>
      <c r="C1209" s="160" t="s">
        <v>1989</v>
      </c>
      <c r="D1209" s="60">
        <f t="shared" si="197"/>
        <v>12207467.899999999</v>
      </c>
      <c r="E1209" s="62">
        <v>0</v>
      </c>
      <c r="F1209" s="62">
        <v>0</v>
      </c>
      <c r="G1209" s="62">
        <v>0</v>
      </c>
      <c r="H1209" s="62">
        <v>0</v>
      </c>
      <c r="I1209" s="62">
        <v>0</v>
      </c>
      <c r="J1209" s="62">
        <v>0</v>
      </c>
      <c r="K1209" s="168">
        <v>4</v>
      </c>
      <c r="L1209" s="201">
        <v>12066080.879999999</v>
      </c>
      <c r="M1209" s="204">
        <v>0</v>
      </c>
      <c r="N1209" s="201">
        <v>0</v>
      </c>
      <c r="O1209" s="62">
        <v>0</v>
      </c>
      <c r="P1209" s="62">
        <v>0</v>
      </c>
      <c r="Q1209" s="201">
        <v>0</v>
      </c>
      <c r="R1209" s="201">
        <v>0</v>
      </c>
      <c r="S1209" s="62">
        <v>0</v>
      </c>
      <c r="T1209" s="62">
        <v>0</v>
      </c>
      <c r="U1209" s="62">
        <v>0</v>
      </c>
      <c r="V1209" s="62">
        <v>0</v>
      </c>
      <c r="W1209" s="62">
        <v>0</v>
      </c>
      <c r="X1209" s="62">
        <v>0</v>
      </c>
      <c r="Y1209" s="62">
        <v>0</v>
      </c>
      <c r="Z1209" s="62">
        <v>0</v>
      </c>
      <c r="AA1209" s="62">
        <v>0</v>
      </c>
      <c r="AB1209" s="62">
        <v>0</v>
      </c>
      <c r="AC1209" s="201">
        <v>0</v>
      </c>
      <c r="AD1209" s="201">
        <v>141387.01999999999</v>
      </c>
      <c r="AE1209" s="62">
        <v>0</v>
      </c>
      <c r="AF1209" s="202">
        <v>2022</v>
      </c>
      <c r="AG1209" s="170">
        <v>2022</v>
      </c>
      <c r="AH1209" s="202" t="s">
        <v>257</v>
      </c>
    </row>
    <row r="1210" spans="1:34" ht="61.5" x14ac:dyDescent="0.85">
      <c r="A1210" s="7">
        <v>1</v>
      </c>
      <c r="B1210" s="59">
        <f>SUBTOTAL(103,$A$1032:A1210)</f>
        <v>176</v>
      </c>
      <c r="C1210" s="160" t="s">
        <v>3255</v>
      </c>
      <c r="D1210" s="60">
        <f t="shared" si="197"/>
        <v>15139642.390000001</v>
      </c>
      <c r="E1210" s="62">
        <v>0</v>
      </c>
      <c r="F1210" s="62">
        <v>0</v>
      </c>
      <c r="G1210" s="62">
        <v>0</v>
      </c>
      <c r="H1210" s="62">
        <v>0</v>
      </c>
      <c r="I1210" s="62">
        <v>0</v>
      </c>
      <c r="J1210" s="62">
        <v>0</v>
      </c>
      <c r="K1210" s="168">
        <v>5</v>
      </c>
      <c r="L1210" s="201">
        <v>14974124.800000001</v>
      </c>
      <c r="M1210" s="204">
        <v>0</v>
      </c>
      <c r="N1210" s="201">
        <v>0</v>
      </c>
      <c r="O1210" s="62">
        <v>0</v>
      </c>
      <c r="P1210" s="62">
        <v>0</v>
      </c>
      <c r="Q1210" s="201">
        <v>0</v>
      </c>
      <c r="R1210" s="201">
        <v>0</v>
      </c>
      <c r="S1210" s="62">
        <v>0</v>
      </c>
      <c r="T1210" s="62">
        <v>0</v>
      </c>
      <c r="U1210" s="62">
        <v>0</v>
      </c>
      <c r="V1210" s="62">
        <v>0</v>
      </c>
      <c r="W1210" s="62">
        <v>0</v>
      </c>
      <c r="X1210" s="62">
        <v>0</v>
      </c>
      <c r="Y1210" s="62">
        <v>0</v>
      </c>
      <c r="Z1210" s="62">
        <v>0</v>
      </c>
      <c r="AA1210" s="62">
        <v>0</v>
      </c>
      <c r="AB1210" s="62">
        <v>0</v>
      </c>
      <c r="AC1210" s="201">
        <v>0</v>
      </c>
      <c r="AD1210" s="201">
        <v>165517.59</v>
      </c>
      <c r="AE1210" s="62">
        <v>0</v>
      </c>
      <c r="AF1210" s="202">
        <v>2022</v>
      </c>
      <c r="AG1210" s="170">
        <v>2022</v>
      </c>
      <c r="AH1210" s="202" t="s">
        <v>257</v>
      </c>
    </row>
    <row r="1211" spans="1:34" ht="61.5" x14ac:dyDescent="0.85">
      <c r="A1211" s="7">
        <v>1</v>
      </c>
      <c r="B1211" s="59">
        <f>SUBTOTAL(103,$A$1032:A1211)</f>
        <v>177</v>
      </c>
      <c r="C1211" s="160" t="s">
        <v>3256</v>
      </c>
      <c r="D1211" s="60">
        <f t="shared" si="197"/>
        <v>5850149.0899999999</v>
      </c>
      <c r="E1211" s="62">
        <v>0</v>
      </c>
      <c r="F1211" s="62">
        <v>0</v>
      </c>
      <c r="G1211" s="62">
        <v>0</v>
      </c>
      <c r="H1211" s="62">
        <v>0</v>
      </c>
      <c r="I1211" s="62">
        <v>0</v>
      </c>
      <c r="J1211" s="62">
        <v>0</v>
      </c>
      <c r="K1211" s="168">
        <v>2</v>
      </c>
      <c r="L1211" s="201">
        <v>5725835.5999999996</v>
      </c>
      <c r="M1211" s="204">
        <v>0</v>
      </c>
      <c r="N1211" s="201">
        <v>0</v>
      </c>
      <c r="O1211" s="62">
        <v>0</v>
      </c>
      <c r="P1211" s="62">
        <v>0</v>
      </c>
      <c r="Q1211" s="201">
        <v>0</v>
      </c>
      <c r="R1211" s="201">
        <v>0</v>
      </c>
      <c r="S1211" s="62">
        <v>0</v>
      </c>
      <c r="T1211" s="62">
        <v>0</v>
      </c>
      <c r="U1211" s="62">
        <v>0</v>
      </c>
      <c r="V1211" s="62">
        <v>0</v>
      </c>
      <c r="W1211" s="62">
        <v>0</v>
      </c>
      <c r="X1211" s="62">
        <v>0</v>
      </c>
      <c r="Y1211" s="62">
        <v>0</v>
      </c>
      <c r="Z1211" s="62">
        <v>0</v>
      </c>
      <c r="AA1211" s="62">
        <v>0</v>
      </c>
      <c r="AB1211" s="62">
        <v>0</v>
      </c>
      <c r="AC1211" s="201">
        <v>0</v>
      </c>
      <c r="AD1211" s="201">
        <v>124313.49</v>
      </c>
      <c r="AE1211" s="62">
        <v>0</v>
      </c>
      <c r="AF1211" s="202">
        <v>2022</v>
      </c>
      <c r="AG1211" s="170">
        <v>2022</v>
      </c>
      <c r="AH1211" s="202" t="s">
        <v>257</v>
      </c>
    </row>
    <row r="1212" spans="1:34" ht="61.5" x14ac:dyDescent="0.85">
      <c r="A1212" s="7">
        <v>1</v>
      </c>
      <c r="B1212" s="59">
        <f>SUBTOTAL(103,$A$1032:A1212)</f>
        <v>178</v>
      </c>
      <c r="C1212" s="160" t="s">
        <v>3257</v>
      </c>
      <c r="D1212" s="60">
        <f t="shared" si="197"/>
        <v>14483552.310000001</v>
      </c>
      <c r="E1212" s="62">
        <v>0</v>
      </c>
      <c r="F1212" s="62">
        <v>0</v>
      </c>
      <c r="G1212" s="62">
        <v>0</v>
      </c>
      <c r="H1212" s="62">
        <v>0</v>
      </c>
      <c r="I1212" s="62">
        <v>0</v>
      </c>
      <c r="J1212" s="62">
        <v>0</v>
      </c>
      <c r="K1212" s="168">
        <v>5</v>
      </c>
      <c r="L1212" s="201">
        <v>14324227.800000001</v>
      </c>
      <c r="M1212" s="204">
        <v>0</v>
      </c>
      <c r="N1212" s="201">
        <v>0</v>
      </c>
      <c r="O1212" s="62">
        <v>0</v>
      </c>
      <c r="P1212" s="62">
        <v>0</v>
      </c>
      <c r="Q1212" s="201">
        <v>0</v>
      </c>
      <c r="R1212" s="201">
        <v>0</v>
      </c>
      <c r="S1212" s="62">
        <v>0</v>
      </c>
      <c r="T1212" s="62">
        <v>0</v>
      </c>
      <c r="U1212" s="62">
        <v>0</v>
      </c>
      <c r="V1212" s="62">
        <v>0</v>
      </c>
      <c r="W1212" s="62">
        <v>0</v>
      </c>
      <c r="X1212" s="62">
        <v>0</v>
      </c>
      <c r="Y1212" s="62">
        <v>0</v>
      </c>
      <c r="Z1212" s="62">
        <v>0</v>
      </c>
      <c r="AA1212" s="62">
        <v>0</v>
      </c>
      <c r="AB1212" s="62">
        <v>0</v>
      </c>
      <c r="AC1212" s="201">
        <v>0</v>
      </c>
      <c r="AD1212" s="201">
        <v>159324.51</v>
      </c>
      <c r="AE1212" s="62">
        <v>0</v>
      </c>
      <c r="AF1212" s="202">
        <v>2022</v>
      </c>
      <c r="AG1212" s="170">
        <v>2022</v>
      </c>
      <c r="AH1212" s="202" t="s">
        <v>257</v>
      </c>
    </row>
    <row r="1213" spans="1:34" ht="61.5" x14ac:dyDescent="0.85">
      <c r="A1213" s="7">
        <v>1</v>
      </c>
      <c r="B1213" s="59">
        <f>SUBTOTAL(103,$A$1032:A1213)</f>
        <v>179</v>
      </c>
      <c r="C1213" s="160" t="s">
        <v>2400</v>
      </c>
      <c r="D1213" s="60">
        <f t="shared" si="197"/>
        <v>14479148.699999999</v>
      </c>
      <c r="E1213" s="62">
        <v>0</v>
      </c>
      <c r="F1213" s="62">
        <v>0</v>
      </c>
      <c r="G1213" s="62">
        <v>0</v>
      </c>
      <c r="H1213" s="62">
        <v>0</v>
      </c>
      <c r="I1213" s="62">
        <v>0</v>
      </c>
      <c r="J1213" s="62">
        <v>0</v>
      </c>
      <c r="K1213" s="168">
        <v>5</v>
      </c>
      <c r="L1213" s="201">
        <v>14324580.049999999</v>
      </c>
      <c r="M1213" s="204">
        <v>0</v>
      </c>
      <c r="N1213" s="201">
        <v>0</v>
      </c>
      <c r="O1213" s="62">
        <v>0</v>
      </c>
      <c r="P1213" s="62">
        <v>0</v>
      </c>
      <c r="Q1213" s="201">
        <v>0</v>
      </c>
      <c r="R1213" s="201">
        <v>0</v>
      </c>
      <c r="S1213" s="62">
        <v>0</v>
      </c>
      <c r="T1213" s="62">
        <v>0</v>
      </c>
      <c r="U1213" s="62">
        <v>0</v>
      </c>
      <c r="V1213" s="62">
        <v>0</v>
      </c>
      <c r="W1213" s="62">
        <v>0</v>
      </c>
      <c r="X1213" s="62">
        <v>0</v>
      </c>
      <c r="Y1213" s="62">
        <v>0</v>
      </c>
      <c r="Z1213" s="62">
        <v>0</v>
      </c>
      <c r="AA1213" s="62">
        <v>0</v>
      </c>
      <c r="AB1213" s="62">
        <v>0</v>
      </c>
      <c r="AC1213" s="201">
        <v>0</v>
      </c>
      <c r="AD1213" s="201">
        <v>154568.65</v>
      </c>
      <c r="AE1213" s="62">
        <v>0</v>
      </c>
      <c r="AF1213" s="202">
        <v>2022</v>
      </c>
      <c r="AG1213" s="170">
        <v>2022</v>
      </c>
      <c r="AH1213" s="202" t="s">
        <v>257</v>
      </c>
    </row>
    <row r="1214" spans="1:34" ht="61.5" x14ac:dyDescent="0.85">
      <c r="A1214" s="7">
        <v>1</v>
      </c>
      <c r="B1214" s="59">
        <f>SUBTOTAL(103,$A$1032:A1214)</f>
        <v>180</v>
      </c>
      <c r="C1214" s="160" t="s">
        <v>3258</v>
      </c>
      <c r="D1214" s="60">
        <f t="shared" si="197"/>
        <v>22978585.390000004</v>
      </c>
      <c r="E1214" s="62">
        <v>0</v>
      </c>
      <c r="F1214" s="62">
        <v>0</v>
      </c>
      <c r="G1214" s="62">
        <v>0</v>
      </c>
      <c r="H1214" s="62">
        <v>0</v>
      </c>
      <c r="I1214" s="62">
        <v>0</v>
      </c>
      <c r="J1214" s="62">
        <v>0</v>
      </c>
      <c r="K1214" s="168">
        <v>8</v>
      </c>
      <c r="L1214" s="201">
        <v>22795688.360000003</v>
      </c>
      <c r="M1214" s="204">
        <v>0</v>
      </c>
      <c r="N1214" s="201">
        <v>0</v>
      </c>
      <c r="O1214" s="62">
        <v>0</v>
      </c>
      <c r="P1214" s="62">
        <v>0</v>
      </c>
      <c r="Q1214" s="201">
        <v>0</v>
      </c>
      <c r="R1214" s="201">
        <v>0</v>
      </c>
      <c r="S1214" s="62">
        <v>0</v>
      </c>
      <c r="T1214" s="62">
        <v>0</v>
      </c>
      <c r="U1214" s="62">
        <v>0</v>
      </c>
      <c r="V1214" s="62">
        <v>0</v>
      </c>
      <c r="W1214" s="62">
        <v>0</v>
      </c>
      <c r="X1214" s="62">
        <v>0</v>
      </c>
      <c r="Y1214" s="62">
        <v>0</v>
      </c>
      <c r="Z1214" s="62">
        <v>0</v>
      </c>
      <c r="AA1214" s="62">
        <v>0</v>
      </c>
      <c r="AB1214" s="62">
        <v>0</v>
      </c>
      <c r="AC1214" s="201">
        <v>0</v>
      </c>
      <c r="AD1214" s="62">
        <v>182897.03</v>
      </c>
      <c r="AE1214" s="62">
        <v>0</v>
      </c>
      <c r="AF1214" s="202">
        <v>2022</v>
      </c>
      <c r="AG1214" s="170">
        <v>2022</v>
      </c>
      <c r="AH1214" s="202" t="s">
        <v>257</v>
      </c>
    </row>
    <row r="1215" spans="1:34" ht="61.5" x14ac:dyDescent="0.85">
      <c r="A1215" s="7">
        <v>1</v>
      </c>
      <c r="B1215" s="59">
        <f>SUBTOTAL(103,$A$1032:A1215)</f>
        <v>181</v>
      </c>
      <c r="C1215" s="160" t="s">
        <v>3259</v>
      </c>
      <c r="D1215" s="60">
        <f t="shared" si="197"/>
        <v>7386646.6600000011</v>
      </c>
      <c r="E1215" s="62">
        <v>0</v>
      </c>
      <c r="F1215" s="62">
        <v>0</v>
      </c>
      <c r="G1215" s="62">
        <v>0</v>
      </c>
      <c r="H1215" s="62">
        <v>0</v>
      </c>
      <c r="I1215" s="62">
        <v>0</v>
      </c>
      <c r="J1215" s="62">
        <v>0</v>
      </c>
      <c r="K1215" s="168">
        <v>3</v>
      </c>
      <c r="L1215" s="201">
        <v>7256318.5500000007</v>
      </c>
      <c r="M1215" s="204">
        <v>0</v>
      </c>
      <c r="N1215" s="201">
        <v>0</v>
      </c>
      <c r="O1215" s="62">
        <v>0</v>
      </c>
      <c r="P1215" s="62">
        <v>0</v>
      </c>
      <c r="Q1215" s="201">
        <v>0</v>
      </c>
      <c r="R1215" s="201">
        <v>0</v>
      </c>
      <c r="S1215" s="62">
        <v>0</v>
      </c>
      <c r="T1215" s="62">
        <v>0</v>
      </c>
      <c r="U1215" s="62">
        <v>0</v>
      </c>
      <c r="V1215" s="62">
        <v>0</v>
      </c>
      <c r="W1215" s="62">
        <v>0</v>
      </c>
      <c r="X1215" s="62">
        <v>0</v>
      </c>
      <c r="Y1215" s="62">
        <v>0</v>
      </c>
      <c r="Z1215" s="62">
        <v>0</v>
      </c>
      <c r="AA1215" s="62">
        <v>0</v>
      </c>
      <c r="AB1215" s="62">
        <v>0</v>
      </c>
      <c r="AC1215" s="201">
        <v>0</v>
      </c>
      <c r="AD1215" s="201">
        <v>130328.11</v>
      </c>
      <c r="AE1215" s="62">
        <v>0</v>
      </c>
      <c r="AF1215" s="202">
        <v>2022</v>
      </c>
      <c r="AG1215" s="170">
        <v>2022</v>
      </c>
      <c r="AH1215" s="202" t="s">
        <v>257</v>
      </c>
    </row>
    <row r="1216" spans="1:34" ht="61.5" x14ac:dyDescent="0.85">
      <c r="A1216" s="7">
        <v>1</v>
      </c>
      <c r="B1216" s="59">
        <f>SUBTOTAL(103,$A$1032:A1216)</f>
        <v>182</v>
      </c>
      <c r="C1216" s="160" t="s">
        <v>3260</v>
      </c>
      <c r="D1216" s="60">
        <f t="shared" si="197"/>
        <v>5846429.3399999999</v>
      </c>
      <c r="E1216" s="62">
        <v>0</v>
      </c>
      <c r="F1216" s="62">
        <v>0</v>
      </c>
      <c r="G1216" s="62">
        <v>0</v>
      </c>
      <c r="H1216" s="62">
        <v>0</v>
      </c>
      <c r="I1216" s="62">
        <v>0</v>
      </c>
      <c r="J1216" s="62">
        <v>0</v>
      </c>
      <c r="K1216" s="168">
        <v>2</v>
      </c>
      <c r="L1216" s="201">
        <v>5720463.5999999996</v>
      </c>
      <c r="M1216" s="204">
        <v>0</v>
      </c>
      <c r="N1216" s="201">
        <v>0</v>
      </c>
      <c r="O1216" s="62">
        <v>0</v>
      </c>
      <c r="P1216" s="62">
        <v>0</v>
      </c>
      <c r="Q1216" s="201">
        <v>0</v>
      </c>
      <c r="R1216" s="201">
        <v>0</v>
      </c>
      <c r="S1216" s="62">
        <v>0</v>
      </c>
      <c r="T1216" s="62">
        <v>0</v>
      </c>
      <c r="U1216" s="62">
        <v>0</v>
      </c>
      <c r="V1216" s="62">
        <v>0</v>
      </c>
      <c r="W1216" s="62">
        <v>0</v>
      </c>
      <c r="X1216" s="62">
        <v>0</v>
      </c>
      <c r="Y1216" s="62">
        <v>0</v>
      </c>
      <c r="Z1216" s="62">
        <v>0</v>
      </c>
      <c r="AA1216" s="62">
        <v>0</v>
      </c>
      <c r="AB1216" s="62">
        <v>0</v>
      </c>
      <c r="AC1216" s="201">
        <v>0</v>
      </c>
      <c r="AD1216" s="201">
        <v>125965.74</v>
      </c>
      <c r="AE1216" s="62">
        <v>0</v>
      </c>
      <c r="AF1216" s="202">
        <v>2022</v>
      </c>
      <c r="AG1216" s="170">
        <v>2022</v>
      </c>
      <c r="AH1216" s="202" t="s">
        <v>257</v>
      </c>
    </row>
    <row r="1217" spans="1:34" ht="61.5" x14ac:dyDescent="0.85">
      <c r="A1217" s="7">
        <v>1</v>
      </c>
      <c r="B1217" s="59">
        <f>SUBTOTAL(103,$A$1032:A1217)</f>
        <v>183</v>
      </c>
      <c r="C1217" s="160" t="s">
        <v>3269</v>
      </c>
      <c r="D1217" s="201">
        <f t="shared" ref="D1217" si="199">E1217+F1217+G1217+H1217+I1217+J1217+L1217+N1217+P1217+R1217+T1217+U1217+V1217+W1217+X1217+Y1217+Z1217+AA1217+AB1217+AC1217+AD1217+AE1217</f>
        <v>54621.43</v>
      </c>
      <c r="E1217" s="62">
        <v>0</v>
      </c>
      <c r="F1217" s="62">
        <v>0</v>
      </c>
      <c r="G1217" s="62">
        <v>0</v>
      </c>
      <c r="H1217" s="62">
        <v>0</v>
      </c>
      <c r="I1217" s="62">
        <v>0</v>
      </c>
      <c r="J1217" s="62">
        <v>0</v>
      </c>
      <c r="K1217" s="168">
        <v>0</v>
      </c>
      <c r="L1217" s="62">
        <v>0</v>
      </c>
      <c r="M1217" s="204">
        <v>0</v>
      </c>
      <c r="N1217" s="201">
        <v>0</v>
      </c>
      <c r="O1217" s="62">
        <v>0</v>
      </c>
      <c r="P1217" s="62">
        <v>0</v>
      </c>
      <c r="Q1217" s="201">
        <v>0</v>
      </c>
      <c r="R1217" s="201">
        <v>0</v>
      </c>
      <c r="S1217" s="62">
        <v>0</v>
      </c>
      <c r="T1217" s="62">
        <v>0</v>
      </c>
      <c r="U1217" s="62">
        <v>0</v>
      </c>
      <c r="V1217" s="62">
        <v>0</v>
      </c>
      <c r="W1217" s="62">
        <v>0</v>
      </c>
      <c r="X1217" s="62">
        <v>0</v>
      </c>
      <c r="Y1217" s="62">
        <v>0</v>
      </c>
      <c r="Z1217" s="62">
        <v>0</v>
      </c>
      <c r="AA1217" s="62">
        <v>0</v>
      </c>
      <c r="AB1217" s="62">
        <v>0</v>
      </c>
      <c r="AC1217" s="201">
        <f>ROUND(N1217*2.14%,2)</f>
        <v>0</v>
      </c>
      <c r="AD1217" s="201">
        <v>54621.43</v>
      </c>
      <c r="AE1217" s="62">
        <v>0</v>
      </c>
      <c r="AF1217" s="202">
        <v>2022</v>
      </c>
      <c r="AG1217" s="202" t="s">
        <v>257</v>
      </c>
      <c r="AH1217" s="202" t="s">
        <v>257</v>
      </c>
    </row>
    <row r="1218" spans="1:34" ht="61.5" x14ac:dyDescent="0.85">
      <c r="B1218" s="160" t="s">
        <v>708</v>
      </c>
      <c r="C1218" s="176"/>
      <c r="D1218" s="177">
        <f t="shared" ref="D1218:AE1218" si="200">SUM(D1219:D1229)</f>
        <v>156774054.77999997</v>
      </c>
      <c r="E1218" s="60">
        <f t="shared" si="200"/>
        <v>0</v>
      </c>
      <c r="F1218" s="60">
        <f t="shared" si="200"/>
        <v>0</v>
      </c>
      <c r="G1218" s="60">
        <f t="shared" si="200"/>
        <v>0</v>
      </c>
      <c r="H1218" s="60">
        <f t="shared" si="200"/>
        <v>0</v>
      </c>
      <c r="I1218" s="60">
        <f t="shared" si="200"/>
        <v>0</v>
      </c>
      <c r="J1218" s="60">
        <f t="shared" si="200"/>
        <v>0</v>
      </c>
      <c r="K1218" s="168">
        <f t="shared" si="200"/>
        <v>35</v>
      </c>
      <c r="L1218" s="60">
        <f t="shared" si="200"/>
        <v>109087774.89000002</v>
      </c>
      <c r="M1218" s="60">
        <f t="shared" si="200"/>
        <v>2200</v>
      </c>
      <c r="N1218" s="60">
        <f t="shared" si="200"/>
        <v>17091591</v>
      </c>
      <c r="O1218" s="60">
        <f t="shared" si="200"/>
        <v>0</v>
      </c>
      <c r="P1218" s="60">
        <f t="shared" si="200"/>
        <v>0</v>
      </c>
      <c r="Q1218" s="60">
        <f t="shared" si="200"/>
        <v>11322.72</v>
      </c>
      <c r="R1218" s="60">
        <f t="shared" si="200"/>
        <v>28028775.789999999</v>
      </c>
      <c r="S1218" s="60">
        <f t="shared" si="200"/>
        <v>0</v>
      </c>
      <c r="T1218" s="60">
        <f t="shared" si="200"/>
        <v>0</v>
      </c>
      <c r="U1218" s="60">
        <f t="shared" si="200"/>
        <v>0</v>
      </c>
      <c r="V1218" s="60">
        <f t="shared" si="200"/>
        <v>0</v>
      </c>
      <c r="W1218" s="60">
        <f t="shared" si="200"/>
        <v>0</v>
      </c>
      <c r="X1218" s="60">
        <f t="shared" si="200"/>
        <v>0</v>
      </c>
      <c r="Y1218" s="60">
        <f t="shared" si="200"/>
        <v>0</v>
      </c>
      <c r="Z1218" s="60">
        <f t="shared" si="200"/>
        <v>0</v>
      </c>
      <c r="AA1218" s="60">
        <f t="shared" si="200"/>
        <v>0</v>
      </c>
      <c r="AB1218" s="60">
        <f t="shared" si="200"/>
        <v>0</v>
      </c>
      <c r="AC1218" s="60">
        <f t="shared" si="200"/>
        <v>706788.19</v>
      </c>
      <c r="AD1218" s="60">
        <f t="shared" si="200"/>
        <v>1859124.9100000001</v>
      </c>
      <c r="AE1218" s="60">
        <f t="shared" si="200"/>
        <v>0</v>
      </c>
      <c r="AF1218" s="54" t="s">
        <v>701</v>
      </c>
      <c r="AG1218" s="54" t="s">
        <v>701</v>
      </c>
      <c r="AH1218" s="55" t="s">
        <v>701</v>
      </c>
    </row>
    <row r="1219" spans="1:34" ht="61.5" x14ac:dyDescent="0.85">
      <c r="A1219" s="7">
        <v>1</v>
      </c>
      <c r="B1219" s="59">
        <f>SUBTOTAL(103,$A$1032:A1219)</f>
        <v>184</v>
      </c>
      <c r="C1219" s="160" t="s">
        <v>365</v>
      </c>
      <c r="D1219" s="60">
        <f t="shared" ref="D1219:D1229" si="201">E1219+F1219+G1219+H1219+I1219+J1219+L1219+N1219+P1219+R1219+T1219+U1219+V1219+W1219+X1219+Y1219+Z1219+AA1219+AB1219+AC1219+AD1219+AE1219</f>
        <v>12487846.700000001</v>
      </c>
      <c r="E1219" s="60">
        <v>0</v>
      </c>
      <c r="F1219" s="60">
        <v>0</v>
      </c>
      <c r="G1219" s="60">
        <v>0</v>
      </c>
      <c r="H1219" s="60">
        <v>0</v>
      </c>
      <c r="I1219" s="60">
        <v>0</v>
      </c>
      <c r="J1219" s="60">
        <v>0</v>
      </c>
      <c r="K1219" s="168">
        <v>4</v>
      </c>
      <c r="L1219" s="60">
        <v>11968089.32</v>
      </c>
      <c r="M1219" s="60">
        <v>0</v>
      </c>
      <c r="N1219" s="60">
        <v>0</v>
      </c>
      <c r="O1219" s="60">
        <v>0</v>
      </c>
      <c r="P1219" s="60">
        <v>0</v>
      </c>
      <c r="Q1219" s="60">
        <v>0</v>
      </c>
      <c r="R1219" s="60">
        <v>0</v>
      </c>
      <c r="S1219" s="60">
        <v>0</v>
      </c>
      <c r="T1219" s="60">
        <v>0</v>
      </c>
      <c r="U1219" s="60">
        <v>0</v>
      </c>
      <c r="V1219" s="60">
        <v>0</v>
      </c>
      <c r="W1219" s="60">
        <v>0</v>
      </c>
      <c r="X1219" s="60">
        <v>0</v>
      </c>
      <c r="Y1219" s="60">
        <v>0</v>
      </c>
      <c r="Z1219" s="60">
        <v>0</v>
      </c>
      <c r="AA1219" s="60">
        <v>0</v>
      </c>
      <c r="AB1219" s="60">
        <v>0</v>
      </c>
      <c r="AC1219" s="60">
        <v>0</v>
      </c>
      <c r="AD1219" s="60">
        <f>373526.25+146231.13</f>
        <v>519757.38</v>
      </c>
      <c r="AE1219" s="60">
        <v>0</v>
      </c>
      <c r="AF1219" s="170">
        <v>2022</v>
      </c>
      <c r="AG1219" s="170">
        <v>2022</v>
      </c>
      <c r="AH1219" s="63" t="s">
        <v>257</v>
      </c>
    </row>
    <row r="1220" spans="1:34" ht="61.5" x14ac:dyDescent="0.85">
      <c r="A1220" s="7">
        <v>1</v>
      </c>
      <c r="B1220" s="59">
        <f>SUBTOTAL(103,$A$1032:A1220)</f>
        <v>185</v>
      </c>
      <c r="C1220" s="160" t="s">
        <v>364</v>
      </c>
      <c r="D1220" s="60">
        <f t="shared" si="201"/>
        <v>6393602.3000000007</v>
      </c>
      <c r="E1220" s="60">
        <v>0</v>
      </c>
      <c r="F1220" s="60">
        <v>0</v>
      </c>
      <c r="G1220" s="60">
        <v>0</v>
      </c>
      <c r="H1220" s="60">
        <v>0</v>
      </c>
      <c r="I1220" s="60">
        <v>0</v>
      </c>
      <c r="J1220" s="60">
        <v>0</v>
      </c>
      <c r="K1220" s="168">
        <v>0</v>
      </c>
      <c r="L1220" s="60">
        <v>0</v>
      </c>
      <c r="M1220" s="60">
        <v>0</v>
      </c>
      <c r="N1220" s="60">
        <v>0</v>
      </c>
      <c r="O1220" s="60">
        <v>0</v>
      </c>
      <c r="P1220" s="60">
        <v>0</v>
      </c>
      <c r="Q1220" s="60">
        <v>2946</v>
      </c>
      <c r="R1220" s="60">
        <v>6328106.4000000004</v>
      </c>
      <c r="S1220" s="60">
        <v>0</v>
      </c>
      <c r="T1220" s="60">
        <v>0</v>
      </c>
      <c r="U1220" s="60">
        <v>0</v>
      </c>
      <c r="V1220" s="60">
        <v>0</v>
      </c>
      <c r="W1220" s="60">
        <v>0</v>
      </c>
      <c r="X1220" s="60">
        <v>0</v>
      </c>
      <c r="Y1220" s="60">
        <v>0</v>
      </c>
      <c r="Z1220" s="60">
        <v>0</v>
      </c>
      <c r="AA1220" s="60">
        <v>0</v>
      </c>
      <c r="AB1220" s="60">
        <v>0</v>
      </c>
      <c r="AC1220" s="60">
        <v>65495.9</v>
      </c>
      <c r="AD1220" s="169">
        <v>0</v>
      </c>
      <c r="AE1220" s="60">
        <v>0</v>
      </c>
      <c r="AF1220" s="63" t="s">
        <v>257</v>
      </c>
      <c r="AG1220" s="170">
        <v>2022</v>
      </c>
      <c r="AH1220" s="63">
        <v>2022</v>
      </c>
    </row>
    <row r="1221" spans="1:34" ht="61.5" x14ac:dyDescent="0.85">
      <c r="A1221" s="7">
        <v>1</v>
      </c>
      <c r="B1221" s="59">
        <f>SUBTOTAL(103,$A$1032:A1221)</f>
        <v>186</v>
      </c>
      <c r="C1221" s="160" t="s">
        <v>2169</v>
      </c>
      <c r="D1221" s="60">
        <f t="shared" si="201"/>
        <v>17444819.759999998</v>
      </c>
      <c r="E1221" s="180">
        <v>0</v>
      </c>
      <c r="F1221" s="180">
        <v>0</v>
      </c>
      <c r="G1221" s="180">
        <v>0</v>
      </c>
      <c r="H1221" s="180">
        <v>0</v>
      </c>
      <c r="I1221" s="180">
        <v>0</v>
      </c>
      <c r="J1221" s="180">
        <v>0</v>
      </c>
      <c r="K1221" s="168">
        <v>0</v>
      </c>
      <c r="L1221" s="60">
        <v>0</v>
      </c>
      <c r="M1221" s="60">
        <v>2200</v>
      </c>
      <c r="N1221" s="60">
        <v>17091591</v>
      </c>
      <c r="O1221" s="60">
        <v>0</v>
      </c>
      <c r="P1221" s="60">
        <v>0</v>
      </c>
      <c r="Q1221" s="60">
        <v>0</v>
      </c>
      <c r="R1221" s="60">
        <v>0</v>
      </c>
      <c r="S1221" s="60">
        <v>0</v>
      </c>
      <c r="T1221" s="60">
        <v>0</v>
      </c>
      <c r="U1221" s="60">
        <v>0</v>
      </c>
      <c r="V1221" s="60">
        <v>0</v>
      </c>
      <c r="W1221" s="60">
        <v>0</v>
      </c>
      <c r="X1221" s="60">
        <v>0</v>
      </c>
      <c r="Y1221" s="60">
        <v>0</v>
      </c>
      <c r="Z1221" s="60">
        <v>0</v>
      </c>
      <c r="AA1221" s="60">
        <v>0</v>
      </c>
      <c r="AB1221" s="60">
        <v>0</v>
      </c>
      <c r="AC1221" s="60">
        <v>176897.97</v>
      </c>
      <c r="AD1221" s="62">
        <v>176330.79</v>
      </c>
      <c r="AE1221" s="60">
        <v>0</v>
      </c>
      <c r="AF1221" s="170">
        <v>2022</v>
      </c>
      <c r="AG1221" s="170">
        <v>2022</v>
      </c>
      <c r="AH1221" s="63">
        <v>2022</v>
      </c>
    </row>
    <row r="1222" spans="1:34" ht="61.5" x14ac:dyDescent="0.85">
      <c r="A1222" s="7">
        <v>1</v>
      </c>
      <c r="B1222" s="59">
        <f>SUBTOTAL(103,$A$1032:A1222)</f>
        <v>187</v>
      </c>
      <c r="C1222" s="160" t="s">
        <v>362</v>
      </c>
      <c r="D1222" s="60">
        <f t="shared" si="201"/>
        <v>37296067.979999997</v>
      </c>
      <c r="E1222" s="60">
        <v>0</v>
      </c>
      <c r="F1222" s="60">
        <v>0</v>
      </c>
      <c r="G1222" s="60">
        <v>0</v>
      </c>
      <c r="H1222" s="60">
        <v>0</v>
      </c>
      <c r="I1222" s="60">
        <v>0</v>
      </c>
      <c r="J1222" s="60">
        <v>0</v>
      </c>
      <c r="K1222" s="168">
        <v>5</v>
      </c>
      <c r="L1222" s="60">
        <v>14972415.800000001</v>
      </c>
      <c r="M1222" s="60">
        <v>0</v>
      </c>
      <c r="N1222" s="60">
        <v>0</v>
      </c>
      <c r="O1222" s="60">
        <v>0</v>
      </c>
      <c r="P1222" s="60">
        <v>0</v>
      </c>
      <c r="Q1222" s="60">
        <v>8376.7199999999993</v>
      </c>
      <c r="R1222" s="62">
        <v>21700669.390000001</v>
      </c>
      <c r="S1222" s="60">
        <v>0</v>
      </c>
      <c r="T1222" s="60">
        <v>0</v>
      </c>
      <c r="U1222" s="60">
        <v>0</v>
      </c>
      <c r="V1222" s="60">
        <v>0</v>
      </c>
      <c r="W1222" s="60">
        <v>0</v>
      </c>
      <c r="X1222" s="60">
        <v>0</v>
      </c>
      <c r="Y1222" s="60">
        <v>0</v>
      </c>
      <c r="Z1222" s="60">
        <v>0</v>
      </c>
      <c r="AA1222" s="60">
        <v>0</v>
      </c>
      <c r="AB1222" s="60">
        <v>0</v>
      </c>
      <c r="AC1222" s="60">
        <f>ROUND(N1222*2.14%,2)+ROUND(E1222*2.14%,2)+ROUND(F1222*2.14%,2)+ROUND(G1222*2.14%,2)+ROUND(H1222*2.14%,2)+ROUND(J1222*2.14%,2)+ROUND(P1222*2.14%,2)+ROUND(R1222*2.14%,2)+ROUND(T1222*2.14%,2)+ROUND(U1222*2.14%,2)+ROUND(V1222*2.14%,2)+ROUND(W1222*2.14%,2)+ROUND(X1222*2.14%,2)+ROUND(Y1222*2.14%,2)+ROUND(Z1222*2.14%,2)+ROUND(AA1222*2.14%,2)+ROUND(AB1222*2.14%,2)</f>
        <v>464394.32</v>
      </c>
      <c r="AD1222" s="169">
        <v>158588.47</v>
      </c>
      <c r="AE1222" s="60">
        <v>0</v>
      </c>
      <c r="AF1222" s="63">
        <v>2022</v>
      </c>
      <c r="AG1222" s="170">
        <v>2022</v>
      </c>
      <c r="AH1222" s="63">
        <v>2022</v>
      </c>
    </row>
    <row r="1223" spans="1:34" ht="61.5" x14ac:dyDescent="0.85">
      <c r="A1223" s="7">
        <v>1</v>
      </c>
      <c r="B1223" s="59">
        <f>SUBTOTAL(103,$A$1032:A1223)</f>
        <v>188</v>
      </c>
      <c r="C1223" s="160" t="s">
        <v>3263</v>
      </c>
      <c r="D1223" s="60">
        <f t="shared" si="201"/>
        <v>7084977.7300000004</v>
      </c>
      <c r="E1223" s="60">
        <v>0</v>
      </c>
      <c r="F1223" s="60">
        <v>0</v>
      </c>
      <c r="G1223" s="60">
        <v>0</v>
      </c>
      <c r="H1223" s="60">
        <v>0</v>
      </c>
      <c r="I1223" s="60">
        <v>0</v>
      </c>
      <c r="J1223" s="60">
        <v>0</v>
      </c>
      <c r="K1223" s="168">
        <v>2</v>
      </c>
      <c r="L1223" s="60">
        <v>6941497.2000000002</v>
      </c>
      <c r="M1223" s="60">
        <v>0</v>
      </c>
      <c r="N1223" s="60">
        <v>0</v>
      </c>
      <c r="O1223" s="60">
        <v>0</v>
      </c>
      <c r="P1223" s="60">
        <v>0</v>
      </c>
      <c r="Q1223" s="60">
        <v>0</v>
      </c>
      <c r="R1223" s="62">
        <v>0</v>
      </c>
      <c r="S1223" s="60">
        <v>0</v>
      </c>
      <c r="T1223" s="60">
        <v>0</v>
      </c>
      <c r="U1223" s="60">
        <v>0</v>
      </c>
      <c r="V1223" s="60">
        <v>0</v>
      </c>
      <c r="W1223" s="60">
        <v>0</v>
      </c>
      <c r="X1223" s="60">
        <v>0</v>
      </c>
      <c r="Y1223" s="60">
        <v>0</v>
      </c>
      <c r="Z1223" s="60">
        <v>0</v>
      </c>
      <c r="AA1223" s="60">
        <v>0</v>
      </c>
      <c r="AB1223" s="60">
        <v>0</v>
      </c>
      <c r="AC1223" s="60">
        <v>0</v>
      </c>
      <c r="AD1223" s="169">
        <v>143480.53</v>
      </c>
      <c r="AE1223" s="60">
        <v>0</v>
      </c>
      <c r="AF1223" s="202">
        <v>2022</v>
      </c>
      <c r="AG1223" s="170">
        <v>2022</v>
      </c>
      <c r="AH1223" s="63" t="s">
        <v>257</v>
      </c>
    </row>
    <row r="1224" spans="1:34" ht="61.5" x14ac:dyDescent="0.85">
      <c r="A1224" s="7">
        <v>1</v>
      </c>
      <c r="B1224" s="59">
        <f>SUBTOTAL(103,$A$1032:A1224)</f>
        <v>189</v>
      </c>
      <c r="C1224" s="160" t="s">
        <v>3146</v>
      </c>
      <c r="D1224" s="60">
        <f t="shared" si="201"/>
        <v>9118700.5499999989</v>
      </c>
      <c r="E1224" s="60">
        <v>0</v>
      </c>
      <c r="F1224" s="60">
        <v>0</v>
      </c>
      <c r="G1224" s="60">
        <v>0</v>
      </c>
      <c r="H1224" s="60">
        <v>0</v>
      </c>
      <c r="I1224" s="60">
        <v>0</v>
      </c>
      <c r="J1224" s="60">
        <v>0</v>
      </c>
      <c r="K1224" s="168">
        <v>3</v>
      </c>
      <c r="L1224" s="60">
        <v>8983381.379999999</v>
      </c>
      <c r="M1224" s="60">
        <v>0</v>
      </c>
      <c r="N1224" s="60">
        <v>0</v>
      </c>
      <c r="O1224" s="60">
        <v>0</v>
      </c>
      <c r="P1224" s="60">
        <v>0</v>
      </c>
      <c r="Q1224" s="60">
        <v>0</v>
      </c>
      <c r="R1224" s="62">
        <v>0</v>
      </c>
      <c r="S1224" s="60">
        <v>0</v>
      </c>
      <c r="T1224" s="60">
        <v>0</v>
      </c>
      <c r="U1224" s="60">
        <v>0</v>
      </c>
      <c r="V1224" s="60">
        <v>0</v>
      </c>
      <c r="W1224" s="60">
        <v>0</v>
      </c>
      <c r="X1224" s="60">
        <v>0</v>
      </c>
      <c r="Y1224" s="60">
        <v>0</v>
      </c>
      <c r="Z1224" s="60">
        <v>0</v>
      </c>
      <c r="AA1224" s="60">
        <v>0</v>
      </c>
      <c r="AB1224" s="60">
        <v>0</v>
      </c>
      <c r="AC1224" s="60">
        <v>0</v>
      </c>
      <c r="AD1224" s="169">
        <v>135319.17000000001</v>
      </c>
      <c r="AE1224" s="60">
        <v>0</v>
      </c>
      <c r="AF1224" s="202">
        <v>2022</v>
      </c>
      <c r="AG1224" s="170">
        <v>2022</v>
      </c>
      <c r="AH1224" s="63" t="s">
        <v>257</v>
      </c>
    </row>
    <row r="1225" spans="1:34" ht="61.5" x14ac:dyDescent="0.85">
      <c r="A1225" s="7">
        <v>1</v>
      </c>
      <c r="B1225" s="59">
        <f>SUBTOTAL(103,$A$1032:A1225)</f>
        <v>190</v>
      </c>
      <c r="C1225" s="160" t="s">
        <v>2507</v>
      </c>
      <c r="D1225" s="60">
        <f t="shared" si="201"/>
        <v>6123136.5699999994</v>
      </c>
      <c r="E1225" s="60">
        <v>0</v>
      </c>
      <c r="F1225" s="60">
        <v>0</v>
      </c>
      <c r="G1225" s="60">
        <v>0</v>
      </c>
      <c r="H1225" s="60">
        <v>0</v>
      </c>
      <c r="I1225" s="60">
        <v>0</v>
      </c>
      <c r="J1225" s="60">
        <v>0</v>
      </c>
      <c r="K1225" s="168">
        <v>2</v>
      </c>
      <c r="L1225" s="60">
        <v>5997609.5999999996</v>
      </c>
      <c r="M1225" s="60">
        <v>0</v>
      </c>
      <c r="N1225" s="60">
        <v>0</v>
      </c>
      <c r="O1225" s="60">
        <v>0</v>
      </c>
      <c r="P1225" s="60">
        <v>0</v>
      </c>
      <c r="Q1225" s="60">
        <v>0</v>
      </c>
      <c r="R1225" s="62">
        <v>0</v>
      </c>
      <c r="S1225" s="60">
        <v>0</v>
      </c>
      <c r="T1225" s="60">
        <v>0</v>
      </c>
      <c r="U1225" s="60">
        <v>0</v>
      </c>
      <c r="V1225" s="60">
        <v>0</v>
      </c>
      <c r="W1225" s="60">
        <v>0</v>
      </c>
      <c r="X1225" s="60">
        <v>0</v>
      </c>
      <c r="Y1225" s="60">
        <v>0</v>
      </c>
      <c r="Z1225" s="60">
        <v>0</v>
      </c>
      <c r="AA1225" s="60">
        <v>0</v>
      </c>
      <c r="AB1225" s="60">
        <v>0</v>
      </c>
      <c r="AC1225" s="60">
        <v>0</v>
      </c>
      <c r="AD1225" s="169">
        <v>125526.97</v>
      </c>
      <c r="AE1225" s="60">
        <v>0</v>
      </c>
      <c r="AF1225" s="202">
        <v>2022</v>
      </c>
      <c r="AG1225" s="170">
        <v>2022</v>
      </c>
      <c r="AH1225" s="63" t="s">
        <v>257</v>
      </c>
    </row>
    <row r="1226" spans="1:34" ht="61.5" x14ac:dyDescent="0.85">
      <c r="A1226" s="7">
        <v>1</v>
      </c>
      <c r="B1226" s="59">
        <f>SUBTOTAL(103,$A$1032:A1226)</f>
        <v>191</v>
      </c>
      <c r="C1226" s="160" t="s">
        <v>3147</v>
      </c>
      <c r="D1226" s="60">
        <f t="shared" si="201"/>
        <v>9144576.9600000009</v>
      </c>
      <c r="E1226" s="60">
        <v>0</v>
      </c>
      <c r="F1226" s="60">
        <v>0</v>
      </c>
      <c r="G1226" s="60">
        <v>0</v>
      </c>
      <c r="H1226" s="60">
        <v>0</v>
      </c>
      <c r="I1226" s="60">
        <v>0</v>
      </c>
      <c r="J1226" s="60">
        <v>0</v>
      </c>
      <c r="K1226" s="168">
        <v>3</v>
      </c>
      <c r="L1226" s="60">
        <v>9014731.0500000007</v>
      </c>
      <c r="M1226" s="60">
        <v>0</v>
      </c>
      <c r="N1226" s="60">
        <v>0</v>
      </c>
      <c r="O1226" s="60">
        <v>0</v>
      </c>
      <c r="P1226" s="60">
        <v>0</v>
      </c>
      <c r="Q1226" s="60">
        <v>0</v>
      </c>
      <c r="R1226" s="62">
        <v>0</v>
      </c>
      <c r="S1226" s="60">
        <v>0</v>
      </c>
      <c r="T1226" s="60">
        <v>0</v>
      </c>
      <c r="U1226" s="60">
        <v>0</v>
      </c>
      <c r="V1226" s="60">
        <v>0</v>
      </c>
      <c r="W1226" s="60">
        <v>0</v>
      </c>
      <c r="X1226" s="60">
        <v>0</v>
      </c>
      <c r="Y1226" s="60">
        <v>0</v>
      </c>
      <c r="Z1226" s="60">
        <v>0</v>
      </c>
      <c r="AA1226" s="60">
        <v>0</v>
      </c>
      <c r="AB1226" s="60">
        <v>0</v>
      </c>
      <c r="AC1226" s="60">
        <v>0</v>
      </c>
      <c r="AD1226" s="169">
        <v>129845.91</v>
      </c>
      <c r="AE1226" s="60">
        <v>0</v>
      </c>
      <c r="AF1226" s="202">
        <v>2022</v>
      </c>
      <c r="AG1226" s="170">
        <v>2022</v>
      </c>
      <c r="AH1226" s="63" t="s">
        <v>257</v>
      </c>
    </row>
    <row r="1227" spans="1:34" ht="61.5" x14ac:dyDescent="0.85">
      <c r="A1227" s="7">
        <v>1</v>
      </c>
      <c r="B1227" s="59">
        <f>SUBTOTAL(103,$A$1032:A1227)</f>
        <v>192</v>
      </c>
      <c r="C1227" s="160" t="s">
        <v>3145</v>
      </c>
      <c r="D1227" s="60">
        <f t="shared" si="201"/>
        <v>19780622.879999999</v>
      </c>
      <c r="E1227" s="60">
        <v>0</v>
      </c>
      <c r="F1227" s="60">
        <v>0</v>
      </c>
      <c r="G1227" s="60">
        <v>0</v>
      </c>
      <c r="H1227" s="60">
        <v>0</v>
      </c>
      <c r="I1227" s="60">
        <v>0</v>
      </c>
      <c r="J1227" s="60">
        <v>0</v>
      </c>
      <c r="K1227" s="168">
        <v>6</v>
      </c>
      <c r="L1227" s="60">
        <v>19620980.609999999</v>
      </c>
      <c r="M1227" s="60">
        <v>0</v>
      </c>
      <c r="N1227" s="60">
        <v>0</v>
      </c>
      <c r="O1227" s="60">
        <v>0</v>
      </c>
      <c r="P1227" s="60">
        <v>0</v>
      </c>
      <c r="Q1227" s="60">
        <v>0</v>
      </c>
      <c r="R1227" s="62">
        <v>0</v>
      </c>
      <c r="S1227" s="60">
        <v>0</v>
      </c>
      <c r="T1227" s="60">
        <v>0</v>
      </c>
      <c r="U1227" s="60">
        <v>0</v>
      </c>
      <c r="V1227" s="60">
        <v>0</v>
      </c>
      <c r="W1227" s="60">
        <v>0</v>
      </c>
      <c r="X1227" s="60">
        <v>0</v>
      </c>
      <c r="Y1227" s="60">
        <v>0</v>
      </c>
      <c r="Z1227" s="60">
        <v>0</v>
      </c>
      <c r="AA1227" s="60">
        <v>0</v>
      </c>
      <c r="AB1227" s="60">
        <v>0</v>
      </c>
      <c r="AC1227" s="60">
        <v>0</v>
      </c>
      <c r="AD1227" s="169">
        <v>159642.26999999999</v>
      </c>
      <c r="AE1227" s="60">
        <v>0</v>
      </c>
      <c r="AF1227" s="202">
        <v>2022</v>
      </c>
      <c r="AG1227" s="170">
        <v>2022</v>
      </c>
      <c r="AH1227" s="63" t="s">
        <v>257</v>
      </c>
    </row>
    <row r="1228" spans="1:34" ht="61.5" x14ac:dyDescent="0.85">
      <c r="A1228" s="7">
        <v>1</v>
      </c>
      <c r="B1228" s="59">
        <f>SUBTOTAL(103,$A$1032:A1228)</f>
        <v>193</v>
      </c>
      <c r="C1228" s="160" t="s">
        <v>2877</v>
      </c>
      <c r="D1228" s="60">
        <f t="shared" si="201"/>
        <v>19786703.68</v>
      </c>
      <c r="E1228" s="60">
        <v>0</v>
      </c>
      <c r="F1228" s="60">
        <v>0</v>
      </c>
      <c r="G1228" s="60">
        <v>0</v>
      </c>
      <c r="H1228" s="60">
        <v>0</v>
      </c>
      <c r="I1228" s="60">
        <v>0</v>
      </c>
      <c r="J1228" s="60">
        <v>0</v>
      </c>
      <c r="K1228" s="168">
        <v>6</v>
      </c>
      <c r="L1228" s="60">
        <v>19620980.609999999</v>
      </c>
      <c r="M1228" s="60">
        <v>0</v>
      </c>
      <c r="N1228" s="60">
        <v>0</v>
      </c>
      <c r="O1228" s="60">
        <v>0</v>
      </c>
      <c r="P1228" s="60">
        <v>0</v>
      </c>
      <c r="Q1228" s="60">
        <v>0</v>
      </c>
      <c r="R1228" s="62">
        <v>0</v>
      </c>
      <c r="S1228" s="60">
        <v>0</v>
      </c>
      <c r="T1228" s="60">
        <v>0</v>
      </c>
      <c r="U1228" s="60">
        <v>0</v>
      </c>
      <c r="V1228" s="60">
        <v>0</v>
      </c>
      <c r="W1228" s="60">
        <v>0</v>
      </c>
      <c r="X1228" s="60">
        <v>0</v>
      </c>
      <c r="Y1228" s="60">
        <v>0</v>
      </c>
      <c r="Z1228" s="60">
        <v>0</v>
      </c>
      <c r="AA1228" s="60">
        <v>0</v>
      </c>
      <c r="AB1228" s="60">
        <v>0</v>
      </c>
      <c r="AC1228" s="60">
        <v>0</v>
      </c>
      <c r="AD1228" s="169">
        <v>165723.07</v>
      </c>
      <c r="AE1228" s="60">
        <v>0</v>
      </c>
      <c r="AF1228" s="202">
        <v>2022</v>
      </c>
      <c r="AG1228" s="170">
        <v>2022</v>
      </c>
      <c r="AH1228" s="63" t="s">
        <v>257</v>
      </c>
    </row>
    <row r="1229" spans="1:34" ht="61.5" x14ac:dyDescent="0.85">
      <c r="A1229" s="7">
        <v>1</v>
      </c>
      <c r="B1229" s="59">
        <f>SUBTOTAL(103,$A$1032:A1229)</f>
        <v>194</v>
      </c>
      <c r="C1229" s="160" t="s">
        <v>2089</v>
      </c>
      <c r="D1229" s="60">
        <f t="shared" si="201"/>
        <v>12112999.67</v>
      </c>
      <c r="E1229" s="60">
        <v>0</v>
      </c>
      <c r="F1229" s="60">
        <v>0</v>
      </c>
      <c r="G1229" s="60">
        <v>0</v>
      </c>
      <c r="H1229" s="60">
        <v>0</v>
      </c>
      <c r="I1229" s="60">
        <v>0</v>
      </c>
      <c r="J1229" s="60">
        <v>0</v>
      </c>
      <c r="K1229" s="168">
        <v>4</v>
      </c>
      <c r="L1229" s="60">
        <v>11968089.32</v>
      </c>
      <c r="M1229" s="60">
        <v>0</v>
      </c>
      <c r="N1229" s="60">
        <v>0</v>
      </c>
      <c r="O1229" s="60">
        <v>0</v>
      </c>
      <c r="P1229" s="60">
        <v>0</v>
      </c>
      <c r="Q1229" s="60">
        <v>0</v>
      </c>
      <c r="R1229" s="62">
        <v>0</v>
      </c>
      <c r="S1229" s="60">
        <v>0</v>
      </c>
      <c r="T1229" s="60">
        <v>0</v>
      </c>
      <c r="U1229" s="60">
        <v>0</v>
      </c>
      <c r="V1229" s="60">
        <v>0</v>
      </c>
      <c r="W1229" s="60">
        <v>0</v>
      </c>
      <c r="X1229" s="60">
        <v>0</v>
      </c>
      <c r="Y1229" s="60">
        <v>0</v>
      </c>
      <c r="Z1229" s="60">
        <v>0</v>
      </c>
      <c r="AA1229" s="60">
        <v>0</v>
      </c>
      <c r="AB1229" s="60">
        <v>0</v>
      </c>
      <c r="AC1229" s="60">
        <v>0</v>
      </c>
      <c r="AD1229" s="169">
        <v>144910.35</v>
      </c>
      <c r="AE1229" s="60">
        <v>0</v>
      </c>
      <c r="AF1229" s="202">
        <v>2022</v>
      </c>
      <c r="AG1229" s="170">
        <v>2022</v>
      </c>
      <c r="AH1229" s="63" t="s">
        <v>257</v>
      </c>
    </row>
    <row r="1230" spans="1:34" ht="61.5" x14ac:dyDescent="0.85">
      <c r="B1230" s="160" t="s">
        <v>760</v>
      </c>
      <c r="C1230" s="176"/>
      <c r="D1230" s="177">
        <f>SUM(D1231:D1250)</f>
        <v>91127881.199999988</v>
      </c>
      <c r="E1230" s="60">
        <f t="shared" ref="E1230:AE1230" si="202">SUM(E1231:E1250)</f>
        <v>0</v>
      </c>
      <c r="F1230" s="60">
        <f t="shared" si="202"/>
        <v>0</v>
      </c>
      <c r="G1230" s="60">
        <f t="shared" si="202"/>
        <v>0</v>
      </c>
      <c r="H1230" s="60">
        <f t="shared" si="202"/>
        <v>131147.93</v>
      </c>
      <c r="I1230" s="60">
        <f t="shared" si="202"/>
        <v>0</v>
      </c>
      <c r="J1230" s="60">
        <f t="shared" si="202"/>
        <v>0</v>
      </c>
      <c r="K1230" s="168">
        <f t="shared" si="202"/>
        <v>9</v>
      </c>
      <c r="L1230" s="60">
        <f t="shared" si="202"/>
        <v>27017086.18</v>
      </c>
      <c r="M1230" s="60">
        <f t="shared" si="202"/>
        <v>8672.619999999999</v>
      </c>
      <c r="N1230" s="60">
        <f t="shared" si="202"/>
        <v>60632107.200000003</v>
      </c>
      <c r="O1230" s="60">
        <f t="shared" si="202"/>
        <v>0</v>
      </c>
      <c r="P1230" s="60">
        <f t="shared" si="202"/>
        <v>0</v>
      </c>
      <c r="Q1230" s="60">
        <f t="shared" si="202"/>
        <v>0</v>
      </c>
      <c r="R1230" s="60">
        <f t="shared" si="202"/>
        <v>0</v>
      </c>
      <c r="S1230" s="60">
        <f t="shared" si="202"/>
        <v>0</v>
      </c>
      <c r="T1230" s="60">
        <f t="shared" si="202"/>
        <v>0</v>
      </c>
      <c r="U1230" s="60">
        <f t="shared" si="202"/>
        <v>0</v>
      </c>
      <c r="V1230" s="60">
        <f t="shared" si="202"/>
        <v>0</v>
      </c>
      <c r="W1230" s="60">
        <f t="shared" si="202"/>
        <v>0</v>
      </c>
      <c r="X1230" s="60">
        <f t="shared" si="202"/>
        <v>0</v>
      </c>
      <c r="Y1230" s="60">
        <f t="shared" si="202"/>
        <v>0</v>
      </c>
      <c r="Z1230" s="60">
        <f t="shared" si="202"/>
        <v>0</v>
      </c>
      <c r="AA1230" s="60">
        <f t="shared" si="202"/>
        <v>0</v>
      </c>
      <c r="AB1230" s="60">
        <f t="shared" si="202"/>
        <v>0</v>
      </c>
      <c r="AC1230" s="60">
        <f t="shared" si="202"/>
        <v>1183266.4100000001</v>
      </c>
      <c r="AD1230" s="60">
        <f t="shared" si="202"/>
        <v>2164273.48</v>
      </c>
      <c r="AE1230" s="60">
        <f t="shared" si="202"/>
        <v>0</v>
      </c>
      <c r="AF1230" s="54" t="s">
        <v>701</v>
      </c>
      <c r="AG1230" s="54" t="s">
        <v>701</v>
      </c>
      <c r="AH1230" s="55" t="s">
        <v>701</v>
      </c>
    </row>
    <row r="1231" spans="1:34" ht="61.5" x14ac:dyDescent="0.85">
      <c r="A1231" s="7">
        <v>1</v>
      </c>
      <c r="B1231" s="59">
        <f>SUBTOTAL(103,$A$1032:A1231)</f>
        <v>195</v>
      </c>
      <c r="C1231" s="160" t="s">
        <v>568</v>
      </c>
      <c r="D1231" s="60">
        <f t="shared" ref="D1231:D1237" si="203">E1231+F1231+G1231+H1231+I1231+J1231+L1231+N1231+P1231+R1231+T1231+U1231+V1231+W1231+X1231+Y1231+Z1231+AA1231+AB1231+AC1231+AD1231+AE1231</f>
        <v>9548279.1899999995</v>
      </c>
      <c r="E1231" s="182">
        <v>0</v>
      </c>
      <c r="F1231" s="182">
        <v>0</v>
      </c>
      <c r="G1231" s="182">
        <v>0</v>
      </c>
      <c r="H1231" s="182">
        <v>0</v>
      </c>
      <c r="I1231" s="182">
        <v>0</v>
      </c>
      <c r="J1231" s="182">
        <v>0</v>
      </c>
      <c r="K1231" s="168">
        <v>0</v>
      </c>
      <c r="L1231" s="182">
        <v>0</v>
      </c>
      <c r="M1231" s="60">
        <v>1088.17</v>
      </c>
      <c r="N1231" s="60">
        <v>9175570</v>
      </c>
      <c r="O1231" s="60">
        <v>0</v>
      </c>
      <c r="P1231" s="60">
        <v>0</v>
      </c>
      <c r="Q1231" s="60">
        <v>0</v>
      </c>
      <c r="R1231" s="60">
        <v>0</v>
      </c>
      <c r="S1231" s="60">
        <v>0</v>
      </c>
      <c r="T1231" s="60">
        <v>0</v>
      </c>
      <c r="U1231" s="60">
        <v>0</v>
      </c>
      <c r="V1231" s="60">
        <v>0</v>
      </c>
      <c r="W1231" s="60">
        <v>0</v>
      </c>
      <c r="X1231" s="60">
        <v>0</v>
      </c>
      <c r="Y1231" s="60">
        <v>0</v>
      </c>
      <c r="Z1231" s="60">
        <v>0</v>
      </c>
      <c r="AA1231" s="60">
        <v>0</v>
      </c>
      <c r="AB1231" s="60">
        <v>0</v>
      </c>
      <c r="AC1231" s="60">
        <f t="shared" ref="AC1231:AC1267" si="204">ROUND(N1231*2.14%,2)+ROUND(E1231*2.14%,2)+ROUND(F1231*2.14%,2)+ROUND(G1231*2.14%,2)+ROUND(H1231*2.14%,2)+ROUND(I1231*2.14%,2)+ROUND(J1231*2.14%,2)+ROUND(L1231*2.14%,2)+ROUND(P1231*2.14%,2)+ROUND(R1231*2.14%,2)+ROUND(T1231*2.14%,2)+ROUND(U1231*2.14%,2)+ROUND(V1231*2.14%,2)+ROUND(W1231*2.14%,2)+ROUND(X1231*2.14%,2)+ROUND(Y1231*2.14%,2)+ROUND(Z1231*2.14%,2)+ROUND(AA1231*2.14%,2)+ROUND(AB1231*2.14%,2)</f>
        <v>196357.2</v>
      </c>
      <c r="AD1231" s="60">
        <v>176351.99</v>
      </c>
      <c r="AE1231" s="60">
        <v>0</v>
      </c>
      <c r="AF1231" s="170">
        <v>2022</v>
      </c>
      <c r="AG1231" s="170">
        <v>2022</v>
      </c>
      <c r="AH1231" s="63">
        <v>2022</v>
      </c>
    </row>
    <row r="1232" spans="1:34" ht="61.5" customHeight="1" x14ac:dyDescent="0.85">
      <c r="A1232" s="7">
        <v>1</v>
      </c>
      <c r="B1232" s="59">
        <f>SUBTOTAL(103,$A$1032:A1232)</f>
        <v>196</v>
      </c>
      <c r="C1232" s="160" t="s">
        <v>569</v>
      </c>
      <c r="D1232" s="60">
        <f t="shared" si="203"/>
        <v>11385976.74</v>
      </c>
      <c r="E1232" s="182">
        <v>0</v>
      </c>
      <c r="F1232" s="182">
        <v>0</v>
      </c>
      <c r="G1232" s="182">
        <v>0</v>
      </c>
      <c r="H1232" s="182">
        <v>0</v>
      </c>
      <c r="I1232" s="182">
        <v>0</v>
      </c>
      <c r="J1232" s="182">
        <v>0</v>
      </c>
      <c r="K1232" s="168">
        <v>0</v>
      </c>
      <c r="L1232" s="182">
        <v>0</v>
      </c>
      <c r="M1232" s="60">
        <v>1576.5</v>
      </c>
      <c r="N1232" s="60">
        <v>10999029.4</v>
      </c>
      <c r="O1232" s="60">
        <v>0</v>
      </c>
      <c r="P1232" s="60">
        <v>0</v>
      </c>
      <c r="Q1232" s="60">
        <v>0</v>
      </c>
      <c r="R1232" s="60">
        <v>0</v>
      </c>
      <c r="S1232" s="60">
        <v>0</v>
      </c>
      <c r="T1232" s="60">
        <v>0</v>
      </c>
      <c r="U1232" s="60">
        <v>0</v>
      </c>
      <c r="V1232" s="60">
        <v>0</v>
      </c>
      <c r="W1232" s="60">
        <v>0</v>
      </c>
      <c r="X1232" s="60">
        <v>0</v>
      </c>
      <c r="Y1232" s="60">
        <v>0</v>
      </c>
      <c r="Z1232" s="60">
        <v>0</v>
      </c>
      <c r="AA1232" s="60">
        <v>0</v>
      </c>
      <c r="AB1232" s="60">
        <v>0</v>
      </c>
      <c r="AC1232" s="60">
        <v>228317.85</v>
      </c>
      <c r="AD1232" s="60">
        <v>158629.49</v>
      </c>
      <c r="AE1232" s="60">
        <v>0</v>
      </c>
      <c r="AF1232" s="170">
        <v>2022</v>
      </c>
      <c r="AG1232" s="170">
        <v>2022</v>
      </c>
      <c r="AH1232" s="63">
        <v>2022</v>
      </c>
    </row>
    <row r="1233" spans="1:34" ht="61.5" x14ac:dyDescent="0.85">
      <c r="A1233" s="7">
        <v>1</v>
      </c>
      <c r="B1233" s="59">
        <f>SUBTOTAL(103,$A$1032:A1233)</f>
        <v>197</v>
      </c>
      <c r="C1233" s="160" t="s">
        <v>3479</v>
      </c>
      <c r="D1233" s="60">
        <f t="shared" si="203"/>
        <v>2637666.9299999997</v>
      </c>
      <c r="E1233" s="182">
        <v>0</v>
      </c>
      <c r="F1233" s="182">
        <v>0</v>
      </c>
      <c r="G1233" s="182">
        <v>0</v>
      </c>
      <c r="H1233" s="182">
        <v>0</v>
      </c>
      <c r="I1233" s="182">
        <v>0</v>
      </c>
      <c r="J1233" s="182">
        <v>0</v>
      </c>
      <c r="K1233" s="168">
        <v>0</v>
      </c>
      <c r="L1233" s="182">
        <v>0</v>
      </c>
      <c r="M1233" s="60">
        <v>479.3</v>
      </c>
      <c r="N1233" s="60">
        <v>2526379</v>
      </c>
      <c r="O1233" s="60">
        <v>0</v>
      </c>
      <c r="P1233" s="60">
        <v>0</v>
      </c>
      <c r="Q1233" s="60">
        <v>0</v>
      </c>
      <c r="R1233" s="60">
        <v>0</v>
      </c>
      <c r="S1233" s="60">
        <v>0</v>
      </c>
      <c r="T1233" s="60">
        <v>0</v>
      </c>
      <c r="U1233" s="60">
        <v>0</v>
      </c>
      <c r="V1233" s="60">
        <v>0</v>
      </c>
      <c r="W1233" s="60">
        <v>0</v>
      </c>
      <c r="X1233" s="60">
        <v>0</v>
      </c>
      <c r="Y1233" s="60">
        <v>0</v>
      </c>
      <c r="Z1233" s="60">
        <v>0</v>
      </c>
      <c r="AA1233" s="60">
        <v>0</v>
      </c>
      <c r="AB1233" s="60">
        <v>0</v>
      </c>
      <c r="AC1233" s="60">
        <f t="shared" si="204"/>
        <v>54064.51</v>
      </c>
      <c r="AD1233" s="60">
        <v>57223.42</v>
      </c>
      <c r="AE1233" s="60">
        <v>0</v>
      </c>
      <c r="AF1233" s="170">
        <v>2022</v>
      </c>
      <c r="AG1233" s="170">
        <v>2022</v>
      </c>
      <c r="AH1233" s="63">
        <v>2022</v>
      </c>
    </row>
    <row r="1234" spans="1:34" ht="61.5" x14ac:dyDescent="0.85">
      <c r="A1234" s="7">
        <v>1</v>
      </c>
      <c r="B1234" s="59">
        <f>SUBTOTAL(103,$A$1032:A1234)</f>
        <v>198</v>
      </c>
      <c r="C1234" s="160" t="s">
        <v>573</v>
      </c>
      <c r="D1234" s="60">
        <f t="shared" si="203"/>
        <v>9666164.410000002</v>
      </c>
      <c r="E1234" s="182">
        <v>0</v>
      </c>
      <c r="F1234" s="182">
        <v>0</v>
      </c>
      <c r="G1234" s="182">
        <v>0</v>
      </c>
      <c r="H1234" s="182">
        <v>0</v>
      </c>
      <c r="I1234" s="182">
        <v>0</v>
      </c>
      <c r="J1234" s="182">
        <v>0</v>
      </c>
      <c r="K1234" s="168">
        <v>0</v>
      </c>
      <c r="L1234" s="182">
        <v>0</v>
      </c>
      <c r="M1234" s="60">
        <v>1414</v>
      </c>
      <c r="N1234" s="60">
        <v>9314178.8000000007</v>
      </c>
      <c r="O1234" s="60">
        <v>0</v>
      </c>
      <c r="P1234" s="60">
        <v>0</v>
      </c>
      <c r="Q1234" s="60">
        <v>0</v>
      </c>
      <c r="R1234" s="60">
        <v>0</v>
      </c>
      <c r="S1234" s="60">
        <v>0</v>
      </c>
      <c r="T1234" s="60">
        <v>0</v>
      </c>
      <c r="U1234" s="60">
        <v>0</v>
      </c>
      <c r="V1234" s="60">
        <v>0</v>
      </c>
      <c r="W1234" s="60">
        <v>0</v>
      </c>
      <c r="X1234" s="60">
        <v>0</v>
      </c>
      <c r="Y1234" s="60">
        <v>0</v>
      </c>
      <c r="Z1234" s="60">
        <v>0</v>
      </c>
      <c r="AA1234" s="60">
        <v>0</v>
      </c>
      <c r="AB1234" s="60">
        <v>0</v>
      </c>
      <c r="AC1234" s="60">
        <v>193343.72</v>
      </c>
      <c r="AD1234" s="60">
        <v>158641.89000000001</v>
      </c>
      <c r="AE1234" s="60">
        <v>0</v>
      </c>
      <c r="AF1234" s="170">
        <v>2022</v>
      </c>
      <c r="AG1234" s="170">
        <v>2022</v>
      </c>
      <c r="AH1234" s="63">
        <v>2022</v>
      </c>
    </row>
    <row r="1235" spans="1:34" ht="61.5" x14ac:dyDescent="0.85">
      <c r="A1235" s="7">
        <v>1</v>
      </c>
      <c r="B1235" s="59">
        <f>SUBTOTAL(103,$A$1032:A1235)</f>
        <v>199</v>
      </c>
      <c r="C1235" s="160" t="s">
        <v>586</v>
      </c>
      <c r="D1235" s="60">
        <f t="shared" si="203"/>
        <v>70395.23</v>
      </c>
      <c r="E1235" s="182">
        <v>0</v>
      </c>
      <c r="F1235" s="182">
        <v>0</v>
      </c>
      <c r="G1235" s="182">
        <v>0</v>
      </c>
      <c r="H1235" s="182">
        <v>0</v>
      </c>
      <c r="I1235" s="182">
        <v>0</v>
      </c>
      <c r="J1235" s="182">
        <v>0</v>
      </c>
      <c r="K1235" s="168">
        <v>0</v>
      </c>
      <c r="L1235" s="182">
        <v>0</v>
      </c>
      <c r="M1235" s="60">
        <v>0</v>
      </c>
      <c r="N1235" s="60">
        <v>0</v>
      </c>
      <c r="O1235" s="60">
        <v>0</v>
      </c>
      <c r="P1235" s="60">
        <v>0</v>
      </c>
      <c r="Q1235" s="60">
        <v>0</v>
      </c>
      <c r="R1235" s="60">
        <v>0</v>
      </c>
      <c r="S1235" s="60">
        <v>0</v>
      </c>
      <c r="T1235" s="60">
        <v>0</v>
      </c>
      <c r="U1235" s="60">
        <v>0</v>
      </c>
      <c r="V1235" s="60">
        <v>0</v>
      </c>
      <c r="W1235" s="60">
        <v>0</v>
      </c>
      <c r="X1235" s="60">
        <v>0</v>
      </c>
      <c r="Y1235" s="60">
        <v>0</v>
      </c>
      <c r="Z1235" s="60">
        <v>0</v>
      </c>
      <c r="AA1235" s="60">
        <v>0</v>
      </c>
      <c r="AB1235" s="60">
        <v>0</v>
      </c>
      <c r="AC1235" s="60">
        <v>0</v>
      </c>
      <c r="AD1235" s="60">
        <v>70395.23</v>
      </c>
      <c r="AE1235" s="60">
        <v>0</v>
      </c>
      <c r="AF1235" s="170">
        <v>2022</v>
      </c>
      <c r="AG1235" s="170" t="s">
        <v>257</v>
      </c>
      <c r="AH1235" s="63" t="s">
        <v>257</v>
      </c>
    </row>
    <row r="1236" spans="1:34" ht="61.5" x14ac:dyDescent="0.85">
      <c r="A1236" s="7">
        <v>1</v>
      </c>
      <c r="B1236" s="59">
        <f>SUBTOTAL(103,$A$1032:A1236)</f>
        <v>200</v>
      </c>
      <c r="C1236" s="160" t="s">
        <v>590</v>
      </c>
      <c r="D1236" s="60">
        <f t="shared" si="203"/>
        <v>147986.14000000001</v>
      </c>
      <c r="E1236" s="182">
        <v>0</v>
      </c>
      <c r="F1236" s="182">
        <v>0</v>
      </c>
      <c r="G1236" s="182">
        <v>0</v>
      </c>
      <c r="H1236" s="182">
        <v>0</v>
      </c>
      <c r="I1236" s="182">
        <v>0</v>
      </c>
      <c r="J1236" s="182">
        <v>0</v>
      </c>
      <c r="K1236" s="168">
        <v>0</v>
      </c>
      <c r="L1236" s="182">
        <v>0</v>
      </c>
      <c r="M1236" s="60">
        <v>0</v>
      </c>
      <c r="N1236" s="60">
        <v>0</v>
      </c>
      <c r="O1236" s="60">
        <v>0</v>
      </c>
      <c r="P1236" s="60">
        <v>0</v>
      </c>
      <c r="Q1236" s="60">
        <v>0</v>
      </c>
      <c r="R1236" s="60">
        <v>0</v>
      </c>
      <c r="S1236" s="60">
        <v>0</v>
      </c>
      <c r="T1236" s="60">
        <v>0</v>
      </c>
      <c r="U1236" s="60">
        <v>0</v>
      </c>
      <c r="V1236" s="60">
        <v>0</v>
      </c>
      <c r="W1236" s="60">
        <v>0</v>
      </c>
      <c r="X1236" s="60">
        <v>0</v>
      </c>
      <c r="Y1236" s="60">
        <v>0</v>
      </c>
      <c r="Z1236" s="60">
        <v>0</v>
      </c>
      <c r="AA1236" s="60">
        <v>0</v>
      </c>
      <c r="AB1236" s="60">
        <v>0</v>
      </c>
      <c r="AC1236" s="60">
        <f t="shared" si="204"/>
        <v>0</v>
      </c>
      <c r="AD1236" s="60">
        <v>147986.14000000001</v>
      </c>
      <c r="AE1236" s="60">
        <v>0</v>
      </c>
      <c r="AF1236" s="170">
        <v>2022</v>
      </c>
      <c r="AG1236" s="170" t="s">
        <v>257</v>
      </c>
      <c r="AH1236" s="63" t="s">
        <v>257</v>
      </c>
    </row>
    <row r="1237" spans="1:34" ht="61.5" x14ac:dyDescent="0.85">
      <c r="A1237" s="7">
        <v>1</v>
      </c>
      <c r="B1237" s="59">
        <f>SUBTOTAL(103,$A$1032:A1237)</f>
        <v>201</v>
      </c>
      <c r="C1237" s="160" t="s">
        <v>594</v>
      </c>
      <c r="D1237" s="60">
        <f t="shared" si="203"/>
        <v>9617147</v>
      </c>
      <c r="E1237" s="182">
        <v>0</v>
      </c>
      <c r="F1237" s="182">
        <v>0</v>
      </c>
      <c r="G1237" s="182">
        <v>0</v>
      </c>
      <c r="H1237" s="182">
        <v>0</v>
      </c>
      <c r="I1237" s="182">
        <v>0</v>
      </c>
      <c r="J1237" s="182">
        <v>0</v>
      </c>
      <c r="K1237" s="168">
        <v>0</v>
      </c>
      <c r="L1237" s="182">
        <v>0</v>
      </c>
      <c r="M1237" s="60">
        <v>1090.2</v>
      </c>
      <c r="N1237" s="62">
        <v>9242975</v>
      </c>
      <c r="O1237" s="60">
        <v>0</v>
      </c>
      <c r="P1237" s="60">
        <v>0</v>
      </c>
      <c r="Q1237" s="60">
        <v>0</v>
      </c>
      <c r="R1237" s="60">
        <v>0</v>
      </c>
      <c r="S1237" s="60">
        <v>0</v>
      </c>
      <c r="T1237" s="60">
        <v>0</v>
      </c>
      <c r="U1237" s="60">
        <v>0</v>
      </c>
      <c r="V1237" s="60">
        <v>0</v>
      </c>
      <c r="W1237" s="60">
        <v>0</v>
      </c>
      <c r="X1237" s="60">
        <v>0</v>
      </c>
      <c r="Y1237" s="60">
        <v>0</v>
      </c>
      <c r="Z1237" s="60">
        <v>0</v>
      </c>
      <c r="AA1237" s="60">
        <v>0</v>
      </c>
      <c r="AB1237" s="60">
        <v>0</v>
      </c>
      <c r="AC1237" s="60">
        <f t="shared" si="204"/>
        <v>197799.67</v>
      </c>
      <c r="AD1237" s="60">
        <v>176372.33</v>
      </c>
      <c r="AE1237" s="60">
        <v>0</v>
      </c>
      <c r="AF1237" s="170">
        <v>2022</v>
      </c>
      <c r="AG1237" s="170">
        <v>2022</v>
      </c>
      <c r="AH1237" s="63">
        <v>2022</v>
      </c>
    </row>
    <row r="1238" spans="1:34" ht="61.5" x14ac:dyDescent="0.85">
      <c r="A1238" s="7">
        <v>1</v>
      </c>
      <c r="B1238" s="59">
        <f>SUBTOTAL(103,$A$1032:A1238)</f>
        <v>202</v>
      </c>
      <c r="C1238" s="160" t="s">
        <v>593</v>
      </c>
      <c r="D1238" s="60">
        <f t="shared" ref="D1238:D1250" si="205">E1238+F1238+G1238+H1238+I1238+J1238+L1238+N1238+P1238+R1238+T1238+U1238+V1238+W1238+X1238+Y1238+Z1238+AA1238+AB1238+AC1238+AD1238+AE1238</f>
        <v>4267849.1499999994</v>
      </c>
      <c r="E1238" s="182">
        <v>0</v>
      </c>
      <c r="F1238" s="182">
        <v>0</v>
      </c>
      <c r="G1238" s="182">
        <v>0</v>
      </c>
      <c r="H1238" s="182">
        <v>0</v>
      </c>
      <c r="I1238" s="182">
        <v>0</v>
      </c>
      <c r="J1238" s="182">
        <v>0</v>
      </c>
      <c r="K1238" s="168">
        <v>0</v>
      </c>
      <c r="L1238" s="182">
        <v>0</v>
      </c>
      <c r="M1238" s="60">
        <v>875.61</v>
      </c>
      <c r="N1238" s="60">
        <v>4053056</v>
      </c>
      <c r="O1238" s="60">
        <v>0</v>
      </c>
      <c r="P1238" s="60">
        <v>0</v>
      </c>
      <c r="Q1238" s="60">
        <v>0</v>
      </c>
      <c r="R1238" s="60">
        <v>0</v>
      </c>
      <c r="S1238" s="60">
        <v>0</v>
      </c>
      <c r="T1238" s="60">
        <v>0</v>
      </c>
      <c r="U1238" s="60">
        <v>0</v>
      </c>
      <c r="V1238" s="60">
        <v>0</v>
      </c>
      <c r="W1238" s="60">
        <v>0</v>
      </c>
      <c r="X1238" s="60">
        <v>0</v>
      </c>
      <c r="Y1238" s="60">
        <v>0</v>
      </c>
      <c r="Z1238" s="60">
        <v>0</v>
      </c>
      <c r="AA1238" s="60">
        <v>0</v>
      </c>
      <c r="AB1238" s="60">
        <v>0</v>
      </c>
      <c r="AC1238" s="60">
        <v>84133.34</v>
      </c>
      <c r="AD1238" s="60">
        <v>130659.81</v>
      </c>
      <c r="AE1238" s="60">
        <v>0</v>
      </c>
      <c r="AF1238" s="170">
        <v>2022</v>
      </c>
      <c r="AG1238" s="170">
        <v>2022</v>
      </c>
      <c r="AH1238" s="63">
        <v>2022</v>
      </c>
    </row>
    <row r="1239" spans="1:34" ht="61.5" x14ac:dyDescent="0.85">
      <c r="A1239" s="7">
        <v>1</v>
      </c>
      <c r="B1239" s="59">
        <f>SUBTOTAL(103,$A$1032:A1239)</f>
        <v>203</v>
      </c>
      <c r="C1239" s="160" t="s">
        <v>575</v>
      </c>
      <c r="D1239" s="60">
        <f t="shared" si="205"/>
        <v>175609.68</v>
      </c>
      <c r="E1239" s="180">
        <v>0</v>
      </c>
      <c r="F1239" s="180">
        <v>0</v>
      </c>
      <c r="G1239" s="180">
        <v>0</v>
      </c>
      <c r="H1239" s="180">
        <v>0</v>
      </c>
      <c r="I1239" s="180">
        <v>0</v>
      </c>
      <c r="J1239" s="180">
        <v>0</v>
      </c>
      <c r="K1239" s="168">
        <v>0</v>
      </c>
      <c r="L1239" s="60">
        <v>0</v>
      </c>
      <c r="M1239" s="60">
        <v>0</v>
      </c>
      <c r="N1239" s="60">
        <v>0</v>
      </c>
      <c r="O1239" s="60">
        <v>0</v>
      </c>
      <c r="P1239" s="60">
        <v>0</v>
      </c>
      <c r="Q1239" s="60">
        <v>0</v>
      </c>
      <c r="R1239" s="60">
        <v>0</v>
      </c>
      <c r="S1239" s="60">
        <v>0</v>
      </c>
      <c r="T1239" s="60">
        <v>0</v>
      </c>
      <c r="U1239" s="60">
        <v>0</v>
      </c>
      <c r="V1239" s="60">
        <v>0</v>
      </c>
      <c r="W1239" s="60">
        <v>0</v>
      </c>
      <c r="X1239" s="60">
        <v>0</v>
      </c>
      <c r="Y1239" s="60">
        <v>0</v>
      </c>
      <c r="Z1239" s="60">
        <v>0</v>
      </c>
      <c r="AA1239" s="60">
        <v>0</v>
      </c>
      <c r="AB1239" s="60">
        <v>0</v>
      </c>
      <c r="AC1239" s="60">
        <f t="shared" si="204"/>
        <v>0</v>
      </c>
      <c r="AD1239" s="173">
        <f>176661.71-1052.03</f>
        <v>175609.68</v>
      </c>
      <c r="AE1239" s="60">
        <v>0</v>
      </c>
      <c r="AF1239" s="170">
        <v>2022</v>
      </c>
      <c r="AG1239" s="170" t="s">
        <v>257</v>
      </c>
      <c r="AH1239" s="63" t="s">
        <v>257</v>
      </c>
    </row>
    <row r="1240" spans="1:34" ht="61.5" x14ac:dyDescent="0.85">
      <c r="A1240" s="7">
        <v>1</v>
      </c>
      <c r="B1240" s="59">
        <f>SUBTOTAL(103,$A$1032:A1240)</f>
        <v>204</v>
      </c>
      <c r="C1240" s="160" t="s">
        <v>1120</v>
      </c>
      <c r="D1240" s="60">
        <f t="shared" si="205"/>
        <v>133954.5</v>
      </c>
      <c r="E1240" s="180">
        <v>0</v>
      </c>
      <c r="F1240" s="180">
        <v>0</v>
      </c>
      <c r="G1240" s="180">
        <v>0</v>
      </c>
      <c r="H1240" s="180">
        <v>131147.93</v>
      </c>
      <c r="I1240" s="180">
        <v>0</v>
      </c>
      <c r="J1240" s="180">
        <v>0</v>
      </c>
      <c r="K1240" s="168">
        <v>0</v>
      </c>
      <c r="L1240" s="60">
        <v>0</v>
      </c>
      <c r="M1240" s="60">
        <v>0</v>
      </c>
      <c r="N1240" s="60">
        <v>0</v>
      </c>
      <c r="O1240" s="180">
        <v>0</v>
      </c>
      <c r="P1240" s="180">
        <v>0</v>
      </c>
      <c r="Q1240" s="60">
        <v>0</v>
      </c>
      <c r="R1240" s="60">
        <v>0</v>
      </c>
      <c r="S1240" s="60">
        <v>0</v>
      </c>
      <c r="T1240" s="60">
        <v>0</v>
      </c>
      <c r="U1240" s="60">
        <v>0</v>
      </c>
      <c r="V1240" s="60">
        <v>0</v>
      </c>
      <c r="W1240" s="60">
        <v>0</v>
      </c>
      <c r="X1240" s="60">
        <v>0</v>
      </c>
      <c r="Y1240" s="60">
        <v>0</v>
      </c>
      <c r="Z1240" s="60">
        <v>0</v>
      </c>
      <c r="AA1240" s="60">
        <v>0</v>
      </c>
      <c r="AB1240" s="60">
        <v>0</v>
      </c>
      <c r="AC1240" s="60">
        <f t="shared" si="204"/>
        <v>2806.57</v>
      </c>
      <c r="AD1240" s="60">
        <v>0</v>
      </c>
      <c r="AE1240" s="60">
        <v>0</v>
      </c>
      <c r="AF1240" s="170" t="s">
        <v>257</v>
      </c>
      <c r="AG1240" s="170">
        <v>2022</v>
      </c>
      <c r="AH1240" s="63">
        <v>2022</v>
      </c>
    </row>
    <row r="1241" spans="1:34" ht="61.5" x14ac:dyDescent="0.85">
      <c r="A1241" s="7">
        <v>1</v>
      </c>
      <c r="B1241" s="59">
        <f>SUBTOTAL(103,$A$1032:A1241)</f>
        <v>205</v>
      </c>
      <c r="C1241" s="160" t="s">
        <v>1802</v>
      </c>
      <c r="D1241" s="60">
        <f t="shared" si="205"/>
        <v>3952910.92</v>
      </c>
      <c r="E1241" s="60">
        <v>0</v>
      </c>
      <c r="F1241" s="60">
        <v>0</v>
      </c>
      <c r="G1241" s="60">
        <v>0</v>
      </c>
      <c r="H1241" s="60">
        <v>0</v>
      </c>
      <c r="I1241" s="60">
        <v>0</v>
      </c>
      <c r="J1241" s="60">
        <v>0</v>
      </c>
      <c r="K1241" s="168">
        <v>0</v>
      </c>
      <c r="L1241" s="60">
        <v>0</v>
      </c>
      <c r="M1241" s="60">
        <v>569.20000000000005</v>
      </c>
      <c r="N1241" s="60">
        <v>3912127</v>
      </c>
      <c r="O1241" s="60">
        <v>0</v>
      </c>
      <c r="P1241" s="60">
        <v>0</v>
      </c>
      <c r="Q1241" s="60">
        <v>0</v>
      </c>
      <c r="R1241" s="60">
        <v>0</v>
      </c>
      <c r="S1241" s="60">
        <v>0</v>
      </c>
      <c r="T1241" s="60">
        <v>0</v>
      </c>
      <c r="U1241" s="60">
        <v>0</v>
      </c>
      <c r="V1241" s="60">
        <v>0</v>
      </c>
      <c r="W1241" s="60">
        <v>0</v>
      </c>
      <c r="X1241" s="60">
        <v>0</v>
      </c>
      <c r="Y1241" s="60">
        <v>0</v>
      </c>
      <c r="Z1241" s="60">
        <v>0</v>
      </c>
      <c r="AA1241" s="60">
        <v>0</v>
      </c>
      <c r="AB1241" s="60">
        <v>0</v>
      </c>
      <c r="AC1241" s="60">
        <v>40783.919999999998</v>
      </c>
      <c r="AD1241" s="60">
        <v>0</v>
      </c>
      <c r="AE1241" s="60">
        <v>0</v>
      </c>
      <c r="AF1241" s="170" t="s">
        <v>257</v>
      </c>
      <c r="AG1241" s="170">
        <v>2022</v>
      </c>
      <c r="AH1241" s="63">
        <v>2022</v>
      </c>
    </row>
    <row r="1242" spans="1:34" ht="61.5" x14ac:dyDescent="0.85">
      <c r="A1242" s="7">
        <v>1</v>
      </c>
      <c r="B1242" s="59">
        <f>SUBTOTAL(103,$A$1032:A1242)</f>
        <v>206</v>
      </c>
      <c r="C1242" s="160" t="s">
        <v>1803</v>
      </c>
      <c r="D1242" s="60">
        <f t="shared" si="205"/>
        <v>2306378.9300000002</v>
      </c>
      <c r="E1242" s="60">
        <v>0</v>
      </c>
      <c r="F1242" s="60">
        <v>0</v>
      </c>
      <c r="G1242" s="60">
        <v>0</v>
      </c>
      <c r="H1242" s="60">
        <v>0</v>
      </c>
      <c r="I1242" s="60">
        <v>0</v>
      </c>
      <c r="J1242" s="60">
        <v>0</v>
      </c>
      <c r="K1242" s="168">
        <v>0</v>
      </c>
      <c r="L1242" s="60">
        <v>0</v>
      </c>
      <c r="M1242" s="60">
        <v>342.26</v>
      </c>
      <c r="N1242" s="60">
        <v>2282583</v>
      </c>
      <c r="O1242" s="60">
        <v>0</v>
      </c>
      <c r="P1242" s="60">
        <v>0</v>
      </c>
      <c r="Q1242" s="60">
        <v>0</v>
      </c>
      <c r="R1242" s="60">
        <v>0</v>
      </c>
      <c r="S1242" s="60">
        <v>0</v>
      </c>
      <c r="T1242" s="60">
        <v>0</v>
      </c>
      <c r="U1242" s="60">
        <v>0</v>
      </c>
      <c r="V1242" s="60">
        <v>0</v>
      </c>
      <c r="W1242" s="60">
        <v>0</v>
      </c>
      <c r="X1242" s="60">
        <v>0</v>
      </c>
      <c r="Y1242" s="60">
        <v>0</v>
      </c>
      <c r="Z1242" s="60">
        <v>0</v>
      </c>
      <c r="AA1242" s="60">
        <v>0</v>
      </c>
      <c r="AB1242" s="60">
        <v>0</v>
      </c>
      <c r="AC1242" s="60">
        <v>23795.93</v>
      </c>
      <c r="AD1242" s="60">
        <v>0</v>
      </c>
      <c r="AE1242" s="60">
        <v>0</v>
      </c>
      <c r="AF1242" s="170" t="s">
        <v>257</v>
      </c>
      <c r="AG1242" s="170">
        <v>2022</v>
      </c>
      <c r="AH1242" s="63">
        <v>2022</v>
      </c>
    </row>
    <row r="1243" spans="1:34" ht="61.5" x14ac:dyDescent="0.85">
      <c r="A1243" s="7">
        <v>1</v>
      </c>
      <c r="B1243" s="59">
        <f>SUBTOTAL(103,$A$1032:A1243)</f>
        <v>207</v>
      </c>
      <c r="C1243" s="160" t="s">
        <v>1804</v>
      </c>
      <c r="D1243" s="60">
        <f t="shared" si="205"/>
        <v>2696762.69</v>
      </c>
      <c r="E1243" s="60">
        <v>0</v>
      </c>
      <c r="F1243" s="60">
        <v>0</v>
      </c>
      <c r="G1243" s="60">
        <v>0</v>
      </c>
      <c r="H1243" s="60">
        <v>0</v>
      </c>
      <c r="I1243" s="60">
        <v>0</v>
      </c>
      <c r="J1243" s="60">
        <v>0</v>
      </c>
      <c r="K1243" s="168">
        <v>0</v>
      </c>
      <c r="L1243" s="60">
        <v>0</v>
      </c>
      <c r="M1243" s="60">
        <v>442.36</v>
      </c>
      <c r="N1243" s="60">
        <v>2668939</v>
      </c>
      <c r="O1243" s="60">
        <v>0</v>
      </c>
      <c r="P1243" s="60">
        <v>0</v>
      </c>
      <c r="Q1243" s="60">
        <v>0</v>
      </c>
      <c r="R1243" s="60">
        <v>0</v>
      </c>
      <c r="S1243" s="60">
        <v>0</v>
      </c>
      <c r="T1243" s="60">
        <v>0</v>
      </c>
      <c r="U1243" s="60">
        <v>0</v>
      </c>
      <c r="V1243" s="60">
        <v>0</v>
      </c>
      <c r="W1243" s="60">
        <v>0</v>
      </c>
      <c r="X1243" s="60">
        <v>0</v>
      </c>
      <c r="Y1243" s="60">
        <v>0</v>
      </c>
      <c r="Z1243" s="60">
        <v>0</v>
      </c>
      <c r="AA1243" s="60">
        <v>0</v>
      </c>
      <c r="AB1243" s="60">
        <v>0</v>
      </c>
      <c r="AC1243" s="60">
        <v>27823.69</v>
      </c>
      <c r="AD1243" s="60">
        <v>0</v>
      </c>
      <c r="AE1243" s="60">
        <v>0</v>
      </c>
      <c r="AF1243" s="170" t="s">
        <v>257</v>
      </c>
      <c r="AG1243" s="170">
        <v>2022</v>
      </c>
      <c r="AH1243" s="63">
        <v>2022</v>
      </c>
    </row>
    <row r="1244" spans="1:34" ht="61.5" x14ac:dyDescent="0.85">
      <c r="A1244" s="7">
        <v>1</v>
      </c>
      <c r="B1244" s="59">
        <f>SUBTOTAL(103,$A$1032:A1244)</f>
        <v>208</v>
      </c>
      <c r="C1244" s="160" t="s">
        <v>592</v>
      </c>
      <c r="D1244" s="60">
        <f t="shared" si="205"/>
        <v>135446.01999999999</v>
      </c>
      <c r="E1244" s="180">
        <v>0</v>
      </c>
      <c r="F1244" s="180">
        <v>0</v>
      </c>
      <c r="G1244" s="180">
        <v>0</v>
      </c>
      <c r="H1244" s="180">
        <v>0</v>
      </c>
      <c r="I1244" s="180">
        <v>0</v>
      </c>
      <c r="J1244" s="180">
        <v>0</v>
      </c>
      <c r="K1244" s="168">
        <v>0</v>
      </c>
      <c r="L1244" s="60">
        <v>0</v>
      </c>
      <c r="M1244" s="60">
        <v>0</v>
      </c>
      <c r="N1244" s="60">
        <v>0</v>
      </c>
      <c r="O1244" s="60">
        <v>0</v>
      </c>
      <c r="P1244" s="60">
        <v>0</v>
      </c>
      <c r="Q1244" s="60">
        <v>0</v>
      </c>
      <c r="R1244" s="60">
        <v>0</v>
      </c>
      <c r="S1244" s="60">
        <v>0</v>
      </c>
      <c r="T1244" s="60">
        <v>0</v>
      </c>
      <c r="U1244" s="60">
        <v>0</v>
      </c>
      <c r="V1244" s="60">
        <v>0</v>
      </c>
      <c r="W1244" s="60">
        <v>0</v>
      </c>
      <c r="X1244" s="60">
        <v>0</v>
      </c>
      <c r="Y1244" s="60">
        <v>0</v>
      </c>
      <c r="Z1244" s="60">
        <v>0</v>
      </c>
      <c r="AA1244" s="60">
        <v>0</v>
      </c>
      <c r="AB1244" s="60">
        <v>0</v>
      </c>
      <c r="AC1244" s="60">
        <f t="shared" si="204"/>
        <v>0</v>
      </c>
      <c r="AD1244" s="173">
        <v>135446.01999999999</v>
      </c>
      <c r="AE1244" s="60">
        <v>0</v>
      </c>
      <c r="AF1244" s="170">
        <v>2022</v>
      </c>
      <c r="AG1244" s="170" t="s">
        <v>257</v>
      </c>
      <c r="AH1244" s="63" t="s">
        <v>257</v>
      </c>
    </row>
    <row r="1245" spans="1:34" ht="61.5" x14ac:dyDescent="0.85">
      <c r="A1245" s="7">
        <v>1</v>
      </c>
      <c r="B1245" s="59">
        <f>SUBTOTAL(103,$A$1032:A1245)</f>
        <v>209</v>
      </c>
      <c r="C1245" s="160" t="s">
        <v>3480</v>
      </c>
      <c r="D1245" s="60">
        <f t="shared" si="205"/>
        <v>121335.91</v>
      </c>
      <c r="E1245" s="60">
        <v>0</v>
      </c>
      <c r="F1245" s="60">
        <v>0</v>
      </c>
      <c r="G1245" s="60">
        <v>0</v>
      </c>
      <c r="H1245" s="60">
        <v>0</v>
      </c>
      <c r="I1245" s="60">
        <v>0</v>
      </c>
      <c r="J1245" s="60">
        <v>0</v>
      </c>
      <c r="K1245" s="168">
        <v>0</v>
      </c>
      <c r="L1245" s="60">
        <v>0</v>
      </c>
      <c r="M1245" s="60">
        <v>0</v>
      </c>
      <c r="N1245" s="60">
        <v>0</v>
      </c>
      <c r="O1245" s="60">
        <v>0</v>
      </c>
      <c r="P1245" s="60">
        <v>0</v>
      </c>
      <c r="Q1245" s="60">
        <v>0</v>
      </c>
      <c r="R1245" s="60">
        <v>0</v>
      </c>
      <c r="S1245" s="60">
        <v>0</v>
      </c>
      <c r="T1245" s="60">
        <v>0</v>
      </c>
      <c r="U1245" s="60">
        <v>0</v>
      </c>
      <c r="V1245" s="60">
        <v>0</v>
      </c>
      <c r="W1245" s="60">
        <v>0</v>
      </c>
      <c r="X1245" s="60">
        <v>0</v>
      </c>
      <c r="Y1245" s="60">
        <v>0</v>
      </c>
      <c r="Z1245" s="60">
        <v>0</v>
      </c>
      <c r="AA1245" s="60">
        <v>0</v>
      </c>
      <c r="AB1245" s="60">
        <v>0</v>
      </c>
      <c r="AC1245" s="60">
        <f t="shared" si="204"/>
        <v>0</v>
      </c>
      <c r="AD1245" s="60">
        <v>121335.91</v>
      </c>
      <c r="AE1245" s="60">
        <v>0</v>
      </c>
      <c r="AF1245" s="170">
        <v>2022</v>
      </c>
      <c r="AG1245" s="170" t="s">
        <v>257</v>
      </c>
      <c r="AH1245" s="63" t="s">
        <v>257</v>
      </c>
    </row>
    <row r="1246" spans="1:34" ht="61.5" x14ac:dyDescent="0.85">
      <c r="A1246" s="7">
        <v>1</v>
      </c>
      <c r="B1246" s="59">
        <f>SUBTOTAL(103,$A$1032:A1246)</f>
        <v>210</v>
      </c>
      <c r="C1246" s="160" t="s">
        <v>2696</v>
      </c>
      <c r="D1246" s="60">
        <f t="shared" si="205"/>
        <v>6723835.2599999998</v>
      </c>
      <c r="E1246" s="60">
        <v>0</v>
      </c>
      <c r="F1246" s="60">
        <v>0</v>
      </c>
      <c r="G1246" s="60">
        <v>0</v>
      </c>
      <c r="H1246" s="60">
        <v>0</v>
      </c>
      <c r="I1246" s="60">
        <v>0</v>
      </c>
      <c r="J1246" s="60">
        <v>0</v>
      </c>
      <c r="K1246" s="168">
        <v>0</v>
      </c>
      <c r="L1246" s="60">
        <v>0</v>
      </c>
      <c r="M1246" s="60">
        <v>795.02</v>
      </c>
      <c r="N1246" s="60">
        <v>6457270</v>
      </c>
      <c r="O1246" s="60">
        <v>0</v>
      </c>
      <c r="P1246" s="60">
        <v>0</v>
      </c>
      <c r="Q1246" s="60">
        <v>0</v>
      </c>
      <c r="R1246" s="60">
        <v>0</v>
      </c>
      <c r="S1246" s="60">
        <v>0</v>
      </c>
      <c r="T1246" s="60">
        <v>0</v>
      </c>
      <c r="U1246" s="60">
        <v>0</v>
      </c>
      <c r="V1246" s="60">
        <v>0</v>
      </c>
      <c r="W1246" s="60">
        <v>0</v>
      </c>
      <c r="X1246" s="60">
        <v>0</v>
      </c>
      <c r="Y1246" s="60">
        <v>0</v>
      </c>
      <c r="Z1246" s="60">
        <v>0</v>
      </c>
      <c r="AA1246" s="60">
        <v>0</v>
      </c>
      <c r="AB1246" s="60">
        <v>0</v>
      </c>
      <c r="AC1246" s="60">
        <v>134040.01</v>
      </c>
      <c r="AD1246" s="60">
        <v>132525.25</v>
      </c>
      <c r="AE1246" s="60">
        <v>0</v>
      </c>
      <c r="AF1246" s="170">
        <v>2022</v>
      </c>
      <c r="AG1246" s="170">
        <v>2022</v>
      </c>
      <c r="AH1246" s="63">
        <v>2022</v>
      </c>
    </row>
    <row r="1247" spans="1:34" ht="61.5" x14ac:dyDescent="0.85">
      <c r="A1247" s="7">
        <v>1</v>
      </c>
      <c r="B1247" s="59">
        <f>SUBTOTAL(103,$A$1032:A1247)</f>
        <v>211</v>
      </c>
      <c r="C1247" s="160" t="s">
        <v>3264</v>
      </c>
      <c r="D1247" s="60">
        <f t="shared" si="205"/>
        <v>6292936.6299999999</v>
      </c>
      <c r="E1247" s="60">
        <v>0</v>
      </c>
      <c r="F1247" s="60">
        <v>0</v>
      </c>
      <c r="G1247" s="60">
        <v>0</v>
      </c>
      <c r="H1247" s="60">
        <v>0</v>
      </c>
      <c r="I1247" s="60">
        <v>0</v>
      </c>
      <c r="J1247" s="60">
        <v>0</v>
      </c>
      <c r="K1247" s="168">
        <v>2</v>
      </c>
      <c r="L1247" s="60">
        <v>6165904.7999999998</v>
      </c>
      <c r="M1247" s="60">
        <v>0</v>
      </c>
      <c r="N1247" s="60">
        <v>0</v>
      </c>
      <c r="O1247" s="60">
        <v>0</v>
      </c>
      <c r="P1247" s="60">
        <v>0</v>
      </c>
      <c r="Q1247" s="60">
        <v>0</v>
      </c>
      <c r="R1247" s="60">
        <v>0</v>
      </c>
      <c r="S1247" s="60">
        <v>0</v>
      </c>
      <c r="T1247" s="60">
        <v>0</v>
      </c>
      <c r="U1247" s="60">
        <v>0</v>
      </c>
      <c r="V1247" s="60">
        <v>0</v>
      </c>
      <c r="W1247" s="60">
        <v>0</v>
      </c>
      <c r="X1247" s="60">
        <v>0</v>
      </c>
      <c r="Y1247" s="60">
        <v>0</v>
      </c>
      <c r="Z1247" s="60">
        <v>0</v>
      </c>
      <c r="AA1247" s="60">
        <v>0</v>
      </c>
      <c r="AB1247" s="60">
        <v>0</v>
      </c>
      <c r="AC1247" s="60">
        <v>0</v>
      </c>
      <c r="AD1247" s="60">
        <v>127031.83</v>
      </c>
      <c r="AE1247" s="60">
        <v>0</v>
      </c>
      <c r="AF1247" s="202">
        <v>2022</v>
      </c>
      <c r="AG1247" s="170">
        <v>2022</v>
      </c>
      <c r="AH1247" s="63" t="s">
        <v>257</v>
      </c>
    </row>
    <row r="1248" spans="1:34" ht="61.5" x14ac:dyDescent="0.85">
      <c r="A1248" s="7">
        <v>1</v>
      </c>
      <c r="B1248" s="59">
        <f>SUBTOTAL(103,$A$1032:A1248)</f>
        <v>212</v>
      </c>
      <c r="C1248" s="160" t="s">
        <v>3265</v>
      </c>
      <c r="D1248" s="60">
        <f t="shared" si="205"/>
        <v>3090946.6</v>
      </c>
      <c r="E1248" s="60">
        <v>0</v>
      </c>
      <c r="F1248" s="60">
        <v>0</v>
      </c>
      <c r="G1248" s="60">
        <v>0</v>
      </c>
      <c r="H1248" s="60">
        <v>0</v>
      </c>
      <c r="I1248" s="60">
        <v>0</v>
      </c>
      <c r="J1248" s="60">
        <v>0</v>
      </c>
      <c r="K1248" s="168">
        <v>1</v>
      </c>
      <c r="L1248" s="60">
        <v>2975505.6</v>
      </c>
      <c r="M1248" s="60">
        <v>0</v>
      </c>
      <c r="N1248" s="60">
        <v>0</v>
      </c>
      <c r="O1248" s="60">
        <v>0</v>
      </c>
      <c r="P1248" s="60">
        <v>0</v>
      </c>
      <c r="Q1248" s="60">
        <v>0</v>
      </c>
      <c r="R1248" s="60">
        <v>0</v>
      </c>
      <c r="S1248" s="60">
        <v>0</v>
      </c>
      <c r="T1248" s="60">
        <v>0</v>
      </c>
      <c r="U1248" s="60">
        <v>0</v>
      </c>
      <c r="V1248" s="60">
        <v>0</v>
      </c>
      <c r="W1248" s="60">
        <v>0</v>
      </c>
      <c r="X1248" s="60">
        <v>0</v>
      </c>
      <c r="Y1248" s="60">
        <v>0</v>
      </c>
      <c r="Z1248" s="60">
        <v>0</v>
      </c>
      <c r="AA1248" s="60">
        <v>0</v>
      </c>
      <c r="AB1248" s="60">
        <v>0</v>
      </c>
      <c r="AC1248" s="60">
        <v>0</v>
      </c>
      <c r="AD1248" s="60">
        <v>115441</v>
      </c>
      <c r="AE1248" s="60">
        <v>0</v>
      </c>
      <c r="AF1248" s="202">
        <v>2022</v>
      </c>
      <c r="AG1248" s="170">
        <v>2022</v>
      </c>
      <c r="AH1248" s="63" t="s">
        <v>257</v>
      </c>
    </row>
    <row r="1249" spans="1:34" ht="61.5" x14ac:dyDescent="0.85">
      <c r="A1249" s="7">
        <v>1</v>
      </c>
      <c r="B1249" s="59">
        <f>SUBTOTAL(103,$A$1032:A1249)</f>
        <v>213</v>
      </c>
      <c r="C1249" s="160" t="s">
        <v>3266</v>
      </c>
      <c r="D1249" s="60">
        <f t="shared" si="205"/>
        <v>6085731.9100000001</v>
      </c>
      <c r="E1249" s="60">
        <v>0</v>
      </c>
      <c r="F1249" s="60">
        <v>0</v>
      </c>
      <c r="G1249" s="60">
        <v>0</v>
      </c>
      <c r="H1249" s="60">
        <v>0</v>
      </c>
      <c r="I1249" s="60">
        <v>0</v>
      </c>
      <c r="J1249" s="60">
        <v>0</v>
      </c>
      <c r="K1249" s="168">
        <v>2</v>
      </c>
      <c r="L1249" s="60">
        <v>5956738.1799999997</v>
      </c>
      <c r="M1249" s="60">
        <v>0</v>
      </c>
      <c r="N1249" s="60">
        <v>0</v>
      </c>
      <c r="O1249" s="60">
        <v>0</v>
      </c>
      <c r="P1249" s="60">
        <v>0</v>
      </c>
      <c r="Q1249" s="60">
        <v>0</v>
      </c>
      <c r="R1249" s="60">
        <v>0</v>
      </c>
      <c r="S1249" s="60">
        <v>0</v>
      </c>
      <c r="T1249" s="60">
        <v>0</v>
      </c>
      <c r="U1249" s="60">
        <v>0</v>
      </c>
      <c r="V1249" s="60">
        <v>0</v>
      </c>
      <c r="W1249" s="60">
        <v>0</v>
      </c>
      <c r="X1249" s="60">
        <v>0</v>
      </c>
      <c r="Y1249" s="60">
        <v>0</v>
      </c>
      <c r="Z1249" s="60">
        <v>0</v>
      </c>
      <c r="AA1249" s="60">
        <v>0</v>
      </c>
      <c r="AB1249" s="60">
        <v>0</v>
      </c>
      <c r="AC1249" s="60">
        <v>0</v>
      </c>
      <c r="AD1249" s="60">
        <v>128993.73</v>
      </c>
      <c r="AE1249" s="60">
        <v>0</v>
      </c>
      <c r="AF1249" s="202">
        <v>2022</v>
      </c>
      <c r="AG1249" s="170">
        <v>2022</v>
      </c>
      <c r="AH1249" s="63" t="s">
        <v>257</v>
      </c>
    </row>
    <row r="1250" spans="1:34" ht="61.5" x14ac:dyDescent="0.85">
      <c r="A1250" s="7">
        <v>1</v>
      </c>
      <c r="B1250" s="59">
        <f>SUBTOTAL(103,$A$1032:A1250)</f>
        <v>214</v>
      </c>
      <c r="C1250" s="160" t="s">
        <v>3267</v>
      </c>
      <c r="D1250" s="60">
        <f t="shared" si="205"/>
        <v>12070567.359999999</v>
      </c>
      <c r="E1250" s="60">
        <v>0</v>
      </c>
      <c r="F1250" s="60">
        <v>0</v>
      </c>
      <c r="G1250" s="60">
        <v>0</v>
      </c>
      <c r="H1250" s="60">
        <v>0</v>
      </c>
      <c r="I1250" s="60">
        <v>0</v>
      </c>
      <c r="J1250" s="60">
        <v>0</v>
      </c>
      <c r="K1250" s="168">
        <v>4</v>
      </c>
      <c r="L1250" s="60">
        <v>11918937.6</v>
      </c>
      <c r="M1250" s="60">
        <v>0</v>
      </c>
      <c r="N1250" s="60">
        <v>0</v>
      </c>
      <c r="O1250" s="60">
        <v>0</v>
      </c>
      <c r="P1250" s="60">
        <v>0</v>
      </c>
      <c r="Q1250" s="60">
        <v>0</v>
      </c>
      <c r="R1250" s="60">
        <v>0</v>
      </c>
      <c r="S1250" s="60">
        <v>0</v>
      </c>
      <c r="T1250" s="60">
        <v>0</v>
      </c>
      <c r="U1250" s="60">
        <v>0</v>
      </c>
      <c r="V1250" s="60">
        <v>0</v>
      </c>
      <c r="W1250" s="60">
        <v>0</v>
      </c>
      <c r="X1250" s="60">
        <v>0</v>
      </c>
      <c r="Y1250" s="60">
        <v>0</v>
      </c>
      <c r="Z1250" s="60">
        <v>0</v>
      </c>
      <c r="AA1250" s="60">
        <v>0</v>
      </c>
      <c r="AB1250" s="60">
        <v>0</v>
      </c>
      <c r="AC1250" s="60">
        <v>0</v>
      </c>
      <c r="AD1250" s="60">
        <v>151629.76000000001</v>
      </c>
      <c r="AE1250" s="60">
        <v>0</v>
      </c>
      <c r="AF1250" s="202">
        <v>2022</v>
      </c>
      <c r="AG1250" s="170">
        <v>2022</v>
      </c>
      <c r="AH1250" s="63" t="s">
        <v>257</v>
      </c>
    </row>
    <row r="1251" spans="1:34" ht="61.5" x14ac:dyDescent="0.85">
      <c r="B1251" s="160" t="s">
        <v>761</v>
      </c>
      <c r="C1251" s="160"/>
      <c r="D1251" s="177">
        <f>SUM(D1252:D1256)</f>
        <v>15279394.32</v>
      </c>
      <c r="E1251" s="60">
        <f t="shared" ref="E1251:AE1251" si="206">SUM(E1252:E1256)</f>
        <v>0</v>
      </c>
      <c r="F1251" s="60">
        <f t="shared" si="206"/>
        <v>0</v>
      </c>
      <c r="G1251" s="60">
        <f t="shared" si="206"/>
        <v>0</v>
      </c>
      <c r="H1251" s="60">
        <f t="shared" si="206"/>
        <v>0</v>
      </c>
      <c r="I1251" s="60">
        <f t="shared" si="206"/>
        <v>0</v>
      </c>
      <c r="J1251" s="60">
        <f t="shared" si="206"/>
        <v>0</v>
      </c>
      <c r="K1251" s="168">
        <f t="shared" si="206"/>
        <v>0</v>
      </c>
      <c r="L1251" s="60">
        <f t="shared" si="206"/>
        <v>0</v>
      </c>
      <c r="M1251" s="60">
        <f t="shared" si="206"/>
        <v>2211.7200000000003</v>
      </c>
      <c r="N1251" s="60">
        <f t="shared" si="206"/>
        <v>14846984.76</v>
      </c>
      <c r="O1251" s="60">
        <f t="shared" si="206"/>
        <v>0</v>
      </c>
      <c r="P1251" s="60">
        <f t="shared" si="206"/>
        <v>0</v>
      </c>
      <c r="Q1251" s="60">
        <f t="shared" si="206"/>
        <v>0</v>
      </c>
      <c r="R1251" s="60">
        <f t="shared" si="206"/>
        <v>0</v>
      </c>
      <c r="S1251" s="60">
        <f t="shared" si="206"/>
        <v>0</v>
      </c>
      <c r="T1251" s="60">
        <f t="shared" si="206"/>
        <v>0</v>
      </c>
      <c r="U1251" s="60">
        <f t="shared" si="206"/>
        <v>0</v>
      </c>
      <c r="V1251" s="60">
        <f t="shared" si="206"/>
        <v>0</v>
      </c>
      <c r="W1251" s="60">
        <f t="shared" si="206"/>
        <v>0</v>
      </c>
      <c r="X1251" s="60">
        <f t="shared" si="206"/>
        <v>0</v>
      </c>
      <c r="Y1251" s="60">
        <f t="shared" si="206"/>
        <v>0</v>
      </c>
      <c r="Z1251" s="60">
        <f t="shared" si="206"/>
        <v>0</v>
      </c>
      <c r="AA1251" s="60">
        <f t="shared" si="206"/>
        <v>0</v>
      </c>
      <c r="AB1251" s="60">
        <f t="shared" si="206"/>
        <v>0</v>
      </c>
      <c r="AC1251" s="60">
        <f t="shared" si="206"/>
        <v>215897.74</v>
      </c>
      <c r="AD1251" s="60">
        <f t="shared" si="206"/>
        <v>216511.82</v>
      </c>
      <c r="AE1251" s="60">
        <f t="shared" si="206"/>
        <v>0</v>
      </c>
      <c r="AF1251" s="54" t="s">
        <v>701</v>
      </c>
      <c r="AG1251" s="54" t="s">
        <v>701</v>
      </c>
      <c r="AH1251" s="55" t="s">
        <v>701</v>
      </c>
    </row>
    <row r="1252" spans="1:34" ht="61.5" x14ac:dyDescent="0.85">
      <c r="A1252" s="7">
        <v>1</v>
      </c>
      <c r="B1252" s="59">
        <f>SUBTOTAL(103,$A$1032:A1252)</f>
        <v>215</v>
      </c>
      <c r="C1252" s="160" t="s">
        <v>2904</v>
      </c>
      <c r="D1252" s="60">
        <f t="shared" ref="D1252:D1256" si="207">E1252+F1252+G1252+H1252+I1252+J1252+L1252+N1252+P1252+R1252+T1252+U1252+V1252+W1252+X1252+Y1252+Z1252+AA1252+AB1252+AC1252+AD1252+AE1252</f>
        <v>165181.18</v>
      </c>
      <c r="E1252" s="182">
        <v>0</v>
      </c>
      <c r="F1252" s="182">
        <v>0</v>
      </c>
      <c r="G1252" s="182">
        <v>0</v>
      </c>
      <c r="H1252" s="182">
        <v>0</v>
      </c>
      <c r="I1252" s="182">
        <v>0</v>
      </c>
      <c r="J1252" s="182">
        <v>0</v>
      </c>
      <c r="K1252" s="168">
        <v>0</v>
      </c>
      <c r="L1252" s="182">
        <v>0</v>
      </c>
      <c r="M1252" s="60">
        <v>0</v>
      </c>
      <c r="N1252" s="60">
        <v>0</v>
      </c>
      <c r="O1252" s="60">
        <v>0</v>
      </c>
      <c r="P1252" s="60">
        <v>0</v>
      </c>
      <c r="Q1252" s="60">
        <v>0</v>
      </c>
      <c r="R1252" s="60">
        <v>0</v>
      </c>
      <c r="S1252" s="60">
        <v>0</v>
      </c>
      <c r="T1252" s="60">
        <v>0</v>
      </c>
      <c r="U1252" s="60">
        <v>0</v>
      </c>
      <c r="V1252" s="60">
        <v>0</v>
      </c>
      <c r="W1252" s="60">
        <v>0</v>
      </c>
      <c r="X1252" s="60">
        <v>0</v>
      </c>
      <c r="Y1252" s="60">
        <v>0</v>
      </c>
      <c r="Z1252" s="60">
        <v>0</v>
      </c>
      <c r="AA1252" s="60">
        <v>0</v>
      </c>
      <c r="AB1252" s="60">
        <v>0</v>
      </c>
      <c r="AC1252" s="60">
        <v>0</v>
      </c>
      <c r="AD1252" s="60">
        <v>165181.18</v>
      </c>
      <c r="AE1252" s="60">
        <v>0</v>
      </c>
      <c r="AF1252" s="170">
        <v>2022</v>
      </c>
      <c r="AG1252" s="170" t="s">
        <v>257</v>
      </c>
      <c r="AH1252" s="63" t="s">
        <v>257</v>
      </c>
    </row>
    <row r="1253" spans="1:34" ht="61.5" x14ac:dyDescent="0.85">
      <c r="A1253" s="7">
        <v>1</v>
      </c>
      <c r="B1253" s="59">
        <f>SUBTOTAL(103,$A$1032:A1253)</f>
        <v>216</v>
      </c>
      <c r="C1253" s="160" t="s">
        <v>2905</v>
      </c>
      <c r="D1253" s="60">
        <f t="shared" si="207"/>
        <v>51330.64</v>
      </c>
      <c r="E1253" s="182">
        <v>0</v>
      </c>
      <c r="F1253" s="182">
        <v>0</v>
      </c>
      <c r="G1253" s="182">
        <v>0</v>
      </c>
      <c r="H1253" s="182">
        <v>0</v>
      </c>
      <c r="I1253" s="182">
        <v>0</v>
      </c>
      <c r="J1253" s="182">
        <v>0</v>
      </c>
      <c r="K1253" s="168">
        <v>0</v>
      </c>
      <c r="L1253" s="182">
        <v>0</v>
      </c>
      <c r="M1253" s="60">
        <v>0</v>
      </c>
      <c r="N1253" s="60">
        <v>0</v>
      </c>
      <c r="O1253" s="60">
        <v>0</v>
      </c>
      <c r="P1253" s="60">
        <v>0</v>
      </c>
      <c r="Q1253" s="60">
        <v>0</v>
      </c>
      <c r="R1253" s="60">
        <v>0</v>
      </c>
      <c r="S1253" s="60">
        <v>0</v>
      </c>
      <c r="T1253" s="60">
        <v>0</v>
      </c>
      <c r="U1253" s="60">
        <v>0</v>
      </c>
      <c r="V1253" s="60">
        <v>0</v>
      </c>
      <c r="W1253" s="60">
        <v>0</v>
      </c>
      <c r="X1253" s="60">
        <v>0</v>
      </c>
      <c r="Y1253" s="60">
        <v>0</v>
      </c>
      <c r="Z1253" s="60">
        <v>0</v>
      </c>
      <c r="AA1253" s="60">
        <v>0</v>
      </c>
      <c r="AB1253" s="60">
        <v>0</v>
      </c>
      <c r="AC1253" s="60">
        <v>0</v>
      </c>
      <c r="AD1253" s="60">
        <v>51330.64</v>
      </c>
      <c r="AE1253" s="60">
        <v>0</v>
      </c>
      <c r="AF1253" s="170">
        <v>2022</v>
      </c>
      <c r="AG1253" s="170" t="s">
        <v>257</v>
      </c>
      <c r="AH1253" s="63" t="s">
        <v>257</v>
      </c>
    </row>
    <row r="1254" spans="1:34" ht="61.5" x14ac:dyDescent="0.85">
      <c r="A1254" s="7">
        <v>1</v>
      </c>
      <c r="B1254" s="59">
        <f>SUBTOTAL(103,$A$1032:A1254)</f>
        <v>217</v>
      </c>
      <c r="C1254" s="160" t="s">
        <v>2907</v>
      </c>
      <c r="D1254" s="60">
        <f t="shared" si="207"/>
        <v>2132302.91</v>
      </c>
      <c r="E1254" s="182">
        <v>0</v>
      </c>
      <c r="F1254" s="182">
        <v>0</v>
      </c>
      <c r="G1254" s="182">
        <v>0</v>
      </c>
      <c r="H1254" s="182">
        <v>0</v>
      </c>
      <c r="I1254" s="182">
        <v>0</v>
      </c>
      <c r="J1254" s="182">
        <v>0</v>
      </c>
      <c r="K1254" s="168">
        <v>0</v>
      </c>
      <c r="L1254" s="182">
        <v>0</v>
      </c>
      <c r="M1254" s="60">
        <v>349.1</v>
      </c>
      <c r="N1254" s="62">
        <v>2110303</v>
      </c>
      <c r="O1254" s="60">
        <v>0</v>
      </c>
      <c r="P1254" s="60">
        <v>0</v>
      </c>
      <c r="Q1254" s="60">
        <v>0</v>
      </c>
      <c r="R1254" s="60">
        <v>0</v>
      </c>
      <c r="S1254" s="60">
        <v>0</v>
      </c>
      <c r="T1254" s="60">
        <v>0</v>
      </c>
      <c r="U1254" s="60">
        <v>0</v>
      </c>
      <c r="V1254" s="60">
        <v>0</v>
      </c>
      <c r="W1254" s="60">
        <v>0</v>
      </c>
      <c r="X1254" s="60">
        <v>0</v>
      </c>
      <c r="Y1254" s="60">
        <v>0</v>
      </c>
      <c r="Z1254" s="60">
        <v>0</v>
      </c>
      <c r="AA1254" s="60">
        <v>0</v>
      </c>
      <c r="AB1254" s="60">
        <v>0</v>
      </c>
      <c r="AC1254" s="60">
        <v>21999.91</v>
      </c>
      <c r="AD1254" s="60">
        <v>0</v>
      </c>
      <c r="AE1254" s="60">
        <v>0</v>
      </c>
      <c r="AF1254" s="170" t="s">
        <v>257</v>
      </c>
      <c r="AG1254" s="170">
        <v>2022</v>
      </c>
      <c r="AH1254" s="63">
        <v>2022</v>
      </c>
    </row>
    <row r="1255" spans="1:34" ht="61.5" x14ac:dyDescent="0.85">
      <c r="A1255" s="7">
        <v>1</v>
      </c>
      <c r="B1255" s="59">
        <f>SUBTOTAL(103,$A$1032:A1255)</f>
        <v>218</v>
      </c>
      <c r="C1255" s="160" t="s">
        <v>2909</v>
      </c>
      <c r="D1255" s="60">
        <f t="shared" si="207"/>
        <v>7242575.8499999996</v>
      </c>
      <c r="E1255" s="182">
        <v>0</v>
      </c>
      <c r="F1255" s="182">
        <v>0</v>
      </c>
      <c r="G1255" s="182">
        <v>0</v>
      </c>
      <c r="H1255" s="182">
        <v>0</v>
      </c>
      <c r="I1255" s="182">
        <v>0</v>
      </c>
      <c r="J1255" s="182">
        <v>0</v>
      </c>
      <c r="K1255" s="168">
        <v>0</v>
      </c>
      <c r="L1255" s="182">
        <v>0</v>
      </c>
      <c r="M1255" s="60">
        <v>1062.82</v>
      </c>
      <c r="N1255" s="60">
        <v>7167851</v>
      </c>
      <c r="O1255" s="60">
        <v>0</v>
      </c>
      <c r="P1255" s="60">
        <v>0</v>
      </c>
      <c r="Q1255" s="60">
        <v>0</v>
      </c>
      <c r="R1255" s="60">
        <v>0</v>
      </c>
      <c r="S1255" s="60">
        <v>0</v>
      </c>
      <c r="T1255" s="60">
        <v>0</v>
      </c>
      <c r="U1255" s="60">
        <v>0</v>
      </c>
      <c r="V1255" s="60">
        <v>0</v>
      </c>
      <c r="W1255" s="60">
        <v>0</v>
      </c>
      <c r="X1255" s="60">
        <v>0</v>
      </c>
      <c r="Y1255" s="60">
        <v>0</v>
      </c>
      <c r="Z1255" s="60">
        <v>0</v>
      </c>
      <c r="AA1255" s="60">
        <v>0</v>
      </c>
      <c r="AB1255" s="60">
        <v>0</v>
      </c>
      <c r="AC1255" s="60">
        <v>74724.850000000006</v>
      </c>
      <c r="AD1255" s="60">
        <v>0</v>
      </c>
      <c r="AE1255" s="60">
        <v>0</v>
      </c>
      <c r="AF1255" s="170" t="s">
        <v>257</v>
      </c>
      <c r="AG1255" s="170">
        <v>2022</v>
      </c>
      <c r="AH1255" s="63">
        <v>2022</v>
      </c>
    </row>
    <row r="1256" spans="1:34" ht="61.5" x14ac:dyDescent="0.85">
      <c r="A1256" s="7">
        <v>1</v>
      </c>
      <c r="B1256" s="59">
        <f>SUBTOTAL(103,$A$1032:A1256)</f>
        <v>219</v>
      </c>
      <c r="C1256" s="160" t="s">
        <v>2908</v>
      </c>
      <c r="D1256" s="60">
        <f t="shared" si="207"/>
        <v>5688003.7400000002</v>
      </c>
      <c r="E1256" s="182">
        <v>0</v>
      </c>
      <c r="F1256" s="182">
        <v>0</v>
      </c>
      <c r="G1256" s="182">
        <v>0</v>
      </c>
      <c r="H1256" s="182">
        <v>0</v>
      </c>
      <c r="I1256" s="182">
        <v>0</v>
      </c>
      <c r="J1256" s="182">
        <v>0</v>
      </c>
      <c r="K1256" s="168">
        <v>0</v>
      </c>
      <c r="L1256" s="182">
        <v>0</v>
      </c>
      <c r="M1256" s="60">
        <v>799.8</v>
      </c>
      <c r="N1256" s="60">
        <v>5568830.7599999998</v>
      </c>
      <c r="O1256" s="60">
        <v>0</v>
      </c>
      <c r="P1256" s="60">
        <v>0</v>
      </c>
      <c r="Q1256" s="60">
        <v>0</v>
      </c>
      <c r="R1256" s="60">
        <v>0</v>
      </c>
      <c r="S1256" s="60">
        <v>0</v>
      </c>
      <c r="T1256" s="60">
        <v>0</v>
      </c>
      <c r="U1256" s="60">
        <v>0</v>
      </c>
      <c r="V1256" s="60">
        <v>0</v>
      </c>
      <c r="W1256" s="60">
        <v>0</v>
      </c>
      <c r="X1256" s="60">
        <v>0</v>
      </c>
      <c r="Y1256" s="60">
        <v>0</v>
      </c>
      <c r="Z1256" s="60">
        <v>0</v>
      </c>
      <c r="AA1256" s="60">
        <v>0</v>
      </c>
      <c r="AB1256" s="60">
        <v>0</v>
      </c>
      <c r="AC1256" s="60">
        <f t="shared" ref="AC1256" si="208">ROUND(N1256*2.14%,2)+ROUND(E1256*2.14%,2)+ROUND(F1256*2.14%,2)+ROUND(G1256*2.14%,2)+ROUND(H1256*2.14%,2)+ROUND(I1256*2.14%,2)+ROUND(J1256*2.14%,2)+ROUND(L1256*2.14%,2)+ROUND(P1256*2.14%,2)+ROUND(R1256*2.14%,2)+ROUND(T1256*2.14%,2)+ROUND(U1256*2.14%,2)+ROUND(V1256*2.14%,2)+ROUND(W1256*2.14%,2)+ROUND(X1256*2.14%,2)+ROUND(Y1256*2.14%,2)+ROUND(Z1256*2.14%,2)+ROUND(AA1256*2.14%,2)+ROUND(AB1256*2.14%,2)</f>
        <v>119172.98</v>
      </c>
      <c r="AD1256" s="60">
        <v>0</v>
      </c>
      <c r="AE1256" s="60">
        <v>0</v>
      </c>
      <c r="AF1256" s="170" t="s">
        <v>257</v>
      </c>
      <c r="AG1256" s="170">
        <v>2022</v>
      </c>
      <c r="AH1256" s="63">
        <v>2022</v>
      </c>
    </row>
    <row r="1257" spans="1:34" ht="61.5" x14ac:dyDescent="0.85">
      <c r="B1257" s="160" t="s">
        <v>762</v>
      </c>
      <c r="C1257" s="160"/>
      <c r="D1257" s="177">
        <f>SUM(D1258:D1263)</f>
        <v>23633693.809999999</v>
      </c>
      <c r="E1257" s="60">
        <f t="shared" ref="E1257:AE1257" si="209">SUM(E1258:E1263)</f>
        <v>0</v>
      </c>
      <c r="F1257" s="60">
        <f t="shared" si="209"/>
        <v>0</v>
      </c>
      <c r="G1257" s="60">
        <f t="shared" si="209"/>
        <v>0</v>
      </c>
      <c r="H1257" s="60">
        <f t="shared" si="209"/>
        <v>0</v>
      </c>
      <c r="I1257" s="60">
        <f t="shared" si="209"/>
        <v>0</v>
      </c>
      <c r="J1257" s="60">
        <f t="shared" si="209"/>
        <v>0</v>
      </c>
      <c r="K1257" s="168">
        <f t="shared" si="209"/>
        <v>0</v>
      </c>
      <c r="L1257" s="60">
        <f t="shared" si="209"/>
        <v>0</v>
      </c>
      <c r="M1257" s="60">
        <f t="shared" si="209"/>
        <v>3186.7700000000004</v>
      </c>
      <c r="N1257" s="60">
        <f t="shared" si="209"/>
        <v>22918067.43</v>
      </c>
      <c r="O1257" s="60">
        <f t="shared" si="209"/>
        <v>0</v>
      </c>
      <c r="P1257" s="60">
        <f t="shared" si="209"/>
        <v>0</v>
      </c>
      <c r="Q1257" s="60">
        <f t="shared" si="209"/>
        <v>0</v>
      </c>
      <c r="R1257" s="60">
        <f t="shared" si="209"/>
        <v>0</v>
      </c>
      <c r="S1257" s="60">
        <f t="shared" si="209"/>
        <v>0</v>
      </c>
      <c r="T1257" s="60">
        <f t="shared" si="209"/>
        <v>0</v>
      </c>
      <c r="U1257" s="60">
        <f t="shared" si="209"/>
        <v>0</v>
      </c>
      <c r="V1257" s="60">
        <f t="shared" si="209"/>
        <v>0</v>
      </c>
      <c r="W1257" s="60">
        <f t="shared" si="209"/>
        <v>0</v>
      </c>
      <c r="X1257" s="60">
        <f t="shared" si="209"/>
        <v>0</v>
      </c>
      <c r="Y1257" s="60">
        <f t="shared" si="209"/>
        <v>0</v>
      </c>
      <c r="Z1257" s="60">
        <f t="shared" si="209"/>
        <v>0</v>
      </c>
      <c r="AA1257" s="60">
        <f t="shared" si="209"/>
        <v>0</v>
      </c>
      <c r="AB1257" s="60">
        <f t="shared" si="209"/>
        <v>0</v>
      </c>
      <c r="AC1257" s="60">
        <f t="shared" si="209"/>
        <v>294030.39</v>
      </c>
      <c r="AD1257" s="60">
        <f t="shared" si="209"/>
        <v>421595.99</v>
      </c>
      <c r="AE1257" s="60">
        <f t="shared" si="209"/>
        <v>0</v>
      </c>
      <c r="AF1257" s="54" t="s">
        <v>701</v>
      </c>
      <c r="AG1257" s="54" t="s">
        <v>701</v>
      </c>
      <c r="AH1257" s="55" t="s">
        <v>701</v>
      </c>
    </row>
    <row r="1258" spans="1:34" ht="61.5" x14ac:dyDescent="0.85">
      <c r="A1258" s="7">
        <v>1</v>
      </c>
      <c r="B1258" s="59">
        <f>SUBTOTAL(103,$A$1032:A1258)</f>
        <v>220</v>
      </c>
      <c r="C1258" s="160" t="s">
        <v>596</v>
      </c>
      <c r="D1258" s="60">
        <f t="shared" ref="D1258:D1263" si="210">E1258+F1258+G1258+H1258+I1258+J1258+L1258+N1258+P1258+R1258+T1258+U1258+V1258+W1258+X1258+Y1258+Z1258+AA1258+AB1258+AC1258+AD1258+AE1258</f>
        <v>123167.03</v>
      </c>
      <c r="E1258" s="182">
        <v>0</v>
      </c>
      <c r="F1258" s="182">
        <v>0</v>
      </c>
      <c r="G1258" s="60">
        <v>0</v>
      </c>
      <c r="H1258" s="182">
        <v>0</v>
      </c>
      <c r="I1258" s="182">
        <v>0</v>
      </c>
      <c r="J1258" s="182">
        <v>0</v>
      </c>
      <c r="K1258" s="168">
        <v>0</v>
      </c>
      <c r="L1258" s="182">
        <v>0</v>
      </c>
      <c r="M1258" s="60">
        <v>0</v>
      </c>
      <c r="N1258" s="60">
        <v>0</v>
      </c>
      <c r="O1258" s="60">
        <v>0</v>
      </c>
      <c r="P1258" s="60">
        <v>0</v>
      </c>
      <c r="Q1258" s="60">
        <v>0</v>
      </c>
      <c r="R1258" s="60">
        <v>0</v>
      </c>
      <c r="S1258" s="60">
        <v>0</v>
      </c>
      <c r="T1258" s="60">
        <v>0</v>
      </c>
      <c r="U1258" s="60">
        <v>0</v>
      </c>
      <c r="V1258" s="60">
        <v>0</v>
      </c>
      <c r="W1258" s="60">
        <v>0</v>
      </c>
      <c r="X1258" s="60">
        <v>0</v>
      </c>
      <c r="Y1258" s="60">
        <v>0</v>
      </c>
      <c r="Z1258" s="60">
        <v>0</v>
      </c>
      <c r="AA1258" s="60">
        <v>0</v>
      </c>
      <c r="AB1258" s="60">
        <v>0</v>
      </c>
      <c r="AC1258" s="60">
        <f t="shared" si="204"/>
        <v>0</v>
      </c>
      <c r="AD1258" s="60">
        <v>123167.03</v>
      </c>
      <c r="AE1258" s="60">
        <v>0</v>
      </c>
      <c r="AF1258" s="170">
        <v>2022</v>
      </c>
      <c r="AG1258" s="170" t="s">
        <v>257</v>
      </c>
      <c r="AH1258" s="63" t="s">
        <v>257</v>
      </c>
    </row>
    <row r="1259" spans="1:34" ht="61.5" x14ac:dyDescent="0.85">
      <c r="A1259" s="7">
        <v>1</v>
      </c>
      <c r="B1259" s="59">
        <f>SUBTOTAL(103,$A$1032:A1259)</f>
        <v>221</v>
      </c>
      <c r="C1259" s="160" t="s">
        <v>2963</v>
      </c>
      <c r="D1259" s="60">
        <f t="shared" si="210"/>
        <v>5225973.03</v>
      </c>
      <c r="E1259" s="180">
        <v>0</v>
      </c>
      <c r="F1259" s="180">
        <v>0</v>
      </c>
      <c r="G1259" s="180">
        <v>0</v>
      </c>
      <c r="H1259" s="180">
        <v>0</v>
      </c>
      <c r="I1259" s="180">
        <v>0</v>
      </c>
      <c r="J1259" s="180">
        <v>0</v>
      </c>
      <c r="K1259" s="168">
        <v>0</v>
      </c>
      <c r="L1259" s="60">
        <v>0</v>
      </c>
      <c r="M1259" s="60">
        <v>690.85</v>
      </c>
      <c r="N1259" s="60">
        <v>5021369</v>
      </c>
      <c r="O1259" s="60">
        <v>0</v>
      </c>
      <c r="P1259" s="60">
        <v>0</v>
      </c>
      <c r="Q1259" s="60">
        <v>0</v>
      </c>
      <c r="R1259" s="60">
        <v>0</v>
      </c>
      <c r="S1259" s="60">
        <v>0</v>
      </c>
      <c r="T1259" s="60">
        <v>0</v>
      </c>
      <c r="U1259" s="60">
        <v>0</v>
      </c>
      <c r="V1259" s="60">
        <v>0</v>
      </c>
      <c r="W1259" s="60">
        <v>0</v>
      </c>
      <c r="X1259" s="60">
        <v>0</v>
      </c>
      <c r="Y1259" s="60">
        <v>0</v>
      </c>
      <c r="Z1259" s="60">
        <v>0</v>
      </c>
      <c r="AA1259" s="60">
        <v>0</v>
      </c>
      <c r="AB1259" s="60">
        <v>0</v>
      </c>
      <c r="AC1259" s="60">
        <f t="shared" si="204"/>
        <v>107457.3</v>
      </c>
      <c r="AD1259" s="60">
        <v>97146.73</v>
      </c>
      <c r="AE1259" s="60">
        <v>0</v>
      </c>
      <c r="AF1259" s="170">
        <v>2022</v>
      </c>
      <c r="AG1259" s="170">
        <v>2022</v>
      </c>
      <c r="AH1259" s="63">
        <v>2022</v>
      </c>
    </row>
    <row r="1260" spans="1:34" ht="61.5" x14ac:dyDescent="0.85">
      <c r="A1260" s="7">
        <v>1</v>
      </c>
      <c r="B1260" s="59">
        <f>SUBTOTAL(103,$A$1032:A1260)</f>
        <v>222</v>
      </c>
      <c r="C1260" s="160" t="s">
        <v>2156</v>
      </c>
      <c r="D1260" s="60">
        <f t="shared" si="210"/>
        <v>95471.679999999993</v>
      </c>
      <c r="E1260" s="182">
        <v>0</v>
      </c>
      <c r="F1260" s="182">
        <v>0</v>
      </c>
      <c r="G1260" s="60">
        <v>0</v>
      </c>
      <c r="H1260" s="182">
        <v>0</v>
      </c>
      <c r="I1260" s="182">
        <v>0</v>
      </c>
      <c r="J1260" s="182">
        <v>0</v>
      </c>
      <c r="K1260" s="168">
        <v>0</v>
      </c>
      <c r="L1260" s="182">
        <v>0</v>
      </c>
      <c r="M1260" s="60">
        <v>0</v>
      </c>
      <c r="N1260" s="60">
        <v>0</v>
      </c>
      <c r="O1260" s="60">
        <v>0</v>
      </c>
      <c r="P1260" s="60">
        <v>0</v>
      </c>
      <c r="Q1260" s="60">
        <v>0</v>
      </c>
      <c r="R1260" s="60">
        <v>0</v>
      </c>
      <c r="S1260" s="60">
        <v>0</v>
      </c>
      <c r="T1260" s="60">
        <v>0</v>
      </c>
      <c r="U1260" s="60">
        <v>0</v>
      </c>
      <c r="V1260" s="60">
        <v>0</v>
      </c>
      <c r="W1260" s="60">
        <v>0</v>
      </c>
      <c r="X1260" s="60">
        <v>0</v>
      </c>
      <c r="Y1260" s="60">
        <v>0</v>
      </c>
      <c r="Z1260" s="60">
        <v>0</v>
      </c>
      <c r="AA1260" s="60">
        <v>0</v>
      </c>
      <c r="AB1260" s="60">
        <v>0</v>
      </c>
      <c r="AC1260" s="60">
        <v>0</v>
      </c>
      <c r="AD1260" s="60">
        <v>95471.679999999993</v>
      </c>
      <c r="AE1260" s="60">
        <v>0</v>
      </c>
      <c r="AF1260" s="170">
        <v>2022</v>
      </c>
      <c r="AG1260" s="170" t="s">
        <v>257</v>
      </c>
      <c r="AH1260" s="63" t="s">
        <v>257</v>
      </c>
    </row>
    <row r="1261" spans="1:34" ht="61.5" x14ac:dyDescent="0.85">
      <c r="A1261" s="7">
        <v>1</v>
      </c>
      <c r="B1261" s="59">
        <f>SUBTOTAL(103,$A$1032:A1261)</f>
        <v>223</v>
      </c>
      <c r="C1261" s="160" t="s">
        <v>1815</v>
      </c>
      <c r="D1261" s="60">
        <f t="shared" si="210"/>
        <v>4667875.53</v>
      </c>
      <c r="E1261" s="180">
        <v>0</v>
      </c>
      <c r="F1261" s="180">
        <v>0</v>
      </c>
      <c r="G1261" s="180">
        <v>0</v>
      </c>
      <c r="H1261" s="180">
        <v>0</v>
      </c>
      <c r="I1261" s="180">
        <v>0</v>
      </c>
      <c r="J1261" s="180">
        <v>0</v>
      </c>
      <c r="K1261" s="168">
        <v>0</v>
      </c>
      <c r="L1261" s="60">
        <v>0</v>
      </c>
      <c r="M1261" s="60">
        <v>641.29999999999995</v>
      </c>
      <c r="N1261" s="60">
        <v>4619715</v>
      </c>
      <c r="O1261" s="60">
        <v>0</v>
      </c>
      <c r="P1261" s="60">
        <v>0</v>
      </c>
      <c r="Q1261" s="60">
        <v>0</v>
      </c>
      <c r="R1261" s="60">
        <v>0</v>
      </c>
      <c r="S1261" s="60">
        <v>0</v>
      </c>
      <c r="T1261" s="60">
        <v>0</v>
      </c>
      <c r="U1261" s="60">
        <v>0</v>
      </c>
      <c r="V1261" s="60">
        <v>0</v>
      </c>
      <c r="W1261" s="60">
        <v>0</v>
      </c>
      <c r="X1261" s="60">
        <v>0</v>
      </c>
      <c r="Y1261" s="60">
        <v>0</v>
      </c>
      <c r="Z1261" s="60">
        <v>0</v>
      </c>
      <c r="AA1261" s="60">
        <v>0</v>
      </c>
      <c r="AB1261" s="60">
        <v>0</v>
      </c>
      <c r="AC1261" s="60">
        <v>48160.53</v>
      </c>
      <c r="AD1261" s="60">
        <v>0</v>
      </c>
      <c r="AE1261" s="60">
        <v>0</v>
      </c>
      <c r="AF1261" s="170" t="s">
        <v>257</v>
      </c>
      <c r="AG1261" s="170">
        <v>2022</v>
      </c>
      <c r="AH1261" s="63">
        <v>2022</v>
      </c>
    </row>
    <row r="1262" spans="1:34" ht="61.5" x14ac:dyDescent="0.85">
      <c r="A1262" s="7">
        <v>1</v>
      </c>
      <c r="B1262" s="59">
        <f>SUBTOTAL(103,$A$1032:A1262)</f>
        <v>224</v>
      </c>
      <c r="C1262" s="160" t="s">
        <v>1814</v>
      </c>
      <c r="D1262" s="60">
        <f t="shared" si="210"/>
        <v>9075276.9199999999</v>
      </c>
      <c r="E1262" s="182">
        <v>0</v>
      </c>
      <c r="F1262" s="182">
        <v>0</v>
      </c>
      <c r="G1262" s="60">
        <v>0</v>
      </c>
      <c r="H1262" s="182">
        <v>0</v>
      </c>
      <c r="I1262" s="182">
        <v>0</v>
      </c>
      <c r="J1262" s="182">
        <v>0</v>
      </c>
      <c r="K1262" s="168">
        <v>0</v>
      </c>
      <c r="L1262" s="182">
        <v>0</v>
      </c>
      <c r="M1262" s="60">
        <v>1249.42</v>
      </c>
      <c r="N1262" s="60">
        <v>8876924.4299999997</v>
      </c>
      <c r="O1262" s="60">
        <v>0</v>
      </c>
      <c r="P1262" s="60">
        <v>0</v>
      </c>
      <c r="Q1262" s="60">
        <v>0</v>
      </c>
      <c r="R1262" s="60">
        <v>0</v>
      </c>
      <c r="S1262" s="60">
        <v>0</v>
      </c>
      <c r="T1262" s="60">
        <v>0</v>
      </c>
      <c r="U1262" s="60">
        <v>0</v>
      </c>
      <c r="V1262" s="60">
        <v>0</v>
      </c>
      <c r="W1262" s="60">
        <v>0</v>
      </c>
      <c r="X1262" s="60">
        <v>0</v>
      </c>
      <c r="Y1262" s="60">
        <v>0</v>
      </c>
      <c r="Z1262" s="60">
        <v>0</v>
      </c>
      <c r="AA1262" s="60">
        <v>0</v>
      </c>
      <c r="AB1262" s="60">
        <v>0</v>
      </c>
      <c r="AC1262" s="60">
        <v>92541.94</v>
      </c>
      <c r="AD1262" s="60">
        <v>105810.55</v>
      </c>
      <c r="AE1262" s="60">
        <v>0</v>
      </c>
      <c r="AF1262" s="170">
        <v>2022</v>
      </c>
      <c r="AG1262" s="170">
        <v>2022</v>
      </c>
      <c r="AH1262" s="63">
        <v>2022</v>
      </c>
    </row>
    <row r="1263" spans="1:34" ht="61.5" x14ac:dyDescent="0.85">
      <c r="A1263" s="7">
        <v>1</v>
      </c>
      <c r="B1263" s="59">
        <f>SUBTOTAL(103,$A$1032:A1263)</f>
        <v>225</v>
      </c>
      <c r="C1263" s="160" t="s">
        <v>1816</v>
      </c>
      <c r="D1263" s="60">
        <f t="shared" si="210"/>
        <v>4445929.62</v>
      </c>
      <c r="E1263" s="180">
        <v>0</v>
      </c>
      <c r="F1263" s="180">
        <v>0</v>
      </c>
      <c r="G1263" s="180">
        <v>0</v>
      </c>
      <c r="H1263" s="180">
        <v>0</v>
      </c>
      <c r="I1263" s="180">
        <v>0</v>
      </c>
      <c r="J1263" s="180">
        <v>0</v>
      </c>
      <c r="K1263" s="168">
        <v>0</v>
      </c>
      <c r="L1263" s="60">
        <v>0</v>
      </c>
      <c r="M1263" s="60">
        <v>605.20000000000005</v>
      </c>
      <c r="N1263" s="180">
        <v>4400059</v>
      </c>
      <c r="O1263" s="60">
        <v>0</v>
      </c>
      <c r="P1263" s="60">
        <v>0</v>
      </c>
      <c r="Q1263" s="60">
        <v>0</v>
      </c>
      <c r="R1263" s="60">
        <v>0</v>
      </c>
      <c r="S1263" s="60">
        <v>0</v>
      </c>
      <c r="T1263" s="60">
        <v>0</v>
      </c>
      <c r="U1263" s="60">
        <v>0</v>
      </c>
      <c r="V1263" s="60">
        <v>0</v>
      </c>
      <c r="W1263" s="60">
        <v>0</v>
      </c>
      <c r="X1263" s="60">
        <v>0</v>
      </c>
      <c r="Y1263" s="60">
        <v>0</v>
      </c>
      <c r="Z1263" s="60">
        <v>0</v>
      </c>
      <c r="AA1263" s="60">
        <v>0</v>
      </c>
      <c r="AB1263" s="60">
        <v>0</v>
      </c>
      <c r="AC1263" s="60">
        <v>45870.62</v>
      </c>
      <c r="AD1263" s="60">
        <v>0</v>
      </c>
      <c r="AE1263" s="60">
        <v>0</v>
      </c>
      <c r="AF1263" s="170" t="s">
        <v>257</v>
      </c>
      <c r="AG1263" s="170">
        <v>2022</v>
      </c>
      <c r="AH1263" s="63">
        <v>2022</v>
      </c>
    </row>
    <row r="1264" spans="1:34" ht="61.5" x14ac:dyDescent="0.85">
      <c r="B1264" s="160" t="s">
        <v>763</v>
      </c>
      <c r="C1264" s="160"/>
      <c r="D1264" s="177">
        <f t="shared" ref="D1264:AE1264" si="211">SUM(D1265:D1267)</f>
        <v>4843377.25</v>
      </c>
      <c r="E1264" s="60">
        <f t="shared" si="211"/>
        <v>0</v>
      </c>
      <c r="F1264" s="60">
        <f t="shared" si="211"/>
        <v>0</v>
      </c>
      <c r="G1264" s="60">
        <f t="shared" si="211"/>
        <v>0</v>
      </c>
      <c r="H1264" s="60">
        <f t="shared" si="211"/>
        <v>0</v>
      </c>
      <c r="I1264" s="60">
        <f t="shared" si="211"/>
        <v>503189</v>
      </c>
      <c r="J1264" s="60">
        <f t="shared" si="211"/>
        <v>0</v>
      </c>
      <c r="K1264" s="168">
        <f t="shared" si="211"/>
        <v>0</v>
      </c>
      <c r="L1264" s="60">
        <f t="shared" si="211"/>
        <v>0</v>
      </c>
      <c r="M1264" s="60">
        <f t="shared" si="211"/>
        <v>786.7</v>
      </c>
      <c r="N1264" s="60">
        <f t="shared" si="211"/>
        <v>3983944</v>
      </c>
      <c r="O1264" s="60">
        <f t="shared" si="211"/>
        <v>0</v>
      </c>
      <c r="P1264" s="60">
        <f t="shared" si="211"/>
        <v>0</v>
      </c>
      <c r="Q1264" s="60">
        <f t="shared" si="211"/>
        <v>0</v>
      </c>
      <c r="R1264" s="60">
        <f t="shared" si="211"/>
        <v>0</v>
      </c>
      <c r="S1264" s="60">
        <f t="shared" si="211"/>
        <v>0</v>
      </c>
      <c r="T1264" s="60">
        <f t="shared" si="211"/>
        <v>0</v>
      </c>
      <c r="U1264" s="60">
        <f t="shared" si="211"/>
        <v>0</v>
      </c>
      <c r="V1264" s="60">
        <f t="shared" si="211"/>
        <v>0</v>
      </c>
      <c r="W1264" s="60">
        <f t="shared" si="211"/>
        <v>0</v>
      </c>
      <c r="X1264" s="60">
        <f t="shared" si="211"/>
        <v>0</v>
      </c>
      <c r="Y1264" s="60">
        <f t="shared" si="211"/>
        <v>0</v>
      </c>
      <c r="Z1264" s="60">
        <f t="shared" si="211"/>
        <v>0</v>
      </c>
      <c r="AA1264" s="60">
        <f t="shared" si="211"/>
        <v>0</v>
      </c>
      <c r="AB1264" s="60">
        <f t="shared" si="211"/>
        <v>0</v>
      </c>
      <c r="AC1264" s="60">
        <f t="shared" si="211"/>
        <v>96024.639999999999</v>
      </c>
      <c r="AD1264" s="60">
        <f t="shared" si="211"/>
        <v>260219.61</v>
      </c>
      <c r="AE1264" s="60">
        <f t="shared" si="211"/>
        <v>0</v>
      </c>
      <c r="AF1264" s="54" t="s">
        <v>701</v>
      </c>
      <c r="AG1264" s="54" t="s">
        <v>701</v>
      </c>
      <c r="AH1264" s="55" t="s">
        <v>701</v>
      </c>
    </row>
    <row r="1265" spans="1:34" ht="61.5" x14ac:dyDescent="0.85">
      <c r="A1265" s="7">
        <v>1</v>
      </c>
      <c r="B1265" s="59">
        <f>SUBTOTAL(103,$A$1032:A1265)</f>
        <v>226</v>
      </c>
      <c r="C1265" s="160" t="s">
        <v>604</v>
      </c>
      <c r="D1265" s="60">
        <f>E1265+F1265+G1265+H1265+I1265+J1265+L1265+N1265+P1265+R1265+T1265+U1265+V1265+W1265+X1265+Y1265+Z1265+AA1265+AB1265+AC1265+AD1265+AE1265</f>
        <v>4201300.96</v>
      </c>
      <c r="E1265" s="182">
        <v>0</v>
      </c>
      <c r="F1265" s="182">
        <v>0</v>
      </c>
      <c r="G1265" s="182">
        <v>0</v>
      </c>
      <c r="H1265" s="182">
        <v>0</v>
      </c>
      <c r="I1265" s="182">
        <v>0</v>
      </c>
      <c r="J1265" s="182">
        <v>0</v>
      </c>
      <c r="K1265" s="168">
        <v>0</v>
      </c>
      <c r="L1265" s="182">
        <v>0</v>
      </c>
      <c r="M1265" s="60">
        <v>786.7</v>
      </c>
      <c r="N1265" s="60">
        <v>3983944</v>
      </c>
      <c r="O1265" s="60">
        <v>0</v>
      </c>
      <c r="P1265" s="60">
        <v>0</v>
      </c>
      <c r="Q1265" s="60">
        <v>0</v>
      </c>
      <c r="R1265" s="60">
        <v>0</v>
      </c>
      <c r="S1265" s="60">
        <v>0</v>
      </c>
      <c r="T1265" s="60">
        <v>0</v>
      </c>
      <c r="U1265" s="60">
        <v>0</v>
      </c>
      <c r="V1265" s="60">
        <v>0</v>
      </c>
      <c r="W1265" s="60">
        <v>0</v>
      </c>
      <c r="X1265" s="60">
        <v>0</v>
      </c>
      <c r="Y1265" s="60">
        <v>0</v>
      </c>
      <c r="Z1265" s="60">
        <v>0</v>
      </c>
      <c r="AA1265" s="60">
        <v>0</v>
      </c>
      <c r="AB1265" s="60">
        <v>0</v>
      </c>
      <c r="AC1265" s="60">
        <f t="shared" si="204"/>
        <v>85256.4</v>
      </c>
      <c r="AD1265" s="60">
        <v>132100.56</v>
      </c>
      <c r="AE1265" s="60">
        <v>0</v>
      </c>
      <c r="AF1265" s="170">
        <v>2022</v>
      </c>
      <c r="AG1265" s="170">
        <v>2022</v>
      </c>
      <c r="AH1265" s="63">
        <v>2022</v>
      </c>
    </row>
    <row r="1266" spans="1:34" ht="61.5" x14ac:dyDescent="0.85">
      <c r="A1266" s="7">
        <v>1</v>
      </c>
      <c r="B1266" s="59">
        <f>SUBTOTAL(103,$A$1032:A1266)</f>
        <v>227</v>
      </c>
      <c r="C1266" s="160" t="s">
        <v>607</v>
      </c>
      <c r="D1266" s="60">
        <f>E1266+F1266+G1266+H1266+I1266+J1266+L1266+N1266+P1266+R1266+T1266+U1266+V1266+W1266+X1266+Y1266+Z1266+AA1266+AB1266+AC1266+AD1266+AE1266</f>
        <v>128119.05</v>
      </c>
      <c r="E1266" s="180">
        <v>0</v>
      </c>
      <c r="F1266" s="180">
        <v>0</v>
      </c>
      <c r="G1266" s="180">
        <v>0</v>
      </c>
      <c r="H1266" s="180">
        <v>0</v>
      </c>
      <c r="I1266" s="180">
        <v>0</v>
      </c>
      <c r="J1266" s="180">
        <v>0</v>
      </c>
      <c r="K1266" s="168">
        <v>0</v>
      </c>
      <c r="L1266" s="60">
        <v>0</v>
      </c>
      <c r="M1266" s="60">
        <v>0</v>
      </c>
      <c r="N1266" s="60">
        <v>0</v>
      </c>
      <c r="O1266" s="60">
        <v>0</v>
      </c>
      <c r="P1266" s="60">
        <v>0</v>
      </c>
      <c r="Q1266" s="60">
        <v>0</v>
      </c>
      <c r="R1266" s="60">
        <v>0</v>
      </c>
      <c r="S1266" s="60">
        <v>0</v>
      </c>
      <c r="T1266" s="60">
        <v>0</v>
      </c>
      <c r="U1266" s="60">
        <v>0</v>
      </c>
      <c r="V1266" s="60">
        <v>0</v>
      </c>
      <c r="W1266" s="60">
        <v>0</v>
      </c>
      <c r="X1266" s="60">
        <v>0</v>
      </c>
      <c r="Y1266" s="60">
        <v>0</v>
      </c>
      <c r="Z1266" s="60">
        <v>0</v>
      </c>
      <c r="AA1266" s="60">
        <v>0</v>
      </c>
      <c r="AB1266" s="60">
        <v>0</v>
      </c>
      <c r="AC1266" s="60">
        <v>0</v>
      </c>
      <c r="AD1266" s="60">
        <v>128119.05</v>
      </c>
      <c r="AE1266" s="60">
        <v>0</v>
      </c>
      <c r="AF1266" s="170">
        <v>2022</v>
      </c>
      <c r="AG1266" s="170" t="s">
        <v>257</v>
      </c>
      <c r="AH1266" s="63" t="s">
        <v>257</v>
      </c>
    </row>
    <row r="1267" spans="1:34" ht="61.5" x14ac:dyDescent="0.85">
      <c r="A1267" s="7">
        <v>1</v>
      </c>
      <c r="B1267" s="59">
        <f>SUBTOTAL(103,$A$1032:A1267)</f>
        <v>228</v>
      </c>
      <c r="C1267" s="160" t="s">
        <v>1805</v>
      </c>
      <c r="D1267" s="60">
        <f>E1267+F1267+G1267+H1267+I1267+J1267+L1267+N1267+P1267+R1267+T1267+U1267+V1267+W1267+X1267+Y1267+Z1267+AA1267+AB1267+AC1267+AD1267+AE1267</f>
        <v>513957.24</v>
      </c>
      <c r="E1267" s="182">
        <v>0</v>
      </c>
      <c r="F1267" s="182">
        <v>0</v>
      </c>
      <c r="G1267" s="182">
        <v>0</v>
      </c>
      <c r="H1267" s="182">
        <v>0</v>
      </c>
      <c r="I1267" s="182">
        <v>503189</v>
      </c>
      <c r="J1267" s="182">
        <v>0</v>
      </c>
      <c r="K1267" s="168">
        <v>0</v>
      </c>
      <c r="L1267" s="182">
        <v>0</v>
      </c>
      <c r="M1267" s="60">
        <v>0</v>
      </c>
      <c r="N1267" s="60">
        <v>0</v>
      </c>
      <c r="O1267" s="60">
        <v>0</v>
      </c>
      <c r="P1267" s="60">
        <v>0</v>
      </c>
      <c r="Q1267" s="60">
        <v>0</v>
      </c>
      <c r="R1267" s="60">
        <v>0</v>
      </c>
      <c r="S1267" s="60">
        <v>0</v>
      </c>
      <c r="T1267" s="60">
        <v>0</v>
      </c>
      <c r="U1267" s="60">
        <v>0</v>
      </c>
      <c r="V1267" s="60">
        <v>0</v>
      </c>
      <c r="W1267" s="60">
        <v>0</v>
      </c>
      <c r="X1267" s="60">
        <v>0</v>
      </c>
      <c r="Y1267" s="60">
        <v>0</v>
      </c>
      <c r="Z1267" s="60">
        <v>0</v>
      </c>
      <c r="AA1267" s="60">
        <v>0</v>
      </c>
      <c r="AB1267" s="60">
        <v>0</v>
      </c>
      <c r="AC1267" s="60">
        <f t="shared" si="204"/>
        <v>10768.24</v>
      </c>
      <c r="AD1267" s="60">
        <v>0</v>
      </c>
      <c r="AE1267" s="60">
        <v>0</v>
      </c>
      <c r="AF1267" s="170" t="s">
        <v>257</v>
      </c>
      <c r="AG1267" s="170">
        <v>2022</v>
      </c>
      <c r="AH1267" s="63">
        <v>2022</v>
      </c>
    </row>
    <row r="1268" spans="1:34" ht="61.5" x14ac:dyDescent="0.85">
      <c r="B1268" s="160" t="s">
        <v>764</v>
      </c>
      <c r="C1268" s="176"/>
      <c r="D1268" s="177">
        <f t="shared" ref="D1268:AE1268" si="212">SUM(D1269:D1269)</f>
        <v>323625.23</v>
      </c>
      <c r="E1268" s="60">
        <f t="shared" si="212"/>
        <v>0</v>
      </c>
      <c r="F1268" s="60">
        <f t="shared" si="212"/>
        <v>0</v>
      </c>
      <c r="G1268" s="60">
        <f t="shared" si="212"/>
        <v>0</v>
      </c>
      <c r="H1268" s="60">
        <f t="shared" si="212"/>
        <v>0</v>
      </c>
      <c r="I1268" s="60">
        <f t="shared" si="212"/>
        <v>0</v>
      </c>
      <c r="J1268" s="60">
        <f t="shared" si="212"/>
        <v>0</v>
      </c>
      <c r="K1268" s="168">
        <f t="shared" si="212"/>
        <v>0</v>
      </c>
      <c r="L1268" s="60">
        <f t="shared" si="212"/>
        <v>0</v>
      </c>
      <c r="M1268" s="60">
        <f t="shared" si="212"/>
        <v>0</v>
      </c>
      <c r="N1268" s="60">
        <f t="shared" si="212"/>
        <v>0</v>
      </c>
      <c r="O1268" s="60">
        <f t="shared" si="212"/>
        <v>0</v>
      </c>
      <c r="P1268" s="60">
        <f t="shared" si="212"/>
        <v>0</v>
      </c>
      <c r="Q1268" s="60">
        <f t="shared" si="212"/>
        <v>0</v>
      </c>
      <c r="R1268" s="60">
        <f t="shared" si="212"/>
        <v>0</v>
      </c>
      <c r="S1268" s="60">
        <f t="shared" si="212"/>
        <v>0</v>
      </c>
      <c r="T1268" s="60">
        <f t="shared" si="212"/>
        <v>0</v>
      </c>
      <c r="U1268" s="60">
        <f t="shared" si="212"/>
        <v>0</v>
      </c>
      <c r="V1268" s="60">
        <f t="shared" si="212"/>
        <v>320233</v>
      </c>
      <c r="W1268" s="60">
        <f t="shared" si="212"/>
        <v>0</v>
      </c>
      <c r="X1268" s="60">
        <f t="shared" si="212"/>
        <v>0</v>
      </c>
      <c r="Y1268" s="60">
        <f t="shared" si="212"/>
        <v>0</v>
      </c>
      <c r="Z1268" s="60">
        <f t="shared" si="212"/>
        <v>0</v>
      </c>
      <c r="AA1268" s="60">
        <f t="shared" si="212"/>
        <v>0</v>
      </c>
      <c r="AB1268" s="60">
        <f t="shared" si="212"/>
        <v>0</v>
      </c>
      <c r="AC1268" s="60">
        <f t="shared" si="212"/>
        <v>3392.23</v>
      </c>
      <c r="AD1268" s="60">
        <f t="shared" si="212"/>
        <v>0</v>
      </c>
      <c r="AE1268" s="60">
        <f t="shared" si="212"/>
        <v>0</v>
      </c>
      <c r="AF1268" s="54" t="s">
        <v>701</v>
      </c>
      <c r="AG1268" s="54" t="s">
        <v>701</v>
      </c>
      <c r="AH1268" s="55" t="s">
        <v>701</v>
      </c>
    </row>
    <row r="1269" spans="1:34" ht="61.5" x14ac:dyDescent="0.85">
      <c r="A1269" s="7">
        <v>1</v>
      </c>
      <c r="B1269" s="59">
        <f>SUBTOTAL(103,$A$1032:A1269)</f>
        <v>229</v>
      </c>
      <c r="C1269" s="186" t="s">
        <v>2585</v>
      </c>
      <c r="D1269" s="60">
        <f>E1269+F1269+G1269+H1269+I1269+J1269+L1269+N1269+P1269+R1269+T1269+U1269+V1269+W1269+X1269+Y1269+Z1269+AA1269+AB1269+AC1269+AD1269+AE1269</f>
        <v>323625.23</v>
      </c>
      <c r="E1269" s="60">
        <v>0</v>
      </c>
      <c r="F1269" s="60">
        <v>0</v>
      </c>
      <c r="G1269" s="60">
        <v>0</v>
      </c>
      <c r="H1269" s="60">
        <v>0</v>
      </c>
      <c r="I1269" s="60">
        <v>0</v>
      </c>
      <c r="J1269" s="60">
        <v>0</v>
      </c>
      <c r="K1269" s="168">
        <v>0</v>
      </c>
      <c r="L1269" s="60">
        <v>0</v>
      </c>
      <c r="M1269" s="60">
        <v>0</v>
      </c>
      <c r="N1269" s="60">
        <v>0</v>
      </c>
      <c r="O1269" s="60">
        <v>0</v>
      </c>
      <c r="P1269" s="60">
        <v>0</v>
      </c>
      <c r="Q1269" s="60">
        <v>0</v>
      </c>
      <c r="R1269" s="60">
        <v>0</v>
      </c>
      <c r="S1269" s="60">
        <v>0</v>
      </c>
      <c r="T1269" s="60">
        <v>0</v>
      </c>
      <c r="U1269" s="60">
        <v>0</v>
      </c>
      <c r="V1269" s="60">
        <v>320233</v>
      </c>
      <c r="W1269" s="60">
        <v>0</v>
      </c>
      <c r="X1269" s="60">
        <v>0</v>
      </c>
      <c r="Y1269" s="60">
        <v>0</v>
      </c>
      <c r="Z1269" s="60">
        <v>0</v>
      </c>
      <c r="AA1269" s="60">
        <v>0</v>
      </c>
      <c r="AB1269" s="60">
        <v>0</v>
      </c>
      <c r="AC1269" s="60">
        <f t="shared" ref="AC1269" si="213">ROUND(N1269*1.0593%,2)+ROUND(E1269*1.0593%,2)+ROUND(F1269*1.0593%,2)+ROUND(G1269*1.0593%,2)+ROUND(H1269*1.0593%,2)+ROUND(I1269*1.0593%,2)+ROUND(J1269*1.0593%,2)+ROUND(L1269*1.0593%,2)+ROUND(P1269*1.0593%,2)+ROUND(R1269*1.0593%,2)+ROUND(T1269*1.0593%,2)+ROUND(U1269*1.0593%,2)+ROUND(V1269*1.0593%,2)+ROUND(W1269*1.0593%,2)+ROUND(X1269*1.0593%,2)+ROUND(Y1269*1.0593%,2)+ROUND(Z1269*1.0593%,2)+ROUND(AA1269*1.0593%,2)+ROUND(AB1269*1.0593%,2)</f>
        <v>3392.23</v>
      </c>
      <c r="AD1269" s="60">
        <v>0</v>
      </c>
      <c r="AE1269" s="60">
        <v>0</v>
      </c>
      <c r="AF1269" s="170" t="s">
        <v>257</v>
      </c>
      <c r="AG1269" s="170">
        <v>2022</v>
      </c>
      <c r="AH1269" s="63">
        <v>2022</v>
      </c>
    </row>
    <row r="1270" spans="1:34" ht="61.5" x14ac:dyDescent="0.85">
      <c r="B1270" s="160" t="s">
        <v>766</v>
      </c>
      <c r="C1270" s="160"/>
      <c r="D1270" s="177">
        <f>SUM(D1271:D1273)</f>
        <v>10155116.859999999</v>
      </c>
      <c r="E1270" s="60">
        <f t="shared" ref="E1270:AE1270" si="214">SUM(E1271:E1273)</f>
        <v>0</v>
      </c>
      <c r="F1270" s="60">
        <f t="shared" si="214"/>
        <v>0</v>
      </c>
      <c r="G1270" s="60">
        <f t="shared" si="214"/>
        <v>0</v>
      </c>
      <c r="H1270" s="60">
        <f t="shared" si="214"/>
        <v>0</v>
      </c>
      <c r="I1270" s="60">
        <f t="shared" si="214"/>
        <v>0</v>
      </c>
      <c r="J1270" s="60">
        <f t="shared" si="214"/>
        <v>0</v>
      </c>
      <c r="K1270" s="168">
        <f t="shared" si="214"/>
        <v>0</v>
      </c>
      <c r="L1270" s="60">
        <f t="shared" si="214"/>
        <v>0</v>
      </c>
      <c r="M1270" s="60">
        <f t="shared" si="214"/>
        <v>1260</v>
      </c>
      <c r="N1270" s="60">
        <f t="shared" si="214"/>
        <v>9885414</v>
      </c>
      <c r="O1270" s="60">
        <f t="shared" si="214"/>
        <v>0</v>
      </c>
      <c r="P1270" s="60">
        <f t="shared" si="214"/>
        <v>0</v>
      </c>
      <c r="Q1270" s="60">
        <f t="shared" si="214"/>
        <v>0</v>
      </c>
      <c r="R1270" s="60">
        <f t="shared" si="214"/>
        <v>0</v>
      </c>
      <c r="S1270" s="60">
        <f t="shared" si="214"/>
        <v>0</v>
      </c>
      <c r="T1270" s="60">
        <f t="shared" si="214"/>
        <v>0</v>
      </c>
      <c r="U1270" s="60">
        <f t="shared" si="214"/>
        <v>0</v>
      </c>
      <c r="V1270" s="60">
        <f t="shared" si="214"/>
        <v>0</v>
      </c>
      <c r="W1270" s="60">
        <f t="shared" si="214"/>
        <v>0</v>
      </c>
      <c r="X1270" s="60">
        <f t="shared" si="214"/>
        <v>0</v>
      </c>
      <c r="Y1270" s="60">
        <f t="shared" si="214"/>
        <v>0</v>
      </c>
      <c r="Z1270" s="60">
        <f t="shared" si="214"/>
        <v>0</v>
      </c>
      <c r="AA1270" s="60">
        <f t="shared" si="214"/>
        <v>0</v>
      </c>
      <c r="AB1270" s="60">
        <f t="shared" si="214"/>
        <v>0</v>
      </c>
      <c r="AC1270" s="60">
        <f t="shared" si="214"/>
        <v>114478.27</v>
      </c>
      <c r="AD1270" s="60">
        <f t="shared" si="214"/>
        <v>155224.59</v>
      </c>
      <c r="AE1270" s="60">
        <f t="shared" si="214"/>
        <v>0</v>
      </c>
      <c r="AF1270" s="54" t="s">
        <v>701</v>
      </c>
      <c r="AG1270" s="54" t="s">
        <v>701</v>
      </c>
      <c r="AH1270" s="55" t="s">
        <v>701</v>
      </c>
    </row>
    <row r="1271" spans="1:34" ht="61.5" x14ac:dyDescent="0.85">
      <c r="A1271" s="7">
        <v>1</v>
      </c>
      <c r="B1271" s="59">
        <f>SUBTOTAL(103,$A$1032:A1271)</f>
        <v>230</v>
      </c>
      <c r="C1271" s="186" t="s">
        <v>632</v>
      </c>
      <c r="D1271" s="60">
        <f>E1271+F1271+G1271+H1271+I1271+J1271+L1271+N1271+P1271+R1271+T1271+U1271+V1271+W1271+X1271+Y1271+Z1271+AA1271+AB1271+AC1271+AD1271+AE1271</f>
        <v>5166073.3</v>
      </c>
      <c r="E1271" s="60">
        <v>0</v>
      </c>
      <c r="F1271" s="60">
        <v>0</v>
      </c>
      <c r="G1271" s="60">
        <v>0</v>
      </c>
      <c r="H1271" s="60">
        <v>0</v>
      </c>
      <c r="I1271" s="60">
        <v>0</v>
      </c>
      <c r="J1271" s="60">
        <v>0</v>
      </c>
      <c r="K1271" s="168">
        <v>0</v>
      </c>
      <c r="L1271" s="60">
        <v>0</v>
      </c>
      <c r="M1271" s="60">
        <v>614</v>
      </c>
      <c r="N1271" s="205">
        <v>5021397</v>
      </c>
      <c r="O1271" s="60">
        <v>0</v>
      </c>
      <c r="P1271" s="60">
        <v>0</v>
      </c>
      <c r="Q1271" s="60">
        <v>0</v>
      </c>
      <c r="R1271" s="60">
        <v>0</v>
      </c>
      <c r="S1271" s="60">
        <v>0</v>
      </c>
      <c r="T1271" s="60">
        <v>0</v>
      </c>
      <c r="U1271" s="60">
        <v>0</v>
      </c>
      <c r="V1271" s="60">
        <v>0</v>
      </c>
      <c r="W1271" s="60">
        <v>0</v>
      </c>
      <c r="X1271" s="60">
        <v>0</v>
      </c>
      <c r="Y1271" s="60">
        <v>0</v>
      </c>
      <c r="Z1271" s="60">
        <v>0</v>
      </c>
      <c r="AA1271" s="60">
        <v>0</v>
      </c>
      <c r="AB1271" s="60">
        <v>0</v>
      </c>
      <c r="AC1271" s="60">
        <f t="shared" ref="AC1271:AC1272" si="215">ROUND(N1271*1.0593%,2)+ROUND(E1271*1.0593%,2)+ROUND(F1271*1.0593%,2)+ROUND(G1271*1.0593%,2)+ROUND(H1271*1.0593%,2)+ROUND(I1271*1.0593%,2)+ROUND(J1271*1.0593%,2)+ROUND(L1271*1.0593%,2)+ROUND(P1271*1.0593%,2)+ROUND(R1271*1.0593%,2)+ROUND(T1271*1.0593%,2)+ROUND(U1271*1.0593%,2)+ROUND(V1271*1.0593%,2)+ROUND(W1271*1.0593%,2)+ROUND(X1271*1.0593%,2)+ROUND(Y1271*1.0593%,2)+ROUND(Z1271*1.0593%,2)+ROUND(AA1271*1.0593%,2)+ROUND(AB1271*1.0593%,2)</f>
        <v>53191.66</v>
      </c>
      <c r="AD1271" s="60">
        <v>91484.64</v>
      </c>
      <c r="AE1271" s="60">
        <v>0</v>
      </c>
      <c r="AF1271" s="170">
        <v>2022</v>
      </c>
      <c r="AG1271" s="170">
        <v>2022</v>
      </c>
      <c r="AH1271" s="63">
        <v>2022</v>
      </c>
    </row>
    <row r="1272" spans="1:34" ht="61.5" x14ac:dyDescent="0.85">
      <c r="A1272" s="7">
        <v>1</v>
      </c>
      <c r="B1272" s="59">
        <f>SUBTOTAL(103,$A$1032:A1272)</f>
        <v>231</v>
      </c>
      <c r="C1272" s="186" t="s">
        <v>642</v>
      </c>
      <c r="D1272" s="60">
        <f>E1272+F1272+G1272+H1272+I1272+J1272+L1272+N1272+P1272+R1272+T1272+U1272+V1272+W1272+X1272+Y1272+Z1272+AA1272+AB1272+AC1272+AD1272+AE1272</f>
        <v>63739.95</v>
      </c>
      <c r="E1272" s="60">
        <v>0</v>
      </c>
      <c r="F1272" s="60">
        <v>0</v>
      </c>
      <c r="G1272" s="60">
        <v>0</v>
      </c>
      <c r="H1272" s="60">
        <v>0</v>
      </c>
      <c r="I1272" s="60">
        <v>0</v>
      </c>
      <c r="J1272" s="60">
        <v>0</v>
      </c>
      <c r="K1272" s="168">
        <v>0</v>
      </c>
      <c r="L1272" s="60">
        <v>0</v>
      </c>
      <c r="M1272" s="60">
        <v>0</v>
      </c>
      <c r="N1272" s="60">
        <v>0</v>
      </c>
      <c r="O1272" s="60">
        <v>0</v>
      </c>
      <c r="P1272" s="60">
        <v>0</v>
      </c>
      <c r="Q1272" s="60">
        <v>0</v>
      </c>
      <c r="R1272" s="60">
        <v>0</v>
      </c>
      <c r="S1272" s="60">
        <v>0</v>
      </c>
      <c r="T1272" s="60">
        <v>0</v>
      </c>
      <c r="U1272" s="60">
        <v>0</v>
      </c>
      <c r="V1272" s="60">
        <v>0</v>
      </c>
      <c r="W1272" s="60">
        <v>0</v>
      </c>
      <c r="X1272" s="60">
        <v>0</v>
      </c>
      <c r="Y1272" s="60">
        <v>0</v>
      </c>
      <c r="Z1272" s="60">
        <v>0</v>
      </c>
      <c r="AA1272" s="60">
        <v>0</v>
      </c>
      <c r="AB1272" s="60">
        <v>0</v>
      </c>
      <c r="AC1272" s="60">
        <f t="shared" si="215"/>
        <v>0</v>
      </c>
      <c r="AD1272" s="60">
        <v>63739.95</v>
      </c>
      <c r="AE1272" s="60">
        <v>0</v>
      </c>
      <c r="AF1272" s="170">
        <v>2022</v>
      </c>
      <c r="AG1272" s="170" t="s">
        <v>257</v>
      </c>
      <c r="AH1272" s="63" t="s">
        <v>257</v>
      </c>
    </row>
    <row r="1273" spans="1:34" ht="61.5" x14ac:dyDescent="0.85">
      <c r="A1273" s="7">
        <v>1</v>
      </c>
      <c r="B1273" s="59">
        <f>SUBTOTAL(103,$A$1032:A1273)</f>
        <v>232</v>
      </c>
      <c r="C1273" s="160" t="s">
        <v>637</v>
      </c>
      <c r="D1273" s="60">
        <f>E1273+F1273+G1273+H1273+I1273+J1273+L1273+N1273+P1273+R1273+T1273+U1273+V1273+W1273+X1273+Y1273+Z1273+AA1273+AB1273+AC1273+AD1273+AE1273</f>
        <v>4925303.6100000003</v>
      </c>
      <c r="E1273" s="60">
        <v>0</v>
      </c>
      <c r="F1273" s="60">
        <v>0</v>
      </c>
      <c r="G1273" s="60">
        <v>0</v>
      </c>
      <c r="H1273" s="60">
        <v>0</v>
      </c>
      <c r="I1273" s="60">
        <v>0</v>
      </c>
      <c r="J1273" s="60">
        <v>0</v>
      </c>
      <c r="K1273" s="168">
        <v>0</v>
      </c>
      <c r="L1273" s="60">
        <v>0</v>
      </c>
      <c r="M1273" s="60">
        <v>646</v>
      </c>
      <c r="N1273" s="60">
        <v>4864017</v>
      </c>
      <c r="O1273" s="60">
        <v>0</v>
      </c>
      <c r="P1273" s="60">
        <v>0</v>
      </c>
      <c r="Q1273" s="60">
        <v>0</v>
      </c>
      <c r="R1273" s="60">
        <v>0</v>
      </c>
      <c r="S1273" s="60">
        <v>0</v>
      </c>
      <c r="T1273" s="60">
        <v>0</v>
      </c>
      <c r="U1273" s="60">
        <v>0</v>
      </c>
      <c r="V1273" s="60">
        <v>0</v>
      </c>
      <c r="W1273" s="60">
        <v>0</v>
      </c>
      <c r="X1273" s="60">
        <v>0</v>
      </c>
      <c r="Y1273" s="60">
        <v>0</v>
      </c>
      <c r="Z1273" s="60">
        <v>0</v>
      </c>
      <c r="AA1273" s="60">
        <v>0</v>
      </c>
      <c r="AB1273" s="60">
        <v>0</v>
      </c>
      <c r="AC1273" s="60">
        <v>61286.61</v>
      </c>
      <c r="AD1273" s="60">
        <v>0</v>
      </c>
      <c r="AE1273" s="60">
        <v>0</v>
      </c>
      <c r="AF1273" s="170" t="s">
        <v>257</v>
      </c>
      <c r="AG1273" s="170">
        <v>2022</v>
      </c>
      <c r="AH1273" s="63">
        <v>2022</v>
      </c>
    </row>
    <row r="1274" spans="1:34" ht="61.5" x14ac:dyDescent="0.85">
      <c r="B1274" s="160" t="s">
        <v>829</v>
      </c>
      <c r="C1274" s="160"/>
      <c r="D1274" s="177">
        <f>SUM(D1275:D1276)</f>
        <v>8088613.6699999999</v>
      </c>
      <c r="E1274" s="60">
        <f t="shared" ref="E1274:AE1274" si="216">SUM(E1275:E1276)</f>
        <v>0</v>
      </c>
      <c r="F1274" s="60">
        <f t="shared" si="216"/>
        <v>0</v>
      </c>
      <c r="G1274" s="60">
        <f t="shared" si="216"/>
        <v>0</v>
      </c>
      <c r="H1274" s="60">
        <f t="shared" si="216"/>
        <v>0</v>
      </c>
      <c r="I1274" s="60">
        <f t="shared" si="216"/>
        <v>0</v>
      </c>
      <c r="J1274" s="60">
        <f t="shared" si="216"/>
        <v>0</v>
      </c>
      <c r="K1274" s="168">
        <f t="shared" si="216"/>
        <v>0</v>
      </c>
      <c r="L1274" s="60">
        <f t="shared" si="216"/>
        <v>0</v>
      </c>
      <c r="M1274" s="60">
        <f t="shared" si="216"/>
        <v>959</v>
      </c>
      <c r="N1274" s="60">
        <f t="shared" si="216"/>
        <v>7945854</v>
      </c>
      <c r="O1274" s="60">
        <f t="shared" si="216"/>
        <v>0</v>
      </c>
      <c r="P1274" s="60">
        <f t="shared" si="216"/>
        <v>0</v>
      </c>
      <c r="Q1274" s="60">
        <f t="shared" si="216"/>
        <v>0</v>
      </c>
      <c r="R1274" s="60">
        <f t="shared" si="216"/>
        <v>0</v>
      </c>
      <c r="S1274" s="60">
        <f t="shared" si="216"/>
        <v>0</v>
      </c>
      <c r="T1274" s="60">
        <f t="shared" si="216"/>
        <v>0</v>
      </c>
      <c r="U1274" s="60">
        <f t="shared" si="216"/>
        <v>0</v>
      </c>
      <c r="V1274" s="60">
        <f t="shared" si="216"/>
        <v>0</v>
      </c>
      <c r="W1274" s="60">
        <f t="shared" si="216"/>
        <v>0</v>
      </c>
      <c r="X1274" s="60">
        <f t="shared" si="216"/>
        <v>0</v>
      </c>
      <c r="Y1274" s="60">
        <f t="shared" si="216"/>
        <v>0</v>
      </c>
      <c r="Z1274" s="60">
        <f t="shared" si="216"/>
        <v>0</v>
      </c>
      <c r="AA1274" s="60">
        <f t="shared" si="216"/>
        <v>0</v>
      </c>
      <c r="AB1274" s="60">
        <f t="shared" si="216"/>
        <v>0</v>
      </c>
      <c r="AC1274" s="60">
        <f t="shared" si="216"/>
        <v>91066.64</v>
      </c>
      <c r="AD1274" s="60">
        <f t="shared" si="216"/>
        <v>51693.03</v>
      </c>
      <c r="AE1274" s="60">
        <f t="shared" si="216"/>
        <v>0</v>
      </c>
      <c r="AF1274" s="54" t="s">
        <v>701</v>
      </c>
      <c r="AG1274" s="54" t="s">
        <v>701</v>
      </c>
      <c r="AH1274" s="55" t="s">
        <v>701</v>
      </c>
    </row>
    <row r="1275" spans="1:34" ht="61.5" x14ac:dyDescent="0.85">
      <c r="A1275" s="7">
        <v>1</v>
      </c>
      <c r="B1275" s="59">
        <f>SUBTOTAL(103,$A$1032:A1275)</f>
        <v>233</v>
      </c>
      <c r="C1275" s="186" t="s">
        <v>625</v>
      </c>
      <c r="D1275" s="60">
        <f>E1275+F1275+G1275+H1275+I1275+J1275+L1275+N1275+P1275+R1275+T1275+U1275+V1275+W1275+X1275+Y1275+Z1275+AA1275+AB1275+AC1275+AD1275+AE1275</f>
        <v>4609244.12</v>
      </c>
      <c r="E1275" s="60">
        <v>0</v>
      </c>
      <c r="F1275" s="60">
        <v>0</v>
      </c>
      <c r="G1275" s="60">
        <v>0</v>
      </c>
      <c r="H1275" s="60">
        <v>0</v>
      </c>
      <c r="I1275" s="60">
        <v>0</v>
      </c>
      <c r="J1275" s="60">
        <v>0</v>
      </c>
      <c r="K1275" s="168">
        <v>0</v>
      </c>
      <c r="L1275" s="60">
        <v>0</v>
      </c>
      <c r="M1275" s="60">
        <v>480</v>
      </c>
      <c r="N1275" s="205">
        <v>4509779</v>
      </c>
      <c r="O1275" s="60">
        <v>0</v>
      </c>
      <c r="P1275" s="60">
        <v>0</v>
      </c>
      <c r="Q1275" s="60">
        <v>0</v>
      </c>
      <c r="R1275" s="60">
        <v>0</v>
      </c>
      <c r="S1275" s="60">
        <v>0</v>
      </c>
      <c r="T1275" s="60">
        <v>0</v>
      </c>
      <c r="U1275" s="60">
        <v>0</v>
      </c>
      <c r="V1275" s="60">
        <v>0</v>
      </c>
      <c r="W1275" s="60">
        <v>0</v>
      </c>
      <c r="X1275" s="60">
        <v>0</v>
      </c>
      <c r="Y1275" s="60">
        <v>0</v>
      </c>
      <c r="Z1275" s="60">
        <v>0</v>
      </c>
      <c r="AA1275" s="60">
        <v>0</v>
      </c>
      <c r="AB1275" s="60">
        <v>0</v>
      </c>
      <c r="AC1275" s="60">
        <f t="shared" ref="AC1275" si="217">ROUND(N1275*1.0593%,2)+ROUND(E1275*1.0593%,2)+ROUND(F1275*1.0593%,2)+ROUND(G1275*1.0593%,2)+ROUND(H1275*1.0593%,2)+ROUND(I1275*1.0593%,2)+ROUND(J1275*1.0593%,2)+ROUND(L1275*1.0593%,2)+ROUND(P1275*1.0593%,2)+ROUND(R1275*1.0593%,2)+ROUND(T1275*1.0593%,2)+ROUND(U1275*1.0593%,2)+ROUND(V1275*1.0593%,2)+ROUND(W1275*1.0593%,2)+ROUND(X1275*1.0593%,2)+ROUND(Y1275*1.0593%,2)+ROUND(Z1275*1.0593%,2)+ROUND(AA1275*1.0593%,2)+ROUND(AB1275*1.0593%,2)</f>
        <v>47772.09</v>
      </c>
      <c r="AD1275" s="60">
        <v>51693.03</v>
      </c>
      <c r="AE1275" s="60">
        <v>0</v>
      </c>
      <c r="AF1275" s="170">
        <v>2022</v>
      </c>
      <c r="AG1275" s="170">
        <v>2022</v>
      </c>
      <c r="AH1275" s="63">
        <v>2022</v>
      </c>
    </row>
    <row r="1276" spans="1:34" ht="61.5" x14ac:dyDescent="0.85">
      <c r="A1276" s="7">
        <v>1</v>
      </c>
      <c r="B1276" s="59">
        <f>SUBTOTAL(103,$A$1032:A1276)</f>
        <v>234</v>
      </c>
      <c r="C1276" s="160" t="s">
        <v>624</v>
      </c>
      <c r="D1276" s="60">
        <f>E1276+F1276+G1276+H1276+I1276+J1276+L1276+N1276+P1276+R1276+T1276+U1276+V1276+W1276+X1276+Y1276+Z1276+AA1276+AB1276+AC1276+AD1276+AE1276</f>
        <v>3479369.55</v>
      </c>
      <c r="E1276" s="60">
        <v>0</v>
      </c>
      <c r="F1276" s="60">
        <v>0</v>
      </c>
      <c r="G1276" s="60">
        <v>0</v>
      </c>
      <c r="H1276" s="60">
        <v>0</v>
      </c>
      <c r="I1276" s="60">
        <v>0</v>
      </c>
      <c r="J1276" s="60">
        <v>0</v>
      </c>
      <c r="K1276" s="168">
        <v>0</v>
      </c>
      <c r="L1276" s="60">
        <v>0</v>
      </c>
      <c r="M1276" s="60">
        <v>479</v>
      </c>
      <c r="N1276" s="60">
        <v>3436075</v>
      </c>
      <c r="O1276" s="60">
        <v>0</v>
      </c>
      <c r="P1276" s="60">
        <v>0</v>
      </c>
      <c r="Q1276" s="60">
        <v>0</v>
      </c>
      <c r="R1276" s="60">
        <v>0</v>
      </c>
      <c r="S1276" s="60">
        <v>0</v>
      </c>
      <c r="T1276" s="60">
        <v>0</v>
      </c>
      <c r="U1276" s="60">
        <v>0</v>
      </c>
      <c r="V1276" s="60">
        <v>0</v>
      </c>
      <c r="W1276" s="60">
        <v>0</v>
      </c>
      <c r="X1276" s="60">
        <v>0</v>
      </c>
      <c r="Y1276" s="60">
        <v>0</v>
      </c>
      <c r="Z1276" s="60">
        <v>0</v>
      </c>
      <c r="AA1276" s="60">
        <v>0</v>
      </c>
      <c r="AB1276" s="60">
        <v>0</v>
      </c>
      <c r="AC1276" s="60">
        <v>43294.55</v>
      </c>
      <c r="AD1276" s="60">
        <v>0</v>
      </c>
      <c r="AE1276" s="60">
        <v>0</v>
      </c>
      <c r="AF1276" s="170" t="s">
        <v>257</v>
      </c>
      <c r="AG1276" s="170">
        <v>2022</v>
      </c>
      <c r="AH1276" s="63">
        <v>2022</v>
      </c>
    </row>
    <row r="1277" spans="1:34" ht="61.5" x14ac:dyDescent="0.85">
      <c r="B1277" s="160" t="s">
        <v>767</v>
      </c>
      <c r="C1277" s="160"/>
      <c r="D1277" s="177">
        <f t="shared" ref="D1277:AE1277" si="218">SUM(D1278:D1279)</f>
        <v>10343227.370000001</v>
      </c>
      <c r="E1277" s="60">
        <f t="shared" si="218"/>
        <v>0</v>
      </c>
      <c r="F1277" s="60">
        <f t="shared" si="218"/>
        <v>0</v>
      </c>
      <c r="G1277" s="60">
        <f t="shared" si="218"/>
        <v>0</v>
      </c>
      <c r="H1277" s="60">
        <f t="shared" si="218"/>
        <v>0</v>
      </c>
      <c r="I1277" s="60">
        <f t="shared" si="218"/>
        <v>0</v>
      </c>
      <c r="J1277" s="60">
        <f t="shared" si="218"/>
        <v>0</v>
      </c>
      <c r="K1277" s="168">
        <f t="shared" si="218"/>
        <v>0</v>
      </c>
      <c r="L1277" s="60">
        <f t="shared" si="218"/>
        <v>0</v>
      </c>
      <c r="M1277" s="60">
        <f t="shared" si="218"/>
        <v>1553.69</v>
      </c>
      <c r="N1277" s="60">
        <f t="shared" si="218"/>
        <v>10096303</v>
      </c>
      <c r="O1277" s="60">
        <f t="shared" si="218"/>
        <v>0</v>
      </c>
      <c r="P1277" s="60">
        <f t="shared" si="218"/>
        <v>0</v>
      </c>
      <c r="Q1277" s="60">
        <f t="shared" si="218"/>
        <v>0</v>
      </c>
      <c r="R1277" s="60">
        <f t="shared" si="218"/>
        <v>0</v>
      </c>
      <c r="S1277" s="60">
        <f t="shared" si="218"/>
        <v>0</v>
      </c>
      <c r="T1277" s="60">
        <f t="shared" si="218"/>
        <v>0</v>
      </c>
      <c r="U1277" s="60">
        <f t="shared" si="218"/>
        <v>0</v>
      </c>
      <c r="V1277" s="60">
        <f t="shared" si="218"/>
        <v>0</v>
      </c>
      <c r="W1277" s="60">
        <f t="shared" si="218"/>
        <v>0</v>
      </c>
      <c r="X1277" s="60">
        <f t="shared" si="218"/>
        <v>0</v>
      </c>
      <c r="Y1277" s="60">
        <f t="shared" si="218"/>
        <v>0</v>
      </c>
      <c r="Z1277" s="60">
        <f t="shared" si="218"/>
        <v>0</v>
      </c>
      <c r="AA1277" s="60">
        <f t="shared" si="218"/>
        <v>0</v>
      </c>
      <c r="AB1277" s="60">
        <f t="shared" si="218"/>
        <v>0</v>
      </c>
      <c r="AC1277" s="60">
        <f t="shared" si="218"/>
        <v>116853.26</v>
      </c>
      <c r="AD1277" s="60">
        <f t="shared" si="218"/>
        <v>130071.11</v>
      </c>
      <c r="AE1277" s="60">
        <f t="shared" si="218"/>
        <v>0</v>
      </c>
      <c r="AF1277" s="54" t="s">
        <v>701</v>
      </c>
      <c r="AG1277" s="54" t="s">
        <v>701</v>
      </c>
      <c r="AH1277" s="55" t="s">
        <v>701</v>
      </c>
    </row>
    <row r="1278" spans="1:34" ht="61.5" x14ac:dyDescent="0.85">
      <c r="A1278" s="7">
        <v>1</v>
      </c>
      <c r="B1278" s="59">
        <f>SUBTOTAL(103,$A$1032:A1278)</f>
        <v>235</v>
      </c>
      <c r="C1278" s="160" t="s">
        <v>638</v>
      </c>
      <c r="D1278" s="60">
        <f>E1278+F1278+G1278+H1278+I1278+J1278+L1278+N1278+P1278+R1278+T1278+U1278+V1278+W1278+X1278+Y1278+Z1278+AA1278+AB1278+AC1278+AD1278+AE1278</f>
        <v>5346762.28</v>
      </c>
      <c r="E1278" s="60">
        <v>0</v>
      </c>
      <c r="F1278" s="60">
        <v>0</v>
      </c>
      <c r="G1278" s="60">
        <v>0</v>
      </c>
      <c r="H1278" s="60">
        <v>0</v>
      </c>
      <c r="I1278" s="60">
        <v>0</v>
      </c>
      <c r="J1278" s="60">
        <v>0</v>
      </c>
      <c r="K1278" s="168">
        <v>0</v>
      </c>
      <c r="L1278" s="60">
        <v>0</v>
      </c>
      <c r="M1278" s="60">
        <v>799.33</v>
      </c>
      <c r="N1278" s="60">
        <v>5162010</v>
      </c>
      <c r="O1278" s="60">
        <v>0</v>
      </c>
      <c r="P1278" s="60">
        <v>0</v>
      </c>
      <c r="Q1278" s="60">
        <v>0</v>
      </c>
      <c r="R1278" s="60">
        <v>0</v>
      </c>
      <c r="S1278" s="60">
        <v>0</v>
      </c>
      <c r="T1278" s="60">
        <v>0</v>
      </c>
      <c r="U1278" s="60">
        <v>0</v>
      </c>
      <c r="V1278" s="60">
        <v>0</v>
      </c>
      <c r="W1278" s="60">
        <v>0</v>
      </c>
      <c r="X1278" s="60">
        <v>0</v>
      </c>
      <c r="Y1278" s="60">
        <v>0</v>
      </c>
      <c r="Z1278" s="60">
        <v>0</v>
      </c>
      <c r="AA1278" s="60">
        <v>0</v>
      </c>
      <c r="AB1278" s="60">
        <v>0</v>
      </c>
      <c r="AC1278" s="60">
        <f>ROUND(N1278*1.0593%,2)+ROUND(E1278*1.0593%,2)+ROUND(F1278*1.0593%,2)+ROUND(G1278*1.0593%,2)+ROUND(H1278*1.0593%,2)+ROUND(I1278*1.0593%,2)+ROUND(J1278*1.0593%,2)+ROUND(L1278*1.0593%,2)+ROUND(P1278*1.0593%,2)+ROUND(R1278*1.0593%,2)+ROUND(T1278*1.0593%,2)+ROUND(U1278*1.0593%,2)+ROUND(V1278*1.0593%,2)+ROUND(W1278*1.0593%,2)+ROUND(X1278*1.0593%,2)+ROUND(Y1278*1.0593%,2)+ROUND(Z1278*1.0593%,2)+ROUND(AA1278*1.0593%,2)+ROUND(AB1278*1.0593%,2)</f>
        <v>54681.17</v>
      </c>
      <c r="AD1278" s="60">
        <v>130071.11</v>
      </c>
      <c r="AE1278" s="60">
        <v>0</v>
      </c>
      <c r="AF1278" s="170">
        <v>2022</v>
      </c>
      <c r="AG1278" s="170">
        <v>2022</v>
      </c>
      <c r="AH1278" s="63">
        <v>2022</v>
      </c>
    </row>
    <row r="1279" spans="1:34" ht="61.5" x14ac:dyDescent="0.85">
      <c r="A1279" s="7">
        <v>1</v>
      </c>
      <c r="B1279" s="59">
        <f>SUBTOTAL(103,$A$1032:A1279)</f>
        <v>236</v>
      </c>
      <c r="C1279" s="186" t="s">
        <v>630</v>
      </c>
      <c r="D1279" s="60">
        <f>E1279+F1279+G1279+H1279+I1279+J1279+L1279+N1279+P1279+R1279+T1279+U1279+V1279+W1279+X1279+Y1279+Z1279+AA1279+AB1279+AC1279+AD1279+AE1279</f>
        <v>4996465.09</v>
      </c>
      <c r="E1279" s="60">
        <v>0</v>
      </c>
      <c r="F1279" s="60">
        <v>0</v>
      </c>
      <c r="G1279" s="60">
        <v>0</v>
      </c>
      <c r="H1279" s="60">
        <v>0</v>
      </c>
      <c r="I1279" s="60">
        <v>0</v>
      </c>
      <c r="J1279" s="60">
        <v>0</v>
      </c>
      <c r="K1279" s="168">
        <v>0</v>
      </c>
      <c r="L1279" s="60">
        <v>0</v>
      </c>
      <c r="M1279" s="60">
        <v>754.36</v>
      </c>
      <c r="N1279" s="205">
        <v>4934293</v>
      </c>
      <c r="O1279" s="60">
        <v>0</v>
      </c>
      <c r="P1279" s="60">
        <v>0</v>
      </c>
      <c r="Q1279" s="60">
        <v>0</v>
      </c>
      <c r="R1279" s="60">
        <v>0</v>
      </c>
      <c r="S1279" s="60">
        <v>0</v>
      </c>
      <c r="T1279" s="60">
        <v>0</v>
      </c>
      <c r="U1279" s="60">
        <v>0</v>
      </c>
      <c r="V1279" s="60">
        <v>0</v>
      </c>
      <c r="W1279" s="60">
        <v>0</v>
      </c>
      <c r="X1279" s="60">
        <v>0</v>
      </c>
      <c r="Y1279" s="60">
        <v>0</v>
      </c>
      <c r="Z1279" s="60">
        <v>0</v>
      </c>
      <c r="AA1279" s="60">
        <v>0</v>
      </c>
      <c r="AB1279" s="60">
        <v>0</v>
      </c>
      <c r="AC1279" s="60">
        <v>62172.09</v>
      </c>
      <c r="AD1279" s="60">
        <v>0</v>
      </c>
      <c r="AE1279" s="60">
        <v>0</v>
      </c>
      <c r="AF1279" s="170" t="s">
        <v>257</v>
      </c>
      <c r="AG1279" s="170">
        <v>2022</v>
      </c>
      <c r="AH1279" s="63">
        <v>2022</v>
      </c>
    </row>
    <row r="1280" spans="1:34" ht="61.5" x14ac:dyDescent="0.85">
      <c r="B1280" s="160" t="s">
        <v>768</v>
      </c>
      <c r="C1280" s="160"/>
      <c r="D1280" s="177">
        <f>SUM(D1281:D1292)</f>
        <v>66278905.200000003</v>
      </c>
      <c r="E1280" s="60">
        <f t="shared" ref="E1280:AE1280" si="219">SUM(E1281:E1292)</f>
        <v>0</v>
      </c>
      <c r="F1280" s="60">
        <f t="shared" si="219"/>
        <v>0</v>
      </c>
      <c r="G1280" s="60">
        <f t="shared" si="219"/>
        <v>0</v>
      </c>
      <c r="H1280" s="60">
        <f t="shared" si="219"/>
        <v>0</v>
      </c>
      <c r="I1280" s="60">
        <f t="shared" si="219"/>
        <v>0</v>
      </c>
      <c r="J1280" s="60">
        <f t="shared" si="219"/>
        <v>0</v>
      </c>
      <c r="K1280" s="168">
        <f t="shared" si="219"/>
        <v>4</v>
      </c>
      <c r="L1280" s="60">
        <f t="shared" si="219"/>
        <v>11501390.4</v>
      </c>
      <c r="M1280" s="60">
        <f t="shared" si="219"/>
        <v>7404.42</v>
      </c>
      <c r="N1280" s="60">
        <f t="shared" si="219"/>
        <v>53664462.600000001</v>
      </c>
      <c r="O1280" s="60">
        <f t="shared" si="219"/>
        <v>0</v>
      </c>
      <c r="P1280" s="60">
        <f t="shared" si="219"/>
        <v>0</v>
      </c>
      <c r="Q1280" s="60">
        <f t="shared" si="219"/>
        <v>0</v>
      </c>
      <c r="R1280" s="60">
        <f t="shared" si="219"/>
        <v>0</v>
      </c>
      <c r="S1280" s="60">
        <f t="shared" si="219"/>
        <v>0</v>
      </c>
      <c r="T1280" s="60">
        <f t="shared" si="219"/>
        <v>0</v>
      </c>
      <c r="U1280" s="60">
        <f t="shared" si="219"/>
        <v>0</v>
      </c>
      <c r="V1280" s="60">
        <f t="shared" si="219"/>
        <v>0</v>
      </c>
      <c r="W1280" s="60">
        <f t="shared" si="219"/>
        <v>0</v>
      </c>
      <c r="X1280" s="60">
        <f t="shared" si="219"/>
        <v>0</v>
      </c>
      <c r="Y1280" s="60">
        <f t="shared" si="219"/>
        <v>0</v>
      </c>
      <c r="Z1280" s="60">
        <f t="shared" si="219"/>
        <v>0</v>
      </c>
      <c r="AA1280" s="60">
        <f t="shared" si="219"/>
        <v>0</v>
      </c>
      <c r="AB1280" s="60">
        <f t="shared" si="219"/>
        <v>0</v>
      </c>
      <c r="AC1280" s="60">
        <f t="shared" si="219"/>
        <v>621151.1399999999</v>
      </c>
      <c r="AD1280" s="60">
        <f t="shared" si="219"/>
        <v>491901.06000000006</v>
      </c>
      <c r="AE1280" s="60">
        <f t="shared" si="219"/>
        <v>0</v>
      </c>
      <c r="AF1280" s="54" t="s">
        <v>701</v>
      </c>
      <c r="AG1280" s="54" t="s">
        <v>701</v>
      </c>
      <c r="AH1280" s="55" t="s">
        <v>701</v>
      </c>
    </row>
    <row r="1281" spans="1:16199" ht="61.5" x14ac:dyDescent="0.85">
      <c r="A1281" s="7">
        <v>1</v>
      </c>
      <c r="B1281" s="59">
        <f>SUBTOTAL(103,$A$1032:A1281)</f>
        <v>237</v>
      </c>
      <c r="C1281" s="186" t="s">
        <v>613</v>
      </c>
      <c r="D1281" s="60">
        <f t="shared" ref="D1281:D1287" si="220">E1281+F1281+G1281+H1281+I1281+J1281+L1281+N1281+P1281+R1281+T1281+U1281+V1281+W1281+X1281+Y1281+Z1281+AA1281+AB1281+AC1281+AD1281+AE1281</f>
        <v>2632371.0700000003</v>
      </c>
      <c r="E1281" s="60">
        <v>0</v>
      </c>
      <c r="F1281" s="60">
        <v>0</v>
      </c>
      <c r="G1281" s="60">
        <v>0</v>
      </c>
      <c r="H1281" s="60">
        <v>0</v>
      </c>
      <c r="I1281" s="60">
        <v>0</v>
      </c>
      <c r="J1281" s="60">
        <v>0</v>
      </c>
      <c r="K1281" s="168">
        <v>0</v>
      </c>
      <c r="L1281" s="60">
        <v>0</v>
      </c>
      <c r="M1281" s="60">
        <v>271</v>
      </c>
      <c r="N1281" s="205">
        <v>2565064</v>
      </c>
      <c r="O1281" s="60">
        <v>0</v>
      </c>
      <c r="P1281" s="60">
        <v>0</v>
      </c>
      <c r="Q1281" s="60">
        <v>0</v>
      </c>
      <c r="R1281" s="60">
        <v>0</v>
      </c>
      <c r="S1281" s="60">
        <v>0</v>
      </c>
      <c r="T1281" s="60">
        <v>0</v>
      </c>
      <c r="U1281" s="60">
        <v>0</v>
      </c>
      <c r="V1281" s="60">
        <v>0</v>
      </c>
      <c r="W1281" s="60">
        <v>0</v>
      </c>
      <c r="X1281" s="60">
        <v>0</v>
      </c>
      <c r="Y1281" s="60">
        <v>0</v>
      </c>
      <c r="Z1281" s="60">
        <v>0</v>
      </c>
      <c r="AA1281" s="60">
        <v>0</v>
      </c>
      <c r="AB1281" s="60">
        <v>0</v>
      </c>
      <c r="AC1281" s="60">
        <f t="shared" ref="AC1281:AC1287" si="221">ROUND(N1281*1.0593%,2)+ROUND(E1281*1.0593%,2)+ROUND(F1281*1.0593%,2)+ROUND(G1281*1.0593%,2)+ROUND(H1281*1.0593%,2)+ROUND(I1281*1.0593%,2)+ROUND(J1281*1.0593%,2)+ROUND(L1281*1.0593%,2)+ROUND(P1281*1.0593%,2)+ROUND(R1281*1.0593%,2)+ROUND(T1281*1.0593%,2)+ROUND(U1281*1.0593%,2)+ROUND(V1281*1.0593%,2)+ROUND(W1281*1.0593%,2)+ROUND(X1281*1.0593%,2)+ROUND(Y1281*1.0593%,2)+ROUND(Z1281*1.0593%,2)+ROUND(AA1281*1.0593%,2)+ROUND(AB1281*1.0593%,2)</f>
        <v>27171.72</v>
      </c>
      <c r="AD1281" s="60">
        <v>40135.35</v>
      </c>
      <c r="AE1281" s="60">
        <v>0</v>
      </c>
      <c r="AF1281" s="170">
        <v>2022</v>
      </c>
      <c r="AG1281" s="170">
        <v>2022</v>
      </c>
      <c r="AH1281" s="63">
        <v>2022</v>
      </c>
    </row>
    <row r="1282" spans="1:16199" ht="61.5" x14ac:dyDescent="0.85">
      <c r="A1282" s="7">
        <v>1</v>
      </c>
      <c r="B1282" s="59">
        <f>SUBTOTAL(103,$A$1032:A1282)</f>
        <v>238</v>
      </c>
      <c r="C1282" s="186" t="s">
        <v>614</v>
      </c>
      <c r="D1282" s="60">
        <f t="shared" si="220"/>
        <v>4578482.49</v>
      </c>
      <c r="E1282" s="60">
        <v>0</v>
      </c>
      <c r="F1282" s="60">
        <v>0</v>
      </c>
      <c r="G1282" s="60">
        <v>0</v>
      </c>
      <c r="H1282" s="60">
        <v>0</v>
      </c>
      <c r="I1282" s="60">
        <v>0</v>
      </c>
      <c r="J1282" s="60">
        <v>0</v>
      </c>
      <c r="K1282" s="168">
        <v>0</v>
      </c>
      <c r="L1282" s="60">
        <v>0</v>
      </c>
      <c r="M1282" s="60">
        <v>812.67</v>
      </c>
      <c r="N1282" s="60">
        <v>4530491</v>
      </c>
      <c r="O1282" s="60">
        <v>0</v>
      </c>
      <c r="P1282" s="60">
        <v>0</v>
      </c>
      <c r="Q1282" s="60">
        <v>0</v>
      </c>
      <c r="R1282" s="60">
        <v>0</v>
      </c>
      <c r="S1282" s="60">
        <v>0</v>
      </c>
      <c r="T1282" s="60">
        <v>0</v>
      </c>
      <c r="U1282" s="60">
        <v>0</v>
      </c>
      <c r="V1282" s="60">
        <v>0</v>
      </c>
      <c r="W1282" s="60">
        <v>0</v>
      </c>
      <c r="X1282" s="60">
        <v>0</v>
      </c>
      <c r="Y1282" s="60">
        <v>0</v>
      </c>
      <c r="Z1282" s="60">
        <v>0</v>
      </c>
      <c r="AA1282" s="60">
        <v>0</v>
      </c>
      <c r="AB1282" s="60">
        <v>0</v>
      </c>
      <c r="AC1282" s="60">
        <f t="shared" si="221"/>
        <v>47991.49</v>
      </c>
      <c r="AD1282" s="60">
        <v>0</v>
      </c>
      <c r="AE1282" s="60">
        <v>0</v>
      </c>
      <c r="AF1282" s="170" t="s">
        <v>257</v>
      </c>
      <c r="AG1282" s="170">
        <v>2022</v>
      </c>
      <c r="AH1282" s="63">
        <v>2022</v>
      </c>
    </row>
    <row r="1283" spans="1:16199" ht="61.5" x14ac:dyDescent="0.85">
      <c r="A1283" s="7">
        <v>1</v>
      </c>
      <c r="B1283" s="59">
        <f>SUBTOTAL(103,$A$1032:A1283)</f>
        <v>239</v>
      </c>
      <c r="C1283" s="186" t="s">
        <v>2132</v>
      </c>
      <c r="D1283" s="60">
        <f t="shared" si="220"/>
        <v>72611.94</v>
      </c>
      <c r="E1283" s="60">
        <v>0</v>
      </c>
      <c r="F1283" s="60">
        <v>0</v>
      </c>
      <c r="G1283" s="60">
        <v>0</v>
      </c>
      <c r="H1283" s="60">
        <v>0</v>
      </c>
      <c r="I1283" s="60">
        <v>0</v>
      </c>
      <c r="J1283" s="60">
        <v>0</v>
      </c>
      <c r="K1283" s="168">
        <v>0</v>
      </c>
      <c r="L1283" s="60">
        <v>0</v>
      </c>
      <c r="M1283" s="60">
        <v>0</v>
      </c>
      <c r="N1283" s="205">
        <v>0</v>
      </c>
      <c r="O1283" s="60">
        <v>0</v>
      </c>
      <c r="P1283" s="60">
        <v>0</v>
      </c>
      <c r="Q1283" s="60">
        <v>0</v>
      </c>
      <c r="R1283" s="60">
        <v>0</v>
      </c>
      <c r="S1283" s="60">
        <v>0</v>
      </c>
      <c r="T1283" s="60">
        <v>0</v>
      </c>
      <c r="U1283" s="60">
        <v>0</v>
      </c>
      <c r="V1283" s="60">
        <v>0</v>
      </c>
      <c r="W1283" s="60">
        <v>0</v>
      </c>
      <c r="X1283" s="60">
        <v>0</v>
      </c>
      <c r="Y1283" s="60">
        <v>0</v>
      </c>
      <c r="Z1283" s="60">
        <v>0</v>
      </c>
      <c r="AA1283" s="60">
        <v>0</v>
      </c>
      <c r="AB1283" s="60">
        <v>0</v>
      </c>
      <c r="AC1283" s="60">
        <f t="shared" si="221"/>
        <v>0</v>
      </c>
      <c r="AD1283" s="60">
        <v>72611.94</v>
      </c>
      <c r="AE1283" s="60">
        <v>0</v>
      </c>
      <c r="AF1283" s="170">
        <v>2022</v>
      </c>
      <c r="AG1283" s="170" t="s">
        <v>257</v>
      </c>
      <c r="AH1283" s="63" t="s">
        <v>257</v>
      </c>
    </row>
    <row r="1284" spans="1:16199" ht="61.5" x14ac:dyDescent="0.85">
      <c r="A1284" s="7">
        <v>1</v>
      </c>
      <c r="B1284" s="59">
        <f>SUBTOTAL(103,$A$1032:A1284)</f>
        <v>240</v>
      </c>
      <c r="C1284" s="186" t="s">
        <v>622</v>
      </c>
      <c r="D1284" s="60">
        <f t="shared" si="220"/>
        <v>5436164.6900000004</v>
      </c>
      <c r="E1284" s="60">
        <v>0</v>
      </c>
      <c r="F1284" s="60">
        <v>0</v>
      </c>
      <c r="G1284" s="60">
        <v>0</v>
      </c>
      <c r="H1284" s="60">
        <v>0</v>
      </c>
      <c r="I1284" s="60">
        <v>0</v>
      </c>
      <c r="J1284" s="60">
        <v>0</v>
      </c>
      <c r="K1284" s="168">
        <v>0</v>
      </c>
      <c r="L1284" s="60">
        <v>0</v>
      </c>
      <c r="M1284" s="60">
        <v>821.7</v>
      </c>
      <c r="N1284" s="60">
        <v>5379183</v>
      </c>
      <c r="O1284" s="60">
        <v>0</v>
      </c>
      <c r="P1284" s="60">
        <v>0</v>
      </c>
      <c r="Q1284" s="60">
        <v>0</v>
      </c>
      <c r="R1284" s="60">
        <v>0</v>
      </c>
      <c r="S1284" s="60">
        <v>0</v>
      </c>
      <c r="T1284" s="60">
        <v>0</v>
      </c>
      <c r="U1284" s="60">
        <v>0</v>
      </c>
      <c r="V1284" s="60">
        <v>0</v>
      </c>
      <c r="W1284" s="60">
        <v>0</v>
      </c>
      <c r="X1284" s="60">
        <v>0</v>
      </c>
      <c r="Y1284" s="60">
        <v>0</v>
      </c>
      <c r="Z1284" s="60">
        <v>0</v>
      </c>
      <c r="AA1284" s="60">
        <v>0</v>
      </c>
      <c r="AB1284" s="60">
        <v>0</v>
      </c>
      <c r="AC1284" s="60">
        <v>56981.69</v>
      </c>
      <c r="AD1284" s="60">
        <v>0</v>
      </c>
      <c r="AE1284" s="60">
        <v>0</v>
      </c>
      <c r="AF1284" s="170" t="s">
        <v>257</v>
      </c>
      <c r="AG1284" s="170">
        <v>2022</v>
      </c>
      <c r="AH1284" s="63">
        <v>2022</v>
      </c>
    </row>
    <row r="1285" spans="1:16199" s="66" customFormat="1" ht="61.5" x14ac:dyDescent="0.85">
      <c r="A1285" s="7">
        <v>1</v>
      </c>
      <c r="B1285" s="59">
        <f>SUBTOTAL(103,$A$1032:A1285)</f>
        <v>241</v>
      </c>
      <c r="C1285" s="195" t="s">
        <v>2686</v>
      </c>
      <c r="D1285" s="60">
        <f t="shared" si="220"/>
        <v>7319523.4100000001</v>
      </c>
      <c r="E1285" s="206">
        <v>0</v>
      </c>
      <c r="F1285" s="206">
        <v>0</v>
      </c>
      <c r="G1285" s="206">
        <v>0</v>
      </c>
      <c r="H1285" s="206">
        <v>0</v>
      </c>
      <c r="I1285" s="206">
        <v>0</v>
      </c>
      <c r="J1285" s="206">
        <v>0</v>
      </c>
      <c r="K1285" s="168">
        <v>0</v>
      </c>
      <c r="L1285" s="173">
        <v>0</v>
      </c>
      <c r="M1285" s="60">
        <v>825.72</v>
      </c>
      <c r="N1285" s="60">
        <v>7151867.5999999996</v>
      </c>
      <c r="O1285" s="173">
        <v>0</v>
      </c>
      <c r="P1285" s="173">
        <v>0</v>
      </c>
      <c r="Q1285" s="173">
        <v>0</v>
      </c>
      <c r="R1285" s="173">
        <v>0</v>
      </c>
      <c r="S1285" s="60">
        <v>0</v>
      </c>
      <c r="T1285" s="60">
        <v>0</v>
      </c>
      <c r="U1285" s="173">
        <v>0</v>
      </c>
      <c r="V1285" s="173">
        <v>0</v>
      </c>
      <c r="W1285" s="173">
        <v>0</v>
      </c>
      <c r="X1285" s="173">
        <v>0</v>
      </c>
      <c r="Y1285" s="173">
        <v>0</v>
      </c>
      <c r="Z1285" s="173">
        <v>0</v>
      </c>
      <c r="AA1285" s="173">
        <v>0</v>
      </c>
      <c r="AB1285" s="173">
        <v>0</v>
      </c>
      <c r="AC1285" s="60">
        <f t="shared" si="221"/>
        <v>75759.73</v>
      </c>
      <c r="AD1285" s="60">
        <v>91896.08</v>
      </c>
      <c r="AE1285" s="173">
        <v>0</v>
      </c>
      <c r="AF1285" s="170">
        <v>2022</v>
      </c>
      <c r="AG1285" s="170">
        <v>2022</v>
      </c>
      <c r="AH1285" s="63">
        <v>2022</v>
      </c>
    </row>
    <row r="1286" spans="1:16199" ht="61.5" x14ac:dyDescent="0.85">
      <c r="A1286" s="7">
        <v>1</v>
      </c>
      <c r="B1286" s="59">
        <f>SUBTOTAL(103,$A$1032:A1286)</f>
        <v>242</v>
      </c>
      <c r="C1286" s="186" t="s">
        <v>1812</v>
      </c>
      <c r="D1286" s="60">
        <f t="shared" si="220"/>
        <v>2677591.7400000002</v>
      </c>
      <c r="E1286" s="60">
        <v>0</v>
      </c>
      <c r="F1286" s="60">
        <v>0</v>
      </c>
      <c r="G1286" s="60">
        <v>0</v>
      </c>
      <c r="H1286" s="60">
        <v>0</v>
      </c>
      <c r="I1286" s="60">
        <v>0</v>
      </c>
      <c r="J1286" s="60">
        <v>0</v>
      </c>
      <c r="K1286" s="168">
        <v>0</v>
      </c>
      <c r="L1286" s="60">
        <v>0</v>
      </c>
      <c r="M1286" s="60">
        <v>284.2</v>
      </c>
      <c r="N1286" s="205">
        <v>2600174</v>
      </c>
      <c r="O1286" s="60">
        <v>0</v>
      </c>
      <c r="P1286" s="60">
        <v>0</v>
      </c>
      <c r="Q1286" s="60">
        <v>0</v>
      </c>
      <c r="R1286" s="60">
        <v>0</v>
      </c>
      <c r="S1286" s="60">
        <v>0</v>
      </c>
      <c r="T1286" s="60">
        <v>0</v>
      </c>
      <c r="U1286" s="60">
        <v>0</v>
      </c>
      <c r="V1286" s="60">
        <v>0</v>
      </c>
      <c r="W1286" s="60">
        <v>0</v>
      </c>
      <c r="X1286" s="60">
        <v>0</v>
      </c>
      <c r="Y1286" s="60">
        <v>0</v>
      </c>
      <c r="Z1286" s="60">
        <v>0</v>
      </c>
      <c r="AA1286" s="60">
        <v>0</v>
      </c>
      <c r="AB1286" s="60">
        <v>0</v>
      </c>
      <c r="AC1286" s="60">
        <f t="shared" si="221"/>
        <v>27543.64</v>
      </c>
      <c r="AD1286" s="60">
        <v>49874.1</v>
      </c>
      <c r="AE1286" s="60">
        <v>0</v>
      </c>
      <c r="AF1286" s="170">
        <v>2022</v>
      </c>
      <c r="AG1286" s="170">
        <v>2022</v>
      </c>
      <c r="AH1286" s="63">
        <v>2022</v>
      </c>
    </row>
    <row r="1287" spans="1:16199" ht="61.5" x14ac:dyDescent="0.85">
      <c r="A1287" s="7">
        <v>1</v>
      </c>
      <c r="B1287" s="59">
        <f>SUBTOTAL(103,$A$1032:A1287)</f>
        <v>243</v>
      </c>
      <c r="C1287" s="160" t="s">
        <v>2293</v>
      </c>
      <c r="D1287" s="60">
        <f t="shared" si="220"/>
        <v>5242761.4400000004</v>
      </c>
      <c r="E1287" s="180">
        <v>0</v>
      </c>
      <c r="F1287" s="180">
        <v>0</v>
      </c>
      <c r="G1287" s="180">
        <v>0</v>
      </c>
      <c r="H1287" s="180">
        <v>0</v>
      </c>
      <c r="I1287" s="180">
        <v>0</v>
      </c>
      <c r="J1287" s="180">
        <v>0</v>
      </c>
      <c r="K1287" s="168">
        <v>0</v>
      </c>
      <c r="L1287" s="60">
        <v>0</v>
      </c>
      <c r="M1287" s="60">
        <v>887.84</v>
      </c>
      <c r="N1287" s="60">
        <v>5187807</v>
      </c>
      <c r="O1287" s="60">
        <v>0</v>
      </c>
      <c r="P1287" s="60">
        <v>0</v>
      </c>
      <c r="Q1287" s="60">
        <v>0</v>
      </c>
      <c r="R1287" s="60">
        <v>0</v>
      </c>
      <c r="S1287" s="60">
        <v>0</v>
      </c>
      <c r="T1287" s="60">
        <v>0</v>
      </c>
      <c r="U1287" s="60">
        <v>0</v>
      </c>
      <c r="V1287" s="60">
        <v>0</v>
      </c>
      <c r="W1287" s="60">
        <v>0</v>
      </c>
      <c r="X1287" s="60">
        <v>0</v>
      </c>
      <c r="Y1287" s="60">
        <v>0</v>
      </c>
      <c r="Z1287" s="60">
        <v>0</v>
      </c>
      <c r="AA1287" s="60">
        <v>0</v>
      </c>
      <c r="AB1287" s="60">
        <v>0</v>
      </c>
      <c r="AC1287" s="60">
        <f t="shared" si="221"/>
        <v>54954.44</v>
      </c>
      <c r="AD1287" s="60">
        <v>0</v>
      </c>
      <c r="AE1287" s="60">
        <v>0</v>
      </c>
      <c r="AF1287" s="170" t="s">
        <v>257</v>
      </c>
      <c r="AG1287" s="170">
        <v>2022</v>
      </c>
      <c r="AH1287" s="63">
        <v>2022</v>
      </c>
    </row>
    <row r="1288" spans="1:16199" ht="61.5" x14ac:dyDescent="0.85">
      <c r="A1288" s="7">
        <v>1</v>
      </c>
      <c r="B1288" s="59">
        <f>SUBTOTAL(103,$A$1032:A1288)</f>
        <v>244</v>
      </c>
      <c r="C1288" s="160" t="s">
        <v>2162</v>
      </c>
      <c r="D1288" s="60">
        <f>E1288+F1288+G1288+H1288+I1288+J1288+L1288+N1288+P1288+R1288+T1288+U1288+V1288+W1288+X1288+Y1288+Z1288+AA1288+AB1288+AC1288+AD1288+AE1288</f>
        <v>5756049.7299999995</v>
      </c>
      <c r="E1288" s="180">
        <v>0</v>
      </c>
      <c r="F1288" s="180">
        <v>0</v>
      </c>
      <c r="G1288" s="180">
        <v>0</v>
      </c>
      <c r="H1288" s="180">
        <v>0</v>
      </c>
      <c r="I1288" s="180">
        <v>0</v>
      </c>
      <c r="J1288" s="180">
        <v>0</v>
      </c>
      <c r="K1288" s="168">
        <v>0</v>
      </c>
      <c r="L1288" s="60">
        <v>0</v>
      </c>
      <c r="M1288" s="60">
        <v>811</v>
      </c>
      <c r="N1288" s="60">
        <v>5589478</v>
      </c>
      <c r="O1288" s="60">
        <v>0</v>
      </c>
      <c r="P1288" s="60">
        <v>0</v>
      </c>
      <c r="Q1288" s="60">
        <v>0</v>
      </c>
      <c r="R1288" s="60">
        <v>0</v>
      </c>
      <c r="S1288" s="60">
        <v>0</v>
      </c>
      <c r="T1288" s="60">
        <v>0</v>
      </c>
      <c r="U1288" s="60">
        <v>0</v>
      </c>
      <c r="V1288" s="60">
        <v>0</v>
      </c>
      <c r="W1288" s="60">
        <v>0</v>
      </c>
      <c r="X1288" s="60">
        <v>0</v>
      </c>
      <c r="Y1288" s="60">
        <v>0</v>
      </c>
      <c r="Z1288" s="60">
        <v>0</v>
      </c>
      <c r="AA1288" s="60">
        <v>0</v>
      </c>
      <c r="AB1288" s="60">
        <v>0</v>
      </c>
      <c r="AC1288" s="60">
        <v>70427.42</v>
      </c>
      <c r="AD1288" s="60">
        <v>96144.31</v>
      </c>
      <c r="AE1288" s="60">
        <v>0</v>
      </c>
      <c r="AF1288" s="170">
        <v>2022</v>
      </c>
      <c r="AG1288" s="170">
        <v>2022</v>
      </c>
      <c r="AH1288" s="63">
        <v>2022</v>
      </c>
    </row>
    <row r="1289" spans="1:16199" ht="61.5" x14ac:dyDescent="0.85">
      <c r="A1289" s="7">
        <v>1</v>
      </c>
      <c r="B1289" s="59">
        <f>SUBTOTAL(103,$A$1032:A1289)</f>
        <v>245</v>
      </c>
      <c r="C1289" s="195" t="s">
        <v>1811</v>
      </c>
      <c r="D1289" s="60">
        <f>E1289+F1289+G1289+H1289+I1289+J1289+L1289+N1289+P1289+R1289+T1289+U1289+V1289+W1289+X1289+Y1289+Z1289+AA1289+AB1289+AC1289+AD1289+AE1289</f>
        <v>3104991.07</v>
      </c>
      <c r="E1289" s="198">
        <v>0</v>
      </c>
      <c r="F1289" s="198">
        <v>0</v>
      </c>
      <c r="G1289" s="198">
        <v>0</v>
      </c>
      <c r="H1289" s="198">
        <v>0</v>
      </c>
      <c r="I1289" s="198">
        <v>0</v>
      </c>
      <c r="J1289" s="198">
        <v>0</v>
      </c>
      <c r="K1289" s="168">
        <v>0</v>
      </c>
      <c r="L1289" s="173">
        <v>0</v>
      </c>
      <c r="M1289" s="60">
        <v>460</v>
      </c>
      <c r="N1289" s="60">
        <v>3066355</v>
      </c>
      <c r="O1289" s="173">
        <v>0</v>
      </c>
      <c r="P1289" s="173">
        <v>0</v>
      </c>
      <c r="Q1289" s="173">
        <v>0</v>
      </c>
      <c r="R1289" s="173">
        <v>0</v>
      </c>
      <c r="S1289" s="173">
        <v>0</v>
      </c>
      <c r="T1289" s="173">
        <v>0</v>
      </c>
      <c r="U1289" s="173">
        <v>0</v>
      </c>
      <c r="V1289" s="173">
        <v>0</v>
      </c>
      <c r="W1289" s="173">
        <v>0</v>
      </c>
      <c r="X1289" s="173">
        <v>0</v>
      </c>
      <c r="Y1289" s="173">
        <v>0</v>
      </c>
      <c r="Z1289" s="173">
        <v>0</v>
      </c>
      <c r="AA1289" s="173">
        <v>0</v>
      </c>
      <c r="AB1289" s="173">
        <v>0</v>
      </c>
      <c r="AC1289" s="60">
        <v>38636.07</v>
      </c>
      <c r="AD1289" s="60">
        <v>0</v>
      </c>
      <c r="AE1289" s="173">
        <v>0</v>
      </c>
      <c r="AF1289" s="170" t="s">
        <v>257</v>
      </c>
      <c r="AG1289" s="170">
        <v>2022</v>
      </c>
      <c r="AH1289" s="63">
        <v>2022</v>
      </c>
      <c r="AI1289" s="66"/>
      <c r="AJ1289" s="66"/>
      <c r="AK1289" s="66"/>
      <c r="AL1289" s="66"/>
      <c r="AM1289" s="66"/>
      <c r="AN1289" s="66"/>
      <c r="AO1289" s="66"/>
      <c r="AP1289" s="66"/>
      <c r="AQ1289" s="66"/>
      <c r="AR1289" s="66"/>
      <c r="AS1289" s="66"/>
      <c r="AT1289" s="66"/>
      <c r="AU1289" s="66"/>
      <c r="AV1289" s="66"/>
      <c r="AW1289" s="66"/>
      <c r="AX1289" s="66"/>
      <c r="AY1289" s="66"/>
      <c r="AZ1289" s="66"/>
      <c r="BA1289" s="66"/>
      <c r="BB1289" s="66"/>
      <c r="BC1289" s="66"/>
      <c r="BD1289" s="66"/>
      <c r="BE1289" s="66"/>
      <c r="BF1289" s="66"/>
      <c r="BG1289" s="66"/>
      <c r="BH1289" s="66"/>
      <c r="BI1289" s="66"/>
      <c r="BJ1289" s="66"/>
      <c r="BK1289" s="66"/>
      <c r="BL1289" s="66"/>
      <c r="BM1289" s="66"/>
      <c r="BN1289" s="66"/>
      <c r="BO1289" s="66"/>
      <c r="BP1289" s="66"/>
      <c r="BQ1289" s="66"/>
      <c r="BR1289" s="66"/>
      <c r="BS1289" s="66"/>
      <c r="BT1289" s="66"/>
      <c r="BU1289" s="66"/>
      <c r="BV1289" s="66"/>
      <c r="BW1289" s="66"/>
      <c r="BX1289" s="66"/>
      <c r="BY1289" s="66"/>
      <c r="BZ1289" s="66"/>
      <c r="CA1289" s="66"/>
      <c r="CB1289" s="66"/>
      <c r="CC1289" s="66"/>
      <c r="CD1289" s="66"/>
      <c r="CE1289" s="66"/>
      <c r="CF1289" s="66"/>
      <c r="CG1289" s="66"/>
      <c r="CH1289" s="66"/>
      <c r="CI1289" s="66"/>
      <c r="CJ1289" s="66"/>
      <c r="CK1289" s="66"/>
      <c r="CL1289" s="66"/>
      <c r="CM1289" s="66"/>
      <c r="CN1289" s="66"/>
      <c r="CO1289" s="66"/>
      <c r="CP1289" s="66"/>
      <c r="CQ1289" s="66"/>
      <c r="CR1289" s="66"/>
      <c r="CS1289" s="66"/>
      <c r="CT1289" s="66"/>
      <c r="CU1289" s="66"/>
      <c r="CV1289" s="66"/>
      <c r="CW1289" s="66"/>
      <c r="CX1289" s="66"/>
      <c r="CY1289" s="66"/>
      <c r="CZ1289" s="66"/>
      <c r="DA1289" s="66"/>
      <c r="DB1289" s="66"/>
      <c r="DC1289" s="66"/>
      <c r="DD1289" s="66"/>
      <c r="DE1289" s="66"/>
      <c r="DF1289" s="66"/>
      <c r="DG1289" s="66"/>
      <c r="DH1289" s="66"/>
      <c r="DI1289" s="66"/>
      <c r="DJ1289" s="66"/>
      <c r="DK1289" s="66"/>
      <c r="DL1289" s="66"/>
      <c r="DM1289" s="66"/>
      <c r="DN1289" s="66"/>
      <c r="DO1289" s="66"/>
      <c r="DP1289" s="66"/>
      <c r="DQ1289" s="66"/>
      <c r="DR1289" s="66"/>
      <c r="DS1289" s="66"/>
      <c r="DT1289" s="66"/>
      <c r="DU1289" s="66"/>
      <c r="DV1289" s="66"/>
      <c r="DW1289" s="66"/>
      <c r="DX1289" s="66"/>
      <c r="DY1289" s="66"/>
      <c r="DZ1289" s="66"/>
      <c r="EA1289" s="66"/>
      <c r="EB1289" s="66"/>
      <c r="EC1289" s="66"/>
      <c r="ED1289" s="66"/>
      <c r="EE1289" s="66"/>
      <c r="EF1289" s="66"/>
      <c r="EG1289" s="66"/>
      <c r="EH1289" s="66"/>
      <c r="EI1289" s="66"/>
      <c r="EJ1289" s="66"/>
      <c r="EK1289" s="66"/>
      <c r="EL1289" s="66"/>
      <c r="EM1289" s="66"/>
      <c r="EN1289" s="66"/>
      <c r="EO1289" s="66"/>
      <c r="EP1289" s="66"/>
      <c r="EQ1289" s="66"/>
      <c r="ER1289" s="66"/>
      <c r="ES1289" s="66"/>
      <c r="ET1289" s="66"/>
      <c r="EU1289" s="66"/>
      <c r="EV1289" s="66"/>
      <c r="EW1289" s="66"/>
      <c r="EX1289" s="66"/>
      <c r="EY1289" s="66"/>
      <c r="EZ1289" s="66"/>
      <c r="FA1289" s="66"/>
      <c r="FB1289" s="66"/>
      <c r="FC1289" s="66"/>
      <c r="FD1289" s="66"/>
      <c r="FE1289" s="66"/>
      <c r="FF1289" s="66"/>
      <c r="FG1289" s="66"/>
      <c r="FH1289" s="66"/>
      <c r="FI1289" s="66"/>
      <c r="FJ1289" s="66"/>
      <c r="FK1289" s="66"/>
      <c r="FL1289" s="66"/>
      <c r="FM1289" s="66"/>
      <c r="FN1289" s="66"/>
      <c r="FO1289" s="66"/>
      <c r="FP1289" s="66"/>
      <c r="FQ1289" s="66"/>
      <c r="FR1289" s="66"/>
      <c r="FS1289" s="66"/>
      <c r="FT1289" s="66"/>
      <c r="FU1289" s="66"/>
      <c r="FV1289" s="66"/>
      <c r="FW1289" s="66"/>
      <c r="FX1289" s="66"/>
      <c r="FY1289" s="66"/>
      <c r="FZ1289" s="66"/>
      <c r="GA1289" s="66"/>
      <c r="GB1289" s="66"/>
      <c r="GC1289" s="66"/>
      <c r="GD1289" s="66"/>
      <c r="GE1289" s="66"/>
      <c r="GF1289" s="66"/>
      <c r="GG1289" s="66"/>
      <c r="GH1289" s="66"/>
      <c r="GI1289" s="66"/>
      <c r="GJ1289" s="66"/>
      <c r="GK1289" s="66"/>
      <c r="GL1289" s="66"/>
      <c r="GM1289" s="66"/>
      <c r="GN1289" s="66"/>
      <c r="GO1289" s="66"/>
      <c r="GP1289" s="66"/>
      <c r="GQ1289" s="66"/>
      <c r="GR1289" s="66"/>
      <c r="GS1289" s="66"/>
      <c r="GT1289" s="66"/>
      <c r="GU1289" s="66"/>
      <c r="GV1289" s="66"/>
      <c r="GW1289" s="66"/>
      <c r="GX1289" s="66"/>
      <c r="GY1289" s="66"/>
      <c r="GZ1289" s="66"/>
      <c r="HA1289" s="66"/>
      <c r="HB1289" s="66"/>
      <c r="HC1289" s="66"/>
      <c r="HD1289" s="66"/>
      <c r="HE1289" s="66"/>
      <c r="HF1289" s="66"/>
      <c r="HG1289" s="66"/>
      <c r="HH1289" s="66"/>
      <c r="HI1289" s="66"/>
      <c r="HJ1289" s="66"/>
      <c r="HK1289" s="66"/>
      <c r="HL1289" s="66"/>
      <c r="HM1289" s="66"/>
      <c r="HN1289" s="66"/>
      <c r="HO1289" s="66"/>
      <c r="HP1289" s="66"/>
      <c r="HQ1289" s="66"/>
      <c r="HR1289" s="66"/>
      <c r="HS1289" s="66"/>
      <c r="HT1289" s="66"/>
      <c r="HU1289" s="66"/>
      <c r="HV1289" s="66"/>
      <c r="HW1289" s="66"/>
      <c r="HX1289" s="66"/>
      <c r="HY1289" s="66"/>
      <c r="HZ1289" s="66"/>
      <c r="IA1289" s="66"/>
      <c r="IB1289" s="66"/>
      <c r="IC1289" s="66"/>
      <c r="ID1289" s="66"/>
      <c r="IE1289" s="66"/>
      <c r="IF1289" s="66"/>
      <c r="IG1289" s="66"/>
      <c r="IH1289" s="66"/>
      <c r="II1289" s="66"/>
      <c r="IJ1289" s="66"/>
      <c r="IK1289" s="66"/>
      <c r="IL1289" s="66"/>
      <c r="IM1289" s="66"/>
      <c r="IN1289" s="66"/>
      <c r="IO1289" s="66"/>
      <c r="IP1289" s="66"/>
      <c r="IQ1289" s="66"/>
      <c r="IR1289" s="66"/>
      <c r="IS1289" s="66"/>
      <c r="IT1289" s="66"/>
      <c r="IU1289" s="66"/>
      <c r="IV1289" s="66"/>
      <c r="IW1289" s="66"/>
      <c r="IX1289" s="66"/>
      <c r="IY1289" s="66"/>
      <c r="IZ1289" s="66"/>
      <c r="JA1289" s="66"/>
      <c r="JB1289" s="66"/>
      <c r="JC1289" s="66"/>
      <c r="JD1289" s="66"/>
      <c r="JE1289" s="66"/>
      <c r="JF1289" s="66"/>
      <c r="JG1289" s="66"/>
      <c r="JH1289" s="66"/>
      <c r="JI1289" s="66"/>
      <c r="JJ1289" s="66"/>
      <c r="JK1289" s="66"/>
      <c r="JL1289" s="66"/>
      <c r="JM1289" s="66"/>
      <c r="JN1289" s="66"/>
      <c r="JO1289" s="66"/>
      <c r="JP1289" s="66"/>
      <c r="JQ1289" s="66"/>
      <c r="JR1289" s="66"/>
      <c r="JS1289" s="66"/>
      <c r="JT1289" s="66"/>
      <c r="JU1289" s="66"/>
      <c r="JV1289" s="66"/>
      <c r="JW1289" s="66"/>
      <c r="JX1289" s="66"/>
      <c r="JY1289" s="66"/>
      <c r="JZ1289" s="66"/>
      <c r="KA1289" s="66"/>
      <c r="KB1289" s="66"/>
      <c r="KC1289" s="66"/>
      <c r="KD1289" s="66"/>
      <c r="KE1289" s="66"/>
      <c r="KF1289" s="66"/>
      <c r="KG1289" s="66"/>
      <c r="KH1289" s="66"/>
      <c r="KI1289" s="66"/>
      <c r="KJ1289" s="66"/>
      <c r="KK1289" s="66"/>
      <c r="KL1289" s="66"/>
      <c r="KM1289" s="66"/>
      <c r="KN1289" s="66"/>
      <c r="KO1289" s="66"/>
      <c r="KP1289" s="66"/>
      <c r="KQ1289" s="66"/>
      <c r="KR1289" s="66"/>
      <c r="KS1289" s="66"/>
      <c r="KT1289" s="66"/>
      <c r="KU1289" s="66"/>
      <c r="KV1289" s="66"/>
      <c r="KW1289" s="66"/>
      <c r="KX1289" s="66"/>
      <c r="KY1289" s="66"/>
      <c r="KZ1289" s="66"/>
      <c r="LA1289" s="66"/>
      <c r="LB1289" s="66"/>
      <c r="LC1289" s="66"/>
      <c r="LD1289" s="66"/>
      <c r="LE1289" s="66"/>
      <c r="LF1289" s="66"/>
      <c r="LG1289" s="66"/>
      <c r="LH1289" s="66"/>
      <c r="LI1289" s="66"/>
      <c r="LJ1289" s="66"/>
      <c r="LK1289" s="66"/>
      <c r="LL1289" s="66"/>
      <c r="LM1289" s="66"/>
      <c r="LN1289" s="66"/>
      <c r="LO1289" s="66"/>
      <c r="LP1289" s="66"/>
      <c r="LQ1289" s="66"/>
      <c r="LR1289" s="66"/>
      <c r="LS1289" s="66"/>
      <c r="LT1289" s="66"/>
      <c r="LU1289" s="66"/>
      <c r="LV1289" s="66"/>
      <c r="LW1289" s="66"/>
      <c r="LX1289" s="66"/>
      <c r="LY1289" s="66"/>
      <c r="LZ1289" s="66"/>
      <c r="MA1289" s="66"/>
      <c r="MB1289" s="66"/>
      <c r="MC1289" s="66"/>
      <c r="MD1289" s="66"/>
      <c r="ME1289" s="66"/>
      <c r="MF1289" s="66"/>
      <c r="MG1289" s="66"/>
      <c r="MH1289" s="66"/>
      <c r="MI1289" s="66"/>
      <c r="MJ1289" s="66"/>
      <c r="MK1289" s="66"/>
      <c r="ML1289" s="66"/>
      <c r="MM1289" s="66"/>
      <c r="MN1289" s="66"/>
      <c r="MO1289" s="66"/>
      <c r="MP1289" s="66"/>
      <c r="MQ1289" s="66"/>
      <c r="MR1289" s="66"/>
      <c r="MS1289" s="66"/>
      <c r="MT1289" s="66"/>
      <c r="MU1289" s="66"/>
      <c r="MV1289" s="66"/>
      <c r="MW1289" s="66"/>
      <c r="MX1289" s="66"/>
      <c r="MY1289" s="66"/>
      <c r="MZ1289" s="66"/>
      <c r="NA1289" s="66"/>
      <c r="NB1289" s="66"/>
      <c r="NC1289" s="66"/>
      <c r="ND1289" s="66"/>
      <c r="NE1289" s="66"/>
      <c r="NF1289" s="66"/>
      <c r="NG1289" s="66"/>
      <c r="NH1289" s="66"/>
      <c r="NI1289" s="66"/>
      <c r="NJ1289" s="66"/>
      <c r="NK1289" s="66"/>
      <c r="NL1289" s="66"/>
      <c r="NM1289" s="66"/>
      <c r="NN1289" s="66"/>
      <c r="NO1289" s="66"/>
      <c r="NP1289" s="66"/>
      <c r="NQ1289" s="66"/>
      <c r="NR1289" s="66"/>
      <c r="NS1289" s="66"/>
      <c r="NT1289" s="66"/>
      <c r="NU1289" s="66"/>
      <c r="NV1289" s="66"/>
      <c r="NW1289" s="66"/>
      <c r="NX1289" s="66"/>
      <c r="NY1289" s="66"/>
      <c r="NZ1289" s="66"/>
      <c r="OA1289" s="66"/>
      <c r="OB1289" s="66"/>
      <c r="OC1289" s="66"/>
      <c r="OD1289" s="66"/>
      <c r="OE1289" s="66"/>
      <c r="OF1289" s="66"/>
      <c r="OG1289" s="66"/>
      <c r="OH1289" s="66"/>
      <c r="OI1289" s="66"/>
      <c r="OJ1289" s="66"/>
      <c r="OK1289" s="66"/>
      <c r="OL1289" s="66"/>
      <c r="OM1289" s="66"/>
      <c r="ON1289" s="66"/>
      <c r="OO1289" s="66"/>
      <c r="OP1289" s="66"/>
      <c r="OQ1289" s="66"/>
      <c r="OR1289" s="66"/>
      <c r="OS1289" s="66"/>
      <c r="OT1289" s="66"/>
      <c r="OU1289" s="66"/>
      <c r="OV1289" s="66"/>
      <c r="OW1289" s="66"/>
      <c r="OX1289" s="66"/>
      <c r="OY1289" s="66"/>
      <c r="OZ1289" s="66"/>
      <c r="PA1289" s="66"/>
      <c r="PB1289" s="66"/>
      <c r="PC1289" s="66"/>
      <c r="PD1289" s="66"/>
      <c r="PE1289" s="66"/>
      <c r="PF1289" s="66"/>
      <c r="PG1289" s="66"/>
      <c r="PH1289" s="66"/>
      <c r="PI1289" s="66"/>
      <c r="PJ1289" s="66"/>
      <c r="PK1289" s="66"/>
      <c r="PL1289" s="66"/>
      <c r="PM1289" s="66"/>
      <c r="PN1289" s="66"/>
      <c r="PO1289" s="66"/>
      <c r="PP1289" s="66"/>
      <c r="PQ1289" s="66"/>
      <c r="PR1289" s="66"/>
      <c r="PS1289" s="66"/>
      <c r="PT1289" s="66"/>
      <c r="PU1289" s="66"/>
      <c r="PV1289" s="66"/>
      <c r="PW1289" s="66"/>
      <c r="PX1289" s="66"/>
      <c r="PY1289" s="66"/>
      <c r="PZ1289" s="66"/>
      <c r="QA1289" s="66"/>
      <c r="QB1289" s="66"/>
      <c r="QC1289" s="66"/>
      <c r="QD1289" s="66"/>
      <c r="QE1289" s="66"/>
      <c r="QF1289" s="66"/>
      <c r="QG1289" s="66"/>
      <c r="QH1289" s="66"/>
      <c r="QI1289" s="66"/>
      <c r="QJ1289" s="66"/>
      <c r="QK1289" s="66"/>
      <c r="QL1289" s="66"/>
      <c r="QM1289" s="66"/>
      <c r="QN1289" s="66"/>
      <c r="QO1289" s="66"/>
      <c r="QP1289" s="66"/>
      <c r="QQ1289" s="66"/>
      <c r="QR1289" s="66"/>
      <c r="QS1289" s="66"/>
      <c r="QT1289" s="66"/>
      <c r="QU1289" s="66"/>
      <c r="QV1289" s="66"/>
      <c r="QW1289" s="66"/>
      <c r="QX1289" s="66"/>
      <c r="QY1289" s="66"/>
      <c r="QZ1289" s="66"/>
      <c r="RA1289" s="66"/>
      <c r="RB1289" s="66"/>
      <c r="RC1289" s="66"/>
      <c r="RD1289" s="66"/>
      <c r="RE1289" s="66"/>
      <c r="RF1289" s="66"/>
      <c r="RG1289" s="66"/>
      <c r="RH1289" s="66"/>
      <c r="RI1289" s="66"/>
      <c r="RJ1289" s="66"/>
      <c r="RK1289" s="66"/>
      <c r="RL1289" s="66"/>
      <c r="RM1289" s="66"/>
      <c r="RN1289" s="66"/>
      <c r="RO1289" s="66"/>
      <c r="RP1289" s="66"/>
      <c r="RQ1289" s="66"/>
      <c r="RR1289" s="66"/>
      <c r="RS1289" s="66"/>
      <c r="RT1289" s="66"/>
      <c r="RU1289" s="66"/>
      <c r="RV1289" s="66"/>
      <c r="RW1289" s="66"/>
      <c r="RX1289" s="66"/>
      <c r="RY1289" s="66"/>
      <c r="RZ1289" s="66"/>
      <c r="SA1289" s="66"/>
      <c r="SB1289" s="66"/>
      <c r="SC1289" s="66"/>
      <c r="SD1289" s="66"/>
      <c r="SE1289" s="66"/>
      <c r="SF1289" s="66"/>
      <c r="SG1289" s="66"/>
      <c r="SH1289" s="66"/>
      <c r="SI1289" s="66"/>
      <c r="SJ1289" s="66"/>
      <c r="SK1289" s="66"/>
      <c r="SL1289" s="66"/>
      <c r="SM1289" s="66"/>
      <c r="SN1289" s="66"/>
      <c r="SO1289" s="66"/>
      <c r="SP1289" s="66"/>
      <c r="SQ1289" s="66"/>
      <c r="SR1289" s="66"/>
      <c r="SS1289" s="66"/>
      <c r="ST1289" s="66"/>
      <c r="SU1289" s="66"/>
      <c r="SV1289" s="66"/>
      <c r="SW1289" s="66"/>
      <c r="SX1289" s="66"/>
      <c r="SY1289" s="66"/>
      <c r="SZ1289" s="66"/>
      <c r="TA1289" s="66"/>
      <c r="TB1289" s="66"/>
      <c r="TC1289" s="66"/>
      <c r="TD1289" s="66"/>
      <c r="TE1289" s="66"/>
      <c r="TF1289" s="66"/>
      <c r="TG1289" s="66"/>
      <c r="TH1289" s="66"/>
      <c r="TI1289" s="66"/>
      <c r="TJ1289" s="66"/>
      <c r="TK1289" s="66"/>
      <c r="TL1289" s="66"/>
      <c r="TM1289" s="66"/>
      <c r="TN1289" s="66"/>
      <c r="TO1289" s="66"/>
      <c r="TP1289" s="66"/>
      <c r="TQ1289" s="66"/>
      <c r="TR1289" s="66"/>
      <c r="TS1289" s="66"/>
      <c r="TT1289" s="66"/>
      <c r="TU1289" s="66"/>
      <c r="TV1289" s="66"/>
      <c r="TW1289" s="66"/>
      <c r="TX1289" s="66"/>
      <c r="TY1289" s="66"/>
      <c r="TZ1289" s="66"/>
      <c r="UA1289" s="66"/>
      <c r="UB1289" s="66"/>
      <c r="UC1289" s="66"/>
      <c r="UD1289" s="66"/>
      <c r="UE1289" s="66"/>
      <c r="UF1289" s="66"/>
      <c r="UG1289" s="66"/>
      <c r="UH1289" s="66"/>
      <c r="UI1289" s="66"/>
      <c r="UJ1289" s="66"/>
      <c r="UK1289" s="66"/>
      <c r="UL1289" s="66"/>
      <c r="UM1289" s="66"/>
      <c r="UN1289" s="66"/>
      <c r="UO1289" s="66"/>
      <c r="UP1289" s="66"/>
      <c r="UQ1289" s="66"/>
      <c r="UR1289" s="66"/>
      <c r="US1289" s="66"/>
      <c r="UT1289" s="66"/>
      <c r="UU1289" s="66"/>
      <c r="UV1289" s="66"/>
      <c r="UW1289" s="66"/>
      <c r="UX1289" s="66"/>
      <c r="UY1289" s="66"/>
      <c r="UZ1289" s="66"/>
      <c r="VA1289" s="66"/>
      <c r="VB1289" s="66"/>
      <c r="VC1289" s="66"/>
      <c r="VD1289" s="66"/>
      <c r="VE1289" s="66"/>
      <c r="VF1289" s="66"/>
      <c r="VG1289" s="66"/>
      <c r="VH1289" s="66"/>
      <c r="VI1289" s="66"/>
      <c r="VJ1289" s="66"/>
      <c r="VK1289" s="66"/>
      <c r="VL1289" s="66"/>
      <c r="VM1289" s="66"/>
      <c r="VN1289" s="66"/>
      <c r="VO1289" s="66"/>
      <c r="VP1289" s="66"/>
      <c r="VQ1289" s="66"/>
      <c r="VR1289" s="66"/>
      <c r="VS1289" s="66"/>
      <c r="VT1289" s="66"/>
      <c r="VU1289" s="66"/>
      <c r="VV1289" s="66"/>
      <c r="VW1289" s="66"/>
      <c r="VX1289" s="66"/>
      <c r="VY1289" s="66"/>
      <c r="VZ1289" s="66"/>
      <c r="WA1289" s="66"/>
      <c r="WB1289" s="66"/>
      <c r="WC1289" s="66"/>
      <c r="WD1289" s="66"/>
      <c r="WE1289" s="66"/>
      <c r="WF1289" s="66"/>
      <c r="WG1289" s="66"/>
      <c r="WH1289" s="66"/>
      <c r="WI1289" s="66"/>
      <c r="WJ1289" s="66"/>
      <c r="WK1289" s="66"/>
      <c r="WL1289" s="66"/>
      <c r="WM1289" s="66"/>
      <c r="WN1289" s="66"/>
      <c r="WO1289" s="66"/>
      <c r="WP1289" s="66"/>
      <c r="WQ1289" s="66"/>
      <c r="WR1289" s="66"/>
      <c r="WS1289" s="66"/>
      <c r="WT1289" s="66"/>
      <c r="WU1289" s="66"/>
      <c r="WV1289" s="66"/>
      <c r="WW1289" s="66"/>
      <c r="WX1289" s="66"/>
      <c r="WY1289" s="66"/>
      <c r="WZ1289" s="66"/>
      <c r="XA1289" s="66"/>
      <c r="XB1289" s="66"/>
      <c r="XC1289" s="66"/>
      <c r="XD1289" s="66"/>
      <c r="XE1289" s="66"/>
      <c r="XF1289" s="66"/>
      <c r="XG1289" s="66"/>
      <c r="XH1289" s="66"/>
      <c r="XI1289" s="66"/>
      <c r="XJ1289" s="66"/>
      <c r="XK1289" s="66"/>
      <c r="XL1289" s="66"/>
      <c r="XM1289" s="66"/>
      <c r="XN1289" s="66"/>
      <c r="XO1289" s="66"/>
      <c r="XP1289" s="66"/>
      <c r="XQ1289" s="66"/>
      <c r="XR1289" s="66"/>
      <c r="XS1289" s="66"/>
      <c r="XT1289" s="66"/>
      <c r="XU1289" s="66"/>
      <c r="XV1289" s="66"/>
      <c r="XW1289" s="66"/>
      <c r="XX1289" s="66"/>
      <c r="XY1289" s="66"/>
      <c r="XZ1289" s="66"/>
      <c r="YA1289" s="66"/>
      <c r="YB1289" s="66"/>
      <c r="YC1289" s="66"/>
      <c r="YD1289" s="66"/>
      <c r="YE1289" s="66"/>
      <c r="YF1289" s="66"/>
      <c r="YG1289" s="66"/>
      <c r="YH1289" s="66"/>
      <c r="YI1289" s="66"/>
      <c r="YJ1289" s="66"/>
      <c r="YK1289" s="66"/>
      <c r="YL1289" s="66"/>
      <c r="YM1289" s="66"/>
      <c r="YN1289" s="66"/>
      <c r="YO1289" s="66"/>
      <c r="YP1289" s="66"/>
      <c r="YQ1289" s="66"/>
      <c r="YR1289" s="66"/>
      <c r="YS1289" s="66"/>
      <c r="YT1289" s="66"/>
      <c r="YU1289" s="66"/>
      <c r="YV1289" s="66"/>
      <c r="YW1289" s="66"/>
      <c r="YX1289" s="66"/>
      <c r="YY1289" s="66"/>
      <c r="YZ1289" s="66"/>
      <c r="ZA1289" s="66"/>
      <c r="ZB1289" s="66"/>
      <c r="ZC1289" s="66"/>
      <c r="ZD1289" s="66"/>
      <c r="ZE1289" s="66"/>
      <c r="ZF1289" s="66"/>
      <c r="ZG1289" s="66"/>
      <c r="ZH1289" s="66"/>
      <c r="ZI1289" s="66"/>
      <c r="ZJ1289" s="66"/>
      <c r="ZK1289" s="66"/>
      <c r="ZL1289" s="66"/>
      <c r="ZM1289" s="66"/>
      <c r="ZN1289" s="66"/>
      <c r="ZO1289" s="66"/>
      <c r="ZP1289" s="66"/>
      <c r="ZQ1289" s="66"/>
      <c r="ZR1289" s="66"/>
      <c r="ZS1289" s="66"/>
      <c r="ZT1289" s="66"/>
      <c r="ZU1289" s="66"/>
      <c r="ZV1289" s="66"/>
      <c r="ZW1289" s="66"/>
      <c r="ZX1289" s="66"/>
      <c r="ZY1289" s="66"/>
      <c r="ZZ1289" s="66"/>
      <c r="AAA1289" s="66"/>
      <c r="AAB1289" s="66"/>
      <c r="AAC1289" s="66"/>
      <c r="AAD1289" s="66"/>
      <c r="AAE1289" s="66"/>
      <c r="AAF1289" s="66"/>
      <c r="AAG1289" s="66"/>
      <c r="AAH1289" s="66"/>
      <c r="AAI1289" s="66"/>
      <c r="AAJ1289" s="66"/>
      <c r="AAK1289" s="66"/>
      <c r="AAL1289" s="66"/>
      <c r="AAM1289" s="66"/>
      <c r="AAN1289" s="66"/>
      <c r="AAO1289" s="66"/>
      <c r="AAP1289" s="66"/>
      <c r="AAQ1289" s="66"/>
      <c r="AAR1289" s="66"/>
      <c r="AAS1289" s="66"/>
      <c r="AAT1289" s="66"/>
      <c r="AAU1289" s="66"/>
      <c r="AAV1289" s="66"/>
      <c r="AAW1289" s="66"/>
      <c r="AAX1289" s="66"/>
      <c r="AAY1289" s="66"/>
      <c r="AAZ1289" s="66"/>
      <c r="ABA1289" s="66"/>
      <c r="ABB1289" s="66"/>
      <c r="ABC1289" s="66"/>
      <c r="ABD1289" s="66"/>
      <c r="ABE1289" s="66"/>
      <c r="ABF1289" s="66"/>
      <c r="ABG1289" s="66"/>
      <c r="ABH1289" s="66"/>
      <c r="ABI1289" s="66"/>
      <c r="ABJ1289" s="66"/>
      <c r="ABK1289" s="66"/>
      <c r="ABL1289" s="66"/>
      <c r="ABM1289" s="66"/>
      <c r="ABN1289" s="66"/>
      <c r="ABO1289" s="66"/>
      <c r="ABP1289" s="66"/>
      <c r="ABQ1289" s="66"/>
      <c r="ABR1289" s="66"/>
      <c r="ABS1289" s="66"/>
      <c r="ABT1289" s="66"/>
      <c r="ABU1289" s="66"/>
      <c r="ABV1289" s="66"/>
      <c r="ABW1289" s="66"/>
      <c r="ABX1289" s="66"/>
      <c r="ABY1289" s="66"/>
      <c r="ABZ1289" s="66"/>
      <c r="ACA1289" s="66"/>
      <c r="ACB1289" s="66"/>
      <c r="ACC1289" s="66"/>
      <c r="ACD1289" s="66"/>
      <c r="ACE1289" s="66"/>
      <c r="ACF1289" s="66"/>
      <c r="ACG1289" s="66"/>
      <c r="ACH1289" s="66"/>
      <c r="ACI1289" s="66"/>
      <c r="ACJ1289" s="66"/>
      <c r="ACK1289" s="66"/>
      <c r="ACL1289" s="66"/>
      <c r="ACM1289" s="66"/>
      <c r="ACN1289" s="66"/>
      <c r="ACO1289" s="66"/>
      <c r="ACP1289" s="66"/>
      <c r="ACQ1289" s="66"/>
      <c r="ACR1289" s="66"/>
      <c r="ACS1289" s="66"/>
      <c r="ACT1289" s="66"/>
      <c r="ACU1289" s="66"/>
      <c r="ACV1289" s="66"/>
      <c r="ACW1289" s="66"/>
      <c r="ACX1289" s="66"/>
      <c r="ACY1289" s="66"/>
      <c r="ACZ1289" s="66"/>
      <c r="ADA1289" s="66"/>
      <c r="ADB1289" s="66"/>
      <c r="ADC1289" s="66"/>
      <c r="ADD1289" s="66"/>
      <c r="ADE1289" s="66"/>
      <c r="ADF1289" s="66"/>
      <c r="ADG1289" s="66"/>
      <c r="ADH1289" s="66"/>
      <c r="ADI1289" s="66"/>
      <c r="ADJ1289" s="66"/>
      <c r="ADK1289" s="66"/>
      <c r="ADL1289" s="66"/>
      <c r="ADM1289" s="66"/>
      <c r="ADN1289" s="66"/>
      <c r="ADO1289" s="66"/>
      <c r="ADP1289" s="66"/>
      <c r="ADQ1289" s="66"/>
      <c r="ADR1289" s="66"/>
      <c r="ADS1289" s="66"/>
      <c r="ADT1289" s="66"/>
      <c r="ADU1289" s="66"/>
      <c r="ADV1289" s="66"/>
      <c r="ADW1289" s="66"/>
      <c r="ADX1289" s="66"/>
      <c r="ADY1289" s="66"/>
      <c r="ADZ1289" s="66"/>
      <c r="AEA1289" s="66"/>
      <c r="AEB1289" s="66"/>
      <c r="AEC1289" s="66"/>
      <c r="AED1289" s="66"/>
      <c r="AEE1289" s="66"/>
      <c r="AEF1289" s="66"/>
      <c r="AEG1289" s="66"/>
      <c r="AEH1289" s="66"/>
      <c r="AEI1289" s="66"/>
      <c r="AEJ1289" s="66"/>
      <c r="AEK1289" s="66"/>
      <c r="AEL1289" s="66"/>
      <c r="AEM1289" s="66"/>
      <c r="AEN1289" s="66"/>
      <c r="AEO1289" s="66"/>
      <c r="AEP1289" s="66"/>
      <c r="AEQ1289" s="66"/>
      <c r="AER1289" s="66"/>
      <c r="AES1289" s="66"/>
      <c r="AET1289" s="66"/>
      <c r="AEU1289" s="66"/>
      <c r="AEV1289" s="66"/>
      <c r="AEW1289" s="66"/>
      <c r="AEX1289" s="66"/>
      <c r="AEY1289" s="66"/>
      <c r="AEZ1289" s="66"/>
      <c r="AFA1289" s="66"/>
      <c r="AFB1289" s="66"/>
      <c r="AFC1289" s="66"/>
      <c r="AFD1289" s="66"/>
      <c r="AFE1289" s="66"/>
      <c r="AFF1289" s="66"/>
      <c r="AFG1289" s="66"/>
      <c r="AFH1289" s="66"/>
      <c r="AFI1289" s="66"/>
      <c r="AFJ1289" s="66"/>
      <c r="AFK1289" s="66"/>
      <c r="AFL1289" s="66"/>
      <c r="AFM1289" s="66"/>
      <c r="AFN1289" s="66"/>
      <c r="AFO1289" s="66"/>
      <c r="AFP1289" s="66"/>
      <c r="AFQ1289" s="66"/>
      <c r="AFR1289" s="66"/>
      <c r="AFS1289" s="66"/>
      <c r="AFT1289" s="66"/>
      <c r="AFU1289" s="66"/>
      <c r="AFV1289" s="66"/>
      <c r="AFW1289" s="66"/>
      <c r="AFX1289" s="66"/>
      <c r="AFY1289" s="66"/>
      <c r="AFZ1289" s="66"/>
      <c r="AGA1289" s="66"/>
      <c r="AGB1289" s="66"/>
      <c r="AGC1289" s="66"/>
      <c r="AGD1289" s="66"/>
      <c r="AGE1289" s="66"/>
      <c r="AGF1289" s="66"/>
      <c r="AGG1289" s="66"/>
      <c r="AGH1289" s="66"/>
      <c r="AGI1289" s="66"/>
      <c r="AGJ1289" s="66"/>
      <c r="AGK1289" s="66"/>
      <c r="AGL1289" s="66"/>
      <c r="AGM1289" s="66"/>
      <c r="AGN1289" s="66"/>
      <c r="AGO1289" s="66"/>
      <c r="AGP1289" s="66"/>
      <c r="AGQ1289" s="66"/>
      <c r="AGR1289" s="66"/>
      <c r="AGS1289" s="66"/>
      <c r="AGT1289" s="66"/>
      <c r="AGU1289" s="66"/>
      <c r="AGV1289" s="66"/>
      <c r="AGW1289" s="66"/>
      <c r="AGX1289" s="66"/>
      <c r="AGY1289" s="66"/>
      <c r="AGZ1289" s="66"/>
      <c r="AHA1289" s="66"/>
      <c r="AHB1289" s="66"/>
      <c r="AHC1289" s="66"/>
      <c r="AHD1289" s="66"/>
      <c r="AHE1289" s="66"/>
      <c r="AHF1289" s="66"/>
      <c r="AHG1289" s="66"/>
      <c r="AHH1289" s="66"/>
      <c r="AHI1289" s="66"/>
      <c r="AHJ1289" s="66"/>
      <c r="AHK1289" s="66"/>
      <c r="AHL1289" s="66"/>
      <c r="AHM1289" s="66"/>
      <c r="AHN1289" s="66"/>
      <c r="AHO1289" s="66"/>
      <c r="AHP1289" s="66"/>
      <c r="AHQ1289" s="66"/>
      <c r="AHR1289" s="66"/>
      <c r="AHS1289" s="66"/>
      <c r="AHT1289" s="66"/>
      <c r="AHU1289" s="66"/>
      <c r="AHV1289" s="66"/>
      <c r="AHW1289" s="66"/>
      <c r="AHX1289" s="66"/>
      <c r="AHY1289" s="66"/>
      <c r="AHZ1289" s="66"/>
      <c r="AIA1289" s="66"/>
      <c r="AIB1289" s="66"/>
      <c r="AIC1289" s="66"/>
      <c r="AID1289" s="66"/>
      <c r="AIE1289" s="66"/>
      <c r="AIF1289" s="66"/>
      <c r="AIG1289" s="66"/>
      <c r="AIH1289" s="66"/>
      <c r="AII1289" s="66"/>
      <c r="AIJ1289" s="66"/>
      <c r="AIK1289" s="66"/>
      <c r="AIL1289" s="66"/>
      <c r="AIM1289" s="66"/>
      <c r="AIN1289" s="66"/>
      <c r="AIO1289" s="66"/>
      <c r="AIP1289" s="66"/>
      <c r="AIQ1289" s="66"/>
      <c r="AIR1289" s="66"/>
      <c r="AIS1289" s="66"/>
      <c r="AIT1289" s="66"/>
      <c r="AIU1289" s="66"/>
      <c r="AIV1289" s="66"/>
      <c r="AIW1289" s="66"/>
      <c r="AIX1289" s="66"/>
      <c r="AIY1289" s="66"/>
      <c r="AIZ1289" s="66"/>
      <c r="AJA1289" s="66"/>
      <c r="AJB1289" s="66"/>
      <c r="AJC1289" s="66"/>
      <c r="AJD1289" s="66"/>
      <c r="AJE1289" s="66"/>
      <c r="AJF1289" s="66"/>
      <c r="AJG1289" s="66"/>
      <c r="AJH1289" s="66"/>
      <c r="AJI1289" s="66"/>
      <c r="AJJ1289" s="66"/>
      <c r="AJK1289" s="66"/>
      <c r="AJL1289" s="66"/>
      <c r="AJM1289" s="66"/>
      <c r="AJN1289" s="66"/>
      <c r="AJO1289" s="66"/>
      <c r="AJP1289" s="66"/>
      <c r="AJQ1289" s="66"/>
      <c r="AJR1289" s="66"/>
      <c r="AJS1289" s="66"/>
      <c r="AJT1289" s="66"/>
      <c r="AJU1289" s="66"/>
      <c r="AJV1289" s="66"/>
      <c r="AJW1289" s="66"/>
      <c r="AJX1289" s="66"/>
      <c r="AJY1289" s="66"/>
      <c r="AJZ1289" s="66"/>
      <c r="AKA1289" s="66"/>
      <c r="AKB1289" s="66"/>
      <c r="AKC1289" s="66"/>
      <c r="AKD1289" s="66"/>
      <c r="AKE1289" s="66"/>
      <c r="AKF1289" s="66"/>
      <c r="AKG1289" s="66"/>
      <c r="AKH1289" s="66"/>
      <c r="AKI1289" s="66"/>
      <c r="AKJ1289" s="66"/>
      <c r="AKK1289" s="66"/>
      <c r="AKL1289" s="66"/>
      <c r="AKM1289" s="66"/>
      <c r="AKN1289" s="66"/>
      <c r="AKO1289" s="66"/>
      <c r="AKP1289" s="66"/>
      <c r="AKQ1289" s="66"/>
      <c r="AKR1289" s="66"/>
      <c r="AKS1289" s="66"/>
      <c r="AKT1289" s="66"/>
      <c r="AKU1289" s="66"/>
      <c r="AKV1289" s="66"/>
      <c r="AKW1289" s="66"/>
      <c r="AKX1289" s="66"/>
      <c r="AKY1289" s="66"/>
      <c r="AKZ1289" s="66"/>
      <c r="ALA1289" s="66"/>
      <c r="ALB1289" s="66"/>
      <c r="ALC1289" s="66"/>
      <c r="ALD1289" s="66"/>
      <c r="ALE1289" s="66"/>
      <c r="ALF1289" s="66"/>
      <c r="ALG1289" s="66"/>
      <c r="ALH1289" s="66"/>
      <c r="ALI1289" s="66"/>
      <c r="ALJ1289" s="66"/>
      <c r="ALK1289" s="66"/>
      <c r="ALL1289" s="66"/>
      <c r="ALM1289" s="66"/>
      <c r="ALN1289" s="66"/>
      <c r="ALO1289" s="66"/>
      <c r="ALP1289" s="66"/>
      <c r="ALQ1289" s="66"/>
      <c r="ALR1289" s="66"/>
      <c r="ALS1289" s="66"/>
      <c r="ALT1289" s="66"/>
      <c r="ALU1289" s="66"/>
      <c r="ALV1289" s="66"/>
      <c r="ALW1289" s="66"/>
      <c r="ALX1289" s="66"/>
      <c r="ALY1289" s="66"/>
      <c r="ALZ1289" s="66"/>
      <c r="AMA1289" s="66"/>
      <c r="AMB1289" s="66"/>
      <c r="AMC1289" s="66"/>
      <c r="AMD1289" s="66"/>
      <c r="AME1289" s="66"/>
      <c r="AMF1289" s="66"/>
      <c r="AMG1289" s="66"/>
      <c r="AMH1289" s="66"/>
      <c r="AMI1289" s="66"/>
      <c r="AMJ1289" s="66"/>
      <c r="AMK1289" s="66"/>
      <c r="AML1289" s="66"/>
      <c r="AMM1289" s="66"/>
      <c r="AMN1289" s="66"/>
      <c r="AMO1289" s="66"/>
      <c r="AMP1289" s="66"/>
      <c r="AMQ1289" s="66"/>
      <c r="AMR1289" s="66"/>
      <c r="AMS1289" s="66"/>
      <c r="AMT1289" s="66"/>
      <c r="AMU1289" s="66"/>
      <c r="AMV1289" s="66"/>
      <c r="AMW1289" s="66"/>
      <c r="AMX1289" s="66"/>
      <c r="AMY1289" s="66"/>
      <c r="AMZ1289" s="66"/>
      <c r="ANA1289" s="66"/>
      <c r="ANB1289" s="66"/>
      <c r="ANC1289" s="66"/>
      <c r="AND1289" s="66"/>
      <c r="ANE1289" s="66"/>
      <c r="ANF1289" s="66"/>
      <c r="ANG1289" s="66"/>
      <c r="ANH1289" s="66"/>
      <c r="ANI1289" s="66"/>
      <c r="ANJ1289" s="66"/>
      <c r="ANK1289" s="66"/>
      <c r="ANL1289" s="66"/>
      <c r="ANM1289" s="66"/>
      <c r="ANN1289" s="66"/>
      <c r="ANO1289" s="66"/>
      <c r="ANP1289" s="66"/>
      <c r="ANQ1289" s="66"/>
      <c r="ANR1289" s="66"/>
      <c r="ANS1289" s="66"/>
      <c r="ANT1289" s="66"/>
      <c r="ANU1289" s="66"/>
      <c r="ANV1289" s="66"/>
      <c r="ANW1289" s="66"/>
      <c r="ANX1289" s="66"/>
      <c r="ANY1289" s="66"/>
      <c r="ANZ1289" s="66"/>
      <c r="AOA1289" s="66"/>
      <c r="AOB1289" s="66"/>
      <c r="AOC1289" s="66"/>
      <c r="AOD1289" s="66"/>
      <c r="AOE1289" s="66"/>
      <c r="AOF1289" s="66"/>
      <c r="AOG1289" s="66"/>
      <c r="AOH1289" s="66"/>
      <c r="AOI1289" s="66"/>
      <c r="AOJ1289" s="66"/>
      <c r="AOK1289" s="66"/>
      <c r="AOL1289" s="66"/>
      <c r="AOM1289" s="66"/>
      <c r="AON1289" s="66"/>
      <c r="AOO1289" s="66"/>
      <c r="AOP1289" s="66"/>
      <c r="AOQ1289" s="66"/>
      <c r="AOR1289" s="66"/>
      <c r="AOS1289" s="66"/>
      <c r="AOT1289" s="66"/>
      <c r="AOU1289" s="66"/>
      <c r="AOV1289" s="66"/>
      <c r="AOW1289" s="66"/>
      <c r="AOX1289" s="66"/>
      <c r="AOY1289" s="66"/>
      <c r="AOZ1289" s="66"/>
      <c r="APA1289" s="66"/>
      <c r="APB1289" s="66"/>
      <c r="APC1289" s="66"/>
      <c r="APD1289" s="66"/>
      <c r="APE1289" s="66"/>
      <c r="APF1289" s="66"/>
      <c r="APG1289" s="66"/>
      <c r="APH1289" s="66"/>
      <c r="API1289" s="66"/>
      <c r="APJ1289" s="66"/>
      <c r="APK1289" s="66"/>
      <c r="APL1289" s="66"/>
      <c r="APM1289" s="66"/>
      <c r="APN1289" s="66"/>
      <c r="APO1289" s="66"/>
      <c r="APP1289" s="66"/>
      <c r="APQ1289" s="66"/>
      <c r="APR1289" s="66"/>
      <c r="APS1289" s="66"/>
      <c r="APT1289" s="66"/>
      <c r="APU1289" s="66"/>
      <c r="APV1289" s="66"/>
      <c r="APW1289" s="66"/>
      <c r="APX1289" s="66"/>
      <c r="APY1289" s="66"/>
      <c r="APZ1289" s="66"/>
      <c r="AQA1289" s="66"/>
      <c r="AQB1289" s="66"/>
      <c r="AQC1289" s="66"/>
      <c r="AQD1289" s="66"/>
      <c r="AQE1289" s="66"/>
      <c r="AQF1289" s="66"/>
      <c r="AQG1289" s="66"/>
      <c r="AQH1289" s="66"/>
      <c r="AQI1289" s="66"/>
      <c r="AQJ1289" s="66"/>
      <c r="AQK1289" s="66"/>
      <c r="AQL1289" s="66"/>
      <c r="AQM1289" s="66"/>
      <c r="AQN1289" s="66"/>
      <c r="AQO1289" s="66"/>
      <c r="AQP1289" s="66"/>
      <c r="AQQ1289" s="66"/>
      <c r="AQR1289" s="66"/>
      <c r="AQS1289" s="66"/>
      <c r="AQT1289" s="66"/>
      <c r="AQU1289" s="66"/>
      <c r="AQV1289" s="66"/>
      <c r="AQW1289" s="66"/>
      <c r="AQX1289" s="66"/>
      <c r="AQY1289" s="66"/>
      <c r="AQZ1289" s="66"/>
      <c r="ARA1289" s="66"/>
      <c r="ARB1289" s="66"/>
      <c r="ARC1289" s="66"/>
      <c r="ARD1289" s="66"/>
      <c r="ARE1289" s="66"/>
      <c r="ARF1289" s="66"/>
      <c r="ARG1289" s="66"/>
      <c r="ARH1289" s="66"/>
      <c r="ARI1289" s="66"/>
      <c r="ARJ1289" s="66"/>
      <c r="ARK1289" s="66"/>
      <c r="ARL1289" s="66"/>
      <c r="ARM1289" s="66"/>
      <c r="ARN1289" s="66"/>
      <c r="ARO1289" s="66"/>
      <c r="ARP1289" s="66"/>
      <c r="ARQ1289" s="66"/>
      <c r="ARR1289" s="66"/>
      <c r="ARS1289" s="66"/>
      <c r="ART1289" s="66"/>
      <c r="ARU1289" s="66"/>
      <c r="ARV1289" s="66"/>
      <c r="ARW1289" s="66"/>
      <c r="ARX1289" s="66"/>
      <c r="ARY1289" s="66"/>
      <c r="ARZ1289" s="66"/>
      <c r="ASA1289" s="66"/>
      <c r="ASB1289" s="66"/>
      <c r="ASC1289" s="66"/>
      <c r="ASD1289" s="66"/>
      <c r="ASE1289" s="66"/>
      <c r="ASF1289" s="66"/>
      <c r="ASG1289" s="66"/>
      <c r="ASH1289" s="66"/>
      <c r="ASI1289" s="66"/>
      <c r="ASJ1289" s="66"/>
      <c r="ASK1289" s="66"/>
      <c r="ASL1289" s="66"/>
      <c r="ASM1289" s="66"/>
      <c r="ASN1289" s="66"/>
      <c r="ASO1289" s="66"/>
      <c r="ASP1289" s="66"/>
      <c r="ASQ1289" s="66"/>
      <c r="ASR1289" s="66"/>
      <c r="ASS1289" s="66"/>
      <c r="AST1289" s="66"/>
      <c r="ASU1289" s="66"/>
      <c r="ASV1289" s="66"/>
      <c r="ASW1289" s="66"/>
      <c r="ASX1289" s="66"/>
      <c r="ASY1289" s="66"/>
      <c r="ASZ1289" s="66"/>
      <c r="ATA1289" s="66"/>
      <c r="ATB1289" s="66"/>
      <c r="ATC1289" s="66"/>
      <c r="ATD1289" s="66"/>
      <c r="ATE1289" s="66"/>
      <c r="ATF1289" s="66"/>
      <c r="ATG1289" s="66"/>
      <c r="ATH1289" s="66"/>
      <c r="ATI1289" s="66"/>
      <c r="ATJ1289" s="66"/>
      <c r="ATK1289" s="66"/>
      <c r="ATL1289" s="66"/>
      <c r="ATM1289" s="66"/>
      <c r="ATN1289" s="66"/>
      <c r="ATO1289" s="66"/>
      <c r="ATP1289" s="66"/>
      <c r="ATQ1289" s="66"/>
      <c r="ATR1289" s="66"/>
      <c r="ATS1289" s="66"/>
      <c r="ATT1289" s="66"/>
      <c r="ATU1289" s="66"/>
      <c r="ATV1289" s="66"/>
      <c r="ATW1289" s="66"/>
      <c r="ATX1289" s="66"/>
      <c r="ATY1289" s="66"/>
      <c r="ATZ1289" s="66"/>
      <c r="AUA1289" s="66"/>
      <c r="AUB1289" s="66"/>
      <c r="AUC1289" s="66"/>
      <c r="AUD1289" s="66"/>
      <c r="AUE1289" s="66"/>
      <c r="AUF1289" s="66"/>
      <c r="AUG1289" s="66"/>
      <c r="AUH1289" s="66"/>
      <c r="AUI1289" s="66"/>
      <c r="AUJ1289" s="66"/>
      <c r="AUK1289" s="66"/>
      <c r="AUL1289" s="66"/>
      <c r="AUM1289" s="66"/>
      <c r="AUN1289" s="66"/>
      <c r="AUO1289" s="66"/>
      <c r="AUP1289" s="66"/>
      <c r="AUQ1289" s="66"/>
      <c r="AUR1289" s="66"/>
      <c r="AUS1289" s="66"/>
      <c r="AUT1289" s="66"/>
      <c r="AUU1289" s="66"/>
      <c r="AUV1289" s="66"/>
      <c r="AUW1289" s="66"/>
      <c r="AUX1289" s="66"/>
      <c r="AUY1289" s="66"/>
      <c r="AUZ1289" s="66"/>
      <c r="AVA1289" s="66"/>
      <c r="AVB1289" s="66"/>
      <c r="AVC1289" s="66"/>
      <c r="AVD1289" s="66"/>
      <c r="AVE1289" s="66"/>
      <c r="AVF1289" s="66"/>
      <c r="AVG1289" s="66"/>
      <c r="AVH1289" s="66"/>
      <c r="AVI1289" s="66"/>
      <c r="AVJ1289" s="66"/>
      <c r="AVK1289" s="66"/>
      <c r="AVL1289" s="66"/>
      <c r="AVM1289" s="66"/>
      <c r="AVN1289" s="66"/>
      <c r="AVO1289" s="66"/>
      <c r="AVP1289" s="66"/>
      <c r="AVQ1289" s="66"/>
      <c r="AVR1289" s="66"/>
      <c r="AVS1289" s="66"/>
      <c r="AVT1289" s="66"/>
      <c r="AVU1289" s="66"/>
      <c r="AVV1289" s="66"/>
      <c r="AVW1289" s="66"/>
      <c r="AVX1289" s="66"/>
      <c r="AVY1289" s="66"/>
      <c r="AVZ1289" s="66"/>
      <c r="AWA1289" s="66"/>
      <c r="AWB1289" s="66"/>
      <c r="AWC1289" s="66"/>
      <c r="AWD1289" s="66"/>
      <c r="AWE1289" s="66"/>
      <c r="AWF1289" s="66"/>
      <c r="AWG1289" s="66"/>
      <c r="AWH1289" s="66"/>
      <c r="AWI1289" s="66"/>
      <c r="AWJ1289" s="66"/>
      <c r="AWK1289" s="66"/>
      <c r="AWL1289" s="66"/>
      <c r="AWM1289" s="66"/>
      <c r="AWN1289" s="66"/>
      <c r="AWO1289" s="66"/>
      <c r="AWP1289" s="66"/>
      <c r="AWQ1289" s="66"/>
      <c r="AWR1289" s="66"/>
      <c r="AWS1289" s="66"/>
      <c r="AWT1289" s="66"/>
      <c r="AWU1289" s="66"/>
      <c r="AWV1289" s="66"/>
      <c r="AWW1289" s="66"/>
      <c r="AWX1289" s="66"/>
      <c r="AWY1289" s="66"/>
      <c r="AWZ1289" s="66"/>
      <c r="AXA1289" s="66"/>
      <c r="AXB1289" s="66"/>
      <c r="AXC1289" s="66"/>
      <c r="AXD1289" s="66"/>
      <c r="AXE1289" s="66"/>
      <c r="AXF1289" s="66"/>
      <c r="AXG1289" s="66"/>
      <c r="AXH1289" s="66"/>
      <c r="AXI1289" s="66"/>
      <c r="AXJ1289" s="66"/>
      <c r="AXK1289" s="66"/>
      <c r="AXL1289" s="66"/>
      <c r="AXM1289" s="66"/>
      <c r="AXN1289" s="66"/>
      <c r="AXO1289" s="66"/>
      <c r="AXP1289" s="66"/>
      <c r="AXQ1289" s="66"/>
      <c r="AXR1289" s="66"/>
      <c r="AXS1289" s="66"/>
      <c r="AXT1289" s="66"/>
      <c r="AXU1289" s="66"/>
      <c r="AXV1289" s="66"/>
      <c r="AXW1289" s="66"/>
      <c r="AXX1289" s="66"/>
      <c r="AXY1289" s="66"/>
      <c r="AXZ1289" s="66"/>
      <c r="AYA1289" s="66"/>
      <c r="AYB1289" s="66"/>
      <c r="AYC1289" s="66"/>
      <c r="AYD1289" s="66"/>
      <c r="AYE1289" s="66"/>
      <c r="AYF1289" s="66"/>
      <c r="AYG1289" s="66"/>
      <c r="AYH1289" s="66"/>
      <c r="AYI1289" s="66"/>
      <c r="AYJ1289" s="66"/>
      <c r="AYK1289" s="66"/>
      <c r="AYL1289" s="66"/>
      <c r="AYM1289" s="66"/>
      <c r="AYN1289" s="66"/>
      <c r="AYO1289" s="66"/>
      <c r="AYP1289" s="66"/>
      <c r="AYQ1289" s="66"/>
      <c r="AYR1289" s="66"/>
      <c r="AYS1289" s="66"/>
      <c r="AYT1289" s="66"/>
      <c r="AYU1289" s="66"/>
      <c r="AYV1289" s="66"/>
      <c r="AYW1289" s="66"/>
      <c r="AYX1289" s="66"/>
      <c r="AYY1289" s="66"/>
      <c r="AYZ1289" s="66"/>
      <c r="AZA1289" s="66"/>
      <c r="AZB1289" s="66"/>
      <c r="AZC1289" s="66"/>
      <c r="AZD1289" s="66"/>
      <c r="AZE1289" s="66"/>
      <c r="AZF1289" s="66"/>
      <c r="AZG1289" s="66"/>
      <c r="AZH1289" s="66"/>
      <c r="AZI1289" s="66"/>
      <c r="AZJ1289" s="66"/>
      <c r="AZK1289" s="66"/>
      <c r="AZL1289" s="66"/>
      <c r="AZM1289" s="66"/>
      <c r="AZN1289" s="66"/>
      <c r="AZO1289" s="66"/>
      <c r="AZP1289" s="66"/>
      <c r="AZQ1289" s="66"/>
      <c r="AZR1289" s="66"/>
      <c r="AZS1289" s="66"/>
      <c r="AZT1289" s="66"/>
      <c r="AZU1289" s="66"/>
      <c r="AZV1289" s="66"/>
      <c r="AZW1289" s="66"/>
      <c r="AZX1289" s="66"/>
      <c r="AZY1289" s="66"/>
      <c r="AZZ1289" s="66"/>
      <c r="BAA1289" s="66"/>
      <c r="BAB1289" s="66"/>
      <c r="BAC1289" s="66"/>
      <c r="BAD1289" s="66"/>
      <c r="BAE1289" s="66"/>
      <c r="BAF1289" s="66"/>
      <c r="BAG1289" s="66"/>
      <c r="BAH1289" s="66"/>
      <c r="BAI1289" s="66"/>
      <c r="BAJ1289" s="66"/>
      <c r="BAK1289" s="66"/>
      <c r="BAL1289" s="66"/>
      <c r="BAM1289" s="66"/>
      <c r="BAN1289" s="66"/>
      <c r="BAO1289" s="66"/>
      <c r="BAP1289" s="66"/>
      <c r="BAQ1289" s="66"/>
      <c r="BAR1289" s="66"/>
      <c r="BAS1289" s="66"/>
      <c r="BAT1289" s="66"/>
      <c r="BAU1289" s="66"/>
      <c r="BAV1289" s="66"/>
      <c r="BAW1289" s="66"/>
      <c r="BAX1289" s="66"/>
      <c r="BAY1289" s="66"/>
      <c r="BAZ1289" s="66"/>
      <c r="BBA1289" s="66"/>
      <c r="BBB1289" s="66"/>
      <c r="BBC1289" s="66"/>
      <c r="BBD1289" s="66"/>
      <c r="BBE1289" s="66"/>
      <c r="BBF1289" s="66"/>
      <c r="BBG1289" s="66"/>
      <c r="BBH1289" s="66"/>
      <c r="BBI1289" s="66"/>
      <c r="BBJ1289" s="66"/>
      <c r="BBK1289" s="66"/>
      <c r="BBL1289" s="66"/>
      <c r="BBM1289" s="66"/>
      <c r="BBN1289" s="66"/>
      <c r="BBO1289" s="66"/>
      <c r="BBP1289" s="66"/>
      <c r="BBQ1289" s="66"/>
      <c r="BBR1289" s="66"/>
      <c r="BBS1289" s="66"/>
      <c r="BBT1289" s="66"/>
      <c r="BBU1289" s="66"/>
      <c r="BBV1289" s="66"/>
      <c r="BBW1289" s="66"/>
      <c r="BBX1289" s="66"/>
      <c r="BBY1289" s="66"/>
      <c r="BBZ1289" s="66"/>
      <c r="BCA1289" s="66"/>
      <c r="BCB1289" s="66"/>
      <c r="BCC1289" s="66"/>
      <c r="BCD1289" s="66"/>
      <c r="BCE1289" s="66"/>
      <c r="BCF1289" s="66"/>
      <c r="BCG1289" s="66"/>
      <c r="BCH1289" s="66"/>
      <c r="BCI1289" s="66"/>
      <c r="BCJ1289" s="66"/>
      <c r="BCK1289" s="66"/>
      <c r="BCL1289" s="66"/>
      <c r="BCM1289" s="66"/>
      <c r="BCN1289" s="66"/>
      <c r="BCO1289" s="66"/>
      <c r="BCP1289" s="66"/>
      <c r="BCQ1289" s="66"/>
      <c r="BCR1289" s="66"/>
      <c r="BCS1289" s="66"/>
      <c r="BCT1289" s="66"/>
      <c r="BCU1289" s="66"/>
      <c r="BCV1289" s="66"/>
      <c r="BCW1289" s="66"/>
      <c r="BCX1289" s="66"/>
      <c r="BCY1289" s="66"/>
      <c r="BCZ1289" s="66"/>
      <c r="BDA1289" s="66"/>
      <c r="BDB1289" s="66"/>
      <c r="BDC1289" s="66"/>
      <c r="BDD1289" s="66"/>
      <c r="BDE1289" s="66"/>
      <c r="BDF1289" s="66"/>
      <c r="BDG1289" s="66"/>
      <c r="BDH1289" s="66"/>
      <c r="BDI1289" s="66"/>
      <c r="BDJ1289" s="66"/>
      <c r="BDK1289" s="66"/>
      <c r="BDL1289" s="66"/>
      <c r="BDM1289" s="66"/>
      <c r="BDN1289" s="66"/>
      <c r="BDO1289" s="66"/>
      <c r="BDP1289" s="66"/>
      <c r="BDQ1289" s="66"/>
      <c r="BDR1289" s="66"/>
      <c r="BDS1289" s="66"/>
      <c r="BDT1289" s="66"/>
      <c r="BDU1289" s="66"/>
      <c r="BDV1289" s="66"/>
      <c r="BDW1289" s="66"/>
      <c r="BDX1289" s="66"/>
      <c r="BDY1289" s="66"/>
      <c r="BDZ1289" s="66"/>
      <c r="BEA1289" s="66"/>
      <c r="BEB1289" s="66"/>
      <c r="BEC1289" s="66"/>
      <c r="BED1289" s="66"/>
      <c r="BEE1289" s="66"/>
      <c r="BEF1289" s="66"/>
      <c r="BEG1289" s="66"/>
      <c r="BEH1289" s="66"/>
      <c r="BEI1289" s="66"/>
      <c r="BEJ1289" s="66"/>
      <c r="BEK1289" s="66"/>
      <c r="BEL1289" s="66"/>
      <c r="BEM1289" s="66"/>
      <c r="BEN1289" s="66"/>
      <c r="BEO1289" s="66"/>
      <c r="BEP1289" s="66"/>
      <c r="BEQ1289" s="66"/>
      <c r="BER1289" s="66"/>
      <c r="BES1289" s="66"/>
      <c r="BET1289" s="66"/>
      <c r="BEU1289" s="66"/>
      <c r="BEV1289" s="66"/>
      <c r="BEW1289" s="66"/>
      <c r="BEX1289" s="66"/>
      <c r="BEY1289" s="66"/>
      <c r="BEZ1289" s="66"/>
      <c r="BFA1289" s="66"/>
      <c r="BFB1289" s="66"/>
      <c r="BFC1289" s="66"/>
      <c r="BFD1289" s="66"/>
      <c r="BFE1289" s="66"/>
      <c r="BFF1289" s="66"/>
      <c r="BFG1289" s="66"/>
      <c r="BFH1289" s="66"/>
      <c r="BFI1289" s="66"/>
      <c r="BFJ1289" s="66"/>
      <c r="BFK1289" s="66"/>
      <c r="BFL1289" s="66"/>
      <c r="BFM1289" s="66"/>
      <c r="BFN1289" s="66"/>
      <c r="BFO1289" s="66"/>
      <c r="BFP1289" s="66"/>
      <c r="BFQ1289" s="66"/>
      <c r="BFR1289" s="66"/>
      <c r="BFS1289" s="66"/>
      <c r="BFT1289" s="66"/>
      <c r="BFU1289" s="66"/>
      <c r="BFV1289" s="66"/>
      <c r="BFW1289" s="66"/>
      <c r="BFX1289" s="66"/>
      <c r="BFY1289" s="66"/>
      <c r="BFZ1289" s="66"/>
      <c r="BGA1289" s="66"/>
      <c r="BGB1289" s="66"/>
      <c r="BGC1289" s="66"/>
      <c r="BGD1289" s="66"/>
      <c r="BGE1289" s="66"/>
      <c r="BGF1289" s="66"/>
      <c r="BGG1289" s="66"/>
      <c r="BGH1289" s="66"/>
      <c r="BGI1289" s="66"/>
      <c r="BGJ1289" s="66"/>
      <c r="BGK1289" s="66"/>
      <c r="BGL1289" s="66"/>
      <c r="BGM1289" s="66"/>
      <c r="BGN1289" s="66"/>
      <c r="BGO1289" s="66"/>
      <c r="BGP1289" s="66"/>
      <c r="BGQ1289" s="66"/>
      <c r="BGR1289" s="66"/>
      <c r="BGS1289" s="66"/>
      <c r="BGT1289" s="66"/>
      <c r="BGU1289" s="66"/>
      <c r="BGV1289" s="66"/>
      <c r="BGW1289" s="66"/>
      <c r="BGX1289" s="66"/>
      <c r="BGY1289" s="66"/>
      <c r="BGZ1289" s="66"/>
      <c r="BHA1289" s="66"/>
      <c r="BHB1289" s="66"/>
      <c r="BHC1289" s="66"/>
      <c r="BHD1289" s="66"/>
      <c r="BHE1289" s="66"/>
      <c r="BHF1289" s="66"/>
      <c r="BHG1289" s="66"/>
      <c r="BHH1289" s="66"/>
      <c r="BHI1289" s="66"/>
      <c r="BHJ1289" s="66"/>
      <c r="BHK1289" s="66"/>
      <c r="BHL1289" s="66"/>
      <c r="BHM1289" s="66"/>
      <c r="BHN1289" s="66"/>
      <c r="BHO1289" s="66"/>
      <c r="BHP1289" s="66"/>
      <c r="BHQ1289" s="66"/>
      <c r="BHR1289" s="66"/>
      <c r="BHS1289" s="66"/>
      <c r="BHT1289" s="66"/>
      <c r="BHU1289" s="66"/>
      <c r="BHV1289" s="66"/>
      <c r="BHW1289" s="66"/>
      <c r="BHX1289" s="66"/>
      <c r="BHY1289" s="66"/>
      <c r="BHZ1289" s="66"/>
      <c r="BIA1289" s="66"/>
      <c r="BIB1289" s="66"/>
      <c r="BIC1289" s="66"/>
      <c r="BID1289" s="66"/>
      <c r="BIE1289" s="66"/>
      <c r="BIF1289" s="66"/>
      <c r="BIG1289" s="66"/>
      <c r="BIH1289" s="66"/>
      <c r="BII1289" s="66"/>
      <c r="BIJ1289" s="66"/>
      <c r="BIK1289" s="66"/>
      <c r="BIL1289" s="66"/>
      <c r="BIM1289" s="66"/>
      <c r="BIN1289" s="66"/>
      <c r="BIO1289" s="66"/>
      <c r="BIP1289" s="66"/>
      <c r="BIQ1289" s="66"/>
      <c r="BIR1289" s="66"/>
      <c r="BIS1289" s="66"/>
      <c r="BIT1289" s="66"/>
      <c r="BIU1289" s="66"/>
      <c r="BIV1289" s="66"/>
      <c r="BIW1289" s="66"/>
      <c r="BIX1289" s="66"/>
      <c r="BIY1289" s="66"/>
      <c r="BIZ1289" s="66"/>
      <c r="BJA1289" s="66"/>
      <c r="BJB1289" s="66"/>
      <c r="BJC1289" s="66"/>
      <c r="BJD1289" s="66"/>
      <c r="BJE1289" s="66"/>
      <c r="BJF1289" s="66"/>
      <c r="BJG1289" s="66"/>
      <c r="BJH1289" s="66"/>
      <c r="BJI1289" s="66"/>
      <c r="BJJ1289" s="66"/>
      <c r="BJK1289" s="66"/>
      <c r="BJL1289" s="66"/>
      <c r="BJM1289" s="66"/>
      <c r="BJN1289" s="66"/>
      <c r="BJO1289" s="66"/>
      <c r="BJP1289" s="66"/>
      <c r="BJQ1289" s="66"/>
      <c r="BJR1289" s="66"/>
      <c r="BJS1289" s="66"/>
      <c r="BJT1289" s="66"/>
      <c r="BJU1289" s="66"/>
      <c r="BJV1289" s="66"/>
      <c r="BJW1289" s="66"/>
      <c r="BJX1289" s="66"/>
      <c r="BJY1289" s="66"/>
      <c r="BJZ1289" s="66"/>
      <c r="BKA1289" s="66"/>
      <c r="BKB1289" s="66"/>
      <c r="BKC1289" s="66"/>
      <c r="BKD1289" s="66"/>
      <c r="BKE1289" s="66"/>
      <c r="BKF1289" s="66"/>
      <c r="BKG1289" s="66"/>
      <c r="BKH1289" s="66"/>
      <c r="BKI1289" s="66"/>
      <c r="BKJ1289" s="66"/>
      <c r="BKK1289" s="66"/>
      <c r="BKL1289" s="66"/>
      <c r="BKM1289" s="66"/>
      <c r="BKN1289" s="66"/>
      <c r="BKO1289" s="66"/>
      <c r="BKP1289" s="66"/>
      <c r="BKQ1289" s="66"/>
      <c r="BKR1289" s="66"/>
      <c r="BKS1289" s="66"/>
      <c r="BKT1289" s="66"/>
      <c r="BKU1289" s="66"/>
      <c r="BKV1289" s="66"/>
      <c r="BKW1289" s="66"/>
      <c r="BKX1289" s="66"/>
      <c r="BKY1289" s="66"/>
      <c r="BKZ1289" s="66"/>
      <c r="BLA1289" s="66"/>
      <c r="BLB1289" s="66"/>
      <c r="BLC1289" s="66"/>
      <c r="BLD1289" s="66"/>
      <c r="BLE1289" s="66"/>
      <c r="BLF1289" s="66"/>
      <c r="BLG1289" s="66"/>
      <c r="BLH1289" s="66"/>
      <c r="BLI1289" s="66"/>
      <c r="BLJ1289" s="66"/>
      <c r="BLK1289" s="66"/>
      <c r="BLL1289" s="66"/>
      <c r="BLM1289" s="66"/>
      <c r="BLN1289" s="66"/>
      <c r="BLO1289" s="66"/>
      <c r="BLP1289" s="66"/>
      <c r="BLQ1289" s="66"/>
      <c r="BLR1289" s="66"/>
      <c r="BLS1289" s="66"/>
      <c r="BLT1289" s="66"/>
      <c r="BLU1289" s="66"/>
      <c r="BLV1289" s="66"/>
      <c r="BLW1289" s="66"/>
      <c r="BLX1289" s="66"/>
      <c r="BLY1289" s="66"/>
      <c r="BLZ1289" s="66"/>
      <c r="BMA1289" s="66"/>
      <c r="BMB1289" s="66"/>
      <c r="BMC1289" s="66"/>
      <c r="BMD1289" s="66"/>
      <c r="BME1289" s="66"/>
      <c r="BMF1289" s="66"/>
      <c r="BMG1289" s="66"/>
      <c r="BMH1289" s="66"/>
      <c r="BMI1289" s="66"/>
      <c r="BMJ1289" s="66"/>
      <c r="BMK1289" s="66"/>
      <c r="BML1289" s="66"/>
      <c r="BMM1289" s="66"/>
      <c r="BMN1289" s="66"/>
      <c r="BMO1289" s="66"/>
      <c r="BMP1289" s="66"/>
      <c r="BMQ1289" s="66"/>
      <c r="BMR1289" s="66"/>
      <c r="BMS1289" s="66"/>
      <c r="BMT1289" s="66"/>
      <c r="BMU1289" s="66"/>
      <c r="BMV1289" s="66"/>
      <c r="BMW1289" s="66"/>
      <c r="BMX1289" s="66"/>
      <c r="BMY1289" s="66"/>
      <c r="BMZ1289" s="66"/>
      <c r="BNA1289" s="66"/>
      <c r="BNB1289" s="66"/>
      <c r="BNC1289" s="66"/>
      <c r="BND1289" s="66"/>
      <c r="BNE1289" s="66"/>
      <c r="BNF1289" s="66"/>
      <c r="BNG1289" s="66"/>
      <c r="BNH1289" s="66"/>
      <c r="BNI1289" s="66"/>
      <c r="BNJ1289" s="66"/>
      <c r="BNK1289" s="66"/>
      <c r="BNL1289" s="66"/>
      <c r="BNM1289" s="66"/>
      <c r="BNN1289" s="66"/>
      <c r="BNO1289" s="66"/>
      <c r="BNP1289" s="66"/>
      <c r="BNQ1289" s="66"/>
      <c r="BNR1289" s="66"/>
      <c r="BNS1289" s="66"/>
      <c r="BNT1289" s="66"/>
      <c r="BNU1289" s="66"/>
      <c r="BNV1289" s="66"/>
      <c r="BNW1289" s="66"/>
      <c r="BNX1289" s="66"/>
      <c r="BNY1289" s="66"/>
      <c r="BNZ1289" s="66"/>
      <c r="BOA1289" s="66"/>
      <c r="BOB1289" s="66"/>
      <c r="BOC1289" s="66"/>
      <c r="BOD1289" s="66"/>
      <c r="BOE1289" s="66"/>
      <c r="BOF1289" s="66"/>
      <c r="BOG1289" s="66"/>
      <c r="BOH1289" s="66"/>
      <c r="BOI1289" s="66"/>
      <c r="BOJ1289" s="66"/>
      <c r="BOK1289" s="66"/>
      <c r="BOL1289" s="66"/>
      <c r="BOM1289" s="66"/>
      <c r="BON1289" s="66"/>
      <c r="BOO1289" s="66"/>
      <c r="BOP1289" s="66"/>
      <c r="BOQ1289" s="66"/>
      <c r="BOR1289" s="66"/>
      <c r="BOS1289" s="66"/>
      <c r="BOT1289" s="66"/>
      <c r="BOU1289" s="66"/>
      <c r="BOV1289" s="66"/>
      <c r="BOW1289" s="66"/>
      <c r="BOX1289" s="66"/>
      <c r="BOY1289" s="66"/>
      <c r="BOZ1289" s="66"/>
      <c r="BPA1289" s="66"/>
      <c r="BPB1289" s="66"/>
      <c r="BPC1289" s="66"/>
      <c r="BPD1289" s="66"/>
      <c r="BPE1289" s="66"/>
      <c r="BPF1289" s="66"/>
      <c r="BPG1289" s="66"/>
      <c r="BPH1289" s="66"/>
      <c r="BPI1289" s="66"/>
      <c r="BPJ1289" s="66"/>
      <c r="BPK1289" s="66"/>
      <c r="BPL1289" s="66"/>
      <c r="BPM1289" s="66"/>
      <c r="BPN1289" s="66"/>
      <c r="BPO1289" s="66"/>
      <c r="BPP1289" s="66"/>
      <c r="BPQ1289" s="66"/>
      <c r="BPR1289" s="66"/>
      <c r="BPS1289" s="66"/>
      <c r="BPT1289" s="66"/>
      <c r="BPU1289" s="66"/>
      <c r="BPV1289" s="66"/>
      <c r="BPW1289" s="66"/>
      <c r="BPX1289" s="66"/>
      <c r="BPY1289" s="66"/>
      <c r="BPZ1289" s="66"/>
      <c r="BQA1289" s="66"/>
      <c r="BQB1289" s="66"/>
      <c r="BQC1289" s="66"/>
      <c r="BQD1289" s="66"/>
      <c r="BQE1289" s="66"/>
      <c r="BQF1289" s="66"/>
      <c r="BQG1289" s="66"/>
      <c r="BQH1289" s="66"/>
      <c r="BQI1289" s="66"/>
      <c r="BQJ1289" s="66"/>
      <c r="BQK1289" s="66"/>
      <c r="BQL1289" s="66"/>
      <c r="BQM1289" s="66"/>
      <c r="BQN1289" s="66"/>
      <c r="BQO1289" s="66"/>
      <c r="BQP1289" s="66"/>
      <c r="BQQ1289" s="66"/>
      <c r="BQR1289" s="66"/>
      <c r="BQS1289" s="66"/>
      <c r="BQT1289" s="66"/>
      <c r="BQU1289" s="66"/>
      <c r="BQV1289" s="66"/>
      <c r="BQW1289" s="66"/>
      <c r="BQX1289" s="66"/>
      <c r="BQY1289" s="66"/>
      <c r="BQZ1289" s="66"/>
      <c r="BRA1289" s="66"/>
      <c r="BRB1289" s="66"/>
      <c r="BRC1289" s="66"/>
      <c r="BRD1289" s="66"/>
      <c r="BRE1289" s="66"/>
      <c r="BRF1289" s="66"/>
      <c r="BRG1289" s="66"/>
      <c r="BRH1289" s="66"/>
      <c r="BRI1289" s="66"/>
      <c r="BRJ1289" s="66"/>
      <c r="BRK1289" s="66"/>
      <c r="BRL1289" s="66"/>
      <c r="BRM1289" s="66"/>
      <c r="BRN1289" s="66"/>
      <c r="BRO1289" s="66"/>
      <c r="BRP1289" s="66"/>
      <c r="BRQ1289" s="66"/>
      <c r="BRR1289" s="66"/>
      <c r="BRS1289" s="66"/>
      <c r="BRT1289" s="66"/>
      <c r="BRU1289" s="66"/>
      <c r="BRV1289" s="66"/>
      <c r="BRW1289" s="66"/>
      <c r="BRX1289" s="66"/>
      <c r="BRY1289" s="66"/>
      <c r="BRZ1289" s="66"/>
      <c r="BSA1289" s="66"/>
      <c r="BSB1289" s="66"/>
      <c r="BSC1289" s="66"/>
      <c r="BSD1289" s="66"/>
      <c r="BSE1289" s="66"/>
      <c r="BSF1289" s="66"/>
      <c r="BSG1289" s="66"/>
      <c r="BSH1289" s="66"/>
      <c r="BSI1289" s="66"/>
      <c r="BSJ1289" s="66"/>
      <c r="BSK1289" s="66"/>
      <c r="BSL1289" s="66"/>
      <c r="BSM1289" s="66"/>
      <c r="BSN1289" s="66"/>
      <c r="BSO1289" s="66"/>
      <c r="BSP1289" s="66"/>
      <c r="BSQ1289" s="66"/>
      <c r="BSR1289" s="66"/>
      <c r="BSS1289" s="66"/>
      <c r="BST1289" s="66"/>
      <c r="BSU1289" s="66"/>
      <c r="BSV1289" s="66"/>
      <c r="BSW1289" s="66"/>
      <c r="BSX1289" s="66"/>
      <c r="BSY1289" s="66"/>
      <c r="BSZ1289" s="66"/>
      <c r="BTA1289" s="66"/>
      <c r="BTB1289" s="66"/>
      <c r="BTC1289" s="66"/>
      <c r="BTD1289" s="66"/>
      <c r="BTE1289" s="66"/>
      <c r="BTF1289" s="66"/>
      <c r="BTG1289" s="66"/>
      <c r="BTH1289" s="66"/>
      <c r="BTI1289" s="66"/>
      <c r="BTJ1289" s="66"/>
      <c r="BTK1289" s="66"/>
      <c r="BTL1289" s="66"/>
      <c r="BTM1289" s="66"/>
      <c r="BTN1289" s="66"/>
      <c r="BTO1289" s="66"/>
      <c r="BTP1289" s="66"/>
      <c r="BTQ1289" s="66"/>
      <c r="BTR1289" s="66"/>
      <c r="BTS1289" s="66"/>
      <c r="BTT1289" s="66"/>
      <c r="BTU1289" s="66"/>
      <c r="BTV1289" s="66"/>
      <c r="BTW1289" s="66"/>
      <c r="BTX1289" s="66"/>
      <c r="BTY1289" s="66"/>
      <c r="BTZ1289" s="66"/>
      <c r="BUA1289" s="66"/>
      <c r="BUB1289" s="66"/>
      <c r="BUC1289" s="66"/>
      <c r="BUD1289" s="66"/>
      <c r="BUE1289" s="66"/>
      <c r="BUF1289" s="66"/>
      <c r="BUG1289" s="66"/>
      <c r="BUH1289" s="66"/>
      <c r="BUI1289" s="66"/>
      <c r="BUJ1289" s="66"/>
      <c r="BUK1289" s="66"/>
      <c r="BUL1289" s="66"/>
      <c r="BUM1289" s="66"/>
      <c r="BUN1289" s="66"/>
      <c r="BUO1289" s="66"/>
      <c r="BUP1289" s="66"/>
      <c r="BUQ1289" s="66"/>
      <c r="BUR1289" s="66"/>
      <c r="BUS1289" s="66"/>
      <c r="BUT1289" s="66"/>
      <c r="BUU1289" s="66"/>
      <c r="BUV1289" s="66"/>
      <c r="BUW1289" s="66"/>
      <c r="BUX1289" s="66"/>
      <c r="BUY1289" s="66"/>
      <c r="BUZ1289" s="66"/>
      <c r="BVA1289" s="66"/>
      <c r="BVB1289" s="66"/>
      <c r="BVC1289" s="66"/>
      <c r="BVD1289" s="66"/>
      <c r="BVE1289" s="66"/>
      <c r="BVF1289" s="66"/>
      <c r="BVG1289" s="66"/>
      <c r="BVH1289" s="66"/>
      <c r="BVI1289" s="66"/>
      <c r="BVJ1289" s="66"/>
      <c r="BVK1289" s="66"/>
      <c r="BVL1289" s="66"/>
      <c r="BVM1289" s="66"/>
      <c r="BVN1289" s="66"/>
      <c r="BVO1289" s="66"/>
      <c r="BVP1289" s="66"/>
      <c r="BVQ1289" s="66"/>
      <c r="BVR1289" s="66"/>
      <c r="BVS1289" s="66"/>
      <c r="BVT1289" s="66"/>
      <c r="BVU1289" s="66"/>
      <c r="BVV1289" s="66"/>
      <c r="BVW1289" s="66"/>
      <c r="BVX1289" s="66"/>
      <c r="BVY1289" s="66"/>
      <c r="BVZ1289" s="66"/>
      <c r="BWA1289" s="66"/>
      <c r="BWB1289" s="66"/>
      <c r="BWC1289" s="66"/>
      <c r="BWD1289" s="66"/>
      <c r="BWE1289" s="66"/>
      <c r="BWF1289" s="66"/>
      <c r="BWG1289" s="66"/>
      <c r="BWH1289" s="66"/>
      <c r="BWI1289" s="66"/>
      <c r="BWJ1289" s="66"/>
      <c r="BWK1289" s="66"/>
      <c r="BWL1289" s="66"/>
      <c r="BWM1289" s="66"/>
      <c r="BWN1289" s="66"/>
      <c r="BWO1289" s="66"/>
      <c r="BWP1289" s="66"/>
      <c r="BWQ1289" s="66"/>
      <c r="BWR1289" s="66"/>
      <c r="BWS1289" s="66"/>
      <c r="BWT1289" s="66"/>
      <c r="BWU1289" s="66"/>
      <c r="BWV1289" s="66"/>
      <c r="BWW1289" s="66"/>
      <c r="BWX1289" s="66"/>
      <c r="BWY1289" s="66"/>
      <c r="BWZ1289" s="66"/>
      <c r="BXA1289" s="66"/>
      <c r="BXB1289" s="66"/>
      <c r="BXC1289" s="66"/>
      <c r="BXD1289" s="66"/>
      <c r="BXE1289" s="66"/>
      <c r="BXF1289" s="66"/>
      <c r="BXG1289" s="66"/>
      <c r="BXH1289" s="66"/>
      <c r="BXI1289" s="66"/>
      <c r="BXJ1289" s="66"/>
      <c r="BXK1289" s="66"/>
      <c r="BXL1289" s="66"/>
      <c r="BXM1289" s="66"/>
      <c r="BXN1289" s="66"/>
      <c r="BXO1289" s="66"/>
      <c r="BXP1289" s="66"/>
      <c r="BXQ1289" s="66"/>
      <c r="BXR1289" s="66"/>
      <c r="BXS1289" s="66"/>
      <c r="BXT1289" s="66"/>
      <c r="BXU1289" s="66"/>
      <c r="BXV1289" s="66"/>
      <c r="BXW1289" s="66"/>
      <c r="BXX1289" s="66"/>
      <c r="BXY1289" s="66"/>
      <c r="BXZ1289" s="66"/>
      <c r="BYA1289" s="66"/>
      <c r="BYB1289" s="66"/>
      <c r="BYC1289" s="66"/>
      <c r="BYD1289" s="66"/>
      <c r="BYE1289" s="66"/>
      <c r="BYF1289" s="66"/>
      <c r="BYG1289" s="66"/>
      <c r="BYH1289" s="66"/>
      <c r="BYI1289" s="66"/>
      <c r="BYJ1289" s="66"/>
      <c r="BYK1289" s="66"/>
      <c r="BYL1289" s="66"/>
      <c r="BYM1289" s="66"/>
      <c r="BYN1289" s="66"/>
      <c r="BYO1289" s="66"/>
      <c r="BYP1289" s="66"/>
      <c r="BYQ1289" s="66"/>
      <c r="BYR1289" s="66"/>
      <c r="BYS1289" s="66"/>
      <c r="BYT1289" s="66"/>
      <c r="BYU1289" s="66"/>
      <c r="BYV1289" s="66"/>
      <c r="BYW1289" s="66"/>
      <c r="BYX1289" s="66"/>
      <c r="BYY1289" s="66"/>
      <c r="BYZ1289" s="66"/>
      <c r="BZA1289" s="66"/>
      <c r="BZB1289" s="66"/>
      <c r="BZC1289" s="66"/>
      <c r="BZD1289" s="66"/>
      <c r="BZE1289" s="66"/>
      <c r="BZF1289" s="66"/>
      <c r="BZG1289" s="66"/>
      <c r="BZH1289" s="66"/>
      <c r="BZI1289" s="66"/>
      <c r="BZJ1289" s="66"/>
      <c r="BZK1289" s="66"/>
      <c r="BZL1289" s="66"/>
      <c r="BZM1289" s="66"/>
      <c r="BZN1289" s="66"/>
      <c r="BZO1289" s="66"/>
      <c r="BZP1289" s="66"/>
      <c r="BZQ1289" s="66"/>
      <c r="BZR1289" s="66"/>
      <c r="BZS1289" s="66"/>
      <c r="BZT1289" s="66"/>
      <c r="BZU1289" s="66"/>
      <c r="BZV1289" s="66"/>
      <c r="BZW1289" s="66"/>
      <c r="BZX1289" s="66"/>
      <c r="BZY1289" s="66"/>
      <c r="BZZ1289" s="66"/>
      <c r="CAA1289" s="66"/>
      <c r="CAB1289" s="66"/>
      <c r="CAC1289" s="66"/>
      <c r="CAD1289" s="66"/>
      <c r="CAE1289" s="66"/>
      <c r="CAF1289" s="66"/>
      <c r="CAG1289" s="66"/>
      <c r="CAH1289" s="66"/>
      <c r="CAI1289" s="66"/>
      <c r="CAJ1289" s="66"/>
      <c r="CAK1289" s="66"/>
      <c r="CAL1289" s="66"/>
      <c r="CAM1289" s="66"/>
      <c r="CAN1289" s="66"/>
      <c r="CAO1289" s="66"/>
      <c r="CAP1289" s="66"/>
      <c r="CAQ1289" s="66"/>
      <c r="CAR1289" s="66"/>
      <c r="CAS1289" s="66"/>
      <c r="CAT1289" s="66"/>
      <c r="CAU1289" s="66"/>
      <c r="CAV1289" s="66"/>
      <c r="CAW1289" s="66"/>
      <c r="CAX1289" s="66"/>
      <c r="CAY1289" s="66"/>
      <c r="CAZ1289" s="66"/>
      <c r="CBA1289" s="66"/>
      <c r="CBB1289" s="66"/>
      <c r="CBC1289" s="66"/>
      <c r="CBD1289" s="66"/>
      <c r="CBE1289" s="66"/>
      <c r="CBF1289" s="66"/>
      <c r="CBG1289" s="66"/>
      <c r="CBH1289" s="66"/>
      <c r="CBI1289" s="66"/>
      <c r="CBJ1289" s="66"/>
      <c r="CBK1289" s="66"/>
      <c r="CBL1289" s="66"/>
      <c r="CBM1289" s="66"/>
      <c r="CBN1289" s="66"/>
      <c r="CBO1289" s="66"/>
      <c r="CBP1289" s="66"/>
      <c r="CBQ1289" s="66"/>
      <c r="CBR1289" s="66"/>
      <c r="CBS1289" s="66"/>
      <c r="CBT1289" s="66"/>
      <c r="CBU1289" s="66"/>
      <c r="CBV1289" s="66"/>
      <c r="CBW1289" s="66"/>
      <c r="CBX1289" s="66"/>
      <c r="CBY1289" s="66"/>
      <c r="CBZ1289" s="66"/>
      <c r="CCA1289" s="66"/>
      <c r="CCB1289" s="66"/>
      <c r="CCC1289" s="66"/>
      <c r="CCD1289" s="66"/>
      <c r="CCE1289" s="66"/>
      <c r="CCF1289" s="66"/>
      <c r="CCG1289" s="66"/>
      <c r="CCH1289" s="66"/>
      <c r="CCI1289" s="66"/>
      <c r="CCJ1289" s="66"/>
      <c r="CCK1289" s="66"/>
      <c r="CCL1289" s="66"/>
      <c r="CCM1289" s="66"/>
      <c r="CCN1289" s="66"/>
      <c r="CCO1289" s="66"/>
      <c r="CCP1289" s="66"/>
      <c r="CCQ1289" s="66"/>
      <c r="CCR1289" s="66"/>
      <c r="CCS1289" s="66"/>
      <c r="CCT1289" s="66"/>
      <c r="CCU1289" s="66"/>
      <c r="CCV1289" s="66"/>
      <c r="CCW1289" s="66"/>
      <c r="CCX1289" s="66"/>
      <c r="CCY1289" s="66"/>
      <c r="CCZ1289" s="66"/>
      <c r="CDA1289" s="66"/>
      <c r="CDB1289" s="66"/>
      <c r="CDC1289" s="66"/>
      <c r="CDD1289" s="66"/>
      <c r="CDE1289" s="66"/>
      <c r="CDF1289" s="66"/>
      <c r="CDG1289" s="66"/>
      <c r="CDH1289" s="66"/>
      <c r="CDI1289" s="66"/>
      <c r="CDJ1289" s="66"/>
      <c r="CDK1289" s="66"/>
      <c r="CDL1289" s="66"/>
      <c r="CDM1289" s="66"/>
      <c r="CDN1289" s="66"/>
      <c r="CDO1289" s="66"/>
      <c r="CDP1289" s="66"/>
      <c r="CDQ1289" s="66"/>
      <c r="CDR1289" s="66"/>
      <c r="CDS1289" s="66"/>
      <c r="CDT1289" s="66"/>
      <c r="CDU1289" s="66"/>
      <c r="CDV1289" s="66"/>
      <c r="CDW1289" s="66"/>
      <c r="CDX1289" s="66"/>
      <c r="CDY1289" s="66"/>
      <c r="CDZ1289" s="66"/>
      <c r="CEA1289" s="66"/>
      <c r="CEB1289" s="66"/>
      <c r="CEC1289" s="66"/>
      <c r="CED1289" s="66"/>
      <c r="CEE1289" s="66"/>
      <c r="CEF1289" s="66"/>
      <c r="CEG1289" s="66"/>
      <c r="CEH1289" s="66"/>
      <c r="CEI1289" s="66"/>
      <c r="CEJ1289" s="66"/>
      <c r="CEK1289" s="66"/>
      <c r="CEL1289" s="66"/>
      <c r="CEM1289" s="66"/>
      <c r="CEN1289" s="66"/>
      <c r="CEO1289" s="66"/>
      <c r="CEP1289" s="66"/>
      <c r="CEQ1289" s="66"/>
      <c r="CER1289" s="66"/>
      <c r="CES1289" s="66"/>
      <c r="CET1289" s="66"/>
      <c r="CEU1289" s="66"/>
      <c r="CEV1289" s="66"/>
      <c r="CEW1289" s="66"/>
      <c r="CEX1289" s="66"/>
      <c r="CEY1289" s="66"/>
      <c r="CEZ1289" s="66"/>
      <c r="CFA1289" s="66"/>
      <c r="CFB1289" s="66"/>
      <c r="CFC1289" s="66"/>
      <c r="CFD1289" s="66"/>
      <c r="CFE1289" s="66"/>
      <c r="CFF1289" s="66"/>
      <c r="CFG1289" s="66"/>
      <c r="CFH1289" s="66"/>
      <c r="CFI1289" s="66"/>
      <c r="CFJ1289" s="66"/>
      <c r="CFK1289" s="66"/>
      <c r="CFL1289" s="66"/>
      <c r="CFM1289" s="66"/>
      <c r="CFN1289" s="66"/>
      <c r="CFO1289" s="66"/>
      <c r="CFP1289" s="66"/>
      <c r="CFQ1289" s="66"/>
      <c r="CFR1289" s="66"/>
      <c r="CFS1289" s="66"/>
      <c r="CFT1289" s="66"/>
      <c r="CFU1289" s="66"/>
      <c r="CFV1289" s="66"/>
      <c r="CFW1289" s="66"/>
      <c r="CFX1289" s="66"/>
      <c r="CFY1289" s="66"/>
      <c r="CFZ1289" s="66"/>
      <c r="CGA1289" s="66"/>
      <c r="CGB1289" s="66"/>
      <c r="CGC1289" s="66"/>
      <c r="CGD1289" s="66"/>
      <c r="CGE1289" s="66"/>
      <c r="CGF1289" s="66"/>
      <c r="CGG1289" s="66"/>
      <c r="CGH1289" s="66"/>
      <c r="CGI1289" s="66"/>
      <c r="CGJ1289" s="66"/>
      <c r="CGK1289" s="66"/>
      <c r="CGL1289" s="66"/>
      <c r="CGM1289" s="66"/>
      <c r="CGN1289" s="66"/>
      <c r="CGO1289" s="66"/>
      <c r="CGP1289" s="66"/>
      <c r="CGQ1289" s="66"/>
      <c r="CGR1289" s="66"/>
      <c r="CGS1289" s="66"/>
      <c r="CGT1289" s="66"/>
      <c r="CGU1289" s="66"/>
      <c r="CGV1289" s="66"/>
      <c r="CGW1289" s="66"/>
      <c r="CGX1289" s="66"/>
      <c r="CGY1289" s="66"/>
      <c r="CGZ1289" s="66"/>
      <c r="CHA1289" s="66"/>
      <c r="CHB1289" s="66"/>
      <c r="CHC1289" s="66"/>
      <c r="CHD1289" s="66"/>
      <c r="CHE1289" s="66"/>
      <c r="CHF1289" s="66"/>
      <c r="CHG1289" s="66"/>
      <c r="CHH1289" s="66"/>
      <c r="CHI1289" s="66"/>
      <c r="CHJ1289" s="66"/>
      <c r="CHK1289" s="66"/>
      <c r="CHL1289" s="66"/>
      <c r="CHM1289" s="66"/>
      <c r="CHN1289" s="66"/>
      <c r="CHO1289" s="66"/>
      <c r="CHP1289" s="66"/>
      <c r="CHQ1289" s="66"/>
      <c r="CHR1289" s="66"/>
      <c r="CHS1289" s="66"/>
      <c r="CHT1289" s="66"/>
      <c r="CHU1289" s="66"/>
      <c r="CHV1289" s="66"/>
      <c r="CHW1289" s="66"/>
      <c r="CHX1289" s="66"/>
      <c r="CHY1289" s="66"/>
      <c r="CHZ1289" s="66"/>
      <c r="CIA1289" s="66"/>
      <c r="CIB1289" s="66"/>
      <c r="CIC1289" s="66"/>
      <c r="CID1289" s="66"/>
      <c r="CIE1289" s="66"/>
      <c r="CIF1289" s="66"/>
      <c r="CIG1289" s="66"/>
      <c r="CIH1289" s="66"/>
      <c r="CII1289" s="66"/>
      <c r="CIJ1289" s="66"/>
      <c r="CIK1289" s="66"/>
      <c r="CIL1289" s="66"/>
      <c r="CIM1289" s="66"/>
      <c r="CIN1289" s="66"/>
      <c r="CIO1289" s="66"/>
      <c r="CIP1289" s="66"/>
      <c r="CIQ1289" s="66"/>
      <c r="CIR1289" s="66"/>
      <c r="CIS1289" s="66"/>
      <c r="CIT1289" s="66"/>
      <c r="CIU1289" s="66"/>
      <c r="CIV1289" s="66"/>
      <c r="CIW1289" s="66"/>
      <c r="CIX1289" s="66"/>
      <c r="CIY1289" s="66"/>
      <c r="CIZ1289" s="66"/>
      <c r="CJA1289" s="66"/>
      <c r="CJB1289" s="66"/>
      <c r="CJC1289" s="66"/>
      <c r="CJD1289" s="66"/>
      <c r="CJE1289" s="66"/>
      <c r="CJF1289" s="66"/>
      <c r="CJG1289" s="66"/>
      <c r="CJH1289" s="66"/>
      <c r="CJI1289" s="66"/>
      <c r="CJJ1289" s="66"/>
      <c r="CJK1289" s="66"/>
      <c r="CJL1289" s="66"/>
      <c r="CJM1289" s="66"/>
      <c r="CJN1289" s="66"/>
      <c r="CJO1289" s="66"/>
      <c r="CJP1289" s="66"/>
      <c r="CJQ1289" s="66"/>
      <c r="CJR1289" s="66"/>
      <c r="CJS1289" s="66"/>
      <c r="CJT1289" s="66"/>
      <c r="CJU1289" s="66"/>
      <c r="CJV1289" s="66"/>
      <c r="CJW1289" s="66"/>
      <c r="CJX1289" s="66"/>
      <c r="CJY1289" s="66"/>
      <c r="CJZ1289" s="66"/>
      <c r="CKA1289" s="66"/>
      <c r="CKB1289" s="66"/>
      <c r="CKC1289" s="66"/>
      <c r="CKD1289" s="66"/>
      <c r="CKE1289" s="66"/>
      <c r="CKF1289" s="66"/>
      <c r="CKG1289" s="66"/>
      <c r="CKH1289" s="66"/>
      <c r="CKI1289" s="66"/>
      <c r="CKJ1289" s="66"/>
      <c r="CKK1289" s="66"/>
      <c r="CKL1289" s="66"/>
      <c r="CKM1289" s="66"/>
      <c r="CKN1289" s="66"/>
      <c r="CKO1289" s="66"/>
      <c r="CKP1289" s="66"/>
      <c r="CKQ1289" s="66"/>
      <c r="CKR1289" s="66"/>
      <c r="CKS1289" s="66"/>
      <c r="CKT1289" s="66"/>
      <c r="CKU1289" s="66"/>
      <c r="CKV1289" s="66"/>
      <c r="CKW1289" s="66"/>
      <c r="CKX1289" s="66"/>
      <c r="CKY1289" s="66"/>
      <c r="CKZ1289" s="66"/>
      <c r="CLA1289" s="66"/>
      <c r="CLB1289" s="66"/>
      <c r="CLC1289" s="66"/>
      <c r="CLD1289" s="66"/>
      <c r="CLE1289" s="66"/>
      <c r="CLF1289" s="66"/>
      <c r="CLG1289" s="66"/>
      <c r="CLH1289" s="66"/>
      <c r="CLI1289" s="66"/>
      <c r="CLJ1289" s="66"/>
      <c r="CLK1289" s="66"/>
      <c r="CLL1289" s="66"/>
      <c r="CLM1289" s="66"/>
      <c r="CLN1289" s="66"/>
      <c r="CLO1289" s="66"/>
      <c r="CLP1289" s="66"/>
      <c r="CLQ1289" s="66"/>
      <c r="CLR1289" s="66"/>
      <c r="CLS1289" s="66"/>
      <c r="CLT1289" s="66"/>
      <c r="CLU1289" s="66"/>
      <c r="CLV1289" s="66"/>
      <c r="CLW1289" s="66"/>
      <c r="CLX1289" s="66"/>
      <c r="CLY1289" s="66"/>
      <c r="CLZ1289" s="66"/>
      <c r="CMA1289" s="66"/>
      <c r="CMB1289" s="66"/>
      <c r="CMC1289" s="66"/>
      <c r="CMD1289" s="66"/>
      <c r="CME1289" s="66"/>
      <c r="CMF1289" s="66"/>
      <c r="CMG1289" s="66"/>
      <c r="CMH1289" s="66"/>
      <c r="CMI1289" s="66"/>
      <c r="CMJ1289" s="66"/>
      <c r="CMK1289" s="66"/>
      <c r="CML1289" s="66"/>
      <c r="CMM1289" s="66"/>
      <c r="CMN1289" s="66"/>
      <c r="CMO1289" s="66"/>
      <c r="CMP1289" s="66"/>
      <c r="CMQ1289" s="66"/>
      <c r="CMR1289" s="66"/>
      <c r="CMS1289" s="66"/>
      <c r="CMT1289" s="66"/>
      <c r="CMU1289" s="66"/>
      <c r="CMV1289" s="66"/>
      <c r="CMW1289" s="66"/>
      <c r="CMX1289" s="66"/>
      <c r="CMY1289" s="66"/>
      <c r="CMZ1289" s="66"/>
      <c r="CNA1289" s="66"/>
      <c r="CNB1289" s="66"/>
      <c r="CNC1289" s="66"/>
      <c r="CND1289" s="66"/>
      <c r="CNE1289" s="66"/>
      <c r="CNF1289" s="66"/>
      <c r="CNG1289" s="66"/>
      <c r="CNH1289" s="66"/>
      <c r="CNI1289" s="66"/>
      <c r="CNJ1289" s="66"/>
      <c r="CNK1289" s="66"/>
      <c r="CNL1289" s="66"/>
      <c r="CNM1289" s="66"/>
      <c r="CNN1289" s="66"/>
      <c r="CNO1289" s="66"/>
      <c r="CNP1289" s="66"/>
      <c r="CNQ1289" s="66"/>
      <c r="CNR1289" s="66"/>
      <c r="CNS1289" s="66"/>
      <c r="CNT1289" s="66"/>
      <c r="CNU1289" s="66"/>
      <c r="CNV1289" s="66"/>
      <c r="CNW1289" s="66"/>
      <c r="CNX1289" s="66"/>
      <c r="CNY1289" s="66"/>
      <c r="CNZ1289" s="66"/>
      <c r="COA1289" s="66"/>
      <c r="COB1289" s="66"/>
      <c r="COC1289" s="66"/>
      <c r="COD1289" s="66"/>
      <c r="COE1289" s="66"/>
      <c r="COF1289" s="66"/>
      <c r="COG1289" s="66"/>
      <c r="COH1289" s="66"/>
      <c r="COI1289" s="66"/>
      <c r="COJ1289" s="66"/>
      <c r="COK1289" s="66"/>
      <c r="COL1289" s="66"/>
      <c r="COM1289" s="66"/>
      <c r="CON1289" s="66"/>
      <c r="COO1289" s="66"/>
      <c r="COP1289" s="66"/>
      <c r="COQ1289" s="66"/>
      <c r="COR1289" s="66"/>
      <c r="COS1289" s="66"/>
      <c r="COT1289" s="66"/>
      <c r="COU1289" s="66"/>
      <c r="COV1289" s="66"/>
      <c r="COW1289" s="66"/>
      <c r="COX1289" s="66"/>
      <c r="COY1289" s="66"/>
      <c r="COZ1289" s="66"/>
      <c r="CPA1289" s="66"/>
      <c r="CPB1289" s="66"/>
      <c r="CPC1289" s="66"/>
      <c r="CPD1289" s="66"/>
      <c r="CPE1289" s="66"/>
      <c r="CPF1289" s="66"/>
      <c r="CPG1289" s="66"/>
      <c r="CPH1289" s="66"/>
      <c r="CPI1289" s="66"/>
      <c r="CPJ1289" s="66"/>
      <c r="CPK1289" s="66"/>
      <c r="CPL1289" s="66"/>
      <c r="CPM1289" s="66"/>
      <c r="CPN1289" s="66"/>
      <c r="CPO1289" s="66"/>
      <c r="CPP1289" s="66"/>
      <c r="CPQ1289" s="66"/>
      <c r="CPR1289" s="66"/>
      <c r="CPS1289" s="66"/>
      <c r="CPT1289" s="66"/>
      <c r="CPU1289" s="66"/>
      <c r="CPV1289" s="66"/>
      <c r="CPW1289" s="66"/>
      <c r="CPX1289" s="66"/>
      <c r="CPY1289" s="66"/>
      <c r="CPZ1289" s="66"/>
      <c r="CQA1289" s="66"/>
      <c r="CQB1289" s="66"/>
      <c r="CQC1289" s="66"/>
      <c r="CQD1289" s="66"/>
      <c r="CQE1289" s="66"/>
      <c r="CQF1289" s="66"/>
      <c r="CQG1289" s="66"/>
      <c r="CQH1289" s="66"/>
      <c r="CQI1289" s="66"/>
      <c r="CQJ1289" s="66"/>
      <c r="CQK1289" s="66"/>
      <c r="CQL1289" s="66"/>
      <c r="CQM1289" s="66"/>
      <c r="CQN1289" s="66"/>
      <c r="CQO1289" s="66"/>
      <c r="CQP1289" s="66"/>
      <c r="CQQ1289" s="66"/>
      <c r="CQR1289" s="66"/>
      <c r="CQS1289" s="66"/>
      <c r="CQT1289" s="66"/>
      <c r="CQU1289" s="66"/>
      <c r="CQV1289" s="66"/>
      <c r="CQW1289" s="66"/>
      <c r="CQX1289" s="66"/>
      <c r="CQY1289" s="66"/>
      <c r="CQZ1289" s="66"/>
      <c r="CRA1289" s="66"/>
      <c r="CRB1289" s="66"/>
      <c r="CRC1289" s="66"/>
      <c r="CRD1289" s="66"/>
      <c r="CRE1289" s="66"/>
      <c r="CRF1289" s="66"/>
      <c r="CRG1289" s="66"/>
      <c r="CRH1289" s="66"/>
      <c r="CRI1289" s="66"/>
      <c r="CRJ1289" s="66"/>
      <c r="CRK1289" s="66"/>
      <c r="CRL1289" s="66"/>
      <c r="CRM1289" s="66"/>
      <c r="CRN1289" s="66"/>
      <c r="CRO1289" s="66"/>
      <c r="CRP1289" s="66"/>
      <c r="CRQ1289" s="66"/>
      <c r="CRR1289" s="66"/>
      <c r="CRS1289" s="66"/>
      <c r="CRT1289" s="66"/>
      <c r="CRU1289" s="66"/>
      <c r="CRV1289" s="66"/>
      <c r="CRW1289" s="66"/>
      <c r="CRX1289" s="66"/>
      <c r="CRY1289" s="66"/>
      <c r="CRZ1289" s="66"/>
      <c r="CSA1289" s="66"/>
      <c r="CSB1289" s="66"/>
      <c r="CSC1289" s="66"/>
      <c r="CSD1289" s="66"/>
      <c r="CSE1289" s="66"/>
      <c r="CSF1289" s="66"/>
      <c r="CSG1289" s="66"/>
      <c r="CSH1289" s="66"/>
      <c r="CSI1289" s="66"/>
      <c r="CSJ1289" s="66"/>
      <c r="CSK1289" s="66"/>
      <c r="CSL1289" s="66"/>
      <c r="CSM1289" s="66"/>
      <c r="CSN1289" s="66"/>
      <c r="CSO1289" s="66"/>
      <c r="CSP1289" s="66"/>
      <c r="CSQ1289" s="66"/>
      <c r="CSR1289" s="66"/>
      <c r="CSS1289" s="66"/>
      <c r="CST1289" s="66"/>
      <c r="CSU1289" s="66"/>
      <c r="CSV1289" s="66"/>
      <c r="CSW1289" s="66"/>
      <c r="CSX1289" s="66"/>
      <c r="CSY1289" s="66"/>
      <c r="CSZ1289" s="66"/>
      <c r="CTA1289" s="66"/>
      <c r="CTB1289" s="66"/>
      <c r="CTC1289" s="66"/>
      <c r="CTD1289" s="66"/>
      <c r="CTE1289" s="66"/>
      <c r="CTF1289" s="66"/>
      <c r="CTG1289" s="66"/>
      <c r="CTH1289" s="66"/>
      <c r="CTI1289" s="66"/>
      <c r="CTJ1289" s="66"/>
      <c r="CTK1289" s="66"/>
      <c r="CTL1289" s="66"/>
      <c r="CTM1289" s="66"/>
      <c r="CTN1289" s="66"/>
      <c r="CTO1289" s="66"/>
      <c r="CTP1289" s="66"/>
      <c r="CTQ1289" s="66"/>
      <c r="CTR1289" s="66"/>
      <c r="CTS1289" s="66"/>
      <c r="CTT1289" s="66"/>
      <c r="CTU1289" s="66"/>
      <c r="CTV1289" s="66"/>
      <c r="CTW1289" s="66"/>
      <c r="CTX1289" s="66"/>
      <c r="CTY1289" s="66"/>
      <c r="CTZ1289" s="66"/>
      <c r="CUA1289" s="66"/>
      <c r="CUB1289" s="66"/>
      <c r="CUC1289" s="66"/>
      <c r="CUD1289" s="66"/>
      <c r="CUE1289" s="66"/>
      <c r="CUF1289" s="66"/>
      <c r="CUG1289" s="66"/>
      <c r="CUH1289" s="66"/>
      <c r="CUI1289" s="66"/>
      <c r="CUJ1289" s="66"/>
      <c r="CUK1289" s="66"/>
      <c r="CUL1289" s="66"/>
      <c r="CUM1289" s="66"/>
      <c r="CUN1289" s="66"/>
      <c r="CUO1289" s="66"/>
      <c r="CUP1289" s="66"/>
      <c r="CUQ1289" s="66"/>
      <c r="CUR1289" s="66"/>
      <c r="CUS1289" s="66"/>
      <c r="CUT1289" s="66"/>
      <c r="CUU1289" s="66"/>
      <c r="CUV1289" s="66"/>
      <c r="CUW1289" s="66"/>
      <c r="CUX1289" s="66"/>
      <c r="CUY1289" s="66"/>
      <c r="CUZ1289" s="66"/>
      <c r="CVA1289" s="66"/>
      <c r="CVB1289" s="66"/>
      <c r="CVC1289" s="66"/>
      <c r="CVD1289" s="66"/>
      <c r="CVE1289" s="66"/>
      <c r="CVF1289" s="66"/>
      <c r="CVG1289" s="66"/>
      <c r="CVH1289" s="66"/>
      <c r="CVI1289" s="66"/>
      <c r="CVJ1289" s="66"/>
      <c r="CVK1289" s="66"/>
      <c r="CVL1289" s="66"/>
      <c r="CVM1289" s="66"/>
      <c r="CVN1289" s="66"/>
      <c r="CVO1289" s="66"/>
      <c r="CVP1289" s="66"/>
      <c r="CVQ1289" s="66"/>
      <c r="CVR1289" s="66"/>
      <c r="CVS1289" s="66"/>
      <c r="CVT1289" s="66"/>
      <c r="CVU1289" s="66"/>
      <c r="CVV1289" s="66"/>
      <c r="CVW1289" s="66"/>
      <c r="CVX1289" s="66"/>
      <c r="CVY1289" s="66"/>
      <c r="CVZ1289" s="66"/>
      <c r="CWA1289" s="66"/>
      <c r="CWB1289" s="66"/>
      <c r="CWC1289" s="66"/>
      <c r="CWD1289" s="66"/>
      <c r="CWE1289" s="66"/>
      <c r="CWF1289" s="66"/>
      <c r="CWG1289" s="66"/>
      <c r="CWH1289" s="66"/>
      <c r="CWI1289" s="66"/>
      <c r="CWJ1289" s="66"/>
      <c r="CWK1289" s="66"/>
      <c r="CWL1289" s="66"/>
      <c r="CWM1289" s="66"/>
      <c r="CWN1289" s="66"/>
      <c r="CWO1289" s="66"/>
      <c r="CWP1289" s="66"/>
      <c r="CWQ1289" s="66"/>
      <c r="CWR1289" s="66"/>
      <c r="CWS1289" s="66"/>
      <c r="CWT1289" s="66"/>
      <c r="CWU1289" s="66"/>
      <c r="CWV1289" s="66"/>
      <c r="CWW1289" s="66"/>
      <c r="CWX1289" s="66"/>
      <c r="CWY1289" s="66"/>
      <c r="CWZ1289" s="66"/>
      <c r="CXA1289" s="66"/>
      <c r="CXB1289" s="66"/>
      <c r="CXC1289" s="66"/>
      <c r="CXD1289" s="66"/>
      <c r="CXE1289" s="66"/>
      <c r="CXF1289" s="66"/>
      <c r="CXG1289" s="66"/>
      <c r="CXH1289" s="66"/>
      <c r="CXI1289" s="66"/>
      <c r="CXJ1289" s="66"/>
      <c r="CXK1289" s="66"/>
      <c r="CXL1289" s="66"/>
      <c r="CXM1289" s="66"/>
      <c r="CXN1289" s="66"/>
      <c r="CXO1289" s="66"/>
      <c r="CXP1289" s="66"/>
      <c r="CXQ1289" s="66"/>
      <c r="CXR1289" s="66"/>
      <c r="CXS1289" s="66"/>
      <c r="CXT1289" s="66"/>
      <c r="CXU1289" s="66"/>
      <c r="CXV1289" s="66"/>
      <c r="CXW1289" s="66"/>
      <c r="CXX1289" s="66"/>
      <c r="CXY1289" s="66"/>
      <c r="CXZ1289" s="66"/>
      <c r="CYA1289" s="66"/>
      <c r="CYB1289" s="66"/>
      <c r="CYC1289" s="66"/>
      <c r="CYD1289" s="66"/>
      <c r="CYE1289" s="66"/>
      <c r="CYF1289" s="66"/>
      <c r="CYG1289" s="66"/>
      <c r="CYH1289" s="66"/>
      <c r="CYI1289" s="66"/>
      <c r="CYJ1289" s="66"/>
      <c r="CYK1289" s="66"/>
      <c r="CYL1289" s="66"/>
      <c r="CYM1289" s="66"/>
      <c r="CYN1289" s="66"/>
      <c r="CYO1289" s="66"/>
      <c r="CYP1289" s="66"/>
      <c r="CYQ1289" s="66"/>
      <c r="CYR1289" s="66"/>
      <c r="CYS1289" s="66"/>
      <c r="CYT1289" s="66"/>
      <c r="CYU1289" s="66"/>
      <c r="CYV1289" s="66"/>
      <c r="CYW1289" s="66"/>
      <c r="CYX1289" s="66"/>
      <c r="CYY1289" s="66"/>
      <c r="CYZ1289" s="66"/>
      <c r="CZA1289" s="66"/>
      <c r="CZB1289" s="66"/>
      <c r="CZC1289" s="66"/>
      <c r="CZD1289" s="66"/>
      <c r="CZE1289" s="66"/>
      <c r="CZF1289" s="66"/>
      <c r="CZG1289" s="66"/>
      <c r="CZH1289" s="66"/>
      <c r="CZI1289" s="66"/>
      <c r="CZJ1289" s="66"/>
      <c r="CZK1289" s="66"/>
      <c r="CZL1289" s="66"/>
      <c r="CZM1289" s="66"/>
      <c r="CZN1289" s="66"/>
      <c r="CZO1289" s="66"/>
      <c r="CZP1289" s="66"/>
      <c r="CZQ1289" s="66"/>
      <c r="CZR1289" s="66"/>
      <c r="CZS1289" s="66"/>
      <c r="CZT1289" s="66"/>
      <c r="CZU1289" s="66"/>
      <c r="CZV1289" s="66"/>
      <c r="CZW1289" s="66"/>
      <c r="CZX1289" s="66"/>
      <c r="CZY1289" s="66"/>
      <c r="CZZ1289" s="66"/>
      <c r="DAA1289" s="66"/>
      <c r="DAB1289" s="66"/>
      <c r="DAC1289" s="66"/>
      <c r="DAD1289" s="66"/>
      <c r="DAE1289" s="66"/>
      <c r="DAF1289" s="66"/>
      <c r="DAG1289" s="66"/>
      <c r="DAH1289" s="66"/>
      <c r="DAI1289" s="66"/>
      <c r="DAJ1289" s="66"/>
      <c r="DAK1289" s="66"/>
      <c r="DAL1289" s="66"/>
      <c r="DAM1289" s="66"/>
      <c r="DAN1289" s="66"/>
      <c r="DAO1289" s="66"/>
      <c r="DAP1289" s="66"/>
      <c r="DAQ1289" s="66"/>
      <c r="DAR1289" s="66"/>
      <c r="DAS1289" s="66"/>
      <c r="DAT1289" s="66"/>
      <c r="DAU1289" s="66"/>
      <c r="DAV1289" s="66"/>
      <c r="DAW1289" s="66"/>
      <c r="DAX1289" s="66"/>
      <c r="DAY1289" s="66"/>
      <c r="DAZ1289" s="66"/>
      <c r="DBA1289" s="66"/>
      <c r="DBB1289" s="66"/>
      <c r="DBC1289" s="66"/>
      <c r="DBD1289" s="66"/>
      <c r="DBE1289" s="66"/>
      <c r="DBF1289" s="66"/>
      <c r="DBG1289" s="66"/>
      <c r="DBH1289" s="66"/>
      <c r="DBI1289" s="66"/>
      <c r="DBJ1289" s="66"/>
      <c r="DBK1289" s="66"/>
      <c r="DBL1289" s="66"/>
      <c r="DBM1289" s="66"/>
      <c r="DBN1289" s="66"/>
      <c r="DBO1289" s="66"/>
      <c r="DBP1289" s="66"/>
      <c r="DBQ1289" s="66"/>
      <c r="DBR1289" s="66"/>
      <c r="DBS1289" s="66"/>
      <c r="DBT1289" s="66"/>
      <c r="DBU1289" s="66"/>
      <c r="DBV1289" s="66"/>
      <c r="DBW1289" s="66"/>
      <c r="DBX1289" s="66"/>
      <c r="DBY1289" s="66"/>
      <c r="DBZ1289" s="66"/>
      <c r="DCA1289" s="66"/>
      <c r="DCB1289" s="66"/>
      <c r="DCC1289" s="66"/>
      <c r="DCD1289" s="66"/>
      <c r="DCE1289" s="66"/>
      <c r="DCF1289" s="66"/>
      <c r="DCG1289" s="66"/>
      <c r="DCH1289" s="66"/>
      <c r="DCI1289" s="66"/>
      <c r="DCJ1289" s="66"/>
      <c r="DCK1289" s="66"/>
      <c r="DCL1289" s="66"/>
      <c r="DCM1289" s="66"/>
      <c r="DCN1289" s="66"/>
      <c r="DCO1289" s="66"/>
      <c r="DCP1289" s="66"/>
      <c r="DCQ1289" s="66"/>
      <c r="DCR1289" s="66"/>
      <c r="DCS1289" s="66"/>
      <c r="DCT1289" s="66"/>
      <c r="DCU1289" s="66"/>
      <c r="DCV1289" s="66"/>
      <c r="DCW1289" s="66"/>
      <c r="DCX1289" s="66"/>
      <c r="DCY1289" s="66"/>
      <c r="DCZ1289" s="66"/>
      <c r="DDA1289" s="66"/>
      <c r="DDB1289" s="66"/>
      <c r="DDC1289" s="66"/>
      <c r="DDD1289" s="66"/>
      <c r="DDE1289" s="66"/>
      <c r="DDF1289" s="66"/>
      <c r="DDG1289" s="66"/>
      <c r="DDH1289" s="66"/>
      <c r="DDI1289" s="66"/>
      <c r="DDJ1289" s="66"/>
      <c r="DDK1289" s="66"/>
      <c r="DDL1289" s="66"/>
      <c r="DDM1289" s="66"/>
      <c r="DDN1289" s="66"/>
      <c r="DDO1289" s="66"/>
      <c r="DDP1289" s="66"/>
      <c r="DDQ1289" s="66"/>
      <c r="DDR1289" s="66"/>
      <c r="DDS1289" s="66"/>
      <c r="DDT1289" s="66"/>
      <c r="DDU1289" s="66"/>
      <c r="DDV1289" s="66"/>
      <c r="DDW1289" s="66"/>
      <c r="DDX1289" s="66"/>
      <c r="DDY1289" s="66"/>
      <c r="DDZ1289" s="66"/>
      <c r="DEA1289" s="66"/>
      <c r="DEB1289" s="66"/>
      <c r="DEC1289" s="66"/>
      <c r="DED1289" s="66"/>
      <c r="DEE1289" s="66"/>
      <c r="DEF1289" s="66"/>
      <c r="DEG1289" s="66"/>
      <c r="DEH1289" s="66"/>
      <c r="DEI1289" s="66"/>
      <c r="DEJ1289" s="66"/>
      <c r="DEK1289" s="66"/>
      <c r="DEL1289" s="66"/>
      <c r="DEM1289" s="66"/>
      <c r="DEN1289" s="66"/>
      <c r="DEO1289" s="66"/>
      <c r="DEP1289" s="66"/>
      <c r="DEQ1289" s="66"/>
      <c r="DER1289" s="66"/>
      <c r="DES1289" s="66"/>
      <c r="DET1289" s="66"/>
      <c r="DEU1289" s="66"/>
      <c r="DEV1289" s="66"/>
      <c r="DEW1289" s="66"/>
      <c r="DEX1289" s="66"/>
      <c r="DEY1289" s="66"/>
      <c r="DEZ1289" s="66"/>
      <c r="DFA1289" s="66"/>
      <c r="DFB1289" s="66"/>
      <c r="DFC1289" s="66"/>
      <c r="DFD1289" s="66"/>
      <c r="DFE1289" s="66"/>
      <c r="DFF1289" s="66"/>
      <c r="DFG1289" s="66"/>
      <c r="DFH1289" s="66"/>
      <c r="DFI1289" s="66"/>
      <c r="DFJ1289" s="66"/>
      <c r="DFK1289" s="66"/>
      <c r="DFL1289" s="66"/>
      <c r="DFM1289" s="66"/>
      <c r="DFN1289" s="66"/>
      <c r="DFO1289" s="66"/>
      <c r="DFP1289" s="66"/>
      <c r="DFQ1289" s="66"/>
      <c r="DFR1289" s="66"/>
      <c r="DFS1289" s="66"/>
      <c r="DFT1289" s="66"/>
      <c r="DFU1289" s="66"/>
      <c r="DFV1289" s="66"/>
      <c r="DFW1289" s="66"/>
      <c r="DFX1289" s="66"/>
      <c r="DFY1289" s="66"/>
      <c r="DFZ1289" s="66"/>
      <c r="DGA1289" s="66"/>
      <c r="DGB1289" s="66"/>
      <c r="DGC1289" s="66"/>
      <c r="DGD1289" s="66"/>
      <c r="DGE1289" s="66"/>
      <c r="DGF1289" s="66"/>
      <c r="DGG1289" s="66"/>
      <c r="DGH1289" s="66"/>
      <c r="DGI1289" s="66"/>
      <c r="DGJ1289" s="66"/>
      <c r="DGK1289" s="66"/>
      <c r="DGL1289" s="66"/>
      <c r="DGM1289" s="66"/>
      <c r="DGN1289" s="66"/>
      <c r="DGO1289" s="66"/>
      <c r="DGP1289" s="66"/>
      <c r="DGQ1289" s="66"/>
      <c r="DGR1289" s="66"/>
      <c r="DGS1289" s="66"/>
      <c r="DGT1289" s="66"/>
      <c r="DGU1289" s="66"/>
      <c r="DGV1289" s="66"/>
      <c r="DGW1289" s="66"/>
      <c r="DGX1289" s="66"/>
      <c r="DGY1289" s="66"/>
      <c r="DGZ1289" s="66"/>
      <c r="DHA1289" s="66"/>
      <c r="DHB1289" s="66"/>
      <c r="DHC1289" s="66"/>
      <c r="DHD1289" s="66"/>
      <c r="DHE1289" s="66"/>
      <c r="DHF1289" s="66"/>
      <c r="DHG1289" s="66"/>
      <c r="DHH1289" s="66"/>
      <c r="DHI1289" s="66"/>
      <c r="DHJ1289" s="66"/>
      <c r="DHK1289" s="66"/>
      <c r="DHL1289" s="66"/>
      <c r="DHM1289" s="66"/>
      <c r="DHN1289" s="66"/>
      <c r="DHO1289" s="66"/>
      <c r="DHP1289" s="66"/>
      <c r="DHQ1289" s="66"/>
      <c r="DHR1289" s="66"/>
      <c r="DHS1289" s="66"/>
      <c r="DHT1289" s="66"/>
      <c r="DHU1289" s="66"/>
      <c r="DHV1289" s="66"/>
      <c r="DHW1289" s="66"/>
      <c r="DHX1289" s="66"/>
      <c r="DHY1289" s="66"/>
      <c r="DHZ1289" s="66"/>
      <c r="DIA1289" s="66"/>
      <c r="DIB1289" s="66"/>
      <c r="DIC1289" s="66"/>
      <c r="DID1289" s="66"/>
      <c r="DIE1289" s="66"/>
      <c r="DIF1289" s="66"/>
      <c r="DIG1289" s="66"/>
      <c r="DIH1289" s="66"/>
      <c r="DII1289" s="66"/>
      <c r="DIJ1289" s="66"/>
      <c r="DIK1289" s="66"/>
      <c r="DIL1289" s="66"/>
      <c r="DIM1289" s="66"/>
      <c r="DIN1289" s="66"/>
      <c r="DIO1289" s="66"/>
      <c r="DIP1289" s="66"/>
      <c r="DIQ1289" s="66"/>
      <c r="DIR1289" s="66"/>
      <c r="DIS1289" s="66"/>
      <c r="DIT1289" s="66"/>
      <c r="DIU1289" s="66"/>
      <c r="DIV1289" s="66"/>
      <c r="DIW1289" s="66"/>
      <c r="DIX1289" s="66"/>
      <c r="DIY1289" s="66"/>
      <c r="DIZ1289" s="66"/>
      <c r="DJA1289" s="66"/>
      <c r="DJB1289" s="66"/>
      <c r="DJC1289" s="66"/>
      <c r="DJD1289" s="66"/>
      <c r="DJE1289" s="66"/>
      <c r="DJF1289" s="66"/>
      <c r="DJG1289" s="66"/>
      <c r="DJH1289" s="66"/>
      <c r="DJI1289" s="66"/>
      <c r="DJJ1289" s="66"/>
      <c r="DJK1289" s="66"/>
      <c r="DJL1289" s="66"/>
      <c r="DJM1289" s="66"/>
      <c r="DJN1289" s="66"/>
      <c r="DJO1289" s="66"/>
      <c r="DJP1289" s="66"/>
      <c r="DJQ1289" s="66"/>
      <c r="DJR1289" s="66"/>
      <c r="DJS1289" s="66"/>
      <c r="DJT1289" s="66"/>
      <c r="DJU1289" s="66"/>
      <c r="DJV1289" s="66"/>
      <c r="DJW1289" s="66"/>
      <c r="DJX1289" s="66"/>
      <c r="DJY1289" s="66"/>
      <c r="DJZ1289" s="66"/>
      <c r="DKA1289" s="66"/>
      <c r="DKB1289" s="66"/>
      <c r="DKC1289" s="66"/>
      <c r="DKD1289" s="66"/>
      <c r="DKE1289" s="66"/>
      <c r="DKF1289" s="66"/>
      <c r="DKG1289" s="66"/>
      <c r="DKH1289" s="66"/>
      <c r="DKI1289" s="66"/>
      <c r="DKJ1289" s="66"/>
      <c r="DKK1289" s="66"/>
      <c r="DKL1289" s="66"/>
      <c r="DKM1289" s="66"/>
      <c r="DKN1289" s="66"/>
      <c r="DKO1289" s="66"/>
      <c r="DKP1289" s="66"/>
      <c r="DKQ1289" s="66"/>
      <c r="DKR1289" s="66"/>
      <c r="DKS1289" s="66"/>
      <c r="DKT1289" s="66"/>
      <c r="DKU1289" s="66"/>
      <c r="DKV1289" s="66"/>
      <c r="DKW1289" s="66"/>
      <c r="DKX1289" s="66"/>
      <c r="DKY1289" s="66"/>
      <c r="DKZ1289" s="66"/>
      <c r="DLA1289" s="66"/>
      <c r="DLB1289" s="66"/>
      <c r="DLC1289" s="66"/>
      <c r="DLD1289" s="66"/>
      <c r="DLE1289" s="66"/>
      <c r="DLF1289" s="66"/>
      <c r="DLG1289" s="66"/>
      <c r="DLH1289" s="66"/>
      <c r="DLI1289" s="66"/>
      <c r="DLJ1289" s="66"/>
      <c r="DLK1289" s="66"/>
      <c r="DLL1289" s="66"/>
      <c r="DLM1289" s="66"/>
      <c r="DLN1289" s="66"/>
      <c r="DLO1289" s="66"/>
      <c r="DLP1289" s="66"/>
      <c r="DLQ1289" s="66"/>
      <c r="DLR1289" s="66"/>
      <c r="DLS1289" s="66"/>
      <c r="DLT1289" s="66"/>
      <c r="DLU1289" s="66"/>
      <c r="DLV1289" s="66"/>
      <c r="DLW1289" s="66"/>
      <c r="DLX1289" s="66"/>
      <c r="DLY1289" s="66"/>
      <c r="DLZ1289" s="66"/>
      <c r="DMA1289" s="66"/>
      <c r="DMB1289" s="66"/>
      <c r="DMC1289" s="66"/>
      <c r="DMD1289" s="66"/>
      <c r="DME1289" s="66"/>
      <c r="DMF1289" s="66"/>
      <c r="DMG1289" s="66"/>
      <c r="DMH1289" s="66"/>
      <c r="DMI1289" s="66"/>
      <c r="DMJ1289" s="66"/>
      <c r="DMK1289" s="66"/>
      <c r="DML1289" s="66"/>
      <c r="DMM1289" s="66"/>
      <c r="DMN1289" s="66"/>
      <c r="DMO1289" s="66"/>
      <c r="DMP1289" s="66"/>
      <c r="DMQ1289" s="66"/>
      <c r="DMR1289" s="66"/>
      <c r="DMS1289" s="66"/>
      <c r="DMT1289" s="66"/>
      <c r="DMU1289" s="66"/>
      <c r="DMV1289" s="66"/>
      <c r="DMW1289" s="66"/>
      <c r="DMX1289" s="66"/>
      <c r="DMY1289" s="66"/>
      <c r="DMZ1289" s="66"/>
      <c r="DNA1289" s="66"/>
      <c r="DNB1289" s="66"/>
      <c r="DNC1289" s="66"/>
      <c r="DND1289" s="66"/>
      <c r="DNE1289" s="66"/>
      <c r="DNF1289" s="66"/>
      <c r="DNG1289" s="66"/>
      <c r="DNH1289" s="66"/>
      <c r="DNI1289" s="66"/>
      <c r="DNJ1289" s="66"/>
      <c r="DNK1289" s="66"/>
      <c r="DNL1289" s="66"/>
      <c r="DNM1289" s="66"/>
      <c r="DNN1289" s="66"/>
      <c r="DNO1289" s="66"/>
      <c r="DNP1289" s="66"/>
      <c r="DNQ1289" s="66"/>
      <c r="DNR1289" s="66"/>
      <c r="DNS1289" s="66"/>
      <c r="DNT1289" s="66"/>
      <c r="DNU1289" s="66"/>
      <c r="DNV1289" s="66"/>
      <c r="DNW1289" s="66"/>
      <c r="DNX1289" s="66"/>
      <c r="DNY1289" s="66"/>
      <c r="DNZ1289" s="66"/>
      <c r="DOA1289" s="66"/>
      <c r="DOB1289" s="66"/>
      <c r="DOC1289" s="66"/>
      <c r="DOD1289" s="66"/>
      <c r="DOE1289" s="66"/>
      <c r="DOF1289" s="66"/>
      <c r="DOG1289" s="66"/>
      <c r="DOH1289" s="66"/>
      <c r="DOI1289" s="66"/>
      <c r="DOJ1289" s="66"/>
      <c r="DOK1289" s="66"/>
      <c r="DOL1289" s="66"/>
      <c r="DOM1289" s="66"/>
      <c r="DON1289" s="66"/>
      <c r="DOO1289" s="66"/>
      <c r="DOP1289" s="66"/>
      <c r="DOQ1289" s="66"/>
      <c r="DOR1289" s="66"/>
      <c r="DOS1289" s="66"/>
      <c r="DOT1289" s="66"/>
      <c r="DOU1289" s="66"/>
      <c r="DOV1289" s="66"/>
      <c r="DOW1289" s="66"/>
      <c r="DOX1289" s="66"/>
      <c r="DOY1289" s="66"/>
      <c r="DOZ1289" s="66"/>
      <c r="DPA1289" s="66"/>
      <c r="DPB1289" s="66"/>
      <c r="DPC1289" s="66"/>
      <c r="DPD1289" s="66"/>
      <c r="DPE1289" s="66"/>
      <c r="DPF1289" s="66"/>
      <c r="DPG1289" s="66"/>
      <c r="DPH1289" s="66"/>
      <c r="DPI1289" s="66"/>
      <c r="DPJ1289" s="66"/>
      <c r="DPK1289" s="66"/>
      <c r="DPL1289" s="66"/>
      <c r="DPM1289" s="66"/>
      <c r="DPN1289" s="66"/>
      <c r="DPO1289" s="66"/>
      <c r="DPP1289" s="66"/>
      <c r="DPQ1289" s="66"/>
      <c r="DPR1289" s="66"/>
      <c r="DPS1289" s="66"/>
      <c r="DPT1289" s="66"/>
      <c r="DPU1289" s="66"/>
      <c r="DPV1289" s="66"/>
      <c r="DPW1289" s="66"/>
      <c r="DPX1289" s="66"/>
      <c r="DPY1289" s="66"/>
      <c r="DPZ1289" s="66"/>
      <c r="DQA1289" s="66"/>
      <c r="DQB1289" s="66"/>
      <c r="DQC1289" s="66"/>
      <c r="DQD1289" s="66"/>
      <c r="DQE1289" s="66"/>
      <c r="DQF1289" s="66"/>
      <c r="DQG1289" s="66"/>
      <c r="DQH1289" s="66"/>
      <c r="DQI1289" s="66"/>
      <c r="DQJ1289" s="66"/>
      <c r="DQK1289" s="66"/>
      <c r="DQL1289" s="66"/>
      <c r="DQM1289" s="66"/>
      <c r="DQN1289" s="66"/>
      <c r="DQO1289" s="66"/>
      <c r="DQP1289" s="66"/>
      <c r="DQQ1289" s="66"/>
      <c r="DQR1289" s="66"/>
      <c r="DQS1289" s="66"/>
      <c r="DQT1289" s="66"/>
      <c r="DQU1289" s="66"/>
      <c r="DQV1289" s="66"/>
      <c r="DQW1289" s="66"/>
      <c r="DQX1289" s="66"/>
      <c r="DQY1289" s="66"/>
      <c r="DQZ1289" s="66"/>
      <c r="DRA1289" s="66"/>
      <c r="DRB1289" s="66"/>
      <c r="DRC1289" s="66"/>
      <c r="DRD1289" s="66"/>
      <c r="DRE1289" s="66"/>
      <c r="DRF1289" s="66"/>
      <c r="DRG1289" s="66"/>
      <c r="DRH1289" s="66"/>
      <c r="DRI1289" s="66"/>
      <c r="DRJ1289" s="66"/>
      <c r="DRK1289" s="66"/>
      <c r="DRL1289" s="66"/>
      <c r="DRM1289" s="66"/>
      <c r="DRN1289" s="66"/>
      <c r="DRO1289" s="66"/>
      <c r="DRP1289" s="66"/>
      <c r="DRQ1289" s="66"/>
      <c r="DRR1289" s="66"/>
      <c r="DRS1289" s="66"/>
      <c r="DRT1289" s="66"/>
      <c r="DRU1289" s="66"/>
      <c r="DRV1289" s="66"/>
      <c r="DRW1289" s="66"/>
      <c r="DRX1289" s="66"/>
      <c r="DRY1289" s="66"/>
      <c r="DRZ1289" s="66"/>
      <c r="DSA1289" s="66"/>
      <c r="DSB1289" s="66"/>
      <c r="DSC1289" s="66"/>
      <c r="DSD1289" s="66"/>
      <c r="DSE1289" s="66"/>
      <c r="DSF1289" s="66"/>
      <c r="DSG1289" s="66"/>
      <c r="DSH1289" s="66"/>
      <c r="DSI1289" s="66"/>
      <c r="DSJ1289" s="66"/>
      <c r="DSK1289" s="66"/>
      <c r="DSL1289" s="66"/>
      <c r="DSM1289" s="66"/>
      <c r="DSN1289" s="66"/>
      <c r="DSO1289" s="66"/>
      <c r="DSP1289" s="66"/>
      <c r="DSQ1289" s="66"/>
      <c r="DSR1289" s="66"/>
      <c r="DSS1289" s="66"/>
      <c r="DST1289" s="66"/>
      <c r="DSU1289" s="66"/>
      <c r="DSV1289" s="66"/>
      <c r="DSW1289" s="66"/>
      <c r="DSX1289" s="66"/>
      <c r="DSY1289" s="66"/>
      <c r="DSZ1289" s="66"/>
      <c r="DTA1289" s="66"/>
      <c r="DTB1289" s="66"/>
      <c r="DTC1289" s="66"/>
      <c r="DTD1289" s="66"/>
      <c r="DTE1289" s="66"/>
      <c r="DTF1289" s="66"/>
      <c r="DTG1289" s="66"/>
      <c r="DTH1289" s="66"/>
      <c r="DTI1289" s="66"/>
      <c r="DTJ1289" s="66"/>
      <c r="DTK1289" s="66"/>
      <c r="DTL1289" s="66"/>
      <c r="DTM1289" s="66"/>
      <c r="DTN1289" s="66"/>
      <c r="DTO1289" s="66"/>
      <c r="DTP1289" s="66"/>
      <c r="DTQ1289" s="66"/>
      <c r="DTR1289" s="66"/>
      <c r="DTS1289" s="66"/>
      <c r="DTT1289" s="66"/>
      <c r="DTU1289" s="66"/>
      <c r="DTV1289" s="66"/>
      <c r="DTW1289" s="66"/>
      <c r="DTX1289" s="66"/>
      <c r="DTY1289" s="66"/>
      <c r="DTZ1289" s="66"/>
      <c r="DUA1289" s="66"/>
      <c r="DUB1289" s="66"/>
      <c r="DUC1289" s="66"/>
      <c r="DUD1289" s="66"/>
      <c r="DUE1289" s="66"/>
      <c r="DUF1289" s="66"/>
      <c r="DUG1289" s="66"/>
      <c r="DUH1289" s="66"/>
      <c r="DUI1289" s="66"/>
      <c r="DUJ1289" s="66"/>
      <c r="DUK1289" s="66"/>
      <c r="DUL1289" s="66"/>
      <c r="DUM1289" s="66"/>
      <c r="DUN1289" s="66"/>
      <c r="DUO1289" s="66"/>
      <c r="DUP1289" s="66"/>
      <c r="DUQ1289" s="66"/>
      <c r="DUR1289" s="66"/>
      <c r="DUS1289" s="66"/>
      <c r="DUT1289" s="66"/>
      <c r="DUU1289" s="66"/>
      <c r="DUV1289" s="66"/>
      <c r="DUW1289" s="66"/>
      <c r="DUX1289" s="66"/>
      <c r="DUY1289" s="66"/>
      <c r="DUZ1289" s="66"/>
      <c r="DVA1289" s="66"/>
      <c r="DVB1289" s="66"/>
      <c r="DVC1289" s="66"/>
      <c r="DVD1289" s="66"/>
      <c r="DVE1289" s="66"/>
      <c r="DVF1289" s="66"/>
      <c r="DVG1289" s="66"/>
      <c r="DVH1289" s="66"/>
      <c r="DVI1289" s="66"/>
      <c r="DVJ1289" s="66"/>
      <c r="DVK1289" s="66"/>
      <c r="DVL1289" s="66"/>
      <c r="DVM1289" s="66"/>
      <c r="DVN1289" s="66"/>
      <c r="DVO1289" s="66"/>
      <c r="DVP1289" s="66"/>
      <c r="DVQ1289" s="66"/>
      <c r="DVR1289" s="66"/>
      <c r="DVS1289" s="66"/>
      <c r="DVT1289" s="66"/>
      <c r="DVU1289" s="66"/>
      <c r="DVV1289" s="66"/>
      <c r="DVW1289" s="66"/>
      <c r="DVX1289" s="66"/>
      <c r="DVY1289" s="66"/>
      <c r="DVZ1289" s="66"/>
      <c r="DWA1289" s="66"/>
      <c r="DWB1289" s="66"/>
      <c r="DWC1289" s="66"/>
      <c r="DWD1289" s="66"/>
      <c r="DWE1289" s="66"/>
      <c r="DWF1289" s="66"/>
      <c r="DWG1289" s="66"/>
      <c r="DWH1289" s="66"/>
      <c r="DWI1289" s="66"/>
      <c r="DWJ1289" s="66"/>
      <c r="DWK1289" s="66"/>
      <c r="DWL1289" s="66"/>
      <c r="DWM1289" s="66"/>
      <c r="DWN1289" s="66"/>
      <c r="DWO1289" s="66"/>
      <c r="DWP1289" s="66"/>
      <c r="DWQ1289" s="66"/>
      <c r="DWR1289" s="66"/>
      <c r="DWS1289" s="66"/>
      <c r="DWT1289" s="66"/>
      <c r="DWU1289" s="66"/>
      <c r="DWV1289" s="66"/>
      <c r="DWW1289" s="66"/>
      <c r="DWX1289" s="66"/>
      <c r="DWY1289" s="66"/>
      <c r="DWZ1289" s="66"/>
      <c r="DXA1289" s="66"/>
      <c r="DXB1289" s="66"/>
      <c r="DXC1289" s="66"/>
      <c r="DXD1289" s="66"/>
      <c r="DXE1289" s="66"/>
      <c r="DXF1289" s="66"/>
      <c r="DXG1289" s="66"/>
      <c r="DXH1289" s="66"/>
      <c r="DXI1289" s="66"/>
      <c r="DXJ1289" s="66"/>
      <c r="DXK1289" s="66"/>
      <c r="DXL1289" s="66"/>
      <c r="DXM1289" s="66"/>
      <c r="DXN1289" s="66"/>
      <c r="DXO1289" s="66"/>
      <c r="DXP1289" s="66"/>
      <c r="DXQ1289" s="66"/>
      <c r="DXR1289" s="66"/>
      <c r="DXS1289" s="66"/>
      <c r="DXT1289" s="66"/>
      <c r="DXU1289" s="66"/>
      <c r="DXV1289" s="66"/>
      <c r="DXW1289" s="66"/>
      <c r="DXX1289" s="66"/>
      <c r="DXY1289" s="66"/>
      <c r="DXZ1289" s="66"/>
      <c r="DYA1289" s="66"/>
      <c r="DYB1289" s="66"/>
      <c r="DYC1289" s="66"/>
      <c r="DYD1289" s="66"/>
      <c r="DYE1289" s="66"/>
      <c r="DYF1289" s="66"/>
      <c r="DYG1289" s="66"/>
      <c r="DYH1289" s="66"/>
      <c r="DYI1289" s="66"/>
      <c r="DYJ1289" s="66"/>
      <c r="DYK1289" s="66"/>
      <c r="DYL1289" s="66"/>
      <c r="DYM1289" s="66"/>
      <c r="DYN1289" s="66"/>
      <c r="DYO1289" s="66"/>
      <c r="DYP1289" s="66"/>
      <c r="DYQ1289" s="66"/>
      <c r="DYR1289" s="66"/>
      <c r="DYS1289" s="66"/>
      <c r="DYT1289" s="66"/>
      <c r="DYU1289" s="66"/>
      <c r="DYV1289" s="66"/>
      <c r="DYW1289" s="66"/>
      <c r="DYX1289" s="66"/>
      <c r="DYY1289" s="66"/>
      <c r="DYZ1289" s="66"/>
      <c r="DZA1289" s="66"/>
      <c r="DZB1289" s="66"/>
      <c r="DZC1289" s="66"/>
      <c r="DZD1289" s="66"/>
      <c r="DZE1289" s="66"/>
      <c r="DZF1289" s="66"/>
      <c r="DZG1289" s="66"/>
      <c r="DZH1289" s="66"/>
      <c r="DZI1289" s="66"/>
      <c r="DZJ1289" s="66"/>
      <c r="DZK1289" s="66"/>
      <c r="DZL1289" s="66"/>
      <c r="DZM1289" s="66"/>
      <c r="DZN1289" s="66"/>
      <c r="DZO1289" s="66"/>
      <c r="DZP1289" s="66"/>
      <c r="DZQ1289" s="66"/>
      <c r="DZR1289" s="66"/>
      <c r="DZS1289" s="66"/>
      <c r="DZT1289" s="66"/>
      <c r="DZU1289" s="66"/>
      <c r="DZV1289" s="66"/>
      <c r="DZW1289" s="66"/>
      <c r="DZX1289" s="66"/>
      <c r="DZY1289" s="66"/>
      <c r="DZZ1289" s="66"/>
      <c r="EAA1289" s="66"/>
      <c r="EAB1289" s="66"/>
      <c r="EAC1289" s="66"/>
      <c r="EAD1289" s="66"/>
      <c r="EAE1289" s="66"/>
      <c r="EAF1289" s="66"/>
      <c r="EAG1289" s="66"/>
      <c r="EAH1289" s="66"/>
      <c r="EAI1289" s="66"/>
      <c r="EAJ1289" s="66"/>
      <c r="EAK1289" s="66"/>
      <c r="EAL1289" s="66"/>
      <c r="EAM1289" s="66"/>
      <c r="EAN1289" s="66"/>
      <c r="EAO1289" s="66"/>
      <c r="EAP1289" s="66"/>
      <c r="EAQ1289" s="66"/>
      <c r="EAR1289" s="66"/>
      <c r="EAS1289" s="66"/>
      <c r="EAT1289" s="66"/>
      <c r="EAU1289" s="66"/>
      <c r="EAV1289" s="66"/>
      <c r="EAW1289" s="66"/>
      <c r="EAX1289" s="66"/>
      <c r="EAY1289" s="66"/>
      <c r="EAZ1289" s="66"/>
      <c r="EBA1289" s="66"/>
      <c r="EBB1289" s="66"/>
      <c r="EBC1289" s="66"/>
      <c r="EBD1289" s="66"/>
      <c r="EBE1289" s="66"/>
      <c r="EBF1289" s="66"/>
      <c r="EBG1289" s="66"/>
      <c r="EBH1289" s="66"/>
      <c r="EBI1289" s="66"/>
      <c r="EBJ1289" s="66"/>
      <c r="EBK1289" s="66"/>
      <c r="EBL1289" s="66"/>
      <c r="EBM1289" s="66"/>
      <c r="EBN1289" s="66"/>
      <c r="EBO1289" s="66"/>
      <c r="EBP1289" s="66"/>
      <c r="EBQ1289" s="66"/>
      <c r="EBR1289" s="66"/>
      <c r="EBS1289" s="66"/>
      <c r="EBT1289" s="66"/>
      <c r="EBU1289" s="66"/>
      <c r="EBV1289" s="66"/>
      <c r="EBW1289" s="66"/>
      <c r="EBX1289" s="66"/>
      <c r="EBY1289" s="66"/>
      <c r="EBZ1289" s="66"/>
      <c r="ECA1289" s="66"/>
      <c r="ECB1289" s="66"/>
      <c r="ECC1289" s="66"/>
      <c r="ECD1289" s="66"/>
      <c r="ECE1289" s="66"/>
      <c r="ECF1289" s="66"/>
      <c r="ECG1289" s="66"/>
      <c r="ECH1289" s="66"/>
      <c r="ECI1289" s="66"/>
      <c r="ECJ1289" s="66"/>
      <c r="ECK1289" s="66"/>
      <c r="ECL1289" s="66"/>
      <c r="ECM1289" s="66"/>
      <c r="ECN1289" s="66"/>
      <c r="ECO1289" s="66"/>
      <c r="ECP1289" s="66"/>
      <c r="ECQ1289" s="66"/>
      <c r="ECR1289" s="66"/>
      <c r="ECS1289" s="66"/>
      <c r="ECT1289" s="66"/>
      <c r="ECU1289" s="66"/>
      <c r="ECV1289" s="66"/>
      <c r="ECW1289" s="66"/>
      <c r="ECX1289" s="66"/>
      <c r="ECY1289" s="66"/>
      <c r="ECZ1289" s="66"/>
      <c r="EDA1289" s="66"/>
      <c r="EDB1289" s="66"/>
      <c r="EDC1289" s="66"/>
      <c r="EDD1289" s="66"/>
      <c r="EDE1289" s="66"/>
      <c r="EDF1289" s="66"/>
      <c r="EDG1289" s="66"/>
      <c r="EDH1289" s="66"/>
      <c r="EDI1289" s="66"/>
      <c r="EDJ1289" s="66"/>
      <c r="EDK1289" s="66"/>
      <c r="EDL1289" s="66"/>
      <c r="EDM1289" s="66"/>
      <c r="EDN1289" s="66"/>
      <c r="EDO1289" s="66"/>
      <c r="EDP1289" s="66"/>
      <c r="EDQ1289" s="66"/>
      <c r="EDR1289" s="66"/>
      <c r="EDS1289" s="66"/>
      <c r="EDT1289" s="66"/>
      <c r="EDU1289" s="66"/>
      <c r="EDV1289" s="66"/>
      <c r="EDW1289" s="66"/>
      <c r="EDX1289" s="66"/>
      <c r="EDY1289" s="66"/>
      <c r="EDZ1289" s="66"/>
      <c r="EEA1289" s="66"/>
      <c r="EEB1289" s="66"/>
      <c r="EEC1289" s="66"/>
      <c r="EED1289" s="66"/>
      <c r="EEE1289" s="66"/>
      <c r="EEF1289" s="66"/>
      <c r="EEG1289" s="66"/>
      <c r="EEH1289" s="66"/>
      <c r="EEI1289" s="66"/>
      <c r="EEJ1289" s="66"/>
      <c r="EEK1289" s="66"/>
      <c r="EEL1289" s="66"/>
      <c r="EEM1289" s="66"/>
      <c r="EEN1289" s="66"/>
      <c r="EEO1289" s="66"/>
      <c r="EEP1289" s="66"/>
      <c r="EEQ1289" s="66"/>
      <c r="EER1289" s="66"/>
      <c r="EES1289" s="66"/>
      <c r="EET1289" s="66"/>
      <c r="EEU1289" s="66"/>
      <c r="EEV1289" s="66"/>
      <c r="EEW1289" s="66"/>
      <c r="EEX1289" s="66"/>
      <c r="EEY1289" s="66"/>
      <c r="EEZ1289" s="66"/>
      <c r="EFA1289" s="66"/>
      <c r="EFB1289" s="66"/>
      <c r="EFC1289" s="66"/>
      <c r="EFD1289" s="66"/>
      <c r="EFE1289" s="66"/>
      <c r="EFF1289" s="66"/>
      <c r="EFG1289" s="66"/>
      <c r="EFH1289" s="66"/>
      <c r="EFI1289" s="66"/>
      <c r="EFJ1289" s="66"/>
      <c r="EFK1289" s="66"/>
      <c r="EFL1289" s="66"/>
      <c r="EFM1289" s="66"/>
      <c r="EFN1289" s="66"/>
      <c r="EFO1289" s="66"/>
      <c r="EFP1289" s="66"/>
      <c r="EFQ1289" s="66"/>
      <c r="EFR1289" s="66"/>
      <c r="EFS1289" s="66"/>
      <c r="EFT1289" s="66"/>
      <c r="EFU1289" s="66"/>
      <c r="EFV1289" s="66"/>
      <c r="EFW1289" s="66"/>
      <c r="EFX1289" s="66"/>
      <c r="EFY1289" s="66"/>
      <c r="EFZ1289" s="66"/>
      <c r="EGA1289" s="66"/>
      <c r="EGB1289" s="66"/>
      <c r="EGC1289" s="66"/>
      <c r="EGD1289" s="66"/>
      <c r="EGE1289" s="66"/>
      <c r="EGF1289" s="66"/>
      <c r="EGG1289" s="66"/>
      <c r="EGH1289" s="66"/>
      <c r="EGI1289" s="66"/>
      <c r="EGJ1289" s="66"/>
      <c r="EGK1289" s="66"/>
      <c r="EGL1289" s="66"/>
      <c r="EGM1289" s="66"/>
      <c r="EGN1289" s="66"/>
      <c r="EGO1289" s="66"/>
      <c r="EGP1289" s="66"/>
      <c r="EGQ1289" s="66"/>
      <c r="EGR1289" s="66"/>
      <c r="EGS1289" s="66"/>
      <c r="EGT1289" s="66"/>
      <c r="EGU1289" s="66"/>
      <c r="EGV1289" s="66"/>
      <c r="EGW1289" s="66"/>
      <c r="EGX1289" s="66"/>
      <c r="EGY1289" s="66"/>
      <c r="EGZ1289" s="66"/>
      <c r="EHA1289" s="66"/>
      <c r="EHB1289" s="66"/>
      <c r="EHC1289" s="66"/>
      <c r="EHD1289" s="66"/>
      <c r="EHE1289" s="66"/>
      <c r="EHF1289" s="66"/>
      <c r="EHG1289" s="66"/>
      <c r="EHH1289" s="66"/>
      <c r="EHI1289" s="66"/>
      <c r="EHJ1289" s="66"/>
      <c r="EHK1289" s="66"/>
      <c r="EHL1289" s="66"/>
      <c r="EHM1289" s="66"/>
      <c r="EHN1289" s="66"/>
      <c r="EHO1289" s="66"/>
      <c r="EHP1289" s="66"/>
      <c r="EHQ1289" s="66"/>
      <c r="EHR1289" s="66"/>
      <c r="EHS1289" s="66"/>
      <c r="EHT1289" s="66"/>
      <c r="EHU1289" s="66"/>
      <c r="EHV1289" s="66"/>
      <c r="EHW1289" s="66"/>
      <c r="EHX1289" s="66"/>
      <c r="EHY1289" s="66"/>
      <c r="EHZ1289" s="66"/>
      <c r="EIA1289" s="66"/>
      <c r="EIB1289" s="66"/>
      <c r="EIC1289" s="66"/>
      <c r="EID1289" s="66"/>
      <c r="EIE1289" s="66"/>
      <c r="EIF1289" s="66"/>
      <c r="EIG1289" s="66"/>
      <c r="EIH1289" s="66"/>
      <c r="EII1289" s="66"/>
      <c r="EIJ1289" s="66"/>
      <c r="EIK1289" s="66"/>
      <c r="EIL1289" s="66"/>
      <c r="EIM1289" s="66"/>
      <c r="EIN1289" s="66"/>
      <c r="EIO1289" s="66"/>
      <c r="EIP1289" s="66"/>
      <c r="EIQ1289" s="66"/>
      <c r="EIR1289" s="66"/>
      <c r="EIS1289" s="66"/>
      <c r="EIT1289" s="66"/>
      <c r="EIU1289" s="66"/>
      <c r="EIV1289" s="66"/>
      <c r="EIW1289" s="66"/>
      <c r="EIX1289" s="66"/>
      <c r="EIY1289" s="66"/>
      <c r="EIZ1289" s="66"/>
      <c r="EJA1289" s="66"/>
      <c r="EJB1289" s="66"/>
      <c r="EJC1289" s="66"/>
      <c r="EJD1289" s="66"/>
      <c r="EJE1289" s="66"/>
      <c r="EJF1289" s="66"/>
      <c r="EJG1289" s="66"/>
      <c r="EJH1289" s="66"/>
      <c r="EJI1289" s="66"/>
      <c r="EJJ1289" s="66"/>
      <c r="EJK1289" s="66"/>
      <c r="EJL1289" s="66"/>
      <c r="EJM1289" s="66"/>
      <c r="EJN1289" s="66"/>
      <c r="EJO1289" s="66"/>
      <c r="EJP1289" s="66"/>
      <c r="EJQ1289" s="66"/>
      <c r="EJR1289" s="66"/>
      <c r="EJS1289" s="66"/>
      <c r="EJT1289" s="66"/>
      <c r="EJU1289" s="66"/>
      <c r="EJV1289" s="66"/>
      <c r="EJW1289" s="66"/>
      <c r="EJX1289" s="66"/>
      <c r="EJY1289" s="66"/>
      <c r="EJZ1289" s="66"/>
      <c r="EKA1289" s="66"/>
      <c r="EKB1289" s="66"/>
      <c r="EKC1289" s="66"/>
      <c r="EKD1289" s="66"/>
      <c r="EKE1289" s="66"/>
      <c r="EKF1289" s="66"/>
      <c r="EKG1289" s="66"/>
      <c r="EKH1289" s="66"/>
      <c r="EKI1289" s="66"/>
      <c r="EKJ1289" s="66"/>
      <c r="EKK1289" s="66"/>
      <c r="EKL1289" s="66"/>
      <c r="EKM1289" s="66"/>
      <c r="EKN1289" s="66"/>
      <c r="EKO1289" s="66"/>
      <c r="EKP1289" s="66"/>
      <c r="EKQ1289" s="66"/>
      <c r="EKR1289" s="66"/>
      <c r="EKS1289" s="66"/>
      <c r="EKT1289" s="66"/>
      <c r="EKU1289" s="66"/>
      <c r="EKV1289" s="66"/>
      <c r="EKW1289" s="66"/>
      <c r="EKX1289" s="66"/>
      <c r="EKY1289" s="66"/>
      <c r="EKZ1289" s="66"/>
      <c r="ELA1289" s="66"/>
      <c r="ELB1289" s="66"/>
      <c r="ELC1289" s="66"/>
      <c r="ELD1289" s="66"/>
      <c r="ELE1289" s="66"/>
      <c r="ELF1289" s="66"/>
      <c r="ELG1289" s="66"/>
      <c r="ELH1289" s="66"/>
      <c r="ELI1289" s="66"/>
      <c r="ELJ1289" s="66"/>
      <c r="ELK1289" s="66"/>
      <c r="ELL1289" s="66"/>
      <c r="ELM1289" s="66"/>
      <c r="ELN1289" s="66"/>
      <c r="ELO1289" s="66"/>
      <c r="ELP1289" s="66"/>
      <c r="ELQ1289" s="66"/>
      <c r="ELR1289" s="66"/>
      <c r="ELS1289" s="66"/>
      <c r="ELT1289" s="66"/>
      <c r="ELU1289" s="66"/>
      <c r="ELV1289" s="66"/>
      <c r="ELW1289" s="66"/>
      <c r="ELX1289" s="66"/>
      <c r="ELY1289" s="66"/>
      <c r="ELZ1289" s="66"/>
      <c r="EMA1289" s="66"/>
      <c r="EMB1289" s="66"/>
      <c r="EMC1289" s="66"/>
      <c r="EMD1289" s="66"/>
      <c r="EME1289" s="66"/>
      <c r="EMF1289" s="66"/>
      <c r="EMG1289" s="66"/>
      <c r="EMH1289" s="66"/>
      <c r="EMI1289" s="66"/>
      <c r="EMJ1289" s="66"/>
      <c r="EMK1289" s="66"/>
      <c r="EML1289" s="66"/>
      <c r="EMM1289" s="66"/>
      <c r="EMN1289" s="66"/>
      <c r="EMO1289" s="66"/>
      <c r="EMP1289" s="66"/>
      <c r="EMQ1289" s="66"/>
      <c r="EMR1289" s="66"/>
      <c r="EMS1289" s="66"/>
      <c r="EMT1289" s="66"/>
      <c r="EMU1289" s="66"/>
      <c r="EMV1289" s="66"/>
      <c r="EMW1289" s="66"/>
      <c r="EMX1289" s="66"/>
      <c r="EMY1289" s="66"/>
      <c r="EMZ1289" s="66"/>
      <c r="ENA1289" s="66"/>
      <c r="ENB1289" s="66"/>
      <c r="ENC1289" s="66"/>
      <c r="END1289" s="66"/>
      <c r="ENE1289" s="66"/>
      <c r="ENF1289" s="66"/>
      <c r="ENG1289" s="66"/>
      <c r="ENH1289" s="66"/>
      <c r="ENI1289" s="66"/>
      <c r="ENJ1289" s="66"/>
      <c r="ENK1289" s="66"/>
      <c r="ENL1289" s="66"/>
      <c r="ENM1289" s="66"/>
      <c r="ENN1289" s="66"/>
      <c r="ENO1289" s="66"/>
      <c r="ENP1289" s="66"/>
      <c r="ENQ1289" s="66"/>
      <c r="ENR1289" s="66"/>
      <c r="ENS1289" s="66"/>
      <c r="ENT1289" s="66"/>
      <c r="ENU1289" s="66"/>
      <c r="ENV1289" s="66"/>
      <c r="ENW1289" s="66"/>
      <c r="ENX1289" s="66"/>
      <c r="ENY1289" s="66"/>
      <c r="ENZ1289" s="66"/>
      <c r="EOA1289" s="66"/>
      <c r="EOB1289" s="66"/>
      <c r="EOC1289" s="66"/>
      <c r="EOD1289" s="66"/>
      <c r="EOE1289" s="66"/>
      <c r="EOF1289" s="66"/>
      <c r="EOG1289" s="66"/>
      <c r="EOH1289" s="66"/>
      <c r="EOI1289" s="66"/>
      <c r="EOJ1289" s="66"/>
      <c r="EOK1289" s="66"/>
      <c r="EOL1289" s="66"/>
      <c r="EOM1289" s="66"/>
      <c r="EON1289" s="66"/>
      <c r="EOO1289" s="66"/>
      <c r="EOP1289" s="66"/>
      <c r="EOQ1289" s="66"/>
      <c r="EOR1289" s="66"/>
      <c r="EOS1289" s="66"/>
      <c r="EOT1289" s="66"/>
      <c r="EOU1289" s="66"/>
      <c r="EOV1289" s="66"/>
      <c r="EOW1289" s="66"/>
      <c r="EOX1289" s="66"/>
      <c r="EOY1289" s="66"/>
      <c r="EOZ1289" s="66"/>
      <c r="EPA1289" s="66"/>
      <c r="EPB1289" s="66"/>
      <c r="EPC1289" s="66"/>
      <c r="EPD1289" s="66"/>
      <c r="EPE1289" s="66"/>
      <c r="EPF1289" s="66"/>
      <c r="EPG1289" s="66"/>
      <c r="EPH1289" s="66"/>
      <c r="EPI1289" s="66"/>
      <c r="EPJ1289" s="66"/>
      <c r="EPK1289" s="66"/>
      <c r="EPL1289" s="66"/>
      <c r="EPM1289" s="66"/>
      <c r="EPN1289" s="66"/>
      <c r="EPO1289" s="66"/>
      <c r="EPP1289" s="66"/>
      <c r="EPQ1289" s="66"/>
      <c r="EPR1289" s="66"/>
      <c r="EPS1289" s="66"/>
      <c r="EPT1289" s="66"/>
      <c r="EPU1289" s="66"/>
      <c r="EPV1289" s="66"/>
      <c r="EPW1289" s="66"/>
      <c r="EPX1289" s="66"/>
      <c r="EPY1289" s="66"/>
      <c r="EPZ1289" s="66"/>
      <c r="EQA1289" s="66"/>
      <c r="EQB1289" s="66"/>
      <c r="EQC1289" s="66"/>
      <c r="EQD1289" s="66"/>
      <c r="EQE1289" s="66"/>
      <c r="EQF1289" s="66"/>
      <c r="EQG1289" s="66"/>
      <c r="EQH1289" s="66"/>
      <c r="EQI1289" s="66"/>
      <c r="EQJ1289" s="66"/>
      <c r="EQK1289" s="66"/>
      <c r="EQL1289" s="66"/>
      <c r="EQM1289" s="66"/>
      <c r="EQN1289" s="66"/>
      <c r="EQO1289" s="66"/>
      <c r="EQP1289" s="66"/>
      <c r="EQQ1289" s="66"/>
      <c r="EQR1289" s="66"/>
      <c r="EQS1289" s="66"/>
      <c r="EQT1289" s="66"/>
      <c r="EQU1289" s="66"/>
      <c r="EQV1289" s="66"/>
      <c r="EQW1289" s="66"/>
      <c r="EQX1289" s="66"/>
      <c r="EQY1289" s="66"/>
      <c r="EQZ1289" s="66"/>
      <c r="ERA1289" s="66"/>
      <c r="ERB1289" s="66"/>
      <c r="ERC1289" s="66"/>
      <c r="ERD1289" s="66"/>
      <c r="ERE1289" s="66"/>
      <c r="ERF1289" s="66"/>
      <c r="ERG1289" s="66"/>
      <c r="ERH1289" s="66"/>
      <c r="ERI1289" s="66"/>
      <c r="ERJ1289" s="66"/>
      <c r="ERK1289" s="66"/>
      <c r="ERL1289" s="66"/>
      <c r="ERM1289" s="66"/>
      <c r="ERN1289" s="66"/>
      <c r="ERO1289" s="66"/>
      <c r="ERP1289" s="66"/>
      <c r="ERQ1289" s="66"/>
      <c r="ERR1289" s="66"/>
      <c r="ERS1289" s="66"/>
      <c r="ERT1289" s="66"/>
      <c r="ERU1289" s="66"/>
      <c r="ERV1289" s="66"/>
      <c r="ERW1289" s="66"/>
      <c r="ERX1289" s="66"/>
      <c r="ERY1289" s="66"/>
      <c r="ERZ1289" s="66"/>
      <c r="ESA1289" s="66"/>
      <c r="ESB1289" s="66"/>
      <c r="ESC1289" s="66"/>
      <c r="ESD1289" s="66"/>
      <c r="ESE1289" s="66"/>
      <c r="ESF1289" s="66"/>
      <c r="ESG1289" s="66"/>
      <c r="ESH1289" s="66"/>
      <c r="ESI1289" s="66"/>
      <c r="ESJ1289" s="66"/>
      <c r="ESK1289" s="66"/>
      <c r="ESL1289" s="66"/>
      <c r="ESM1289" s="66"/>
      <c r="ESN1289" s="66"/>
      <c r="ESO1289" s="66"/>
      <c r="ESP1289" s="66"/>
      <c r="ESQ1289" s="66"/>
      <c r="ESR1289" s="66"/>
      <c r="ESS1289" s="66"/>
      <c r="EST1289" s="66"/>
      <c r="ESU1289" s="66"/>
      <c r="ESV1289" s="66"/>
      <c r="ESW1289" s="66"/>
      <c r="ESX1289" s="66"/>
      <c r="ESY1289" s="66"/>
      <c r="ESZ1289" s="66"/>
      <c r="ETA1289" s="66"/>
      <c r="ETB1289" s="66"/>
      <c r="ETC1289" s="66"/>
      <c r="ETD1289" s="66"/>
      <c r="ETE1289" s="66"/>
      <c r="ETF1289" s="66"/>
      <c r="ETG1289" s="66"/>
      <c r="ETH1289" s="66"/>
      <c r="ETI1289" s="66"/>
      <c r="ETJ1289" s="66"/>
      <c r="ETK1289" s="66"/>
      <c r="ETL1289" s="66"/>
      <c r="ETM1289" s="66"/>
      <c r="ETN1289" s="66"/>
      <c r="ETO1289" s="66"/>
      <c r="ETP1289" s="66"/>
      <c r="ETQ1289" s="66"/>
      <c r="ETR1289" s="66"/>
      <c r="ETS1289" s="66"/>
      <c r="ETT1289" s="66"/>
      <c r="ETU1289" s="66"/>
      <c r="ETV1289" s="66"/>
      <c r="ETW1289" s="66"/>
      <c r="ETX1289" s="66"/>
      <c r="ETY1289" s="66"/>
      <c r="ETZ1289" s="66"/>
      <c r="EUA1289" s="66"/>
      <c r="EUB1289" s="66"/>
      <c r="EUC1289" s="66"/>
      <c r="EUD1289" s="66"/>
      <c r="EUE1289" s="66"/>
      <c r="EUF1289" s="66"/>
      <c r="EUG1289" s="66"/>
      <c r="EUH1289" s="66"/>
      <c r="EUI1289" s="66"/>
      <c r="EUJ1289" s="66"/>
      <c r="EUK1289" s="66"/>
      <c r="EUL1289" s="66"/>
      <c r="EUM1289" s="66"/>
      <c r="EUN1289" s="66"/>
      <c r="EUO1289" s="66"/>
      <c r="EUP1289" s="66"/>
      <c r="EUQ1289" s="66"/>
      <c r="EUR1289" s="66"/>
      <c r="EUS1289" s="66"/>
      <c r="EUT1289" s="66"/>
      <c r="EUU1289" s="66"/>
      <c r="EUV1289" s="66"/>
      <c r="EUW1289" s="66"/>
      <c r="EUX1289" s="66"/>
      <c r="EUY1289" s="66"/>
      <c r="EUZ1289" s="66"/>
      <c r="EVA1289" s="66"/>
      <c r="EVB1289" s="66"/>
      <c r="EVC1289" s="66"/>
      <c r="EVD1289" s="66"/>
      <c r="EVE1289" s="66"/>
      <c r="EVF1289" s="66"/>
      <c r="EVG1289" s="66"/>
      <c r="EVH1289" s="66"/>
      <c r="EVI1289" s="66"/>
      <c r="EVJ1289" s="66"/>
      <c r="EVK1289" s="66"/>
      <c r="EVL1289" s="66"/>
      <c r="EVM1289" s="66"/>
      <c r="EVN1289" s="66"/>
      <c r="EVO1289" s="66"/>
      <c r="EVP1289" s="66"/>
      <c r="EVQ1289" s="66"/>
      <c r="EVR1289" s="66"/>
      <c r="EVS1289" s="66"/>
      <c r="EVT1289" s="66"/>
      <c r="EVU1289" s="66"/>
      <c r="EVV1289" s="66"/>
      <c r="EVW1289" s="66"/>
      <c r="EVX1289" s="66"/>
      <c r="EVY1289" s="66"/>
      <c r="EVZ1289" s="66"/>
      <c r="EWA1289" s="66"/>
      <c r="EWB1289" s="66"/>
      <c r="EWC1289" s="66"/>
      <c r="EWD1289" s="66"/>
      <c r="EWE1289" s="66"/>
      <c r="EWF1289" s="66"/>
      <c r="EWG1289" s="66"/>
      <c r="EWH1289" s="66"/>
      <c r="EWI1289" s="66"/>
      <c r="EWJ1289" s="66"/>
      <c r="EWK1289" s="66"/>
      <c r="EWL1289" s="66"/>
      <c r="EWM1289" s="66"/>
      <c r="EWN1289" s="66"/>
      <c r="EWO1289" s="66"/>
      <c r="EWP1289" s="66"/>
      <c r="EWQ1289" s="66"/>
      <c r="EWR1289" s="66"/>
      <c r="EWS1289" s="66"/>
      <c r="EWT1289" s="66"/>
      <c r="EWU1289" s="66"/>
      <c r="EWV1289" s="66"/>
      <c r="EWW1289" s="66"/>
      <c r="EWX1289" s="66"/>
      <c r="EWY1289" s="66"/>
      <c r="EWZ1289" s="66"/>
      <c r="EXA1289" s="66"/>
      <c r="EXB1289" s="66"/>
      <c r="EXC1289" s="66"/>
      <c r="EXD1289" s="66"/>
      <c r="EXE1289" s="66"/>
      <c r="EXF1289" s="66"/>
      <c r="EXG1289" s="66"/>
      <c r="EXH1289" s="66"/>
      <c r="EXI1289" s="66"/>
      <c r="EXJ1289" s="66"/>
      <c r="EXK1289" s="66"/>
      <c r="EXL1289" s="66"/>
      <c r="EXM1289" s="66"/>
      <c r="EXN1289" s="66"/>
      <c r="EXO1289" s="66"/>
      <c r="EXP1289" s="66"/>
      <c r="EXQ1289" s="66"/>
      <c r="EXR1289" s="66"/>
      <c r="EXS1289" s="66"/>
      <c r="EXT1289" s="66"/>
      <c r="EXU1289" s="66"/>
      <c r="EXV1289" s="66"/>
      <c r="EXW1289" s="66"/>
      <c r="EXX1289" s="66"/>
      <c r="EXY1289" s="66"/>
      <c r="EXZ1289" s="66"/>
      <c r="EYA1289" s="66"/>
      <c r="EYB1289" s="66"/>
      <c r="EYC1289" s="66"/>
      <c r="EYD1289" s="66"/>
      <c r="EYE1289" s="66"/>
      <c r="EYF1289" s="66"/>
      <c r="EYG1289" s="66"/>
      <c r="EYH1289" s="66"/>
      <c r="EYI1289" s="66"/>
      <c r="EYJ1289" s="66"/>
      <c r="EYK1289" s="66"/>
      <c r="EYL1289" s="66"/>
      <c r="EYM1289" s="66"/>
      <c r="EYN1289" s="66"/>
      <c r="EYO1289" s="66"/>
      <c r="EYP1289" s="66"/>
      <c r="EYQ1289" s="66"/>
      <c r="EYR1289" s="66"/>
      <c r="EYS1289" s="66"/>
      <c r="EYT1289" s="66"/>
      <c r="EYU1289" s="66"/>
      <c r="EYV1289" s="66"/>
      <c r="EYW1289" s="66"/>
      <c r="EYX1289" s="66"/>
      <c r="EYY1289" s="66"/>
      <c r="EYZ1289" s="66"/>
      <c r="EZA1289" s="66"/>
      <c r="EZB1289" s="66"/>
      <c r="EZC1289" s="66"/>
      <c r="EZD1289" s="66"/>
      <c r="EZE1289" s="66"/>
      <c r="EZF1289" s="66"/>
      <c r="EZG1289" s="66"/>
      <c r="EZH1289" s="66"/>
      <c r="EZI1289" s="66"/>
      <c r="EZJ1289" s="66"/>
      <c r="EZK1289" s="66"/>
      <c r="EZL1289" s="66"/>
      <c r="EZM1289" s="66"/>
      <c r="EZN1289" s="66"/>
      <c r="EZO1289" s="66"/>
      <c r="EZP1289" s="66"/>
      <c r="EZQ1289" s="66"/>
      <c r="EZR1289" s="66"/>
      <c r="EZS1289" s="66"/>
      <c r="EZT1289" s="66"/>
      <c r="EZU1289" s="66"/>
      <c r="EZV1289" s="66"/>
      <c r="EZW1289" s="66"/>
      <c r="EZX1289" s="66"/>
      <c r="EZY1289" s="66"/>
      <c r="EZZ1289" s="66"/>
      <c r="FAA1289" s="66"/>
      <c r="FAB1289" s="66"/>
      <c r="FAC1289" s="66"/>
      <c r="FAD1289" s="66"/>
      <c r="FAE1289" s="66"/>
      <c r="FAF1289" s="66"/>
      <c r="FAG1289" s="66"/>
      <c r="FAH1289" s="66"/>
      <c r="FAI1289" s="66"/>
      <c r="FAJ1289" s="66"/>
      <c r="FAK1289" s="66"/>
      <c r="FAL1289" s="66"/>
      <c r="FAM1289" s="66"/>
      <c r="FAN1289" s="66"/>
      <c r="FAO1289" s="66"/>
      <c r="FAP1289" s="66"/>
      <c r="FAQ1289" s="66"/>
      <c r="FAR1289" s="66"/>
      <c r="FAS1289" s="66"/>
      <c r="FAT1289" s="66"/>
      <c r="FAU1289" s="66"/>
      <c r="FAV1289" s="66"/>
      <c r="FAW1289" s="66"/>
      <c r="FAX1289" s="66"/>
      <c r="FAY1289" s="66"/>
      <c r="FAZ1289" s="66"/>
      <c r="FBA1289" s="66"/>
      <c r="FBB1289" s="66"/>
      <c r="FBC1289" s="66"/>
      <c r="FBD1289" s="66"/>
      <c r="FBE1289" s="66"/>
      <c r="FBF1289" s="66"/>
      <c r="FBG1289" s="66"/>
      <c r="FBH1289" s="66"/>
      <c r="FBI1289" s="66"/>
      <c r="FBJ1289" s="66"/>
      <c r="FBK1289" s="66"/>
      <c r="FBL1289" s="66"/>
      <c r="FBM1289" s="66"/>
      <c r="FBN1289" s="66"/>
      <c r="FBO1289" s="66"/>
      <c r="FBP1289" s="66"/>
      <c r="FBQ1289" s="66"/>
      <c r="FBR1289" s="66"/>
      <c r="FBS1289" s="66"/>
      <c r="FBT1289" s="66"/>
      <c r="FBU1289" s="66"/>
      <c r="FBV1289" s="66"/>
      <c r="FBW1289" s="66"/>
      <c r="FBX1289" s="66"/>
      <c r="FBY1289" s="66"/>
      <c r="FBZ1289" s="66"/>
      <c r="FCA1289" s="66"/>
      <c r="FCB1289" s="66"/>
      <c r="FCC1289" s="66"/>
      <c r="FCD1289" s="66"/>
      <c r="FCE1289" s="66"/>
      <c r="FCF1289" s="66"/>
      <c r="FCG1289" s="66"/>
      <c r="FCH1289" s="66"/>
      <c r="FCI1289" s="66"/>
      <c r="FCJ1289" s="66"/>
      <c r="FCK1289" s="66"/>
      <c r="FCL1289" s="66"/>
      <c r="FCM1289" s="66"/>
      <c r="FCN1289" s="66"/>
      <c r="FCO1289" s="66"/>
      <c r="FCP1289" s="66"/>
      <c r="FCQ1289" s="66"/>
      <c r="FCR1289" s="66"/>
      <c r="FCS1289" s="66"/>
      <c r="FCT1289" s="66"/>
      <c r="FCU1289" s="66"/>
      <c r="FCV1289" s="66"/>
      <c r="FCW1289" s="66"/>
      <c r="FCX1289" s="66"/>
      <c r="FCY1289" s="66"/>
      <c r="FCZ1289" s="66"/>
      <c r="FDA1289" s="66"/>
      <c r="FDB1289" s="66"/>
      <c r="FDC1289" s="66"/>
      <c r="FDD1289" s="66"/>
      <c r="FDE1289" s="66"/>
      <c r="FDF1289" s="66"/>
      <c r="FDG1289" s="66"/>
      <c r="FDH1289" s="66"/>
      <c r="FDI1289" s="66"/>
      <c r="FDJ1289" s="66"/>
      <c r="FDK1289" s="66"/>
      <c r="FDL1289" s="66"/>
      <c r="FDM1289" s="66"/>
      <c r="FDN1289" s="66"/>
      <c r="FDO1289" s="66"/>
      <c r="FDP1289" s="66"/>
      <c r="FDQ1289" s="66"/>
      <c r="FDR1289" s="66"/>
      <c r="FDS1289" s="66"/>
      <c r="FDT1289" s="66"/>
      <c r="FDU1289" s="66"/>
      <c r="FDV1289" s="66"/>
      <c r="FDW1289" s="66"/>
      <c r="FDX1289" s="66"/>
      <c r="FDY1289" s="66"/>
      <c r="FDZ1289" s="66"/>
      <c r="FEA1289" s="66"/>
      <c r="FEB1289" s="66"/>
      <c r="FEC1289" s="66"/>
      <c r="FED1289" s="66"/>
      <c r="FEE1289" s="66"/>
      <c r="FEF1289" s="66"/>
      <c r="FEG1289" s="66"/>
      <c r="FEH1289" s="66"/>
      <c r="FEI1289" s="66"/>
      <c r="FEJ1289" s="66"/>
      <c r="FEK1289" s="66"/>
      <c r="FEL1289" s="66"/>
      <c r="FEM1289" s="66"/>
      <c r="FEN1289" s="66"/>
      <c r="FEO1289" s="66"/>
      <c r="FEP1289" s="66"/>
      <c r="FEQ1289" s="66"/>
      <c r="FER1289" s="66"/>
      <c r="FES1289" s="66"/>
      <c r="FET1289" s="66"/>
      <c r="FEU1289" s="66"/>
      <c r="FEV1289" s="66"/>
      <c r="FEW1289" s="66"/>
      <c r="FEX1289" s="66"/>
      <c r="FEY1289" s="66"/>
      <c r="FEZ1289" s="66"/>
      <c r="FFA1289" s="66"/>
      <c r="FFB1289" s="66"/>
      <c r="FFC1289" s="66"/>
      <c r="FFD1289" s="66"/>
      <c r="FFE1289" s="66"/>
      <c r="FFF1289" s="66"/>
      <c r="FFG1289" s="66"/>
      <c r="FFH1289" s="66"/>
      <c r="FFI1289" s="66"/>
      <c r="FFJ1289" s="66"/>
      <c r="FFK1289" s="66"/>
      <c r="FFL1289" s="66"/>
      <c r="FFM1289" s="66"/>
      <c r="FFN1289" s="66"/>
      <c r="FFO1289" s="66"/>
      <c r="FFP1289" s="66"/>
      <c r="FFQ1289" s="66"/>
      <c r="FFR1289" s="66"/>
      <c r="FFS1289" s="66"/>
      <c r="FFT1289" s="66"/>
      <c r="FFU1289" s="66"/>
      <c r="FFV1289" s="66"/>
      <c r="FFW1289" s="66"/>
      <c r="FFX1289" s="66"/>
      <c r="FFY1289" s="66"/>
      <c r="FFZ1289" s="66"/>
      <c r="FGA1289" s="66"/>
      <c r="FGB1289" s="66"/>
      <c r="FGC1289" s="66"/>
      <c r="FGD1289" s="66"/>
      <c r="FGE1289" s="66"/>
      <c r="FGF1289" s="66"/>
      <c r="FGG1289" s="66"/>
      <c r="FGH1289" s="66"/>
      <c r="FGI1289" s="66"/>
      <c r="FGJ1289" s="66"/>
      <c r="FGK1289" s="66"/>
      <c r="FGL1289" s="66"/>
      <c r="FGM1289" s="66"/>
      <c r="FGN1289" s="66"/>
      <c r="FGO1289" s="66"/>
      <c r="FGP1289" s="66"/>
      <c r="FGQ1289" s="66"/>
      <c r="FGR1289" s="66"/>
      <c r="FGS1289" s="66"/>
      <c r="FGT1289" s="66"/>
      <c r="FGU1289" s="66"/>
      <c r="FGV1289" s="66"/>
      <c r="FGW1289" s="66"/>
      <c r="FGX1289" s="66"/>
      <c r="FGY1289" s="66"/>
      <c r="FGZ1289" s="66"/>
      <c r="FHA1289" s="66"/>
      <c r="FHB1289" s="66"/>
      <c r="FHC1289" s="66"/>
      <c r="FHD1289" s="66"/>
      <c r="FHE1289" s="66"/>
      <c r="FHF1289" s="66"/>
      <c r="FHG1289" s="66"/>
      <c r="FHH1289" s="66"/>
      <c r="FHI1289" s="66"/>
      <c r="FHJ1289" s="66"/>
      <c r="FHK1289" s="66"/>
      <c r="FHL1289" s="66"/>
      <c r="FHM1289" s="66"/>
      <c r="FHN1289" s="66"/>
      <c r="FHO1289" s="66"/>
      <c r="FHP1289" s="66"/>
      <c r="FHQ1289" s="66"/>
      <c r="FHR1289" s="66"/>
      <c r="FHS1289" s="66"/>
      <c r="FHT1289" s="66"/>
      <c r="FHU1289" s="66"/>
      <c r="FHV1289" s="66"/>
      <c r="FHW1289" s="66"/>
      <c r="FHX1289" s="66"/>
      <c r="FHY1289" s="66"/>
      <c r="FHZ1289" s="66"/>
      <c r="FIA1289" s="66"/>
      <c r="FIB1289" s="66"/>
      <c r="FIC1289" s="66"/>
      <c r="FID1289" s="66"/>
      <c r="FIE1289" s="66"/>
      <c r="FIF1289" s="66"/>
      <c r="FIG1289" s="66"/>
      <c r="FIH1289" s="66"/>
      <c r="FII1289" s="66"/>
      <c r="FIJ1289" s="66"/>
      <c r="FIK1289" s="66"/>
      <c r="FIL1289" s="66"/>
      <c r="FIM1289" s="66"/>
      <c r="FIN1289" s="66"/>
      <c r="FIO1289" s="66"/>
      <c r="FIP1289" s="66"/>
      <c r="FIQ1289" s="66"/>
      <c r="FIR1289" s="66"/>
      <c r="FIS1289" s="66"/>
      <c r="FIT1289" s="66"/>
      <c r="FIU1289" s="66"/>
      <c r="FIV1289" s="66"/>
      <c r="FIW1289" s="66"/>
      <c r="FIX1289" s="66"/>
      <c r="FIY1289" s="66"/>
      <c r="FIZ1289" s="66"/>
      <c r="FJA1289" s="66"/>
      <c r="FJB1289" s="66"/>
      <c r="FJC1289" s="66"/>
      <c r="FJD1289" s="66"/>
      <c r="FJE1289" s="66"/>
      <c r="FJF1289" s="66"/>
      <c r="FJG1289" s="66"/>
      <c r="FJH1289" s="66"/>
      <c r="FJI1289" s="66"/>
      <c r="FJJ1289" s="66"/>
      <c r="FJK1289" s="66"/>
      <c r="FJL1289" s="66"/>
      <c r="FJM1289" s="66"/>
      <c r="FJN1289" s="66"/>
      <c r="FJO1289" s="66"/>
      <c r="FJP1289" s="66"/>
      <c r="FJQ1289" s="66"/>
      <c r="FJR1289" s="66"/>
      <c r="FJS1289" s="66"/>
      <c r="FJT1289" s="66"/>
      <c r="FJU1289" s="66"/>
      <c r="FJV1289" s="66"/>
      <c r="FJW1289" s="66"/>
      <c r="FJX1289" s="66"/>
      <c r="FJY1289" s="66"/>
      <c r="FJZ1289" s="66"/>
      <c r="FKA1289" s="66"/>
      <c r="FKB1289" s="66"/>
      <c r="FKC1289" s="66"/>
      <c r="FKD1289" s="66"/>
      <c r="FKE1289" s="66"/>
      <c r="FKF1289" s="66"/>
      <c r="FKG1289" s="66"/>
      <c r="FKH1289" s="66"/>
      <c r="FKI1289" s="66"/>
      <c r="FKJ1289" s="66"/>
      <c r="FKK1289" s="66"/>
      <c r="FKL1289" s="66"/>
      <c r="FKM1289" s="66"/>
      <c r="FKN1289" s="66"/>
      <c r="FKO1289" s="66"/>
      <c r="FKP1289" s="66"/>
      <c r="FKQ1289" s="66"/>
      <c r="FKR1289" s="66"/>
      <c r="FKS1289" s="66"/>
      <c r="FKT1289" s="66"/>
      <c r="FKU1289" s="66"/>
      <c r="FKV1289" s="66"/>
      <c r="FKW1289" s="66"/>
      <c r="FKX1289" s="66"/>
      <c r="FKY1289" s="66"/>
      <c r="FKZ1289" s="66"/>
      <c r="FLA1289" s="66"/>
      <c r="FLB1289" s="66"/>
      <c r="FLC1289" s="66"/>
      <c r="FLD1289" s="66"/>
      <c r="FLE1289" s="66"/>
      <c r="FLF1289" s="66"/>
      <c r="FLG1289" s="66"/>
      <c r="FLH1289" s="66"/>
      <c r="FLI1289" s="66"/>
      <c r="FLJ1289" s="66"/>
      <c r="FLK1289" s="66"/>
      <c r="FLL1289" s="66"/>
      <c r="FLM1289" s="66"/>
      <c r="FLN1289" s="66"/>
      <c r="FLO1289" s="66"/>
      <c r="FLP1289" s="66"/>
      <c r="FLQ1289" s="66"/>
      <c r="FLR1289" s="66"/>
      <c r="FLS1289" s="66"/>
      <c r="FLT1289" s="66"/>
      <c r="FLU1289" s="66"/>
      <c r="FLV1289" s="66"/>
      <c r="FLW1289" s="66"/>
      <c r="FLX1289" s="66"/>
      <c r="FLY1289" s="66"/>
      <c r="FLZ1289" s="66"/>
      <c r="FMA1289" s="66"/>
      <c r="FMB1289" s="66"/>
      <c r="FMC1289" s="66"/>
      <c r="FMD1289" s="66"/>
      <c r="FME1289" s="66"/>
      <c r="FMF1289" s="66"/>
      <c r="FMG1289" s="66"/>
      <c r="FMH1289" s="66"/>
      <c r="FMI1289" s="66"/>
      <c r="FMJ1289" s="66"/>
      <c r="FMK1289" s="66"/>
      <c r="FML1289" s="66"/>
      <c r="FMM1289" s="66"/>
      <c r="FMN1289" s="66"/>
      <c r="FMO1289" s="66"/>
      <c r="FMP1289" s="66"/>
      <c r="FMQ1289" s="66"/>
      <c r="FMR1289" s="66"/>
      <c r="FMS1289" s="66"/>
      <c r="FMT1289" s="66"/>
      <c r="FMU1289" s="66"/>
      <c r="FMV1289" s="66"/>
      <c r="FMW1289" s="66"/>
      <c r="FMX1289" s="66"/>
      <c r="FMY1289" s="66"/>
      <c r="FMZ1289" s="66"/>
      <c r="FNA1289" s="66"/>
      <c r="FNB1289" s="66"/>
      <c r="FNC1289" s="66"/>
      <c r="FND1289" s="66"/>
      <c r="FNE1289" s="66"/>
      <c r="FNF1289" s="66"/>
      <c r="FNG1289" s="66"/>
      <c r="FNH1289" s="66"/>
      <c r="FNI1289" s="66"/>
      <c r="FNJ1289" s="66"/>
      <c r="FNK1289" s="66"/>
      <c r="FNL1289" s="66"/>
      <c r="FNM1289" s="66"/>
      <c r="FNN1289" s="66"/>
      <c r="FNO1289" s="66"/>
      <c r="FNP1289" s="66"/>
      <c r="FNQ1289" s="66"/>
      <c r="FNR1289" s="66"/>
      <c r="FNS1289" s="66"/>
      <c r="FNT1289" s="66"/>
      <c r="FNU1289" s="66"/>
      <c r="FNV1289" s="66"/>
      <c r="FNW1289" s="66"/>
      <c r="FNX1289" s="66"/>
      <c r="FNY1289" s="66"/>
      <c r="FNZ1289" s="66"/>
      <c r="FOA1289" s="66"/>
      <c r="FOB1289" s="66"/>
      <c r="FOC1289" s="66"/>
      <c r="FOD1289" s="66"/>
      <c r="FOE1289" s="66"/>
      <c r="FOF1289" s="66"/>
      <c r="FOG1289" s="66"/>
      <c r="FOH1289" s="66"/>
      <c r="FOI1289" s="66"/>
      <c r="FOJ1289" s="66"/>
      <c r="FOK1289" s="66"/>
      <c r="FOL1289" s="66"/>
      <c r="FOM1289" s="66"/>
      <c r="FON1289" s="66"/>
      <c r="FOO1289" s="66"/>
      <c r="FOP1289" s="66"/>
      <c r="FOQ1289" s="66"/>
      <c r="FOR1289" s="66"/>
      <c r="FOS1289" s="66"/>
      <c r="FOT1289" s="66"/>
      <c r="FOU1289" s="66"/>
      <c r="FOV1289" s="66"/>
      <c r="FOW1289" s="66"/>
      <c r="FOX1289" s="66"/>
      <c r="FOY1289" s="66"/>
      <c r="FOZ1289" s="66"/>
      <c r="FPA1289" s="66"/>
      <c r="FPB1289" s="66"/>
      <c r="FPC1289" s="66"/>
      <c r="FPD1289" s="66"/>
      <c r="FPE1289" s="66"/>
      <c r="FPF1289" s="66"/>
      <c r="FPG1289" s="66"/>
      <c r="FPH1289" s="66"/>
      <c r="FPI1289" s="66"/>
      <c r="FPJ1289" s="66"/>
      <c r="FPK1289" s="66"/>
      <c r="FPL1289" s="66"/>
      <c r="FPM1289" s="66"/>
      <c r="FPN1289" s="66"/>
      <c r="FPO1289" s="66"/>
      <c r="FPP1289" s="66"/>
      <c r="FPQ1289" s="66"/>
      <c r="FPR1289" s="66"/>
      <c r="FPS1289" s="66"/>
      <c r="FPT1289" s="66"/>
      <c r="FPU1289" s="66"/>
      <c r="FPV1289" s="66"/>
      <c r="FPW1289" s="66"/>
      <c r="FPX1289" s="66"/>
      <c r="FPY1289" s="66"/>
      <c r="FPZ1289" s="66"/>
      <c r="FQA1289" s="66"/>
      <c r="FQB1289" s="66"/>
      <c r="FQC1289" s="66"/>
      <c r="FQD1289" s="66"/>
      <c r="FQE1289" s="66"/>
      <c r="FQF1289" s="66"/>
      <c r="FQG1289" s="66"/>
      <c r="FQH1289" s="66"/>
      <c r="FQI1289" s="66"/>
      <c r="FQJ1289" s="66"/>
      <c r="FQK1289" s="66"/>
      <c r="FQL1289" s="66"/>
      <c r="FQM1289" s="66"/>
      <c r="FQN1289" s="66"/>
      <c r="FQO1289" s="66"/>
      <c r="FQP1289" s="66"/>
      <c r="FQQ1289" s="66"/>
      <c r="FQR1289" s="66"/>
      <c r="FQS1289" s="66"/>
      <c r="FQT1289" s="66"/>
      <c r="FQU1289" s="66"/>
      <c r="FQV1289" s="66"/>
      <c r="FQW1289" s="66"/>
      <c r="FQX1289" s="66"/>
      <c r="FQY1289" s="66"/>
      <c r="FQZ1289" s="66"/>
      <c r="FRA1289" s="66"/>
      <c r="FRB1289" s="66"/>
      <c r="FRC1289" s="66"/>
      <c r="FRD1289" s="66"/>
      <c r="FRE1289" s="66"/>
      <c r="FRF1289" s="66"/>
      <c r="FRG1289" s="66"/>
      <c r="FRH1289" s="66"/>
      <c r="FRI1289" s="66"/>
      <c r="FRJ1289" s="66"/>
      <c r="FRK1289" s="66"/>
      <c r="FRL1289" s="66"/>
      <c r="FRM1289" s="66"/>
      <c r="FRN1289" s="66"/>
      <c r="FRO1289" s="66"/>
      <c r="FRP1289" s="66"/>
      <c r="FRQ1289" s="66"/>
      <c r="FRR1289" s="66"/>
      <c r="FRS1289" s="66"/>
      <c r="FRT1289" s="66"/>
      <c r="FRU1289" s="66"/>
      <c r="FRV1289" s="66"/>
      <c r="FRW1289" s="66"/>
      <c r="FRX1289" s="66"/>
      <c r="FRY1289" s="66"/>
      <c r="FRZ1289" s="66"/>
      <c r="FSA1289" s="66"/>
      <c r="FSB1289" s="66"/>
      <c r="FSC1289" s="66"/>
      <c r="FSD1289" s="66"/>
      <c r="FSE1289" s="66"/>
      <c r="FSF1289" s="66"/>
      <c r="FSG1289" s="66"/>
      <c r="FSH1289" s="66"/>
      <c r="FSI1289" s="66"/>
      <c r="FSJ1289" s="66"/>
      <c r="FSK1289" s="66"/>
      <c r="FSL1289" s="66"/>
      <c r="FSM1289" s="66"/>
      <c r="FSN1289" s="66"/>
      <c r="FSO1289" s="66"/>
      <c r="FSP1289" s="66"/>
      <c r="FSQ1289" s="66"/>
      <c r="FSR1289" s="66"/>
      <c r="FSS1289" s="66"/>
      <c r="FST1289" s="66"/>
      <c r="FSU1289" s="66"/>
      <c r="FSV1289" s="66"/>
      <c r="FSW1289" s="66"/>
      <c r="FSX1289" s="66"/>
      <c r="FSY1289" s="66"/>
      <c r="FSZ1289" s="66"/>
      <c r="FTA1289" s="66"/>
      <c r="FTB1289" s="66"/>
      <c r="FTC1289" s="66"/>
      <c r="FTD1289" s="66"/>
      <c r="FTE1289" s="66"/>
      <c r="FTF1289" s="66"/>
      <c r="FTG1289" s="66"/>
      <c r="FTH1289" s="66"/>
      <c r="FTI1289" s="66"/>
      <c r="FTJ1289" s="66"/>
      <c r="FTK1289" s="66"/>
      <c r="FTL1289" s="66"/>
      <c r="FTM1289" s="66"/>
      <c r="FTN1289" s="66"/>
      <c r="FTO1289" s="66"/>
      <c r="FTP1289" s="66"/>
      <c r="FTQ1289" s="66"/>
      <c r="FTR1289" s="66"/>
      <c r="FTS1289" s="66"/>
      <c r="FTT1289" s="66"/>
      <c r="FTU1289" s="66"/>
      <c r="FTV1289" s="66"/>
      <c r="FTW1289" s="66"/>
      <c r="FTX1289" s="66"/>
      <c r="FTY1289" s="66"/>
      <c r="FTZ1289" s="66"/>
      <c r="FUA1289" s="66"/>
      <c r="FUB1289" s="66"/>
      <c r="FUC1289" s="66"/>
      <c r="FUD1289" s="66"/>
      <c r="FUE1289" s="66"/>
      <c r="FUF1289" s="66"/>
      <c r="FUG1289" s="66"/>
      <c r="FUH1289" s="66"/>
      <c r="FUI1289" s="66"/>
      <c r="FUJ1289" s="66"/>
      <c r="FUK1289" s="66"/>
      <c r="FUL1289" s="66"/>
      <c r="FUM1289" s="66"/>
      <c r="FUN1289" s="66"/>
      <c r="FUO1289" s="66"/>
      <c r="FUP1289" s="66"/>
      <c r="FUQ1289" s="66"/>
      <c r="FUR1289" s="66"/>
      <c r="FUS1289" s="66"/>
      <c r="FUT1289" s="66"/>
      <c r="FUU1289" s="66"/>
      <c r="FUV1289" s="66"/>
      <c r="FUW1289" s="66"/>
      <c r="FUX1289" s="66"/>
      <c r="FUY1289" s="66"/>
      <c r="FUZ1289" s="66"/>
      <c r="FVA1289" s="66"/>
      <c r="FVB1289" s="66"/>
      <c r="FVC1289" s="66"/>
      <c r="FVD1289" s="66"/>
      <c r="FVE1289" s="66"/>
      <c r="FVF1289" s="66"/>
      <c r="FVG1289" s="66"/>
      <c r="FVH1289" s="66"/>
      <c r="FVI1289" s="66"/>
      <c r="FVJ1289" s="66"/>
      <c r="FVK1289" s="66"/>
      <c r="FVL1289" s="66"/>
      <c r="FVM1289" s="66"/>
      <c r="FVN1289" s="66"/>
      <c r="FVO1289" s="66"/>
      <c r="FVP1289" s="66"/>
      <c r="FVQ1289" s="66"/>
      <c r="FVR1289" s="66"/>
      <c r="FVS1289" s="66"/>
      <c r="FVT1289" s="66"/>
      <c r="FVU1289" s="66"/>
      <c r="FVV1289" s="66"/>
      <c r="FVW1289" s="66"/>
      <c r="FVX1289" s="66"/>
      <c r="FVY1289" s="66"/>
      <c r="FVZ1289" s="66"/>
      <c r="FWA1289" s="66"/>
      <c r="FWB1289" s="66"/>
      <c r="FWC1289" s="66"/>
      <c r="FWD1289" s="66"/>
      <c r="FWE1289" s="66"/>
      <c r="FWF1289" s="66"/>
      <c r="FWG1289" s="66"/>
      <c r="FWH1289" s="66"/>
      <c r="FWI1289" s="66"/>
      <c r="FWJ1289" s="66"/>
      <c r="FWK1289" s="66"/>
      <c r="FWL1289" s="66"/>
      <c r="FWM1289" s="66"/>
      <c r="FWN1289" s="66"/>
      <c r="FWO1289" s="66"/>
      <c r="FWP1289" s="66"/>
      <c r="FWQ1289" s="66"/>
      <c r="FWR1289" s="66"/>
      <c r="FWS1289" s="66"/>
      <c r="FWT1289" s="66"/>
      <c r="FWU1289" s="66"/>
      <c r="FWV1289" s="66"/>
      <c r="FWW1289" s="66"/>
      <c r="FWX1289" s="66"/>
      <c r="FWY1289" s="66"/>
      <c r="FWZ1289" s="66"/>
      <c r="FXA1289" s="66"/>
      <c r="FXB1289" s="66"/>
      <c r="FXC1289" s="66"/>
      <c r="FXD1289" s="66"/>
      <c r="FXE1289" s="66"/>
      <c r="FXF1289" s="66"/>
      <c r="FXG1289" s="66"/>
      <c r="FXH1289" s="66"/>
      <c r="FXI1289" s="66"/>
      <c r="FXJ1289" s="66"/>
      <c r="FXK1289" s="66"/>
      <c r="FXL1289" s="66"/>
      <c r="FXM1289" s="66"/>
      <c r="FXN1289" s="66"/>
      <c r="FXO1289" s="66"/>
      <c r="FXP1289" s="66"/>
      <c r="FXQ1289" s="66"/>
      <c r="FXR1289" s="66"/>
      <c r="FXS1289" s="66"/>
      <c r="FXT1289" s="66"/>
      <c r="FXU1289" s="66"/>
      <c r="FXV1289" s="66"/>
      <c r="FXW1289" s="66"/>
      <c r="FXX1289" s="66"/>
      <c r="FXY1289" s="66"/>
      <c r="FXZ1289" s="66"/>
      <c r="FYA1289" s="66"/>
      <c r="FYB1289" s="66"/>
      <c r="FYC1289" s="66"/>
      <c r="FYD1289" s="66"/>
      <c r="FYE1289" s="66"/>
      <c r="FYF1289" s="66"/>
      <c r="FYG1289" s="66"/>
      <c r="FYH1289" s="66"/>
      <c r="FYI1289" s="66"/>
      <c r="FYJ1289" s="66"/>
      <c r="FYK1289" s="66"/>
      <c r="FYL1289" s="66"/>
      <c r="FYM1289" s="66"/>
      <c r="FYN1289" s="66"/>
      <c r="FYO1289" s="66"/>
      <c r="FYP1289" s="66"/>
      <c r="FYQ1289" s="66"/>
      <c r="FYR1289" s="66"/>
      <c r="FYS1289" s="66"/>
      <c r="FYT1289" s="66"/>
      <c r="FYU1289" s="66"/>
      <c r="FYV1289" s="66"/>
      <c r="FYW1289" s="66"/>
      <c r="FYX1289" s="66"/>
      <c r="FYY1289" s="66"/>
      <c r="FYZ1289" s="66"/>
      <c r="FZA1289" s="66"/>
      <c r="FZB1289" s="66"/>
      <c r="FZC1289" s="66"/>
      <c r="FZD1289" s="66"/>
      <c r="FZE1289" s="66"/>
      <c r="FZF1289" s="66"/>
      <c r="FZG1289" s="66"/>
      <c r="FZH1289" s="66"/>
      <c r="FZI1289" s="66"/>
      <c r="FZJ1289" s="66"/>
      <c r="FZK1289" s="66"/>
      <c r="FZL1289" s="66"/>
      <c r="FZM1289" s="66"/>
      <c r="FZN1289" s="66"/>
      <c r="FZO1289" s="66"/>
      <c r="FZP1289" s="66"/>
      <c r="FZQ1289" s="66"/>
      <c r="FZR1289" s="66"/>
      <c r="FZS1289" s="66"/>
      <c r="FZT1289" s="66"/>
      <c r="FZU1289" s="66"/>
      <c r="FZV1289" s="66"/>
      <c r="FZW1289" s="66"/>
      <c r="FZX1289" s="66"/>
      <c r="FZY1289" s="66"/>
      <c r="FZZ1289" s="66"/>
      <c r="GAA1289" s="66"/>
      <c r="GAB1289" s="66"/>
      <c r="GAC1289" s="66"/>
      <c r="GAD1289" s="66"/>
      <c r="GAE1289" s="66"/>
      <c r="GAF1289" s="66"/>
      <c r="GAG1289" s="66"/>
      <c r="GAH1289" s="66"/>
      <c r="GAI1289" s="66"/>
      <c r="GAJ1289" s="66"/>
      <c r="GAK1289" s="66"/>
      <c r="GAL1289" s="66"/>
      <c r="GAM1289" s="66"/>
      <c r="GAN1289" s="66"/>
      <c r="GAO1289" s="66"/>
      <c r="GAP1289" s="66"/>
      <c r="GAQ1289" s="66"/>
      <c r="GAR1289" s="66"/>
      <c r="GAS1289" s="66"/>
      <c r="GAT1289" s="66"/>
      <c r="GAU1289" s="66"/>
      <c r="GAV1289" s="66"/>
      <c r="GAW1289" s="66"/>
      <c r="GAX1289" s="66"/>
      <c r="GAY1289" s="66"/>
      <c r="GAZ1289" s="66"/>
      <c r="GBA1289" s="66"/>
      <c r="GBB1289" s="66"/>
      <c r="GBC1289" s="66"/>
      <c r="GBD1289" s="66"/>
      <c r="GBE1289" s="66"/>
      <c r="GBF1289" s="66"/>
      <c r="GBG1289" s="66"/>
      <c r="GBH1289" s="66"/>
      <c r="GBI1289" s="66"/>
      <c r="GBJ1289" s="66"/>
      <c r="GBK1289" s="66"/>
      <c r="GBL1289" s="66"/>
      <c r="GBM1289" s="66"/>
      <c r="GBN1289" s="66"/>
      <c r="GBO1289" s="66"/>
      <c r="GBP1289" s="66"/>
      <c r="GBQ1289" s="66"/>
      <c r="GBR1289" s="66"/>
      <c r="GBS1289" s="66"/>
      <c r="GBT1289" s="66"/>
      <c r="GBU1289" s="66"/>
      <c r="GBV1289" s="66"/>
      <c r="GBW1289" s="66"/>
      <c r="GBX1289" s="66"/>
      <c r="GBY1289" s="66"/>
      <c r="GBZ1289" s="66"/>
      <c r="GCA1289" s="66"/>
      <c r="GCB1289" s="66"/>
      <c r="GCC1289" s="66"/>
      <c r="GCD1289" s="66"/>
      <c r="GCE1289" s="66"/>
      <c r="GCF1289" s="66"/>
      <c r="GCG1289" s="66"/>
      <c r="GCH1289" s="66"/>
      <c r="GCI1289" s="66"/>
      <c r="GCJ1289" s="66"/>
      <c r="GCK1289" s="66"/>
      <c r="GCL1289" s="66"/>
      <c r="GCM1289" s="66"/>
      <c r="GCN1289" s="66"/>
      <c r="GCO1289" s="66"/>
      <c r="GCP1289" s="66"/>
      <c r="GCQ1289" s="66"/>
      <c r="GCR1289" s="66"/>
      <c r="GCS1289" s="66"/>
      <c r="GCT1289" s="66"/>
      <c r="GCU1289" s="66"/>
      <c r="GCV1289" s="66"/>
      <c r="GCW1289" s="66"/>
      <c r="GCX1289" s="66"/>
      <c r="GCY1289" s="66"/>
      <c r="GCZ1289" s="66"/>
      <c r="GDA1289" s="66"/>
      <c r="GDB1289" s="66"/>
      <c r="GDC1289" s="66"/>
      <c r="GDD1289" s="66"/>
      <c r="GDE1289" s="66"/>
      <c r="GDF1289" s="66"/>
      <c r="GDG1289" s="66"/>
      <c r="GDH1289" s="66"/>
      <c r="GDI1289" s="66"/>
      <c r="GDJ1289" s="66"/>
      <c r="GDK1289" s="66"/>
      <c r="GDL1289" s="66"/>
      <c r="GDM1289" s="66"/>
      <c r="GDN1289" s="66"/>
      <c r="GDO1289" s="66"/>
      <c r="GDP1289" s="66"/>
      <c r="GDQ1289" s="66"/>
      <c r="GDR1289" s="66"/>
      <c r="GDS1289" s="66"/>
      <c r="GDT1289" s="66"/>
      <c r="GDU1289" s="66"/>
      <c r="GDV1289" s="66"/>
      <c r="GDW1289" s="66"/>
      <c r="GDX1289" s="66"/>
      <c r="GDY1289" s="66"/>
      <c r="GDZ1289" s="66"/>
      <c r="GEA1289" s="66"/>
      <c r="GEB1289" s="66"/>
      <c r="GEC1289" s="66"/>
      <c r="GED1289" s="66"/>
      <c r="GEE1289" s="66"/>
      <c r="GEF1289" s="66"/>
      <c r="GEG1289" s="66"/>
      <c r="GEH1289" s="66"/>
      <c r="GEI1289" s="66"/>
      <c r="GEJ1289" s="66"/>
      <c r="GEK1289" s="66"/>
      <c r="GEL1289" s="66"/>
      <c r="GEM1289" s="66"/>
      <c r="GEN1289" s="66"/>
      <c r="GEO1289" s="66"/>
      <c r="GEP1289" s="66"/>
      <c r="GEQ1289" s="66"/>
      <c r="GER1289" s="66"/>
      <c r="GES1289" s="66"/>
      <c r="GET1289" s="66"/>
      <c r="GEU1289" s="66"/>
      <c r="GEV1289" s="66"/>
      <c r="GEW1289" s="66"/>
      <c r="GEX1289" s="66"/>
      <c r="GEY1289" s="66"/>
      <c r="GEZ1289" s="66"/>
      <c r="GFA1289" s="66"/>
      <c r="GFB1289" s="66"/>
      <c r="GFC1289" s="66"/>
      <c r="GFD1289" s="66"/>
      <c r="GFE1289" s="66"/>
      <c r="GFF1289" s="66"/>
      <c r="GFG1289" s="66"/>
      <c r="GFH1289" s="66"/>
      <c r="GFI1289" s="66"/>
      <c r="GFJ1289" s="66"/>
      <c r="GFK1289" s="66"/>
      <c r="GFL1289" s="66"/>
      <c r="GFM1289" s="66"/>
      <c r="GFN1289" s="66"/>
      <c r="GFO1289" s="66"/>
      <c r="GFP1289" s="66"/>
      <c r="GFQ1289" s="66"/>
      <c r="GFR1289" s="66"/>
      <c r="GFS1289" s="66"/>
      <c r="GFT1289" s="66"/>
      <c r="GFU1289" s="66"/>
      <c r="GFV1289" s="66"/>
      <c r="GFW1289" s="66"/>
      <c r="GFX1289" s="66"/>
      <c r="GFY1289" s="66"/>
      <c r="GFZ1289" s="66"/>
      <c r="GGA1289" s="66"/>
      <c r="GGB1289" s="66"/>
      <c r="GGC1289" s="66"/>
      <c r="GGD1289" s="66"/>
      <c r="GGE1289" s="66"/>
      <c r="GGF1289" s="66"/>
      <c r="GGG1289" s="66"/>
      <c r="GGH1289" s="66"/>
      <c r="GGI1289" s="66"/>
      <c r="GGJ1289" s="66"/>
      <c r="GGK1289" s="66"/>
      <c r="GGL1289" s="66"/>
      <c r="GGM1289" s="66"/>
      <c r="GGN1289" s="66"/>
      <c r="GGO1289" s="66"/>
      <c r="GGP1289" s="66"/>
      <c r="GGQ1289" s="66"/>
      <c r="GGR1289" s="66"/>
      <c r="GGS1289" s="66"/>
      <c r="GGT1289" s="66"/>
      <c r="GGU1289" s="66"/>
      <c r="GGV1289" s="66"/>
      <c r="GGW1289" s="66"/>
      <c r="GGX1289" s="66"/>
      <c r="GGY1289" s="66"/>
      <c r="GGZ1289" s="66"/>
      <c r="GHA1289" s="66"/>
      <c r="GHB1289" s="66"/>
      <c r="GHC1289" s="66"/>
      <c r="GHD1289" s="66"/>
      <c r="GHE1289" s="66"/>
      <c r="GHF1289" s="66"/>
      <c r="GHG1289" s="66"/>
      <c r="GHH1289" s="66"/>
      <c r="GHI1289" s="66"/>
      <c r="GHJ1289" s="66"/>
      <c r="GHK1289" s="66"/>
      <c r="GHL1289" s="66"/>
      <c r="GHM1289" s="66"/>
      <c r="GHN1289" s="66"/>
      <c r="GHO1289" s="66"/>
      <c r="GHP1289" s="66"/>
      <c r="GHQ1289" s="66"/>
      <c r="GHR1289" s="66"/>
      <c r="GHS1289" s="66"/>
      <c r="GHT1289" s="66"/>
      <c r="GHU1289" s="66"/>
      <c r="GHV1289" s="66"/>
      <c r="GHW1289" s="66"/>
      <c r="GHX1289" s="66"/>
      <c r="GHY1289" s="66"/>
      <c r="GHZ1289" s="66"/>
      <c r="GIA1289" s="66"/>
      <c r="GIB1289" s="66"/>
      <c r="GIC1289" s="66"/>
      <c r="GID1289" s="66"/>
      <c r="GIE1289" s="66"/>
      <c r="GIF1289" s="66"/>
      <c r="GIG1289" s="66"/>
      <c r="GIH1289" s="66"/>
      <c r="GII1289" s="66"/>
      <c r="GIJ1289" s="66"/>
      <c r="GIK1289" s="66"/>
      <c r="GIL1289" s="66"/>
      <c r="GIM1289" s="66"/>
      <c r="GIN1289" s="66"/>
      <c r="GIO1289" s="66"/>
      <c r="GIP1289" s="66"/>
      <c r="GIQ1289" s="66"/>
      <c r="GIR1289" s="66"/>
      <c r="GIS1289" s="66"/>
      <c r="GIT1289" s="66"/>
      <c r="GIU1289" s="66"/>
      <c r="GIV1289" s="66"/>
      <c r="GIW1289" s="66"/>
      <c r="GIX1289" s="66"/>
      <c r="GIY1289" s="66"/>
      <c r="GIZ1289" s="66"/>
      <c r="GJA1289" s="66"/>
      <c r="GJB1289" s="66"/>
      <c r="GJC1289" s="66"/>
      <c r="GJD1289" s="66"/>
      <c r="GJE1289" s="66"/>
      <c r="GJF1289" s="66"/>
      <c r="GJG1289" s="66"/>
      <c r="GJH1289" s="66"/>
      <c r="GJI1289" s="66"/>
      <c r="GJJ1289" s="66"/>
      <c r="GJK1289" s="66"/>
      <c r="GJL1289" s="66"/>
      <c r="GJM1289" s="66"/>
      <c r="GJN1289" s="66"/>
      <c r="GJO1289" s="66"/>
      <c r="GJP1289" s="66"/>
      <c r="GJQ1289" s="66"/>
      <c r="GJR1289" s="66"/>
      <c r="GJS1289" s="66"/>
      <c r="GJT1289" s="66"/>
      <c r="GJU1289" s="66"/>
      <c r="GJV1289" s="66"/>
      <c r="GJW1289" s="66"/>
      <c r="GJX1289" s="66"/>
      <c r="GJY1289" s="66"/>
      <c r="GJZ1289" s="66"/>
      <c r="GKA1289" s="66"/>
      <c r="GKB1289" s="66"/>
      <c r="GKC1289" s="66"/>
      <c r="GKD1289" s="66"/>
      <c r="GKE1289" s="66"/>
      <c r="GKF1289" s="66"/>
      <c r="GKG1289" s="66"/>
      <c r="GKH1289" s="66"/>
      <c r="GKI1289" s="66"/>
      <c r="GKJ1289" s="66"/>
      <c r="GKK1289" s="66"/>
      <c r="GKL1289" s="66"/>
      <c r="GKM1289" s="66"/>
      <c r="GKN1289" s="66"/>
      <c r="GKO1289" s="66"/>
      <c r="GKP1289" s="66"/>
      <c r="GKQ1289" s="66"/>
      <c r="GKR1289" s="66"/>
      <c r="GKS1289" s="66"/>
      <c r="GKT1289" s="66"/>
      <c r="GKU1289" s="66"/>
      <c r="GKV1289" s="66"/>
      <c r="GKW1289" s="66"/>
      <c r="GKX1289" s="66"/>
      <c r="GKY1289" s="66"/>
      <c r="GKZ1289" s="66"/>
      <c r="GLA1289" s="66"/>
      <c r="GLB1289" s="66"/>
      <c r="GLC1289" s="66"/>
      <c r="GLD1289" s="66"/>
      <c r="GLE1289" s="66"/>
      <c r="GLF1289" s="66"/>
      <c r="GLG1289" s="66"/>
      <c r="GLH1289" s="66"/>
      <c r="GLI1289" s="66"/>
      <c r="GLJ1289" s="66"/>
      <c r="GLK1289" s="66"/>
      <c r="GLL1289" s="66"/>
      <c r="GLM1289" s="66"/>
      <c r="GLN1289" s="66"/>
      <c r="GLO1289" s="66"/>
      <c r="GLP1289" s="66"/>
      <c r="GLQ1289" s="66"/>
      <c r="GLR1289" s="66"/>
      <c r="GLS1289" s="66"/>
      <c r="GLT1289" s="66"/>
      <c r="GLU1289" s="66"/>
      <c r="GLV1289" s="66"/>
      <c r="GLW1289" s="66"/>
      <c r="GLX1289" s="66"/>
      <c r="GLY1289" s="66"/>
      <c r="GLZ1289" s="66"/>
      <c r="GMA1289" s="66"/>
      <c r="GMB1289" s="66"/>
      <c r="GMC1289" s="66"/>
      <c r="GMD1289" s="66"/>
      <c r="GME1289" s="66"/>
      <c r="GMF1289" s="66"/>
      <c r="GMG1289" s="66"/>
      <c r="GMH1289" s="66"/>
      <c r="GMI1289" s="66"/>
      <c r="GMJ1289" s="66"/>
      <c r="GMK1289" s="66"/>
      <c r="GML1289" s="66"/>
      <c r="GMM1289" s="66"/>
      <c r="GMN1289" s="66"/>
      <c r="GMO1289" s="66"/>
      <c r="GMP1289" s="66"/>
      <c r="GMQ1289" s="66"/>
      <c r="GMR1289" s="66"/>
      <c r="GMS1289" s="66"/>
      <c r="GMT1289" s="66"/>
      <c r="GMU1289" s="66"/>
      <c r="GMV1289" s="66"/>
      <c r="GMW1289" s="66"/>
      <c r="GMX1289" s="66"/>
      <c r="GMY1289" s="66"/>
      <c r="GMZ1289" s="66"/>
      <c r="GNA1289" s="66"/>
      <c r="GNB1289" s="66"/>
      <c r="GNC1289" s="66"/>
      <c r="GND1289" s="66"/>
      <c r="GNE1289" s="66"/>
      <c r="GNF1289" s="66"/>
      <c r="GNG1289" s="66"/>
      <c r="GNH1289" s="66"/>
      <c r="GNI1289" s="66"/>
      <c r="GNJ1289" s="66"/>
      <c r="GNK1289" s="66"/>
      <c r="GNL1289" s="66"/>
      <c r="GNM1289" s="66"/>
      <c r="GNN1289" s="66"/>
      <c r="GNO1289" s="66"/>
      <c r="GNP1289" s="66"/>
      <c r="GNQ1289" s="66"/>
      <c r="GNR1289" s="66"/>
      <c r="GNS1289" s="66"/>
      <c r="GNT1289" s="66"/>
      <c r="GNU1289" s="66"/>
      <c r="GNV1289" s="66"/>
      <c r="GNW1289" s="66"/>
      <c r="GNX1289" s="66"/>
      <c r="GNY1289" s="66"/>
      <c r="GNZ1289" s="66"/>
      <c r="GOA1289" s="66"/>
      <c r="GOB1289" s="66"/>
      <c r="GOC1289" s="66"/>
      <c r="GOD1289" s="66"/>
      <c r="GOE1289" s="66"/>
      <c r="GOF1289" s="66"/>
      <c r="GOG1289" s="66"/>
      <c r="GOH1289" s="66"/>
      <c r="GOI1289" s="66"/>
      <c r="GOJ1289" s="66"/>
      <c r="GOK1289" s="66"/>
      <c r="GOL1289" s="66"/>
      <c r="GOM1289" s="66"/>
      <c r="GON1289" s="66"/>
      <c r="GOO1289" s="66"/>
      <c r="GOP1289" s="66"/>
      <c r="GOQ1289" s="66"/>
      <c r="GOR1289" s="66"/>
      <c r="GOS1289" s="66"/>
      <c r="GOT1289" s="66"/>
      <c r="GOU1289" s="66"/>
      <c r="GOV1289" s="66"/>
      <c r="GOW1289" s="66"/>
      <c r="GOX1289" s="66"/>
      <c r="GOY1289" s="66"/>
      <c r="GOZ1289" s="66"/>
      <c r="GPA1289" s="66"/>
      <c r="GPB1289" s="66"/>
      <c r="GPC1289" s="66"/>
      <c r="GPD1289" s="66"/>
      <c r="GPE1289" s="66"/>
      <c r="GPF1289" s="66"/>
      <c r="GPG1289" s="66"/>
      <c r="GPH1289" s="66"/>
      <c r="GPI1289" s="66"/>
      <c r="GPJ1289" s="66"/>
      <c r="GPK1289" s="66"/>
      <c r="GPL1289" s="66"/>
      <c r="GPM1289" s="66"/>
      <c r="GPN1289" s="66"/>
      <c r="GPO1289" s="66"/>
      <c r="GPP1289" s="66"/>
      <c r="GPQ1289" s="66"/>
      <c r="GPR1289" s="66"/>
      <c r="GPS1289" s="66"/>
      <c r="GPT1289" s="66"/>
      <c r="GPU1289" s="66"/>
      <c r="GPV1289" s="66"/>
      <c r="GPW1289" s="66"/>
      <c r="GPX1289" s="66"/>
      <c r="GPY1289" s="66"/>
      <c r="GPZ1289" s="66"/>
      <c r="GQA1289" s="66"/>
      <c r="GQB1289" s="66"/>
      <c r="GQC1289" s="66"/>
      <c r="GQD1289" s="66"/>
      <c r="GQE1289" s="66"/>
      <c r="GQF1289" s="66"/>
      <c r="GQG1289" s="66"/>
      <c r="GQH1289" s="66"/>
      <c r="GQI1289" s="66"/>
      <c r="GQJ1289" s="66"/>
      <c r="GQK1289" s="66"/>
      <c r="GQL1289" s="66"/>
      <c r="GQM1289" s="66"/>
      <c r="GQN1289" s="66"/>
      <c r="GQO1289" s="66"/>
      <c r="GQP1289" s="66"/>
      <c r="GQQ1289" s="66"/>
      <c r="GQR1289" s="66"/>
      <c r="GQS1289" s="66"/>
      <c r="GQT1289" s="66"/>
      <c r="GQU1289" s="66"/>
      <c r="GQV1289" s="66"/>
      <c r="GQW1289" s="66"/>
      <c r="GQX1289" s="66"/>
      <c r="GQY1289" s="66"/>
      <c r="GQZ1289" s="66"/>
      <c r="GRA1289" s="66"/>
      <c r="GRB1289" s="66"/>
      <c r="GRC1289" s="66"/>
      <c r="GRD1289" s="66"/>
      <c r="GRE1289" s="66"/>
      <c r="GRF1289" s="66"/>
      <c r="GRG1289" s="66"/>
      <c r="GRH1289" s="66"/>
      <c r="GRI1289" s="66"/>
      <c r="GRJ1289" s="66"/>
      <c r="GRK1289" s="66"/>
      <c r="GRL1289" s="66"/>
      <c r="GRM1289" s="66"/>
      <c r="GRN1289" s="66"/>
      <c r="GRO1289" s="66"/>
      <c r="GRP1289" s="66"/>
      <c r="GRQ1289" s="66"/>
      <c r="GRR1289" s="66"/>
      <c r="GRS1289" s="66"/>
      <c r="GRT1289" s="66"/>
      <c r="GRU1289" s="66"/>
      <c r="GRV1289" s="66"/>
      <c r="GRW1289" s="66"/>
      <c r="GRX1289" s="66"/>
      <c r="GRY1289" s="66"/>
      <c r="GRZ1289" s="66"/>
      <c r="GSA1289" s="66"/>
      <c r="GSB1289" s="66"/>
      <c r="GSC1289" s="66"/>
      <c r="GSD1289" s="66"/>
      <c r="GSE1289" s="66"/>
      <c r="GSF1289" s="66"/>
      <c r="GSG1289" s="66"/>
      <c r="GSH1289" s="66"/>
      <c r="GSI1289" s="66"/>
      <c r="GSJ1289" s="66"/>
      <c r="GSK1289" s="66"/>
      <c r="GSL1289" s="66"/>
      <c r="GSM1289" s="66"/>
      <c r="GSN1289" s="66"/>
      <c r="GSO1289" s="66"/>
      <c r="GSP1289" s="66"/>
      <c r="GSQ1289" s="66"/>
      <c r="GSR1289" s="66"/>
      <c r="GSS1289" s="66"/>
      <c r="GST1289" s="66"/>
      <c r="GSU1289" s="66"/>
      <c r="GSV1289" s="66"/>
      <c r="GSW1289" s="66"/>
      <c r="GSX1289" s="66"/>
      <c r="GSY1289" s="66"/>
      <c r="GSZ1289" s="66"/>
      <c r="GTA1289" s="66"/>
      <c r="GTB1289" s="66"/>
      <c r="GTC1289" s="66"/>
      <c r="GTD1289" s="66"/>
      <c r="GTE1289" s="66"/>
      <c r="GTF1289" s="66"/>
      <c r="GTG1289" s="66"/>
      <c r="GTH1289" s="66"/>
      <c r="GTI1289" s="66"/>
      <c r="GTJ1289" s="66"/>
      <c r="GTK1289" s="66"/>
      <c r="GTL1289" s="66"/>
      <c r="GTM1289" s="66"/>
      <c r="GTN1289" s="66"/>
      <c r="GTO1289" s="66"/>
      <c r="GTP1289" s="66"/>
      <c r="GTQ1289" s="66"/>
      <c r="GTR1289" s="66"/>
      <c r="GTS1289" s="66"/>
      <c r="GTT1289" s="66"/>
      <c r="GTU1289" s="66"/>
      <c r="GTV1289" s="66"/>
      <c r="GTW1289" s="66"/>
      <c r="GTX1289" s="66"/>
      <c r="GTY1289" s="66"/>
      <c r="GTZ1289" s="66"/>
      <c r="GUA1289" s="66"/>
      <c r="GUB1289" s="66"/>
      <c r="GUC1289" s="66"/>
      <c r="GUD1289" s="66"/>
      <c r="GUE1289" s="66"/>
      <c r="GUF1289" s="66"/>
      <c r="GUG1289" s="66"/>
      <c r="GUH1289" s="66"/>
      <c r="GUI1289" s="66"/>
      <c r="GUJ1289" s="66"/>
      <c r="GUK1289" s="66"/>
      <c r="GUL1289" s="66"/>
      <c r="GUM1289" s="66"/>
      <c r="GUN1289" s="66"/>
      <c r="GUO1289" s="66"/>
      <c r="GUP1289" s="66"/>
      <c r="GUQ1289" s="66"/>
      <c r="GUR1289" s="66"/>
      <c r="GUS1289" s="66"/>
      <c r="GUT1289" s="66"/>
      <c r="GUU1289" s="66"/>
      <c r="GUV1289" s="66"/>
      <c r="GUW1289" s="66"/>
      <c r="GUX1289" s="66"/>
      <c r="GUY1289" s="66"/>
      <c r="GUZ1289" s="66"/>
      <c r="GVA1289" s="66"/>
      <c r="GVB1289" s="66"/>
      <c r="GVC1289" s="66"/>
      <c r="GVD1289" s="66"/>
      <c r="GVE1289" s="66"/>
      <c r="GVF1289" s="66"/>
      <c r="GVG1289" s="66"/>
      <c r="GVH1289" s="66"/>
      <c r="GVI1289" s="66"/>
      <c r="GVJ1289" s="66"/>
      <c r="GVK1289" s="66"/>
      <c r="GVL1289" s="66"/>
      <c r="GVM1289" s="66"/>
      <c r="GVN1289" s="66"/>
      <c r="GVO1289" s="66"/>
      <c r="GVP1289" s="66"/>
      <c r="GVQ1289" s="66"/>
      <c r="GVR1289" s="66"/>
      <c r="GVS1289" s="66"/>
      <c r="GVT1289" s="66"/>
      <c r="GVU1289" s="66"/>
      <c r="GVV1289" s="66"/>
      <c r="GVW1289" s="66"/>
      <c r="GVX1289" s="66"/>
      <c r="GVY1289" s="66"/>
      <c r="GVZ1289" s="66"/>
      <c r="GWA1289" s="66"/>
      <c r="GWB1289" s="66"/>
      <c r="GWC1289" s="66"/>
      <c r="GWD1289" s="66"/>
      <c r="GWE1289" s="66"/>
      <c r="GWF1289" s="66"/>
      <c r="GWG1289" s="66"/>
      <c r="GWH1289" s="66"/>
      <c r="GWI1289" s="66"/>
      <c r="GWJ1289" s="66"/>
      <c r="GWK1289" s="66"/>
      <c r="GWL1289" s="66"/>
      <c r="GWM1289" s="66"/>
      <c r="GWN1289" s="66"/>
      <c r="GWO1289" s="66"/>
      <c r="GWP1289" s="66"/>
      <c r="GWQ1289" s="66"/>
      <c r="GWR1289" s="66"/>
      <c r="GWS1289" s="66"/>
      <c r="GWT1289" s="66"/>
      <c r="GWU1289" s="66"/>
      <c r="GWV1289" s="66"/>
      <c r="GWW1289" s="66"/>
      <c r="GWX1289" s="66"/>
      <c r="GWY1289" s="66"/>
      <c r="GWZ1289" s="66"/>
      <c r="GXA1289" s="66"/>
      <c r="GXB1289" s="66"/>
      <c r="GXC1289" s="66"/>
      <c r="GXD1289" s="66"/>
      <c r="GXE1289" s="66"/>
      <c r="GXF1289" s="66"/>
      <c r="GXG1289" s="66"/>
      <c r="GXH1289" s="66"/>
      <c r="GXI1289" s="66"/>
      <c r="GXJ1289" s="66"/>
      <c r="GXK1289" s="66"/>
      <c r="GXL1289" s="66"/>
      <c r="GXM1289" s="66"/>
      <c r="GXN1289" s="66"/>
      <c r="GXO1289" s="66"/>
      <c r="GXP1289" s="66"/>
      <c r="GXQ1289" s="66"/>
      <c r="GXR1289" s="66"/>
      <c r="GXS1289" s="66"/>
      <c r="GXT1289" s="66"/>
      <c r="GXU1289" s="66"/>
      <c r="GXV1289" s="66"/>
      <c r="GXW1289" s="66"/>
      <c r="GXX1289" s="66"/>
      <c r="GXY1289" s="66"/>
      <c r="GXZ1289" s="66"/>
      <c r="GYA1289" s="66"/>
      <c r="GYB1289" s="66"/>
      <c r="GYC1289" s="66"/>
      <c r="GYD1289" s="66"/>
      <c r="GYE1289" s="66"/>
      <c r="GYF1289" s="66"/>
      <c r="GYG1289" s="66"/>
      <c r="GYH1289" s="66"/>
      <c r="GYI1289" s="66"/>
      <c r="GYJ1289" s="66"/>
      <c r="GYK1289" s="66"/>
      <c r="GYL1289" s="66"/>
      <c r="GYM1289" s="66"/>
      <c r="GYN1289" s="66"/>
      <c r="GYO1289" s="66"/>
      <c r="GYP1289" s="66"/>
      <c r="GYQ1289" s="66"/>
      <c r="GYR1289" s="66"/>
      <c r="GYS1289" s="66"/>
      <c r="GYT1289" s="66"/>
      <c r="GYU1289" s="66"/>
      <c r="GYV1289" s="66"/>
      <c r="GYW1289" s="66"/>
      <c r="GYX1289" s="66"/>
      <c r="GYY1289" s="66"/>
      <c r="GYZ1289" s="66"/>
      <c r="GZA1289" s="66"/>
      <c r="GZB1289" s="66"/>
      <c r="GZC1289" s="66"/>
      <c r="GZD1289" s="66"/>
      <c r="GZE1289" s="66"/>
      <c r="GZF1289" s="66"/>
      <c r="GZG1289" s="66"/>
      <c r="GZH1289" s="66"/>
      <c r="GZI1289" s="66"/>
      <c r="GZJ1289" s="66"/>
      <c r="GZK1289" s="66"/>
      <c r="GZL1289" s="66"/>
      <c r="GZM1289" s="66"/>
      <c r="GZN1289" s="66"/>
      <c r="GZO1289" s="66"/>
      <c r="GZP1289" s="66"/>
      <c r="GZQ1289" s="66"/>
      <c r="GZR1289" s="66"/>
      <c r="GZS1289" s="66"/>
      <c r="GZT1289" s="66"/>
      <c r="GZU1289" s="66"/>
      <c r="GZV1289" s="66"/>
      <c r="GZW1289" s="66"/>
      <c r="GZX1289" s="66"/>
      <c r="GZY1289" s="66"/>
      <c r="GZZ1289" s="66"/>
      <c r="HAA1289" s="66"/>
      <c r="HAB1289" s="66"/>
      <c r="HAC1289" s="66"/>
      <c r="HAD1289" s="66"/>
      <c r="HAE1289" s="66"/>
      <c r="HAF1289" s="66"/>
      <c r="HAG1289" s="66"/>
      <c r="HAH1289" s="66"/>
      <c r="HAI1289" s="66"/>
      <c r="HAJ1289" s="66"/>
      <c r="HAK1289" s="66"/>
      <c r="HAL1289" s="66"/>
      <c r="HAM1289" s="66"/>
      <c r="HAN1289" s="66"/>
      <c r="HAO1289" s="66"/>
      <c r="HAP1289" s="66"/>
      <c r="HAQ1289" s="66"/>
      <c r="HAR1289" s="66"/>
      <c r="HAS1289" s="66"/>
      <c r="HAT1289" s="66"/>
      <c r="HAU1289" s="66"/>
      <c r="HAV1289" s="66"/>
      <c r="HAW1289" s="66"/>
      <c r="HAX1289" s="66"/>
      <c r="HAY1289" s="66"/>
      <c r="HAZ1289" s="66"/>
      <c r="HBA1289" s="66"/>
      <c r="HBB1289" s="66"/>
      <c r="HBC1289" s="66"/>
      <c r="HBD1289" s="66"/>
      <c r="HBE1289" s="66"/>
      <c r="HBF1289" s="66"/>
      <c r="HBG1289" s="66"/>
      <c r="HBH1289" s="66"/>
      <c r="HBI1289" s="66"/>
      <c r="HBJ1289" s="66"/>
      <c r="HBK1289" s="66"/>
      <c r="HBL1289" s="66"/>
      <c r="HBM1289" s="66"/>
      <c r="HBN1289" s="66"/>
      <c r="HBO1289" s="66"/>
      <c r="HBP1289" s="66"/>
      <c r="HBQ1289" s="66"/>
      <c r="HBR1289" s="66"/>
      <c r="HBS1289" s="66"/>
      <c r="HBT1289" s="66"/>
      <c r="HBU1289" s="66"/>
      <c r="HBV1289" s="66"/>
      <c r="HBW1289" s="66"/>
      <c r="HBX1289" s="66"/>
      <c r="HBY1289" s="66"/>
      <c r="HBZ1289" s="66"/>
      <c r="HCA1289" s="66"/>
      <c r="HCB1289" s="66"/>
      <c r="HCC1289" s="66"/>
      <c r="HCD1289" s="66"/>
      <c r="HCE1289" s="66"/>
      <c r="HCF1289" s="66"/>
      <c r="HCG1289" s="66"/>
      <c r="HCH1289" s="66"/>
      <c r="HCI1289" s="66"/>
      <c r="HCJ1289" s="66"/>
      <c r="HCK1289" s="66"/>
      <c r="HCL1289" s="66"/>
      <c r="HCM1289" s="66"/>
      <c r="HCN1289" s="66"/>
      <c r="HCO1289" s="66"/>
      <c r="HCP1289" s="66"/>
      <c r="HCQ1289" s="66"/>
      <c r="HCR1289" s="66"/>
      <c r="HCS1289" s="66"/>
      <c r="HCT1289" s="66"/>
      <c r="HCU1289" s="66"/>
      <c r="HCV1289" s="66"/>
      <c r="HCW1289" s="66"/>
      <c r="HCX1289" s="66"/>
      <c r="HCY1289" s="66"/>
      <c r="HCZ1289" s="66"/>
      <c r="HDA1289" s="66"/>
      <c r="HDB1289" s="66"/>
      <c r="HDC1289" s="66"/>
      <c r="HDD1289" s="66"/>
      <c r="HDE1289" s="66"/>
      <c r="HDF1289" s="66"/>
      <c r="HDG1289" s="66"/>
      <c r="HDH1289" s="66"/>
      <c r="HDI1289" s="66"/>
      <c r="HDJ1289" s="66"/>
      <c r="HDK1289" s="66"/>
      <c r="HDL1289" s="66"/>
      <c r="HDM1289" s="66"/>
      <c r="HDN1289" s="66"/>
      <c r="HDO1289" s="66"/>
      <c r="HDP1289" s="66"/>
      <c r="HDQ1289" s="66"/>
      <c r="HDR1289" s="66"/>
      <c r="HDS1289" s="66"/>
      <c r="HDT1289" s="66"/>
      <c r="HDU1289" s="66"/>
      <c r="HDV1289" s="66"/>
      <c r="HDW1289" s="66"/>
      <c r="HDX1289" s="66"/>
      <c r="HDY1289" s="66"/>
      <c r="HDZ1289" s="66"/>
      <c r="HEA1289" s="66"/>
      <c r="HEB1289" s="66"/>
      <c r="HEC1289" s="66"/>
      <c r="HED1289" s="66"/>
      <c r="HEE1289" s="66"/>
      <c r="HEF1289" s="66"/>
      <c r="HEG1289" s="66"/>
      <c r="HEH1289" s="66"/>
      <c r="HEI1289" s="66"/>
      <c r="HEJ1289" s="66"/>
      <c r="HEK1289" s="66"/>
      <c r="HEL1289" s="66"/>
      <c r="HEM1289" s="66"/>
      <c r="HEN1289" s="66"/>
      <c r="HEO1289" s="66"/>
      <c r="HEP1289" s="66"/>
      <c r="HEQ1289" s="66"/>
      <c r="HER1289" s="66"/>
      <c r="HES1289" s="66"/>
      <c r="HET1289" s="66"/>
      <c r="HEU1289" s="66"/>
      <c r="HEV1289" s="66"/>
      <c r="HEW1289" s="66"/>
      <c r="HEX1289" s="66"/>
      <c r="HEY1289" s="66"/>
      <c r="HEZ1289" s="66"/>
      <c r="HFA1289" s="66"/>
      <c r="HFB1289" s="66"/>
      <c r="HFC1289" s="66"/>
      <c r="HFD1289" s="66"/>
      <c r="HFE1289" s="66"/>
      <c r="HFF1289" s="66"/>
      <c r="HFG1289" s="66"/>
      <c r="HFH1289" s="66"/>
      <c r="HFI1289" s="66"/>
      <c r="HFJ1289" s="66"/>
      <c r="HFK1289" s="66"/>
      <c r="HFL1289" s="66"/>
      <c r="HFM1289" s="66"/>
      <c r="HFN1289" s="66"/>
      <c r="HFO1289" s="66"/>
      <c r="HFP1289" s="66"/>
      <c r="HFQ1289" s="66"/>
      <c r="HFR1289" s="66"/>
      <c r="HFS1289" s="66"/>
      <c r="HFT1289" s="66"/>
      <c r="HFU1289" s="66"/>
      <c r="HFV1289" s="66"/>
      <c r="HFW1289" s="66"/>
      <c r="HFX1289" s="66"/>
      <c r="HFY1289" s="66"/>
      <c r="HFZ1289" s="66"/>
      <c r="HGA1289" s="66"/>
      <c r="HGB1289" s="66"/>
      <c r="HGC1289" s="66"/>
      <c r="HGD1289" s="66"/>
      <c r="HGE1289" s="66"/>
      <c r="HGF1289" s="66"/>
      <c r="HGG1289" s="66"/>
      <c r="HGH1289" s="66"/>
      <c r="HGI1289" s="66"/>
      <c r="HGJ1289" s="66"/>
      <c r="HGK1289" s="66"/>
      <c r="HGL1289" s="66"/>
      <c r="HGM1289" s="66"/>
      <c r="HGN1289" s="66"/>
      <c r="HGO1289" s="66"/>
      <c r="HGP1289" s="66"/>
      <c r="HGQ1289" s="66"/>
      <c r="HGR1289" s="66"/>
      <c r="HGS1289" s="66"/>
      <c r="HGT1289" s="66"/>
      <c r="HGU1289" s="66"/>
      <c r="HGV1289" s="66"/>
      <c r="HGW1289" s="66"/>
      <c r="HGX1289" s="66"/>
      <c r="HGY1289" s="66"/>
      <c r="HGZ1289" s="66"/>
      <c r="HHA1289" s="66"/>
      <c r="HHB1289" s="66"/>
      <c r="HHC1289" s="66"/>
      <c r="HHD1289" s="66"/>
      <c r="HHE1289" s="66"/>
      <c r="HHF1289" s="66"/>
      <c r="HHG1289" s="66"/>
      <c r="HHH1289" s="66"/>
      <c r="HHI1289" s="66"/>
      <c r="HHJ1289" s="66"/>
      <c r="HHK1289" s="66"/>
      <c r="HHL1289" s="66"/>
      <c r="HHM1289" s="66"/>
      <c r="HHN1289" s="66"/>
      <c r="HHO1289" s="66"/>
      <c r="HHP1289" s="66"/>
      <c r="HHQ1289" s="66"/>
      <c r="HHR1289" s="66"/>
      <c r="HHS1289" s="66"/>
      <c r="HHT1289" s="66"/>
      <c r="HHU1289" s="66"/>
      <c r="HHV1289" s="66"/>
      <c r="HHW1289" s="66"/>
      <c r="HHX1289" s="66"/>
      <c r="HHY1289" s="66"/>
      <c r="HHZ1289" s="66"/>
      <c r="HIA1289" s="66"/>
      <c r="HIB1289" s="66"/>
      <c r="HIC1289" s="66"/>
      <c r="HID1289" s="66"/>
      <c r="HIE1289" s="66"/>
      <c r="HIF1289" s="66"/>
      <c r="HIG1289" s="66"/>
      <c r="HIH1289" s="66"/>
      <c r="HII1289" s="66"/>
      <c r="HIJ1289" s="66"/>
      <c r="HIK1289" s="66"/>
      <c r="HIL1289" s="66"/>
      <c r="HIM1289" s="66"/>
      <c r="HIN1289" s="66"/>
      <c r="HIO1289" s="66"/>
      <c r="HIP1289" s="66"/>
      <c r="HIQ1289" s="66"/>
      <c r="HIR1289" s="66"/>
      <c r="HIS1289" s="66"/>
      <c r="HIT1289" s="66"/>
      <c r="HIU1289" s="66"/>
      <c r="HIV1289" s="66"/>
      <c r="HIW1289" s="66"/>
      <c r="HIX1289" s="66"/>
      <c r="HIY1289" s="66"/>
      <c r="HIZ1289" s="66"/>
      <c r="HJA1289" s="66"/>
      <c r="HJB1289" s="66"/>
      <c r="HJC1289" s="66"/>
      <c r="HJD1289" s="66"/>
      <c r="HJE1289" s="66"/>
      <c r="HJF1289" s="66"/>
      <c r="HJG1289" s="66"/>
      <c r="HJH1289" s="66"/>
      <c r="HJI1289" s="66"/>
      <c r="HJJ1289" s="66"/>
      <c r="HJK1289" s="66"/>
      <c r="HJL1289" s="66"/>
      <c r="HJM1289" s="66"/>
      <c r="HJN1289" s="66"/>
      <c r="HJO1289" s="66"/>
      <c r="HJP1289" s="66"/>
      <c r="HJQ1289" s="66"/>
      <c r="HJR1289" s="66"/>
      <c r="HJS1289" s="66"/>
      <c r="HJT1289" s="66"/>
      <c r="HJU1289" s="66"/>
      <c r="HJV1289" s="66"/>
      <c r="HJW1289" s="66"/>
      <c r="HJX1289" s="66"/>
      <c r="HJY1289" s="66"/>
      <c r="HJZ1289" s="66"/>
      <c r="HKA1289" s="66"/>
      <c r="HKB1289" s="66"/>
      <c r="HKC1289" s="66"/>
      <c r="HKD1289" s="66"/>
      <c r="HKE1289" s="66"/>
      <c r="HKF1289" s="66"/>
      <c r="HKG1289" s="66"/>
      <c r="HKH1289" s="66"/>
      <c r="HKI1289" s="66"/>
      <c r="HKJ1289" s="66"/>
      <c r="HKK1289" s="66"/>
      <c r="HKL1289" s="66"/>
      <c r="HKM1289" s="66"/>
      <c r="HKN1289" s="66"/>
      <c r="HKO1289" s="66"/>
      <c r="HKP1289" s="66"/>
      <c r="HKQ1289" s="66"/>
      <c r="HKR1289" s="66"/>
      <c r="HKS1289" s="66"/>
      <c r="HKT1289" s="66"/>
      <c r="HKU1289" s="66"/>
      <c r="HKV1289" s="66"/>
      <c r="HKW1289" s="66"/>
      <c r="HKX1289" s="66"/>
      <c r="HKY1289" s="66"/>
      <c r="HKZ1289" s="66"/>
      <c r="HLA1289" s="66"/>
      <c r="HLB1289" s="66"/>
      <c r="HLC1289" s="66"/>
      <c r="HLD1289" s="66"/>
      <c r="HLE1289" s="66"/>
      <c r="HLF1289" s="66"/>
      <c r="HLG1289" s="66"/>
      <c r="HLH1289" s="66"/>
      <c r="HLI1289" s="66"/>
      <c r="HLJ1289" s="66"/>
      <c r="HLK1289" s="66"/>
      <c r="HLL1289" s="66"/>
      <c r="HLM1289" s="66"/>
      <c r="HLN1289" s="66"/>
      <c r="HLO1289" s="66"/>
      <c r="HLP1289" s="66"/>
      <c r="HLQ1289" s="66"/>
      <c r="HLR1289" s="66"/>
      <c r="HLS1289" s="66"/>
      <c r="HLT1289" s="66"/>
      <c r="HLU1289" s="66"/>
      <c r="HLV1289" s="66"/>
      <c r="HLW1289" s="66"/>
      <c r="HLX1289" s="66"/>
      <c r="HLY1289" s="66"/>
      <c r="HLZ1289" s="66"/>
      <c r="HMA1289" s="66"/>
      <c r="HMB1289" s="66"/>
      <c r="HMC1289" s="66"/>
      <c r="HMD1289" s="66"/>
      <c r="HME1289" s="66"/>
      <c r="HMF1289" s="66"/>
      <c r="HMG1289" s="66"/>
      <c r="HMH1289" s="66"/>
      <c r="HMI1289" s="66"/>
      <c r="HMJ1289" s="66"/>
      <c r="HMK1289" s="66"/>
      <c r="HML1289" s="66"/>
      <c r="HMM1289" s="66"/>
      <c r="HMN1289" s="66"/>
      <c r="HMO1289" s="66"/>
      <c r="HMP1289" s="66"/>
      <c r="HMQ1289" s="66"/>
      <c r="HMR1289" s="66"/>
      <c r="HMS1289" s="66"/>
      <c r="HMT1289" s="66"/>
      <c r="HMU1289" s="66"/>
      <c r="HMV1289" s="66"/>
      <c r="HMW1289" s="66"/>
      <c r="HMX1289" s="66"/>
      <c r="HMY1289" s="66"/>
      <c r="HMZ1289" s="66"/>
      <c r="HNA1289" s="66"/>
      <c r="HNB1289" s="66"/>
      <c r="HNC1289" s="66"/>
      <c r="HND1289" s="66"/>
      <c r="HNE1289" s="66"/>
      <c r="HNF1289" s="66"/>
      <c r="HNG1289" s="66"/>
      <c r="HNH1289" s="66"/>
      <c r="HNI1289" s="66"/>
      <c r="HNJ1289" s="66"/>
      <c r="HNK1289" s="66"/>
      <c r="HNL1289" s="66"/>
      <c r="HNM1289" s="66"/>
      <c r="HNN1289" s="66"/>
      <c r="HNO1289" s="66"/>
      <c r="HNP1289" s="66"/>
      <c r="HNQ1289" s="66"/>
      <c r="HNR1289" s="66"/>
      <c r="HNS1289" s="66"/>
      <c r="HNT1289" s="66"/>
      <c r="HNU1289" s="66"/>
      <c r="HNV1289" s="66"/>
      <c r="HNW1289" s="66"/>
      <c r="HNX1289" s="66"/>
      <c r="HNY1289" s="66"/>
      <c r="HNZ1289" s="66"/>
      <c r="HOA1289" s="66"/>
      <c r="HOB1289" s="66"/>
      <c r="HOC1289" s="66"/>
      <c r="HOD1289" s="66"/>
      <c r="HOE1289" s="66"/>
      <c r="HOF1289" s="66"/>
      <c r="HOG1289" s="66"/>
      <c r="HOH1289" s="66"/>
      <c r="HOI1289" s="66"/>
      <c r="HOJ1289" s="66"/>
      <c r="HOK1289" s="66"/>
      <c r="HOL1289" s="66"/>
      <c r="HOM1289" s="66"/>
      <c r="HON1289" s="66"/>
      <c r="HOO1289" s="66"/>
      <c r="HOP1289" s="66"/>
      <c r="HOQ1289" s="66"/>
      <c r="HOR1289" s="66"/>
      <c r="HOS1289" s="66"/>
      <c r="HOT1289" s="66"/>
      <c r="HOU1289" s="66"/>
      <c r="HOV1289" s="66"/>
      <c r="HOW1289" s="66"/>
      <c r="HOX1289" s="66"/>
      <c r="HOY1289" s="66"/>
      <c r="HOZ1289" s="66"/>
      <c r="HPA1289" s="66"/>
      <c r="HPB1289" s="66"/>
      <c r="HPC1289" s="66"/>
      <c r="HPD1289" s="66"/>
      <c r="HPE1289" s="66"/>
      <c r="HPF1289" s="66"/>
      <c r="HPG1289" s="66"/>
      <c r="HPH1289" s="66"/>
      <c r="HPI1289" s="66"/>
      <c r="HPJ1289" s="66"/>
      <c r="HPK1289" s="66"/>
      <c r="HPL1289" s="66"/>
      <c r="HPM1289" s="66"/>
      <c r="HPN1289" s="66"/>
      <c r="HPO1289" s="66"/>
      <c r="HPP1289" s="66"/>
      <c r="HPQ1289" s="66"/>
      <c r="HPR1289" s="66"/>
      <c r="HPS1289" s="66"/>
      <c r="HPT1289" s="66"/>
      <c r="HPU1289" s="66"/>
      <c r="HPV1289" s="66"/>
      <c r="HPW1289" s="66"/>
      <c r="HPX1289" s="66"/>
      <c r="HPY1289" s="66"/>
      <c r="HPZ1289" s="66"/>
      <c r="HQA1289" s="66"/>
      <c r="HQB1289" s="66"/>
      <c r="HQC1289" s="66"/>
      <c r="HQD1289" s="66"/>
      <c r="HQE1289" s="66"/>
      <c r="HQF1289" s="66"/>
      <c r="HQG1289" s="66"/>
      <c r="HQH1289" s="66"/>
      <c r="HQI1289" s="66"/>
      <c r="HQJ1289" s="66"/>
      <c r="HQK1289" s="66"/>
      <c r="HQL1289" s="66"/>
      <c r="HQM1289" s="66"/>
      <c r="HQN1289" s="66"/>
      <c r="HQO1289" s="66"/>
      <c r="HQP1289" s="66"/>
      <c r="HQQ1289" s="66"/>
      <c r="HQR1289" s="66"/>
      <c r="HQS1289" s="66"/>
      <c r="HQT1289" s="66"/>
      <c r="HQU1289" s="66"/>
      <c r="HQV1289" s="66"/>
      <c r="HQW1289" s="66"/>
      <c r="HQX1289" s="66"/>
      <c r="HQY1289" s="66"/>
      <c r="HQZ1289" s="66"/>
      <c r="HRA1289" s="66"/>
      <c r="HRB1289" s="66"/>
      <c r="HRC1289" s="66"/>
      <c r="HRD1289" s="66"/>
      <c r="HRE1289" s="66"/>
      <c r="HRF1289" s="66"/>
      <c r="HRG1289" s="66"/>
      <c r="HRH1289" s="66"/>
      <c r="HRI1289" s="66"/>
      <c r="HRJ1289" s="66"/>
      <c r="HRK1289" s="66"/>
      <c r="HRL1289" s="66"/>
      <c r="HRM1289" s="66"/>
      <c r="HRN1289" s="66"/>
      <c r="HRO1289" s="66"/>
      <c r="HRP1289" s="66"/>
      <c r="HRQ1289" s="66"/>
      <c r="HRR1289" s="66"/>
      <c r="HRS1289" s="66"/>
      <c r="HRT1289" s="66"/>
      <c r="HRU1289" s="66"/>
      <c r="HRV1289" s="66"/>
      <c r="HRW1289" s="66"/>
      <c r="HRX1289" s="66"/>
      <c r="HRY1289" s="66"/>
      <c r="HRZ1289" s="66"/>
      <c r="HSA1289" s="66"/>
      <c r="HSB1289" s="66"/>
      <c r="HSC1289" s="66"/>
      <c r="HSD1289" s="66"/>
      <c r="HSE1289" s="66"/>
      <c r="HSF1289" s="66"/>
      <c r="HSG1289" s="66"/>
      <c r="HSH1289" s="66"/>
      <c r="HSI1289" s="66"/>
      <c r="HSJ1289" s="66"/>
      <c r="HSK1289" s="66"/>
      <c r="HSL1289" s="66"/>
      <c r="HSM1289" s="66"/>
      <c r="HSN1289" s="66"/>
      <c r="HSO1289" s="66"/>
      <c r="HSP1289" s="66"/>
      <c r="HSQ1289" s="66"/>
      <c r="HSR1289" s="66"/>
      <c r="HSS1289" s="66"/>
      <c r="HST1289" s="66"/>
      <c r="HSU1289" s="66"/>
      <c r="HSV1289" s="66"/>
      <c r="HSW1289" s="66"/>
      <c r="HSX1289" s="66"/>
      <c r="HSY1289" s="66"/>
      <c r="HSZ1289" s="66"/>
      <c r="HTA1289" s="66"/>
      <c r="HTB1289" s="66"/>
      <c r="HTC1289" s="66"/>
      <c r="HTD1289" s="66"/>
      <c r="HTE1289" s="66"/>
      <c r="HTF1289" s="66"/>
      <c r="HTG1289" s="66"/>
      <c r="HTH1289" s="66"/>
      <c r="HTI1289" s="66"/>
      <c r="HTJ1289" s="66"/>
      <c r="HTK1289" s="66"/>
      <c r="HTL1289" s="66"/>
      <c r="HTM1289" s="66"/>
      <c r="HTN1289" s="66"/>
      <c r="HTO1289" s="66"/>
      <c r="HTP1289" s="66"/>
      <c r="HTQ1289" s="66"/>
      <c r="HTR1289" s="66"/>
      <c r="HTS1289" s="66"/>
      <c r="HTT1289" s="66"/>
      <c r="HTU1289" s="66"/>
      <c r="HTV1289" s="66"/>
      <c r="HTW1289" s="66"/>
      <c r="HTX1289" s="66"/>
      <c r="HTY1289" s="66"/>
      <c r="HTZ1289" s="66"/>
      <c r="HUA1289" s="66"/>
      <c r="HUB1289" s="66"/>
      <c r="HUC1289" s="66"/>
      <c r="HUD1289" s="66"/>
      <c r="HUE1289" s="66"/>
      <c r="HUF1289" s="66"/>
      <c r="HUG1289" s="66"/>
      <c r="HUH1289" s="66"/>
      <c r="HUI1289" s="66"/>
      <c r="HUJ1289" s="66"/>
      <c r="HUK1289" s="66"/>
      <c r="HUL1289" s="66"/>
      <c r="HUM1289" s="66"/>
      <c r="HUN1289" s="66"/>
      <c r="HUO1289" s="66"/>
      <c r="HUP1289" s="66"/>
      <c r="HUQ1289" s="66"/>
      <c r="HUR1289" s="66"/>
      <c r="HUS1289" s="66"/>
      <c r="HUT1289" s="66"/>
      <c r="HUU1289" s="66"/>
      <c r="HUV1289" s="66"/>
      <c r="HUW1289" s="66"/>
      <c r="HUX1289" s="66"/>
      <c r="HUY1289" s="66"/>
      <c r="HUZ1289" s="66"/>
      <c r="HVA1289" s="66"/>
      <c r="HVB1289" s="66"/>
      <c r="HVC1289" s="66"/>
      <c r="HVD1289" s="66"/>
      <c r="HVE1289" s="66"/>
      <c r="HVF1289" s="66"/>
      <c r="HVG1289" s="66"/>
      <c r="HVH1289" s="66"/>
      <c r="HVI1289" s="66"/>
      <c r="HVJ1289" s="66"/>
      <c r="HVK1289" s="66"/>
      <c r="HVL1289" s="66"/>
      <c r="HVM1289" s="66"/>
      <c r="HVN1289" s="66"/>
      <c r="HVO1289" s="66"/>
      <c r="HVP1289" s="66"/>
      <c r="HVQ1289" s="66"/>
      <c r="HVR1289" s="66"/>
      <c r="HVS1289" s="66"/>
      <c r="HVT1289" s="66"/>
      <c r="HVU1289" s="66"/>
      <c r="HVV1289" s="66"/>
      <c r="HVW1289" s="66"/>
      <c r="HVX1289" s="66"/>
      <c r="HVY1289" s="66"/>
      <c r="HVZ1289" s="66"/>
      <c r="HWA1289" s="66"/>
      <c r="HWB1289" s="66"/>
      <c r="HWC1289" s="66"/>
      <c r="HWD1289" s="66"/>
      <c r="HWE1289" s="66"/>
      <c r="HWF1289" s="66"/>
      <c r="HWG1289" s="66"/>
      <c r="HWH1289" s="66"/>
      <c r="HWI1289" s="66"/>
      <c r="HWJ1289" s="66"/>
      <c r="HWK1289" s="66"/>
      <c r="HWL1289" s="66"/>
      <c r="HWM1289" s="66"/>
      <c r="HWN1289" s="66"/>
      <c r="HWO1289" s="66"/>
      <c r="HWP1289" s="66"/>
      <c r="HWQ1289" s="66"/>
      <c r="HWR1289" s="66"/>
      <c r="HWS1289" s="66"/>
      <c r="HWT1289" s="66"/>
      <c r="HWU1289" s="66"/>
      <c r="HWV1289" s="66"/>
      <c r="HWW1289" s="66"/>
      <c r="HWX1289" s="66"/>
      <c r="HWY1289" s="66"/>
      <c r="HWZ1289" s="66"/>
      <c r="HXA1289" s="66"/>
      <c r="HXB1289" s="66"/>
      <c r="HXC1289" s="66"/>
      <c r="HXD1289" s="66"/>
      <c r="HXE1289" s="66"/>
      <c r="HXF1289" s="66"/>
      <c r="HXG1289" s="66"/>
      <c r="HXH1289" s="66"/>
      <c r="HXI1289" s="66"/>
      <c r="HXJ1289" s="66"/>
      <c r="HXK1289" s="66"/>
      <c r="HXL1289" s="66"/>
      <c r="HXM1289" s="66"/>
      <c r="HXN1289" s="66"/>
      <c r="HXO1289" s="66"/>
      <c r="HXP1289" s="66"/>
      <c r="HXQ1289" s="66"/>
      <c r="HXR1289" s="66"/>
      <c r="HXS1289" s="66"/>
      <c r="HXT1289" s="66"/>
      <c r="HXU1289" s="66"/>
      <c r="HXV1289" s="66"/>
      <c r="HXW1289" s="66"/>
      <c r="HXX1289" s="66"/>
      <c r="HXY1289" s="66"/>
      <c r="HXZ1289" s="66"/>
      <c r="HYA1289" s="66"/>
      <c r="HYB1289" s="66"/>
      <c r="HYC1289" s="66"/>
      <c r="HYD1289" s="66"/>
      <c r="HYE1289" s="66"/>
      <c r="HYF1289" s="66"/>
      <c r="HYG1289" s="66"/>
      <c r="HYH1289" s="66"/>
      <c r="HYI1289" s="66"/>
      <c r="HYJ1289" s="66"/>
      <c r="HYK1289" s="66"/>
      <c r="HYL1289" s="66"/>
      <c r="HYM1289" s="66"/>
      <c r="HYN1289" s="66"/>
      <c r="HYO1289" s="66"/>
      <c r="HYP1289" s="66"/>
      <c r="HYQ1289" s="66"/>
      <c r="HYR1289" s="66"/>
      <c r="HYS1289" s="66"/>
      <c r="HYT1289" s="66"/>
      <c r="HYU1289" s="66"/>
      <c r="HYV1289" s="66"/>
      <c r="HYW1289" s="66"/>
      <c r="HYX1289" s="66"/>
      <c r="HYY1289" s="66"/>
      <c r="HYZ1289" s="66"/>
      <c r="HZA1289" s="66"/>
      <c r="HZB1289" s="66"/>
      <c r="HZC1289" s="66"/>
      <c r="HZD1289" s="66"/>
      <c r="HZE1289" s="66"/>
      <c r="HZF1289" s="66"/>
      <c r="HZG1289" s="66"/>
      <c r="HZH1289" s="66"/>
      <c r="HZI1289" s="66"/>
      <c r="HZJ1289" s="66"/>
      <c r="HZK1289" s="66"/>
      <c r="HZL1289" s="66"/>
      <c r="HZM1289" s="66"/>
      <c r="HZN1289" s="66"/>
      <c r="HZO1289" s="66"/>
      <c r="HZP1289" s="66"/>
      <c r="HZQ1289" s="66"/>
      <c r="HZR1289" s="66"/>
      <c r="HZS1289" s="66"/>
      <c r="HZT1289" s="66"/>
      <c r="HZU1289" s="66"/>
      <c r="HZV1289" s="66"/>
      <c r="HZW1289" s="66"/>
      <c r="HZX1289" s="66"/>
      <c r="HZY1289" s="66"/>
      <c r="HZZ1289" s="66"/>
      <c r="IAA1289" s="66"/>
      <c r="IAB1289" s="66"/>
      <c r="IAC1289" s="66"/>
      <c r="IAD1289" s="66"/>
      <c r="IAE1289" s="66"/>
      <c r="IAF1289" s="66"/>
      <c r="IAG1289" s="66"/>
      <c r="IAH1289" s="66"/>
      <c r="IAI1289" s="66"/>
      <c r="IAJ1289" s="66"/>
      <c r="IAK1289" s="66"/>
      <c r="IAL1289" s="66"/>
      <c r="IAM1289" s="66"/>
      <c r="IAN1289" s="66"/>
      <c r="IAO1289" s="66"/>
      <c r="IAP1289" s="66"/>
      <c r="IAQ1289" s="66"/>
      <c r="IAR1289" s="66"/>
      <c r="IAS1289" s="66"/>
      <c r="IAT1289" s="66"/>
      <c r="IAU1289" s="66"/>
      <c r="IAV1289" s="66"/>
      <c r="IAW1289" s="66"/>
      <c r="IAX1289" s="66"/>
      <c r="IAY1289" s="66"/>
      <c r="IAZ1289" s="66"/>
      <c r="IBA1289" s="66"/>
      <c r="IBB1289" s="66"/>
      <c r="IBC1289" s="66"/>
      <c r="IBD1289" s="66"/>
      <c r="IBE1289" s="66"/>
      <c r="IBF1289" s="66"/>
      <c r="IBG1289" s="66"/>
      <c r="IBH1289" s="66"/>
      <c r="IBI1289" s="66"/>
      <c r="IBJ1289" s="66"/>
      <c r="IBK1289" s="66"/>
      <c r="IBL1289" s="66"/>
      <c r="IBM1289" s="66"/>
      <c r="IBN1289" s="66"/>
      <c r="IBO1289" s="66"/>
      <c r="IBP1289" s="66"/>
      <c r="IBQ1289" s="66"/>
      <c r="IBR1289" s="66"/>
      <c r="IBS1289" s="66"/>
      <c r="IBT1289" s="66"/>
      <c r="IBU1289" s="66"/>
      <c r="IBV1289" s="66"/>
      <c r="IBW1289" s="66"/>
      <c r="IBX1289" s="66"/>
      <c r="IBY1289" s="66"/>
      <c r="IBZ1289" s="66"/>
      <c r="ICA1289" s="66"/>
      <c r="ICB1289" s="66"/>
      <c r="ICC1289" s="66"/>
      <c r="ICD1289" s="66"/>
      <c r="ICE1289" s="66"/>
      <c r="ICF1289" s="66"/>
      <c r="ICG1289" s="66"/>
      <c r="ICH1289" s="66"/>
      <c r="ICI1289" s="66"/>
      <c r="ICJ1289" s="66"/>
      <c r="ICK1289" s="66"/>
      <c r="ICL1289" s="66"/>
      <c r="ICM1289" s="66"/>
      <c r="ICN1289" s="66"/>
      <c r="ICO1289" s="66"/>
      <c r="ICP1289" s="66"/>
      <c r="ICQ1289" s="66"/>
      <c r="ICR1289" s="66"/>
      <c r="ICS1289" s="66"/>
      <c r="ICT1289" s="66"/>
      <c r="ICU1289" s="66"/>
      <c r="ICV1289" s="66"/>
      <c r="ICW1289" s="66"/>
      <c r="ICX1289" s="66"/>
      <c r="ICY1289" s="66"/>
      <c r="ICZ1289" s="66"/>
      <c r="IDA1289" s="66"/>
      <c r="IDB1289" s="66"/>
      <c r="IDC1289" s="66"/>
      <c r="IDD1289" s="66"/>
      <c r="IDE1289" s="66"/>
      <c r="IDF1289" s="66"/>
      <c r="IDG1289" s="66"/>
      <c r="IDH1289" s="66"/>
      <c r="IDI1289" s="66"/>
      <c r="IDJ1289" s="66"/>
      <c r="IDK1289" s="66"/>
      <c r="IDL1289" s="66"/>
      <c r="IDM1289" s="66"/>
      <c r="IDN1289" s="66"/>
      <c r="IDO1289" s="66"/>
      <c r="IDP1289" s="66"/>
      <c r="IDQ1289" s="66"/>
      <c r="IDR1289" s="66"/>
      <c r="IDS1289" s="66"/>
      <c r="IDT1289" s="66"/>
      <c r="IDU1289" s="66"/>
      <c r="IDV1289" s="66"/>
      <c r="IDW1289" s="66"/>
      <c r="IDX1289" s="66"/>
      <c r="IDY1289" s="66"/>
      <c r="IDZ1289" s="66"/>
      <c r="IEA1289" s="66"/>
      <c r="IEB1289" s="66"/>
      <c r="IEC1289" s="66"/>
      <c r="IED1289" s="66"/>
      <c r="IEE1289" s="66"/>
      <c r="IEF1289" s="66"/>
      <c r="IEG1289" s="66"/>
      <c r="IEH1289" s="66"/>
      <c r="IEI1289" s="66"/>
      <c r="IEJ1289" s="66"/>
      <c r="IEK1289" s="66"/>
      <c r="IEL1289" s="66"/>
      <c r="IEM1289" s="66"/>
      <c r="IEN1289" s="66"/>
      <c r="IEO1289" s="66"/>
      <c r="IEP1289" s="66"/>
      <c r="IEQ1289" s="66"/>
      <c r="IER1289" s="66"/>
      <c r="IES1289" s="66"/>
      <c r="IET1289" s="66"/>
      <c r="IEU1289" s="66"/>
      <c r="IEV1289" s="66"/>
      <c r="IEW1289" s="66"/>
      <c r="IEX1289" s="66"/>
      <c r="IEY1289" s="66"/>
      <c r="IEZ1289" s="66"/>
      <c r="IFA1289" s="66"/>
      <c r="IFB1289" s="66"/>
      <c r="IFC1289" s="66"/>
      <c r="IFD1289" s="66"/>
      <c r="IFE1289" s="66"/>
      <c r="IFF1289" s="66"/>
      <c r="IFG1289" s="66"/>
      <c r="IFH1289" s="66"/>
      <c r="IFI1289" s="66"/>
      <c r="IFJ1289" s="66"/>
      <c r="IFK1289" s="66"/>
      <c r="IFL1289" s="66"/>
      <c r="IFM1289" s="66"/>
      <c r="IFN1289" s="66"/>
      <c r="IFO1289" s="66"/>
      <c r="IFP1289" s="66"/>
      <c r="IFQ1289" s="66"/>
      <c r="IFR1289" s="66"/>
      <c r="IFS1289" s="66"/>
      <c r="IFT1289" s="66"/>
      <c r="IFU1289" s="66"/>
      <c r="IFV1289" s="66"/>
      <c r="IFW1289" s="66"/>
      <c r="IFX1289" s="66"/>
      <c r="IFY1289" s="66"/>
      <c r="IFZ1289" s="66"/>
      <c r="IGA1289" s="66"/>
      <c r="IGB1289" s="66"/>
      <c r="IGC1289" s="66"/>
      <c r="IGD1289" s="66"/>
      <c r="IGE1289" s="66"/>
      <c r="IGF1289" s="66"/>
      <c r="IGG1289" s="66"/>
      <c r="IGH1289" s="66"/>
      <c r="IGI1289" s="66"/>
      <c r="IGJ1289" s="66"/>
      <c r="IGK1289" s="66"/>
      <c r="IGL1289" s="66"/>
      <c r="IGM1289" s="66"/>
      <c r="IGN1289" s="66"/>
      <c r="IGO1289" s="66"/>
      <c r="IGP1289" s="66"/>
      <c r="IGQ1289" s="66"/>
      <c r="IGR1289" s="66"/>
      <c r="IGS1289" s="66"/>
      <c r="IGT1289" s="66"/>
      <c r="IGU1289" s="66"/>
      <c r="IGV1289" s="66"/>
      <c r="IGW1289" s="66"/>
      <c r="IGX1289" s="66"/>
      <c r="IGY1289" s="66"/>
      <c r="IGZ1289" s="66"/>
      <c r="IHA1289" s="66"/>
      <c r="IHB1289" s="66"/>
      <c r="IHC1289" s="66"/>
      <c r="IHD1289" s="66"/>
      <c r="IHE1289" s="66"/>
      <c r="IHF1289" s="66"/>
      <c r="IHG1289" s="66"/>
      <c r="IHH1289" s="66"/>
      <c r="IHI1289" s="66"/>
      <c r="IHJ1289" s="66"/>
      <c r="IHK1289" s="66"/>
      <c r="IHL1289" s="66"/>
      <c r="IHM1289" s="66"/>
      <c r="IHN1289" s="66"/>
      <c r="IHO1289" s="66"/>
      <c r="IHP1289" s="66"/>
      <c r="IHQ1289" s="66"/>
      <c r="IHR1289" s="66"/>
      <c r="IHS1289" s="66"/>
      <c r="IHT1289" s="66"/>
      <c r="IHU1289" s="66"/>
      <c r="IHV1289" s="66"/>
      <c r="IHW1289" s="66"/>
      <c r="IHX1289" s="66"/>
      <c r="IHY1289" s="66"/>
      <c r="IHZ1289" s="66"/>
      <c r="IIA1289" s="66"/>
      <c r="IIB1289" s="66"/>
      <c r="IIC1289" s="66"/>
      <c r="IID1289" s="66"/>
      <c r="IIE1289" s="66"/>
      <c r="IIF1289" s="66"/>
      <c r="IIG1289" s="66"/>
      <c r="IIH1289" s="66"/>
      <c r="III1289" s="66"/>
      <c r="IIJ1289" s="66"/>
      <c r="IIK1289" s="66"/>
      <c r="IIL1289" s="66"/>
      <c r="IIM1289" s="66"/>
      <c r="IIN1289" s="66"/>
      <c r="IIO1289" s="66"/>
      <c r="IIP1289" s="66"/>
      <c r="IIQ1289" s="66"/>
      <c r="IIR1289" s="66"/>
      <c r="IIS1289" s="66"/>
      <c r="IIT1289" s="66"/>
      <c r="IIU1289" s="66"/>
      <c r="IIV1289" s="66"/>
      <c r="IIW1289" s="66"/>
      <c r="IIX1289" s="66"/>
      <c r="IIY1289" s="66"/>
      <c r="IIZ1289" s="66"/>
      <c r="IJA1289" s="66"/>
      <c r="IJB1289" s="66"/>
      <c r="IJC1289" s="66"/>
      <c r="IJD1289" s="66"/>
      <c r="IJE1289" s="66"/>
      <c r="IJF1289" s="66"/>
      <c r="IJG1289" s="66"/>
      <c r="IJH1289" s="66"/>
      <c r="IJI1289" s="66"/>
      <c r="IJJ1289" s="66"/>
      <c r="IJK1289" s="66"/>
      <c r="IJL1289" s="66"/>
      <c r="IJM1289" s="66"/>
      <c r="IJN1289" s="66"/>
      <c r="IJO1289" s="66"/>
      <c r="IJP1289" s="66"/>
      <c r="IJQ1289" s="66"/>
      <c r="IJR1289" s="66"/>
      <c r="IJS1289" s="66"/>
      <c r="IJT1289" s="66"/>
      <c r="IJU1289" s="66"/>
      <c r="IJV1289" s="66"/>
      <c r="IJW1289" s="66"/>
      <c r="IJX1289" s="66"/>
      <c r="IJY1289" s="66"/>
      <c r="IJZ1289" s="66"/>
      <c r="IKA1289" s="66"/>
      <c r="IKB1289" s="66"/>
      <c r="IKC1289" s="66"/>
      <c r="IKD1289" s="66"/>
      <c r="IKE1289" s="66"/>
      <c r="IKF1289" s="66"/>
      <c r="IKG1289" s="66"/>
      <c r="IKH1289" s="66"/>
      <c r="IKI1289" s="66"/>
      <c r="IKJ1289" s="66"/>
      <c r="IKK1289" s="66"/>
      <c r="IKL1289" s="66"/>
      <c r="IKM1289" s="66"/>
      <c r="IKN1289" s="66"/>
      <c r="IKO1289" s="66"/>
      <c r="IKP1289" s="66"/>
      <c r="IKQ1289" s="66"/>
      <c r="IKR1289" s="66"/>
      <c r="IKS1289" s="66"/>
      <c r="IKT1289" s="66"/>
      <c r="IKU1289" s="66"/>
      <c r="IKV1289" s="66"/>
      <c r="IKW1289" s="66"/>
      <c r="IKX1289" s="66"/>
      <c r="IKY1289" s="66"/>
      <c r="IKZ1289" s="66"/>
      <c r="ILA1289" s="66"/>
      <c r="ILB1289" s="66"/>
      <c r="ILC1289" s="66"/>
      <c r="ILD1289" s="66"/>
      <c r="ILE1289" s="66"/>
      <c r="ILF1289" s="66"/>
      <c r="ILG1289" s="66"/>
      <c r="ILH1289" s="66"/>
      <c r="ILI1289" s="66"/>
      <c r="ILJ1289" s="66"/>
      <c r="ILK1289" s="66"/>
      <c r="ILL1289" s="66"/>
      <c r="ILM1289" s="66"/>
      <c r="ILN1289" s="66"/>
      <c r="ILO1289" s="66"/>
      <c r="ILP1289" s="66"/>
      <c r="ILQ1289" s="66"/>
      <c r="ILR1289" s="66"/>
      <c r="ILS1289" s="66"/>
      <c r="ILT1289" s="66"/>
      <c r="ILU1289" s="66"/>
      <c r="ILV1289" s="66"/>
      <c r="ILW1289" s="66"/>
      <c r="ILX1289" s="66"/>
      <c r="ILY1289" s="66"/>
      <c r="ILZ1289" s="66"/>
      <c r="IMA1289" s="66"/>
      <c r="IMB1289" s="66"/>
      <c r="IMC1289" s="66"/>
      <c r="IMD1289" s="66"/>
      <c r="IME1289" s="66"/>
      <c r="IMF1289" s="66"/>
      <c r="IMG1289" s="66"/>
      <c r="IMH1289" s="66"/>
      <c r="IMI1289" s="66"/>
      <c r="IMJ1289" s="66"/>
      <c r="IMK1289" s="66"/>
      <c r="IML1289" s="66"/>
      <c r="IMM1289" s="66"/>
      <c r="IMN1289" s="66"/>
      <c r="IMO1289" s="66"/>
      <c r="IMP1289" s="66"/>
      <c r="IMQ1289" s="66"/>
      <c r="IMR1289" s="66"/>
      <c r="IMS1289" s="66"/>
      <c r="IMT1289" s="66"/>
      <c r="IMU1289" s="66"/>
      <c r="IMV1289" s="66"/>
      <c r="IMW1289" s="66"/>
      <c r="IMX1289" s="66"/>
      <c r="IMY1289" s="66"/>
      <c r="IMZ1289" s="66"/>
      <c r="INA1289" s="66"/>
      <c r="INB1289" s="66"/>
      <c r="INC1289" s="66"/>
      <c r="IND1289" s="66"/>
      <c r="INE1289" s="66"/>
      <c r="INF1289" s="66"/>
      <c r="ING1289" s="66"/>
      <c r="INH1289" s="66"/>
      <c r="INI1289" s="66"/>
      <c r="INJ1289" s="66"/>
      <c r="INK1289" s="66"/>
      <c r="INL1289" s="66"/>
      <c r="INM1289" s="66"/>
      <c r="INN1289" s="66"/>
      <c r="INO1289" s="66"/>
      <c r="INP1289" s="66"/>
      <c r="INQ1289" s="66"/>
      <c r="INR1289" s="66"/>
      <c r="INS1289" s="66"/>
      <c r="INT1289" s="66"/>
      <c r="INU1289" s="66"/>
      <c r="INV1289" s="66"/>
      <c r="INW1289" s="66"/>
      <c r="INX1289" s="66"/>
      <c r="INY1289" s="66"/>
      <c r="INZ1289" s="66"/>
      <c r="IOA1289" s="66"/>
      <c r="IOB1289" s="66"/>
      <c r="IOC1289" s="66"/>
      <c r="IOD1289" s="66"/>
      <c r="IOE1289" s="66"/>
      <c r="IOF1289" s="66"/>
      <c r="IOG1289" s="66"/>
      <c r="IOH1289" s="66"/>
      <c r="IOI1289" s="66"/>
      <c r="IOJ1289" s="66"/>
      <c r="IOK1289" s="66"/>
      <c r="IOL1289" s="66"/>
      <c r="IOM1289" s="66"/>
      <c r="ION1289" s="66"/>
      <c r="IOO1289" s="66"/>
      <c r="IOP1289" s="66"/>
      <c r="IOQ1289" s="66"/>
      <c r="IOR1289" s="66"/>
      <c r="IOS1289" s="66"/>
      <c r="IOT1289" s="66"/>
      <c r="IOU1289" s="66"/>
      <c r="IOV1289" s="66"/>
      <c r="IOW1289" s="66"/>
      <c r="IOX1289" s="66"/>
      <c r="IOY1289" s="66"/>
      <c r="IOZ1289" s="66"/>
      <c r="IPA1289" s="66"/>
      <c r="IPB1289" s="66"/>
      <c r="IPC1289" s="66"/>
      <c r="IPD1289" s="66"/>
      <c r="IPE1289" s="66"/>
      <c r="IPF1289" s="66"/>
      <c r="IPG1289" s="66"/>
      <c r="IPH1289" s="66"/>
      <c r="IPI1289" s="66"/>
      <c r="IPJ1289" s="66"/>
      <c r="IPK1289" s="66"/>
      <c r="IPL1289" s="66"/>
      <c r="IPM1289" s="66"/>
      <c r="IPN1289" s="66"/>
      <c r="IPO1289" s="66"/>
      <c r="IPP1289" s="66"/>
      <c r="IPQ1289" s="66"/>
      <c r="IPR1289" s="66"/>
      <c r="IPS1289" s="66"/>
      <c r="IPT1289" s="66"/>
      <c r="IPU1289" s="66"/>
      <c r="IPV1289" s="66"/>
      <c r="IPW1289" s="66"/>
      <c r="IPX1289" s="66"/>
      <c r="IPY1289" s="66"/>
      <c r="IPZ1289" s="66"/>
      <c r="IQA1289" s="66"/>
      <c r="IQB1289" s="66"/>
      <c r="IQC1289" s="66"/>
      <c r="IQD1289" s="66"/>
      <c r="IQE1289" s="66"/>
      <c r="IQF1289" s="66"/>
      <c r="IQG1289" s="66"/>
      <c r="IQH1289" s="66"/>
      <c r="IQI1289" s="66"/>
      <c r="IQJ1289" s="66"/>
      <c r="IQK1289" s="66"/>
      <c r="IQL1289" s="66"/>
      <c r="IQM1289" s="66"/>
      <c r="IQN1289" s="66"/>
      <c r="IQO1289" s="66"/>
      <c r="IQP1289" s="66"/>
      <c r="IQQ1289" s="66"/>
      <c r="IQR1289" s="66"/>
      <c r="IQS1289" s="66"/>
      <c r="IQT1289" s="66"/>
      <c r="IQU1289" s="66"/>
      <c r="IQV1289" s="66"/>
      <c r="IQW1289" s="66"/>
      <c r="IQX1289" s="66"/>
      <c r="IQY1289" s="66"/>
      <c r="IQZ1289" s="66"/>
      <c r="IRA1289" s="66"/>
      <c r="IRB1289" s="66"/>
      <c r="IRC1289" s="66"/>
      <c r="IRD1289" s="66"/>
      <c r="IRE1289" s="66"/>
      <c r="IRF1289" s="66"/>
      <c r="IRG1289" s="66"/>
      <c r="IRH1289" s="66"/>
      <c r="IRI1289" s="66"/>
      <c r="IRJ1289" s="66"/>
      <c r="IRK1289" s="66"/>
      <c r="IRL1289" s="66"/>
      <c r="IRM1289" s="66"/>
      <c r="IRN1289" s="66"/>
      <c r="IRO1289" s="66"/>
      <c r="IRP1289" s="66"/>
      <c r="IRQ1289" s="66"/>
      <c r="IRR1289" s="66"/>
      <c r="IRS1289" s="66"/>
      <c r="IRT1289" s="66"/>
      <c r="IRU1289" s="66"/>
      <c r="IRV1289" s="66"/>
      <c r="IRW1289" s="66"/>
      <c r="IRX1289" s="66"/>
      <c r="IRY1289" s="66"/>
      <c r="IRZ1289" s="66"/>
      <c r="ISA1289" s="66"/>
      <c r="ISB1289" s="66"/>
      <c r="ISC1289" s="66"/>
      <c r="ISD1289" s="66"/>
      <c r="ISE1289" s="66"/>
      <c r="ISF1289" s="66"/>
      <c r="ISG1289" s="66"/>
      <c r="ISH1289" s="66"/>
      <c r="ISI1289" s="66"/>
      <c r="ISJ1289" s="66"/>
      <c r="ISK1289" s="66"/>
      <c r="ISL1289" s="66"/>
      <c r="ISM1289" s="66"/>
      <c r="ISN1289" s="66"/>
      <c r="ISO1289" s="66"/>
      <c r="ISP1289" s="66"/>
      <c r="ISQ1289" s="66"/>
      <c r="ISR1289" s="66"/>
      <c r="ISS1289" s="66"/>
      <c r="IST1289" s="66"/>
      <c r="ISU1289" s="66"/>
      <c r="ISV1289" s="66"/>
      <c r="ISW1289" s="66"/>
      <c r="ISX1289" s="66"/>
      <c r="ISY1289" s="66"/>
      <c r="ISZ1289" s="66"/>
      <c r="ITA1289" s="66"/>
      <c r="ITB1289" s="66"/>
      <c r="ITC1289" s="66"/>
      <c r="ITD1289" s="66"/>
      <c r="ITE1289" s="66"/>
      <c r="ITF1289" s="66"/>
      <c r="ITG1289" s="66"/>
      <c r="ITH1289" s="66"/>
      <c r="ITI1289" s="66"/>
      <c r="ITJ1289" s="66"/>
      <c r="ITK1289" s="66"/>
      <c r="ITL1289" s="66"/>
      <c r="ITM1289" s="66"/>
      <c r="ITN1289" s="66"/>
      <c r="ITO1289" s="66"/>
      <c r="ITP1289" s="66"/>
      <c r="ITQ1289" s="66"/>
      <c r="ITR1289" s="66"/>
      <c r="ITS1289" s="66"/>
      <c r="ITT1289" s="66"/>
      <c r="ITU1289" s="66"/>
      <c r="ITV1289" s="66"/>
      <c r="ITW1289" s="66"/>
      <c r="ITX1289" s="66"/>
      <c r="ITY1289" s="66"/>
      <c r="ITZ1289" s="66"/>
      <c r="IUA1289" s="66"/>
      <c r="IUB1289" s="66"/>
      <c r="IUC1289" s="66"/>
      <c r="IUD1289" s="66"/>
      <c r="IUE1289" s="66"/>
      <c r="IUF1289" s="66"/>
      <c r="IUG1289" s="66"/>
      <c r="IUH1289" s="66"/>
      <c r="IUI1289" s="66"/>
      <c r="IUJ1289" s="66"/>
      <c r="IUK1289" s="66"/>
      <c r="IUL1289" s="66"/>
      <c r="IUM1289" s="66"/>
      <c r="IUN1289" s="66"/>
      <c r="IUO1289" s="66"/>
      <c r="IUP1289" s="66"/>
      <c r="IUQ1289" s="66"/>
      <c r="IUR1289" s="66"/>
      <c r="IUS1289" s="66"/>
      <c r="IUT1289" s="66"/>
      <c r="IUU1289" s="66"/>
      <c r="IUV1289" s="66"/>
      <c r="IUW1289" s="66"/>
      <c r="IUX1289" s="66"/>
      <c r="IUY1289" s="66"/>
      <c r="IUZ1289" s="66"/>
      <c r="IVA1289" s="66"/>
      <c r="IVB1289" s="66"/>
      <c r="IVC1289" s="66"/>
      <c r="IVD1289" s="66"/>
      <c r="IVE1289" s="66"/>
      <c r="IVF1289" s="66"/>
      <c r="IVG1289" s="66"/>
      <c r="IVH1289" s="66"/>
      <c r="IVI1289" s="66"/>
      <c r="IVJ1289" s="66"/>
      <c r="IVK1289" s="66"/>
      <c r="IVL1289" s="66"/>
      <c r="IVM1289" s="66"/>
      <c r="IVN1289" s="66"/>
      <c r="IVO1289" s="66"/>
      <c r="IVP1289" s="66"/>
      <c r="IVQ1289" s="66"/>
      <c r="IVR1289" s="66"/>
      <c r="IVS1289" s="66"/>
      <c r="IVT1289" s="66"/>
      <c r="IVU1289" s="66"/>
      <c r="IVV1289" s="66"/>
      <c r="IVW1289" s="66"/>
      <c r="IVX1289" s="66"/>
      <c r="IVY1289" s="66"/>
      <c r="IVZ1289" s="66"/>
      <c r="IWA1289" s="66"/>
      <c r="IWB1289" s="66"/>
      <c r="IWC1289" s="66"/>
      <c r="IWD1289" s="66"/>
      <c r="IWE1289" s="66"/>
      <c r="IWF1289" s="66"/>
      <c r="IWG1289" s="66"/>
      <c r="IWH1289" s="66"/>
      <c r="IWI1289" s="66"/>
      <c r="IWJ1289" s="66"/>
      <c r="IWK1289" s="66"/>
      <c r="IWL1289" s="66"/>
      <c r="IWM1289" s="66"/>
      <c r="IWN1289" s="66"/>
      <c r="IWO1289" s="66"/>
      <c r="IWP1289" s="66"/>
      <c r="IWQ1289" s="66"/>
      <c r="IWR1289" s="66"/>
      <c r="IWS1289" s="66"/>
      <c r="IWT1289" s="66"/>
      <c r="IWU1289" s="66"/>
      <c r="IWV1289" s="66"/>
      <c r="IWW1289" s="66"/>
      <c r="IWX1289" s="66"/>
      <c r="IWY1289" s="66"/>
      <c r="IWZ1289" s="66"/>
      <c r="IXA1289" s="66"/>
      <c r="IXB1289" s="66"/>
      <c r="IXC1289" s="66"/>
      <c r="IXD1289" s="66"/>
      <c r="IXE1289" s="66"/>
      <c r="IXF1289" s="66"/>
      <c r="IXG1289" s="66"/>
      <c r="IXH1289" s="66"/>
      <c r="IXI1289" s="66"/>
      <c r="IXJ1289" s="66"/>
      <c r="IXK1289" s="66"/>
      <c r="IXL1289" s="66"/>
      <c r="IXM1289" s="66"/>
      <c r="IXN1289" s="66"/>
      <c r="IXO1289" s="66"/>
      <c r="IXP1289" s="66"/>
      <c r="IXQ1289" s="66"/>
      <c r="IXR1289" s="66"/>
      <c r="IXS1289" s="66"/>
      <c r="IXT1289" s="66"/>
      <c r="IXU1289" s="66"/>
      <c r="IXV1289" s="66"/>
      <c r="IXW1289" s="66"/>
      <c r="IXX1289" s="66"/>
      <c r="IXY1289" s="66"/>
      <c r="IXZ1289" s="66"/>
      <c r="IYA1289" s="66"/>
      <c r="IYB1289" s="66"/>
      <c r="IYC1289" s="66"/>
      <c r="IYD1289" s="66"/>
      <c r="IYE1289" s="66"/>
      <c r="IYF1289" s="66"/>
      <c r="IYG1289" s="66"/>
      <c r="IYH1289" s="66"/>
      <c r="IYI1289" s="66"/>
      <c r="IYJ1289" s="66"/>
      <c r="IYK1289" s="66"/>
      <c r="IYL1289" s="66"/>
      <c r="IYM1289" s="66"/>
      <c r="IYN1289" s="66"/>
      <c r="IYO1289" s="66"/>
      <c r="IYP1289" s="66"/>
      <c r="IYQ1289" s="66"/>
      <c r="IYR1289" s="66"/>
      <c r="IYS1289" s="66"/>
      <c r="IYT1289" s="66"/>
      <c r="IYU1289" s="66"/>
      <c r="IYV1289" s="66"/>
      <c r="IYW1289" s="66"/>
      <c r="IYX1289" s="66"/>
      <c r="IYY1289" s="66"/>
      <c r="IYZ1289" s="66"/>
      <c r="IZA1289" s="66"/>
      <c r="IZB1289" s="66"/>
      <c r="IZC1289" s="66"/>
      <c r="IZD1289" s="66"/>
      <c r="IZE1289" s="66"/>
      <c r="IZF1289" s="66"/>
      <c r="IZG1289" s="66"/>
      <c r="IZH1289" s="66"/>
      <c r="IZI1289" s="66"/>
      <c r="IZJ1289" s="66"/>
      <c r="IZK1289" s="66"/>
      <c r="IZL1289" s="66"/>
      <c r="IZM1289" s="66"/>
      <c r="IZN1289" s="66"/>
      <c r="IZO1289" s="66"/>
      <c r="IZP1289" s="66"/>
      <c r="IZQ1289" s="66"/>
      <c r="IZR1289" s="66"/>
      <c r="IZS1289" s="66"/>
      <c r="IZT1289" s="66"/>
      <c r="IZU1289" s="66"/>
      <c r="IZV1289" s="66"/>
      <c r="IZW1289" s="66"/>
      <c r="IZX1289" s="66"/>
      <c r="IZY1289" s="66"/>
      <c r="IZZ1289" s="66"/>
      <c r="JAA1289" s="66"/>
      <c r="JAB1289" s="66"/>
      <c r="JAC1289" s="66"/>
      <c r="JAD1289" s="66"/>
      <c r="JAE1289" s="66"/>
      <c r="JAF1289" s="66"/>
      <c r="JAG1289" s="66"/>
      <c r="JAH1289" s="66"/>
      <c r="JAI1289" s="66"/>
      <c r="JAJ1289" s="66"/>
      <c r="JAK1289" s="66"/>
      <c r="JAL1289" s="66"/>
      <c r="JAM1289" s="66"/>
      <c r="JAN1289" s="66"/>
      <c r="JAO1289" s="66"/>
      <c r="JAP1289" s="66"/>
      <c r="JAQ1289" s="66"/>
      <c r="JAR1289" s="66"/>
      <c r="JAS1289" s="66"/>
      <c r="JAT1289" s="66"/>
      <c r="JAU1289" s="66"/>
      <c r="JAV1289" s="66"/>
      <c r="JAW1289" s="66"/>
      <c r="JAX1289" s="66"/>
      <c r="JAY1289" s="66"/>
      <c r="JAZ1289" s="66"/>
      <c r="JBA1289" s="66"/>
      <c r="JBB1289" s="66"/>
      <c r="JBC1289" s="66"/>
      <c r="JBD1289" s="66"/>
      <c r="JBE1289" s="66"/>
      <c r="JBF1289" s="66"/>
      <c r="JBG1289" s="66"/>
      <c r="JBH1289" s="66"/>
      <c r="JBI1289" s="66"/>
      <c r="JBJ1289" s="66"/>
      <c r="JBK1289" s="66"/>
      <c r="JBL1289" s="66"/>
      <c r="JBM1289" s="66"/>
      <c r="JBN1289" s="66"/>
      <c r="JBO1289" s="66"/>
      <c r="JBP1289" s="66"/>
      <c r="JBQ1289" s="66"/>
      <c r="JBR1289" s="66"/>
      <c r="JBS1289" s="66"/>
      <c r="JBT1289" s="66"/>
      <c r="JBU1289" s="66"/>
      <c r="JBV1289" s="66"/>
      <c r="JBW1289" s="66"/>
      <c r="JBX1289" s="66"/>
      <c r="JBY1289" s="66"/>
      <c r="JBZ1289" s="66"/>
      <c r="JCA1289" s="66"/>
      <c r="JCB1289" s="66"/>
      <c r="JCC1289" s="66"/>
      <c r="JCD1289" s="66"/>
      <c r="JCE1289" s="66"/>
      <c r="JCF1289" s="66"/>
      <c r="JCG1289" s="66"/>
      <c r="JCH1289" s="66"/>
      <c r="JCI1289" s="66"/>
      <c r="JCJ1289" s="66"/>
      <c r="JCK1289" s="66"/>
      <c r="JCL1289" s="66"/>
      <c r="JCM1289" s="66"/>
      <c r="JCN1289" s="66"/>
      <c r="JCO1289" s="66"/>
      <c r="JCP1289" s="66"/>
      <c r="JCQ1289" s="66"/>
      <c r="JCR1289" s="66"/>
      <c r="JCS1289" s="66"/>
      <c r="JCT1289" s="66"/>
      <c r="JCU1289" s="66"/>
      <c r="JCV1289" s="66"/>
      <c r="JCW1289" s="66"/>
      <c r="JCX1289" s="66"/>
      <c r="JCY1289" s="66"/>
      <c r="JCZ1289" s="66"/>
      <c r="JDA1289" s="66"/>
      <c r="JDB1289" s="66"/>
      <c r="JDC1289" s="66"/>
      <c r="JDD1289" s="66"/>
      <c r="JDE1289" s="66"/>
      <c r="JDF1289" s="66"/>
      <c r="JDG1289" s="66"/>
      <c r="JDH1289" s="66"/>
      <c r="JDI1289" s="66"/>
      <c r="JDJ1289" s="66"/>
      <c r="JDK1289" s="66"/>
      <c r="JDL1289" s="66"/>
      <c r="JDM1289" s="66"/>
      <c r="JDN1289" s="66"/>
      <c r="JDO1289" s="66"/>
      <c r="JDP1289" s="66"/>
      <c r="JDQ1289" s="66"/>
      <c r="JDR1289" s="66"/>
      <c r="JDS1289" s="66"/>
      <c r="JDT1289" s="66"/>
      <c r="JDU1289" s="66"/>
      <c r="JDV1289" s="66"/>
      <c r="JDW1289" s="66"/>
      <c r="JDX1289" s="66"/>
      <c r="JDY1289" s="66"/>
      <c r="JDZ1289" s="66"/>
      <c r="JEA1289" s="66"/>
      <c r="JEB1289" s="66"/>
      <c r="JEC1289" s="66"/>
      <c r="JED1289" s="66"/>
      <c r="JEE1289" s="66"/>
      <c r="JEF1289" s="66"/>
      <c r="JEG1289" s="66"/>
      <c r="JEH1289" s="66"/>
      <c r="JEI1289" s="66"/>
      <c r="JEJ1289" s="66"/>
      <c r="JEK1289" s="66"/>
      <c r="JEL1289" s="66"/>
      <c r="JEM1289" s="66"/>
      <c r="JEN1289" s="66"/>
      <c r="JEO1289" s="66"/>
      <c r="JEP1289" s="66"/>
      <c r="JEQ1289" s="66"/>
      <c r="JER1289" s="66"/>
      <c r="JES1289" s="66"/>
      <c r="JET1289" s="66"/>
      <c r="JEU1289" s="66"/>
      <c r="JEV1289" s="66"/>
      <c r="JEW1289" s="66"/>
      <c r="JEX1289" s="66"/>
      <c r="JEY1289" s="66"/>
      <c r="JEZ1289" s="66"/>
      <c r="JFA1289" s="66"/>
      <c r="JFB1289" s="66"/>
      <c r="JFC1289" s="66"/>
      <c r="JFD1289" s="66"/>
      <c r="JFE1289" s="66"/>
      <c r="JFF1289" s="66"/>
      <c r="JFG1289" s="66"/>
      <c r="JFH1289" s="66"/>
      <c r="JFI1289" s="66"/>
      <c r="JFJ1289" s="66"/>
      <c r="JFK1289" s="66"/>
      <c r="JFL1289" s="66"/>
      <c r="JFM1289" s="66"/>
      <c r="JFN1289" s="66"/>
      <c r="JFO1289" s="66"/>
      <c r="JFP1289" s="66"/>
      <c r="JFQ1289" s="66"/>
      <c r="JFR1289" s="66"/>
      <c r="JFS1289" s="66"/>
      <c r="JFT1289" s="66"/>
      <c r="JFU1289" s="66"/>
      <c r="JFV1289" s="66"/>
      <c r="JFW1289" s="66"/>
      <c r="JFX1289" s="66"/>
      <c r="JFY1289" s="66"/>
      <c r="JFZ1289" s="66"/>
      <c r="JGA1289" s="66"/>
      <c r="JGB1289" s="66"/>
      <c r="JGC1289" s="66"/>
      <c r="JGD1289" s="66"/>
      <c r="JGE1289" s="66"/>
      <c r="JGF1289" s="66"/>
      <c r="JGG1289" s="66"/>
      <c r="JGH1289" s="66"/>
      <c r="JGI1289" s="66"/>
      <c r="JGJ1289" s="66"/>
      <c r="JGK1289" s="66"/>
      <c r="JGL1289" s="66"/>
      <c r="JGM1289" s="66"/>
      <c r="JGN1289" s="66"/>
      <c r="JGO1289" s="66"/>
      <c r="JGP1289" s="66"/>
      <c r="JGQ1289" s="66"/>
      <c r="JGR1289" s="66"/>
      <c r="JGS1289" s="66"/>
      <c r="JGT1289" s="66"/>
      <c r="JGU1289" s="66"/>
      <c r="JGV1289" s="66"/>
      <c r="JGW1289" s="66"/>
      <c r="JGX1289" s="66"/>
      <c r="JGY1289" s="66"/>
      <c r="JGZ1289" s="66"/>
      <c r="JHA1289" s="66"/>
      <c r="JHB1289" s="66"/>
      <c r="JHC1289" s="66"/>
      <c r="JHD1289" s="66"/>
      <c r="JHE1289" s="66"/>
      <c r="JHF1289" s="66"/>
      <c r="JHG1289" s="66"/>
      <c r="JHH1289" s="66"/>
      <c r="JHI1289" s="66"/>
      <c r="JHJ1289" s="66"/>
      <c r="JHK1289" s="66"/>
      <c r="JHL1289" s="66"/>
      <c r="JHM1289" s="66"/>
      <c r="JHN1289" s="66"/>
      <c r="JHO1289" s="66"/>
      <c r="JHP1289" s="66"/>
      <c r="JHQ1289" s="66"/>
      <c r="JHR1289" s="66"/>
      <c r="JHS1289" s="66"/>
      <c r="JHT1289" s="66"/>
      <c r="JHU1289" s="66"/>
      <c r="JHV1289" s="66"/>
      <c r="JHW1289" s="66"/>
      <c r="JHX1289" s="66"/>
      <c r="JHY1289" s="66"/>
      <c r="JHZ1289" s="66"/>
      <c r="JIA1289" s="66"/>
      <c r="JIB1289" s="66"/>
      <c r="JIC1289" s="66"/>
      <c r="JID1289" s="66"/>
      <c r="JIE1289" s="66"/>
      <c r="JIF1289" s="66"/>
      <c r="JIG1289" s="66"/>
      <c r="JIH1289" s="66"/>
      <c r="JII1289" s="66"/>
      <c r="JIJ1289" s="66"/>
      <c r="JIK1289" s="66"/>
      <c r="JIL1289" s="66"/>
      <c r="JIM1289" s="66"/>
      <c r="JIN1289" s="66"/>
      <c r="JIO1289" s="66"/>
      <c r="JIP1289" s="66"/>
      <c r="JIQ1289" s="66"/>
      <c r="JIR1289" s="66"/>
      <c r="JIS1289" s="66"/>
      <c r="JIT1289" s="66"/>
      <c r="JIU1289" s="66"/>
      <c r="JIV1289" s="66"/>
      <c r="JIW1289" s="66"/>
      <c r="JIX1289" s="66"/>
      <c r="JIY1289" s="66"/>
      <c r="JIZ1289" s="66"/>
      <c r="JJA1289" s="66"/>
      <c r="JJB1289" s="66"/>
      <c r="JJC1289" s="66"/>
      <c r="JJD1289" s="66"/>
      <c r="JJE1289" s="66"/>
      <c r="JJF1289" s="66"/>
      <c r="JJG1289" s="66"/>
      <c r="JJH1289" s="66"/>
      <c r="JJI1289" s="66"/>
      <c r="JJJ1289" s="66"/>
      <c r="JJK1289" s="66"/>
      <c r="JJL1289" s="66"/>
      <c r="JJM1289" s="66"/>
      <c r="JJN1289" s="66"/>
      <c r="JJO1289" s="66"/>
      <c r="JJP1289" s="66"/>
      <c r="JJQ1289" s="66"/>
      <c r="JJR1289" s="66"/>
      <c r="JJS1289" s="66"/>
      <c r="JJT1289" s="66"/>
      <c r="JJU1289" s="66"/>
      <c r="JJV1289" s="66"/>
      <c r="JJW1289" s="66"/>
      <c r="JJX1289" s="66"/>
      <c r="JJY1289" s="66"/>
      <c r="JJZ1289" s="66"/>
      <c r="JKA1289" s="66"/>
      <c r="JKB1289" s="66"/>
      <c r="JKC1289" s="66"/>
      <c r="JKD1289" s="66"/>
      <c r="JKE1289" s="66"/>
      <c r="JKF1289" s="66"/>
      <c r="JKG1289" s="66"/>
      <c r="JKH1289" s="66"/>
      <c r="JKI1289" s="66"/>
      <c r="JKJ1289" s="66"/>
      <c r="JKK1289" s="66"/>
      <c r="JKL1289" s="66"/>
      <c r="JKM1289" s="66"/>
      <c r="JKN1289" s="66"/>
      <c r="JKO1289" s="66"/>
      <c r="JKP1289" s="66"/>
      <c r="JKQ1289" s="66"/>
      <c r="JKR1289" s="66"/>
      <c r="JKS1289" s="66"/>
      <c r="JKT1289" s="66"/>
      <c r="JKU1289" s="66"/>
      <c r="JKV1289" s="66"/>
      <c r="JKW1289" s="66"/>
      <c r="JKX1289" s="66"/>
      <c r="JKY1289" s="66"/>
      <c r="JKZ1289" s="66"/>
      <c r="JLA1289" s="66"/>
      <c r="JLB1289" s="66"/>
      <c r="JLC1289" s="66"/>
      <c r="JLD1289" s="66"/>
      <c r="JLE1289" s="66"/>
      <c r="JLF1289" s="66"/>
      <c r="JLG1289" s="66"/>
      <c r="JLH1289" s="66"/>
      <c r="JLI1289" s="66"/>
      <c r="JLJ1289" s="66"/>
      <c r="JLK1289" s="66"/>
      <c r="JLL1289" s="66"/>
      <c r="JLM1289" s="66"/>
      <c r="JLN1289" s="66"/>
      <c r="JLO1289" s="66"/>
      <c r="JLP1289" s="66"/>
      <c r="JLQ1289" s="66"/>
      <c r="JLR1289" s="66"/>
      <c r="JLS1289" s="66"/>
      <c r="JLT1289" s="66"/>
      <c r="JLU1289" s="66"/>
      <c r="JLV1289" s="66"/>
      <c r="JLW1289" s="66"/>
      <c r="JLX1289" s="66"/>
      <c r="JLY1289" s="66"/>
      <c r="JLZ1289" s="66"/>
      <c r="JMA1289" s="66"/>
      <c r="JMB1289" s="66"/>
      <c r="JMC1289" s="66"/>
      <c r="JMD1289" s="66"/>
      <c r="JME1289" s="66"/>
      <c r="JMF1289" s="66"/>
      <c r="JMG1289" s="66"/>
      <c r="JMH1289" s="66"/>
      <c r="JMI1289" s="66"/>
      <c r="JMJ1289" s="66"/>
      <c r="JMK1289" s="66"/>
      <c r="JML1289" s="66"/>
      <c r="JMM1289" s="66"/>
      <c r="JMN1289" s="66"/>
      <c r="JMO1289" s="66"/>
      <c r="JMP1289" s="66"/>
      <c r="JMQ1289" s="66"/>
      <c r="JMR1289" s="66"/>
      <c r="JMS1289" s="66"/>
      <c r="JMT1289" s="66"/>
      <c r="JMU1289" s="66"/>
      <c r="JMV1289" s="66"/>
      <c r="JMW1289" s="66"/>
      <c r="JMX1289" s="66"/>
      <c r="JMY1289" s="66"/>
      <c r="JMZ1289" s="66"/>
      <c r="JNA1289" s="66"/>
      <c r="JNB1289" s="66"/>
      <c r="JNC1289" s="66"/>
      <c r="JND1289" s="66"/>
      <c r="JNE1289" s="66"/>
      <c r="JNF1289" s="66"/>
      <c r="JNG1289" s="66"/>
      <c r="JNH1289" s="66"/>
      <c r="JNI1289" s="66"/>
      <c r="JNJ1289" s="66"/>
      <c r="JNK1289" s="66"/>
      <c r="JNL1289" s="66"/>
      <c r="JNM1289" s="66"/>
      <c r="JNN1289" s="66"/>
      <c r="JNO1289" s="66"/>
      <c r="JNP1289" s="66"/>
      <c r="JNQ1289" s="66"/>
      <c r="JNR1289" s="66"/>
      <c r="JNS1289" s="66"/>
      <c r="JNT1289" s="66"/>
      <c r="JNU1289" s="66"/>
      <c r="JNV1289" s="66"/>
      <c r="JNW1289" s="66"/>
      <c r="JNX1289" s="66"/>
      <c r="JNY1289" s="66"/>
      <c r="JNZ1289" s="66"/>
      <c r="JOA1289" s="66"/>
      <c r="JOB1289" s="66"/>
      <c r="JOC1289" s="66"/>
      <c r="JOD1289" s="66"/>
      <c r="JOE1289" s="66"/>
      <c r="JOF1289" s="66"/>
      <c r="JOG1289" s="66"/>
      <c r="JOH1289" s="66"/>
      <c r="JOI1289" s="66"/>
      <c r="JOJ1289" s="66"/>
      <c r="JOK1289" s="66"/>
      <c r="JOL1289" s="66"/>
      <c r="JOM1289" s="66"/>
      <c r="JON1289" s="66"/>
      <c r="JOO1289" s="66"/>
      <c r="JOP1289" s="66"/>
      <c r="JOQ1289" s="66"/>
      <c r="JOR1289" s="66"/>
      <c r="JOS1289" s="66"/>
      <c r="JOT1289" s="66"/>
      <c r="JOU1289" s="66"/>
      <c r="JOV1289" s="66"/>
      <c r="JOW1289" s="66"/>
      <c r="JOX1289" s="66"/>
      <c r="JOY1289" s="66"/>
      <c r="JOZ1289" s="66"/>
      <c r="JPA1289" s="66"/>
      <c r="JPB1289" s="66"/>
      <c r="JPC1289" s="66"/>
      <c r="JPD1289" s="66"/>
      <c r="JPE1289" s="66"/>
      <c r="JPF1289" s="66"/>
      <c r="JPG1289" s="66"/>
      <c r="JPH1289" s="66"/>
      <c r="JPI1289" s="66"/>
      <c r="JPJ1289" s="66"/>
      <c r="JPK1289" s="66"/>
      <c r="JPL1289" s="66"/>
      <c r="JPM1289" s="66"/>
      <c r="JPN1289" s="66"/>
      <c r="JPO1289" s="66"/>
      <c r="JPP1289" s="66"/>
      <c r="JPQ1289" s="66"/>
      <c r="JPR1289" s="66"/>
      <c r="JPS1289" s="66"/>
      <c r="JPT1289" s="66"/>
      <c r="JPU1289" s="66"/>
      <c r="JPV1289" s="66"/>
      <c r="JPW1289" s="66"/>
      <c r="JPX1289" s="66"/>
      <c r="JPY1289" s="66"/>
      <c r="JPZ1289" s="66"/>
      <c r="JQA1289" s="66"/>
      <c r="JQB1289" s="66"/>
      <c r="JQC1289" s="66"/>
      <c r="JQD1289" s="66"/>
      <c r="JQE1289" s="66"/>
      <c r="JQF1289" s="66"/>
      <c r="JQG1289" s="66"/>
      <c r="JQH1289" s="66"/>
      <c r="JQI1289" s="66"/>
      <c r="JQJ1289" s="66"/>
      <c r="JQK1289" s="66"/>
      <c r="JQL1289" s="66"/>
      <c r="JQM1289" s="66"/>
      <c r="JQN1289" s="66"/>
      <c r="JQO1289" s="66"/>
      <c r="JQP1289" s="66"/>
      <c r="JQQ1289" s="66"/>
      <c r="JQR1289" s="66"/>
      <c r="JQS1289" s="66"/>
      <c r="JQT1289" s="66"/>
      <c r="JQU1289" s="66"/>
      <c r="JQV1289" s="66"/>
      <c r="JQW1289" s="66"/>
      <c r="JQX1289" s="66"/>
      <c r="JQY1289" s="66"/>
      <c r="JQZ1289" s="66"/>
      <c r="JRA1289" s="66"/>
      <c r="JRB1289" s="66"/>
      <c r="JRC1289" s="66"/>
      <c r="JRD1289" s="66"/>
      <c r="JRE1289" s="66"/>
      <c r="JRF1289" s="66"/>
      <c r="JRG1289" s="66"/>
      <c r="JRH1289" s="66"/>
      <c r="JRI1289" s="66"/>
      <c r="JRJ1289" s="66"/>
      <c r="JRK1289" s="66"/>
      <c r="JRL1289" s="66"/>
      <c r="JRM1289" s="66"/>
      <c r="JRN1289" s="66"/>
      <c r="JRO1289" s="66"/>
      <c r="JRP1289" s="66"/>
      <c r="JRQ1289" s="66"/>
      <c r="JRR1289" s="66"/>
      <c r="JRS1289" s="66"/>
      <c r="JRT1289" s="66"/>
      <c r="JRU1289" s="66"/>
      <c r="JRV1289" s="66"/>
      <c r="JRW1289" s="66"/>
      <c r="JRX1289" s="66"/>
      <c r="JRY1289" s="66"/>
      <c r="JRZ1289" s="66"/>
      <c r="JSA1289" s="66"/>
      <c r="JSB1289" s="66"/>
      <c r="JSC1289" s="66"/>
      <c r="JSD1289" s="66"/>
      <c r="JSE1289" s="66"/>
      <c r="JSF1289" s="66"/>
      <c r="JSG1289" s="66"/>
      <c r="JSH1289" s="66"/>
      <c r="JSI1289" s="66"/>
      <c r="JSJ1289" s="66"/>
      <c r="JSK1289" s="66"/>
      <c r="JSL1289" s="66"/>
      <c r="JSM1289" s="66"/>
      <c r="JSN1289" s="66"/>
      <c r="JSO1289" s="66"/>
      <c r="JSP1289" s="66"/>
      <c r="JSQ1289" s="66"/>
      <c r="JSR1289" s="66"/>
      <c r="JSS1289" s="66"/>
      <c r="JST1289" s="66"/>
      <c r="JSU1289" s="66"/>
      <c r="JSV1289" s="66"/>
      <c r="JSW1289" s="66"/>
      <c r="JSX1289" s="66"/>
      <c r="JSY1289" s="66"/>
      <c r="JSZ1289" s="66"/>
      <c r="JTA1289" s="66"/>
      <c r="JTB1289" s="66"/>
      <c r="JTC1289" s="66"/>
      <c r="JTD1289" s="66"/>
      <c r="JTE1289" s="66"/>
      <c r="JTF1289" s="66"/>
      <c r="JTG1289" s="66"/>
      <c r="JTH1289" s="66"/>
      <c r="JTI1289" s="66"/>
      <c r="JTJ1289" s="66"/>
      <c r="JTK1289" s="66"/>
      <c r="JTL1289" s="66"/>
      <c r="JTM1289" s="66"/>
      <c r="JTN1289" s="66"/>
      <c r="JTO1289" s="66"/>
      <c r="JTP1289" s="66"/>
      <c r="JTQ1289" s="66"/>
      <c r="JTR1289" s="66"/>
      <c r="JTS1289" s="66"/>
      <c r="JTT1289" s="66"/>
      <c r="JTU1289" s="66"/>
      <c r="JTV1289" s="66"/>
      <c r="JTW1289" s="66"/>
      <c r="JTX1289" s="66"/>
      <c r="JTY1289" s="66"/>
      <c r="JTZ1289" s="66"/>
      <c r="JUA1289" s="66"/>
      <c r="JUB1289" s="66"/>
      <c r="JUC1289" s="66"/>
      <c r="JUD1289" s="66"/>
      <c r="JUE1289" s="66"/>
      <c r="JUF1289" s="66"/>
      <c r="JUG1289" s="66"/>
      <c r="JUH1289" s="66"/>
      <c r="JUI1289" s="66"/>
      <c r="JUJ1289" s="66"/>
      <c r="JUK1289" s="66"/>
      <c r="JUL1289" s="66"/>
      <c r="JUM1289" s="66"/>
      <c r="JUN1289" s="66"/>
      <c r="JUO1289" s="66"/>
      <c r="JUP1289" s="66"/>
      <c r="JUQ1289" s="66"/>
      <c r="JUR1289" s="66"/>
      <c r="JUS1289" s="66"/>
      <c r="JUT1289" s="66"/>
      <c r="JUU1289" s="66"/>
      <c r="JUV1289" s="66"/>
      <c r="JUW1289" s="66"/>
      <c r="JUX1289" s="66"/>
      <c r="JUY1289" s="66"/>
      <c r="JUZ1289" s="66"/>
      <c r="JVA1289" s="66"/>
      <c r="JVB1289" s="66"/>
      <c r="JVC1289" s="66"/>
      <c r="JVD1289" s="66"/>
      <c r="JVE1289" s="66"/>
      <c r="JVF1289" s="66"/>
      <c r="JVG1289" s="66"/>
      <c r="JVH1289" s="66"/>
      <c r="JVI1289" s="66"/>
      <c r="JVJ1289" s="66"/>
      <c r="JVK1289" s="66"/>
      <c r="JVL1289" s="66"/>
      <c r="JVM1289" s="66"/>
      <c r="JVN1289" s="66"/>
      <c r="JVO1289" s="66"/>
      <c r="JVP1289" s="66"/>
      <c r="JVQ1289" s="66"/>
      <c r="JVR1289" s="66"/>
      <c r="JVS1289" s="66"/>
      <c r="JVT1289" s="66"/>
      <c r="JVU1289" s="66"/>
      <c r="JVV1289" s="66"/>
      <c r="JVW1289" s="66"/>
      <c r="JVX1289" s="66"/>
      <c r="JVY1289" s="66"/>
      <c r="JVZ1289" s="66"/>
      <c r="JWA1289" s="66"/>
      <c r="JWB1289" s="66"/>
      <c r="JWC1289" s="66"/>
      <c r="JWD1289" s="66"/>
      <c r="JWE1289" s="66"/>
      <c r="JWF1289" s="66"/>
      <c r="JWG1289" s="66"/>
      <c r="JWH1289" s="66"/>
      <c r="JWI1289" s="66"/>
      <c r="JWJ1289" s="66"/>
      <c r="JWK1289" s="66"/>
      <c r="JWL1289" s="66"/>
      <c r="JWM1289" s="66"/>
      <c r="JWN1289" s="66"/>
      <c r="JWO1289" s="66"/>
      <c r="JWP1289" s="66"/>
      <c r="JWQ1289" s="66"/>
      <c r="JWR1289" s="66"/>
      <c r="JWS1289" s="66"/>
      <c r="JWT1289" s="66"/>
      <c r="JWU1289" s="66"/>
      <c r="JWV1289" s="66"/>
      <c r="JWW1289" s="66"/>
      <c r="JWX1289" s="66"/>
      <c r="JWY1289" s="66"/>
      <c r="JWZ1289" s="66"/>
      <c r="JXA1289" s="66"/>
      <c r="JXB1289" s="66"/>
      <c r="JXC1289" s="66"/>
      <c r="JXD1289" s="66"/>
      <c r="JXE1289" s="66"/>
      <c r="JXF1289" s="66"/>
      <c r="JXG1289" s="66"/>
      <c r="JXH1289" s="66"/>
      <c r="JXI1289" s="66"/>
      <c r="JXJ1289" s="66"/>
      <c r="JXK1289" s="66"/>
      <c r="JXL1289" s="66"/>
      <c r="JXM1289" s="66"/>
      <c r="JXN1289" s="66"/>
      <c r="JXO1289" s="66"/>
      <c r="JXP1289" s="66"/>
      <c r="JXQ1289" s="66"/>
      <c r="JXR1289" s="66"/>
      <c r="JXS1289" s="66"/>
      <c r="JXT1289" s="66"/>
      <c r="JXU1289" s="66"/>
      <c r="JXV1289" s="66"/>
      <c r="JXW1289" s="66"/>
      <c r="JXX1289" s="66"/>
      <c r="JXY1289" s="66"/>
      <c r="JXZ1289" s="66"/>
      <c r="JYA1289" s="66"/>
      <c r="JYB1289" s="66"/>
      <c r="JYC1289" s="66"/>
      <c r="JYD1289" s="66"/>
      <c r="JYE1289" s="66"/>
      <c r="JYF1289" s="66"/>
      <c r="JYG1289" s="66"/>
      <c r="JYH1289" s="66"/>
      <c r="JYI1289" s="66"/>
      <c r="JYJ1289" s="66"/>
      <c r="JYK1289" s="66"/>
      <c r="JYL1289" s="66"/>
      <c r="JYM1289" s="66"/>
      <c r="JYN1289" s="66"/>
      <c r="JYO1289" s="66"/>
      <c r="JYP1289" s="66"/>
      <c r="JYQ1289" s="66"/>
      <c r="JYR1289" s="66"/>
      <c r="JYS1289" s="66"/>
      <c r="JYT1289" s="66"/>
      <c r="JYU1289" s="66"/>
      <c r="JYV1289" s="66"/>
      <c r="JYW1289" s="66"/>
      <c r="JYX1289" s="66"/>
      <c r="JYY1289" s="66"/>
      <c r="JYZ1289" s="66"/>
      <c r="JZA1289" s="66"/>
      <c r="JZB1289" s="66"/>
      <c r="JZC1289" s="66"/>
      <c r="JZD1289" s="66"/>
      <c r="JZE1289" s="66"/>
      <c r="JZF1289" s="66"/>
      <c r="JZG1289" s="66"/>
      <c r="JZH1289" s="66"/>
      <c r="JZI1289" s="66"/>
      <c r="JZJ1289" s="66"/>
      <c r="JZK1289" s="66"/>
      <c r="JZL1289" s="66"/>
      <c r="JZM1289" s="66"/>
      <c r="JZN1289" s="66"/>
      <c r="JZO1289" s="66"/>
      <c r="JZP1289" s="66"/>
      <c r="JZQ1289" s="66"/>
      <c r="JZR1289" s="66"/>
      <c r="JZS1289" s="66"/>
      <c r="JZT1289" s="66"/>
      <c r="JZU1289" s="66"/>
      <c r="JZV1289" s="66"/>
      <c r="JZW1289" s="66"/>
      <c r="JZX1289" s="66"/>
      <c r="JZY1289" s="66"/>
      <c r="JZZ1289" s="66"/>
      <c r="KAA1289" s="66"/>
      <c r="KAB1289" s="66"/>
      <c r="KAC1289" s="66"/>
      <c r="KAD1289" s="66"/>
      <c r="KAE1289" s="66"/>
      <c r="KAF1289" s="66"/>
      <c r="KAG1289" s="66"/>
      <c r="KAH1289" s="66"/>
      <c r="KAI1289" s="66"/>
      <c r="KAJ1289" s="66"/>
      <c r="KAK1289" s="66"/>
      <c r="KAL1289" s="66"/>
      <c r="KAM1289" s="66"/>
      <c r="KAN1289" s="66"/>
      <c r="KAO1289" s="66"/>
      <c r="KAP1289" s="66"/>
      <c r="KAQ1289" s="66"/>
      <c r="KAR1289" s="66"/>
      <c r="KAS1289" s="66"/>
      <c r="KAT1289" s="66"/>
      <c r="KAU1289" s="66"/>
      <c r="KAV1289" s="66"/>
      <c r="KAW1289" s="66"/>
      <c r="KAX1289" s="66"/>
      <c r="KAY1289" s="66"/>
      <c r="KAZ1289" s="66"/>
      <c r="KBA1289" s="66"/>
      <c r="KBB1289" s="66"/>
      <c r="KBC1289" s="66"/>
      <c r="KBD1289" s="66"/>
      <c r="KBE1289" s="66"/>
      <c r="KBF1289" s="66"/>
      <c r="KBG1289" s="66"/>
      <c r="KBH1289" s="66"/>
      <c r="KBI1289" s="66"/>
      <c r="KBJ1289" s="66"/>
      <c r="KBK1289" s="66"/>
      <c r="KBL1289" s="66"/>
      <c r="KBM1289" s="66"/>
      <c r="KBN1289" s="66"/>
      <c r="KBO1289" s="66"/>
      <c r="KBP1289" s="66"/>
      <c r="KBQ1289" s="66"/>
      <c r="KBR1289" s="66"/>
      <c r="KBS1289" s="66"/>
      <c r="KBT1289" s="66"/>
      <c r="KBU1289" s="66"/>
      <c r="KBV1289" s="66"/>
      <c r="KBW1289" s="66"/>
      <c r="KBX1289" s="66"/>
      <c r="KBY1289" s="66"/>
      <c r="KBZ1289" s="66"/>
      <c r="KCA1289" s="66"/>
      <c r="KCB1289" s="66"/>
      <c r="KCC1289" s="66"/>
      <c r="KCD1289" s="66"/>
      <c r="KCE1289" s="66"/>
      <c r="KCF1289" s="66"/>
      <c r="KCG1289" s="66"/>
      <c r="KCH1289" s="66"/>
      <c r="KCI1289" s="66"/>
      <c r="KCJ1289" s="66"/>
      <c r="KCK1289" s="66"/>
      <c r="KCL1289" s="66"/>
      <c r="KCM1289" s="66"/>
      <c r="KCN1289" s="66"/>
      <c r="KCO1289" s="66"/>
      <c r="KCP1289" s="66"/>
      <c r="KCQ1289" s="66"/>
      <c r="KCR1289" s="66"/>
      <c r="KCS1289" s="66"/>
      <c r="KCT1289" s="66"/>
      <c r="KCU1289" s="66"/>
      <c r="KCV1289" s="66"/>
      <c r="KCW1289" s="66"/>
      <c r="KCX1289" s="66"/>
      <c r="KCY1289" s="66"/>
      <c r="KCZ1289" s="66"/>
      <c r="KDA1289" s="66"/>
      <c r="KDB1289" s="66"/>
      <c r="KDC1289" s="66"/>
      <c r="KDD1289" s="66"/>
      <c r="KDE1289" s="66"/>
      <c r="KDF1289" s="66"/>
      <c r="KDG1289" s="66"/>
      <c r="KDH1289" s="66"/>
      <c r="KDI1289" s="66"/>
      <c r="KDJ1289" s="66"/>
      <c r="KDK1289" s="66"/>
      <c r="KDL1289" s="66"/>
      <c r="KDM1289" s="66"/>
      <c r="KDN1289" s="66"/>
      <c r="KDO1289" s="66"/>
      <c r="KDP1289" s="66"/>
      <c r="KDQ1289" s="66"/>
      <c r="KDR1289" s="66"/>
      <c r="KDS1289" s="66"/>
      <c r="KDT1289" s="66"/>
      <c r="KDU1289" s="66"/>
      <c r="KDV1289" s="66"/>
      <c r="KDW1289" s="66"/>
      <c r="KDX1289" s="66"/>
      <c r="KDY1289" s="66"/>
      <c r="KDZ1289" s="66"/>
      <c r="KEA1289" s="66"/>
      <c r="KEB1289" s="66"/>
      <c r="KEC1289" s="66"/>
      <c r="KED1289" s="66"/>
      <c r="KEE1289" s="66"/>
      <c r="KEF1289" s="66"/>
      <c r="KEG1289" s="66"/>
      <c r="KEH1289" s="66"/>
      <c r="KEI1289" s="66"/>
      <c r="KEJ1289" s="66"/>
      <c r="KEK1289" s="66"/>
      <c r="KEL1289" s="66"/>
      <c r="KEM1289" s="66"/>
      <c r="KEN1289" s="66"/>
      <c r="KEO1289" s="66"/>
      <c r="KEP1289" s="66"/>
      <c r="KEQ1289" s="66"/>
      <c r="KER1289" s="66"/>
      <c r="KES1289" s="66"/>
      <c r="KET1289" s="66"/>
      <c r="KEU1289" s="66"/>
      <c r="KEV1289" s="66"/>
      <c r="KEW1289" s="66"/>
      <c r="KEX1289" s="66"/>
      <c r="KEY1289" s="66"/>
      <c r="KEZ1289" s="66"/>
      <c r="KFA1289" s="66"/>
      <c r="KFB1289" s="66"/>
      <c r="KFC1289" s="66"/>
      <c r="KFD1289" s="66"/>
      <c r="KFE1289" s="66"/>
      <c r="KFF1289" s="66"/>
      <c r="KFG1289" s="66"/>
      <c r="KFH1289" s="66"/>
      <c r="KFI1289" s="66"/>
      <c r="KFJ1289" s="66"/>
      <c r="KFK1289" s="66"/>
      <c r="KFL1289" s="66"/>
      <c r="KFM1289" s="66"/>
      <c r="KFN1289" s="66"/>
      <c r="KFO1289" s="66"/>
      <c r="KFP1289" s="66"/>
      <c r="KFQ1289" s="66"/>
      <c r="KFR1289" s="66"/>
      <c r="KFS1289" s="66"/>
      <c r="KFT1289" s="66"/>
      <c r="KFU1289" s="66"/>
      <c r="KFV1289" s="66"/>
      <c r="KFW1289" s="66"/>
      <c r="KFX1289" s="66"/>
      <c r="KFY1289" s="66"/>
      <c r="KFZ1289" s="66"/>
      <c r="KGA1289" s="66"/>
      <c r="KGB1289" s="66"/>
      <c r="KGC1289" s="66"/>
      <c r="KGD1289" s="66"/>
      <c r="KGE1289" s="66"/>
      <c r="KGF1289" s="66"/>
      <c r="KGG1289" s="66"/>
      <c r="KGH1289" s="66"/>
      <c r="KGI1289" s="66"/>
      <c r="KGJ1289" s="66"/>
      <c r="KGK1289" s="66"/>
      <c r="KGL1289" s="66"/>
      <c r="KGM1289" s="66"/>
      <c r="KGN1289" s="66"/>
      <c r="KGO1289" s="66"/>
      <c r="KGP1289" s="66"/>
      <c r="KGQ1289" s="66"/>
      <c r="KGR1289" s="66"/>
      <c r="KGS1289" s="66"/>
      <c r="KGT1289" s="66"/>
      <c r="KGU1289" s="66"/>
      <c r="KGV1289" s="66"/>
      <c r="KGW1289" s="66"/>
      <c r="KGX1289" s="66"/>
      <c r="KGY1289" s="66"/>
      <c r="KGZ1289" s="66"/>
      <c r="KHA1289" s="66"/>
      <c r="KHB1289" s="66"/>
      <c r="KHC1289" s="66"/>
      <c r="KHD1289" s="66"/>
      <c r="KHE1289" s="66"/>
      <c r="KHF1289" s="66"/>
      <c r="KHG1289" s="66"/>
      <c r="KHH1289" s="66"/>
      <c r="KHI1289" s="66"/>
      <c r="KHJ1289" s="66"/>
      <c r="KHK1289" s="66"/>
      <c r="KHL1289" s="66"/>
      <c r="KHM1289" s="66"/>
      <c r="KHN1289" s="66"/>
      <c r="KHO1289" s="66"/>
      <c r="KHP1289" s="66"/>
      <c r="KHQ1289" s="66"/>
      <c r="KHR1289" s="66"/>
      <c r="KHS1289" s="66"/>
      <c r="KHT1289" s="66"/>
      <c r="KHU1289" s="66"/>
      <c r="KHV1289" s="66"/>
      <c r="KHW1289" s="66"/>
      <c r="KHX1289" s="66"/>
      <c r="KHY1289" s="66"/>
      <c r="KHZ1289" s="66"/>
      <c r="KIA1289" s="66"/>
      <c r="KIB1289" s="66"/>
      <c r="KIC1289" s="66"/>
      <c r="KID1289" s="66"/>
      <c r="KIE1289" s="66"/>
      <c r="KIF1289" s="66"/>
      <c r="KIG1289" s="66"/>
      <c r="KIH1289" s="66"/>
      <c r="KII1289" s="66"/>
      <c r="KIJ1289" s="66"/>
      <c r="KIK1289" s="66"/>
      <c r="KIL1289" s="66"/>
      <c r="KIM1289" s="66"/>
      <c r="KIN1289" s="66"/>
      <c r="KIO1289" s="66"/>
      <c r="KIP1289" s="66"/>
      <c r="KIQ1289" s="66"/>
      <c r="KIR1289" s="66"/>
      <c r="KIS1289" s="66"/>
      <c r="KIT1289" s="66"/>
      <c r="KIU1289" s="66"/>
      <c r="KIV1289" s="66"/>
      <c r="KIW1289" s="66"/>
      <c r="KIX1289" s="66"/>
      <c r="KIY1289" s="66"/>
      <c r="KIZ1289" s="66"/>
      <c r="KJA1289" s="66"/>
      <c r="KJB1289" s="66"/>
      <c r="KJC1289" s="66"/>
      <c r="KJD1289" s="66"/>
      <c r="KJE1289" s="66"/>
      <c r="KJF1289" s="66"/>
      <c r="KJG1289" s="66"/>
      <c r="KJH1289" s="66"/>
      <c r="KJI1289" s="66"/>
      <c r="KJJ1289" s="66"/>
      <c r="KJK1289" s="66"/>
      <c r="KJL1289" s="66"/>
      <c r="KJM1289" s="66"/>
      <c r="KJN1289" s="66"/>
      <c r="KJO1289" s="66"/>
      <c r="KJP1289" s="66"/>
      <c r="KJQ1289" s="66"/>
      <c r="KJR1289" s="66"/>
      <c r="KJS1289" s="66"/>
      <c r="KJT1289" s="66"/>
      <c r="KJU1289" s="66"/>
      <c r="KJV1289" s="66"/>
      <c r="KJW1289" s="66"/>
      <c r="KJX1289" s="66"/>
      <c r="KJY1289" s="66"/>
      <c r="KJZ1289" s="66"/>
      <c r="KKA1289" s="66"/>
      <c r="KKB1289" s="66"/>
      <c r="KKC1289" s="66"/>
      <c r="KKD1289" s="66"/>
      <c r="KKE1289" s="66"/>
      <c r="KKF1289" s="66"/>
      <c r="KKG1289" s="66"/>
      <c r="KKH1289" s="66"/>
      <c r="KKI1289" s="66"/>
      <c r="KKJ1289" s="66"/>
      <c r="KKK1289" s="66"/>
      <c r="KKL1289" s="66"/>
      <c r="KKM1289" s="66"/>
      <c r="KKN1289" s="66"/>
      <c r="KKO1289" s="66"/>
      <c r="KKP1289" s="66"/>
      <c r="KKQ1289" s="66"/>
      <c r="KKR1289" s="66"/>
      <c r="KKS1289" s="66"/>
      <c r="KKT1289" s="66"/>
      <c r="KKU1289" s="66"/>
      <c r="KKV1289" s="66"/>
      <c r="KKW1289" s="66"/>
      <c r="KKX1289" s="66"/>
      <c r="KKY1289" s="66"/>
      <c r="KKZ1289" s="66"/>
      <c r="KLA1289" s="66"/>
      <c r="KLB1289" s="66"/>
      <c r="KLC1289" s="66"/>
      <c r="KLD1289" s="66"/>
      <c r="KLE1289" s="66"/>
      <c r="KLF1289" s="66"/>
      <c r="KLG1289" s="66"/>
      <c r="KLH1289" s="66"/>
      <c r="KLI1289" s="66"/>
      <c r="KLJ1289" s="66"/>
      <c r="KLK1289" s="66"/>
      <c r="KLL1289" s="66"/>
      <c r="KLM1289" s="66"/>
      <c r="KLN1289" s="66"/>
      <c r="KLO1289" s="66"/>
      <c r="KLP1289" s="66"/>
      <c r="KLQ1289" s="66"/>
      <c r="KLR1289" s="66"/>
      <c r="KLS1289" s="66"/>
      <c r="KLT1289" s="66"/>
      <c r="KLU1289" s="66"/>
      <c r="KLV1289" s="66"/>
      <c r="KLW1289" s="66"/>
      <c r="KLX1289" s="66"/>
      <c r="KLY1289" s="66"/>
      <c r="KLZ1289" s="66"/>
      <c r="KMA1289" s="66"/>
      <c r="KMB1289" s="66"/>
      <c r="KMC1289" s="66"/>
      <c r="KMD1289" s="66"/>
      <c r="KME1289" s="66"/>
      <c r="KMF1289" s="66"/>
      <c r="KMG1289" s="66"/>
      <c r="KMH1289" s="66"/>
      <c r="KMI1289" s="66"/>
      <c r="KMJ1289" s="66"/>
      <c r="KMK1289" s="66"/>
      <c r="KML1289" s="66"/>
      <c r="KMM1289" s="66"/>
      <c r="KMN1289" s="66"/>
      <c r="KMO1289" s="66"/>
      <c r="KMP1289" s="66"/>
      <c r="KMQ1289" s="66"/>
      <c r="KMR1289" s="66"/>
      <c r="KMS1289" s="66"/>
      <c r="KMT1289" s="66"/>
      <c r="KMU1289" s="66"/>
      <c r="KMV1289" s="66"/>
      <c r="KMW1289" s="66"/>
      <c r="KMX1289" s="66"/>
      <c r="KMY1289" s="66"/>
      <c r="KMZ1289" s="66"/>
      <c r="KNA1289" s="66"/>
      <c r="KNB1289" s="66"/>
      <c r="KNC1289" s="66"/>
      <c r="KND1289" s="66"/>
      <c r="KNE1289" s="66"/>
      <c r="KNF1289" s="66"/>
      <c r="KNG1289" s="66"/>
      <c r="KNH1289" s="66"/>
      <c r="KNI1289" s="66"/>
      <c r="KNJ1289" s="66"/>
      <c r="KNK1289" s="66"/>
      <c r="KNL1289" s="66"/>
      <c r="KNM1289" s="66"/>
      <c r="KNN1289" s="66"/>
      <c r="KNO1289" s="66"/>
      <c r="KNP1289" s="66"/>
      <c r="KNQ1289" s="66"/>
      <c r="KNR1289" s="66"/>
      <c r="KNS1289" s="66"/>
      <c r="KNT1289" s="66"/>
      <c r="KNU1289" s="66"/>
      <c r="KNV1289" s="66"/>
      <c r="KNW1289" s="66"/>
      <c r="KNX1289" s="66"/>
      <c r="KNY1289" s="66"/>
      <c r="KNZ1289" s="66"/>
      <c r="KOA1289" s="66"/>
      <c r="KOB1289" s="66"/>
      <c r="KOC1289" s="66"/>
      <c r="KOD1289" s="66"/>
      <c r="KOE1289" s="66"/>
      <c r="KOF1289" s="66"/>
      <c r="KOG1289" s="66"/>
      <c r="KOH1289" s="66"/>
      <c r="KOI1289" s="66"/>
      <c r="KOJ1289" s="66"/>
      <c r="KOK1289" s="66"/>
      <c r="KOL1289" s="66"/>
      <c r="KOM1289" s="66"/>
      <c r="KON1289" s="66"/>
      <c r="KOO1289" s="66"/>
      <c r="KOP1289" s="66"/>
      <c r="KOQ1289" s="66"/>
      <c r="KOR1289" s="66"/>
      <c r="KOS1289" s="66"/>
      <c r="KOT1289" s="66"/>
      <c r="KOU1289" s="66"/>
      <c r="KOV1289" s="66"/>
      <c r="KOW1289" s="66"/>
      <c r="KOX1289" s="66"/>
      <c r="KOY1289" s="66"/>
      <c r="KOZ1289" s="66"/>
      <c r="KPA1289" s="66"/>
      <c r="KPB1289" s="66"/>
      <c r="KPC1289" s="66"/>
      <c r="KPD1289" s="66"/>
      <c r="KPE1289" s="66"/>
      <c r="KPF1289" s="66"/>
      <c r="KPG1289" s="66"/>
      <c r="KPH1289" s="66"/>
      <c r="KPI1289" s="66"/>
      <c r="KPJ1289" s="66"/>
      <c r="KPK1289" s="66"/>
      <c r="KPL1289" s="66"/>
      <c r="KPM1289" s="66"/>
      <c r="KPN1289" s="66"/>
      <c r="KPO1289" s="66"/>
      <c r="KPP1289" s="66"/>
      <c r="KPQ1289" s="66"/>
      <c r="KPR1289" s="66"/>
      <c r="KPS1289" s="66"/>
      <c r="KPT1289" s="66"/>
      <c r="KPU1289" s="66"/>
      <c r="KPV1289" s="66"/>
      <c r="KPW1289" s="66"/>
      <c r="KPX1289" s="66"/>
      <c r="KPY1289" s="66"/>
      <c r="KPZ1289" s="66"/>
      <c r="KQA1289" s="66"/>
      <c r="KQB1289" s="66"/>
      <c r="KQC1289" s="66"/>
      <c r="KQD1289" s="66"/>
      <c r="KQE1289" s="66"/>
      <c r="KQF1289" s="66"/>
      <c r="KQG1289" s="66"/>
      <c r="KQH1289" s="66"/>
      <c r="KQI1289" s="66"/>
      <c r="KQJ1289" s="66"/>
      <c r="KQK1289" s="66"/>
      <c r="KQL1289" s="66"/>
      <c r="KQM1289" s="66"/>
      <c r="KQN1289" s="66"/>
      <c r="KQO1289" s="66"/>
      <c r="KQP1289" s="66"/>
      <c r="KQQ1289" s="66"/>
      <c r="KQR1289" s="66"/>
      <c r="KQS1289" s="66"/>
      <c r="KQT1289" s="66"/>
      <c r="KQU1289" s="66"/>
      <c r="KQV1289" s="66"/>
      <c r="KQW1289" s="66"/>
      <c r="KQX1289" s="66"/>
      <c r="KQY1289" s="66"/>
      <c r="KQZ1289" s="66"/>
      <c r="KRA1289" s="66"/>
      <c r="KRB1289" s="66"/>
      <c r="KRC1289" s="66"/>
      <c r="KRD1289" s="66"/>
      <c r="KRE1289" s="66"/>
      <c r="KRF1289" s="66"/>
      <c r="KRG1289" s="66"/>
      <c r="KRH1289" s="66"/>
      <c r="KRI1289" s="66"/>
      <c r="KRJ1289" s="66"/>
      <c r="KRK1289" s="66"/>
      <c r="KRL1289" s="66"/>
      <c r="KRM1289" s="66"/>
      <c r="KRN1289" s="66"/>
      <c r="KRO1289" s="66"/>
      <c r="KRP1289" s="66"/>
      <c r="KRQ1289" s="66"/>
      <c r="KRR1289" s="66"/>
      <c r="KRS1289" s="66"/>
      <c r="KRT1289" s="66"/>
      <c r="KRU1289" s="66"/>
      <c r="KRV1289" s="66"/>
      <c r="KRW1289" s="66"/>
      <c r="KRX1289" s="66"/>
      <c r="KRY1289" s="66"/>
      <c r="KRZ1289" s="66"/>
      <c r="KSA1289" s="66"/>
      <c r="KSB1289" s="66"/>
      <c r="KSC1289" s="66"/>
      <c r="KSD1289" s="66"/>
      <c r="KSE1289" s="66"/>
      <c r="KSF1289" s="66"/>
      <c r="KSG1289" s="66"/>
      <c r="KSH1289" s="66"/>
      <c r="KSI1289" s="66"/>
      <c r="KSJ1289" s="66"/>
      <c r="KSK1289" s="66"/>
      <c r="KSL1289" s="66"/>
      <c r="KSM1289" s="66"/>
      <c r="KSN1289" s="66"/>
      <c r="KSO1289" s="66"/>
      <c r="KSP1289" s="66"/>
      <c r="KSQ1289" s="66"/>
      <c r="KSR1289" s="66"/>
      <c r="KSS1289" s="66"/>
      <c r="KST1289" s="66"/>
      <c r="KSU1289" s="66"/>
      <c r="KSV1289" s="66"/>
      <c r="KSW1289" s="66"/>
      <c r="KSX1289" s="66"/>
      <c r="KSY1289" s="66"/>
      <c r="KSZ1289" s="66"/>
      <c r="KTA1289" s="66"/>
      <c r="KTB1289" s="66"/>
      <c r="KTC1289" s="66"/>
      <c r="KTD1289" s="66"/>
      <c r="KTE1289" s="66"/>
      <c r="KTF1289" s="66"/>
      <c r="KTG1289" s="66"/>
      <c r="KTH1289" s="66"/>
      <c r="KTI1289" s="66"/>
      <c r="KTJ1289" s="66"/>
      <c r="KTK1289" s="66"/>
      <c r="KTL1289" s="66"/>
      <c r="KTM1289" s="66"/>
      <c r="KTN1289" s="66"/>
      <c r="KTO1289" s="66"/>
      <c r="KTP1289" s="66"/>
      <c r="KTQ1289" s="66"/>
      <c r="KTR1289" s="66"/>
      <c r="KTS1289" s="66"/>
      <c r="KTT1289" s="66"/>
      <c r="KTU1289" s="66"/>
      <c r="KTV1289" s="66"/>
      <c r="KTW1289" s="66"/>
      <c r="KTX1289" s="66"/>
      <c r="KTY1289" s="66"/>
      <c r="KTZ1289" s="66"/>
      <c r="KUA1289" s="66"/>
      <c r="KUB1289" s="66"/>
      <c r="KUC1289" s="66"/>
      <c r="KUD1289" s="66"/>
      <c r="KUE1289" s="66"/>
      <c r="KUF1289" s="66"/>
      <c r="KUG1289" s="66"/>
      <c r="KUH1289" s="66"/>
      <c r="KUI1289" s="66"/>
      <c r="KUJ1289" s="66"/>
      <c r="KUK1289" s="66"/>
      <c r="KUL1289" s="66"/>
      <c r="KUM1289" s="66"/>
      <c r="KUN1289" s="66"/>
      <c r="KUO1289" s="66"/>
      <c r="KUP1289" s="66"/>
      <c r="KUQ1289" s="66"/>
      <c r="KUR1289" s="66"/>
      <c r="KUS1289" s="66"/>
      <c r="KUT1289" s="66"/>
      <c r="KUU1289" s="66"/>
      <c r="KUV1289" s="66"/>
      <c r="KUW1289" s="66"/>
      <c r="KUX1289" s="66"/>
      <c r="KUY1289" s="66"/>
      <c r="KUZ1289" s="66"/>
      <c r="KVA1289" s="66"/>
      <c r="KVB1289" s="66"/>
      <c r="KVC1289" s="66"/>
      <c r="KVD1289" s="66"/>
      <c r="KVE1289" s="66"/>
      <c r="KVF1289" s="66"/>
      <c r="KVG1289" s="66"/>
      <c r="KVH1289" s="66"/>
      <c r="KVI1289" s="66"/>
      <c r="KVJ1289" s="66"/>
      <c r="KVK1289" s="66"/>
      <c r="KVL1289" s="66"/>
      <c r="KVM1289" s="66"/>
      <c r="KVN1289" s="66"/>
      <c r="KVO1289" s="66"/>
      <c r="KVP1289" s="66"/>
      <c r="KVQ1289" s="66"/>
      <c r="KVR1289" s="66"/>
      <c r="KVS1289" s="66"/>
      <c r="KVT1289" s="66"/>
      <c r="KVU1289" s="66"/>
      <c r="KVV1289" s="66"/>
      <c r="KVW1289" s="66"/>
      <c r="KVX1289" s="66"/>
      <c r="KVY1289" s="66"/>
      <c r="KVZ1289" s="66"/>
      <c r="KWA1289" s="66"/>
      <c r="KWB1289" s="66"/>
      <c r="KWC1289" s="66"/>
      <c r="KWD1289" s="66"/>
      <c r="KWE1289" s="66"/>
      <c r="KWF1289" s="66"/>
      <c r="KWG1289" s="66"/>
      <c r="KWH1289" s="66"/>
      <c r="KWI1289" s="66"/>
      <c r="KWJ1289" s="66"/>
      <c r="KWK1289" s="66"/>
      <c r="KWL1289" s="66"/>
      <c r="KWM1289" s="66"/>
      <c r="KWN1289" s="66"/>
      <c r="KWO1289" s="66"/>
      <c r="KWP1289" s="66"/>
      <c r="KWQ1289" s="66"/>
      <c r="KWR1289" s="66"/>
      <c r="KWS1289" s="66"/>
      <c r="KWT1289" s="66"/>
      <c r="KWU1289" s="66"/>
      <c r="KWV1289" s="66"/>
      <c r="KWW1289" s="66"/>
      <c r="KWX1289" s="66"/>
      <c r="KWY1289" s="66"/>
      <c r="KWZ1289" s="66"/>
      <c r="KXA1289" s="66"/>
      <c r="KXB1289" s="66"/>
      <c r="KXC1289" s="66"/>
      <c r="KXD1289" s="66"/>
      <c r="KXE1289" s="66"/>
      <c r="KXF1289" s="66"/>
      <c r="KXG1289" s="66"/>
      <c r="KXH1289" s="66"/>
      <c r="KXI1289" s="66"/>
      <c r="KXJ1289" s="66"/>
      <c r="KXK1289" s="66"/>
      <c r="KXL1289" s="66"/>
      <c r="KXM1289" s="66"/>
      <c r="KXN1289" s="66"/>
      <c r="KXO1289" s="66"/>
      <c r="KXP1289" s="66"/>
      <c r="KXQ1289" s="66"/>
      <c r="KXR1289" s="66"/>
      <c r="KXS1289" s="66"/>
      <c r="KXT1289" s="66"/>
      <c r="KXU1289" s="66"/>
      <c r="KXV1289" s="66"/>
      <c r="KXW1289" s="66"/>
      <c r="KXX1289" s="66"/>
      <c r="KXY1289" s="66"/>
      <c r="KXZ1289" s="66"/>
      <c r="KYA1289" s="66"/>
      <c r="KYB1289" s="66"/>
      <c r="KYC1289" s="66"/>
      <c r="KYD1289" s="66"/>
      <c r="KYE1289" s="66"/>
      <c r="KYF1289" s="66"/>
      <c r="KYG1289" s="66"/>
      <c r="KYH1289" s="66"/>
      <c r="KYI1289" s="66"/>
      <c r="KYJ1289" s="66"/>
      <c r="KYK1289" s="66"/>
      <c r="KYL1289" s="66"/>
      <c r="KYM1289" s="66"/>
      <c r="KYN1289" s="66"/>
      <c r="KYO1289" s="66"/>
      <c r="KYP1289" s="66"/>
      <c r="KYQ1289" s="66"/>
      <c r="KYR1289" s="66"/>
      <c r="KYS1289" s="66"/>
      <c r="KYT1289" s="66"/>
      <c r="KYU1289" s="66"/>
      <c r="KYV1289" s="66"/>
      <c r="KYW1289" s="66"/>
      <c r="KYX1289" s="66"/>
      <c r="KYY1289" s="66"/>
      <c r="KYZ1289" s="66"/>
      <c r="KZA1289" s="66"/>
      <c r="KZB1289" s="66"/>
      <c r="KZC1289" s="66"/>
      <c r="KZD1289" s="66"/>
      <c r="KZE1289" s="66"/>
      <c r="KZF1289" s="66"/>
      <c r="KZG1289" s="66"/>
      <c r="KZH1289" s="66"/>
      <c r="KZI1289" s="66"/>
      <c r="KZJ1289" s="66"/>
      <c r="KZK1289" s="66"/>
      <c r="KZL1289" s="66"/>
      <c r="KZM1289" s="66"/>
      <c r="KZN1289" s="66"/>
      <c r="KZO1289" s="66"/>
      <c r="KZP1289" s="66"/>
      <c r="KZQ1289" s="66"/>
      <c r="KZR1289" s="66"/>
      <c r="KZS1289" s="66"/>
      <c r="KZT1289" s="66"/>
      <c r="KZU1289" s="66"/>
      <c r="KZV1289" s="66"/>
      <c r="KZW1289" s="66"/>
      <c r="KZX1289" s="66"/>
      <c r="KZY1289" s="66"/>
      <c r="KZZ1289" s="66"/>
      <c r="LAA1289" s="66"/>
      <c r="LAB1289" s="66"/>
      <c r="LAC1289" s="66"/>
      <c r="LAD1289" s="66"/>
      <c r="LAE1289" s="66"/>
      <c r="LAF1289" s="66"/>
      <c r="LAG1289" s="66"/>
      <c r="LAH1289" s="66"/>
      <c r="LAI1289" s="66"/>
      <c r="LAJ1289" s="66"/>
      <c r="LAK1289" s="66"/>
      <c r="LAL1289" s="66"/>
      <c r="LAM1289" s="66"/>
      <c r="LAN1289" s="66"/>
      <c r="LAO1289" s="66"/>
      <c r="LAP1289" s="66"/>
      <c r="LAQ1289" s="66"/>
      <c r="LAR1289" s="66"/>
      <c r="LAS1289" s="66"/>
      <c r="LAT1289" s="66"/>
      <c r="LAU1289" s="66"/>
      <c r="LAV1289" s="66"/>
      <c r="LAW1289" s="66"/>
      <c r="LAX1289" s="66"/>
      <c r="LAY1289" s="66"/>
      <c r="LAZ1289" s="66"/>
      <c r="LBA1289" s="66"/>
      <c r="LBB1289" s="66"/>
      <c r="LBC1289" s="66"/>
      <c r="LBD1289" s="66"/>
      <c r="LBE1289" s="66"/>
      <c r="LBF1289" s="66"/>
      <c r="LBG1289" s="66"/>
      <c r="LBH1289" s="66"/>
      <c r="LBI1289" s="66"/>
      <c r="LBJ1289" s="66"/>
      <c r="LBK1289" s="66"/>
      <c r="LBL1289" s="66"/>
      <c r="LBM1289" s="66"/>
      <c r="LBN1289" s="66"/>
      <c r="LBO1289" s="66"/>
      <c r="LBP1289" s="66"/>
      <c r="LBQ1289" s="66"/>
      <c r="LBR1289" s="66"/>
      <c r="LBS1289" s="66"/>
      <c r="LBT1289" s="66"/>
      <c r="LBU1289" s="66"/>
      <c r="LBV1289" s="66"/>
      <c r="LBW1289" s="66"/>
      <c r="LBX1289" s="66"/>
      <c r="LBY1289" s="66"/>
      <c r="LBZ1289" s="66"/>
      <c r="LCA1289" s="66"/>
      <c r="LCB1289" s="66"/>
      <c r="LCC1289" s="66"/>
      <c r="LCD1289" s="66"/>
      <c r="LCE1289" s="66"/>
      <c r="LCF1289" s="66"/>
      <c r="LCG1289" s="66"/>
      <c r="LCH1289" s="66"/>
      <c r="LCI1289" s="66"/>
      <c r="LCJ1289" s="66"/>
      <c r="LCK1289" s="66"/>
      <c r="LCL1289" s="66"/>
      <c r="LCM1289" s="66"/>
      <c r="LCN1289" s="66"/>
      <c r="LCO1289" s="66"/>
      <c r="LCP1289" s="66"/>
      <c r="LCQ1289" s="66"/>
      <c r="LCR1289" s="66"/>
      <c r="LCS1289" s="66"/>
      <c r="LCT1289" s="66"/>
      <c r="LCU1289" s="66"/>
      <c r="LCV1289" s="66"/>
      <c r="LCW1289" s="66"/>
      <c r="LCX1289" s="66"/>
      <c r="LCY1289" s="66"/>
      <c r="LCZ1289" s="66"/>
      <c r="LDA1289" s="66"/>
      <c r="LDB1289" s="66"/>
      <c r="LDC1289" s="66"/>
      <c r="LDD1289" s="66"/>
      <c r="LDE1289" s="66"/>
      <c r="LDF1289" s="66"/>
      <c r="LDG1289" s="66"/>
      <c r="LDH1289" s="66"/>
      <c r="LDI1289" s="66"/>
      <c r="LDJ1289" s="66"/>
      <c r="LDK1289" s="66"/>
      <c r="LDL1289" s="66"/>
      <c r="LDM1289" s="66"/>
      <c r="LDN1289" s="66"/>
      <c r="LDO1289" s="66"/>
      <c r="LDP1289" s="66"/>
      <c r="LDQ1289" s="66"/>
      <c r="LDR1289" s="66"/>
      <c r="LDS1289" s="66"/>
      <c r="LDT1289" s="66"/>
      <c r="LDU1289" s="66"/>
      <c r="LDV1289" s="66"/>
      <c r="LDW1289" s="66"/>
      <c r="LDX1289" s="66"/>
      <c r="LDY1289" s="66"/>
      <c r="LDZ1289" s="66"/>
      <c r="LEA1289" s="66"/>
      <c r="LEB1289" s="66"/>
      <c r="LEC1289" s="66"/>
      <c r="LED1289" s="66"/>
      <c r="LEE1289" s="66"/>
      <c r="LEF1289" s="66"/>
      <c r="LEG1289" s="66"/>
      <c r="LEH1289" s="66"/>
      <c r="LEI1289" s="66"/>
      <c r="LEJ1289" s="66"/>
      <c r="LEK1289" s="66"/>
      <c r="LEL1289" s="66"/>
      <c r="LEM1289" s="66"/>
      <c r="LEN1289" s="66"/>
      <c r="LEO1289" s="66"/>
      <c r="LEP1289" s="66"/>
      <c r="LEQ1289" s="66"/>
      <c r="LER1289" s="66"/>
      <c r="LES1289" s="66"/>
      <c r="LET1289" s="66"/>
      <c r="LEU1289" s="66"/>
      <c r="LEV1289" s="66"/>
      <c r="LEW1289" s="66"/>
      <c r="LEX1289" s="66"/>
      <c r="LEY1289" s="66"/>
      <c r="LEZ1289" s="66"/>
      <c r="LFA1289" s="66"/>
      <c r="LFB1289" s="66"/>
      <c r="LFC1289" s="66"/>
      <c r="LFD1289" s="66"/>
      <c r="LFE1289" s="66"/>
      <c r="LFF1289" s="66"/>
      <c r="LFG1289" s="66"/>
      <c r="LFH1289" s="66"/>
      <c r="LFI1289" s="66"/>
      <c r="LFJ1289" s="66"/>
      <c r="LFK1289" s="66"/>
      <c r="LFL1289" s="66"/>
      <c r="LFM1289" s="66"/>
      <c r="LFN1289" s="66"/>
      <c r="LFO1289" s="66"/>
      <c r="LFP1289" s="66"/>
      <c r="LFQ1289" s="66"/>
      <c r="LFR1289" s="66"/>
      <c r="LFS1289" s="66"/>
      <c r="LFT1289" s="66"/>
      <c r="LFU1289" s="66"/>
      <c r="LFV1289" s="66"/>
      <c r="LFW1289" s="66"/>
      <c r="LFX1289" s="66"/>
      <c r="LFY1289" s="66"/>
      <c r="LFZ1289" s="66"/>
      <c r="LGA1289" s="66"/>
      <c r="LGB1289" s="66"/>
      <c r="LGC1289" s="66"/>
      <c r="LGD1289" s="66"/>
      <c r="LGE1289" s="66"/>
      <c r="LGF1289" s="66"/>
      <c r="LGG1289" s="66"/>
      <c r="LGH1289" s="66"/>
      <c r="LGI1289" s="66"/>
      <c r="LGJ1289" s="66"/>
      <c r="LGK1289" s="66"/>
      <c r="LGL1289" s="66"/>
      <c r="LGM1289" s="66"/>
      <c r="LGN1289" s="66"/>
      <c r="LGO1289" s="66"/>
      <c r="LGP1289" s="66"/>
      <c r="LGQ1289" s="66"/>
      <c r="LGR1289" s="66"/>
      <c r="LGS1289" s="66"/>
      <c r="LGT1289" s="66"/>
      <c r="LGU1289" s="66"/>
      <c r="LGV1289" s="66"/>
      <c r="LGW1289" s="66"/>
      <c r="LGX1289" s="66"/>
      <c r="LGY1289" s="66"/>
      <c r="LGZ1289" s="66"/>
      <c r="LHA1289" s="66"/>
      <c r="LHB1289" s="66"/>
      <c r="LHC1289" s="66"/>
      <c r="LHD1289" s="66"/>
      <c r="LHE1289" s="66"/>
      <c r="LHF1289" s="66"/>
      <c r="LHG1289" s="66"/>
      <c r="LHH1289" s="66"/>
      <c r="LHI1289" s="66"/>
      <c r="LHJ1289" s="66"/>
      <c r="LHK1289" s="66"/>
      <c r="LHL1289" s="66"/>
      <c r="LHM1289" s="66"/>
      <c r="LHN1289" s="66"/>
      <c r="LHO1289" s="66"/>
      <c r="LHP1289" s="66"/>
      <c r="LHQ1289" s="66"/>
      <c r="LHR1289" s="66"/>
      <c r="LHS1289" s="66"/>
      <c r="LHT1289" s="66"/>
      <c r="LHU1289" s="66"/>
      <c r="LHV1289" s="66"/>
      <c r="LHW1289" s="66"/>
      <c r="LHX1289" s="66"/>
      <c r="LHY1289" s="66"/>
      <c r="LHZ1289" s="66"/>
      <c r="LIA1289" s="66"/>
      <c r="LIB1289" s="66"/>
      <c r="LIC1289" s="66"/>
      <c r="LID1289" s="66"/>
      <c r="LIE1289" s="66"/>
      <c r="LIF1289" s="66"/>
      <c r="LIG1289" s="66"/>
      <c r="LIH1289" s="66"/>
      <c r="LII1289" s="66"/>
      <c r="LIJ1289" s="66"/>
      <c r="LIK1289" s="66"/>
      <c r="LIL1289" s="66"/>
      <c r="LIM1289" s="66"/>
      <c r="LIN1289" s="66"/>
      <c r="LIO1289" s="66"/>
      <c r="LIP1289" s="66"/>
      <c r="LIQ1289" s="66"/>
      <c r="LIR1289" s="66"/>
      <c r="LIS1289" s="66"/>
      <c r="LIT1289" s="66"/>
      <c r="LIU1289" s="66"/>
      <c r="LIV1289" s="66"/>
      <c r="LIW1289" s="66"/>
      <c r="LIX1289" s="66"/>
      <c r="LIY1289" s="66"/>
      <c r="LIZ1289" s="66"/>
      <c r="LJA1289" s="66"/>
      <c r="LJB1289" s="66"/>
      <c r="LJC1289" s="66"/>
      <c r="LJD1289" s="66"/>
      <c r="LJE1289" s="66"/>
      <c r="LJF1289" s="66"/>
      <c r="LJG1289" s="66"/>
      <c r="LJH1289" s="66"/>
      <c r="LJI1289" s="66"/>
      <c r="LJJ1289" s="66"/>
      <c r="LJK1289" s="66"/>
      <c r="LJL1289" s="66"/>
      <c r="LJM1289" s="66"/>
      <c r="LJN1289" s="66"/>
      <c r="LJO1289" s="66"/>
      <c r="LJP1289" s="66"/>
      <c r="LJQ1289" s="66"/>
      <c r="LJR1289" s="66"/>
      <c r="LJS1289" s="66"/>
      <c r="LJT1289" s="66"/>
      <c r="LJU1289" s="66"/>
      <c r="LJV1289" s="66"/>
      <c r="LJW1289" s="66"/>
      <c r="LJX1289" s="66"/>
      <c r="LJY1289" s="66"/>
      <c r="LJZ1289" s="66"/>
      <c r="LKA1289" s="66"/>
      <c r="LKB1289" s="66"/>
      <c r="LKC1289" s="66"/>
      <c r="LKD1289" s="66"/>
      <c r="LKE1289" s="66"/>
      <c r="LKF1289" s="66"/>
      <c r="LKG1289" s="66"/>
      <c r="LKH1289" s="66"/>
      <c r="LKI1289" s="66"/>
      <c r="LKJ1289" s="66"/>
      <c r="LKK1289" s="66"/>
      <c r="LKL1289" s="66"/>
      <c r="LKM1289" s="66"/>
      <c r="LKN1289" s="66"/>
      <c r="LKO1289" s="66"/>
      <c r="LKP1289" s="66"/>
      <c r="LKQ1289" s="66"/>
      <c r="LKR1289" s="66"/>
      <c r="LKS1289" s="66"/>
      <c r="LKT1289" s="66"/>
      <c r="LKU1289" s="66"/>
      <c r="LKV1289" s="66"/>
      <c r="LKW1289" s="66"/>
      <c r="LKX1289" s="66"/>
      <c r="LKY1289" s="66"/>
      <c r="LKZ1289" s="66"/>
      <c r="LLA1289" s="66"/>
      <c r="LLB1289" s="66"/>
      <c r="LLC1289" s="66"/>
      <c r="LLD1289" s="66"/>
      <c r="LLE1289" s="66"/>
      <c r="LLF1289" s="66"/>
      <c r="LLG1289" s="66"/>
      <c r="LLH1289" s="66"/>
      <c r="LLI1289" s="66"/>
      <c r="LLJ1289" s="66"/>
      <c r="LLK1289" s="66"/>
      <c r="LLL1289" s="66"/>
      <c r="LLM1289" s="66"/>
      <c r="LLN1289" s="66"/>
      <c r="LLO1289" s="66"/>
      <c r="LLP1289" s="66"/>
      <c r="LLQ1289" s="66"/>
      <c r="LLR1289" s="66"/>
      <c r="LLS1289" s="66"/>
      <c r="LLT1289" s="66"/>
      <c r="LLU1289" s="66"/>
      <c r="LLV1289" s="66"/>
      <c r="LLW1289" s="66"/>
      <c r="LLX1289" s="66"/>
      <c r="LLY1289" s="66"/>
      <c r="LLZ1289" s="66"/>
      <c r="LMA1289" s="66"/>
      <c r="LMB1289" s="66"/>
      <c r="LMC1289" s="66"/>
      <c r="LMD1289" s="66"/>
      <c r="LME1289" s="66"/>
      <c r="LMF1289" s="66"/>
      <c r="LMG1289" s="66"/>
      <c r="LMH1289" s="66"/>
      <c r="LMI1289" s="66"/>
      <c r="LMJ1289" s="66"/>
      <c r="LMK1289" s="66"/>
      <c r="LML1289" s="66"/>
      <c r="LMM1289" s="66"/>
      <c r="LMN1289" s="66"/>
      <c r="LMO1289" s="66"/>
      <c r="LMP1289" s="66"/>
      <c r="LMQ1289" s="66"/>
      <c r="LMR1289" s="66"/>
      <c r="LMS1289" s="66"/>
      <c r="LMT1289" s="66"/>
      <c r="LMU1289" s="66"/>
      <c r="LMV1289" s="66"/>
      <c r="LMW1289" s="66"/>
      <c r="LMX1289" s="66"/>
      <c r="LMY1289" s="66"/>
      <c r="LMZ1289" s="66"/>
      <c r="LNA1289" s="66"/>
      <c r="LNB1289" s="66"/>
      <c r="LNC1289" s="66"/>
      <c r="LND1289" s="66"/>
      <c r="LNE1289" s="66"/>
      <c r="LNF1289" s="66"/>
      <c r="LNG1289" s="66"/>
      <c r="LNH1289" s="66"/>
      <c r="LNI1289" s="66"/>
      <c r="LNJ1289" s="66"/>
      <c r="LNK1289" s="66"/>
      <c r="LNL1289" s="66"/>
      <c r="LNM1289" s="66"/>
      <c r="LNN1289" s="66"/>
      <c r="LNO1289" s="66"/>
      <c r="LNP1289" s="66"/>
      <c r="LNQ1289" s="66"/>
      <c r="LNR1289" s="66"/>
      <c r="LNS1289" s="66"/>
      <c r="LNT1289" s="66"/>
      <c r="LNU1289" s="66"/>
      <c r="LNV1289" s="66"/>
      <c r="LNW1289" s="66"/>
      <c r="LNX1289" s="66"/>
      <c r="LNY1289" s="66"/>
      <c r="LNZ1289" s="66"/>
      <c r="LOA1289" s="66"/>
      <c r="LOB1289" s="66"/>
      <c r="LOC1289" s="66"/>
      <c r="LOD1289" s="66"/>
      <c r="LOE1289" s="66"/>
      <c r="LOF1289" s="66"/>
      <c r="LOG1289" s="66"/>
      <c r="LOH1289" s="66"/>
      <c r="LOI1289" s="66"/>
      <c r="LOJ1289" s="66"/>
      <c r="LOK1289" s="66"/>
      <c r="LOL1289" s="66"/>
      <c r="LOM1289" s="66"/>
      <c r="LON1289" s="66"/>
      <c r="LOO1289" s="66"/>
      <c r="LOP1289" s="66"/>
      <c r="LOQ1289" s="66"/>
      <c r="LOR1289" s="66"/>
      <c r="LOS1289" s="66"/>
      <c r="LOT1289" s="66"/>
      <c r="LOU1289" s="66"/>
      <c r="LOV1289" s="66"/>
      <c r="LOW1289" s="66"/>
      <c r="LOX1289" s="66"/>
      <c r="LOY1289" s="66"/>
      <c r="LOZ1289" s="66"/>
      <c r="LPA1289" s="66"/>
      <c r="LPB1289" s="66"/>
      <c r="LPC1289" s="66"/>
      <c r="LPD1289" s="66"/>
      <c r="LPE1289" s="66"/>
      <c r="LPF1289" s="66"/>
      <c r="LPG1289" s="66"/>
      <c r="LPH1289" s="66"/>
      <c r="LPI1289" s="66"/>
      <c r="LPJ1289" s="66"/>
      <c r="LPK1289" s="66"/>
      <c r="LPL1289" s="66"/>
      <c r="LPM1289" s="66"/>
      <c r="LPN1289" s="66"/>
      <c r="LPO1289" s="66"/>
      <c r="LPP1289" s="66"/>
      <c r="LPQ1289" s="66"/>
      <c r="LPR1289" s="66"/>
      <c r="LPS1289" s="66"/>
      <c r="LPT1289" s="66"/>
      <c r="LPU1289" s="66"/>
      <c r="LPV1289" s="66"/>
      <c r="LPW1289" s="66"/>
      <c r="LPX1289" s="66"/>
      <c r="LPY1289" s="66"/>
      <c r="LPZ1289" s="66"/>
      <c r="LQA1289" s="66"/>
      <c r="LQB1289" s="66"/>
      <c r="LQC1289" s="66"/>
      <c r="LQD1289" s="66"/>
      <c r="LQE1289" s="66"/>
      <c r="LQF1289" s="66"/>
      <c r="LQG1289" s="66"/>
      <c r="LQH1289" s="66"/>
      <c r="LQI1289" s="66"/>
      <c r="LQJ1289" s="66"/>
      <c r="LQK1289" s="66"/>
      <c r="LQL1289" s="66"/>
      <c r="LQM1289" s="66"/>
      <c r="LQN1289" s="66"/>
      <c r="LQO1289" s="66"/>
      <c r="LQP1289" s="66"/>
      <c r="LQQ1289" s="66"/>
      <c r="LQR1289" s="66"/>
      <c r="LQS1289" s="66"/>
      <c r="LQT1289" s="66"/>
      <c r="LQU1289" s="66"/>
      <c r="LQV1289" s="66"/>
      <c r="LQW1289" s="66"/>
      <c r="LQX1289" s="66"/>
      <c r="LQY1289" s="66"/>
      <c r="LQZ1289" s="66"/>
      <c r="LRA1289" s="66"/>
      <c r="LRB1289" s="66"/>
      <c r="LRC1289" s="66"/>
      <c r="LRD1289" s="66"/>
      <c r="LRE1289" s="66"/>
      <c r="LRF1289" s="66"/>
      <c r="LRG1289" s="66"/>
      <c r="LRH1289" s="66"/>
      <c r="LRI1289" s="66"/>
      <c r="LRJ1289" s="66"/>
      <c r="LRK1289" s="66"/>
      <c r="LRL1289" s="66"/>
      <c r="LRM1289" s="66"/>
      <c r="LRN1289" s="66"/>
      <c r="LRO1289" s="66"/>
      <c r="LRP1289" s="66"/>
      <c r="LRQ1289" s="66"/>
      <c r="LRR1289" s="66"/>
      <c r="LRS1289" s="66"/>
      <c r="LRT1289" s="66"/>
      <c r="LRU1289" s="66"/>
      <c r="LRV1289" s="66"/>
      <c r="LRW1289" s="66"/>
      <c r="LRX1289" s="66"/>
      <c r="LRY1289" s="66"/>
      <c r="LRZ1289" s="66"/>
      <c r="LSA1289" s="66"/>
      <c r="LSB1289" s="66"/>
      <c r="LSC1289" s="66"/>
      <c r="LSD1289" s="66"/>
      <c r="LSE1289" s="66"/>
      <c r="LSF1289" s="66"/>
      <c r="LSG1289" s="66"/>
      <c r="LSH1289" s="66"/>
      <c r="LSI1289" s="66"/>
      <c r="LSJ1289" s="66"/>
      <c r="LSK1289" s="66"/>
      <c r="LSL1289" s="66"/>
      <c r="LSM1289" s="66"/>
      <c r="LSN1289" s="66"/>
      <c r="LSO1289" s="66"/>
      <c r="LSP1289" s="66"/>
      <c r="LSQ1289" s="66"/>
      <c r="LSR1289" s="66"/>
      <c r="LSS1289" s="66"/>
      <c r="LST1289" s="66"/>
      <c r="LSU1289" s="66"/>
      <c r="LSV1289" s="66"/>
      <c r="LSW1289" s="66"/>
      <c r="LSX1289" s="66"/>
      <c r="LSY1289" s="66"/>
      <c r="LSZ1289" s="66"/>
      <c r="LTA1289" s="66"/>
      <c r="LTB1289" s="66"/>
      <c r="LTC1289" s="66"/>
      <c r="LTD1289" s="66"/>
      <c r="LTE1289" s="66"/>
      <c r="LTF1289" s="66"/>
      <c r="LTG1289" s="66"/>
      <c r="LTH1289" s="66"/>
      <c r="LTI1289" s="66"/>
      <c r="LTJ1289" s="66"/>
      <c r="LTK1289" s="66"/>
      <c r="LTL1289" s="66"/>
      <c r="LTM1289" s="66"/>
      <c r="LTN1289" s="66"/>
      <c r="LTO1289" s="66"/>
      <c r="LTP1289" s="66"/>
      <c r="LTQ1289" s="66"/>
      <c r="LTR1289" s="66"/>
      <c r="LTS1289" s="66"/>
      <c r="LTT1289" s="66"/>
      <c r="LTU1289" s="66"/>
      <c r="LTV1289" s="66"/>
      <c r="LTW1289" s="66"/>
      <c r="LTX1289" s="66"/>
      <c r="LTY1289" s="66"/>
      <c r="LTZ1289" s="66"/>
      <c r="LUA1289" s="66"/>
      <c r="LUB1289" s="66"/>
      <c r="LUC1289" s="66"/>
      <c r="LUD1289" s="66"/>
      <c r="LUE1289" s="66"/>
      <c r="LUF1289" s="66"/>
      <c r="LUG1289" s="66"/>
      <c r="LUH1289" s="66"/>
      <c r="LUI1289" s="66"/>
      <c r="LUJ1289" s="66"/>
      <c r="LUK1289" s="66"/>
      <c r="LUL1289" s="66"/>
      <c r="LUM1289" s="66"/>
      <c r="LUN1289" s="66"/>
      <c r="LUO1289" s="66"/>
      <c r="LUP1289" s="66"/>
      <c r="LUQ1289" s="66"/>
      <c r="LUR1289" s="66"/>
      <c r="LUS1289" s="66"/>
      <c r="LUT1289" s="66"/>
      <c r="LUU1289" s="66"/>
      <c r="LUV1289" s="66"/>
      <c r="LUW1289" s="66"/>
      <c r="LUX1289" s="66"/>
      <c r="LUY1289" s="66"/>
      <c r="LUZ1289" s="66"/>
      <c r="LVA1289" s="66"/>
      <c r="LVB1289" s="66"/>
      <c r="LVC1289" s="66"/>
      <c r="LVD1289" s="66"/>
      <c r="LVE1289" s="66"/>
      <c r="LVF1289" s="66"/>
      <c r="LVG1289" s="66"/>
      <c r="LVH1289" s="66"/>
      <c r="LVI1289" s="66"/>
      <c r="LVJ1289" s="66"/>
      <c r="LVK1289" s="66"/>
      <c r="LVL1289" s="66"/>
      <c r="LVM1289" s="66"/>
      <c r="LVN1289" s="66"/>
      <c r="LVO1289" s="66"/>
      <c r="LVP1289" s="66"/>
      <c r="LVQ1289" s="66"/>
      <c r="LVR1289" s="66"/>
      <c r="LVS1289" s="66"/>
      <c r="LVT1289" s="66"/>
      <c r="LVU1289" s="66"/>
      <c r="LVV1289" s="66"/>
      <c r="LVW1289" s="66"/>
      <c r="LVX1289" s="66"/>
      <c r="LVY1289" s="66"/>
      <c r="LVZ1289" s="66"/>
      <c r="LWA1289" s="66"/>
      <c r="LWB1289" s="66"/>
      <c r="LWC1289" s="66"/>
      <c r="LWD1289" s="66"/>
      <c r="LWE1289" s="66"/>
      <c r="LWF1289" s="66"/>
      <c r="LWG1289" s="66"/>
      <c r="LWH1289" s="66"/>
      <c r="LWI1289" s="66"/>
      <c r="LWJ1289" s="66"/>
      <c r="LWK1289" s="66"/>
      <c r="LWL1289" s="66"/>
      <c r="LWM1289" s="66"/>
      <c r="LWN1289" s="66"/>
      <c r="LWO1289" s="66"/>
      <c r="LWP1289" s="66"/>
      <c r="LWQ1289" s="66"/>
      <c r="LWR1289" s="66"/>
      <c r="LWS1289" s="66"/>
      <c r="LWT1289" s="66"/>
      <c r="LWU1289" s="66"/>
      <c r="LWV1289" s="66"/>
      <c r="LWW1289" s="66"/>
      <c r="LWX1289" s="66"/>
      <c r="LWY1289" s="66"/>
      <c r="LWZ1289" s="66"/>
      <c r="LXA1289" s="66"/>
      <c r="LXB1289" s="66"/>
      <c r="LXC1289" s="66"/>
      <c r="LXD1289" s="66"/>
      <c r="LXE1289" s="66"/>
      <c r="LXF1289" s="66"/>
      <c r="LXG1289" s="66"/>
      <c r="LXH1289" s="66"/>
      <c r="LXI1289" s="66"/>
      <c r="LXJ1289" s="66"/>
      <c r="LXK1289" s="66"/>
      <c r="LXL1289" s="66"/>
      <c r="LXM1289" s="66"/>
      <c r="LXN1289" s="66"/>
      <c r="LXO1289" s="66"/>
      <c r="LXP1289" s="66"/>
      <c r="LXQ1289" s="66"/>
      <c r="LXR1289" s="66"/>
      <c r="LXS1289" s="66"/>
      <c r="LXT1289" s="66"/>
      <c r="LXU1289" s="66"/>
      <c r="LXV1289" s="66"/>
      <c r="LXW1289" s="66"/>
      <c r="LXX1289" s="66"/>
      <c r="LXY1289" s="66"/>
      <c r="LXZ1289" s="66"/>
      <c r="LYA1289" s="66"/>
      <c r="LYB1289" s="66"/>
      <c r="LYC1289" s="66"/>
      <c r="LYD1289" s="66"/>
      <c r="LYE1289" s="66"/>
      <c r="LYF1289" s="66"/>
      <c r="LYG1289" s="66"/>
      <c r="LYH1289" s="66"/>
      <c r="LYI1289" s="66"/>
      <c r="LYJ1289" s="66"/>
      <c r="LYK1289" s="66"/>
      <c r="LYL1289" s="66"/>
      <c r="LYM1289" s="66"/>
      <c r="LYN1289" s="66"/>
      <c r="LYO1289" s="66"/>
      <c r="LYP1289" s="66"/>
      <c r="LYQ1289" s="66"/>
      <c r="LYR1289" s="66"/>
      <c r="LYS1289" s="66"/>
      <c r="LYT1289" s="66"/>
      <c r="LYU1289" s="66"/>
      <c r="LYV1289" s="66"/>
      <c r="LYW1289" s="66"/>
      <c r="LYX1289" s="66"/>
      <c r="LYY1289" s="66"/>
      <c r="LYZ1289" s="66"/>
      <c r="LZA1289" s="66"/>
      <c r="LZB1289" s="66"/>
      <c r="LZC1289" s="66"/>
      <c r="LZD1289" s="66"/>
      <c r="LZE1289" s="66"/>
      <c r="LZF1289" s="66"/>
      <c r="LZG1289" s="66"/>
      <c r="LZH1289" s="66"/>
      <c r="LZI1289" s="66"/>
      <c r="LZJ1289" s="66"/>
      <c r="LZK1289" s="66"/>
      <c r="LZL1289" s="66"/>
      <c r="LZM1289" s="66"/>
      <c r="LZN1289" s="66"/>
      <c r="LZO1289" s="66"/>
      <c r="LZP1289" s="66"/>
      <c r="LZQ1289" s="66"/>
      <c r="LZR1289" s="66"/>
      <c r="LZS1289" s="66"/>
      <c r="LZT1289" s="66"/>
      <c r="LZU1289" s="66"/>
      <c r="LZV1289" s="66"/>
      <c r="LZW1289" s="66"/>
      <c r="LZX1289" s="66"/>
      <c r="LZY1289" s="66"/>
      <c r="LZZ1289" s="66"/>
      <c r="MAA1289" s="66"/>
      <c r="MAB1289" s="66"/>
      <c r="MAC1289" s="66"/>
      <c r="MAD1289" s="66"/>
      <c r="MAE1289" s="66"/>
      <c r="MAF1289" s="66"/>
      <c r="MAG1289" s="66"/>
      <c r="MAH1289" s="66"/>
      <c r="MAI1289" s="66"/>
      <c r="MAJ1289" s="66"/>
      <c r="MAK1289" s="66"/>
      <c r="MAL1289" s="66"/>
      <c r="MAM1289" s="66"/>
      <c r="MAN1289" s="66"/>
      <c r="MAO1289" s="66"/>
      <c r="MAP1289" s="66"/>
      <c r="MAQ1289" s="66"/>
      <c r="MAR1289" s="66"/>
      <c r="MAS1289" s="66"/>
      <c r="MAT1289" s="66"/>
      <c r="MAU1289" s="66"/>
      <c r="MAV1289" s="66"/>
      <c r="MAW1289" s="66"/>
      <c r="MAX1289" s="66"/>
      <c r="MAY1289" s="66"/>
      <c r="MAZ1289" s="66"/>
      <c r="MBA1289" s="66"/>
      <c r="MBB1289" s="66"/>
      <c r="MBC1289" s="66"/>
      <c r="MBD1289" s="66"/>
      <c r="MBE1289" s="66"/>
      <c r="MBF1289" s="66"/>
      <c r="MBG1289" s="66"/>
      <c r="MBH1289" s="66"/>
      <c r="MBI1289" s="66"/>
      <c r="MBJ1289" s="66"/>
      <c r="MBK1289" s="66"/>
      <c r="MBL1289" s="66"/>
      <c r="MBM1289" s="66"/>
      <c r="MBN1289" s="66"/>
      <c r="MBO1289" s="66"/>
      <c r="MBP1289" s="66"/>
      <c r="MBQ1289" s="66"/>
      <c r="MBR1289" s="66"/>
      <c r="MBS1289" s="66"/>
      <c r="MBT1289" s="66"/>
      <c r="MBU1289" s="66"/>
      <c r="MBV1289" s="66"/>
      <c r="MBW1289" s="66"/>
      <c r="MBX1289" s="66"/>
      <c r="MBY1289" s="66"/>
      <c r="MBZ1289" s="66"/>
      <c r="MCA1289" s="66"/>
      <c r="MCB1289" s="66"/>
      <c r="MCC1289" s="66"/>
      <c r="MCD1289" s="66"/>
      <c r="MCE1289" s="66"/>
      <c r="MCF1289" s="66"/>
      <c r="MCG1289" s="66"/>
      <c r="MCH1289" s="66"/>
      <c r="MCI1289" s="66"/>
      <c r="MCJ1289" s="66"/>
      <c r="MCK1289" s="66"/>
      <c r="MCL1289" s="66"/>
      <c r="MCM1289" s="66"/>
      <c r="MCN1289" s="66"/>
      <c r="MCO1289" s="66"/>
      <c r="MCP1289" s="66"/>
      <c r="MCQ1289" s="66"/>
      <c r="MCR1289" s="66"/>
      <c r="MCS1289" s="66"/>
      <c r="MCT1289" s="66"/>
      <c r="MCU1289" s="66"/>
      <c r="MCV1289" s="66"/>
      <c r="MCW1289" s="66"/>
      <c r="MCX1289" s="66"/>
      <c r="MCY1289" s="66"/>
      <c r="MCZ1289" s="66"/>
      <c r="MDA1289" s="66"/>
      <c r="MDB1289" s="66"/>
      <c r="MDC1289" s="66"/>
      <c r="MDD1289" s="66"/>
      <c r="MDE1289" s="66"/>
      <c r="MDF1289" s="66"/>
      <c r="MDG1289" s="66"/>
      <c r="MDH1289" s="66"/>
      <c r="MDI1289" s="66"/>
      <c r="MDJ1289" s="66"/>
      <c r="MDK1289" s="66"/>
      <c r="MDL1289" s="66"/>
      <c r="MDM1289" s="66"/>
      <c r="MDN1289" s="66"/>
      <c r="MDO1289" s="66"/>
      <c r="MDP1289" s="66"/>
      <c r="MDQ1289" s="66"/>
      <c r="MDR1289" s="66"/>
      <c r="MDS1289" s="66"/>
      <c r="MDT1289" s="66"/>
      <c r="MDU1289" s="66"/>
      <c r="MDV1289" s="66"/>
      <c r="MDW1289" s="66"/>
      <c r="MDX1289" s="66"/>
      <c r="MDY1289" s="66"/>
      <c r="MDZ1289" s="66"/>
      <c r="MEA1289" s="66"/>
      <c r="MEB1289" s="66"/>
      <c r="MEC1289" s="66"/>
      <c r="MED1289" s="66"/>
      <c r="MEE1289" s="66"/>
      <c r="MEF1289" s="66"/>
      <c r="MEG1289" s="66"/>
      <c r="MEH1289" s="66"/>
      <c r="MEI1289" s="66"/>
      <c r="MEJ1289" s="66"/>
      <c r="MEK1289" s="66"/>
      <c r="MEL1289" s="66"/>
      <c r="MEM1289" s="66"/>
      <c r="MEN1289" s="66"/>
      <c r="MEO1289" s="66"/>
      <c r="MEP1289" s="66"/>
      <c r="MEQ1289" s="66"/>
      <c r="MER1289" s="66"/>
      <c r="MES1289" s="66"/>
      <c r="MET1289" s="66"/>
      <c r="MEU1289" s="66"/>
      <c r="MEV1289" s="66"/>
      <c r="MEW1289" s="66"/>
      <c r="MEX1289" s="66"/>
      <c r="MEY1289" s="66"/>
      <c r="MEZ1289" s="66"/>
      <c r="MFA1289" s="66"/>
      <c r="MFB1289" s="66"/>
      <c r="MFC1289" s="66"/>
      <c r="MFD1289" s="66"/>
      <c r="MFE1289" s="66"/>
      <c r="MFF1289" s="66"/>
      <c r="MFG1289" s="66"/>
      <c r="MFH1289" s="66"/>
      <c r="MFI1289" s="66"/>
      <c r="MFJ1289" s="66"/>
      <c r="MFK1289" s="66"/>
      <c r="MFL1289" s="66"/>
      <c r="MFM1289" s="66"/>
      <c r="MFN1289" s="66"/>
      <c r="MFO1289" s="66"/>
      <c r="MFP1289" s="66"/>
      <c r="MFQ1289" s="66"/>
      <c r="MFR1289" s="66"/>
      <c r="MFS1289" s="66"/>
      <c r="MFT1289" s="66"/>
      <c r="MFU1289" s="66"/>
      <c r="MFV1289" s="66"/>
      <c r="MFW1289" s="66"/>
      <c r="MFX1289" s="66"/>
      <c r="MFY1289" s="66"/>
      <c r="MFZ1289" s="66"/>
      <c r="MGA1289" s="66"/>
      <c r="MGB1289" s="66"/>
      <c r="MGC1289" s="66"/>
      <c r="MGD1289" s="66"/>
      <c r="MGE1289" s="66"/>
      <c r="MGF1289" s="66"/>
      <c r="MGG1289" s="66"/>
      <c r="MGH1289" s="66"/>
      <c r="MGI1289" s="66"/>
      <c r="MGJ1289" s="66"/>
      <c r="MGK1289" s="66"/>
      <c r="MGL1289" s="66"/>
      <c r="MGM1289" s="66"/>
      <c r="MGN1289" s="66"/>
      <c r="MGO1289" s="66"/>
      <c r="MGP1289" s="66"/>
      <c r="MGQ1289" s="66"/>
      <c r="MGR1289" s="66"/>
      <c r="MGS1289" s="66"/>
      <c r="MGT1289" s="66"/>
      <c r="MGU1289" s="66"/>
      <c r="MGV1289" s="66"/>
      <c r="MGW1289" s="66"/>
      <c r="MGX1289" s="66"/>
      <c r="MGY1289" s="66"/>
      <c r="MGZ1289" s="66"/>
      <c r="MHA1289" s="66"/>
      <c r="MHB1289" s="66"/>
      <c r="MHC1289" s="66"/>
      <c r="MHD1289" s="66"/>
      <c r="MHE1289" s="66"/>
      <c r="MHF1289" s="66"/>
      <c r="MHG1289" s="66"/>
      <c r="MHH1289" s="66"/>
      <c r="MHI1289" s="66"/>
      <c r="MHJ1289" s="66"/>
      <c r="MHK1289" s="66"/>
      <c r="MHL1289" s="66"/>
      <c r="MHM1289" s="66"/>
      <c r="MHN1289" s="66"/>
      <c r="MHO1289" s="66"/>
      <c r="MHP1289" s="66"/>
      <c r="MHQ1289" s="66"/>
      <c r="MHR1289" s="66"/>
      <c r="MHS1289" s="66"/>
      <c r="MHT1289" s="66"/>
      <c r="MHU1289" s="66"/>
      <c r="MHV1289" s="66"/>
      <c r="MHW1289" s="66"/>
      <c r="MHX1289" s="66"/>
      <c r="MHY1289" s="66"/>
      <c r="MHZ1289" s="66"/>
      <c r="MIA1289" s="66"/>
      <c r="MIB1289" s="66"/>
      <c r="MIC1289" s="66"/>
      <c r="MID1289" s="66"/>
      <c r="MIE1289" s="66"/>
      <c r="MIF1289" s="66"/>
      <c r="MIG1289" s="66"/>
      <c r="MIH1289" s="66"/>
      <c r="MII1289" s="66"/>
      <c r="MIJ1289" s="66"/>
      <c r="MIK1289" s="66"/>
      <c r="MIL1289" s="66"/>
      <c r="MIM1289" s="66"/>
      <c r="MIN1289" s="66"/>
      <c r="MIO1289" s="66"/>
      <c r="MIP1289" s="66"/>
      <c r="MIQ1289" s="66"/>
      <c r="MIR1289" s="66"/>
      <c r="MIS1289" s="66"/>
      <c r="MIT1289" s="66"/>
      <c r="MIU1289" s="66"/>
      <c r="MIV1289" s="66"/>
      <c r="MIW1289" s="66"/>
      <c r="MIX1289" s="66"/>
      <c r="MIY1289" s="66"/>
      <c r="MIZ1289" s="66"/>
      <c r="MJA1289" s="66"/>
      <c r="MJB1289" s="66"/>
      <c r="MJC1289" s="66"/>
      <c r="MJD1289" s="66"/>
      <c r="MJE1289" s="66"/>
      <c r="MJF1289" s="66"/>
      <c r="MJG1289" s="66"/>
      <c r="MJH1289" s="66"/>
      <c r="MJI1289" s="66"/>
      <c r="MJJ1289" s="66"/>
      <c r="MJK1289" s="66"/>
      <c r="MJL1289" s="66"/>
      <c r="MJM1289" s="66"/>
      <c r="MJN1289" s="66"/>
      <c r="MJO1289" s="66"/>
      <c r="MJP1289" s="66"/>
      <c r="MJQ1289" s="66"/>
      <c r="MJR1289" s="66"/>
      <c r="MJS1289" s="66"/>
      <c r="MJT1289" s="66"/>
      <c r="MJU1289" s="66"/>
      <c r="MJV1289" s="66"/>
      <c r="MJW1289" s="66"/>
      <c r="MJX1289" s="66"/>
      <c r="MJY1289" s="66"/>
      <c r="MJZ1289" s="66"/>
      <c r="MKA1289" s="66"/>
      <c r="MKB1289" s="66"/>
      <c r="MKC1289" s="66"/>
      <c r="MKD1289" s="66"/>
      <c r="MKE1289" s="66"/>
      <c r="MKF1289" s="66"/>
      <c r="MKG1289" s="66"/>
      <c r="MKH1289" s="66"/>
      <c r="MKI1289" s="66"/>
      <c r="MKJ1289" s="66"/>
      <c r="MKK1289" s="66"/>
      <c r="MKL1289" s="66"/>
      <c r="MKM1289" s="66"/>
      <c r="MKN1289" s="66"/>
      <c r="MKO1289" s="66"/>
      <c r="MKP1289" s="66"/>
      <c r="MKQ1289" s="66"/>
      <c r="MKR1289" s="66"/>
      <c r="MKS1289" s="66"/>
      <c r="MKT1289" s="66"/>
      <c r="MKU1289" s="66"/>
      <c r="MKV1289" s="66"/>
      <c r="MKW1289" s="66"/>
      <c r="MKX1289" s="66"/>
      <c r="MKY1289" s="66"/>
      <c r="MKZ1289" s="66"/>
      <c r="MLA1289" s="66"/>
      <c r="MLB1289" s="66"/>
      <c r="MLC1289" s="66"/>
      <c r="MLD1289" s="66"/>
      <c r="MLE1289" s="66"/>
      <c r="MLF1289" s="66"/>
      <c r="MLG1289" s="66"/>
      <c r="MLH1289" s="66"/>
      <c r="MLI1289" s="66"/>
      <c r="MLJ1289" s="66"/>
      <c r="MLK1289" s="66"/>
      <c r="MLL1289" s="66"/>
      <c r="MLM1289" s="66"/>
      <c r="MLN1289" s="66"/>
      <c r="MLO1289" s="66"/>
      <c r="MLP1289" s="66"/>
      <c r="MLQ1289" s="66"/>
      <c r="MLR1289" s="66"/>
      <c r="MLS1289" s="66"/>
      <c r="MLT1289" s="66"/>
      <c r="MLU1289" s="66"/>
      <c r="MLV1289" s="66"/>
      <c r="MLW1289" s="66"/>
      <c r="MLX1289" s="66"/>
      <c r="MLY1289" s="66"/>
      <c r="MLZ1289" s="66"/>
      <c r="MMA1289" s="66"/>
      <c r="MMB1289" s="66"/>
      <c r="MMC1289" s="66"/>
      <c r="MMD1289" s="66"/>
      <c r="MME1289" s="66"/>
      <c r="MMF1289" s="66"/>
      <c r="MMG1289" s="66"/>
      <c r="MMH1289" s="66"/>
      <c r="MMI1289" s="66"/>
      <c r="MMJ1289" s="66"/>
      <c r="MMK1289" s="66"/>
      <c r="MML1289" s="66"/>
      <c r="MMM1289" s="66"/>
      <c r="MMN1289" s="66"/>
      <c r="MMO1289" s="66"/>
      <c r="MMP1289" s="66"/>
      <c r="MMQ1289" s="66"/>
      <c r="MMR1289" s="66"/>
      <c r="MMS1289" s="66"/>
      <c r="MMT1289" s="66"/>
      <c r="MMU1289" s="66"/>
      <c r="MMV1289" s="66"/>
      <c r="MMW1289" s="66"/>
      <c r="MMX1289" s="66"/>
      <c r="MMY1289" s="66"/>
      <c r="MMZ1289" s="66"/>
      <c r="MNA1289" s="66"/>
      <c r="MNB1289" s="66"/>
      <c r="MNC1289" s="66"/>
      <c r="MND1289" s="66"/>
      <c r="MNE1289" s="66"/>
      <c r="MNF1289" s="66"/>
      <c r="MNG1289" s="66"/>
      <c r="MNH1289" s="66"/>
      <c r="MNI1289" s="66"/>
      <c r="MNJ1289" s="66"/>
      <c r="MNK1289" s="66"/>
      <c r="MNL1289" s="66"/>
      <c r="MNM1289" s="66"/>
      <c r="MNN1289" s="66"/>
      <c r="MNO1289" s="66"/>
      <c r="MNP1289" s="66"/>
      <c r="MNQ1289" s="66"/>
      <c r="MNR1289" s="66"/>
      <c r="MNS1289" s="66"/>
      <c r="MNT1289" s="66"/>
      <c r="MNU1289" s="66"/>
      <c r="MNV1289" s="66"/>
      <c r="MNW1289" s="66"/>
      <c r="MNX1289" s="66"/>
      <c r="MNY1289" s="66"/>
      <c r="MNZ1289" s="66"/>
      <c r="MOA1289" s="66"/>
      <c r="MOB1289" s="66"/>
      <c r="MOC1289" s="66"/>
      <c r="MOD1289" s="66"/>
      <c r="MOE1289" s="66"/>
      <c r="MOF1289" s="66"/>
      <c r="MOG1289" s="66"/>
      <c r="MOH1289" s="66"/>
      <c r="MOI1289" s="66"/>
      <c r="MOJ1289" s="66"/>
      <c r="MOK1289" s="66"/>
      <c r="MOL1289" s="66"/>
      <c r="MOM1289" s="66"/>
      <c r="MON1289" s="66"/>
      <c r="MOO1289" s="66"/>
      <c r="MOP1289" s="66"/>
      <c r="MOQ1289" s="66"/>
      <c r="MOR1289" s="66"/>
      <c r="MOS1289" s="66"/>
      <c r="MOT1289" s="66"/>
      <c r="MOU1289" s="66"/>
      <c r="MOV1289" s="66"/>
      <c r="MOW1289" s="66"/>
      <c r="MOX1289" s="66"/>
      <c r="MOY1289" s="66"/>
      <c r="MOZ1289" s="66"/>
      <c r="MPA1289" s="66"/>
      <c r="MPB1289" s="66"/>
      <c r="MPC1289" s="66"/>
      <c r="MPD1289" s="66"/>
      <c r="MPE1289" s="66"/>
      <c r="MPF1289" s="66"/>
      <c r="MPG1289" s="66"/>
      <c r="MPH1289" s="66"/>
      <c r="MPI1289" s="66"/>
      <c r="MPJ1289" s="66"/>
      <c r="MPK1289" s="66"/>
      <c r="MPL1289" s="66"/>
      <c r="MPM1289" s="66"/>
      <c r="MPN1289" s="66"/>
      <c r="MPO1289" s="66"/>
      <c r="MPP1289" s="66"/>
      <c r="MPQ1289" s="66"/>
      <c r="MPR1289" s="66"/>
      <c r="MPS1289" s="66"/>
      <c r="MPT1289" s="66"/>
      <c r="MPU1289" s="66"/>
      <c r="MPV1289" s="66"/>
      <c r="MPW1289" s="66"/>
      <c r="MPX1289" s="66"/>
      <c r="MPY1289" s="66"/>
      <c r="MPZ1289" s="66"/>
      <c r="MQA1289" s="66"/>
      <c r="MQB1289" s="66"/>
      <c r="MQC1289" s="66"/>
      <c r="MQD1289" s="66"/>
      <c r="MQE1289" s="66"/>
      <c r="MQF1289" s="66"/>
      <c r="MQG1289" s="66"/>
      <c r="MQH1289" s="66"/>
      <c r="MQI1289" s="66"/>
      <c r="MQJ1289" s="66"/>
      <c r="MQK1289" s="66"/>
      <c r="MQL1289" s="66"/>
      <c r="MQM1289" s="66"/>
      <c r="MQN1289" s="66"/>
      <c r="MQO1289" s="66"/>
      <c r="MQP1289" s="66"/>
      <c r="MQQ1289" s="66"/>
      <c r="MQR1289" s="66"/>
      <c r="MQS1289" s="66"/>
      <c r="MQT1289" s="66"/>
      <c r="MQU1289" s="66"/>
      <c r="MQV1289" s="66"/>
      <c r="MQW1289" s="66"/>
      <c r="MQX1289" s="66"/>
      <c r="MQY1289" s="66"/>
      <c r="MQZ1289" s="66"/>
      <c r="MRA1289" s="66"/>
      <c r="MRB1289" s="66"/>
      <c r="MRC1289" s="66"/>
      <c r="MRD1289" s="66"/>
      <c r="MRE1289" s="66"/>
      <c r="MRF1289" s="66"/>
      <c r="MRG1289" s="66"/>
      <c r="MRH1289" s="66"/>
      <c r="MRI1289" s="66"/>
      <c r="MRJ1289" s="66"/>
      <c r="MRK1289" s="66"/>
      <c r="MRL1289" s="66"/>
      <c r="MRM1289" s="66"/>
      <c r="MRN1289" s="66"/>
      <c r="MRO1289" s="66"/>
      <c r="MRP1289" s="66"/>
      <c r="MRQ1289" s="66"/>
      <c r="MRR1289" s="66"/>
      <c r="MRS1289" s="66"/>
      <c r="MRT1289" s="66"/>
      <c r="MRU1289" s="66"/>
      <c r="MRV1289" s="66"/>
      <c r="MRW1289" s="66"/>
      <c r="MRX1289" s="66"/>
      <c r="MRY1289" s="66"/>
      <c r="MRZ1289" s="66"/>
      <c r="MSA1289" s="66"/>
      <c r="MSB1289" s="66"/>
      <c r="MSC1289" s="66"/>
      <c r="MSD1289" s="66"/>
      <c r="MSE1289" s="66"/>
      <c r="MSF1289" s="66"/>
      <c r="MSG1289" s="66"/>
      <c r="MSH1289" s="66"/>
      <c r="MSI1289" s="66"/>
      <c r="MSJ1289" s="66"/>
      <c r="MSK1289" s="66"/>
      <c r="MSL1289" s="66"/>
      <c r="MSM1289" s="66"/>
      <c r="MSN1289" s="66"/>
      <c r="MSO1289" s="66"/>
      <c r="MSP1289" s="66"/>
      <c r="MSQ1289" s="66"/>
      <c r="MSR1289" s="66"/>
      <c r="MSS1289" s="66"/>
      <c r="MST1289" s="66"/>
      <c r="MSU1289" s="66"/>
      <c r="MSV1289" s="66"/>
      <c r="MSW1289" s="66"/>
      <c r="MSX1289" s="66"/>
      <c r="MSY1289" s="66"/>
      <c r="MSZ1289" s="66"/>
      <c r="MTA1289" s="66"/>
      <c r="MTB1289" s="66"/>
      <c r="MTC1289" s="66"/>
      <c r="MTD1289" s="66"/>
      <c r="MTE1289" s="66"/>
      <c r="MTF1289" s="66"/>
      <c r="MTG1289" s="66"/>
      <c r="MTH1289" s="66"/>
      <c r="MTI1289" s="66"/>
      <c r="MTJ1289" s="66"/>
      <c r="MTK1289" s="66"/>
      <c r="MTL1289" s="66"/>
      <c r="MTM1289" s="66"/>
      <c r="MTN1289" s="66"/>
      <c r="MTO1289" s="66"/>
      <c r="MTP1289" s="66"/>
      <c r="MTQ1289" s="66"/>
      <c r="MTR1289" s="66"/>
      <c r="MTS1289" s="66"/>
      <c r="MTT1289" s="66"/>
      <c r="MTU1289" s="66"/>
      <c r="MTV1289" s="66"/>
      <c r="MTW1289" s="66"/>
      <c r="MTX1289" s="66"/>
      <c r="MTY1289" s="66"/>
      <c r="MTZ1289" s="66"/>
      <c r="MUA1289" s="66"/>
      <c r="MUB1289" s="66"/>
      <c r="MUC1289" s="66"/>
      <c r="MUD1289" s="66"/>
      <c r="MUE1289" s="66"/>
      <c r="MUF1289" s="66"/>
      <c r="MUG1289" s="66"/>
      <c r="MUH1289" s="66"/>
      <c r="MUI1289" s="66"/>
      <c r="MUJ1289" s="66"/>
      <c r="MUK1289" s="66"/>
      <c r="MUL1289" s="66"/>
      <c r="MUM1289" s="66"/>
      <c r="MUN1289" s="66"/>
      <c r="MUO1289" s="66"/>
      <c r="MUP1289" s="66"/>
      <c r="MUQ1289" s="66"/>
      <c r="MUR1289" s="66"/>
      <c r="MUS1289" s="66"/>
      <c r="MUT1289" s="66"/>
      <c r="MUU1289" s="66"/>
      <c r="MUV1289" s="66"/>
      <c r="MUW1289" s="66"/>
      <c r="MUX1289" s="66"/>
      <c r="MUY1289" s="66"/>
      <c r="MUZ1289" s="66"/>
      <c r="MVA1289" s="66"/>
      <c r="MVB1289" s="66"/>
      <c r="MVC1289" s="66"/>
      <c r="MVD1289" s="66"/>
      <c r="MVE1289" s="66"/>
      <c r="MVF1289" s="66"/>
      <c r="MVG1289" s="66"/>
      <c r="MVH1289" s="66"/>
      <c r="MVI1289" s="66"/>
      <c r="MVJ1289" s="66"/>
      <c r="MVK1289" s="66"/>
      <c r="MVL1289" s="66"/>
      <c r="MVM1289" s="66"/>
      <c r="MVN1289" s="66"/>
      <c r="MVO1289" s="66"/>
      <c r="MVP1289" s="66"/>
      <c r="MVQ1289" s="66"/>
      <c r="MVR1289" s="66"/>
      <c r="MVS1289" s="66"/>
      <c r="MVT1289" s="66"/>
      <c r="MVU1289" s="66"/>
      <c r="MVV1289" s="66"/>
      <c r="MVW1289" s="66"/>
      <c r="MVX1289" s="66"/>
      <c r="MVY1289" s="66"/>
      <c r="MVZ1289" s="66"/>
      <c r="MWA1289" s="66"/>
      <c r="MWB1289" s="66"/>
      <c r="MWC1289" s="66"/>
      <c r="MWD1289" s="66"/>
      <c r="MWE1289" s="66"/>
      <c r="MWF1289" s="66"/>
      <c r="MWG1289" s="66"/>
      <c r="MWH1289" s="66"/>
      <c r="MWI1289" s="66"/>
      <c r="MWJ1289" s="66"/>
      <c r="MWK1289" s="66"/>
      <c r="MWL1289" s="66"/>
      <c r="MWM1289" s="66"/>
      <c r="MWN1289" s="66"/>
      <c r="MWO1289" s="66"/>
      <c r="MWP1289" s="66"/>
      <c r="MWQ1289" s="66"/>
      <c r="MWR1289" s="66"/>
      <c r="MWS1289" s="66"/>
      <c r="MWT1289" s="66"/>
      <c r="MWU1289" s="66"/>
      <c r="MWV1289" s="66"/>
      <c r="MWW1289" s="66"/>
      <c r="MWX1289" s="66"/>
      <c r="MWY1289" s="66"/>
      <c r="MWZ1289" s="66"/>
      <c r="MXA1289" s="66"/>
      <c r="MXB1289" s="66"/>
      <c r="MXC1289" s="66"/>
      <c r="MXD1289" s="66"/>
      <c r="MXE1289" s="66"/>
      <c r="MXF1289" s="66"/>
      <c r="MXG1289" s="66"/>
      <c r="MXH1289" s="66"/>
      <c r="MXI1289" s="66"/>
      <c r="MXJ1289" s="66"/>
      <c r="MXK1289" s="66"/>
      <c r="MXL1289" s="66"/>
      <c r="MXM1289" s="66"/>
      <c r="MXN1289" s="66"/>
      <c r="MXO1289" s="66"/>
      <c r="MXP1289" s="66"/>
      <c r="MXQ1289" s="66"/>
      <c r="MXR1289" s="66"/>
      <c r="MXS1289" s="66"/>
      <c r="MXT1289" s="66"/>
      <c r="MXU1289" s="66"/>
      <c r="MXV1289" s="66"/>
      <c r="MXW1289" s="66"/>
      <c r="MXX1289" s="66"/>
      <c r="MXY1289" s="66"/>
      <c r="MXZ1289" s="66"/>
      <c r="MYA1289" s="66"/>
      <c r="MYB1289" s="66"/>
      <c r="MYC1289" s="66"/>
      <c r="MYD1289" s="66"/>
      <c r="MYE1289" s="66"/>
      <c r="MYF1289" s="66"/>
      <c r="MYG1289" s="66"/>
      <c r="MYH1289" s="66"/>
      <c r="MYI1289" s="66"/>
      <c r="MYJ1289" s="66"/>
      <c r="MYK1289" s="66"/>
      <c r="MYL1289" s="66"/>
      <c r="MYM1289" s="66"/>
      <c r="MYN1289" s="66"/>
      <c r="MYO1289" s="66"/>
      <c r="MYP1289" s="66"/>
      <c r="MYQ1289" s="66"/>
      <c r="MYR1289" s="66"/>
      <c r="MYS1289" s="66"/>
      <c r="MYT1289" s="66"/>
      <c r="MYU1289" s="66"/>
      <c r="MYV1289" s="66"/>
      <c r="MYW1289" s="66"/>
      <c r="MYX1289" s="66"/>
      <c r="MYY1289" s="66"/>
      <c r="MYZ1289" s="66"/>
      <c r="MZA1289" s="66"/>
      <c r="MZB1289" s="66"/>
      <c r="MZC1289" s="66"/>
      <c r="MZD1289" s="66"/>
      <c r="MZE1289" s="66"/>
      <c r="MZF1289" s="66"/>
      <c r="MZG1289" s="66"/>
      <c r="MZH1289" s="66"/>
      <c r="MZI1289" s="66"/>
      <c r="MZJ1289" s="66"/>
      <c r="MZK1289" s="66"/>
      <c r="MZL1289" s="66"/>
      <c r="MZM1289" s="66"/>
      <c r="MZN1289" s="66"/>
      <c r="MZO1289" s="66"/>
      <c r="MZP1289" s="66"/>
      <c r="MZQ1289" s="66"/>
      <c r="MZR1289" s="66"/>
      <c r="MZS1289" s="66"/>
      <c r="MZT1289" s="66"/>
      <c r="MZU1289" s="66"/>
      <c r="MZV1289" s="66"/>
      <c r="MZW1289" s="66"/>
      <c r="MZX1289" s="66"/>
      <c r="MZY1289" s="66"/>
      <c r="MZZ1289" s="66"/>
      <c r="NAA1289" s="66"/>
      <c r="NAB1289" s="66"/>
      <c r="NAC1289" s="66"/>
      <c r="NAD1289" s="66"/>
      <c r="NAE1289" s="66"/>
      <c r="NAF1289" s="66"/>
      <c r="NAG1289" s="66"/>
      <c r="NAH1289" s="66"/>
      <c r="NAI1289" s="66"/>
      <c r="NAJ1289" s="66"/>
      <c r="NAK1289" s="66"/>
      <c r="NAL1289" s="66"/>
      <c r="NAM1289" s="66"/>
      <c r="NAN1289" s="66"/>
      <c r="NAO1289" s="66"/>
      <c r="NAP1289" s="66"/>
      <c r="NAQ1289" s="66"/>
      <c r="NAR1289" s="66"/>
      <c r="NAS1289" s="66"/>
      <c r="NAT1289" s="66"/>
      <c r="NAU1289" s="66"/>
      <c r="NAV1289" s="66"/>
      <c r="NAW1289" s="66"/>
      <c r="NAX1289" s="66"/>
      <c r="NAY1289" s="66"/>
      <c r="NAZ1289" s="66"/>
      <c r="NBA1289" s="66"/>
      <c r="NBB1289" s="66"/>
      <c r="NBC1289" s="66"/>
      <c r="NBD1289" s="66"/>
      <c r="NBE1289" s="66"/>
      <c r="NBF1289" s="66"/>
      <c r="NBG1289" s="66"/>
      <c r="NBH1289" s="66"/>
      <c r="NBI1289" s="66"/>
      <c r="NBJ1289" s="66"/>
      <c r="NBK1289" s="66"/>
      <c r="NBL1289" s="66"/>
      <c r="NBM1289" s="66"/>
      <c r="NBN1289" s="66"/>
      <c r="NBO1289" s="66"/>
      <c r="NBP1289" s="66"/>
      <c r="NBQ1289" s="66"/>
      <c r="NBR1289" s="66"/>
      <c r="NBS1289" s="66"/>
      <c r="NBT1289" s="66"/>
      <c r="NBU1289" s="66"/>
      <c r="NBV1289" s="66"/>
      <c r="NBW1289" s="66"/>
      <c r="NBX1289" s="66"/>
      <c r="NBY1289" s="66"/>
      <c r="NBZ1289" s="66"/>
      <c r="NCA1289" s="66"/>
      <c r="NCB1289" s="66"/>
      <c r="NCC1289" s="66"/>
      <c r="NCD1289" s="66"/>
      <c r="NCE1289" s="66"/>
      <c r="NCF1289" s="66"/>
      <c r="NCG1289" s="66"/>
      <c r="NCH1289" s="66"/>
      <c r="NCI1289" s="66"/>
      <c r="NCJ1289" s="66"/>
      <c r="NCK1289" s="66"/>
      <c r="NCL1289" s="66"/>
      <c r="NCM1289" s="66"/>
      <c r="NCN1289" s="66"/>
      <c r="NCO1289" s="66"/>
      <c r="NCP1289" s="66"/>
      <c r="NCQ1289" s="66"/>
      <c r="NCR1289" s="66"/>
      <c r="NCS1289" s="66"/>
      <c r="NCT1289" s="66"/>
      <c r="NCU1289" s="66"/>
      <c r="NCV1289" s="66"/>
      <c r="NCW1289" s="66"/>
      <c r="NCX1289" s="66"/>
      <c r="NCY1289" s="66"/>
      <c r="NCZ1289" s="66"/>
      <c r="NDA1289" s="66"/>
      <c r="NDB1289" s="66"/>
      <c r="NDC1289" s="66"/>
      <c r="NDD1289" s="66"/>
      <c r="NDE1289" s="66"/>
      <c r="NDF1289" s="66"/>
      <c r="NDG1289" s="66"/>
      <c r="NDH1289" s="66"/>
      <c r="NDI1289" s="66"/>
      <c r="NDJ1289" s="66"/>
      <c r="NDK1289" s="66"/>
      <c r="NDL1289" s="66"/>
      <c r="NDM1289" s="66"/>
      <c r="NDN1289" s="66"/>
      <c r="NDO1289" s="66"/>
      <c r="NDP1289" s="66"/>
      <c r="NDQ1289" s="66"/>
      <c r="NDR1289" s="66"/>
      <c r="NDS1289" s="66"/>
      <c r="NDT1289" s="66"/>
      <c r="NDU1289" s="66"/>
      <c r="NDV1289" s="66"/>
      <c r="NDW1289" s="66"/>
      <c r="NDX1289" s="66"/>
      <c r="NDY1289" s="66"/>
      <c r="NDZ1289" s="66"/>
      <c r="NEA1289" s="66"/>
      <c r="NEB1289" s="66"/>
      <c r="NEC1289" s="66"/>
      <c r="NED1289" s="66"/>
      <c r="NEE1289" s="66"/>
      <c r="NEF1289" s="66"/>
      <c r="NEG1289" s="66"/>
      <c r="NEH1289" s="66"/>
      <c r="NEI1289" s="66"/>
      <c r="NEJ1289" s="66"/>
      <c r="NEK1289" s="66"/>
      <c r="NEL1289" s="66"/>
      <c r="NEM1289" s="66"/>
      <c r="NEN1289" s="66"/>
      <c r="NEO1289" s="66"/>
      <c r="NEP1289" s="66"/>
      <c r="NEQ1289" s="66"/>
      <c r="NER1289" s="66"/>
      <c r="NES1289" s="66"/>
      <c r="NET1289" s="66"/>
      <c r="NEU1289" s="66"/>
      <c r="NEV1289" s="66"/>
      <c r="NEW1289" s="66"/>
      <c r="NEX1289" s="66"/>
      <c r="NEY1289" s="66"/>
      <c r="NEZ1289" s="66"/>
      <c r="NFA1289" s="66"/>
      <c r="NFB1289" s="66"/>
      <c r="NFC1289" s="66"/>
      <c r="NFD1289" s="66"/>
      <c r="NFE1289" s="66"/>
      <c r="NFF1289" s="66"/>
      <c r="NFG1289" s="66"/>
      <c r="NFH1289" s="66"/>
      <c r="NFI1289" s="66"/>
      <c r="NFJ1289" s="66"/>
      <c r="NFK1289" s="66"/>
      <c r="NFL1289" s="66"/>
      <c r="NFM1289" s="66"/>
      <c r="NFN1289" s="66"/>
      <c r="NFO1289" s="66"/>
      <c r="NFP1289" s="66"/>
      <c r="NFQ1289" s="66"/>
      <c r="NFR1289" s="66"/>
      <c r="NFS1289" s="66"/>
      <c r="NFT1289" s="66"/>
      <c r="NFU1289" s="66"/>
      <c r="NFV1289" s="66"/>
      <c r="NFW1289" s="66"/>
      <c r="NFX1289" s="66"/>
      <c r="NFY1289" s="66"/>
      <c r="NFZ1289" s="66"/>
      <c r="NGA1289" s="66"/>
      <c r="NGB1289" s="66"/>
      <c r="NGC1289" s="66"/>
      <c r="NGD1289" s="66"/>
      <c r="NGE1289" s="66"/>
      <c r="NGF1289" s="66"/>
      <c r="NGG1289" s="66"/>
      <c r="NGH1289" s="66"/>
      <c r="NGI1289" s="66"/>
      <c r="NGJ1289" s="66"/>
      <c r="NGK1289" s="66"/>
      <c r="NGL1289" s="66"/>
      <c r="NGM1289" s="66"/>
      <c r="NGN1289" s="66"/>
      <c r="NGO1289" s="66"/>
      <c r="NGP1289" s="66"/>
      <c r="NGQ1289" s="66"/>
      <c r="NGR1289" s="66"/>
      <c r="NGS1289" s="66"/>
      <c r="NGT1289" s="66"/>
      <c r="NGU1289" s="66"/>
      <c r="NGV1289" s="66"/>
      <c r="NGW1289" s="66"/>
      <c r="NGX1289" s="66"/>
      <c r="NGY1289" s="66"/>
      <c r="NGZ1289" s="66"/>
      <c r="NHA1289" s="66"/>
      <c r="NHB1289" s="66"/>
      <c r="NHC1289" s="66"/>
      <c r="NHD1289" s="66"/>
      <c r="NHE1289" s="66"/>
      <c r="NHF1289" s="66"/>
      <c r="NHG1289" s="66"/>
      <c r="NHH1289" s="66"/>
      <c r="NHI1289" s="66"/>
      <c r="NHJ1289" s="66"/>
      <c r="NHK1289" s="66"/>
      <c r="NHL1289" s="66"/>
      <c r="NHM1289" s="66"/>
      <c r="NHN1289" s="66"/>
      <c r="NHO1289" s="66"/>
      <c r="NHP1289" s="66"/>
      <c r="NHQ1289" s="66"/>
      <c r="NHR1289" s="66"/>
      <c r="NHS1289" s="66"/>
      <c r="NHT1289" s="66"/>
      <c r="NHU1289" s="66"/>
      <c r="NHV1289" s="66"/>
      <c r="NHW1289" s="66"/>
      <c r="NHX1289" s="66"/>
      <c r="NHY1289" s="66"/>
      <c r="NHZ1289" s="66"/>
      <c r="NIA1289" s="66"/>
      <c r="NIB1289" s="66"/>
      <c r="NIC1289" s="66"/>
      <c r="NID1289" s="66"/>
      <c r="NIE1289" s="66"/>
      <c r="NIF1289" s="66"/>
      <c r="NIG1289" s="66"/>
      <c r="NIH1289" s="66"/>
      <c r="NII1289" s="66"/>
      <c r="NIJ1289" s="66"/>
      <c r="NIK1289" s="66"/>
      <c r="NIL1289" s="66"/>
      <c r="NIM1289" s="66"/>
      <c r="NIN1289" s="66"/>
      <c r="NIO1289" s="66"/>
      <c r="NIP1289" s="66"/>
      <c r="NIQ1289" s="66"/>
      <c r="NIR1289" s="66"/>
      <c r="NIS1289" s="66"/>
      <c r="NIT1289" s="66"/>
      <c r="NIU1289" s="66"/>
      <c r="NIV1289" s="66"/>
      <c r="NIW1289" s="66"/>
      <c r="NIX1289" s="66"/>
      <c r="NIY1289" s="66"/>
      <c r="NIZ1289" s="66"/>
      <c r="NJA1289" s="66"/>
      <c r="NJB1289" s="66"/>
      <c r="NJC1289" s="66"/>
      <c r="NJD1289" s="66"/>
      <c r="NJE1289" s="66"/>
      <c r="NJF1289" s="66"/>
      <c r="NJG1289" s="66"/>
      <c r="NJH1289" s="66"/>
      <c r="NJI1289" s="66"/>
      <c r="NJJ1289" s="66"/>
      <c r="NJK1289" s="66"/>
      <c r="NJL1289" s="66"/>
      <c r="NJM1289" s="66"/>
      <c r="NJN1289" s="66"/>
      <c r="NJO1289" s="66"/>
      <c r="NJP1289" s="66"/>
      <c r="NJQ1289" s="66"/>
      <c r="NJR1289" s="66"/>
      <c r="NJS1289" s="66"/>
      <c r="NJT1289" s="66"/>
      <c r="NJU1289" s="66"/>
      <c r="NJV1289" s="66"/>
      <c r="NJW1289" s="66"/>
      <c r="NJX1289" s="66"/>
      <c r="NJY1289" s="66"/>
      <c r="NJZ1289" s="66"/>
      <c r="NKA1289" s="66"/>
      <c r="NKB1289" s="66"/>
      <c r="NKC1289" s="66"/>
      <c r="NKD1289" s="66"/>
      <c r="NKE1289" s="66"/>
      <c r="NKF1289" s="66"/>
      <c r="NKG1289" s="66"/>
      <c r="NKH1289" s="66"/>
      <c r="NKI1289" s="66"/>
      <c r="NKJ1289" s="66"/>
      <c r="NKK1289" s="66"/>
      <c r="NKL1289" s="66"/>
      <c r="NKM1289" s="66"/>
      <c r="NKN1289" s="66"/>
      <c r="NKO1289" s="66"/>
      <c r="NKP1289" s="66"/>
      <c r="NKQ1289" s="66"/>
      <c r="NKR1289" s="66"/>
      <c r="NKS1289" s="66"/>
      <c r="NKT1289" s="66"/>
      <c r="NKU1289" s="66"/>
      <c r="NKV1289" s="66"/>
      <c r="NKW1289" s="66"/>
      <c r="NKX1289" s="66"/>
      <c r="NKY1289" s="66"/>
      <c r="NKZ1289" s="66"/>
      <c r="NLA1289" s="66"/>
      <c r="NLB1289" s="66"/>
      <c r="NLC1289" s="66"/>
      <c r="NLD1289" s="66"/>
      <c r="NLE1289" s="66"/>
      <c r="NLF1289" s="66"/>
      <c r="NLG1289" s="66"/>
      <c r="NLH1289" s="66"/>
      <c r="NLI1289" s="66"/>
      <c r="NLJ1289" s="66"/>
      <c r="NLK1289" s="66"/>
      <c r="NLL1289" s="66"/>
      <c r="NLM1289" s="66"/>
      <c r="NLN1289" s="66"/>
      <c r="NLO1289" s="66"/>
      <c r="NLP1289" s="66"/>
      <c r="NLQ1289" s="66"/>
      <c r="NLR1289" s="66"/>
      <c r="NLS1289" s="66"/>
      <c r="NLT1289" s="66"/>
      <c r="NLU1289" s="66"/>
      <c r="NLV1289" s="66"/>
      <c r="NLW1289" s="66"/>
      <c r="NLX1289" s="66"/>
      <c r="NLY1289" s="66"/>
      <c r="NLZ1289" s="66"/>
      <c r="NMA1289" s="66"/>
      <c r="NMB1289" s="66"/>
      <c r="NMC1289" s="66"/>
      <c r="NMD1289" s="66"/>
      <c r="NME1289" s="66"/>
      <c r="NMF1289" s="66"/>
      <c r="NMG1289" s="66"/>
      <c r="NMH1289" s="66"/>
      <c r="NMI1289" s="66"/>
      <c r="NMJ1289" s="66"/>
      <c r="NMK1289" s="66"/>
      <c r="NML1289" s="66"/>
      <c r="NMM1289" s="66"/>
      <c r="NMN1289" s="66"/>
      <c r="NMO1289" s="66"/>
      <c r="NMP1289" s="66"/>
      <c r="NMQ1289" s="66"/>
      <c r="NMR1289" s="66"/>
      <c r="NMS1289" s="66"/>
      <c r="NMT1289" s="66"/>
      <c r="NMU1289" s="66"/>
      <c r="NMV1289" s="66"/>
      <c r="NMW1289" s="66"/>
      <c r="NMX1289" s="66"/>
      <c r="NMY1289" s="66"/>
      <c r="NMZ1289" s="66"/>
      <c r="NNA1289" s="66"/>
      <c r="NNB1289" s="66"/>
      <c r="NNC1289" s="66"/>
      <c r="NND1289" s="66"/>
      <c r="NNE1289" s="66"/>
      <c r="NNF1289" s="66"/>
      <c r="NNG1289" s="66"/>
      <c r="NNH1289" s="66"/>
      <c r="NNI1289" s="66"/>
      <c r="NNJ1289" s="66"/>
      <c r="NNK1289" s="66"/>
      <c r="NNL1289" s="66"/>
      <c r="NNM1289" s="66"/>
      <c r="NNN1289" s="66"/>
      <c r="NNO1289" s="66"/>
      <c r="NNP1289" s="66"/>
      <c r="NNQ1289" s="66"/>
      <c r="NNR1289" s="66"/>
      <c r="NNS1289" s="66"/>
      <c r="NNT1289" s="66"/>
      <c r="NNU1289" s="66"/>
      <c r="NNV1289" s="66"/>
      <c r="NNW1289" s="66"/>
      <c r="NNX1289" s="66"/>
      <c r="NNY1289" s="66"/>
      <c r="NNZ1289" s="66"/>
      <c r="NOA1289" s="66"/>
      <c r="NOB1289" s="66"/>
      <c r="NOC1289" s="66"/>
      <c r="NOD1289" s="66"/>
      <c r="NOE1289" s="66"/>
      <c r="NOF1289" s="66"/>
      <c r="NOG1289" s="66"/>
      <c r="NOH1289" s="66"/>
      <c r="NOI1289" s="66"/>
      <c r="NOJ1289" s="66"/>
      <c r="NOK1289" s="66"/>
      <c r="NOL1289" s="66"/>
      <c r="NOM1289" s="66"/>
      <c r="NON1289" s="66"/>
      <c r="NOO1289" s="66"/>
      <c r="NOP1289" s="66"/>
      <c r="NOQ1289" s="66"/>
      <c r="NOR1289" s="66"/>
      <c r="NOS1289" s="66"/>
      <c r="NOT1289" s="66"/>
      <c r="NOU1289" s="66"/>
      <c r="NOV1289" s="66"/>
      <c r="NOW1289" s="66"/>
      <c r="NOX1289" s="66"/>
      <c r="NOY1289" s="66"/>
      <c r="NOZ1289" s="66"/>
      <c r="NPA1289" s="66"/>
      <c r="NPB1289" s="66"/>
      <c r="NPC1289" s="66"/>
      <c r="NPD1289" s="66"/>
      <c r="NPE1289" s="66"/>
      <c r="NPF1289" s="66"/>
      <c r="NPG1289" s="66"/>
      <c r="NPH1289" s="66"/>
      <c r="NPI1289" s="66"/>
      <c r="NPJ1289" s="66"/>
      <c r="NPK1289" s="66"/>
      <c r="NPL1289" s="66"/>
      <c r="NPM1289" s="66"/>
      <c r="NPN1289" s="66"/>
      <c r="NPO1289" s="66"/>
      <c r="NPP1289" s="66"/>
      <c r="NPQ1289" s="66"/>
      <c r="NPR1289" s="66"/>
      <c r="NPS1289" s="66"/>
      <c r="NPT1289" s="66"/>
      <c r="NPU1289" s="66"/>
      <c r="NPV1289" s="66"/>
      <c r="NPW1289" s="66"/>
      <c r="NPX1289" s="66"/>
      <c r="NPY1289" s="66"/>
      <c r="NPZ1289" s="66"/>
      <c r="NQA1289" s="66"/>
      <c r="NQB1289" s="66"/>
      <c r="NQC1289" s="66"/>
      <c r="NQD1289" s="66"/>
      <c r="NQE1289" s="66"/>
      <c r="NQF1289" s="66"/>
      <c r="NQG1289" s="66"/>
      <c r="NQH1289" s="66"/>
      <c r="NQI1289" s="66"/>
      <c r="NQJ1289" s="66"/>
      <c r="NQK1289" s="66"/>
      <c r="NQL1289" s="66"/>
      <c r="NQM1289" s="66"/>
      <c r="NQN1289" s="66"/>
      <c r="NQO1289" s="66"/>
      <c r="NQP1289" s="66"/>
      <c r="NQQ1289" s="66"/>
      <c r="NQR1289" s="66"/>
      <c r="NQS1289" s="66"/>
      <c r="NQT1289" s="66"/>
      <c r="NQU1289" s="66"/>
      <c r="NQV1289" s="66"/>
      <c r="NQW1289" s="66"/>
      <c r="NQX1289" s="66"/>
      <c r="NQY1289" s="66"/>
      <c r="NQZ1289" s="66"/>
      <c r="NRA1289" s="66"/>
      <c r="NRB1289" s="66"/>
      <c r="NRC1289" s="66"/>
      <c r="NRD1289" s="66"/>
      <c r="NRE1289" s="66"/>
      <c r="NRF1289" s="66"/>
      <c r="NRG1289" s="66"/>
      <c r="NRH1289" s="66"/>
      <c r="NRI1289" s="66"/>
      <c r="NRJ1289" s="66"/>
      <c r="NRK1289" s="66"/>
      <c r="NRL1289" s="66"/>
      <c r="NRM1289" s="66"/>
      <c r="NRN1289" s="66"/>
      <c r="NRO1289" s="66"/>
      <c r="NRP1289" s="66"/>
      <c r="NRQ1289" s="66"/>
      <c r="NRR1289" s="66"/>
      <c r="NRS1289" s="66"/>
      <c r="NRT1289" s="66"/>
      <c r="NRU1289" s="66"/>
      <c r="NRV1289" s="66"/>
      <c r="NRW1289" s="66"/>
      <c r="NRX1289" s="66"/>
      <c r="NRY1289" s="66"/>
      <c r="NRZ1289" s="66"/>
      <c r="NSA1289" s="66"/>
      <c r="NSB1289" s="66"/>
      <c r="NSC1289" s="66"/>
      <c r="NSD1289" s="66"/>
      <c r="NSE1289" s="66"/>
      <c r="NSF1289" s="66"/>
      <c r="NSG1289" s="66"/>
      <c r="NSH1289" s="66"/>
      <c r="NSI1289" s="66"/>
      <c r="NSJ1289" s="66"/>
      <c r="NSK1289" s="66"/>
      <c r="NSL1289" s="66"/>
      <c r="NSM1289" s="66"/>
      <c r="NSN1289" s="66"/>
      <c r="NSO1289" s="66"/>
      <c r="NSP1289" s="66"/>
      <c r="NSQ1289" s="66"/>
      <c r="NSR1289" s="66"/>
      <c r="NSS1289" s="66"/>
      <c r="NST1289" s="66"/>
      <c r="NSU1289" s="66"/>
      <c r="NSV1289" s="66"/>
      <c r="NSW1289" s="66"/>
      <c r="NSX1289" s="66"/>
      <c r="NSY1289" s="66"/>
      <c r="NSZ1289" s="66"/>
      <c r="NTA1289" s="66"/>
      <c r="NTB1289" s="66"/>
      <c r="NTC1289" s="66"/>
      <c r="NTD1289" s="66"/>
      <c r="NTE1289" s="66"/>
      <c r="NTF1289" s="66"/>
      <c r="NTG1289" s="66"/>
      <c r="NTH1289" s="66"/>
      <c r="NTI1289" s="66"/>
      <c r="NTJ1289" s="66"/>
      <c r="NTK1289" s="66"/>
      <c r="NTL1289" s="66"/>
      <c r="NTM1289" s="66"/>
      <c r="NTN1289" s="66"/>
      <c r="NTO1289" s="66"/>
      <c r="NTP1289" s="66"/>
      <c r="NTQ1289" s="66"/>
      <c r="NTR1289" s="66"/>
      <c r="NTS1289" s="66"/>
      <c r="NTT1289" s="66"/>
      <c r="NTU1289" s="66"/>
      <c r="NTV1289" s="66"/>
      <c r="NTW1289" s="66"/>
      <c r="NTX1289" s="66"/>
      <c r="NTY1289" s="66"/>
      <c r="NTZ1289" s="66"/>
      <c r="NUA1289" s="66"/>
      <c r="NUB1289" s="66"/>
      <c r="NUC1289" s="66"/>
      <c r="NUD1289" s="66"/>
      <c r="NUE1289" s="66"/>
      <c r="NUF1289" s="66"/>
      <c r="NUG1289" s="66"/>
      <c r="NUH1289" s="66"/>
      <c r="NUI1289" s="66"/>
      <c r="NUJ1289" s="66"/>
      <c r="NUK1289" s="66"/>
      <c r="NUL1289" s="66"/>
      <c r="NUM1289" s="66"/>
      <c r="NUN1289" s="66"/>
      <c r="NUO1289" s="66"/>
      <c r="NUP1289" s="66"/>
      <c r="NUQ1289" s="66"/>
      <c r="NUR1289" s="66"/>
      <c r="NUS1289" s="66"/>
      <c r="NUT1289" s="66"/>
      <c r="NUU1289" s="66"/>
      <c r="NUV1289" s="66"/>
      <c r="NUW1289" s="66"/>
      <c r="NUX1289" s="66"/>
      <c r="NUY1289" s="66"/>
      <c r="NUZ1289" s="66"/>
      <c r="NVA1289" s="66"/>
      <c r="NVB1289" s="66"/>
      <c r="NVC1289" s="66"/>
      <c r="NVD1289" s="66"/>
      <c r="NVE1289" s="66"/>
      <c r="NVF1289" s="66"/>
      <c r="NVG1289" s="66"/>
      <c r="NVH1289" s="66"/>
      <c r="NVI1289" s="66"/>
      <c r="NVJ1289" s="66"/>
      <c r="NVK1289" s="66"/>
      <c r="NVL1289" s="66"/>
      <c r="NVM1289" s="66"/>
      <c r="NVN1289" s="66"/>
      <c r="NVO1289" s="66"/>
      <c r="NVP1289" s="66"/>
      <c r="NVQ1289" s="66"/>
      <c r="NVR1289" s="66"/>
      <c r="NVS1289" s="66"/>
      <c r="NVT1289" s="66"/>
      <c r="NVU1289" s="66"/>
      <c r="NVV1289" s="66"/>
      <c r="NVW1289" s="66"/>
      <c r="NVX1289" s="66"/>
      <c r="NVY1289" s="66"/>
      <c r="NVZ1289" s="66"/>
      <c r="NWA1289" s="66"/>
      <c r="NWB1289" s="66"/>
      <c r="NWC1289" s="66"/>
      <c r="NWD1289" s="66"/>
      <c r="NWE1289" s="66"/>
      <c r="NWF1289" s="66"/>
      <c r="NWG1289" s="66"/>
      <c r="NWH1289" s="66"/>
      <c r="NWI1289" s="66"/>
      <c r="NWJ1289" s="66"/>
      <c r="NWK1289" s="66"/>
      <c r="NWL1289" s="66"/>
      <c r="NWM1289" s="66"/>
      <c r="NWN1289" s="66"/>
      <c r="NWO1289" s="66"/>
      <c r="NWP1289" s="66"/>
      <c r="NWQ1289" s="66"/>
      <c r="NWR1289" s="66"/>
      <c r="NWS1289" s="66"/>
      <c r="NWT1289" s="66"/>
      <c r="NWU1289" s="66"/>
      <c r="NWV1289" s="66"/>
      <c r="NWW1289" s="66"/>
      <c r="NWX1289" s="66"/>
      <c r="NWY1289" s="66"/>
      <c r="NWZ1289" s="66"/>
      <c r="NXA1289" s="66"/>
      <c r="NXB1289" s="66"/>
      <c r="NXC1289" s="66"/>
      <c r="NXD1289" s="66"/>
      <c r="NXE1289" s="66"/>
      <c r="NXF1289" s="66"/>
      <c r="NXG1289" s="66"/>
      <c r="NXH1289" s="66"/>
      <c r="NXI1289" s="66"/>
      <c r="NXJ1289" s="66"/>
      <c r="NXK1289" s="66"/>
      <c r="NXL1289" s="66"/>
      <c r="NXM1289" s="66"/>
      <c r="NXN1289" s="66"/>
      <c r="NXO1289" s="66"/>
      <c r="NXP1289" s="66"/>
      <c r="NXQ1289" s="66"/>
      <c r="NXR1289" s="66"/>
      <c r="NXS1289" s="66"/>
      <c r="NXT1289" s="66"/>
      <c r="NXU1289" s="66"/>
      <c r="NXV1289" s="66"/>
      <c r="NXW1289" s="66"/>
      <c r="NXX1289" s="66"/>
      <c r="NXY1289" s="66"/>
      <c r="NXZ1289" s="66"/>
      <c r="NYA1289" s="66"/>
      <c r="NYB1289" s="66"/>
      <c r="NYC1289" s="66"/>
      <c r="NYD1289" s="66"/>
      <c r="NYE1289" s="66"/>
      <c r="NYF1289" s="66"/>
      <c r="NYG1289" s="66"/>
      <c r="NYH1289" s="66"/>
      <c r="NYI1289" s="66"/>
      <c r="NYJ1289" s="66"/>
      <c r="NYK1289" s="66"/>
      <c r="NYL1289" s="66"/>
      <c r="NYM1289" s="66"/>
      <c r="NYN1289" s="66"/>
      <c r="NYO1289" s="66"/>
      <c r="NYP1289" s="66"/>
      <c r="NYQ1289" s="66"/>
      <c r="NYR1289" s="66"/>
      <c r="NYS1289" s="66"/>
      <c r="NYT1289" s="66"/>
      <c r="NYU1289" s="66"/>
      <c r="NYV1289" s="66"/>
      <c r="NYW1289" s="66"/>
      <c r="NYX1289" s="66"/>
      <c r="NYY1289" s="66"/>
      <c r="NYZ1289" s="66"/>
      <c r="NZA1289" s="66"/>
      <c r="NZB1289" s="66"/>
      <c r="NZC1289" s="66"/>
      <c r="NZD1289" s="66"/>
      <c r="NZE1289" s="66"/>
      <c r="NZF1289" s="66"/>
      <c r="NZG1289" s="66"/>
      <c r="NZH1289" s="66"/>
      <c r="NZI1289" s="66"/>
      <c r="NZJ1289" s="66"/>
      <c r="NZK1289" s="66"/>
      <c r="NZL1289" s="66"/>
      <c r="NZM1289" s="66"/>
      <c r="NZN1289" s="66"/>
      <c r="NZO1289" s="66"/>
      <c r="NZP1289" s="66"/>
      <c r="NZQ1289" s="66"/>
      <c r="NZR1289" s="66"/>
      <c r="NZS1289" s="66"/>
      <c r="NZT1289" s="66"/>
      <c r="NZU1289" s="66"/>
      <c r="NZV1289" s="66"/>
      <c r="NZW1289" s="66"/>
      <c r="NZX1289" s="66"/>
      <c r="NZY1289" s="66"/>
      <c r="NZZ1289" s="66"/>
      <c r="OAA1289" s="66"/>
      <c r="OAB1289" s="66"/>
      <c r="OAC1289" s="66"/>
      <c r="OAD1289" s="66"/>
      <c r="OAE1289" s="66"/>
      <c r="OAF1289" s="66"/>
      <c r="OAG1289" s="66"/>
      <c r="OAH1289" s="66"/>
      <c r="OAI1289" s="66"/>
      <c r="OAJ1289" s="66"/>
      <c r="OAK1289" s="66"/>
      <c r="OAL1289" s="66"/>
      <c r="OAM1289" s="66"/>
      <c r="OAN1289" s="66"/>
      <c r="OAO1289" s="66"/>
      <c r="OAP1289" s="66"/>
      <c r="OAQ1289" s="66"/>
      <c r="OAR1289" s="66"/>
      <c r="OAS1289" s="66"/>
      <c r="OAT1289" s="66"/>
      <c r="OAU1289" s="66"/>
      <c r="OAV1289" s="66"/>
      <c r="OAW1289" s="66"/>
      <c r="OAX1289" s="66"/>
      <c r="OAY1289" s="66"/>
      <c r="OAZ1289" s="66"/>
      <c r="OBA1289" s="66"/>
      <c r="OBB1289" s="66"/>
      <c r="OBC1289" s="66"/>
      <c r="OBD1289" s="66"/>
      <c r="OBE1289" s="66"/>
      <c r="OBF1289" s="66"/>
      <c r="OBG1289" s="66"/>
      <c r="OBH1289" s="66"/>
      <c r="OBI1289" s="66"/>
      <c r="OBJ1289" s="66"/>
      <c r="OBK1289" s="66"/>
      <c r="OBL1289" s="66"/>
      <c r="OBM1289" s="66"/>
      <c r="OBN1289" s="66"/>
      <c r="OBO1289" s="66"/>
      <c r="OBP1289" s="66"/>
      <c r="OBQ1289" s="66"/>
      <c r="OBR1289" s="66"/>
      <c r="OBS1289" s="66"/>
      <c r="OBT1289" s="66"/>
      <c r="OBU1289" s="66"/>
      <c r="OBV1289" s="66"/>
      <c r="OBW1289" s="66"/>
      <c r="OBX1289" s="66"/>
      <c r="OBY1289" s="66"/>
      <c r="OBZ1289" s="66"/>
      <c r="OCA1289" s="66"/>
      <c r="OCB1289" s="66"/>
      <c r="OCC1289" s="66"/>
      <c r="OCD1289" s="66"/>
      <c r="OCE1289" s="66"/>
      <c r="OCF1289" s="66"/>
      <c r="OCG1289" s="66"/>
      <c r="OCH1289" s="66"/>
      <c r="OCI1289" s="66"/>
      <c r="OCJ1289" s="66"/>
      <c r="OCK1289" s="66"/>
      <c r="OCL1289" s="66"/>
      <c r="OCM1289" s="66"/>
      <c r="OCN1289" s="66"/>
      <c r="OCO1289" s="66"/>
      <c r="OCP1289" s="66"/>
      <c r="OCQ1289" s="66"/>
      <c r="OCR1289" s="66"/>
      <c r="OCS1289" s="66"/>
      <c r="OCT1289" s="66"/>
      <c r="OCU1289" s="66"/>
      <c r="OCV1289" s="66"/>
      <c r="OCW1289" s="66"/>
      <c r="OCX1289" s="66"/>
      <c r="OCY1289" s="66"/>
      <c r="OCZ1289" s="66"/>
      <c r="ODA1289" s="66"/>
      <c r="ODB1289" s="66"/>
      <c r="ODC1289" s="66"/>
      <c r="ODD1289" s="66"/>
      <c r="ODE1289" s="66"/>
      <c r="ODF1289" s="66"/>
      <c r="ODG1289" s="66"/>
      <c r="ODH1289" s="66"/>
      <c r="ODI1289" s="66"/>
      <c r="ODJ1289" s="66"/>
      <c r="ODK1289" s="66"/>
      <c r="ODL1289" s="66"/>
      <c r="ODM1289" s="66"/>
      <c r="ODN1289" s="66"/>
      <c r="ODO1289" s="66"/>
      <c r="ODP1289" s="66"/>
      <c r="ODQ1289" s="66"/>
      <c r="ODR1289" s="66"/>
      <c r="ODS1289" s="66"/>
      <c r="ODT1289" s="66"/>
      <c r="ODU1289" s="66"/>
      <c r="ODV1289" s="66"/>
      <c r="ODW1289" s="66"/>
      <c r="ODX1289" s="66"/>
      <c r="ODY1289" s="66"/>
      <c r="ODZ1289" s="66"/>
      <c r="OEA1289" s="66"/>
      <c r="OEB1289" s="66"/>
      <c r="OEC1289" s="66"/>
      <c r="OED1289" s="66"/>
      <c r="OEE1289" s="66"/>
      <c r="OEF1289" s="66"/>
      <c r="OEG1289" s="66"/>
      <c r="OEH1289" s="66"/>
      <c r="OEI1289" s="66"/>
      <c r="OEJ1289" s="66"/>
      <c r="OEK1289" s="66"/>
      <c r="OEL1289" s="66"/>
      <c r="OEM1289" s="66"/>
      <c r="OEN1289" s="66"/>
      <c r="OEO1289" s="66"/>
      <c r="OEP1289" s="66"/>
      <c r="OEQ1289" s="66"/>
      <c r="OER1289" s="66"/>
      <c r="OES1289" s="66"/>
      <c r="OET1289" s="66"/>
      <c r="OEU1289" s="66"/>
      <c r="OEV1289" s="66"/>
      <c r="OEW1289" s="66"/>
      <c r="OEX1289" s="66"/>
      <c r="OEY1289" s="66"/>
      <c r="OEZ1289" s="66"/>
      <c r="OFA1289" s="66"/>
      <c r="OFB1289" s="66"/>
      <c r="OFC1289" s="66"/>
      <c r="OFD1289" s="66"/>
      <c r="OFE1289" s="66"/>
      <c r="OFF1289" s="66"/>
      <c r="OFG1289" s="66"/>
      <c r="OFH1289" s="66"/>
      <c r="OFI1289" s="66"/>
      <c r="OFJ1289" s="66"/>
      <c r="OFK1289" s="66"/>
      <c r="OFL1289" s="66"/>
      <c r="OFM1289" s="66"/>
      <c r="OFN1289" s="66"/>
      <c r="OFO1289" s="66"/>
      <c r="OFP1289" s="66"/>
      <c r="OFQ1289" s="66"/>
      <c r="OFR1289" s="66"/>
      <c r="OFS1289" s="66"/>
      <c r="OFT1289" s="66"/>
      <c r="OFU1289" s="66"/>
      <c r="OFV1289" s="66"/>
      <c r="OFW1289" s="66"/>
      <c r="OFX1289" s="66"/>
      <c r="OFY1289" s="66"/>
      <c r="OFZ1289" s="66"/>
      <c r="OGA1289" s="66"/>
      <c r="OGB1289" s="66"/>
      <c r="OGC1289" s="66"/>
      <c r="OGD1289" s="66"/>
      <c r="OGE1289" s="66"/>
      <c r="OGF1289" s="66"/>
      <c r="OGG1289" s="66"/>
      <c r="OGH1289" s="66"/>
      <c r="OGI1289" s="66"/>
      <c r="OGJ1289" s="66"/>
      <c r="OGK1289" s="66"/>
      <c r="OGL1289" s="66"/>
      <c r="OGM1289" s="66"/>
      <c r="OGN1289" s="66"/>
      <c r="OGO1289" s="66"/>
      <c r="OGP1289" s="66"/>
      <c r="OGQ1289" s="66"/>
      <c r="OGR1289" s="66"/>
      <c r="OGS1289" s="66"/>
      <c r="OGT1289" s="66"/>
      <c r="OGU1289" s="66"/>
      <c r="OGV1289" s="66"/>
      <c r="OGW1289" s="66"/>
      <c r="OGX1289" s="66"/>
      <c r="OGY1289" s="66"/>
      <c r="OGZ1289" s="66"/>
      <c r="OHA1289" s="66"/>
      <c r="OHB1289" s="66"/>
      <c r="OHC1289" s="66"/>
      <c r="OHD1289" s="66"/>
      <c r="OHE1289" s="66"/>
      <c r="OHF1289" s="66"/>
      <c r="OHG1289" s="66"/>
      <c r="OHH1289" s="66"/>
      <c r="OHI1289" s="66"/>
      <c r="OHJ1289" s="66"/>
      <c r="OHK1289" s="66"/>
      <c r="OHL1289" s="66"/>
      <c r="OHM1289" s="66"/>
      <c r="OHN1289" s="66"/>
      <c r="OHO1289" s="66"/>
      <c r="OHP1289" s="66"/>
      <c r="OHQ1289" s="66"/>
      <c r="OHR1289" s="66"/>
      <c r="OHS1289" s="66"/>
      <c r="OHT1289" s="66"/>
      <c r="OHU1289" s="66"/>
      <c r="OHV1289" s="66"/>
      <c r="OHW1289" s="66"/>
      <c r="OHX1289" s="66"/>
      <c r="OHY1289" s="66"/>
      <c r="OHZ1289" s="66"/>
      <c r="OIA1289" s="66"/>
      <c r="OIB1289" s="66"/>
      <c r="OIC1289" s="66"/>
      <c r="OID1289" s="66"/>
      <c r="OIE1289" s="66"/>
      <c r="OIF1289" s="66"/>
      <c r="OIG1289" s="66"/>
      <c r="OIH1289" s="66"/>
      <c r="OII1289" s="66"/>
      <c r="OIJ1289" s="66"/>
      <c r="OIK1289" s="66"/>
      <c r="OIL1289" s="66"/>
      <c r="OIM1289" s="66"/>
      <c r="OIN1289" s="66"/>
      <c r="OIO1289" s="66"/>
      <c r="OIP1289" s="66"/>
      <c r="OIQ1289" s="66"/>
      <c r="OIR1289" s="66"/>
      <c r="OIS1289" s="66"/>
      <c r="OIT1289" s="66"/>
      <c r="OIU1289" s="66"/>
      <c r="OIV1289" s="66"/>
      <c r="OIW1289" s="66"/>
      <c r="OIX1289" s="66"/>
      <c r="OIY1289" s="66"/>
      <c r="OIZ1289" s="66"/>
      <c r="OJA1289" s="66"/>
      <c r="OJB1289" s="66"/>
      <c r="OJC1289" s="66"/>
      <c r="OJD1289" s="66"/>
      <c r="OJE1289" s="66"/>
      <c r="OJF1289" s="66"/>
      <c r="OJG1289" s="66"/>
      <c r="OJH1289" s="66"/>
      <c r="OJI1289" s="66"/>
      <c r="OJJ1289" s="66"/>
      <c r="OJK1289" s="66"/>
      <c r="OJL1289" s="66"/>
      <c r="OJM1289" s="66"/>
      <c r="OJN1289" s="66"/>
      <c r="OJO1289" s="66"/>
      <c r="OJP1289" s="66"/>
      <c r="OJQ1289" s="66"/>
      <c r="OJR1289" s="66"/>
      <c r="OJS1289" s="66"/>
      <c r="OJT1289" s="66"/>
      <c r="OJU1289" s="66"/>
      <c r="OJV1289" s="66"/>
      <c r="OJW1289" s="66"/>
      <c r="OJX1289" s="66"/>
      <c r="OJY1289" s="66"/>
      <c r="OJZ1289" s="66"/>
      <c r="OKA1289" s="66"/>
      <c r="OKB1289" s="66"/>
      <c r="OKC1289" s="66"/>
      <c r="OKD1289" s="66"/>
      <c r="OKE1289" s="66"/>
      <c r="OKF1289" s="66"/>
      <c r="OKG1289" s="66"/>
      <c r="OKH1289" s="66"/>
      <c r="OKI1289" s="66"/>
      <c r="OKJ1289" s="66"/>
      <c r="OKK1289" s="66"/>
      <c r="OKL1289" s="66"/>
      <c r="OKM1289" s="66"/>
      <c r="OKN1289" s="66"/>
      <c r="OKO1289" s="66"/>
      <c r="OKP1289" s="66"/>
      <c r="OKQ1289" s="66"/>
      <c r="OKR1289" s="66"/>
      <c r="OKS1289" s="66"/>
      <c r="OKT1289" s="66"/>
      <c r="OKU1289" s="66"/>
      <c r="OKV1289" s="66"/>
      <c r="OKW1289" s="66"/>
      <c r="OKX1289" s="66"/>
      <c r="OKY1289" s="66"/>
      <c r="OKZ1289" s="66"/>
      <c r="OLA1289" s="66"/>
      <c r="OLB1289" s="66"/>
      <c r="OLC1289" s="66"/>
      <c r="OLD1289" s="66"/>
      <c r="OLE1289" s="66"/>
      <c r="OLF1289" s="66"/>
      <c r="OLG1289" s="66"/>
      <c r="OLH1289" s="66"/>
      <c r="OLI1289" s="66"/>
      <c r="OLJ1289" s="66"/>
      <c r="OLK1289" s="66"/>
      <c r="OLL1289" s="66"/>
      <c r="OLM1289" s="66"/>
      <c r="OLN1289" s="66"/>
      <c r="OLO1289" s="66"/>
      <c r="OLP1289" s="66"/>
      <c r="OLQ1289" s="66"/>
      <c r="OLR1289" s="66"/>
      <c r="OLS1289" s="66"/>
      <c r="OLT1289" s="66"/>
      <c r="OLU1289" s="66"/>
      <c r="OLV1289" s="66"/>
      <c r="OLW1289" s="66"/>
      <c r="OLX1289" s="66"/>
      <c r="OLY1289" s="66"/>
      <c r="OLZ1289" s="66"/>
      <c r="OMA1289" s="66"/>
      <c r="OMB1289" s="66"/>
      <c r="OMC1289" s="66"/>
      <c r="OMD1289" s="66"/>
      <c r="OME1289" s="66"/>
      <c r="OMF1289" s="66"/>
      <c r="OMG1289" s="66"/>
      <c r="OMH1289" s="66"/>
      <c r="OMI1289" s="66"/>
      <c r="OMJ1289" s="66"/>
      <c r="OMK1289" s="66"/>
      <c r="OML1289" s="66"/>
      <c r="OMM1289" s="66"/>
      <c r="OMN1289" s="66"/>
      <c r="OMO1289" s="66"/>
      <c r="OMP1289" s="66"/>
      <c r="OMQ1289" s="66"/>
      <c r="OMR1289" s="66"/>
      <c r="OMS1289" s="66"/>
      <c r="OMT1289" s="66"/>
      <c r="OMU1289" s="66"/>
      <c r="OMV1289" s="66"/>
      <c r="OMW1289" s="66"/>
      <c r="OMX1289" s="66"/>
      <c r="OMY1289" s="66"/>
      <c r="OMZ1289" s="66"/>
      <c r="ONA1289" s="66"/>
      <c r="ONB1289" s="66"/>
      <c r="ONC1289" s="66"/>
      <c r="OND1289" s="66"/>
      <c r="ONE1289" s="66"/>
      <c r="ONF1289" s="66"/>
      <c r="ONG1289" s="66"/>
      <c r="ONH1289" s="66"/>
      <c r="ONI1289" s="66"/>
      <c r="ONJ1289" s="66"/>
      <c r="ONK1289" s="66"/>
      <c r="ONL1289" s="66"/>
      <c r="ONM1289" s="66"/>
      <c r="ONN1289" s="66"/>
      <c r="ONO1289" s="66"/>
      <c r="ONP1289" s="66"/>
      <c r="ONQ1289" s="66"/>
      <c r="ONR1289" s="66"/>
      <c r="ONS1289" s="66"/>
      <c r="ONT1289" s="66"/>
      <c r="ONU1289" s="66"/>
      <c r="ONV1289" s="66"/>
      <c r="ONW1289" s="66"/>
      <c r="ONX1289" s="66"/>
      <c r="ONY1289" s="66"/>
      <c r="ONZ1289" s="66"/>
      <c r="OOA1289" s="66"/>
      <c r="OOB1289" s="66"/>
      <c r="OOC1289" s="66"/>
      <c r="OOD1289" s="66"/>
      <c r="OOE1289" s="66"/>
      <c r="OOF1289" s="66"/>
      <c r="OOG1289" s="66"/>
      <c r="OOH1289" s="66"/>
      <c r="OOI1289" s="66"/>
      <c r="OOJ1289" s="66"/>
      <c r="OOK1289" s="66"/>
      <c r="OOL1289" s="66"/>
      <c r="OOM1289" s="66"/>
      <c r="OON1289" s="66"/>
      <c r="OOO1289" s="66"/>
      <c r="OOP1289" s="66"/>
      <c r="OOQ1289" s="66"/>
      <c r="OOR1289" s="66"/>
      <c r="OOS1289" s="66"/>
      <c r="OOT1289" s="66"/>
      <c r="OOU1289" s="66"/>
      <c r="OOV1289" s="66"/>
      <c r="OOW1289" s="66"/>
      <c r="OOX1289" s="66"/>
      <c r="OOY1289" s="66"/>
      <c r="OOZ1289" s="66"/>
      <c r="OPA1289" s="66"/>
      <c r="OPB1289" s="66"/>
      <c r="OPC1289" s="66"/>
      <c r="OPD1289" s="66"/>
      <c r="OPE1289" s="66"/>
      <c r="OPF1289" s="66"/>
      <c r="OPG1289" s="66"/>
      <c r="OPH1289" s="66"/>
      <c r="OPI1289" s="66"/>
      <c r="OPJ1289" s="66"/>
      <c r="OPK1289" s="66"/>
      <c r="OPL1289" s="66"/>
      <c r="OPM1289" s="66"/>
      <c r="OPN1289" s="66"/>
      <c r="OPO1289" s="66"/>
      <c r="OPP1289" s="66"/>
      <c r="OPQ1289" s="66"/>
      <c r="OPR1289" s="66"/>
      <c r="OPS1289" s="66"/>
      <c r="OPT1289" s="66"/>
      <c r="OPU1289" s="66"/>
      <c r="OPV1289" s="66"/>
      <c r="OPW1289" s="66"/>
      <c r="OPX1289" s="66"/>
      <c r="OPY1289" s="66"/>
      <c r="OPZ1289" s="66"/>
      <c r="OQA1289" s="66"/>
      <c r="OQB1289" s="66"/>
      <c r="OQC1289" s="66"/>
      <c r="OQD1289" s="66"/>
      <c r="OQE1289" s="66"/>
      <c r="OQF1289" s="66"/>
      <c r="OQG1289" s="66"/>
      <c r="OQH1289" s="66"/>
      <c r="OQI1289" s="66"/>
      <c r="OQJ1289" s="66"/>
      <c r="OQK1289" s="66"/>
      <c r="OQL1289" s="66"/>
      <c r="OQM1289" s="66"/>
      <c r="OQN1289" s="66"/>
      <c r="OQO1289" s="66"/>
      <c r="OQP1289" s="66"/>
      <c r="OQQ1289" s="66"/>
      <c r="OQR1289" s="66"/>
      <c r="OQS1289" s="66"/>
      <c r="OQT1289" s="66"/>
      <c r="OQU1289" s="66"/>
      <c r="OQV1289" s="66"/>
      <c r="OQW1289" s="66"/>
      <c r="OQX1289" s="66"/>
      <c r="OQY1289" s="66"/>
      <c r="OQZ1289" s="66"/>
      <c r="ORA1289" s="66"/>
      <c r="ORB1289" s="66"/>
      <c r="ORC1289" s="66"/>
      <c r="ORD1289" s="66"/>
      <c r="ORE1289" s="66"/>
      <c r="ORF1289" s="66"/>
      <c r="ORG1289" s="66"/>
      <c r="ORH1289" s="66"/>
      <c r="ORI1289" s="66"/>
      <c r="ORJ1289" s="66"/>
      <c r="ORK1289" s="66"/>
      <c r="ORL1289" s="66"/>
      <c r="ORM1289" s="66"/>
      <c r="ORN1289" s="66"/>
      <c r="ORO1289" s="66"/>
      <c r="ORP1289" s="66"/>
      <c r="ORQ1289" s="66"/>
      <c r="ORR1289" s="66"/>
      <c r="ORS1289" s="66"/>
      <c r="ORT1289" s="66"/>
      <c r="ORU1289" s="66"/>
      <c r="ORV1289" s="66"/>
      <c r="ORW1289" s="66"/>
      <c r="ORX1289" s="66"/>
      <c r="ORY1289" s="66"/>
      <c r="ORZ1289" s="66"/>
      <c r="OSA1289" s="66"/>
      <c r="OSB1289" s="66"/>
      <c r="OSC1289" s="66"/>
      <c r="OSD1289" s="66"/>
      <c r="OSE1289" s="66"/>
      <c r="OSF1289" s="66"/>
      <c r="OSG1289" s="66"/>
      <c r="OSH1289" s="66"/>
      <c r="OSI1289" s="66"/>
      <c r="OSJ1289" s="66"/>
      <c r="OSK1289" s="66"/>
      <c r="OSL1289" s="66"/>
      <c r="OSM1289" s="66"/>
      <c r="OSN1289" s="66"/>
      <c r="OSO1289" s="66"/>
      <c r="OSP1289" s="66"/>
      <c r="OSQ1289" s="66"/>
      <c r="OSR1289" s="66"/>
      <c r="OSS1289" s="66"/>
      <c r="OST1289" s="66"/>
      <c r="OSU1289" s="66"/>
      <c r="OSV1289" s="66"/>
      <c r="OSW1289" s="66"/>
      <c r="OSX1289" s="66"/>
      <c r="OSY1289" s="66"/>
      <c r="OSZ1289" s="66"/>
      <c r="OTA1289" s="66"/>
      <c r="OTB1289" s="66"/>
      <c r="OTC1289" s="66"/>
      <c r="OTD1289" s="66"/>
      <c r="OTE1289" s="66"/>
      <c r="OTF1289" s="66"/>
      <c r="OTG1289" s="66"/>
      <c r="OTH1289" s="66"/>
      <c r="OTI1289" s="66"/>
      <c r="OTJ1289" s="66"/>
      <c r="OTK1289" s="66"/>
      <c r="OTL1289" s="66"/>
      <c r="OTM1289" s="66"/>
      <c r="OTN1289" s="66"/>
      <c r="OTO1289" s="66"/>
      <c r="OTP1289" s="66"/>
      <c r="OTQ1289" s="66"/>
      <c r="OTR1289" s="66"/>
      <c r="OTS1289" s="66"/>
      <c r="OTT1289" s="66"/>
      <c r="OTU1289" s="66"/>
      <c r="OTV1289" s="66"/>
      <c r="OTW1289" s="66"/>
      <c r="OTX1289" s="66"/>
      <c r="OTY1289" s="66"/>
      <c r="OTZ1289" s="66"/>
      <c r="OUA1289" s="66"/>
      <c r="OUB1289" s="66"/>
      <c r="OUC1289" s="66"/>
      <c r="OUD1289" s="66"/>
      <c r="OUE1289" s="66"/>
      <c r="OUF1289" s="66"/>
      <c r="OUG1289" s="66"/>
      <c r="OUH1289" s="66"/>
      <c r="OUI1289" s="66"/>
      <c r="OUJ1289" s="66"/>
      <c r="OUK1289" s="66"/>
      <c r="OUL1289" s="66"/>
      <c r="OUM1289" s="66"/>
      <c r="OUN1289" s="66"/>
      <c r="OUO1289" s="66"/>
      <c r="OUP1289" s="66"/>
      <c r="OUQ1289" s="66"/>
      <c r="OUR1289" s="66"/>
      <c r="OUS1289" s="66"/>
      <c r="OUT1289" s="66"/>
      <c r="OUU1289" s="66"/>
      <c r="OUV1289" s="66"/>
      <c r="OUW1289" s="66"/>
      <c r="OUX1289" s="66"/>
      <c r="OUY1289" s="66"/>
      <c r="OUZ1289" s="66"/>
      <c r="OVA1289" s="66"/>
      <c r="OVB1289" s="66"/>
      <c r="OVC1289" s="66"/>
      <c r="OVD1289" s="66"/>
      <c r="OVE1289" s="66"/>
      <c r="OVF1289" s="66"/>
      <c r="OVG1289" s="66"/>
      <c r="OVH1289" s="66"/>
      <c r="OVI1289" s="66"/>
      <c r="OVJ1289" s="66"/>
      <c r="OVK1289" s="66"/>
      <c r="OVL1289" s="66"/>
      <c r="OVM1289" s="66"/>
      <c r="OVN1289" s="66"/>
      <c r="OVO1289" s="66"/>
      <c r="OVP1289" s="66"/>
      <c r="OVQ1289" s="66"/>
      <c r="OVR1289" s="66"/>
      <c r="OVS1289" s="66"/>
      <c r="OVT1289" s="66"/>
      <c r="OVU1289" s="66"/>
      <c r="OVV1289" s="66"/>
      <c r="OVW1289" s="66"/>
      <c r="OVX1289" s="66"/>
      <c r="OVY1289" s="66"/>
      <c r="OVZ1289" s="66"/>
      <c r="OWA1289" s="66"/>
      <c r="OWB1289" s="66"/>
      <c r="OWC1289" s="66"/>
      <c r="OWD1289" s="66"/>
      <c r="OWE1289" s="66"/>
      <c r="OWF1289" s="66"/>
      <c r="OWG1289" s="66"/>
      <c r="OWH1289" s="66"/>
      <c r="OWI1289" s="66"/>
      <c r="OWJ1289" s="66"/>
      <c r="OWK1289" s="66"/>
      <c r="OWL1289" s="66"/>
      <c r="OWM1289" s="66"/>
      <c r="OWN1289" s="66"/>
      <c r="OWO1289" s="66"/>
      <c r="OWP1289" s="66"/>
      <c r="OWQ1289" s="66"/>
      <c r="OWR1289" s="66"/>
      <c r="OWS1289" s="66"/>
      <c r="OWT1289" s="66"/>
      <c r="OWU1289" s="66"/>
      <c r="OWV1289" s="66"/>
      <c r="OWW1289" s="66"/>
      <c r="OWX1289" s="66"/>
      <c r="OWY1289" s="66"/>
      <c r="OWZ1289" s="66"/>
      <c r="OXA1289" s="66"/>
      <c r="OXB1289" s="66"/>
      <c r="OXC1289" s="66"/>
      <c r="OXD1289" s="66"/>
      <c r="OXE1289" s="66"/>
      <c r="OXF1289" s="66"/>
      <c r="OXG1289" s="66"/>
      <c r="OXH1289" s="66"/>
      <c r="OXI1289" s="66"/>
      <c r="OXJ1289" s="66"/>
      <c r="OXK1289" s="66"/>
      <c r="OXL1289" s="66"/>
      <c r="OXM1289" s="66"/>
      <c r="OXN1289" s="66"/>
      <c r="OXO1289" s="66"/>
      <c r="OXP1289" s="66"/>
      <c r="OXQ1289" s="66"/>
      <c r="OXR1289" s="66"/>
      <c r="OXS1289" s="66"/>
      <c r="OXT1289" s="66"/>
      <c r="OXU1289" s="66"/>
      <c r="OXV1289" s="66"/>
      <c r="OXW1289" s="66"/>
      <c r="OXX1289" s="66"/>
      <c r="OXY1289" s="66"/>
      <c r="OXZ1289" s="66"/>
      <c r="OYA1289" s="66"/>
      <c r="OYB1289" s="66"/>
      <c r="OYC1289" s="66"/>
      <c r="OYD1289" s="66"/>
      <c r="OYE1289" s="66"/>
      <c r="OYF1289" s="66"/>
      <c r="OYG1289" s="66"/>
      <c r="OYH1289" s="66"/>
      <c r="OYI1289" s="66"/>
      <c r="OYJ1289" s="66"/>
      <c r="OYK1289" s="66"/>
      <c r="OYL1289" s="66"/>
      <c r="OYM1289" s="66"/>
      <c r="OYN1289" s="66"/>
      <c r="OYO1289" s="66"/>
      <c r="OYP1289" s="66"/>
      <c r="OYQ1289" s="66"/>
      <c r="OYR1289" s="66"/>
      <c r="OYS1289" s="66"/>
      <c r="OYT1289" s="66"/>
      <c r="OYU1289" s="66"/>
      <c r="OYV1289" s="66"/>
      <c r="OYW1289" s="66"/>
      <c r="OYX1289" s="66"/>
      <c r="OYY1289" s="66"/>
      <c r="OYZ1289" s="66"/>
      <c r="OZA1289" s="66"/>
      <c r="OZB1289" s="66"/>
      <c r="OZC1289" s="66"/>
      <c r="OZD1289" s="66"/>
      <c r="OZE1289" s="66"/>
      <c r="OZF1289" s="66"/>
      <c r="OZG1289" s="66"/>
      <c r="OZH1289" s="66"/>
      <c r="OZI1289" s="66"/>
      <c r="OZJ1289" s="66"/>
      <c r="OZK1289" s="66"/>
      <c r="OZL1289" s="66"/>
      <c r="OZM1289" s="66"/>
      <c r="OZN1289" s="66"/>
      <c r="OZO1289" s="66"/>
      <c r="OZP1289" s="66"/>
      <c r="OZQ1289" s="66"/>
      <c r="OZR1289" s="66"/>
      <c r="OZS1289" s="66"/>
      <c r="OZT1289" s="66"/>
      <c r="OZU1289" s="66"/>
      <c r="OZV1289" s="66"/>
      <c r="OZW1289" s="66"/>
      <c r="OZX1289" s="66"/>
      <c r="OZY1289" s="66"/>
      <c r="OZZ1289" s="66"/>
      <c r="PAA1289" s="66"/>
      <c r="PAB1289" s="66"/>
      <c r="PAC1289" s="66"/>
      <c r="PAD1289" s="66"/>
      <c r="PAE1289" s="66"/>
      <c r="PAF1289" s="66"/>
      <c r="PAG1289" s="66"/>
      <c r="PAH1289" s="66"/>
      <c r="PAI1289" s="66"/>
      <c r="PAJ1289" s="66"/>
      <c r="PAK1289" s="66"/>
      <c r="PAL1289" s="66"/>
      <c r="PAM1289" s="66"/>
      <c r="PAN1289" s="66"/>
      <c r="PAO1289" s="66"/>
      <c r="PAP1289" s="66"/>
      <c r="PAQ1289" s="66"/>
      <c r="PAR1289" s="66"/>
      <c r="PAS1289" s="66"/>
      <c r="PAT1289" s="66"/>
      <c r="PAU1289" s="66"/>
      <c r="PAV1289" s="66"/>
      <c r="PAW1289" s="66"/>
      <c r="PAX1289" s="66"/>
      <c r="PAY1289" s="66"/>
      <c r="PAZ1289" s="66"/>
      <c r="PBA1289" s="66"/>
      <c r="PBB1289" s="66"/>
      <c r="PBC1289" s="66"/>
      <c r="PBD1289" s="66"/>
      <c r="PBE1289" s="66"/>
      <c r="PBF1289" s="66"/>
      <c r="PBG1289" s="66"/>
      <c r="PBH1289" s="66"/>
      <c r="PBI1289" s="66"/>
      <c r="PBJ1289" s="66"/>
      <c r="PBK1289" s="66"/>
      <c r="PBL1289" s="66"/>
      <c r="PBM1289" s="66"/>
      <c r="PBN1289" s="66"/>
      <c r="PBO1289" s="66"/>
      <c r="PBP1289" s="66"/>
      <c r="PBQ1289" s="66"/>
      <c r="PBR1289" s="66"/>
      <c r="PBS1289" s="66"/>
      <c r="PBT1289" s="66"/>
      <c r="PBU1289" s="66"/>
      <c r="PBV1289" s="66"/>
      <c r="PBW1289" s="66"/>
      <c r="PBX1289" s="66"/>
      <c r="PBY1289" s="66"/>
      <c r="PBZ1289" s="66"/>
      <c r="PCA1289" s="66"/>
      <c r="PCB1289" s="66"/>
      <c r="PCC1289" s="66"/>
      <c r="PCD1289" s="66"/>
      <c r="PCE1289" s="66"/>
      <c r="PCF1289" s="66"/>
      <c r="PCG1289" s="66"/>
      <c r="PCH1289" s="66"/>
      <c r="PCI1289" s="66"/>
      <c r="PCJ1289" s="66"/>
      <c r="PCK1289" s="66"/>
      <c r="PCL1289" s="66"/>
      <c r="PCM1289" s="66"/>
      <c r="PCN1289" s="66"/>
      <c r="PCO1289" s="66"/>
      <c r="PCP1289" s="66"/>
      <c r="PCQ1289" s="66"/>
      <c r="PCR1289" s="66"/>
      <c r="PCS1289" s="66"/>
      <c r="PCT1289" s="66"/>
      <c r="PCU1289" s="66"/>
      <c r="PCV1289" s="66"/>
      <c r="PCW1289" s="66"/>
      <c r="PCX1289" s="66"/>
      <c r="PCY1289" s="66"/>
      <c r="PCZ1289" s="66"/>
      <c r="PDA1289" s="66"/>
      <c r="PDB1289" s="66"/>
      <c r="PDC1289" s="66"/>
      <c r="PDD1289" s="66"/>
      <c r="PDE1289" s="66"/>
      <c r="PDF1289" s="66"/>
      <c r="PDG1289" s="66"/>
      <c r="PDH1289" s="66"/>
      <c r="PDI1289" s="66"/>
      <c r="PDJ1289" s="66"/>
      <c r="PDK1289" s="66"/>
      <c r="PDL1289" s="66"/>
      <c r="PDM1289" s="66"/>
      <c r="PDN1289" s="66"/>
      <c r="PDO1289" s="66"/>
      <c r="PDP1289" s="66"/>
      <c r="PDQ1289" s="66"/>
      <c r="PDR1289" s="66"/>
      <c r="PDS1289" s="66"/>
      <c r="PDT1289" s="66"/>
      <c r="PDU1289" s="66"/>
      <c r="PDV1289" s="66"/>
      <c r="PDW1289" s="66"/>
      <c r="PDX1289" s="66"/>
      <c r="PDY1289" s="66"/>
      <c r="PDZ1289" s="66"/>
      <c r="PEA1289" s="66"/>
      <c r="PEB1289" s="66"/>
      <c r="PEC1289" s="66"/>
      <c r="PED1289" s="66"/>
      <c r="PEE1289" s="66"/>
      <c r="PEF1289" s="66"/>
      <c r="PEG1289" s="66"/>
      <c r="PEH1289" s="66"/>
      <c r="PEI1289" s="66"/>
      <c r="PEJ1289" s="66"/>
      <c r="PEK1289" s="66"/>
      <c r="PEL1289" s="66"/>
      <c r="PEM1289" s="66"/>
      <c r="PEN1289" s="66"/>
      <c r="PEO1289" s="66"/>
      <c r="PEP1289" s="66"/>
      <c r="PEQ1289" s="66"/>
      <c r="PER1289" s="66"/>
      <c r="PES1289" s="66"/>
      <c r="PET1289" s="66"/>
      <c r="PEU1289" s="66"/>
      <c r="PEV1289" s="66"/>
      <c r="PEW1289" s="66"/>
      <c r="PEX1289" s="66"/>
      <c r="PEY1289" s="66"/>
      <c r="PEZ1289" s="66"/>
      <c r="PFA1289" s="66"/>
      <c r="PFB1289" s="66"/>
      <c r="PFC1289" s="66"/>
      <c r="PFD1289" s="66"/>
      <c r="PFE1289" s="66"/>
      <c r="PFF1289" s="66"/>
      <c r="PFG1289" s="66"/>
      <c r="PFH1289" s="66"/>
      <c r="PFI1289" s="66"/>
      <c r="PFJ1289" s="66"/>
      <c r="PFK1289" s="66"/>
      <c r="PFL1289" s="66"/>
      <c r="PFM1289" s="66"/>
      <c r="PFN1289" s="66"/>
      <c r="PFO1289" s="66"/>
      <c r="PFP1289" s="66"/>
      <c r="PFQ1289" s="66"/>
      <c r="PFR1289" s="66"/>
      <c r="PFS1289" s="66"/>
      <c r="PFT1289" s="66"/>
      <c r="PFU1289" s="66"/>
      <c r="PFV1289" s="66"/>
      <c r="PFW1289" s="66"/>
      <c r="PFX1289" s="66"/>
      <c r="PFY1289" s="66"/>
      <c r="PFZ1289" s="66"/>
      <c r="PGA1289" s="66"/>
      <c r="PGB1289" s="66"/>
      <c r="PGC1289" s="66"/>
      <c r="PGD1289" s="66"/>
      <c r="PGE1289" s="66"/>
      <c r="PGF1289" s="66"/>
      <c r="PGG1289" s="66"/>
      <c r="PGH1289" s="66"/>
      <c r="PGI1289" s="66"/>
      <c r="PGJ1289" s="66"/>
      <c r="PGK1289" s="66"/>
      <c r="PGL1289" s="66"/>
      <c r="PGM1289" s="66"/>
      <c r="PGN1289" s="66"/>
      <c r="PGO1289" s="66"/>
      <c r="PGP1289" s="66"/>
      <c r="PGQ1289" s="66"/>
      <c r="PGR1289" s="66"/>
      <c r="PGS1289" s="66"/>
      <c r="PGT1289" s="66"/>
      <c r="PGU1289" s="66"/>
      <c r="PGV1289" s="66"/>
      <c r="PGW1289" s="66"/>
      <c r="PGX1289" s="66"/>
      <c r="PGY1289" s="66"/>
      <c r="PGZ1289" s="66"/>
      <c r="PHA1289" s="66"/>
      <c r="PHB1289" s="66"/>
      <c r="PHC1289" s="66"/>
      <c r="PHD1289" s="66"/>
      <c r="PHE1289" s="66"/>
      <c r="PHF1289" s="66"/>
      <c r="PHG1289" s="66"/>
      <c r="PHH1289" s="66"/>
      <c r="PHI1289" s="66"/>
      <c r="PHJ1289" s="66"/>
      <c r="PHK1289" s="66"/>
      <c r="PHL1289" s="66"/>
      <c r="PHM1289" s="66"/>
      <c r="PHN1289" s="66"/>
      <c r="PHO1289" s="66"/>
      <c r="PHP1289" s="66"/>
      <c r="PHQ1289" s="66"/>
      <c r="PHR1289" s="66"/>
      <c r="PHS1289" s="66"/>
      <c r="PHT1289" s="66"/>
      <c r="PHU1289" s="66"/>
      <c r="PHV1289" s="66"/>
      <c r="PHW1289" s="66"/>
      <c r="PHX1289" s="66"/>
      <c r="PHY1289" s="66"/>
      <c r="PHZ1289" s="66"/>
      <c r="PIA1289" s="66"/>
      <c r="PIB1289" s="66"/>
      <c r="PIC1289" s="66"/>
      <c r="PID1289" s="66"/>
      <c r="PIE1289" s="66"/>
      <c r="PIF1289" s="66"/>
      <c r="PIG1289" s="66"/>
      <c r="PIH1289" s="66"/>
      <c r="PII1289" s="66"/>
      <c r="PIJ1289" s="66"/>
      <c r="PIK1289" s="66"/>
      <c r="PIL1289" s="66"/>
      <c r="PIM1289" s="66"/>
      <c r="PIN1289" s="66"/>
      <c r="PIO1289" s="66"/>
      <c r="PIP1289" s="66"/>
      <c r="PIQ1289" s="66"/>
      <c r="PIR1289" s="66"/>
      <c r="PIS1289" s="66"/>
      <c r="PIT1289" s="66"/>
      <c r="PIU1289" s="66"/>
      <c r="PIV1289" s="66"/>
      <c r="PIW1289" s="66"/>
      <c r="PIX1289" s="66"/>
      <c r="PIY1289" s="66"/>
      <c r="PIZ1289" s="66"/>
      <c r="PJA1289" s="66"/>
      <c r="PJB1289" s="66"/>
      <c r="PJC1289" s="66"/>
      <c r="PJD1289" s="66"/>
      <c r="PJE1289" s="66"/>
      <c r="PJF1289" s="66"/>
      <c r="PJG1289" s="66"/>
      <c r="PJH1289" s="66"/>
      <c r="PJI1289" s="66"/>
      <c r="PJJ1289" s="66"/>
      <c r="PJK1289" s="66"/>
      <c r="PJL1289" s="66"/>
      <c r="PJM1289" s="66"/>
      <c r="PJN1289" s="66"/>
      <c r="PJO1289" s="66"/>
      <c r="PJP1289" s="66"/>
      <c r="PJQ1289" s="66"/>
      <c r="PJR1289" s="66"/>
      <c r="PJS1289" s="66"/>
      <c r="PJT1289" s="66"/>
      <c r="PJU1289" s="66"/>
      <c r="PJV1289" s="66"/>
      <c r="PJW1289" s="66"/>
      <c r="PJX1289" s="66"/>
      <c r="PJY1289" s="66"/>
      <c r="PJZ1289" s="66"/>
      <c r="PKA1289" s="66"/>
      <c r="PKB1289" s="66"/>
      <c r="PKC1289" s="66"/>
      <c r="PKD1289" s="66"/>
      <c r="PKE1289" s="66"/>
      <c r="PKF1289" s="66"/>
      <c r="PKG1289" s="66"/>
      <c r="PKH1289" s="66"/>
      <c r="PKI1289" s="66"/>
      <c r="PKJ1289" s="66"/>
      <c r="PKK1289" s="66"/>
      <c r="PKL1289" s="66"/>
      <c r="PKM1289" s="66"/>
      <c r="PKN1289" s="66"/>
      <c r="PKO1289" s="66"/>
      <c r="PKP1289" s="66"/>
      <c r="PKQ1289" s="66"/>
      <c r="PKR1289" s="66"/>
      <c r="PKS1289" s="66"/>
      <c r="PKT1289" s="66"/>
      <c r="PKU1289" s="66"/>
      <c r="PKV1289" s="66"/>
      <c r="PKW1289" s="66"/>
      <c r="PKX1289" s="66"/>
      <c r="PKY1289" s="66"/>
      <c r="PKZ1289" s="66"/>
      <c r="PLA1289" s="66"/>
      <c r="PLB1289" s="66"/>
      <c r="PLC1289" s="66"/>
      <c r="PLD1289" s="66"/>
      <c r="PLE1289" s="66"/>
      <c r="PLF1289" s="66"/>
      <c r="PLG1289" s="66"/>
      <c r="PLH1289" s="66"/>
      <c r="PLI1289" s="66"/>
      <c r="PLJ1289" s="66"/>
      <c r="PLK1289" s="66"/>
      <c r="PLL1289" s="66"/>
      <c r="PLM1289" s="66"/>
      <c r="PLN1289" s="66"/>
      <c r="PLO1289" s="66"/>
      <c r="PLP1289" s="66"/>
      <c r="PLQ1289" s="66"/>
      <c r="PLR1289" s="66"/>
      <c r="PLS1289" s="66"/>
      <c r="PLT1289" s="66"/>
      <c r="PLU1289" s="66"/>
      <c r="PLV1289" s="66"/>
      <c r="PLW1289" s="66"/>
      <c r="PLX1289" s="66"/>
      <c r="PLY1289" s="66"/>
      <c r="PLZ1289" s="66"/>
      <c r="PMA1289" s="66"/>
      <c r="PMB1289" s="66"/>
      <c r="PMC1289" s="66"/>
      <c r="PMD1289" s="66"/>
      <c r="PME1289" s="66"/>
      <c r="PMF1289" s="66"/>
      <c r="PMG1289" s="66"/>
      <c r="PMH1289" s="66"/>
      <c r="PMI1289" s="66"/>
      <c r="PMJ1289" s="66"/>
      <c r="PMK1289" s="66"/>
      <c r="PML1289" s="66"/>
      <c r="PMM1289" s="66"/>
      <c r="PMN1289" s="66"/>
      <c r="PMO1289" s="66"/>
      <c r="PMP1289" s="66"/>
      <c r="PMQ1289" s="66"/>
      <c r="PMR1289" s="66"/>
      <c r="PMS1289" s="66"/>
      <c r="PMT1289" s="66"/>
      <c r="PMU1289" s="66"/>
      <c r="PMV1289" s="66"/>
      <c r="PMW1289" s="66"/>
      <c r="PMX1289" s="66"/>
      <c r="PMY1289" s="66"/>
      <c r="PMZ1289" s="66"/>
      <c r="PNA1289" s="66"/>
      <c r="PNB1289" s="66"/>
      <c r="PNC1289" s="66"/>
      <c r="PND1289" s="66"/>
      <c r="PNE1289" s="66"/>
      <c r="PNF1289" s="66"/>
      <c r="PNG1289" s="66"/>
      <c r="PNH1289" s="66"/>
      <c r="PNI1289" s="66"/>
      <c r="PNJ1289" s="66"/>
      <c r="PNK1289" s="66"/>
      <c r="PNL1289" s="66"/>
      <c r="PNM1289" s="66"/>
      <c r="PNN1289" s="66"/>
      <c r="PNO1289" s="66"/>
      <c r="PNP1289" s="66"/>
      <c r="PNQ1289" s="66"/>
      <c r="PNR1289" s="66"/>
      <c r="PNS1289" s="66"/>
      <c r="PNT1289" s="66"/>
      <c r="PNU1289" s="66"/>
      <c r="PNV1289" s="66"/>
      <c r="PNW1289" s="66"/>
      <c r="PNX1289" s="66"/>
      <c r="PNY1289" s="66"/>
      <c r="PNZ1289" s="66"/>
      <c r="POA1289" s="66"/>
      <c r="POB1289" s="66"/>
      <c r="POC1289" s="66"/>
      <c r="POD1289" s="66"/>
      <c r="POE1289" s="66"/>
      <c r="POF1289" s="66"/>
      <c r="POG1289" s="66"/>
      <c r="POH1289" s="66"/>
      <c r="POI1289" s="66"/>
      <c r="POJ1289" s="66"/>
      <c r="POK1289" s="66"/>
      <c r="POL1289" s="66"/>
      <c r="POM1289" s="66"/>
      <c r="PON1289" s="66"/>
      <c r="POO1289" s="66"/>
      <c r="POP1289" s="66"/>
      <c r="POQ1289" s="66"/>
      <c r="POR1289" s="66"/>
      <c r="POS1289" s="66"/>
      <c r="POT1289" s="66"/>
      <c r="POU1289" s="66"/>
      <c r="POV1289" s="66"/>
      <c r="POW1289" s="66"/>
      <c r="POX1289" s="66"/>
      <c r="POY1289" s="66"/>
      <c r="POZ1289" s="66"/>
      <c r="PPA1289" s="66"/>
      <c r="PPB1289" s="66"/>
      <c r="PPC1289" s="66"/>
      <c r="PPD1289" s="66"/>
      <c r="PPE1289" s="66"/>
      <c r="PPF1289" s="66"/>
      <c r="PPG1289" s="66"/>
      <c r="PPH1289" s="66"/>
      <c r="PPI1289" s="66"/>
      <c r="PPJ1289" s="66"/>
      <c r="PPK1289" s="66"/>
      <c r="PPL1289" s="66"/>
      <c r="PPM1289" s="66"/>
      <c r="PPN1289" s="66"/>
      <c r="PPO1289" s="66"/>
      <c r="PPP1289" s="66"/>
      <c r="PPQ1289" s="66"/>
      <c r="PPR1289" s="66"/>
      <c r="PPS1289" s="66"/>
      <c r="PPT1289" s="66"/>
      <c r="PPU1289" s="66"/>
      <c r="PPV1289" s="66"/>
      <c r="PPW1289" s="66"/>
      <c r="PPX1289" s="66"/>
      <c r="PPY1289" s="66"/>
      <c r="PPZ1289" s="66"/>
      <c r="PQA1289" s="66"/>
      <c r="PQB1289" s="66"/>
      <c r="PQC1289" s="66"/>
      <c r="PQD1289" s="66"/>
      <c r="PQE1289" s="66"/>
      <c r="PQF1289" s="66"/>
      <c r="PQG1289" s="66"/>
      <c r="PQH1289" s="66"/>
      <c r="PQI1289" s="66"/>
      <c r="PQJ1289" s="66"/>
      <c r="PQK1289" s="66"/>
      <c r="PQL1289" s="66"/>
      <c r="PQM1289" s="66"/>
      <c r="PQN1289" s="66"/>
      <c r="PQO1289" s="66"/>
      <c r="PQP1289" s="66"/>
      <c r="PQQ1289" s="66"/>
      <c r="PQR1289" s="66"/>
      <c r="PQS1289" s="66"/>
      <c r="PQT1289" s="66"/>
      <c r="PQU1289" s="66"/>
      <c r="PQV1289" s="66"/>
      <c r="PQW1289" s="66"/>
      <c r="PQX1289" s="66"/>
      <c r="PQY1289" s="66"/>
      <c r="PQZ1289" s="66"/>
      <c r="PRA1289" s="66"/>
      <c r="PRB1289" s="66"/>
      <c r="PRC1289" s="66"/>
      <c r="PRD1289" s="66"/>
      <c r="PRE1289" s="66"/>
      <c r="PRF1289" s="66"/>
      <c r="PRG1289" s="66"/>
      <c r="PRH1289" s="66"/>
      <c r="PRI1289" s="66"/>
      <c r="PRJ1289" s="66"/>
      <c r="PRK1289" s="66"/>
      <c r="PRL1289" s="66"/>
      <c r="PRM1289" s="66"/>
      <c r="PRN1289" s="66"/>
      <c r="PRO1289" s="66"/>
      <c r="PRP1289" s="66"/>
      <c r="PRQ1289" s="66"/>
      <c r="PRR1289" s="66"/>
      <c r="PRS1289" s="66"/>
      <c r="PRT1289" s="66"/>
      <c r="PRU1289" s="66"/>
      <c r="PRV1289" s="66"/>
      <c r="PRW1289" s="66"/>
      <c r="PRX1289" s="66"/>
      <c r="PRY1289" s="66"/>
      <c r="PRZ1289" s="66"/>
      <c r="PSA1289" s="66"/>
      <c r="PSB1289" s="66"/>
      <c r="PSC1289" s="66"/>
      <c r="PSD1289" s="66"/>
      <c r="PSE1289" s="66"/>
      <c r="PSF1289" s="66"/>
      <c r="PSG1289" s="66"/>
      <c r="PSH1289" s="66"/>
      <c r="PSI1289" s="66"/>
      <c r="PSJ1289" s="66"/>
      <c r="PSK1289" s="66"/>
      <c r="PSL1289" s="66"/>
      <c r="PSM1289" s="66"/>
      <c r="PSN1289" s="66"/>
      <c r="PSO1289" s="66"/>
      <c r="PSP1289" s="66"/>
      <c r="PSQ1289" s="66"/>
      <c r="PSR1289" s="66"/>
      <c r="PSS1289" s="66"/>
      <c r="PST1289" s="66"/>
      <c r="PSU1289" s="66"/>
      <c r="PSV1289" s="66"/>
      <c r="PSW1289" s="66"/>
      <c r="PSX1289" s="66"/>
      <c r="PSY1289" s="66"/>
      <c r="PSZ1289" s="66"/>
      <c r="PTA1289" s="66"/>
      <c r="PTB1289" s="66"/>
      <c r="PTC1289" s="66"/>
      <c r="PTD1289" s="66"/>
      <c r="PTE1289" s="66"/>
      <c r="PTF1289" s="66"/>
      <c r="PTG1289" s="66"/>
      <c r="PTH1289" s="66"/>
      <c r="PTI1289" s="66"/>
      <c r="PTJ1289" s="66"/>
      <c r="PTK1289" s="66"/>
      <c r="PTL1289" s="66"/>
      <c r="PTM1289" s="66"/>
      <c r="PTN1289" s="66"/>
      <c r="PTO1289" s="66"/>
      <c r="PTP1289" s="66"/>
      <c r="PTQ1289" s="66"/>
      <c r="PTR1289" s="66"/>
      <c r="PTS1289" s="66"/>
      <c r="PTT1289" s="66"/>
      <c r="PTU1289" s="66"/>
      <c r="PTV1289" s="66"/>
      <c r="PTW1289" s="66"/>
      <c r="PTX1289" s="66"/>
      <c r="PTY1289" s="66"/>
      <c r="PTZ1289" s="66"/>
      <c r="PUA1289" s="66"/>
      <c r="PUB1289" s="66"/>
      <c r="PUC1289" s="66"/>
      <c r="PUD1289" s="66"/>
      <c r="PUE1289" s="66"/>
      <c r="PUF1289" s="66"/>
      <c r="PUG1289" s="66"/>
      <c r="PUH1289" s="66"/>
      <c r="PUI1289" s="66"/>
      <c r="PUJ1289" s="66"/>
      <c r="PUK1289" s="66"/>
      <c r="PUL1289" s="66"/>
      <c r="PUM1289" s="66"/>
      <c r="PUN1289" s="66"/>
      <c r="PUO1289" s="66"/>
      <c r="PUP1289" s="66"/>
      <c r="PUQ1289" s="66"/>
      <c r="PUR1289" s="66"/>
      <c r="PUS1289" s="66"/>
      <c r="PUT1289" s="66"/>
      <c r="PUU1289" s="66"/>
      <c r="PUV1289" s="66"/>
      <c r="PUW1289" s="66"/>
      <c r="PUX1289" s="66"/>
      <c r="PUY1289" s="66"/>
      <c r="PUZ1289" s="66"/>
      <c r="PVA1289" s="66"/>
      <c r="PVB1289" s="66"/>
      <c r="PVC1289" s="66"/>
      <c r="PVD1289" s="66"/>
      <c r="PVE1289" s="66"/>
      <c r="PVF1289" s="66"/>
      <c r="PVG1289" s="66"/>
      <c r="PVH1289" s="66"/>
      <c r="PVI1289" s="66"/>
      <c r="PVJ1289" s="66"/>
      <c r="PVK1289" s="66"/>
      <c r="PVL1289" s="66"/>
      <c r="PVM1289" s="66"/>
      <c r="PVN1289" s="66"/>
      <c r="PVO1289" s="66"/>
      <c r="PVP1289" s="66"/>
      <c r="PVQ1289" s="66"/>
      <c r="PVR1289" s="66"/>
      <c r="PVS1289" s="66"/>
      <c r="PVT1289" s="66"/>
      <c r="PVU1289" s="66"/>
      <c r="PVV1289" s="66"/>
      <c r="PVW1289" s="66"/>
      <c r="PVX1289" s="66"/>
      <c r="PVY1289" s="66"/>
      <c r="PVZ1289" s="66"/>
      <c r="PWA1289" s="66"/>
      <c r="PWB1289" s="66"/>
      <c r="PWC1289" s="66"/>
      <c r="PWD1289" s="66"/>
      <c r="PWE1289" s="66"/>
      <c r="PWF1289" s="66"/>
      <c r="PWG1289" s="66"/>
      <c r="PWH1289" s="66"/>
      <c r="PWI1289" s="66"/>
      <c r="PWJ1289" s="66"/>
      <c r="PWK1289" s="66"/>
      <c r="PWL1289" s="66"/>
      <c r="PWM1289" s="66"/>
      <c r="PWN1289" s="66"/>
      <c r="PWO1289" s="66"/>
      <c r="PWP1289" s="66"/>
      <c r="PWQ1289" s="66"/>
      <c r="PWR1289" s="66"/>
      <c r="PWS1289" s="66"/>
      <c r="PWT1289" s="66"/>
      <c r="PWU1289" s="66"/>
      <c r="PWV1289" s="66"/>
      <c r="PWW1289" s="66"/>
      <c r="PWX1289" s="66"/>
      <c r="PWY1289" s="66"/>
      <c r="PWZ1289" s="66"/>
      <c r="PXA1289" s="66"/>
      <c r="PXB1289" s="66"/>
      <c r="PXC1289" s="66"/>
      <c r="PXD1289" s="66"/>
      <c r="PXE1289" s="66"/>
      <c r="PXF1289" s="66"/>
      <c r="PXG1289" s="66"/>
      <c r="PXH1289" s="66"/>
      <c r="PXI1289" s="66"/>
      <c r="PXJ1289" s="66"/>
      <c r="PXK1289" s="66"/>
      <c r="PXL1289" s="66"/>
      <c r="PXM1289" s="66"/>
      <c r="PXN1289" s="66"/>
      <c r="PXO1289" s="66"/>
      <c r="PXP1289" s="66"/>
      <c r="PXQ1289" s="66"/>
      <c r="PXR1289" s="66"/>
      <c r="PXS1289" s="66"/>
      <c r="PXT1289" s="66"/>
      <c r="PXU1289" s="66"/>
      <c r="PXV1289" s="66"/>
      <c r="PXW1289" s="66"/>
      <c r="PXX1289" s="66"/>
      <c r="PXY1289" s="66"/>
      <c r="PXZ1289" s="66"/>
      <c r="PYA1289" s="66"/>
      <c r="PYB1289" s="66"/>
      <c r="PYC1289" s="66"/>
      <c r="PYD1289" s="66"/>
      <c r="PYE1289" s="66"/>
      <c r="PYF1289" s="66"/>
      <c r="PYG1289" s="66"/>
      <c r="PYH1289" s="66"/>
      <c r="PYI1289" s="66"/>
      <c r="PYJ1289" s="66"/>
      <c r="PYK1289" s="66"/>
      <c r="PYL1289" s="66"/>
      <c r="PYM1289" s="66"/>
      <c r="PYN1289" s="66"/>
      <c r="PYO1289" s="66"/>
      <c r="PYP1289" s="66"/>
      <c r="PYQ1289" s="66"/>
      <c r="PYR1289" s="66"/>
      <c r="PYS1289" s="66"/>
      <c r="PYT1289" s="66"/>
      <c r="PYU1289" s="66"/>
      <c r="PYV1289" s="66"/>
      <c r="PYW1289" s="66"/>
      <c r="PYX1289" s="66"/>
      <c r="PYY1289" s="66"/>
      <c r="PYZ1289" s="66"/>
      <c r="PZA1289" s="66"/>
      <c r="PZB1289" s="66"/>
      <c r="PZC1289" s="66"/>
      <c r="PZD1289" s="66"/>
      <c r="PZE1289" s="66"/>
      <c r="PZF1289" s="66"/>
      <c r="PZG1289" s="66"/>
      <c r="PZH1289" s="66"/>
      <c r="PZI1289" s="66"/>
      <c r="PZJ1289" s="66"/>
      <c r="PZK1289" s="66"/>
      <c r="PZL1289" s="66"/>
      <c r="PZM1289" s="66"/>
      <c r="PZN1289" s="66"/>
      <c r="PZO1289" s="66"/>
      <c r="PZP1289" s="66"/>
      <c r="PZQ1289" s="66"/>
      <c r="PZR1289" s="66"/>
      <c r="PZS1289" s="66"/>
      <c r="PZT1289" s="66"/>
      <c r="PZU1289" s="66"/>
      <c r="PZV1289" s="66"/>
      <c r="PZW1289" s="66"/>
      <c r="PZX1289" s="66"/>
      <c r="PZY1289" s="66"/>
      <c r="PZZ1289" s="66"/>
      <c r="QAA1289" s="66"/>
      <c r="QAB1289" s="66"/>
      <c r="QAC1289" s="66"/>
      <c r="QAD1289" s="66"/>
      <c r="QAE1289" s="66"/>
      <c r="QAF1289" s="66"/>
      <c r="QAG1289" s="66"/>
      <c r="QAH1289" s="66"/>
      <c r="QAI1289" s="66"/>
      <c r="QAJ1289" s="66"/>
      <c r="QAK1289" s="66"/>
      <c r="QAL1289" s="66"/>
      <c r="QAM1289" s="66"/>
      <c r="QAN1289" s="66"/>
      <c r="QAO1289" s="66"/>
      <c r="QAP1289" s="66"/>
      <c r="QAQ1289" s="66"/>
      <c r="QAR1289" s="66"/>
      <c r="QAS1289" s="66"/>
      <c r="QAT1289" s="66"/>
      <c r="QAU1289" s="66"/>
      <c r="QAV1289" s="66"/>
      <c r="QAW1289" s="66"/>
      <c r="QAX1289" s="66"/>
      <c r="QAY1289" s="66"/>
      <c r="QAZ1289" s="66"/>
      <c r="QBA1289" s="66"/>
      <c r="QBB1289" s="66"/>
      <c r="QBC1289" s="66"/>
      <c r="QBD1289" s="66"/>
      <c r="QBE1289" s="66"/>
      <c r="QBF1289" s="66"/>
      <c r="QBG1289" s="66"/>
      <c r="QBH1289" s="66"/>
      <c r="QBI1289" s="66"/>
      <c r="QBJ1289" s="66"/>
      <c r="QBK1289" s="66"/>
      <c r="QBL1289" s="66"/>
      <c r="QBM1289" s="66"/>
      <c r="QBN1289" s="66"/>
      <c r="QBO1289" s="66"/>
      <c r="QBP1289" s="66"/>
      <c r="QBQ1289" s="66"/>
      <c r="QBR1289" s="66"/>
      <c r="QBS1289" s="66"/>
      <c r="QBT1289" s="66"/>
      <c r="QBU1289" s="66"/>
      <c r="QBV1289" s="66"/>
      <c r="QBW1289" s="66"/>
      <c r="QBX1289" s="66"/>
      <c r="QBY1289" s="66"/>
      <c r="QBZ1289" s="66"/>
      <c r="QCA1289" s="66"/>
      <c r="QCB1289" s="66"/>
      <c r="QCC1289" s="66"/>
      <c r="QCD1289" s="66"/>
      <c r="QCE1289" s="66"/>
      <c r="QCF1289" s="66"/>
      <c r="QCG1289" s="66"/>
      <c r="QCH1289" s="66"/>
      <c r="QCI1289" s="66"/>
      <c r="QCJ1289" s="66"/>
      <c r="QCK1289" s="66"/>
      <c r="QCL1289" s="66"/>
      <c r="QCM1289" s="66"/>
      <c r="QCN1289" s="66"/>
      <c r="QCO1289" s="66"/>
      <c r="QCP1289" s="66"/>
      <c r="QCQ1289" s="66"/>
      <c r="QCR1289" s="66"/>
      <c r="QCS1289" s="66"/>
      <c r="QCT1289" s="66"/>
      <c r="QCU1289" s="66"/>
      <c r="QCV1289" s="66"/>
      <c r="QCW1289" s="66"/>
      <c r="QCX1289" s="66"/>
      <c r="QCY1289" s="66"/>
      <c r="QCZ1289" s="66"/>
      <c r="QDA1289" s="66"/>
      <c r="QDB1289" s="66"/>
      <c r="QDC1289" s="66"/>
      <c r="QDD1289" s="66"/>
      <c r="QDE1289" s="66"/>
      <c r="QDF1289" s="66"/>
      <c r="QDG1289" s="66"/>
      <c r="QDH1289" s="66"/>
      <c r="QDI1289" s="66"/>
      <c r="QDJ1289" s="66"/>
      <c r="QDK1289" s="66"/>
      <c r="QDL1289" s="66"/>
      <c r="QDM1289" s="66"/>
      <c r="QDN1289" s="66"/>
      <c r="QDO1289" s="66"/>
      <c r="QDP1289" s="66"/>
      <c r="QDQ1289" s="66"/>
      <c r="QDR1289" s="66"/>
      <c r="QDS1289" s="66"/>
      <c r="QDT1289" s="66"/>
      <c r="QDU1289" s="66"/>
      <c r="QDV1289" s="66"/>
      <c r="QDW1289" s="66"/>
      <c r="QDX1289" s="66"/>
      <c r="QDY1289" s="66"/>
      <c r="QDZ1289" s="66"/>
      <c r="QEA1289" s="66"/>
      <c r="QEB1289" s="66"/>
      <c r="QEC1289" s="66"/>
      <c r="QED1289" s="66"/>
      <c r="QEE1289" s="66"/>
      <c r="QEF1289" s="66"/>
      <c r="QEG1289" s="66"/>
      <c r="QEH1289" s="66"/>
      <c r="QEI1289" s="66"/>
      <c r="QEJ1289" s="66"/>
      <c r="QEK1289" s="66"/>
      <c r="QEL1289" s="66"/>
      <c r="QEM1289" s="66"/>
      <c r="QEN1289" s="66"/>
      <c r="QEO1289" s="66"/>
      <c r="QEP1289" s="66"/>
      <c r="QEQ1289" s="66"/>
      <c r="QER1289" s="66"/>
      <c r="QES1289" s="66"/>
      <c r="QET1289" s="66"/>
      <c r="QEU1289" s="66"/>
      <c r="QEV1289" s="66"/>
      <c r="QEW1289" s="66"/>
      <c r="QEX1289" s="66"/>
      <c r="QEY1289" s="66"/>
      <c r="QEZ1289" s="66"/>
      <c r="QFA1289" s="66"/>
      <c r="QFB1289" s="66"/>
      <c r="QFC1289" s="66"/>
      <c r="QFD1289" s="66"/>
      <c r="QFE1289" s="66"/>
      <c r="QFF1289" s="66"/>
      <c r="QFG1289" s="66"/>
      <c r="QFH1289" s="66"/>
      <c r="QFI1289" s="66"/>
      <c r="QFJ1289" s="66"/>
      <c r="QFK1289" s="66"/>
      <c r="QFL1289" s="66"/>
      <c r="QFM1289" s="66"/>
      <c r="QFN1289" s="66"/>
      <c r="QFO1289" s="66"/>
      <c r="QFP1289" s="66"/>
      <c r="QFQ1289" s="66"/>
      <c r="QFR1289" s="66"/>
      <c r="QFS1289" s="66"/>
      <c r="QFT1289" s="66"/>
      <c r="QFU1289" s="66"/>
      <c r="QFV1289" s="66"/>
      <c r="QFW1289" s="66"/>
      <c r="QFX1289" s="66"/>
      <c r="QFY1289" s="66"/>
      <c r="QFZ1289" s="66"/>
      <c r="QGA1289" s="66"/>
      <c r="QGB1289" s="66"/>
      <c r="QGC1289" s="66"/>
      <c r="QGD1289" s="66"/>
      <c r="QGE1289" s="66"/>
      <c r="QGF1289" s="66"/>
      <c r="QGG1289" s="66"/>
      <c r="QGH1289" s="66"/>
      <c r="QGI1289" s="66"/>
      <c r="QGJ1289" s="66"/>
      <c r="QGK1289" s="66"/>
      <c r="QGL1289" s="66"/>
      <c r="QGM1289" s="66"/>
      <c r="QGN1289" s="66"/>
      <c r="QGO1289" s="66"/>
      <c r="QGP1289" s="66"/>
      <c r="QGQ1289" s="66"/>
      <c r="QGR1289" s="66"/>
      <c r="QGS1289" s="66"/>
      <c r="QGT1289" s="66"/>
      <c r="QGU1289" s="66"/>
      <c r="QGV1289" s="66"/>
      <c r="QGW1289" s="66"/>
      <c r="QGX1289" s="66"/>
      <c r="QGY1289" s="66"/>
      <c r="QGZ1289" s="66"/>
      <c r="QHA1289" s="66"/>
      <c r="QHB1289" s="66"/>
      <c r="QHC1289" s="66"/>
      <c r="QHD1289" s="66"/>
      <c r="QHE1289" s="66"/>
      <c r="QHF1289" s="66"/>
      <c r="QHG1289" s="66"/>
      <c r="QHH1289" s="66"/>
      <c r="QHI1289" s="66"/>
      <c r="QHJ1289" s="66"/>
      <c r="QHK1289" s="66"/>
      <c r="QHL1289" s="66"/>
      <c r="QHM1289" s="66"/>
      <c r="QHN1289" s="66"/>
      <c r="QHO1289" s="66"/>
      <c r="QHP1289" s="66"/>
      <c r="QHQ1289" s="66"/>
      <c r="QHR1289" s="66"/>
      <c r="QHS1289" s="66"/>
      <c r="QHT1289" s="66"/>
      <c r="QHU1289" s="66"/>
      <c r="QHV1289" s="66"/>
      <c r="QHW1289" s="66"/>
      <c r="QHX1289" s="66"/>
      <c r="QHY1289" s="66"/>
      <c r="QHZ1289" s="66"/>
      <c r="QIA1289" s="66"/>
      <c r="QIB1289" s="66"/>
      <c r="QIC1289" s="66"/>
      <c r="QID1289" s="66"/>
      <c r="QIE1289" s="66"/>
      <c r="QIF1289" s="66"/>
      <c r="QIG1289" s="66"/>
      <c r="QIH1289" s="66"/>
      <c r="QII1289" s="66"/>
      <c r="QIJ1289" s="66"/>
      <c r="QIK1289" s="66"/>
      <c r="QIL1289" s="66"/>
      <c r="QIM1289" s="66"/>
      <c r="QIN1289" s="66"/>
      <c r="QIO1289" s="66"/>
      <c r="QIP1289" s="66"/>
      <c r="QIQ1289" s="66"/>
      <c r="QIR1289" s="66"/>
      <c r="QIS1289" s="66"/>
      <c r="QIT1289" s="66"/>
      <c r="QIU1289" s="66"/>
      <c r="QIV1289" s="66"/>
      <c r="QIW1289" s="66"/>
      <c r="QIX1289" s="66"/>
      <c r="QIY1289" s="66"/>
      <c r="QIZ1289" s="66"/>
      <c r="QJA1289" s="66"/>
      <c r="QJB1289" s="66"/>
      <c r="QJC1289" s="66"/>
      <c r="QJD1289" s="66"/>
      <c r="QJE1289" s="66"/>
      <c r="QJF1289" s="66"/>
      <c r="QJG1289" s="66"/>
      <c r="QJH1289" s="66"/>
      <c r="QJI1289" s="66"/>
      <c r="QJJ1289" s="66"/>
      <c r="QJK1289" s="66"/>
      <c r="QJL1289" s="66"/>
      <c r="QJM1289" s="66"/>
      <c r="QJN1289" s="66"/>
      <c r="QJO1289" s="66"/>
      <c r="QJP1289" s="66"/>
      <c r="QJQ1289" s="66"/>
      <c r="QJR1289" s="66"/>
      <c r="QJS1289" s="66"/>
      <c r="QJT1289" s="66"/>
      <c r="QJU1289" s="66"/>
      <c r="QJV1289" s="66"/>
      <c r="QJW1289" s="66"/>
      <c r="QJX1289" s="66"/>
      <c r="QJY1289" s="66"/>
      <c r="QJZ1289" s="66"/>
      <c r="QKA1289" s="66"/>
      <c r="QKB1289" s="66"/>
      <c r="QKC1289" s="66"/>
      <c r="QKD1289" s="66"/>
      <c r="QKE1289" s="66"/>
      <c r="QKF1289" s="66"/>
      <c r="QKG1289" s="66"/>
      <c r="QKH1289" s="66"/>
      <c r="QKI1289" s="66"/>
      <c r="QKJ1289" s="66"/>
      <c r="QKK1289" s="66"/>
      <c r="QKL1289" s="66"/>
      <c r="QKM1289" s="66"/>
      <c r="QKN1289" s="66"/>
      <c r="QKO1289" s="66"/>
      <c r="QKP1289" s="66"/>
      <c r="QKQ1289" s="66"/>
      <c r="QKR1289" s="66"/>
      <c r="QKS1289" s="66"/>
      <c r="QKT1289" s="66"/>
      <c r="QKU1289" s="66"/>
      <c r="QKV1289" s="66"/>
      <c r="QKW1289" s="66"/>
      <c r="QKX1289" s="66"/>
      <c r="QKY1289" s="66"/>
      <c r="QKZ1289" s="66"/>
      <c r="QLA1289" s="66"/>
      <c r="QLB1289" s="66"/>
      <c r="QLC1289" s="66"/>
      <c r="QLD1289" s="66"/>
      <c r="QLE1289" s="66"/>
      <c r="QLF1289" s="66"/>
      <c r="QLG1289" s="66"/>
      <c r="QLH1289" s="66"/>
      <c r="QLI1289" s="66"/>
      <c r="QLJ1289" s="66"/>
      <c r="QLK1289" s="66"/>
      <c r="QLL1289" s="66"/>
      <c r="QLM1289" s="66"/>
      <c r="QLN1289" s="66"/>
      <c r="QLO1289" s="66"/>
      <c r="QLP1289" s="66"/>
      <c r="QLQ1289" s="66"/>
      <c r="QLR1289" s="66"/>
      <c r="QLS1289" s="66"/>
      <c r="QLT1289" s="66"/>
      <c r="QLU1289" s="66"/>
      <c r="QLV1289" s="66"/>
      <c r="QLW1289" s="66"/>
      <c r="QLX1289" s="66"/>
      <c r="QLY1289" s="66"/>
      <c r="QLZ1289" s="66"/>
      <c r="QMA1289" s="66"/>
      <c r="QMB1289" s="66"/>
      <c r="QMC1289" s="66"/>
      <c r="QMD1289" s="66"/>
      <c r="QME1289" s="66"/>
      <c r="QMF1289" s="66"/>
      <c r="QMG1289" s="66"/>
      <c r="QMH1289" s="66"/>
      <c r="QMI1289" s="66"/>
      <c r="QMJ1289" s="66"/>
      <c r="QMK1289" s="66"/>
      <c r="QML1289" s="66"/>
      <c r="QMM1289" s="66"/>
      <c r="QMN1289" s="66"/>
      <c r="QMO1289" s="66"/>
      <c r="QMP1289" s="66"/>
      <c r="QMQ1289" s="66"/>
      <c r="QMR1289" s="66"/>
      <c r="QMS1289" s="66"/>
      <c r="QMT1289" s="66"/>
      <c r="QMU1289" s="66"/>
      <c r="QMV1289" s="66"/>
      <c r="QMW1289" s="66"/>
      <c r="QMX1289" s="66"/>
      <c r="QMY1289" s="66"/>
      <c r="QMZ1289" s="66"/>
      <c r="QNA1289" s="66"/>
      <c r="QNB1289" s="66"/>
      <c r="QNC1289" s="66"/>
      <c r="QND1289" s="66"/>
      <c r="QNE1289" s="66"/>
      <c r="QNF1289" s="66"/>
      <c r="QNG1289" s="66"/>
      <c r="QNH1289" s="66"/>
      <c r="QNI1289" s="66"/>
      <c r="QNJ1289" s="66"/>
      <c r="QNK1289" s="66"/>
      <c r="QNL1289" s="66"/>
      <c r="QNM1289" s="66"/>
      <c r="QNN1289" s="66"/>
      <c r="QNO1289" s="66"/>
      <c r="QNP1289" s="66"/>
      <c r="QNQ1289" s="66"/>
      <c r="QNR1289" s="66"/>
      <c r="QNS1289" s="66"/>
      <c r="QNT1289" s="66"/>
      <c r="QNU1289" s="66"/>
      <c r="QNV1289" s="66"/>
      <c r="QNW1289" s="66"/>
      <c r="QNX1289" s="66"/>
      <c r="QNY1289" s="66"/>
      <c r="QNZ1289" s="66"/>
      <c r="QOA1289" s="66"/>
      <c r="QOB1289" s="66"/>
      <c r="QOC1289" s="66"/>
      <c r="QOD1289" s="66"/>
      <c r="QOE1289" s="66"/>
      <c r="QOF1289" s="66"/>
      <c r="QOG1289" s="66"/>
      <c r="QOH1289" s="66"/>
      <c r="QOI1289" s="66"/>
      <c r="QOJ1289" s="66"/>
      <c r="QOK1289" s="66"/>
      <c r="QOL1289" s="66"/>
      <c r="QOM1289" s="66"/>
      <c r="QON1289" s="66"/>
      <c r="QOO1289" s="66"/>
      <c r="QOP1289" s="66"/>
      <c r="QOQ1289" s="66"/>
      <c r="QOR1289" s="66"/>
      <c r="QOS1289" s="66"/>
      <c r="QOT1289" s="66"/>
      <c r="QOU1289" s="66"/>
      <c r="QOV1289" s="66"/>
      <c r="QOW1289" s="66"/>
      <c r="QOX1289" s="66"/>
      <c r="QOY1289" s="66"/>
      <c r="QOZ1289" s="66"/>
      <c r="QPA1289" s="66"/>
      <c r="QPB1289" s="66"/>
      <c r="QPC1289" s="66"/>
      <c r="QPD1289" s="66"/>
      <c r="QPE1289" s="66"/>
      <c r="QPF1289" s="66"/>
      <c r="QPG1289" s="66"/>
      <c r="QPH1289" s="66"/>
      <c r="QPI1289" s="66"/>
      <c r="QPJ1289" s="66"/>
      <c r="QPK1289" s="66"/>
      <c r="QPL1289" s="66"/>
      <c r="QPM1289" s="66"/>
      <c r="QPN1289" s="66"/>
      <c r="QPO1289" s="66"/>
      <c r="QPP1289" s="66"/>
      <c r="QPQ1289" s="66"/>
      <c r="QPR1289" s="66"/>
      <c r="QPS1289" s="66"/>
      <c r="QPT1289" s="66"/>
      <c r="QPU1289" s="66"/>
      <c r="QPV1289" s="66"/>
      <c r="QPW1289" s="66"/>
      <c r="QPX1289" s="66"/>
      <c r="QPY1289" s="66"/>
      <c r="QPZ1289" s="66"/>
      <c r="QQA1289" s="66"/>
      <c r="QQB1289" s="66"/>
      <c r="QQC1289" s="66"/>
      <c r="QQD1289" s="66"/>
      <c r="QQE1289" s="66"/>
      <c r="QQF1289" s="66"/>
      <c r="QQG1289" s="66"/>
      <c r="QQH1289" s="66"/>
      <c r="QQI1289" s="66"/>
      <c r="QQJ1289" s="66"/>
      <c r="QQK1289" s="66"/>
      <c r="QQL1289" s="66"/>
      <c r="QQM1289" s="66"/>
      <c r="QQN1289" s="66"/>
      <c r="QQO1289" s="66"/>
      <c r="QQP1289" s="66"/>
      <c r="QQQ1289" s="66"/>
      <c r="QQR1289" s="66"/>
      <c r="QQS1289" s="66"/>
      <c r="QQT1289" s="66"/>
      <c r="QQU1289" s="66"/>
      <c r="QQV1289" s="66"/>
      <c r="QQW1289" s="66"/>
      <c r="QQX1289" s="66"/>
      <c r="QQY1289" s="66"/>
      <c r="QQZ1289" s="66"/>
      <c r="QRA1289" s="66"/>
      <c r="QRB1289" s="66"/>
      <c r="QRC1289" s="66"/>
      <c r="QRD1289" s="66"/>
      <c r="QRE1289" s="66"/>
      <c r="QRF1289" s="66"/>
      <c r="QRG1289" s="66"/>
      <c r="QRH1289" s="66"/>
      <c r="QRI1289" s="66"/>
      <c r="QRJ1289" s="66"/>
      <c r="QRK1289" s="66"/>
      <c r="QRL1289" s="66"/>
      <c r="QRM1289" s="66"/>
      <c r="QRN1289" s="66"/>
      <c r="QRO1289" s="66"/>
      <c r="QRP1289" s="66"/>
      <c r="QRQ1289" s="66"/>
      <c r="QRR1289" s="66"/>
      <c r="QRS1289" s="66"/>
      <c r="QRT1289" s="66"/>
      <c r="QRU1289" s="66"/>
      <c r="QRV1289" s="66"/>
      <c r="QRW1289" s="66"/>
      <c r="QRX1289" s="66"/>
      <c r="QRY1289" s="66"/>
      <c r="QRZ1289" s="66"/>
      <c r="QSA1289" s="66"/>
      <c r="QSB1289" s="66"/>
      <c r="QSC1289" s="66"/>
      <c r="QSD1289" s="66"/>
      <c r="QSE1289" s="66"/>
      <c r="QSF1289" s="66"/>
      <c r="QSG1289" s="66"/>
      <c r="QSH1289" s="66"/>
      <c r="QSI1289" s="66"/>
      <c r="QSJ1289" s="66"/>
      <c r="QSK1289" s="66"/>
      <c r="QSL1289" s="66"/>
      <c r="QSM1289" s="66"/>
      <c r="QSN1289" s="66"/>
      <c r="QSO1289" s="66"/>
      <c r="QSP1289" s="66"/>
      <c r="QSQ1289" s="66"/>
      <c r="QSR1289" s="66"/>
      <c r="QSS1289" s="66"/>
      <c r="QST1289" s="66"/>
      <c r="QSU1289" s="66"/>
      <c r="QSV1289" s="66"/>
      <c r="QSW1289" s="66"/>
      <c r="QSX1289" s="66"/>
      <c r="QSY1289" s="66"/>
      <c r="QSZ1289" s="66"/>
      <c r="QTA1289" s="66"/>
      <c r="QTB1289" s="66"/>
      <c r="QTC1289" s="66"/>
      <c r="QTD1289" s="66"/>
      <c r="QTE1289" s="66"/>
      <c r="QTF1289" s="66"/>
      <c r="QTG1289" s="66"/>
      <c r="QTH1289" s="66"/>
      <c r="QTI1289" s="66"/>
      <c r="QTJ1289" s="66"/>
      <c r="QTK1289" s="66"/>
      <c r="QTL1289" s="66"/>
      <c r="QTM1289" s="66"/>
      <c r="QTN1289" s="66"/>
      <c r="QTO1289" s="66"/>
      <c r="QTP1289" s="66"/>
      <c r="QTQ1289" s="66"/>
      <c r="QTR1289" s="66"/>
      <c r="QTS1289" s="66"/>
      <c r="QTT1289" s="66"/>
      <c r="QTU1289" s="66"/>
      <c r="QTV1289" s="66"/>
      <c r="QTW1289" s="66"/>
      <c r="QTX1289" s="66"/>
      <c r="QTY1289" s="66"/>
      <c r="QTZ1289" s="66"/>
      <c r="QUA1289" s="66"/>
      <c r="QUB1289" s="66"/>
      <c r="QUC1289" s="66"/>
      <c r="QUD1289" s="66"/>
      <c r="QUE1289" s="66"/>
      <c r="QUF1289" s="66"/>
      <c r="QUG1289" s="66"/>
      <c r="QUH1289" s="66"/>
      <c r="QUI1289" s="66"/>
      <c r="QUJ1289" s="66"/>
      <c r="QUK1289" s="66"/>
      <c r="QUL1289" s="66"/>
      <c r="QUM1289" s="66"/>
      <c r="QUN1289" s="66"/>
      <c r="QUO1289" s="66"/>
      <c r="QUP1289" s="66"/>
      <c r="QUQ1289" s="66"/>
      <c r="QUR1289" s="66"/>
      <c r="QUS1289" s="66"/>
      <c r="QUT1289" s="66"/>
      <c r="QUU1289" s="66"/>
      <c r="QUV1289" s="66"/>
      <c r="QUW1289" s="66"/>
      <c r="QUX1289" s="66"/>
      <c r="QUY1289" s="66"/>
      <c r="QUZ1289" s="66"/>
      <c r="QVA1289" s="66"/>
      <c r="QVB1289" s="66"/>
      <c r="QVC1289" s="66"/>
      <c r="QVD1289" s="66"/>
      <c r="QVE1289" s="66"/>
      <c r="QVF1289" s="66"/>
      <c r="QVG1289" s="66"/>
      <c r="QVH1289" s="66"/>
      <c r="QVI1289" s="66"/>
      <c r="QVJ1289" s="66"/>
      <c r="QVK1289" s="66"/>
      <c r="QVL1289" s="66"/>
      <c r="QVM1289" s="66"/>
      <c r="QVN1289" s="66"/>
      <c r="QVO1289" s="66"/>
      <c r="QVP1289" s="66"/>
      <c r="QVQ1289" s="66"/>
      <c r="QVR1289" s="66"/>
      <c r="QVS1289" s="66"/>
      <c r="QVT1289" s="66"/>
      <c r="QVU1289" s="66"/>
      <c r="QVV1289" s="66"/>
      <c r="QVW1289" s="66"/>
      <c r="QVX1289" s="66"/>
      <c r="QVY1289" s="66"/>
      <c r="QVZ1289" s="66"/>
      <c r="QWA1289" s="66"/>
      <c r="QWB1289" s="66"/>
      <c r="QWC1289" s="66"/>
      <c r="QWD1289" s="66"/>
      <c r="QWE1289" s="66"/>
      <c r="QWF1289" s="66"/>
      <c r="QWG1289" s="66"/>
      <c r="QWH1289" s="66"/>
      <c r="QWI1289" s="66"/>
      <c r="QWJ1289" s="66"/>
      <c r="QWK1289" s="66"/>
      <c r="QWL1289" s="66"/>
      <c r="QWM1289" s="66"/>
      <c r="QWN1289" s="66"/>
      <c r="QWO1289" s="66"/>
      <c r="QWP1289" s="66"/>
      <c r="QWQ1289" s="66"/>
      <c r="QWR1289" s="66"/>
      <c r="QWS1289" s="66"/>
      <c r="QWT1289" s="66"/>
      <c r="QWU1289" s="66"/>
      <c r="QWV1289" s="66"/>
      <c r="QWW1289" s="66"/>
      <c r="QWX1289" s="66"/>
      <c r="QWY1289" s="66"/>
      <c r="QWZ1289" s="66"/>
      <c r="QXA1289" s="66"/>
      <c r="QXB1289" s="66"/>
      <c r="QXC1289" s="66"/>
      <c r="QXD1289" s="66"/>
      <c r="QXE1289" s="66"/>
      <c r="QXF1289" s="66"/>
      <c r="QXG1289" s="66"/>
      <c r="QXH1289" s="66"/>
      <c r="QXI1289" s="66"/>
      <c r="QXJ1289" s="66"/>
      <c r="QXK1289" s="66"/>
      <c r="QXL1289" s="66"/>
      <c r="QXM1289" s="66"/>
      <c r="QXN1289" s="66"/>
      <c r="QXO1289" s="66"/>
      <c r="QXP1289" s="66"/>
      <c r="QXQ1289" s="66"/>
      <c r="QXR1289" s="66"/>
      <c r="QXS1289" s="66"/>
      <c r="QXT1289" s="66"/>
      <c r="QXU1289" s="66"/>
      <c r="QXV1289" s="66"/>
      <c r="QXW1289" s="66"/>
      <c r="QXX1289" s="66"/>
      <c r="QXY1289" s="66"/>
      <c r="QXZ1289" s="66"/>
      <c r="QYA1289" s="66"/>
      <c r="QYB1289" s="66"/>
      <c r="QYC1289" s="66"/>
      <c r="QYD1289" s="66"/>
      <c r="QYE1289" s="66"/>
      <c r="QYF1289" s="66"/>
      <c r="QYG1289" s="66"/>
      <c r="QYH1289" s="66"/>
      <c r="QYI1289" s="66"/>
      <c r="QYJ1289" s="66"/>
      <c r="QYK1289" s="66"/>
      <c r="QYL1289" s="66"/>
      <c r="QYM1289" s="66"/>
      <c r="QYN1289" s="66"/>
      <c r="QYO1289" s="66"/>
      <c r="QYP1289" s="66"/>
      <c r="QYQ1289" s="66"/>
      <c r="QYR1289" s="66"/>
      <c r="QYS1289" s="66"/>
      <c r="QYT1289" s="66"/>
      <c r="QYU1289" s="66"/>
      <c r="QYV1289" s="66"/>
      <c r="QYW1289" s="66"/>
      <c r="QYX1289" s="66"/>
      <c r="QYY1289" s="66"/>
      <c r="QYZ1289" s="66"/>
      <c r="QZA1289" s="66"/>
      <c r="QZB1289" s="66"/>
      <c r="QZC1289" s="66"/>
      <c r="QZD1289" s="66"/>
      <c r="QZE1289" s="66"/>
      <c r="QZF1289" s="66"/>
      <c r="QZG1289" s="66"/>
      <c r="QZH1289" s="66"/>
      <c r="QZI1289" s="66"/>
      <c r="QZJ1289" s="66"/>
      <c r="QZK1289" s="66"/>
      <c r="QZL1289" s="66"/>
      <c r="QZM1289" s="66"/>
      <c r="QZN1289" s="66"/>
      <c r="QZO1289" s="66"/>
      <c r="QZP1289" s="66"/>
      <c r="QZQ1289" s="66"/>
      <c r="QZR1289" s="66"/>
      <c r="QZS1289" s="66"/>
      <c r="QZT1289" s="66"/>
      <c r="QZU1289" s="66"/>
      <c r="QZV1289" s="66"/>
      <c r="QZW1289" s="66"/>
      <c r="QZX1289" s="66"/>
      <c r="QZY1289" s="66"/>
      <c r="QZZ1289" s="66"/>
      <c r="RAA1289" s="66"/>
      <c r="RAB1289" s="66"/>
      <c r="RAC1289" s="66"/>
      <c r="RAD1289" s="66"/>
      <c r="RAE1289" s="66"/>
      <c r="RAF1289" s="66"/>
      <c r="RAG1289" s="66"/>
      <c r="RAH1289" s="66"/>
      <c r="RAI1289" s="66"/>
      <c r="RAJ1289" s="66"/>
      <c r="RAK1289" s="66"/>
      <c r="RAL1289" s="66"/>
      <c r="RAM1289" s="66"/>
      <c r="RAN1289" s="66"/>
      <c r="RAO1289" s="66"/>
      <c r="RAP1289" s="66"/>
      <c r="RAQ1289" s="66"/>
      <c r="RAR1289" s="66"/>
      <c r="RAS1289" s="66"/>
      <c r="RAT1289" s="66"/>
      <c r="RAU1289" s="66"/>
      <c r="RAV1289" s="66"/>
      <c r="RAW1289" s="66"/>
      <c r="RAX1289" s="66"/>
      <c r="RAY1289" s="66"/>
      <c r="RAZ1289" s="66"/>
      <c r="RBA1289" s="66"/>
      <c r="RBB1289" s="66"/>
      <c r="RBC1289" s="66"/>
      <c r="RBD1289" s="66"/>
      <c r="RBE1289" s="66"/>
      <c r="RBF1289" s="66"/>
      <c r="RBG1289" s="66"/>
      <c r="RBH1289" s="66"/>
      <c r="RBI1289" s="66"/>
      <c r="RBJ1289" s="66"/>
      <c r="RBK1289" s="66"/>
      <c r="RBL1289" s="66"/>
      <c r="RBM1289" s="66"/>
      <c r="RBN1289" s="66"/>
      <c r="RBO1289" s="66"/>
      <c r="RBP1289" s="66"/>
      <c r="RBQ1289" s="66"/>
      <c r="RBR1289" s="66"/>
      <c r="RBS1289" s="66"/>
      <c r="RBT1289" s="66"/>
      <c r="RBU1289" s="66"/>
      <c r="RBV1289" s="66"/>
      <c r="RBW1289" s="66"/>
      <c r="RBX1289" s="66"/>
      <c r="RBY1289" s="66"/>
      <c r="RBZ1289" s="66"/>
      <c r="RCA1289" s="66"/>
      <c r="RCB1289" s="66"/>
      <c r="RCC1289" s="66"/>
      <c r="RCD1289" s="66"/>
      <c r="RCE1289" s="66"/>
      <c r="RCF1289" s="66"/>
      <c r="RCG1289" s="66"/>
      <c r="RCH1289" s="66"/>
      <c r="RCI1289" s="66"/>
      <c r="RCJ1289" s="66"/>
      <c r="RCK1289" s="66"/>
      <c r="RCL1289" s="66"/>
      <c r="RCM1289" s="66"/>
      <c r="RCN1289" s="66"/>
      <c r="RCO1289" s="66"/>
      <c r="RCP1289" s="66"/>
      <c r="RCQ1289" s="66"/>
      <c r="RCR1289" s="66"/>
      <c r="RCS1289" s="66"/>
      <c r="RCT1289" s="66"/>
      <c r="RCU1289" s="66"/>
      <c r="RCV1289" s="66"/>
      <c r="RCW1289" s="66"/>
      <c r="RCX1289" s="66"/>
      <c r="RCY1289" s="66"/>
      <c r="RCZ1289" s="66"/>
      <c r="RDA1289" s="66"/>
      <c r="RDB1289" s="66"/>
      <c r="RDC1289" s="66"/>
      <c r="RDD1289" s="66"/>
      <c r="RDE1289" s="66"/>
      <c r="RDF1289" s="66"/>
      <c r="RDG1289" s="66"/>
      <c r="RDH1289" s="66"/>
      <c r="RDI1289" s="66"/>
      <c r="RDJ1289" s="66"/>
      <c r="RDK1289" s="66"/>
      <c r="RDL1289" s="66"/>
      <c r="RDM1289" s="66"/>
      <c r="RDN1289" s="66"/>
      <c r="RDO1289" s="66"/>
      <c r="RDP1289" s="66"/>
      <c r="RDQ1289" s="66"/>
      <c r="RDR1289" s="66"/>
      <c r="RDS1289" s="66"/>
      <c r="RDT1289" s="66"/>
      <c r="RDU1289" s="66"/>
      <c r="RDV1289" s="66"/>
      <c r="RDW1289" s="66"/>
      <c r="RDX1289" s="66"/>
      <c r="RDY1289" s="66"/>
      <c r="RDZ1289" s="66"/>
      <c r="REA1289" s="66"/>
      <c r="REB1289" s="66"/>
      <c r="REC1289" s="66"/>
      <c r="RED1289" s="66"/>
      <c r="REE1289" s="66"/>
      <c r="REF1289" s="66"/>
      <c r="REG1289" s="66"/>
      <c r="REH1289" s="66"/>
      <c r="REI1289" s="66"/>
      <c r="REJ1289" s="66"/>
      <c r="REK1289" s="66"/>
      <c r="REL1289" s="66"/>
      <c r="REM1289" s="66"/>
      <c r="REN1289" s="66"/>
      <c r="REO1289" s="66"/>
      <c r="REP1289" s="66"/>
      <c r="REQ1289" s="66"/>
      <c r="RER1289" s="66"/>
      <c r="RES1289" s="66"/>
      <c r="RET1289" s="66"/>
      <c r="REU1289" s="66"/>
      <c r="REV1289" s="66"/>
      <c r="REW1289" s="66"/>
      <c r="REX1289" s="66"/>
      <c r="REY1289" s="66"/>
      <c r="REZ1289" s="66"/>
      <c r="RFA1289" s="66"/>
      <c r="RFB1289" s="66"/>
      <c r="RFC1289" s="66"/>
      <c r="RFD1289" s="66"/>
      <c r="RFE1289" s="66"/>
      <c r="RFF1289" s="66"/>
      <c r="RFG1289" s="66"/>
      <c r="RFH1289" s="66"/>
      <c r="RFI1289" s="66"/>
      <c r="RFJ1289" s="66"/>
      <c r="RFK1289" s="66"/>
      <c r="RFL1289" s="66"/>
      <c r="RFM1289" s="66"/>
      <c r="RFN1289" s="66"/>
      <c r="RFO1289" s="66"/>
      <c r="RFP1289" s="66"/>
      <c r="RFQ1289" s="66"/>
      <c r="RFR1289" s="66"/>
      <c r="RFS1289" s="66"/>
      <c r="RFT1289" s="66"/>
      <c r="RFU1289" s="66"/>
      <c r="RFV1289" s="66"/>
      <c r="RFW1289" s="66"/>
      <c r="RFX1289" s="66"/>
      <c r="RFY1289" s="66"/>
      <c r="RFZ1289" s="66"/>
      <c r="RGA1289" s="66"/>
      <c r="RGB1289" s="66"/>
      <c r="RGC1289" s="66"/>
      <c r="RGD1289" s="66"/>
      <c r="RGE1289" s="66"/>
      <c r="RGF1289" s="66"/>
      <c r="RGG1289" s="66"/>
      <c r="RGH1289" s="66"/>
      <c r="RGI1289" s="66"/>
      <c r="RGJ1289" s="66"/>
      <c r="RGK1289" s="66"/>
      <c r="RGL1289" s="66"/>
      <c r="RGM1289" s="66"/>
      <c r="RGN1289" s="66"/>
      <c r="RGO1289" s="66"/>
      <c r="RGP1289" s="66"/>
      <c r="RGQ1289" s="66"/>
      <c r="RGR1289" s="66"/>
      <c r="RGS1289" s="66"/>
      <c r="RGT1289" s="66"/>
      <c r="RGU1289" s="66"/>
      <c r="RGV1289" s="66"/>
      <c r="RGW1289" s="66"/>
      <c r="RGX1289" s="66"/>
      <c r="RGY1289" s="66"/>
      <c r="RGZ1289" s="66"/>
      <c r="RHA1289" s="66"/>
      <c r="RHB1289" s="66"/>
      <c r="RHC1289" s="66"/>
      <c r="RHD1289" s="66"/>
      <c r="RHE1289" s="66"/>
      <c r="RHF1289" s="66"/>
      <c r="RHG1289" s="66"/>
      <c r="RHH1289" s="66"/>
      <c r="RHI1289" s="66"/>
      <c r="RHJ1289" s="66"/>
      <c r="RHK1289" s="66"/>
      <c r="RHL1289" s="66"/>
      <c r="RHM1289" s="66"/>
      <c r="RHN1289" s="66"/>
      <c r="RHO1289" s="66"/>
      <c r="RHP1289" s="66"/>
      <c r="RHQ1289" s="66"/>
      <c r="RHR1289" s="66"/>
      <c r="RHS1289" s="66"/>
      <c r="RHT1289" s="66"/>
      <c r="RHU1289" s="66"/>
      <c r="RHV1289" s="66"/>
      <c r="RHW1289" s="66"/>
      <c r="RHX1289" s="66"/>
      <c r="RHY1289" s="66"/>
      <c r="RHZ1289" s="66"/>
      <c r="RIA1289" s="66"/>
      <c r="RIB1289" s="66"/>
      <c r="RIC1289" s="66"/>
      <c r="RID1289" s="66"/>
      <c r="RIE1289" s="66"/>
      <c r="RIF1289" s="66"/>
      <c r="RIG1289" s="66"/>
      <c r="RIH1289" s="66"/>
      <c r="RII1289" s="66"/>
      <c r="RIJ1289" s="66"/>
      <c r="RIK1289" s="66"/>
      <c r="RIL1289" s="66"/>
      <c r="RIM1289" s="66"/>
      <c r="RIN1289" s="66"/>
      <c r="RIO1289" s="66"/>
      <c r="RIP1289" s="66"/>
      <c r="RIQ1289" s="66"/>
      <c r="RIR1289" s="66"/>
      <c r="RIS1289" s="66"/>
      <c r="RIT1289" s="66"/>
      <c r="RIU1289" s="66"/>
      <c r="RIV1289" s="66"/>
      <c r="RIW1289" s="66"/>
      <c r="RIX1289" s="66"/>
      <c r="RIY1289" s="66"/>
      <c r="RIZ1289" s="66"/>
      <c r="RJA1289" s="66"/>
      <c r="RJB1289" s="66"/>
      <c r="RJC1289" s="66"/>
      <c r="RJD1289" s="66"/>
      <c r="RJE1289" s="66"/>
      <c r="RJF1289" s="66"/>
      <c r="RJG1289" s="66"/>
      <c r="RJH1289" s="66"/>
      <c r="RJI1289" s="66"/>
      <c r="RJJ1289" s="66"/>
      <c r="RJK1289" s="66"/>
      <c r="RJL1289" s="66"/>
      <c r="RJM1289" s="66"/>
      <c r="RJN1289" s="66"/>
      <c r="RJO1289" s="66"/>
      <c r="RJP1289" s="66"/>
      <c r="RJQ1289" s="66"/>
      <c r="RJR1289" s="66"/>
      <c r="RJS1289" s="66"/>
      <c r="RJT1289" s="66"/>
      <c r="RJU1289" s="66"/>
      <c r="RJV1289" s="66"/>
      <c r="RJW1289" s="66"/>
      <c r="RJX1289" s="66"/>
      <c r="RJY1289" s="66"/>
      <c r="RJZ1289" s="66"/>
      <c r="RKA1289" s="66"/>
      <c r="RKB1289" s="66"/>
      <c r="RKC1289" s="66"/>
      <c r="RKD1289" s="66"/>
      <c r="RKE1289" s="66"/>
      <c r="RKF1289" s="66"/>
      <c r="RKG1289" s="66"/>
      <c r="RKH1289" s="66"/>
      <c r="RKI1289" s="66"/>
      <c r="RKJ1289" s="66"/>
      <c r="RKK1289" s="66"/>
      <c r="RKL1289" s="66"/>
      <c r="RKM1289" s="66"/>
      <c r="RKN1289" s="66"/>
      <c r="RKO1289" s="66"/>
      <c r="RKP1289" s="66"/>
      <c r="RKQ1289" s="66"/>
      <c r="RKR1289" s="66"/>
      <c r="RKS1289" s="66"/>
      <c r="RKT1289" s="66"/>
      <c r="RKU1289" s="66"/>
      <c r="RKV1289" s="66"/>
      <c r="RKW1289" s="66"/>
      <c r="RKX1289" s="66"/>
      <c r="RKY1289" s="66"/>
      <c r="RKZ1289" s="66"/>
      <c r="RLA1289" s="66"/>
      <c r="RLB1289" s="66"/>
      <c r="RLC1289" s="66"/>
      <c r="RLD1289" s="66"/>
      <c r="RLE1289" s="66"/>
      <c r="RLF1289" s="66"/>
      <c r="RLG1289" s="66"/>
      <c r="RLH1289" s="66"/>
      <c r="RLI1289" s="66"/>
      <c r="RLJ1289" s="66"/>
      <c r="RLK1289" s="66"/>
      <c r="RLL1289" s="66"/>
      <c r="RLM1289" s="66"/>
      <c r="RLN1289" s="66"/>
      <c r="RLO1289" s="66"/>
      <c r="RLP1289" s="66"/>
      <c r="RLQ1289" s="66"/>
      <c r="RLR1289" s="66"/>
      <c r="RLS1289" s="66"/>
      <c r="RLT1289" s="66"/>
      <c r="RLU1289" s="66"/>
      <c r="RLV1289" s="66"/>
      <c r="RLW1289" s="66"/>
      <c r="RLX1289" s="66"/>
      <c r="RLY1289" s="66"/>
      <c r="RLZ1289" s="66"/>
      <c r="RMA1289" s="66"/>
      <c r="RMB1289" s="66"/>
      <c r="RMC1289" s="66"/>
      <c r="RMD1289" s="66"/>
      <c r="RME1289" s="66"/>
      <c r="RMF1289" s="66"/>
      <c r="RMG1289" s="66"/>
      <c r="RMH1289" s="66"/>
      <c r="RMI1289" s="66"/>
      <c r="RMJ1289" s="66"/>
      <c r="RMK1289" s="66"/>
      <c r="RML1289" s="66"/>
      <c r="RMM1289" s="66"/>
      <c r="RMN1289" s="66"/>
      <c r="RMO1289" s="66"/>
      <c r="RMP1289" s="66"/>
      <c r="RMQ1289" s="66"/>
      <c r="RMR1289" s="66"/>
      <c r="RMS1289" s="66"/>
      <c r="RMT1289" s="66"/>
      <c r="RMU1289" s="66"/>
      <c r="RMV1289" s="66"/>
      <c r="RMW1289" s="66"/>
      <c r="RMX1289" s="66"/>
      <c r="RMY1289" s="66"/>
      <c r="RMZ1289" s="66"/>
      <c r="RNA1289" s="66"/>
      <c r="RNB1289" s="66"/>
      <c r="RNC1289" s="66"/>
      <c r="RND1289" s="66"/>
      <c r="RNE1289" s="66"/>
      <c r="RNF1289" s="66"/>
      <c r="RNG1289" s="66"/>
      <c r="RNH1289" s="66"/>
      <c r="RNI1289" s="66"/>
      <c r="RNJ1289" s="66"/>
      <c r="RNK1289" s="66"/>
      <c r="RNL1289" s="66"/>
      <c r="RNM1289" s="66"/>
      <c r="RNN1289" s="66"/>
      <c r="RNO1289" s="66"/>
      <c r="RNP1289" s="66"/>
      <c r="RNQ1289" s="66"/>
      <c r="RNR1289" s="66"/>
      <c r="RNS1289" s="66"/>
      <c r="RNT1289" s="66"/>
      <c r="RNU1289" s="66"/>
      <c r="RNV1289" s="66"/>
      <c r="RNW1289" s="66"/>
      <c r="RNX1289" s="66"/>
      <c r="RNY1289" s="66"/>
      <c r="RNZ1289" s="66"/>
      <c r="ROA1289" s="66"/>
      <c r="ROB1289" s="66"/>
      <c r="ROC1289" s="66"/>
      <c r="ROD1289" s="66"/>
      <c r="ROE1289" s="66"/>
      <c r="ROF1289" s="66"/>
      <c r="ROG1289" s="66"/>
      <c r="ROH1289" s="66"/>
      <c r="ROI1289" s="66"/>
      <c r="ROJ1289" s="66"/>
      <c r="ROK1289" s="66"/>
      <c r="ROL1289" s="66"/>
      <c r="ROM1289" s="66"/>
      <c r="RON1289" s="66"/>
      <c r="ROO1289" s="66"/>
      <c r="ROP1289" s="66"/>
      <c r="ROQ1289" s="66"/>
      <c r="ROR1289" s="66"/>
      <c r="ROS1289" s="66"/>
      <c r="ROT1289" s="66"/>
      <c r="ROU1289" s="66"/>
      <c r="ROV1289" s="66"/>
      <c r="ROW1289" s="66"/>
      <c r="ROX1289" s="66"/>
      <c r="ROY1289" s="66"/>
      <c r="ROZ1289" s="66"/>
      <c r="RPA1289" s="66"/>
      <c r="RPB1289" s="66"/>
      <c r="RPC1289" s="66"/>
      <c r="RPD1289" s="66"/>
      <c r="RPE1289" s="66"/>
      <c r="RPF1289" s="66"/>
      <c r="RPG1289" s="66"/>
      <c r="RPH1289" s="66"/>
      <c r="RPI1289" s="66"/>
      <c r="RPJ1289" s="66"/>
      <c r="RPK1289" s="66"/>
      <c r="RPL1289" s="66"/>
      <c r="RPM1289" s="66"/>
      <c r="RPN1289" s="66"/>
      <c r="RPO1289" s="66"/>
      <c r="RPP1289" s="66"/>
      <c r="RPQ1289" s="66"/>
      <c r="RPR1289" s="66"/>
      <c r="RPS1289" s="66"/>
      <c r="RPT1289" s="66"/>
      <c r="RPU1289" s="66"/>
      <c r="RPV1289" s="66"/>
      <c r="RPW1289" s="66"/>
      <c r="RPX1289" s="66"/>
      <c r="RPY1289" s="66"/>
      <c r="RPZ1289" s="66"/>
      <c r="RQA1289" s="66"/>
      <c r="RQB1289" s="66"/>
      <c r="RQC1289" s="66"/>
      <c r="RQD1289" s="66"/>
      <c r="RQE1289" s="66"/>
      <c r="RQF1289" s="66"/>
      <c r="RQG1289" s="66"/>
      <c r="RQH1289" s="66"/>
      <c r="RQI1289" s="66"/>
      <c r="RQJ1289" s="66"/>
      <c r="RQK1289" s="66"/>
      <c r="RQL1289" s="66"/>
      <c r="RQM1289" s="66"/>
      <c r="RQN1289" s="66"/>
      <c r="RQO1289" s="66"/>
      <c r="RQP1289" s="66"/>
      <c r="RQQ1289" s="66"/>
      <c r="RQR1289" s="66"/>
      <c r="RQS1289" s="66"/>
      <c r="RQT1289" s="66"/>
      <c r="RQU1289" s="66"/>
      <c r="RQV1289" s="66"/>
      <c r="RQW1289" s="66"/>
      <c r="RQX1289" s="66"/>
      <c r="RQY1289" s="66"/>
      <c r="RQZ1289" s="66"/>
      <c r="RRA1289" s="66"/>
      <c r="RRB1289" s="66"/>
      <c r="RRC1289" s="66"/>
      <c r="RRD1289" s="66"/>
      <c r="RRE1289" s="66"/>
      <c r="RRF1289" s="66"/>
      <c r="RRG1289" s="66"/>
      <c r="RRH1289" s="66"/>
      <c r="RRI1289" s="66"/>
      <c r="RRJ1289" s="66"/>
      <c r="RRK1289" s="66"/>
      <c r="RRL1289" s="66"/>
      <c r="RRM1289" s="66"/>
      <c r="RRN1289" s="66"/>
      <c r="RRO1289" s="66"/>
      <c r="RRP1289" s="66"/>
      <c r="RRQ1289" s="66"/>
      <c r="RRR1289" s="66"/>
      <c r="RRS1289" s="66"/>
      <c r="RRT1289" s="66"/>
      <c r="RRU1289" s="66"/>
      <c r="RRV1289" s="66"/>
      <c r="RRW1289" s="66"/>
      <c r="RRX1289" s="66"/>
      <c r="RRY1289" s="66"/>
      <c r="RRZ1289" s="66"/>
      <c r="RSA1289" s="66"/>
      <c r="RSB1289" s="66"/>
      <c r="RSC1289" s="66"/>
      <c r="RSD1289" s="66"/>
      <c r="RSE1289" s="66"/>
      <c r="RSF1289" s="66"/>
      <c r="RSG1289" s="66"/>
      <c r="RSH1289" s="66"/>
      <c r="RSI1289" s="66"/>
      <c r="RSJ1289" s="66"/>
      <c r="RSK1289" s="66"/>
      <c r="RSL1289" s="66"/>
      <c r="RSM1289" s="66"/>
      <c r="RSN1289" s="66"/>
      <c r="RSO1289" s="66"/>
      <c r="RSP1289" s="66"/>
      <c r="RSQ1289" s="66"/>
      <c r="RSR1289" s="66"/>
      <c r="RSS1289" s="66"/>
      <c r="RST1289" s="66"/>
      <c r="RSU1289" s="66"/>
      <c r="RSV1289" s="66"/>
      <c r="RSW1289" s="66"/>
      <c r="RSX1289" s="66"/>
      <c r="RSY1289" s="66"/>
      <c r="RSZ1289" s="66"/>
      <c r="RTA1289" s="66"/>
      <c r="RTB1289" s="66"/>
      <c r="RTC1289" s="66"/>
      <c r="RTD1289" s="66"/>
      <c r="RTE1289" s="66"/>
      <c r="RTF1289" s="66"/>
      <c r="RTG1289" s="66"/>
      <c r="RTH1289" s="66"/>
      <c r="RTI1289" s="66"/>
      <c r="RTJ1289" s="66"/>
      <c r="RTK1289" s="66"/>
      <c r="RTL1289" s="66"/>
      <c r="RTM1289" s="66"/>
      <c r="RTN1289" s="66"/>
      <c r="RTO1289" s="66"/>
      <c r="RTP1289" s="66"/>
      <c r="RTQ1289" s="66"/>
      <c r="RTR1289" s="66"/>
      <c r="RTS1289" s="66"/>
      <c r="RTT1289" s="66"/>
      <c r="RTU1289" s="66"/>
      <c r="RTV1289" s="66"/>
      <c r="RTW1289" s="66"/>
      <c r="RTX1289" s="66"/>
      <c r="RTY1289" s="66"/>
      <c r="RTZ1289" s="66"/>
      <c r="RUA1289" s="66"/>
      <c r="RUB1289" s="66"/>
      <c r="RUC1289" s="66"/>
      <c r="RUD1289" s="66"/>
      <c r="RUE1289" s="66"/>
      <c r="RUF1289" s="66"/>
      <c r="RUG1289" s="66"/>
      <c r="RUH1289" s="66"/>
      <c r="RUI1289" s="66"/>
      <c r="RUJ1289" s="66"/>
      <c r="RUK1289" s="66"/>
      <c r="RUL1289" s="66"/>
      <c r="RUM1289" s="66"/>
      <c r="RUN1289" s="66"/>
      <c r="RUO1289" s="66"/>
      <c r="RUP1289" s="66"/>
      <c r="RUQ1289" s="66"/>
      <c r="RUR1289" s="66"/>
      <c r="RUS1289" s="66"/>
      <c r="RUT1289" s="66"/>
      <c r="RUU1289" s="66"/>
      <c r="RUV1289" s="66"/>
      <c r="RUW1289" s="66"/>
      <c r="RUX1289" s="66"/>
      <c r="RUY1289" s="66"/>
      <c r="RUZ1289" s="66"/>
      <c r="RVA1289" s="66"/>
      <c r="RVB1289" s="66"/>
      <c r="RVC1289" s="66"/>
      <c r="RVD1289" s="66"/>
      <c r="RVE1289" s="66"/>
      <c r="RVF1289" s="66"/>
      <c r="RVG1289" s="66"/>
      <c r="RVH1289" s="66"/>
      <c r="RVI1289" s="66"/>
      <c r="RVJ1289" s="66"/>
      <c r="RVK1289" s="66"/>
      <c r="RVL1289" s="66"/>
      <c r="RVM1289" s="66"/>
      <c r="RVN1289" s="66"/>
      <c r="RVO1289" s="66"/>
      <c r="RVP1289" s="66"/>
      <c r="RVQ1289" s="66"/>
      <c r="RVR1289" s="66"/>
      <c r="RVS1289" s="66"/>
      <c r="RVT1289" s="66"/>
      <c r="RVU1289" s="66"/>
      <c r="RVV1289" s="66"/>
      <c r="RVW1289" s="66"/>
      <c r="RVX1289" s="66"/>
      <c r="RVY1289" s="66"/>
      <c r="RVZ1289" s="66"/>
      <c r="RWA1289" s="66"/>
      <c r="RWB1289" s="66"/>
      <c r="RWC1289" s="66"/>
      <c r="RWD1289" s="66"/>
      <c r="RWE1289" s="66"/>
      <c r="RWF1289" s="66"/>
      <c r="RWG1289" s="66"/>
      <c r="RWH1289" s="66"/>
      <c r="RWI1289" s="66"/>
      <c r="RWJ1289" s="66"/>
      <c r="RWK1289" s="66"/>
      <c r="RWL1289" s="66"/>
      <c r="RWM1289" s="66"/>
      <c r="RWN1289" s="66"/>
      <c r="RWO1289" s="66"/>
      <c r="RWP1289" s="66"/>
      <c r="RWQ1289" s="66"/>
      <c r="RWR1289" s="66"/>
      <c r="RWS1289" s="66"/>
      <c r="RWT1289" s="66"/>
      <c r="RWU1289" s="66"/>
      <c r="RWV1289" s="66"/>
      <c r="RWW1289" s="66"/>
      <c r="RWX1289" s="66"/>
      <c r="RWY1289" s="66"/>
      <c r="RWZ1289" s="66"/>
      <c r="RXA1289" s="66"/>
      <c r="RXB1289" s="66"/>
      <c r="RXC1289" s="66"/>
      <c r="RXD1289" s="66"/>
      <c r="RXE1289" s="66"/>
      <c r="RXF1289" s="66"/>
      <c r="RXG1289" s="66"/>
      <c r="RXH1289" s="66"/>
      <c r="RXI1289" s="66"/>
      <c r="RXJ1289" s="66"/>
      <c r="RXK1289" s="66"/>
      <c r="RXL1289" s="66"/>
      <c r="RXM1289" s="66"/>
      <c r="RXN1289" s="66"/>
      <c r="RXO1289" s="66"/>
      <c r="RXP1289" s="66"/>
      <c r="RXQ1289" s="66"/>
      <c r="RXR1289" s="66"/>
      <c r="RXS1289" s="66"/>
      <c r="RXT1289" s="66"/>
      <c r="RXU1289" s="66"/>
      <c r="RXV1289" s="66"/>
      <c r="RXW1289" s="66"/>
      <c r="RXX1289" s="66"/>
      <c r="RXY1289" s="66"/>
      <c r="RXZ1289" s="66"/>
      <c r="RYA1289" s="66"/>
      <c r="RYB1289" s="66"/>
      <c r="RYC1289" s="66"/>
      <c r="RYD1289" s="66"/>
      <c r="RYE1289" s="66"/>
      <c r="RYF1289" s="66"/>
      <c r="RYG1289" s="66"/>
      <c r="RYH1289" s="66"/>
      <c r="RYI1289" s="66"/>
      <c r="RYJ1289" s="66"/>
      <c r="RYK1289" s="66"/>
      <c r="RYL1289" s="66"/>
      <c r="RYM1289" s="66"/>
      <c r="RYN1289" s="66"/>
      <c r="RYO1289" s="66"/>
      <c r="RYP1289" s="66"/>
      <c r="RYQ1289" s="66"/>
      <c r="RYR1289" s="66"/>
      <c r="RYS1289" s="66"/>
      <c r="RYT1289" s="66"/>
      <c r="RYU1289" s="66"/>
      <c r="RYV1289" s="66"/>
      <c r="RYW1289" s="66"/>
      <c r="RYX1289" s="66"/>
      <c r="RYY1289" s="66"/>
      <c r="RYZ1289" s="66"/>
      <c r="RZA1289" s="66"/>
      <c r="RZB1289" s="66"/>
      <c r="RZC1289" s="66"/>
      <c r="RZD1289" s="66"/>
      <c r="RZE1289" s="66"/>
      <c r="RZF1289" s="66"/>
      <c r="RZG1289" s="66"/>
      <c r="RZH1289" s="66"/>
      <c r="RZI1289" s="66"/>
      <c r="RZJ1289" s="66"/>
      <c r="RZK1289" s="66"/>
      <c r="RZL1289" s="66"/>
      <c r="RZM1289" s="66"/>
      <c r="RZN1289" s="66"/>
      <c r="RZO1289" s="66"/>
      <c r="RZP1289" s="66"/>
      <c r="RZQ1289" s="66"/>
      <c r="RZR1289" s="66"/>
      <c r="RZS1289" s="66"/>
      <c r="RZT1289" s="66"/>
      <c r="RZU1289" s="66"/>
      <c r="RZV1289" s="66"/>
      <c r="RZW1289" s="66"/>
      <c r="RZX1289" s="66"/>
      <c r="RZY1289" s="66"/>
      <c r="RZZ1289" s="66"/>
      <c r="SAA1289" s="66"/>
      <c r="SAB1289" s="66"/>
      <c r="SAC1289" s="66"/>
      <c r="SAD1289" s="66"/>
      <c r="SAE1289" s="66"/>
      <c r="SAF1289" s="66"/>
      <c r="SAG1289" s="66"/>
      <c r="SAH1289" s="66"/>
      <c r="SAI1289" s="66"/>
      <c r="SAJ1289" s="66"/>
      <c r="SAK1289" s="66"/>
      <c r="SAL1289" s="66"/>
      <c r="SAM1289" s="66"/>
      <c r="SAN1289" s="66"/>
      <c r="SAO1289" s="66"/>
      <c r="SAP1289" s="66"/>
      <c r="SAQ1289" s="66"/>
      <c r="SAR1289" s="66"/>
      <c r="SAS1289" s="66"/>
      <c r="SAT1289" s="66"/>
      <c r="SAU1289" s="66"/>
      <c r="SAV1289" s="66"/>
      <c r="SAW1289" s="66"/>
      <c r="SAX1289" s="66"/>
      <c r="SAY1289" s="66"/>
      <c r="SAZ1289" s="66"/>
      <c r="SBA1289" s="66"/>
      <c r="SBB1289" s="66"/>
      <c r="SBC1289" s="66"/>
      <c r="SBD1289" s="66"/>
      <c r="SBE1289" s="66"/>
      <c r="SBF1289" s="66"/>
      <c r="SBG1289" s="66"/>
      <c r="SBH1289" s="66"/>
      <c r="SBI1289" s="66"/>
      <c r="SBJ1289" s="66"/>
      <c r="SBK1289" s="66"/>
      <c r="SBL1289" s="66"/>
      <c r="SBM1289" s="66"/>
      <c r="SBN1289" s="66"/>
      <c r="SBO1289" s="66"/>
      <c r="SBP1289" s="66"/>
      <c r="SBQ1289" s="66"/>
      <c r="SBR1289" s="66"/>
      <c r="SBS1289" s="66"/>
      <c r="SBT1289" s="66"/>
      <c r="SBU1289" s="66"/>
      <c r="SBV1289" s="66"/>
      <c r="SBW1289" s="66"/>
      <c r="SBX1289" s="66"/>
      <c r="SBY1289" s="66"/>
      <c r="SBZ1289" s="66"/>
      <c r="SCA1289" s="66"/>
      <c r="SCB1289" s="66"/>
      <c r="SCC1289" s="66"/>
      <c r="SCD1289" s="66"/>
      <c r="SCE1289" s="66"/>
      <c r="SCF1289" s="66"/>
      <c r="SCG1289" s="66"/>
      <c r="SCH1289" s="66"/>
      <c r="SCI1289" s="66"/>
      <c r="SCJ1289" s="66"/>
      <c r="SCK1289" s="66"/>
      <c r="SCL1289" s="66"/>
      <c r="SCM1289" s="66"/>
      <c r="SCN1289" s="66"/>
      <c r="SCO1289" s="66"/>
      <c r="SCP1289" s="66"/>
      <c r="SCQ1289" s="66"/>
      <c r="SCR1289" s="66"/>
      <c r="SCS1289" s="66"/>
      <c r="SCT1289" s="66"/>
      <c r="SCU1289" s="66"/>
      <c r="SCV1289" s="66"/>
      <c r="SCW1289" s="66"/>
      <c r="SCX1289" s="66"/>
      <c r="SCY1289" s="66"/>
      <c r="SCZ1289" s="66"/>
      <c r="SDA1289" s="66"/>
      <c r="SDB1289" s="66"/>
      <c r="SDC1289" s="66"/>
      <c r="SDD1289" s="66"/>
      <c r="SDE1289" s="66"/>
      <c r="SDF1289" s="66"/>
      <c r="SDG1289" s="66"/>
      <c r="SDH1289" s="66"/>
      <c r="SDI1289" s="66"/>
      <c r="SDJ1289" s="66"/>
      <c r="SDK1289" s="66"/>
      <c r="SDL1289" s="66"/>
      <c r="SDM1289" s="66"/>
      <c r="SDN1289" s="66"/>
      <c r="SDO1289" s="66"/>
      <c r="SDP1289" s="66"/>
      <c r="SDQ1289" s="66"/>
      <c r="SDR1289" s="66"/>
      <c r="SDS1289" s="66"/>
      <c r="SDT1289" s="66"/>
      <c r="SDU1289" s="66"/>
      <c r="SDV1289" s="66"/>
      <c r="SDW1289" s="66"/>
      <c r="SDX1289" s="66"/>
      <c r="SDY1289" s="66"/>
      <c r="SDZ1289" s="66"/>
      <c r="SEA1289" s="66"/>
      <c r="SEB1289" s="66"/>
      <c r="SEC1289" s="66"/>
      <c r="SED1289" s="66"/>
      <c r="SEE1289" s="66"/>
      <c r="SEF1289" s="66"/>
      <c r="SEG1289" s="66"/>
      <c r="SEH1289" s="66"/>
      <c r="SEI1289" s="66"/>
      <c r="SEJ1289" s="66"/>
      <c r="SEK1289" s="66"/>
      <c r="SEL1289" s="66"/>
      <c r="SEM1289" s="66"/>
      <c r="SEN1289" s="66"/>
      <c r="SEO1289" s="66"/>
      <c r="SEP1289" s="66"/>
      <c r="SEQ1289" s="66"/>
      <c r="SER1289" s="66"/>
      <c r="SES1289" s="66"/>
      <c r="SET1289" s="66"/>
      <c r="SEU1289" s="66"/>
      <c r="SEV1289" s="66"/>
      <c r="SEW1289" s="66"/>
      <c r="SEX1289" s="66"/>
      <c r="SEY1289" s="66"/>
      <c r="SEZ1289" s="66"/>
      <c r="SFA1289" s="66"/>
      <c r="SFB1289" s="66"/>
      <c r="SFC1289" s="66"/>
      <c r="SFD1289" s="66"/>
      <c r="SFE1289" s="66"/>
      <c r="SFF1289" s="66"/>
      <c r="SFG1289" s="66"/>
      <c r="SFH1289" s="66"/>
      <c r="SFI1289" s="66"/>
      <c r="SFJ1289" s="66"/>
      <c r="SFK1289" s="66"/>
      <c r="SFL1289" s="66"/>
      <c r="SFM1289" s="66"/>
      <c r="SFN1289" s="66"/>
      <c r="SFO1289" s="66"/>
      <c r="SFP1289" s="66"/>
      <c r="SFQ1289" s="66"/>
      <c r="SFR1289" s="66"/>
      <c r="SFS1289" s="66"/>
      <c r="SFT1289" s="66"/>
      <c r="SFU1289" s="66"/>
      <c r="SFV1289" s="66"/>
      <c r="SFW1289" s="66"/>
      <c r="SFX1289" s="66"/>
      <c r="SFY1289" s="66"/>
      <c r="SFZ1289" s="66"/>
      <c r="SGA1289" s="66"/>
      <c r="SGB1289" s="66"/>
      <c r="SGC1289" s="66"/>
      <c r="SGD1289" s="66"/>
      <c r="SGE1289" s="66"/>
      <c r="SGF1289" s="66"/>
      <c r="SGG1289" s="66"/>
      <c r="SGH1289" s="66"/>
      <c r="SGI1289" s="66"/>
      <c r="SGJ1289" s="66"/>
      <c r="SGK1289" s="66"/>
      <c r="SGL1289" s="66"/>
      <c r="SGM1289" s="66"/>
      <c r="SGN1289" s="66"/>
      <c r="SGO1289" s="66"/>
      <c r="SGP1289" s="66"/>
      <c r="SGQ1289" s="66"/>
      <c r="SGR1289" s="66"/>
      <c r="SGS1289" s="66"/>
      <c r="SGT1289" s="66"/>
      <c r="SGU1289" s="66"/>
      <c r="SGV1289" s="66"/>
      <c r="SGW1289" s="66"/>
      <c r="SGX1289" s="66"/>
      <c r="SGY1289" s="66"/>
      <c r="SGZ1289" s="66"/>
      <c r="SHA1289" s="66"/>
      <c r="SHB1289" s="66"/>
      <c r="SHC1289" s="66"/>
      <c r="SHD1289" s="66"/>
      <c r="SHE1289" s="66"/>
      <c r="SHF1289" s="66"/>
      <c r="SHG1289" s="66"/>
      <c r="SHH1289" s="66"/>
      <c r="SHI1289" s="66"/>
      <c r="SHJ1289" s="66"/>
      <c r="SHK1289" s="66"/>
      <c r="SHL1289" s="66"/>
      <c r="SHM1289" s="66"/>
      <c r="SHN1289" s="66"/>
      <c r="SHO1289" s="66"/>
      <c r="SHP1289" s="66"/>
      <c r="SHQ1289" s="66"/>
      <c r="SHR1289" s="66"/>
      <c r="SHS1289" s="66"/>
      <c r="SHT1289" s="66"/>
      <c r="SHU1289" s="66"/>
      <c r="SHV1289" s="66"/>
      <c r="SHW1289" s="66"/>
      <c r="SHX1289" s="66"/>
      <c r="SHY1289" s="66"/>
      <c r="SHZ1289" s="66"/>
      <c r="SIA1289" s="66"/>
      <c r="SIB1289" s="66"/>
      <c r="SIC1289" s="66"/>
      <c r="SID1289" s="66"/>
      <c r="SIE1289" s="66"/>
      <c r="SIF1289" s="66"/>
      <c r="SIG1289" s="66"/>
      <c r="SIH1289" s="66"/>
      <c r="SII1289" s="66"/>
      <c r="SIJ1289" s="66"/>
      <c r="SIK1289" s="66"/>
      <c r="SIL1289" s="66"/>
      <c r="SIM1289" s="66"/>
      <c r="SIN1289" s="66"/>
      <c r="SIO1289" s="66"/>
      <c r="SIP1289" s="66"/>
      <c r="SIQ1289" s="66"/>
      <c r="SIR1289" s="66"/>
      <c r="SIS1289" s="66"/>
      <c r="SIT1289" s="66"/>
      <c r="SIU1289" s="66"/>
      <c r="SIV1289" s="66"/>
      <c r="SIW1289" s="66"/>
      <c r="SIX1289" s="66"/>
      <c r="SIY1289" s="66"/>
      <c r="SIZ1289" s="66"/>
      <c r="SJA1289" s="66"/>
      <c r="SJB1289" s="66"/>
      <c r="SJC1289" s="66"/>
      <c r="SJD1289" s="66"/>
      <c r="SJE1289" s="66"/>
      <c r="SJF1289" s="66"/>
      <c r="SJG1289" s="66"/>
      <c r="SJH1289" s="66"/>
      <c r="SJI1289" s="66"/>
      <c r="SJJ1289" s="66"/>
      <c r="SJK1289" s="66"/>
      <c r="SJL1289" s="66"/>
      <c r="SJM1289" s="66"/>
      <c r="SJN1289" s="66"/>
      <c r="SJO1289" s="66"/>
      <c r="SJP1289" s="66"/>
      <c r="SJQ1289" s="66"/>
      <c r="SJR1289" s="66"/>
      <c r="SJS1289" s="66"/>
      <c r="SJT1289" s="66"/>
      <c r="SJU1289" s="66"/>
      <c r="SJV1289" s="66"/>
      <c r="SJW1289" s="66"/>
      <c r="SJX1289" s="66"/>
      <c r="SJY1289" s="66"/>
      <c r="SJZ1289" s="66"/>
      <c r="SKA1289" s="66"/>
      <c r="SKB1289" s="66"/>
      <c r="SKC1289" s="66"/>
      <c r="SKD1289" s="66"/>
      <c r="SKE1289" s="66"/>
      <c r="SKF1289" s="66"/>
      <c r="SKG1289" s="66"/>
      <c r="SKH1289" s="66"/>
      <c r="SKI1289" s="66"/>
      <c r="SKJ1289" s="66"/>
      <c r="SKK1289" s="66"/>
      <c r="SKL1289" s="66"/>
      <c r="SKM1289" s="66"/>
      <c r="SKN1289" s="66"/>
      <c r="SKO1289" s="66"/>
      <c r="SKP1289" s="66"/>
      <c r="SKQ1289" s="66"/>
      <c r="SKR1289" s="66"/>
      <c r="SKS1289" s="66"/>
      <c r="SKT1289" s="66"/>
      <c r="SKU1289" s="66"/>
      <c r="SKV1289" s="66"/>
      <c r="SKW1289" s="66"/>
      <c r="SKX1289" s="66"/>
      <c r="SKY1289" s="66"/>
      <c r="SKZ1289" s="66"/>
      <c r="SLA1289" s="66"/>
      <c r="SLB1289" s="66"/>
      <c r="SLC1289" s="66"/>
      <c r="SLD1289" s="66"/>
      <c r="SLE1289" s="66"/>
      <c r="SLF1289" s="66"/>
      <c r="SLG1289" s="66"/>
      <c r="SLH1289" s="66"/>
      <c r="SLI1289" s="66"/>
      <c r="SLJ1289" s="66"/>
      <c r="SLK1289" s="66"/>
      <c r="SLL1289" s="66"/>
      <c r="SLM1289" s="66"/>
      <c r="SLN1289" s="66"/>
      <c r="SLO1289" s="66"/>
      <c r="SLP1289" s="66"/>
      <c r="SLQ1289" s="66"/>
      <c r="SLR1289" s="66"/>
      <c r="SLS1289" s="66"/>
      <c r="SLT1289" s="66"/>
      <c r="SLU1289" s="66"/>
      <c r="SLV1289" s="66"/>
      <c r="SLW1289" s="66"/>
      <c r="SLX1289" s="66"/>
      <c r="SLY1289" s="66"/>
      <c r="SLZ1289" s="66"/>
      <c r="SMA1289" s="66"/>
      <c r="SMB1289" s="66"/>
      <c r="SMC1289" s="66"/>
      <c r="SMD1289" s="66"/>
      <c r="SME1289" s="66"/>
      <c r="SMF1289" s="66"/>
      <c r="SMG1289" s="66"/>
      <c r="SMH1289" s="66"/>
      <c r="SMI1289" s="66"/>
      <c r="SMJ1289" s="66"/>
      <c r="SMK1289" s="66"/>
      <c r="SML1289" s="66"/>
      <c r="SMM1289" s="66"/>
      <c r="SMN1289" s="66"/>
      <c r="SMO1289" s="66"/>
      <c r="SMP1289" s="66"/>
      <c r="SMQ1289" s="66"/>
      <c r="SMR1289" s="66"/>
      <c r="SMS1289" s="66"/>
      <c r="SMT1289" s="66"/>
      <c r="SMU1289" s="66"/>
      <c r="SMV1289" s="66"/>
      <c r="SMW1289" s="66"/>
      <c r="SMX1289" s="66"/>
      <c r="SMY1289" s="66"/>
      <c r="SMZ1289" s="66"/>
      <c r="SNA1289" s="66"/>
      <c r="SNB1289" s="66"/>
      <c r="SNC1289" s="66"/>
      <c r="SND1289" s="66"/>
      <c r="SNE1289" s="66"/>
      <c r="SNF1289" s="66"/>
      <c r="SNG1289" s="66"/>
      <c r="SNH1289" s="66"/>
      <c r="SNI1289" s="66"/>
      <c r="SNJ1289" s="66"/>
      <c r="SNK1289" s="66"/>
      <c r="SNL1289" s="66"/>
      <c r="SNM1289" s="66"/>
      <c r="SNN1289" s="66"/>
      <c r="SNO1289" s="66"/>
      <c r="SNP1289" s="66"/>
      <c r="SNQ1289" s="66"/>
      <c r="SNR1289" s="66"/>
      <c r="SNS1289" s="66"/>
      <c r="SNT1289" s="66"/>
      <c r="SNU1289" s="66"/>
      <c r="SNV1289" s="66"/>
      <c r="SNW1289" s="66"/>
      <c r="SNX1289" s="66"/>
      <c r="SNY1289" s="66"/>
      <c r="SNZ1289" s="66"/>
      <c r="SOA1289" s="66"/>
      <c r="SOB1289" s="66"/>
      <c r="SOC1289" s="66"/>
      <c r="SOD1289" s="66"/>
      <c r="SOE1289" s="66"/>
      <c r="SOF1289" s="66"/>
      <c r="SOG1289" s="66"/>
      <c r="SOH1289" s="66"/>
      <c r="SOI1289" s="66"/>
      <c r="SOJ1289" s="66"/>
      <c r="SOK1289" s="66"/>
      <c r="SOL1289" s="66"/>
      <c r="SOM1289" s="66"/>
      <c r="SON1289" s="66"/>
      <c r="SOO1289" s="66"/>
      <c r="SOP1289" s="66"/>
      <c r="SOQ1289" s="66"/>
      <c r="SOR1289" s="66"/>
      <c r="SOS1289" s="66"/>
      <c r="SOT1289" s="66"/>
      <c r="SOU1289" s="66"/>
      <c r="SOV1289" s="66"/>
      <c r="SOW1289" s="66"/>
      <c r="SOX1289" s="66"/>
      <c r="SOY1289" s="66"/>
      <c r="SOZ1289" s="66"/>
      <c r="SPA1289" s="66"/>
      <c r="SPB1289" s="66"/>
      <c r="SPC1289" s="66"/>
      <c r="SPD1289" s="66"/>
      <c r="SPE1289" s="66"/>
      <c r="SPF1289" s="66"/>
      <c r="SPG1289" s="66"/>
      <c r="SPH1289" s="66"/>
      <c r="SPI1289" s="66"/>
      <c r="SPJ1289" s="66"/>
      <c r="SPK1289" s="66"/>
      <c r="SPL1289" s="66"/>
      <c r="SPM1289" s="66"/>
      <c r="SPN1289" s="66"/>
      <c r="SPO1289" s="66"/>
      <c r="SPP1289" s="66"/>
      <c r="SPQ1289" s="66"/>
      <c r="SPR1289" s="66"/>
      <c r="SPS1289" s="66"/>
      <c r="SPT1289" s="66"/>
      <c r="SPU1289" s="66"/>
      <c r="SPV1289" s="66"/>
      <c r="SPW1289" s="66"/>
      <c r="SPX1289" s="66"/>
      <c r="SPY1289" s="66"/>
      <c r="SPZ1289" s="66"/>
      <c r="SQA1289" s="66"/>
      <c r="SQB1289" s="66"/>
      <c r="SQC1289" s="66"/>
      <c r="SQD1289" s="66"/>
      <c r="SQE1289" s="66"/>
      <c r="SQF1289" s="66"/>
      <c r="SQG1289" s="66"/>
      <c r="SQH1289" s="66"/>
      <c r="SQI1289" s="66"/>
      <c r="SQJ1289" s="66"/>
      <c r="SQK1289" s="66"/>
      <c r="SQL1289" s="66"/>
      <c r="SQM1289" s="66"/>
      <c r="SQN1289" s="66"/>
      <c r="SQO1289" s="66"/>
      <c r="SQP1289" s="66"/>
      <c r="SQQ1289" s="66"/>
      <c r="SQR1289" s="66"/>
      <c r="SQS1289" s="66"/>
      <c r="SQT1289" s="66"/>
      <c r="SQU1289" s="66"/>
      <c r="SQV1289" s="66"/>
      <c r="SQW1289" s="66"/>
      <c r="SQX1289" s="66"/>
      <c r="SQY1289" s="66"/>
      <c r="SQZ1289" s="66"/>
      <c r="SRA1289" s="66"/>
      <c r="SRB1289" s="66"/>
      <c r="SRC1289" s="66"/>
      <c r="SRD1289" s="66"/>
      <c r="SRE1289" s="66"/>
      <c r="SRF1289" s="66"/>
      <c r="SRG1289" s="66"/>
      <c r="SRH1289" s="66"/>
      <c r="SRI1289" s="66"/>
      <c r="SRJ1289" s="66"/>
      <c r="SRK1289" s="66"/>
      <c r="SRL1289" s="66"/>
      <c r="SRM1289" s="66"/>
      <c r="SRN1289" s="66"/>
      <c r="SRO1289" s="66"/>
      <c r="SRP1289" s="66"/>
      <c r="SRQ1289" s="66"/>
      <c r="SRR1289" s="66"/>
      <c r="SRS1289" s="66"/>
      <c r="SRT1289" s="66"/>
      <c r="SRU1289" s="66"/>
      <c r="SRV1289" s="66"/>
      <c r="SRW1289" s="66"/>
      <c r="SRX1289" s="66"/>
      <c r="SRY1289" s="66"/>
      <c r="SRZ1289" s="66"/>
      <c r="SSA1289" s="66"/>
      <c r="SSB1289" s="66"/>
      <c r="SSC1289" s="66"/>
      <c r="SSD1289" s="66"/>
      <c r="SSE1289" s="66"/>
      <c r="SSF1289" s="66"/>
      <c r="SSG1289" s="66"/>
      <c r="SSH1289" s="66"/>
      <c r="SSI1289" s="66"/>
      <c r="SSJ1289" s="66"/>
      <c r="SSK1289" s="66"/>
      <c r="SSL1289" s="66"/>
      <c r="SSM1289" s="66"/>
      <c r="SSN1289" s="66"/>
      <c r="SSO1289" s="66"/>
      <c r="SSP1289" s="66"/>
      <c r="SSQ1289" s="66"/>
      <c r="SSR1289" s="66"/>
      <c r="SSS1289" s="66"/>
      <c r="SST1289" s="66"/>
      <c r="SSU1289" s="66"/>
      <c r="SSV1289" s="66"/>
      <c r="SSW1289" s="66"/>
      <c r="SSX1289" s="66"/>
      <c r="SSY1289" s="66"/>
      <c r="SSZ1289" s="66"/>
      <c r="STA1289" s="66"/>
      <c r="STB1289" s="66"/>
      <c r="STC1289" s="66"/>
      <c r="STD1289" s="66"/>
      <c r="STE1289" s="66"/>
      <c r="STF1289" s="66"/>
      <c r="STG1289" s="66"/>
      <c r="STH1289" s="66"/>
      <c r="STI1289" s="66"/>
      <c r="STJ1289" s="66"/>
      <c r="STK1289" s="66"/>
      <c r="STL1289" s="66"/>
      <c r="STM1289" s="66"/>
      <c r="STN1289" s="66"/>
      <c r="STO1289" s="66"/>
      <c r="STP1289" s="66"/>
      <c r="STQ1289" s="66"/>
      <c r="STR1289" s="66"/>
      <c r="STS1289" s="66"/>
      <c r="STT1289" s="66"/>
      <c r="STU1289" s="66"/>
      <c r="STV1289" s="66"/>
      <c r="STW1289" s="66"/>
      <c r="STX1289" s="66"/>
      <c r="STY1289" s="66"/>
      <c r="STZ1289" s="66"/>
      <c r="SUA1289" s="66"/>
      <c r="SUB1289" s="66"/>
      <c r="SUC1289" s="66"/>
      <c r="SUD1289" s="66"/>
      <c r="SUE1289" s="66"/>
      <c r="SUF1289" s="66"/>
      <c r="SUG1289" s="66"/>
      <c r="SUH1289" s="66"/>
      <c r="SUI1289" s="66"/>
      <c r="SUJ1289" s="66"/>
      <c r="SUK1289" s="66"/>
      <c r="SUL1289" s="66"/>
      <c r="SUM1289" s="66"/>
      <c r="SUN1289" s="66"/>
      <c r="SUO1289" s="66"/>
      <c r="SUP1289" s="66"/>
      <c r="SUQ1289" s="66"/>
      <c r="SUR1289" s="66"/>
      <c r="SUS1289" s="66"/>
      <c r="SUT1289" s="66"/>
      <c r="SUU1289" s="66"/>
      <c r="SUV1289" s="66"/>
      <c r="SUW1289" s="66"/>
      <c r="SUX1289" s="66"/>
      <c r="SUY1289" s="66"/>
      <c r="SUZ1289" s="66"/>
      <c r="SVA1289" s="66"/>
      <c r="SVB1289" s="66"/>
      <c r="SVC1289" s="66"/>
      <c r="SVD1289" s="66"/>
      <c r="SVE1289" s="66"/>
      <c r="SVF1289" s="66"/>
      <c r="SVG1289" s="66"/>
      <c r="SVH1289" s="66"/>
      <c r="SVI1289" s="66"/>
      <c r="SVJ1289" s="66"/>
      <c r="SVK1289" s="66"/>
      <c r="SVL1289" s="66"/>
      <c r="SVM1289" s="66"/>
      <c r="SVN1289" s="66"/>
      <c r="SVO1289" s="66"/>
      <c r="SVP1289" s="66"/>
      <c r="SVQ1289" s="66"/>
      <c r="SVR1289" s="66"/>
      <c r="SVS1289" s="66"/>
      <c r="SVT1289" s="66"/>
      <c r="SVU1289" s="66"/>
      <c r="SVV1289" s="66"/>
      <c r="SVW1289" s="66"/>
      <c r="SVX1289" s="66"/>
      <c r="SVY1289" s="66"/>
      <c r="SVZ1289" s="66"/>
      <c r="SWA1289" s="66"/>
      <c r="SWB1289" s="66"/>
      <c r="SWC1289" s="66"/>
      <c r="SWD1289" s="66"/>
      <c r="SWE1289" s="66"/>
      <c r="SWF1289" s="66"/>
      <c r="SWG1289" s="66"/>
      <c r="SWH1289" s="66"/>
      <c r="SWI1289" s="66"/>
      <c r="SWJ1289" s="66"/>
      <c r="SWK1289" s="66"/>
      <c r="SWL1289" s="66"/>
      <c r="SWM1289" s="66"/>
      <c r="SWN1289" s="66"/>
      <c r="SWO1289" s="66"/>
      <c r="SWP1289" s="66"/>
      <c r="SWQ1289" s="66"/>
      <c r="SWR1289" s="66"/>
      <c r="SWS1289" s="66"/>
      <c r="SWT1289" s="66"/>
      <c r="SWU1289" s="66"/>
      <c r="SWV1289" s="66"/>
      <c r="SWW1289" s="66"/>
      <c r="SWX1289" s="66"/>
      <c r="SWY1289" s="66"/>
      <c r="SWZ1289" s="66"/>
      <c r="SXA1289" s="66"/>
      <c r="SXB1289" s="66"/>
      <c r="SXC1289" s="66"/>
      <c r="SXD1289" s="66"/>
      <c r="SXE1289" s="66"/>
      <c r="SXF1289" s="66"/>
      <c r="SXG1289" s="66"/>
      <c r="SXH1289" s="66"/>
      <c r="SXI1289" s="66"/>
      <c r="SXJ1289" s="66"/>
      <c r="SXK1289" s="66"/>
      <c r="SXL1289" s="66"/>
      <c r="SXM1289" s="66"/>
      <c r="SXN1289" s="66"/>
      <c r="SXO1289" s="66"/>
      <c r="SXP1289" s="66"/>
      <c r="SXQ1289" s="66"/>
      <c r="SXR1289" s="66"/>
      <c r="SXS1289" s="66"/>
      <c r="SXT1289" s="66"/>
      <c r="SXU1289" s="66"/>
      <c r="SXV1289" s="66"/>
      <c r="SXW1289" s="66"/>
      <c r="SXX1289" s="66"/>
      <c r="SXY1289" s="66"/>
      <c r="SXZ1289" s="66"/>
      <c r="SYA1289" s="66"/>
      <c r="SYB1289" s="66"/>
      <c r="SYC1289" s="66"/>
      <c r="SYD1289" s="66"/>
      <c r="SYE1289" s="66"/>
      <c r="SYF1289" s="66"/>
      <c r="SYG1289" s="66"/>
      <c r="SYH1289" s="66"/>
      <c r="SYI1289" s="66"/>
      <c r="SYJ1289" s="66"/>
      <c r="SYK1289" s="66"/>
      <c r="SYL1289" s="66"/>
      <c r="SYM1289" s="66"/>
      <c r="SYN1289" s="66"/>
      <c r="SYO1289" s="66"/>
      <c r="SYP1289" s="66"/>
      <c r="SYQ1289" s="66"/>
      <c r="SYR1289" s="66"/>
      <c r="SYS1289" s="66"/>
      <c r="SYT1289" s="66"/>
      <c r="SYU1289" s="66"/>
      <c r="SYV1289" s="66"/>
      <c r="SYW1289" s="66"/>
      <c r="SYX1289" s="66"/>
      <c r="SYY1289" s="66"/>
      <c r="SYZ1289" s="66"/>
      <c r="SZA1289" s="66"/>
      <c r="SZB1289" s="66"/>
      <c r="SZC1289" s="66"/>
      <c r="SZD1289" s="66"/>
      <c r="SZE1289" s="66"/>
      <c r="SZF1289" s="66"/>
      <c r="SZG1289" s="66"/>
      <c r="SZH1289" s="66"/>
      <c r="SZI1289" s="66"/>
      <c r="SZJ1289" s="66"/>
      <c r="SZK1289" s="66"/>
      <c r="SZL1289" s="66"/>
      <c r="SZM1289" s="66"/>
      <c r="SZN1289" s="66"/>
      <c r="SZO1289" s="66"/>
      <c r="SZP1289" s="66"/>
      <c r="SZQ1289" s="66"/>
      <c r="SZR1289" s="66"/>
      <c r="SZS1289" s="66"/>
      <c r="SZT1289" s="66"/>
      <c r="SZU1289" s="66"/>
      <c r="SZV1289" s="66"/>
      <c r="SZW1289" s="66"/>
      <c r="SZX1289" s="66"/>
      <c r="SZY1289" s="66"/>
      <c r="SZZ1289" s="66"/>
      <c r="TAA1289" s="66"/>
      <c r="TAB1289" s="66"/>
      <c r="TAC1289" s="66"/>
      <c r="TAD1289" s="66"/>
      <c r="TAE1289" s="66"/>
      <c r="TAF1289" s="66"/>
      <c r="TAG1289" s="66"/>
      <c r="TAH1289" s="66"/>
      <c r="TAI1289" s="66"/>
      <c r="TAJ1289" s="66"/>
      <c r="TAK1289" s="66"/>
      <c r="TAL1289" s="66"/>
      <c r="TAM1289" s="66"/>
      <c r="TAN1289" s="66"/>
      <c r="TAO1289" s="66"/>
      <c r="TAP1289" s="66"/>
      <c r="TAQ1289" s="66"/>
      <c r="TAR1289" s="66"/>
      <c r="TAS1289" s="66"/>
      <c r="TAT1289" s="66"/>
      <c r="TAU1289" s="66"/>
      <c r="TAV1289" s="66"/>
      <c r="TAW1289" s="66"/>
      <c r="TAX1289" s="66"/>
      <c r="TAY1289" s="66"/>
      <c r="TAZ1289" s="66"/>
      <c r="TBA1289" s="66"/>
      <c r="TBB1289" s="66"/>
      <c r="TBC1289" s="66"/>
      <c r="TBD1289" s="66"/>
      <c r="TBE1289" s="66"/>
      <c r="TBF1289" s="66"/>
      <c r="TBG1289" s="66"/>
      <c r="TBH1289" s="66"/>
      <c r="TBI1289" s="66"/>
      <c r="TBJ1289" s="66"/>
      <c r="TBK1289" s="66"/>
      <c r="TBL1289" s="66"/>
      <c r="TBM1289" s="66"/>
      <c r="TBN1289" s="66"/>
      <c r="TBO1289" s="66"/>
      <c r="TBP1289" s="66"/>
      <c r="TBQ1289" s="66"/>
      <c r="TBR1289" s="66"/>
      <c r="TBS1289" s="66"/>
      <c r="TBT1289" s="66"/>
      <c r="TBU1289" s="66"/>
      <c r="TBV1289" s="66"/>
      <c r="TBW1289" s="66"/>
      <c r="TBX1289" s="66"/>
      <c r="TBY1289" s="66"/>
      <c r="TBZ1289" s="66"/>
      <c r="TCA1289" s="66"/>
      <c r="TCB1289" s="66"/>
      <c r="TCC1289" s="66"/>
      <c r="TCD1289" s="66"/>
      <c r="TCE1289" s="66"/>
      <c r="TCF1289" s="66"/>
      <c r="TCG1289" s="66"/>
      <c r="TCH1289" s="66"/>
      <c r="TCI1289" s="66"/>
      <c r="TCJ1289" s="66"/>
      <c r="TCK1289" s="66"/>
      <c r="TCL1289" s="66"/>
      <c r="TCM1289" s="66"/>
      <c r="TCN1289" s="66"/>
      <c r="TCO1289" s="66"/>
      <c r="TCP1289" s="66"/>
      <c r="TCQ1289" s="66"/>
      <c r="TCR1289" s="66"/>
      <c r="TCS1289" s="66"/>
      <c r="TCT1289" s="66"/>
      <c r="TCU1289" s="66"/>
      <c r="TCV1289" s="66"/>
      <c r="TCW1289" s="66"/>
      <c r="TCX1289" s="66"/>
      <c r="TCY1289" s="66"/>
      <c r="TCZ1289" s="66"/>
      <c r="TDA1289" s="66"/>
      <c r="TDB1289" s="66"/>
      <c r="TDC1289" s="66"/>
      <c r="TDD1289" s="66"/>
      <c r="TDE1289" s="66"/>
      <c r="TDF1289" s="66"/>
      <c r="TDG1289" s="66"/>
      <c r="TDH1289" s="66"/>
      <c r="TDI1289" s="66"/>
      <c r="TDJ1289" s="66"/>
      <c r="TDK1289" s="66"/>
      <c r="TDL1289" s="66"/>
      <c r="TDM1289" s="66"/>
      <c r="TDN1289" s="66"/>
      <c r="TDO1289" s="66"/>
      <c r="TDP1289" s="66"/>
      <c r="TDQ1289" s="66"/>
      <c r="TDR1289" s="66"/>
      <c r="TDS1289" s="66"/>
      <c r="TDT1289" s="66"/>
      <c r="TDU1289" s="66"/>
      <c r="TDV1289" s="66"/>
      <c r="TDW1289" s="66"/>
      <c r="TDX1289" s="66"/>
      <c r="TDY1289" s="66"/>
      <c r="TDZ1289" s="66"/>
      <c r="TEA1289" s="66"/>
      <c r="TEB1289" s="66"/>
      <c r="TEC1289" s="66"/>
      <c r="TED1289" s="66"/>
      <c r="TEE1289" s="66"/>
      <c r="TEF1289" s="66"/>
      <c r="TEG1289" s="66"/>
      <c r="TEH1289" s="66"/>
      <c r="TEI1289" s="66"/>
      <c r="TEJ1289" s="66"/>
      <c r="TEK1289" s="66"/>
      <c r="TEL1289" s="66"/>
      <c r="TEM1289" s="66"/>
      <c r="TEN1289" s="66"/>
      <c r="TEO1289" s="66"/>
      <c r="TEP1289" s="66"/>
      <c r="TEQ1289" s="66"/>
      <c r="TER1289" s="66"/>
      <c r="TES1289" s="66"/>
      <c r="TET1289" s="66"/>
      <c r="TEU1289" s="66"/>
      <c r="TEV1289" s="66"/>
      <c r="TEW1289" s="66"/>
      <c r="TEX1289" s="66"/>
      <c r="TEY1289" s="66"/>
      <c r="TEZ1289" s="66"/>
      <c r="TFA1289" s="66"/>
      <c r="TFB1289" s="66"/>
      <c r="TFC1289" s="66"/>
      <c r="TFD1289" s="66"/>
      <c r="TFE1289" s="66"/>
      <c r="TFF1289" s="66"/>
      <c r="TFG1289" s="66"/>
      <c r="TFH1289" s="66"/>
      <c r="TFI1289" s="66"/>
      <c r="TFJ1289" s="66"/>
      <c r="TFK1289" s="66"/>
      <c r="TFL1289" s="66"/>
      <c r="TFM1289" s="66"/>
      <c r="TFN1289" s="66"/>
      <c r="TFO1289" s="66"/>
      <c r="TFP1289" s="66"/>
      <c r="TFQ1289" s="66"/>
      <c r="TFR1289" s="66"/>
      <c r="TFS1289" s="66"/>
      <c r="TFT1289" s="66"/>
      <c r="TFU1289" s="66"/>
      <c r="TFV1289" s="66"/>
      <c r="TFW1289" s="66"/>
      <c r="TFX1289" s="66"/>
      <c r="TFY1289" s="66"/>
      <c r="TFZ1289" s="66"/>
      <c r="TGA1289" s="66"/>
      <c r="TGB1289" s="66"/>
      <c r="TGC1289" s="66"/>
      <c r="TGD1289" s="66"/>
      <c r="TGE1289" s="66"/>
      <c r="TGF1289" s="66"/>
      <c r="TGG1289" s="66"/>
      <c r="TGH1289" s="66"/>
      <c r="TGI1289" s="66"/>
      <c r="TGJ1289" s="66"/>
      <c r="TGK1289" s="66"/>
      <c r="TGL1289" s="66"/>
      <c r="TGM1289" s="66"/>
      <c r="TGN1289" s="66"/>
      <c r="TGO1289" s="66"/>
      <c r="TGP1289" s="66"/>
      <c r="TGQ1289" s="66"/>
      <c r="TGR1289" s="66"/>
      <c r="TGS1289" s="66"/>
      <c r="TGT1289" s="66"/>
      <c r="TGU1289" s="66"/>
      <c r="TGV1289" s="66"/>
      <c r="TGW1289" s="66"/>
      <c r="TGX1289" s="66"/>
      <c r="TGY1289" s="66"/>
      <c r="TGZ1289" s="66"/>
      <c r="THA1289" s="66"/>
      <c r="THB1289" s="66"/>
      <c r="THC1289" s="66"/>
      <c r="THD1289" s="66"/>
      <c r="THE1289" s="66"/>
      <c r="THF1289" s="66"/>
      <c r="THG1289" s="66"/>
      <c r="THH1289" s="66"/>
      <c r="THI1289" s="66"/>
      <c r="THJ1289" s="66"/>
      <c r="THK1289" s="66"/>
      <c r="THL1289" s="66"/>
      <c r="THM1289" s="66"/>
      <c r="THN1289" s="66"/>
      <c r="THO1289" s="66"/>
      <c r="THP1289" s="66"/>
      <c r="THQ1289" s="66"/>
      <c r="THR1289" s="66"/>
      <c r="THS1289" s="66"/>
      <c r="THT1289" s="66"/>
      <c r="THU1289" s="66"/>
      <c r="THV1289" s="66"/>
      <c r="THW1289" s="66"/>
      <c r="THX1289" s="66"/>
      <c r="THY1289" s="66"/>
      <c r="THZ1289" s="66"/>
      <c r="TIA1289" s="66"/>
      <c r="TIB1289" s="66"/>
      <c r="TIC1289" s="66"/>
      <c r="TID1289" s="66"/>
      <c r="TIE1289" s="66"/>
      <c r="TIF1289" s="66"/>
      <c r="TIG1289" s="66"/>
      <c r="TIH1289" s="66"/>
      <c r="TII1289" s="66"/>
      <c r="TIJ1289" s="66"/>
      <c r="TIK1289" s="66"/>
      <c r="TIL1289" s="66"/>
      <c r="TIM1289" s="66"/>
      <c r="TIN1289" s="66"/>
      <c r="TIO1289" s="66"/>
      <c r="TIP1289" s="66"/>
      <c r="TIQ1289" s="66"/>
      <c r="TIR1289" s="66"/>
      <c r="TIS1289" s="66"/>
      <c r="TIT1289" s="66"/>
      <c r="TIU1289" s="66"/>
      <c r="TIV1289" s="66"/>
      <c r="TIW1289" s="66"/>
      <c r="TIX1289" s="66"/>
      <c r="TIY1289" s="66"/>
      <c r="TIZ1289" s="66"/>
      <c r="TJA1289" s="66"/>
      <c r="TJB1289" s="66"/>
      <c r="TJC1289" s="66"/>
      <c r="TJD1289" s="66"/>
      <c r="TJE1289" s="66"/>
      <c r="TJF1289" s="66"/>
      <c r="TJG1289" s="66"/>
      <c r="TJH1289" s="66"/>
      <c r="TJI1289" s="66"/>
      <c r="TJJ1289" s="66"/>
      <c r="TJK1289" s="66"/>
      <c r="TJL1289" s="66"/>
      <c r="TJM1289" s="66"/>
      <c r="TJN1289" s="66"/>
      <c r="TJO1289" s="66"/>
      <c r="TJP1289" s="66"/>
      <c r="TJQ1289" s="66"/>
      <c r="TJR1289" s="66"/>
      <c r="TJS1289" s="66"/>
      <c r="TJT1289" s="66"/>
      <c r="TJU1289" s="66"/>
      <c r="TJV1289" s="66"/>
      <c r="TJW1289" s="66"/>
      <c r="TJX1289" s="66"/>
      <c r="TJY1289" s="66"/>
      <c r="TJZ1289" s="66"/>
      <c r="TKA1289" s="66"/>
      <c r="TKB1289" s="66"/>
      <c r="TKC1289" s="66"/>
      <c r="TKD1289" s="66"/>
      <c r="TKE1289" s="66"/>
      <c r="TKF1289" s="66"/>
      <c r="TKG1289" s="66"/>
      <c r="TKH1289" s="66"/>
      <c r="TKI1289" s="66"/>
      <c r="TKJ1289" s="66"/>
      <c r="TKK1289" s="66"/>
      <c r="TKL1289" s="66"/>
      <c r="TKM1289" s="66"/>
      <c r="TKN1289" s="66"/>
      <c r="TKO1289" s="66"/>
      <c r="TKP1289" s="66"/>
      <c r="TKQ1289" s="66"/>
      <c r="TKR1289" s="66"/>
      <c r="TKS1289" s="66"/>
      <c r="TKT1289" s="66"/>
      <c r="TKU1289" s="66"/>
      <c r="TKV1289" s="66"/>
      <c r="TKW1289" s="66"/>
      <c r="TKX1289" s="66"/>
      <c r="TKY1289" s="66"/>
      <c r="TKZ1289" s="66"/>
      <c r="TLA1289" s="66"/>
      <c r="TLB1289" s="66"/>
      <c r="TLC1289" s="66"/>
      <c r="TLD1289" s="66"/>
      <c r="TLE1289" s="66"/>
      <c r="TLF1289" s="66"/>
      <c r="TLG1289" s="66"/>
      <c r="TLH1289" s="66"/>
      <c r="TLI1289" s="66"/>
      <c r="TLJ1289" s="66"/>
      <c r="TLK1289" s="66"/>
      <c r="TLL1289" s="66"/>
      <c r="TLM1289" s="66"/>
      <c r="TLN1289" s="66"/>
      <c r="TLO1289" s="66"/>
      <c r="TLP1289" s="66"/>
      <c r="TLQ1289" s="66"/>
      <c r="TLR1289" s="66"/>
      <c r="TLS1289" s="66"/>
      <c r="TLT1289" s="66"/>
      <c r="TLU1289" s="66"/>
      <c r="TLV1289" s="66"/>
      <c r="TLW1289" s="66"/>
      <c r="TLX1289" s="66"/>
      <c r="TLY1289" s="66"/>
      <c r="TLZ1289" s="66"/>
      <c r="TMA1289" s="66"/>
      <c r="TMB1289" s="66"/>
      <c r="TMC1289" s="66"/>
      <c r="TMD1289" s="66"/>
      <c r="TME1289" s="66"/>
      <c r="TMF1289" s="66"/>
      <c r="TMG1289" s="66"/>
      <c r="TMH1289" s="66"/>
      <c r="TMI1289" s="66"/>
      <c r="TMJ1289" s="66"/>
      <c r="TMK1289" s="66"/>
      <c r="TML1289" s="66"/>
      <c r="TMM1289" s="66"/>
      <c r="TMN1289" s="66"/>
      <c r="TMO1289" s="66"/>
      <c r="TMP1289" s="66"/>
      <c r="TMQ1289" s="66"/>
      <c r="TMR1289" s="66"/>
      <c r="TMS1289" s="66"/>
      <c r="TMT1289" s="66"/>
      <c r="TMU1289" s="66"/>
      <c r="TMV1289" s="66"/>
      <c r="TMW1289" s="66"/>
      <c r="TMX1289" s="66"/>
      <c r="TMY1289" s="66"/>
      <c r="TMZ1289" s="66"/>
      <c r="TNA1289" s="66"/>
      <c r="TNB1289" s="66"/>
      <c r="TNC1289" s="66"/>
      <c r="TND1289" s="66"/>
      <c r="TNE1289" s="66"/>
      <c r="TNF1289" s="66"/>
      <c r="TNG1289" s="66"/>
      <c r="TNH1289" s="66"/>
      <c r="TNI1289" s="66"/>
      <c r="TNJ1289" s="66"/>
      <c r="TNK1289" s="66"/>
      <c r="TNL1289" s="66"/>
      <c r="TNM1289" s="66"/>
      <c r="TNN1289" s="66"/>
      <c r="TNO1289" s="66"/>
      <c r="TNP1289" s="66"/>
      <c r="TNQ1289" s="66"/>
      <c r="TNR1289" s="66"/>
      <c r="TNS1289" s="66"/>
      <c r="TNT1289" s="66"/>
      <c r="TNU1289" s="66"/>
      <c r="TNV1289" s="66"/>
      <c r="TNW1289" s="66"/>
      <c r="TNX1289" s="66"/>
      <c r="TNY1289" s="66"/>
      <c r="TNZ1289" s="66"/>
      <c r="TOA1289" s="66"/>
      <c r="TOB1289" s="66"/>
      <c r="TOC1289" s="66"/>
      <c r="TOD1289" s="66"/>
      <c r="TOE1289" s="66"/>
      <c r="TOF1289" s="66"/>
      <c r="TOG1289" s="66"/>
      <c r="TOH1289" s="66"/>
      <c r="TOI1289" s="66"/>
      <c r="TOJ1289" s="66"/>
      <c r="TOK1289" s="66"/>
      <c r="TOL1289" s="66"/>
      <c r="TOM1289" s="66"/>
      <c r="TON1289" s="66"/>
      <c r="TOO1289" s="66"/>
      <c r="TOP1289" s="66"/>
      <c r="TOQ1289" s="66"/>
      <c r="TOR1289" s="66"/>
      <c r="TOS1289" s="66"/>
      <c r="TOT1289" s="66"/>
      <c r="TOU1289" s="66"/>
      <c r="TOV1289" s="66"/>
      <c r="TOW1289" s="66"/>
      <c r="TOX1289" s="66"/>
      <c r="TOY1289" s="66"/>
      <c r="TOZ1289" s="66"/>
      <c r="TPA1289" s="66"/>
      <c r="TPB1289" s="66"/>
      <c r="TPC1289" s="66"/>
      <c r="TPD1289" s="66"/>
      <c r="TPE1289" s="66"/>
      <c r="TPF1289" s="66"/>
      <c r="TPG1289" s="66"/>
      <c r="TPH1289" s="66"/>
      <c r="TPI1289" s="66"/>
      <c r="TPJ1289" s="66"/>
      <c r="TPK1289" s="66"/>
      <c r="TPL1289" s="66"/>
      <c r="TPM1289" s="66"/>
      <c r="TPN1289" s="66"/>
      <c r="TPO1289" s="66"/>
      <c r="TPP1289" s="66"/>
      <c r="TPQ1289" s="66"/>
      <c r="TPR1289" s="66"/>
      <c r="TPS1289" s="66"/>
      <c r="TPT1289" s="66"/>
      <c r="TPU1289" s="66"/>
      <c r="TPV1289" s="66"/>
      <c r="TPW1289" s="66"/>
      <c r="TPX1289" s="66"/>
      <c r="TPY1289" s="66"/>
      <c r="TPZ1289" s="66"/>
      <c r="TQA1289" s="66"/>
      <c r="TQB1289" s="66"/>
      <c r="TQC1289" s="66"/>
      <c r="TQD1289" s="66"/>
      <c r="TQE1289" s="66"/>
      <c r="TQF1289" s="66"/>
      <c r="TQG1289" s="66"/>
      <c r="TQH1289" s="66"/>
      <c r="TQI1289" s="66"/>
      <c r="TQJ1289" s="66"/>
      <c r="TQK1289" s="66"/>
      <c r="TQL1289" s="66"/>
      <c r="TQM1289" s="66"/>
      <c r="TQN1289" s="66"/>
      <c r="TQO1289" s="66"/>
      <c r="TQP1289" s="66"/>
      <c r="TQQ1289" s="66"/>
      <c r="TQR1289" s="66"/>
      <c r="TQS1289" s="66"/>
      <c r="TQT1289" s="66"/>
      <c r="TQU1289" s="66"/>
      <c r="TQV1289" s="66"/>
      <c r="TQW1289" s="66"/>
      <c r="TQX1289" s="66"/>
      <c r="TQY1289" s="66"/>
      <c r="TQZ1289" s="66"/>
      <c r="TRA1289" s="66"/>
      <c r="TRB1289" s="66"/>
      <c r="TRC1289" s="66"/>
      <c r="TRD1289" s="66"/>
      <c r="TRE1289" s="66"/>
      <c r="TRF1289" s="66"/>
      <c r="TRG1289" s="66"/>
      <c r="TRH1289" s="66"/>
      <c r="TRI1289" s="66"/>
      <c r="TRJ1289" s="66"/>
      <c r="TRK1289" s="66"/>
      <c r="TRL1289" s="66"/>
      <c r="TRM1289" s="66"/>
      <c r="TRN1289" s="66"/>
      <c r="TRO1289" s="66"/>
      <c r="TRP1289" s="66"/>
      <c r="TRQ1289" s="66"/>
      <c r="TRR1289" s="66"/>
      <c r="TRS1289" s="66"/>
      <c r="TRT1289" s="66"/>
      <c r="TRU1289" s="66"/>
      <c r="TRV1289" s="66"/>
      <c r="TRW1289" s="66"/>
      <c r="TRX1289" s="66"/>
      <c r="TRY1289" s="66"/>
      <c r="TRZ1289" s="66"/>
      <c r="TSA1289" s="66"/>
      <c r="TSB1289" s="66"/>
      <c r="TSC1289" s="66"/>
      <c r="TSD1289" s="66"/>
      <c r="TSE1289" s="66"/>
      <c r="TSF1289" s="66"/>
      <c r="TSG1289" s="66"/>
      <c r="TSH1289" s="66"/>
      <c r="TSI1289" s="66"/>
      <c r="TSJ1289" s="66"/>
      <c r="TSK1289" s="66"/>
      <c r="TSL1289" s="66"/>
      <c r="TSM1289" s="66"/>
      <c r="TSN1289" s="66"/>
      <c r="TSO1289" s="66"/>
      <c r="TSP1289" s="66"/>
      <c r="TSQ1289" s="66"/>
      <c r="TSR1289" s="66"/>
      <c r="TSS1289" s="66"/>
      <c r="TST1289" s="66"/>
      <c r="TSU1289" s="66"/>
      <c r="TSV1289" s="66"/>
      <c r="TSW1289" s="66"/>
      <c r="TSX1289" s="66"/>
      <c r="TSY1289" s="66"/>
      <c r="TSZ1289" s="66"/>
      <c r="TTA1289" s="66"/>
      <c r="TTB1289" s="66"/>
      <c r="TTC1289" s="66"/>
      <c r="TTD1289" s="66"/>
      <c r="TTE1289" s="66"/>
      <c r="TTF1289" s="66"/>
      <c r="TTG1289" s="66"/>
      <c r="TTH1289" s="66"/>
      <c r="TTI1289" s="66"/>
      <c r="TTJ1289" s="66"/>
      <c r="TTK1289" s="66"/>
      <c r="TTL1289" s="66"/>
      <c r="TTM1289" s="66"/>
      <c r="TTN1289" s="66"/>
      <c r="TTO1289" s="66"/>
      <c r="TTP1289" s="66"/>
      <c r="TTQ1289" s="66"/>
      <c r="TTR1289" s="66"/>
      <c r="TTS1289" s="66"/>
      <c r="TTT1289" s="66"/>
      <c r="TTU1289" s="66"/>
      <c r="TTV1289" s="66"/>
      <c r="TTW1289" s="66"/>
      <c r="TTX1289" s="66"/>
      <c r="TTY1289" s="66"/>
      <c r="TTZ1289" s="66"/>
      <c r="TUA1289" s="66"/>
      <c r="TUB1289" s="66"/>
      <c r="TUC1289" s="66"/>
      <c r="TUD1289" s="66"/>
      <c r="TUE1289" s="66"/>
      <c r="TUF1289" s="66"/>
      <c r="TUG1289" s="66"/>
      <c r="TUH1289" s="66"/>
      <c r="TUI1289" s="66"/>
      <c r="TUJ1289" s="66"/>
      <c r="TUK1289" s="66"/>
      <c r="TUL1289" s="66"/>
      <c r="TUM1289" s="66"/>
      <c r="TUN1289" s="66"/>
      <c r="TUO1289" s="66"/>
      <c r="TUP1289" s="66"/>
      <c r="TUQ1289" s="66"/>
      <c r="TUR1289" s="66"/>
      <c r="TUS1289" s="66"/>
      <c r="TUT1289" s="66"/>
      <c r="TUU1289" s="66"/>
      <c r="TUV1289" s="66"/>
      <c r="TUW1289" s="66"/>
      <c r="TUX1289" s="66"/>
      <c r="TUY1289" s="66"/>
      <c r="TUZ1289" s="66"/>
      <c r="TVA1289" s="66"/>
      <c r="TVB1289" s="66"/>
      <c r="TVC1289" s="66"/>
      <c r="TVD1289" s="66"/>
      <c r="TVE1289" s="66"/>
      <c r="TVF1289" s="66"/>
      <c r="TVG1289" s="66"/>
      <c r="TVH1289" s="66"/>
      <c r="TVI1289" s="66"/>
      <c r="TVJ1289" s="66"/>
      <c r="TVK1289" s="66"/>
      <c r="TVL1289" s="66"/>
      <c r="TVM1289" s="66"/>
      <c r="TVN1289" s="66"/>
      <c r="TVO1289" s="66"/>
      <c r="TVP1289" s="66"/>
      <c r="TVQ1289" s="66"/>
      <c r="TVR1289" s="66"/>
      <c r="TVS1289" s="66"/>
      <c r="TVT1289" s="66"/>
      <c r="TVU1289" s="66"/>
      <c r="TVV1289" s="66"/>
      <c r="TVW1289" s="66"/>
      <c r="TVX1289" s="66"/>
      <c r="TVY1289" s="66"/>
      <c r="TVZ1289" s="66"/>
      <c r="TWA1289" s="66"/>
      <c r="TWB1289" s="66"/>
      <c r="TWC1289" s="66"/>
      <c r="TWD1289" s="66"/>
      <c r="TWE1289" s="66"/>
      <c r="TWF1289" s="66"/>
      <c r="TWG1289" s="66"/>
      <c r="TWH1289" s="66"/>
      <c r="TWI1289" s="66"/>
      <c r="TWJ1289" s="66"/>
      <c r="TWK1289" s="66"/>
      <c r="TWL1289" s="66"/>
      <c r="TWM1289" s="66"/>
      <c r="TWN1289" s="66"/>
      <c r="TWO1289" s="66"/>
      <c r="TWP1289" s="66"/>
      <c r="TWQ1289" s="66"/>
      <c r="TWR1289" s="66"/>
      <c r="TWS1289" s="66"/>
      <c r="TWT1289" s="66"/>
      <c r="TWU1289" s="66"/>
      <c r="TWV1289" s="66"/>
      <c r="TWW1289" s="66"/>
      <c r="TWX1289" s="66"/>
      <c r="TWY1289" s="66"/>
      <c r="TWZ1289" s="66"/>
      <c r="TXA1289" s="66"/>
      <c r="TXB1289" s="66"/>
      <c r="TXC1289" s="66"/>
      <c r="TXD1289" s="66"/>
      <c r="TXE1289" s="66"/>
      <c r="TXF1289" s="66"/>
      <c r="TXG1289" s="66"/>
      <c r="TXH1289" s="66"/>
      <c r="TXI1289" s="66"/>
      <c r="TXJ1289" s="66"/>
      <c r="TXK1289" s="66"/>
      <c r="TXL1289" s="66"/>
      <c r="TXM1289" s="66"/>
      <c r="TXN1289" s="66"/>
      <c r="TXO1289" s="66"/>
      <c r="TXP1289" s="66"/>
      <c r="TXQ1289" s="66"/>
      <c r="TXR1289" s="66"/>
      <c r="TXS1289" s="66"/>
      <c r="TXT1289" s="66"/>
      <c r="TXU1289" s="66"/>
      <c r="TXV1289" s="66"/>
      <c r="TXW1289" s="66"/>
      <c r="TXX1289" s="66"/>
      <c r="TXY1289" s="66"/>
      <c r="TXZ1289" s="66"/>
      <c r="TYA1289" s="66"/>
      <c r="TYB1289" s="66"/>
      <c r="TYC1289" s="66"/>
      <c r="TYD1289" s="66"/>
      <c r="TYE1289" s="66"/>
      <c r="TYF1289" s="66"/>
      <c r="TYG1289" s="66"/>
      <c r="TYH1289" s="66"/>
      <c r="TYI1289" s="66"/>
      <c r="TYJ1289" s="66"/>
      <c r="TYK1289" s="66"/>
      <c r="TYL1289" s="66"/>
      <c r="TYM1289" s="66"/>
      <c r="TYN1289" s="66"/>
      <c r="TYO1289" s="66"/>
      <c r="TYP1289" s="66"/>
      <c r="TYQ1289" s="66"/>
      <c r="TYR1289" s="66"/>
      <c r="TYS1289" s="66"/>
      <c r="TYT1289" s="66"/>
      <c r="TYU1289" s="66"/>
      <c r="TYV1289" s="66"/>
      <c r="TYW1289" s="66"/>
      <c r="TYX1289" s="66"/>
      <c r="TYY1289" s="66"/>
      <c r="TYZ1289" s="66"/>
      <c r="TZA1289" s="66"/>
      <c r="TZB1289" s="66"/>
      <c r="TZC1289" s="66"/>
      <c r="TZD1289" s="66"/>
      <c r="TZE1289" s="66"/>
      <c r="TZF1289" s="66"/>
      <c r="TZG1289" s="66"/>
      <c r="TZH1289" s="66"/>
      <c r="TZI1289" s="66"/>
      <c r="TZJ1289" s="66"/>
      <c r="TZK1289" s="66"/>
      <c r="TZL1289" s="66"/>
      <c r="TZM1289" s="66"/>
      <c r="TZN1289" s="66"/>
      <c r="TZO1289" s="66"/>
      <c r="TZP1289" s="66"/>
      <c r="TZQ1289" s="66"/>
      <c r="TZR1289" s="66"/>
      <c r="TZS1289" s="66"/>
      <c r="TZT1289" s="66"/>
      <c r="TZU1289" s="66"/>
      <c r="TZV1289" s="66"/>
      <c r="TZW1289" s="66"/>
      <c r="TZX1289" s="66"/>
      <c r="TZY1289" s="66"/>
      <c r="TZZ1289" s="66"/>
      <c r="UAA1289" s="66"/>
      <c r="UAB1289" s="66"/>
      <c r="UAC1289" s="66"/>
      <c r="UAD1289" s="66"/>
      <c r="UAE1289" s="66"/>
      <c r="UAF1289" s="66"/>
      <c r="UAG1289" s="66"/>
      <c r="UAH1289" s="66"/>
      <c r="UAI1289" s="66"/>
      <c r="UAJ1289" s="66"/>
      <c r="UAK1289" s="66"/>
      <c r="UAL1289" s="66"/>
      <c r="UAM1289" s="66"/>
      <c r="UAN1289" s="66"/>
      <c r="UAO1289" s="66"/>
      <c r="UAP1289" s="66"/>
      <c r="UAQ1289" s="66"/>
      <c r="UAR1289" s="66"/>
      <c r="UAS1289" s="66"/>
      <c r="UAT1289" s="66"/>
      <c r="UAU1289" s="66"/>
      <c r="UAV1289" s="66"/>
      <c r="UAW1289" s="66"/>
      <c r="UAX1289" s="66"/>
      <c r="UAY1289" s="66"/>
      <c r="UAZ1289" s="66"/>
      <c r="UBA1289" s="66"/>
      <c r="UBB1289" s="66"/>
      <c r="UBC1289" s="66"/>
      <c r="UBD1289" s="66"/>
      <c r="UBE1289" s="66"/>
      <c r="UBF1289" s="66"/>
      <c r="UBG1289" s="66"/>
      <c r="UBH1289" s="66"/>
      <c r="UBI1289" s="66"/>
      <c r="UBJ1289" s="66"/>
      <c r="UBK1289" s="66"/>
      <c r="UBL1289" s="66"/>
      <c r="UBM1289" s="66"/>
      <c r="UBN1289" s="66"/>
      <c r="UBO1289" s="66"/>
      <c r="UBP1289" s="66"/>
      <c r="UBQ1289" s="66"/>
      <c r="UBR1289" s="66"/>
      <c r="UBS1289" s="66"/>
      <c r="UBT1289" s="66"/>
      <c r="UBU1289" s="66"/>
      <c r="UBV1289" s="66"/>
      <c r="UBW1289" s="66"/>
      <c r="UBX1289" s="66"/>
      <c r="UBY1289" s="66"/>
      <c r="UBZ1289" s="66"/>
      <c r="UCA1289" s="66"/>
      <c r="UCB1289" s="66"/>
      <c r="UCC1289" s="66"/>
      <c r="UCD1289" s="66"/>
      <c r="UCE1289" s="66"/>
      <c r="UCF1289" s="66"/>
      <c r="UCG1289" s="66"/>
      <c r="UCH1289" s="66"/>
      <c r="UCI1289" s="66"/>
      <c r="UCJ1289" s="66"/>
      <c r="UCK1289" s="66"/>
      <c r="UCL1289" s="66"/>
      <c r="UCM1289" s="66"/>
      <c r="UCN1289" s="66"/>
      <c r="UCO1289" s="66"/>
      <c r="UCP1289" s="66"/>
      <c r="UCQ1289" s="66"/>
      <c r="UCR1289" s="66"/>
      <c r="UCS1289" s="66"/>
      <c r="UCT1289" s="66"/>
      <c r="UCU1289" s="66"/>
      <c r="UCV1289" s="66"/>
      <c r="UCW1289" s="66"/>
      <c r="UCX1289" s="66"/>
      <c r="UCY1289" s="66"/>
      <c r="UCZ1289" s="66"/>
      <c r="UDA1289" s="66"/>
      <c r="UDB1289" s="66"/>
      <c r="UDC1289" s="66"/>
      <c r="UDD1289" s="66"/>
      <c r="UDE1289" s="66"/>
      <c r="UDF1289" s="66"/>
      <c r="UDG1289" s="66"/>
      <c r="UDH1289" s="66"/>
      <c r="UDI1289" s="66"/>
      <c r="UDJ1289" s="66"/>
      <c r="UDK1289" s="66"/>
      <c r="UDL1289" s="66"/>
      <c r="UDM1289" s="66"/>
      <c r="UDN1289" s="66"/>
      <c r="UDO1289" s="66"/>
      <c r="UDP1289" s="66"/>
      <c r="UDQ1289" s="66"/>
      <c r="UDR1289" s="66"/>
      <c r="UDS1289" s="66"/>
      <c r="UDT1289" s="66"/>
      <c r="UDU1289" s="66"/>
      <c r="UDV1289" s="66"/>
      <c r="UDW1289" s="66"/>
      <c r="UDX1289" s="66"/>
      <c r="UDY1289" s="66"/>
      <c r="UDZ1289" s="66"/>
      <c r="UEA1289" s="66"/>
      <c r="UEB1289" s="66"/>
      <c r="UEC1289" s="66"/>
      <c r="UED1289" s="66"/>
      <c r="UEE1289" s="66"/>
      <c r="UEF1289" s="66"/>
      <c r="UEG1289" s="66"/>
      <c r="UEH1289" s="66"/>
      <c r="UEI1289" s="66"/>
      <c r="UEJ1289" s="66"/>
      <c r="UEK1289" s="66"/>
      <c r="UEL1289" s="66"/>
      <c r="UEM1289" s="66"/>
      <c r="UEN1289" s="66"/>
      <c r="UEO1289" s="66"/>
      <c r="UEP1289" s="66"/>
      <c r="UEQ1289" s="66"/>
      <c r="UER1289" s="66"/>
      <c r="UES1289" s="66"/>
      <c r="UET1289" s="66"/>
      <c r="UEU1289" s="66"/>
      <c r="UEV1289" s="66"/>
      <c r="UEW1289" s="66"/>
      <c r="UEX1289" s="66"/>
      <c r="UEY1289" s="66"/>
      <c r="UEZ1289" s="66"/>
      <c r="UFA1289" s="66"/>
      <c r="UFB1289" s="66"/>
      <c r="UFC1289" s="66"/>
      <c r="UFD1289" s="66"/>
      <c r="UFE1289" s="66"/>
      <c r="UFF1289" s="66"/>
      <c r="UFG1289" s="66"/>
      <c r="UFH1289" s="66"/>
      <c r="UFI1289" s="66"/>
      <c r="UFJ1289" s="66"/>
      <c r="UFK1289" s="66"/>
      <c r="UFL1289" s="66"/>
      <c r="UFM1289" s="66"/>
      <c r="UFN1289" s="66"/>
      <c r="UFO1289" s="66"/>
      <c r="UFP1289" s="66"/>
      <c r="UFQ1289" s="66"/>
      <c r="UFR1289" s="66"/>
      <c r="UFS1289" s="66"/>
      <c r="UFT1289" s="66"/>
      <c r="UFU1289" s="66"/>
      <c r="UFV1289" s="66"/>
      <c r="UFW1289" s="66"/>
      <c r="UFX1289" s="66"/>
      <c r="UFY1289" s="66"/>
      <c r="UFZ1289" s="66"/>
      <c r="UGA1289" s="66"/>
      <c r="UGB1289" s="66"/>
      <c r="UGC1289" s="66"/>
      <c r="UGD1289" s="66"/>
      <c r="UGE1289" s="66"/>
      <c r="UGF1289" s="66"/>
      <c r="UGG1289" s="66"/>
      <c r="UGH1289" s="66"/>
      <c r="UGI1289" s="66"/>
      <c r="UGJ1289" s="66"/>
      <c r="UGK1289" s="66"/>
      <c r="UGL1289" s="66"/>
      <c r="UGM1289" s="66"/>
      <c r="UGN1289" s="66"/>
      <c r="UGO1289" s="66"/>
      <c r="UGP1289" s="66"/>
      <c r="UGQ1289" s="66"/>
      <c r="UGR1289" s="66"/>
      <c r="UGS1289" s="66"/>
      <c r="UGT1289" s="66"/>
      <c r="UGU1289" s="66"/>
      <c r="UGV1289" s="66"/>
      <c r="UGW1289" s="66"/>
      <c r="UGX1289" s="66"/>
      <c r="UGY1289" s="66"/>
      <c r="UGZ1289" s="66"/>
      <c r="UHA1289" s="66"/>
      <c r="UHB1289" s="66"/>
      <c r="UHC1289" s="66"/>
      <c r="UHD1289" s="66"/>
      <c r="UHE1289" s="66"/>
      <c r="UHF1289" s="66"/>
      <c r="UHG1289" s="66"/>
      <c r="UHH1289" s="66"/>
      <c r="UHI1289" s="66"/>
      <c r="UHJ1289" s="66"/>
      <c r="UHK1289" s="66"/>
      <c r="UHL1289" s="66"/>
      <c r="UHM1289" s="66"/>
      <c r="UHN1289" s="66"/>
      <c r="UHO1289" s="66"/>
      <c r="UHP1289" s="66"/>
      <c r="UHQ1289" s="66"/>
      <c r="UHR1289" s="66"/>
      <c r="UHS1289" s="66"/>
      <c r="UHT1289" s="66"/>
      <c r="UHU1289" s="66"/>
      <c r="UHV1289" s="66"/>
      <c r="UHW1289" s="66"/>
      <c r="UHX1289" s="66"/>
      <c r="UHY1289" s="66"/>
      <c r="UHZ1289" s="66"/>
      <c r="UIA1289" s="66"/>
      <c r="UIB1289" s="66"/>
      <c r="UIC1289" s="66"/>
      <c r="UID1289" s="66"/>
      <c r="UIE1289" s="66"/>
      <c r="UIF1289" s="66"/>
      <c r="UIG1289" s="66"/>
      <c r="UIH1289" s="66"/>
      <c r="UII1289" s="66"/>
      <c r="UIJ1289" s="66"/>
      <c r="UIK1289" s="66"/>
      <c r="UIL1289" s="66"/>
      <c r="UIM1289" s="66"/>
      <c r="UIN1289" s="66"/>
      <c r="UIO1289" s="66"/>
      <c r="UIP1289" s="66"/>
      <c r="UIQ1289" s="66"/>
      <c r="UIR1289" s="66"/>
      <c r="UIS1289" s="66"/>
      <c r="UIT1289" s="66"/>
      <c r="UIU1289" s="66"/>
      <c r="UIV1289" s="66"/>
      <c r="UIW1289" s="66"/>
      <c r="UIX1289" s="66"/>
      <c r="UIY1289" s="66"/>
      <c r="UIZ1289" s="66"/>
      <c r="UJA1289" s="66"/>
      <c r="UJB1289" s="66"/>
      <c r="UJC1289" s="66"/>
      <c r="UJD1289" s="66"/>
      <c r="UJE1289" s="66"/>
      <c r="UJF1289" s="66"/>
      <c r="UJG1289" s="66"/>
      <c r="UJH1289" s="66"/>
      <c r="UJI1289" s="66"/>
      <c r="UJJ1289" s="66"/>
      <c r="UJK1289" s="66"/>
      <c r="UJL1289" s="66"/>
      <c r="UJM1289" s="66"/>
      <c r="UJN1289" s="66"/>
      <c r="UJO1289" s="66"/>
      <c r="UJP1289" s="66"/>
      <c r="UJQ1289" s="66"/>
      <c r="UJR1289" s="66"/>
      <c r="UJS1289" s="66"/>
      <c r="UJT1289" s="66"/>
      <c r="UJU1289" s="66"/>
      <c r="UJV1289" s="66"/>
      <c r="UJW1289" s="66"/>
      <c r="UJX1289" s="66"/>
      <c r="UJY1289" s="66"/>
      <c r="UJZ1289" s="66"/>
      <c r="UKA1289" s="66"/>
      <c r="UKB1289" s="66"/>
      <c r="UKC1289" s="66"/>
      <c r="UKD1289" s="66"/>
      <c r="UKE1289" s="66"/>
      <c r="UKF1289" s="66"/>
      <c r="UKG1289" s="66"/>
      <c r="UKH1289" s="66"/>
      <c r="UKI1289" s="66"/>
      <c r="UKJ1289" s="66"/>
      <c r="UKK1289" s="66"/>
      <c r="UKL1289" s="66"/>
      <c r="UKM1289" s="66"/>
      <c r="UKN1289" s="66"/>
      <c r="UKO1289" s="66"/>
      <c r="UKP1289" s="66"/>
      <c r="UKQ1289" s="66"/>
      <c r="UKR1289" s="66"/>
      <c r="UKS1289" s="66"/>
      <c r="UKT1289" s="66"/>
      <c r="UKU1289" s="66"/>
      <c r="UKV1289" s="66"/>
      <c r="UKW1289" s="66"/>
      <c r="UKX1289" s="66"/>
      <c r="UKY1289" s="66"/>
      <c r="UKZ1289" s="66"/>
      <c r="ULA1289" s="66"/>
      <c r="ULB1289" s="66"/>
      <c r="ULC1289" s="66"/>
      <c r="ULD1289" s="66"/>
      <c r="ULE1289" s="66"/>
      <c r="ULF1289" s="66"/>
      <c r="ULG1289" s="66"/>
      <c r="ULH1289" s="66"/>
      <c r="ULI1289" s="66"/>
      <c r="ULJ1289" s="66"/>
      <c r="ULK1289" s="66"/>
      <c r="ULL1289" s="66"/>
      <c r="ULM1289" s="66"/>
      <c r="ULN1289" s="66"/>
      <c r="ULO1289" s="66"/>
      <c r="ULP1289" s="66"/>
      <c r="ULQ1289" s="66"/>
      <c r="ULR1289" s="66"/>
      <c r="ULS1289" s="66"/>
      <c r="ULT1289" s="66"/>
      <c r="ULU1289" s="66"/>
      <c r="ULV1289" s="66"/>
      <c r="ULW1289" s="66"/>
      <c r="ULX1289" s="66"/>
      <c r="ULY1289" s="66"/>
      <c r="ULZ1289" s="66"/>
      <c r="UMA1289" s="66"/>
      <c r="UMB1289" s="66"/>
      <c r="UMC1289" s="66"/>
      <c r="UMD1289" s="66"/>
      <c r="UME1289" s="66"/>
      <c r="UMF1289" s="66"/>
      <c r="UMG1289" s="66"/>
      <c r="UMH1289" s="66"/>
      <c r="UMI1289" s="66"/>
      <c r="UMJ1289" s="66"/>
      <c r="UMK1289" s="66"/>
      <c r="UML1289" s="66"/>
      <c r="UMM1289" s="66"/>
      <c r="UMN1289" s="66"/>
      <c r="UMO1289" s="66"/>
      <c r="UMP1289" s="66"/>
      <c r="UMQ1289" s="66"/>
      <c r="UMR1289" s="66"/>
      <c r="UMS1289" s="66"/>
      <c r="UMT1289" s="66"/>
      <c r="UMU1289" s="66"/>
      <c r="UMV1289" s="66"/>
      <c r="UMW1289" s="66"/>
      <c r="UMX1289" s="66"/>
      <c r="UMY1289" s="66"/>
      <c r="UMZ1289" s="66"/>
      <c r="UNA1289" s="66"/>
      <c r="UNB1289" s="66"/>
      <c r="UNC1289" s="66"/>
      <c r="UND1289" s="66"/>
      <c r="UNE1289" s="66"/>
      <c r="UNF1289" s="66"/>
      <c r="UNG1289" s="66"/>
      <c r="UNH1289" s="66"/>
      <c r="UNI1289" s="66"/>
      <c r="UNJ1289" s="66"/>
      <c r="UNK1289" s="66"/>
      <c r="UNL1289" s="66"/>
      <c r="UNM1289" s="66"/>
      <c r="UNN1289" s="66"/>
      <c r="UNO1289" s="66"/>
      <c r="UNP1289" s="66"/>
      <c r="UNQ1289" s="66"/>
      <c r="UNR1289" s="66"/>
      <c r="UNS1289" s="66"/>
      <c r="UNT1289" s="66"/>
      <c r="UNU1289" s="66"/>
      <c r="UNV1289" s="66"/>
      <c r="UNW1289" s="66"/>
      <c r="UNX1289" s="66"/>
      <c r="UNY1289" s="66"/>
      <c r="UNZ1289" s="66"/>
      <c r="UOA1289" s="66"/>
      <c r="UOB1289" s="66"/>
      <c r="UOC1289" s="66"/>
      <c r="UOD1289" s="66"/>
      <c r="UOE1289" s="66"/>
      <c r="UOF1289" s="66"/>
      <c r="UOG1289" s="66"/>
      <c r="UOH1289" s="66"/>
      <c r="UOI1289" s="66"/>
      <c r="UOJ1289" s="66"/>
      <c r="UOK1289" s="66"/>
      <c r="UOL1289" s="66"/>
      <c r="UOM1289" s="66"/>
      <c r="UON1289" s="66"/>
      <c r="UOO1289" s="66"/>
      <c r="UOP1289" s="66"/>
      <c r="UOQ1289" s="66"/>
      <c r="UOR1289" s="66"/>
      <c r="UOS1289" s="66"/>
      <c r="UOT1289" s="66"/>
      <c r="UOU1289" s="66"/>
      <c r="UOV1289" s="66"/>
      <c r="UOW1289" s="66"/>
      <c r="UOX1289" s="66"/>
      <c r="UOY1289" s="66"/>
      <c r="UOZ1289" s="66"/>
      <c r="UPA1289" s="66"/>
      <c r="UPB1289" s="66"/>
      <c r="UPC1289" s="66"/>
      <c r="UPD1289" s="66"/>
      <c r="UPE1289" s="66"/>
      <c r="UPF1289" s="66"/>
      <c r="UPG1289" s="66"/>
      <c r="UPH1289" s="66"/>
      <c r="UPI1289" s="66"/>
      <c r="UPJ1289" s="66"/>
      <c r="UPK1289" s="66"/>
      <c r="UPL1289" s="66"/>
      <c r="UPM1289" s="66"/>
      <c r="UPN1289" s="66"/>
      <c r="UPO1289" s="66"/>
      <c r="UPP1289" s="66"/>
      <c r="UPQ1289" s="66"/>
      <c r="UPR1289" s="66"/>
      <c r="UPS1289" s="66"/>
      <c r="UPT1289" s="66"/>
      <c r="UPU1289" s="66"/>
      <c r="UPV1289" s="66"/>
      <c r="UPW1289" s="66"/>
      <c r="UPX1289" s="66"/>
      <c r="UPY1289" s="66"/>
      <c r="UPZ1289" s="66"/>
      <c r="UQA1289" s="66"/>
      <c r="UQB1289" s="66"/>
      <c r="UQC1289" s="66"/>
      <c r="UQD1289" s="66"/>
      <c r="UQE1289" s="66"/>
      <c r="UQF1289" s="66"/>
      <c r="UQG1289" s="66"/>
      <c r="UQH1289" s="66"/>
      <c r="UQI1289" s="66"/>
      <c r="UQJ1289" s="66"/>
      <c r="UQK1289" s="66"/>
      <c r="UQL1289" s="66"/>
      <c r="UQM1289" s="66"/>
      <c r="UQN1289" s="66"/>
      <c r="UQO1289" s="66"/>
      <c r="UQP1289" s="66"/>
      <c r="UQQ1289" s="66"/>
      <c r="UQR1289" s="66"/>
      <c r="UQS1289" s="66"/>
      <c r="UQT1289" s="66"/>
      <c r="UQU1289" s="66"/>
      <c r="UQV1289" s="66"/>
      <c r="UQW1289" s="66"/>
      <c r="UQX1289" s="66"/>
      <c r="UQY1289" s="66"/>
      <c r="UQZ1289" s="66"/>
      <c r="URA1289" s="66"/>
      <c r="URB1289" s="66"/>
      <c r="URC1289" s="66"/>
      <c r="URD1289" s="66"/>
      <c r="URE1289" s="66"/>
      <c r="URF1289" s="66"/>
      <c r="URG1289" s="66"/>
      <c r="URH1289" s="66"/>
      <c r="URI1289" s="66"/>
      <c r="URJ1289" s="66"/>
      <c r="URK1289" s="66"/>
      <c r="URL1289" s="66"/>
      <c r="URM1289" s="66"/>
      <c r="URN1289" s="66"/>
      <c r="URO1289" s="66"/>
      <c r="URP1289" s="66"/>
      <c r="URQ1289" s="66"/>
      <c r="URR1289" s="66"/>
      <c r="URS1289" s="66"/>
      <c r="URT1289" s="66"/>
      <c r="URU1289" s="66"/>
      <c r="URV1289" s="66"/>
      <c r="URW1289" s="66"/>
      <c r="URX1289" s="66"/>
      <c r="URY1289" s="66"/>
      <c r="URZ1289" s="66"/>
      <c r="USA1289" s="66"/>
      <c r="USB1289" s="66"/>
      <c r="USC1289" s="66"/>
      <c r="USD1289" s="66"/>
      <c r="USE1289" s="66"/>
      <c r="USF1289" s="66"/>
      <c r="USG1289" s="66"/>
      <c r="USH1289" s="66"/>
      <c r="USI1289" s="66"/>
      <c r="USJ1289" s="66"/>
      <c r="USK1289" s="66"/>
      <c r="USL1289" s="66"/>
      <c r="USM1289" s="66"/>
      <c r="USN1289" s="66"/>
      <c r="USO1289" s="66"/>
      <c r="USP1289" s="66"/>
      <c r="USQ1289" s="66"/>
      <c r="USR1289" s="66"/>
      <c r="USS1289" s="66"/>
      <c r="UST1289" s="66"/>
      <c r="USU1289" s="66"/>
      <c r="USV1289" s="66"/>
      <c r="USW1289" s="66"/>
      <c r="USX1289" s="66"/>
      <c r="USY1289" s="66"/>
      <c r="USZ1289" s="66"/>
      <c r="UTA1289" s="66"/>
      <c r="UTB1289" s="66"/>
      <c r="UTC1289" s="66"/>
      <c r="UTD1289" s="66"/>
      <c r="UTE1289" s="66"/>
      <c r="UTF1289" s="66"/>
      <c r="UTG1289" s="66"/>
      <c r="UTH1289" s="66"/>
      <c r="UTI1289" s="66"/>
      <c r="UTJ1289" s="66"/>
      <c r="UTK1289" s="66"/>
      <c r="UTL1289" s="66"/>
      <c r="UTM1289" s="66"/>
      <c r="UTN1289" s="66"/>
      <c r="UTO1289" s="66"/>
      <c r="UTP1289" s="66"/>
      <c r="UTQ1289" s="66"/>
      <c r="UTR1289" s="66"/>
      <c r="UTS1289" s="66"/>
      <c r="UTT1289" s="66"/>
      <c r="UTU1289" s="66"/>
      <c r="UTV1289" s="66"/>
      <c r="UTW1289" s="66"/>
      <c r="UTX1289" s="66"/>
      <c r="UTY1289" s="66"/>
      <c r="UTZ1289" s="66"/>
      <c r="UUA1289" s="66"/>
      <c r="UUB1289" s="66"/>
      <c r="UUC1289" s="66"/>
      <c r="UUD1289" s="66"/>
      <c r="UUE1289" s="66"/>
      <c r="UUF1289" s="66"/>
      <c r="UUG1289" s="66"/>
      <c r="UUH1289" s="66"/>
      <c r="UUI1289" s="66"/>
      <c r="UUJ1289" s="66"/>
      <c r="UUK1289" s="66"/>
      <c r="UUL1289" s="66"/>
      <c r="UUM1289" s="66"/>
      <c r="UUN1289" s="66"/>
      <c r="UUO1289" s="66"/>
      <c r="UUP1289" s="66"/>
      <c r="UUQ1289" s="66"/>
      <c r="UUR1289" s="66"/>
      <c r="UUS1289" s="66"/>
      <c r="UUT1289" s="66"/>
      <c r="UUU1289" s="66"/>
      <c r="UUV1289" s="66"/>
      <c r="UUW1289" s="66"/>
      <c r="UUX1289" s="66"/>
      <c r="UUY1289" s="66"/>
      <c r="UUZ1289" s="66"/>
      <c r="UVA1289" s="66"/>
      <c r="UVB1289" s="66"/>
      <c r="UVC1289" s="66"/>
      <c r="UVD1289" s="66"/>
      <c r="UVE1289" s="66"/>
      <c r="UVF1289" s="66"/>
      <c r="UVG1289" s="66"/>
      <c r="UVH1289" s="66"/>
      <c r="UVI1289" s="66"/>
      <c r="UVJ1289" s="66"/>
      <c r="UVK1289" s="66"/>
      <c r="UVL1289" s="66"/>
      <c r="UVM1289" s="66"/>
      <c r="UVN1289" s="66"/>
      <c r="UVO1289" s="66"/>
      <c r="UVP1289" s="66"/>
      <c r="UVQ1289" s="66"/>
      <c r="UVR1289" s="66"/>
      <c r="UVS1289" s="66"/>
      <c r="UVT1289" s="66"/>
      <c r="UVU1289" s="66"/>
      <c r="UVV1289" s="66"/>
      <c r="UVW1289" s="66"/>
      <c r="UVX1289" s="66"/>
      <c r="UVY1289" s="66"/>
      <c r="UVZ1289" s="66"/>
      <c r="UWA1289" s="66"/>
      <c r="UWB1289" s="66"/>
      <c r="UWC1289" s="66"/>
      <c r="UWD1289" s="66"/>
      <c r="UWE1289" s="66"/>
      <c r="UWF1289" s="66"/>
      <c r="UWG1289" s="66"/>
      <c r="UWH1289" s="66"/>
      <c r="UWI1289" s="66"/>
      <c r="UWJ1289" s="66"/>
      <c r="UWK1289" s="66"/>
      <c r="UWL1289" s="66"/>
      <c r="UWM1289" s="66"/>
      <c r="UWN1289" s="66"/>
      <c r="UWO1289" s="66"/>
      <c r="UWP1289" s="66"/>
      <c r="UWQ1289" s="66"/>
      <c r="UWR1289" s="66"/>
      <c r="UWS1289" s="66"/>
      <c r="UWT1289" s="66"/>
      <c r="UWU1289" s="66"/>
      <c r="UWV1289" s="66"/>
      <c r="UWW1289" s="66"/>
      <c r="UWX1289" s="66"/>
      <c r="UWY1289" s="66"/>
      <c r="UWZ1289" s="66"/>
      <c r="UXA1289" s="66"/>
      <c r="UXB1289" s="66"/>
      <c r="UXC1289" s="66"/>
      <c r="UXD1289" s="66"/>
      <c r="UXE1289" s="66"/>
      <c r="UXF1289" s="66"/>
      <c r="UXG1289" s="66"/>
      <c r="UXH1289" s="66"/>
      <c r="UXI1289" s="66"/>
      <c r="UXJ1289" s="66"/>
      <c r="UXK1289" s="66"/>
      <c r="UXL1289" s="66"/>
      <c r="UXM1289" s="66"/>
      <c r="UXN1289" s="66"/>
      <c r="UXO1289" s="66"/>
      <c r="UXP1289" s="66"/>
      <c r="UXQ1289" s="66"/>
      <c r="UXR1289" s="66"/>
      <c r="UXS1289" s="66"/>
      <c r="UXT1289" s="66"/>
      <c r="UXU1289" s="66"/>
      <c r="UXV1289" s="66"/>
      <c r="UXW1289" s="66"/>
      <c r="UXX1289" s="66"/>
      <c r="UXY1289" s="66"/>
      <c r="UXZ1289" s="66"/>
      <c r="UYA1289" s="66"/>
      <c r="UYB1289" s="66"/>
      <c r="UYC1289" s="66"/>
      <c r="UYD1289" s="66"/>
      <c r="UYE1289" s="66"/>
      <c r="UYF1289" s="66"/>
      <c r="UYG1289" s="66"/>
      <c r="UYH1289" s="66"/>
      <c r="UYI1289" s="66"/>
      <c r="UYJ1289" s="66"/>
      <c r="UYK1289" s="66"/>
      <c r="UYL1289" s="66"/>
      <c r="UYM1289" s="66"/>
      <c r="UYN1289" s="66"/>
      <c r="UYO1289" s="66"/>
      <c r="UYP1289" s="66"/>
      <c r="UYQ1289" s="66"/>
      <c r="UYR1289" s="66"/>
      <c r="UYS1289" s="66"/>
      <c r="UYT1289" s="66"/>
      <c r="UYU1289" s="66"/>
      <c r="UYV1289" s="66"/>
      <c r="UYW1289" s="66"/>
      <c r="UYX1289" s="66"/>
      <c r="UYY1289" s="66"/>
      <c r="UYZ1289" s="66"/>
      <c r="UZA1289" s="66"/>
      <c r="UZB1289" s="66"/>
      <c r="UZC1289" s="66"/>
      <c r="UZD1289" s="66"/>
      <c r="UZE1289" s="66"/>
      <c r="UZF1289" s="66"/>
      <c r="UZG1289" s="66"/>
      <c r="UZH1289" s="66"/>
      <c r="UZI1289" s="66"/>
      <c r="UZJ1289" s="66"/>
      <c r="UZK1289" s="66"/>
      <c r="UZL1289" s="66"/>
      <c r="UZM1289" s="66"/>
      <c r="UZN1289" s="66"/>
      <c r="UZO1289" s="66"/>
      <c r="UZP1289" s="66"/>
      <c r="UZQ1289" s="66"/>
      <c r="UZR1289" s="66"/>
      <c r="UZS1289" s="66"/>
      <c r="UZT1289" s="66"/>
      <c r="UZU1289" s="66"/>
      <c r="UZV1289" s="66"/>
      <c r="UZW1289" s="66"/>
      <c r="UZX1289" s="66"/>
      <c r="UZY1289" s="66"/>
      <c r="UZZ1289" s="66"/>
      <c r="VAA1289" s="66"/>
      <c r="VAB1289" s="66"/>
      <c r="VAC1289" s="66"/>
      <c r="VAD1289" s="66"/>
      <c r="VAE1289" s="66"/>
      <c r="VAF1289" s="66"/>
      <c r="VAG1289" s="66"/>
      <c r="VAH1289" s="66"/>
      <c r="VAI1289" s="66"/>
      <c r="VAJ1289" s="66"/>
      <c r="VAK1289" s="66"/>
      <c r="VAL1289" s="66"/>
      <c r="VAM1289" s="66"/>
      <c r="VAN1289" s="66"/>
      <c r="VAO1289" s="66"/>
      <c r="VAP1289" s="66"/>
      <c r="VAQ1289" s="66"/>
      <c r="VAR1289" s="66"/>
      <c r="VAS1289" s="66"/>
      <c r="VAT1289" s="66"/>
      <c r="VAU1289" s="66"/>
      <c r="VAV1289" s="66"/>
      <c r="VAW1289" s="66"/>
      <c r="VAX1289" s="66"/>
      <c r="VAY1289" s="66"/>
      <c r="VAZ1289" s="66"/>
      <c r="VBA1289" s="66"/>
      <c r="VBB1289" s="66"/>
      <c r="VBC1289" s="66"/>
      <c r="VBD1289" s="66"/>
      <c r="VBE1289" s="66"/>
      <c r="VBF1289" s="66"/>
      <c r="VBG1289" s="66"/>
      <c r="VBH1289" s="66"/>
      <c r="VBI1289" s="66"/>
      <c r="VBJ1289" s="66"/>
      <c r="VBK1289" s="66"/>
      <c r="VBL1289" s="66"/>
      <c r="VBM1289" s="66"/>
      <c r="VBN1289" s="66"/>
      <c r="VBO1289" s="66"/>
      <c r="VBP1289" s="66"/>
      <c r="VBQ1289" s="66"/>
      <c r="VBR1289" s="66"/>
      <c r="VBS1289" s="66"/>
      <c r="VBT1289" s="66"/>
      <c r="VBU1289" s="66"/>
      <c r="VBV1289" s="66"/>
      <c r="VBW1289" s="66"/>
      <c r="VBX1289" s="66"/>
      <c r="VBY1289" s="66"/>
      <c r="VBZ1289" s="66"/>
      <c r="VCA1289" s="66"/>
      <c r="VCB1289" s="66"/>
      <c r="VCC1289" s="66"/>
      <c r="VCD1289" s="66"/>
      <c r="VCE1289" s="66"/>
      <c r="VCF1289" s="66"/>
      <c r="VCG1289" s="66"/>
      <c r="VCH1289" s="66"/>
      <c r="VCI1289" s="66"/>
      <c r="VCJ1289" s="66"/>
      <c r="VCK1289" s="66"/>
      <c r="VCL1289" s="66"/>
      <c r="VCM1289" s="66"/>
      <c r="VCN1289" s="66"/>
      <c r="VCO1289" s="66"/>
      <c r="VCP1289" s="66"/>
      <c r="VCQ1289" s="66"/>
      <c r="VCR1289" s="66"/>
      <c r="VCS1289" s="66"/>
      <c r="VCT1289" s="66"/>
      <c r="VCU1289" s="66"/>
      <c r="VCV1289" s="66"/>
      <c r="VCW1289" s="66"/>
      <c r="VCX1289" s="66"/>
      <c r="VCY1289" s="66"/>
      <c r="VCZ1289" s="66"/>
      <c r="VDA1289" s="66"/>
      <c r="VDB1289" s="66"/>
      <c r="VDC1289" s="66"/>
      <c r="VDD1289" s="66"/>
      <c r="VDE1289" s="66"/>
      <c r="VDF1289" s="66"/>
      <c r="VDG1289" s="66"/>
      <c r="VDH1289" s="66"/>
      <c r="VDI1289" s="66"/>
      <c r="VDJ1289" s="66"/>
      <c r="VDK1289" s="66"/>
      <c r="VDL1289" s="66"/>
      <c r="VDM1289" s="66"/>
      <c r="VDN1289" s="66"/>
      <c r="VDO1289" s="66"/>
      <c r="VDP1289" s="66"/>
      <c r="VDQ1289" s="66"/>
      <c r="VDR1289" s="66"/>
      <c r="VDS1289" s="66"/>
      <c r="VDT1289" s="66"/>
      <c r="VDU1289" s="66"/>
      <c r="VDV1289" s="66"/>
      <c r="VDW1289" s="66"/>
      <c r="VDX1289" s="66"/>
      <c r="VDY1289" s="66"/>
      <c r="VDZ1289" s="66"/>
      <c r="VEA1289" s="66"/>
      <c r="VEB1289" s="66"/>
      <c r="VEC1289" s="66"/>
      <c r="VED1289" s="66"/>
      <c r="VEE1289" s="66"/>
      <c r="VEF1289" s="66"/>
      <c r="VEG1289" s="66"/>
      <c r="VEH1289" s="66"/>
      <c r="VEI1289" s="66"/>
      <c r="VEJ1289" s="66"/>
      <c r="VEK1289" s="66"/>
      <c r="VEL1289" s="66"/>
      <c r="VEM1289" s="66"/>
      <c r="VEN1289" s="66"/>
      <c r="VEO1289" s="66"/>
      <c r="VEP1289" s="66"/>
      <c r="VEQ1289" s="66"/>
      <c r="VER1289" s="66"/>
      <c r="VES1289" s="66"/>
      <c r="VET1289" s="66"/>
      <c r="VEU1289" s="66"/>
      <c r="VEV1289" s="66"/>
      <c r="VEW1289" s="66"/>
      <c r="VEX1289" s="66"/>
      <c r="VEY1289" s="66"/>
      <c r="VEZ1289" s="66"/>
      <c r="VFA1289" s="66"/>
      <c r="VFB1289" s="66"/>
      <c r="VFC1289" s="66"/>
      <c r="VFD1289" s="66"/>
      <c r="VFE1289" s="66"/>
      <c r="VFF1289" s="66"/>
      <c r="VFG1289" s="66"/>
      <c r="VFH1289" s="66"/>
      <c r="VFI1289" s="66"/>
      <c r="VFJ1289" s="66"/>
      <c r="VFK1289" s="66"/>
      <c r="VFL1289" s="66"/>
      <c r="VFM1289" s="66"/>
      <c r="VFN1289" s="66"/>
      <c r="VFO1289" s="66"/>
      <c r="VFP1289" s="66"/>
      <c r="VFQ1289" s="66"/>
      <c r="VFR1289" s="66"/>
      <c r="VFS1289" s="66"/>
      <c r="VFT1289" s="66"/>
      <c r="VFU1289" s="66"/>
      <c r="VFV1289" s="66"/>
      <c r="VFW1289" s="66"/>
      <c r="VFX1289" s="66"/>
      <c r="VFY1289" s="66"/>
      <c r="VFZ1289" s="66"/>
      <c r="VGA1289" s="66"/>
      <c r="VGB1289" s="66"/>
      <c r="VGC1289" s="66"/>
      <c r="VGD1289" s="66"/>
      <c r="VGE1289" s="66"/>
      <c r="VGF1289" s="66"/>
      <c r="VGG1289" s="66"/>
      <c r="VGH1289" s="66"/>
      <c r="VGI1289" s="66"/>
      <c r="VGJ1289" s="66"/>
      <c r="VGK1289" s="66"/>
      <c r="VGL1289" s="66"/>
      <c r="VGM1289" s="66"/>
      <c r="VGN1289" s="66"/>
      <c r="VGO1289" s="66"/>
      <c r="VGP1289" s="66"/>
      <c r="VGQ1289" s="66"/>
      <c r="VGR1289" s="66"/>
      <c r="VGS1289" s="66"/>
      <c r="VGT1289" s="66"/>
      <c r="VGU1289" s="66"/>
      <c r="VGV1289" s="66"/>
      <c r="VGW1289" s="66"/>
      <c r="VGX1289" s="66"/>
      <c r="VGY1289" s="66"/>
      <c r="VGZ1289" s="66"/>
      <c r="VHA1289" s="66"/>
      <c r="VHB1289" s="66"/>
      <c r="VHC1289" s="66"/>
      <c r="VHD1289" s="66"/>
      <c r="VHE1289" s="66"/>
      <c r="VHF1289" s="66"/>
      <c r="VHG1289" s="66"/>
      <c r="VHH1289" s="66"/>
      <c r="VHI1289" s="66"/>
      <c r="VHJ1289" s="66"/>
      <c r="VHK1289" s="66"/>
      <c r="VHL1289" s="66"/>
      <c r="VHM1289" s="66"/>
      <c r="VHN1289" s="66"/>
      <c r="VHO1289" s="66"/>
      <c r="VHP1289" s="66"/>
      <c r="VHQ1289" s="66"/>
      <c r="VHR1289" s="66"/>
      <c r="VHS1289" s="66"/>
      <c r="VHT1289" s="66"/>
      <c r="VHU1289" s="66"/>
      <c r="VHV1289" s="66"/>
      <c r="VHW1289" s="66"/>
      <c r="VHX1289" s="66"/>
      <c r="VHY1289" s="66"/>
      <c r="VHZ1289" s="66"/>
      <c r="VIA1289" s="66"/>
      <c r="VIB1289" s="66"/>
      <c r="VIC1289" s="66"/>
      <c r="VID1289" s="66"/>
      <c r="VIE1289" s="66"/>
      <c r="VIF1289" s="66"/>
      <c r="VIG1289" s="66"/>
      <c r="VIH1289" s="66"/>
      <c r="VII1289" s="66"/>
      <c r="VIJ1289" s="66"/>
      <c r="VIK1289" s="66"/>
      <c r="VIL1289" s="66"/>
      <c r="VIM1289" s="66"/>
      <c r="VIN1289" s="66"/>
      <c r="VIO1289" s="66"/>
      <c r="VIP1289" s="66"/>
      <c r="VIQ1289" s="66"/>
      <c r="VIR1289" s="66"/>
      <c r="VIS1289" s="66"/>
      <c r="VIT1289" s="66"/>
      <c r="VIU1289" s="66"/>
      <c r="VIV1289" s="66"/>
      <c r="VIW1289" s="66"/>
      <c r="VIX1289" s="66"/>
      <c r="VIY1289" s="66"/>
      <c r="VIZ1289" s="66"/>
      <c r="VJA1289" s="66"/>
      <c r="VJB1289" s="66"/>
      <c r="VJC1289" s="66"/>
      <c r="VJD1289" s="66"/>
      <c r="VJE1289" s="66"/>
      <c r="VJF1289" s="66"/>
      <c r="VJG1289" s="66"/>
      <c r="VJH1289" s="66"/>
      <c r="VJI1289" s="66"/>
      <c r="VJJ1289" s="66"/>
      <c r="VJK1289" s="66"/>
      <c r="VJL1289" s="66"/>
      <c r="VJM1289" s="66"/>
      <c r="VJN1289" s="66"/>
      <c r="VJO1289" s="66"/>
      <c r="VJP1289" s="66"/>
      <c r="VJQ1289" s="66"/>
      <c r="VJR1289" s="66"/>
      <c r="VJS1289" s="66"/>
      <c r="VJT1289" s="66"/>
      <c r="VJU1289" s="66"/>
      <c r="VJV1289" s="66"/>
      <c r="VJW1289" s="66"/>
      <c r="VJX1289" s="66"/>
      <c r="VJY1289" s="66"/>
      <c r="VJZ1289" s="66"/>
      <c r="VKA1289" s="66"/>
      <c r="VKB1289" s="66"/>
      <c r="VKC1289" s="66"/>
      <c r="VKD1289" s="66"/>
      <c r="VKE1289" s="66"/>
      <c r="VKF1289" s="66"/>
      <c r="VKG1289" s="66"/>
      <c r="VKH1289" s="66"/>
      <c r="VKI1289" s="66"/>
      <c r="VKJ1289" s="66"/>
      <c r="VKK1289" s="66"/>
      <c r="VKL1289" s="66"/>
      <c r="VKM1289" s="66"/>
      <c r="VKN1289" s="66"/>
      <c r="VKO1289" s="66"/>
      <c r="VKP1289" s="66"/>
      <c r="VKQ1289" s="66"/>
      <c r="VKR1289" s="66"/>
      <c r="VKS1289" s="66"/>
      <c r="VKT1289" s="66"/>
      <c r="VKU1289" s="66"/>
      <c r="VKV1289" s="66"/>
      <c r="VKW1289" s="66"/>
      <c r="VKX1289" s="66"/>
      <c r="VKY1289" s="66"/>
      <c r="VKZ1289" s="66"/>
      <c r="VLA1289" s="66"/>
      <c r="VLB1289" s="66"/>
      <c r="VLC1289" s="66"/>
      <c r="VLD1289" s="66"/>
      <c r="VLE1289" s="66"/>
      <c r="VLF1289" s="66"/>
      <c r="VLG1289" s="66"/>
      <c r="VLH1289" s="66"/>
      <c r="VLI1289" s="66"/>
      <c r="VLJ1289" s="66"/>
      <c r="VLK1289" s="66"/>
      <c r="VLL1289" s="66"/>
      <c r="VLM1289" s="66"/>
      <c r="VLN1289" s="66"/>
      <c r="VLO1289" s="66"/>
      <c r="VLP1289" s="66"/>
      <c r="VLQ1289" s="66"/>
      <c r="VLR1289" s="66"/>
      <c r="VLS1289" s="66"/>
      <c r="VLT1289" s="66"/>
      <c r="VLU1289" s="66"/>
      <c r="VLV1289" s="66"/>
      <c r="VLW1289" s="66"/>
      <c r="VLX1289" s="66"/>
      <c r="VLY1289" s="66"/>
      <c r="VLZ1289" s="66"/>
      <c r="VMA1289" s="66"/>
      <c r="VMB1289" s="66"/>
      <c r="VMC1289" s="66"/>
      <c r="VMD1289" s="66"/>
      <c r="VME1289" s="66"/>
      <c r="VMF1289" s="66"/>
      <c r="VMG1289" s="66"/>
      <c r="VMH1289" s="66"/>
      <c r="VMI1289" s="66"/>
      <c r="VMJ1289" s="66"/>
      <c r="VMK1289" s="66"/>
      <c r="VML1289" s="66"/>
      <c r="VMM1289" s="66"/>
      <c r="VMN1289" s="66"/>
      <c r="VMO1289" s="66"/>
      <c r="VMP1289" s="66"/>
      <c r="VMQ1289" s="66"/>
      <c r="VMR1289" s="66"/>
      <c r="VMS1289" s="66"/>
      <c r="VMT1289" s="66"/>
      <c r="VMU1289" s="66"/>
      <c r="VMV1289" s="66"/>
      <c r="VMW1289" s="66"/>
      <c r="VMX1289" s="66"/>
      <c r="VMY1289" s="66"/>
      <c r="VMZ1289" s="66"/>
      <c r="VNA1289" s="66"/>
      <c r="VNB1289" s="66"/>
      <c r="VNC1289" s="66"/>
      <c r="VND1289" s="66"/>
      <c r="VNE1289" s="66"/>
      <c r="VNF1289" s="66"/>
      <c r="VNG1289" s="66"/>
      <c r="VNH1289" s="66"/>
      <c r="VNI1289" s="66"/>
      <c r="VNJ1289" s="66"/>
      <c r="VNK1289" s="66"/>
      <c r="VNL1289" s="66"/>
      <c r="VNM1289" s="66"/>
      <c r="VNN1289" s="66"/>
      <c r="VNO1289" s="66"/>
      <c r="VNP1289" s="66"/>
      <c r="VNQ1289" s="66"/>
      <c r="VNR1289" s="66"/>
      <c r="VNS1289" s="66"/>
      <c r="VNT1289" s="66"/>
      <c r="VNU1289" s="66"/>
      <c r="VNV1289" s="66"/>
      <c r="VNW1289" s="66"/>
      <c r="VNX1289" s="66"/>
      <c r="VNY1289" s="66"/>
      <c r="VNZ1289" s="66"/>
      <c r="VOA1289" s="66"/>
      <c r="VOB1289" s="66"/>
      <c r="VOC1289" s="66"/>
      <c r="VOD1289" s="66"/>
      <c r="VOE1289" s="66"/>
      <c r="VOF1289" s="66"/>
      <c r="VOG1289" s="66"/>
      <c r="VOH1289" s="66"/>
      <c r="VOI1289" s="66"/>
      <c r="VOJ1289" s="66"/>
      <c r="VOK1289" s="66"/>
      <c r="VOL1289" s="66"/>
      <c r="VOM1289" s="66"/>
      <c r="VON1289" s="66"/>
      <c r="VOO1289" s="66"/>
      <c r="VOP1289" s="66"/>
      <c r="VOQ1289" s="66"/>
      <c r="VOR1289" s="66"/>
      <c r="VOS1289" s="66"/>
      <c r="VOT1289" s="66"/>
      <c r="VOU1289" s="66"/>
      <c r="VOV1289" s="66"/>
      <c r="VOW1289" s="66"/>
      <c r="VOX1289" s="66"/>
      <c r="VOY1289" s="66"/>
      <c r="VOZ1289" s="66"/>
      <c r="VPA1289" s="66"/>
      <c r="VPB1289" s="66"/>
      <c r="VPC1289" s="66"/>
      <c r="VPD1289" s="66"/>
      <c r="VPE1289" s="66"/>
      <c r="VPF1289" s="66"/>
      <c r="VPG1289" s="66"/>
      <c r="VPH1289" s="66"/>
      <c r="VPI1289" s="66"/>
      <c r="VPJ1289" s="66"/>
      <c r="VPK1289" s="66"/>
      <c r="VPL1289" s="66"/>
      <c r="VPM1289" s="66"/>
      <c r="VPN1289" s="66"/>
      <c r="VPO1289" s="66"/>
      <c r="VPP1289" s="66"/>
      <c r="VPQ1289" s="66"/>
      <c r="VPR1289" s="66"/>
      <c r="VPS1289" s="66"/>
      <c r="VPT1289" s="66"/>
      <c r="VPU1289" s="66"/>
      <c r="VPV1289" s="66"/>
      <c r="VPW1289" s="66"/>
      <c r="VPX1289" s="66"/>
      <c r="VPY1289" s="66"/>
      <c r="VPZ1289" s="66"/>
      <c r="VQA1289" s="66"/>
      <c r="VQB1289" s="66"/>
      <c r="VQC1289" s="66"/>
      <c r="VQD1289" s="66"/>
      <c r="VQE1289" s="66"/>
      <c r="VQF1289" s="66"/>
      <c r="VQG1289" s="66"/>
      <c r="VQH1289" s="66"/>
      <c r="VQI1289" s="66"/>
      <c r="VQJ1289" s="66"/>
      <c r="VQK1289" s="66"/>
      <c r="VQL1289" s="66"/>
      <c r="VQM1289" s="66"/>
      <c r="VQN1289" s="66"/>
      <c r="VQO1289" s="66"/>
      <c r="VQP1289" s="66"/>
      <c r="VQQ1289" s="66"/>
      <c r="VQR1289" s="66"/>
      <c r="VQS1289" s="66"/>
      <c r="VQT1289" s="66"/>
      <c r="VQU1289" s="66"/>
      <c r="VQV1289" s="66"/>
      <c r="VQW1289" s="66"/>
      <c r="VQX1289" s="66"/>
      <c r="VQY1289" s="66"/>
      <c r="VQZ1289" s="66"/>
      <c r="VRA1289" s="66"/>
      <c r="VRB1289" s="66"/>
      <c r="VRC1289" s="66"/>
      <c r="VRD1289" s="66"/>
      <c r="VRE1289" s="66"/>
      <c r="VRF1289" s="66"/>
      <c r="VRG1289" s="66"/>
      <c r="VRH1289" s="66"/>
      <c r="VRI1289" s="66"/>
      <c r="VRJ1289" s="66"/>
      <c r="VRK1289" s="66"/>
      <c r="VRL1289" s="66"/>
      <c r="VRM1289" s="66"/>
      <c r="VRN1289" s="66"/>
      <c r="VRO1289" s="66"/>
      <c r="VRP1289" s="66"/>
      <c r="VRQ1289" s="66"/>
      <c r="VRR1289" s="66"/>
      <c r="VRS1289" s="66"/>
      <c r="VRT1289" s="66"/>
      <c r="VRU1289" s="66"/>
      <c r="VRV1289" s="66"/>
      <c r="VRW1289" s="66"/>
      <c r="VRX1289" s="66"/>
      <c r="VRY1289" s="66"/>
      <c r="VRZ1289" s="66"/>
      <c r="VSA1289" s="66"/>
      <c r="VSB1289" s="66"/>
      <c r="VSC1289" s="66"/>
      <c r="VSD1289" s="66"/>
      <c r="VSE1289" s="66"/>
      <c r="VSF1289" s="66"/>
      <c r="VSG1289" s="66"/>
      <c r="VSH1289" s="66"/>
      <c r="VSI1289" s="66"/>
      <c r="VSJ1289" s="66"/>
      <c r="VSK1289" s="66"/>
      <c r="VSL1289" s="66"/>
      <c r="VSM1289" s="66"/>
      <c r="VSN1289" s="66"/>
      <c r="VSO1289" s="66"/>
      <c r="VSP1289" s="66"/>
      <c r="VSQ1289" s="66"/>
      <c r="VSR1289" s="66"/>
      <c r="VSS1289" s="66"/>
      <c r="VST1289" s="66"/>
      <c r="VSU1289" s="66"/>
      <c r="VSV1289" s="66"/>
      <c r="VSW1289" s="66"/>
      <c r="VSX1289" s="66"/>
      <c r="VSY1289" s="66"/>
      <c r="VSZ1289" s="66"/>
      <c r="VTA1289" s="66"/>
      <c r="VTB1289" s="66"/>
      <c r="VTC1289" s="66"/>
      <c r="VTD1289" s="66"/>
      <c r="VTE1289" s="66"/>
      <c r="VTF1289" s="66"/>
      <c r="VTG1289" s="66"/>
      <c r="VTH1289" s="66"/>
      <c r="VTI1289" s="66"/>
      <c r="VTJ1289" s="66"/>
      <c r="VTK1289" s="66"/>
      <c r="VTL1289" s="66"/>
      <c r="VTM1289" s="66"/>
      <c r="VTN1289" s="66"/>
      <c r="VTO1289" s="66"/>
      <c r="VTP1289" s="66"/>
      <c r="VTQ1289" s="66"/>
      <c r="VTR1289" s="66"/>
      <c r="VTS1289" s="66"/>
      <c r="VTT1289" s="66"/>
      <c r="VTU1289" s="66"/>
      <c r="VTV1289" s="66"/>
      <c r="VTW1289" s="66"/>
      <c r="VTX1289" s="66"/>
      <c r="VTY1289" s="66"/>
      <c r="VTZ1289" s="66"/>
      <c r="VUA1289" s="66"/>
      <c r="VUB1289" s="66"/>
      <c r="VUC1289" s="66"/>
      <c r="VUD1289" s="66"/>
      <c r="VUE1289" s="66"/>
      <c r="VUF1289" s="66"/>
      <c r="VUG1289" s="66"/>
      <c r="VUH1289" s="66"/>
      <c r="VUI1289" s="66"/>
      <c r="VUJ1289" s="66"/>
      <c r="VUK1289" s="66"/>
      <c r="VUL1289" s="66"/>
      <c r="VUM1289" s="66"/>
      <c r="VUN1289" s="66"/>
      <c r="VUO1289" s="66"/>
      <c r="VUP1289" s="66"/>
      <c r="VUQ1289" s="66"/>
      <c r="VUR1289" s="66"/>
      <c r="VUS1289" s="66"/>
      <c r="VUT1289" s="66"/>
      <c r="VUU1289" s="66"/>
      <c r="VUV1289" s="66"/>
      <c r="VUW1289" s="66"/>
      <c r="VUX1289" s="66"/>
      <c r="VUY1289" s="66"/>
      <c r="VUZ1289" s="66"/>
      <c r="VVA1289" s="66"/>
      <c r="VVB1289" s="66"/>
      <c r="VVC1289" s="66"/>
      <c r="VVD1289" s="66"/>
      <c r="VVE1289" s="66"/>
      <c r="VVF1289" s="66"/>
      <c r="VVG1289" s="66"/>
      <c r="VVH1289" s="66"/>
      <c r="VVI1289" s="66"/>
      <c r="VVJ1289" s="66"/>
      <c r="VVK1289" s="66"/>
      <c r="VVL1289" s="66"/>
      <c r="VVM1289" s="66"/>
      <c r="VVN1289" s="66"/>
      <c r="VVO1289" s="66"/>
      <c r="VVP1289" s="66"/>
      <c r="VVQ1289" s="66"/>
      <c r="VVR1289" s="66"/>
      <c r="VVS1289" s="66"/>
      <c r="VVT1289" s="66"/>
      <c r="VVU1289" s="66"/>
      <c r="VVV1289" s="66"/>
      <c r="VVW1289" s="66"/>
      <c r="VVX1289" s="66"/>
      <c r="VVY1289" s="66"/>
      <c r="VVZ1289" s="66"/>
      <c r="VWA1289" s="66"/>
      <c r="VWB1289" s="66"/>
      <c r="VWC1289" s="66"/>
      <c r="VWD1289" s="66"/>
      <c r="VWE1289" s="66"/>
      <c r="VWF1289" s="66"/>
      <c r="VWG1289" s="66"/>
      <c r="VWH1289" s="66"/>
      <c r="VWI1289" s="66"/>
      <c r="VWJ1289" s="66"/>
      <c r="VWK1289" s="66"/>
      <c r="VWL1289" s="66"/>
      <c r="VWM1289" s="66"/>
      <c r="VWN1289" s="66"/>
      <c r="VWO1289" s="66"/>
      <c r="VWP1289" s="66"/>
      <c r="VWQ1289" s="66"/>
      <c r="VWR1289" s="66"/>
      <c r="VWS1289" s="66"/>
      <c r="VWT1289" s="66"/>
      <c r="VWU1289" s="66"/>
      <c r="VWV1289" s="66"/>
      <c r="VWW1289" s="66"/>
      <c r="VWX1289" s="66"/>
      <c r="VWY1289" s="66"/>
      <c r="VWZ1289" s="66"/>
      <c r="VXA1289" s="66"/>
      <c r="VXB1289" s="66"/>
      <c r="VXC1289" s="66"/>
      <c r="VXD1289" s="66"/>
      <c r="VXE1289" s="66"/>
      <c r="VXF1289" s="66"/>
      <c r="VXG1289" s="66"/>
      <c r="VXH1289" s="66"/>
      <c r="VXI1289" s="66"/>
      <c r="VXJ1289" s="66"/>
      <c r="VXK1289" s="66"/>
      <c r="VXL1289" s="66"/>
      <c r="VXM1289" s="66"/>
      <c r="VXN1289" s="66"/>
      <c r="VXO1289" s="66"/>
      <c r="VXP1289" s="66"/>
      <c r="VXQ1289" s="66"/>
      <c r="VXR1289" s="66"/>
      <c r="VXS1289" s="66"/>
      <c r="VXT1289" s="66"/>
      <c r="VXU1289" s="66"/>
      <c r="VXV1289" s="66"/>
      <c r="VXW1289" s="66"/>
      <c r="VXX1289" s="66"/>
      <c r="VXY1289" s="66"/>
      <c r="VXZ1289" s="66"/>
      <c r="VYA1289" s="66"/>
      <c r="VYB1289" s="66"/>
      <c r="VYC1289" s="66"/>
      <c r="VYD1289" s="66"/>
      <c r="VYE1289" s="66"/>
      <c r="VYF1289" s="66"/>
      <c r="VYG1289" s="66"/>
      <c r="VYH1289" s="66"/>
      <c r="VYI1289" s="66"/>
      <c r="VYJ1289" s="66"/>
      <c r="VYK1289" s="66"/>
      <c r="VYL1289" s="66"/>
      <c r="VYM1289" s="66"/>
      <c r="VYN1289" s="66"/>
      <c r="VYO1289" s="66"/>
      <c r="VYP1289" s="66"/>
      <c r="VYQ1289" s="66"/>
      <c r="VYR1289" s="66"/>
      <c r="VYS1289" s="66"/>
      <c r="VYT1289" s="66"/>
      <c r="VYU1289" s="66"/>
      <c r="VYV1289" s="66"/>
      <c r="VYW1289" s="66"/>
      <c r="VYX1289" s="66"/>
      <c r="VYY1289" s="66"/>
      <c r="VYZ1289" s="66"/>
      <c r="VZA1289" s="66"/>
      <c r="VZB1289" s="66"/>
      <c r="VZC1289" s="66"/>
      <c r="VZD1289" s="66"/>
      <c r="VZE1289" s="66"/>
      <c r="VZF1289" s="66"/>
      <c r="VZG1289" s="66"/>
      <c r="VZH1289" s="66"/>
      <c r="VZI1289" s="66"/>
      <c r="VZJ1289" s="66"/>
      <c r="VZK1289" s="66"/>
      <c r="VZL1289" s="66"/>
      <c r="VZM1289" s="66"/>
      <c r="VZN1289" s="66"/>
      <c r="VZO1289" s="66"/>
      <c r="VZP1289" s="66"/>
      <c r="VZQ1289" s="66"/>
      <c r="VZR1289" s="66"/>
      <c r="VZS1289" s="66"/>
      <c r="VZT1289" s="66"/>
      <c r="VZU1289" s="66"/>
      <c r="VZV1289" s="66"/>
      <c r="VZW1289" s="66"/>
      <c r="VZX1289" s="66"/>
      <c r="VZY1289" s="66"/>
      <c r="VZZ1289" s="66"/>
      <c r="WAA1289" s="66"/>
      <c r="WAB1289" s="66"/>
      <c r="WAC1289" s="66"/>
      <c r="WAD1289" s="66"/>
      <c r="WAE1289" s="66"/>
      <c r="WAF1289" s="66"/>
      <c r="WAG1289" s="66"/>
      <c r="WAH1289" s="66"/>
      <c r="WAI1289" s="66"/>
      <c r="WAJ1289" s="66"/>
      <c r="WAK1289" s="66"/>
      <c r="WAL1289" s="66"/>
      <c r="WAM1289" s="66"/>
      <c r="WAN1289" s="66"/>
      <c r="WAO1289" s="66"/>
      <c r="WAP1289" s="66"/>
      <c r="WAQ1289" s="66"/>
      <c r="WAR1289" s="66"/>
      <c r="WAS1289" s="66"/>
      <c r="WAT1289" s="66"/>
      <c r="WAU1289" s="66"/>
      <c r="WAV1289" s="66"/>
      <c r="WAW1289" s="66"/>
      <c r="WAX1289" s="66"/>
      <c r="WAY1289" s="66"/>
      <c r="WAZ1289" s="66"/>
      <c r="WBA1289" s="66"/>
      <c r="WBB1289" s="66"/>
      <c r="WBC1289" s="66"/>
      <c r="WBD1289" s="66"/>
      <c r="WBE1289" s="66"/>
      <c r="WBF1289" s="66"/>
      <c r="WBG1289" s="66"/>
      <c r="WBH1289" s="66"/>
      <c r="WBI1289" s="66"/>
      <c r="WBJ1289" s="66"/>
      <c r="WBK1289" s="66"/>
      <c r="WBL1289" s="66"/>
      <c r="WBM1289" s="66"/>
      <c r="WBN1289" s="66"/>
      <c r="WBO1289" s="66"/>
      <c r="WBP1289" s="66"/>
      <c r="WBQ1289" s="66"/>
      <c r="WBR1289" s="66"/>
      <c r="WBS1289" s="66"/>
      <c r="WBT1289" s="66"/>
      <c r="WBU1289" s="66"/>
      <c r="WBV1289" s="66"/>
      <c r="WBW1289" s="66"/>
      <c r="WBX1289" s="66"/>
      <c r="WBY1289" s="66"/>
      <c r="WBZ1289" s="66"/>
      <c r="WCA1289" s="66"/>
      <c r="WCB1289" s="66"/>
      <c r="WCC1289" s="66"/>
      <c r="WCD1289" s="66"/>
      <c r="WCE1289" s="66"/>
      <c r="WCF1289" s="66"/>
      <c r="WCG1289" s="66"/>
      <c r="WCH1289" s="66"/>
      <c r="WCI1289" s="66"/>
      <c r="WCJ1289" s="66"/>
      <c r="WCK1289" s="66"/>
      <c r="WCL1289" s="66"/>
      <c r="WCM1289" s="66"/>
      <c r="WCN1289" s="66"/>
      <c r="WCO1289" s="66"/>
      <c r="WCP1289" s="66"/>
      <c r="WCQ1289" s="66"/>
      <c r="WCR1289" s="66"/>
      <c r="WCS1289" s="66"/>
      <c r="WCT1289" s="66"/>
      <c r="WCU1289" s="66"/>
      <c r="WCV1289" s="66"/>
      <c r="WCW1289" s="66"/>
      <c r="WCX1289" s="66"/>
      <c r="WCY1289" s="66"/>
      <c r="WCZ1289" s="66"/>
      <c r="WDA1289" s="66"/>
      <c r="WDB1289" s="66"/>
      <c r="WDC1289" s="66"/>
      <c r="WDD1289" s="66"/>
      <c r="WDE1289" s="66"/>
      <c r="WDF1289" s="66"/>
      <c r="WDG1289" s="66"/>
      <c r="WDH1289" s="66"/>
      <c r="WDI1289" s="66"/>
      <c r="WDJ1289" s="66"/>
      <c r="WDK1289" s="66"/>
      <c r="WDL1289" s="66"/>
      <c r="WDM1289" s="66"/>
      <c r="WDN1289" s="66"/>
      <c r="WDO1289" s="66"/>
      <c r="WDP1289" s="66"/>
      <c r="WDQ1289" s="66"/>
      <c r="WDR1289" s="66"/>
      <c r="WDS1289" s="66"/>
      <c r="WDT1289" s="66"/>
      <c r="WDU1289" s="66"/>
      <c r="WDV1289" s="66"/>
      <c r="WDW1289" s="66"/>
      <c r="WDX1289" s="66"/>
      <c r="WDY1289" s="66"/>
      <c r="WDZ1289" s="66"/>
      <c r="WEA1289" s="66"/>
      <c r="WEB1289" s="66"/>
      <c r="WEC1289" s="66"/>
      <c r="WED1289" s="66"/>
      <c r="WEE1289" s="66"/>
      <c r="WEF1289" s="66"/>
      <c r="WEG1289" s="66"/>
      <c r="WEH1289" s="66"/>
      <c r="WEI1289" s="66"/>
      <c r="WEJ1289" s="66"/>
      <c r="WEK1289" s="66"/>
      <c r="WEL1289" s="66"/>
      <c r="WEM1289" s="66"/>
      <c r="WEN1289" s="66"/>
      <c r="WEO1289" s="66"/>
      <c r="WEP1289" s="66"/>
      <c r="WEQ1289" s="66"/>
      <c r="WER1289" s="66"/>
      <c r="WES1289" s="66"/>
      <c r="WET1289" s="66"/>
      <c r="WEU1289" s="66"/>
      <c r="WEV1289" s="66"/>
      <c r="WEW1289" s="66"/>
      <c r="WEX1289" s="66"/>
      <c r="WEY1289" s="66"/>
      <c r="WEZ1289" s="66"/>
      <c r="WFA1289" s="66"/>
      <c r="WFB1289" s="66"/>
      <c r="WFC1289" s="66"/>
      <c r="WFD1289" s="66"/>
      <c r="WFE1289" s="66"/>
      <c r="WFF1289" s="66"/>
      <c r="WFG1289" s="66"/>
      <c r="WFH1289" s="66"/>
      <c r="WFI1289" s="66"/>
      <c r="WFJ1289" s="66"/>
      <c r="WFK1289" s="66"/>
      <c r="WFL1289" s="66"/>
      <c r="WFM1289" s="66"/>
      <c r="WFN1289" s="66"/>
      <c r="WFO1289" s="66"/>
      <c r="WFP1289" s="66"/>
      <c r="WFQ1289" s="66"/>
      <c r="WFR1289" s="66"/>
      <c r="WFS1289" s="66"/>
      <c r="WFT1289" s="66"/>
      <c r="WFU1289" s="66"/>
      <c r="WFV1289" s="66"/>
      <c r="WFW1289" s="66"/>
      <c r="WFX1289" s="66"/>
      <c r="WFY1289" s="66"/>
      <c r="WFZ1289" s="66"/>
      <c r="WGA1289" s="66"/>
      <c r="WGB1289" s="66"/>
      <c r="WGC1289" s="66"/>
      <c r="WGD1289" s="66"/>
      <c r="WGE1289" s="66"/>
      <c r="WGF1289" s="66"/>
      <c r="WGG1289" s="66"/>
      <c r="WGH1289" s="66"/>
      <c r="WGI1289" s="66"/>
      <c r="WGJ1289" s="66"/>
      <c r="WGK1289" s="66"/>
      <c r="WGL1289" s="66"/>
      <c r="WGM1289" s="66"/>
      <c r="WGN1289" s="66"/>
      <c r="WGO1289" s="66"/>
      <c r="WGP1289" s="66"/>
      <c r="WGQ1289" s="66"/>
      <c r="WGR1289" s="66"/>
      <c r="WGS1289" s="66"/>
      <c r="WGT1289" s="66"/>
      <c r="WGU1289" s="66"/>
      <c r="WGV1289" s="66"/>
      <c r="WGW1289" s="66"/>
      <c r="WGX1289" s="66"/>
      <c r="WGY1289" s="66"/>
      <c r="WGZ1289" s="66"/>
      <c r="WHA1289" s="66"/>
      <c r="WHB1289" s="66"/>
      <c r="WHC1289" s="66"/>
      <c r="WHD1289" s="66"/>
      <c r="WHE1289" s="66"/>
      <c r="WHF1289" s="66"/>
      <c r="WHG1289" s="66"/>
      <c r="WHH1289" s="66"/>
      <c r="WHI1289" s="66"/>
      <c r="WHJ1289" s="66"/>
      <c r="WHK1289" s="66"/>
      <c r="WHL1289" s="66"/>
      <c r="WHM1289" s="66"/>
      <c r="WHN1289" s="66"/>
      <c r="WHO1289" s="66"/>
      <c r="WHP1289" s="66"/>
      <c r="WHQ1289" s="66"/>
      <c r="WHR1289" s="66"/>
      <c r="WHS1289" s="66"/>
      <c r="WHT1289" s="66"/>
      <c r="WHU1289" s="66"/>
      <c r="WHV1289" s="66"/>
      <c r="WHW1289" s="66"/>
      <c r="WHX1289" s="66"/>
      <c r="WHY1289" s="66"/>
      <c r="WHZ1289" s="66"/>
      <c r="WIA1289" s="66"/>
      <c r="WIB1289" s="66"/>
      <c r="WIC1289" s="66"/>
      <c r="WID1289" s="66"/>
      <c r="WIE1289" s="66"/>
      <c r="WIF1289" s="66"/>
      <c r="WIG1289" s="66"/>
      <c r="WIH1289" s="66"/>
      <c r="WII1289" s="66"/>
      <c r="WIJ1289" s="66"/>
      <c r="WIK1289" s="66"/>
      <c r="WIL1289" s="66"/>
      <c r="WIM1289" s="66"/>
      <c r="WIN1289" s="66"/>
      <c r="WIO1289" s="66"/>
      <c r="WIP1289" s="66"/>
      <c r="WIQ1289" s="66"/>
      <c r="WIR1289" s="66"/>
      <c r="WIS1289" s="66"/>
      <c r="WIT1289" s="66"/>
      <c r="WIU1289" s="66"/>
      <c r="WIV1289" s="66"/>
      <c r="WIW1289" s="66"/>
      <c r="WIX1289" s="66"/>
      <c r="WIY1289" s="66"/>
      <c r="WIZ1289" s="66"/>
      <c r="WJA1289" s="66"/>
      <c r="WJB1289" s="66"/>
      <c r="WJC1289" s="66"/>
      <c r="WJD1289" s="66"/>
      <c r="WJE1289" s="66"/>
      <c r="WJF1289" s="66"/>
      <c r="WJG1289" s="66"/>
      <c r="WJH1289" s="66"/>
      <c r="WJI1289" s="66"/>
      <c r="WJJ1289" s="66"/>
      <c r="WJK1289" s="66"/>
      <c r="WJL1289" s="66"/>
      <c r="WJM1289" s="66"/>
      <c r="WJN1289" s="66"/>
      <c r="WJO1289" s="66"/>
      <c r="WJP1289" s="66"/>
      <c r="WJQ1289" s="66"/>
      <c r="WJR1289" s="66"/>
      <c r="WJS1289" s="66"/>
      <c r="WJT1289" s="66"/>
      <c r="WJU1289" s="66"/>
      <c r="WJV1289" s="66"/>
      <c r="WJW1289" s="66"/>
      <c r="WJX1289" s="66"/>
      <c r="WJY1289" s="66"/>
      <c r="WJZ1289" s="66"/>
      <c r="WKA1289" s="66"/>
      <c r="WKB1289" s="66"/>
      <c r="WKC1289" s="66"/>
      <c r="WKD1289" s="66"/>
      <c r="WKE1289" s="66"/>
      <c r="WKF1289" s="66"/>
      <c r="WKG1289" s="66"/>
      <c r="WKH1289" s="66"/>
      <c r="WKI1289" s="66"/>
      <c r="WKJ1289" s="66"/>
      <c r="WKK1289" s="66"/>
      <c r="WKL1289" s="66"/>
      <c r="WKM1289" s="66"/>
      <c r="WKN1289" s="66"/>
      <c r="WKO1289" s="66"/>
      <c r="WKP1289" s="66"/>
      <c r="WKQ1289" s="66"/>
      <c r="WKR1289" s="66"/>
      <c r="WKS1289" s="66"/>
      <c r="WKT1289" s="66"/>
      <c r="WKU1289" s="66"/>
      <c r="WKV1289" s="66"/>
      <c r="WKW1289" s="66"/>
      <c r="WKX1289" s="66"/>
      <c r="WKY1289" s="66"/>
      <c r="WKZ1289" s="66"/>
      <c r="WLA1289" s="66"/>
      <c r="WLB1289" s="66"/>
      <c r="WLC1289" s="66"/>
      <c r="WLD1289" s="66"/>
      <c r="WLE1289" s="66"/>
      <c r="WLF1289" s="66"/>
      <c r="WLG1289" s="66"/>
      <c r="WLH1289" s="66"/>
      <c r="WLI1289" s="66"/>
      <c r="WLJ1289" s="66"/>
      <c r="WLK1289" s="66"/>
      <c r="WLL1289" s="66"/>
      <c r="WLM1289" s="66"/>
      <c r="WLN1289" s="66"/>
      <c r="WLO1289" s="66"/>
      <c r="WLP1289" s="66"/>
      <c r="WLQ1289" s="66"/>
      <c r="WLR1289" s="66"/>
      <c r="WLS1289" s="66"/>
      <c r="WLT1289" s="66"/>
      <c r="WLU1289" s="66"/>
      <c r="WLV1289" s="66"/>
      <c r="WLW1289" s="66"/>
      <c r="WLX1289" s="66"/>
      <c r="WLY1289" s="66"/>
      <c r="WLZ1289" s="66"/>
      <c r="WMA1289" s="66"/>
      <c r="WMB1289" s="66"/>
      <c r="WMC1289" s="66"/>
      <c r="WMD1289" s="66"/>
      <c r="WME1289" s="66"/>
      <c r="WMF1289" s="66"/>
      <c r="WMG1289" s="66"/>
      <c r="WMH1289" s="66"/>
      <c r="WMI1289" s="66"/>
      <c r="WMJ1289" s="66"/>
      <c r="WMK1289" s="66"/>
      <c r="WML1289" s="66"/>
      <c r="WMM1289" s="66"/>
      <c r="WMN1289" s="66"/>
      <c r="WMO1289" s="66"/>
      <c r="WMP1289" s="66"/>
      <c r="WMQ1289" s="66"/>
      <c r="WMR1289" s="66"/>
      <c r="WMS1289" s="66"/>
      <c r="WMT1289" s="66"/>
      <c r="WMU1289" s="66"/>
      <c r="WMV1289" s="66"/>
      <c r="WMW1289" s="66"/>
      <c r="WMX1289" s="66"/>
      <c r="WMY1289" s="66"/>
      <c r="WMZ1289" s="66"/>
      <c r="WNA1289" s="66"/>
      <c r="WNB1289" s="66"/>
      <c r="WNC1289" s="66"/>
      <c r="WND1289" s="66"/>
      <c r="WNE1289" s="66"/>
      <c r="WNF1289" s="66"/>
      <c r="WNG1289" s="66"/>
      <c r="WNH1289" s="66"/>
      <c r="WNI1289" s="66"/>
      <c r="WNJ1289" s="66"/>
      <c r="WNK1289" s="66"/>
      <c r="WNL1289" s="66"/>
      <c r="WNM1289" s="66"/>
      <c r="WNN1289" s="66"/>
      <c r="WNO1289" s="66"/>
      <c r="WNP1289" s="66"/>
      <c r="WNQ1289" s="66"/>
      <c r="WNR1289" s="66"/>
      <c r="WNS1289" s="66"/>
      <c r="WNT1289" s="66"/>
      <c r="WNU1289" s="66"/>
      <c r="WNV1289" s="66"/>
      <c r="WNW1289" s="66"/>
      <c r="WNX1289" s="66"/>
      <c r="WNY1289" s="66"/>
      <c r="WNZ1289" s="66"/>
      <c r="WOA1289" s="66"/>
      <c r="WOB1289" s="66"/>
      <c r="WOC1289" s="66"/>
      <c r="WOD1289" s="66"/>
      <c r="WOE1289" s="66"/>
      <c r="WOF1289" s="66"/>
      <c r="WOG1289" s="66"/>
      <c r="WOH1289" s="66"/>
      <c r="WOI1289" s="66"/>
      <c r="WOJ1289" s="66"/>
      <c r="WOK1289" s="66"/>
      <c r="WOL1289" s="66"/>
      <c r="WOM1289" s="66"/>
      <c r="WON1289" s="66"/>
      <c r="WOO1289" s="66"/>
      <c r="WOP1289" s="66"/>
      <c r="WOQ1289" s="66"/>
      <c r="WOR1289" s="66"/>
      <c r="WOS1289" s="66"/>
      <c r="WOT1289" s="66"/>
      <c r="WOU1289" s="66"/>
      <c r="WOV1289" s="66"/>
      <c r="WOW1289" s="66"/>
      <c r="WOX1289" s="66"/>
      <c r="WOY1289" s="66"/>
      <c r="WOZ1289" s="66"/>
      <c r="WPA1289" s="66"/>
      <c r="WPB1289" s="66"/>
      <c r="WPC1289" s="66"/>
      <c r="WPD1289" s="66"/>
      <c r="WPE1289" s="66"/>
      <c r="WPF1289" s="66"/>
      <c r="WPG1289" s="66"/>
      <c r="WPH1289" s="66"/>
      <c r="WPI1289" s="66"/>
      <c r="WPJ1289" s="66"/>
      <c r="WPK1289" s="66"/>
      <c r="WPL1289" s="66"/>
      <c r="WPM1289" s="66"/>
      <c r="WPN1289" s="66"/>
      <c r="WPO1289" s="66"/>
      <c r="WPP1289" s="66"/>
      <c r="WPQ1289" s="66"/>
      <c r="WPR1289" s="66"/>
      <c r="WPS1289" s="66"/>
      <c r="WPT1289" s="66"/>
      <c r="WPU1289" s="66"/>
      <c r="WPV1289" s="66"/>
      <c r="WPW1289" s="66"/>
      <c r="WPX1289" s="66"/>
      <c r="WPY1289" s="66"/>
      <c r="WPZ1289" s="66"/>
      <c r="WQA1289" s="66"/>
      <c r="WQB1289" s="66"/>
      <c r="WQC1289" s="66"/>
      <c r="WQD1289" s="66"/>
      <c r="WQE1289" s="66"/>
      <c r="WQF1289" s="66"/>
      <c r="WQG1289" s="66"/>
      <c r="WQH1289" s="66"/>
      <c r="WQI1289" s="66"/>
      <c r="WQJ1289" s="66"/>
      <c r="WQK1289" s="66"/>
      <c r="WQL1289" s="66"/>
      <c r="WQM1289" s="66"/>
      <c r="WQN1289" s="66"/>
      <c r="WQO1289" s="66"/>
      <c r="WQP1289" s="66"/>
      <c r="WQQ1289" s="66"/>
      <c r="WQR1289" s="66"/>
      <c r="WQS1289" s="66"/>
      <c r="WQT1289" s="66"/>
      <c r="WQU1289" s="66"/>
      <c r="WQV1289" s="66"/>
      <c r="WQW1289" s="66"/>
      <c r="WQX1289" s="66"/>
      <c r="WQY1289" s="66"/>
      <c r="WQZ1289" s="66"/>
      <c r="WRA1289" s="66"/>
      <c r="WRB1289" s="66"/>
      <c r="WRC1289" s="66"/>
      <c r="WRD1289" s="66"/>
      <c r="WRE1289" s="66"/>
      <c r="WRF1289" s="66"/>
      <c r="WRG1289" s="66"/>
      <c r="WRH1289" s="66"/>
      <c r="WRI1289" s="66"/>
      <c r="WRJ1289" s="66"/>
      <c r="WRK1289" s="66"/>
      <c r="WRL1289" s="66"/>
      <c r="WRM1289" s="66"/>
      <c r="WRN1289" s="66"/>
      <c r="WRO1289" s="66"/>
      <c r="WRP1289" s="66"/>
      <c r="WRQ1289" s="66"/>
      <c r="WRR1289" s="66"/>
      <c r="WRS1289" s="66"/>
      <c r="WRT1289" s="66"/>
      <c r="WRU1289" s="66"/>
      <c r="WRV1289" s="66"/>
      <c r="WRW1289" s="66"/>
      <c r="WRX1289" s="66"/>
      <c r="WRY1289" s="66"/>
      <c r="WRZ1289" s="66"/>
      <c r="WSA1289" s="66"/>
      <c r="WSB1289" s="66"/>
      <c r="WSC1289" s="66"/>
      <c r="WSD1289" s="66"/>
      <c r="WSE1289" s="66"/>
      <c r="WSF1289" s="66"/>
      <c r="WSG1289" s="66"/>
      <c r="WSH1289" s="66"/>
      <c r="WSI1289" s="66"/>
      <c r="WSJ1289" s="66"/>
      <c r="WSK1289" s="66"/>
      <c r="WSL1289" s="66"/>
      <c r="WSM1289" s="66"/>
      <c r="WSN1289" s="66"/>
      <c r="WSO1289" s="66"/>
      <c r="WSP1289" s="66"/>
      <c r="WSQ1289" s="66"/>
      <c r="WSR1289" s="66"/>
      <c r="WSS1289" s="66"/>
      <c r="WST1289" s="66"/>
      <c r="WSU1289" s="66"/>
      <c r="WSV1289" s="66"/>
      <c r="WSW1289" s="66"/>
      <c r="WSX1289" s="66"/>
      <c r="WSY1289" s="66"/>
      <c r="WSZ1289" s="66"/>
      <c r="WTA1289" s="66"/>
      <c r="WTB1289" s="66"/>
      <c r="WTC1289" s="66"/>
      <c r="WTD1289" s="66"/>
      <c r="WTE1289" s="66"/>
      <c r="WTF1289" s="66"/>
      <c r="WTG1289" s="66"/>
      <c r="WTH1289" s="66"/>
      <c r="WTI1289" s="66"/>
      <c r="WTJ1289" s="66"/>
      <c r="WTK1289" s="66"/>
      <c r="WTL1289" s="66"/>
      <c r="WTM1289" s="66"/>
      <c r="WTN1289" s="66"/>
      <c r="WTO1289" s="66"/>
      <c r="WTP1289" s="66"/>
      <c r="WTQ1289" s="66"/>
      <c r="WTR1289" s="66"/>
      <c r="WTS1289" s="66"/>
      <c r="WTT1289" s="66"/>
      <c r="WTU1289" s="66"/>
      <c r="WTV1289" s="66"/>
      <c r="WTW1289" s="66"/>
      <c r="WTX1289" s="66"/>
      <c r="WTY1289" s="66"/>
      <c r="WTZ1289" s="66"/>
      <c r="WUA1289" s="66"/>
      <c r="WUB1289" s="66"/>
      <c r="WUC1289" s="66"/>
      <c r="WUD1289" s="66"/>
      <c r="WUE1289" s="66"/>
      <c r="WUF1289" s="66"/>
      <c r="WUG1289" s="66"/>
      <c r="WUH1289" s="66"/>
      <c r="WUI1289" s="66"/>
      <c r="WUJ1289" s="66"/>
      <c r="WUK1289" s="66"/>
      <c r="WUL1289" s="66"/>
      <c r="WUM1289" s="66"/>
      <c r="WUN1289" s="66"/>
      <c r="WUO1289" s="66"/>
      <c r="WUP1289" s="66"/>
      <c r="WUQ1289" s="66"/>
      <c r="WUR1289" s="66"/>
      <c r="WUS1289" s="66"/>
      <c r="WUT1289" s="66"/>
      <c r="WUU1289" s="66"/>
      <c r="WUV1289" s="66"/>
      <c r="WUW1289" s="66"/>
      <c r="WUX1289" s="66"/>
      <c r="WUY1289" s="66"/>
      <c r="WUZ1289" s="66"/>
      <c r="WVA1289" s="66"/>
      <c r="WVB1289" s="66"/>
      <c r="WVC1289" s="66"/>
      <c r="WVD1289" s="66"/>
      <c r="WVE1289" s="66"/>
      <c r="WVF1289" s="66"/>
      <c r="WVG1289" s="66"/>
      <c r="WVH1289" s="66"/>
      <c r="WVI1289" s="66"/>
      <c r="WVJ1289" s="66"/>
      <c r="WVK1289" s="66"/>
      <c r="WVL1289" s="66"/>
      <c r="WVM1289" s="66"/>
      <c r="WVN1289" s="66"/>
      <c r="WVO1289" s="66"/>
      <c r="WVP1289" s="66"/>
      <c r="WVQ1289" s="66"/>
      <c r="WVR1289" s="66"/>
      <c r="WVS1289" s="66"/>
      <c r="WVT1289" s="66"/>
      <c r="WVU1289" s="66"/>
      <c r="WVV1289" s="66"/>
      <c r="WVW1289" s="66"/>
      <c r="WVX1289" s="66"/>
      <c r="WVY1289" s="66"/>
      <c r="WVZ1289" s="66"/>
      <c r="WWA1289" s="66"/>
      <c r="WWB1289" s="66"/>
      <c r="WWC1289" s="66"/>
      <c r="WWD1289" s="66"/>
      <c r="WWE1289" s="66"/>
      <c r="WWF1289" s="66"/>
      <c r="WWG1289" s="66"/>
      <c r="WWH1289" s="66"/>
      <c r="WWI1289" s="66"/>
      <c r="WWJ1289" s="66"/>
      <c r="WWK1289" s="66"/>
      <c r="WWL1289" s="66"/>
      <c r="WWM1289" s="66"/>
      <c r="WWN1289" s="66"/>
      <c r="WWO1289" s="66"/>
      <c r="WWP1289" s="66"/>
      <c r="WWQ1289" s="66"/>
      <c r="WWR1289" s="66"/>
      <c r="WWS1289" s="66"/>
      <c r="WWT1289" s="66"/>
      <c r="WWU1289" s="66"/>
      <c r="WWV1289" s="66"/>
      <c r="WWW1289" s="66"/>
      <c r="WWX1289" s="66"/>
      <c r="WWY1289" s="66"/>
      <c r="WWZ1289" s="66"/>
      <c r="WXA1289" s="66"/>
      <c r="WXB1289" s="66"/>
      <c r="WXC1289" s="66"/>
      <c r="WXD1289" s="66"/>
      <c r="WXE1289" s="66"/>
      <c r="WXF1289" s="66"/>
      <c r="WXG1289" s="66"/>
      <c r="WXH1289" s="66"/>
      <c r="WXI1289" s="66"/>
      <c r="WXJ1289" s="66"/>
      <c r="WXK1289" s="66"/>
      <c r="WXL1289" s="66"/>
      <c r="WXM1289" s="66"/>
      <c r="WXN1289" s="66"/>
      <c r="WXO1289" s="66"/>
      <c r="WXP1289" s="66"/>
      <c r="WXQ1289" s="66"/>
      <c r="WXR1289" s="66"/>
      <c r="WXS1289" s="66"/>
      <c r="WXT1289" s="66"/>
      <c r="WXU1289" s="66"/>
      <c r="WXV1289" s="66"/>
      <c r="WXW1289" s="66"/>
      <c r="WXX1289" s="66"/>
      <c r="WXY1289" s="66"/>
      <c r="WXZ1289" s="66"/>
      <c r="WYA1289" s="66"/>
    </row>
    <row r="1290" spans="1:16199" ht="61.5" x14ac:dyDescent="0.85">
      <c r="A1290" s="7">
        <v>1</v>
      </c>
      <c r="B1290" s="59">
        <f>SUBTOTAL(103,$A$1032:A1290)</f>
        <v>246</v>
      </c>
      <c r="C1290" s="160" t="s">
        <v>615</v>
      </c>
      <c r="D1290" s="60">
        <f>E1290+F1290+G1290+H1290+I1290+J1290+L1290+N1290+P1290+R1290+T1290+U1290+V1290+W1290+X1290+Y1290+Z1290+AA1290+AB1290+AC1290+AD1290+AE1290</f>
        <v>10287876.26</v>
      </c>
      <c r="E1290" s="60">
        <v>0</v>
      </c>
      <c r="F1290" s="60">
        <v>0</v>
      </c>
      <c r="G1290" s="60">
        <v>0</v>
      </c>
      <c r="H1290" s="60">
        <v>0</v>
      </c>
      <c r="I1290" s="60">
        <v>0</v>
      </c>
      <c r="J1290" s="60">
        <v>0</v>
      </c>
      <c r="K1290" s="168">
        <v>0</v>
      </c>
      <c r="L1290" s="60">
        <v>0</v>
      </c>
      <c r="M1290" s="60">
        <v>1280.8699999999999</v>
      </c>
      <c r="N1290" s="60">
        <v>10159862</v>
      </c>
      <c r="O1290" s="60">
        <v>0</v>
      </c>
      <c r="P1290" s="60">
        <v>0</v>
      </c>
      <c r="Q1290" s="60">
        <v>0</v>
      </c>
      <c r="R1290" s="60">
        <v>0</v>
      </c>
      <c r="S1290" s="60">
        <v>0</v>
      </c>
      <c r="T1290" s="60">
        <v>0</v>
      </c>
      <c r="U1290" s="60">
        <v>0</v>
      </c>
      <c r="V1290" s="60">
        <v>0</v>
      </c>
      <c r="W1290" s="60">
        <v>0</v>
      </c>
      <c r="X1290" s="60">
        <v>0</v>
      </c>
      <c r="Y1290" s="60">
        <v>0</v>
      </c>
      <c r="Z1290" s="60">
        <v>0</v>
      </c>
      <c r="AA1290" s="60">
        <v>0</v>
      </c>
      <c r="AB1290" s="60">
        <v>0</v>
      </c>
      <c r="AC1290" s="60">
        <v>128014.26</v>
      </c>
      <c r="AD1290" s="60">
        <v>0</v>
      </c>
      <c r="AE1290" s="60">
        <v>0</v>
      </c>
      <c r="AF1290" s="170" t="s">
        <v>257</v>
      </c>
      <c r="AG1290" s="170">
        <v>2022</v>
      </c>
      <c r="AH1290" s="63">
        <v>2022</v>
      </c>
    </row>
    <row r="1291" spans="1:16199" ht="61.5" x14ac:dyDescent="0.85">
      <c r="A1291" s="7">
        <v>1</v>
      </c>
      <c r="B1291" s="59">
        <f>SUBTOTAL(103,$A$1032:A1291)</f>
        <v>247</v>
      </c>
      <c r="C1291" s="160" t="s">
        <v>620</v>
      </c>
      <c r="D1291" s="60">
        <f>E1291+F1291+G1291+H1291+I1291+J1291+L1291+N1291+P1291+R1291+T1291+U1291+V1291+W1291+X1291+Y1291+Z1291+AA1291+AB1291+AC1291+AD1291+AE1291</f>
        <v>7527851.6799999997</v>
      </c>
      <c r="E1291" s="60">
        <v>0</v>
      </c>
      <c r="F1291" s="60">
        <v>0</v>
      </c>
      <c r="G1291" s="60">
        <v>0</v>
      </c>
      <c r="H1291" s="60">
        <v>0</v>
      </c>
      <c r="I1291" s="60">
        <v>0</v>
      </c>
      <c r="J1291" s="60">
        <v>0</v>
      </c>
      <c r="K1291" s="168">
        <v>0</v>
      </c>
      <c r="L1291" s="60">
        <v>0</v>
      </c>
      <c r="M1291" s="60">
        <v>949.42</v>
      </c>
      <c r="N1291" s="60">
        <v>7434181</v>
      </c>
      <c r="O1291" s="60">
        <v>0</v>
      </c>
      <c r="P1291" s="60">
        <v>0</v>
      </c>
      <c r="Q1291" s="60">
        <v>0</v>
      </c>
      <c r="R1291" s="60">
        <v>0</v>
      </c>
      <c r="S1291" s="60">
        <v>0</v>
      </c>
      <c r="T1291" s="60">
        <v>0</v>
      </c>
      <c r="U1291" s="60">
        <v>0</v>
      </c>
      <c r="V1291" s="60">
        <v>0</v>
      </c>
      <c r="W1291" s="60">
        <v>0</v>
      </c>
      <c r="X1291" s="60">
        <v>0</v>
      </c>
      <c r="Y1291" s="60">
        <v>0</v>
      </c>
      <c r="Z1291" s="60">
        <v>0</v>
      </c>
      <c r="AA1291" s="60">
        <v>0</v>
      </c>
      <c r="AB1291" s="60">
        <v>0</v>
      </c>
      <c r="AC1291" s="60">
        <v>93670.68</v>
      </c>
      <c r="AD1291" s="60">
        <v>0</v>
      </c>
      <c r="AE1291" s="60">
        <v>0</v>
      </c>
      <c r="AF1291" s="170" t="s">
        <v>257</v>
      </c>
      <c r="AG1291" s="170">
        <v>2022</v>
      </c>
      <c r="AH1291" s="63">
        <v>2022</v>
      </c>
    </row>
    <row r="1292" spans="1:16199" ht="61.5" x14ac:dyDescent="0.85">
      <c r="A1292" s="7">
        <v>1</v>
      </c>
      <c r="B1292" s="59">
        <f>SUBTOTAL(103,$A$1032:A1292)</f>
        <v>248</v>
      </c>
      <c r="C1292" s="160" t="s">
        <v>3268</v>
      </c>
      <c r="D1292" s="201">
        <f>E1292+F1292+G1292+H1292+I1292+J1292+L1292+N1292+P1292+R1292+T1292+U1292+V1292+W1292+X1292+Y1292+Z1292+AA1292+AB1292+AC1292+AD1292+AE1292</f>
        <v>11642629.68</v>
      </c>
      <c r="E1292" s="62">
        <v>0</v>
      </c>
      <c r="F1292" s="62">
        <v>0</v>
      </c>
      <c r="G1292" s="62">
        <v>0</v>
      </c>
      <c r="H1292" s="62">
        <v>0</v>
      </c>
      <c r="I1292" s="62">
        <v>0</v>
      </c>
      <c r="J1292" s="62">
        <v>0</v>
      </c>
      <c r="K1292" s="168">
        <v>4</v>
      </c>
      <c r="L1292" s="201">
        <v>11501390.4</v>
      </c>
      <c r="M1292" s="204">
        <v>0</v>
      </c>
      <c r="N1292" s="201">
        <v>0</v>
      </c>
      <c r="O1292" s="62">
        <v>0</v>
      </c>
      <c r="P1292" s="62">
        <v>0</v>
      </c>
      <c r="Q1292" s="201">
        <v>0</v>
      </c>
      <c r="R1292" s="201">
        <v>0</v>
      </c>
      <c r="S1292" s="62">
        <v>0</v>
      </c>
      <c r="T1292" s="62">
        <v>0</v>
      </c>
      <c r="U1292" s="62">
        <v>0</v>
      </c>
      <c r="V1292" s="62">
        <v>0</v>
      </c>
      <c r="W1292" s="62">
        <v>0</v>
      </c>
      <c r="X1292" s="62">
        <v>0</v>
      </c>
      <c r="Y1292" s="62">
        <v>0</v>
      </c>
      <c r="Z1292" s="62">
        <v>0</v>
      </c>
      <c r="AA1292" s="62">
        <v>0</v>
      </c>
      <c r="AB1292" s="62">
        <v>0</v>
      </c>
      <c r="AC1292" s="201">
        <v>0</v>
      </c>
      <c r="AD1292" s="201">
        <v>141239.28</v>
      </c>
      <c r="AE1292" s="62">
        <v>0</v>
      </c>
      <c r="AF1292" s="202">
        <v>2022</v>
      </c>
      <c r="AG1292" s="170">
        <v>2022</v>
      </c>
      <c r="AH1292" s="202" t="s">
        <v>257</v>
      </c>
    </row>
    <row r="1293" spans="1:16199" ht="61.5" x14ac:dyDescent="0.85">
      <c r="B1293" s="160" t="s">
        <v>765</v>
      </c>
      <c r="C1293" s="176"/>
      <c r="D1293" s="177">
        <f>D1294</f>
        <v>92390.85</v>
      </c>
      <c r="E1293" s="60">
        <f t="shared" ref="E1293:AE1293" si="222">E1294</f>
        <v>0</v>
      </c>
      <c r="F1293" s="60">
        <f t="shared" si="222"/>
        <v>0</v>
      </c>
      <c r="G1293" s="60">
        <f t="shared" si="222"/>
        <v>0</v>
      </c>
      <c r="H1293" s="60">
        <f t="shared" si="222"/>
        <v>0</v>
      </c>
      <c r="I1293" s="60">
        <f t="shared" si="222"/>
        <v>0</v>
      </c>
      <c r="J1293" s="60">
        <f t="shared" si="222"/>
        <v>0</v>
      </c>
      <c r="K1293" s="168">
        <f t="shared" si="222"/>
        <v>0</v>
      </c>
      <c r="L1293" s="60">
        <f t="shared" si="222"/>
        <v>0</v>
      </c>
      <c r="M1293" s="60">
        <f t="shared" si="222"/>
        <v>0</v>
      </c>
      <c r="N1293" s="60">
        <f t="shared" si="222"/>
        <v>0</v>
      </c>
      <c r="O1293" s="60">
        <f t="shared" si="222"/>
        <v>0</v>
      </c>
      <c r="P1293" s="60">
        <f t="shared" si="222"/>
        <v>0</v>
      </c>
      <c r="Q1293" s="60">
        <f t="shared" si="222"/>
        <v>0</v>
      </c>
      <c r="R1293" s="60">
        <f t="shared" si="222"/>
        <v>0</v>
      </c>
      <c r="S1293" s="60">
        <f t="shared" si="222"/>
        <v>0</v>
      </c>
      <c r="T1293" s="60">
        <f t="shared" si="222"/>
        <v>0</v>
      </c>
      <c r="U1293" s="60">
        <f t="shared" si="222"/>
        <v>0</v>
      </c>
      <c r="V1293" s="60">
        <f t="shared" si="222"/>
        <v>0</v>
      </c>
      <c r="W1293" s="60">
        <f t="shared" si="222"/>
        <v>0</v>
      </c>
      <c r="X1293" s="60">
        <f t="shared" si="222"/>
        <v>0</v>
      </c>
      <c r="Y1293" s="60">
        <f t="shared" si="222"/>
        <v>0</v>
      </c>
      <c r="Z1293" s="60">
        <f t="shared" si="222"/>
        <v>0</v>
      </c>
      <c r="AA1293" s="60">
        <f t="shared" si="222"/>
        <v>0</v>
      </c>
      <c r="AB1293" s="60">
        <f t="shared" si="222"/>
        <v>0</v>
      </c>
      <c r="AC1293" s="60">
        <f t="shared" si="222"/>
        <v>0</v>
      </c>
      <c r="AD1293" s="60">
        <f t="shared" si="222"/>
        <v>92390.85</v>
      </c>
      <c r="AE1293" s="60">
        <f t="shared" si="222"/>
        <v>0</v>
      </c>
      <c r="AF1293" s="54" t="s">
        <v>701</v>
      </c>
      <c r="AG1293" s="54" t="s">
        <v>701</v>
      </c>
      <c r="AH1293" s="55" t="s">
        <v>701</v>
      </c>
    </row>
    <row r="1294" spans="1:16199" ht="61.5" x14ac:dyDescent="0.85">
      <c r="A1294" s="7">
        <v>1</v>
      </c>
      <c r="B1294" s="59">
        <f>SUBTOTAL(103,$A$1032:A1294)</f>
        <v>249</v>
      </c>
      <c r="C1294" s="160" t="s">
        <v>639</v>
      </c>
      <c r="D1294" s="60">
        <f t="shared" ref="D1294" si="223">E1294+F1294+G1294+H1294+I1294+J1294+L1294+N1294+P1294+R1294+T1294+U1294+V1294+W1294+X1294+Y1294+Z1294+AA1294+AB1294+AC1294+AD1294+AE1294</f>
        <v>92390.85</v>
      </c>
      <c r="E1294" s="182">
        <v>0</v>
      </c>
      <c r="F1294" s="182">
        <v>0</v>
      </c>
      <c r="G1294" s="60">
        <v>0</v>
      </c>
      <c r="H1294" s="182">
        <v>0</v>
      </c>
      <c r="I1294" s="182">
        <v>0</v>
      </c>
      <c r="J1294" s="182">
        <v>0</v>
      </c>
      <c r="K1294" s="168">
        <v>0</v>
      </c>
      <c r="L1294" s="60">
        <v>0</v>
      </c>
      <c r="M1294" s="62">
        <v>0</v>
      </c>
      <c r="N1294" s="60">
        <v>0</v>
      </c>
      <c r="O1294" s="182">
        <v>0</v>
      </c>
      <c r="P1294" s="182">
        <v>0</v>
      </c>
      <c r="Q1294" s="60">
        <v>0</v>
      </c>
      <c r="R1294" s="60">
        <v>0</v>
      </c>
      <c r="S1294" s="60">
        <v>0</v>
      </c>
      <c r="T1294" s="60">
        <v>0</v>
      </c>
      <c r="U1294" s="60">
        <v>0</v>
      </c>
      <c r="V1294" s="60">
        <v>0</v>
      </c>
      <c r="W1294" s="60">
        <v>0</v>
      </c>
      <c r="X1294" s="60">
        <v>0</v>
      </c>
      <c r="Y1294" s="60">
        <v>0</v>
      </c>
      <c r="Z1294" s="60">
        <v>0</v>
      </c>
      <c r="AA1294" s="60">
        <v>0</v>
      </c>
      <c r="AB1294" s="60">
        <v>0</v>
      </c>
      <c r="AC1294" s="60">
        <v>0</v>
      </c>
      <c r="AD1294" s="60">
        <v>92390.85</v>
      </c>
      <c r="AE1294" s="60">
        <v>0</v>
      </c>
      <c r="AF1294" s="170">
        <v>2022</v>
      </c>
      <c r="AG1294" s="170" t="s">
        <v>257</v>
      </c>
      <c r="AH1294" s="63" t="s">
        <v>257</v>
      </c>
    </row>
    <row r="1295" spans="1:16199" ht="61.5" x14ac:dyDescent="0.85">
      <c r="B1295" s="160" t="s">
        <v>769</v>
      </c>
      <c r="C1295" s="176"/>
      <c r="D1295" s="177">
        <f t="shared" ref="D1295:AE1295" si="224">SUM(D1296:D1300)</f>
        <v>22883458.140000001</v>
      </c>
      <c r="E1295" s="60">
        <f t="shared" si="224"/>
        <v>0</v>
      </c>
      <c r="F1295" s="60">
        <f t="shared" si="224"/>
        <v>0</v>
      </c>
      <c r="G1295" s="60">
        <f t="shared" si="224"/>
        <v>0</v>
      </c>
      <c r="H1295" s="60">
        <f t="shared" si="224"/>
        <v>0</v>
      </c>
      <c r="I1295" s="60">
        <f t="shared" si="224"/>
        <v>0</v>
      </c>
      <c r="J1295" s="60">
        <f t="shared" si="224"/>
        <v>0</v>
      </c>
      <c r="K1295" s="168">
        <f t="shared" si="224"/>
        <v>0</v>
      </c>
      <c r="L1295" s="60">
        <f t="shared" si="224"/>
        <v>0</v>
      </c>
      <c r="M1295" s="60">
        <f t="shared" si="224"/>
        <v>2525.23</v>
      </c>
      <c r="N1295" s="60">
        <f t="shared" si="224"/>
        <v>19839190</v>
      </c>
      <c r="O1295" s="60">
        <f t="shared" si="224"/>
        <v>0</v>
      </c>
      <c r="P1295" s="60">
        <f t="shared" si="224"/>
        <v>0</v>
      </c>
      <c r="Q1295" s="60">
        <f t="shared" si="224"/>
        <v>596.96</v>
      </c>
      <c r="R1295" s="60">
        <f t="shared" si="224"/>
        <v>2697453</v>
      </c>
      <c r="S1295" s="60">
        <f t="shared" si="224"/>
        <v>0</v>
      </c>
      <c r="T1295" s="60">
        <f t="shared" si="224"/>
        <v>0</v>
      </c>
      <c r="U1295" s="60">
        <f t="shared" si="224"/>
        <v>0</v>
      </c>
      <c r="V1295" s="60">
        <f t="shared" si="224"/>
        <v>0</v>
      </c>
      <c r="W1295" s="60">
        <f t="shared" si="224"/>
        <v>0</v>
      </c>
      <c r="X1295" s="60">
        <f t="shared" si="224"/>
        <v>0</v>
      </c>
      <c r="Y1295" s="60">
        <f t="shared" si="224"/>
        <v>0</v>
      </c>
      <c r="Z1295" s="60">
        <f t="shared" si="224"/>
        <v>0</v>
      </c>
      <c r="AA1295" s="60">
        <f t="shared" si="224"/>
        <v>0</v>
      </c>
      <c r="AB1295" s="60">
        <f t="shared" si="224"/>
        <v>0</v>
      </c>
      <c r="AC1295" s="60">
        <f t="shared" si="224"/>
        <v>236218.80000000002</v>
      </c>
      <c r="AD1295" s="60">
        <f t="shared" si="224"/>
        <v>110596.34</v>
      </c>
      <c r="AE1295" s="60">
        <f t="shared" si="224"/>
        <v>0</v>
      </c>
      <c r="AF1295" s="54" t="s">
        <v>701</v>
      </c>
      <c r="AG1295" s="54" t="s">
        <v>701</v>
      </c>
      <c r="AH1295" s="55" t="s">
        <v>701</v>
      </c>
    </row>
    <row r="1296" spans="1:16199" ht="61.5" x14ac:dyDescent="0.85">
      <c r="A1296" s="7">
        <v>1</v>
      </c>
      <c r="B1296" s="59">
        <f>SUBTOTAL(103,$A$1032:A1296)</f>
        <v>250</v>
      </c>
      <c r="C1296" s="186" t="s">
        <v>223</v>
      </c>
      <c r="D1296" s="60">
        <f t="shared" ref="D1296:D1300" si="225">E1296+F1296+G1296+H1296+I1296+J1296+L1296+N1296+P1296+R1296+T1296+U1296+V1296+W1296+X1296+Y1296+Z1296+AA1296+AB1296+AC1296+AD1296+AE1296</f>
        <v>30598.44</v>
      </c>
      <c r="E1296" s="60">
        <v>0</v>
      </c>
      <c r="F1296" s="60">
        <v>0</v>
      </c>
      <c r="G1296" s="60">
        <v>0</v>
      </c>
      <c r="H1296" s="60">
        <v>0</v>
      </c>
      <c r="I1296" s="60">
        <v>0</v>
      </c>
      <c r="J1296" s="60">
        <v>0</v>
      </c>
      <c r="K1296" s="168">
        <v>0</v>
      </c>
      <c r="L1296" s="60">
        <v>0</v>
      </c>
      <c r="M1296" s="60">
        <v>0</v>
      </c>
      <c r="N1296" s="60">
        <v>0</v>
      </c>
      <c r="O1296" s="60">
        <v>0</v>
      </c>
      <c r="P1296" s="60">
        <v>0</v>
      </c>
      <c r="Q1296" s="60">
        <v>0</v>
      </c>
      <c r="R1296" s="60">
        <v>0</v>
      </c>
      <c r="S1296" s="60">
        <v>0</v>
      </c>
      <c r="T1296" s="60">
        <v>0</v>
      </c>
      <c r="U1296" s="60">
        <v>0</v>
      </c>
      <c r="V1296" s="60">
        <v>0</v>
      </c>
      <c r="W1296" s="60">
        <v>0</v>
      </c>
      <c r="X1296" s="60">
        <v>0</v>
      </c>
      <c r="Y1296" s="60">
        <v>0</v>
      </c>
      <c r="Z1296" s="60">
        <v>0</v>
      </c>
      <c r="AA1296" s="60">
        <v>0</v>
      </c>
      <c r="AB1296" s="60">
        <v>0</v>
      </c>
      <c r="AC1296" s="60">
        <f t="shared" ref="AC1296:AC1299" si="226">ROUND(N1296*1.0593%,2)+ROUND(E1296*1.0593%,2)+ROUND(F1296*1.0593%,2)+ROUND(G1296*1.0593%,2)+ROUND(H1296*1.0593%,2)+ROUND(I1296*1.0593%,2)+ROUND(J1296*1.0593%,2)+ROUND(L1296*1.0593%,2)+ROUND(P1296*1.0593%,2)+ROUND(R1296*1.0593%,2)+ROUND(T1296*1.0593%,2)+ROUND(U1296*1.0593%,2)+ROUND(V1296*1.0593%,2)+ROUND(W1296*1.0593%,2)+ROUND(X1296*1.0593%,2)+ROUND(Y1296*1.0593%,2)+ROUND(Z1296*1.0593%,2)+ROUND(AA1296*1.0593%,2)+ROUND(AB1296*1.0593%,2)</f>
        <v>0</v>
      </c>
      <c r="AD1296" s="60">
        <v>30598.44</v>
      </c>
      <c r="AE1296" s="60">
        <v>0</v>
      </c>
      <c r="AF1296" s="170">
        <v>2022</v>
      </c>
      <c r="AG1296" s="170" t="s">
        <v>257</v>
      </c>
      <c r="AH1296" s="63" t="s">
        <v>257</v>
      </c>
    </row>
    <row r="1297" spans="1:34" ht="61.5" x14ac:dyDescent="0.85">
      <c r="A1297" s="7">
        <v>1</v>
      </c>
      <c r="B1297" s="59">
        <f>SUBTOTAL(103,$A$1032:A1297)</f>
        <v>251</v>
      </c>
      <c r="C1297" s="186" t="s">
        <v>227</v>
      </c>
      <c r="D1297" s="60">
        <f t="shared" si="225"/>
        <v>12558618.360000001</v>
      </c>
      <c r="E1297" s="60">
        <v>0</v>
      </c>
      <c r="F1297" s="60">
        <v>0</v>
      </c>
      <c r="G1297" s="60">
        <v>0</v>
      </c>
      <c r="H1297" s="60">
        <v>0</v>
      </c>
      <c r="I1297" s="60">
        <v>0</v>
      </c>
      <c r="J1297" s="60">
        <v>0</v>
      </c>
      <c r="K1297" s="168">
        <v>0</v>
      </c>
      <c r="L1297" s="60">
        <v>0</v>
      </c>
      <c r="M1297" s="60">
        <v>1397</v>
      </c>
      <c r="N1297" s="60">
        <v>12347820</v>
      </c>
      <c r="O1297" s="60">
        <v>0</v>
      </c>
      <c r="P1297" s="60">
        <v>0</v>
      </c>
      <c r="Q1297" s="60">
        <v>0</v>
      </c>
      <c r="R1297" s="60">
        <v>0</v>
      </c>
      <c r="S1297" s="60">
        <v>0</v>
      </c>
      <c r="T1297" s="60">
        <v>0</v>
      </c>
      <c r="U1297" s="60">
        <v>0</v>
      </c>
      <c r="V1297" s="60">
        <v>0</v>
      </c>
      <c r="W1297" s="60">
        <v>0</v>
      </c>
      <c r="X1297" s="60">
        <v>0</v>
      </c>
      <c r="Y1297" s="60">
        <v>0</v>
      </c>
      <c r="Z1297" s="60">
        <v>0</v>
      </c>
      <c r="AA1297" s="60">
        <v>0</v>
      </c>
      <c r="AB1297" s="60">
        <v>0</v>
      </c>
      <c r="AC1297" s="60">
        <f t="shared" si="226"/>
        <v>130800.46</v>
      </c>
      <c r="AD1297" s="60">
        <v>79997.899999999994</v>
      </c>
      <c r="AE1297" s="60">
        <v>0</v>
      </c>
      <c r="AF1297" s="170">
        <v>2022</v>
      </c>
      <c r="AG1297" s="170">
        <v>2022</v>
      </c>
      <c r="AH1297" s="63">
        <v>2022</v>
      </c>
    </row>
    <row r="1298" spans="1:34" ht="61.5" x14ac:dyDescent="0.85">
      <c r="A1298" s="7">
        <v>1</v>
      </c>
      <c r="B1298" s="59">
        <f>SUBTOTAL(103,$A$1032:A1298)</f>
        <v>252</v>
      </c>
      <c r="C1298" s="160" t="s">
        <v>222</v>
      </c>
      <c r="D1298" s="60">
        <f t="shared" si="225"/>
        <v>2726027.12</v>
      </c>
      <c r="E1298" s="60">
        <v>0</v>
      </c>
      <c r="F1298" s="60">
        <v>0</v>
      </c>
      <c r="G1298" s="60">
        <v>0</v>
      </c>
      <c r="H1298" s="60">
        <v>0</v>
      </c>
      <c r="I1298" s="60">
        <v>0</v>
      </c>
      <c r="J1298" s="60">
        <v>0</v>
      </c>
      <c r="K1298" s="168">
        <v>0</v>
      </c>
      <c r="L1298" s="60">
        <v>0</v>
      </c>
      <c r="M1298" s="60">
        <v>0</v>
      </c>
      <c r="N1298" s="60">
        <v>0</v>
      </c>
      <c r="O1298" s="60">
        <v>0</v>
      </c>
      <c r="P1298" s="60">
        <v>0</v>
      </c>
      <c r="Q1298" s="60">
        <v>596.96</v>
      </c>
      <c r="R1298" s="62">
        <v>2697453</v>
      </c>
      <c r="S1298" s="60">
        <v>0</v>
      </c>
      <c r="T1298" s="60">
        <v>0</v>
      </c>
      <c r="U1298" s="60">
        <v>0</v>
      </c>
      <c r="V1298" s="60">
        <v>0</v>
      </c>
      <c r="W1298" s="60">
        <v>0</v>
      </c>
      <c r="X1298" s="60">
        <v>0</v>
      </c>
      <c r="Y1298" s="60">
        <v>0</v>
      </c>
      <c r="Z1298" s="60">
        <v>0</v>
      </c>
      <c r="AA1298" s="60">
        <v>0</v>
      </c>
      <c r="AB1298" s="60">
        <v>0</v>
      </c>
      <c r="AC1298" s="60">
        <f t="shared" si="226"/>
        <v>28574.12</v>
      </c>
      <c r="AD1298" s="60">
        <v>0</v>
      </c>
      <c r="AE1298" s="60">
        <v>0</v>
      </c>
      <c r="AF1298" s="170" t="s">
        <v>257</v>
      </c>
      <c r="AG1298" s="170">
        <v>2022</v>
      </c>
      <c r="AH1298" s="63">
        <v>2022</v>
      </c>
    </row>
    <row r="1299" spans="1:34" ht="61.5" x14ac:dyDescent="0.85">
      <c r="A1299" s="7">
        <v>1</v>
      </c>
      <c r="B1299" s="59">
        <f>SUBTOTAL(103,$A$1032:A1299)</f>
        <v>253</v>
      </c>
      <c r="C1299" s="160" t="s">
        <v>226</v>
      </c>
      <c r="D1299" s="60">
        <f t="shared" si="225"/>
        <v>2146645.06</v>
      </c>
      <c r="E1299" s="60">
        <v>0</v>
      </c>
      <c r="F1299" s="60">
        <v>0</v>
      </c>
      <c r="G1299" s="60">
        <v>0</v>
      </c>
      <c r="H1299" s="60">
        <v>0</v>
      </c>
      <c r="I1299" s="60">
        <v>0</v>
      </c>
      <c r="J1299" s="60">
        <v>0</v>
      </c>
      <c r="K1299" s="168">
        <v>0</v>
      </c>
      <c r="L1299" s="60">
        <v>0</v>
      </c>
      <c r="M1299" s="60">
        <v>301.64</v>
      </c>
      <c r="N1299" s="62">
        <v>2124144</v>
      </c>
      <c r="O1299" s="60">
        <v>0</v>
      </c>
      <c r="P1299" s="60">
        <v>0</v>
      </c>
      <c r="Q1299" s="60">
        <v>0</v>
      </c>
      <c r="R1299" s="60">
        <v>0</v>
      </c>
      <c r="S1299" s="60">
        <v>0</v>
      </c>
      <c r="T1299" s="60">
        <v>0</v>
      </c>
      <c r="U1299" s="60">
        <v>0</v>
      </c>
      <c r="V1299" s="60">
        <v>0</v>
      </c>
      <c r="W1299" s="60">
        <v>0</v>
      </c>
      <c r="X1299" s="60">
        <v>0</v>
      </c>
      <c r="Y1299" s="60">
        <v>0</v>
      </c>
      <c r="Z1299" s="60">
        <v>0</v>
      </c>
      <c r="AA1299" s="60">
        <v>0</v>
      </c>
      <c r="AB1299" s="60">
        <v>0</v>
      </c>
      <c r="AC1299" s="60">
        <f t="shared" si="226"/>
        <v>22501.06</v>
      </c>
      <c r="AD1299" s="60">
        <v>0</v>
      </c>
      <c r="AE1299" s="60">
        <v>0</v>
      </c>
      <c r="AF1299" s="170" t="s">
        <v>257</v>
      </c>
      <c r="AG1299" s="170">
        <v>2022</v>
      </c>
      <c r="AH1299" s="63">
        <v>2022</v>
      </c>
    </row>
    <row r="1300" spans="1:34" ht="61.5" x14ac:dyDescent="0.85">
      <c r="A1300" s="7">
        <v>1</v>
      </c>
      <c r="B1300" s="59">
        <f>SUBTOTAL(103,$A$1032:A1300)</f>
        <v>254</v>
      </c>
      <c r="C1300" s="160" t="s">
        <v>228</v>
      </c>
      <c r="D1300" s="60">
        <f t="shared" si="225"/>
        <v>5421569.1600000001</v>
      </c>
      <c r="E1300" s="60">
        <v>0</v>
      </c>
      <c r="F1300" s="60">
        <v>0</v>
      </c>
      <c r="G1300" s="60">
        <v>0</v>
      </c>
      <c r="H1300" s="60">
        <v>0</v>
      </c>
      <c r="I1300" s="60">
        <v>0</v>
      </c>
      <c r="J1300" s="60">
        <v>0</v>
      </c>
      <c r="K1300" s="168">
        <v>0</v>
      </c>
      <c r="L1300" s="60">
        <v>0</v>
      </c>
      <c r="M1300" s="60">
        <v>826.59</v>
      </c>
      <c r="N1300" s="60">
        <v>5367226</v>
      </c>
      <c r="O1300" s="60">
        <v>0</v>
      </c>
      <c r="P1300" s="60">
        <v>0</v>
      </c>
      <c r="Q1300" s="60">
        <v>0</v>
      </c>
      <c r="R1300" s="60">
        <v>0</v>
      </c>
      <c r="S1300" s="60">
        <v>0</v>
      </c>
      <c r="T1300" s="60">
        <v>0</v>
      </c>
      <c r="U1300" s="60">
        <v>0</v>
      </c>
      <c r="V1300" s="60">
        <v>0</v>
      </c>
      <c r="W1300" s="60">
        <v>0</v>
      </c>
      <c r="X1300" s="60">
        <v>0</v>
      </c>
      <c r="Y1300" s="60">
        <v>0</v>
      </c>
      <c r="Z1300" s="60">
        <v>0</v>
      </c>
      <c r="AA1300" s="60">
        <v>0</v>
      </c>
      <c r="AB1300" s="60">
        <v>0</v>
      </c>
      <c r="AC1300" s="60">
        <v>54343.16</v>
      </c>
      <c r="AD1300" s="60">
        <v>0</v>
      </c>
      <c r="AE1300" s="60">
        <v>0</v>
      </c>
      <c r="AF1300" s="170" t="s">
        <v>257</v>
      </c>
      <c r="AG1300" s="170">
        <v>2022</v>
      </c>
      <c r="AH1300" s="63">
        <v>2022</v>
      </c>
    </row>
    <row r="1301" spans="1:34" ht="61.5" x14ac:dyDescent="0.85">
      <c r="B1301" s="160" t="s">
        <v>770</v>
      </c>
      <c r="C1301" s="160"/>
      <c r="D1301" s="177">
        <f>SUM(D1302:D1303)</f>
        <v>4515124.67</v>
      </c>
      <c r="E1301" s="60">
        <f t="shared" ref="E1301:AE1301" si="227">SUM(E1302:E1303)</f>
        <v>0</v>
      </c>
      <c r="F1301" s="60">
        <f t="shared" si="227"/>
        <v>0</v>
      </c>
      <c r="G1301" s="60">
        <f t="shared" si="227"/>
        <v>0</v>
      </c>
      <c r="H1301" s="60">
        <f t="shared" si="227"/>
        <v>0</v>
      </c>
      <c r="I1301" s="60">
        <f t="shared" si="227"/>
        <v>0</v>
      </c>
      <c r="J1301" s="60">
        <f t="shared" si="227"/>
        <v>0</v>
      </c>
      <c r="K1301" s="168">
        <f t="shared" si="227"/>
        <v>0</v>
      </c>
      <c r="L1301" s="60">
        <f t="shared" si="227"/>
        <v>0</v>
      </c>
      <c r="M1301" s="60">
        <f t="shared" si="227"/>
        <v>327.35000000000002</v>
      </c>
      <c r="N1301" s="60">
        <f t="shared" si="227"/>
        <v>2876065</v>
      </c>
      <c r="O1301" s="60">
        <f t="shared" si="227"/>
        <v>0</v>
      </c>
      <c r="P1301" s="60">
        <f t="shared" si="227"/>
        <v>0</v>
      </c>
      <c r="Q1301" s="60">
        <f t="shared" si="227"/>
        <v>407.96</v>
      </c>
      <c r="R1301" s="60">
        <f t="shared" si="227"/>
        <v>1568067</v>
      </c>
      <c r="S1301" s="60">
        <f t="shared" si="227"/>
        <v>0</v>
      </c>
      <c r="T1301" s="60">
        <f t="shared" si="227"/>
        <v>0</v>
      </c>
      <c r="U1301" s="60">
        <f t="shared" si="227"/>
        <v>0</v>
      </c>
      <c r="V1301" s="60">
        <f t="shared" si="227"/>
        <v>0</v>
      </c>
      <c r="W1301" s="60">
        <f t="shared" si="227"/>
        <v>0</v>
      </c>
      <c r="X1301" s="60">
        <f t="shared" si="227"/>
        <v>0</v>
      </c>
      <c r="Y1301" s="60">
        <f t="shared" si="227"/>
        <v>0</v>
      </c>
      <c r="Z1301" s="60">
        <f t="shared" si="227"/>
        <v>0</v>
      </c>
      <c r="AA1301" s="60">
        <f t="shared" si="227"/>
        <v>0</v>
      </c>
      <c r="AB1301" s="60">
        <f t="shared" si="227"/>
        <v>0</v>
      </c>
      <c r="AC1301" s="60">
        <f t="shared" si="227"/>
        <v>47076.69</v>
      </c>
      <c r="AD1301" s="60">
        <f t="shared" si="227"/>
        <v>23915.98</v>
      </c>
      <c r="AE1301" s="60">
        <f t="shared" si="227"/>
        <v>0</v>
      </c>
      <c r="AF1301" s="54" t="s">
        <v>701</v>
      </c>
      <c r="AG1301" s="54" t="s">
        <v>701</v>
      </c>
      <c r="AH1301" s="55" t="s">
        <v>701</v>
      </c>
    </row>
    <row r="1302" spans="1:34" ht="61.5" x14ac:dyDescent="0.85">
      <c r="A1302" s="7">
        <v>1</v>
      </c>
      <c r="B1302" s="59">
        <f>SUBTOTAL(103,$A$1032:A1302)</f>
        <v>255</v>
      </c>
      <c r="C1302" s="186" t="s">
        <v>232</v>
      </c>
      <c r="D1302" s="60">
        <f>E1302+F1302+G1302+H1302+I1302+J1302+L1302+N1302+P1302+R1302+T1302+U1302+V1302+W1302+X1302+Y1302+Z1302+AA1302+AB1302+AC1302+AD1302+AE1302</f>
        <v>2930447.14</v>
      </c>
      <c r="E1302" s="60">
        <v>0</v>
      </c>
      <c r="F1302" s="60">
        <v>0</v>
      </c>
      <c r="G1302" s="60">
        <v>0</v>
      </c>
      <c r="H1302" s="60">
        <v>0</v>
      </c>
      <c r="I1302" s="60">
        <v>0</v>
      </c>
      <c r="J1302" s="60">
        <v>0</v>
      </c>
      <c r="K1302" s="168">
        <v>0</v>
      </c>
      <c r="L1302" s="60">
        <v>0</v>
      </c>
      <c r="M1302" s="60">
        <v>327.35000000000002</v>
      </c>
      <c r="N1302" s="60">
        <v>2876065</v>
      </c>
      <c r="O1302" s="60">
        <v>0</v>
      </c>
      <c r="P1302" s="60">
        <v>0</v>
      </c>
      <c r="Q1302" s="60">
        <v>0</v>
      </c>
      <c r="R1302" s="60">
        <v>0</v>
      </c>
      <c r="S1302" s="60">
        <v>0</v>
      </c>
      <c r="T1302" s="60">
        <v>0</v>
      </c>
      <c r="U1302" s="60">
        <v>0</v>
      </c>
      <c r="V1302" s="60">
        <v>0</v>
      </c>
      <c r="W1302" s="60">
        <v>0</v>
      </c>
      <c r="X1302" s="60">
        <v>0</v>
      </c>
      <c r="Y1302" s="60">
        <v>0</v>
      </c>
      <c r="Z1302" s="60">
        <v>0</v>
      </c>
      <c r="AA1302" s="60">
        <v>0</v>
      </c>
      <c r="AB1302" s="60">
        <v>0</v>
      </c>
      <c r="AC1302" s="60">
        <f t="shared" ref="AC1302:AC1303" si="228">ROUND(N1302*1.0593%,2)+ROUND(E1302*1.0593%,2)+ROUND(F1302*1.0593%,2)+ROUND(G1302*1.0593%,2)+ROUND(H1302*1.0593%,2)+ROUND(I1302*1.0593%,2)+ROUND(J1302*1.0593%,2)+ROUND(L1302*1.0593%,2)+ROUND(P1302*1.0593%,2)+ROUND(R1302*1.0593%,2)+ROUND(T1302*1.0593%,2)+ROUND(U1302*1.0593%,2)+ROUND(V1302*1.0593%,2)+ROUND(W1302*1.0593%,2)+ROUND(X1302*1.0593%,2)+ROUND(Y1302*1.0593%,2)+ROUND(Z1302*1.0593%,2)+ROUND(AA1302*1.0593%,2)+ROUND(AB1302*1.0593%,2)</f>
        <v>30466.16</v>
      </c>
      <c r="AD1302" s="60">
        <v>23915.98</v>
      </c>
      <c r="AE1302" s="60">
        <v>0</v>
      </c>
      <c r="AF1302" s="170">
        <v>2022</v>
      </c>
      <c r="AG1302" s="170">
        <v>2022</v>
      </c>
      <c r="AH1302" s="63">
        <v>2022</v>
      </c>
    </row>
    <row r="1303" spans="1:34" ht="61.5" x14ac:dyDescent="0.85">
      <c r="A1303" s="7">
        <v>1</v>
      </c>
      <c r="B1303" s="59">
        <f>SUBTOTAL(103,$A$1032:A1303)</f>
        <v>256</v>
      </c>
      <c r="C1303" s="160" t="s">
        <v>233</v>
      </c>
      <c r="D1303" s="60">
        <f>E1303+F1303+G1303+H1303+I1303+J1303+L1303+N1303+P1303+R1303+T1303+U1303+V1303+W1303+X1303+Y1303+Z1303+AA1303+AB1303+AC1303+AD1303+AE1303</f>
        <v>1584677.53</v>
      </c>
      <c r="E1303" s="60">
        <v>0</v>
      </c>
      <c r="F1303" s="60">
        <v>0</v>
      </c>
      <c r="G1303" s="60">
        <v>0</v>
      </c>
      <c r="H1303" s="60">
        <v>0</v>
      </c>
      <c r="I1303" s="60">
        <v>0</v>
      </c>
      <c r="J1303" s="60">
        <v>0</v>
      </c>
      <c r="K1303" s="168">
        <v>0</v>
      </c>
      <c r="L1303" s="60">
        <v>0</v>
      </c>
      <c r="M1303" s="60">
        <v>0</v>
      </c>
      <c r="N1303" s="60">
        <v>0</v>
      </c>
      <c r="O1303" s="60">
        <v>0</v>
      </c>
      <c r="P1303" s="60">
        <v>0</v>
      </c>
      <c r="Q1303" s="60">
        <v>407.96</v>
      </c>
      <c r="R1303" s="60">
        <v>1568067</v>
      </c>
      <c r="S1303" s="60">
        <v>0</v>
      </c>
      <c r="T1303" s="60">
        <v>0</v>
      </c>
      <c r="U1303" s="60">
        <v>0</v>
      </c>
      <c r="V1303" s="60">
        <v>0</v>
      </c>
      <c r="W1303" s="60">
        <v>0</v>
      </c>
      <c r="X1303" s="60">
        <v>0</v>
      </c>
      <c r="Y1303" s="60">
        <v>0</v>
      </c>
      <c r="Z1303" s="60">
        <v>0</v>
      </c>
      <c r="AA1303" s="60">
        <v>0</v>
      </c>
      <c r="AB1303" s="60">
        <v>0</v>
      </c>
      <c r="AC1303" s="60">
        <f t="shared" si="228"/>
        <v>16610.53</v>
      </c>
      <c r="AD1303" s="60">
        <v>0</v>
      </c>
      <c r="AE1303" s="60">
        <v>0</v>
      </c>
      <c r="AF1303" s="170" t="s">
        <v>257</v>
      </c>
      <c r="AG1303" s="170">
        <v>2022</v>
      </c>
      <c r="AH1303" s="63">
        <v>2022</v>
      </c>
    </row>
    <row r="1304" spans="1:34" ht="61.5" x14ac:dyDescent="0.85">
      <c r="B1304" s="160" t="s">
        <v>771</v>
      </c>
      <c r="C1304" s="160"/>
      <c r="D1304" s="177">
        <f>SUM(D1305:D1307)</f>
        <v>10739170.039999999</v>
      </c>
      <c r="E1304" s="60">
        <f t="shared" ref="E1304:AE1304" si="229">SUM(E1305:E1307)</f>
        <v>0</v>
      </c>
      <c r="F1304" s="60">
        <f t="shared" si="229"/>
        <v>0</v>
      </c>
      <c r="G1304" s="60">
        <f t="shared" si="229"/>
        <v>0</v>
      </c>
      <c r="H1304" s="60">
        <f t="shared" si="229"/>
        <v>0</v>
      </c>
      <c r="I1304" s="60">
        <f t="shared" si="229"/>
        <v>0</v>
      </c>
      <c r="J1304" s="60">
        <f t="shared" si="229"/>
        <v>0</v>
      </c>
      <c r="K1304" s="168">
        <f t="shared" si="229"/>
        <v>0</v>
      </c>
      <c r="L1304" s="60">
        <f t="shared" si="229"/>
        <v>0</v>
      </c>
      <c r="M1304" s="60">
        <f t="shared" si="229"/>
        <v>0</v>
      </c>
      <c r="N1304" s="60">
        <f t="shared" si="229"/>
        <v>0</v>
      </c>
      <c r="O1304" s="60">
        <f t="shared" si="229"/>
        <v>0</v>
      </c>
      <c r="P1304" s="60">
        <f t="shared" si="229"/>
        <v>0</v>
      </c>
      <c r="Q1304" s="60">
        <f t="shared" si="229"/>
        <v>2750.0699999999997</v>
      </c>
      <c r="R1304" s="60">
        <f t="shared" si="229"/>
        <v>10618661.6</v>
      </c>
      <c r="S1304" s="60">
        <f t="shared" si="229"/>
        <v>0</v>
      </c>
      <c r="T1304" s="60">
        <f t="shared" si="229"/>
        <v>0</v>
      </c>
      <c r="U1304" s="60">
        <f t="shared" si="229"/>
        <v>0</v>
      </c>
      <c r="V1304" s="60">
        <f t="shared" si="229"/>
        <v>0</v>
      </c>
      <c r="W1304" s="60">
        <f t="shared" si="229"/>
        <v>0</v>
      </c>
      <c r="X1304" s="60">
        <f t="shared" si="229"/>
        <v>0</v>
      </c>
      <c r="Y1304" s="60">
        <f t="shared" si="229"/>
        <v>0</v>
      </c>
      <c r="Z1304" s="60">
        <f t="shared" si="229"/>
        <v>0</v>
      </c>
      <c r="AA1304" s="60">
        <f t="shared" si="229"/>
        <v>0</v>
      </c>
      <c r="AB1304" s="60">
        <f t="shared" si="229"/>
        <v>0</v>
      </c>
      <c r="AC1304" s="60">
        <f t="shared" si="229"/>
        <v>120508.44</v>
      </c>
      <c r="AD1304" s="60">
        <f t="shared" si="229"/>
        <v>0</v>
      </c>
      <c r="AE1304" s="60">
        <f t="shared" si="229"/>
        <v>0</v>
      </c>
      <c r="AF1304" s="54" t="s">
        <v>701</v>
      </c>
      <c r="AG1304" s="54" t="s">
        <v>701</v>
      </c>
      <c r="AH1304" s="55" t="s">
        <v>701</v>
      </c>
    </row>
    <row r="1305" spans="1:34" ht="61.5" x14ac:dyDescent="0.85">
      <c r="A1305" s="7">
        <v>1</v>
      </c>
      <c r="B1305" s="59">
        <f>SUBTOTAL(103,$A$1032:A1305)</f>
        <v>257</v>
      </c>
      <c r="C1305" s="186" t="s">
        <v>234</v>
      </c>
      <c r="D1305" s="60">
        <f>E1305+F1305+G1305+H1305+I1305+J1305+L1305+N1305+P1305+R1305+T1305+U1305+V1305+W1305+X1305+Y1305+Z1305+AA1305+AB1305+AC1305+AD1305+AE1305</f>
        <v>4000081.71</v>
      </c>
      <c r="E1305" s="60">
        <v>0</v>
      </c>
      <c r="F1305" s="60">
        <v>0</v>
      </c>
      <c r="G1305" s="60">
        <v>0</v>
      </c>
      <c r="H1305" s="60">
        <v>0</v>
      </c>
      <c r="I1305" s="60">
        <v>0</v>
      </c>
      <c r="J1305" s="60">
        <v>0</v>
      </c>
      <c r="K1305" s="168">
        <v>0</v>
      </c>
      <c r="L1305" s="60">
        <v>0</v>
      </c>
      <c r="M1305" s="60">
        <v>0</v>
      </c>
      <c r="N1305" s="60">
        <v>0</v>
      </c>
      <c r="O1305" s="60">
        <v>0</v>
      </c>
      <c r="P1305" s="60">
        <v>0</v>
      </c>
      <c r="Q1305" s="60">
        <v>1052.58</v>
      </c>
      <c r="R1305" s="60">
        <v>3958153</v>
      </c>
      <c r="S1305" s="60">
        <v>0</v>
      </c>
      <c r="T1305" s="60">
        <v>0</v>
      </c>
      <c r="U1305" s="60">
        <v>0</v>
      </c>
      <c r="V1305" s="60">
        <v>0</v>
      </c>
      <c r="W1305" s="60">
        <v>0</v>
      </c>
      <c r="X1305" s="60">
        <v>0</v>
      </c>
      <c r="Y1305" s="60">
        <v>0</v>
      </c>
      <c r="Z1305" s="60">
        <v>0</v>
      </c>
      <c r="AA1305" s="60">
        <v>0</v>
      </c>
      <c r="AB1305" s="60">
        <v>0</v>
      </c>
      <c r="AC1305" s="60">
        <f t="shared" ref="AC1305" si="230">ROUND(N1305*1.0593%,2)+ROUND(E1305*1.0593%,2)+ROUND(F1305*1.0593%,2)+ROUND(G1305*1.0593%,2)+ROUND(H1305*1.0593%,2)+ROUND(I1305*1.0593%,2)+ROUND(J1305*1.0593%,2)+ROUND(L1305*1.0593%,2)+ROUND(P1305*1.0593%,2)+ROUND(R1305*1.0593%,2)+ROUND(T1305*1.0593%,2)+ROUND(U1305*1.0593%,2)+ROUND(V1305*1.0593%,2)+ROUND(W1305*1.0593%,2)+ROUND(X1305*1.0593%,2)+ROUND(Y1305*1.0593%,2)+ROUND(Z1305*1.0593%,2)+ROUND(AA1305*1.0593%,2)+ROUND(AB1305*1.0593%,2)</f>
        <v>41928.71</v>
      </c>
      <c r="AD1305" s="60">
        <v>0</v>
      </c>
      <c r="AE1305" s="60">
        <v>0</v>
      </c>
      <c r="AF1305" s="170" t="s">
        <v>257</v>
      </c>
      <c r="AG1305" s="170">
        <v>2022</v>
      </c>
      <c r="AH1305" s="63">
        <v>2022</v>
      </c>
    </row>
    <row r="1306" spans="1:34" ht="61.5" x14ac:dyDescent="0.85">
      <c r="A1306" s="7">
        <v>1</v>
      </c>
      <c r="B1306" s="59">
        <f>SUBTOTAL(103,$A$1032:A1306)</f>
        <v>258</v>
      </c>
      <c r="C1306" s="160" t="s">
        <v>1142</v>
      </c>
      <c r="D1306" s="60">
        <f>E1306+F1306+G1306+H1306+I1306+J1306+L1306+N1306+P1306+R1306+T1306+U1306+V1306+W1306+X1306+Y1306+Z1306+AA1306+AB1306+AC1306+AD1306+AE1306</f>
        <v>2690219.79</v>
      </c>
      <c r="E1306" s="182">
        <v>0</v>
      </c>
      <c r="F1306" s="182">
        <v>0</v>
      </c>
      <c r="G1306" s="60">
        <v>0</v>
      </c>
      <c r="H1306" s="182">
        <v>0</v>
      </c>
      <c r="I1306" s="182">
        <v>0</v>
      </c>
      <c r="J1306" s="182">
        <v>0</v>
      </c>
      <c r="K1306" s="168">
        <v>0</v>
      </c>
      <c r="L1306" s="60">
        <v>0</v>
      </c>
      <c r="M1306" s="60">
        <v>0</v>
      </c>
      <c r="N1306" s="60">
        <v>0</v>
      </c>
      <c r="O1306" s="182">
        <v>0</v>
      </c>
      <c r="P1306" s="182">
        <v>0</v>
      </c>
      <c r="Q1306" s="60">
        <v>496.78</v>
      </c>
      <c r="R1306" s="172">
        <v>2662021</v>
      </c>
      <c r="S1306" s="60">
        <v>0</v>
      </c>
      <c r="T1306" s="60">
        <v>0</v>
      </c>
      <c r="U1306" s="60">
        <v>0</v>
      </c>
      <c r="V1306" s="60">
        <v>0</v>
      </c>
      <c r="W1306" s="60">
        <v>0</v>
      </c>
      <c r="X1306" s="60">
        <v>0</v>
      </c>
      <c r="Y1306" s="60">
        <v>0</v>
      </c>
      <c r="Z1306" s="60">
        <v>0</v>
      </c>
      <c r="AA1306" s="60">
        <v>0</v>
      </c>
      <c r="AB1306" s="60">
        <v>0</v>
      </c>
      <c r="AC1306" s="60">
        <v>28198.79</v>
      </c>
      <c r="AD1306" s="60">
        <v>0</v>
      </c>
      <c r="AE1306" s="60">
        <v>0</v>
      </c>
      <c r="AF1306" s="170" t="s">
        <v>257</v>
      </c>
      <c r="AG1306" s="170">
        <v>2022</v>
      </c>
      <c r="AH1306" s="63">
        <v>2022</v>
      </c>
    </row>
    <row r="1307" spans="1:34" ht="61.5" x14ac:dyDescent="0.85">
      <c r="A1307" s="7">
        <v>1</v>
      </c>
      <c r="B1307" s="59">
        <f>SUBTOTAL(103,$A$1032:A1307)</f>
        <v>259</v>
      </c>
      <c r="C1307" s="160" t="s">
        <v>1202</v>
      </c>
      <c r="D1307" s="201">
        <f t="shared" ref="D1307" si="231">E1307+F1307+G1307+H1307+I1307+J1307+L1307+N1307+P1307+R1307+T1307+U1307+V1307+W1307+X1307+Y1307+Z1307+AA1307+AB1307+AC1307+AD1307+AE1307</f>
        <v>4048868.54</v>
      </c>
      <c r="E1307" s="60">
        <v>0</v>
      </c>
      <c r="F1307" s="60">
        <v>0</v>
      </c>
      <c r="G1307" s="60">
        <v>0</v>
      </c>
      <c r="H1307" s="60">
        <v>0</v>
      </c>
      <c r="I1307" s="60">
        <v>0</v>
      </c>
      <c r="J1307" s="60">
        <v>0</v>
      </c>
      <c r="K1307" s="168">
        <v>0</v>
      </c>
      <c r="L1307" s="60">
        <v>0</v>
      </c>
      <c r="M1307" s="60">
        <v>0</v>
      </c>
      <c r="N1307" s="60">
        <v>0</v>
      </c>
      <c r="O1307" s="60">
        <v>0</v>
      </c>
      <c r="P1307" s="60">
        <v>0</v>
      </c>
      <c r="Q1307" s="60">
        <v>1200.71</v>
      </c>
      <c r="R1307" s="60">
        <v>3998487.6</v>
      </c>
      <c r="S1307" s="60">
        <v>0</v>
      </c>
      <c r="T1307" s="60">
        <v>0</v>
      </c>
      <c r="U1307" s="60">
        <v>0</v>
      </c>
      <c r="V1307" s="60">
        <v>0</v>
      </c>
      <c r="W1307" s="60">
        <v>0</v>
      </c>
      <c r="X1307" s="60">
        <v>0</v>
      </c>
      <c r="Y1307" s="60">
        <v>0</v>
      </c>
      <c r="Z1307" s="60">
        <v>0</v>
      </c>
      <c r="AA1307" s="60">
        <v>0</v>
      </c>
      <c r="AB1307" s="60">
        <v>0</v>
      </c>
      <c r="AC1307" s="60">
        <f>ROUND(R1307*1.26%,2)</f>
        <v>50380.94</v>
      </c>
      <c r="AD1307" s="60">
        <v>0</v>
      </c>
      <c r="AE1307" s="60">
        <v>0</v>
      </c>
      <c r="AF1307" s="170" t="s">
        <v>257</v>
      </c>
      <c r="AG1307" s="170">
        <v>2022</v>
      </c>
      <c r="AH1307" s="63">
        <v>2022</v>
      </c>
    </row>
    <row r="1308" spans="1:34" ht="61.5" x14ac:dyDescent="0.85">
      <c r="B1308" s="160" t="s">
        <v>812</v>
      </c>
      <c r="C1308" s="160"/>
      <c r="D1308" s="177">
        <f t="shared" ref="D1308:AE1308" si="232">SUM(D1309)</f>
        <v>3187631.38</v>
      </c>
      <c r="E1308" s="60">
        <f t="shared" si="232"/>
        <v>0</v>
      </c>
      <c r="F1308" s="60">
        <f t="shared" si="232"/>
        <v>0</v>
      </c>
      <c r="G1308" s="60">
        <f t="shared" si="232"/>
        <v>0</v>
      </c>
      <c r="H1308" s="60">
        <f t="shared" si="232"/>
        <v>0</v>
      </c>
      <c r="I1308" s="60">
        <f t="shared" si="232"/>
        <v>0</v>
      </c>
      <c r="J1308" s="60">
        <f t="shared" si="232"/>
        <v>0</v>
      </c>
      <c r="K1308" s="168">
        <f t="shared" si="232"/>
        <v>0</v>
      </c>
      <c r="L1308" s="60">
        <f t="shared" si="232"/>
        <v>0</v>
      </c>
      <c r="M1308" s="60">
        <f t="shared" si="232"/>
        <v>463.36</v>
      </c>
      <c r="N1308" s="60">
        <f t="shared" si="232"/>
        <v>3147967</v>
      </c>
      <c r="O1308" s="60">
        <f t="shared" si="232"/>
        <v>0</v>
      </c>
      <c r="P1308" s="60">
        <f t="shared" si="232"/>
        <v>0</v>
      </c>
      <c r="Q1308" s="60">
        <f t="shared" si="232"/>
        <v>0</v>
      </c>
      <c r="R1308" s="60">
        <f t="shared" si="232"/>
        <v>0</v>
      </c>
      <c r="S1308" s="60">
        <f t="shared" si="232"/>
        <v>0</v>
      </c>
      <c r="T1308" s="60">
        <f t="shared" si="232"/>
        <v>0</v>
      </c>
      <c r="U1308" s="60">
        <f t="shared" si="232"/>
        <v>0</v>
      </c>
      <c r="V1308" s="60">
        <f t="shared" si="232"/>
        <v>0</v>
      </c>
      <c r="W1308" s="60">
        <f t="shared" si="232"/>
        <v>0</v>
      </c>
      <c r="X1308" s="60">
        <f t="shared" si="232"/>
        <v>0</v>
      </c>
      <c r="Y1308" s="60">
        <f t="shared" si="232"/>
        <v>0</v>
      </c>
      <c r="Z1308" s="60">
        <f t="shared" si="232"/>
        <v>0</v>
      </c>
      <c r="AA1308" s="60">
        <f t="shared" si="232"/>
        <v>0</v>
      </c>
      <c r="AB1308" s="60">
        <f t="shared" si="232"/>
        <v>0</v>
      </c>
      <c r="AC1308" s="60">
        <f t="shared" si="232"/>
        <v>39664.379999999997</v>
      </c>
      <c r="AD1308" s="60">
        <f t="shared" si="232"/>
        <v>0</v>
      </c>
      <c r="AE1308" s="60">
        <f t="shared" si="232"/>
        <v>0</v>
      </c>
      <c r="AF1308" s="54" t="s">
        <v>701</v>
      </c>
      <c r="AG1308" s="54" t="s">
        <v>701</v>
      </c>
      <c r="AH1308" s="55" t="s">
        <v>701</v>
      </c>
    </row>
    <row r="1309" spans="1:34" ht="61.5" x14ac:dyDescent="0.85">
      <c r="A1309" s="7">
        <v>1</v>
      </c>
      <c r="B1309" s="59">
        <f>SUBTOTAL(103,$A$1032:A1309)</f>
        <v>260</v>
      </c>
      <c r="C1309" s="160" t="s">
        <v>231</v>
      </c>
      <c r="D1309" s="60">
        <f>E1309+F1309+G1309+H1309+I1309+J1309+L1309+N1309+P1309+R1309+T1309+U1309+V1309+W1309+X1309+Y1309+Z1309+AA1309+AB1309+AC1309+AD1309+AE1309</f>
        <v>3187631.38</v>
      </c>
      <c r="E1309" s="60">
        <v>0</v>
      </c>
      <c r="F1309" s="60">
        <v>0</v>
      </c>
      <c r="G1309" s="60">
        <v>0</v>
      </c>
      <c r="H1309" s="60">
        <v>0</v>
      </c>
      <c r="I1309" s="60">
        <v>0</v>
      </c>
      <c r="J1309" s="60">
        <v>0</v>
      </c>
      <c r="K1309" s="168">
        <v>0</v>
      </c>
      <c r="L1309" s="60">
        <v>0</v>
      </c>
      <c r="M1309" s="60">
        <v>463.36</v>
      </c>
      <c r="N1309" s="60">
        <v>3147967</v>
      </c>
      <c r="O1309" s="60">
        <v>0</v>
      </c>
      <c r="P1309" s="60">
        <v>0</v>
      </c>
      <c r="Q1309" s="60">
        <v>0</v>
      </c>
      <c r="R1309" s="60">
        <v>0</v>
      </c>
      <c r="S1309" s="60">
        <v>0</v>
      </c>
      <c r="T1309" s="60">
        <v>0</v>
      </c>
      <c r="U1309" s="60">
        <v>0</v>
      </c>
      <c r="V1309" s="60">
        <v>0</v>
      </c>
      <c r="W1309" s="60">
        <v>0</v>
      </c>
      <c r="X1309" s="60">
        <v>0</v>
      </c>
      <c r="Y1309" s="60">
        <v>0</v>
      </c>
      <c r="Z1309" s="60">
        <v>0</v>
      </c>
      <c r="AA1309" s="60">
        <v>0</v>
      </c>
      <c r="AB1309" s="60">
        <v>0</v>
      </c>
      <c r="AC1309" s="60">
        <v>39664.379999999997</v>
      </c>
      <c r="AD1309" s="60">
        <v>0</v>
      </c>
      <c r="AE1309" s="60">
        <v>0</v>
      </c>
      <c r="AF1309" s="170" t="s">
        <v>257</v>
      </c>
      <c r="AG1309" s="170">
        <v>2022</v>
      </c>
      <c r="AH1309" s="63">
        <v>2022</v>
      </c>
    </row>
    <row r="1310" spans="1:34" ht="61.5" x14ac:dyDescent="0.85">
      <c r="B1310" s="160" t="s">
        <v>830</v>
      </c>
      <c r="C1310" s="184"/>
      <c r="D1310" s="177">
        <f>D1311</f>
        <v>3606627.71</v>
      </c>
      <c r="E1310" s="60">
        <f t="shared" ref="E1310:AE1310" si="233">E1311</f>
        <v>0</v>
      </c>
      <c r="F1310" s="60">
        <f t="shared" si="233"/>
        <v>0</v>
      </c>
      <c r="G1310" s="60">
        <f t="shared" si="233"/>
        <v>0</v>
      </c>
      <c r="H1310" s="60">
        <f t="shared" si="233"/>
        <v>0</v>
      </c>
      <c r="I1310" s="60">
        <f t="shared" si="233"/>
        <v>0</v>
      </c>
      <c r="J1310" s="60">
        <f t="shared" si="233"/>
        <v>0</v>
      </c>
      <c r="K1310" s="168">
        <f t="shared" si="233"/>
        <v>0</v>
      </c>
      <c r="L1310" s="60">
        <f t="shared" si="233"/>
        <v>0</v>
      </c>
      <c r="M1310" s="60">
        <f t="shared" si="233"/>
        <v>523.97</v>
      </c>
      <c r="N1310" s="60">
        <f t="shared" si="233"/>
        <v>3500000</v>
      </c>
      <c r="O1310" s="60">
        <f t="shared" si="233"/>
        <v>0</v>
      </c>
      <c r="P1310" s="60">
        <f t="shared" si="233"/>
        <v>0</v>
      </c>
      <c r="Q1310" s="60">
        <f t="shared" si="233"/>
        <v>0</v>
      </c>
      <c r="R1310" s="60">
        <f t="shared" si="233"/>
        <v>0</v>
      </c>
      <c r="S1310" s="60">
        <f t="shared" si="233"/>
        <v>0</v>
      </c>
      <c r="T1310" s="60">
        <f t="shared" si="233"/>
        <v>0</v>
      </c>
      <c r="U1310" s="60">
        <f t="shared" si="233"/>
        <v>0</v>
      </c>
      <c r="V1310" s="60">
        <f t="shared" si="233"/>
        <v>0</v>
      </c>
      <c r="W1310" s="60">
        <f t="shared" si="233"/>
        <v>0</v>
      </c>
      <c r="X1310" s="60">
        <f t="shared" si="233"/>
        <v>0</v>
      </c>
      <c r="Y1310" s="60">
        <f t="shared" si="233"/>
        <v>0</v>
      </c>
      <c r="Z1310" s="60">
        <f t="shared" si="233"/>
        <v>0</v>
      </c>
      <c r="AA1310" s="60">
        <f t="shared" si="233"/>
        <v>0</v>
      </c>
      <c r="AB1310" s="60">
        <f t="shared" si="233"/>
        <v>0</v>
      </c>
      <c r="AC1310" s="60">
        <f t="shared" si="233"/>
        <v>37075.5</v>
      </c>
      <c r="AD1310" s="60">
        <f t="shared" si="233"/>
        <v>69552.210000000006</v>
      </c>
      <c r="AE1310" s="60">
        <f t="shared" si="233"/>
        <v>0</v>
      </c>
      <c r="AF1310" s="54" t="s">
        <v>701</v>
      </c>
      <c r="AG1310" s="54" t="s">
        <v>701</v>
      </c>
      <c r="AH1310" s="55" t="s">
        <v>701</v>
      </c>
    </row>
    <row r="1311" spans="1:34" ht="61.5" x14ac:dyDescent="0.85">
      <c r="A1311" s="7">
        <v>1</v>
      </c>
      <c r="B1311" s="59">
        <f>SUBTOTAL(103,$A$1032:A1311)</f>
        <v>261</v>
      </c>
      <c r="C1311" s="186" t="s">
        <v>4</v>
      </c>
      <c r="D1311" s="60">
        <f>E1311+F1311+G1311+H1311+I1311+J1311+L1311+N1311+P1311+R1311+T1311+U1311+V1311+W1311+X1311+Y1311+Z1311+AA1311+AB1311+AC1311+AD1311+AE1311</f>
        <v>3606627.71</v>
      </c>
      <c r="E1311" s="60">
        <v>0</v>
      </c>
      <c r="F1311" s="60">
        <v>0</v>
      </c>
      <c r="G1311" s="60">
        <v>0</v>
      </c>
      <c r="H1311" s="60">
        <v>0</v>
      </c>
      <c r="I1311" s="60">
        <v>0</v>
      </c>
      <c r="J1311" s="60">
        <v>0</v>
      </c>
      <c r="K1311" s="168">
        <v>0</v>
      </c>
      <c r="L1311" s="60">
        <v>0</v>
      </c>
      <c r="M1311" s="60">
        <v>523.97</v>
      </c>
      <c r="N1311" s="60">
        <v>3500000</v>
      </c>
      <c r="O1311" s="60">
        <v>0</v>
      </c>
      <c r="P1311" s="60">
        <v>0</v>
      </c>
      <c r="Q1311" s="60">
        <v>0</v>
      </c>
      <c r="R1311" s="60">
        <v>0</v>
      </c>
      <c r="S1311" s="60">
        <v>0</v>
      </c>
      <c r="T1311" s="60">
        <v>0</v>
      </c>
      <c r="U1311" s="60">
        <v>0</v>
      </c>
      <c r="V1311" s="60">
        <v>0</v>
      </c>
      <c r="W1311" s="60">
        <v>0</v>
      </c>
      <c r="X1311" s="60">
        <v>0</v>
      </c>
      <c r="Y1311" s="60">
        <v>0</v>
      </c>
      <c r="Z1311" s="60">
        <v>0</v>
      </c>
      <c r="AA1311" s="60">
        <v>0</v>
      </c>
      <c r="AB1311" s="60">
        <v>0</v>
      </c>
      <c r="AC1311" s="60">
        <f>ROUND(N1311*1.0593%,2)+ROUND(E1311*1.0593%,2)+ROUND(F1311*1.0593%,2)+ROUND(G1311*1.0593%,2)+ROUND(H1311*1.0593%,2)+ROUND(I1311*1.0593%,2)+ROUND(J1311*1.0593%,2)+ROUND(L1311*1.0593%,2)+ROUND(P1311*1.0593%,2)+ROUND(R1311*1.0593%,2)+ROUND(T1311*1.0593%,2)+ROUND(U1311*1.0593%,2)+ROUND(V1311*1.0593%,2)+ROUND(W1311*1.0593%,2)+ROUND(X1311*1.0593%,2)+ROUND(Y1311*1.0593%,2)+ROUND(Z1311*1.0593%,2)+ROUND(AA1311*1.0593%,2)+ROUND(AB1311*1.0593%,2)</f>
        <v>37075.5</v>
      </c>
      <c r="AD1311" s="60">
        <v>69552.210000000006</v>
      </c>
      <c r="AE1311" s="60">
        <v>0</v>
      </c>
      <c r="AF1311" s="170">
        <v>2022</v>
      </c>
      <c r="AG1311" s="170">
        <v>2022</v>
      </c>
      <c r="AH1311" s="63">
        <v>2022</v>
      </c>
    </row>
    <row r="1312" spans="1:34" ht="61.5" x14ac:dyDescent="0.85">
      <c r="B1312" s="160" t="s">
        <v>772</v>
      </c>
      <c r="C1312" s="184"/>
      <c r="D1312" s="177">
        <f t="shared" ref="D1312:AE1312" si="234">D1313</f>
        <v>2589358</v>
      </c>
      <c r="E1312" s="60">
        <f t="shared" si="234"/>
        <v>0</v>
      </c>
      <c r="F1312" s="60">
        <f t="shared" si="234"/>
        <v>0</v>
      </c>
      <c r="G1312" s="60">
        <f t="shared" si="234"/>
        <v>0</v>
      </c>
      <c r="H1312" s="60">
        <f t="shared" si="234"/>
        <v>0</v>
      </c>
      <c r="I1312" s="60">
        <f t="shared" si="234"/>
        <v>0</v>
      </c>
      <c r="J1312" s="60">
        <f t="shared" si="234"/>
        <v>0</v>
      </c>
      <c r="K1312" s="168">
        <f t="shared" si="234"/>
        <v>0</v>
      </c>
      <c r="L1312" s="60">
        <f t="shared" si="234"/>
        <v>0</v>
      </c>
      <c r="M1312" s="60">
        <f t="shared" si="234"/>
        <v>410.4</v>
      </c>
      <c r="N1312" s="60">
        <f t="shared" si="234"/>
        <v>2511507</v>
      </c>
      <c r="O1312" s="60">
        <f t="shared" si="234"/>
        <v>0</v>
      </c>
      <c r="P1312" s="60">
        <f t="shared" si="234"/>
        <v>0</v>
      </c>
      <c r="Q1312" s="60">
        <f t="shared" si="234"/>
        <v>0</v>
      </c>
      <c r="R1312" s="60">
        <f t="shared" si="234"/>
        <v>0</v>
      </c>
      <c r="S1312" s="60">
        <f t="shared" si="234"/>
        <v>0</v>
      </c>
      <c r="T1312" s="60">
        <f t="shared" si="234"/>
        <v>0</v>
      </c>
      <c r="U1312" s="60">
        <f t="shared" si="234"/>
        <v>0</v>
      </c>
      <c r="V1312" s="60">
        <f t="shared" si="234"/>
        <v>0</v>
      </c>
      <c r="W1312" s="60">
        <f t="shared" si="234"/>
        <v>0</v>
      </c>
      <c r="X1312" s="60">
        <f t="shared" si="234"/>
        <v>0</v>
      </c>
      <c r="Y1312" s="60">
        <f t="shared" si="234"/>
        <v>0</v>
      </c>
      <c r="Z1312" s="60">
        <f t="shared" si="234"/>
        <v>0</v>
      </c>
      <c r="AA1312" s="60">
        <f t="shared" si="234"/>
        <v>0</v>
      </c>
      <c r="AB1312" s="60">
        <f t="shared" si="234"/>
        <v>0</v>
      </c>
      <c r="AC1312" s="60">
        <f t="shared" si="234"/>
        <v>25994.1</v>
      </c>
      <c r="AD1312" s="60">
        <f t="shared" si="234"/>
        <v>51856.9</v>
      </c>
      <c r="AE1312" s="60">
        <f t="shared" si="234"/>
        <v>0</v>
      </c>
      <c r="AF1312" s="54" t="s">
        <v>701</v>
      </c>
      <c r="AG1312" s="54" t="s">
        <v>701</v>
      </c>
      <c r="AH1312" s="55" t="s">
        <v>701</v>
      </c>
    </row>
    <row r="1313" spans="1:94" ht="61.5" x14ac:dyDescent="0.85">
      <c r="A1313" s="7">
        <v>1</v>
      </c>
      <c r="B1313" s="59">
        <f>SUBTOTAL(103,$A$1032:A1313)</f>
        <v>262</v>
      </c>
      <c r="C1313" s="185" t="s">
        <v>2142</v>
      </c>
      <c r="D1313" s="60">
        <f>E1313+F1313+G1313+H1313+I1313+J1313+L1313+N1313+P1313+R1313+T1313+U1313+V1313+W1313+X1313+Y1313+Z1313+AA1313+AB1313+AC1313+AD1313+AE1313</f>
        <v>2589358</v>
      </c>
      <c r="E1313" s="60">
        <v>0</v>
      </c>
      <c r="F1313" s="60">
        <v>0</v>
      </c>
      <c r="G1313" s="60">
        <v>0</v>
      </c>
      <c r="H1313" s="60">
        <v>0</v>
      </c>
      <c r="I1313" s="60">
        <v>0</v>
      </c>
      <c r="J1313" s="60">
        <v>0</v>
      </c>
      <c r="K1313" s="168">
        <v>0</v>
      </c>
      <c r="L1313" s="60">
        <v>0</v>
      </c>
      <c r="M1313" s="60">
        <v>410.4</v>
      </c>
      <c r="N1313" s="60">
        <v>2511507</v>
      </c>
      <c r="O1313" s="60">
        <v>0</v>
      </c>
      <c r="P1313" s="60">
        <v>0</v>
      </c>
      <c r="Q1313" s="60">
        <v>0</v>
      </c>
      <c r="R1313" s="60">
        <v>0</v>
      </c>
      <c r="S1313" s="60">
        <v>0</v>
      </c>
      <c r="T1313" s="60">
        <v>0</v>
      </c>
      <c r="U1313" s="60">
        <v>0</v>
      </c>
      <c r="V1313" s="60">
        <v>0</v>
      </c>
      <c r="W1313" s="60">
        <v>0</v>
      </c>
      <c r="X1313" s="60">
        <v>0</v>
      </c>
      <c r="Y1313" s="60">
        <v>0</v>
      </c>
      <c r="Z1313" s="60">
        <v>0</v>
      </c>
      <c r="AA1313" s="60">
        <v>0</v>
      </c>
      <c r="AB1313" s="60">
        <v>0</v>
      </c>
      <c r="AC1313" s="60">
        <v>25994.1</v>
      </c>
      <c r="AD1313" s="60">
        <v>51856.9</v>
      </c>
      <c r="AE1313" s="60">
        <v>0</v>
      </c>
      <c r="AF1313" s="170">
        <v>2022</v>
      </c>
      <c r="AG1313" s="170">
        <v>2022</v>
      </c>
      <c r="AH1313" s="63">
        <v>2022</v>
      </c>
    </row>
    <row r="1314" spans="1:94" ht="61.5" x14ac:dyDescent="0.85">
      <c r="B1314" s="160" t="s">
        <v>2304</v>
      </c>
      <c r="C1314" s="185"/>
      <c r="D1314" s="177">
        <f t="shared" ref="D1314:AE1314" si="235">D1315</f>
        <v>4205955.12</v>
      </c>
      <c r="E1314" s="60">
        <f t="shared" si="235"/>
        <v>0</v>
      </c>
      <c r="F1314" s="60">
        <f t="shared" si="235"/>
        <v>0</v>
      </c>
      <c r="G1314" s="60">
        <f t="shared" si="235"/>
        <v>0</v>
      </c>
      <c r="H1314" s="60">
        <f t="shared" si="235"/>
        <v>0</v>
      </c>
      <c r="I1314" s="60">
        <f t="shared" si="235"/>
        <v>0</v>
      </c>
      <c r="J1314" s="60">
        <f t="shared" si="235"/>
        <v>0</v>
      </c>
      <c r="K1314" s="168">
        <f t="shared" si="235"/>
        <v>0</v>
      </c>
      <c r="L1314" s="60">
        <f t="shared" si="235"/>
        <v>0</v>
      </c>
      <c r="M1314" s="60">
        <f t="shared" si="235"/>
        <v>603.71</v>
      </c>
      <c r="N1314" s="60">
        <f t="shared" si="235"/>
        <v>4078783</v>
      </c>
      <c r="O1314" s="60">
        <f t="shared" si="235"/>
        <v>0</v>
      </c>
      <c r="P1314" s="60">
        <f t="shared" si="235"/>
        <v>0</v>
      </c>
      <c r="Q1314" s="60">
        <f t="shared" si="235"/>
        <v>0</v>
      </c>
      <c r="R1314" s="60">
        <f t="shared" si="235"/>
        <v>0</v>
      </c>
      <c r="S1314" s="60">
        <f t="shared" si="235"/>
        <v>0</v>
      </c>
      <c r="T1314" s="60">
        <f t="shared" si="235"/>
        <v>0</v>
      </c>
      <c r="U1314" s="60">
        <f t="shared" si="235"/>
        <v>0</v>
      </c>
      <c r="V1314" s="60">
        <f t="shared" si="235"/>
        <v>0</v>
      </c>
      <c r="W1314" s="60">
        <f t="shared" si="235"/>
        <v>0</v>
      </c>
      <c r="X1314" s="60">
        <f t="shared" si="235"/>
        <v>0</v>
      </c>
      <c r="Y1314" s="60">
        <f t="shared" si="235"/>
        <v>0</v>
      </c>
      <c r="Z1314" s="60">
        <f t="shared" si="235"/>
        <v>0</v>
      </c>
      <c r="AA1314" s="60">
        <f t="shared" si="235"/>
        <v>0</v>
      </c>
      <c r="AB1314" s="60">
        <f t="shared" si="235"/>
        <v>0</v>
      </c>
      <c r="AC1314" s="60">
        <f t="shared" si="235"/>
        <v>42215.4</v>
      </c>
      <c r="AD1314" s="60">
        <f t="shared" si="235"/>
        <v>84956.72</v>
      </c>
      <c r="AE1314" s="60">
        <f t="shared" si="235"/>
        <v>0</v>
      </c>
      <c r="AF1314" s="54" t="s">
        <v>701</v>
      </c>
      <c r="AG1314" s="54" t="s">
        <v>701</v>
      </c>
      <c r="AH1314" s="55" t="s">
        <v>701</v>
      </c>
    </row>
    <row r="1315" spans="1:94" ht="61.5" x14ac:dyDescent="0.85">
      <c r="A1315" s="7">
        <v>1</v>
      </c>
      <c r="B1315" s="59">
        <f>SUBTOTAL(103,$A$1032:A1315)</f>
        <v>263</v>
      </c>
      <c r="C1315" s="185" t="s">
        <v>2305</v>
      </c>
      <c r="D1315" s="60">
        <f>E1315+F1315+G1315+H1315+I1315+J1315+L1315+N1315+P1315+R1315+T1315+U1315+V1315+W1315+X1315+Y1315+Z1315+AA1315+AB1315+AC1315+AD1315+AE1315</f>
        <v>4205955.12</v>
      </c>
      <c r="E1315" s="60">
        <v>0</v>
      </c>
      <c r="F1315" s="60">
        <v>0</v>
      </c>
      <c r="G1315" s="60">
        <v>0</v>
      </c>
      <c r="H1315" s="60">
        <v>0</v>
      </c>
      <c r="I1315" s="60">
        <v>0</v>
      </c>
      <c r="J1315" s="60">
        <v>0</v>
      </c>
      <c r="K1315" s="168">
        <v>0</v>
      </c>
      <c r="L1315" s="60">
        <v>0</v>
      </c>
      <c r="M1315" s="60">
        <v>603.71</v>
      </c>
      <c r="N1315" s="60">
        <v>4078783</v>
      </c>
      <c r="O1315" s="60">
        <v>0</v>
      </c>
      <c r="P1315" s="60">
        <v>0</v>
      </c>
      <c r="Q1315" s="60">
        <v>0</v>
      </c>
      <c r="R1315" s="60">
        <v>0</v>
      </c>
      <c r="S1315" s="60">
        <v>0</v>
      </c>
      <c r="T1315" s="60">
        <v>0</v>
      </c>
      <c r="U1315" s="60">
        <v>0</v>
      </c>
      <c r="V1315" s="60">
        <v>0</v>
      </c>
      <c r="W1315" s="60">
        <v>0</v>
      </c>
      <c r="X1315" s="60">
        <v>0</v>
      </c>
      <c r="Y1315" s="60">
        <v>0</v>
      </c>
      <c r="Z1315" s="60">
        <v>0</v>
      </c>
      <c r="AA1315" s="60">
        <v>0</v>
      </c>
      <c r="AB1315" s="60">
        <v>0</v>
      </c>
      <c r="AC1315" s="60">
        <v>42215.4</v>
      </c>
      <c r="AD1315" s="60">
        <v>84956.72</v>
      </c>
      <c r="AE1315" s="60">
        <v>0</v>
      </c>
      <c r="AF1315" s="170">
        <v>2022</v>
      </c>
      <c r="AG1315" s="170">
        <v>2022</v>
      </c>
      <c r="AH1315" s="63">
        <v>2022</v>
      </c>
    </row>
    <row r="1316" spans="1:94" ht="61.5" x14ac:dyDescent="0.85">
      <c r="B1316" s="160" t="s">
        <v>831</v>
      </c>
      <c r="C1316" s="185"/>
      <c r="D1316" s="177">
        <f>SUM(D1317:D1318)</f>
        <v>128495.95999999999</v>
      </c>
      <c r="E1316" s="60">
        <f t="shared" ref="E1316:AE1316" si="236">SUM(E1317:E1318)</f>
        <v>0</v>
      </c>
      <c r="F1316" s="60">
        <f t="shared" si="236"/>
        <v>0</v>
      </c>
      <c r="G1316" s="60">
        <f t="shared" si="236"/>
        <v>0</v>
      </c>
      <c r="H1316" s="60">
        <f t="shared" si="236"/>
        <v>0</v>
      </c>
      <c r="I1316" s="60">
        <f t="shared" si="236"/>
        <v>0</v>
      </c>
      <c r="J1316" s="60">
        <f t="shared" si="236"/>
        <v>0</v>
      </c>
      <c r="K1316" s="168">
        <f t="shared" si="236"/>
        <v>0</v>
      </c>
      <c r="L1316" s="60">
        <f t="shared" si="236"/>
        <v>0</v>
      </c>
      <c r="M1316" s="60">
        <f t="shared" si="236"/>
        <v>0</v>
      </c>
      <c r="N1316" s="60">
        <f t="shared" si="236"/>
        <v>0</v>
      </c>
      <c r="O1316" s="60">
        <f t="shared" si="236"/>
        <v>0</v>
      </c>
      <c r="P1316" s="60">
        <f t="shared" si="236"/>
        <v>0</v>
      </c>
      <c r="Q1316" s="60">
        <f t="shared" si="236"/>
        <v>0</v>
      </c>
      <c r="R1316" s="60">
        <f t="shared" si="236"/>
        <v>0</v>
      </c>
      <c r="S1316" s="60">
        <f t="shared" si="236"/>
        <v>0</v>
      </c>
      <c r="T1316" s="60">
        <f t="shared" si="236"/>
        <v>0</v>
      </c>
      <c r="U1316" s="60">
        <f t="shared" si="236"/>
        <v>0</v>
      </c>
      <c r="V1316" s="60">
        <f t="shared" si="236"/>
        <v>0</v>
      </c>
      <c r="W1316" s="60">
        <f t="shared" si="236"/>
        <v>0</v>
      </c>
      <c r="X1316" s="60">
        <f t="shared" si="236"/>
        <v>0</v>
      </c>
      <c r="Y1316" s="60">
        <f t="shared" si="236"/>
        <v>0</v>
      </c>
      <c r="Z1316" s="60">
        <f t="shared" si="236"/>
        <v>0</v>
      </c>
      <c r="AA1316" s="60">
        <f t="shared" si="236"/>
        <v>0</v>
      </c>
      <c r="AB1316" s="60">
        <f t="shared" si="236"/>
        <v>0</v>
      </c>
      <c r="AC1316" s="60">
        <f t="shared" si="236"/>
        <v>0</v>
      </c>
      <c r="AD1316" s="60">
        <f t="shared" si="236"/>
        <v>128495.95999999999</v>
      </c>
      <c r="AE1316" s="60">
        <f t="shared" si="236"/>
        <v>0</v>
      </c>
      <c r="AF1316" s="54" t="s">
        <v>701</v>
      </c>
      <c r="AG1316" s="54" t="s">
        <v>701</v>
      </c>
      <c r="AH1316" s="55" t="s">
        <v>701</v>
      </c>
    </row>
    <row r="1317" spans="1:94" ht="61.5" x14ac:dyDescent="0.85">
      <c r="A1317" s="7">
        <v>1</v>
      </c>
      <c r="B1317" s="59">
        <f>SUBTOTAL(103,$A$1032:A1317)</f>
        <v>264</v>
      </c>
      <c r="C1317" s="186" t="s">
        <v>1585</v>
      </c>
      <c r="D1317" s="60">
        <f>E1317+F1317+G1317+H1317+I1317+J1317+L1317+N1317+P1317+R1317+T1317+U1317+V1317+W1317+X1317+Y1317+Z1317+AA1317+AB1317+AC1317+AD1317+AE1317</f>
        <v>64867.34</v>
      </c>
      <c r="E1317" s="60">
        <v>0</v>
      </c>
      <c r="F1317" s="60">
        <v>0</v>
      </c>
      <c r="G1317" s="60">
        <v>0</v>
      </c>
      <c r="H1317" s="60">
        <v>0</v>
      </c>
      <c r="I1317" s="60">
        <v>0</v>
      </c>
      <c r="J1317" s="60">
        <v>0</v>
      </c>
      <c r="K1317" s="168">
        <v>0</v>
      </c>
      <c r="L1317" s="60">
        <v>0</v>
      </c>
      <c r="M1317" s="60">
        <v>0</v>
      </c>
      <c r="N1317" s="60">
        <v>0</v>
      </c>
      <c r="O1317" s="60">
        <v>0</v>
      </c>
      <c r="P1317" s="60">
        <v>0</v>
      </c>
      <c r="Q1317" s="60">
        <v>0</v>
      </c>
      <c r="R1317" s="60">
        <v>0</v>
      </c>
      <c r="S1317" s="60">
        <v>0</v>
      </c>
      <c r="T1317" s="60">
        <v>0</v>
      </c>
      <c r="U1317" s="60">
        <v>0</v>
      </c>
      <c r="V1317" s="60">
        <v>0</v>
      </c>
      <c r="W1317" s="60">
        <v>0</v>
      </c>
      <c r="X1317" s="60">
        <v>0</v>
      </c>
      <c r="Y1317" s="60">
        <v>0</v>
      </c>
      <c r="Z1317" s="60">
        <v>0</v>
      </c>
      <c r="AA1317" s="60">
        <v>0</v>
      </c>
      <c r="AB1317" s="60">
        <v>0</v>
      </c>
      <c r="AC1317" s="60">
        <f t="shared" ref="AC1317:AC1318" si="237">ROUND(N1317*1.0593%,2)+ROUND(E1317*1.0593%,2)+ROUND(F1317*1.0593%,2)+ROUND(G1317*1.0593%,2)+ROUND(H1317*1.0593%,2)+ROUND(I1317*1.0593%,2)+ROUND(J1317*1.0593%,2)+ROUND(L1317*1.0593%,2)+ROUND(P1317*1.0593%,2)+ROUND(R1317*1.0593%,2)+ROUND(T1317*1.0593%,2)+ROUND(U1317*1.0593%,2)+ROUND(V1317*1.0593%,2)+ROUND(W1317*1.0593%,2)+ROUND(X1317*1.0593%,2)+ROUND(Y1317*1.0593%,2)+ROUND(Z1317*1.0593%,2)+ROUND(AA1317*1.0593%,2)+ROUND(AB1317*1.0593%,2)</f>
        <v>0</v>
      </c>
      <c r="AD1317" s="60">
        <v>64867.34</v>
      </c>
      <c r="AE1317" s="60">
        <v>0</v>
      </c>
      <c r="AF1317" s="170">
        <v>2022</v>
      </c>
      <c r="AG1317" s="170" t="s">
        <v>257</v>
      </c>
      <c r="AH1317" s="63" t="s">
        <v>257</v>
      </c>
    </row>
    <row r="1318" spans="1:94" ht="61.5" x14ac:dyDescent="0.85">
      <c r="A1318" s="7">
        <v>1</v>
      </c>
      <c r="B1318" s="59">
        <f>SUBTOTAL(103,$A$1032:A1318)</f>
        <v>265</v>
      </c>
      <c r="C1318" s="186" t="s">
        <v>1586</v>
      </c>
      <c r="D1318" s="60">
        <f>E1318+F1318+G1318+H1318+I1318+J1318+L1318+N1318+P1318+R1318+T1318+U1318+V1318+W1318+X1318+Y1318+Z1318+AA1318+AB1318+AC1318+AD1318+AE1318</f>
        <v>63628.62</v>
      </c>
      <c r="E1318" s="60">
        <v>0</v>
      </c>
      <c r="F1318" s="60">
        <v>0</v>
      </c>
      <c r="G1318" s="60">
        <v>0</v>
      </c>
      <c r="H1318" s="60">
        <v>0</v>
      </c>
      <c r="I1318" s="60">
        <v>0</v>
      </c>
      <c r="J1318" s="60">
        <v>0</v>
      </c>
      <c r="K1318" s="168">
        <v>0</v>
      </c>
      <c r="L1318" s="60">
        <v>0</v>
      </c>
      <c r="M1318" s="60">
        <v>0</v>
      </c>
      <c r="N1318" s="60">
        <v>0</v>
      </c>
      <c r="O1318" s="60">
        <v>0</v>
      </c>
      <c r="P1318" s="60">
        <v>0</v>
      </c>
      <c r="Q1318" s="60">
        <v>0</v>
      </c>
      <c r="R1318" s="60">
        <v>0</v>
      </c>
      <c r="S1318" s="60">
        <v>0</v>
      </c>
      <c r="T1318" s="60">
        <v>0</v>
      </c>
      <c r="U1318" s="60">
        <v>0</v>
      </c>
      <c r="V1318" s="60">
        <v>0</v>
      </c>
      <c r="W1318" s="60">
        <v>0</v>
      </c>
      <c r="X1318" s="60">
        <v>0</v>
      </c>
      <c r="Y1318" s="60">
        <v>0</v>
      </c>
      <c r="Z1318" s="60">
        <v>0</v>
      </c>
      <c r="AA1318" s="60">
        <v>0</v>
      </c>
      <c r="AB1318" s="60">
        <v>0</v>
      </c>
      <c r="AC1318" s="60">
        <f t="shared" si="237"/>
        <v>0</v>
      </c>
      <c r="AD1318" s="60">
        <v>63628.62</v>
      </c>
      <c r="AE1318" s="60">
        <v>0</v>
      </c>
      <c r="AF1318" s="170">
        <v>2022</v>
      </c>
      <c r="AG1318" s="170" t="s">
        <v>257</v>
      </c>
      <c r="AH1318" s="63" t="s">
        <v>257</v>
      </c>
    </row>
    <row r="1319" spans="1:94" ht="61.5" x14ac:dyDescent="0.85">
      <c r="B1319" s="160" t="s">
        <v>773</v>
      </c>
      <c r="C1319" s="176"/>
      <c r="D1319" s="177">
        <f>SUM(D1320:D1323)</f>
        <v>24901406.080000002</v>
      </c>
      <c r="E1319" s="60">
        <f t="shared" ref="E1319:AE1319" si="238">SUM(E1320:E1323)</f>
        <v>0</v>
      </c>
      <c r="F1319" s="60">
        <f t="shared" si="238"/>
        <v>0</v>
      </c>
      <c r="G1319" s="60">
        <f t="shared" si="238"/>
        <v>0</v>
      </c>
      <c r="H1319" s="60">
        <f t="shared" si="238"/>
        <v>0</v>
      </c>
      <c r="I1319" s="60">
        <f t="shared" si="238"/>
        <v>0</v>
      </c>
      <c r="J1319" s="60">
        <f t="shared" si="238"/>
        <v>0</v>
      </c>
      <c r="K1319" s="168">
        <f t="shared" si="238"/>
        <v>0</v>
      </c>
      <c r="L1319" s="60">
        <f t="shared" si="238"/>
        <v>0</v>
      </c>
      <c r="M1319" s="60">
        <f t="shared" si="238"/>
        <v>3546.2</v>
      </c>
      <c r="N1319" s="60">
        <f t="shared" si="238"/>
        <v>24430861.399999999</v>
      </c>
      <c r="O1319" s="60">
        <f t="shared" si="238"/>
        <v>0</v>
      </c>
      <c r="P1319" s="60">
        <f t="shared" si="238"/>
        <v>0</v>
      </c>
      <c r="Q1319" s="60">
        <f t="shared" si="238"/>
        <v>0</v>
      </c>
      <c r="R1319" s="60">
        <f t="shared" si="238"/>
        <v>0</v>
      </c>
      <c r="S1319" s="60">
        <f t="shared" si="238"/>
        <v>0</v>
      </c>
      <c r="T1319" s="60">
        <f t="shared" si="238"/>
        <v>0</v>
      </c>
      <c r="U1319" s="60">
        <f t="shared" si="238"/>
        <v>0</v>
      </c>
      <c r="V1319" s="60">
        <f t="shared" si="238"/>
        <v>0</v>
      </c>
      <c r="W1319" s="60">
        <f t="shared" si="238"/>
        <v>0</v>
      </c>
      <c r="X1319" s="60">
        <f t="shared" si="238"/>
        <v>0</v>
      </c>
      <c r="Y1319" s="60">
        <f t="shared" si="238"/>
        <v>0</v>
      </c>
      <c r="Z1319" s="60">
        <f t="shared" si="238"/>
        <v>0</v>
      </c>
      <c r="AA1319" s="60">
        <f t="shared" si="238"/>
        <v>0</v>
      </c>
      <c r="AB1319" s="60">
        <f t="shared" si="238"/>
        <v>0</v>
      </c>
      <c r="AC1319" s="60">
        <f t="shared" si="238"/>
        <v>275856.58</v>
      </c>
      <c r="AD1319" s="60">
        <f t="shared" si="238"/>
        <v>194688.09999999998</v>
      </c>
      <c r="AE1319" s="60">
        <f t="shared" si="238"/>
        <v>0</v>
      </c>
      <c r="AF1319" s="54" t="s">
        <v>701</v>
      </c>
      <c r="AG1319" s="54" t="s">
        <v>701</v>
      </c>
      <c r="AH1319" s="55" t="s">
        <v>701</v>
      </c>
    </row>
    <row r="1320" spans="1:94" ht="61.5" x14ac:dyDescent="0.85">
      <c r="A1320" s="7">
        <v>1</v>
      </c>
      <c r="B1320" s="59">
        <f>SUBTOTAL(103,$A$1032:A1320)</f>
        <v>266</v>
      </c>
      <c r="C1320" s="186" t="s">
        <v>646</v>
      </c>
      <c r="D1320" s="60">
        <f>E1320+F1320+G1320+H1320+I1320+J1320+L1320+N1320+P1320+R1320+T1320+U1320+V1320+W1320+X1320+Y1320+Z1320+AA1320+AB1320+AC1320+AD1320+AE1320</f>
        <v>1353409.2100000002</v>
      </c>
      <c r="E1320" s="60">
        <v>0</v>
      </c>
      <c r="F1320" s="60">
        <v>0</v>
      </c>
      <c r="G1320" s="60">
        <v>0</v>
      </c>
      <c r="H1320" s="60">
        <v>0</v>
      </c>
      <c r="I1320" s="60">
        <v>0</v>
      </c>
      <c r="J1320" s="60">
        <v>0</v>
      </c>
      <c r="K1320" s="168">
        <v>0</v>
      </c>
      <c r="L1320" s="60">
        <v>0</v>
      </c>
      <c r="M1320" s="60">
        <v>337.72</v>
      </c>
      <c r="N1320" s="60">
        <v>1229380.8</v>
      </c>
      <c r="O1320" s="60">
        <v>0</v>
      </c>
      <c r="P1320" s="60">
        <v>0</v>
      </c>
      <c r="Q1320" s="60">
        <v>0</v>
      </c>
      <c r="R1320" s="60">
        <v>0</v>
      </c>
      <c r="S1320" s="60">
        <v>0</v>
      </c>
      <c r="T1320" s="60">
        <v>0</v>
      </c>
      <c r="U1320" s="60">
        <v>0</v>
      </c>
      <c r="V1320" s="60">
        <v>0</v>
      </c>
      <c r="W1320" s="60">
        <v>0</v>
      </c>
      <c r="X1320" s="60">
        <v>0</v>
      </c>
      <c r="Y1320" s="60">
        <v>0</v>
      </c>
      <c r="Z1320" s="60">
        <v>0</v>
      </c>
      <c r="AA1320" s="60">
        <v>0</v>
      </c>
      <c r="AB1320" s="60">
        <v>0</v>
      </c>
      <c r="AC1320" s="60">
        <v>13257.85</v>
      </c>
      <c r="AD1320" s="60">
        <v>110770.56</v>
      </c>
      <c r="AE1320" s="60">
        <v>0</v>
      </c>
      <c r="AF1320" s="170">
        <v>2022</v>
      </c>
      <c r="AG1320" s="170">
        <v>2022</v>
      </c>
      <c r="AH1320" s="63">
        <v>2022</v>
      </c>
    </row>
    <row r="1321" spans="1:94" ht="61.5" x14ac:dyDescent="0.85">
      <c r="A1321" s="7">
        <v>1</v>
      </c>
      <c r="B1321" s="59">
        <f>SUBTOTAL(103,$A$1032:A1321)</f>
        <v>267</v>
      </c>
      <c r="C1321" s="186" t="s">
        <v>644</v>
      </c>
      <c r="D1321" s="60">
        <f>E1321+F1321+G1321+H1321+I1321+J1321+L1321+N1321+P1321+R1321+T1321+U1321+V1321+W1321+X1321+Y1321+Z1321+AA1321+AB1321+AC1321+AD1321+AE1321</f>
        <v>2861276.3200000003</v>
      </c>
      <c r="E1321" s="60">
        <v>0</v>
      </c>
      <c r="F1321" s="60">
        <v>0</v>
      </c>
      <c r="G1321" s="60">
        <v>0</v>
      </c>
      <c r="H1321" s="60">
        <v>0</v>
      </c>
      <c r="I1321" s="60">
        <v>0</v>
      </c>
      <c r="J1321" s="60">
        <v>0</v>
      </c>
      <c r="K1321" s="168">
        <v>0</v>
      </c>
      <c r="L1321" s="60">
        <v>0</v>
      </c>
      <c r="M1321" s="60">
        <v>365.24</v>
      </c>
      <c r="N1321" s="60">
        <v>2748246.6</v>
      </c>
      <c r="O1321" s="60">
        <v>0</v>
      </c>
      <c r="P1321" s="60">
        <v>0</v>
      </c>
      <c r="Q1321" s="60">
        <v>0</v>
      </c>
      <c r="R1321" s="60">
        <v>0</v>
      </c>
      <c r="S1321" s="60">
        <v>0</v>
      </c>
      <c r="T1321" s="60">
        <v>0</v>
      </c>
      <c r="U1321" s="60">
        <v>0</v>
      </c>
      <c r="V1321" s="60">
        <v>0</v>
      </c>
      <c r="W1321" s="60">
        <v>0</v>
      </c>
      <c r="X1321" s="60">
        <v>0</v>
      </c>
      <c r="Y1321" s="60">
        <v>0</v>
      </c>
      <c r="Z1321" s="60">
        <v>0</v>
      </c>
      <c r="AA1321" s="60">
        <v>0</v>
      </c>
      <c r="AB1321" s="60">
        <v>0</v>
      </c>
      <c r="AC1321" s="60">
        <f t="shared" ref="AC1321:AC1322" si="239">ROUND(N1321*1.0593%,2)+ROUND(E1321*1.0593%,2)+ROUND(F1321*1.0593%,2)+ROUND(G1321*1.0593%,2)+ROUND(H1321*1.0593%,2)+ROUND(I1321*1.0593%,2)+ROUND(J1321*1.0593%,2)+ROUND(L1321*1.0593%,2)+ROUND(P1321*1.0593%,2)+ROUND(R1321*1.0593%,2)+ROUND(T1321*1.0593%,2)+ROUND(U1321*1.0593%,2)+ROUND(V1321*1.0593%,2)+ROUND(W1321*1.0593%,2)+ROUND(X1321*1.0593%,2)+ROUND(Y1321*1.0593%,2)+ROUND(Z1321*1.0593%,2)+ROUND(AA1321*1.0593%,2)+ROUND(AB1321*1.0593%,2)</f>
        <v>29112.18</v>
      </c>
      <c r="AD1321" s="60">
        <v>83917.54</v>
      </c>
      <c r="AE1321" s="60">
        <v>0</v>
      </c>
      <c r="AF1321" s="170">
        <v>2022</v>
      </c>
      <c r="AG1321" s="170">
        <v>2022</v>
      </c>
      <c r="AH1321" s="63">
        <v>2022</v>
      </c>
    </row>
    <row r="1322" spans="1:94" ht="61.5" x14ac:dyDescent="0.85">
      <c r="A1322" s="7">
        <v>1</v>
      </c>
      <c r="B1322" s="59">
        <f>SUBTOTAL(103,$A$1032:A1322)</f>
        <v>268</v>
      </c>
      <c r="C1322" s="160" t="s">
        <v>645</v>
      </c>
      <c r="D1322" s="60">
        <f>E1322+F1322+G1322+H1322+I1322+J1322+L1322+N1322+P1322+R1322+T1322+U1322+V1322+W1322+X1322+Y1322+Z1322+AA1322+AB1322+AC1322+AD1322+AE1322</f>
        <v>13954382.34</v>
      </c>
      <c r="E1322" s="60">
        <v>0</v>
      </c>
      <c r="F1322" s="60">
        <v>0</v>
      </c>
      <c r="G1322" s="60">
        <v>0</v>
      </c>
      <c r="H1322" s="60">
        <v>0</v>
      </c>
      <c r="I1322" s="60">
        <v>0</v>
      </c>
      <c r="J1322" s="60">
        <v>0</v>
      </c>
      <c r="K1322" s="168">
        <v>0</v>
      </c>
      <c r="L1322" s="60">
        <v>0</v>
      </c>
      <c r="M1322" s="60">
        <v>1965</v>
      </c>
      <c r="N1322" s="60">
        <v>13808113</v>
      </c>
      <c r="O1322" s="60">
        <v>0</v>
      </c>
      <c r="P1322" s="60">
        <v>0</v>
      </c>
      <c r="Q1322" s="60">
        <v>0</v>
      </c>
      <c r="R1322" s="60">
        <v>0</v>
      </c>
      <c r="S1322" s="60">
        <v>0</v>
      </c>
      <c r="T1322" s="60">
        <v>0</v>
      </c>
      <c r="U1322" s="60">
        <v>0</v>
      </c>
      <c r="V1322" s="60">
        <v>0</v>
      </c>
      <c r="W1322" s="60">
        <v>0</v>
      </c>
      <c r="X1322" s="60">
        <v>0</v>
      </c>
      <c r="Y1322" s="60">
        <v>0</v>
      </c>
      <c r="Z1322" s="60">
        <v>0</v>
      </c>
      <c r="AA1322" s="60">
        <v>0</v>
      </c>
      <c r="AB1322" s="60">
        <v>0</v>
      </c>
      <c r="AC1322" s="60">
        <f t="shared" si="239"/>
        <v>146269.34</v>
      </c>
      <c r="AD1322" s="60">
        <v>0</v>
      </c>
      <c r="AE1322" s="60">
        <v>0</v>
      </c>
      <c r="AF1322" s="170" t="s">
        <v>257</v>
      </c>
      <c r="AG1322" s="170">
        <v>2022</v>
      </c>
      <c r="AH1322" s="63">
        <v>2022</v>
      </c>
    </row>
    <row r="1323" spans="1:94" ht="61.5" x14ac:dyDescent="0.85">
      <c r="A1323" s="7">
        <v>1</v>
      </c>
      <c r="B1323" s="59">
        <f>SUBTOTAL(103,$A$1032:A1323)</f>
        <v>269</v>
      </c>
      <c r="C1323" s="160" t="s">
        <v>2299</v>
      </c>
      <c r="D1323" s="60">
        <f>E1323+F1323+G1323+H1323+I1323+J1323+L1323+N1323+P1323+R1323+T1323+U1323+V1323+W1323+X1323+Y1323+Z1323+AA1323+AB1323+AC1323+AD1323+AE1323</f>
        <v>6732338.21</v>
      </c>
      <c r="E1323" s="60">
        <v>0</v>
      </c>
      <c r="F1323" s="60">
        <v>0</v>
      </c>
      <c r="G1323" s="60">
        <v>0</v>
      </c>
      <c r="H1323" s="60">
        <v>0</v>
      </c>
      <c r="I1323" s="60">
        <v>0</v>
      </c>
      <c r="J1323" s="60">
        <v>0</v>
      </c>
      <c r="K1323" s="168">
        <v>0</v>
      </c>
      <c r="L1323" s="60">
        <v>0</v>
      </c>
      <c r="M1323" s="60">
        <v>878.24</v>
      </c>
      <c r="N1323" s="188">
        <v>6645121</v>
      </c>
      <c r="O1323" s="60">
        <v>0</v>
      </c>
      <c r="P1323" s="60">
        <v>0</v>
      </c>
      <c r="Q1323" s="60">
        <v>0</v>
      </c>
      <c r="R1323" s="60">
        <v>0</v>
      </c>
      <c r="S1323" s="60">
        <v>0</v>
      </c>
      <c r="T1323" s="60">
        <v>0</v>
      </c>
      <c r="U1323" s="60">
        <v>0</v>
      </c>
      <c r="V1323" s="60">
        <v>0</v>
      </c>
      <c r="W1323" s="60">
        <v>0</v>
      </c>
      <c r="X1323" s="60">
        <v>0</v>
      </c>
      <c r="Y1323" s="60">
        <v>0</v>
      </c>
      <c r="Z1323" s="60">
        <v>0</v>
      </c>
      <c r="AA1323" s="60">
        <v>0</v>
      </c>
      <c r="AB1323" s="60">
        <v>0</v>
      </c>
      <c r="AC1323" s="60">
        <v>87217.21</v>
      </c>
      <c r="AD1323" s="60">
        <v>0</v>
      </c>
      <c r="AE1323" s="60">
        <v>0</v>
      </c>
      <c r="AF1323" s="170" t="s">
        <v>257</v>
      </c>
      <c r="AG1323" s="170">
        <v>2022</v>
      </c>
      <c r="AH1323" s="63">
        <v>2022</v>
      </c>
      <c r="CO1323" s="7" t="s">
        <v>1558</v>
      </c>
      <c r="CP1323" s="7">
        <v>52429.26</v>
      </c>
    </row>
    <row r="1324" spans="1:94" ht="61.5" x14ac:dyDescent="0.85">
      <c r="B1324" s="160" t="s">
        <v>815</v>
      </c>
      <c r="C1324" s="160"/>
      <c r="D1324" s="177">
        <f>SUM(D1325:D1326)</f>
        <v>10485759.58</v>
      </c>
      <c r="E1324" s="60">
        <f t="shared" ref="E1324:AE1324" si="240">SUM(E1325:E1326)</f>
        <v>0</v>
      </c>
      <c r="F1324" s="60">
        <f t="shared" si="240"/>
        <v>0</v>
      </c>
      <c r="G1324" s="60">
        <f t="shared" si="240"/>
        <v>0</v>
      </c>
      <c r="H1324" s="60">
        <f t="shared" si="240"/>
        <v>0</v>
      </c>
      <c r="I1324" s="60">
        <f t="shared" si="240"/>
        <v>0</v>
      </c>
      <c r="J1324" s="60">
        <f t="shared" si="240"/>
        <v>0</v>
      </c>
      <c r="K1324" s="168">
        <f t="shared" si="240"/>
        <v>0</v>
      </c>
      <c r="L1324" s="60">
        <f t="shared" si="240"/>
        <v>0</v>
      </c>
      <c r="M1324" s="60">
        <f t="shared" si="240"/>
        <v>1439.34</v>
      </c>
      <c r="N1324" s="60">
        <f t="shared" si="240"/>
        <v>10258787.289999999</v>
      </c>
      <c r="O1324" s="60">
        <f t="shared" si="240"/>
        <v>0</v>
      </c>
      <c r="P1324" s="60">
        <f t="shared" si="240"/>
        <v>0</v>
      </c>
      <c r="Q1324" s="60">
        <f t="shared" si="240"/>
        <v>0</v>
      </c>
      <c r="R1324" s="60">
        <f t="shared" si="240"/>
        <v>0</v>
      </c>
      <c r="S1324" s="60">
        <f t="shared" si="240"/>
        <v>0</v>
      </c>
      <c r="T1324" s="60">
        <f t="shared" si="240"/>
        <v>0</v>
      </c>
      <c r="U1324" s="60">
        <f t="shared" si="240"/>
        <v>0</v>
      </c>
      <c r="V1324" s="60">
        <f t="shared" si="240"/>
        <v>0</v>
      </c>
      <c r="W1324" s="60">
        <f t="shared" si="240"/>
        <v>0</v>
      </c>
      <c r="X1324" s="60">
        <f t="shared" si="240"/>
        <v>0</v>
      </c>
      <c r="Y1324" s="60">
        <f t="shared" si="240"/>
        <v>0</v>
      </c>
      <c r="Z1324" s="60">
        <f t="shared" si="240"/>
        <v>0</v>
      </c>
      <c r="AA1324" s="60">
        <f t="shared" si="240"/>
        <v>0</v>
      </c>
      <c r="AB1324" s="60">
        <f t="shared" si="240"/>
        <v>0</v>
      </c>
      <c r="AC1324" s="60">
        <f t="shared" si="240"/>
        <v>108671.32999999999</v>
      </c>
      <c r="AD1324" s="60">
        <f t="shared" si="240"/>
        <v>118300.96</v>
      </c>
      <c r="AE1324" s="60">
        <f t="shared" si="240"/>
        <v>0</v>
      </c>
      <c r="AF1324" s="54" t="s">
        <v>701</v>
      </c>
      <c r="AG1324" s="54" t="s">
        <v>701</v>
      </c>
      <c r="AH1324" s="55" t="s">
        <v>701</v>
      </c>
    </row>
    <row r="1325" spans="1:94" ht="61.5" x14ac:dyDescent="0.85">
      <c r="A1325" s="7">
        <v>1</v>
      </c>
      <c r="B1325" s="59">
        <f>SUBTOTAL(103,$A$1032:A1325)</f>
        <v>270</v>
      </c>
      <c r="C1325" s="186" t="s">
        <v>652</v>
      </c>
      <c r="D1325" s="60">
        <f>E1325+F1325+G1325+H1325+I1325+J1325+L1325+N1325+P1325+R1325+T1325+U1325+V1325+W1325+X1325+Y1325+Z1325+AA1325+AB1325+AC1325+AD1325+AE1325</f>
        <v>6834104.0599999996</v>
      </c>
      <c r="E1325" s="60">
        <v>0</v>
      </c>
      <c r="F1325" s="60">
        <v>0</v>
      </c>
      <c r="G1325" s="60">
        <v>0</v>
      </c>
      <c r="H1325" s="60">
        <v>0</v>
      </c>
      <c r="I1325" s="60">
        <v>0</v>
      </c>
      <c r="J1325" s="60">
        <v>0</v>
      </c>
      <c r="K1325" s="168">
        <v>0</v>
      </c>
      <c r="L1325" s="60">
        <v>0</v>
      </c>
      <c r="M1325" s="60">
        <v>944.5</v>
      </c>
      <c r="N1325" s="60">
        <v>6645408.29</v>
      </c>
      <c r="O1325" s="60">
        <v>0</v>
      </c>
      <c r="P1325" s="60">
        <v>0</v>
      </c>
      <c r="Q1325" s="60">
        <v>0</v>
      </c>
      <c r="R1325" s="60">
        <v>0</v>
      </c>
      <c r="S1325" s="60">
        <v>0</v>
      </c>
      <c r="T1325" s="60">
        <v>0</v>
      </c>
      <c r="U1325" s="60">
        <v>0</v>
      </c>
      <c r="V1325" s="60">
        <v>0</v>
      </c>
      <c r="W1325" s="60">
        <v>0</v>
      </c>
      <c r="X1325" s="60">
        <v>0</v>
      </c>
      <c r="Y1325" s="60">
        <v>0</v>
      </c>
      <c r="Z1325" s="60">
        <v>0</v>
      </c>
      <c r="AA1325" s="60">
        <v>0</v>
      </c>
      <c r="AB1325" s="60">
        <v>0</v>
      </c>
      <c r="AC1325" s="60">
        <f t="shared" ref="AC1325" si="241">ROUND(N1325*1.0593%,2)+ROUND(E1325*1.0593%,2)+ROUND(F1325*1.0593%,2)+ROUND(G1325*1.0593%,2)+ROUND(H1325*1.0593%,2)+ROUND(I1325*1.0593%,2)+ROUND(J1325*1.0593%,2)+ROUND(L1325*1.0593%,2)+ROUND(P1325*1.0593%,2)+ROUND(R1325*1.0593%,2)+ROUND(T1325*1.0593%,2)+ROUND(U1325*1.0593%,2)+ROUND(V1325*1.0593%,2)+ROUND(W1325*1.0593%,2)+ROUND(X1325*1.0593%,2)+ROUND(Y1325*1.0593%,2)+ROUND(Z1325*1.0593%,2)+ROUND(AA1325*1.0593%,2)+ROUND(AB1325*1.0593%,2)</f>
        <v>70394.81</v>
      </c>
      <c r="AD1325" s="60">
        <v>118300.96</v>
      </c>
      <c r="AE1325" s="60">
        <v>0</v>
      </c>
      <c r="AF1325" s="170">
        <v>2022</v>
      </c>
      <c r="AG1325" s="170">
        <v>2022</v>
      </c>
      <c r="AH1325" s="63">
        <v>2022</v>
      </c>
    </row>
    <row r="1326" spans="1:94" ht="61.5" x14ac:dyDescent="0.85">
      <c r="A1326" s="7">
        <v>1</v>
      </c>
      <c r="B1326" s="59">
        <f>SUBTOTAL(103,$A$1032:A1326)</f>
        <v>271</v>
      </c>
      <c r="C1326" s="160" t="s">
        <v>651</v>
      </c>
      <c r="D1326" s="60">
        <f>E1326+F1326+G1326+H1326+I1326+J1326+L1326+N1326+P1326+R1326+T1326+U1326+V1326+W1326+X1326+Y1326+Z1326+AA1326+AB1326+AC1326+AD1326+AE1326</f>
        <v>3651655.52</v>
      </c>
      <c r="E1326" s="60">
        <v>0</v>
      </c>
      <c r="F1326" s="60">
        <v>0</v>
      </c>
      <c r="G1326" s="60">
        <v>0</v>
      </c>
      <c r="H1326" s="60">
        <v>0</v>
      </c>
      <c r="I1326" s="60">
        <v>0</v>
      </c>
      <c r="J1326" s="60">
        <v>0</v>
      </c>
      <c r="K1326" s="168">
        <v>0</v>
      </c>
      <c r="L1326" s="60">
        <v>0</v>
      </c>
      <c r="M1326" s="60">
        <v>494.84</v>
      </c>
      <c r="N1326" s="60">
        <v>3613379</v>
      </c>
      <c r="O1326" s="60">
        <v>0</v>
      </c>
      <c r="P1326" s="60">
        <v>0</v>
      </c>
      <c r="Q1326" s="60">
        <v>0</v>
      </c>
      <c r="R1326" s="60">
        <v>0</v>
      </c>
      <c r="S1326" s="60">
        <v>0</v>
      </c>
      <c r="T1326" s="60">
        <v>0</v>
      </c>
      <c r="U1326" s="60">
        <v>0</v>
      </c>
      <c r="V1326" s="60">
        <v>0</v>
      </c>
      <c r="W1326" s="60">
        <v>0</v>
      </c>
      <c r="X1326" s="60">
        <v>0</v>
      </c>
      <c r="Y1326" s="60">
        <v>0</v>
      </c>
      <c r="Z1326" s="60">
        <v>0</v>
      </c>
      <c r="AA1326" s="60">
        <v>0</v>
      </c>
      <c r="AB1326" s="60">
        <v>0</v>
      </c>
      <c r="AC1326" s="60">
        <v>38276.519999999997</v>
      </c>
      <c r="AD1326" s="60">
        <v>0</v>
      </c>
      <c r="AE1326" s="60">
        <v>0</v>
      </c>
      <c r="AF1326" s="170" t="s">
        <v>257</v>
      </c>
      <c r="AG1326" s="170">
        <v>2022</v>
      </c>
      <c r="AH1326" s="63">
        <v>2022</v>
      </c>
    </row>
    <row r="1327" spans="1:94" ht="61.5" x14ac:dyDescent="0.85">
      <c r="B1327" s="160" t="s">
        <v>774</v>
      </c>
      <c r="C1327" s="160"/>
      <c r="D1327" s="177">
        <f>SUM(D1328:D1330)</f>
        <v>7120721.04</v>
      </c>
      <c r="E1327" s="60">
        <f t="shared" ref="E1327:AE1327" si="242">SUM(E1328:E1330)</f>
        <v>652410.19999999995</v>
      </c>
      <c r="F1327" s="60">
        <f t="shared" si="242"/>
        <v>0</v>
      </c>
      <c r="G1327" s="60">
        <f t="shared" si="242"/>
        <v>0</v>
      </c>
      <c r="H1327" s="60">
        <f t="shared" si="242"/>
        <v>0</v>
      </c>
      <c r="I1327" s="60">
        <f t="shared" si="242"/>
        <v>0</v>
      </c>
      <c r="J1327" s="60">
        <f t="shared" si="242"/>
        <v>0</v>
      </c>
      <c r="K1327" s="168">
        <f t="shared" si="242"/>
        <v>0</v>
      </c>
      <c r="L1327" s="60">
        <f t="shared" si="242"/>
        <v>0</v>
      </c>
      <c r="M1327" s="60">
        <f t="shared" si="242"/>
        <v>620</v>
      </c>
      <c r="N1327" s="60">
        <f t="shared" si="242"/>
        <v>4844413</v>
      </c>
      <c r="O1327" s="60">
        <f t="shared" si="242"/>
        <v>0</v>
      </c>
      <c r="P1327" s="60">
        <f t="shared" si="242"/>
        <v>0</v>
      </c>
      <c r="Q1327" s="60">
        <f t="shared" si="242"/>
        <v>1654.6</v>
      </c>
      <c r="R1327" s="60">
        <f t="shared" si="242"/>
        <v>1317251.6000000001</v>
      </c>
      <c r="S1327" s="60">
        <f t="shared" si="242"/>
        <v>0</v>
      </c>
      <c r="T1327" s="60">
        <f t="shared" si="242"/>
        <v>0</v>
      </c>
      <c r="U1327" s="60">
        <f t="shared" si="242"/>
        <v>0</v>
      </c>
      <c r="V1327" s="60">
        <f t="shared" si="242"/>
        <v>0</v>
      </c>
      <c r="W1327" s="60">
        <f t="shared" si="242"/>
        <v>0</v>
      </c>
      <c r="X1327" s="60">
        <f t="shared" si="242"/>
        <v>0</v>
      </c>
      <c r="Y1327" s="60">
        <f t="shared" si="242"/>
        <v>0</v>
      </c>
      <c r="Z1327" s="60">
        <f t="shared" si="242"/>
        <v>0</v>
      </c>
      <c r="AA1327" s="60">
        <f t="shared" si="242"/>
        <v>0</v>
      </c>
      <c r="AB1327" s="60">
        <f t="shared" si="242"/>
        <v>0</v>
      </c>
      <c r="AC1327" s="60">
        <f t="shared" si="242"/>
        <v>77168.680000000008</v>
      </c>
      <c r="AD1327" s="60">
        <f t="shared" si="242"/>
        <v>229477.56</v>
      </c>
      <c r="AE1327" s="60">
        <f t="shared" si="242"/>
        <v>0</v>
      </c>
      <c r="AF1327" s="54" t="s">
        <v>701</v>
      </c>
      <c r="AG1327" s="54" t="s">
        <v>701</v>
      </c>
      <c r="AH1327" s="55" t="s">
        <v>701</v>
      </c>
    </row>
    <row r="1328" spans="1:94" ht="61.5" x14ac:dyDescent="0.85">
      <c r="A1328" s="7">
        <v>1</v>
      </c>
      <c r="B1328" s="59">
        <f>SUBTOTAL(103,$A$1032:A1328)</f>
        <v>272</v>
      </c>
      <c r="C1328" s="160" t="s">
        <v>648</v>
      </c>
      <c r="D1328" s="60">
        <f>E1328+F1328+G1328+H1328+I1328+J1328+L1328+N1328+P1328+R1328+T1328+U1328+V1328+W1328+X1328+Y1328+Z1328+AA1328+AB1328+AC1328+AD1328+AE1328</f>
        <v>4895729.87</v>
      </c>
      <c r="E1328" s="60">
        <v>0</v>
      </c>
      <c r="F1328" s="60">
        <v>0</v>
      </c>
      <c r="G1328" s="60">
        <v>0</v>
      </c>
      <c r="H1328" s="60">
        <v>0</v>
      </c>
      <c r="I1328" s="60">
        <v>0</v>
      </c>
      <c r="J1328" s="60">
        <v>0</v>
      </c>
      <c r="K1328" s="168">
        <v>0</v>
      </c>
      <c r="L1328" s="60">
        <v>0</v>
      </c>
      <c r="M1328" s="60">
        <v>620</v>
      </c>
      <c r="N1328" s="163">
        <v>4844413</v>
      </c>
      <c r="O1328" s="60">
        <v>0</v>
      </c>
      <c r="P1328" s="60">
        <v>0</v>
      </c>
      <c r="Q1328" s="60">
        <v>0</v>
      </c>
      <c r="R1328" s="60">
        <v>0</v>
      </c>
      <c r="S1328" s="60">
        <v>0</v>
      </c>
      <c r="T1328" s="60">
        <v>0</v>
      </c>
      <c r="U1328" s="60">
        <v>0</v>
      </c>
      <c r="V1328" s="60">
        <v>0</v>
      </c>
      <c r="W1328" s="60">
        <v>0</v>
      </c>
      <c r="X1328" s="60">
        <v>0</v>
      </c>
      <c r="Y1328" s="60">
        <v>0</v>
      </c>
      <c r="Z1328" s="60">
        <v>0</v>
      </c>
      <c r="AA1328" s="60">
        <v>0</v>
      </c>
      <c r="AB1328" s="60">
        <v>0</v>
      </c>
      <c r="AC1328" s="60">
        <v>51316.87</v>
      </c>
      <c r="AD1328" s="60">
        <v>0</v>
      </c>
      <c r="AE1328" s="60">
        <v>0</v>
      </c>
      <c r="AF1328" s="170" t="s">
        <v>257</v>
      </c>
      <c r="AG1328" s="170">
        <v>2022</v>
      </c>
      <c r="AH1328" s="63">
        <v>2022</v>
      </c>
    </row>
    <row r="1329" spans="1:34" ht="61.5" x14ac:dyDescent="0.85">
      <c r="A1329" s="7">
        <v>1</v>
      </c>
      <c r="B1329" s="59">
        <f>SUBTOTAL(103,$A$1032:A1329)</f>
        <v>273</v>
      </c>
      <c r="C1329" s="160" t="s">
        <v>1817</v>
      </c>
      <c r="D1329" s="60">
        <f>E1329+F1329+G1329+H1329+I1329+J1329+L1329+N1329+P1329+R1329+T1329+U1329+V1329+W1329+X1329+Y1329+Z1329+AA1329+AB1329+AC1329+AD1329+AE1329</f>
        <v>1449281.26</v>
      </c>
      <c r="E1329" s="60">
        <v>0</v>
      </c>
      <c r="F1329" s="60">
        <v>0</v>
      </c>
      <c r="G1329" s="60">
        <v>0</v>
      </c>
      <c r="H1329" s="60">
        <v>0</v>
      </c>
      <c r="I1329" s="60">
        <v>0</v>
      </c>
      <c r="J1329" s="60">
        <v>0</v>
      </c>
      <c r="K1329" s="168">
        <v>0</v>
      </c>
      <c r="L1329" s="60">
        <v>0</v>
      </c>
      <c r="M1329" s="60">
        <v>0</v>
      </c>
      <c r="N1329" s="60">
        <v>0</v>
      </c>
      <c r="O1329" s="60">
        <v>0</v>
      </c>
      <c r="P1329" s="60">
        <v>0</v>
      </c>
      <c r="Q1329" s="60">
        <v>1654.6</v>
      </c>
      <c r="R1329" s="60">
        <v>1317251.6000000001</v>
      </c>
      <c r="S1329" s="60">
        <v>0</v>
      </c>
      <c r="T1329" s="60">
        <v>0</v>
      </c>
      <c r="U1329" s="60">
        <v>0</v>
      </c>
      <c r="V1329" s="60">
        <v>0</v>
      </c>
      <c r="W1329" s="60">
        <v>0</v>
      </c>
      <c r="X1329" s="60">
        <v>0</v>
      </c>
      <c r="Y1329" s="60">
        <v>0</v>
      </c>
      <c r="Z1329" s="60">
        <v>0</v>
      </c>
      <c r="AA1329" s="60">
        <v>0</v>
      </c>
      <c r="AB1329" s="60">
        <v>0</v>
      </c>
      <c r="AC1329" s="60">
        <v>17288.93</v>
      </c>
      <c r="AD1329" s="60">
        <v>114740.73</v>
      </c>
      <c r="AE1329" s="60">
        <v>0</v>
      </c>
      <c r="AF1329" s="170">
        <v>2022</v>
      </c>
      <c r="AG1329" s="170">
        <v>2022</v>
      </c>
      <c r="AH1329" s="63">
        <v>2022</v>
      </c>
    </row>
    <row r="1330" spans="1:34" ht="61.5" x14ac:dyDescent="0.85">
      <c r="A1330" s="7">
        <v>1</v>
      </c>
      <c r="B1330" s="59">
        <f>SUBTOTAL(103,$A$1032:A1330)</f>
        <v>274</v>
      </c>
      <c r="C1330" s="160" t="s">
        <v>1145</v>
      </c>
      <c r="D1330" s="60">
        <f>E1330+F1330+G1330+H1330+I1330+J1330+L1330+N1330+P1330+R1330+T1330+U1330+V1330+W1330+X1330+Y1330+Z1330+AA1330+AB1330+AC1330+AD1330+AE1330</f>
        <v>775709.90999999992</v>
      </c>
      <c r="E1330" s="60">
        <v>652410.19999999995</v>
      </c>
      <c r="F1330" s="60">
        <v>0</v>
      </c>
      <c r="G1330" s="60">
        <v>0</v>
      </c>
      <c r="H1330" s="60">
        <v>0</v>
      </c>
      <c r="I1330" s="60">
        <v>0</v>
      </c>
      <c r="J1330" s="60">
        <v>0</v>
      </c>
      <c r="K1330" s="168">
        <v>0</v>
      </c>
      <c r="L1330" s="60">
        <v>0</v>
      </c>
      <c r="M1330" s="60">
        <v>0</v>
      </c>
      <c r="N1330" s="60">
        <v>0</v>
      </c>
      <c r="O1330" s="60">
        <v>0</v>
      </c>
      <c r="P1330" s="60">
        <v>0</v>
      </c>
      <c r="Q1330" s="60">
        <v>0</v>
      </c>
      <c r="R1330" s="60">
        <v>0</v>
      </c>
      <c r="S1330" s="60">
        <v>0</v>
      </c>
      <c r="T1330" s="60">
        <v>0</v>
      </c>
      <c r="U1330" s="60">
        <v>0</v>
      </c>
      <c r="V1330" s="60">
        <v>0</v>
      </c>
      <c r="W1330" s="60">
        <v>0</v>
      </c>
      <c r="X1330" s="60">
        <v>0</v>
      </c>
      <c r="Y1330" s="60">
        <v>0</v>
      </c>
      <c r="Z1330" s="60">
        <v>0</v>
      </c>
      <c r="AA1330" s="60">
        <v>0</v>
      </c>
      <c r="AB1330" s="60">
        <v>0</v>
      </c>
      <c r="AC1330" s="60">
        <v>8562.8799999999992</v>
      </c>
      <c r="AD1330" s="60">
        <v>114736.83</v>
      </c>
      <c r="AE1330" s="60">
        <v>0</v>
      </c>
      <c r="AF1330" s="170">
        <v>2022</v>
      </c>
      <c r="AG1330" s="170">
        <v>2022</v>
      </c>
      <c r="AH1330" s="63">
        <v>2022</v>
      </c>
    </row>
    <row r="1331" spans="1:34" ht="61.5" x14ac:dyDescent="0.85">
      <c r="B1331" s="160" t="s">
        <v>775</v>
      </c>
      <c r="C1331" s="160"/>
      <c r="D1331" s="177">
        <f>SUM(D1332:D1333)</f>
        <v>9997953.2300000004</v>
      </c>
      <c r="E1331" s="60">
        <f t="shared" ref="E1331:AE1331" si="243">SUM(E1332:E1333)</f>
        <v>0</v>
      </c>
      <c r="F1331" s="60">
        <f t="shared" si="243"/>
        <v>0</v>
      </c>
      <c r="G1331" s="60">
        <f t="shared" si="243"/>
        <v>0</v>
      </c>
      <c r="H1331" s="60">
        <f t="shared" si="243"/>
        <v>0</v>
      </c>
      <c r="I1331" s="60">
        <f t="shared" si="243"/>
        <v>0</v>
      </c>
      <c r="J1331" s="60">
        <f t="shared" si="243"/>
        <v>0</v>
      </c>
      <c r="K1331" s="168">
        <f t="shared" si="243"/>
        <v>0</v>
      </c>
      <c r="L1331" s="60">
        <f t="shared" si="243"/>
        <v>0</v>
      </c>
      <c r="M1331" s="60">
        <f t="shared" si="243"/>
        <v>575.02</v>
      </c>
      <c r="N1331" s="60">
        <f t="shared" si="243"/>
        <v>4855512</v>
      </c>
      <c r="O1331" s="60">
        <f t="shared" si="243"/>
        <v>0</v>
      </c>
      <c r="P1331" s="60">
        <f t="shared" si="243"/>
        <v>0</v>
      </c>
      <c r="Q1331" s="60">
        <f t="shared" si="243"/>
        <v>730</v>
      </c>
      <c r="R1331" s="60">
        <f t="shared" si="243"/>
        <v>4579874.4000000004</v>
      </c>
      <c r="S1331" s="60">
        <f t="shared" si="243"/>
        <v>17.399999999999999</v>
      </c>
      <c r="T1331" s="60">
        <f t="shared" si="243"/>
        <v>375759.6</v>
      </c>
      <c r="U1331" s="60">
        <f t="shared" si="243"/>
        <v>0</v>
      </c>
      <c r="V1331" s="60">
        <f t="shared" si="243"/>
        <v>0</v>
      </c>
      <c r="W1331" s="60">
        <f t="shared" si="243"/>
        <v>0</v>
      </c>
      <c r="X1331" s="60">
        <f t="shared" si="243"/>
        <v>0</v>
      </c>
      <c r="Y1331" s="60">
        <f t="shared" si="243"/>
        <v>0</v>
      </c>
      <c r="Z1331" s="60">
        <f t="shared" si="243"/>
        <v>0</v>
      </c>
      <c r="AA1331" s="60">
        <f t="shared" si="243"/>
        <v>0</v>
      </c>
      <c r="AB1331" s="60">
        <f t="shared" si="243"/>
        <v>0</v>
      </c>
      <c r="AC1331" s="60">
        <f t="shared" si="243"/>
        <v>115362.1</v>
      </c>
      <c r="AD1331" s="60">
        <f t="shared" si="243"/>
        <v>71445.13</v>
      </c>
      <c r="AE1331" s="60">
        <f t="shared" si="243"/>
        <v>0</v>
      </c>
      <c r="AF1331" s="54" t="s">
        <v>701</v>
      </c>
      <c r="AG1331" s="54" t="s">
        <v>701</v>
      </c>
      <c r="AH1331" s="55" t="s">
        <v>701</v>
      </c>
    </row>
    <row r="1332" spans="1:34" ht="61.5" x14ac:dyDescent="0.85">
      <c r="A1332" s="7">
        <v>1</v>
      </c>
      <c r="B1332" s="59">
        <f>SUBTOTAL(103,$A$1032:A1332)</f>
        <v>275</v>
      </c>
      <c r="C1332" s="186" t="s">
        <v>650</v>
      </c>
      <c r="D1332" s="60">
        <f>E1332+F1332+G1332+H1332+I1332+J1332+L1332+N1332+P1332+R1332+T1332+U1332+V1332+W1332+X1332+Y1332+Z1332+AA1332+AB1332+AC1332+AD1332+AE1332</f>
        <v>4978391.57</v>
      </c>
      <c r="E1332" s="60">
        <v>0</v>
      </c>
      <c r="F1332" s="60">
        <v>0</v>
      </c>
      <c r="G1332" s="60">
        <v>0</v>
      </c>
      <c r="H1332" s="60">
        <v>0</v>
      </c>
      <c r="I1332" s="60">
        <v>0</v>
      </c>
      <c r="J1332" s="60">
        <v>0</v>
      </c>
      <c r="K1332" s="168">
        <v>0</v>
      </c>
      <c r="L1332" s="60">
        <v>0</v>
      </c>
      <c r="M1332" s="60">
        <v>575.02</v>
      </c>
      <c r="N1332" s="60">
        <v>4855512</v>
      </c>
      <c r="O1332" s="60">
        <v>0</v>
      </c>
      <c r="P1332" s="60">
        <v>0</v>
      </c>
      <c r="Q1332" s="60">
        <v>0</v>
      </c>
      <c r="R1332" s="60">
        <v>0</v>
      </c>
      <c r="S1332" s="60">
        <v>0</v>
      </c>
      <c r="T1332" s="60">
        <v>0</v>
      </c>
      <c r="U1332" s="60">
        <v>0</v>
      </c>
      <c r="V1332" s="60">
        <v>0</v>
      </c>
      <c r="W1332" s="60">
        <v>0</v>
      </c>
      <c r="X1332" s="60">
        <v>0</v>
      </c>
      <c r="Y1332" s="60">
        <v>0</v>
      </c>
      <c r="Z1332" s="60">
        <v>0</v>
      </c>
      <c r="AA1332" s="60">
        <v>0</v>
      </c>
      <c r="AB1332" s="60">
        <v>0</v>
      </c>
      <c r="AC1332" s="60">
        <f>ROUND(N1332*1.0593%,2)+ROUND(E1332*1.0593%,2)+ROUND(F1332*1.0593%,2)+ROUND(G1332*1.0593%,2)+ROUND(H1332*1.0593%,2)+ROUND(I1332*1.0593%,2)+ROUND(J1332*1.0593%,2)+ROUND(L1332*1.0593%,2)+ROUND(P1332*1.0593%,2)+ROUND(R1332*1.0593%,2)+ROUND(T1332*1.0593%,2)+ROUND(U1332*1.0593%,2)+ROUND(V1332*1.0593%,2)+ROUND(W1332*1.0593%,2)+ROUND(X1332*1.0593%,2)+ROUND(Y1332*1.0593%,2)+ROUND(Z1332*1.0593%,2)+ROUND(AA1332*1.0593%,2)+ROUND(AB1332*1.0593%,2)</f>
        <v>51434.44</v>
      </c>
      <c r="AD1332" s="60">
        <v>71445.13</v>
      </c>
      <c r="AE1332" s="60">
        <v>0</v>
      </c>
      <c r="AF1332" s="170">
        <v>2022</v>
      </c>
      <c r="AG1332" s="170">
        <v>2022</v>
      </c>
      <c r="AH1332" s="63">
        <v>2022</v>
      </c>
    </row>
    <row r="1333" spans="1:34" ht="61.5" x14ac:dyDescent="0.85">
      <c r="A1333" s="7">
        <v>1</v>
      </c>
      <c r="B1333" s="59">
        <f>SUBTOTAL(103,$A$1032:A1333)</f>
        <v>276</v>
      </c>
      <c r="C1333" s="160" t="s">
        <v>741</v>
      </c>
      <c r="D1333" s="60">
        <f>E1333+F1333+G1333+H1333+I1333+J1333+L1333+N1333+P1333+R1333+T1333+U1333+V1333+W1333+X1333+Y1333+Z1333+AA1333+AB1333+AC1333+AD1333+AE1333</f>
        <v>5019561.66</v>
      </c>
      <c r="E1333" s="60">
        <v>0</v>
      </c>
      <c r="F1333" s="60">
        <v>0</v>
      </c>
      <c r="G1333" s="60">
        <v>0</v>
      </c>
      <c r="H1333" s="60">
        <v>0</v>
      </c>
      <c r="I1333" s="60">
        <v>0</v>
      </c>
      <c r="J1333" s="60">
        <v>0</v>
      </c>
      <c r="K1333" s="168">
        <v>0</v>
      </c>
      <c r="L1333" s="60">
        <v>0</v>
      </c>
      <c r="M1333" s="60">
        <v>0</v>
      </c>
      <c r="N1333" s="60">
        <v>0</v>
      </c>
      <c r="O1333" s="60">
        <v>0</v>
      </c>
      <c r="P1333" s="60">
        <v>0</v>
      </c>
      <c r="Q1333" s="62">
        <v>730</v>
      </c>
      <c r="R1333" s="62">
        <v>4579874.4000000004</v>
      </c>
      <c r="S1333" s="62">
        <v>17.399999999999999</v>
      </c>
      <c r="T1333" s="62">
        <v>375759.6</v>
      </c>
      <c r="U1333" s="60">
        <v>0</v>
      </c>
      <c r="V1333" s="60">
        <v>0</v>
      </c>
      <c r="W1333" s="60">
        <v>0</v>
      </c>
      <c r="X1333" s="60">
        <v>0</v>
      </c>
      <c r="Y1333" s="60">
        <v>0</v>
      </c>
      <c r="Z1333" s="60">
        <v>0</v>
      </c>
      <c r="AA1333" s="60">
        <v>0</v>
      </c>
      <c r="AB1333" s="60">
        <v>0</v>
      </c>
      <c r="AC1333" s="60">
        <v>63927.66</v>
      </c>
      <c r="AD1333" s="60">
        <v>0</v>
      </c>
      <c r="AE1333" s="60">
        <v>0</v>
      </c>
      <c r="AF1333" s="170" t="s">
        <v>257</v>
      </c>
      <c r="AG1333" s="170">
        <v>2022</v>
      </c>
      <c r="AH1333" s="63">
        <v>2022</v>
      </c>
    </row>
    <row r="1334" spans="1:34" ht="61.5" x14ac:dyDescent="0.85">
      <c r="B1334" s="160" t="s">
        <v>1326</v>
      </c>
      <c r="C1334" s="160"/>
      <c r="D1334" s="60">
        <f>D1335</f>
        <v>5407057.6483750008</v>
      </c>
      <c r="E1334" s="60">
        <f t="shared" ref="E1334:AE1334" si="244">E1335</f>
        <v>0</v>
      </c>
      <c r="F1334" s="60">
        <f t="shared" si="244"/>
        <v>0</v>
      </c>
      <c r="G1334" s="60">
        <f t="shared" si="244"/>
        <v>0</v>
      </c>
      <c r="H1334" s="60">
        <f t="shared" si="244"/>
        <v>0</v>
      </c>
      <c r="I1334" s="60">
        <f t="shared" si="244"/>
        <v>0</v>
      </c>
      <c r="J1334" s="60">
        <f t="shared" si="244"/>
        <v>0</v>
      </c>
      <c r="K1334" s="168">
        <f t="shared" si="244"/>
        <v>0</v>
      </c>
      <c r="L1334" s="60">
        <f t="shared" si="244"/>
        <v>0</v>
      </c>
      <c r="M1334" s="60">
        <f t="shared" si="244"/>
        <v>605.12</v>
      </c>
      <c r="N1334" s="60">
        <f t="shared" si="244"/>
        <v>5337009.4000000004</v>
      </c>
      <c r="O1334" s="60">
        <f t="shared" si="244"/>
        <v>0</v>
      </c>
      <c r="P1334" s="60">
        <f t="shared" si="244"/>
        <v>0</v>
      </c>
      <c r="Q1334" s="60">
        <f t="shared" si="244"/>
        <v>0</v>
      </c>
      <c r="R1334" s="60">
        <f t="shared" si="244"/>
        <v>0</v>
      </c>
      <c r="S1334" s="60">
        <f t="shared" si="244"/>
        <v>0</v>
      </c>
      <c r="T1334" s="60">
        <f t="shared" si="244"/>
        <v>0</v>
      </c>
      <c r="U1334" s="60">
        <f t="shared" si="244"/>
        <v>0</v>
      </c>
      <c r="V1334" s="60">
        <f t="shared" si="244"/>
        <v>0</v>
      </c>
      <c r="W1334" s="60">
        <f t="shared" si="244"/>
        <v>0</v>
      </c>
      <c r="X1334" s="60">
        <f t="shared" si="244"/>
        <v>0</v>
      </c>
      <c r="Y1334" s="60">
        <f t="shared" si="244"/>
        <v>0</v>
      </c>
      <c r="Z1334" s="60">
        <f t="shared" si="244"/>
        <v>0</v>
      </c>
      <c r="AA1334" s="60">
        <f t="shared" si="244"/>
        <v>0</v>
      </c>
      <c r="AB1334" s="60">
        <f t="shared" si="244"/>
        <v>0</v>
      </c>
      <c r="AC1334" s="60">
        <f t="shared" si="244"/>
        <v>70048.248374999996</v>
      </c>
      <c r="AD1334" s="60">
        <f t="shared" si="244"/>
        <v>0</v>
      </c>
      <c r="AE1334" s="60">
        <f t="shared" si="244"/>
        <v>0</v>
      </c>
      <c r="AF1334" s="54" t="s">
        <v>701</v>
      </c>
      <c r="AG1334" s="54" t="s">
        <v>701</v>
      </c>
      <c r="AH1334" s="55" t="s">
        <v>701</v>
      </c>
    </row>
    <row r="1335" spans="1:34" ht="61.5" x14ac:dyDescent="0.85">
      <c r="A1335" s="7">
        <v>1</v>
      </c>
      <c r="B1335" s="59">
        <f>SUBTOTAL(103,$A$1032:A1335)</f>
        <v>277</v>
      </c>
      <c r="C1335" s="160" t="s">
        <v>2294</v>
      </c>
      <c r="D1335" s="201">
        <f>E1335+F1335+G1335+H1335+I1335+J1335+L1335+N1335+P1335+R1335+T1335+U1335+V1335+W1335+X1335+Y1335+Z1335+AA1335+AB1335+AC1335+AD1335+AE1335</f>
        <v>5407057.6483750008</v>
      </c>
      <c r="E1335" s="60">
        <v>0</v>
      </c>
      <c r="F1335" s="60">
        <v>0</v>
      </c>
      <c r="G1335" s="60">
        <v>0</v>
      </c>
      <c r="H1335" s="60">
        <v>0</v>
      </c>
      <c r="I1335" s="60">
        <v>0</v>
      </c>
      <c r="J1335" s="60">
        <v>0</v>
      </c>
      <c r="K1335" s="168">
        <v>0</v>
      </c>
      <c r="L1335" s="60">
        <v>0</v>
      </c>
      <c r="M1335" s="60">
        <v>605.12</v>
      </c>
      <c r="N1335" s="60">
        <v>5337009.4000000004</v>
      </c>
      <c r="O1335" s="60">
        <v>0</v>
      </c>
      <c r="P1335" s="60">
        <v>0</v>
      </c>
      <c r="Q1335" s="60">
        <v>0</v>
      </c>
      <c r="R1335" s="60">
        <v>0</v>
      </c>
      <c r="S1335" s="60">
        <v>0</v>
      </c>
      <c r="T1335" s="60">
        <v>0</v>
      </c>
      <c r="U1335" s="60">
        <v>0</v>
      </c>
      <c r="V1335" s="60">
        <v>0</v>
      </c>
      <c r="W1335" s="60">
        <v>0</v>
      </c>
      <c r="X1335" s="60">
        <v>0</v>
      </c>
      <c r="Y1335" s="60">
        <v>0</v>
      </c>
      <c r="Z1335" s="60">
        <v>0</v>
      </c>
      <c r="AA1335" s="60">
        <v>0</v>
      </c>
      <c r="AB1335" s="60">
        <v>0</v>
      </c>
      <c r="AC1335" s="60">
        <v>70048.248374999996</v>
      </c>
      <c r="AD1335" s="60">
        <v>0</v>
      </c>
      <c r="AE1335" s="60">
        <v>0</v>
      </c>
      <c r="AF1335" s="170" t="s">
        <v>257</v>
      </c>
      <c r="AG1335" s="170">
        <v>2022</v>
      </c>
      <c r="AH1335" s="63">
        <v>2022</v>
      </c>
    </row>
    <row r="1336" spans="1:34" ht="61.5" x14ac:dyDescent="0.85">
      <c r="B1336" s="160" t="s">
        <v>832</v>
      </c>
      <c r="C1336" s="160"/>
      <c r="D1336" s="177">
        <f>D1337</f>
        <v>4936038.4099999992</v>
      </c>
      <c r="E1336" s="60">
        <f t="shared" ref="E1336:AE1336" si="245">E1337</f>
        <v>0</v>
      </c>
      <c r="F1336" s="60">
        <f t="shared" si="245"/>
        <v>0</v>
      </c>
      <c r="G1336" s="60">
        <f t="shared" si="245"/>
        <v>0</v>
      </c>
      <c r="H1336" s="60">
        <f t="shared" si="245"/>
        <v>0</v>
      </c>
      <c r="I1336" s="60">
        <f t="shared" si="245"/>
        <v>0</v>
      </c>
      <c r="J1336" s="60">
        <f t="shared" si="245"/>
        <v>0</v>
      </c>
      <c r="K1336" s="168">
        <f t="shared" si="245"/>
        <v>0</v>
      </c>
      <c r="L1336" s="60">
        <f t="shared" si="245"/>
        <v>0</v>
      </c>
      <c r="M1336" s="60">
        <f t="shared" si="245"/>
        <v>543.82000000000005</v>
      </c>
      <c r="N1336" s="60">
        <f t="shared" si="245"/>
        <v>4815709</v>
      </c>
      <c r="O1336" s="60">
        <f t="shared" si="245"/>
        <v>0</v>
      </c>
      <c r="P1336" s="60">
        <f t="shared" si="245"/>
        <v>0</v>
      </c>
      <c r="Q1336" s="60">
        <f t="shared" si="245"/>
        <v>0</v>
      </c>
      <c r="R1336" s="60">
        <f t="shared" si="245"/>
        <v>0</v>
      </c>
      <c r="S1336" s="60">
        <f t="shared" si="245"/>
        <v>0</v>
      </c>
      <c r="T1336" s="60">
        <f t="shared" si="245"/>
        <v>0</v>
      </c>
      <c r="U1336" s="60">
        <f t="shared" si="245"/>
        <v>0</v>
      </c>
      <c r="V1336" s="60">
        <f t="shared" si="245"/>
        <v>0</v>
      </c>
      <c r="W1336" s="60">
        <f t="shared" si="245"/>
        <v>0</v>
      </c>
      <c r="X1336" s="60">
        <f t="shared" si="245"/>
        <v>0</v>
      </c>
      <c r="Y1336" s="60">
        <f t="shared" si="245"/>
        <v>0</v>
      </c>
      <c r="Z1336" s="60">
        <f t="shared" si="245"/>
        <v>0</v>
      </c>
      <c r="AA1336" s="60">
        <f t="shared" si="245"/>
        <v>0</v>
      </c>
      <c r="AB1336" s="60">
        <f t="shared" si="245"/>
        <v>0</v>
      </c>
      <c r="AC1336" s="60">
        <f t="shared" si="245"/>
        <v>51012.81</v>
      </c>
      <c r="AD1336" s="60">
        <f t="shared" si="245"/>
        <v>69316.600000000006</v>
      </c>
      <c r="AE1336" s="60">
        <f t="shared" si="245"/>
        <v>0</v>
      </c>
      <c r="AF1336" s="54" t="s">
        <v>701</v>
      </c>
      <c r="AG1336" s="54" t="s">
        <v>701</v>
      </c>
      <c r="AH1336" s="55" t="s">
        <v>701</v>
      </c>
    </row>
    <row r="1337" spans="1:34" ht="61.5" x14ac:dyDescent="0.85">
      <c r="A1337" s="7">
        <v>1</v>
      </c>
      <c r="B1337" s="59">
        <f>SUBTOTAL(103,$A$1032:A1337)</f>
        <v>278</v>
      </c>
      <c r="C1337" s="186" t="s">
        <v>647</v>
      </c>
      <c r="D1337" s="60">
        <f>E1337+F1337+G1337+H1337+I1337+J1337+L1337+N1337+P1337+R1337+T1337+U1337+V1337+W1337+X1337+Y1337+Z1337+AA1337+AB1337+AC1337+AD1337+AE1337</f>
        <v>4936038.4099999992</v>
      </c>
      <c r="E1337" s="60">
        <v>0</v>
      </c>
      <c r="F1337" s="60">
        <v>0</v>
      </c>
      <c r="G1337" s="60">
        <v>0</v>
      </c>
      <c r="H1337" s="60">
        <v>0</v>
      </c>
      <c r="I1337" s="60">
        <v>0</v>
      </c>
      <c r="J1337" s="60">
        <v>0</v>
      </c>
      <c r="K1337" s="168">
        <v>0</v>
      </c>
      <c r="L1337" s="60">
        <v>0</v>
      </c>
      <c r="M1337" s="60">
        <v>543.82000000000005</v>
      </c>
      <c r="N1337" s="60">
        <v>4815709</v>
      </c>
      <c r="O1337" s="60">
        <v>0</v>
      </c>
      <c r="P1337" s="60">
        <v>0</v>
      </c>
      <c r="Q1337" s="60">
        <v>0</v>
      </c>
      <c r="R1337" s="60">
        <v>0</v>
      </c>
      <c r="S1337" s="60">
        <v>0</v>
      </c>
      <c r="T1337" s="60">
        <v>0</v>
      </c>
      <c r="U1337" s="60">
        <v>0</v>
      </c>
      <c r="V1337" s="60">
        <v>0</v>
      </c>
      <c r="W1337" s="60">
        <v>0</v>
      </c>
      <c r="X1337" s="60">
        <v>0</v>
      </c>
      <c r="Y1337" s="60">
        <v>0</v>
      </c>
      <c r="Z1337" s="60">
        <v>0</v>
      </c>
      <c r="AA1337" s="60">
        <v>0</v>
      </c>
      <c r="AB1337" s="60">
        <v>0</v>
      </c>
      <c r="AC1337" s="60">
        <f>ROUND(N1337*1.0593%,2)+ROUND(E1337*1.0593%,2)+ROUND(F1337*1.0593%,2)+ROUND(G1337*1.0593%,2)+ROUND(H1337*1.0593%,2)+ROUND(I1337*1.0593%,2)+ROUND(J1337*1.0593%,2)+ROUND(L1337*1.0593%,2)+ROUND(P1337*1.0593%,2)+ROUND(R1337*1.0593%,2)+ROUND(T1337*1.0593%,2)+ROUND(U1337*1.0593%,2)+ROUND(V1337*1.0593%,2)+ROUND(W1337*1.0593%,2)+ROUND(X1337*1.0593%,2)+ROUND(Y1337*1.0593%,2)+ROUND(Z1337*1.0593%,2)+ROUND(AA1337*1.0593%,2)+ROUND(AB1337*1.0593%,2)</f>
        <v>51012.81</v>
      </c>
      <c r="AD1337" s="60">
        <v>69316.600000000006</v>
      </c>
      <c r="AE1337" s="60">
        <v>0</v>
      </c>
      <c r="AF1337" s="170">
        <v>2022</v>
      </c>
      <c r="AG1337" s="170">
        <v>2022</v>
      </c>
      <c r="AH1337" s="63">
        <v>2022</v>
      </c>
    </row>
    <row r="1338" spans="1:34" ht="61.5" x14ac:dyDescent="0.85">
      <c r="B1338" s="160" t="s">
        <v>778</v>
      </c>
      <c r="C1338" s="160"/>
      <c r="D1338" s="177">
        <f>D1339+D1340</f>
        <v>4599239.16</v>
      </c>
      <c r="E1338" s="60">
        <f t="shared" ref="E1338:AE1338" si="246">E1339+E1340</f>
        <v>0</v>
      </c>
      <c r="F1338" s="60">
        <f t="shared" si="246"/>
        <v>0</v>
      </c>
      <c r="G1338" s="60">
        <f t="shared" si="246"/>
        <v>0</v>
      </c>
      <c r="H1338" s="60">
        <f t="shared" si="246"/>
        <v>0</v>
      </c>
      <c r="I1338" s="60">
        <f t="shared" si="246"/>
        <v>0</v>
      </c>
      <c r="J1338" s="60">
        <f t="shared" si="246"/>
        <v>0</v>
      </c>
      <c r="K1338" s="168">
        <f t="shared" si="246"/>
        <v>0</v>
      </c>
      <c r="L1338" s="60">
        <f t="shared" si="246"/>
        <v>0</v>
      </c>
      <c r="M1338" s="60">
        <f t="shared" si="246"/>
        <v>533.66999999999996</v>
      </c>
      <c r="N1338" s="60">
        <f t="shared" si="246"/>
        <v>4329065</v>
      </c>
      <c r="O1338" s="60">
        <f t="shared" si="246"/>
        <v>0</v>
      </c>
      <c r="P1338" s="60">
        <f t="shared" si="246"/>
        <v>0</v>
      </c>
      <c r="Q1338" s="60">
        <f t="shared" si="246"/>
        <v>0</v>
      </c>
      <c r="R1338" s="60">
        <f t="shared" si="246"/>
        <v>0</v>
      </c>
      <c r="S1338" s="60">
        <f t="shared" si="246"/>
        <v>0</v>
      </c>
      <c r="T1338" s="60">
        <f t="shared" si="246"/>
        <v>0</v>
      </c>
      <c r="U1338" s="60">
        <f t="shared" si="246"/>
        <v>0</v>
      </c>
      <c r="V1338" s="60">
        <f t="shared" si="246"/>
        <v>0</v>
      </c>
      <c r="W1338" s="60">
        <f t="shared" si="246"/>
        <v>0</v>
      </c>
      <c r="X1338" s="60">
        <f t="shared" si="246"/>
        <v>0</v>
      </c>
      <c r="Y1338" s="60">
        <f t="shared" si="246"/>
        <v>0</v>
      </c>
      <c r="Z1338" s="60">
        <f t="shared" si="246"/>
        <v>0</v>
      </c>
      <c r="AA1338" s="60">
        <f t="shared" si="246"/>
        <v>0</v>
      </c>
      <c r="AB1338" s="60">
        <f t="shared" si="246"/>
        <v>0</v>
      </c>
      <c r="AC1338" s="60">
        <f t="shared" si="246"/>
        <v>92641.99</v>
      </c>
      <c r="AD1338" s="60">
        <f t="shared" si="246"/>
        <v>177532.16999999998</v>
      </c>
      <c r="AE1338" s="60">
        <f t="shared" si="246"/>
        <v>0</v>
      </c>
      <c r="AF1338" s="54" t="s">
        <v>701</v>
      </c>
      <c r="AG1338" s="54" t="s">
        <v>701</v>
      </c>
      <c r="AH1338" s="55" t="s">
        <v>701</v>
      </c>
    </row>
    <row r="1339" spans="1:34" ht="61.5" x14ac:dyDescent="0.85">
      <c r="A1339" s="7">
        <v>1</v>
      </c>
      <c r="B1339" s="59">
        <f>SUBTOTAL(103,$A$1032:A1339)</f>
        <v>279</v>
      </c>
      <c r="C1339" s="186" t="s">
        <v>2699</v>
      </c>
      <c r="D1339" s="60">
        <f>E1339+F1339+G1339+H1339+I1339+J1339+L1339+N1339+P1339+R1339+T1339+U1339+V1339+W1339+X1339+Y1339+Z1339+AA1339+AB1339+AC1339+AD1339+AE1339</f>
        <v>4495619.53</v>
      </c>
      <c r="E1339" s="60">
        <v>0</v>
      </c>
      <c r="F1339" s="60">
        <v>0</v>
      </c>
      <c r="G1339" s="60">
        <v>0</v>
      </c>
      <c r="H1339" s="60">
        <v>0</v>
      </c>
      <c r="I1339" s="60">
        <v>0</v>
      </c>
      <c r="J1339" s="60">
        <v>0</v>
      </c>
      <c r="K1339" s="168">
        <v>0</v>
      </c>
      <c r="L1339" s="60">
        <v>0</v>
      </c>
      <c r="M1339" s="60">
        <v>533.66999999999996</v>
      </c>
      <c r="N1339" s="60">
        <v>4329065</v>
      </c>
      <c r="O1339" s="60">
        <v>0</v>
      </c>
      <c r="P1339" s="60">
        <v>0</v>
      </c>
      <c r="Q1339" s="60">
        <v>0</v>
      </c>
      <c r="R1339" s="60">
        <v>0</v>
      </c>
      <c r="S1339" s="60">
        <v>0</v>
      </c>
      <c r="T1339" s="60">
        <v>0</v>
      </c>
      <c r="U1339" s="60">
        <v>0</v>
      </c>
      <c r="V1339" s="60">
        <v>0</v>
      </c>
      <c r="W1339" s="60">
        <v>0</v>
      </c>
      <c r="X1339" s="60">
        <v>0</v>
      </c>
      <c r="Y1339" s="60">
        <v>0</v>
      </c>
      <c r="Z1339" s="60">
        <v>0</v>
      </c>
      <c r="AA1339" s="60">
        <v>0</v>
      </c>
      <c r="AB1339" s="60">
        <v>0</v>
      </c>
      <c r="AC1339" s="60">
        <f t="shared" ref="AC1339" si="247">ROUND(N1339*2.14%,2)+ROUND(E1339*2.14%,2)+ROUND(F1339*2.14%,2)+ROUND(G1339*2.14%,2)+ROUND(H1339*2.14%,2)+ROUND(I1339*2.14%,2)+ROUND(J1339*2.14%,2)+ROUND(L1339*2.14%,2)+ROUND(P1339*2.14%,2)+ROUND(R1339*2.14%,2)+ROUND(T1339*2.14%,2)+ROUND(U1339*2.14%,2)+ROUND(V1339*2.14%,2)+ROUND(W1339*2.14%,2)+ROUND(X1339*2.14%,2)+ROUND(Y1339*2.14%,2)+ROUND(Z1339*2.14%,2)+ROUND(AA1339*2.14%,2)+ROUND(AB1339*2.14%,2)</f>
        <v>92641.99</v>
      </c>
      <c r="AD1339" s="60">
        <v>73912.539999999994</v>
      </c>
      <c r="AE1339" s="60">
        <v>0</v>
      </c>
      <c r="AF1339" s="170">
        <v>2022</v>
      </c>
      <c r="AG1339" s="170">
        <v>2022</v>
      </c>
      <c r="AH1339" s="63">
        <v>2022</v>
      </c>
    </row>
    <row r="1340" spans="1:34" ht="61.5" x14ac:dyDescent="0.85">
      <c r="A1340" s="7">
        <v>1</v>
      </c>
      <c r="B1340" s="59">
        <f>SUBTOTAL(103,$A$1032:A1340)</f>
        <v>280</v>
      </c>
      <c r="C1340" s="186" t="s">
        <v>3297</v>
      </c>
      <c r="D1340" s="60">
        <f>E1340+F1340+G1340+H1340+I1340+J1340+L1340+N1340+P1340+R1340+T1340+U1340+V1340+W1340+X1340+Y1340+Z1340+AA1340+AB1340+AC1340+AD1340+AE1340</f>
        <v>103619.63</v>
      </c>
      <c r="E1340" s="60">
        <v>0</v>
      </c>
      <c r="F1340" s="60">
        <v>0</v>
      </c>
      <c r="G1340" s="60">
        <v>0</v>
      </c>
      <c r="H1340" s="60">
        <v>0</v>
      </c>
      <c r="I1340" s="60">
        <v>0</v>
      </c>
      <c r="J1340" s="60">
        <v>0</v>
      </c>
      <c r="K1340" s="168">
        <v>0</v>
      </c>
      <c r="L1340" s="60">
        <v>0</v>
      </c>
      <c r="M1340" s="60">
        <v>0</v>
      </c>
      <c r="N1340" s="60">
        <v>0</v>
      </c>
      <c r="O1340" s="60">
        <v>0</v>
      </c>
      <c r="P1340" s="60">
        <v>0</v>
      </c>
      <c r="Q1340" s="60">
        <v>0</v>
      </c>
      <c r="R1340" s="60">
        <v>0</v>
      </c>
      <c r="S1340" s="60">
        <v>0</v>
      </c>
      <c r="T1340" s="60">
        <v>0</v>
      </c>
      <c r="U1340" s="60">
        <v>0</v>
      </c>
      <c r="V1340" s="60">
        <v>0</v>
      </c>
      <c r="W1340" s="60">
        <v>0</v>
      </c>
      <c r="X1340" s="60">
        <v>0</v>
      </c>
      <c r="Y1340" s="60">
        <v>0</v>
      </c>
      <c r="Z1340" s="60">
        <v>0</v>
      </c>
      <c r="AA1340" s="60">
        <v>0</v>
      </c>
      <c r="AB1340" s="60">
        <v>0</v>
      </c>
      <c r="AC1340" s="60">
        <v>0</v>
      </c>
      <c r="AD1340" s="60">
        <v>103619.63</v>
      </c>
      <c r="AE1340" s="60">
        <v>0</v>
      </c>
      <c r="AF1340" s="170">
        <v>2022</v>
      </c>
      <c r="AG1340" s="170" t="s">
        <v>257</v>
      </c>
      <c r="AH1340" s="63" t="s">
        <v>257</v>
      </c>
    </row>
    <row r="1341" spans="1:34" ht="61.5" x14ac:dyDescent="0.85">
      <c r="B1341" s="160" t="s">
        <v>776</v>
      </c>
      <c r="C1341" s="176"/>
      <c r="D1341" s="177">
        <f>SUM(D1342:D1356)</f>
        <v>92252648.390000015</v>
      </c>
      <c r="E1341" s="60">
        <f t="shared" ref="E1341:AE1341" si="248">SUM(E1342:E1356)</f>
        <v>0</v>
      </c>
      <c r="F1341" s="60">
        <f t="shared" si="248"/>
        <v>0</v>
      </c>
      <c r="G1341" s="60">
        <f t="shared" si="248"/>
        <v>0</v>
      </c>
      <c r="H1341" s="60">
        <f t="shared" si="248"/>
        <v>0</v>
      </c>
      <c r="I1341" s="60">
        <f t="shared" si="248"/>
        <v>0</v>
      </c>
      <c r="J1341" s="60">
        <f t="shared" si="248"/>
        <v>0</v>
      </c>
      <c r="K1341" s="168">
        <f t="shared" si="248"/>
        <v>0</v>
      </c>
      <c r="L1341" s="60">
        <f t="shared" si="248"/>
        <v>0</v>
      </c>
      <c r="M1341" s="60">
        <f t="shared" si="248"/>
        <v>6568.8100000000013</v>
      </c>
      <c r="N1341" s="60">
        <f t="shared" si="248"/>
        <v>50881713.619999997</v>
      </c>
      <c r="O1341" s="60">
        <f t="shared" si="248"/>
        <v>0</v>
      </c>
      <c r="P1341" s="60">
        <f t="shared" si="248"/>
        <v>0</v>
      </c>
      <c r="Q1341" s="60">
        <f t="shared" si="248"/>
        <v>3409</v>
      </c>
      <c r="R1341" s="60">
        <f t="shared" si="248"/>
        <v>28151898.600000001</v>
      </c>
      <c r="S1341" s="60">
        <f t="shared" si="248"/>
        <v>0</v>
      </c>
      <c r="T1341" s="60">
        <f t="shared" si="248"/>
        <v>0</v>
      </c>
      <c r="U1341" s="60">
        <f t="shared" si="248"/>
        <v>10469535</v>
      </c>
      <c r="V1341" s="60">
        <f t="shared" si="248"/>
        <v>0</v>
      </c>
      <c r="W1341" s="60">
        <f t="shared" si="248"/>
        <v>0</v>
      </c>
      <c r="X1341" s="60">
        <f t="shared" si="248"/>
        <v>0</v>
      </c>
      <c r="Y1341" s="60">
        <f t="shared" si="248"/>
        <v>0</v>
      </c>
      <c r="Z1341" s="60">
        <f t="shared" si="248"/>
        <v>0</v>
      </c>
      <c r="AA1341" s="60">
        <f t="shared" si="248"/>
        <v>0</v>
      </c>
      <c r="AB1341" s="60">
        <f t="shared" si="248"/>
        <v>0</v>
      </c>
      <c r="AC1341" s="60">
        <f t="shared" si="248"/>
        <v>977306.37</v>
      </c>
      <c r="AD1341" s="60">
        <f t="shared" si="248"/>
        <v>1772194.8</v>
      </c>
      <c r="AE1341" s="60">
        <f t="shared" si="248"/>
        <v>0</v>
      </c>
      <c r="AF1341" s="202" t="s">
        <v>701</v>
      </c>
      <c r="AG1341" s="202" t="s">
        <v>701</v>
      </c>
      <c r="AH1341" s="207" t="s">
        <v>701</v>
      </c>
    </row>
    <row r="1342" spans="1:34" ht="61.5" x14ac:dyDescent="0.85">
      <c r="A1342" s="7">
        <v>1</v>
      </c>
      <c r="B1342" s="59">
        <f>SUBTOTAL(103,$A$1032:A1342)</f>
        <v>281</v>
      </c>
      <c r="C1342" s="186" t="s">
        <v>130</v>
      </c>
      <c r="D1342" s="60">
        <f t="shared" ref="D1342:D1358" si="249">E1342+F1342+G1342+H1342+I1342+J1342+L1342+N1342+P1342+R1342+T1342+U1342+V1342+W1342+X1342+Y1342+Z1342+AA1342+AB1342+AC1342+AD1342+AE1342</f>
        <v>11850968.07</v>
      </c>
      <c r="E1342" s="60">
        <v>0</v>
      </c>
      <c r="F1342" s="60">
        <v>0</v>
      </c>
      <c r="G1342" s="60">
        <v>0</v>
      </c>
      <c r="H1342" s="60">
        <v>0</v>
      </c>
      <c r="I1342" s="60">
        <v>0</v>
      </c>
      <c r="J1342" s="60">
        <v>0</v>
      </c>
      <c r="K1342" s="168">
        <v>0</v>
      </c>
      <c r="L1342" s="60">
        <v>0</v>
      </c>
      <c r="M1342" s="60">
        <v>1189.7</v>
      </c>
      <c r="N1342" s="60">
        <v>11412348</v>
      </c>
      <c r="O1342" s="60">
        <v>0</v>
      </c>
      <c r="P1342" s="60">
        <v>0</v>
      </c>
      <c r="Q1342" s="60">
        <v>0</v>
      </c>
      <c r="R1342" s="60">
        <v>0</v>
      </c>
      <c r="S1342" s="60">
        <v>0</v>
      </c>
      <c r="T1342" s="60">
        <v>0</v>
      </c>
      <c r="U1342" s="60">
        <v>0</v>
      </c>
      <c r="V1342" s="60">
        <v>0</v>
      </c>
      <c r="W1342" s="60">
        <v>0</v>
      </c>
      <c r="X1342" s="60">
        <v>0</v>
      </c>
      <c r="Y1342" s="60">
        <v>0</v>
      </c>
      <c r="Z1342" s="60">
        <v>0</v>
      </c>
      <c r="AA1342" s="60">
        <v>0</v>
      </c>
      <c r="AB1342" s="60">
        <v>0</v>
      </c>
      <c r="AC1342" s="60">
        <v>236897.52</v>
      </c>
      <c r="AD1342" s="60">
        <v>201722.55</v>
      </c>
      <c r="AE1342" s="60">
        <v>0</v>
      </c>
      <c r="AF1342" s="170">
        <v>2022</v>
      </c>
      <c r="AG1342" s="170">
        <v>2022</v>
      </c>
      <c r="AH1342" s="63">
        <v>2022</v>
      </c>
    </row>
    <row r="1343" spans="1:34" ht="61.5" x14ac:dyDescent="0.85">
      <c r="A1343" s="7">
        <v>1</v>
      </c>
      <c r="B1343" s="59">
        <f>SUBTOTAL(103,$A$1032:A1343)</f>
        <v>282</v>
      </c>
      <c r="C1343" s="186" t="s">
        <v>3477</v>
      </c>
      <c r="D1343" s="60">
        <f t="shared" si="249"/>
        <v>7024948.8600000003</v>
      </c>
      <c r="E1343" s="60">
        <v>0</v>
      </c>
      <c r="F1343" s="60">
        <v>0</v>
      </c>
      <c r="G1343" s="60">
        <v>0</v>
      </c>
      <c r="H1343" s="60">
        <v>0</v>
      </c>
      <c r="I1343" s="60">
        <v>0</v>
      </c>
      <c r="J1343" s="60">
        <v>0</v>
      </c>
      <c r="K1343" s="168">
        <v>0</v>
      </c>
      <c r="L1343" s="60">
        <v>0</v>
      </c>
      <c r="M1343" s="60">
        <v>0</v>
      </c>
      <c r="N1343" s="60">
        <v>0</v>
      </c>
      <c r="O1343" s="60">
        <v>0</v>
      </c>
      <c r="P1343" s="60">
        <v>0</v>
      </c>
      <c r="Q1343" s="60">
        <v>0</v>
      </c>
      <c r="R1343" s="60">
        <v>0</v>
      </c>
      <c r="S1343" s="60">
        <v>0</v>
      </c>
      <c r="T1343" s="60">
        <v>0</v>
      </c>
      <c r="U1343" s="60">
        <v>6786885</v>
      </c>
      <c r="V1343" s="60">
        <v>0</v>
      </c>
      <c r="W1343" s="60">
        <v>0</v>
      </c>
      <c r="X1343" s="60">
        <v>0</v>
      </c>
      <c r="Y1343" s="60">
        <v>0</v>
      </c>
      <c r="Z1343" s="60">
        <v>0</v>
      </c>
      <c r="AA1343" s="60">
        <v>0</v>
      </c>
      <c r="AB1343" s="60">
        <v>0</v>
      </c>
      <c r="AC1343" s="60">
        <v>140882.16</v>
      </c>
      <c r="AD1343" s="60">
        <v>97181.7</v>
      </c>
      <c r="AE1343" s="60">
        <v>0</v>
      </c>
      <c r="AF1343" s="170">
        <v>2022</v>
      </c>
      <c r="AG1343" s="170">
        <v>2022</v>
      </c>
      <c r="AH1343" s="63">
        <v>2022</v>
      </c>
    </row>
    <row r="1344" spans="1:34" ht="61.5" x14ac:dyDescent="0.85">
      <c r="A1344" s="7">
        <v>1</v>
      </c>
      <c r="B1344" s="59">
        <f>SUBTOTAL(103,$A$1032:A1344)</f>
        <v>283</v>
      </c>
      <c r="C1344" s="186" t="s">
        <v>132</v>
      </c>
      <c r="D1344" s="60">
        <f t="shared" si="249"/>
        <v>6841799.6499999994</v>
      </c>
      <c r="E1344" s="60">
        <v>0</v>
      </c>
      <c r="F1344" s="60">
        <v>0</v>
      </c>
      <c r="G1344" s="60">
        <v>0</v>
      </c>
      <c r="H1344" s="60">
        <v>0</v>
      </c>
      <c r="I1344" s="60">
        <v>0</v>
      </c>
      <c r="J1344" s="60">
        <v>0</v>
      </c>
      <c r="K1344" s="168">
        <v>0</v>
      </c>
      <c r="L1344" s="60">
        <v>0</v>
      </c>
      <c r="M1344" s="60">
        <v>821.73</v>
      </c>
      <c r="N1344" s="60">
        <v>6611251</v>
      </c>
      <c r="O1344" s="60">
        <v>0</v>
      </c>
      <c r="P1344" s="60">
        <v>0</v>
      </c>
      <c r="Q1344" s="60">
        <v>0</v>
      </c>
      <c r="R1344" s="60">
        <v>0</v>
      </c>
      <c r="S1344" s="60">
        <v>0</v>
      </c>
      <c r="T1344" s="60">
        <v>0</v>
      </c>
      <c r="U1344" s="60">
        <v>0</v>
      </c>
      <c r="V1344" s="60">
        <v>0</v>
      </c>
      <c r="W1344" s="60">
        <v>0</v>
      </c>
      <c r="X1344" s="60">
        <v>0</v>
      </c>
      <c r="Y1344" s="60">
        <v>0</v>
      </c>
      <c r="Z1344" s="60">
        <v>0</v>
      </c>
      <c r="AA1344" s="60">
        <v>0</v>
      </c>
      <c r="AB1344" s="60">
        <v>0</v>
      </c>
      <c r="AC1344" s="60">
        <v>137236.35</v>
      </c>
      <c r="AD1344" s="60">
        <v>93312.3</v>
      </c>
      <c r="AE1344" s="60">
        <v>0</v>
      </c>
      <c r="AF1344" s="170">
        <v>2022</v>
      </c>
      <c r="AG1344" s="170">
        <v>2022</v>
      </c>
      <c r="AH1344" s="63">
        <v>2022</v>
      </c>
    </row>
    <row r="1345" spans="1:34" ht="61.5" x14ac:dyDescent="0.85">
      <c r="A1345" s="7">
        <v>1</v>
      </c>
      <c r="B1345" s="59">
        <f>SUBTOTAL(103,$A$1032:A1345)</f>
        <v>284</v>
      </c>
      <c r="C1345" s="186" t="s">
        <v>128</v>
      </c>
      <c r="D1345" s="60">
        <f t="shared" si="249"/>
        <v>8164150.0600000005</v>
      </c>
      <c r="E1345" s="60">
        <v>0</v>
      </c>
      <c r="F1345" s="60">
        <v>0</v>
      </c>
      <c r="G1345" s="60">
        <v>0</v>
      </c>
      <c r="H1345" s="60">
        <v>0</v>
      </c>
      <c r="I1345" s="60">
        <v>0</v>
      </c>
      <c r="J1345" s="60">
        <v>0</v>
      </c>
      <c r="K1345" s="168">
        <v>0</v>
      </c>
      <c r="L1345" s="60">
        <v>0</v>
      </c>
      <c r="M1345" s="60">
        <v>950.21</v>
      </c>
      <c r="N1345" s="60">
        <v>7775574</v>
      </c>
      <c r="O1345" s="60">
        <v>0</v>
      </c>
      <c r="P1345" s="60">
        <v>0</v>
      </c>
      <c r="Q1345" s="60">
        <v>0</v>
      </c>
      <c r="R1345" s="60">
        <v>0</v>
      </c>
      <c r="S1345" s="60">
        <v>0</v>
      </c>
      <c r="T1345" s="60">
        <v>0</v>
      </c>
      <c r="U1345" s="60">
        <v>0</v>
      </c>
      <c r="V1345" s="60">
        <v>0</v>
      </c>
      <c r="W1345" s="60">
        <v>0</v>
      </c>
      <c r="X1345" s="60">
        <v>0</v>
      </c>
      <c r="Y1345" s="60">
        <v>0</v>
      </c>
      <c r="Z1345" s="60">
        <v>0</v>
      </c>
      <c r="AA1345" s="60">
        <v>0</v>
      </c>
      <c r="AB1345" s="60">
        <v>0</v>
      </c>
      <c r="AC1345" s="60">
        <v>161405.37</v>
      </c>
      <c r="AD1345" s="60">
        <v>227170.69</v>
      </c>
      <c r="AE1345" s="60">
        <v>0</v>
      </c>
      <c r="AF1345" s="170">
        <v>2022</v>
      </c>
      <c r="AG1345" s="170">
        <v>2022</v>
      </c>
      <c r="AH1345" s="63">
        <v>2022</v>
      </c>
    </row>
    <row r="1346" spans="1:34" ht="61.5" x14ac:dyDescent="0.85">
      <c r="A1346" s="7">
        <v>1</v>
      </c>
      <c r="B1346" s="59">
        <f>SUBTOTAL(103,$A$1032:A1346)</f>
        <v>285</v>
      </c>
      <c r="C1346" s="186" t="s">
        <v>1498</v>
      </c>
      <c r="D1346" s="60">
        <f t="shared" si="249"/>
        <v>3831063.5300000003</v>
      </c>
      <c r="E1346" s="60">
        <v>0</v>
      </c>
      <c r="F1346" s="60">
        <v>0</v>
      </c>
      <c r="G1346" s="60">
        <v>0</v>
      </c>
      <c r="H1346" s="60">
        <v>0</v>
      </c>
      <c r="I1346" s="60">
        <v>0</v>
      </c>
      <c r="J1346" s="60">
        <v>0</v>
      </c>
      <c r="K1346" s="168">
        <v>0</v>
      </c>
      <c r="L1346" s="60">
        <v>0</v>
      </c>
      <c r="M1346" s="60">
        <v>0</v>
      </c>
      <c r="N1346" s="60">
        <v>0</v>
      </c>
      <c r="O1346" s="60">
        <v>0</v>
      </c>
      <c r="P1346" s="60">
        <v>0</v>
      </c>
      <c r="Q1346" s="60">
        <v>0</v>
      </c>
      <c r="R1346" s="60">
        <v>0</v>
      </c>
      <c r="S1346" s="60">
        <v>0</v>
      </c>
      <c r="T1346" s="60">
        <v>0</v>
      </c>
      <c r="U1346" s="60">
        <v>3682650</v>
      </c>
      <c r="V1346" s="60">
        <v>0</v>
      </c>
      <c r="W1346" s="60">
        <v>0</v>
      </c>
      <c r="X1346" s="60">
        <v>0</v>
      </c>
      <c r="Y1346" s="60">
        <v>0</v>
      </c>
      <c r="Z1346" s="60">
        <v>0</v>
      </c>
      <c r="AA1346" s="60">
        <v>0</v>
      </c>
      <c r="AB1346" s="60">
        <v>0</v>
      </c>
      <c r="AC1346" s="60">
        <v>76444.45</v>
      </c>
      <c r="AD1346" s="60">
        <v>71969.08</v>
      </c>
      <c r="AE1346" s="60">
        <v>0</v>
      </c>
      <c r="AF1346" s="170">
        <v>2022</v>
      </c>
      <c r="AG1346" s="170">
        <v>2022</v>
      </c>
      <c r="AH1346" s="63">
        <v>2022</v>
      </c>
    </row>
    <row r="1347" spans="1:34" ht="61.5" x14ac:dyDescent="0.85">
      <c r="A1347" s="7">
        <v>1</v>
      </c>
      <c r="B1347" s="59">
        <f>SUBTOTAL(103,$A$1032:A1347)</f>
        <v>286</v>
      </c>
      <c r="C1347" s="160" t="s">
        <v>120</v>
      </c>
      <c r="D1347" s="60">
        <f t="shared" si="249"/>
        <v>4292647.13</v>
      </c>
      <c r="E1347" s="60">
        <v>0</v>
      </c>
      <c r="F1347" s="60">
        <v>0</v>
      </c>
      <c r="G1347" s="60">
        <v>0</v>
      </c>
      <c r="H1347" s="60">
        <v>0</v>
      </c>
      <c r="I1347" s="60">
        <v>0</v>
      </c>
      <c r="J1347" s="60">
        <v>0</v>
      </c>
      <c r="K1347" s="168">
        <v>0</v>
      </c>
      <c r="L1347" s="60">
        <v>0</v>
      </c>
      <c r="M1347" s="60">
        <v>649.9</v>
      </c>
      <c r="N1347" s="60">
        <v>4248358</v>
      </c>
      <c r="O1347" s="60">
        <v>0</v>
      </c>
      <c r="P1347" s="60">
        <v>0</v>
      </c>
      <c r="Q1347" s="60">
        <v>0</v>
      </c>
      <c r="R1347" s="60">
        <v>0</v>
      </c>
      <c r="S1347" s="60">
        <v>0</v>
      </c>
      <c r="T1347" s="60">
        <v>0</v>
      </c>
      <c r="U1347" s="60">
        <v>0</v>
      </c>
      <c r="V1347" s="60">
        <v>0</v>
      </c>
      <c r="W1347" s="60">
        <v>0</v>
      </c>
      <c r="X1347" s="60">
        <v>0</v>
      </c>
      <c r="Y1347" s="60">
        <v>0</v>
      </c>
      <c r="Z1347" s="60">
        <v>0</v>
      </c>
      <c r="AA1347" s="60">
        <v>0</v>
      </c>
      <c r="AB1347" s="60">
        <v>0</v>
      </c>
      <c r="AC1347" s="60">
        <v>44289.13</v>
      </c>
      <c r="AD1347" s="60">
        <v>0</v>
      </c>
      <c r="AE1347" s="60">
        <v>0</v>
      </c>
      <c r="AF1347" s="170" t="s">
        <v>257</v>
      </c>
      <c r="AG1347" s="170">
        <v>2022</v>
      </c>
      <c r="AH1347" s="63">
        <v>2022</v>
      </c>
    </row>
    <row r="1348" spans="1:34" ht="61.5" x14ac:dyDescent="0.85">
      <c r="A1348" s="7">
        <v>1</v>
      </c>
      <c r="B1348" s="59">
        <f>SUBTOTAL(103,$A$1032:A1348)</f>
        <v>287</v>
      </c>
      <c r="C1348" s="160" t="s">
        <v>121</v>
      </c>
      <c r="D1348" s="60">
        <f t="shared" si="249"/>
        <v>5751653.6699999999</v>
      </c>
      <c r="E1348" s="60">
        <v>0</v>
      </c>
      <c r="F1348" s="60">
        <v>0</v>
      </c>
      <c r="G1348" s="60">
        <v>0</v>
      </c>
      <c r="H1348" s="60">
        <v>0</v>
      </c>
      <c r="I1348" s="60">
        <v>0</v>
      </c>
      <c r="J1348" s="60">
        <v>0</v>
      </c>
      <c r="K1348" s="168">
        <v>0</v>
      </c>
      <c r="L1348" s="60">
        <v>0</v>
      </c>
      <c r="M1348" s="60">
        <v>774.5</v>
      </c>
      <c r="N1348" s="60">
        <v>5634688.7999999998</v>
      </c>
      <c r="O1348" s="60">
        <v>0</v>
      </c>
      <c r="P1348" s="60">
        <v>0</v>
      </c>
      <c r="Q1348" s="60">
        <v>0</v>
      </c>
      <c r="R1348" s="60">
        <v>0</v>
      </c>
      <c r="S1348" s="60">
        <v>0</v>
      </c>
      <c r="T1348" s="60">
        <v>0</v>
      </c>
      <c r="U1348" s="60">
        <v>0</v>
      </c>
      <c r="V1348" s="60">
        <v>0</v>
      </c>
      <c r="W1348" s="60">
        <v>0</v>
      </c>
      <c r="X1348" s="60">
        <v>0</v>
      </c>
      <c r="Y1348" s="60">
        <v>0</v>
      </c>
      <c r="Z1348" s="60">
        <v>0</v>
      </c>
      <c r="AA1348" s="60">
        <v>0</v>
      </c>
      <c r="AB1348" s="60">
        <v>0</v>
      </c>
      <c r="AC1348" s="60">
        <v>116964.87</v>
      </c>
      <c r="AD1348" s="60">
        <v>0</v>
      </c>
      <c r="AE1348" s="60">
        <v>0</v>
      </c>
      <c r="AF1348" s="170" t="s">
        <v>257</v>
      </c>
      <c r="AG1348" s="170">
        <v>2022</v>
      </c>
      <c r="AH1348" s="63">
        <v>2022</v>
      </c>
    </row>
    <row r="1349" spans="1:34" ht="61.5" x14ac:dyDescent="0.85">
      <c r="A1349" s="7">
        <v>1</v>
      </c>
      <c r="B1349" s="59">
        <f>SUBTOTAL(103,$A$1032:A1349)</f>
        <v>288</v>
      </c>
      <c r="C1349" s="160" t="s">
        <v>122</v>
      </c>
      <c r="D1349" s="60">
        <f t="shared" si="249"/>
        <v>6124243.5199999996</v>
      </c>
      <c r="E1349" s="60">
        <v>0</v>
      </c>
      <c r="F1349" s="60">
        <v>0</v>
      </c>
      <c r="G1349" s="60">
        <v>0</v>
      </c>
      <c r="H1349" s="60">
        <v>0</v>
      </c>
      <c r="I1349" s="60">
        <v>0</v>
      </c>
      <c r="J1349" s="60">
        <v>0</v>
      </c>
      <c r="K1349" s="168">
        <v>0</v>
      </c>
      <c r="L1349" s="60">
        <v>0</v>
      </c>
      <c r="M1349" s="60">
        <v>896.6</v>
      </c>
      <c r="N1349" s="60">
        <v>6061057</v>
      </c>
      <c r="O1349" s="60">
        <v>0</v>
      </c>
      <c r="P1349" s="60">
        <v>0</v>
      </c>
      <c r="Q1349" s="60">
        <v>0</v>
      </c>
      <c r="R1349" s="60">
        <v>0</v>
      </c>
      <c r="S1349" s="60">
        <v>0</v>
      </c>
      <c r="T1349" s="60">
        <v>0</v>
      </c>
      <c r="U1349" s="60">
        <v>0</v>
      </c>
      <c r="V1349" s="60">
        <v>0</v>
      </c>
      <c r="W1349" s="60">
        <v>0</v>
      </c>
      <c r="X1349" s="60">
        <v>0</v>
      </c>
      <c r="Y1349" s="60">
        <v>0</v>
      </c>
      <c r="Z1349" s="60">
        <v>0</v>
      </c>
      <c r="AA1349" s="60">
        <v>0</v>
      </c>
      <c r="AB1349" s="60">
        <v>0</v>
      </c>
      <c r="AC1349" s="60">
        <v>63186.52</v>
      </c>
      <c r="AD1349" s="60">
        <v>0</v>
      </c>
      <c r="AE1349" s="60">
        <v>0</v>
      </c>
      <c r="AF1349" s="170" t="s">
        <v>257</v>
      </c>
      <c r="AG1349" s="170">
        <v>2022</v>
      </c>
      <c r="AH1349" s="63">
        <v>2022</v>
      </c>
    </row>
    <row r="1350" spans="1:34" ht="61.5" x14ac:dyDescent="0.85">
      <c r="A1350" s="7">
        <v>1</v>
      </c>
      <c r="B1350" s="59">
        <f>SUBTOTAL(103,$A$1032:A1350)</f>
        <v>289</v>
      </c>
      <c r="C1350" s="160" t="s">
        <v>129</v>
      </c>
      <c r="D1350" s="60">
        <f t="shared" si="249"/>
        <v>127918.52999999998</v>
      </c>
      <c r="E1350" s="60">
        <v>0</v>
      </c>
      <c r="F1350" s="60">
        <v>0</v>
      </c>
      <c r="G1350" s="60">
        <v>0</v>
      </c>
      <c r="H1350" s="60">
        <v>0</v>
      </c>
      <c r="I1350" s="60">
        <v>0</v>
      </c>
      <c r="J1350" s="60">
        <v>0</v>
      </c>
      <c r="K1350" s="168">
        <v>0</v>
      </c>
      <c r="L1350" s="60">
        <v>0</v>
      </c>
      <c r="M1350" s="60">
        <v>0</v>
      </c>
      <c r="N1350" s="60">
        <v>0</v>
      </c>
      <c r="O1350" s="60">
        <v>0</v>
      </c>
      <c r="P1350" s="60">
        <v>0</v>
      </c>
      <c r="Q1350" s="60">
        <v>0</v>
      </c>
      <c r="R1350" s="60">
        <v>0</v>
      </c>
      <c r="S1350" s="60">
        <v>0</v>
      </c>
      <c r="T1350" s="60">
        <v>0</v>
      </c>
      <c r="U1350" s="60">
        <v>0</v>
      </c>
      <c r="V1350" s="60">
        <v>0</v>
      </c>
      <c r="W1350" s="60">
        <v>0</v>
      </c>
      <c r="X1350" s="60">
        <v>0</v>
      </c>
      <c r="Y1350" s="60">
        <v>0</v>
      </c>
      <c r="Z1350" s="60">
        <v>0</v>
      </c>
      <c r="AA1350" s="60">
        <v>0</v>
      </c>
      <c r="AB1350" s="60">
        <v>0</v>
      </c>
      <c r="AC1350" s="60">
        <v>0</v>
      </c>
      <c r="AD1350" s="60">
        <f>144941.58-17023.05</f>
        <v>127918.52999999998</v>
      </c>
      <c r="AE1350" s="60">
        <v>0</v>
      </c>
      <c r="AF1350" s="170">
        <v>2022</v>
      </c>
      <c r="AG1350" s="170" t="s">
        <v>257</v>
      </c>
      <c r="AH1350" s="63" t="s">
        <v>257</v>
      </c>
    </row>
    <row r="1351" spans="1:34" ht="61.5" x14ac:dyDescent="0.85">
      <c r="A1351" s="7">
        <v>1</v>
      </c>
      <c r="B1351" s="59">
        <f>SUBTOTAL(103,$A$1032:A1351)</f>
        <v>290</v>
      </c>
      <c r="C1351" s="160" t="s">
        <v>2697</v>
      </c>
      <c r="D1351" s="60">
        <f t="shared" si="249"/>
        <v>3597747.39</v>
      </c>
      <c r="E1351" s="60">
        <v>0</v>
      </c>
      <c r="F1351" s="60">
        <v>0</v>
      </c>
      <c r="G1351" s="60">
        <v>0</v>
      </c>
      <c r="H1351" s="60">
        <v>0</v>
      </c>
      <c r="I1351" s="60">
        <v>0</v>
      </c>
      <c r="J1351" s="60">
        <v>0</v>
      </c>
      <c r="K1351" s="168">
        <v>0</v>
      </c>
      <c r="L1351" s="60">
        <v>0</v>
      </c>
      <c r="M1351" s="199">
        <v>649.59</v>
      </c>
      <c r="N1351" s="201">
        <v>3530799.99</v>
      </c>
      <c r="O1351" s="60">
        <v>0</v>
      </c>
      <c r="P1351" s="60">
        <v>0</v>
      </c>
      <c r="Q1351" s="60">
        <v>0</v>
      </c>
      <c r="R1351" s="60">
        <v>0</v>
      </c>
      <c r="S1351" s="60">
        <v>0</v>
      </c>
      <c r="T1351" s="60">
        <v>0</v>
      </c>
      <c r="U1351" s="60">
        <v>0</v>
      </c>
      <c r="V1351" s="60">
        <v>0</v>
      </c>
      <c r="W1351" s="60">
        <v>0</v>
      </c>
      <c r="X1351" s="60">
        <v>0</v>
      </c>
      <c r="Y1351" s="60">
        <v>0</v>
      </c>
      <c r="Z1351" s="60">
        <v>0</v>
      </c>
      <c r="AA1351" s="60">
        <v>0</v>
      </c>
      <c r="AB1351" s="60">
        <v>0</v>
      </c>
      <c r="AC1351" s="60">
        <v>0</v>
      </c>
      <c r="AD1351" s="60">
        <v>66947.399999999994</v>
      </c>
      <c r="AE1351" s="60">
        <v>0</v>
      </c>
      <c r="AF1351" s="170">
        <v>2022</v>
      </c>
      <c r="AG1351" s="170">
        <v>2022</v>
      </c>
      <c r="AH1351" s="170" t="s">
        <v>257</v>
      </c>
    </row>
    <row r="1352" spans="1:34" ht="61.5" x14ac:dyDescent="0.85">
      <c r="A1352" s="7">
        <v>1</v>
      </c>
      <c r="B1352" s="59">
        <f>SUBTOTAL(103,$A$1032:A1352)</f>
        <v>291</v>
      </c>
      <c r="C1352" s="186" t="s">
        <v>3294</v>
      </c>
      <c r="D1352" s="60">
        <f t="shared" si="249"/>
        <v>19936501.620000001</v>
      </c>
      <c r="E1352" s="60">
        <v>0</v>
      </c>
      <c r="F1352" s="60">
        <v>0</v>
      </c>
      <c r="G1352" s="60">
        <v>0</v>
      </c>
      <c r="H1352" s="60">
        <v>0</v>
      </c>
      <c r="I1352" s="60">
        <v>0</v>
      </c>
      <c r="J1352" s="60">
        <v>0</v>
      </c>
      <c r="K1352" s="168">
        <v>0</v>
      </c>
      <c r="L1352" s="60">
        <v>0</v>
      </c>
      <c r="M1352" s="199">
        <v>636.58000000000004</v>
      </c>
      <c r="N1352" s="201">
        <v>5607636.8300000001</v>
      </c>
      <c r="O1352" s="62">
        <v>0</v>
      </c>
      <c r="P1352" s="62">
        <v>0</v>
      </c>
      <c r="Q1352" s="201">
        <v>1700</v>
      </c>
      <c r="R1352" s="201">
        <v>14040894.09</v>
      </c>
      <c r="S1352" s="60">
        <v>0</v>
      </c>
      <c r="T1352" s="60">
        <v>0</v>
      </c>
      <c r="U1352" s="60">
        <v>0</v>
      </c>
      <c r="V1352" s="60">
        <v>0</v>
      </c>
      <c r="W1352" s="60">
        <v>0</v>
      </c>
      <c r="X1352" s="60">
        <v>0</v>
      </c>
      <c r="Y1352" s="60">
        <v>0</v>
      </c>
      <c r="Z1352" s="60">
        <v>0</v>
      </c>
      <c r="AA1352" s="60">
        <v>0</v>
      </c>
      <c r="AB1352" s="60">
        <v>0</v>
      </c>
      <c r="AC1352" s="60">
        <v>0</v>
      </c>
      <c r="AD1352" s="60">
        <v>287970.7</v>
      </c>
      <c r="AE1352" s="60">
        <v>0</v>
      </c>
      <c r="AF1352" s="170">
        <v>2022</v>
      </c>
      <c r="AG1352" s="170">
        <v>2022</v>
      </c>
      <c r="AH1352" s="63" t="s">
        <v>257</v>
      </c>
    </row>
    <row r="1353" spans="1:34" ht="61.5" x14ac:dyDescent="0.85">
      <c r="A1353" s="7">
        <v>1</v>
      </c>
      <c r="B1353" s="59">
        <f>SUBTOTAL(103,$A$1032:A1353)</f>
        <v>292</v>
      </c>
      <c r="C1353" s="186" t="s">
        <v>3295</v>
      </c>
      <c r="D1353" s="60">
        <f t="shared" si="249"/>
        <v>14254289.73</v>
      </c>
      <c r="E1353" s="60">
        <v>0</v>
      </c>
      <c r="F1353" s="60">
        <v>0</v>
      </c>
      <c r="G1353" s="60">
        <v>0</v>
      </c>
      <c r="H1353" s="60">
        <v>0</v>
      </c>
      <c r="I1353" s="60">
        <v>0</v>
      </c>
      <c r="J1353" s="60">
        <v>0</v>
      </c>
      <c r="K1353" s="168">
        <v>0</v>
      </c>
      <c r="L1353" s="60">
        <v>0</v>
      </c>
      <c r="M1353" s="199">
        <v>0</v>
      </c>
      <c r="N1353" s="201">
        <v>0</v>
      </c>
      <c r="O1353" s="62">
        <v>0</v>
      </c>
      <c r="P1353" s="62">
        <v>0</v>
      </c>
      <c r="Q1353" s="201">
        <v>1709</v>
      </c>
      <c r="R1353" s="201">
        <v>14111004.51</v>
      </c>
      <c r="S1353" s="60">
        <v>0</v>
      </c>
      <c r="T1353" s="60">
        <v>0</v>
      </c>
      <c r="U1353" s="60">
        <v>0</v>
      </c>
      <c r="V1353" s="60">
        <v>0</v>
      </c>
      <c r="W1353" s="60">
        <v>0</v>
      </c>
      <c r="X1353" s="60">
        <v>0</v>
      </c>
      <c r="Y1353" s="60">
        <v>0</v>
      </c>
      <c r="Z1353" s="60">
        <v>0</v>
      </c>
      <c r="AA1353" s="60">
        <v>0</v>
      </c>
      <c r="AB1353" s="60">
        <v>0</v>
      </c>
      <c r="AC1353" s="60">
        <v>0</v>
      </c>
      <c r="AD1353" s="60">
        <v>143285.22</v>
      </c>
      <c r="AE1353" s="60">
        <v>0</v>
      </c>
      <c r="AF1353" s="170">
        <v>2022</v>
      </c>
      <c r="AG1353" s="170">
        <v>2022</v>
      </c>
      <c r="AH1353" s="63" t="s">
        <v>257</v>
      </c>
    </row>
    <row r="1354" spans="1:34" ht="61.5" x14ac:dyDescent="0.85">
      <c r="A1354" s="7">
        <v>1</v>
      </c>
      <c r="B1354" s="59">
        <f>SUBTOTAL(103,$A$1032:A1354)</f>
        <v>293</v>
      </c>
      <c r="C1354" s="186" t="s">
        <v>3291</v>
      </c>
      <c r="D1354" s="60">
        <f t="shared" si="249"/>
        <v>152299.62</v>
      </c>
      <c r="E1354" s="60">
        <v>0</v>
      </c>
      <c r="F1354" s="60">
        <v>0</v>
      </c>
      <c r="G1354" s="60">
        <v>0</v>
      </c>
      <c r="H1354" s="60">
        <v>0</v>
      </c>
      <c r="I1354" s="60">
        <v>0</v>
      </c>
      <c r="J1354" s="60">
        <v>0</v>
      </c>
      <c r="K1354" s="168">
        <v>0</v>
      </c>
      <c r="L1354" s="60">
        <v>0</v>
      </c>
      <c r="M1354" s="199">
        <v>0</v>
      </c>
      <c r="N1354" s="201">
        <v>0</v>
      </c>
      <c r="O1354" s="62">
        <v>0</v>
      </c>
      <c r="P1354" s="62">
        <v>0</v>
      </c>
      <c r="Q1354" s="201">
        <v>0</v>
      </c>
      <c r="R1354" s="201">
        <v>0</v>
      </c>
      <c r="S1354" s="60">
        <v>0</v>
      </c>
      <c r="T1354" s="60">
        <v>0</v>
      </c>
      <c r="U1354" s="60">
        <v>0</v>
      </c>
      <c r="V1354" s="60">
        <v>0</v>
      </c>
      <c r="W1354" s="60">
        <v>0</v>
      </c>
      <c r="X1354" s="60">
        <v>0</v>
      </c>
      <c r="Y1354" s="60">
        <v>0</v>
      </c>
      <c r="Z1354" s="60">
        <v>0</v>
      </c>
      <c r="AA1354" s="60">
        <v>0</v>
      </c>
      <c r="AB1354" s="60">
        <v>0</v>
      </c>
      <c r="AC1354" s="60">
        <v>0</v>
      </c>
      <c r="AD1354" s="60">
        <v>152299.62</v>
      </c>
      <c r="AE1354" s="60">
        <v>0</v>
      </c>
      <c r="AF1354" s="170">
        <v>2022</v>
      </c>
      <c r="AG1354" s="170" t="s">
        <v>257</v>
      </c>
      <c r="AH1354" s="63" t="s">
        <v>257</v>
      </c>
    </row>
    <row r="1355" spans="1:34" ht="61.5" x14ac:dyDescent="0.85">
      <c r="A1355" s="7">
        <v>1</v>
      </c>
      <c r="B1355" s="59">
        <f>SUBTOTAL(103,$A$1032:A1355)</f>
        <v>294</v>
      </c>
      <c r="C1355" s="186" t="s">
        <v>3292</v>
      </c>
      <c r="D1355" s="60">
        <f t="shared" si="249"/>
        <v>158674.07</v>
      </c>
      <c r="E1355" s="60">
        <v>0</v>
      </c>
      <c r="F1355" s="60">
        <v>0</v>
      </c>
      <c r="G1355" s="60">
        <v>0</v>
      </c>
      <c r="H1355" s="60">
        <v>0</v>
      </c>
      <c r="I1355" s="60">
        <v>0</v>
      </c>
      <c r="J1355" s="60">
        <v>0</v>
      </c>
      <c r="K1355" s="168">
        <v>0</v>
      </c>
      <c r="L1355" s="60">
        <v>0</v>
      </c>
      <c r="M1355" s="199">
        <v>0</v>
      </c>
      <c r="N1355" s="201">
        <v>0</v>
      </c>
      <c r="O1355" s="62">
        <v>0</v>
      </c>
      <c r="P1355" s="62">
        <v>0</v>
      </c>
      <c r="Q1355" s="201">
        <v>0</v>
      </c>
      <c r="R1355" s="201">
        <v>0</v>
      </c>
      <c r="S1355" s="60">
        <v>0</v>
      </c>
      <c r="T1355" s="60">
        <v>0</v>
      </c>
      <c r="U1355" s="60">
        <v>0</v>
      </c>
      <c r="V1355" s="60">
        <v>0</v>
      </c>
      <c r="W1355" s="60">
        <v>0</v>
      </c>
      <c r="X1355" s="60">
        <v>0</v>
      </c>
      <c r="Y1355" s="60">
        <v>0</v>
      </c>
      <c r="Z1355" s="60">
        <v>0</v>
      </c>
      <c r="AA1355" s="60">
        <v>0</v>
      </c>
      <c r="AB1355" s="60">
        <v>0</v>
      </c>
      <c r="AC1355" s="60">
        <v>0</v>
      </c>
      <c r="AD1355" s="60">
        <v>158674.07</v>
      </c>
      <c r="AE1355" s="60">
        <v>0</v>
      </c>
      <c r="AF1355" s="170">
        <v>2022</v>
      </c>
      <c r="AG1355" s="170" t="s">
        <v>257</v>
      </c>
      <c r="AH1355" s="63" t="s">
        <v>257</v>
      </c>
    </row>
    <row r="1356" spans="1:34" ht="61.5" x14ac:dyDescent="0.85">
      <c r="A1356" s="7">
        <v>1</v>
      </c>
      <c r="B1356" s="59">
        <f>SUBTOTAL(103,$A$1032:A1356)</f>
        <v>295</v>
      </c>
      <c r="C1356" s="186" t="s">
        <v>3293</v>
      </c>
      <c r="D1356" s="60">
        <f t="shared" si="249"/>
        <v>143742.94</v>
      </c>
      <c r="E1356" s="60">
        <v>0</v>
      </c>
      <c r="F1356" s="60">
        <v>0</v>
      </c>
      <c r="G1356" s="60">
        <v>0</v>
      </c>
      <c r="H1356" s="60">
        <v>0</v>
      </c>
      <c r="I1356" s="60">
        <v>0</v>
      </c>
      <c r="J1356" s="60">
        <v>0</v>
      </c>
      <c r="K1356" s="168">
        <v>0</v>
      </c>
      <c r="L1356" s="60">
        <v>0</v>
      </c>
      <c r="M1356" s="199">
        <v>0</v>
      </c>
      <c r="N1356" s="201">
        <v>0</v>
      </c>
      <c r="O1356" s="62">
        <v>0</v>
      </c>
      <c r="P1356" s="62">
        <v>0</v>
      </c>
      <c r="Q1356" s="201">
        <v>0</v>
      </c>
      <c r="R1356" s="201">
        <v>0</v>
      </c>
      <c r="S1356" s="60">
        <v>0</v>
      </c>
      <c r="T1356" s="60">
        <v>0</v>
      </c>
      <c r="U1356" s="60">
        <v>0</v>
      </c>
      <c r="V1356" s="60">
        <v>0</v>
      </c>
      <c r="W1356" s="60">
        <v>0</v>
      </c>
      <c r="X1356" s="60">
        <v>0</v>
      </c>
      <c r="Y1356" s="60">
        <v>0</v>
      </c>
      <c r="Z1356" s="60">
        <v>0</v>
      </c>
      <c r="AA1356" s="60">
        <v>0</v>
      </c>
      <c r="AB1356" s="60">
        <v>0</v>
      </c>
      <c r="AC1356" s="60">
        <v>0</v>
      </c>
      <c r="AD1356" s="60">
        <v>143742.94</v>
      </c>
      <c r="AE1356" s="60">
        <v>0</v>
      </c>
      <c r="AF1356" s="170">
        <v>2022</v>
      </c>
      <c r="AG1356" s="170" t="s">
        <v>257</v>
      </c>
      <c r="AH1356" s="63" t="s">
        <v>257</v>
      </c>
    </row>
    <row r="1357" spans="1:34" ht="61.5" x14ac:dyDescent="0.85">
      <c r="B1357" s="160" t="s">
        <v>836</v>
      </c>
      <c r="C1357" s="176"/>
      <c r="D1357" s="177">
        <f>D1358</f>
        <v>69723.88</v>
      </c>
      <c r="E1357" s="60">
        <f t="shared" ref="E1357:AE1357" si="250">E1358</f>
        <v>0</v>
      </c>
      <c r="F1357" s="60">
        <f t="shared" si="250"/>
        <v>0</v>
      </c>
      <c r="G1357" s="60">
        <f t="shared" si="250"/>
        <v>0</v>
      </c>
      <c r="H1357" s="60">
        <f t="shared" si="250"/>
        <v>0</v>
      </c>
      <c r="I1357" s="60">
        <f t="shared" si="250"/>
        <v>0</v>
      </c>
      <c r="J1357" s="60">
        <f t="shared" si="250"/>
        <v>0</v>
      </c>
      <c r="K1357" s="168">
        <f t="shared" si="250"/>
        <v>0</v>
      </c>
      <c r="L1357" s="60">
        <f t="shared" si="250"/>
        <v>0</v>
      </c>
      <c r="M1357" s="60">
        <f t="shared" si="250"/>
        <v>0</v>
      </c>
      <c r="N1357" s="60">
        <f t="shared" si="250"/>
        <v>0</v>
      </c>
      <c r="O1357" s="60">
        <f t="shared" si="250"/>
        <v>0</v>
      </c>
      <c r="P1357" s="60">
        <f t="shared" si="250"/>
        <v>0</v>
      </c>
      <c r="Q1357" s="60">
        <f t="shared" si="250"/>
        <v>0</v>
      </c>
      <c r="R1357" s="60">
        <f t="shared" si="250"/>
        <v>0</v>
      </c>
      <c r="S1357" s="60">
        <f t="shared" si="250"/>
        <v>0</v>
      </c>
      <c r="T1357" s="60">
        <f t="shared" si="250"/>
        <v>0</v>
      </c>
      <c r="U1357" s="60">
        <f t="shared" si="250"/>
        <v>0</v>
      </c>
      <c r="V1357" s="60">
        <f t="shared" si="250"/>
        <v>0</v>
      </c>
      <c r="W1357" s="60">
        <f t="shared" si="250"/>
        <v>0</v>
      </c>
      <c r="X1357" s="60">
        <f t="shared" si="250"/>
        <v>0</v>
      </c>
      <c r="Y1357" s="60">
        <f t="shared" si="250"/>
        <v>0</v>
      </c>
      <c r="Z1357" s="60">
        <f t="shared" si="250"/>
        <v>0</v>
      </c>
      <c r="AA1357" s="60">
        <f t="shared" si="250"/>
        <v>0</v>
      </c>
      <c r="AB1357" s="60">
        <f t="shared" si="250"/>
        <v>0</v>
      </c>
      <c r="AC1357" s="60">
        <f t="shared" si="250"/>
        <v>0</v>
      </c>
      <c r="AD1357" s="60">
        <f t="shared" si="250"/>
        <v>69723.88</v>
      </c>
      <c r="AE1357" s="60">
        <f t="shared" si="250"/>
        <v>0</v>
      </c>
      <c r="AF1357" s="202" t="s">
        <v>701</v>
      </c>
      <c r="AG1357" s="202" t="s">
        <v>701</v>
      </c>
      <c r="AH1357" s="207" t="s">
        <v>701</v>
      </c>
    </row>
    <row r="1358" spans="1:34" ht="61.5" x14ac:dyDescent="0.85">
      <c r="A1358" s="7">
        <v>1</v>
      </c>
      <c r="B1358" s="59">
        <f>SUBTOTAL(103,$A$1032:A1358)</f>
        <v>296</v>
      </c>
      <c r="C1358" s="160" t="s">
        <v>3296</v>
      </c>
      <c r="D1358" s="60">
        <f t="shared" si="249"/>
        <v>69723.88</v>
      </c>
      <c r="E1358" s="60">
        <v>0</v>
      </c>
      <c r="F1358" s="60">
        <v>0</v>
      </c>
      <c r="G1358" s="60">
        <v>0</v>
      </c>
      <c r="H1358" s="60">
        <v>0</v>
      </c>
      <c r="I1358" s="60">
        <v>0</v>
      </c>
      <c r="J1358" s="60">
        <v>0</v>
      </c>
      <c r="K1358" s="168">
        <v>0</v>
      </c>
      <c r="L1358" s="60">
        <v>0</v>
      </c>
      <c r="M1358" s="60">
        <v>0</v>
      </c>
      <c r="N1358" s="60">
        <v>0</v>
      </c>
      <c r="O1358" s="60">
        <v>0</v>
      </c>
      <c r="P1358" s="60">
        <v>0</v>
      </c>
      <c r="Q1358" s="60">
        <v>0</v>
      </c>
      <c r="R1358" s="60">
        <v>0</v>
      </c>
      <c r="S1358" s="60">
        <v>0</v>
      </c>
      <c r="T1358" s="60">
        <v>0</v>
      </c>
      <c r="U1358" s="60">
        <v>0</v>
      </c>
      <c r="V1358" s="60">
        <v>0</v>
      </c>
      <c r="W1358" s="60">
        <v>0</v>
      </c>
      <c r="X1358" s="60">
        <v>0</v>
      </c>
      <c r="Y1358" s="60">
        <v>0</v>
      </c>
      <c r="Z1358" s="60">
        <v>0</v>
      </c>
      <c r="AA1358" s="60">
        <v>0</v>
      </c>
      <c r="AB1358" s="60">
        <v>0</v>
      </c>
      <c r="AC1358" s="60">
        <v>0</v>
      </c>
      <c r="AD1358" s="60">
        <v>69723.88</v>
      </c>
      <c r="AE1358" s="60">
        <v>0</v>
      </c>
      <c r="AF1358" s="170">
        <v>2022</v>
      </c>
      <c r="AG1358" s="170" t="s">
        <v>257</v>
      </c>
      <c r="AH1358" s="63" t="s">
        <v>257</v>
      </c>
    </row>
    <row r="1359" spans="1:34" ht="61.5" x14ac:dyDescent="0.85">
      <c r="B1359" s="160" t="s">
        <v>782</v>
      </c>
      <c r="C1359" s="176"/>
      <c r="D1359" s="177">
        <f t="shared" ref="D1359:AE1359" si="251">SUM(D1360:D1361)</f>
        <v>5930127.7200000007</v>
      </c>
      <c r="E1359" s="60">
        <f t="shared" si="251"/>
        <v>0</v>
      </c>
      <c r="F1359" s="60">
        <f t="shared" si="251"/>
        <v>0</v>
      </c>
      <c r="G1359" s="60">
        <f t="shared" si="251"/>
        <v>0</v>
      </c>
      <c r="H1359" s="60">
        <f t="shared" si="251"/>
        <v>0</v>
      </c>
      <c r="I1359" s="60">
        <f t="shared" si="251"/>
        <v>0</v>
      </c>
      <c r="J1359" s="60">
        <f t="shared" si="251"/>
        <v>0</v>
      </c>
      <c r="K1359" s="168">
        <f t="shared" si="251"/>
        <v>0</v>
      </c>
      <c r="L1359" s="60">
        <f t="shared" si="251"/>
        <v>0</v>
      </c>
      <c r="M1359" s="60">
        <f t="shared" si="251"/>
        <v>1073.1199999999999</v>
      </c>
      <c r="N1359" s="60">
        <f t="shared" si="251"/>
        <v>5774479.4000000004</v>
      </c>
      <c r="O1359" s="60">
        <f t="shared" si="251"/>
        <v>0</v>
      </c>
      <c r="P1359" s="60">
        <f t="shared" si="251"/>
        <v>0</v>
      </c>
      <c r="Q1359" s="60">
        <f t="shared" si="251"/>
        <v>0</v>
      </c>
      <c r="R1359" s="60">
        <f t="shared" si="251"/>
        <v>0</v>
      </c>
      <c r="S1359" s="60">
        <f t="shared" si="251"/>
        <v>0</v>
      </c>
      <c r="T1359" s="60">
        <f t="shared" si="251"/>
        <v>0</v>
      </c>
      <c r="U1359" s="60">
        <f t="shared" si="251"/>
        <v>0</v>
      </c>
      <c r="V1359" s="60">
        <f t="shared" si="251"/>
        <v>0</v>
      </c>
      <c r="W1359" s="60">
        <f t="shared" si="251"/>
        <v>0</v>
      </c>
      <c r="X1359" s="60">
        <f t="shared" si="251"/>
        <v>0</v>
      </c>
      <c r="Y1359" s="60">
        <f t="shared" si="251"/>
        <v>0</v>
      </c>
      <c r="Z1359" s="60">
        <f t="shared" si="251"/>
        <v>0</v>
      </c>
      <c r="AA1359" s="60">
        <f t="shared" si="251"/>
        <v>0</v>
      </c>
      <c r="AB1359" s="60">
        <f t="shared" si="251"/>
        <v>0</v>
      </c>
      <c r="AC1359" s="60">
        <f t="shared" si="251"/>
        <v>67262.600000000006</v>
      </c>
      <c r="AD1359" s="60">
        <f t="shared" si="251"/>
        <v>88385.72</v>
      </c>
      <c r="AE1359" s="60">
        <f t="shared" si="251"/>
        <v>0</v>
      </c>
      <c r="AF1359" s="202" t="s">
        <v>701</v>
      </c>
      <c r="AG1359" s="202" t="s">
        <v>701</v>
      </c>
      <c r="AH1359" s="207" t="s">
        <v>701</v>
      </c>
    </row>
    <row r="1360" spans="1:34" ht="61.5" x14ac:dyDescent="0.85">
      <c r="A1360" s="7">
        <v>1</v>
      </c>
      <c r="B1360" s="59">
        <f>SUBTOTAL(103,$A$1032:A1360)</f>
        <v>297</v>
      </c>
      <c r="C1360" s="186" t="s">
        <v>172</v>
      </c>
      <c r="D1360" s="60">
        <f>E1360+F1360+G1360+H1360+I1360+J1360+L1360+N1360+P1360+R1360+T1360+U1360+V1360+W1360+X1360+Y1360+Z1360+AA1360+AB1360+AC1360+AD1360+AE1360</f>
        <v>3491931.5700000003</v>
      </c>
      <c r="E1360" s="60">
        <v>0</v>
      </c>
      <c r="F1360" s="60">
        <v>0</v>
      </c>
      <c r="G1360" s="60">
        <v>0</v>
      </c>
      <c r="H1360" s="60">
        <v>0</v>
      </c>
      <c r="I1360" s="60">
        <v>0</v>
      </c>
      <c r="J1360" s="60">
        <v>0</v>
      </c>
      <c r="K1360" s="168">
        <v>0</v>
      </c>
      <c r="L1360" s="60">
        <v>0</v>
      </c>
      <c r="M1360" s="60">
        <v>718.63</v>
      </c>
      <c r="N1360" s="60">
        <v>3367870</v>
      </c>
      <c r="O1360" s="60">
        <v>0</v>
      </c>
      <c r="P1360" s="60">
        <v>0</v>
      </c>
      <c r="Q1360" s="60">
        <v>0</v>
      </c>
      <c r="R1360" s="60">
        <v>0</v>
      </c>
      <c r="S1360" s="60">
        <v>0</v>
      </c>
      <c r="T1360" s="60">
        <v>0</v>
      </c>
      <c r="U1360" s="60">
        <v>0</v>
      </c>
      <c r="V1360" s="60">
        <v>0</v>
      </c>
      <c r="W1360" s="60">
        <v>0</v>
      </c>
      <c r="X1360" s="60">
        <v>0</v>
      </c>
      <c r="Y1360" s="60">
        <v>0</v>
      </c>
      <c r="Z1360" s="60">
        <v>0</v>
      </c>
      <c r="AA1360" s="60">
        <v>0</v>
      </c>
      <c r="AB1360" s="60">
        <v>0</v>
      </c>
      <c r="AC1360" s="60">
        <f t="shared" ref="AC1360" si="252">ROUND(N1360*1.0593%,2)+ROUND(E1360*1.0593%,2)+ROUND(F1360*1.0593%,2)+ROUND(G1360*1.0593%,2)+ROUND(H1360*1.0593%,2)+ROUND(I1360*1.0593%,2)+ROUND(J1360*1.0593%,2)+ROUND(L1360*1.0593%,2)+ROUND(P1360*1.0593%,2)+ROUND(R1360*1.0593%,2)+ROUND(T1360*1.0593%,2)+ROUND(U1360*1.0593%,2)+ROUND(V1360*1.0593%,2)+ROUND(W1360*1.0593%,2)+ROUND(X1360*1.0593%,2)+ROUND(Y1360*1.0593%,2)+ROUND(Z1360*1.0593%,2)+ROUND(AA1360*1.0593%,2)+ROUND(AB1360*1.0593%,2)</f>
        <v>35675.85</v>
      </c>
      <c r="AD1360" s="60">
        <v>88385.72</v>
      </c>
      <c r="AE1360" s="60">
        <v>0</v>
      </c>
      <c r="AF1360" s="170">
        <v>2022</v>
      </c>
      <c r="AG1360" s="170">
        <v>2022</v>
      </c>
      <c r="AH1360" s="63">
        <v>2022</v>
      </c>
    </row>
    <row r="1361" spans="1:16199" s="67" customFormat="1" ht="123" x14ac:dyDescent="0.85">
      <c r="A1361" s="7">
        <v>1</v>
      </c>
      <c r="B1361" s="59">
        <f>SUBTOTAL(103,$A$1032:A1361)</f>
        <v>298</v>
      </c>
      <c r="C1361" s="187" t="s">
        <v>166</v>
      </c>
      <c r="D1361" s="188">
        <f>E1361+F1361+G1361+H1361+I1361+J1361+L1361+N1361+P1361+R1361+T1361+U1361+V1361+W1361+X1361+Y1361+Z1361+AA1361+AB1361+AC1361+AD1361+AE1361</f>
        <v>2438196.15</v>
      </c>
      <c r="E1361" s="188">
        <v>0</v>
      </c>
      <c r="F1361" s="188">
        <v>0</v>
      </c>
      <c r="G1361" s="188">
        <v>0</v>
      </c>
      <c r="H1361" s="188">
        <v>0</v>
      </c>
      <c r="I1361" s="188">
        <v>0</v>
      </c>
      <c r="J1361" s="188">
        <v>0</v>
      </c>
      <c r="K1361" s="168">
        <v>0</v>
      </c>
      <c r="L1361" s="188">
        <v>0</v>
      </c>
      <c r="M1361" s="60">
        <v>354.49</v>
      </c>
      <c r="N1361" s="60">
        <v>2406609.4</v>
      </c>
      <c r="O1361" s="188">
        <v>0</v>
      </c>
      <c r="P1361" s="188">
        <v>0</v>
      </c>
      <c r="Q1361" s="188">
        <v>0</v>
      </c>
      <c r="R1361" s="188">
        <v>0</v>
      </c>
      <c r="S1361" s="188">
        <v>0</v>
      </c>
      <c r="T1361" s="188">
        <v>0</v>
      </c>
      <c r="U1361" s="188">
        <v>0</v>
      </c>
      <c r="V1361" s="188">
        <v>0</v>
      </c>
      <c r="W1361" s="188">
        <v>0</v>
      </c>
      <c r="X1361" s="188">
        <v>0</v>
      </c>
      <c r="Y1361" s="188">
        <v>0</v>
      </c>
      <c r="Z1361" s="188">
        <v>0</v>
      </c>
      <c r="AA1361" s="188">
        <v>0</v>
      </c>
      <c r="AB1361" s="188">
        <v>0</v>
      </c>
      <c r="AC1361" s="60">
        <v>31586.75</v>
      </c>
      <c r="AD1361" s="188">
        <v>0</v>
      </c>
      <c r="AE1361" s="188">
        <v>0</v>
      </c>
      <c r="AF1361" s="190" t="s">
        <v>257</v>
      </c>
      <c r="AG1361" s="190">
        <v>2022</v>
      </c>
      <c r="AH1361" s="200">
        <v>2022</v>
      </c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  <c r="CA1361" s="23"/>
      <c r="CB1361" s="23"/>
      <c r="CC1361" s="23"/>
      <c r="CD1361" s="23"/>
      <c r="CE1361" s="23"/>
      <c r="CF1361" s="23"/>
      <c r="CG1361" s="23"/>
      <c r="CH1361" s="23"/>
      <c r="CI1361" s="23"/>
      <c r="CJ1361" s="23"/>
      <c r="CK1361" s="23"/>
      <c r="CL1361" s="23"/>
      <c r="CM1361" s="23"/>
      <c r="CN1361" s="23"/>
      <c r="CO1361" s="23"/>
      <c r="CP1361" s="23"/>
      <c r="CQ1361" s="23"/>
      <c r="CR1361" s="23"/>
      <c r="CS1361" s="23"/>
      <c r="CT1361" s="23"/>
      <c r="CU1361" s="23"/>
      <c r="CV1361" s="23"/>
      <c r="CW1361" s="23"/>
      <c r="CX1361" s="23"/>
      <c r="CY1361" s="23"/>
      <c r="CZ1361" s="23"/>
      <c r="DA1361" s="23"/>
      <c r="DB1361" s="23"/>
      <c r="DC1361" s="23"/>
      <c r="DD1361" s="23"/>
      <c r="DE1361" s="23"/>
      <c r="DF1361" s="23"/>
      <c r="DG1361" s="23"/>
      <c r="DH1361" s="23"/>
      <c r="DI1361" s="23"/>
      <c r="DJ1361" s="23"/>
      <c r="DK1361" s="23"/>
      <c r="DL1361" s="23"/>
      <c r="DM1361" s="23"/>
      <c r="DN1361" s="23"/>
      <c r="DO1361" s="23"/>
      <c r="DP1361" s="23"/>
      <c r="DQ1361" s="23"/>
      <c r="DR1361" s="23"/>
      <c r="DS1361" s="23"/>
      <c r="DT1361" s="23"/>
      <c r="DU1361" s="23"/>
      <c r="DV1361" s="23"/>
      <c r="DW1361" s="23"/>
      <c r="DX1361" s="23"/>
      <c r="DY1361" s="23"/>
      <c r="DZ1361" s="23"/>
      <c r="EA1361" s="23"/>
      <c r="EB1361" s="23"/>
      <c r="EC1361" s="23"/>
      <c r="ED1361" s="23"/>
      <c r="EE1361" s="23"/>
      <c r="EF1361" s="23"/>
      <c r="EG1361" s="23"/>
      <c r="EH1361" s="23"/>
      <c r="EI1361" s="23"/>
      <c r="EJ1361" s="23"/>
      <c r="EK1361" s="23"/>
      <c r="EL1361" s="23"/>
      <c r="EM1361" s="23"/>
      <c r="EN1361" s="23"/>
      <c r="EO1361" s="23"/>
      <c r="EP1361" s="23"/>
      <c r="EQ1361" s="23"/>
      <c r="ER1361" s="23"/>
      <c r="ES1361" s="23"/>
      <c r="ET1361" s="23"/>
      <c r="EU1361" s="23"/>
      <c r="EV1361" s="23"/>
      <c r="EW1361" s="23"/>
      <c r="EX1361" s="23"/>
      <c r="EY1361" s="23"/>
      <c r="EZ1361" s="23"/>
      <c r="FA1361" s="23"/>
      <c r="FB1361" s="23"/>
      <c r="FC1361" s="23"/>
      <c r="FD1361" s="23"/>
      <c r="FE1361" s="23"/>
      <c r="FF1361" s="23"/>
      <c r="FG1361" s="23"/>
      <c r="FH1361" s="23"/>
      <c r="FI1361" s="23"/>
      <c r="FJ1361" s="23"/>
      <c r="FK1361" s="23"/>
      <c r="FL1361" s="23"/>
      <c r="FM1361" s="23"/>
      <c r="FN1361" s="23"/>
      <c r="FO1361" s="23"/>
      <c r="FP1361" s="23"/>
      <c r="FQ1361" s="23"/>
      <c r="FR1361" s="23"/>
      <c r="FS1361" s="23"/>
      <c r="FT1361" s="23"/>
      <c r="FU1361" s="23"/>
      <c r="FV1361" s="23"/>
      <c r="FW1361" s="23"/>
      <c r="FX1361" s="23"/>
      <c r="FY1361" s="23"/>
      <c r="FZ1361" s="23"/>
      <c r="GA1361" s="23"/>
      <c r="GB1361" s="23"/>
      <c r="GC1361" s="23"/>
      <c r="GD1361" s="23"/>
      <c r="GE1361" s="23"/>
      <c r="GF1361" s="23"/>
      <c r="GG1361" s="23"/>
      <c r="GH1361" s="23"/>
      <c r="GI1361" s="23"/>
      <c r="GJ1361" s="23"/>
      <c r="GK1361" s="23"/>
      <c r="GL1361" s="23"/>
      <c r="GM1361" s="23"/>
      <c r="GN1361" s="23"/>
      <c r="GO1361" s="23"/>
      <c r="GP1361" s="23"/>
      <c r="GQ1361" s="23"/>
      <c r="GR1361" s="23"/>
      <c r="GS1361" s="23"/>
      <c r="GT1361" s="23"/>
      <c r="GU1361" s="23"/>
      <c r="GV1361" s="23"/>
      <c r="GW1361" s="23"/>
      <c r="GX1361" s="23"/>
      <c r="GY1361" s="23"/>
      <c r="GZ1361" s="23"/>
      <c r="HA1361" s="23"/>
      <c r="HB1361" s="23"/>
      <c r="HC1361" s="23"/>
      <c r="HD1361" s="23"/>
      <c r="HE1361" s="23"/>
      <c r="HF1361" s="23"/>
      <c r="HG1361" s="23"/>
      <c r="HH1361" s="23"/>
      <c r="HI1361" s="23"/>
      <c r="HJ1361" s="23"/>
      <c r="HK1361" s="23"/>
      <c r="HL1361" s="23"/>
      <c r="HM1361" s="23"/>
      <c r="HN1361" s="23"/>
      <c r="HO1361" s="23"/>
      <c r="HP1361" s="23"/>
      <c r="HQ1361" s="23"/>
      <c r="HR1361" s="23"/>
      <c r="HS1361" s="23"/>
      <c r="HT1361" s="23"/>
      <c r="HU1361" s="23"/>
      <c r="HV1361" s="23"/>
      <c r="HW1361" s="23"/>
      <c r="HX1361" s="23"/>
      <c r="HY1361" s="23"/>
      <c r="HZ1361" s="23"/>
      <c r="IA1361" s="23"/>
      <c r="IB1361" s="23"/>
      <c r="IC1361" s="23"/>
      <c r="ID1361" s="23"/>
      <c r="IE1361" s="23"/>
      <c r="IF1361" s="23"/>
      <c r="IG1361" s="23"/>
      <c r="IH1361" s="23"/>
      <c r="II1361" s="23"/>
      <c r="IJ1361" s="23"/>
      <c r="IK1361" s="23"/>
      <c r="IL1361" s="23"/>
      <c r="IM1361" s="23"/>
      <c r="IN1361" s="23"/>
      <c r="IO1361" s="23"/>
      <c r="IP1361" s="23"/>
      <c r="IQ1361" s="23"/>
      <c r="IR1361" s="23"/>
      <c r="IS1361" s="23"/>
      <c r="IT1361" s="23"/>
      <c r="IU1361" s="23"/>
      <c r="IV1361" s="23"/>
      <c r="IW1361" s="23"/>
      <c r="IX1361" s="23"/>
      <c r="IY1361" s="23"/>
      <c r="IZ1361" s="23"/>
      <c r="JA1361" s="23"/>
      <c r="JB1361" s="23"/>
      <c r="JC1361" s="23"/>
      <c r="JD1361" s="23"/>
      <c r="JE1361" s="23"/>
      <c r="JF1361" s="23"/>
      <c r="JG1361" s="23"/>
      <c r="JH1361" s="23"/>
      <c r="JI1361" s="23"/>
      <c r="JJ1361" s="23"/>
      <c r="JK1361" s="23"/>
      <c r="JL1361" s="23"/>
      <c r="JM1361" s="23"/>
      <c r="JN1361" s="23"/>
      <c r="JO1361" s="23"/>
      <c r="JP1361" s="23"/>
      <c r="JQ1361" s="23"/>
      <c r="JR1361" s="23"/>
      <c r="JS1361" s="23"/>
      <c r="JT1361" s="23"/>
      <c r="JU1361" s="23"/>
      <c r="JV1361" s="23"/>
      <c r="JW1361" s="23"/>
      <c r="JX1361" s="23"/>
      <c r="JY1361" s="23"/>
      <c r="JZ1361" s="23"/>
      <c r="KA1361" s="23"/>
      <c r="KB1361" s="23"/>
      <c r="KC1361" s="23"/>
      <c r="KD1361" s="23"/>
      <c r="KE1361" s="23"/>
      <c r="KF1361" s="23"/>
      <c r="KG1361" s="23"/>
      <c r="KH1361" s="23"/>
      <c r="KI1361" s="23"/>
      <c r="KJ1361" s="23"/>
      <c r="KK1361" s="23"/>
      <c r="KL1361" s="23"/>
      <c r="KM1361" s="23"/>
      <c r="KN1361" s="23"/>
      <c r="KO1361" s="23"/>
      <c r="KP1361" s="23"/>
      <c r="KQ1361" s="23"/>
      <c r="KR1361" s="23"/>
      <c r="KS1361" s="23"/>
      <c r="KT1361" s="23"/>
      <c r="KU1361" s="23"/>
      <c r="KV1361" s="23"/>
      <c r="KW1361" s="23"/>
      <c r="KX1361" s="23"/>
      <c r="KY1361" s="23"/>
      <c r="KZ1361" s="23"/>
      <c r="LA1361" s="23"/>
      <c r="LB1361" s="23"/>
      <c r="LC1361" s="23"/>
      <c r="LD1361" s="23"/>
      <c r="LE1361" s="23"/>
      <c r="LF1361" s="23"/>
      <c r="LG1361" s="23"/>
      <c r="LH1361" s="23"/>
      <c r="LI1361" s="23"/>
      <c r="LJ1361" s="23"/>
      <c r="LK1361" s="23"/>
      <c r="LL1361" s="23"/>
      <c r="LM1361" s="23"/>
      <c r="LN1361" s="23"/>
      <c r="LO1361" s="23"/>
      <c r="LP1361" s="23"/>
      <c r="LQ1361" s="23"/>
      <c r="LR1361" s="23"/>
      <c r="LS1361" s="23"/>
      <c r="LT1361" s="23"/>
      <c r="LU1361" s="23"/>
      <c r="LV1361" s="23"/>
      <c r="LW1361" s="23"/>
      <c r="LX1361" s="23"/>
      <c r="LY1361" s="23"/>
      <c r="LZ1361" s="23"/>
      <c r="MA1361" s="23"/>
      <c r="MB1361" s="23"/>
      <c r="MC1361" s="23"/>
      <c r="MD1361" s="23"/>
      <c r="ME1361" s="23"/>
      <c r="MF1361" s="23"/>
      <c r="MG1361" s="23"/>
      <c r="MH1361" s="23"/>
      <c r="MI1361" s="23"/>
      <c r="MJ1361" s="23"/>
      <c r="MK1361" s="23"/>
      <c r="ML1361" s="23"/>
      <c r="MM1361" s="23"/>
      <c r="MN1361" s="23"/>
      <c r="MO1361" s="23"/>
      <c r="MP1361" s="23"/>
      <c r="MQ1361" s="23"/>
      <c r="MR1361" s="23"/>
      <c r="MS1361" s="23"/>
      <c r="MT1361" s="23"/>
      <c r="MU1361" s="23"/>
      <c r="MV1361" s="23"/>
      <c r="MW1361" s="23"/>
      <c r="MX1361" s="23"/>
      <c r="MY1361" s="23"/>
      <c r="MZ1361" s="23"/>
      <c r="NA1361" s="23"/>
      <c r="NB1361" s="23"/>
      <c r="NC1361" s="23"/>
      <c r="ND1361" s="23"/>
      <c r="NE1361" s="23"/>
      <c r="NF1361" s="23"/>
      <c r="NG1361" s="23"/>
      <c r="NH1361" s="23"/>
      <c r="NI1361" s="23"/>
      <c r="NJ1361" s="23"/>
      <c r="NK1361" s="23"/>
      <c r="NL1361" s="23"/>
      <c r="NM1361" s="23"/>
      <c r="NN1361" s="23"/>
      <c r="NO1361" s="23"/>
      <c r="NP1361" s="23"/>
      <c r="NQ1361" s="23"/>
      <c r="NR1361" s="23"/>
      <c r="NS1361" s="23"/>
      <c r="NT1361" s="23"/>
      <c r="NU1361" s="23"/>
      <c r="NV1361" s="23"/>
      <c r="NW1361" s="23"/>
      <c r="NX1361" s="23"/>
      <c r="NY1361" s="23"/>
      <c r="NZ1361" s="23"/>
      <c r="OA1361" s="23"/>
      <c r="OB1361" s="23"/>
      <c r="OC1361" s="23"/>
      <c r="OD1361" s="23"/>
      <c r="OE1361" s="23"/>
      <c r="OF1361" s="23"/>
      <c r="OG1361" s="23"/>
      <c r="OH1361" s="23"/>
      <c r="OI1361" s="23"/>
      <c r="OJ1361" s="23"/>
      <c r="OK1361" s="23"/>
      <c r="OL1361" s="23"/>
      <c r="OM1361" s="23"/>
      <c r="ON1361" s="23"/>
      <c r="OO1361" s="23"/>
      <c r="OP1361" s="23"/>
      <c r="OQ1361" s="23"/>
      <c r="OR1361" s="23"/>
      <c r="OS1361" s="23"/>
      <c r="OT1361" s="23"/>
      <c r="OU1361" s="23"/>
      <c r="OV1361" s="23"/>
      <c r="OW1361" s="23"/>
      <c r="OX1361" s="23"/>
      <c r="OY1361" s="23"/>
      <c r="OZ1361" s="23"/>
      <c r="PA1361" s="23"/>
      <c r="PB1361" s="23"/>
      <c r="PC1361" s="23"/>
      <c r="PD1361" s="23"/>
      <c r="PE1361" s="23"/>
      <c r="PF1361" s="23"/>
      <c r="PG1361" s="23"/>
      <c r="PH1361" s="23"/>
      <c r="PI1361" s="23"/>
      <c r="PJ1361" s="23"/>
      <c r="PK1361" s="23"/>
      <c r="PL1361" s="23"/>
      <c r="PM1361" s="23"/>
      <c r="PN1361" s="23"/>
      <c r="PO1361" s="23"/>
      <c r="PP1361" s="23"/>
      <c r="PQ1361" s="23"/>
      <c r="PR1361" s="23"/>
      <c r="PS1361" s="23"/>
      <c r="PT1361" s="23"/>
      <c r="PU1361" s="23"/>
      <c r="PV1361" s="23"/>
      <c r="PW1361" s="23"/>
      <c r="PX1361" s="23"/>
      <c r="PY1361" s="23"/>
      <c r="PZ1361" s="23"/>
      <c r="QA1361" s="23"/>
      <c r="QB1361" s="23"/>
      <c r="QC1361" s="23"/>
      <c r="QD1361" s="23"/>
      <c r="QE1361" s="23"/>
      <c r="QF1361" s="23"/>
      <c r="QG1361" s="23"/>
      <c r="QH1361" s="23"/>
      <c r="QI1361" s="23"/>
      <c r="QJ1361" s="23"/>
      <c r="QK1361" s="23"/>
      <c r="QL1361" s="23"/>
      <c r="QM1361" s="23"/>
      <c r="QN1361" s="23"/>
      <c r="QO1361" s="23"/>
      <c r="QP1361" s="23"/>
      <c r="QQ1361" s="23"/>
      <c r="QR1361" s="23"/>
      <c r="QS1361" s="23"/>
      <c r="QT1361" s="23"/>
      <c r="QU1361" s="23"/>
      <c r="QV1361" s="23"/>
      <c r="QW1361" s="23"/>
      <c r="QX1361" s="23"/>
      <c r="QY1361" s="23"/>
      <c r="QZ1361" s="23"/>
      <c r="RA1361" s="23"/>
      <c r="RB1361" s="23"/>
      <c r="RC1361" s="23"/>
      <c r="RD1361" s="23"/>
      <c r="RE1361" s="23"/>
      <c r="RF1361" s="23"/>
      <c r="RG1361" s="23"/>
      <c r="RH1361" s="23"/>
      <c r="RI1361" s="23"/>
      <c r="RJ1361" s="23"/>
      <c r="RK1361" s="23"/>
      <c r="RL1361" s="23"/>
      <c r="RM1361" s="23"/>
      <c r="RN1361" s="23"/>
      <c r="RO1361" s="23"/>
      <c r="RP1361" s="23"/>
      <c r="RQ1361" s="23"/>
      <c r="RR1361" s="23"/>
      <c r="RS1361" s="23"/>
      <c r="RT1361" s="23"/>
      <c r="RU1361" s="23"/>
      <c r="RV1361" s="23"/>
      <c r="RW1361" s="23"/>
      <c r="RX1361" s="23"/>
      <c r="RY1361" s="23"/>
      <c r="RZ1361" s="23"/>
      <c r="SA1361" s="23"/>
      <c r="SB1361" s="23"/>
      <c r="SC1361" s="23"/>
      <c r="SD1361" s="23"/>
      <c r="SE1361" s="23"/>
      <c r="SF1361" s="23"/>
      <c r="SG1361" s="23"/>
      <c r="SH1361" s="23"/>
      <c r="SI1361" s="23"/>
      <c r="SJ1361" s="23"/>
      <c r="SK1361" s="23"/>
      <c r="SL1361" s="23"/>
      <c r="SM1361" s="23"/>
      <c r="SN1361" s="23"/>
      <c r="SO1361" s="23"/>
      <c r="SP1361" s="23"/>
      <c r="SQ1361" s="23"/>
      <c r="SR1361" s="23"/>
      <c r="SS1361" s="23"/>
      <c r="ST1361" s="23"/>
      <c r="SU1361" s="23"/>
      <c r="SV1361" s="23"/>
      <c r="SW1361" s="23"/>
      <c r="SX1361" s="23"/>
      <c r="SY1361" s="23"/>
      <c r="SZ1361" s="23"/>
      <c r="TA1361" s="23"/>
      <c r="TB1361" s="23"/>
      <c r="TC1361" s="23"/>
      <c r="TD1361" s="23"/>
      <c r="TE1361" s="23"/>
      <c r="TF1361" s="23"/>
      <c r="TG1361" s="23"/>
      <c r="TH1361" s="23"/>
      <c r="TI1361" s="23"/>
      <c r="TJ1361" s="23"/>
      <c r="TK1361" s="23"/>
      <c r="TL1361" s="23"/>
      <c r="TM1361" s="23"/>
      <c r="TN1361" s="23"/>
      <c r="TO1361" s="23"/>
      <c r="TP1361" s="23"/>
      <c r="TQ1361" s="23"/>
      <c r="TR1361" s="23"/>
      <c r="TS1361" s="23"/>
      <c r="TT1361" s="23"/>
      <c r="TU1361" s="23"/>
      <c r="TV1361" s="23"/>
      <c r="TW1361" s="23"/>
      <c r="TX1361" s="23"/>
      <c r="TY1361" s="23"/>
      <c r="TZ1361" s="23"/>
      <c r="UA1361" s="23"/>
      <c r="UB1361" s="23"/>
      <c r="UC1361" s="23"/>
      <c r="UD1361" s="23"/>
      <c r="UE1361" s="23"/>
      <c r="UF1361" s="23"/>
      <c r="UG1361" s="23"/>
      <c r="UH1361" s="23"/>
      <c r="UI1361" s="23"/>
      <c r="UJ1361" s="23"/>
      <c r="UK1361" s="23"/>
      <c r="UL1361" s="23"/>
      <c r="UM1361" s="23"/>
      <c r="UN1361" s="23"/>
      <c r="UO1361" s="23"/>
      <c r="UP1361" s="23"/>
      <c r="UQ1361" s="23"/>
      <c r="UR1361" s="23"/>
      <c r="US1361" s="23"/>
      <c r="UT1361" s="23"/>
      <c r="UU1361" s="23"/>
      <c r="UV1361" s="23"/>
      <c r="UW1361" s="23"/>
      <c r="UX1361" s="23"/>
      <c r="UY1361" s="23"/>
      <c r="UZ1361" s="23"/>
      <c r="VA1361" s="23"/>
      <c r="VB1361" s="23"/>
      <c r="VC1361" s="23"/>
      <c r="VD1361" s="23"/>
      <c r="VE1361" s="23"/>
      <c r="VF1361" s="23"/>
      <c r="VG1361" s="23"/>
      <c r="VH1361" s="23"/>
      <c r="VI1361" s="23"/>
      <c r="VJ1361" s="23"/>
      <c r="VK1361" s="23"/>
      <c r="VL1361" s="23"/>
      <c r="VM1361" s="23"/>
      <c r="VN1361" s="23"/>
      <c r="VO1361" s="23"/>
      <c r="VP1361" s="23"/>
      <c r="VQ1361" s="23"/>
      <c r="VR1361" s="23"/>
      <c r="VS1361" s="23"/>
      <c r="VT1361" s="23"/>
      <c r="VU1361" s="23"/>
      <c r="VV1361" s="23"/>
      <c r="VW1361" s="23"/>
      <c r="VX1361" s="23"/>
      <c r="VY1361" s="23"/>
      <c r="VZ1361" s="23"/>
      <c r="WA1361" s="23"/>
      <c r="WB1361" s="23"/>
      <c r="WC1361" s="23"/>
      <c r="WD1361" s="23"/>
      <c r="WE1361" s="23"/>
      <c r="WF1361" s="23"/>
      <c r="WG1361" s="23"/>
      <c r="WH1361" s="23"/>
      <c r="WI1361" s="23"/>
      <c r="WJ1361" s="23"/>
      <c r="WK1361" s="23"/>
      <c r="WL1361" s="23"/>
      <c r="WM1361" s="23"/>
      <c r="WN1361" s="23"/>
      <c r="WO1361" s="23"/>
      <c r="WP1361" s="23"/>
      <c r="WQ1361" s="23"/>
      <c r="WR1361" s="23"/>
      <c r="WS1361" s="23"/>
      <c r="WT1361" s="23"/>
      <c r="WU1361" s="23"/>
      <c r="WV1361" s="23"/>
      <c r="WW1361" s="23"/>
      <c r="WX1361" s="23"/>
      <c r="WY1361" s="23"/>
      <c r="WZ1361" s="23"/>
      <c r="XA1361" s="23"/>
      <c r="XB1361" s="23"/>
      <c r="XC1361" s="23"/>
      <c r="XD1361" s="23"/>
      <c r="XE1361" s="23"/>
      <c r="XF1361" s="23"/>
      <c r="XG1361" s="23"/>
      <c r="XH1361" s="23"/>
      <c r="XI1361" s="23"/>
      <c r="XJ1361" s="23"/>
      <c r="XK1361" s="23"/>
      <c r="XL1361" s="23"/>
      <c r="XM1361" s="23"/>
      <c r="XN1361" s="23"/>
      <c r="XO1361" s="23"/>
      <c r="XP1361" s="23"/>
      <c r="XQ1361" s="23"/>
      <c r="XR1361" s="23"/>
      <c r="XS1361" s="23"/>
      <c r="XT1361" s="23"/>
      <c r="XU1361" s="23"/>
      <c r="XV1361" s="23"/>
      <c r="XW1361" s="23"/>
      <c r="XX1361" s="23"/>
      <c r="XY1361" s="23"/>
      <c r="XZ1361" s="23"/>
      <c r="YA1361" s="23"/>
      <c r="YB1361" s="23"/>
      <c r="YC1361" s="23"/>
      <c r="YD1361" s="23"/>
      <c r="YE1361" s="23"/>
      <c r="YF1361" s="23"/>
      <c r="YG1361" s="23"/>
      <c r="YH1361" s="23"/>
      <c r="YI1361" s="23"/>
      <c r="YJ1361" s="23"/>
      <c r="YK1361" s="23"/>
      <c r="YL1361" s="23"/>
      <c r="YM1361" s="23"/>
      <c r="YN1361" s="23"/>
      <c r="YO1361" s="23"/>
      <c r="YP1361" s="23"/>
      <c r="YQ1361" s="23"/>
      <c r="YR1361" s="23"/>
      <c r="YS1361" s="23"/>
      <c r="YT1361" s="23"/>
      <c r="YU1361" s="23"/>
      <c r="YV1361" s="23"/>
      <c r="YW1361" s="23"/>
      <c r="YX1361" s="23"/>
      <c r="YY1361" s="23"/>
      <c r="YZ1361" s="23"/>
      <c r="ZA1361" s="23"/>
      <c r="ZB1361" s="23"/>
      <c r="ZC1361" s="23"/>
      <c r="ZD1361" s="23"/>
      <c r="ZE1361" s="23"/>
      <c r="ZF1361" s="23"/>
      <c r="ZG1361" s="23"/>
      <c r="ZH1361" s="23"/>
      <c r="ZI1361" s="23"/>
      <c r="ZJ1361" s="23"/>
      <c r="ZK1361" s="23"/>
      <c r="ZL1361" s="23"/>
      <c r="ZM1361" s="23"/>
      <c r="ZN1361" s="23"/>
      <c r="ZO1361" s="23"/>
      <c r="ZP1361" s="23"/>
      <c r="ZQ1361" s="23"/>
      <c r="ZR1361" s="23"/>
      <c r="ZS1361" s="23"/>
      <c r="ZT1361" s="23"/>
      <c r="ZU1361" s="23"/>
      <c r="ZV1361" s="23"/>
      <c r="ZW1361" s="23"/>
      <c r="ZX1361" s="23"/>
      <c r="ZY1361" s="23"/>
      <c r="ZZ1361" s="23"/>
      <c r="AAA1361" s="23"/>
      <c r="AAB1361" s="23"/>
      <c r="AAC1361" s="23"/>
      <c r="AAD1361" s="23"/>
      <c r="AAE1361" s="23"/>
      <c r="AAF1361" s="23"/>
      <c r="AAG1361" s="23"/>
      <c r="AAH1361" s="23"/>
      <c r="AAI1361" s="23"/>
      <c r="AAJ1361" s="23"/>
      <c r="AAK1361" s="23"/>
      <c r="AAL1361" s="23"/>
      <c r="AAM1361" s="23"/>
      <c r="AAN1361" s="23"/>
      <c r="AAO1361" s="23"/>
      <c r="AAP1361" s="23"/>
      <c r="AAQ1361" s="23"/>
      <c r="AAR1361" s="23"/>
      <c r="AAS1361" s="23"/>
      <c r="AAT1361" s="23"/>
      <c r="AAU1361" s="23"/>
      <c r="AAV1361" s="23"/>
      <c r="AAW1361" s="23"/>
      <c r="AAX1361" s="23"/>
      <c r="AAY1361" s="23"/>
      <c r="AAZ1361" s="23"/>
      <c r="ABA1361" s="23"/>
      <c r="ABB1361" s="23"/>
      <c r="ABC1361" s="23"/>
      <c r="ABD1361" s="23"/>
      <c r="ABE1361" s="23"/>
      <c r="ABF1361" s="23"/>
      <c r="ABG1361" s="23"/>
      <c r="ABH1361" s="23"/>
      <c r="ABI1361" s="23"/>
      <c r="ABJ1361" s="23"/>
      <c r="ABK1361" s="23"/>
      <c r="ABL1361" s="23"/>
      <c r="ABM1361" s="23"/>
      <c r="ABN1361" s="23"/>
      <c r="ABO1361" s="23"/>
      <c r="ABP1361" s="23"/>
      <c r="ABQ1361" s="23"/>
      <c r="ABR1361" s="23"/>
      <c r="ABS1361" s="23"/>
      <c r="ABT1361" s="23"/>
      <c r="ABU1361" s="23"/>
      <c r="ABV1361" s="23"/>
      <c r="ABW1361" s="23"/>
      <c r="ABX1361" s="23"/>
      <c r="ABY1361" s="23"/>
      <c r="ABZ1361" s="23"/>
      <c r="ACA1361" s="23"/>
      <c r="ACB1361" s="23"/>
      <c r="ACC1361" s="23"/>
      <c r="ACD1361" s="23"/>
      <c r="ACE1361" s="23"/>
      <c r="ACF1361" s="23"/>
      <c r="ACG1361" s="23"/>
      <c r="ACH1361" s="23"/>
      <c r="ACI1361" s="23"/>
      <c r="ACJ1361" s="23"/>
      <c r="ACK1361" s="23"/>
      <c r="ACL1361" s="23"/>
      <c r="ACM1361" s="23"/>
      <c r="ACN1361" s="23"/>
      <c r="ACO1361" s="23"/>
      <c r="ACP1361" s="23"/>
      <c r="ACQ1361" s="23"/>
      <c r="ACR1361" s="23"/>
      <c r="ACS1361" s="23"/>
      <c r="ACT1361" s="23"/>
      <c r="ACU1361" s="23"/>
      <c r="ACV1361" s="23"/>
      <c r="ACW1361" s="23"/>
      <c r="ACX1361" s="23"/>
      <c r="ACY1361" s="23"/>
      <c r="ACZ1361" s="23"/>
      <c r="ADA1361" s="23"/>
      <c r="ADB1361" s="23"/>
      <c r="ADC1361" s="23"/>
      <c r="ADD1361" s="23"/>
      <c r="ADE1361" s="23"/>
      <c r="ADF1361" s="23"/>
      <c r="ADG1361" s="23"/>
      <c r="ADH1361" s="23"/>
      <c r="ADI1361" s="23"/>
      <c r="ADJ1361" s="23"/>
      <c r="ADK1361" s="23"/>
      <c r="ADL1361" s="23"/>
      <c r="ADM1361" s="23"/>
      <c r="ADN1361" s="23"/>
      <c r="ADO1361" s="23"/>
      <c r="ADP1361" s="23"/>
      <c r="ADQ1361" s="23"/>
      <c r="ADR1361" s="23"/>
      <c r="ADS1361" s="23"/>
      <c r="ADT1361" s="23"/>
      <c r="ADU1361" s="23"/>
      <c r="ADV1361" s="23"/>
      <c r="ADW1361" s="23"/>
      <c r="ADX1361" s="23"/>
      <c r="ADY1361" s="23"/>
      <c r="ADZ1361" s="23"/>
      <c r="AEA1361" s="23"/>
      <c r="AEB1361" s="23"/>
      <c r="AEC1361" s="23"/>
      <c r="AED1361" s="23"/>
      <c r="AEE1361" s="23"/>
      <c r="AEF1361" s="23"/>
      <c r="AEG1361" s="23"/>
      <c r="AEH1361" s="23"/>
      <c r="AEI1361" s="23"/>
      <c r="AEJ1361" s="23"/>
      <c r="AEK1361" s="23"/>
      <c r="AEL1361" s="23"/>
      <c r="AEM1361" s="23"/>
      <c r="AEN1361" s="23"/>
      <c r="AEO1361" s="23"/>
      <c r="AEP1361" s="23"/>
      <c r="AEQ1361" s="23"/>
      <c r="AER1361" s="23"/>
      <c r="AES1361" s="23"/>
      <c r="AET1361" s="23"/>
      <c r="AEU1361" s="23"/>
      <c r="AEV1361" s="23"/>
      <c r="AEW1361" s="23"/>
      <c r="AEX1361" s="23"/>
      <c r="AEY1361" s="23"/>
      <c r="AEZ1361" s="23"/>
      <c r="AFA1361" s="23"/>
      <c r="AFB1361" s="23"/>
      <c r="AFC1361" s="23"/>
      <c r="AFD1361" s="23"/>
      <c r="AFE1361" s="23"/>
      <c r="AFF1361" s="23"/>
      <c r="AFG1361" s="23"/>
      <c r="AFH1361" s="23"/>
      <c r="AFI1361" s="23"/>
      <c r="AFJ1361" s="23"/>
      <c r="AFK1361" s="23"/>
      <c r="AFL1361" s="23"/>
      <c r="AFM1361" s="23"/>
      <c r="AFN1361" s="23"/>
      <c r="AFO1361" s="23"/>
      <c r="AFP1361" s="23"/>
      <c r="AFQ1361" s="23"/>
      <c r="AFR1361" s="23"/>
      <c r="AFS1361" s="23"/>
      <c r="AFT1361" s="23"/>
      <c r="AFU1361" s="23"/>
      <c r="AFV1361" s="23"/>
      <c r="AFW1361" s="23"/>
      <c r="AFX1361" s="23"/>
      <c r="AFY1361" s="23"/>
      <c r="AFZ1361" s="23"/>
      <c r="AGA1361" s="23"/>
      <c r="AGB1361" s="23"/>
      <c r="AGC1361" s="23"/>
      <c r="AGD1361" s="23"/>
      <c r="AGE1361" s="23"/>
      <c r="AGF1361" s="23"/>
      <c r="AGG1361" s="23"/>
      <c r="AGH1361" s="23"/>
      <c r="AGI1361" s="23"/>
      <c r="AGJ1361" s="23"/>
      <c r="AGK1361" s="23"/>
      <c r="AGL1361" s="23"/>
      <c r="AGM1361" s="23"/>
      <c r="AGN1361" s="23"/>
      <c r="AGO1361" s="23"/>
      <c r="AGP1361" s="23"/>
      <c r="AGQ1361" s="23"/>
      <c r="AGR1361" s="23"/>
      <c r="AGS1361" s="23"/>
      <c r="AGT1361" s="23"/>
      <c r="AGU1361" s="23"/>
      <c r="AGV1361" s="23"/>
      <c r="AGW1361" s="23"/>
      <c r="AGX1361" s="23"/>
      <c r="AGY1361" s="23"/>
      <c r="AGZ1361" s="23"/>
      <c r="AHA1361" s="23"/>
      <c r="AHB1361" s="23"/>
      <c r="AHC1361" s="23"/>
      <c r="AHD1361" s="23"/>
      <c r="AHE1361" s="23"/>
      <c r="AHF1361" s="23"/>
      <c r="AHG1361" s="23"/>
      <c r="AHH1361" s="23"/>
      <c r="AHI1361" s="23"/>
      <c r="AHJ1361" s="23"/>
      <c r="AHK1361" s="23"/>
      <c r="AHL1361" s="23"/>
      <c r="AHM1361" s="23"/>
      <c r="AHN1361" s="23"/>
      <c r="AHO1361" s="23"/>
      <c r="AHP1361" s="23"/>
      <c r="AHQ1361" s="23"/>
      <c r="AHR1361" s="23"/>
      <c r="AHS1361" s="23"/>
      <c r="AHT1361" s="23"/>
      <c r="AHU1361" s="23"/>
      <c r="AHV1361" s="23"/>
      <c r="AHW1361" s="23"/>
      <c r="AHX1361" s="23"/>
      <c r="AHY1361" s="23"/>
      <c r="AHZ1361" s="23"/>
      <c r="AIA1361" s="23"/>
      <c r="AIB1361" s="23"/>
      <c r="AIC1361" s="23"/>
      <c r="AID1361" s="23"/>
      <c r="AIE1361" s="23"/>
      <c r="AIF1361" s="23"/>
      <c r="AIG1361" s="23"/>
      <c r="AIH1361" s="23"/>
      <c r="AII1361" s="23"/>
      <c r="AIJ1361" s="23"/>
      <c r="AIK1361" s="23"/>
      <c r="AIL1361" s="23"/>
      <c r="AIM1361" s="23"/>
      <c r="AIN1361" s="23"/>
      <c r="AIO1361" s="23"/>
      <c r="AIP1361" s="23"/>
      <c r="AIQ1361" s="23"/>
      <c r="AIR1361" s="23"/>
      <c r="AIS1361" s="23"/>
      <c r="AIT1361" s="23"/>
      <c r="AIU1361" s="23"/>
      <c r="AIV1361" s="23"/>
      <c r="AIW1361" s="23"/>
      <c r="AIX1361" s="23"/>
      <c r="AIY1361" s="23"/>
      <c r="AIZ1361" s="23"/>
      <c r="AJA1361" s="23"/>
      <c r="AJB1361" s="23"/>
      <c r="AJC1361" s="23"/>
      <c r="AJD1361" s="23"/>
      <c r="AJE1361" s="23"/>
      <c r="AJF1361" s="23"/>
      <c r="AJG1361" s="23"/>
      <c r="AJH1361" s="23"/>
      <c r="AJI1361" s="23"/>
      <c r="AJJ1361" s="23"/>
      <c r="AJK1361" s="23"/>
      <c r="AJL1361" s="23"/>
      <c r="AJM1361" s="23"/>
      <c r="AJN1361" s="23"/>
      <c r="AJO1361" s="23"/>
      <c r="AJP1361" s="23"/>
      <c r="AJQ1361" s="23"/>
      <c r="AJR1361" s="23"/>
      <c r="AJS1361" s="23"/>
      <c r="AJT1361" s="23"/>
      <c r="AJU1361" s="23"/>
      <c r="AJV1361" s="23"/>
      <c r="AJW1361" s="23"/>
      <c r="AJX1361" s="23"/>
      <c r="AJY1361" s="23"/>
      <c r="AJZ1361" s="23"/>
      <c r="AKA1361" s="23"/>
      <c r="AKB1361" s="23"/>
      <c r="AKC1361" s="23"/>
      <c r="AKD1361" s="23"/>
      <c r="AKE1361" s="23"/>
      <c r="AKF1361" s="23"/>
      <c r="AKG1361" s="23"/>
      <c r="AKH1361" s="23"/>
      <c r="AKI1361" s="23"/>
      <c r="AKJ1361" s="23"/>
      <c r="AKK1361" s="23"/>
      <c r="AKL1361" s="23"/>
      <c r="AKM1361" s="23"/>
      <c r="AKN1361" s="23"/>
      <c r="AKO1361" s="23"/>
      <c r="AKP1361" s="23"/>
      <c r="AKQ1361" s="23"/>
      <c r="AKR1361" s="23"/>
      <c r="AKS1361" s="23"/>
      <c r="AKT1361" s="23"/>
      <c r="AKU1361" s="23"/>
      <c r="AKV1361" s="23"/>
      <c r="AKW1361" s="23"/>
      <c r="AKX1361" s="23"/>
      <c r="AKY1361" s="23"/>
      <c r="AKZ1361" s="23"/>
      <c r="ALA1361" s="23"/>
      <c r="ALB1361" s="23"/>
      <c r="ALC1361" s="23"/>
      <c r="ALD1361" s="23"/>
      <c r="ALE1361" s="23"/>
      <c r="ALF1361" s="23"/>
      <c r="ALG1361" s="23"/>
      <c r="ALH1361" s="23"/>
      <c r="ALI1361" s="23"/>
      <c r="ALJ1361" s="23"/>
      <c r="ALK1361" s="23"/>
      <c r="ALL1361" s="23"/>
      <c r="ALM1361" s="23"/>
      <c r="ALN1361" s="23"/>
      <c r="ALO1361" s="23"/>
      <c r="ALP1361" s="23"/>
      <c r="ALQ1361" s="23"/>
      <c r="ALR1361" s="23"/>
      <c r="ALS1361" s="23"/>
      <c r="ALT1361" s="23"/>
      <c r="ALU1361" s="23"/>
      <c r="ALV1361" s="23"/>
      <c r="ALW1361" s="23"/>
      <c r="ALX1361" s="23"/>
      <c r="ALY1361" s="23"/>
      <c r="ALZ1361" s="23"/>
      <c r="AMA1361" s="23"/>
      <c r="AMB1361" s="23"/>
      <c r="AMC1361" s="23"/>
      <c r="AMD1361" s="23"/>
      <c r="AME1361" s="23"/>
      <c r="AMF1361" s="23"/>
      <c r="AMG1361" s="23"/>
      <c r="AMH1361" s="23"/>
      <c r="AMI1361" s="23"/>
      <c r="AMJ1361" s="23"/>
      <c r="AMK1361" s="23"/>
      <c r="AML1361" s="23"/>
      <c r="AMM1361" s="23"/>
      <c r="AMN1361" s="23"/>
      <c r="AMO1361" s="23"/>
      <c r="AMP1361" s="23"/>
      <c r="AMQ1361" s="23"/>
      <c r="AMR1361" s="23"/>
      <c r="AMS1361" s="23"/>
      <c r="AMT1361" s="23"/>
      <c r="AMU1361" s="23"/>
      <c r="AMV1361" s="23"/>
      <c r="AMW1361" s="23"/>
      <c r="AMX1361" s="23"/>
      <c r="AMY1361" s="23"/>
      <c r="AMZ1361" s="23"/>
      <c r="ANA1361" s="23"/>
      <c r="ANB1361" s="23"/>
      <c r="ANC1361" s="23"/>
      <c r="AND1361" s="23"/>
      <c r="ANE1361" s="23"/>
      <c r="ANF1361" s="23"/>
      <c r="ANG1361" s="23"/>
      <c r="ANH1361" s="23"/>
      <c r="ANI1361" s="23"/>
      <c r="ANJ1361" s="23"/>
      <c r="ANK1361" s="23"/>
      <c r="ANL1361" s="23"/>
      <c r="ANM1361" s="23"/>
      <c r="ANN1361" s="23"/>
      <c r="ANO1361" s="23"/>
      <c r="ANP1361" s="23"/>
      <c r="ANQ1361" s="23"/>
      <c r="ANR1361" s="23"/>
      <c r="ANS1361" s="23"/>
      <c r="ANT1361" s="23"/>
      <c r="ANU1361" s="23"/>
      <c r="ANV1361" s="23"/>
      <c r="ANW1361" s="23"/>
      <c r="ANX1361" s="23"/>
      <c r="ANY1361" s="23"/>
      <c r="ANZ1361" s="23"/>
      <c r="AOA1361" s="23"/>
      <c r="AOB1361" s="23"/>
      <c r="AOC1361" s="23"/>
      <c r="AOD1361" s="23"/>
      <c r="AOE1361" s="23"/>
      <c r="AOF1361" s="23"/>
      <c r="AOG1361" s="23"/>
      <c r="AOH1361" s="23"/>
      <c r="AOI1361" s="23"/>
      <c r="AOJ1361" s="23"/>
      <c r="AOK1361" s="23"/>
      <c r="AOL1361" s="23"/>
      <c r="AOM1361" s="23"/>
      <c r="AON1361" s="23"/>
      <c r="AOO1361" s="23"/>
      <c r="AOP1361" s="23"/>
      <c r="AOQ1361" s="23"/>
      <c r="AOR1361" s="23"/>
      <c r="AOS1361" s="23"/>
      <c r="AOT1361" s="23"/>
      <c r="AOU1361" s="23"/>
      <c r="AOV1361" s="23"/>
      <c r="AOW1361" s="23"/>
      <c r="AOX1361" s="23"/>
      <c r="AOY1361" s="23"/>
      <c r="AOZ1361" s="23"/>
      <c r="APA1361" s="23"/>
      <c r="APB1361" s="23"/>
      <c r="APC1361" s="23"/>
      <c r="APD1361" s="23"/>
      <c r="APE1361" s="23"/>
      <c r="APF1361" s="23"/>
      <c r="APG1361" s="23"/>
      <c r="APH1361" s="23"/>
      <c r="API1361" s="23"/>
      <c r="APJ1361" s="23"/>
      <c r="APK1361" s="23"/>
      <c r="APL1361" s="23"/>
      <c r="APM1361" s="23"/>
      <c r="APN1361" s="23"/>
      <c r="APO1361" s="23"/>
      <c r="APP1361" s="23"/>
      <c r="APQ1361" s="23"/>
      <c r="APR1361" s="23"/>
      <c r="APS1361" s="23"/>
      <c r="APT1361" s="23"/>
      <c r="APU1361" s="23"/>
      <c r="APV1361" s="23"/>
      <c r="APW1361" s="23"/>
      <c r="APX1361" s="23"/>
      <c r="APY1361" s="23"/>
      <c r="APZ1361" s="23"/>
      <c r="AQA1361" s="23"/>
      <c r="AQB1361" s="23"/>
      <c r="AQC1361" s="23"/>
      <c r="AQD1361" s="23"/>
      <c r="AQE1361" s="23"/>
      <c r="AQF1361" s="23"/>
      <c r="AQG1361" s="23"/>
      <c r="AQH1361" s="23"/>
      <c r="AQI1361" s="23"/>
      <c r="AQJ1361" s="23"/>
      <c r="AQK1361" s="23"/>
      <c r="AQL1361" s="23"/>
      <c r="AQM1361" s="23"/>
      <c r="AQN1361" s="23"/>
      <c r="AQO1361" s="23"/>
      <c r="AQP1361" s="23"/>
      <c r="AQQ1361" s="23"/>
      <c r="AQR1361" s="23"/>
      <c r="AQS1361" s="23"/>
      <c r="AQT1361" s="23"/>
      <c r="AQU1361" s="23"/>
      <c r="AQV1361" s="23"/>
      <c r="AQW1361" s="23"/>
      <c r="AQX1361" s="23"/>
      <c r="AQY1361" s="23"/>
      <c r="AQZ1361" s="23"/>
      <c r="ARA1361" s="23"/>
      <c r="ARB1361" s="23"/>
      <c r="ARC1361" s="23"/>
      <c r="ARD1361" s="23"/>
      <c r="ARE1361" s="23"/>
      <c r="ARF1361" s="23"/>
      <c r="ARG1361" s="23"/>
      <c r="ARH1361" s="23"/>
      <c r="ARI1361" s="23"/>
      <c r="ARJ1361" s="23"/>
      <c r="ARK1361" s="23"/>
      <c r="ARL1361" s="23"/>
      <c r="ARM1361" s="23"/>
      <c r="ARN1361" s="23"/>
      <c r="ARO1361" s="23"/>
      <c r="ARP1361" s="23"/>
      <c r="ARQ1361" s="23"/>
      <c r="ARR1361" s="23"/>
      <c r="ARS1361" s="23"/>
      <c r="ART1361" s="23"/>
      <c r="ARU1361" s="23"/>
      <c r="ARV1361" s="23"/>
      <c r="ARW1361" s="23"/>
      <c r="ARX1361" s="23"/>
      <c r="ARY1361" s="23"/>
      <c r="ARZ1361" s="23"/>
      <c r="ASA1361" s="23"/>
      <c r="ASB1361" s="23"/>
      <c r="ASC1361" s="23"/>
      <c r="ASD1361" s="23"/>
      <c r="ASE1361" s="23"/>
      <c r="ASF1361" s="23"/>
      <c r="ASG1361" s="23"/>
      <c r="ASH1361" s="23"/>
      <c r="ASI1361" s="23"/>
      <c r="ASJ1361" s="23"/>
      <c r="ASK1361" s="23"/>
      <c r="ASL1361" s="23"/>
      <c r="ASM1361" s="23"/>
      <c r="ASN1361" s="23"/>
      <c r="ASO1361" s="23"/>
      <c r="ASP1361" s="23"/>
      <c r="ASQ1361" s="23"/>
      <c r="ASR1361" s="23"/>
      <c r="ASS1361" s="23"/>
      <c r="AST1361" s="23"/>
      <c r="ASU1361" s="23"/>
      <c r="ASV1361" s="23"/>
      <c r="ASW1361" s="23"/>
      <c r="ASX1361" s="23"/>
      <c r="ASY1361" s="23"/>
      <c r="ASZ1361" s="23"/>
      <c r="ATA1361" s="23"/>
      <c r="ATB1361" s="23"/>
      <c r="ATC1361" s="23"/>
      <c r="ATD1361" s="23"/>
      <c r="ATE1361" s="23"/>
      <c r="ATF1361" s="23"/>
      <c r="ATG1361" s="23"/>
      <c r="ATH1361" s="23"/>
      <c r="ATI1361" s="23"/>
      <c r="ATJ1361" s="23"/>
      <c r="ATK1361" s="23"/>
      <c r="ATL1361" s="23"/>
      <c r="ATM1361" s="23"/>
      <c r="ATN1361" s="23"/>
      <c r="ATO1361" s="23"/>
      <c r="ATP1361" s="23"/>
      <c r="ATQ1361" s="23"/>
      <c r="ATR1361" s="23"/>
      <c r="ATS1361" s="23"/>
      <c r="ATT1361" s="23"/>
      <c r="ATU1361" s="23"/>
      <c r="ATV1361" s="23"/>
      <c r="ATW1361" s="23"/>
      <c r="ATX1361" s="23"/>
      <c r="ATY1361" s="23"/>
      <c r="ATZ1361" s="23"/>
      <c r="AUA1361" s="23"/>
      <c r="AUB1361" s="23"/>
      <c r="AUC1361" s="23"/>
      <c r="AUD1361" s="23"/>
      <c r="AUE1361" s="23"/>
      <c r="AUF1361" s="23"/>
      <c r="AUG1361" s="23"/>
      <c r="AUH1361" s="23"/>
      <c r="AUI1361" s="23"/>
      <c r="AUJ1361" s="23"/>
      <c r="AUK1361" s="23"/>
      <c r="AUL1361" s="23"/>
      <c r="AUM1361" s="23"/>
      <c r="AUN1361" s="23"/>
      <c r="AUO1361" s="23"/>
      <c r="AUP1361" s="23"/>
      <c r="AUQ1361" s="23"/>
      <c r="AUR1361" s="23"/>
      <c r="AUS1361" s="23"/>
      <c r="AUT1361" s="23"/>
      <c r="AUU1361" s="23"/>
      <c r="AUV1361" s="23"/>
      <c r="AUW1361" s="23"/>
      <c r="AUX1361" s="23"/>
      <c r="AUY1361" s="23"/>
      <c r="AUZ1361" s="23"/>
      <c r="AVA1361" s="23"/>
      <c r="AVB1361" s="23"/>
      <c r="AVC1361" s="23"/>
      <c r="AVD1361" s="23"/>
      <c r="AVE1361" s="23"/>
      <c r="AVF1361" s="23"/>
      <c r="AVG1361" s="23"/>
      <c r="AVH1361" s="23"/>
      <c r="AVI1361" s="23"/>
      <c r="AVJ1361" s="23"/>
      <c r="AVK1361" s="23"/>
      <c r="AVL1361" s="23"/>
      <c r="AVM1361" s="23"/>
      <c r="AVN1361" s="23"/>
      <c r="AVO1361" s="23"/>
      <c r="AVP1361" s="23"/>
      <c r="AVQ1361" s="23"/>
      <c r="AVR1361" s="23"/>
      <c r="AVS1361" s="23"/>
      <c r="AVT1361" s="23"/>
      <c r="AVU1361" s="23"/>
      <c r="AVV1361" s="23"/>
      <c r="AVW1361" s="23"/>
      <c r="AVX1361" s="23"/>
      <c r="AVY1361" s="23"/>
      <c r="AVZ1361" s="23"/>
      <c r="AWA1361" s="23"/>
      <c r="AWB1361" s="23"/>
      <c r="AWC1361" s="23"/>
      <c r="AWD1361" s="23"/>
      <c r="AWE1361" s="23"/>
      <c r="AWF1361" s="23"/>
      <c r="AWG1361" s="23"/>
      <c r="AWH1361" s="23"/>
      <c r="AWI1361" s="23"/>
      <c r="AWJ1361" s="23"/>
      <c r="AWK1361" s="23"/>
      <c r="AWL1361" s="23"/>
      <c r="AWM1361" s="23"/>
      <c r="AWN1361" s="23"/>
      <c r="AWO1361" s="23"/>
      <c r="AWP1361" s="23"/>
      <c r="AWQ1361" s="23"/>
      <c r="AWR1361" s="23"/>
      <c r="AWS1361" s="23"/>
      <c r="AWT1361" s="23"/>
      <c r="AWU1361" s="23"/>
      <c r="AWV1361" s="23"/>
      <c r="AWW1361" s="23"/>
      <c r="AWX1361" s="23"/>
      <c r="AWY1361" s="23"/>
      <c r="AWZ1361" s="23"/>
      <c r="AXA1361" s="23"/>
      <c r="AXB1361" s="23"/>
      <c r="AXC1361" s="23"/>
      <c r="AXD1361" s="23"/>
      <c r="AXE1361" s="23"/>
      <c r="AXF1361" s="23"/>
      <c r="AXG1361" s="23"/>
      <c r="AXH1361" s="23"/>
      <c r="AXI1361" s="23"/>
      <c r="AXJ1361" s="23"/>
      <c r="AXK1361" s="23"/>
      <c r="AXL1361" s="23"/>
      <c r="AXM1361" s="23"/>
      <c r="AXN1361" s="23"/>
      <c r="AXO1361" s="23"/>
      <c r="AXP1361" s="23"/>
      <c r="AXQ1361" s="23"/>
      <c r="AXR1361" s="23"/>
      <c r="AXS1361" s="23"/>
      <c r="AXT1361" s="23"/>
      <c r="AXU1361" s="23"/>
      <c r="AXV1361" s="23"/>
      <c r="AXW1361" s="23"/>
      <c r="AXX1361" s="23"/>
      <c r="AXY1361" s="23"/>
      <c r="AXZ1361" s="23"/>
      <c r="AYA1361" s="23"/>
      <c r="AYB1361" s="23"/>
      <c r="AYC1361" s="23"/>
      <c r="AYD1361" s="23"/>
      <c r="AYE1361" s="23"/>
      <c r="AYF1361" s="23"/>
      <c r="AYG1361" s="23"/>
      <c r="AYH1361" s="23"/>
      <c r="AYI1361" s="23"/>
      <c r="AYJ1361" s="23"/>
      <c r="AYK1361" s="23"/>
      <c r="AYL1361" s="23"/>
      <c r="AYM1361" s="23"/>
      <c r="AYN1361" s="23"/>
      <c r="AYO1361" s="23"/>
      <c r="AYP1361" s="23"/>
      <c r="AYQ1361" s="23"/>
      <c r="AYR1361" s="23"/>
      <c r="AYS1361" s="23"/>
      <c r="AYT1361" s="23"/>
      <c r="AYU1361" s="23"/>
      <c r="AYV1361" s="23"/>
      <c r="AYW1361" s="23"/>
      <c r="AYX1361" s="23"/>
      <c r="AYY1361" s="23"/>
      <c r="AYZ1361" s="23"/>
      <c r="AZA1361" s="23"/>
      <c r="AZB1361" s="23"/>
      <c r="AZC1361" s="23"/>
      <c r="AZD1361" s="23"/>
      <c r="AZE1361" s="23"/>
      <c r="AZF1361" s="23"/>
      <c r="AZG1361" s="23"/>
      <c r="AZH1361" s="23"/>
      <c r="AZI1361" s="23"/>
      <c r="AZJ1361" s="23"/>
      <c r="AZK1361" s="23"/>
      <c r="AZL1361" s="23"/>
      <c r="AZM1361" s="23"/>
      <c r="AZN1361" s="23"/>
      <c r="AZO1361" s="23"/>
      <c r="AZP1361" s="23"/>
      <c r="AZQ1361" s="23"/>
      <c r="AZR1361" s="23"/>
      <c r="AZS1361" s="23"/>
      <c r="AZT1361" s="23"/>
      <c r="AZU1361" s="23"/>
      <c r="AZV1361" s="23"/>
      <c r="AZW1361" s="23"/>
      <c r="AZX1361" s="23"/>
      <c r="AZY1361" s="23"/>
      <c r="AZZ1361" s="23"/>
      <c r="BAA1361" s="23"/>
      <c r="BAB1361" s="23"/>
      <c r="BAC1361" s="23"/>
      <c r="BAD1361" s="23"/>
      <c r="BAE1361" s="23"/>
      <c r="BAF1361" s="23"/>
      <c r="BAG1361" s="23"/>
      <c r="BAH1361" s="23"/>
      <c r="BAI1361" s="23"/>
      <c r="BAJ1361" s="23"/>
      <c r="BAK1361" s="23"/>
      <c r="BAL1361" s="23"/>
      <c r="BAM1361" s="23"/>
      <c r="BAN1361" s="23"/>
      <c r="BAO1361" s="23"/>
      <c r="BAP1361" s="23"/>
      <c r="BAQ1361" s="23"/>
      <c r="BAR1361" s="23"/>
      <c r="BAS1361" s="23"/>
      <c r="BAT1361" s="23"/>
      <c r="BAU1361" s="23"/>
      <c r="BAV1361" s="23"/>
      <c r="BAW1361" s="23"/>
      <c r="BAX1361" s="23"/>
      <c r="BAY1361" s="23"/>
      <c r="BAZ1361" s="23"/>
      <c r="BBA1361" s="23"/>
      <c r="BBB1361" s="23"/>
      <c r="BBC1361" s="23"/>
      <c r="BBD1361" s="23"/>
      <c r="BBE1361" s="23"/>
      <c r="BBF1361" s="23"/>
      <c r="BBG1361" s="23"/>
      <c r="BBH1361" s="23"/>
      <c r="BBI1361" s="23"/>
      <c r="BBJ1361" s="23"/>
      <c r="BBK1361" s="23"/>
      <c r="BBL1361" s="23"/>
      <c r="BBM1361" s="23"/>
      <c r="BBN1361" s="23"/>
      <c r="BBO1361" s="23"/>
      <c r="BBP1361" s="23"/>
      <c r="BBQ1361" s="23"/>
      <c r="BBR1361" s="23"/>
      <c r="BBS1361" s="23"/>
      <c r="BBT1361" s="23"/>
      <c r="BBU1361" s="23"/>
      <c r="BBV1361" s="23"/>
      <c r="BBW1361" s="23"/>
      <c r="BBX1361" s="23"/>
      <c r="BBY1361" s="23"/>
      <c r="BBZ1361" s="23"/>
      <c r="BCA1361" s="23"/>
      <c r="BCB1361" s="23"/>
      <c r="BCC1361" s="23"/>
      <c r="BCD1361" s="23"/>
      <c r="BCE1361" s="23"/>
      <c r="BCF1361" s="23"/>
      <c r="BCG1361" s="23"/>
      <c r="BCH1361" s="23"/>
      <c r="BCI1361" s="23"/>
      <c r="BCJ1361" s="23"/>
      <c r="BCK1361" s="23"/>
      <c r="BCL1361" s="23"/>
      <c r="BCM1361" s="23"/>
      <c r="BCN1361" s="23"/>
      <c r="BCO1361" s="23"/>
      <c r="BCP1361" s="23"/>
      <c r="BCQ1361" s="23"/>
      <c r="BCR1361" s="23"/>
      <c r="BCS1361" s="23"/>
      <c r="BCT1361" s="23"/>
      <c r="BCU1361" s="23"/>
      <c r="BCV1361" s="23"/>
      <c r="BCW1361" s="23"/>
      <c r="BCX1361" s="23"/>
      <c r="BCY1361" s="23"/>
      <c r="BCZ1361" s="23"/>
      <c r="BDA1361" s="23"/>
      <c r="BDB1361" s="23"/>
      <c r="BDC1361" s="23"/>
      <c r="BDD1361" s="23"/>
      <c r="BDE1361" s="23"/>
      <c r="BDF1361" s="23"/>
      <c r="BDG1361" s="23"/>
      <c r="BDH1361" s="23"/>
      <c r="BDI1361" s="23"/>
      <c r="BDJ1361" s="23"/>
      <c r="BDK1361" s="23"/>
      <c r="BDL1361" s="23"/>
      <c r="BDM1361" s="23"/>
      <c r="BDN1361" s="23"/>
      <c r="BDO1361" s="23"/>
      <c r="BDP1361" s="23"/>
      <c r="BDQ1361" s="23"/>
      <c r="BDR1361" s="23"/>
      <c r="BDS1361" s="23"/>
      <c r="BDT1361" s="23"/>
      <c r="BDU1361" s="23"/>
      <c r="BDV1361" s="23"/>
      <c r="BDW1361" s="23"/>
      <c r="BDX1361" s="23"/>
      <c r="BDY1361" s="23"/>
      <c r="BDZ1361" s="23"/>
      <c r="BEA1361" s="23"/>
      <c r="BEB1361" s="23"/>
      <c r="BEC1361" s="23"/>
      <c r="BED1361" s="23"/>
      <c r="BEE1361" s="23"/>
      <c r="BEF1361" s="23"/>
      <c r="BEG1361" s="23"/>
      <c r="BEH1361" s="23"/>
      <c r="BEI1361" s="23"/>
      <c r="BEJ1361" s="23"/>
      <c r="BEK1361" s="23"/>
      <c r="BEL1361" s="23"/>
      <c r="BEM1361" s="23"/>
      <c r="BEN1361" s="23"/>
      <c r="BEO1361" s="23"/>
      <c r="BEP1361" s="23"/>
      <c r="BEQ1361" s="23"/>
      <c r="BER1361" s="23"/>
      <c r="BES1361" s="23"/>
      <c r="BET1361" s="23"/>
      <c r="BEU1361" s="23"/>
      <c r="BEV1361" s="23"/>
      <c r="BEW1361" s="23"/>
      <c r="BEX1361" s="23"/>
      <c r="BEY1361" s="23"/>
      <c r="BEZ1361" s="23"/>
      <c r="BFA1361" s="23"/>
      <c r="BFB1361" s="23"/>
      <c r="BFC1361" s="23"/>
      <c r="BFD1361" s="23"/>
      <c r="BFE1361" s="23"/>
      <c r="BFF1361" s="23"/>
      <c r="BFG1361" s="23"/>
      <c r="BFH1361" s="23"/>
      <c r="BFI1361" s="23"/>
      <c r="BFJ1361" s="23"/>
      <c r="BFK1361" s="23"/>
      <c r="BFL1361" s="23"/>
      <c r="BFM1361" s="23"/>
      <c r="BFN1361" s="23"/>
      <c r="BFO1361" s="23"/>
      <c r="BFP1361" s="23"/>
      <c r="BFQ1361" s="23"/>
      <c r="BFR1361" s="23"/>
      <c r="BFS1361" s="23"/>
      <c r="BFT1361" s="23"/>
      <c r="BFU1361" s="23"/>
      <c r="BFV1361" s="23"/>
      <c r="BFW1361" s="23"/>
      <c r="BFX1361" s="23"/>
      <c r="BFY1361" s="23"/>
      <c r="BFZ1361" s="23"/>
      <c r="BGA1361" s="23"/>
      <c r="BGB1361" s="23"/>
      <c r="BGC1361" s="23"/>
      <c r="BGD1361" s="23"/>
      <c r="BGE1361" s="23"/>
      <c r="BGF1361" s="23"/>
      <c r="BGG1361" s="23"/>
      <c r="BGH1361" s="23"/>
      <c r="BGI1361" s="23"/>
      <c r="BGJ1361" s="23"/>
      <c r="BGK1361" s="23"/>
      <c r="BGL1361" s="23"/>
      <c r="BGM1361" s="23"/>
      <c r="BGN1361" s="23"/>
      <c r="BGO1361" s="23"/>
      <c r="BGP1361" s="23"/>
      <c r="BGQ1361" s="23"/>
      <c r="BGR1361" s="23"/>
      <c r="BGS1361" s="23"/>
      <c r="BGT1361" s="23"/>
      <c r="BGU1361" s="23"/>
      <c r="BGV1361" s="23"/>
      <c r="BGW1361" s="23"/>
      <c r="BGX1361" s="23"/>
      <c r="BGY1361" s="23"/>
      <c r="BGZ1361" s="23"/>
      <c r="BHA1361" s="23"/>
      <c r="BHB1361" s="23"/>
      <c r="BHC1361" s="23"/>
      <c r="BHD1361" s="23"/>
      <c r="BHE1361" s="23"/>
      <c r="BHF1361" s="23"/>
      <c r="BHG1361" s="23"/>
      <c r="BHH1361" s="23"/>
      <c r="BHI1361" s="23"/>
      <c r="BHJ1361" s="23"/>
      <c r="BHK1361" s="23"/>
      <c r="BHL1361" s="23"/>
      <c r="BHM1361" s="23"/>
      <c r="BHN1361" s="23"/>
      <c r="BHO1361" s="23"/>
      <c r="BHP1361" s="23"/>
      <c r="BHQ1361" s="23"/>
      <c r="BHR1361" s="23"/>
      <c r="BHS1361" s="23"/>
      <c r="BHT1361" s="23"/>
      <c r="BHU1361" s="23"/>
      <c r="BHV1361" s="23"/>
      <c r="BHW1361" s="23"/>
      <c r="BHX1361" s="23"/>
      <c r="BHY1361" s="23"/>
      <c r="BHZ1361" s="23"/>
      <c r="BIA1361" s="23"/>
      <c r="BIB1361" s="23"/>
      <c r="BIC1361" s="23"/>
      <c r="BID1361" s="23"/>
      <c r="BIE1361" s="23"/>
      <c r="BIF1361" s="23"/>
      <c r="BIG1361" s="23"/>
      <c r="BIH1361" s="23"/>
      <c r="BII1361" s="23"/>
      <c r="BIJ1361" s="23"/>
      <c r="BIK1361" s="23"/>
      <c r="BIL1361" s="23"/>
      <c r="BIM1361" s="23"/>
      <c r="BIN1361" s="23"/>
      <c r="BIO1361" s="23"/>
      <c r="BIP1361" s="23"/>
      <c r="BIQ1361" s="23"/>
      <c r="BIR1361" s="23"/>
      <c r="BIS1361" s="23"/>
      <c r="BIT1361" s="23"/>
      <c r="BIU1361" s="23"/>
      <c r="BIV1361" s="23"/>
      <c r="BIW1361" s="23"/>
      <c r="BIX1361" s="23"/>
      <c r="BIY1361" s="23"/>
      <c r="BIZ1361" s="23"/>
      <c r="BJA1361" s="23"/>
      <c r="BJB1361" s="23"/>
      <c r="BJC1361" s="23"/>
      <c r="BJD1361" s="23"/>
      <c r="BJE1361" s="23"/>
      <c r="BJF1361" s="23"/>
      <c r="BJG1361" s="23"/>
      <c r="BJH1361" s="23"/>
      <c r="BJI1361" s="23"/>
      <c r="BJJ1361" s="23"/>
      <c r="BJK1361" s="23"/>
      <c r="BJL1361" s="23"/>
      <c r="BJM1361" s="23"/>
      <c r="BJN1361" s="23"/>
      <c r="BJO1361" s="23"/>
      <c r="BJP1361" s="23"/>
      <c r="BJQ1361" s="23"/>
      <c r="BJR1361" s="23"/>
      <c r="BJS1361" s="23"/>
      <c r="BJT1361" s="23"/>
      <c r="BJU1361" s="23"/>
      <c r="BJV1361" s="23"/>
      <c r="BJW1361" s="23"/>
      <c r="BJX1361" s="23"/>
      <c r="BJY1361" s="23"/>
      <c r="BJZ1361" s="23"/>
      <c r="BKA1361" s="23"/>
      <c r="BKB1361" s="23"/>
      <c r="BKC1361" s="23"/>
      <c r="BKD1361" s="23"/>
      <c r="BKE1361" s="23"/>
      <c r="BKF1361" s="23"/>
      <c r="BKG1361" s="23"/>
      <c r="BKH1361" s="23"/>
      <c r="BKI1361" s="23"/>
      <c r="BKJ1361" s="23"/>
      <c r="BKK1361" s="23"/>
      <c r="BKL1361" s="23"/>
      <c r="BKM1361" s="23"/>
      <c r="BKN1361" s="23"/>
      <c r="BKO1361" s="23"/>
      <c r="BKP1361" s="23"/>
      <c r="BKQ1361" s="23"/>
      <c r="BKR1361" s="23"/>
      <c r="BKS1361" s="23"/>
      <c r="BKT1361" s="23"/>
      <c r="BKU1361" s="23"/>
      <c r="BKV1361" s="23"/>
      <c r="BKW1361" s="23"/>
      <c r="BKX1361" s="23"/>
      <c r="BKY1361" s="23"/>
      <c r="BKZ1361" s="23"/>
      <c r="BLA1361" s="23"/>
      <c r="BLB1361" s="23"/>
      <c r="BLC1361" s="23"/>
      <c r="BLD1361" s="23"/>
      <c r="BLE1361" s="23"/>
      <c r="BLF1361" s="23"/>
      <c r="BLG1361" s="23"/>
      <c r="BLH1361" s="23"/>
      <c r="BLI1361" s="23"/>
      <c r="BLJ1361" s="23"/>
      <c r="BLK1361" s="23"/>
      <c r="BLL1361" s="23"/>
      <c r="BLM1361" s="23"/>
      <c r="BLN1361" s="23"/>
      <c r="BLO1361" s="23"/>
      <c r="BLP1361" s="23"/>
      <c r="BLQ1361" s="23"/>
      <c r="BLR1361" s="23"/>
      <c r="BLS1361" s="23"/>
      <c r="BLT1361" s="23"/>
      <c r="BLU1361" s="23"/>
      <c r="BLV1361" s="23"/>
      <c r="BLW1361" s="23"/>
      <c r="BLX1361" s="23"/>
      <c r="BLY1361" s="23"/>
      <c r="BLZ1361" s="23"/>
      <c r="BMA1361" s="23"/>
      <c r="BMB1361" s="23"/>
      <c r="BMC1361" s="23"/>
      <c r="BMD1361" s="23"/>
      <c r="BME1361" s="23"/>
      <c r="BMF1361" s="23"/>
      <c r="BMG1361" s="23"/>
      <c r="BMH1361" s="23"/>
      <c r="BMI1361" s="23"/>
      <c r="BMJ1361" s="23"/>
      <c r="BMK1361" s="23"/>
      <c r="BML1361" s="23"/>
      <c r="BMM1361" s="23"/>
      <c r="BMN1361" s="23"/>
      <c r="BMO1361" s="23"/>
      <c r="BMP1361" s="23"/>
      <c r="BMQ1361" s="23"/>
      <c r="BMR1361" s="23"/>
      <c r="BMS1361" s="23"/>
      <c r="BMT1361" s="23"/>
      <c r="BMU1361" s="23"/>
      <c r="BMV1361" s="23"/>
      <c r="BMW1361" s="23"/>
      <c r="BMX1361" s="23"/>
      <c r="BMY1361" s="23"/>
      <c r="BMZ1361" s="23"/>
      <c r="BNA1361" s="23"/>
      <c r="BNB1361" s="23"/>
      <c r="BNC1361" s="23"/>
      <c r="BND1361" s="23"/>
      <c r="BNE1361" s="23"/>
      <c r="BNF1361" s="23"/>
      <c r="BNG1361" s="23"/>
      <c r="BNH1361" s="23"/>
      <c r="BNI1361" s="23"/>
      <c r="BNJ1361" s="23"/>
      <c r="BNK1361" s="23"/>
      <c r="BNL1361" s="23"/>
      <c r="BNM1361" s="23"/>
      <c r="BNN1361" s="23"/>
      <c r="BNO1361" s="23"/>
      <c r="BNP1361" s="23"/>
      <c r="BNQ1361" s="23"/>
      <c r="BNR1361" s="23"/>
      <c r="BNS1361" s="23"/>
      <c r="BNT1361" s="23"/>
      <c r="BNU1361" s="23"/>
      <c r="BNV1361" s="23"/>
      <c r="BNW1361" s="23"/>
      <c r="BNX1361" s="23"/>
      <c r="BNY1361" s="23"/>
      <c r="BNZ1361" s="23"/>
      <c r="BOA1361" s="23"/>
      <c r="BOB1361" s="23"/>
      <c r="BOC1361" s="23"/>
      <c r="BOD1361" s="23"/>
      <c r="BOE1361" s="23"/>
      <c r="BOF1361" s="23"/>
      <c r="BOG1361" s="23"/>
      <c r="BOH1361" s="23"/>
      <c r="BOI1361" s="23"/>
      <c r="BOJ1361" s="23"/>
      <c r="BOK1361" s="23"/>
      <c r="BOL1361" s="23"/>
      <c r="BOM1361" s="23"/>
      <c r="BON1361" s="23"/>
      <c r="BOO1361" s="23"/>
      <c r="BOP1361" s="23"/>
      <c r="BOQ1361" s="23"/>
      <c r="BOR1361" s="23"/>
      <c r="BOS1361" s="23"/>
      <c r="BOT1361" s="23"/>
      <c r="BOU1361" s="23"/>
      <c r="BOV1361" s="23"/>
      <c r="BOW1361" s="23"/>
      <c r="BOX1361" s="23"/>
      <c r="BOY1361" s="23"/>
      <c r="BOZ1361" s="23"/>
      <c r="BPA1361" s="23"/>
      <c r="BPB1361" s="23"/>
      <c r="BPC1361" s="23"/>
      <c r="BPD1361" s="23"/>
      <c r="BPE1361" s="23"/>
      <c r="BPF1361" s="23"/>
      <c r="BPG1361" s="23"/>
      <c r="BPH1361" s="23"/>
      <c r="BPI1361" s="23"/>
      <c r="BPJ1361" s="23"/>
      <c r="BPK1361" s="23"/>
      <c r="BPL1361" s="23"/>
      <c r="BPM1361" s="23"/>
      <c r="BPN1361" s="23"/>
      <c r="BPO1361" s="23"/>
      <c r="BPP1361" s="23"/>
      <c r="BPQ1361" s="23"/>
      <c r="BPR1361" s="23"/>
      <c r="BPS1361" s="23"/>
      <c r="BPT1361" s="23"/>
      <c r="BPU1361" s="23"/>
      <c r="BPV1361" s="23"/>
      <c r="BPW1361" s="23"/>
      <c r="BPX1361" s="23"/>
      <c r="BPY1361" s="23"/>
      <c r="BPZ1361" s="23"/>
      <c r="BQA1361" s="23"/>
      <c r="BQB1361" s="23"/>
      <c r="BQC1361" s="23"/>
      <c r="BQD1361" s="23"/>
      <c r="BQE1361" s="23"/>
      <c r="BQF1361" s="23"/>
      <c r="BQG1361" s="23"/>
      <c r="BQH1361" s="23"/>
      <c r="BQI1361" s="23"/>
      <c r="BQJ1361" s="23"/>
      <c r="BQK1361" s="23"/>
      <c r="BQL1361" s="23"/>
      <c r="BQM1361" s="23"/>
      <c r="BQN1361" s="23"/>
      <c r="BQO1361" s="23"/>
      <c r="BQP1361" s="23"/>
      <c r="BQQ1361" s="23"/>
      <c r="BQR1361" s="23"/>
      <c r="BQS1361" s="23"/>
      <c r="BQT1361" s="23"/>
      <c r="BQU1361" s="23"/>
      <c r="BQV1361" s="23"/>
      <c r="BQW1361" s="23"/>
      <c r="BQX1361" s="23"/>
      <c r="BQY1361" s="23"/>
      <c r="BQZ1361" s="23"/>
      <c r="BRA1361" s="23"/>
      <c r="BRB1361" s="23"/>
      <c r="BRC1361" s="23"/>
      <c r="BRD1361" s="23"/>
      <c r="BRE1361" s="23"/>
      <c r="BRF1361" s="23"/>
      <c r="BRG1361" s="23"/>
      <c r="BRH1361" s="23"/>
      <c r="BRI1361" s="23"/>
      <c r="BRJ1361" s="23"/>
      <c r="BRK1361" s="23"/>
      <c r="BRL1361" s="23"/>
      <c r="BRM1361" s="23"/>
      <c r="BRN1361" s="23"/>
      <c r="BRO1361" s="23"/>
      <c r="BRP1361" s="23"/>
      <c r="BRQ1361" s="23"/>
      <c r="BRR1361" s="23"/>
      <c r="BRS1361" s="23"/>
      <c r="BRT1361" s="23"/>
      <c r="BRU1361" s="23"/>
      <c r="BRV1361" s="23"/>
      <c r="BRW1361" s="23"/>
      <c r="BRX1361" s="23"/>
      <c r="BRY1361" s="23"/>
      <c r="BRZ1361" s="23"/>
      <c r="BSA1361" s="23"/>
      <c r="BSB1361" s="23"/>
      <c r="BSC1361" s="23"/>
      <c r="BSD1361" s="23"/>
      <c r="BSE1361" s="23"/>
      <c r="BSF1361" s="23"/>
      <c r="BSG1361" s="23"/>
      <c r="BSH1361" s="23"/>
      <c r="BSI1361" s="23"/>
      <c r="BSJ1361" s="23"/>
      <c r="BSK1361" s="23"/>
      <c r="BSL1361" s="23"/>
      <c r="BSM1361" s="23"/>
      <c r="BSN1361" s="23"/>
      <c r="BSO1361" s="23"/>
      <c r="BSP1361" s="23"/>
      <c r="BSQ1361" s="23"/>
      <c r="BSR1361" s="23"/>
      <c r="BSS1361" s="23"/>
      <c r="BST1361" s="23"/>
      <c r="BSU1361" s="23"/>
      <c r="BSV1361" s="23"/>
      <c r="BSW1361" s="23"/>
      <c r="BSX1361" s="23"/>
      <c r="BSY1361" s="23"/>
      <c r="BSZ1361" s="23"/>
      <c r="BTA1361" s="23"/>
      <c r="BTB1361" s="23"/>
      <c r="BTC1361" s="23"/>
      <c r="BTD1361" s="23"/>
      <c r="BTE1361" s="23"/>
      <c r="BTF1361" s="23"/>
      <c r="BTG1361" s="23"/>
      <c r="BTH1361" s="23"/>
      <c r="BTI1361" s="23"/>
      <c r="BTJ1361" s="23"/>
      <c r="BTK1361" s="23"/>
      <c r="BTL1361" s="23"/>
      <c r="BTM1361" s="23"/>
      <c r="BTN1361" s="23"/>
      <c r="BTO1361" s="23"/>
      <c r="BTP1361" s="23"/>
      <c r="BTQ1361" s="23"/>
      <c r="BTR1361" s="23"/>
      <c r="BTS1361" s="23"/>
      <c r="BTT1361" s="23"/>
      <c r="BTU1361" s="23"/>
      <c r="BTV1361" s="23"/>
      <c r="BTW1361" s="23"/>
      <c r="BTX1361" s="23"/>
      <c r="BTY1361" s="23"/>
      <c r="BTZ1361" s="23"/>
      <c r="BUA1361" s="23"/>
      <c r="BUB1361" s="23"/>
      <c r="BUC1361" s="23"/>
      <c r="BUD1361" s="23"/>
      <c r="BUE1361" s="23"/>
      <c r="BUF1361" s="23"/>
      <c r="BUG1361" s="23"/>
      <c r="BUH1361" s="23"/>
      <c r="BUI1361" s="23"/>
      <c r="BUJ1361" s="23"/>
      <c r="BUK1361" s="23"/>
      <c r="BUL1361" s="23"/>
      <c r="BUM1361" s="23"/>
      <c r="BUN1361" s="23"/>
      <c r="BUO1361" s="23"/>
      <c r="BUP1361" s="23"/>
      <c r="BUQ1361" s="23"/>
      <c r="BUR1361" s="23"/>
      <c r="BUS1361" s="23"/>
      <c r="BUT1361" s="23"/>
      <c r="BUU1361" s="23"/>
      <c r="BUV1361" s="23"/>
      <c r="BUW1361" s="23"/>
      <c r="BUX1361" s="23"/>
      <c r="BUY1361" s="23"/>
      <c r="BUZ1361" s="23"/>
      <c r="BVA1361" s="23"/>
      <c r="BVB1361" s="23"/>
      <c r="BVC1361" s="23"/>
      <c r="BVD1361" s="23"/>
      <c r="BVE1361" s="23"/>
      <c r="BVF1361" s="23"/>
      <c r="BVG1361" s="23"/>
      <c r="BVH1361" s="23"/>
      <c r="BVI1361" s="23"/>
      <c r="BVJ1361" s="23"/>
      <c r="BVK1361" s="23"/>
      <c r="BVL1361" s="23"/>
      <c r="BVM1361" s="23"/>
      <c r="BVN1361" s="23"/>
      <c r="BVO1361" s="23"/>
      <c r="BVP1361" s="23"/>
      <c r="BVQ1361" s="23"/>
      <c r="BVR1361" s="23"/>
      <c r="BVS1361" s="23"/>
      <c r="BVT1361" s="23"/>
      <c r="BVU1361" s="23"/>
      <c r="BVV1361" s="23"/>
      <c r="BVW1361" s="23"/>
      <c r="BVX1361" s="23"/>
      <c r="BVY1361" s="23"/>
      <c r="BVZ1361" s="23"/>
      <c r="BWA1361" s="23"/>
      <c r="BWB1361" s="23"/>
      <c r="BWC1361" s="23"/>
      <c r="BWD1361" s="23"/>
      <c r="BWE1361" s="23"/>
      <c r="BWF1361" s="23"/>
      <c r="BWG1361" s="23"/>
      <c r="BWH1361" s="23"/>
      <c r="BWI1361" s="23"/>
      <c r="BWJ1361" s="23"/>
      <c r="BWK1361" s="23"/>
      <c r="BWL1361" s="23"/>
      <c r="BWM1361" s="23"/>
      <c r="BWN1361" s="23"/>
      <c r="BWO1361" s="23"/>
      <c r="BWP1361" s="23"/>
      <c r="BWQ1361" s="23"/>
      <c r="BWR1361" s="23"/>
      <c r="BWS1361" s="23"/>
      <c r="BWT1361" s="23"/>
      <c r="BWU1361" s="23"/>
      <c r="BWV1361" s="23"/>
      <c r="BWW1361" s="23"/>
      <c r="BWX1361" s="23"/>
      <c r="BWY1361" s="23"/>
      <c r="BWZ1361" s="23"/>
      <c r="BXA1361" s="23"/>
      <c r="BXB1361" s="23"/>
      <c r="BXC1361" s="23"/>
      <c r="BXD1361" s="23"/>
      <c r="BXE1361" s="23"/>
      <c r="BXF1361" s="23"/>
      <c r="BXG1361" s="23"/>
      <c r="BXH1361" s="23"/>
      <c r="BXI1361" s="23"/>
      <c r="BXJ1361" s="23"/>
      <c r="BXK1361" s="23"/>
      <c r="BXL1361" s="23"/>
      <c r="BXM1361" s="23"/>
      <c r="BXN1361" s="23"/>
      <c r="BXO1361" s="23"/>
      <c r="BXP1361" s="23"/>
      <c r="BXQ1361" s="23"/>
      <c r="BXR1361" s="23"/>
      <c r="BXS1361" s="23"/>
      <c r="BXT1361" s="23"/>
      <c r="BXU1361" s="23"/>
      <c r="BXV1361" s="23"/>
      <c r="BXW1361" s="23"/>
      <c r="BXX1361" s="23"/>
      <c r="BXY1361" s="23"/>
      <c r="BXZ1361" s="23"/>
      <c r="BYA1361" s="23"/>
      <c r="BYB1361" s="23"/>
      <c r="BYC1361" s="23"/>
      <c r="BYD1361" s="23"/>
      <c r="BYE1361" s="23"/>
      <c r="BYF1361" s="23"/>
      <c r="BYG1361" s="23"/>
      <c r="BYH1361" s="23"/>
      <c r="BYI1361" s="23"/>
      <c r="BYJ1361" s="23"/>
      <c r="BYK1361" s="23"/>
      <c r="BYL1361" s="23"/>
      <c r="BYM1361" s="23"/>
      <c r="BYN1361" s="23"/>
      <c r="BYO1361" s="23"/>
      <c r="BYP1361" s="23"/>
      <c r="BYQ1361" s="23"/>
      <c r="BYR1361" s="23"/>
      <c r="BYS1361" s="23"/>
      <c r="BYT1361" s="23"/>
      <c r="BYU1361" s="23"/>
      <c r="BYV1361" s="23"/>
      <c r="BYW1361" s="23"/>
      <c r="BYX1361" s="23"/>
      <c r="BYY1361" s="23"/>
      <c r="BYZ1361" s="23"/>
      <c r="BZA1361" s="23"/>
      <c r="BZB1361" s="23"/>
      <c r="BZC1361" s="23"/>
      <c r="BZD1361" s="23"/>
      <c r="BZE1361" s="23"/>
      <c r="BZF1361" s="23"/>
      <c r="BZG1361" s="23"/>
      <c r="BZH1361" s="23"/>
      <c r="BZI1361" s="23"/>
      <c r="BZJ1361" s="23"/>
      <c r="BZK1361" s="23"/>
      <c r="BZL1361" s="23"/>
      <c r="BZM1361" s="23"/>
      <c r="BZN1361" s="23"/>
      <c r="BZO1361" s="23"/>
      <c r="BZP1361" s="23"/>
      <c r="BZQ1361" s="23"/>
      <c r="BZR1361" s="23"/>
      <c r="BZS1361" s="23"/>
      <c r="BZT1361" s="23"/>
      <c r="BZU1361" s="23"/>
      <c r="BZV1361" s="23"/>
      <c r="BZW1361" s="23"/>
      <c r="BZX1361" s="23"/>
      <c r="BZY1361" s="23"/>
      <c r="BZZ1361" s="23"/>
      <c r="CAA1361" s="23"/>
      <c r="CAB1361" s="23"/>
      <c r="CAC1361" s="23"/>
      <c r="CAD1361" s="23"/>
      <c r="CAE1361" s="23"/>
      <c r="CAF1361" s="23"/>
      <c r="CAG1361" s="23"/>
      <c r="CAH1361" s="23"/>
      <c r="CAI1361" s="23"/>
      <c r="CAJ1361" s="23"/>
      <c r="CAK1361" s="23"/>
      <c r="CAL1361" s="23"/>
      <c r="CAM1361" s="23"/>
      <c r="CAN1361" s="23"/>
      <c r="CAO1361" s="23"/>
      <c r="CAP1361" s="23"/>
      <c r="CAQ1361" s="23"/>
      <c r="CAR1361" s="23"/>
      <c r="CAS1361" s="23"/>
      <c r="CAT1361" s="23"/>
      <c r="CAU1361" s="23"/>
      <c r="CAV1361" s="23"/>
      <c r="CAW1361" s="23"/>
      <c r="CAX1361" s="23"/>
      <c r="CAY1361" s="23"/>
      <c r="CAZ1361" s="23"/>
      <c r="CBA1361" s="23"/>
      <c r="CBB1361" s="23"/>
      <c r="CBC1361" s="23"/>
      <c r="CBD1361" s="23"/>
      <c r="CBE1361" s="23"/>
      <c r="CBF1361" s="23"/>
      <c r="CBG1361" s="23"/>
      <c r="CBH1361" s="23"/>
      <c r="CBI1361" s="23"/>
      <c r="CBJ1361" s="23"/>
      <c r="CBK1361" s="23"/>
      <c r="CBL1361" s="23"/>
      <c r="CBM1361" s="23"/>
      <c r="CBN1361" s="23"/>
      <c r="CBO1361" s="23"/>
      <c r="CBP1361" s="23"/>
      <c r="CBQ1361" s="23"/>
      <c r="CBR1361" s="23"/>
      <c r="CBS1361" s="23"/>
      <c r="CBT1361" s="23"/>
      <c r="CBU1361" s="23"/>
      <c r="CBV1361" s="23"/>
      <c r="CBW1361" s="23"/>
      <c r="CBX1361" s="23"/>
      <c r="CBY1361" s="23"/>
      <c r="CBZ1361" s="23"/>
      <c r="CCA1361" s="23"/>
      <c r="CCB1361" s="23"/>
      <c r="CCC1361" s="23"/>
      <c r="CCD1361" s="23"/>
      <c r="CCE1361" s="23"/>
      <c r="CCF1361" s="23"/>
      <c r="CCG1361" s="23"/>
      <c r="CCH1361" s="23"/>
      <c r="CCI1361" s="23"/>
      <c r="CCJ1361" s="23"/>
      <c r="CCK1361" s="23"/>
      <c r="CCL1361" s="23"/>
      <c r="CCM1361" s="23"/>
      <c r="CCN1361" s="23"/>
      <c r="CCO1361" s="23"/>
      <c r="CCP1361" s="23"/>
      <c r="CCQ1361" s="23"/>
      <c r="CCR1361" s="23"/>
      <c r="CCS1361" s="23"/>
      <c r="CCT1361" s="23"/>
      <c r="CCU1361" s="23"/>
      <c r="CCV1361" s="23"/>
      <c r="CCW1361" s="23"/>
      <c r="CCX1361" s="23"/>
      <c r="CCY1361" s="23"/>
      <c r="CCZ1361" s="23"/>
      <c r="CDA1361" s="23"/>
      <c r="CDB1361" s="23"/>
      <c r="CDC1361" s="23"/>
      <c r="CDD1361" s="23"/>
      <c r="CDE1361" s="23"/>
      <c r="CDF1361" s="23"/>
      <c r="CDG1361" s="23"/>
      <c r="CDH1361" s="23"/>
      <c r="CDI1361" s="23"/>
      <c r="CDJ1361" s="23"/>
      <c r="CDK1361" s="23"/>
      <c r="CDL1361" s="23"/>
      <c r="CDM1361" s="23"/>
      <c r="CDN1361" s="23"/>
      <c r="CDO1361" s="23"/>
      <c r="CDP1361" s="23"/>
      <c r="CDQ1361" s="23"/>
      <c r="CDR1361" s="23"/>
      <c r="CDS1361" s="23"/>
      <c r="CDT1361" s="23"/>
      <c r="CDU1361" s="23"/>
      <c r="CDV1361" s="23"/>
      <c r="CDW1361" s="23"/>
      <c r="CDX1361" s="23"/>
      <c r="CDY1361" s="23"/>
      <c r="CDZ1361" s="23"/>
      <c r="CEA1361" s="23"/>
      <c r="CEB1361" s="23"/>
      <c r="CEC1361" s="23"/>
      <c r="CED1361" s="23"/>
      <c r="CEE1361" s="23"/>
      <c r="CEF1361" s="23"/>
      <c r="CEG1361" s="23"/>
      <c r="CEH1361" s="23"/>
      <c r="CEI1361" s="23"/>
      <c r="CEJ1361" s="23"/>
      <c r="CEK1361" s="23"/>
      <c r="CEL1361" s="23"/>
      <c r="CEM1361" s="23"/>
      <c r="CEN1361" s="23"/>
      <c r="CEO1361" s="23"/>
      <c r="CEP1361" s="23"/>
      <c r="CEQ1361" s="23"/>
      <c r="CER1361" s="23"/>
      <c r="CES1361" s="23"/>
      <c r="CET1361" s="23"/>
      <c r="CEU1361" s="23"/>
      <c r="CEV1361" s="23"/>
      <c r="CEW1361" s="23"/>
      <c r="CEX1361" s="23"/>
      <c r="CEY1361" s="23"/>
      <c r="CEZ1361" s="23"/>
      <c r="CFA1361" s="23"/>
      <c r="CFB1361" s="23"/>
      <c r="CFC1361" s="23"/>
      <c r="CFD1361" s="23"/>
      <c r="CFE1361" s="23"/>
      <c r="CFF1361" s="23"/>
      <c r="CFG1361" s="23"/>
      <c r="CFH1361" s="23"/>
      <c r="CFI1361" s="23"/>
      <c r="CFJ1361" s="23"/>
      <c r="CFK1361" s="23"/>
      <c r="CFL1361" s="23"/>
      <c r="CFM1361" s="23"/>
      <c r="CFN1361" s="23"/>
      <c r="CFO1361" s="23"/>
      <c r="CFP1361" s="23"/>
      <c r="CFQ1361" s="23"/>
      <c r="CFR1361" s="23"/>
      <c r="CFS1361" s="23"/>
      <c r="CFT1361" s="23"/>
      <c r="CFU1361" s="23"/>
      <c r="CFV1361" s="23"/>
      <c r="CFW1361" s="23"/>
      <c r="CFX1361" s="23"/>
      <c r="CFY1361" s="23"/>
      <c r="CFZ1361" s="23"/>
      <c r="CGA1361" s="23"/>
      <c r="CGB1361" s="23"/>
      <c r="CGC1361" s="23"/>
      <c r="CGD1361" s="23"/>
      <c r="CGE1361" s="23"/>
      <c r="CGF1361" s="23"/>
      <c r="CGG1361" s="23"/>
      <c r="CGH1361" s="23"/>
      <c r="CGI1361" s="23"/>
      <c r="CGJ1361" s="23"/>
      <c r="CGK1361" s="23"/>
      <c r="CGL1361" s="23"/>
      <c r="CGM1361" s="23"/>
      <c r="CGN1361" s="23"/>
      <c r="CGO1361" s="23"/>
      <c r="CGP1361" s="23"/>
      <c r="CGQ1361" s="23"/>
      <c r="CGR1361" s="23"/>
      <c r="CGS1361" s="23"/>
      <c r="CGT1361" s="23"/>
      <c r="CGU1361" s="23"/>
      <c r="CGV1361" s="23"/>
      <c r="CGW1361" s="23"/>
      <c r="CGX1361" s="23"/>
      <c r="CGY1361" s="23"/>
      <c r="CGZ1361" s="23"/>
      <c r="CHA1361" s="23"/>
      <c r="CHB1361" s="23"/>
      <c r="CHC1361" s="23"/>
      <c r="CHD1361" s="23"/>
      <c r="CHE1361" s="23"/>
      <c r="CHF1361" s="23"/>
      <c r="CHG1361" s="23"/>
      <c r="CHH1361" s="23"/>
      <c r="CHI1361" s="23"/>
      <c r="CHJ1361" s="23"/>
      <c r="CHK1361" s="23"/>
      <c r="CHL1361" s="23"/>
      <c r="CHM1361" s="23"/>
      <c r="CHN1361" s="23"/>
      <c r="CHO1361" s="23"/>
      <c r="CHP1361" s="23"/>
      <c r="CHQ1361" s="23"/>
      <c r="CHR1361" s="23"/>
      <c r="CHS1361" s="23"/>
      <c r="CHT1361" s="23"/>
      <c r="CHU1361" s="23"/>
      <c r="CHV1361" s="23"/>
      <c r="CHW1361" s="23"/>
      <c r="CHX1361" s="23"/>
      <c r="CHY1361" s="23"/>
      <c r="CHZ1361" s="23"/>
      <c r="CIA1361" s="23"/>
      <c r="CIB1361" s="23"/>
      <c r="CIC1361" s="23"/>
      <c r="CID1361" s="23"/>
      <c r="CIE1361" s="23"/>
      <c r="CIF1361" s="23"/>
      <c r="CIG1361" s="23"/>
      <c r="CIH1361" s="23"/>
      <c r="CII1361" s="23"/>
      <c r="CIJ1361" s="23"/>
      <c r="CIK1361" s="23"/>
      <c r="CIL1361" s="23"/>
      <c r="CIM1361" s="23"/>
      <c r="CIN1361" s="23"/>
      <c r="CIO1361" s="23"/>
      <c r="CIP1361" s="23"/>
      <c r="CIQ1361" s="23"/>
      <c r="CIR1361" s="23"/>
      <c r="CIS1361" s="23"/>
      <c r="CIT1361" s="23"/>
      <c r="CIU1361" s="23"/>
      <c r="CIV1361" s="23"/>
      <c r="CIW1361" s="23"/>
      <c r="CIX1361" s="23"/>
      <c r="CIY1361" s="23"/>
      <c r="CIZ1361" s="23"/>
      <c r="CJA1361" s="23"/>
      <c r="CJB1361" s="23"/>
      <c r="CJC1361" s="23"/>
      <c r="CJD1361" s="23"/>
      <c r="CJE1361" s="23"/>
      <c r="CJF1361" s="23"/>
      <c r="CJG1361" s="23"/>
      <c r="CJH1361" s="23"/>
      <c r="CJI1361" s="23"/>
      <c r="CJJ1361" s="23"/>
      <c r="CJK1361" s="23"/>
      <c r="CJL1361" s="23"/>
      <c r="CJM1361" s="23"/>
      <c r="CJN1361" s="23"/>
      <c r="CJO1361" s="23"/>
      <c r="CJP1361" s="23"/>
      <c r="CJQ1361" s="23"/>
      <c r="CJR1361" s="23"/>
      <c r="CJS1361" s="23"/>
      <c r="CJT1361" s="23"/>
      <c r="CJU1361" s="23"/>
      <c r="CJV1361" s="23"/>
      <c r="CJW1361" s="23"/>
      <c r="CJX1361" s="23"/>
      <c r="CJY1361" s="23"/>
      <c r="CJZ1361" s="23"/>
      <c r="CKA1361" s="23"/>
      <c r="CKB1361" s="23"/>
      <c r="CKC1361" s="23"/>
      <c r="CKD1361" s="23"/>
      <c r="CKE1361" s="23"/>
      <c r="CKF1361" s="23"/>
      <c r="CKG1361" s="23"/>
      <c r="CKH1361" s="23"/>
      <c r="CKI1361" s="23"/>
      <c r="CKJ1361" s="23"/>
      <c r="CKK1361" s="23"/>
      <c r="CKL1361" s="23"/>
      <c r="CKM1361" s="23"/>
      <c r="CKN1361" s="23"/>
      <c r="CKO1361" s="23"/>
      <c r="CKP1361" s="23"/>
      <c r="CKQ1361" s="23"/>
      <c r="CKR1361" s="23"/>
      <c r="CKS1361" s="23"/>
      <c r="CKT1361" s="23"/>
      <c r="CKU1361" s="23"/>
      <c r="CKV1361" s="23"/>
      <c r="CKW1361" s="23"/>
      <c r="CKX1361" s="23"/>
      <c r="CKY1361" s="23"/>
      <c r="CKZ1361" s="23"/>
      <c r="CLA1361" s="23"/>
      <c r="CLB1361" s="23"/>
      <c r="CLC1361" s="23"/>
      <c r="CLD1361" s="23"/>
      <c r="CLE1361" s="23"/>
      <c r="CLF1361" s="23"/>
      <c r="CLG1361" s="23"/>
      <c r="CLH1361" s="23"/>
      <c r="CLI1361" s="23"/>
      <c r="CLJ1361" s="23"/>
      <c r="CLK1361" s="23"/>
      <c r="CLL1361" s="23"/>
      <c r="CLM1361" s="23"/>
      <c r="CLN1361" s="23"/>
      <c r="CLO1361" s="23"/>
      <c r="CLP1361" s="23"/>
      <c r="CLQ1361" s="23"/>
      <c r="CLR1361" s="23"/>
      <c r="CLS1361" s="23"/>
      <c r="CLT1361" s="23"/>
      <c r="CLU1361" s="23"/>
      <c r="CLV1361" s="23"/>
      <c r="CLW1361" s="23"/>
      <c r="CLX1361" s="23"/>
      <c r="CLY1361" s="23"/>
      <c r="CLZ1361" s="23"/>
      <c r="CMA1361" s="23"/>
      <c r="CMB1361" s="23"/>
      <c r="CMC1361" s="23"/>
      <c r="CMD1361" s="23"/>
      <c r="CME1361" s="23"/>
      <c r="CMF1361" s="23"/>
      <c r="CMG1361" s="23"/>
      <c r="CMH1361" s="23"/>
      <c r="CMI1361" s="23"/>
      <c r="CMJ1361" s="23"/>
      <c r="CMK1361" s="23"/>
      <c r="CML1361" s="23"/>
      <c r="CMM1361" s="23"/>
      <c r="CMN1361" s="23"/>
      <c r="CMO1361" s="23"/>
      <c r="CMP1361" s="23"/>
      <c r="CMQ1361" s="23"/>
      <c r="CMR1361" s="23"/>
      <c r="CMS1361" s="23"/>
      <c r="CMT1361" s="23"/>
      <c r="CMU1361" s="23"/>
      <c r="CMV1361" s="23"/>
      <c r="CMW1361" s="23"/>
      <c r="CMX1361" s="23"/>
      <c r="CMY1361" s="23"/>
      <c r="CMZ1361" s="23"/>
      <c r="CNA1361" s="23"/>
      <c r="CNB1361" s="23"/>
      <c r="CNC1361" s="23"/>
      <c r="CND1361" s="23"/>
      <c r="CNE1361" s="23"/>
      <c r="CNF1361" s="23"/>
      <c r="CNG1361" s="23"/>
      <c r="CNH1361" s="23"/>
      <c r="CNI1361" s="23"/>
      <c r="CNJ1361" s="23"/>
      <c r="CNK1361" s="23"/>
      <c r="CNL1361" s="23"/>
      <c r="CNM1361" s="23"/>
      <c r="CNN1361" s="23"/>
      <c r="CNO1361" s="23"/>
      <c r="CNP1361" s="23"/>
      <c r="CNQ1361" s="23"/>
      <c r="CNR1361" s="23"/>
      <c r="CNS1361" s="23"/>
      <c r="CNT1361" s="23"/>
      <c r="CNU1361" s="23"/>
      <c r="CNV1361" s="23"/>
      <c r="CNW1361" s="23"/>
      <c r="CNX1361" s="23"/>
      <c r="CNY1361" s="23"/>
      <c r="CNZ1361" s="23"/>
      <c r="COA1361" s="23"/>
      <c r="COB1361" s="23"/>
      <c r="COC1361" s="23"/>
      <c r="COD1361" s="23"/>
      <c r="COE1361" s="23"/>
      <c r="COF1361" s="23"/>
      <c r="COG1361" s="23"/>
      <c r="COH1361" s="23"/>
      <c r="COI1361" s="23"/>
      <c r="COJ1361" s="23"/>
      <c r="COK1361" s="23"/>
      <c r="COL1361" s="23"/>
      <c r="COM1361" s="23"/>
      <c r="CON1361" s="23"/>
      <c r="COO1361" s="23"/>
      <c r="COP1361" s="23"/>
      <c r="COQ1361" s="23"/>
      <c r="COR1361" s="23"/>
      <c r="COS1361" s="23"/>
      <c r="COT1361" s="23"/>
      <c r="COU1361" s="23"/>
      <c r="COV1361" s="23"/>
      <c r="COW1361" s="23"/>
      <c r="COX1361" s="23"/>
      <c r="COY1361" s="23"/>
      <c r="COZ1361" s="23"/>
      <c r="CPA1361" s="23"/>
      <c r="CPB1361" s="23"/>
      <c r="CPC1361" s="23"/>
      <c r="CPD1361" s="23"/>
      <c r="CPE1361" s="23"/>
      <c r="CPF1361" s="23"/>
      <c r="CPG1361" s="23"/>
      <c r="CPH1361" s="23"/>
      <c r="CPI1361" s="23"/>
      <c r="CPJ1361" s="23"/>
      <c r="CPK1361" s="23"/>
      <c r="CPL1361" s="23"/>
      <c r="CPM1361" s="23"/>
      <c r="CPN1361" s="23"/>
      <c r="CPO1361" s="23"/>
      <c r="CPP1361" s="23"/>
      <c r="CPQ1361" s="23"/>
      <c r="CPR1361" s="23"/>
      <c r="CPS1361" s="23"/>
      <c r="CPT1361" s="23"/>
      <c r="CPU1361" s="23"/>
      <c r="CPV1361" s="23"/>
      <c r="CPW1361" s="23"/>
      <c r="CPX1361" s="23"/>
      <c r="CPY1361" s="23"/>
      <c r="CPZ1361" s="23"/>
      <c r="CQA1361" s="23"/>
      <c r="CQB1361" s="23"/>
      <c r="CQC1361" s="23"/>
      <c r="CQD1361" s="23"/>
      <c r="CQE1361" s="23"/>
      <c r="CQF1361" s="23"/>
      <c r="CQG1361" s="23"/>
      <c r="CQH1361" s="23"/>
      <c r="CQI1361" s="23"/>
      <c r="CQJ1361" s="23"/>
      <c r="CQK1361" s="23"/>
      <c r="CQL1361" s="23"/>
      <c r="CQM1361" s="23"/>
      <c r="CQN1361" s="23"/>
      <c r="CQO1361" s="23"/>
      <c r="CQP1361" s="23"/>
      <c r="CQQ1361" s="23"/>
      <c r="CQR1361" s="23"/>
      <c r="CQS1361" s="23"/>
      <c r="CQT1361" s="23"/>
      <c r="CQU1361" s="23"/>
      <c r="CQV1361" s="23"/>
      <c r="CQW1361" s="23"/>
      <c r="CQX1361" s="23"/>
      <c r="CQY1361" s="23"/>
      <c r="CQZ1361" s="23"/>
      <c r="CRA1361" s="23"/>
      <c r="CRB1361" s="23"/>
      <c r="CRC1361" s="23"/>
      <c r="CRD1361" s="23"/>
      <c r="CRE1361" s="23"/>
      <c r="CRF1361" s="23"/>
      <c r="CRG1361" s="23"/>
      <c r="CRH1361" s="23"/>
      <c r="CRI1361" s="23"/>
      <c r="CRJ1361" s="23"/>
      <c r="CRK1361" s="23"/>
      <c r="CRL1361" s="23"/>
      <c r="CRM1361" s="23"/>
      <c r="CRN1361" s="23"/>
      <c r="CRO1361" s="23"/>
      <c r="CRP1361" s="23"/>
      <c r="CRQ1361" s="23"/>
      <c r="CRR1361" s="23"/>
      <c r="CRS1361" s="23"/>
      <c r="CRT1361" s="23"/>
      <c r="CRU1361" s="23"/>
      <c r="CRV1361" s="23"/>
      <c r="CRW1361" s="23"/>
      <c r="CRX1361" s="23"/>
      <c r="CRY1361" s="23"/>
      <c r="CRZ1361" s="23"/>
      <c r="CSA1361" s="23"/>
      <c r="CSB1361" s="23"/>
      <c r="CSC1361" s="23"/>
      <c r="CSD1361" s="23"/>
      <c r="CSE1361" s="23"/>
      <c r="CSF1361" s="23"/>
      <c r="CSG1361" s="23"/>
      <c r="CSH1361" s="23"/>
      <c r="CSI1361" s="23"/>
      <c r="CSJ1361" s="23"/>
      <c r="CSK1361" s="23"/>
      <c r="CSL1361" s="23"/>
      <c r="CSM1361" s="23"/>
      <c r="CSN1361" s="23"/>
      <c r="CSO1361" s="23"/>
      <c r="CSP1361" s="23"/>
      <c r="CSQ1361" s="23"/>
      <c r="CSR1361" s="23"/>
      <c r="CSS1361" s="23"/>
      <c r="CST1361" s="23"/>
      <c r="CSU1361" s="23"/>
      <c r="CSV1361" s="23"/>
      <c r="CSW1361" s="23"/>
      <c r="CSX1361" s="23"/>
      <c r="CSY1361" s="23"/>
      <c r="CSZ1361" s="23"/>
      <c r="CTA1361" s="23"/>
      <c r="CTB1361" s="23"/>
      <c r="CTC1361" s="23"/>
      <c r="CTD1361" s="23"/>
      <c r="CTE1361" s="23"/>
      <c r="CTF1361" s="23"/>
      <c r="CTG1361" s="23"/>
      <c r="CTH1361" s="23"/>
      <c r="CTI1361" s="23"/>
      <c r="CTJ1361" s="23"/>
      <c r="CTK1361" s="23"/>
      <c r="CTL1361" s="23"/>
      <c r="CTM1361" s="23"/>
      <c r="CTN1361" s="23"/>
      <c r="CTO1361" s="23"/>
      <c r="CTP1361" s="23"/>
      <c r="CTQ1361" s="23"/>
      <c r="CTR1361" s="23"/>
      <c r="CTS1361" s="23"/>
      <c r="CTT1361" s="23"/>
      <c r="CTU1361" s="23"/>
      <c r="CTV1361" s="23"/>
      <c r="CTW1361" s="23"/>
      <c r="CTX1361" s="23"/>
      <c r="CTY1361" s="23"/>
      <c r="CTZ1361" s="23"/>
      <c r="CUA1361" s="23"/>
      <c r="CUB1361" s="23"/>
      <c r="CUC1361" s="23"/>
      <c r="CUD1361" s="23"/>
      <c r="CUE1361" s="23"/>
      <c r="CUF1361" s="23"/>
      <c r="CUG1361" s="23"/>
      <c r="CUH1361" s="23"/>
      <c r="CUI1361" s="23"/>
      <c r="CUJ1361" s="23"/>
      <c r="CUK1361" s="23"/>
      <c r="CUL1361" s="23"/>
      <c r="CUM1361" s="23"/>
      <c r="CUN1361" s="23"/>
      <c r="CUO1361" s="23"/>
      <c r="CUP1361" s="23"/>
      <c r="CUQ1361" s="23"/>
      <c r="CUR1361" s="23"/>
      <c r="CUS1361" s="23"/>
      <c r="CUT1361" s="23"/>
      <c r="CUU1361" s="23"/>
      <c r="CUV1361" s="23"/>
      <c r="CUW1361" s="23"/>
      <c r="CUX1361" s="23"/>
      <c r="CUY1361" s="23"/>
      <c r="CUZ1361" s="23"/>
      <c r="CVA1361" s="23"/>
      <c r="CVB1361" s="23"/>
      <c r="CVC1361" s="23"/>
      <c r="CVD1361" s="23"/>
      <c r="CVE1361" s="23"/>
      <c r="CVF1361" s="23"/>
      <c r="CVG1361" s="23"/>
      <c r="CVH1361" s="23"/>
      <c r="CVI1361" s="23"/>
      <c r="CVJ1361" s="23"/>
      <c r="CVK1361" s="23"/>
      <c r="CVL1361" s="23"/>
      <c r="CVM1361" s="23"/>
      <c r="CVN1361" s="23"/>
      <c r="CVO1361" s="23"/>
      <c r="CVP1361" s="23"/>
      <c r="CVQ1361" s="23"/>
      <c r="CVR1361" s="23"/>
      <c r="CVS1361" s="23"/>
      <c r="CVT1361" s="23"/>
      <c r="CVU1361" s="23"/>
      <c r="CVV1361" s="23"/>
      <c r="CVW1361" s="23"/>
      <c r="CVX1361" s="23"/>
      <c r="CVY1361" s="23"/>
      <c r="CVZ1361" s="23"/>
      <c r="CWA1361" s="23"/>
      <c r="CWB1361" s="23"/>
      <c r="CWC1361" s="23"/>
      <c r="CWD1361" s="23"/>
      <c r="CWE1361" s="23"/>
      <c r="CWF1361" s="23"/>
      <c r="CWG1361" s="23"/>
      <c r="CWH1361" s="23"/>
      <c r="CWI1361" s="23"/>
      <c r="CWJ1361" s="23"/>
      <c r="CWK1361" s="23"/>
      <c r="CWL1361" s="23"/>
      <c r="CWM1361" s="23"/>
      <c r="CWN1361" s="23"/>
      <c r="CWO1361" s="23"/>
      <c r="CWP1361" s="23"/>
      <c r="CWQ1361" s="23"/>
      <c r="CWR1361" s="23"/>
      <c r="CWS1361" s="23"/>
      <c r="CWT1361" s="23"/>
      <c r="CWU1361" s="23"/>
      <c r="CWV1361" s="23"/>
      <c r="CWW1361" s="23"/>
      <c r="CWX1361" s="23"/>
      <c r="CWY1361" s="23"/>
      <c r="CWZ1361" s="23"/>
      <c r="CXA1361" s="23"/>
      <c r="CXB1361" s="23"/>
      <c r="CXC1361" s="23"/>
      <c r="CXD1361" s="23"/>
      <c r="CXE1361" s="23"/>
      <c r="CXF1361" s="23"/>
      <c r="CXG1361" s="23"/>
      <c r="CXH1361" s="23"/>
      <c r="CXI1361" s="23"/>
      <c r="CXJ1361" s="23"/>
      <c r="CXK1361" s="23"/>
      <c r="CXL1361" s="23"/>
      <c r="CXM1361" s="23"/>
      <c r="CXN1361" s="23"/>
      <c r="CXO1361" s="23"/>
      <c r="CXP1361" s="23"/>
      <c r="CXQ1361" s="23"/>
      <c r="CXR1361" s="23"/>
      <c r="CXS1361" s="23"/>
      <c r="CXT1361" s="23"/>
      <c r="CXU1361" s="23"/>
      <c r="CXV1361" s="23"/>
      <c r="CXW1361" s="23"/>
      <c r="CXX1361" s="23"/>
      <c r="CXY1361" s="23"/>
      <c r="CXZ1361" s="23"/>
      <c r="CYA1361" s="23"/>
      <c r="CYB1361" s="23"/>
      <c r="CYC1361" s="23"/>
      <c r="CYD1361" s="23"/>
      <c r="CYE1361" s="23"/>
      <c r="CYF1361" s="23"/>
      <c r="CYG1361" s="23"/>
      <c r="CYH1361" s="23"/>
      <c r="CYI1361" s="23"/>
      <c r="CYJ1361" s="23"/>
      <c r="CYK1361" s="23"/>
      <c r="CYL1361" s="23"/>
      <c r="CYM1361" s="23"/>
      <c r="CYN1361" s="23"/>
      <c r="CYO1361" s="23"/>
      <c r="CYP1361" s="23"/>
      <c r="CYQ1361" s="23"/>
      <c r="CYR1361" s="23"/>
      <c r="CYS1361" s="23"/>
      <c r="CYT1361" s="23"/>
      <c r="CYU1361" s="23"/>
      <c r="CYV1361" s="23"/>
      <c r="CYW1361" s="23"/>
      <c r="CYX1361" s="23"/>
      <c r="CYY1361" s="23"/>
      <c r="CYZ1361" s="23"/>
      <c r="CZA1361" s="23"/>
      <c r="CZB1361" s="23"/>
      <c r="CZC1361" s="23"/>
      <c r="CZD1361" s="23"/>
      <c r="CZE1361" s="23"/>
      <c r="CZF1361" s="23"/>
      <c r="CZG1361" s="23"/>
      <c r="CZH1361" s="23"/>
      <c r="CZI1361" s="23"/>
      <c r="CZJ1361" s="23"/>
      <c r="CZK1361" s="23"/>
      <c r="CZL1361" s="23"/>
      <c r="CZM1361" s="23"/>
      <c r="CZN1361" s="23"/>
      <c r="CZO1361" s="23"/>
      <c r="CZP1361" s="23"/>
      <c r="CZQ1361" s="23"/>
      <c r="CZR1361" s="23"/>
      <c r="CZS1361" s="23"/>
      <c r="CZT1361" s="23"/>
      <c r="CZU1361" s="23"/>
      <c r="CZV1361" s="23"/>
      <c r="CZW1361" s="23"/>
      <c r="CZX1361" s="23"/>
      <c r="CZY1361" s="23"/>
      <c r="CZZ1361" s="23"/>
      <c r="DAA1361" s="23"/>
      <c r="DAB1361" s="23"/>
      <c r="DAC1361" s="23"/>
      <c r="DAD1361" s="23"/>
      <c r="DAE1361" s="23"/>
      <c r="DAF1361" s="23"/>
      <c r="DAG1361" s="23"/>
      <c r="DAH1361" s="23"/>
      <c r="DAI1361" s="23"/>
      <c r="DAJ1361" s="23"/>
      <c r="DAK1361" s="23"/>
      <c r="DAL1361" s="23"/>
      <c r="DAM1361" s="23"/>
      <c r="DAN1361" s="23"/>
      <c r="DAO1361" s="23"/>
      <c r="DAP1361" s="23"/>
      <c r="DAQ1361" s="23"/>
      <c r="DAR1361" s="23"/>
      <c r="DAS1361" s="23"/>
      <c r="DAT1361" s="23"/>
      <c r="DAU1361" s="23"/>
      <c r="DAV1361" s="23"/>
      <c r="DAW1361" s="23"/>
      <c r="DAX1361" s="23"/>
      <c r="DAY1361" s="23"/>
      <c r="DAZ1361" s="23"/>
      <c r="DBA1361" s="23"/>
      <c r="DBB1361" s="23"/>
      <c r="DBC1361" s="23"/>
      <c r="DBD1361" s="23"/>
      <c r="DBE1361" s="23"/>
      <c r="DBF1361" s="23"/>
      <c r="DBG1361" s="23"/>
      <c r="DBH1361" s="23"/>
      <c r="DBI1361" s="23"/>
      <c r="DBJ1361" s="23"/>
      <c r="DBK1361" s="23"/>
      <c r="DBL1361" s="23"/>
      <c r="DBM1361" s="23"/>
      <c r="DBN1361" s="23"/>
      <c r="DBO1361" s="23"/>
      <c r="DBP1361" s="23"/>
      <c r="DBQ1361" s="23"/>
      <c r="DBR1361" s="23"/>
      <c r="DBS1361" s="23"/>
      <c r="DBT1361" s="23"/>
      <c r="DBU1361" s="23"/>
      <c r="DBV1361" s="23"/>
      <c r="DBW1361" s="23"/>
      <c r="DBX1361" s="23"/>
      <c r="DBY1361" s="23"/>
      <c r="DBZ1361" s="23"/>
      <c r="DCA1361" s="23"/>
      <c r="DCB1361" s="23"/>
      <c r="DCC1361" s="23"/>
      <c r="DCD1361" s="23"/>
      <c r="DCE1361" s="23"/>
      <c r="DCF1361" s="23"/>
      <c r="DCG1361" s="23"/>
      <c r="DCH1361" s="23"/>
      <c r="DCI1361" s="23"/>
      <c r="DCJ1361" s="23"/>
      <c r="DCK1361" s="23"/>
      <c r="DCL1361" s="23"/>
      <c r="DCM1361" s="23"/>
      <c r="DCN1361" s="23"/>
      <c r="DCO1361" s="23"/>
      <c r="DCP1361" s="23"/>
      <c r="DCQ1361" s="23"/>
      <c r="DCR1361" s="23"/>
      <c r="DCS1361" s="23"/>
      <c r="DCT1361" s="23"/>
      <c r="DCU1361" s="23"/>
      <c r="DCV1361" s="23"/>
      <c r="DCW1361" s="23"/>
      <c r="DCX1361" s="23"/>
      <c r="DCY1361" s="23"/>
      <c r="DCZ1361" s="23"/>
      <c r="DDA1361" s="23"/>
      <c r="DDB1361" s="23"/>
      <c r="DDC1361" s="23"/>
      <c r="DDD1361" s="23"/>
      <c r="DDE1361" s="23"/>
      <c r="DDF1361" s="23"/>
      <c r="DDG1361" s="23"/>
      <c r="DDH1361" s="23"/>
      <c r="DDI1361" s="23"/>
      <c r="DDJ1361" s="23"/>
      <c r="DDK1361" s="23"/>
      <c r="DDL1361" s="23"/>
      <c r="DDM1361" s="23"/>
      <c r="DDN1361" s="23"/>
      <c r="DDO1361" s="23"/>
      <c r="DDP1361" s="23"/>
      <c r="DDQ1361" s="23"/>
      <c r="DDR1361" s="23"/>
      <c r="DDS1361" s="23"/>
      <c r="DDT1361" s="23"/>
      <c r="DDU1361" s="23"/>
      <c r="DDV1361" s="23"/>
      <c r="DDW1361" s="23"/>
      <c r="DDX1361" s="23"/>
      <c r="DDY1361" s="23"/>
      <c r="DDZ1361" s="23"/>
      <c r="DEA1361" s="23"/>
      <c r="DEB1361" s="23"/>
      <c r="DEC1361" s="23"/>
      <c r="DED1361" s="23"/>
      <c r="DEE1361" s="23"/>
      <c r="DEF1361" s="23"/>
      <c r="DEG1361" s="23"/>
      <c r="DEH1361" s="23"/>
      <c r="DEI1361" s="23"/>
      <c r="DEJ1361" s="23"/>
      <c r="DEK1361" s="23"/>
      <c r="DEL1361" s="23"/>
      <c r="DEM1361" s="23"/>
      <c r="DEN1361" s="23"/>
      <c r="DEO1361" s="23"/>
      <c r="DEP1361" s="23"/>
      <c r="DEQ1361" s="23"/>
      <c r="DER1361" s="23"/>
      <c r="DES1361" s="23"/>
      <c r="DET1361" s="23"/>
      <c r="DEU1361" s="23"/>
      <c r="DEV1361" s="23"/>
      <c r="DEW1361" s="23"/>
      <c r="DEX1361" s="23"/>
      <c r="DEY1361" s="23"/>
      <c r="DEZ1361" s="23"/>
      <c r="DFA1361" s="23"/>
      <c r="DFB1361" s="23"/>
      <c r="DFC1361" s="23"/>
      <c r="DFD1361" s="23"/>
      <c r="DFE1361" s="23"/>
      <c r="DFF1361" s="23"/>
      <c r="DFG1361" s="23"/>
      <c r="DFH1361" s="23"/>
      <c r="DFI1361" s="23"/>
      <c r="DFJ1361" s="23"/>
      <c r="DFK1361" s="23"/>
      <c r="DFL1361" s="23"/>
      <c r="DFM1361" s="23"/>
      <c r="DFN1361" s="23"/>
      <c r="DFO1361" s="23"/>
      <c r="DFP1361" s="23"/>
      <c r="DFQ1361" s="23"/>
      <c r="DFR1361" s="23"/>
      <c r="DFS1361" s="23"/>
      <c r="DFT1361" s="23"/>
      <c r="DFU1361" s="23"/>
      <c r="DFV1361" s="23"/>
      <c r="DFW1361" s="23"/>
      <c r="DFX1361" s="23"/>
      <c r="DFY1361" s="23"/>
      <c r="DFZ1361" s="23"/>
      <c r="DGA1361" s="23"/>
      <c r="DGB1361" s="23"/>
      <c r="DGC1361" s="23"/>
      <c r="DGD1361" s="23"/>
      <c r="DGE1361" s="23"/>
      <c r="DGF1361" s="23"/>
      <c r="DGG1361" s="23"/>
      <c r="DGH1361" s="23"/>
      <c r="DGI1361" s="23"/>
      <c r="DGJ1361" s="23"/>
      <c r="DGK1361" s="23"/>
      <c r="DGL1361" s="23"/>
      <c r="DGM1361" s="23"/>
      <c r="DGN1361" s="23"/>
      <c r="DGO1361" s="23"/>
      <c r="DGP1361" s="23"/>
      <c r="DGQ1361" s="23"/>
      <c r="DGR1361" s="23"/>
      <c r="DGS1361" s="23"/>
      <c r="DGT1361" s="23"/>
      <c r="DGU1361" s="23"/>
      <c r="DGV1361" s="23"/>
      <c r="DGW1361" s="23"/>
      <c r="DGX1361" s="23"/>
      <c r="DGY1361" s="23"/>
      <c r="DGZ1361" s="23"/>
      <c r="DHA1361" s="23"/>
      <c r="DHB1361" s="23"/>
      <c r="DHC1361" s="23"/>
      <c r="DHD1361" s="23"/>
      <c r="DHE1361" s="23"/>
      <c r="DHF1361" s="23"/>
      <c r="DHG1361" s="23"/>
      <c r="DHH1361" s="23"/>
      <c r="DHI1361" s="23"/>
      <c r="DHJ1361" s="23"/>
      <c r="DHK1361" s="23"/>
      <c r="DHL1361" s="23"/>
      <c r="DHM1361" s="23"/>
      <c r="DHN1361" s="23"/>
      <c r="DHO1361" s="23"/>
      <c r="DHP1361" s="23"/>
      <c r="DHQ1361" s="23"/>
      <c r="DHR1361" s="23"/>
      <c r="DHS1361" s="23"/>
      <c r="DHT1361" s="23"/>
      <c r="DHU1361" s="23"/>
      <c r="DHV1361" s="23"/>
      <c r="DHW1361" s="23"/>
      <c r="DHX1361" s="23"/>
      <c r="DHY1361" s="23"/>
      <c r="DHZ1361" s="23"/>
      <c r="DIA1361" s="23"/>
      <c r="DIB1361" s="23"/>
      <c r="DIC1361" s="23"/>
      <c r="DID1361" s="23"/>
      <c r="DIE1361" s="23"/>
      <c r="DIF1361" s="23"/>
      <c r="DIG1361" s="23"/>
      <c r="DIH1361" s="23"/>
      <c r="DII1361" s="23"/>
      <c r="DIJ1361" s="23"/>
      <c r="DIK1361" s="23"/>
      <c r="DIL1361" s="23"/>
      <c r="DIM1361" s="23"/>
      <c r="DIN1361" s="23"/>
      <c r="DIO1361" s="23"/>
      <c r="DIP1361" s="23"/>
      <c r="DIQ1361" s="23"/>
      <c r="DIR1361" s="23"/>
      <c r="DIS1361" s="23"/>
      <c r="DIT1361" s="23"/>
      <c r="DIU1361" s="23"/>
      <c r="DIV1361" s="23"/>
      <c r="DIW1361" s="23"/>
      <c r="DIX1361" s="23"/>
      <c r="DIY1361" s="23"/>
      <c r="DIZ1361" s="23"/>
      <c r="DJA1361" s="23"/>
      <c r="DJB1361" s="23"/>
      <c r="DJC1361" s="23"/>
      <c r="DJD1361" s="23"/>
      <c r="DJE1361" s="23"/>
      <c r="DJF1361" s="23"/>
      <c r="DJG1361" s="23"/>
      <c r="DJH1361" s="23"/>
      <c r="DJI1361" s="23"/>
      <c r="DJJ1361" s="23"/>
      <c r="DJK1361" s="23"/>
      <c r="DJL1361" s="23"/>
      <c r="DJM1361" s="23"/>
      <c r="DJN1361" s="23"/>
      <c r="DJO1361" s="23"/>
      <c r="DJP1361" s="23"/>
      <c r="DJQ1361" s="23"/>
      <c r="DJR1361" s="23"/>
      <c r="DJS1361" s="23"/>
      <c r="DJT1361" s="23"/>
      <c r="DJU1361" s="23"/>
      <c r="DJV1361" s="23"/>
      <c r="DJW1361" s="23"/>
      <c r="DJX1361" s="23"/>
      <c r="DJY1361" s="23"/>
      <c r="DJZ1361" s="23"/>
      <c r="DKA1361" s="23"/>
      <c r="DKB1361" s="23"/>
      <c r="DKC1361" s="23"/>
      <c r="DKD1361" s="23"/>
      <c r="DKE1361" s="23"/>
      <c r="DKF1361" s="23"/>
      <c r="DKG1361" s="23"/>
      <c r="DKH1361" s="23"/>
      <c r="DKI1361" s="23"/>
      <c r="DKJ1361" s="23"/>
      <c r="DKK1361" s="23"/>
      <c r="DKL1361" s="23"/>
      <c r="DKM1361" s="23"/>
      <c r="DKN1361" s="23"/>
      <c r="DKO1361" s="23"/>
      <c r="DKP1361" s="23"/>
      <c r="DKQ1361" s="23"/>
      <c r="DKR1361" s="23"/>
      <c r="DKS1361" s="23"/>
      <c r="DKT1361" s="23"/>
      <c r="DKU1361" s="23"/>
      <c r="DKV1361" s="23"/>
      <c r="DKW1361" s="23"/>
      <c r="DKX1361" s="23"/>
      <c r="DKY1361" s="23"/>
      <c r="DKZ1361" s="23"/>
      <c r="DLA1361" s="23"/>
      <c r="DLB1361" s="23"/>
      <c r="DLC1361" s="23"/>
      <c r="DLD1361" s="23"/>
      <c r="DLE1361" s="23"/>
      <c r="DLF1361" s="23"/>
      <c r="DLG1361" s="23"/>
      <c r="DLH1361" s="23"/>
      <c r="DLI1361" s="23"/>
      <c r="DLJ1361" s="23"/>
      <c r="DLK1361" s="23"/>
      <c r="DLL1361" s="23"/>
      <c r="DLM1361" s="23"/>
      <c r="DLN1361" s="23"/>
      <c r="DLO1361" s="23"/>
      <c r="DLP1361" s="23"/>
      <c r="DLQ1361" s="23"/>
      <c r="DLR1361" s="23"/>
      <c r="DLS1361" s="23"/>
      <c r="DLT1361" s="23"/>
      <c r="DLU1361" s="23"/>
      <c r="DLV1361" s="23"/>
      <c r="DLW1361" s="23"/>
      <c r="DLX1361" s="23"/>
      <c r="DLY1361" s="23"/>
      <c r="DLZ1361" s="23"/>
      <c r="DMA1361" s="23"/>
      <c r="DMB1361" s="23"/>
      <c r="DMC1361" s="23"/>
      <c r="DMD1361" s="23"/>
      <c r="DME1361" s="23"/>
      <c r="DMF1361" s="23"/>
      <c r="DMG1361" s="23"/>
      <c r="DMH1361" s="23"/>
      <c r="DMI1361" s="23"/>
      <c r="DMJ1361" s="23"/>
      <c r="DMK1361" s="23"/>
      <c r="DML1361" s="23"/>
      <c r="DMM1361" s="23"/>
      <c r="DMN1361" s="23"/>
      <c r="DMO1361" s="23"/>
      <c r="DMP1361" s="23"/>
      <c r="DMQ1361" s="23"/>
      <c r="DMR1361" s="23"/>
      <c r="DMS1361" s="23"/>
      <c r="DMT1361" s="23"/>
      <c r="DMU1361" s="23"/>
      <c r="DMV1361" s="23"/>
      <c r="DMW1361" s="23"/>
      <c r="DMX1361" s="23"/>
      <c r="DMY1361" s="23"/>
      <c r="DMZ1361" s="23"/>
      <c r="DNA1361" s="23"/>
      <c r="DNB1361" s="23"/>
      <c r="DNC1361" s="23"/>
      <c r="DND1361" s="23"/>
      <c r="DNE1361" s="23"/>
      <c r="DNF1361" s="23"/>
      <c r="DNG1361" s="23"/>
      <c r="DNH1361" s="23"/>
      <c r="DNI1361" s="23"/>
      <c r="DNJ1361" s="23"/>
      <c r="DNK1361" s="23"/>
      <c r="DNL1361" s="23"/>
      <c r="DNM1361" s="23"/>
      <c r="DNN1361" s="23"/>
      <c r="DNO1361" s="23"/>
      <c r="DNP1361" s="23"/>
      <c r="DNQ1361" s="23"/>
      <c r="DNR1361" s="23"/>
      <c r="DNS1361" s="23"/>
      <c r="DNT1361" s="23"/>
      <c r="DNU1361" s="23"/>
      <c r="DNV1361" s="23"/>
      <c r="DNW1361" s="23"/>
      <c r="DNX1361" s="23"/>
      <c r="DNY1361" s="23"/>
      <c r="DNZ1361" s="23"/>
      <c r="DOA1361" s="23"/>
      <c r="DOB1361" s="23"/>
      <c r="DOC1361" s="23"/>
      <c r="DOD1361" s="23"/>
      <c r="DOE1361" s="23"/>
      <c r="DOF1361" s="23"/>
      <c r="DOG1361" s="23"/>
      <c r="DOH1361" s="23"/>
      <c r="DOI1361" s="23"/>
      <c r="DOJ1361" s="23"/>
      <c r="DOK1361" s="23"/>
      <c r="DOL1361" s="23"/>
      <c r="DOM1361" s="23"/>
      <c r="DON1361" s="23"/>
      <c r="DOO1361" s="23"/>
      <c r="DOP1361" s="23"/>
      <c r="DOQ1361" s="23"/>
      <c r="DOR1361" s="23"/>
      <c r="DOS1361" s="23"/>
      <c r="DOT1361" s="23"/>
      <c r="DOU1361" s="23"/>
      <c r="DOV1361" s="23"/>
      <c r="DOW1361" s="23"/>
      <c r="DOX1361" s="23"/>
      <c r="DOY1361" s="23"/>
      <c r="DOZ1361" s="23"/>
      <c r="DPA1361" s="23"/>
      <c r="DPB1361" s="23"/>
      <c r="DPC1361" s="23"/>
      <c r="DPD1361" s="23"/>
      <c r="DPE1361" s="23"/>
      <c r="DPF1361" s="23"/>
      <c r="DPG1361" s="23"/>
      <c r="DPH1361" s="23"/>
      <c r="DPI1361" s="23"/>
      <c r="DPJ1361" s="23"/>
      <c r="DPK1361" s="23"/>
      <c r="DPL1361" s="23"/>
      <c r="DPM1361" s="23"/>
      <c r="DPN1361" s="23"/>
      <c r="DPO1361" s="23"/>
      <c r="DPP1361" s="23"/>
      <c r="DPQ1361" s="23"/>
      <c r="DPR1361" s="23"/>
      <c r="DPS1361" s="23"/>
      <c r="DPT1361" s="23"/>
      <c r="DPU1361" s="23"/>
      <c r="DPV1361" s="23"/>
      <c r="DPW1361" s="23"/>
      <c r="DPX1361" s="23"/>
      <c r="DPY1361" s="23"/>
      <c r="DPZ1361" s="23"/>
      <c r="DQA1361" s="23"/>
      <c r="DQB1361" s="23"/>
      <c r="DQC1361" s="23"/>
      <c r="DQD1361" s="23"/>
      <c r="DQE1361" s="23"/>
      <c r="DQF1361" s="23"/>
      <c r="DQG1361" s="23"/>
      <c r="DQH1361" s="23"/>
      <c r="DQI1361" s="23"/>
      <c r="DQJ1361" s="23"/>
      <c r="DQK1361" s="23"/>
      <c r="DQL1361" s="23"/>
      <c r="DQM1361" s="23"/>
      <c r="DQN1361" s="23"/>
      <c r="DQO1361" s="23"/>
      <c r="DQP1361" s="23"/>
      <c r="DQQ1361" s="23"/>
      <c r="DQR1361" s="23"/>
      <c r="DQS1361" s="23"/>
      <c r="DQT1361" s="23"/>
      <c r="DQU1361" s="23"/>
      <c r="DQV1361" s="23"/>
      <c r="DQW1361" s="23"/>
      <c r="DQX1361" s="23"/>
      <c r="DQY1361" s="23"/>
      <c r="DQZ1361" s="23"/>
      <c r="DRA1361" s="23"/>
      <c r="DRB1361" s="23"/>
      <c r="DRC1361" s="23"/>
      <c r="DRD1361" s="23"/>
      <c r="DRE1361" s="23"/>
      <c r="DRF1361" s="23"/>
      <c r="DRG1361" s="23"/>
      <c r="DRH1361" s="23"/>
      <c r="DRI1361" s="23"/>
      <c r="DRJ1361" s="23"/>
      <c r="DRK1361" s="23"/>
      <c r="DRL1361" s="23"/>
      <c r="DRM1361" s="23"/>
      <c r="DRN1361" s="23"/>
      <c r="DRO1361" s="23"/>
      <c r="DRP1361" s="23"/>
      <c r="DRQ1361" s="23"/>
      <c r="DRR1361" s="23"/>
      <c r="DRS1361" s="23"/>
      <c r="DRT1361" s="23"/>
      <c r="DRU1361" s="23"/>
      <c r="DRV1361" s="23"/>
      <c r="DRW1361" s="23"/>
      <c r="DRX1361" s="23"/>
      <c r="DRY1361" s="23"/>
      <c r="DRZ1361" s="23"/>
      <c r="DSA1361" s="23"/>
      <c r="DSB1361" s="23"/>
      <c r="DSC1361" s="23"/>
      <c r="DSD1361" s="23"/>
      <c r="DSE1361" s="23"/>
      <c r="DSF1361" s="23"/>
      <c r="DSG1361" s="23"/>
      <c r="DSH1361" s="23"/>
      <c r="DSI1361" s="23"/>
      <c r="DSJ1361" s="23"/>
      <c r="DSK1361" s="23"/>
      <c r="DSL1361" s="23"/>
      <c r="DSM1361" s="23"/>
      <c r="DSN1361" s="23"/>
      <c r="DSO1361" s="23"/>
      <c r="DSP1361" s="23"/>
      <c r="DSQ1361" s="23"/>
      <c r="DSR1361" s="23"/>
      <c r="DSS1361" s="23"/>
      <c r="DST1361" s="23"/>
      <c r="DSU1361" s="23"/>
      <c r="DSV1361" s="23"/>
      <c r="DSW1361" s="23"/>
      <c r="DSX1361" s="23"/>
      <c r="DSY1361" s="23"/>
      <c r="DSZ1361" s="23"/>
      <c r="DTA1361" s="23"/>
      <c r="DTB1361" s="23"/>
      <c r="DTC1361" s="23"/>
      <c r="DTD1361" s="23"/>
      <c r="DTE1361" s="23"/>
      <c r="DTF1361" s="23"/>
      <c r="DTG1361" s="23"/>
      <c r="DTH1361" s="23"/>
      <c r="DTI1361" s="23"/>
      <c r="DTJ1361" s="23"/>
      <c r="DTK1361" s="23"/>
      <c r="DTL1361" s="23"/>
      <c r="DTM1361" s="23"/>
      <c r="DTN1361" s="23"/>
      <c r="DTO1361" s="23"/>
      <c r="DTP1361" s="23"/>
      <c r="DTQ1361" s="23"/>
      <c r="DTR1361" s="23"/>
      <c r="DTS1361" s="23"/>
      <c r="DTT1361" s="23"/>
      <c r="DTU1361" s="23"/>
      <c r="DTV1361" s="23"/>
      <c r="DTW1361" s="23"/>
      <c r="DTX1361" s="23"/>
      <c r="DTY1361" s="23"/>
      <c r="DTZ1361" s="23"/>
      <c r="DUA1361" s="23"/>
      <c r="DUB1361" s="23"/>
      <c r="DUC1361" s="23"/>
      <c r="DUD1361" s="23"/>
      <c r="DUE1361" s="23"/>
      <c r="DUF1361" s="23"/>
      <c r="DUG1361" s="23"/>
      <c r="DUH1361" s="23"/>
      <c r="DUI1361" s="23"/>
      <c r="DUJ1361" s="23"/>
      <c r="DUK1361" s="23"/>
      <c r="DUL1361" s="23"/>
      <c r="DUM1361" s="23"/>
      <c r="DUN1361" s="23"/>
      <c r="DUO1361" s="23"/>
      <c r="DUP1361" s="23"/>
      <c r="DUQ1361" s="23"/>
      <c r="DUR1361" s="23"/>
      <c r="DUS1361" s="23"/>
      <c r="DUT1361" s="23"/>
      <c r="DUU1361" s="23"/>
      <c r="DUV1361" s="23"/>
      <c r="DUW1361" s="23"/>
      <c r="DUX1361" s="23"/>
      <c r="DUY1361" s="23"/>
      <c r="DUZ1361" s="23"/>
      <c r="DVA1361" s="23"/>
      <c r="DVB1361" s="23"/>
      <c r="DVC1361" s="23"/>
      <c r="DVD1361" s="23"/>
      <c r="DVE1361" s="23"/>
      <c r="DVF1361" s="23"/>
      <c r="DVG1361" s="23"/>
      <c r="DVH1361" s="23"/>
      <c r="DVI1361" s="23"/>
      <c r="DVJ1361" s="23"/>
      <c r="DVK1361" s="23"/>
      <c r="DVL1361" s="23"/>
      <c r="DVM1361" s="23"/>
      <c r="DVN1361" s="23"/>
      <c r="DVO1361" s="23"/>
      <c r="DVP1361" s="23"/>
      <c r="DVQ1361" s="23"/>
      <c r="DVR1361" s="23"/>
      <c r="DVS1361" s="23"/>
      <c r="DVT1361" s="23"/>
      <c r="DVU1361" s="23"/>
      <c r="DVV1361" s="23"/>
      <c r="DVW1361" s="23"/>
      <c r="DVX1361" s="23"/>
      <c r="DVY1361" s="23"/>
      <c r="DVZ1361" s="23"/>
      <c r="DWA1361" s="23"/>
      <c r="DWB1361" s="23"/>
      <c r="DWC1361" s="23"/>
      <c r="DWD1361" s="23"/>
      <c r="DWE1361" s="23"/>
      <c r="DWF1361" s="23"/>
      <c r="DWG1361" s="23"/>
      <c r="DWH1361" s="23"/>
      <c r="DWI1361" s="23"/>
      <c r="DWJ1361" s="23"/>
      <c r="DWK1361" s="23"/>
      <c r="DWL1361" s="23"/>
      <c r="DWM1361" s="23"/>
      <c r="DWN1361" s="23"/>
      <c r="DWO1361" s="23"/>
      <c r="DWP1361" s="23"/>
      <c r="DWQ1361" s="23"/>
      <c r="DWR1361" s="23"/>
      <c r="DWS1361" s="23"/>
      <c r="DWT1361" s="23"/>
      <c r="DWU1361" s="23"/>
      <c r="DWV1361" s="23"/>
      <c r="DWW1361" s="23"/>
      <c r="DWX1361" s="23"/>
      <c r="DWY1361" s="23"/>
      <c r="DWZ1361" s="23"/>
      <c r="DXA1361" s="23"/>
      <c r="DXB1361" s="23"/>
      <c r="DXC1361" s="23"/>
      <c r="DXD1361" s="23"/>
      <c r="DXE1361" s="23"/>
      <c r="DXF1361" s="23"/>
      <c r="DXG1361" s="23"/>
      <c r="DXH1361" s="23"/>
      <c r="DXI1361" s="23"/>
      <c r="DXJ1361" s="23"/>
      <c r="DXK1361" s="23"/>
      <c r="DXL1361" s="23"/>
      <c r="DXM1361" s="23"/>
      <c r="DXN1361" s="23"/>
      <c r="DXO1361" s="23"/>
      <c r="DXP1361" s="23"/>
      <c r="DXQ1361" s="23"/>
      <c r="DXR1361" s="23"/>
      <c r="DXS1361" s="23"/>
      <c r="DXT1361" s="23"/>
      <c r="DXU1361" s="23"/>
      <c r="DXV1361" s="23"/>
      <c r="DXW1361" s="23"/>
      <c r="DXX1361" s="23"/>
      <c r="DXY1361" s="23"/>
      <c r="DXZ1361" s="23"/>
      <c r="DYA1361" s="23"/>
      <c r="DYB1361" s="23"/>
      <c r="DYC1361" s="23"/>
      <c r="DYD1361" s="23"/>
      <c r="DYE1361" s="23"/>
      <c r="DYF1361" s="23"/>
      <c r="DYG1361" s="23"/>
      <c r="DYH1361" s="23"/>
      <c r="DYI1361" s="23"/>
      <c r="DYJ1361" s="23"/>
      <c r="DYK1361" s="23"/>
      <c r="DYL1361" s="23"/>
      <c r="DYM1361" s="23"/>
      <c r="DYN1361" s="23"/>
      <c r="DYO1361" s="23"/>
      <c r="DYP1361" s="23"/>
      <c r="DYQ1361" s="23"/>
      <c r="DYR1361" s="23"/>
      <c r="DYS1361" s="23"/>
      <c r="DYT1361" s="23"/>
      <c r="DYU1361" s="23"/>
      <c r="DYV1361" s="23"/>
      <c r="DYW1361" s="23"/>
      <c r="DYX1361" s="23"/>
      <c r="DYY1361" s="23"/>
      <c r="DYZ1361" s="23"/>
      <c r="DZA1361" s="23"/>
      <c r="DZB1361" s="23"/>
      <c r="DZC1361" s="23"/>
      <c r="DZD1361" s="23"/>
      <c r="DZE1361" s="23"/>
      <c r="DZF1361" s="23"/>
      <c r="DZG1361" s="23"/>
      <c r="DZH1361" s="23"/>
      <c r="DZI1361" s="23"/>
      <c r="DZJ1361" s="23"/>
      <c r="DZK1361" s="23"/>
      <c r="DZL1361" s="23"/>
      <c r="DZM1361" s="23"/>
      <c r="DZN1361" s="23"/>
      <c r="DZO1361" s="23"/>
      <c r="DZP1361" s="23"/>
      <c r="DZQ1361" s="23"/>
      <c r="DZR1361" s="23"/>
      <c r="DZS1361" s="23"/>
      <c r="DZT1361" s="23"/>
      <c r="DZU1361" s="23"/>
      <c r="DZV1361" s="23"/>
      <c r="DZW1361" s="23"/>
      <c r="DZX1361" s="23"/>
      <c r="DZY1361" s="23"/>
      <c r="DZZ1361" s="23"/>
      <c r="EAA1361" s="23"/>
      <c r="EAB1361" s="23"/>
      <c r="EAC1361" s="23"/>
      <c r="EAD1361" s="23"/>
      <c r="EAE1361" s="23"/>
      <c r="EAF1361" s="23"/>
      <c r="EAG1361" s="23"/>
      <c r="EAH1361" s="23"/>
      <c r="EAI1361" s="23"/>
      <c r="EAJ1361" s="23"/>
      <c r="EAK1361" s="23"/>
      <c r="EAL1361" s="23"/>
      <c r="EAM1361" s="23"/>
      <c r="EAN1361" s="23"/>
      <c r="EAO1361" s="23"/>
      <c r="EAP1361" s="23"/>
      <c r="EAQ1361" s="23"/>
      <c r="EAR1361" s="23"/>
      <c r="EAS1361" s="23"/>
      <c r="EAT1361" s="23"/>
      <c r="EAU1361" s="23"/>
      <c r="EAV1361" s="23"/>
      <c r="EAW1361" s="23"/>
      <c r="EAX1361" s="23"/>
      <c r="EAY1361" s="23"/>
      <c r="EAZ1361" s="23"/>
      <c r="EBA1361" s="23"/>
      <c r="EBB1361" s="23"/>
      <c r="EBC1361" s="23"/>
      <c r="EBD1361" s="23"/>
      <c r="EBE1361" s="23"/>
      <c r="EBF1361" s="23"/>
      <c r="EBG1361" s="23"/>
      <c r="EBH1361" s="23"/>
      <c r="EBI1361" s="23"/>
      <c r="EBJ1361" s="23"/>
      <c r="EBK1361" s="23"/>
      <c r="EBL1361" s="23"/>
      <c r="EBM1361" s="23"/>
      <c r="EBN1361" s="23"/>
      <c r="EBO1361" s="23"/>
      <c r="EBP1361" s="23"/>
      <c r="EBQ1361" s="23"/>
      <c r="EBR1361" s="23"/>
      <c r="EBS1361" s="23"/>
      <c r="EBT1361" s="23"/>
      <c r="EBU1361" s="23"/>
      <c r="EBV1361" s="23"/>
      <c r="EBW1361" s="23"/>
      <c r="EBX1361" s="23"/>
      <c r="EBY1361" s="23"/>
      <c r="EBZ1361" s="23"/>
      <c r="ECA1361" s="23"/>
      <c r="ECB1361" s="23"/>
      <c r="ECC1361" s="23"/>
      <c r="ECD1361" s="23"/>
      <c r="ECE1361" s="23"/>
      <c r="ECF1361" s="23"/>
      <c r="ECG1361" s="23"/>
      <c r="ECH1361" s="23"/>
      <c r="ECI1361" s="23"/>
      <c r="ECJ1361" s="23"/>
      <c r="ECK1361" s="23"/>
      <c r="ECL1361" s="23"/>
      <c r="ECM1361" s="23"/>
      <c r="ECN1361" s="23"/>
      <c r="ECO1361" s="23"/>
      <c r="ECP1361" s="23"/>
      <c r="ECQ1361" s="23"/>
      <c r="ECR1361" s="23"/>
      <c r="ECS1361" s="23"/>
      <c r="ECT1361" s="23"/>
      <c r="ECU1361" s="23"/>
      <c r="ECV1361" s="23"/>
      <c r="ECW1361" s="23"/>
      <c r="ECX1361" s="23"/>
      <c r="ECY1361" s="23"/>
      <c r="ECZ1361" s="23"/>
      <c r="EDA1361" s="23"/>
      <c r="EDB1361" s="23"/>
      <c r="EDC1361" s="23"/>
      <c r="EDD1361" s="23"/>
      <c r="EDE1361" s="23"/>
      <c r="EDF1361" s="23"/>
      <c r="EDG1361" s="23"/>
      <c r="EDH1361" s="23"/>
      <c r="EDI1361" s="23"/>
      <c r="EDJ1361" s="23"/>
      <c r="EDK1361" s="23"/>
      <c r="EDL1361" s="23"/>
      <c r="EDM1361" s="23"/>
      <c r="EDN1361" s="23"/>
      <c r="EDO1361" s="23"/>
      <c r="EDP1361" s="23"/>
      <c r="EDQ1361" s="23"/>
      <c r="EDR1361" s="23"/>
      <c r="EDS1361" s="23"/>
      <c r="EDT1361" s="23"/>
      <c r="EDU1361" s="23"/>
      <c r="EDV1361" s="23"/>
      <c r="EDW1361" s="23"/>
      <c r="EDX1361" s="23"/>
      <c r="EDY1361" s="23"/>
      <c r="EDZ1361" s="23"/>
      <c r="EEA1361" s="23"/>
      <c r="EEB1361" s="23"/>
      <c r="EEC1361" s="23"/>
      <c r="EED1361" s="23"/>
      <c r="EEE1361" s="23"/>
      <c r="EEF1361" s="23"/>
      <c r="EEG1361" s="23"/>
      <c r="EEH1361" s="23"/>
      <c r="EEI1361" s="23"/>
      <c r="EEJ1361" s="23"/>
      <c r="EEK1361" s="23"/>
      <c r="EEL1361" s="23"/>
      <c r="EEM1361" s="23"/>
      <c r="EEN1361" s="23"/>
      <c r="EEO1361" s="23"/>
      <c r="EEP1361" s="23"/>
      <c r="EEQ1361" s="23"/>
      <c r="EER1361" s="23"/>
      <c r="EES1361" s="23"/>
      <c r="EET1361" s="23"/>
      <c r="EEU1361" s="23"/>
      <c r="EEV1361" s="23"/>
      <c r="EEW1361" s="23"/>
      <c r="EEX1361" s="23"/>
      <c r="EEY1361" s="23"/>
      <c r="EEZ1361" s="23"/>
      <c r="EFA1361" s="23"/>
      <c r="EFB1361" s="23"/>
      <c r="EFC1361" s="23"/>
      <c r="EFD1361" s="23"/>
      <c r="EFE1361" s="23"/>
      <c r="EFF1361" s="23"/>
      <c r="EFG1361" s="23"/>
      <c r="EFH1361" s="23"/>
      <c r="EFI1361" s="23"/>
      <c r="EFJ1361" s="23"/>
      <c r="EFK1361" s="23"/>
      <c r="EFL1361" s="23"/>
      <c r="EFM1361" s="23"/>
      <c r="EFN1361" s="23"/>
      <c r="EFO1361" s="23"/>
      <c r="EFP1361" s="23"/>
      <c r="EFQ1361" s="23"/>
      <c r="EFR1361" s="23"/>
      <c r="EFS1361" s="23"/>
      <c r="EFT1361" s="23"/>
      <c r="EFU1361" s="23"/>
      <c r="EFV1361" s="23"/>
      <c r="EFW1361" s="23"/>
      <c r="EFX1361" s="23"/>
      <c r="EFY1361" s="23"/>
      <c r="EFZ1361" s="23"/>
      <c r="EGA1361" s="23"/>
      <c r="EGB1361" s="23"/>
      <c r="EGC1361" s="23"/>
      <c r="EGD1361" s="23"/>
      <c r="EGE1361" s="23"/>
      <c r="EGF1361" s="23"/>
      <c r="EGG1361" s="23"/>
      <c r="EGH1361" s="23"/>
      <c r="EGI1361" s="23"/>
      <c r="EGJ1361" s="23"/>
      <c r="EGK1361" s="23"/>
      <c r="EGL1361" s="23"/>
      <c r="EGM1361" s="23"/>
      <c r="EGN1361" s="23"/>
      <c r="EGO1361" s="23"/>
      <c r="EGP1361" s="23"/>
      <c r="EGQ1361" s="23"/>
      <c r="EGR1361" s="23"/>
      <c r="EGS1361" s="23"/>
      <c r="EGT1361" s="23"/>
      <c r="EGU1361" s="23"/>
      <c r="EGV1361" s="23"/>
      <c r="EGW1361" s="23"/>
      <c r="EGX1361" s="23"/>
      <c r="EGY1361" s="23"/>
      <c r="EGZ1361" s="23"/>
      <c r="EHA1361" s="23"/>
      <c r="EHB1361" s="23"/>
      <c r="EHC1361" s="23"/>
      <c r="EHD1361" s="23"/>
      <c r="EHE1361" s="23"/>
      <c r="EHF1361" s="23"/>
      <c r="EHG1361" s="23"/>
      <c r="EHH1361" s="23"/>
      <c r="EHI1361" s="23"/>
      <c r="EHJ1361" s="23"/>
      <c r="EHK1361" s="23"/>
      <c r="EHL1361" s="23"/>
      <c r="EHM1361" s="23"/>
      <c r="EHN1361" s="23"/>
      <c r="EHO1361" s="23"/>
      <c r="EHP1361" s="23"/>
      <c r="EHQ1361" s="23"/>
      <c r="EHR1361" s="23"/>
      <c r="EHS1361" s="23"/>
      <c r="EHT1361" s="23"/>
      <c r="EHU1361" s="23"/>
      <c r="EHV1361" s="23"/>
      <c r="EHW1361" s="23"/>
      <c r="EHX1361" s="23"/>
      <c r="EHY1361" s="23"/>
      <c r="EHZ1361" s="23"/>
      <c r="EIA1361" s="23"/>
      <c r="EIB1361" s="23"/>
      <c r="EIC1361" s="23"/>
      <c r="EID1361" s="23"/>
      <c r="EIE1361" s="23"/>
      <c r="EIF1361" s="23"/>
      <c r="EIG1361" s="23"/>
      <c r="EIH1361" s="23"/>
      <c r="EII1361" s="23"/>
      <c r="EIJ1361" s="23"/>
      <c r="EIK1361" s="23"/>
      <c r="EIL1361" s="23"/>
      <c r="EIM1361" s="23"/>
      <c r="EIN1361" s="23"/>
      <c r="EIO1361" s="23"/>
      <c r="EIP1361" s="23"/>
      <c r="EIQ1361" s="23"/>
      <c r="EIR1361" s="23"/>
      <c r="EIS1361" s="23"/>
      <c r="EIT1361" s="23"/>
      <c r="EIU1361" s="23"/>
      <c r="EIV1361" s="23"/>
      <c r="EIW1361" s="23"/>
      <c r="EIX1361" s="23"/>
      <c r="EIY1361" s="23"/>
      <c r="EIZ1361" s="23"/>
      <c r="EJA1361" s="23"/>
      <c r="EJB1361" s="23"/>
      <c r="EJC1361" s="23"/>
      <c r="EJD1361" s="23"/>
      <c r="EJE1361" s="23"/>
      <c r="EJF1361" s="23"/>
      <c r="EJG1361" s="23"/>
      <c r="EJH1361" s="23"/>
      <c r="EJI1361" s="23"/>
      <c r="EJJ1361" s="23"/>
      <c r="EJK1361" s="23"/>
      <c r="EJL1361" s="23"/>
      <c r="EJM1361" s="23"/>
      <c r="EJN1361" s="23"/>
      <c r="EJO1361" s="23"/>
      <c r="EJP1361" s="23"/>
      <c r="EJQ1361" s="23"/>
      <c r="EJR1361" s="23"/>
      <c r="EJS1361" s="23"/>
      <c r="EJT1361" s="23"/>
      <c r="EJU1361" s="23"/>
      <c r="EJV1361" s="23"/>
      <c r="EJW1361" s="23"/>
      <c r="EJX1361" s="23"/>
      <c r="EJY1361" s="23"/>
      <c r="EJZ1361" s="23"/>
      <c r="EKA1361" s="23"/>
      <c r="EKB1361" s="23"/>
      <c r="EKC1361" s="23"/>
      <c r="EKD1361" s="23"/>
      <c r="EKE1361" s="23"/>
      <c r="EKF1361" s="23"/>
      <c r="EKG1361" s="23"/>
      <c r="EKH1361" s="23"/>
      <c r="EKI1361" s="23"/>
      <c r="EKJ1361" s="23"/>
      <c r="EKK1361" s="23"/>
      <c r="EKL1361" s="23"/>
      <c r="EKM1361" s="23"/>
      <c r="EKN1361" s="23"/>
      <c r="EKO1361" s="23"/>
      <c r="EKP1361" s="23"/>
      <c r="EKQ1361" s="23"/>
      <c r="EKR1361" s="23"/>
      <c r="EKS1361" s="23"/>
      <c r="EKT1361" s="23"/>
      <c r="EKU1361" s="23"/>
      <c r="EKV1361" s="23"/>
      <c r="EKW1361" s="23"/>
      <c r="EKX1361" s="23"/>
      <c r="EKY1361" s="23"/>
      <c r="EKZ1361" s="23"/>
      <c r="ELA1361" s="23"/>
      <c r="ELB1361" s="23"/>
      <c r="ELC1361" s="23"/>
      <c r="ELD1361" s="23"/>
      <c r="ELE1361" s="23"/>
      <c r="ELF1361" s="23"/>
      <c r="ELG1361" s="23"/>
      <c r="ELH1361" s="23"/>
      <c r="ELI1361" s="23"/>
      <c r="ELJ1361" s="23"/>
      <c r="ELK1361" s="23"/>
      <c r="ELL1361" s="23"/>
      <c r="ELM1361" s="23"/>
      <c r="ELN1361" s="23"/>
      <c r="ELO1361" s="23"/>
      <c r="ELP1361" s="23"/>
      <c r="ELQ1361" s="23"/>
      <c r="ELR1361" s="23"/>
      <c r="ELS1361" s="23"/>
      <c r="ELT1361" s="23"/>
      <c r="ELU1361" s="23"/>
      <c r="ELV1361" s="23"/>
      <c r="ELW1361" s="23"/>
      <c r="ELX1361" s="23"/>
      <c r="ELY1361" s="23"/>
      <c r="ELZ1361" s="23"/>
      <c r="EMA1361" s="23"/>
      <c r="EMB1361" s="23"/>
      <c r="EMC1361" s="23"/>
      <c r="EMD1361" s="23"/>
      <c r="EME1361" s="23"/>
      <c r="EMF1361" s="23"/>
      <c r="EMG1361" s="23"/>
      <c r="EMH1361" s="23"/>
      <c r="EMI1361" s="23"/>
      <c r="EMJ1361" s="23"/>
      <c r="EMK1361" s="23"/>
      <c r="EML1361" s="23"/>
      <c r="EMM1361" s="23"/>
      <c r="EMN1361" s="23"/>
      <c r="EMO1361" s="23"/>
      <c r="EMP1361" s="23"/>
      <c r="EMQ1361" s="23"/>
      <c r="EMR1361" s="23"/>
      <c r="EMS1361" s="23"/>
      <c r="EMT1361" s="23"/>
      <c r="EMU1361" s="23"/>
      <c r="EMV1361" s="23"/>
      <c r="EMW1361" s="23"/>
      <c r="EMX1361" s="23"/>
      <c r="EMY1361" s="23"/>
      <c r="EMZ1361" s="23"/>
      <c r="ENA1361" s="23"/>
      <c r="ENB1361" s="23"/>
      <c r="ENC1361" s="23"/>
      <c r="END1361" s="23"/>
      <c r="ENE1361" s="23"/>
      <c r="ENF1361" s="23"/>
      <c r="ENG1361" s="23"/>
      <c r="ENH1361" s="23"/>
      <c r="ENI1361" s="23"/>
      <c r="ENJ1361" s="23"/>
      <c r="ENK1361" s="23"/>
      <c r="ENL1361" s="23"/>
      <c r="ENM1361" s="23"/>
      <c r="ENN1361" s="23"/>
      <c r="ENO1361" s="23"/>
      <c r="ENP1361" s="23"/>
      <c r="ENQ1361" s="23"/>
      <c r="ENR1361" s="23"/>
      <c r="ENS1361" s="23"/>
      <c r="ENT1361" s="23"/>
      <c r="ENU1361" s="23"/>
      <c r="ENV1361" s="23"/>
      <c r="ENW1361" s="23"/>
      <c r="ENX1361" s="23"/>
      <c r="ENY1361" s="23"/>
      <c r="ENZ1361" s="23"/>
      <c r="EOA1361" s="23"/>
      <c r="EOB1361" s="23"/>
      <c r="EOC1361" s="23"/>
      <c r="EOD1361" s="23"/>
      <c r="EOE1361" s="23"/>
      <c r="EOF1361" s="23"/>
      <c r="EOG1361" s="23"/>
      <c r="EOH1361" s="23"/>
      <c r="EOI1361" s="23"/>
      <c r="EOJ1361" s="23"/>
      <c r="EOK1361" s="23"/>
      <c r="EOL1361" s="23"/>
      <c r="EOM1361" s="23"/>
      <c r="EON1361" s="23"/>
      <c r="EOO1361" s="23"/>
      <c r="EOP1361" s="23"/>
      <c r="EOQ1361" s="23"/>
      <c r="EOR1361" s="23"/>
      <c r="EOS1361" s="23"/>
      <c r="EOT1361" s="23"/>
      <c r="EOU1361" s="23"/>
      <c r="EOV1361" s="23"/>
      <c r="EOW1361" s="23"/>
      <c r="EOX1361" s="23"/>
      <c r="EOY1361" s="23"/>
      <c r="EOZ1361" s="23"/>
      <c r="EPA1361" s="23"/>
      <c r="EPB1361" s="23"/>
      <c r="EPC1361" s="23"/>
      <c r="EPD1361" s="23"/>
      <c r="EPE1361" s="23"/>
      <c r="EPF1361" s="23"/>
      <c r="EPG1361" s="23"/>
      <c r="EPH1361" s="23"/>
      <c r="EPI1361" s="23"/>
      <c r="EPJ1361" s="23"/>
      <c r="EPK1361" s="23"/>
      <c r="EPL1361" s="23"/>
      <c r="EPM1361" s="23"/>
      <c r="EPN1361" s="23"/>
      <c r="EPO1361" s="23"/>
      <c r="EPP1361" s="23"/>
      <c r="EPQ1361" s="23"/>
      <c r="EPR1361" s="23"/>
      <c r="EPS1361" s="23"/>
      <c r="EPT1361" s="23"/>
      <c r="EPU1361" s="23"/>
      <c r="EPV1361" s="23"/>
      <c r="EPW1361" s="23"/>
      <c r="EPX1361" s="23"/>
      <c r="EPY1361" s="23"/>
      <c r="EPZ1361" s="23"/>
      <c r="EQA1361" s="23"/>
      <c r="EQB1361" s="23"/>
      <c r="EQC1361" s="23"/>
      <c r="EQD1361" s="23"/>
      <c r="EQE1361" s="23"/>
      <c r="EQF1361" s="23"/>
      <c r="EQG1361" s="23"/>
      <c r="EQH1361" s="23"/>
      <c r="EQI1361" s="23"/>
      <c r="EQJ1361" s="23"/>
      <c r="EQK1361" s="23"/>
      <c r="EQL1361" s="23"/>
      <c r="EQM1361" s="23"/>
      <c r="EQN1361" s="23"/>
      <c r="EQO1361" s="23"/>
      <c r="EQP1361" s="23"/>
      <c r="EQQ1361" s="23"/>
      <c r="EQR1361" s="23"/>
      <c r="EQS1361" s="23"/>
      <c r="EQT1361" s="23"/>
      <c r="EQU1361" s="23"/>
      <c r="EQV1361" s="23"/>
      <c r="EQW1361" s="23"/>
      <c r="EQX1361" s="23"/>
      <c r="EQY1361" s="23"/>
      <c r="EQZ1361" s="23"/>
      <c r="ERA1361" s="23"/>
      <c r="ERB1361" s="23"/>
      <c r="ERC1361" s="23"/>
      <c r="ERD1361" s="23"/>
      <c r="ERE1361" s="23"/>
      <c r="ERF1361" s="23"/>
      <c r="ERG1361" s="23"/>
      <c r="ERH1361" s="23"/>
      <c r="ERI1361" s="23"/>
      <c r="ERJ1361" s="23"/>
      <c r="ERK1361" s="23"/>
      <c r="ERL1361" s="23"/>
      <c r="ERM1361" s="23"/>
      <c r="ERN1361" s="23"/>
      <c r="ERO1361" s="23"/>
      <c r="ERP1361" s="23"/>
      <c r="ERQ1361" s="23"/>
      <c r="ERR1361" s="23"/>
      <c r="ERS1361" s="23"/>
      <c r="ERT1361" s="23"/>
      <c r="ERU1361" s="23"/>
      <c r="ERV1361" s="23"/>
      <c r="ERW1361" s="23"/>
      <c r="ERX1361" s="23"/>
      <c r="ERY1361" s="23"/>
      <c r="ERZ1361" s="23"/>
      <c r="ESA1361" s="23"/>
      <c r="ESB1361" s="23"/>
      <c r="ESC1361" s="23"/>
      <c r="ESD1361" s="23"/>
      <c r="ESE1361" s="23"/>
      <c r="ESF1361" s="23"/>
      <c r="ESG1361" s="23"/>
      <c r="ESH1361" s="23"/>
      <c r="ESI1361" s="23"/>
      <c r="ESJ1361" s="23"/>
      <c r="ESK1361" s="23"/>
      <c r="ESL1361" s="23"/>
      <c r="ESM1361" s="23"/>
      <c r="ESN1361" s="23"/>
      <c r="ESO1361" s="23"/>
      <c r="ESP1361" s="23"/>
      <c r="ESQ1361" s="23"/>
      <c r="ESR1361" s="23"/>
      <c r="ESS1361" s="23"/>
      <c r="EST1361" s="23"/>
      <c r="ESU1361" s="23"/>
      <c r="ESV1361" s="23"/>
      <c r="ESW1361" s="23"/>
      <c r="ESX1361" s="23"/>
      <c r="ESY1361" s="23"/>
      <c r="ESZ1361" s="23"/>
      <c r="ETA1361" s="23"/>
      <c r="ETB1361" s="23"/>
      <c r="ETC1361" s="23"/>
      <c r="ETD1361" s="23"/>
      <c r="ETE1361" s="23"/>
      <c r="ETF1361" s="23"/>
      <c r="ETG1361" s="23"/>
      <c r="ETH1361" s="23"/>
      <c r="ETI1361" s="23"/>
      <c r="ETJ1361" s="23"/>
      <c r="ETK1361" s="23"/>
      <c r="ETL1361" s="23"/>
      <c r="ETM1361" s="23"/>
      <c r="ETN1361" s="23"/>
      <c r="ETO1361" s="23"/>
      <c r="ETP1361" s="23"/>
      <c r="ETQ1361" s="23"/>
      <c r="ETR1361" s="23"/>
      <c r="ETS1361" s="23"/>
      <c r="ETT1361" s="23"/>
      <c r="ETU1361" s="23"/>
      <c r="ETV1361" s="23"/>
      <c r="ETW1361" s="23"/>
      <c r="ETX1361" s="23"/>
      <c r="ETY1361" s="23"/>
      <c r="ETZ1361" s="23"/>
      <c r="EUA1361" s="23"/>
      <c r="EUB1361" s="23"/>
      <c r="EUC1361" s="23"/>
      <c r="EUD1361" s="23"/>
      <c r="EUE1361" s="23"/>
      <c r="EUF1361" s="23"/>
      <c r="EUG1361" s="23"/>
      <c r="EUH1361" s="23"/>
      <c r="EUI1361" s="23"/>
      <c r="EUJ1361" s="23"/>
      <c r="EUK1361" s="23"/>
      <c r="EUL1361" s="23"/>
      <c r="EUM1361" s="23"/>
      <c r="EUN1361" s="23"/>
      <c r="EUO1361" s="23"/>
      <c r="EUP1361" s="23"/>
      <c r="EUQ1361" s="23"/>
      <c r="EUR1361" s="23"/>
      <c r="EUS1361" s="23"/>
      <c r="EUT1361" s="23"/>
      <c r="EUU1361" s="23"/>
      <c r="EUV1361" s="23"/>
      <c r="EUW1361" s="23"/>
      <c r="EUX1361" s="23"/>
      <c r="EUY1361" s="23"/>
      <c r="EUZ1361" s="23"/>
      <c r="EVA1361" s="23"/>
      <c r="EVB1361" s="23"/>
      <c r="EVC1361" s="23"/>
      <c r="EVD1361" s="23"/>
      <c r="EVE1361" s="23"/>
      <c r="EVF1361" s="23"/>
      <c r="EVG1361" s="23"/>
      <c r="EVH1361" s="23"/>
      <c r="EVI1361" s="23"/>
      <c r="EVJ1361" s="23"/>
      <c r="EVK1361" s="23"/>
      <c r="EVL1361" s="23"/>
      <c r="EVM1361" s="23"/>
      <c r="EVN1361" s="23"/>
      <c r="EVO1361" s="23"/>
      <c r="EVP1361" s="23"/>
      <c r="EVQ1361" s="23"/>
      <c r="EVR1361" s="23"/>
      <c r="EVS1361" s="23"/>
      <c r="EVT1361" s="23"/>
      <c r="EVU1361" s="23"/>
      <c r="EVV1361" s="23"/>
      <c r="EVW1361" s="23"/>
      <c r="EVX1361" s="23"/>
      <c r="EVY1361" s="23"/>
      <c r="EVZ1361" s="23"/>
      <c r="EWA1361" s="23"/>
      <c r="EWB1361" s="23"/>
      <c r="EWC1361" s="23"/>
      <c r="EWD1361" s="23"/>
      <c r="EWE1361" s="23"/>
      <c r="EWF1361" s="23"/>
      <c r="EWG1361" s="23"/>
      <c r="EWH1361" s="23"/>
      <c r="EWI1361" s="23"/>
      <c r="EWJ1361" s="23"/>
      <c r="EWK1361" s="23"/>
      <c r="EWL1361" s="23"/>
      <c r="EWM1361" s="23"/>
      <c r="EWN1361" s="23"/>
      <c r="EWO1361" s="23"/>
      <c r="EWP1361" s="23"/>
      <c r="EWQ1361" s="23"/>
      <c r="EWR1361" s="23"/>
      <c r="EWS1361" s="23"/>
      <c r="EWT1361" s="23"/>
      <c r="EWU1361" s="23"/>
      <c r="EWV1361" s="23"/>
      <c r="EWW1361" s="23"/>
      <c r="EWX1361" s="23"/>
      <c r="EWY1361" s="23"/>
      <c r="EWZ1361" s="23"/>
      <c r="EXA1361" s="23"/>
      <c r="EXB1361" s="23"/>
      <c r="EXC1361" s="23"/>
      <c r="EXD1361" s="23"/>
      <c r="EXE1361" s="23"/>
      <c r="EXF1361" s="23"/>
      <c r="EXG1361" s="23"/>
      <c r="EXH1361" s="23"/>
      <c r="EXI1361" s="23"/>
      <c r="EXJ1361" s="23"/>
      <c r="EXK1361" s="23"/>
      <c r="EXL1361" s="23"/>
      <c r="EXM1361" s="23"/>
      <c r="EXN1361" s="23"/>
      <c r="EXO1361" s="23"/>
      <c r="EXP1361" s="23"/>
      <c r="EXQ1361" s="23"/>
      <c r="EXR1361" s="23"/>
      <c r="EXS1361" s="23"/>
      <c r="EXT1361" s="23"/>
      <c r="EXU1361" s="23"/>
      <c r="EXV1361" s="23"/>
      <c r="EXW1361" s="23"/>
      <c r="EXX1361" s="23"/>
      <c r="EXY1361" s="23"/>
      <c r="EXZ1361" s="23"/>
      <c r="EYA1361" s="23"/>
      <c r="EYB1361" s="23"/>
      <c r="EYC1361" s="23"/>
      <c r="EYD1361" s="23"/>
      <c r="EYE1361" s="23"/>
      <c r="EYF1361" s="23"/>
      <c r="EYG1361" s="23"/>
      <c r="EYH1361" s="23"/>
      <c r="EYI1361" s="23"/>
      <c r="EYJ1361" s="23"/>
      <c r="EYK1361" s="23"/>
      <c r="EYL1361" s="23"/>
      <c r="EYM1361" s="23"/>
      <c r="EYN1361" s="23"/>
      <c r="EYO1361" s="23"/>
      <c r="EYP1361" s="23"/>
      <c r="EYQ1361" s="23"/>
      <c r="EYR1361" s="23"/>
      <c r="EYS1361" s="23"/>
      <c r="EYT1361" s="23"/>
      <c r="EYU1361" s="23"/>
      <c r="EYV1361" s="23"/>
      <c r="EYW1361" s="23"/>
      <c r="EYX1361" s="23"/>
      <c r="EYY1361" s="23"/>
      <c r="EYZ1361" s="23"/>
      <c r="EZA1361" s="23"/>
      <c r="EZB1361" s="23"/>
      <c r="EZC1361" s="23"/>
      <c r="EZD1361" s="23"/>
      <c r="EZE1361" s="23"/>
      <c r="EZF1361" s="23"/>
      <c r="EZG1361" s="23"/>
      <c r="EZH1361" s="23"/>
      <c r="EZI1361" s="23"/>
      <c r="EZJ1361" s="23"/>
      <c r="EZK1361" s="23"/>
      <c r="EZL1361" s="23"/>
      <c r="EZM1361" s="23"/>
      <c r="EZN1361" s="23"/>
      <c r="EZO1361" s="23"/>
      <c r="EZP1361" s="23"/>
      <c r="EZQ1361" s="23"/>
      <c r="EZR1361" s="23"/>
      <c r="EZS1361" s="23"/>
      <c r="EZT1361" s="23"/>
      <c r="EZU1361" s="23"/>
      <c r="EZV1361" s="23"/>
      <c r="EZW1361" s="23"/>
      <c r="EZX1361" s="23"/>
      <c r="EZY1361" s="23"/>
      <c r="EZZ1361" s="23"/>
      <c r="FAA1361" s="23"/>
      <c r="FAB1361" s="23"/>
      <c r="FAC1361" s="23"/>
      <c r="FAD1361" s="23"/>
      <c r="FAE1361" s="23"/>
      <c r="FAF1361" s="23"/>
      <c r="FAG1361" s="23"/>
      <c r="FAH1361" s="23"/>
      <c r="FAI1361" s="23"/>
      <c r="FAJ1361" s="23"/>
      <c r="FAK1361" s="23"/>
      <c r="FAL1361" s="23"/>
      <c r="FAM1361" s="23"/>
      <c r="FAN1361" s="23"/>
      <c r="FAO1361" s="23"/>
      <c r="FAP1361" s="23"/>
      <c r="FAQ1361" s="23"/>
      <c r="FAR1361" s="23"/>
      <c r="FAS1361" s="23"/>
      <c r="FAT1361" s="23"/>
      <c r="FAU1361" s="23"/>
      <c r="FAV1361" s="23"/>
      <c r="FAW1361" s="23"/>
      <c r="FAX1361" s="23"/>
      <c r="FAY1361" s="23"/>
      <c r="FAZ1361" s="23"/>
      <c r="FBA1361" s="23"/>
      <c r="FBB1361" s="23"/>
      <c r="FBC1361" s="23"/>
      <c r="FBD1361" s="23"/>
      <c r="FBE1361" s="23"/>
      <c r="FBF1361" s="23"/>
      <c r="FBG1361" s="23"/>
      <c r="FBH1361" s="23"/>
      <c r="FBI1361" s="23"/>
      <c r="FBJ1361" s="23"/>
      <c r="FBK1361" s="23"/>
      <c r="FBL1361" s="23"/>
      <c r="FBM1361" s="23"/>
      <c r="FBN1361" s="23"/>
      <c r="FBO1361" s="23"/>
      <c r="FBP1361" s="23"/>
      <c r="FBQ1361" s="23"/>
      <c r="FBR1361" s="23"/>
      <c r="FBS1361" s="23"/>
      <c r="FBT1361" s="23"/>
      <c r="FBU1361" s="23"/>
      <c r="FBV1361" s="23"/>
      <c r="FBW1361" s="23"/>
      <c r="FBX1361" s="23"/>
      <c r="FBY1361" s="23"/>
      <c r="FBZ1361" s="23"/>
      <c r="FCA1361" s="23"/>
      <c r="FCB1361" s="23"/>
      <c r="FCC1361" s="23"/>
      <c r="FCD1361" s="23"/>
      <c r="FCE1361" s="23"/>
      <c r="FCF1361" s="23"/>
      <c r="FCG1361" s="23"/>
      <c r="FCH1361" s="23"/>
      <c r="FCI1361" s="23"/>
      <c r="FCJ1361" s="23"/>
      <c r="FCK1361" s="23"/>
      <c r="FCL1361" s="23"/>
      <c r="FCM1361" s="23"/>
      <c r="FCN1361" s="23"/>
      <c r="FCO1361" s="23"/>
      <c r="FCP1361" s="23"/>
      <c r="FCQ1361" s="23"/>
      <c r="FCR1361" s="23"/>
      <c r="FCS1361" s="23"/>
      <c r="FCT1361" s="23"/>
      <c r="FCU1361" s="23"/>
      <c r="FCV1361" s="23"/>
      <c r="FCW1361" s="23"/>
      <c r="FCX1361" s="23"/>
      <c r="FCY1361" s="23"/>
      <c r="FCZ1361" s="23"/>
      <c r="FDA1361" s="23"/>
      <c r="FDB1361" s="23"/>
      <c r="FDC1361" s="23"/>
      <c r="FDD1361" s="23"/>
      <c r="FDE1361" s="23"/>
      <c r="FDF1361" s="23"/>
      <c r="FDG1361" s="23"/>
      <c r="FDH1361" s="23"/>
      <c r="FDI1361" s="23"/>
      <c r="FDJ1361" s="23"/>
      <c r="FDK1361" s="23"/>
      <c r="FDL1361" s="23"/>
      <c r="FDM1361" s="23"/>
      <c r="FDN1361" s="23"/>
      <c r="FDO1361" s="23"/>
      <c r="FDP1361" s="23"/>
      <c r="FDQ1361" s="23"/>
      <c r="FDR1361" s="23"/>
      <c r="FDS1361" s="23"/>
      <c r="FDT1361" s="23"/>
      <c r="FDU1361" s="23"/>
      <c r="FDV1361" s="23"/>
      <c r="FDW1361" s="23"/>
      <c r="FDX1361" s="23"/>
      <c r="FDY1361" s="23"/>
      <c r="FDZ1361" s="23"/>
      <c r="FEA1361" s="23"/>
      <c r="FEB1361" s="23"/>
      <c r="FEC1361" s="23"/>
      <c r="FED1361" s="23"/>
      <c r="FEE1361" s="23"/>
      <c r="FEF1361" s="23"/>
      <c r="FEG1361" s="23"/>
      <c r="FEH1361" s="23"/>
      <c r="FEI1361" s="23"/>
      <c r="FEJ1361" s="23"/>
      <c r="FEK1361" s="23"/>
      <c r="FEL1361" s="23"/>
      <c r="FEM1361" s="23"/>
      <c r="FEN1361" s="23"/>
      <c r="FEO1361" s="23"/>
      <c r="FEP1361" s="23"/>
      <c r="FEQ1361" s="23"/>
      <c r="FER1361" s="23"/>
      <c r="FES1361" s="23"/>
      <c r="FET1361" s="23"/>
      <c r="FEU1361" s="23"/>
      <c r="FEV1361" s="23"/>
      <c r="FEW1361" s="23"/>
      <c r="FEX1361" s="23"/>
      <c r="FEY1361" s="23"/>
      <c r="FEZ1361" s="23"/>
      <c r="FFA1361" s="23"/>
      <c r="FFB1361" s="23"/>
      <c r="FFC1361" s="23"/>
      <c r="FFD1361" s="23"/>
      <c r="FFE1361" s="23"/>
      <c r="FFF1361" s="23"/>
      <c r="FFG1361" s="23"/>
      <c r="FFH1361" s="23"/>
      <c r="FFI1361" s="23"/>
      <c r="FFJ1361" s="23"/>
      <c r="FFK1361" s="23"/>
      <c r="FFL1361" s="23"/>
      <c r="FFM1361" s="23"/>
      <c r="FFN1361" s="23"/>
      <c r="FFO1361" s="23"/>
      <c r="FFP1361" s="23"/>
      <c r="FFQ1361" s="23"/>
      <c r="FFR1361" s="23"/>
      <c r="FFS1361" s="23"/>
      <c r="FFT1361" s="23"/>
      <c r="FFU1361" s="23"/>
      <c r="FFV1361" s="23"/>
      <c r="FFW1361" s="23"/>
      <c r="FFX1361" s="23"/>
      <c r="FFY1361" s="23"/>
      <c r="FFZ1361" s="23"/>
      <c r="FGA1361" s="23"/>
      <c r="FGB1361" s="23"/>
      <c r="FGC1361" s="23"/>
      <c r="FGD1361" s="23"/>
      <c r="FGE1361" s="23"/>
      <c r="FGF1361" s="23"/>
      <c r="FGG1361" s="23"/>
      <c r="FGH1361" s="23"/>
      <c r="FGI1361" s="23"/>
      <c r="FGJ1361" s="23"/>
      <c r="FGK1361" s="23"/>
      <c r="FGL1361" s="23"/>
      <c r="FGM1361" s="23"/>
      <c r="FGN1361" s="23"/>
      <c r="FGO1361" s="23"/>
      <c r="FGP1361" s="23"/>
      <c r="FGQ1361" s="23"/>
      <c r="FGR1361" s="23"/>
      <c r="FGS1361" s="23"/>
      <c r="FGT1361" s="23"/>
      <c r="FGU1361" s="23"/>
      <c r="FGV1361" s="23"/>
      <c r="FGW1361" s="23"/>
      <c r="FGX1361" s="23"/>
      <c r="FGY1361" s="23"/>
      <c r="FGZ1361" s="23"/>
      <c r="FHA1361" s="23"/>
      <c r="FHB1361" s="23"/>
      <c r="FHC1361" s="23"/>
      <c r="FHD1361" s="23"/>
      <c r="FHE1361" s="23"/>
      <c r="FHF1361" s="23"/>
      <c r="FHG1361" s="23"/>
      <c r="FHH1361" s="23"/>
      <c r="FHI1361" s="23"/>
      <c r="FHJ1361" s="23"/>
      <c r="FHK1361" s="23"/>
      <c r="FHL1361" s="23"/>
      <c r="FHM1361" s="23"/>
      <c r="FHN1361" s="23"/>
      <c r="FHO1361" s="23"/>
      <c r="FHP1361" s="23"/>
      <c r="FHQ1361" s="23"/>
      <c r="FHR1361" s="23"/>
      <c r="FHS1361" s="23"/>
      <c r="FHT1361" s="23"/>
      <c r="FHU1361" s="23"/>
      <c r="FHV1361" s="23"/>
      <c r="FHW1361" s="23"/>
      <c r="FHX1361" s="23"/>
      <c r="FHY1361" s="23"/>
      <c r="FHZ1361" s="23"/>
      <c r="FIA1361" s="23"/>
      <c r="FIB1361" s="23"/>
      <c r="FIC1361" s="23"/>
      <c r="FID1361" s="23"/>
      <c r="FIE1361" s="23"/>
      <c r="FIF1361" s="23"/>
      <c r="FIG1361" s="23"/>
      <c r="FIH1361" s="23"/>
      <c r="FII1361" s="23"/>
      <c r="FIJ1361" s="23"/>
      <c r="FIK1361" s="23"/>
      <c r="FIL1361" s="23"/>
      <c r="FIM1361" s="23"/>
      <c r="FIN1361" s="23"/>
      <c r="FIO1361" s="23"/>
      <c r="FIP1361" s="23"/>
      <c r="FIQ1361" s="23"/>
      <c r="FIR1361" s="23"/>
      <c r="FIS1361" s="23"/>
      <c r="FIT1361" s="23"/>
      <c r="FIU1361" s="23"/>
      <c r="FIV1361" s="23"/>
      <c r="FIW1361" s="23"/>
      <c r="FIX1361" s="23"/>
      <c r="FIY1361" s="23"/>
      <c r="FIZ1361" s="23"/>
      <c r="FJA1361" s="23"/>
      <c r="FJB1361" s="23"/>
      <c r="FJC1361" s="23"/>
      <c r="FJD1361" s="23"/>
      <c r="FJE1361" s="23"/>
      <c r="FJF1361" s="23"/>
      <c r="FJG1361" s="23"/>
      <c r="FJH1361" s="23"/>
      <c r="FJI1361" s="23"/>
      <c r="FJJ1361" s="23"/>
      <c r="FJK1361" s="23"/>
      <c r="FJL1361" s="23"/>
      <c r="FJM1361" s="23"/>
      <c r="FJN1361" s="23"/>
      <c r="FJO1361" s="23"/>
      <c r="FJP1361" s="23"/>
      <c r="FJQ1361" s="23"/>
      <c r="FJR1361" s="23"/>
      <c r="FJS1361" s="23"/>
      <c r="FJT1361" s="23"/>
      <c r="FJU1361" s="23"/>
      <c r="FJV1361" s="23"/>
      <c r="FJW1361" s="23"/>
      <c r="FJX1361" s="23"/>
      <c r="FJY1361" s="23"/>
      <c r="FJZ1361" s="23"/>
      <c r="FKA1361" s="23"/>
      <c r="FKB1361" s="23"/>
      <c r="FKC1361" s="23"/>
      <c r="FKD1361" s="23"/>
      <c r="FKE1361" s="23"/>
      <c r="FKF1361" s="23"/>
      <c r="FKG1361" s="23"/>
      <c r="FKH1361" s="23"/>
      <c r="FKI1361" s="23"/>
      <c r="FKJ1361" s="23"/>
      <c r="FKK1361" s="23"/>
      <c r="FKL1361" s="23"/>
      <c r="FKM1361" s="23"/>
      <c r="FKN1361" s="23"/>
      <c r="FKO1361" s="23"/>
      <c r="FKP1361" s="23"/>
      <c r="FKQ1361" s="23"/>
      <c r="FKR1361" s="23"/>
      <c r="FKS1361" s="23"/>
      <c r="FKT1361" s="23"/>
      <c r="FKU1361" s="23"/>
      <c r="FKV1361" s="23"/>
      <c r="FKW1361" s="23"/>
      <c r="FKX1361" s="23"/>
      <c r="FKY1361" s="23"/>
      <c r="FKZ1361" s="23"/>
      <c r="FLA1361" s="23"/>
      <c r="FLB1361" s="23"/>
      <c r="FLC1361" s="23"/>
      <c r="FLD1361" s="23"/>
      <c r="FLE1361" s="23"/>
      <c r="FLF1361" s="23"/>
      <c r="FLG1361" s="23"/>
      <c r="FLH1361" s="23"/>
      <c r="FLI1361" s="23"/>
      <c r="FLJ1361" s="23"/>
      <c r="FLK1361" s="23"/>
      <c r="FLL1361" s="23"/>
      <c r="FLM1361" s="23"/>
      <c r="FLN1361" s="23"/>
      <c r="FLO1361" s="23"/>
      <c r="FLP1361" s="23"/>
      <c r="FLQ1361" s="23"/>
      <c r="FLR1361" s="23"/>
      <c r="FLS1361" s="23"/>
      <c r="FLT1361" s="23"/>
      <c r="FLU1361" s="23"/>
      <c r="FLV1361" s="23"/>
      <c r="FLW1361" s="23"/>
      <c r="FLX1361" s="23"/>
      <c r="FLY1361" s="23"/>
      <c r="FLZ1361" s="23"/>
      <c r="FMA1361" s="23"/>
      <c r="FMB1361" s="23"/>
      <c r="FMC1361" s="23"/>
      <c r="FMD1361" s="23"/>
      <c r="FME1361" s="23"/>
      <c r="FMF1361" s="23"/>
      <c r="FMG1361" s="23"/>
      <c r="FMH1361" s="23"/>
      <c r="FMI1361" s="23"/>
      <c r="FMJ1361" s="23"/>
      <c r="FMK1361" s="23"/>
      <c r="FML1361" s="23"/>
      <c r="FMM1361" s="23"/>
      <c r="FMN1361" s="23"/>
      <c r="FMO1361" s="23"/>
      <c r="FMP1361" s="23"/>
      <c r="FMQ1361" s="23"/>
      <c r="FMR1361" s="23"/>
      <c r="FMS1361" s="23"/>
      <c r="FMT1361" s="23"/>
      <c r="FMU1361" s="23"/>
      <c r="FMV1361" s="23"/>
      <c r="FMW1361" s="23"/>
      <c r="FMX1361" s="23"/>
      <c r="FMY1361" s="23"/>
      <c r="FMZ1361" s="23"/>
      <c r="FNA1361" s="23"/>
      <c r="FNB1361" s="23"/>
      <c r="FNC1361" s="23"/>
      <c r="FND1361" s="23"/>
      <c r="FNE1361" s="23"/>
      <c r="FNF1361" s="23"/>
      <c r="FNG1361" s="23"/>
      <c r="FNH1361" s="23"/>
      <c r="FNI1361" s="23"/>
      <c r="FNJ1361" s="23"/>
      <c r="FNK1361" s="23"/>
      <c r="FNL1361" s="23"/>
      <c r="FNM1361" s="23"/>
      <c r="FNN1361" s="23"/>
      <c r="FNO1361" s="23"/>
      <c r="FNP1361" s="23"/>
      <c r="FNQ1361" s="23"/>
      <c r="FNR1361" s="23"/>
      <c r="FNS1361" s="23"/>
      <c r="FNT1361" s="23"/>
      <c r="FNU1361" s="23"/>
      <c r="FNV1361" s="23"/>
      <c r="FNW1361" s="23"/>
      <c r="FNX1361" s="23"/>
      <c r="FNY1361" s="23"/>
      <c r="FNZ1361" s="23"/>
      <c r="FOA1361" s="23"/>
      <c r="FOB1361" s="23"/>
      <c r="FOC1361" s="23"/>
      <c r="FOD1361" s="23"/>
      <c r="FOE1361" s="23"/>
      <c r="FOF1361" s="23"/>
      <c r="FOG1361" s="23"/>
      <c r="FOH1361" s="23"/>
      <c r="FOI1361" s="23"/>
      <c r="FOJ1361" s="23"/>
      <c r="FOK1361" s="23"/>
      <c r="FOL1361" s="23"/>
      <c r="FOM1361" s="23"/>
      <c r="FON1361" s="23"/>
      <c r="FOO1361" s="23"/>
      <c r="FOP1361" s="23"/>
      <c r="FOQ1361" s="23"/>
      <c r="FOR1361" s="23"/>
      <c r="FOS1361" s="23"/>
      <c r="FOT1361" s="23"/>
      <c r="FOU1361" s="23"/>
      <c r="FOV1361" s="23"/>
      <c r="FOW1361" s="23"/>
      <c r="FOX1361" s="23"/>
      <c r="FOY1361" s="23"/>
      <c r="FOZ1361" s="23"/>
      <c r="FPA1361" s="23"/>
      <c r="FPB1361" s="23"/>
      <c r="FPC1361" s="23"/>
      <c r="FPD1361" s="23"/>
      <c r="FPE1361" s="23"/>
      <c r="FPF1361" s="23"/>
      <c r="FPG1361" s="23"/>
      <c r="FPH1361" s="23"/>
      <c r="FPI1361" s="23"/>
      <c r="FPJ1361" s="23"/>
      <c r="FPK1361" s="23"/>
      <c r="FPL1361" s="23"/>
      <c r="FPM1361" s="23"/>
      <c r="FPN1361" s="23"/>
      <c r="FPO1361" s="23"/>
      <c r="FPP1361" s="23"/>
      <c r="FPQ1361" s="23"/>
      <c r="FPR1361" s="23"/>
      <c r="FPS1361" s="23"/>
      <c r="FPT1361" s="23"/>
      <c r="FPU1361" s="23"/>
      <c r="FPV1361" s="23"/>
      <c r="FPW1361" s="23"/>
      <c r="FPX1361" s="23"/>
      <c r="FPY1361" s="23"/>
      <c r="FPZ1361" s="23"/>
      <c r="FQA1361" s="23"/>
      <c r="FQB1361" s="23"/>
      <c r="FQC1361" s="23"/>
      <c r="FQD1361" s="23"/>
      <c r="FQE1361" s="23"/>
      <c r="FQF1361" s="23"/>
      <c r="FQG1361" s="23"/>
      <c r="FQH1361" s="23"/>
      <c r="FQI1361" s="23"/>
      <c r="FQJ1361" s="23"/>
      <c r="FQK1361" s="23"/>
      <c r="FQL1361" s="23"/>
      <c r="FQM1361" s="23"/>
      <c r="FQN1361" s="23"/>
      <c r="FQO1361" s="23"/>
      <c r="FQP1361" s="23"/>
      <c r="FQQ1361" s="23"/>
      <c r="FQR1361" s="23"/>
      <c r="FQS1361" s="23"/>
      <c r="FQT1361" s="23"/>
      <c r="FQU1361" s="23"/>
      <c r="FQV1361" s="23"/>
      <c r="FQW1361" s="23"/>
      <c r="FQX1361" s="23"/>
      <c r="FQY1361" s="23"/>
      <c r="FQZ1361" s="23"/>
      <c r="FRA1361" s="23"/>
      <c r="FRB1361" s="23"/>
      <c r="FRC1361" s="23"/>
      <c r="FRD1361" s="23"/>
      <c r="FRE1361" s="23"/>
      <c r="FRF1361" s="23"/>
      <c r="FRG1361" s="23"/>
      <c r="FRH1361" s="23"/>
      <c r="FRI1361" s="23"/>
      <c r="FRJ1361" s="23"/>
      <c r="FRK1361" s="23"/>
      <c r="FRL1361" s="23"/>
      <c r="FRM1361" s="23"/>
      <c r="FRN1361" s="23"/>
      <c r="FRO1361" s="23"/>
      <c r="FRP1361" s="23"/>
      <c r="FRQ1361" s="23"/>
      <c r="FRR1361" s="23"/>
      <c r="FRS1361" s="23"/>
      <c r="FRT1361" s="23"/>
      <c r="FRU1361" s="23"/>
      <c r="FRV1361" s="23"/>
      <c r="FRW1361" s="23"/>
      <c r="FRX1361" s="23"/>
      <c r="FRY1361" s="23"/>
      <c r="FRZ1361" s="23"/>
      <c r="FSA1361" s="23"/>
      <c r="FSB1361" s="23"/>
      <c r="FSC1361" s="23"/>
      <c r="FSD1361" s="23"/>
      <c r="FSE1361" s="23"/>
      <c r="FSF1361" s="23"/>
      <c r="FSG1361" s="23"/>
      <c r="FSH1361" s="23"/>
      <c r="FSI1361" s="23"/>
      <c r="FSJ1361" s="23"/>
      <c r="FSK1361" s="23"/>
      <c r="FSL1361" s="23"/>
      <c r="FSM1361" s="23"/>
      <c r="FSN1361" s="23"/>
      <c r="FSO1361" s="23"/>
      <c r="FSP1361" s="23"/>
      <c r="FSQ1361" s="23"/>
      <c r="FSR1361" s="23"/>
      <c r="FSS1361" s="23"/>
      <c r="FST1361" s="23"/>
      <c r="FSU1361" s="23"/>
      <c r="FSV1361" s="23"/>
      <c r="FSW1361" s="23"/>
      <c r="FSX1361" s="23"/>
      <c r="FSY1361" s="23"/>
      <c r="FSZ1361" s="23"/>
      <c r="FTA1361" s="23"/>
      <c r="FTB1361" s="23"/>
      <c r="FTC1361" s="23"/>
      <c r="FTD1361" s="23"/>
      <c r="FTE1361" s="23"/>
      <c r="FTF1361" s="23"/>
      <c r="FTG1361" s="23"/>
      <c r="FTH1361" s="23"/>
      <c r="FTI1361" s="23"/>
      <c r="FTJ1361" s="23"/>
      <c r="FTK1361" s="23"/>
      <c r="FTL1361" s="23"/>
      <c r="FTM1361" s="23"/>
      <c r="FTN1361" s="23"/>
      <c r="FTO1361" s="23"/>
      <c r="FTP1361" s="23"/>
      <c r="FTQ1361" s="23"/>
      <c r="FTR1361" s="23"/>
      <c r="FTS1361" s="23"/>
      <c r="FTT1361" s="23"/>
      <c r="FTU1361" s="23"/>
      <c r="FTV1361" s="23"/>
      <c r="FTW1361" s="23"/>
      <c r="FTX1361" s="23"/>
      <c r="FTY1361" s="23"/>
      <c r="FTZ1361" s="23"/>
      <c r="FUA1361" s="23"/>
      <c r="FUB1361" s="23"/>
      <c r="FUC1361" s="23"/>
      <c r="FUD1361" s="23"/>
      <c r="FUE1361" s="23"/>
      <c r="FUF1361" s="23"/>
      <c r="FUG1361" s="23"/>
      <c r="FUH1361" s="23"/>
      <c r="FUI1361" s="23"/>
      <c r="FUJ1361" s="23"/>
      <c r="FUK1361" s="23"/>
      <c r="FUL1361" s="23"/>
      <c r="FUM1361" s="23"/>
      <c r="FUN1361" s="23"/>
      <c r="FUO1361" s="23"/>
      <c r="FUP1361" s="23"/>
      <c r="FUQ1361" s="23"/>
      <c r="FUR1361" s="23"/>
      <c r="FUS1361" s="23"/>
      <c r="FUT1361" s="23"/>
      <c r="FUU1361" s="23"/>
      <c r="FUV1361" s="23"/>
      <c r="FUW1361" s="23"/>
      <c r="FUX1361" s="23"/>
      <c r="FUY1361" s="23"/>
      <c r="FUZ1361" s="23"/>
      <c r="FVA1361" s="23"/>
      <c r="FVB1361" s="23"/>
      <c r="FVC1361" s="23"/>
      <c r="FVD1361" s="23"/>
      <c r="FVE1361" s="23"/>
      <c r="FVF1361" s="23"/>
      <c r="FVG1361" s="23"/>
      <c r="FVH1361" s="23"/>
      <c r="FVI1361" s="23"/>
      <c r="FVJ1361" s="23"/>
      <c r="FVK1361" s="23"/>
      <c r="FVL1361" s="23"/>
      <c r="FVM1361" s="23"/>
      <c r="FVN1361" s="23"/>
      <c r="FVO1361" s="23"/>
      <c r="FVP1361" s="23"/>
      <c r="FVQ1361" s="23"/>
      <c r="FVR1361" s="23"/>
      <c r="FVS1361" s="23"/>
      <c r="FVT1361" s="23"/>
      <c r="FVU1361" s="23"/>
      <c r="FVV1361" s="23"/>
      <c r="FVW1361" s="23"/>
      <c r="FVX1361" s="23"/>
      <c r="FVY1361" s="23"/>
      <c r="FVZ1361" s="23"/>
      <c r="FWA1361" s="23"/>
      <c r="FWB1361" s="23"/>
      <c r="FWC1361" s="23"/>
      <c r="FWD1361" s="23"/>
      <c r="FWE1361" s="23"/>
      <c r="FWF1361" s="23"/>
      <c r="FWG1361" s="23"/>
      <c r="FWH1361" s="23"/>
      <c r="FWI1361" s="23"/>
      <c r="FWJ1361" s="23"/>
      <c r="FWK1361" s="23"/>
      <c r="FWL1361" s="23"/>
      <c r="FWM1361" s="23"/>
      <c r="FWN1361" s="23"/>
      <c r="FWO1361" s="23"/>
      <c r="FWP1361" s="23"/>
      <c r="FWQ1361" s="23"/>
      <c r="FWR1361" s="23"/>
      <c r="FWS1361" s="23"/>
      <c r="FWT1361" s="23"/>
      <c r="FWU1361" s="23"/>
      <c r="FWV1361" s="23"/>
      <c r="FWW1361" s="23"/>
      <c r="FWX1361" s="23"/>
      <c r="FWY1361" s="23"/>
      <c r="FWZ1361" s="23"/>
      <c r="FXA1361" s="23"/>
      <c r="FXB1361" s="23"/>
      <c r="FXC1361" s="23"/>
      <c r="FXD1361" s="23"/>
      <c r="FXE1361" s="23"/>
      <c r="FXF1361" s="23"/>
      <c r="FXG1361" s="23"/>
      <c r="FXH1361" s="23"/>
      <c r="FXI1361" s="23"/>
      <c r="FXJ1361" s="23"/>
      <c r="FXK1361" s="23"/>
      <c r="FXL1361" s="23"/>
      <c r="FXM1361" s="23"/>
      <c r="FXN1361" s="23"/>
      <c r="FXO1361" s="23"/>
      <c r="FXP1361" s="23"/>
      <c r="FXQ1361" s="23"/>
      <c r="FXR1361" s="23"/>
      <c r="FXS1361" s="23"/>
      <c r="FXT1361" s="23"/>
      <c r="FXU1361" s="23"/>
      <c r="FXV1361" s="23"/>
      <c r="FXW1361" s="23"/>
      <c r="FXX1361" s="23"/>
      <c r="FXY1361" s="23"/>
      <c r="FXZ1361" s="23"/>
      <c r="FYA1361" s="23"/>
      <c r="FYB1361" s="23"/>
      <c r="FYC1361" s="23"/>
      <c r="FYD1361" s="23"/>
      <c r="FYE1361" s="23"/>
      <c r="FYF1361" s="23"/>
      <c r="FYG1361" s="23"/>
      <c r="FYH1361" s="23"/>
      <c r="FYI1361" s="23"/>
      <c r="FYJ1361" s="23"/>
      <c r="FYK1361" s="23"/>
      <c r="FYL1361" s="23"/>
      <c r="FYM1361" s="23"/>
      <c r="FYN1361" s="23"/>
      <c r="FYO1361" s="23"/>
      <c r="FYP1361" s="23"/>
      <c r="FYQ1361" s="23"/>
      <c r="FYR1361" s="23"/>
      <c r="FYS1361" s="23"/>
      <c r="FYT1361" s="23"/>
      <c r="FYU1361" s="23"/>
      <c r="FYV1361" s="23"/>
      <c r="FYW1361" s="23"/>
      <c r="FYX1361" s="23"/>
      <c r="FYY1361" s="23"/>
      <c r="FYZ1361" s="23"/>
      <c r="FZA1361" s="23"/>
      <c r="FZB1361" s="23"/>
      <c r="FZC1361" s="23"/>
      <c r="FZD1361" s="23"/>
      <c r="FZE1361" s="23"/>
      <c r="FZF1361" s="23"/>
      <c r="FZG1361" s="23"/>
      <c r="FZH1361" s="23"/>
      <c r="FZI1361" s="23"/>
      <c r="FZJ1361" s="23"/>
      <c r="FZK1361" s="23"/>
      <c r="FZL1361" s="23"/>
      <c r="FZM1361" s="23"/>
      <c r="FZN1361" s="23"/>
      <c r="FZO1361" s="23"/>
      <c r="FZP1361" s="23"/>
      <c r="FZQ1361" s="23"/>
      <c r="FZR1361" s="23"/>
      <c r="FZS1361" s="23"/>
      <c r="FZT1361" s="23"/>
      <c r="FZU1361" s="23"/>
      <c r="FZV1361" s="23"/>
      <c r="FZW1361" s="23"/>
      <c r="FZX1361" s="23"/>
      <c r="FZY1361" s="23"/>
      <c r="FZZ1361" s="23"/>
      <c r="GAA1361" s="23"/>
      <c r="GAB1361" s="23"/>
      <c r="GAC1361" s="23"/>
      <c r="GAD1361" s="23"/>
      <c r="GAE1361" s="23"/>
      <c r="GAF1361" s="23"/>
      <c r="GAG1361" s="23"/>
      <c r="GAH1361" s="23"/>
      <c r="GAI1361" s="23"/>
      <c r="GAJ1361" s="23"/>
      <c r="GAK1361" s="23"/>
      <c r="GAL1361" s="23"/>
      <c r="GAM1361" s="23"/>
      <c r="GAN1361" s="23"/>
      <c r="GAO1361" s="23"/>
      <c r="GAP1361" s="23"/>
      <c r="GAQ1361" s="23"/>
      <c r="GAR1361" s="23"/>
      <c r="GAS1361" s="23"/>
      <c r="GAT1361" s="23"/>
      <c r="GAU1361" s="23"/>
      <c r="GAV1361" s="23"/>
      <c r="GAW1361" s="23"/>
      <c r="GAX1361" s="23"/>
      <c r="GAY1361" s="23"/>
      <c r="GAZ1361" s="23"/>
      <c r="GBA1361" s="23"/>
      <c r="GBB1361" s="23"/>
      <c r="GBC1361" s="23"/>
      <c r="GBD1361" s="23"/>
      <c r="GBE1361" s="23"/>
      <c r="GBF1361" s="23"/>
      <c r="GBG1361" s="23"/>
      <c r="GBH1361" s="23"/>
      <c r="GBI1361" s="23"/>
      <c r="GBJ1361" s="23"/>
      <c r="GBK1361" s="23"/>
      <c r="GBL1361" s="23"/>
      <c r="GBM1361" s="23"/>
      <c r="GBN1361" s="23"/>
      <c r="GBO1361" s="23"/>
      <c r="GBP1361" s="23"/>
      <c r="GBQ1361" s="23"/>
      <c r="GBR1361" s="23"/>
      <c r="GBS1361" s="23"/>
      <c r="GBT1361" s="23"/>
      <c r="GBU1361" s="23"/>
      <c r="GBV1361" s="23"/>
      <c r="GBW1361" s="23"/>
      <c r="GBX1361" s="23"/>
      <c r="GBY1361" s="23"/>
      <c r="GBZ1361" s="23"/>
      <c r="GCA1361" s="23"/>
      <c r="GCB1361" s="23"/>
      <c r="GCC1361" s="23"/>
      <c r="GCD1361" s="23"/>
      <c r="GCE1361" s="23"/>
      <c r="GCF1361" s="23"/>
      <c r="GCG1361" s="23"/>
      <c r="GCH1361" s="23"/>
      <c r="GCI1361" s="23"/>
      <c r="GCJ1361" s="23"/>
      <c r="GCK1361" s="23"/>
      <c r="GCL1361" s="23"/>
      <c r="GCM1361" s="23"/>
      <c r="GCN1361" s="23"/>
      <c r="GCO1361" s="23"/>
      <c r="GCP1361" s="23"/>
      <c r="GCQ1361" s="23"/>
      <c r="GCR1361" s="23"/>
      <c r="GCS1361" s="23"/>
      <c r="GCT1361" s="23"/>
      <c r="GCU1361" s="23"/>
      <c r="GCV1361" s="23"/>
      <c r="GCW1361" s="23"/>
      <c r="GCX1361" s="23"/>
      <c r="GCY1361" s="23"/>
      <c r="GCZ1361" s="23"/>
      <c r="GDA1361" s="23"/>
      <c r="GDB1361" s="23"/>
      <c r="GDC1361" s="23"/>
      <c r="GDD1361" s="23"/>
      <c r="GDE1361" s="23"/>
      <c r="GDF1361" s="23"/>
      <c r="GDG1361" s="23"/>
      <c r="GDH1361" s="23"/>
      <c r="GDI1361" s="23"/>
      <c r="GDJ1361" s="23"/>
      <c r="GDK1361" s="23"/>
      <c r="GDL1361" s="23"/>
      <c r="GDM1361" s="23"/>
      <c r="GDN1361" s="23"/>
      <c r="GDO1361" s="23"/>
      <c r="GDP1361" s="23"/>
      <c r="GDQ1361" s="23"/>
      <c r="GDR1361" s="23"/>
      <c r="GDS1361" s="23"/>
      <c r="GDT1361" s="23"/>
      <c r="GDU1361" s="23"/>
      <c r="GDV1361" s="23"/>
      <c r="GDW1361" s="23"/>
      <c r="GDX1361" s="23"/>
      <c r="GDY1361" s="23"/>
      <c r="GDZ1361" s="23"/>
      <c r="GEA1361" s="23"/>
      <c r="GEB1361" s="23"/>
      <c r="GEC1361" s="23"/>
      <c r="GED1361" s="23"/>
      <c r="GEE1361" s="23"/>
      <c r="GEF1361" s="23"/>
      <c r="GEG1361" s="23"/>
      <c r="GEH1361" s="23"/>
      <c r="GEI1361" s="23"/>
      <c r="GEJ1361" s="23"/>
      <c r="GEK1361" s="23"/>
      <c r="GEL1361" s="23"/>
      <c r="GEM1361" s="23"/>
      <c r="GEN1361" s="23"/>
      <c r="GEO1361" s="23"/>
      <c r="GEP1361" s="23"/>
      <c r="GEQ1361" s="23"/>
      <c r="GER1361" s="23"/>
      <c r="GES1361" s="23"/>
      <c r="GET1361" s="23"/>
      <c r="GEU1361" s="23"/>
      <c r="GEV1361" s="23"/>
      <c r="GEW1361" s="23"/>
      <c r="GEX1361" s="23"/>
      <c r="GEY1361" s="23"/>
      <c r="GEZ1361" s="23"/>
      <c r="GFA1361" s="23"/>
      <c r="GFB1361" s="23"/>
      <c r="GFC1361" s="23"/>
      <c r="GFD1361" s="23"/>
      <c r="GFE1361" s="23"/>
      <c r="GFF1361" s="23"/>
      <c r="GFG1361" s="23"/>
      <c r="GFH1361" s="23"/>
      <c r="GFI1361" s="23"/>
      <c r="GFJ1361" s="23"/>
      <c r="GFK1361" s="23"/>
      <c r="GFL1361" s="23"/>
      <c r="GFM1361" s="23"/>
      <c r="GFN1361" s="23"/>
      <c r="GFO1361" s="23"/>
      <c r="GFP1361" s="23"/>
      <c r="GFQ1361" s="23"/>
      <c r="GFR1361" s="23"/>
      <c r="GFS1361" s="23"/>
      <c r="GFT1361" s="23"/>
      <c r="GFU1361" s="23"/>
      <c r="GFV1361" s="23"/>
      <c r="GFW1361" s="23"/>
      <c r="GFX1361" s="23"/>
      <c r="GFY1361" s="23"/>
      <c r="GFZ1361" s="23"/>
      <c r="GGA1361" s="23"/>
      <c r="GGB1361" s="23"/>
      <c r="GGC1361" s="23"/>
      <c r="GGD1361" s="23"/>
      <c r="GGE1361" s="23"/>
      <c r="GGF1361" s="23"/>
      <c r="GGG1361" s="23"/>
      <c r="GGH1361" s="23"/>
      <c r="GGI1361" s="23"/>
      <c r="GGJ1361" s="23"/>
      <c r="GGK1361" s="23"/>
      <c r="GGL1361" s="23"/>
      <c r="GGM1361" s="23"/>
      <c r="GGN1361" s="23"/>
      <c r="GGO1361" s="23"/>
      <c r="GGP1361" s="23"/>
      <c r="GGQ1361" s="23"/>
      <c r="GGR1361" s="23"/>
      <c r="GGS1361" s="23"/>
      <c r="GGT1361" s="23"/>
      <c r="GGU1361" s="23"/>
      <c r="GGV1361" s="23"/>
      <c r="GGW1361" s="23"/>
      <c r="GGX1361" s="23"/>
      <c r="GGY1361" s="23"/>
      <c r="GGZ1361" s="23"/>
      <c r="GHA1361" s="23"/>
      <c r="GHB1361" s="23"/>
      <c r="GHC1361" s="23"/>
      <c r="GHD1361" s="23"/>
      <c r="GHE1361" s="23"/>
      <c r="GHF1361" s="23"/>
      <c r="GHG1361" s="23"/>
      <c r="GHH1361" s="23"/>
      <c r="GHI1361" s="23"/>
      <c r="GHJ1361" s="23"/>
      <c r="GHK1361" s="23"/>
      <c r="GHL1361" s="23"/>
      <c r="GHM1361" s="23"/>
      <c r="GHN1361" s="23"/>
      <c r="GHO1361" s="23"/>
      <c r="GHP1361" s="23"/>
      <c r="GHQ1361" s="23"/>
      <c r="GHR1361" s="23"/>
      <c r="GHS1361" s="23"/>
      <c r="GHT1361" s="23"/>
      <c r="GHU1361" s="23"/>
      <c r="GHV1361" s="23"/>
      <c r="GHW1361" s="23"/>
      <c r="GHX1361" s="23"/>
      <c r="GHY1361" s="23"/>
      <c r="GHZ1361" s="23"/>
      <c r="GIA1361" s="23"/>
      <c r="GIB1361" s="23"/>
      <c r="GIC1361" s="23"/>
      <c r="GID1361" s="23"/>
      <c r="GIE1361" s="23"/>
      <c r="GIF1361" s="23"/>
      <c r="GIG1361" s="23"/>
      <c r="GIH1361" s="23"/>
      <c r="GII1361" s="23"/>
      <c r="GIJ1361" s="23"/>
      <c r="GIK1361" s="23"/>
      <c r="GIL1361" s="23"/>
      <c r="GIM1361" s="23"/>
      <c r="GIN1361" s="23"/>
      <c r="GIO1361" s="23"/>
      <c r="GIP1361" s="23"/>
      <c r="GIQ1361" s="23"/>
      <c r="GIR1361" s="23"/>
      <c r="GIS1361" s="23"/>
      <c r="GIT1361" s="23"/>
      <c r="GIU1361" s="23"/>
      <c r="GIV1361" s="23"/>
      <c r="GIW1361" s="23"/>
      <c r="GIX1361" s="23"/>
      <c r="GIY1361" s="23"/>
      <c r="GIZ1361" s="23"/>
      <c r="GJA1361" s="23"/>
      <c r="GJB1361" s="23"/>
      <c r="GJC1361" s="23"/>
      <c r="GJD1361" s="23"/>
      <c r="GJE1361" s="23"/>
      <c r="GJF1361" s="23"/>
      <c r="GJG1361" s="23"/>
      <c r="GJH1361" s="23"/>
      <c r="GJI1361" s="23"/>
      <c r="GJJ1361" s="23"/>
      <c r="GJK1361" s="23"/>
      <c r="GJL1361" s="23"/>
      <c r="GJM1361" s="23"/>
      <c r="GJN1361" s="23"/>
      <c r="GJO1361" s="23"/>
      <c r="GJP1361" s="23"/>
      <c r="GJQ1361" s="23"/>
      <c r="GJR1361" s="23"/>
      <c r="GJS1361" s="23"/>
      <c r="GJT1361" s="23"/>
      <c r="GJU1361" s="23"/>
      <c r="GJV1361" s="23"/>
      <c r="GJW1361" s="23"/>
      <c r="GJX1361" s="23"/>
      <c r="GJY1361" s="23"/>
      <c r="GJZ1361" s="23"/>
      <c r="GKA1361" s="23"/>
      <c r="GKB1361" s="23"/>
      <c r="GKC1361" s="23"/>
      <c r="GKD1361" s="23"/>
      <c r="GKE1361" s="23"/>
      <c r="GKF1361" s="23"/>
      <c r="GKG1361" s="23"/>
      <c r="GKH1361" s="23"/>
      <c r="GKI1361" s="23"/>
      <c r="GKJ1361" s="23"/>
      <c r="GKK1361" s="23"/>
      <c r="GKL1361" s="23"/>
      <c r="GKM1361" s="23"/>
      <c r="GKN1361" s="23"/>
      <c r="GKO1361" s="23"/>
      <c r="GKP1361" s="23"/>
      <c r="GKQ1361" s="23"/>
      <c r="GKR1361" s="23"/>
      <c r="GKS1361" s="23"/>
      <c r="GKT1361" s="23"/>
      <c r="GKU1361" s="23"/>
      <c r="GKV1361" s="23"/>
      <c r="GKW1361" s="23"/>
      <c r="GKX1361" s="23"/>
      <c r="GKY1361" s="23"/>
      <c r="GKZ1361" s="23"/>
      <c r="GLA1361" s="23"/>
      <c r="GLB1361" s="23"/>
      <c r="GLC1361" s="23"/>
      <c r="GLD1361" s="23"/>
      <c r="GLE1361" s="23"/>
      <c r="GLF1361" s="23"/>
      <c r="GLG1361" s="23"/>
      <c r="GLH1361" s="23"/>
      <c r="GLI1361" s="23"/>
      <c r="GLJ1361" s="23"/>
      <c r="GLK1361" s="23"/>
      <c r="GLL1361" s="23"/>
      <c r="GLM1361" s="23"/>
      <c r="GLN1361" s="23"/>
      <c r="GLO1361" s="23"/>
      <c r="GLP1361" s="23"/>
      <c r="GLQ1361" s="23"/>
      <c r="GLR1361" s="23"/>
      <c r="GLS1361" s="23"/>
      <c r="GLT1361" s="23"/>
      <c r="GLU1361" s="23"/>
      <c r="GLV1361" s="23"/>
      <c r="GLW1361" s="23"/>
      <c r="GLX1361" s="23"/>
      <c r="GLY1361" s="23"/>
      <c r="GLZ1361" s="23"/>
      <c r="GMA1361" s="23"/>
      <c r="GMB1361" s="23"/>
      <c r="GMC1361" s="23"/>
      <c r="GMD1361" s="23"/>
      <c r="GME1361" s="23"/>
      <c r="GMF1361" s="23"/>
      <c r="GMG1361" s="23"/>
      <c r="GMH1361" s="23"/>
      <c r="GMI1361" s="23"/>
      <c r="GMJ1361" s="23"/>
      <c r="GMK1361" s="23"/>
      <c r="GML1361" s="23"/>
      <c r="GMM1361" s="23"/>
      <c r="GMN1361" s="23"/>
      <c r="GMO1361" s="23"/>
      <c r="GMP1361" s="23"/>
      <c r="GMQ1361" s="23"/>
      <c r="GMR1361" s="23"/>
      <c r="GMS1361" s="23"/>
      <c r="GMT1361" s="23"/>
      <c r="GMU1361" s="23"/>
      <c r="GMV1361" s="23"/>
      <c r="GMW1361" s="23"/>
      <c r="GMX1361" s="23"/>
      <c r="GMY1361" s="23"/>
      <c r="GMZ1361" s="23"/>
      <c r="GNA1361" s="23"/>
      <c r="GNB1361" s="23"/>
      <c r="GNC1361" s="23"/>
      <c r="GND1361" s="23"/>
      <c r="GNE1361" s="23"/>
      <c r="GNF1361" s="23"/>
      <c r="GNG1361" s="23"/>
      <c r="GNH1361" s="23"/>
      <c r="GNI1361" s="23"/>
      <c r="GNJ1361" s="23"/>
      <c r="GNK1361" s="23"/>
      <c r="GNL1361" s="23"/>
      <c r="GNM1361" s="23"/>
      <c r="GNN1361" s="23"/>
      <c r="GNO1361" s="23"/>
      <c r="GNP1361" s="23"/>
      <c r="GNQ1361" s="23"/>
      <c r="GNR1361" s="23"/>
      <c r="GNS1361" s="23"/>
      <c r="GNT1361" s="23"/>
      <c r="GNU1361" s="23"/>
      <c r="GNV1361" s="23"/>
      <c r="GNW1361" s="23"/>
      <c r="GNX1361" s="23"/>
      <c r="GNY1361" s="23"/>
      <c r="GNZ1361" s="23"/>
      <c r="GOA1361" s="23"/>
      <c r="GOB1361" s="23"/>
      <c r="GOC1361" s="23"/>
      <c r="GOD1361" s="23"/>
      <c r="GOE1361" s="23"/>
      <c r="GOF1361" s="23"/>
      <c r="GOG1361" s="23"/>
      <c r="GOH1361" s="23"/>
      <c r="GOI1361" s="23"/>
      <c r="GOJ1361" s="23"/>
      <c r="GOK1361" s="23"/>
      <c r="GOL1361" s="23"/>
      <c r="GOM1361" s="23"/>
      <c r="GON1361" s="23"/>
      <c r="GOO1361" s="23"/>
      <c r="GOP1361" s="23"/>
      <c r="GOQ1361" s="23"/>
      <c r="GOR1361" s="23"/>
      <c r="GOS1361" s="23"/>
      <c r="GOT1361" s="23"/>
      <c r="GOU1361" s="23"/>
      <c r="GOV1361" s="23"/>
      <c r="GOW1361" s="23"/>
      <c r="GOX1361" s="23"/>
      <c r="GOY1361" s="23"/>
      <c r="GOZ1361" s="23"/>
      <c r="GPA1361" s="23"/>
      <c r="GPB1361" s="23"/>
      <c r="GPC1361" s="23"/>
      <c r="GPD1361" s="23"/>
      <c r="GPE1361" s="23"/>
      <c r="GPF1361" s="23"/>
      <c r="GPG1361" s="23"/>
      <c r="GPH1361" s="23"/>
      <c r="GPI1361" s="23"/>
      <c r="GPJ1361" s="23"/>
      <c r="GPK1361" s="23"/>
      <c r="GPL1361" s="23"/>
      <c r="GPM1361" s="23"/>
      <c r="GPN1361" s="23"/>
      <c r="GPO1361" s="23"/>
      <c r="GPP1361" s="23"/>
      <c r="GPQ1361" s="23"/>
      <c r="GPR1361" s="23"/>
      <c r="GPS1361" s="23"/>
      <c r="GPT1361" s="23"/>
      <c r="GPU1361" s="23"/>
      <c r="GPV1361" s="23"/>
      <c r="GPW1361" s="23"/>
      <c r="GPX1361" s="23"/>
      <c r="GPY1361" s="23"/>
      <c r="GPZ1361" s="23"/>
      <c r="GQA1361" s="23"/>
      <c r="GQB1361" s="23"/>
      <c r="GQC1361" s="23"/>
      <c r="GQD1361" s="23"/>
      <c r="GQE1361" s="23"/>
      <c r="GQF1361" s="23"/>
      <c r="GQG1361" s="23"/>
      <c r="GQH1361" s="23"/>
      <c r="GQI1361" s="23"/>
      <c r="GQJ1361" s="23"/>
      <c r="GQK1361" s="23"/>
      <c r="GQL1361" s="23"/>
      <c r="GQM1361" s="23"/>
      <c r="GQN1361" s="23"/>
      <c r="GQO1361" s="23"/>
      <c r="GQP1361" s="23"/>
      <c r="GQQ1361" s="23"/>
      <c r="GQR1361" s="23"/>
      <c r="GQS1361" s="23"/>
      <c r="GQT1361" s="23"/>
      <c r="GQU1361" s="23"/>
      <c r="GQV1361" s="23"/>
      <c r="GQW1361" s="23"/>
      <c r="GQX1361" s="23"/>
      <c r="GQY1361" s="23"/>
      <c r="GQZ1361" s="23"/>
      <c r="GRA1361" s="23"/>
      <c r="GRB1361" s="23"/>
      <c r="GRC1361" s="23"/>
      <c r="GRD1361" s="23"/>
      <c r="GRE1361" s="23"/>
      <c r="GRF1361" s="23"/>
      <c r="GRG1361" s="23"/>
      <c r="GRH1361" s="23"/>
      <c r="GRI1361" s="23"/>
      <c r="GRJ1361" s="23"/>
      <c r="GRK1361" s="23"/>
      <c r="GRL1361" s="23"/>
      <c r="GRM1361" s="23"/>
      <c r="GRN1361" s="23"/>
      <c r="GRO1361" s="23"/>
      <c r="GRP1361" s="23"/>
      <c r="GRQ1361" s="23"/>
      <c r="GRR1361" s="23"/>
      <c r="GRS1361" s="23"/>
      <c r="GRT1361" s="23"/>
      <c r="GRU1361" s="23"/>
      <c r="GRV1361" s="23"/>
      <c r="GRW1361" s="23"/>
      <c r="GRX1361" s="23"/>
      <c r="GRY1361" s="23"/>
      <c r="GRZ1361" s="23"/>
      <c r="GSA1361" s="23"/>
      <c r="GSB1361" s="23"/>
      <c r="GSC1361" s="23"/>
      <c r="GSD1361" s="23"/>
      <c r="GSE1361" s="23"/>
      <c r="GSF1361" s="23"/>
      <c r="GSG1361" s="23"/>
      <c r="GSH1361" s="23"/>
      <c r="GSI1361" s="23"/>
      <c r="GSJ1361" s="23"/>
      <c r="GSK1361" s="23"/>
      <c r="GSL1361" s="23"/>
      <c r="GSM1361" s="23"/>
      <c r="GSN1361" s="23"/>
      <c r="GSO1361" s="23"/>
      <c r="GSP1361" s="23"/>
      <c r="GSQ1361" s="23"/>
      <c r="GSR1361" s="23"/>
      <c r="GSS1361" s="23"/>
      <c r="GST1361" s="23"/>
      <c r="GSU1361" s="23"/>
      <c r="GSV1361" s="23"/>
      <c r="GSW1361" s="23"/>
      <c r="GSX1361" s="23"/>
      <c r="GSY1361" s="23"/>
      <c r="GSZ1361" s="23"/>
      <c r="GTA1361" s="23"/>
      <c r="GTB1361" s="23"/>
      <c r="GTC1361" s="23"/>
      <c r="GTD1361" s="23"/>
      <c r="GTE1361" s="23"/>
      <c r="GTF1361" s="23"/>
      <c r="GTG1361" s="23"/>
      <c r="GTH1361" s="23"/>
      <c r="GTI1361" s="23"/>
      <c r="GTJ1361" s="23"/>
      <c r="GTK1361" s="23"/>
      <c r="GTL1361" s="23"/>
      <c r="GTM1361" s="23"/>
      <c r="GTN1361" s="23"/>
      <c r="GTO1361" s="23"/>
      <c r="GTP1361" s="23"/>
      <c r="GTQ1361" s="23"/>
      <c r="GTR1361" s="23"/>
      <c r="GTS1361" s="23"/>
      <c r="GTT1361" s="23"/>
      <c r="GTU1361" s="23"/>
      <c r="GTV1361" s="23"/>
      <c r="GTW1361" s="23"/>
      <c r="GTX1361" s="23"/>
      <c r="GTY1361" s="23"/>
      <c r="GTZ1361" s="23"/>
      <c r="GUA1361" s="23"/>
      <c r="GUB1361" s="23"/>
      <c r="GUC1361" s="23"/>
      <c r="GUD1361" s="23"/>
      <c r="GUE1361" s="23"/>
      <c r="GUF1361" s="23"/>
      <c r="GUG1361" s="23"/>
      <c r="GUH1361" s="23"/>
      <c r="GUI1361" s="23"/>
      <c r="GUJ1361" s="23"/>
      <c r="GUK1361" s="23"/>
      <c r="GUL1361" s="23"/>
      <c r="GUM1361" s="23"/>
      <c r="GUN1361" s="23"/>
      <c r="GUO1361" s="23"/>
      <c r="GUP1361" s="23"/>
      <c r="GUQ1361" s="23"/>
      <c r="GUR1361" s="23"/>
      <c r="GUS1361" s="23"/>
      <c r="GUT1361" s="23"/>
      <c r="GUU1361" s="23"/>
      <c r="GUV1361" s="23"/>
      <c r="GUW1361" s="23"/>
      <c r="GUX1361" s="23"/>
      <c r="GUY1361" s="23"/>
      <c r="GUZ1361" s="23"/>
      <c r="GVA1361" s="23"/>
      <c r="GVB1361" s="23"/>
      <c r="GVC1361" s="23"/>
      <c r="GVD1361" s="23"/>
      <c r="GVE1361" s="23"/>
      <c r="GVF1361" s="23"/>
      <c r="GVG1361" s="23"/>
      <c r="GVH1361" s="23"/>
      <c r="GVI1361" s="23"/>
      <c r="GVJ1361" s="23"/>
      <c r="GVK1361" s="23"/>
      <c r="GVL1361" s="23"/>
      <c r="GVM1361" s="23"/>
      <c r="GVN1361" s="23"/>
      <c r="GVO1361" s="23"/>
      <c r="GVP1361" s="23"/>
      <c r="GVQ1361" s="23"/>
      <c r="GVR1361" s="23"/>
      <c r="GVS1361" s="23"/>
      <c r="GVT1361" s="23"/>
      <c r="GVU1361" s="23"/>
      <c r="GVV1361" s="23"/>
      <c r="GVW1361" s="23"/>
      <c r="GVX1361" s="23"/>
      <c r="GVY1361" s="23"/>
      <c r="GVZ1361" s="23"/>
      <c r="GWA1361" s="23"/>
      <c r="GWB1361" s="23"/>
      <c r="GWC1361" s="23"/>
      <c r="GWD1361" s="23"/>
      <c r="GWE1361" s="23"/>
      <c r="GWF1361" s="23"/>
      <c r="GWG1361" s="23"/>
      <c r="GWH1361" s="23"/>
      <c r="GWI1361" s="23"/>
      <c r="GWJ1361" s="23"/>
      <c r="GWK1361" s="23"/>
      <c r="GWL1361" s="23"/>
      <c r="GWM1361" s="23"/>
      <c r="GWN1361" s="23"/>
      <c r="GWO1361" s="23"/>
      <c r="GWP1361" s="23"/>
      <c r="GWQ1361" s="23"/>
      <c r="GWR1361" s="23"/>
      <c r="GWS1361" s="23"/>
      <c r="GWT1361" s="23"/>
      <c r="GWU1361" s="23"/>
      <c r="GWV1361" s="23"/>
      <c r="GWW1361" s="23"/>
      <c r="GWX1361" s="23"/>
      <c r="GWY1361" s="23"/>
      <c r="GWZ1361" s="23"/>
      <c r="GXA1361" s="23"/>
      <c r="GXB1361" s="23"/>
      <c r="GXC1361" s="23"/>
      <c r="GXD1361" s="23"/>
      <c r="GXE1361" s="23"/>
      <c r="GXF1361" s="23"/>
      <c r="GXG1361" s="23"/>
      <c r="GXH1361" s="23"/>
      <c r="GXI1361" s="23"/>
      <c r="GXJ1361" s="23"/>
      <c r="GXK1361" s="23"/>
      <c r="GXL1361" s="23"/>
      <c r="GXM1361" s="23"/>
      <c r="GXN1361" s="23"/>
      <c r="GXO1361" s="23"/>
      <c r="GXP1361" s="23"/>
      <c r="GXQ1361" s="23"/>
      <c r="GXR1361" s="23"/>
      <c r="GXS1361" s="23"/>
      <c r="GXT1361" s="23"/>
      <c r="GXU1361" s="23"/>
      <c r="GXV1361" s="23"/>
      <c r="GXW1361" s="23"/>
      <c r="GXX1361" s="23"/>
      <c r="GXY1361" s="23"/>
      <c r="GXZ1361" s="23"/>
      <c r="GYA1361" s="23"/>
      <c r="GYB1361" s="23"/>
      <c r="GYC1361" s="23"/>
      <c r="GYD1361" s="23"/>
      <c r="GYE1361" s="23"/>
      <c r="GYF1361" s="23"/>
      <c r="GYG1361" s="23"/>
      <c r="GYH1361" s="23"/>
      <c r="GYI1361" s="23"/>
      <c r="GYJ1361" s="23"/>
      <c r="GYK1361" s="23"/>
      <c r="GYL1361" s="23"/>
      <c r="GYM1361" s="23"/>
      <c r="GYN1361" s="23"/>
      <c r="GYO1361" s="23"/>
      <c r="GYP1361" s="23"/>
      <c r="GYQ1361" s="23"/>
      <c r="GYR1361" s="23"/>
      <c r="GYS1361" s="23"/>
      <c r="GYT1361" s="23"/>
      <c r="GYU1361" s="23"/>
      <c r="GYV1361" s="23"/>
      <c r="GYW1361" s="23"/>
      <c r="GYX1361" s="23"/>
      <c r="GYY1361" s="23"/>
      <c r="GYZ1361" s="23"/>
      <c r="GZA1361" s="23"/>
      <c r="GZB1361" s="23"/>
      <c r="GZC1361" s="23"/>
      <c r="GZD1361" s="23"/>
      <c r="GZE1361" s="23"/>
      <c r="GZF1361" s="23"/>
      <c r="GZG1361" s="23"/>
      <c r="GZH1361" s="23"/>
      <c r="GZI1361" s="23"/>
      <c r="GZJ1361" s="23"/>
      <c r="GZK1361" s="23"/>
      <c r="GZL1361" s="23"/>
      <c r="GZM1361" s="23"/>
      <c r="GZN1361" s="23"/>
      <c r="GZO1361" s="23"/>
      <c r="GZP1361" s="23"/>
      <c r="GZQ1361" s="23"/>
      <c r="GZR1361" s="23"/>
      <c r="GZS1361" s="23"/>
      <c r="GZT1361" s="23"/>
      <c r="GZU1361" s="23"/>
      <c r="GZV1361" s="23"/>
      <c r="GZW1361" s="23"/>
      <c r="GZX1361" s="23"/>
      <c r="GZY1361" s="23"/>
      <c r="GZZ1361" s="23"/>
      <c r="HAA1361" s="23"/>
      <c r="HAB1361" s="23"/>
      <c r="HAC1361" s="23"/>
      <c r="HAD1361" s="23"/>
      <c r="HAE1361" s="23"/>
      <c r="HAF1361" s="23"/>
      <c r="HAG1361" s="23"/>
      <c r="HAH1361" s="23"/>
      <c r="HAI1361" s="23"/>
      <c r="HAJ1361" s="23"/>
      <c r="HAK1361" s="23"/>
      <c r="HAL1361" s="23"/>
      <c r="HAM1361" s="23"/>
      <c r="HAN1361" s="23"/>
      <c r="HAO1361" s="23"/>
      <c r="HAP1361" s="23"/>
      <c r="HAQ1361" s="23"/>
      <c r="HAR1361" s="23"/>
      <c r="HAS1361" s="23"/>
      <c r="HAT1361" s="23"/>
      <c r="HAU1361" s="23"/>
      <c r="HAV1361" s="23"/>
      <c r="HAW1361" s="23"/>
      <c r="HAX1361" s="23"/>
      <c r="HAY1361" s="23"/>
      <c r="HAZ1361" s="23"/>
      <c r="HBA1361" s="23"/>
      <c r="HBB1361" s="23"/>
      <c r="HBC1361" s="23"/>
      <c r="HBD1361" s="23"/>
      <c r="HBE1361" s="23"/>
      <c r="HBF1361" s="23"/>
      <c r="HBG1361" s="23"/>
      <c r="HBH1361" s="23"/>
      <c r="HBI1361" s="23"/>
      <c r="HBJ1361" s="23"/>
      <c r="HBK1361" s="23"/>
      <c r="HBL1361" s="23"/>
      <c r="HBM1361" s="23"/>
      <c r="HBN1361" s="23"/>
      <c r="HBO1361" s="23"/>
      <c r="HBP1361" s="23"/>
      <c r="HBQ1361" s="23"/>
      <c r="HBR1361" s="23"/>
      <c r="HBS1361" s="23"/>
      <c r="HBT1361" s="23"/>
      <c r="HBU1361" s="23"/>
      <c r="HBV1361" s="23"/>
      <c r="HBW1361" s="23"/>
      <c r="HBX1361" s="23"/>
      <c r="HBY1361" s="23"/>
      <c r="HBZ1361" s="23"/>
      <c r="HCA1361" s="23"/>
      <c r="HCB1361" s="23"/>
      <c r="HCC1361" s="23"/>
      <c r="HCD1361" s="23"/>
      <c r="HCE1361" s="23"/>
      <c r="HCF1361" s="23"/>
      <c r="HCG1361" s="23"/>
      <c r="HCH1361" s="23"/>
      <c r="HCI1361" s="23"/>
      <c r="HCJ1361" s="23"/>
      <c r="HCK1361" s="23"/>
      <c r="HCL1361" s="23"/>
      <c r="HCM1361" s="23"/>
      <c r="HCN1361" s="23"/>
      <c r="HCO1361" s="23"/>
      <c r="HCP1361" s="23"/>
      <c r="HCQ1361" s="23"/>
      <c r="HCR1361" s="23"/>
      <c r="HCS1361" s="23"/>
      <c r="HCT1361" s="23"/>
      <c r="HCU1361" s="23"/>
      <c r="HCV1361" s="23"/>
      <c r="HCW1361" s="23"/>
      <c r="HCX1361" s="23"/>
      <c r="HCY1361" s="23"/>
      <c r="HCZ1361" s="23"/>
      <c r="HDA1361" s="23"/>
      <c r="HDB1361" s="23"/>
      <c r="HDC1361" s="23"/>
      <c r="HDD1361" s="23"/>
      <c r="HDE1361" s="23"/>
      <c r="HDF1361" s="23"/>
      <c r="HDG1361" s="23"/>
      <c r="HDH1361" s="23"/>
      <c r="HDI1361" s="23"/>
      <c r="HDJ1361" s="23"/>
      <c r="HDK1361" s="23"/>
      <c r="HDL1361" s="23"/>
      <c r="HDM1361" s="23"/>
      <c r="HDN1361" s="23"/>
      <c r="HDO1361" s="23"/>
      <c r="HDP1361" s="23"/>
      <c r="HDQ1361" s="23"/>
      <c r="HDR1361" s="23"/>
      <c r="HDS1361" s="23"/>
      <c r="HDT1361" s="23"/>
      <c r="HDU1361" s="23"/>
      <c r="HDV1361" s="23"/>
      <c r="HDW1361" s="23"/>
      <c r="HDX1361" s="23"/>
      <c r="HDY1361" s="23"/>
      <c r="HDZ1361" s="23"/>
      <c r="HEA1361" s="23"/>
      <c r="HEB1361" s="23"/>
      <c r="HEC1361" s="23"/>
      <c r="HED1361" s="23"/>
      <c r="HEE1361" s="23"/>
      <c r="HEF1361" s="23"/>
      <c r="HEG1361" s="23"/>
      <c r="HEH1361" s="23"/>
      <c r="HEI1361" s="23"/>
      <c r="HEJ1361" s="23"/>
      <c r="HEK1361" s="23"/>
      <c r="HEL1361" s="23"/>
      <c r="HEM1361" s="23"/>
      <c r="HEN1361" s="23"/>
      <c r="HEO1361" s="23"/>
      <c r="HEP1361" s="23"/>
      <c r="HEQ1361" s="23"/>
      <c r="HER1361" s="23"/>
      <c r="HES1361" s="23"/>
      <c r="HET1361" s="23"/>
      <c r="HEU1361" s="23"/>
      <c r="HEV1361" s="23"/>
      <c r="HEW1361" s="23"/>
      <c r="HEX1361" s="23"/>
      <c r="HEY1361" s="23"/>
      <c r="HEZ1361" s="23"/>
      <c r="HFA1361" s="23"/>
      <c r="HFB1361" s="23"/>
      <c r="HFC1361" s="23"/>
      <c r="HFD1361" s="23"/>
      <c r="HFE1361" s="23"/>
      <c r="HFF1361" s="23"/>
      <c r="HFG1361" s="23"/>
      <c r="HFH1361" s="23"/>
      <c r="HFI1361" s="23"/>
      <c r="HFJ1361" s="23"/>
      <c r="HFK1361" s="23"/>
      <c r="HFL1361" s="23"/>
      <c r="HFM1361" s="23"/>
      <c r="HFN1361" s="23"/>
      <c r="HFO1361" s="23"/>
      <c r="HFP1361" s="23"/>
      <c r="HFQ1361" s="23"/>
      <c r="HFR1361" s="23"/>
      <c r="HFS1361" s="23"/>
      <c r="HFT1361" s="23"/>
      <c r="HFU1361" s="23"/>
      <c r="HFV1361" s="23"/>
      <c r="HFW1361" s="23"/>
      <c r="HFX1361" s="23"/>
      <c r="HFY1361" s="23"/>
      <c r="HFZ1361" s="23"/>
      <c r="HGA1361" s="23"/>
      <c r="HGB1361" s="23"/>
      <c r="HGC1361" s="23"/>
      <c r="HGD1361" s="23"/>
      <c r="HGE1361" s="23"/>
      <c r="HGF1361" s="23"/>
      <c r="HGG1361" s="23"/>
      <c r="HGH1361" s="23"/>
      <c r="HGI1361" s="23"/>
      <c r="HGJ1361" s="23"/>
      <c r="HGK1361" s="23"/>
      <c r="HGL1361" s="23"/>
      <c r="HGM1361" s="23"/>
      <c r="HGN1361" s="23"/>
      <c r="HGO1361" s="23"/>
      <c r="HGP1361" s="23"/>
      <c r="HGQ1361" s="23"/>
      <c r="HGR1361" s="23"/>
      <c r="HGS1361" s="23"/>
      <c r="HGT1361" s="23"/>
      <c r="HGU1361" s="23"/>
      <c r="HGV1361" s="23"/>
      <c r="HGW1361" s="23"/>
      <c r="HGX1361" s="23"/>
      <c r="HGY1361" s="23"/>
      <c r="HGZ1361" s="23"/>
      <c r="HHA1361" s="23"/>
      <c r="HHB1361" s="23"/>
      <c r="HHC1361" s="23"/>
      <c r="HHD1361" s="23"/>
      <c r="HHE1361" s="23"/>
      <c r="HHF1361" s="23"/>
      <c r="HHG1361" s="23"/>
      <c r="HHH1361" s="23"/>
      <c r="HHI1361" s="23"/>
      <c r="HHJ1361" s="23"/>
      <c r="HHK1361" s="23"/>
      <c r="HHL1361" s="23"/>
      <c r="HHM1361" s="23"/>
      <c r="HHN1361" s="23"/>
      <c r="HHO1361" s="23"/>
      <c r="HHP1361" s="23"/>
      <c r="HHQ1361" s="23"/>
      <c r="HHR1361" s="23"/>
      <c r="HHS1361" s="23"/>
      <c r="HHT1361" s="23"/>
      <c r="HHU1361" s="23"/>
      <c r="HHV1361" s="23"/>
      <c r="HHW1361" s="23"/>
      <c r="HHX1361" s="23"/>
      <c r="HHY1361" s="23"/>
      <c r="HHZ1361" s="23"/>
      <c r="HIA1361" s="23"/>
      <c r="HIB1361" s="23"/>
      <c r="HIC1361" s="23"/>
      <c r="HID1361" s="23"/>
      <c r="HIE1361" s="23"/>
      <c r="HIF1361" s="23"/>
      <c r="HIG1361" s="23"/>
      <c r="HIH1361" s="23"/>
      <c r="HII1361" s="23"/>
      <c r="HIJ1361" s="23"/>
      <c r="HIK1361" s="23"/>
      <c r="HIL1361" s="23"/>
      <c r="HIM1361" s="23"/>
      <c r="HIN1361" s="23"/>
      <c r="HIO1361" s="23"/>
      <c r="HIP1361" s="23"/>
      <c r="HIQ1361" s="23"/>
      <c r="HIR1361" s="23"/>
      <c r="HIS1361" s="23"/>
      <c r="HIT1361" s="23"/>
      <c r="HIU1361" s="23"/>
      <c r="HIV1361" s="23"/>
      <c r="HIW1361" s="23"/>
      <c r="HIX1361" s="23"/>
      <c r="HIY1361" s="23"/>
      <c r="HIZ1361" s="23"/>
      <c r="HJA1361" s="23"/>
      <c r="HJB1361" s="23"/>
      <c r="HJC1361" s="23"/>
      <c r="HJD1361" s="23"/>
      <c r="HJE1361" s="23"/>
      <c r="HJF1361" s="23"/>
      <c r="HJG1361" s="23"/>
      <c r="HJH1361" s="23"/>
      <c r="HJI1361" s="23"/>
      <c r="HJJ1361" s="23"/>
      <c r="HJK1361" s="23"/>
      <c r="HJL1361" s="23"/>
      <c r="HJM1361" s="23"/>
      <c r="HJN1361" s="23"/>
      <c r="HJO1361" s="23"/>
      <c r="HJP1361" s="23"/>
      <c r="HJQ1361" s="23"/>
      <c r="HJR1361" s="23"/>
      <c r="HJS1361" s="23"/>
      <c r="HJT1361" s="23"/>
      <c r="HJU1361" s="23"/>
      <c r="HJV1361" s="23"/>
      <c r="HJW1361" s="23"/>
      <c r="HJX1361" s="23"/>
      <c r="HJY1361" s="23"/>
      <c r="HJZ1361" s="23"/>
      <c r="HKA1361" s="23"/>
      <c r="HKB1361" s="23"/>
      <c r="HKC1361" s="23"/>
      <c r="HKD1361" s="23"/>
      <c r="HKE1361" s="23"/>
      <c r="HKF1361" s="23"/>
      <c r="HKG1361" s="23"/>
      <c r="HKH1361" s="23"/>
      <c r="HKI1361" s="23"/>
      <c r="HKJ1361" s="23"/>
      <c r="HKK1361" s="23"/>
      <c r="HKL1361" s="23"/>
      <c r="HKM1361" s="23"/>
      <c r="HKN1361" s="23"/>
      <c r="HKO1361" s="23"/>
      <c r="HKP1361" s="23"/>
      <c r="HKQ1361" s="23"/>
      <c r="HKR1361" s="23"/>
      <c r="HKS1361" s="23"/>
      <c r="HKT1361" s="23"/>
      <c r="HKU1361" s="23"/>
      <c r="HKV1361" s="23"/>
      <c r="HKW1361" s="23"/>
      <c r="HKX1361" s="23"/>
      <c r="HKY1361" s="23"/>
      <c r="HKZ1361" s="23"/>
      <c r="HLA1361" s="23"/>
      <c r="HLB1361" s="23"/>
      <c r="HLC1361" s="23"/>
      <c r="HLD1361" s="23"/>
      <c r="HLE1361" s="23"/>
      <c r="HLF1361" s="23"/>
      <c r="HLG1361" s="23"/>
      <c r="HLH1361" s="23"/>
      <c r="HLI1361" s="23"/>
      <c r="HLJ1361" s="23"/>
      <c r="HLK1361" s="23"/>
      <c r="HLL1361" s="23"/>
      <c r="HLM1361" s="23"/>
      <c r="HLN1361" s="23"/>
      <c r="HLO1361" s="23"/>
      <c r="HLP1361" s="23"/>
      <c r="HLQ1361" s="23"/>
      <c r="HLR1361" s="23"/>
      <c r="HLS1361" s="23"/>
      <c r="HLT1361" s="23"/>
      <c r="HLU1361" s="23"/>
      <c r="HLV1361" s="23"/>
      <c r="HLW1361" s="23"/>
      <c r="HLX1361" s="23"/>
      <c r="HLY1361" s="23"/>
      <c r="HLZ1361" s="23"/>
      <c r="HMA1361" s="23"/>
      <c r="HMB1361" s="23"/>
      <c r="HMC1361" s="23"/>
      <c r="HMD1361" s="23"/>
      <c r="HME1361" s="23"/>
      <c r="HMF1361" s="23"/>
      <c r="HMG1361" s="23"/>
      <c r="HMH1361" s="23"/>
      <c r="HMI1361" s="23"/>
      <c r="HMJ1361" s="23"/>
      <c r="HMK1361" s="23"/>
      <c r="HML1361" s="23"/>
      <c r="HMM1361" s="23"/>
      <c r="HMN1361" s="23"/>
      <c r="HMO1361" s="23"/>
      <c r="HMP1361" s="23"/>
      <c r="HMQ1361" s="23"/>
      <c r="HMR1361" s="23"/>
      <c r="HMS1361" s="23"/>
      <c r="HMT1361" s="23"/>
      <c r="HMU1361" s="23"/>
      <c r="HMV1361" s="23"/>
      <c r="HMW1361" s="23"/>
      <c r="HMX1361" s="23"/>
      <c r="HMY1361" s="23"/>
      <c r="HMZ1361" s="23"/>
      <c r="HNA1361" s="23"/>
      <c r="HNB1361" s="23"/>
      <c r="HNC1361" s="23"/>
      <c r="HND1361" s="23"/>
      <c r="HNE1361" s="23"/>
      <c r="HNF1361" s="23"/>
      <c r="HNG1361" s="23"/>
      <c r="HNH1361" s="23"/>
      <c r="HNI1361" s="23"/>
      <c r="HNJ1361" s="23"/>
      <c r="HNK1361" s="23"/>
      <c r="HNL1361" s="23"/>
      <c r="HNM1361" s="23"/>
      <c r="HNN1361" s="23"/>
      <c r="HNO1361" s="23"/>
      <c r="HNP1361" s="23"/>
      <c r="HNQ1361" s="23"/>
      <c r="HNR1361" s="23"/>
      <c r="HNS1361" s="23"/>
      <c r="HNT1361" s="23"/>
      <c r="HNU1361" s="23"/>
      <c r="HNV1361" s="23"/>
      <c r="HNW1361" s="23"/>
      <c r="HNX1361" s="23"/>
      <c r="HNY1361" s="23"/>
      <c r="HNZ1361" s="23"/>
      <c r="HOA1361" s="23"/>
      <c r="HOB1361" s="23"/>
      <c r="HOC1361" s="23"/>
      <c r="HOD1361" s="23"/>
      <c r="HOE1361" s="23"/>
      <c r="HOF1361" s="23"/>
      <c r="HOG1361" s="23"/>
      <c r="HOH1361" s="23"/>
      <c r="HOI1361" s="23"/>
      <c r="HOJ1361" s="23"/>
      <c r="HOK1361" s="23"/>
      <c r="HOL1361" s="23"/>
      <c r="HOM1361" s="23"/>
      <c r="HON1361" s="23"/>
      <c r="HOO1361" s="23"/>
      <c r="HOP1361" s="23"/>
      <c r="HOQ1361" s="23"/>
      <c r="HOR1361" s="23"/>
      <c r="HOS1361" s="23"/>
      <c r="HOT1361" s="23"/>
      <c r="HOU1361" s="23"/>
      <c r="HOV1361" s="23"/>
      <c r="HOW1361" s="23"/>
      <c r="HOX1361" s="23"/>
      <c r="HOY1361" s="23"/>
      <c r="HOZ1361" s="23"/>
      <c r="HPA1361" s="23"/>
      <c r="HPB1361" s="23"/>
      <c r="HPC1361" s="23"/>
      <c r="HPD1361" s="23"/>
      <c r="HPE1361" s="23"/>
      <c r="HPF1361" s="23"/>
      <c r="HPG1361" s="23"/>
      <c r="HPH1361" s="23"/>
      <c r="HPI1361" s="23"/>
      <c r="HPJ1361" s="23"/>
      <c r="HPK1361" s="23"/>
      <c r="HPL1361" s="23"/>
      <c r="HPM1361" s="23"/>
      <c r="HPN1361" s="23"/>
      <c r="HPO1361" s="23"/>
      <c r="HPP1361" s="23"/>
      <c r="HPQ1361" s="23"/>
      <c r="HPR1361" s="23"/>
      <c r="HPS1361" s="23"/>
      <c r="HPT1361" s="23"/>
      <c r="HPU1361" s="23"/>
      <c r="HPV1361" s="23"/>
      <c r="HPW1361" s="23"/>
      <c r="HPX1361" s="23"/>
      <c r="HPY1361" s="23"/>
      <c r="HPZ1361" s="23"/>
      <c r="HQA1361" s="23"/>
      <c r="HQB1361" s="23"/>
      <c r="HQC1361" s="23"/>
      <c r="HQD1361" s="23"/>
      <c r="HQE1361" s="23"/>
      <c r="HQF1361" s="23"/>
      <c r="HQG1361" s="23"/>
      <c r="HQH1361" s="23"/>
      <c r="HQI1361" s="23"/>
      <c r="HQJ1361" s="23"/>
      <c r="HQK1361" s="23"/>
      <c r="HQL1361" s="23"/>
      <c r="HQM1361" s="23"/>
      <c r="HQN1361" s="23"/>
      <c r="HQO1361" s="23"/>
      <c r="HQP1361" s="23"/>
      <c r="HQQ1361" s="23"/>
      <c r="HQR1361" s="23"/>
      <c r="HQS1361" s="23"/>
      <c r="HQT1361" s="23"/>
      <c r="HQU1361" s="23"/>
      <c r="HQV1361" s="23"/>
      <c r="HQW1361" s="23"/>
      <c r="HQX1361" s="23"/>
      <c r="HQY1361" s="23"/>
      <c r="HQZ1361" s="23"/>
      <c r="HRA1361" s="23"/>
      <c r="HRB1361" s="23"/>
      <c r="HRC1361" s="23"/>
      <c r="HRD1361" s="23"/>
      <c r="HRE1361" s="23"/>
      <c r="HRF1361" s="23"/>
      <c r="HRG1361" s="23"/>
      <c r="HRH1361" s="23"/>
      <c r="HRI1361" s="23"/>
      <c r="HRJ1361" s="23"/>
      <c r="HRK1361" s="23"/>
      <c r="HRL1361" s="23"/>
      <c r="HRM1361" s="23"/>
      <c r="HRN1361" s="23"/>
      <c r="HRO1361" s="23"/>
      <c r="HRP1361" s="23"/>
      <c r="HRQ1361" s="23"/>
      <c r="HRR1361" s="23"/>
      <c r="HRS1361" s="23"/>
      <c r="HRT1361" s="23"/>
      <c r="HRU1361" s="23"/>
      <c r="HRV1361" s="23"/>
      <c r="HRW1361" s="23"/>
      <c r="HRX1361" s="23"/>
      <c r="HRY1361" s="23"/>
      <c r="HRZ1361" s="23"/>
      <c r="HSA1361" s="23"/>
      <c r="HSB1361" s="23"/>
      <c r="HSC1361" s="23"/>
      <c r="HSD1361" s="23"/>
      <c r="HSE1361" s="23"/>
      <c r="HSF1361" s="23"/>
      <c r="HSG1361" s="23"/>
      <c r="HSH1361" s="23"/>
      <c r="HSI1361" s="23"/>
      <c r="HSJ1361" s="23"/>
      <c r="HSK1361" s="23"/>
      <c r="HSL1361" s="23"/>
      <c r="HSM1361" s="23"/>
      <c r="HSN1361" s="23"/>
      <c r="HSO1361" s="23"/>
      <c r="HSP1361" s="23"/>
      <c r="HSQ1361" s="23"/>
      <c r="HSR1361" s="23"/>
      <c r="HSS1361" s="23"/>
      <c r="HST1361" s="23"/>
      <c r="HSU1361" s="23"/>
      <c r="HSV1361" s="23"/>
      <c r="HSW1361" s="23"/>
      <c r="HSX1361" s="23"/>
      <c r="HSY1361" s="23"/>
      <c r="HSZ1361" s="23"/>
      <c r="HTA1361" s="23"/>
      <c r="HTB1361" s="23"/>
      <c r="HTC1361" s="23"/>
      <c r="HTD1361" s="23"/>
      <c r="HTE1361" s="23"/>
      <c r="HTF1361" s="23"/>
      <c r="HTG1361" s="23"/>
      <c r="HTH1361" s="23"/>
      <c r="HTI1361" s="23"/>
      <c r="HTJ1361" s="23"/>
      <c r="HTK1361" s="23"/>
      <c r="HTL1361" s="23"/>
      <c r="HTM1361" s="23"/>
      <c r="HTN1361" s="23"/>
      <c r="HTO1361" s="23"/>
      <c r="HTP1361" s="23"/>
      <c r="HTQ1361" s="23"/>
      <c r="HTR1361" s="23"/>
      <c r="HTS1361" s="23"/>
      <c r="HTT1361" s="23"/>
      <c r="HTU1361" s="23"/>
      <c r="HTV1361" s="23"/>
      <c r="HTW1361" s="23"/>
      <c r="HTX1361" s="23"/>
      <c r="HTY1361" s="23"/>
      <c r="HTZ1361" s="23"/>
      <c r="HUA1361" s="23"/>
      <c r="HUB1361" s="23"/>
      <c r="HUC1361" s="23"/>
      <c r="HUD1361" s="23"/>
      <c r="HUE1361" s="23"/>
      <c r="HUF1361" s="23"/>
      <c r="HUG1361" s="23"/>
      <c r="HUH1361" s="23"/>
      <c r="HUI1361" s="23"/>
      <c r="HUJ1361" s="23"/>
      <c r="HUK1361" s="23"/>
      <c r="HUL1361" s="23"/>
      <c r="HUM1361" s="23"/>
      <c r="HUN1361" s="23"/>
      <c r="HUO1361" s="23"/>
      <c r="HUP1361" s="23"/>
      <c r="HUQ1361" s="23"/>
      <c r="HUR1361" s="23"/>
      <c r="HUS1361" s="23"/>
      <c r="HUT1361" s="23"/>
      <c r="HUU1361" s="23"/>
      <c r="HUV1361" s="23"/>
      <c r="HUW1361" s="23"/>
      <c r="HUX1361" s="23"/>
      <c r="HUY1361" s="23"/>
      <c r="HUZ1361" s="23"/>
      <c r="HVA1361" s="23"/>
      <c r="HVB1361" s="23"/>
      <c r="HVC1361" s="23"/>
      <c r="HVD1361" s="23"/>
      <c r="HVE1361" s="23"/>
      <c r="HVF1361" s="23"/>
      <c r="HVG1361" s="23"/>
      <c r="HVH1361" s="23"/>
      <c r="HVI1361" s="23"/>
      <c r="HVJ1361" s="23"/>
      <c r="HVK1361" s="23"/>
      <c r="HVL1361" s="23"/>
      <c r="HVM1361" s="23"/>
      <c r="HVN1361" s="23"/>
      <c r="HVO1361" s="23"/>
      <c r="HVP1361" s="23"/>
      <c r="HVQ1361" s="23"/>
      <c r="HVR1361" s="23"/>
      <c r="HVS1361" s="23"/>
      <c r="HVT1361" s="23"/>
      <c r="HVU1361" s="23"/>
      <c r="HVV1361" s="23"/>
      <c r="HVW1361" s="23"/>
      <c r="HVX1361" s="23"/>
      <c r="HVY1361" s="23"/>
      <c r="HVZ1361" s="23"/>
      <c r="HWA1361" s="23"/>
      <c r="HWB1361" s="23"/>
      <c r="HWC1361" s="23"/>
      <c r="HWD1361" s="23"/>
      <c r="HWE1361" s="23"/>
      <c r="HWF1361" s="23"/>
      <c r="HWG1361" s="23"/>
      <c r="HWH1361" s="23"/>
      <c r="HWI1361" s="23"/>
      <c r="HWJ1361" s="23"/>
      <c r="HWK1361" s="23"/>
      <c r="HWL1361" s="23"/>
      <c r="HWM1361" s="23"/>
      <c r="HWN1361" s="23"/>
      <c r="HWO1361" s="23"/>
      <c r="HWP1361" s="23"/>
      <c r="HWQ1361" s="23"/>
      <c r="HWR1361" s="23"/>
      <c r="HWS1361" s="23"/>
      <c r="HWT1361" s="23"/>
      <c r="HWU1361" s="23"/>
      <c r="HWV1361" s="23"/>
      <c r="HWW1361" s="23"/>
      <c r="HWX1361" s="23"/>
      <c r="HWY1361" s="23"/>
      <c r="HWZ1361" s="23"/>
      <c r="HXA1361" s="23"/>
      <c r="HXB1361" s="23"/>
      <c r="HXC1361" s="23"/>
      <c r="HXD1361" s="23"/>
      <c r="HXE1361" s="23"/>
      <c r="HXF1361" s="23"/>
      <c r="HXG1361" s="23"/>
      <c r="HXH1361" s="23"/>
      <c r="HXI1361" s="23"/>
      <c r="HXJ1361" s="23"/>
      <c r="HXK1361" s="23"/>
      <c r="HXL1361" s="23"/>
      <c r="HXM1361" s="23"/>
      <c r="HXN1361" s="23"/>
      <c r="HXO1361" s="23"/>
      <c r="HXP1361" s="23"/>
      <c r="HXQ1361" s="23"/>
      <c r="HXR1361" s="23"/>
      <c r="HXS1361" s="23"/>
      <c r="HXT1361" s="23"/>
      <c r="HXU1361" s="23"/>
      <c r="HXV1361" s="23"/>
      <c r="HXW1361" s="23"/>
      <c r="HXX1361" s="23"/>
      <c r="HXY1361" s="23"/>
      <c r="HXZ1361" s="23"/>
      <c r="HYA1361" s="23"/>
      <c r="HYB1361" s="23"/>
      <c r="HYC1361" s="23"/>
      <c r="HYD1361" s="23"/>
      <c r="HYE1361" s="23"/>
      <c r="HYF1361" s="23"/>
      <c r="HYG1361" s="23"/>
      <c r="HYH1361" s="23"/>
      <c r="HYI1361" s="23"/>
      <c r="HYJ1361" s="23"/>
      <c r="HYK1361" s="23"/>
      <c r="HYL1361" s="23"/>
      <c r="HYM1361" s="23"/>
      <c r="HYN1361" s="23"/>
      <c r="HYO1361" s="23"/>
      <c r="HYP1361" s="23"/>
      <c r="HYQ1361" s="23"/>
      <c r="HYR1361" s="23"/>
      <c r="HYS1361" s="23"/>
      <c r="HYT1361" s="23"/>
      <c r="HYU1361" s="23"/>
      <c r="HYV1361" s="23"/>
      <c r="HYW1361" s="23"/>
      <c r="HYX1361" s="23"/>
      <c r="HYY1361" s="23"/>
      <c r="HYZ1361" s="23"/>
      <c r="HZA1361" s="23"/>
      <c r="HZB1361" s="23"/>
      <c r="HZC1361" s="23"/>
      <c r="HZD1361" s="23"/>
      <c r="HZE1361" s="23"/>
      <c r="HZF1361" s="23"/>
      <c r="HZG1361" s="23"/>
      <c r="HZH1361" s="23"/>
      <c r="HZI1361" s="23"/>
      <c r="HZJ1361" s="23"/>
      <c r="HZK1361" s="23"/>
      <c r="HZL1361" s="23"/>
      <c r="HZM1361" s="23"/>
      <c r="HZN1361" s="23"/>
      <c r="HZO1361" s="23"/>
      <c r="HZP1361" s="23"/>
      <c r="HZQ1361" s="23"/>
      <c r="HZR1361" s="23"/>
      <c r="HZS1361" s="23"/>
      <c r="HZT1361" s="23"/>
      <c r="HZU1361" s="23"/>
      <c r="HZV1361" s="23"/>
      <c r="HZW1361" s="23"/>
      <c r="HZX1361" s="23"/>
      <c r="HZY1361" s="23"/>
      <c r="HZZ1361" s="23"/>
      <c r="IAA1361" s="23"/>
      <c r="IAB1361" s="23"/>
      <c r="IAC1361" s="23"/>
      <c r="IAD1361" s="23"/>
      <c r="IAE1361" s="23"/>
      <c r="IAF1361" s="23"/>
      <c r="IAG1361" s="23"/>
      <c r="IAH1361" s="23"/>
      <c r="IAI1361" s="23"/>
      <c r="IAJ1361" s="23"/>
      <c r="IAK1361" s="23"/>
      <c r="IAL1361" s="23"/>
      <c r="IAM1361" s="23"/>
      <c r="IAN1361" s="23"/>
      <c r="IAO1361" s="23"/>
      <c r="IAP1361" s="23"/>
      <c r="IAQ1361" s="23"/>
      <c r="IAR1361" s="23"/>
      <c r="IAS1361" s="23"/>
      <c r="IAT1361" s="23"/>
      <c r="IAU1361" s="23"/>
      <c r="IAV1361" s="23"/>
      <c r="IAW1361" s="23"/>
      <c r="IAX1361" s="23"/>
      <c r="IAY1361" s="23"/>
      <c r="IAZ1361" s="23"/>
      <c r="IBA1361" s="23"/>
      <c r="IBB1361" s="23"/>
      <c r="IBC1361" s="23"/>
      <c r="IBD1361" s="23"/>
      <c r="IBE1361" s="23"/>
      <c r="IBF1361" s="23"/>
      <c r="IBG1361" s="23"/>
      <c r="IBH1361" s="23"/>
      <c r="IBI1361" s="23"/>
      <c r="IBJ1361" s="23"/>
      <c r="IBK1361" s="23"/>
      <c r="IBL1361" s="23"/>
      <c r="IBM1361" s="23"/>
      <c r="IBN1361" s="23"/>
      <c r="IBO1361" s="23"/>
      <c r="IBP1361" s="23"/>
      <c r="IBQ1361" s="23"/>
      <c r="IBR1361" s="23"/>
      <c r="IBS1361" s="23"/>
      <c r="IBT1361" s="23"/>
      <c r="IBU1361" s="23"/>
      <c r="IBV1361" s="23"/>
      <c r="IBW1361" s="23"/>
      <c r="IBX1361" s="23"/>
      <c r="IBY1361" s="23"/>
      <c r="IBZ1361" s="23"/>
      <c r="ICA1361" s="23"/>
      <c r="ICB1361" s="23"/>
      <c r="ICC1361" s="23"/>
      <c r="ICD1361" s="23"/>
      <c r="ICE1361" s="23"/>
      <c r="ICF1361" s="23"/>
      <c r="ICG1361" s="23"/>
      <c r="ICH1361" s="23"/>
      <c r="ICI1361" s="23"/>
      <c r="ICJ1361" s="23"/>
      <c r="ICK1361" s="23"/>
      <c r="ICL1361" s="23"/>
      <c r="ICM1361" s="23"/>
      <c r="ICN1361" s="23"/>
      <c r="ICO1361" s="23"/>
      <c r="ICP1361" s="23"/>
      <c r="ICQ1361" s="23"/>
      <c r="ICR1361" s="23"/>
      <c r="ICS1361" s="23"/>
      <c r="ICT1361" s="23"/>
      <c r="ICU1361" s="23"/>
      <c r="ICV1361" s="23"/>
      <c r="ICW1361" s="23"/>
      <c r="ICX1361" s="23"/>
      <c r="ICY1361" s="23"/>
      <c r="ICZ1361" s="23"/>
      <c r="IDA1361" s="23"/>
      <c r="IDB1361" s="23"/>
      <c r="IDC1361" s="23"/>
      <c r="IDD1361" s="23"/>
      <c r="IDE1361" s="23"/>
      <c r="IDF1361" s="23"/>
      <c r="IDG1361" s="23"/>
      <c r="IDH1361" s="23"/>
      <c r="IDI1361" s="23"/>
      <c r="IDJ1361" s="23"/>
      <c r="IDK1361" s="23"/>
      <c r="IDL1361" s="23"/>
      <c r="IDM1361" s="23"/>
      <c r="IDN1361" s="23"/>
      <c r="IDO1361" s="23"/>
      <c r="IDP1361" s="23"/>
      <c r="IDQ1361" s="23"/>
      <c r="IDR1361" s="23"/>
      <c r="IDS1361" s="23"/>
      <c r="IDT1361" s="23"/>
      <c r="IDU1361" s="23"/>
      <c r="IDV1361" s="23"/>
      <c r="IDW1361" s="23"/>
      <c r="IDX1361" s="23"/>
      <c r="IDY1361" s="23"/>
      <c r="IDZ1361" s="23"/>
      <c r="IEA1361" s="23"/>
      <c r="IEB1361" s="23"/>
      <c r="IEC1361" s="23"/>
      <c r="IED1361" s="23"/>
      <c r="IEE1361" s="23"/>
      <c r="IEF1361" s="23"/>
      <c r="IEG1361" s="23"/>
      <c r="IEH1361" s="23"/>
      <c r="IEI1361" s="23"/>
      <c r="IEJ1361" s="23"/>
      <c r="IEK1361" s="23"/>
      <c r="IEL1361" s="23"/>
      <c r="IEM1361" s="23"/>
      <c r="IEN1361" s="23"/>
      <c r="IEO1361" s="23"/>
      <c r="IEP1361" s="23"/>
      <c r="IEQ1361" s="23"/>
      <c r="IER1361" s="23"/>
      <c r="IES1361" s="23"/>
      <c r="IET1361" s="23"/>
      <c r="IEU1361" s="23"/>
      <c r="IEV1361" s="23"/>
      <c r="IEW1361" s="23"/>
      <c r="IEX1361" s="23"/>
      <c r="IEY1361" s="23"/>
      <c r="IEZ1361" s="23"/>
      <c r="IFA1361" s="23"/>
      <c r="IFB1361" s="23"/>
      <c r="IFC1361" s="23"/>
      <c r="IFD1361" s="23"/>
      <c r="IFE1361" s="23"/>
      <c r="IFF1361" s="23"/>
      <c r="IFG1361" s="23"/>
      <c r="IFH1361" s="23"/>
      <c r="IFI1361" s="23"/>
      <c r="IFJ1361" s="23"/>
      <c r="IFK1361" s="23"/>
      <c r="IFL1361" s="23"/>
      <c r="IFM1361" s="23"/>
      <c r="IFN1361" s="23"/>
      <c r="IFO1361" s="23"/>
      <c r="IFP1361" s="23"/>
      <c r="IFQ1361" s="23"/>
      <c r="IFR1361" s="23"/>
      <c r="IFS1361" s="23"/>
      <c r="IFT1361" s="23"/>
      <c r="IFU1361" s="23"/>
      <c r="IFV1361" s="23"/>
      <c r="IFW1361" s="23"/>
      <c r="IFX1361" s="23"/>
      <c r="IFY1361" s="23"/>
      <c r="IFZ1361" s="23"/>
      <c r="IGA1361" s="23"/>
      <c r="IGB1361" s="23"/>
      <c r="IGC1361" s="23"/>
      <c r="IGD1361" s="23"/>
      <c r="IGE1361" s="23"/>
      <c r="IGF1361" s="23"/>
      <c r="IGG1361" s="23"/>
      <c r="IGH1361" s="23"/>
      <c r="IGI1361" s="23"/>
      <c r="IGJ1361" s="23"/>
      <c r="IGK1361" s="23"/>
      <c r="IGL1361" s="23"/>
      <c r="IGM1361" s="23"/>
      <c r="IGN1361" s="23"/>
      <c r="IGO1361" s="23"/>
      <c r="IGP1361" s="23"/>
      <c r="IGQ1361" s="23"/>
      <c r="IGR1361" s="23"/>
      <c r="IGS1361" s="23"/>
      <c r="IGT1361" s="23"/>
      <c r="IGU1361" s="23"/>
      <c r="IGV1361" s="23"/>
      <c r="IGW1361" s="23"/>
      <c r="IGX1361" s="23"/>
      <c r="IGY1361" s="23"/>
      <c r="IGZ1361" s="23"/>
      <c r="IHA1361" s="23"/>
      <c r="IHB1361" s="23"/>
      <c r="IHC1361" s="23"/>
      <c r="IHD1361" s="23"/>
      <c r="IHE1361" s="23"/>
      <c r="IHF1361" s="23"/>
      <c r="IHG1361" s="23"/>
      <c r="IHH1361" s="23"/>
      <c r="IHI1361" s="23"/>
      <c r="IHJ1361" s="23"/>
      <c r="IHK1361" s="23"/>
      <c r="IHL1361" s="23"/>
      <c r="IHM1361" s="23"/>
      <c r="IHN1361" s="23"/>
      <c r="IHO1361" s="23"/>
      <c r="IHP1361" s="23"/>
      <c r="IHQ1361" s="23"/>
      <c r="IHR1361" s="23"/>
      <c r="IHS1361" s="23"/>
      <c r="IHT1361" s="23"/>
      <c r="IHU1361" s="23"/>
      <c r="IHV1361" s="23"/>
      <c r="IHW1361" s="23"/>
      <c r="IHX1361" s="23"/>
      <c r="IHY1361" s="23"/>
      <c r="IHZ1361" s="23"/>
      <c r="IIA1361" s="23"/>
      <c r="IIB1361" s="23"/>
      <c r="IIC1361" s="23"/>
      <c r="IID1361" s="23"/>
      <c r="IIE1361" s="23"/>
      <c r="IIF1361" s="23"/>
      <c r="IIG1361" s="23"/>
      <c r="IIH1361" s="23"/>
      <c r="III1361" s="23"/>
      <c r="IIJ1361" s="23"/>
      <c r="IIK1361" s="23"/>
      <c r="IIL1361" s="23"/>
      <c r="IIM1361" s="23"/>
      <c r="IIN1361" s="23"/>
      <c r="IIO1361" s="23"/>
      <c r="IIP1361" s="23"/>
      <c r="IIQ1361" s="23"/>
      <c r="IIR1361" s="23"/>
      <c r="IIS1361" s="23"/>
      <c r="IIT1361" s="23"/>
      <c r="IIU1361" s="23"/>
      <c r="IIV1361" s="23"/>
      <c r="IIW1361" s="23"/>
      <c r="IIX1361" s="23"/>
      <c r="IIY1361" s="23"/>
      <c r="IIZ1361" s="23"/>
      <c r="IJA1361" s="23"/>
      <c r="IJB1361" s="23"/>
      <c r="IJC1361" s="23"/>
      <c r="IJD1361" s="23"/>
      <c r="IJE1361" s="23"/>
      <c r="IJF1361" s="23"/>
      <c r="IJG1361" s="23"/>
      <c r="IJH1361" s="23"/>
      <c r="IJI1361" s="23"/>
      <c r="IJJ1361" s="23"/>
      <c r="IJK1361" s="23"/>
      <c r="IJL1361" s="23"/>
      <c r="IJM1361" s="23"/>
      <c r="IJN1361" s="23"/>
      <c r="IJO1361" s="23"/>
      <c r="IJP1361" s="23"/>
      <c r="IJQ1361" s="23"/>
      <c r="IJR1361" s="23"/>
      <c r="IJS1361" s="23"/>
      <c r="IJT1361" s="23"/>
      <c r="IJU1361" s="23"/>
      <c r="IJV1361" s="23"/>
      <c r="IJW1361" s="23"/>
      <c r="IJX1361" s="23"/>
      <c r="IJY1361" s="23"/>
      <c r="IJZ1361" s="23"/>
      <c r="IKA1361" s="23"/>
      <c r="IKB1361" s="23"/>
      <c r="IKC1361" s="23"/>
      <c r="IKD1361" s="23"/>
      <c r="IKE1361" s="23"/>
      <c r="IKF1361" s="23"/>
      <c r="IKG1361" s="23"/>
      <c r="IKH1361" s="23"/>
      <c r="IKI1361" s="23"/>
      <c r="IKJ1361" s="23"/>
      <c r="IKK1361" s="23"/>
      <c r="IKL1361" s="23"/>
      <c r="IKM1361" s="23"/>
      <c r="IKN1361" s="23"/>
      <c r="IKO1361" s="23"/>
      <c r="IKP1361" s="23"/>
      <c r="IKQ1361" s="23"/>
      <c r="IKR1361" s="23"/>
      <c r="IKS1361" s="23"/>
      <c r="IKT1361" s="23"/>
      <c r="IKU1361" s="23"/>
      <c r="IKV1361" s="23"/>
      <c r="IKW1361" s="23"/>
      <c r="IKX1361" s="23"/>
      <c r="IKY1361" s="23"/>
      <c r="IKZ1361" s="23"/>
      <c r="ILA1361" s="23"/>
      <c r="ILB1361" s="23"/>
      <c r="ILC1361" s="23"/>
      <c r="ILD1361" s="23"/>
      <c r="ILE1361" s="23"/>
      <c r="ILF1361" s="23"/>
      <c r="ILG1361" s="23"/>
      <c r="ILH1361" s="23"/>
      <c r="ILI1361" s="23"/>
      <c r="ILJ1361" s="23"/>
      <c r="ILK1361" s="23"/>
      <c r="ILL1361" s="23"/>
      <c r="ILM1361" s="23"/>
      <c r="ILN1361" s="23"/>
      <c r="ILO1361" s="23"/>
      <c r="ILP1361" s="23"/>
      <c r="ILQ1361" s="23"/>
      <c r="ILR1361" s="23"/>
      <c r="ILS1361" s="23"/>
      <c r="ILT1361" s="23"/>
      <c r="ILU1361" s="23"/>
      <c r="ILV1361" s="23"/>
      <c r="ILW1361" s="23"/>
      <c r="ILX1361" s="23"/>
      <c r="ILY1361" s="23"/>
      <c r="ILZ1361" s="23"/>
      <c r="IMA1361" s="23"/>
      <c r="IMB1361" s="23"/>
      <c r="IMC1361" s="23"/>
      <c r="IMD1361" s="23"/>
      <c r="IME1361" s="23"/>
      <c r="IMF1361" s="23"/>
      <c r="IMG1361" s="23"/>
      <c r="IMH1361" s="23"/>
      <c r="IMI1361" s="23"/>
      <c r="IMJ1361" s="23"/>
      <c r="IMK1361" s="23"/>
      <c r="IML1361" s="23"/>
      <c r="IMM1361" s="23"/>
      <c r="IMN1361" s="23"/>
      <c r="IMO1361" s="23"/>
      <c r="IMP1361" s="23"/>
      <c r="IMQ1361" s="23"/>
      <c r="IMR1361" s="23"/>
      <c r="IMS1361" s="23"/>
      <c r="IMT1361" s="23"/>
      <c r="IMU1361" s="23"/>
      <c r="IMV1361" s="23"/>
      <c r="IMW1361" s="23"/>
      <c r="IMX1361" s="23"/>
      <c r="IMY1361" s="23"/>
      <c r="IMZ1361" s="23"/>
      <c r="INA1361" s="23"/>
      <c r="INB1361" s="23"/>
      <c r="INC1361" s="23"/>
      <c r="IND1361" s="23"/>
      <c r="INE1361" s="23"/>
      <c r="INF1361" s="23"/>
      <c r="ING1361" s="23"/>
      <c r="INH1361" s="23"/>
      <c r="INI1361" s="23"/>
      <c r="INJ1361" s="23"/>
      <c r="INK1361" s="23"/>
      <c r="INL1361" s="23"/>
      <c r="INM1361" s="23"/>
      <c r="INN1361" s="23"/>
      <c r="INO1361" s="23"/>
      <c r="INP1361" s="23"/>
      <c r="INQ1361" s="23"/>
      <c r="INR1361" s="23"/>
      <c r="INS1361" s="23"/>
      <c r="INT1361" s="23"/>
      <c r="INU1361" s="23"/>
      <c r="INV1361" s="23"/>
      <c r="INW1361" s="23"/>
      <c r="INX1361" s="23"/>
      <c r="INY1361" s="23"/>
      <c r="INZ1361" s="23"/>
      <c r="IOA1361" s="23"/>
      <c r="IOB1361" s="23"/>
      <c r="IOC1361" s="23"/>
      <c r="IOD1361" s="23"/>
      <c r="IOE1361" s="23"/>
      <c r="IOF1361" s="23"/>
      <c r="IOG1361" s="23"/>
      <c r="IOH1361" s="23"/>
      <c r="IOI1361" s="23"/>
      <c r="IOJ1361" s="23"/>
      <c r="IOK1361" s="23"/>
      <c r="IOL1361" s="23"/>
      <c r="IOM1361" s="23"/>
      <c r="ION1361" s="23"/>
      <c r="IOO1361" s="23"/>
      <c r="IOP1361" s="23"/>
      <c r="IOQ1361" s="23"/>
      <c r="IOR1361" s="23"/>
      <c r="IOS1361" s="23"/>
      <c r="IOT1361" s="23"/>
      <c r="IOU1361" s="23"/>
      <c r="IOV1361" s="23"/>
      <c r="IOW1361" s="23"/>
      <c r="IOX1361" s="23"/>
      <c r="IOY1361" s="23"/>
      <c r="IOZ1361" s="23"/>
      <c r="IPA1361" s="23"/>
      <c r="IPB1361" s="23"/>
      <c r="IPC1361" s="23"/>
      <c r="IPD1361" s="23"/>
      <c r="IPE1361" s="23"/>
      <c r="IPF1361" s="23"/>
      <c r="IPG1361" s="23"/>
      <c r="IPH1361" s="23"/>
      <c r="IPI1361" s="23"/>
      <c r="IPJ1361" s="23"/>
      <c r="IPK1361" s="23"/>
      <c r="IPL1361" s="23"/>
      <c r="IPM1361" s="23"/>
      <c r="IPN1361" s="23"/>
      <c r="IPO1361" s="23"/>
      <c r="IPP1361" s="23"/>
      <c r="IPQ1361" s="23"/>
      <c r="IPR1361" s="23"/>
      <c r="IPS1361" s="23"/>
      <c r="IPT1361" s="23"/>
      <c r="IPU1361" s="23"/>
      <c r="IPV1361" s="23"/>
      <c r="IPW1361" s="23"/>
      <c r="IPX1361" s="23"/>
      <c r="IPY1361" s="23"/>
      <c r="IPZ1361" s="23"/>
      <c r="IQA1361" s="23"/>
      <c r="IQB1361" s="23"/>
      <c r="IQC1361" s="23"/>
      <c r="IQD1361" s="23"/>
      <c r="IQE1361" s="23"/>
      <c r="IQF1361" s="23"/>
      <c r="IQG1361" s="23"/>
      <c r="IQH1361" s="23"/>
      <c r="IQI1361" s="23"/>
      <c r="IQJ1361" s="23"/>
      <c r="IQK1361" s="23"/>
      <c r="IQL1361" s="23"/>
      <c r="IQM1361" s="23"/>
      <c r="IQN1361" s="23"/>
      <c r="IQO1361" s="23"/>
      <c r="IQP1361" s="23"/>
      <c r="IQQ1361" s="23"/>
      <c r="IQR1361" s="23"/>
      <c r="IQS1361" s="23"/>
      <c r="IQT1361" s="23"/>
      <c r="IQU1361" s="23"/>
      <c r="IQV1361" s="23"/>
      <c r="IQW1361" s="23"/>
      <c r="IQX1361" s="23"/>
      <c r="IQY1361" s="23"/>
      <c r="IQZ1361" s="23"/>
      <c r="IRA1361" s="23"/>
      <c r="IRB1361" s="23"/>
      <c r="IRC1361" s="23"/>
      <c r="IRD1361" s="23"/>
      <c r="IRE1361" s="23"/>
      <c r="IRF1361" s="23"/>
      <c r="IRG1361" s="23"/>
      <c r="IRH1361" s="23"/>
      <c r="IRI1361" s="23"/>
      <c r="IRJ1361" s="23"/>
      <c r="IRK1361" s="23"/>
      <c r="IRL1361" s="23"/>
      <c r="IRM1361" s="23"/>
      <c r="IRN1361" s="23"/>
      <c r="IRO1361" s="23"/>
      <c r="IRP1361" s="23"/>
      <c r="IRQ1361" s="23"/>
      <c r="IRR1361" s="23"/>
      <c r="IRS1361" s="23"/>
      <c r="IRT1361" s="23"/>
      <c r="IRU1361" s="23"/>
      <c r="IRV1361" s="23"/>
      <c r="IRW1361" s="23"/>
      <c r="IRX1361" s="23"/>
      <c r="IRY1361" s="23"/>
      <c r="IRZ1361" s="23"/>
      <c r="ISA1361" s="23"/>
      <c r="ISB1361" s="23"/>
      <c r="ISC1361" s="23"/>
      <c r="ISD1361" s="23"/>
      <c r="ISE1361" s="23"/>
      <c r="ISF1361" s="23"/>
      <c r="ISG1361" s="23"/>
      <c r="ISH1361" s="23"/>
      <c r="ISI1361" s="23"/>
      <c r="ISJ1361" s="23"/>
      <c r="ISK1361" s="23"/>
      <c r="ISL1361" s="23"/>
      <c r="ISM1361" s="23"/>
      <c r="ISN1361" s="23"/>
      <c r="ISO1361" s="23"/>
      <c r="ISP1361" s="23"/>
      <c r="ISQ1361" s="23"/>
      <c r="ISR1361" s="23"/>
      <c r="ISS1361" s="23"/>
      <c r="IST1361" s="23"/>
      <c r="ISU1361" s="23"/>
      <c r="ISV1361" s="23"/>
      <c r="ISW1361" s="23"/>
      <c r="ISX1361" s="23"/>
      <c r="ISY1361" s="23"/>
      <c r="ISZ1361" s="23"/>
      <c r="ITA1361" s="23"/>
      <c r="ITB1361" s="23"/>
      <c r="ITC1361" s="23"/>
      <c r="ITD1361" s="23"/>
      <c r="ITE1361" s="23"/>
      <c r="ITF1361" s="23"/>
      <c r="ITG1361" s="23"/>
      <c r="ITH1361" s="23"/>
      <c r="ITI1361" s="23"/>
      <c r="ITJ1361" s="23"/>
      <c r="ITK1361" s="23"/>
      <c r="ITL1361" s="23"/>
      <c r="ITM1361" s="23"/>
      <c r="ITN1361" s="23"/>
      <c r="ITO1361" s="23"/>
      <c r="ITP1361" s="23"/>
      <c r="ITQ1361" s="23"/>
      <c r="ITR1361" s="23"/>
      <c r="ITS1361" s="23"/>
      <c r="ITT1361" s="23"/>
      <c r="ITU1361" s="23"/>
      <c r="ITV1361" s="23"/>
      <c r="ITW1361" s="23"/>
      <c r="ITX1361" s="23"/>
      <c r="ITY1361" s="23"/>
      <c r="ITZ1361" s="23"/>
      <c r="IUA1361" s="23"/>
      <c r="IUB1361" s="23"/>
      <c r="IUC1361" s="23"/>
      <c r="IUD1361" s="23"/>
      <c r="IUE1361" s="23"/>
      <c r="IUF1361" s="23"/>
      <c r="IUG1361" s="23"/>
      <c r="IUH1361" s="23"/>
      <c r="IUI1361" s="23"/>
      <c r="IUJ1361" s="23"/>
      <c r="IUK1361" s="23"/>
      <c r="IUL1361" s="23"/>
      <c r="IUM1361" s="23"/>
      <c r="IUN1361" s="23"/>
      <c r="IUO1361" s="23"/>
      <c r="IUP1361" s="23"/>
      <c r="IUQ1361" s="23"/>
      <c r="IUR1361" s="23"/>
      <c r="IUS1361" s="23"/>
      <c r="IUT1361" s="23"/>
      <c r="IUU1361" s="23"/>
      <c r="IUV1361" s="23"/>
      <c r="IUW1361" s="23"/>
      <c r="IUX1361" s="23"/>
      <c r="IUY1361" s="23"/>
      <c r="IUZ1361" s="23"/>
      <c r="IVA1361" s="23"/>
      <c r="IVB1361" s="23"/>
      <c r="IVC1361" s="23"/>
      <c r="IVD1361" s="23"/>
      <c r="IVE1361" s="23"/>
      <c r="IVF1361" s="23"/>
      <c r="IVG1361" s="23"/>
      <c r="IVH1361" s="23"/>
      <c r="IVI1361" s="23"/>
      <c r="IVJ1361" s="23"/>
      <c r="IVK1361" s="23"/>
      <c r="IVL1361" s="23"/>
      <c r="IVM1361" s="23"/>
      <c r="IVN1361" s="23"/>
      <c r="IVO1361" s="23"/>
      <c r="IVP1361" s="23"/>
      <c r="IVQ1361" s="23"/>
      <c r="IVR1361" s="23"/>
      <c r="IVS1361" s="23"/>
      <c r="IVT1361" s="23"/>
      <c r="IVU1361" s="23"/>
      <c r="IVV1361" s="23"/>
      <c r="IVW1361" s="23"/>
      <c r="IVX1361" s="23"/>
      <c r="IVY1361" s="23"/>
      <c r="IVZ1361" s="23"/>
      <c r="IWA1361" s="23"/>
      <c r="IWB1361" s="23"/>
      <c r="IWC1361" s="23"/>
      <c r="IWD1361" s="23"/>
      <c r="IWE1361" s="23"/>
      <c r="IWF1361" s="23"/>
      <c r="IWG1361" s="23"/>
      <c r="IWH1361" s="23"/>
      <c r="IWI1361" s="23"/>
      <c r="IWJ1361" s="23"/>
      <c r="IWK1361" s="23"/>
      <c r="IWL1361" s="23"/>
      <c r="IWM1361" s="23"/>
      <c r="IWN1361" s="23"/>
      <c r="IWO1361" s="23"/>
      <c r="IWP1361" s="23"/>
      <c r="IWQ1361" s="23"/>
      <c r="IWR1361" s="23"/>
      <c r="IWS1361" s="23"/>
      <c r="IWT1361" s="23"/>
      <c r="IWU1361" s="23"/>
      <c r="IWV1361" s="23"/>
      <c r="IWW1361" s="23"/>
      <c r="IWX1361" s="23"/>
      <c r="IWY1361" s="23"/>
      <c r="IWZ1361" s="23"/>
      <c r="IXA1361" s="23"/>
      <c r="IXB1361" s="23"/>
      <c r="IXC1361" s="23"/>
      <c r="IXD1361" s="23"/>
      <c r="IXE1361" s="23"/>
      <c r="IXF1361" s="23"/>
      <c r="IXG1361" s="23"/>
      <c r="IXH1361" s="23"/>
      <c r="IXI1361" s="23"/>
      <c r="IXJ1361" s="23"/>
      <c r="IXK1361" s="23"/>
      <c r="IXL1361" s="23"/>
      <c r="IXM1361" s="23"/>
      <c r="IXN1361" s="23"/>
      <c r="IXO1361" s="23"/>
      <c r="IXP1361" s="23"/>
      <c r="IXQ1361" s="23"/>
      <c r="IXR1361" s="23"/>
      <c r="IXS1361" s="23"/>
      <c r="IXT1361" s="23"/>
      <c r="IXU1361" s="23"/>
      <c r="IXV1361" s="23"/>
      <c r="IXW1361" s="23"/>
      <c r="IXX1361" s="23"/>
      <c r="IXY1361" s="23"/>
      <c r="IXZ1361" s="23"/>
      <c r="IYA1361" s="23"/>
      <c r="IYB1361" s="23"/>
      <c r="IYC1361" s="23"/>
      <c r="IYD1361" s="23"/>
      <c r="IYE1361" s="23"/>
      <c r="IYF1361" s="23"/>
      <c r="IYG1361" s="23"/>
      <c r="IYH1361" s="23"/>
      <c r="IYI1361" s="23"/>
      <c r="IYJ1361" s="23"/>
      <c r="IYK1361" s="23"/>
      <c r="IYL1361" s="23"/>
      <c r="IYM1361" s="23"/>
      <c r="IYN1361" s="23"/>
      <c r="IYO1361" s="23"/>
      <c r="IYP1361" s="23"/>
      <c r="IYQ1361" s="23"/>
      <c r="IYR1361" s="23"/>
      <c r="IYS1361" s="23"/>
      <c r="IYT1361" s="23"/>
      <c r="IYU1361" s="23"/>
      <c r="IYV1361" s="23"/>
      <c r="IYW1361" s="23"/>
      <c r="IYX1361" s="23"/>
      <c r="IYY1361" s="23"/>
      <c r="IYZ1361" s="23"/>
      <c r="IZA1361" s="23"/>
      <c r="IZB1361" s="23"/>
      <c r="IZC1361" s="23"/>
      <c r="IZD1361" s="23"/>
      <c r="IZE1361" s="23"/>
      <c r="IZF1361" s="23"/>
      <c r="IZG1361" s="23"/>
      <c r="IZH1361" s="23"/>
      <c r="IZI1361" s="23"/>
      <c r="IZJ1361" s="23"/>
      <c r="IZK1361" s="23"/>
      <c r="IZL1361" s="23"/>
      <c r="IZM1361" s="23"/>
      <c r="IZN1361" s="23"/>
      <c r="IZO1361" s="23"/>
      <c r="IZP1361" s="23"/>
      <c r="IZQ1361" s="23"/>
      <c r="IZR1361" s="23"/>
      <c r="IZS1361" s="23"/>
      <c r="IZT1361" s="23"/>
      <c r="IZU1361" s="23"/>
      <c r="IZV1361" s="23"/>
      <c r="IZW1361" s="23"/>
      <c r="IZX1361" s="23"/>
      <c r="IZY1361" s="23"/>
      <c r="IZZ1361" s="23"/>
      <c r="JAA1361" s="23"/>
      <c r="JAB1361" s="23"/>
      <c r="JAC1361" s="23"/>
      <c r="JAD1361" s="23"/>
      <c r="JAE1361" s="23"/>
      <c r="JAF1361" s="23"/>
      <c r="JAG1361" s="23"/>
      <c r="JAH1361" s="23"/>
      <c r="JAI1361" s="23"/>
      <c r="JAJ1361" s="23"/>
      <c r="JAK1361" s="23"/>
      <c r="JAL1361" s="23"/>
      <c r="JAM1361" s="23"/>
      <c r="JAN1361" s="23"/>
      <c r="JAO1361" s="23"/>
      <c r="JAP1361" s="23"/>
      <c r="JAQ1361" s="23"/>
      <c r="JAR1361" s="23"/>
      <c r="JAS1361" s="23"/>
      <c r="JAT1361" s="23"/>
      <c r="JAU1361" s="23"/>
      <c r="JAV1361" s="23"/>
      <c r="JAW1361" s="23"/>
      <c r="JAX1361" s="23"/>
      <c r="JAY1361" s="23"/>
      <c r="JAZ1361" s="23"/>
      <c r="JBA1361" s="23"/>
      <c r="JBB1361" s="23"/>
      <c r="JBC1361" s="23"/>
      <c r="JBD1361" s="23"/>
      <c r="JBE1361" s="23"/>
      <c r="JBF1361" s="23"/>
      <c r="JBG1361" s="23"/>
      <c r="JBH1361" s="23"/>
      <c r="JBI1361" s="23"/>
      <c r="JBJ1361" s="23"/>
      <c r="JBK1361" s="23"/>
      <c r="JBL1361" s="23"/>
      <c r="JBM1361" s="23"/>
      <c r="JBN1361" s="23"/>
      <c r="JBO1361" s="23"/>
      <c r="JBP1361" s="23"/>
      <c r="JBQ1361" s="23"/>
      <c r="JBR1361" s="23"/>
      <c r="JBS1361" s="23"/>
      <c r="JBT1361" s="23"/>
      <c r="JBU1361" s="23"/>
      <c r="JBV1361" s="23"/>
      <c r="JBW1361" s="23"/>
      <c r="JBX1361" s="23"/>
      <c r="JBY1361" s="23"/>
      <c r="JBZ1361" s="23"/>
      <c r="JCA1361" s="23"/>
      <c r="JCB1361" s="23"/>
      <c r="JCC1361" s="23"/>
      <c r="JCD1361" s="23"/>
      <c r="JCE1361" s="23"/>
      <c r="JCF1361" s="23"/>
      <c r="JCG1361" s="23"/>
      <c r="JCH1361" s="23"/>
      <c r="JCI1361" s="23"/>
      <c r="JCJ1361" s="23"/>
      <c r="JCK1361" s="23"/>
      <c r="JCL1361" s="23"/>
      <c r="JCM1361" s="23"/>
      <c r="JCN1361" s="23"/>
      <c r="JCO1361" s="23"/>
      <c r="JCP1361" s="23"/>
      <c r="JCQ1361" s="23"/>
      <c r="JCR1361" s="23"/>
      <c r="JCS1361" s="23"/>
      <c r="JCT1361" s="23"/>
      <c r="JCU1361" s="23"/>
      <c r="JCV1361" s="23"/>
      <c r="JCW1361" s="23"/>
      <c r="JCX1361" s="23"/>
      <c r="JCY1361" s="23"/>
      <c r="JCZ1361" s="23"/>
      <c r="JDA1361" s="23"/>
      <c r="JDB1361" s="23"/>
      <c r="JDC1361" s="23"/>
      <c r="JDD1361" s="23"/>
      <c r="JDE1361" s="23"/>
      <c r="JDF1361" s="23"/>
      <c r="JDG1361" s="23"/>
      <c r="JDH1361" s="23"/>
      <c r="JDI1361" s="23"/>
      <c r="JDJ1361" s="23"/>
      <c r="JDK1361" s="23"/>
      <c r="JDL1361" s="23"/>
      <c r="JDM1361" s="23"/>
      <c r="JDN1361" s="23"/>
      <c r="JDO1361" s="23"/>
      <c r="JDP1361" s="23"/>
      <c r="JDQ1361" s="23"/>
      <c r="JDR1361" s="23"/>
      <c r="JDS1361" s="23"/>
      <c r="JDT1361" s="23"/>
      <c r="JDU1361" s="23"/>
      <c r="JDV1361" s="23"/>
      <c r="JDW1361" s="23"/>
      <c r="JDX1361" s="23"/>
      <c r="JDY1361" s="23"/>
      <c r="JDZ1361" s="23"/>
      <c r="JEA1361" s="23"/>
      <c r="JEB1361" s="23"/>
      <c r="JEC1361" s="23"/>
      <c r="JED1361" s="23"/>
      <c r="JEE1361" s="23"/>
      <c r="JEF1361" s="23"/>
      <c r="JEG1361" s="23"/>
      <c r="JEH1361" s="23"/>
      <c r="JEI1361" s="23"/>
      <c r="JEJ1361" s="23"/>
      <c r="JEK1361" s="23"/>
      <c r="JEL1361" s="23"/>
      <c r="JEM1361" s="23"/>
      <c r="JEN1361" s="23"/>
      <c r="JEO1361" s="23"/>
      <c r="JEP1361" s="23"/>
      <c r="JEQ1361" s="23"/>
      <c r="JER1361" s="23"/>
      <c r="JES1361" s="23"/>
      <c r="JET1361" s="23"/>
      <c r="JEU1361" s="23"/>
      <c r="JEV1361" s="23"/>
      <c r="JEW1361" s="23"/>
      <c r="JEX1361" s="23"/>
      <c r="JEY1361" s="23"/>
      <c r="JEZ1361" s="23"/>
      <c r="JFA1361" s="23"/>
      <c r="JFB1361" s="23"/>
      <c r="JFC1361" s="23"/>
      <c r="JFD1361" s="23"/>
      <c r="JFE1361" s="23"/>
      <c r="JFF1361" s="23"/>
      <c r="JFG1361" s="23"/>
      <c r="JFH1361" s="23"/>
      <c r="JFI1361" s="23"/>
      <c r="JFJ1361" s="23"/>
      <c r="JFK1361" s="23"/>
      <c r="JFL1361" s="23"/>
      <c r="JFM1361" s="23"/>
      <c r="JFN1361" s="23"/>
      <c r="JFO1361" s="23"/>
      <c r="JFP1361" s="23"/>
      <c r="JFQ1361" s="23"/>
      <c r="JFR1361" s="23"/>
      <c r="JFS1361" s="23"/>
      <c r="JFT1361" s="23"/>
      <c r="JFU1361" s="23"/>
      <c r="JFV1361" s="23"/>
      <c r="JFW1361" s="23"/>
      <c r="JFX1361" s="23"/>
      <c r="JFY1361" s="23"/>
      <c r="JFZ1361" s="23"/>
      <c r="JGA1361" s="23"/>
      <c r="JGB1361" s="23"/>
      <c r="JGC1361" s="23"/>
      <c r="JGD1361" s="23"/>
      <c r="JGE1361" s="23"/>
      <c r="JGF1361" s="23"/>
      <c r="JGG1361" s="23"/>
      <c r="JGH1361" s="23"/>
      <c r="JGI1361" s="23"/>
      <c r="JGJ1361" s="23"/>
      <c r="JGK1361" s="23"/>
      <c r="JGL1361" s="23"/>
      <c r="JGM1361" s="23"/>
      <c r="JGN1361" s="23"/>
      <c r="JGO1361" s="23"/>
      <c r="JGP1361" s="23"/>
      <c r="JGQ1361" s="23"/>
      <c r="JGR1361" s="23"/>
      <c r="JGS1361" s="23"/>
      <c r="JGT1361" s="23"/>
      <c r="JGU1361" s="23"/>
      <c r="JGV1361" s="23"/>
      <c r="JGW1361" s="23"/>
      <c r="JGX1361" s="23"/>
      <c r="JGY1361" s="23"/>
      <c r="JGZ1361" s="23"/>
      <c r="JHA1361" s="23"/>
      <c r="JHB1361" s="23"/>
      <c r="JHC1361" s="23"/>
      <c r="JHD1361" s="23"/>
      <c r="JHE1361" s="23"/>
      <c r="JHF1361" s="23"/>
      <c r="JHG1361" s="23"/>
      <c r="JHH1361" s="23"/>
      <c r="JHI1361" s="23"/>
      <c r="JHJ1361" s="23"/>
      <c r="JHK1361" s="23"/>
      <c r="JHL1361" s="23"/>
      <c r="JHM1361" s="23"/>
      <c r="JHN1361" s="23"/>
      <c r="JHO1361" s="23"/>
      <c r="JHP1361" s="23"/>
      <c r="JHQ1361" s="23"/>
      <c r="JHR1361" s="23"/>
      <c r="JHS1361" s="23"/>
      <c r="JHT1361" s="23"/>
      <c r="JHU1361" s="23"/>
      <c r="JHV1361" s="23"/>
      <c r="JHW1361" s="23"/>
      <c r="JHX1361" s="23"/>
      <c r="JHY1361" s="23"/>
      <c r="JHZ1361" s="23"/>
      <c r="JIA1361" s="23"/>
      <c r="JIB1361" s="23"/>
      <c r="JIC1361" s="23"/>
      <c r="JID1361" s="23"/>
      <c r="JIE1361" s="23"/>
      <c r="JIF1361" s="23"/>
      <c r="JIG1361" s="23"/>
      <c r="JIH1361" s="23"/>
      <c r="JII1361" s="23"/>
      <c r="JIJ1361" s="23"/>
      <c r="JIK1361" s="23"/>
      <c r="JIL1361" s="23"/>
      <c r="JIM1361" s="23"/>
      <c r="JIN1361" s="23"/>
      <c r="JIO1361" s="23"/>
      <c r="JIP1361" s="23"/>
      <c r="JIQ1361" s="23"/>
      <c r="JIR1361" s="23"/>
      <c r="JIS1361" s="23"/>
      <c r="JIT1361" s="23"/>
      <c r="JIU1361" s="23"/>
      <c r="JIV1361" s="23"/>
      <c r="JIW1361" s="23"/>
      <c r="JIX1361" s="23"/>
      <c r="JIY1361" s="23"/>
      <c r="JIZ1361" s="23"/>
      <c r="JJA1361" s="23"/>
      <c r="JJB1361" s="23"/>
      <c r="JJC1361" s="23"/>
      <c r="JJD1361" s="23"/>
      <c r="JJE1361" s="23"/>
      <c r="JJF1361" s="23"/>
      <c r="JJG1361" s="23"/>
      <c r="JJH1361" s="23"/>
      <c r="JJI1361" s="23"/>
      <c r="JJJ1361" s="23"/>
      <c r="JJK1361" s="23"/>
      <c r="JJL1361" s="23"/>
      <c r="JJM1361" s="23"/>
      <c r="JJN1361" s="23"/>
      <c r="JJO1361" s="23"/>
      <c r="JJP1361" s="23"/>
      <c r="JJQ1361" s="23"/>
      <c r="JJR1361" s="23"/>
      <c r="JJS1361" s="23"/>
      <c r="JJT1361" s="23"/>
      <c r="JJU1361" s="23"/>
      <c r="JJV1361" s="23"/>
      <c r="JJW1361" s="23"/>
      <c r="JJX1361" s="23"/>
      <c r="JJY1361" s="23"/>
      <c r="JJZ1361" s="23"/>
      <c r="JKA1361" s="23"/>
      <c r="JKB1361" s="23"/>
      <c r="JKC1361" s="23"/>
      <c r="JKD1361" s="23"/>
      <c r="JKE1361" s="23"/>
      <c r="JKF1361" s="23"/>
      <c r="JKG1361" s="23"/>
      <c r="JKH1361" s="23"/>
      <c r="JKI1361" s="23"/>
      <c r="JKJ1361" s="23"/>
      <c r="JKK1361" s="23"/>
      <c r="JKL1361" s="23"/>
      <c r="JKM1361" s="23"/>
      <c r="JKN1361" s="23"/>
      <c r="JKO1361" s="23"/>
      <c r="JKP1361" s="23"/>
      <c r="JKQ1361" s="23"/>
      <c r="JKR1361" s="23"/>
      <c r="JKS1361" s="23"/>
      <c r="JKT1361" s="23"/>
      <c r="JKU1361" s="23"/>
      <c r="JKV1361" s="23"/>
      <c r="JKW1361" s="23"/>
      <c r="JKX1361" s="23"/>
      <c r="JKY1361" s="23"/>
      <c r="JKZ1361" s="23"/>
      <c r="JLA1361" s="23"/>
      <c r="JLB1361" s="23"/>
      <c r="JLC1361" s="23"/>
      <c r="JLD1361" s="23"/>
      <c r="JLE1361" s="23"/>
      <c r="JLF1361" s="23"/>
      <c r="JLG1361" s="23"/>
      <c r="JLH1361" s="23"/>
      <c r="JLI1361" s="23"/>
      <c r="JLJ1361" s="23"/>
      <c r="JLK1361" s="23"/>
      <c r="JLL1361" s="23"/>
      <c r="JLM1361" s="23"/>
      <c r="JLN1361" s="23"/>
      <c r="JLO1361" s="23"/>
      <c r="JLP1361" s="23"/>
      <c r="JLQ1361" s="23"/>
      <c r="JLR1361" s="23"/>
      <c r="JLS1361" s="23"/>
      <c r="JLT1361" s="23"/>
      <c r="JLU1361" s="23"/>
      <c r="JLV1361" s="23"/>
      <c r="JLW1361" s="23"/>
      <c r="JLX1361" s="23"/>
      <c r="JLY1361" s="23"/>
      <c r="JLZ1361" s="23"/>
      <c r="JMA1361" s="23"/>
      <c r="JMB1361" s="23"/>
      <c r="JMC1361" s="23"/>
      <c r="JMD1361" s="23"/>
      <c r="JME1361" s="23"/>
      <c r="JMF1361" s="23"/>
      <c r="JMG1361" s="23"/>
      <c r="JMH1361" s="23"/>
      <c r="JMI1361" s="23"/>
      <c r="JMJ1361" s="23"/>
      <c r="JMK1361" s="23"/>
      <c r="JML1361" s="23"/>
      <c r="JMM1361" s="23"/>
      <c r="JMN1361" s="23"/>
      <c r="JMO1361" s="23"/>
      <c r="JMP1361" s="23"/>
      <c r="JMQ1361" s="23"/>
      <c r="JMR1361" s="23"/>
      <c r="JMS1361" s="23"/>
      <c r="JMT1361" s="23"/>
      <c r="JMU1361" s="23"/>
      <c r="JMV1361" s="23"/>
      <c r="JMW1361" s="23"/>
      <c r="JMX1361" s="23"/>
      <c r="JMY1361" s="23"/>
      <c r="JMZ1361" s="23"/>
      <c r="JNA1361" s="23"/>
      <c r="JNB1361" s="23"/>
      <c r="JNC1361" s="23"/>
      <c r="JND1361" s="23"/>
      <c r="JNE1361" s="23"/>
      <c r="JNF1361" s="23"/>
      <c r="JNG1361" s="23"/>
      <c r="JNH1361" s="23"/>
      <c r="JNI1361" s="23"/>
      <c r="JNJ1361" s="23"/>
      <c r="JNK1361" s="23"/>
      <c r="JNL1361" s="23"/>
      <c r="JNM1361" s="23"/>
      <c r="JNN1361" s="23"/>
      <c r="JNO1361" s="23"/>
      <c r="JNP1361" s="23"/>
      <c r="JNQ1361" s="23"/>
      <c r="JNR1361" s="23"/>
      <c r="JNS1361" s="23"/>
      <c r="JNT1361" s="23"/>
      <c r="JNU1361" s="23"/>
      <c r="JNV1361" s="23"/>
      <c r="JNW1361" s="23"/>
      <c r="JNX1361" s="23"/>
      <c r="JNY1361" s="23"/>
      <c r="JNZ1361" s="23"/>
      <c r="JOA1361" s="23"/>
      <c r="JOB1361" s="23"/>
      <c r="JOC1361" s="23"/>
      <c r="JOD1361" s="23"/>
      <c r="JOE1361" s="23"/>
      <c r="JOF1361" s="23"/>
      <c r="JOG1361" s="23"/>
      <c r="JOH1361" s="23"/>
      <c r="JOI1361" s="23"/>
      <c r="JOJ1361" s="23"/>
      <c r="JOK1361" s="23"/>
      <c r="JOL1361" s="23"/>
      <c r="JOM1361" s="23"/>
      <c r="JON1361" s="23"/>
      <c r="JOO1361" s="23"/>
      <c r="JOP1361" s="23"/>
      <c r="JOQ1361" s="23"/>
      <c r="JOR1361" s="23"/>
      <c r="JOS1361" s="23"/>
      <c r="JOT1361" s="23"/>
      <c r="JOU1361" s="23"/>
      <c r="JOV1361" s="23"/>
      <c r="JOW1361" s="23"/>
      <c r="JOX1361" s="23"/>
      <c r="JOY1361" s="23"/>
      <c r="JOZ1361" s="23"/>
      <c r="JPA1361" s="23"/>
      <c r="JPB1361" s="23"/>
      <c r="JPC1361" s="23"/>
      <c r="JPD1361" s="23"/>
      <c r="JPE1361" s="23"/>
      <c r="JPF1361" s="23"/>
      <c r="JPG1361" s="23"/>
      <c r="JPH1361" s="23"/>
      <c r="JPI1361" s="23"/>
      <c r="JPJ1361" s="23"/>
      <c r="JPK1361" s="23"/>
      <c r="JPL1361" s="23"/>
      <c r="JPM1361" s="23"/>
      <c r="JPN1361" s="23"/>
      <c r="JPO1361" s="23"/>
      <c r="JPP1361" s="23"/>
      <c r="JPQ1361" s="23"/>
      <c r="JPR1361" s="23"/>
      <c r="JPS1361" s="23"/>
      <c r="JPT1361" s="23"/>
      <c r="JPU1361" s="23"/>
      <c r="JPV1361" s="23"/>
      <c r="JPW1361" s="23"/>
      <c r="JPX1361" s="23"/>
      <c r="JPY1361" s="23"/>
      <c r="JPZ1361" s="23"/>
      <c r="JQA1361" s="23"/>
      <c r="JQB1361" s="23"/>
      <c r="JQC1361" s="23"/>
      <c r="JQD1361" s="23"/>
      <c r="JQE1361" s="23"/>
      <c r="JQF1361" s="23"/>
      <c r="JQG1361" s="23"/>
      <c r="JQH1361" s="23"/>
      <c r="JQI1361" s="23"/>
      <c r="JQJ1361" s="23"/>
      <c r="JQK1361" s="23"/>
      <c r="JQL1361" s="23"/>
      <c r="JQM1361" s="23"/>
      <c r="JQN1361" s="23"/>
      <c r="JQO1361" s="23"/>
      <c r="JQP1361" s="23"/>
      <c r="JQQ1361" s="23"/>
      <c r="JQR1361" s="23"/>
      <c r="JQS1361" s="23"/>
      <c r="JQT1361" s="23"/>
      <c r="JQU1361" s="23"/>
      <c r="JQV1361" s="23"/>
      <c r="JQW1361" s="23"/>
      <c r="JQX1361" s="23"/>
      <c r="JQY1361" s="23"/>
      <c r="JQZ1361" s="23"/>
      <c r="JRA1361" s="23"/>
      <c r="JRB1361" s="23"/>
      <c r="JRC1361" s="23"/>
      <c r="JRD1361" s="23"/>
      <c r="JRE1361" s="23"/>
      <c r="JRF1361" s="23"/>
      <c r="JRG1361" s="23"/>
      <c r="JRH1361" s="23"/>
      <c r="JRI1361" s="23"/>
      <c r="JRJ1361" s="23"/>
      <c r="JRK1361" s="23"/>
      <c r="JRL1361" s="23"/>
      <c r="JRM1361" s="23"/>
      <c r="JRN1361" s="23"/>
      <c r="JRO1361" s="23"/>
      <c r="JRP1361" s="23"/>
      <c r="JRQ1361" s="23"/>
      <c r="JRR1361" s="23"/>
      <c r="JRS1361" s="23"/>
      <c r="JRT1361" s="23"/>
      <c r="JRU1361" s="23"/>
      <c r="JRV1361" s="23"/>
      <c r="JRW1361" s="23"/>
      <c r="JRX1361" s="23"/>
      <c r="JRY1361" s="23"/>
      <c r="JRZ1361" s="23"/>
      <c r="JSA1361" s="23"/>
      <c r="JSB1361" s="23"/>
      <c r="JSC1361" s="23"/>
      <c r="JSD1361" s="23"/>
      <c r="JSE1361" s="23"/>
      <c r="JSF1361" s="23"/>
      <c r="JSG1361" s="23"/>
      <c r="JSH1361" s="23"/>
      <c r="JSI1361" s="23"/>
      <c r="JSJ1361" s="23"/>
      <c r="JSK1361" s="23"/>
      <c r="JSL1361" s="23"/>
      <c r="JSM1361" s="23"/>
      <c r="JSN1361" s="23"/>
      <c r="JSO1361" s="23"/>
      <c r="JSP1361" s="23"/>
      <c r="JSQ1361" s="23"/>
      <c r="JSR1361" s="23"/>
      <c r="JSS1361" s="23"/>
      <c r="JST1361" s="23"/>
      <c r="JSU1361" s="23"/>
      <c r="JSV1361" s="23"/>
      <c r="JSW1361" s="23"/>
      <c r="JSX1361" s="23"/>
      <c r="JSY1361" s="23"/>
      <c r="JSZ1361" s="23"/>
      <c r="JTA1361" s="23"/>
      <c r="JTB1361" s="23"/>
      <c r="JTC1361" s="23"/>
      <c r="JTD1361" s="23"/>
      <c r="JTE1361" s="23"/>
      <c r="JTF1361" s="23"/>
      <c r="JTG1361" s="23"/>
      <c r="JTH1361" s="23"/>
      <c r="JTI1361" s="23"/>
      <c r="JTJ1361" s="23"/>
      <c r="JTK1361" s="23"/>
      <c r="JTL1361" s="23"/>
      <c r="JTM1361" s="23"/>
      <c r="JTN1361" s="23"/>
      <c r="JTO1361" s="23"/>
      <c r="JTP1361" s="23"/>
      <c r="JTQ1361" s="23"/>
      <c r="JTR1361" s="23"/>
      <c r="JTS1361" s="23"/>
      <c r="JTT1361" s="23"/>
      <c r="JTU1361" s="23"/>
      <c r="JTV1361" s="23"/>
      <c r="JTW1361" s="23"/>
      <c r="JTX1361" s="23"/>
      <c r="JTY1361" s="23"/>
      <c r="JTZ1361" s="23"/>
      <c r="JUA1361" s="23"/>
      <c r="JUB1361" s="23"/>
      <c r="JUC1361" s="23"/>
      <c r="JUD1361" s="23"/>
      <c r="JUE1361" s="23"/>
      <c r="JUF1361" s="23"/>
      <c r="JUG1361" s="23"/>
      <c r="JUH1361" s="23"/>
      <c r="JUI1361" s="23"/>
      <c r="JUJ1361" s="23"/>
      <c r="JUK1361" s="23"/>
      <c r="JUL1361" s="23"/>
      <c r="JUM1361" s="23"/>
      <c r="JUN1361" s="23"/>
      <c r="JUO1361" s="23"/>
      <c r="JUP1361" s="23"/>
      <c r="JUQ1361" s="23"/>
      <c r="JUR1361" s="23"/>
      <c r="JUS1361" s="23"/>
      <c r="JUT1361" s="23"/>
      <c r="JUU1361" s="23"/>
      <c r="JUV1361" s="23"/>
      <c r="JUW1361" s="23"/>
      <c r="JUX1361" s="23"/>
      <c r="JUY1361" s="23"/>
      <c r="JUZ1361" s="23"/>
      <c r="JVA1361" s="23"/>
      <c r="JVB1361" s="23"/>
      <c r="JVC1361" s="23"/>
      <c r="JVD1361" s="23"/>
      <c r="JVE1361" s="23"/>
      <c r="JVF1361" s="23"/>
      <c r="JVG1361" s="23"/>
      <c r="JVH1361" s="23"/>
      <c r="JVI1361" s="23"/>
      <c r="JVJ1361" s="23"/>
      <c r="JVK1361" s="23"/>
      <c r="JVL1361" s="23"/>
      <c r="JVM1361" s="23"/>
      <c r="JVN1361" s="23"/>
      <c r="JVO1361" s="23"/>
      <c r="JVP1361" s="23"/>
      <c r="JVQ1361" s="23"/>
      <c r="JVR1361" s="23"/>
      <c r="JVS1361" s="23"/>
      <c r="JVT1361" s="23"/>
      <c r="JVU1361" s="23"/>
      <c r="JVV1361" s="23"/>
      <c r="JVW1361" s="23"/>
      <c r="JVX1361" s="23"/>
      <c r="JVY1361" s="23"/>
      <c r="JVZ1361" s="23"/>
      <c r="JWA1361" s="23"/>
      <c r="JWB1361" s="23"/>
      <c r="JWC1361" s="23"/>
      <c r="JWD1361" s="23"/>
      <c r="JWE1361" s="23"/>
      <c r="JWF1361" s="23"/>
      <c r="JWG1361" s="23"/>
      <c r="JWH1361" s="23"/>
      <c r="JWI1361" s="23"/>
      <c r="JWJ1361" s="23"/>
      <c r="JWK1361" s="23"/>
      <c r="JWL1361" s="23"/>
      <c r="JWM1361" s="23"/>
      <c r="JWN1361" s="23"/>
      <c r="JWO1361" s="23"/>
      <c r="JWP1361" s="23"/>
      <c r="JWQ1361" s="23"/>
      <c r="JWR1361" s="23"/>
      <c r="JWS1361" s="23"/>
      <c r="JWT1361" s="23"/>
      <c r="JWU1361" s="23"/>
      <c r="JWV1361" s="23"/>
      <c r="JWW1361" s="23"/>
      <c r="JWX1361" s="23"/>
      <c r="JWY1361" s="23"/>
      <c r="JWZ1361" s="23"/>
      <c r="JXA1361" s="23"/>
      <c r="JXB1361" s="23"/>
      <c r="JXC1361" s="23"/>
      <c r="JXD1361" s="23"/>
      <c r="JXE1361" s="23"/>
      <c r="JXF1361" s="23"/>
      <c r="JXG1361" s="23"/>
      <c r="JXH1361" s="23"/>
      <c r="JXI1361" s="23"/>
      <c r="JXJ1361" s="23"/>
      <c r="JXK1361" s="23"/>
      <c r="JXL1361" s="23"/>
      <c r="JXM1361" s="23"/>
      <c r="JXN1361" s="23"/>
      <c r="JXO1361" s="23"/>
      <c r="JXP1361" s="23"/>
      <c r="JXQ1361" s="23"/>
      <c r="JXR1361" s="23"/>
      <c r="JXS1361" s="23"/>
      <c r="JXT1361" s="23"/>
      <c r="JXU1361" s="23"/>
      <c r="JXV1361" s="23"/>
      <c r="JXW1361" s="23"/>
      <c r="JXX1361" s="23"/>
      <c r="JXY1361" s="23"/>
      <c r="JXZ1361" s="23"/>
      <c r="JYA1361" s="23"/>
      <c r="JYB1361" s="23"/>
      <c r="JYC1361" s="23"/>
      <c r="JYD1361" s="23"/>
      <c r="JYE1361" s="23"/>
      <c r="JYF1361" s="23"/>
      <c r="JYG1361" s="23"/>
      <c r="JYH1361" s="23"/>
      <c r="JYI1361" s="23"/>
      <c r="JYJ1361" s="23"/>
      <c r="JYK1361" s="23"/>
      <c r="JYL1361" s="23"/>
      <c r="JYM1361" s="23"/>
      <c r="JYN1361" s="23"/>
      <c r="JYO1361" s="23"/>
      <c r="JYP1361" s="23"/>
      <c r="JYQ1361" s="23"/>
      <c r="JYR1361" s="23"/>
      <c r="JYS1361" s="23"/>
      <c r="JYT1361" s="23"/>
      <c r="JYU1361" s="23"/>
      <c r="JYV1361" s="23"/>
      <c r="JYW1361" s="23"/>
      <c r="JYX1361" s="23"/>
      <c r="JYY1361" s="23"/>
      <c r="JYZ1361" s="23"/>
      <c r="JZA1361" s="23"/>
      <c r="JZB1361" s="23"/>
      <c r="JZC1361" s="23"/>
      <c r="JZD1361" s="23"/>
      <c r="JZE1361" s="23"/>
      <c r="JZF1361" s="23"/>
      <c r="JZG1361" s="23"/>
      <c r="JZH1361" s="23"/>
      <c r="JZI1361" s="23"/>
      <c r="JZJ1361" s="23"/>
      <c r="JZK1361" s="23"/>
      <c r="JZL1361" s="23"/>
      <c r="JZM1361" s="23"/>
      <c r="JZN1361" s="23"/>
      <c r="JZO1361" s="23"/>
      <c r="JZP1361" s="23"/>
      <c r="JZQ1361" s="23"/>
      <c r="JZR1361" s="23"/>
      <c r="JZS1361" s="23"/>
      <c r="JZT1361" s="23"/>
      <c r="JZU1361" s="23"/>
      <c r="JZV1361" s="23"/>
      <c r="JZW1361" s="23"/>
      <c r="JZX1361" s="23"/>
      <c r="JZY1361" s="23"/>
      <c r="JZZ1361" s="23"/>
      <c r="KAA1361" s="23"/>
      <c r="KAB1361" s="23"/>
      <c r="KAC1361" s="23"/>
      <c r="KAD1361" s="23"/>
      <c r="KAE1361" s="23"/>
      <c r="KAF1361" s="23"/>
      <c r="KAG1361" s="23"/>
      <c r="KAH1361" s="23"/>
      <c r="KAI1361" s="23"/>
      <c r="KAJ1361" s="23"/>
      <c r="KAK1361" s="23"/>
      <c r="KAL1361" s="23"/>
      <c r="KAM1361" s="23"/>
      <c r="KAN1361" s="23"/>
      <c r="KAO1361" s="23"/>
      <c r="KAP1361" s="23"/>
      <c r="KAQ1361" s="23"/>
      <c r="KAR1361" s="23"/>
      <c r="KAS1361" s="23"/>
      <c r="KAT1361" s="23"/>
      <c r="KAU1361" s="23"/>
      <c r="KAV1361" s="23"/>
      <c r="KAW1361" s="23"/>
      <c r="KAX1361" s="23"/>
      <c r="KAY1361" s="23"/>
      <c r="KAZ1361" s="23"/>
      <c r="KBA1361" s="23"/>
      <c r="KBB1361" s="23"/>
      <c r="KBC1361" s="23"/>
      <c r="KBD1361" s="23"/>
      <c r="KBE1361" s="23"/>
      <c r="KBF1361" s="23"/>
      <c r="KBG1361" s="23"/>
      <c r="KBH1361" s="23"/>
      <c r="KBI1361" s="23"/>
      <c r="KBJ1361" s="23"/>
      <c r="KBK1361" s="23"/>
      <c r="KBL1361" s="23"/>
      <c r="KBM1361" s="23"/>
      <c r="KBN1361" s="23"/>
      <c r="KBO1361" s="23"/>
      <c r="KBP1361" s="23"/>
      <c r="KBQ1361" s="23"/>
      <c r="KBR1361" s="23"/>
      <c r="KBS1361" s="23"/>
      <c r="KBT1361" s="23"/>
      <c r="KBU1361" s="23"/>
      <c r="KBV1361" s="23"/>
      <c r="KBW1361" s="23"/>
      <c r="KBX1361" s="23"/>
      <c r="KBY1361" s="23"/>
      <c r="KBZ1361" s="23"/>
      <c r="KCA1361" s="23"/>
      <c r="KCB1361" s="23"/>
      <c r="KCC1361" s="23"/>
      <c r="KCD1361" s="23"/>
      <c r="KCE1361" s="23"/>
      <c r="KCF1361" s="23"/>
      <c r="KCG1361" s="23"/>
      <c r="KCH1361" s="23"/>
      <c r="KCI1361" s="23"/>
      <c r="KCJ1361" s="23"/>
      <c r="KCK1361" s="23"/>
      <c r="KCL1361" s="23"/>
      <c r="KCM1361" s="23"/>
      <c r="KCN1361" s="23"/>
      <c r="KCO1361" s="23"/>
      <c r="KCP1361" s="23"/>
      <c r="KCQ1361" s="23"/>
      <c r="KCR1361" s="23"/>
      <c r="KCS1361" s="23"/>
      <c r="KCT1361" s="23"/>
      <c r="KCU1361" s="23"/>
      <c r="KCV1361" s="23"/>
      <c r="KCW1361" s="23"/>
      <c r="KCX1361" s="23"/>
      <c r="KCY1361" s="23"/>
      <c r="KCZ1361" s="23"/>
      <c r="KDA1361" s="23"/>
      <c r="KDB1361" s="23"/>
      <c r="KDC1361" s="23"/>
      <c r="KDD1361" s="23"/>
      <c r="KDE1361" s="23"/>
      <c r="KDF1361" s="23"/>
      <c r="KDG1361" s="23"/>
      <c r="KDH1361" s="23"/>
      <c r="KDI1361" s="23"/>
      <c r="KDJ1361" s="23"/>
      <c r="KDK1361" s="23"/>
      <c r="KDL1361" s="23"/>
      <c r="KDM1361" s="23"/>
      <c r="KDN1361" s="23"/>
      <c r="KDO1361" s="23"/>
      <c r="KDP1361" s="23"/>
      <c r="KDQ1361" s="23"/>
      <c r="KDR1361" s="23"/>
      <c r="KDS1361" s="23"/>
      <c r="KDT1361" s="23"/>
      <c r="KDU1361" s="23"/>
      <c r="KDV1361" s="23"/>
      <c r="KDW1361" s="23"/>
      <c r="KDX1361" s="23"/>
      <c r="KDY1361" s="23"/>
      <c r="KDZ1361" s="23"/>
      <c r="KEA1361" s="23"/>
      <c r="KEB1361" s="23"/>
      <c r="KEC1361" s="23"/>
      <c r="KED1361" s="23"/>
      <c r="KEE1361" s="23"/>
      <c r="KEF1361" s="23"/>
      <c r="KEG1361" s="23"/>
      <c r="KEH1361" s="23"/>
      <c r="KEI1361" s="23"/>
      <c r="KEJ1361" s="23"/>
      <c r="KEK1361" s="23"/>
      <c r="KEL1361" s="23"/>
      <c r="KEM1361" s="23"/>
      <c r="KEN1361" s="23"/>
      <c r="KEO1361" s="23"/>
      <c r="KEP1361" s="23"/>
      <c r="KEQ1361" s="23"/>
      <c r="KER1361" s="23"/>
      <c r="KES1361" s="23"/>
      <c r="KET1361" s="23"/>
      <c r="KEU1361" s="23"/>
      <c r="KEV1361" s="23"/>
      <c r="KEW1361" s="23"/>
      <c r="KEX1361" s="23"/>
      <c r="KEY1361" s="23"/>
      <c r="KEZ1361" s="23"/>
      <c r="KFA1361" s="23"/>
      <c r="KFB1361" s="23"/>
      <c r="KFC1361" s="23"/>
      <c r="KFD1361" s="23"/>
      <c r="KFE1361" s="23"/>
      <c r="KFF1361" s="23"/>
      <c r="KFG1361" s="23"/>
      <c r="KFH1361" s="23"/>
      <c r="KFI1361" s="23"/>
      <c r="KFJ1361" s="23"/>
      <c r="KFK1361" s="23"/>
      <c r="KFL1361" s="23"/>
      <c r="KFM1361" s="23"/>
      <c r="KFN1361" s="23"/>
      <c r="KFO1361" s="23"/>
      <c r="KFP1361" s="23"/>
      <c r="KFQ1361" s="23"/>
      <c r="KFR1361" s="23"/>
      <c r="KFS1361" s="23"/>
      <c r="KFT1361" s="23"/>
      <c r="KFU1361" s="23"/>
      <c r="KFV1361" s="23"/>
      <c r="KFW1361" s="23"/>
      <c r="KFX1361" s="23"/>
      <c r="KFY1361" s="23"/>
      <c r="KFZ1361" s="23"/>
      <c r="KGA1361" s="23"/>
      <c r="KGB1361" s="23"/>
      <c r="KGC1361" s="23"/>
      <c r="KGD1361" s="23"/>
      <c r="KGE1361" s="23"/>
      <c r="KGF1361" s="23"/>
      <c r="KGG1361" s="23"/>
      <c r="KGH1361" s="23"/>
      <c r="KGI1361" s="23"/>
      <c r="KGJ1361" s="23"/>
      <c r="KGK1361" s="23"/>
      <c r="KGL1361" s="23"/>
      <c r="KGM1361" s="23"/>
      <c r="KGN1361" s="23"/>
      <c r="KGO1361" s="23"/>
      <c r="KGP1361" s="23"/>
      <c r="KGQ1361" s="23"/>
      <c r="KGR1361" s="23"/>
      <c r="KGS1361" s="23"/>
      <c r="KGT1361" s="23"/>
      <c r="KGU1361" s="23"/>
      <c r="KGV1361" s="23"/>
      <c r="KGW1361" s="23"/>
      <c r="KGX1361" s="23"/>
      <c r="KGY1361" s="23"/>
      <c r="KGZ1361" s="23"/>
      <c r="KHA1361" s="23"/>
      <c r="KHB1361" s="23"/>
      <c r="KHC1361" s="23"/>
      <c r="KHD1361" s="23"/>
      <c r="KHE1361" s="23"/>
      <c r="KHF1361" s="23"/>
      <c r="KHG1361" s="23"/>
      <c r="KHH1361" s="23"/>
      <c r="KHI1361" s="23"/>
      <c r="KHJ1361" s="23"/>
      <c r="KHK1361" s="23"/>
      <c r="KHL1361" s="23"/>
      <c r="KHM1361" s="23"/>
      <c r="KHN1361" s="23"/>
      <c r="KHO1361" s="23"/>
      <c r="KHP1361" s="23"/>
      <c r="KHQ1361" s="23"/>
      <c r="KHR1361" s="23"/>
      <c r="KHS1361" s="23"/>
      <c r="KHT1361" s="23"/>
      <c r="KHU1361" s="23"/>
      <c r="KHV1361" s="23"/>
      <c r="KHW1361" s="23"/>
      <c r="KHX1361" s="23"/>
      <c r="KHY1361" s="23"/>
      <c r="KHZ1361" s="23"/>
      <c r="KIA1361" s="23"/>
      <c r="KIB1361" s="23"/>
      <c r="KIC1361" s="23"/>
      <c r="KID1361" s="23"/>
      <c r="KIE1361" s="23"/>
      <c r="KIF1361" s="23"/>
      <c r="KIG1361" s="23"/>
      <c r="KIH1361" s="23"/>
      <c r="KII1361" s="23"/>
      <c r="KIJ1361" s="23"/>
      <c r="KIK1361" s="23"/>
      <c r="KIL1361" s="23"/>
      <c r="KIM1361" s="23"/>
      <c r="KIN1361" s="23"/>
      <c r="KIO1361" s="23"/>
      <c r="KIP1361" s="23"/>
      <c r="KIQ1361" s="23"/>
      <c r="KIR1361" s="23"/>
      <c r="KIS1361" s="23"/>
      <c r="KIT1361" s="23"/>
      <c r="KIU1361" s="23"/>
      <c r="KIV1361" s="23"/>
      <c r="KIW1361" s="23"/>
      <c r="KIX1361" s="23"/>
      <c r="KIY1361" s="23"/>
      <c r="KIZ1361" s="23"/>
      <c r="KJA1361" s="23"/>
      <c r="KJB1361" s="23"/>
      <c r="KJC1361" s="23"/>
      <c r="KJD1361" s="23"/>
      <c r="KJE1361" s="23"/>
      <c r="KJF1361" s="23"/>
      <c r="KJG1361" s="23"/>
      <c r="KJH1361" s="23"/>
      <c r="KJI1361" s="23"/>
      <c r="KJJ1361" s="23"/>
      <c r="KJK1361" s="23"/>
      <c r="KJL1361" s="23"/>
      <c r="KJM1361" s="23"/>
      <c r="KJN1361" s="23"/>
      <c r="KJO1361" s="23"/>
      <c r="KJP1361" s="23"/>
      <c r="KJQ1361" s="23"/>
      <c r="KJR1361" s="23"/>
      <c r="KJS1361" s="23"/>
      <c r="KJT1361" s="23"/>
      <c r="KJU1361" s="23"/>
      <c r="KJV1361" s="23"/>
      <c r="KJW1361" s="23"/>
      <c r="KJX1361" s="23"/>
      <c r="KJY1361" s="23"/>
      <c r="KJZ1361" s="23"/>
      <c r="KKA1361" s="23"/>
      <c r="KKB1361" s="23"/>
      <c r="KKC1361" s="23"/>
      <c r="KKD1361" s="23"/>
      <c r="KKE1361" s="23"/>
      <c r="KKF1361" s="23"/>
      <c r="KKG1361" s="23"/>
      <c r="KKH1361" s="23"/>
      <c r="KKI1361" s="23"/>
      <c r="KKJ1361" s="23"/>
      <c r="KKK1361" s="23"/>
      <c r="KKL1361" s="23"/>
      <c r="KKM1361" s="23"/>
      <c r="KKN1361" s="23"/>
      <c r="KKO1361" s="23"/>
      <c r="KKP1361" s="23"/>
      <c r="KKQ1361" s="23"/>
      <c r="KKR1361" s="23"/>
      <c r="KKS1361" s="23"/>
      <c r="KKT1361" s="23"/>
      <c r="KKU1361" s="23"/>
      <c r="KKV1361" s="23"/>
      <c r="KKW1361" s="23"/>
      <c r="KKX1361" s="23"/>
      <c r="KKY1361" s="23"/>
      <c r="KKZ1361" s="23"/>
      <c r="KLA1361" s="23"/>
      <c r="KLB1361" s="23"/>
      <c r="KLC1361" s="23"/>
      <c r="KLD1361" s="23"/>
      <c r="KLE1361" s="23"/>
      <c r="KLF1361" s="23"/>
      <c r="KLG1361" s="23"/>
      <c r="KLH1361" s="23"/>
      <c r="KLI1361" s="23"/>
      <c r="KLJ1361" s="23"/>
      <c r="KLK1361" s="23"/>
      <c r="KLL1361" s="23"/>
      <c r="KLM1361" s="23"/>
      <c r="KLN1361" s="23"/>
      <c r="KLO1361" s="23"/>
      <c r="KLP1361" s="23"/>
      <c r="KLQ1361" s="23"/>
      <c r="KLR1361" s="23"/>
      <c r="KLS1361" s="23"/>
      <c r="KLT1361" s="23"/>
      <c r="KLU1361" s="23"/>
      <c r="KLV1361" s="23"/>
      <c r="KLW1361" s="23"/>
      <c r="KLX1361" s="23"/>
      <c r="KLY1361" s="23"/>
      <c r="KLZ1361" s="23"/>
      <c r="KMA1361" s="23"/>
      <c r="KMB1361" s="23"/>
      <c r="KMC1361" s="23"/>
      <c r="KMD1361" s="23"/>
      <c r="KME1361" s="23"/>
      <c r="KMF1361" s="23"/>
      <c r="KMG1361" s="23"/>
      <c r="KMH1361" s="23"/>
      <c r="KMI1361" s="23"/>
      <c r="KMJ1361" s="23"/>
      <c r="KMK1361" s="23"/>
      <c r="KML1361" s="23"/>
      <c r="KMM1361" s="23"/>
      <c r="KMN1361" s="23"/>
      <c r="KMO1361" s="23"/>
      <c r="KMP1361" s="23"/>
      <c r="KMQ1361" s="23"/>
      <c r="KMR1361" s="23"/>
      <c r="KMS1361" s="23"/>
      <c r="KMT1361" s="23"/>
      <c r="KMU1361" s="23"/>
      <c r="KMV1361" s="23"/>
      <c r="KMW1361" s="23"/>
      <c r="KMX1361" s="23"/>
      <c r="KMY1361" s="23"/>
      <c r="KMZ1361" s="23"/>
      <c r="KNA1361" s="23"/>
      <c r="KNB1361" s="23"/>
      <c r="KNC1361" s="23"/>
      <c r="KND1361" s="23"/>
      <c r="KNE1361" s="23"/>
      <c r="KNF1361" s="23"/>
      <c r="KNG1361" s="23"/>
      <c r="KNH1361" s="23"/>
      <c r="KNI1361" s="23"/>
      <c r="KNJ1361" s="23"/>
      <c r="KNK1361" s="23"/>
      <c r="KNL1361" s="23"/>
      <c r="KNM1361" s="23"/>
      <c r="KNN1361" s="23"/>
      <c r="KNO1361" s="23"/>
      <c r="KNP1361" s="23"/>
      <c r="KNQ1361" s="23"/>
      <c r="KNR1361" s="23"/>
      <c r="KNS1361" s="23"/>
      <c r="KNT1361" s="23"/>
      <c r="KNU1361" s="23"/>
      <c r="KNV1361" s="23"/>
      <c r="KNW1361" s="23"/>
      <c r="KNX1361" s="23"/>
      <c r="KNY1361" s="23"/>
      <c r="KNZ1361" s="23"/>
      <c r="KOA1361" s="23"/>
      <c r="KOB1361" s="23"/>
      <c r="KOC1361" s="23"/>
      <c r="KOD1361" s="23"/>
      <c r="KOE1361" s="23"/>
      <c r="KOF1361" s="23"/>
      <c r="KOG1361" s="23"/>
      <c r="KOH1361" s="23"/>
      <c r="KOI1361" s="23"/>
      <c r="KOJ1361" s="23"/>
      <c r="KOK1361" s="23"/>
      <c r="KOL1361" s="23"/>
      <c r="KOM1361" s="23"/>
      <c r="KON1361" s="23"/>
      <c r="KOO1361" s="23"/>
      <c r="KOP1361" s="23"/>
      <c r="KOQ1361" s="23"/>
      <c r="KOR1361" s="23"/>
      <c r="KOS1361" s="23"/>
      <c r="KOT1361" s="23"/>
      <c r="KOU1361" s="23"/>
      <c r="KOV1361" s="23"/>
      <c r="KOW1361" s="23"/>
      <c r="KOX1361" s="23"/>
      <c r="KOY1361" s="23"/>
      <c r="KOZ1361" s="23"/>
      <c r="KPA1361" s="23"/>
      <c r="KPB1361" s="23"/>
      <c r="KPC1361" s="23"/>
      <c r="KPD1361" s="23"/>
      <c r="KPE1361" s="23"/>
      <c r="KPF1361" s="23"/>
      <c r="KPG1361" s="23"/>
      <c r="KPH1361" s="23"/>
      <c r="KPI1361" s="23"/>
      <c r="KPJ1361" s="23"/>
      <c r="KPK1361" s="23"/>
      <c r="KPL1361" s="23"/>
      <c r="KPM1361" s="23"/>
      <c r="KPN1361" s="23"/>
      <c r="KPO1361" s="23"/>
      <c r="KPP1361" s="23"/>
      <c r="KPQ1361" s="23"/>
      <c r="KPR1361" s="23"/>
      <c r="KPS1361" s="23"/>
      <c r="KPT1361" s="23"/>
      <c r="KPU1361" s="23"/>
      <c r="KPV1361" s="23"/>
      <c r="KPW1361" s="23"/>
      <c r="KPX1361" s="23"/>
      <c r="KPY1361" s="23"/>
      <c r="KPZ1361" s="23"/>
      <c r="KQA1361" s="23"/>
      <c r="KQB1361" s="23"/>
      <c r="KQC1361" s="23"/>
      <c r="KQD1361" s="23"/>
      <c r="KQE1361" s="23"/>
      <c r="KQF1361" s="23"/>
      <c r="KQG1361" s="23"/>
      <c r="KQH1361" s="23"/>
      <c r="KQI1361" s="23"/>
      <c r="KQJ1361" s="23"/>
      <c r="KQK1361" s="23"/>
      <c r="KQL1361" s="23"/>
      <c r="KQM1361" s="23"/>
      <c r="KQN1361" s="23"/>
      <c r="KQO1361" s="23"/>
      <c r="KQP1361" s="23"/>
      <c r="KQQ1361" s="23"/>
      <c r="KQR1361" s="23"/>
      <c r="KQS1361" s="23"/>
      <c r="KQT1361" s="23"/>
      <c r="KQU1361" s="23"/>
      <c r="KQV1361" s="23"/>
      <c r="KQW1361" s="23"/>
      <c r="KQX1361" s="23"/>
      <c r="KQY1361" s="23"/>
      <c r="KQZ1361" s="23"/>
      <c r="KRA1361" s="23"/>
      <c r="KRB1361" s="23"/>
      <c r="KRC1361" s="23"/>
      <c r="KRD1361" s="23"/>
      <c r="KRE1361" s="23"/>
      <c r="KRF1361" s="23"/>
      <c r="KRG1361" s="23"/>
      <c r="KRH1361" s="23"/>
      <c r="KRI1361" s="23"/>
      <c r="KRJ1361" s="23"/>
      <c r="KRK1361" s="23"/>
      <c r="KRL1361" s="23"/>
      <c r="KRM1361" s="23"/>
      <c r="KRN1361" s="23"/>
      <c r="KRO1361" s="23"/>
      <c r="KRP1361" s="23"/>
      <c r="KRQ1361" s="23"/>
      <c r="KRR1361" s="23"/>
      <c r="KRS1361" s="23"/>
      <c r="KRT1361" s="23"/>
      <c r="KRU1361" s="23"/>
      <c r="KRV1361" s="23"/>
      <c r="KRW1361" s="23"/>
      <c r="KRX1361" s="23"/>
      <c r="KRY1361" s="23"/>
      <c r="KRZ1361" s="23"/>
      <c r="KSA1361" s="23"/>
      <c r="KSB1361" s="23"/>
      <c r="KSC1361" s="23"/>
      <c r="KSD1361" s="23"/>
      <c r="KSE1361" s="23"/>
      <c r="KSF1361" s="23"/>
      <c r="KSG1361" s="23"/>
      <c r="KSH1361" s="23"/>
      <c r="KSI1361" s="23"/>
      <c r="KSJ1361" s="23"/>
      <c r="KSK1361" s="23"/>
      <c r="KSL1361" s="23"/>
      <c r="KSM1361" s="23"/>
      <c r="KSN1361" s="23"/>
      <c r="KSO1361" s="23"/>
      <c r="KSP1361" s="23"/>
      <c r="KSQ1361" s="23"/>
      <c r="KSR1361" s="23"/>
      <c r="KSS1361" s="23"/>
      <c r="KST1361" s="23"/>
      <c r="KSU1361" s="23"/>
      <c r="KSV1361" s="23"/>
      <c r="KSW1361" s="23"/>
      <c r="KSX1361" s="23"/>
      <c r="KSY1361" s="23"/>
      <c r="KSZ1361" s="23"/>
      <c r="KTA1361" s="23"/>
      <c r="KTB1361" s="23"/>
      <c r="KTC1361" s="23"/>
      <c r="KTD1361" s="23"/>
      <c r="KTE1361" s="23"/>
      <c r="KTF1361" s="23"/>
      <c r="KTG1361" s="23"/>
      <c r="KTH1361" s="23"/>
      <c r="KTI1361" s="23"/>
      <c r="KTJ1361" s="23"/>
      <c r="KTK1361" s="23"/>
      <c r="KTL1361" s="23"/>
      <c r="KTM1361" s="23"/>
      <c r="KTN1361" s="23"/>
      <c r="KTO1361" s="23"/>
      <c r="KTP1361" s="23"/>
      <c r="KTQ1361" s="23"/>
      <c r="KTR1361" s="23"/>
      <c r="KTS1361" s="23"/>
      <c r="KTT1361" s="23"/>
      <c r="KTU1361" s="23"/>
      <c r="KTV1361" s="23"/>
      <c r="KTW1361" s="23"/>
      <c r="KTX1361" s="23"/>
      <c r="KTY1361" s="23"/>
      <c r="KTZ1361" s="23"/>
      <c r="KUA1361" s="23"/>
      <c r="KUB1361" s="23"/>
      <c r="KUC1361" s="23"/>
      <c r="KUD1361" s="23"/>
      <c r="KUE1361" s="23"/>
      <c r="KUF1361" s="23"/>
      <c r="KUG1361" s="23"/>
      <c r="KUH1361" s="23"/>
      <c r="KUI1361" s="23"/>
      <c r="KUJ1361" s="23"/>
      <c r="KUK1361" s="23"/>
      <c r="KUL1361" s="23"/>
      <c r="KUM1361" s="23"/>
      <c r="KUN1361" s="23"/>
      <c r="KUO1361" s="23"/>
      <c r="KUP1361" s="23"/>
      <c r="KUQ1361" s="23"/>
      <c r="KUR1361" s="23"/>
      <c r="KUS1361" s="23"/>
      <c r="KUT1361" s="23"/>
      <c r="KUU1361" s="23"/>
      <c r="KUV1361" s="23"/>
      <c r="KUW1361" s="23"/>
      <c r="KUX1361" s="23"/>
      <c r="KUY1361" s="23"/>
      <c r="KUZ1361" s="23"/>
      <c r="KVA1361" s="23"/>
      <c r="KVB1361" s="23"/>
      <c r="KVC1361" s="23"/>
      <c r="KVD1361" s="23"/>
      <c r="KVE1361" s="23"/>
      <c r="KVF1361" s="23"/>
      <c r="KVG1361" s="23"/>
      <c r="KVH1361" s="23"/>
      <c r="KVI1361" s="23"/>
      <c r="KVJ1361" s="23"/>
      <c r="KVK1361" s="23"/>
      <c r="KVL1361" s="23"/>
      <c r="KVM1361" s="23"/>
      <c r="KVN1361" s="23"/>
      <c r="KVO1361" s="23"/>
      <c r="KVP1361" s="23"/>
      <c r="KVQ1361" s="23"/>
      <c r="KVR1361" s="23"/>
      <c r="KVS1361" s="23"/>
      <c r="KVT1361" s="23"/>
      <c r="KVU1361" s="23"/>
      <c r="KVV1361" s="23"/>
      <c r="KVW1361" s="23"/>
      <c r="KVX1361" s="23"/>
      <c r="KVY1361" s="23"/>
      <c r="KVZ1361" s="23"/>
      <c r="KWA1361" s="23"/>
      <c r="KWB1361" s="23"/>
      <c r="KWC1361" s="23"/>
      <c r="KWD1361" s="23"/>
      <c r="KWE1361" s="23"/>
      <c r="KWF1361" s="23"/>
      <c r="KWG1361" s="23"/>
      <c r="KWH1361" s="23"/>
      <c r="KWI1361" s="23"/>
      <c r="KWJ1361" s="23"/>
      <c r="KWK1361" s="23"/>
      <c r="KWL1361" s="23"/>
      <c r="KWM1361" s="23"/>
      <c r="KWN1361" s="23"/>
      <c r="KWO1361" s="23"/>
      <c r="KWP1361" s="23"/>
      <c r="KWQ1361" s="23"/>
      <c r="KWR1361" s="23"/>
      <c r="KWS1361" s="23"/>
      <c r="KWT1361" s="23"/>
      <c r="KWU1361" s="23"/>
      <c r="KWV1361" s="23"/>
      <c r="KWW1361" s="23"/>
      <c r="KWX1361" s="23"/>
      <c r="KWY1361" s="23"/>
      <c r="KWZ1361" s="23"/>
      <c r="KXA1361" s="23"/>
      <c r="KXB1361" s="23"/>
      <c r="KXC1361" s="23"/>
      <c r="KXD1361" s="23"/>
      <c r="KXE1361" s="23"/>
      <c r="KXF1361" s="23"/>
      <c r="KXG1361" s="23"/>
      <c r="KXH1361" s="23"/>
      <c r="KXI1361" s="23"/>
      <c r="KXJ1361" s="23"/>
      <c r="KXK1361" s="23"/>
      <c r="KXL1361" s="23"/>
      <c r="KXM1361" s="23"/>
      <c r="KXN1361" s="23"/>
      <c r="KXO1361" s="23"/>
      <c r="KXP1361" s="23"/>
      <c r="KXQ1361" s="23"/>
      <c r="KXR1361" s="23"/>
      <c r="KXS1361" s="23"/>
      <c r="KXT1361" s="23"/>
      <c r="KXU1361" s="23"/>
      <c r="KXV1361" s="23"/>
      <c r="KXW1361" s="23"/>
      <c r="KXX1361" s="23"/>
      <c r="KXY1361" s="23"/>
      <c r="KXZ1361" s="23"/>
      <c r="KYA1361" s="23"/>
      <c r="KYB1361" s="23"/>
      <c r="KYC1361" s="23"/>
      <c r="KYD1361" s="23"/>
      <c r="KYE1361" s="23"/>
      <c r="KYF1361" s="23"/>
      <c r="KYG1361" s="23"/>
      <c r="KYH1361" s="23"/>
      <c r="KYI1361" s="23"/>
      <c r="KYJ1361" s="23"/>
      <c r="KYK1361" s="23"/>
      <c r="KYL1361" s="23"/>
      <c r="KYM1361" s="23"/>
      <c r="KYN1361" s="23"/>
      <c r="KYO1361" s="23"/>
      <c r="KYP1361" s="23"/>
      <c r="KYQ1361" s="23"/>
      <c r="KYR1361" s="23"/>
      <c r="KYS1361" s="23"/>
      <c r="KYT1361" s="23"/>
      <c r="KYU1361" s="23"/>
      <c r="KYV1361" s="23"/>
      <c r="KYW1361" s="23"/>
      <c r="KYX1361" s="23"/>
      <c r="KYY1361" s="23"/>
      <c r="KYZ1361" s="23"/>
      <c r="KZA1361" s="23"/>
      <c r="KZB1361" s="23"/>
      <c r="KZC1361" s="23"/>
      <c r="KZD1361" s="23"/>
      <c r="KZE1361" s="23"/>
      <c r="KZF1361" s="23"/>
      <c r="KZG1361" s="23"/>
      <c r="KZH1361" s="23"/>
      <c r="KZI1361" s="23"/>
      <c r="KZJ1361" s="23"/>
      <c r="KZK1361" s="23"/>
      <c r="KZL1361" s="23"/>
      <c r="KZM1361" s="23"/>
      <c r="KZN1361" s="23"/>
      <c r="KZO1361" s="23"/>
      <c r="KZP1361" s="23"/>
      <c r="KZQ1361" s="23"/>
      <c r="KZR1361" s="23"/>
      <c r="KZS1361" s="23"/>
      <c r="KZT1361" s="23"/>
      <c r="KZU1361" s="23"/>
      <c r="KZV1361" s="23"/>
      <c r="KZW1361" s="23"/>
      <c r="KZX1361" s="23"/>
      <c r="KZY1361" s="23"/>
      <c r="KZZ1361" s="23"/>
      <c r="LAA1361" s="23"/>
      <c r="LAB1361" s="23"/>
      <c r="LAC1361" s="23"/>
      <c r="LAD1361" s="23"/>
      <c r="LAE1361" s="23"/>
      <c r="LAF1361" s="23"/>
      <c r="LAG1361" s="23"/>
      <c r="LAH1361" s="23"/>
      <c r="LAI1361" s="23"/>
      <c r="LAJ1361" s="23"/>
      <c r="LAK1361" s="23"/>
      <c r="LAL1361" s="23"/>
      <c r="LAM1361" s="23"/>
      <c r="LAN1361" s="23"/>
      <c r="LAO1361" s="23"/>
      <c r="LAP1361" s="23"/>
      <c r="LAQ1361" s="23"/>
      <c r="LAR1361" s="23"/>
      <c r="LAS1361" s="23"/>
      <c r="LAT1361" s="23"/>
      <c r="LAU1361" s="23"/>
      <c r="LAV1361" s="23"/>
      <c r="LAW1361" s="23"/>
      <c r="LAX1361" s="23"/>
      <c r="LAY1361" s="23"/>
      <c r="LAZ1361" s="23"/>
      <c r="LBA1361" s="23"/>
      <c r="LBB1361" s="23"/>
      <c r="LBC1361" s="23"/>
      <c r="LBD1361" s="23"/>
      <c r="LBE1361" s="23"/>
      <c r="LBF1361" s="23"/>
      <c r="LBG1361" s="23"/>
      <c r="LBH1361" s="23"/>
      <c r="LBI1361" s="23"/>
      <c r="LBJ1361" s="23"/>
      <c r="LBK1361" s="23"/>
      <c r="LBL1361" s="23"/>
      <c r="LBM1361" s="23"/>
      <c r="LBN1361" s="23"/>
      <c r="LBO1361" s="23"/>
      <c r="LBP1361" s="23"/>
      <c r="LBQ1361" s="23"/>
      <c r="LBR1361" s="23"/>
      <c r="LBS1361" s="23"/>
      <c r="LBT1361" s="23"/>
      <c r="LBU1361" s="23"/>
      <c r="LBV1361" s="23"/>
      <c r="LBW1361" s="23"/>
      <c r="LBX1361" s="23"/>
      <c r="LBY1361" s="23"/>
      <c r="LBZ1361" s="23"/>
      <c r="LCA1361" s="23"/>
      <c r="LCB1361" s="23"/>
      <c r="LCC1361" s="23"/>
      <c r="LCD1361" s="23"/>
      <c r="LCE1361" s="23"/>
      <c r="LCF1361" s="23"/>
      <c r="LCG1361" s="23"/>
      <c r="LCH1361" s="23"/>
      <c r="LCI1361" s="23"/>
      <c r="LCJ1361" s="23"/>
      <c r="LCK1361" s="23"/>
      <c r="LCL1361" s="23"/>
      <c r="LCM1361" s="23"/>
      <c r="LCN1361" s="23"/>
      <c r="LCO1361" s="23"/>
      <c r="LCP1361" s="23"/>
      <c r="LCQ1361" s="23"/>
      <c r="LCR1361" s="23"/>
      <c r="LCS1361" s="23"/>
      <c r="LCT1361" s="23"/>
      <c r="LCU1361" s="23"/>
      <c r="LCV1361" s="23"/>
      <c r="LCW1361" s="23"/>
      <c r="LCX1361" s="23"/>
      <c r="LCY1361" s="23"/>
      <c r="LCZ1361" s="23"/>
      <c r="LDA1361" s="23"/>
      <c r="LDB1361" s="23"/>
      <c r="LDC1361" s="23"/>
      <c r="LDD1361" s="23"/>
      <c r="LDE1361" s="23"/>
      <c r="LDF1361" s="23"/>
      <c r="LDG1361" s="23"/>
      <c r="LDH1361" s="23"/>
      <c r="LDI1361" s="23"/>
      <c r="LDJ1361" s="23"/>
      <c r="LDK1361" s="23"/>
      <c r="LDL1361" s="23"/>
      <c r="LDM1361" s="23"/>
      <c r="LDN1361" s="23"/>
      <c r="LDO1361" s="23"/>
      <c r="LDP1361" s="23"/>
      <c r="LDQ1361" s="23"/>
      <c r="LDR1361" s="23"/>
      <c r="LDS1361" s="23"/>
      <c r="LDT1361" s="23"/>
      <c r="LDU1361" s="23"/>
      <c r="LDV1361" s="23"/>
      <c r="LDW1361" s="23"/>
      <c r="LDX1361" s="23"/>
      <c r="LDY1361" s="23"/>
      <c r="LDZ1361" s="23"/>
      <c r="LEA1361" s="23"/>
      <c r="LEB1361" s="23"/>
      <c r="LEC1361" s="23"/>
      <c r="LED1361" s="23"/>
      <c r="LEE1361" s="23"/>
      <c r="LEF1361" s="23"/>
      <c r="LEG1361" s="23"/>
      <c r="LEH1361" s="23"/>
      <c r="LEI1361" s="23"/>
      <c r="LEJ1361" s="23"/>
      <c r="LEK1361" s="23"/>
      <c r="LEL1361" s="23"/>
      <c r="LEM1361" s="23"/>
      <c r="LEN1361" s="23"/>
      <c r="LEO1361" s="23"/>
      <c r="LEP1361" s="23"/>
      <c r="LEQ1361" s="23"/>
      <c r="LER1361" s="23"/>
      <c r="LES1361" s="23"/>
      <c r="LET1361" s="23"/>
      <c r="LEU1361" s="23"/>
      <c r="LEV1361" s="23"/>
      <c r="LEW1361" s="23"/>
      <c r="LEX1361" s="23"/>
      <c r="LEY1361" s="23"/>
      <c r="LEZ1361" s="23"/>
      <c r="LFA1361" s="23"/>
      <c r="LFB1361" s="23"/>
      <c r="LFC1361" s="23"/>
      <c r="LFD1361" s="23"/>
      <c r="LFE1361" s="23"/>
      <c r="LFF1361" s="23"/>
      <c r="LFG1361" s="23"/>
      <c r="LFH1361" s="23"/>
      <c r="LFI1361" s="23"/>
      <c r="LFJ1361" s="23"/>
      <c r="LFK1361" s="23"/>
      <c r="LFL1361" s="23"/>
      <c r="LFM1361" s="23"/>
      <c r="LFN1361" s="23"/>
      <c r="LFO1361" s="23"/>
      <c r="LFP1361" s="23"/>
      <c r="LFQ1361" s="23"/>
      <c r="LFR1361" s="23"/>
      <c r="LFS1361" s="23"/>
      <c r="LFT1361" s="23"/>
      <c r="LFU1361" s="23"/>
      <c r="LFV1361" s="23"/>
      <c r="LFW1361" s="23"/>
      <c r="LFX1361" s="23"/>
      <c r="LFY1361" s="23"/>
      <c r="LFZ1361" s="23"/>
      <c r="LGA1361" s="23"/>
      <c r="LGB1361" s="23"/>
      <c r="LGC1361" s="23"/>
      <c r="LGD1361" s="23"/>
      <c r="LGE1361" s="23"/>
      <c r="LGF1361" s="23"/>
      <c r="LGG1361" s="23"/>
      <c r="LGH1361" s="23"/>
      <c r="LGI1361" s="23"/>
      <c r="LGJ1361" s="23"/>
      <c r="LGK1361" s="23"/>
      <c r="LGL1361" s="23"/>
      <c r="LGM1361" s="23"/>
      <c r="LGN1361" s="23"/>
      <c r="LGO1361" s="23"/>
      <c r="LGP1361" s="23"/>
      <c r="LGQ1361" s="23"/>
      <c r="LGR1361" s="23"/>
      <c r="LGS1361" s="23"/>
      <c r="LGT1361" s="23"/>
      <c r="LGU1361" s="23"/>
      <c r="LGV1361" s="23"/>
      <c r="LGW1361" s="23"/>
      <c r="LGX1361" s="23"/>
      <c r="LGY1361" s="23"/>
      <c r="LGZ1361" s="23"/>
      <c r="LHA1361" s="23"/>
      <c r="LHB1361" s="23"/>
      <c r="LHC1361" s="23"/>
      <c r="LHD1361" s="23"/>
      <c r="LHE1361" s="23"/>
      <c r="LHF1361" s="23"/>
      <c r="LHG1361" s="23"/>
      <c r="LHH1361" s="23"/>
      <c r="LHI1361" s="23"/>
      <c r="LHJ1361" s="23"/>
      <c r="LHK1361" s="23"/>
      <c r="LHL1361" s="23"/>
      <c r="LHM1361" s="23"/>
      <c r="LHN1361" s="23"/>
      <c r="LHO1361" s="23"/>
      <c r="LHP1361" s="23"/>
      <c r="LHQ1361" s="23"/>
      <c r="LHR1361" s="23"/>
      <c r="LHS1361" s="23"/>
      <c r="LHT1361" s="23"/>
      <c r="LHU1361" s="23"/>
      <c r="LHV1361" s="23"/>
      <c r="LHW1361" s="23"/>
      <c r="LHX1361" s="23"/>
      <c r="LHY1361" s="23"/>
      <c r="LHZ1361" s="23"/>
      <c r="LIA1361" s="23"/>
      <c r="LIB1361" s="23"/>
      <c r="LIC1361" s="23"/>
      <c r="LID1361" s="23"/>
      <c r="LIE1361" s="23"/>
      <c r="LIF1361" s="23"/>
      <c r="LIG1361" s="23"/>
      <c r="LIH1361" s="23"/>
      <c r="LII1361" s="23"/>
      <c r="LIJ1361" s="23"/>
      <c r="LIK1361" s="23"/>
      <c r="LIL1361" s="23"/>
      <c r="LIM1361" s="23"/>
      <c r="LIN1361" s="23"/>
      <c r="LIO1361" s="23"/>
      <c r="LIP1361" s="23"/>
      <c r="LIQ1361" s="23"/>
      <c r="LIR1361" s="23"/>
      <c r="LIS1361" s="23"/>
      <c r="LIT1361" s="23"/>
      <c r="LIU1361" s="23"/>
      <c r="LIV1361" s="23"/>
      <c r="LIW1361" s="23"/>
      <c r="LIX1361" s="23"/>
      <c r="LIY1361" s="23"/>
      <c r="LIZ1361" s="23"/>
      <c r="LJA1361" s="23"/>
      <c r="LJB1361" s="23"/>
      <c r="LJC1361" s="23"/>
      <c r="LJD1361" s="23"/>
      <c r="LJE1361" s="23"/>
      <c r="LJF1361" s="23"/>
      <c r="LJG1361" s="23"/>
      <c r="LJH1361" s="23"/>
      <c r="LJI1361" s="23"/>
      <c r="LJJ1361" s="23"/>
      <c r="LJK1361" s="23"/>
      <c r="LJL1361" s="23"/>
      <c r="LJM1361" s="23"/>
      <c r="LJN1361" s="23"/>
      <c r="LJO1361" s="23"/>
      <c r="LJP1361" s="23"/>
      <c r="LJQ1361" s="23"/>
      <c r="LJR1361" s="23"/>
      <c r="LJS1361" s="23"/>
      <c r="LJT1361" s="23"/>
      <c r="LJU1361" s="23"/>
      <c r="LJV1361" s="23"/>
      <c r="LJW1361" s="23"/>
      <c r="LJX1361" s="23"/>
      <c r="LJY1361" s="23"/>
      <c r="LJZ1361" s="23"/>
      <c r="LKA1361" s="23"/>
      <c r="LKB1361" s="23"/>
      <c r="LKC1361" s="23"/>
      <c r="LKD1361" s="23"/>
      <c r="LKE1361" s="23"/>
      <c r="LKF1361" s="23"/>
      <c r="LKG1361" s="23"/>
      <c r="LKH1361" s="23"/>
      <c r="LKI1361" s="23"/>
      <c r="LKJ1361" s="23"/>
      <c r="LKK1361" s="23"/>
      <c r="LKL1361" s="23"/>
      <c r="LKM1361" s="23"/>
      <c r="LKN1361" s="23"/>
      <c r="LKO1361" s="23"/>
      <c r="LKP1361" s="23"/>
      <c r="LKQ1361" s="23"/>
      <c r="LKR1361" s="23"/>
      <c r="LKS1361" s="23"/>
      <c r="LKT1361" s="23"/>
      <c r="LKU1361" s="23"/>
      <c r="LKV1361" s="23"/>
      <c r="LKW1361" s="23"/>
      <c r="LKX1361" s="23"/>
      <c r="LKY1361" s="23"/>
      <c r="LKZ1361" s="23"/>
      <c r="LLA1361" s="23"/>
      <c r="LLB1361" s="23"/>
      <c r="LLC1361" s="23"/>
      <c r="LLD1361" s="23"/>
      <c r="LLE1361" s="23"/>
      <c r="LLF1361" s="23"/>
      <c r="LLG1361" s="23"/>
      <c r="LLH1361" s="23"/>
      <c r="LLI1361" s="23"/>
      <c r="LLJ1361" s="23"/>
      <c r="LLK1361" s="23"/>
      <c r="LLL1361" s="23"/>
      <c r="LLM1361" s="23"/>
      <c r="LLN1361" s="23"/>
      <c r="LLO1361" s="23"/>
      <c r="LLP1361" s="23"/>
      <c r="LLQ1361" s="23"/>
      <c r="LLR1361" s="23"/>
      <c r="LLS1361" s="23"/>
      <c r="LLT1361" s="23"/>
      <c r="LLU1361" s="23"/>
      <c r="LLV1361" s="23"/>
      <c r="LLW1361" s="23"/>
      <c r="LLX1361" s="23"/>
      <c r="LLY1361" s="23"/>
      <c r="LLZ1361" s="23"/>
      <c r="LMA1361" s="23"/>
      <c r="LMB1361" s="23"/>
      <c r="LMC1361" s="23"/>
      <c r="LMD1361" s="23"/>
      <c r="LME1361" s="23"/>
      <c r="LMF1361" s="23"/>
      <c r="LMG1361" s="23"/>
      <c r="LMH1361" s="23"/>
      <c r="LMI1361" s="23"/>
      <c r="LMJ1361" s="23"/>
      <c r="LMK1361" s="23"/>
      <c r="LML1361" s="23"/>
      <c r="LMM1361" s="23"/>
      <c r="LMN1361" s="23"/>
      <c r="LMO1361" s="23"/>
      <c r="LMP1361" s="23"/>
      <c r="LMQ1361" s="23"/>
      <c r="LMR1361" s="23"/>
      <c r="LMS1361" s="23"/>
      <c r="LMT1361" s="23"/>
      <c r="LMU1361" s="23"/>
      <c r="LMV1361" s="23"/>
      <c r="LMW1361" s="23"/>
      <c r="LMX1361" s="23"/>
      <c r="LMY1361" s="23"/>
      <c r="LMZ1361" s="23"/>
      <c r="LNA1361" s="23"/>
      <c r="LNB1361" s="23"/>
      <c r="LNC1361" s="23"/>
      <c r="LND1361" s="23"/>
      <c r="LNE1361" s="23"/>
      <c r="LNF1361" s="23"/>
      <c r="LNG1361" s="23"/>
      <c r="LNH1361" s="23"/>
      <c r="LNI1361" s="23"/>
      <c r="LNJ1361" s="23"/>
      <c r="LNK1361" s="23"/>
      <c r="LNL1361" s="23"/>
      <c r="LNM1361" s="23"/>
      <c r="LNN1361" s="23"/>
      <c r="LNO1361" s="23"/>
      <c r="LNP1361" s="23"/>
      <c r="LNQ1361" s="23"/>
      <c r="LNR1361" s="23"/>
      <c r="LNS1361" s="23"/>
      <c r="LNT1361" s="23"/>
      <c r="LNU1361" s="23"/>
      <c r="LNV1361" s="23"/>
      <c r="LNW1361" s="23"/>
      <c r="LNX1361" s="23"/>
      <c r="LNY1361" s="23"/>
      <c r="LNZ1361" s="23"/>
      <c r="LOA1361" s="23"/>
      <c r="LOB1361" s="23"/>
      <c r="LOC1361" s="23"/>
      <c r="LOD1361" s="23"/>
      <c r="LOE1361" s="23"/>
      <c r="LOF1361" s="23"/>
      <c r="LOG1361" s="23"/>
      <c r="LOH1361" s="23"/>
      <c r="LOI1361" s="23"/>
      <c r="LOJ1361" s="23"/>
      <c r="LOK1361" s="23"/>
      <c r="LOL1361" s="23"/>
      <c r="LOM1361" s="23"/>
      <c r="LON1361" s="23"/>
      <c r="LOO1361" s="23"/>
      <c r="LOP1361" s="23"/>
      <c r="LOQ1361" s="23"/>
      <c r="LOR1361" s="23"/>
      <c r="LOS1361" s="23"/>
      <c r="LOT1361" s="23"/>
      <c r="LOU1361" s="23"/>
      <c r="LOV1361" s="23"/>
      <c r="LOW1361" s="23"/>
      <c r="LOX1361" s="23"/>
      <c r="LOY1361" s="23"/>
      <c r="LOZ1361" s="23"/>
      <c r="LPA1361" s="23"/>
      <c r="LPB1361" s="23"/>
      <c r="LPC1361" s="23"/>
      <c r="LPD1361" s="23"/>
      <c r="LPE1361" s="23"/>
      <c r="LPF1361" s="23"/>
      <c r="LPG1361" s="23"/>
      <c r="LPH1361" s="23"/>
      <c r="LPI1361" s="23"/>
      <c r="LPJ1361" s="23"/>
      <c r="LPK1361" s="23"/>
      <c r="LPL1361" s="23"/>
      <c r="LPM1361" s="23"/>
      <c r="LPN1361" s="23"/>
      <c r="LPO1361" s="23"/>
      <c r="LPP1361" s="23"/>
      <c r="LPQ1361" s="23"/>
      <c r="LPR1361" s="23"/>
      <c r="LPS1361" s="23"/>
      <c r="LPT1361" s="23"/>
      <c r="LPU1361" s="23"/>
      <c r="LPV1361" s="23"/>
      <c r="LPW1361" s="23"/>
      <c r="LPX1361" s="23"/>
      <c r="LPY1361" s="23"/>
      <c r="LPZ1361" s="23"/>
      <c r="LQA1361" s="23"/>
      <c r="LQB1361" s="23"/>
      <c r="LQC1361" s="23"/>
      <c r="LQD1361" s="23"/>
      <c r="LQE1361" s="23"/>
      <c r="LQF1361" s="23"/>
      <c r="LQG1361" s="23"/>
      <c r="LQH1361" s="23"/>
      <c r="LQI1361" s="23"/>
      <c r="LQJ1361" s="23"/>
      <c r="LQK1361" s="23"/>
      <c r="LQL1361" s="23"/>
      <c r="LQM1361" s="23"/>
      <c r="LQN1361" s="23"/>
      <c r="LQO1361" s="23"/>
      <c r="LQP1361" s="23"/>
      <c r="LQQ1361" s="23"/>
      <c r="LQR1361" s="23"/>
      <c r="LQS1361" s="23"/>
      <c r="LQT1361" s="23"/>
      <c r="LQU1361" s="23"/>
      <c r="LQV1361" s="23"/>
      <c r="LQW1361" s="23"/>
      <c r="LQX1361" s="23"/>
      <c r="LQY1361" s="23"/>
      <c r="LQZ1361" s="23"/>
      <c r="LRA1361" s="23"/>
      <c r="LRB1361" s="23"/>
      <c r="LRC1361" s="23"/>
      <c r="LRD1361" s="23"/>
      <c r="LRE1361" s="23"/>
      <c r="LRF1361" s="23"/>
      <c r="LRG1361" s="23"/>
      <c r="LRH1361" s="23"/>
      <c r="LRI1361" s="23"/>
      <c r="LRJ1361" s="23"/>
      <c r="LRK1361" s="23"/>
      <c r="LRL1361" s="23"/>
      <c r="LRM1361" s="23"/>
      <c r="LRN1361" s="23"/>
      <c r="LRO1361" s="23"/>
      <c r="LRP1361" s="23"/>
      <c r="LRQ1361" s="23"/>
      <c r="LRR1361" s="23"/>
      <c r="LRS1361" s="23"/>
      <c r="LRT1361" s="23"/>
      <c r="LRU1361" s="23"/>
      <c r="LRV1361" s="23"/>
      <c r="LRW1361" s="23"/>
      <c r="LRX1361" s="23"/>
      <c r="LRY1361" s="23"/>
      <c r="LRZ1361" s="23"/>
      <c r="LSA1361" s="23"/>
      <c r="LSB1361" s="23"/>
      <c r="LSC1361" s="23"/>
      <c r="LSD1361" s="23"/>
      <c r="LSE1361" s="23"/>
      <c r="LSF1361" s="23"/>
      <c r="LSG1361" s="23"/>
      <c r="LSH1361" s="23"/>
      <c r="LSI1361" s="23"/>
      <c r="LSJ1361" s="23"/>
      <c r="LSK1361" s="23"/>
      <c r="LSL1361" s="23"/>
      <c r="LSM1361" s="23"/>
      <c r="LSN1361" s="23"/>
      <c r="LSO1361" s="23"/>
      <c r="LSP1361" s="23"/>
      <c r="LSQ1361" s="23"/>
      <c r="LSR1361" s="23"/>
      <c r="LSS1361" s="23"/>
      <c r="LST1361" s="23"/>
      <c r="LSU1361" s="23"/>
      <c r="LSV1361" s="23"/>
      <c r="LSW1361" s="23"/>
      <c r="LSX1361" s="23"/>
      <c r="LSY1361" s="23"/>
      <c r="LSZ1361" s="23"/>
      <c r="LTA1361" s="23"/>
      <c r="LTB1361" s="23"/>
      <c r="LTC1361" s="23"/>
      <c r="LTD1361" s="23"/>
      <c r="LTE1361" s="23"/>
      <c r="LTF1361" s="23"/>
      <c r="LTG1361" s="23"/>
      <c r="LTH1361" s="23"/>
      <c r="LTI1361" s="23"/>
      <c r="LTJ1361" s="23"/>
      <c r="LTK1361" s="23"/>
      <c r="LTL1361" s="23"/>
      <c r="LTM1361" s="23"/>
      <c r="LTN1361" s="23"/>
      <c r="LTO1361" s="23"/>
      <c r="LTP1361" s="23"/>
      <c r="LTQ1361" s="23"/>
      <c r="LTR1361" s="23"/>
      <c r="LTS1361" s="23"/>
      <c r="LTT1361" s="23"/>
      <c r="LTU1361" s="23"/>
      <c r="LTV1361" s="23"/>
      <c r="LTW1361" s="23"/>
      <c r="LTX1361" s="23"/>
      <c r="LTY1361" s="23"/>
      <c r="LTZ1361" s="23"/>
      <c r="LUA1361" s="23"/>
      <c r="LUB1361" s="23"/>
      <c r="LUC1361" s="23"/>
      <c r="LUD1361" s="23"/>
      <c r="LUE1361" s="23"/>
      <c r="LUF1361" s="23"/>
      <c r="LUG1361" s="23"/>
      <c r="LUH1361" s="23"/>
      <c r="LUI1361" s="23"/>
      <c r="LUJ1361" s="23"/>
      <c r="LUK1361" s="23"/>
      <c r="LUL1361" s="23"/>
      <c r="LUM1361" s="23"/>
      <c r="LUN1361" s="23"/>
      <c r="LUO1361" s="23"/>
      <c r="LUP1361" s="23"/>
      <c r="LUQ1361" s="23"/>
      <c r="LUR1361" s="23"/>
      <c r="LUS1361" s="23"/>
      <c r="LUT1361" s="23"/>
      <c r="LUU1361" s="23"/>
      <c r="LUV1361" s="23"/>
      <c r="LUW1361" s="23"/>
      <c r="LUX1361" s="23"/>
      <c r="LUY1361" s="23"/>
      <c r="LUZ1361" s="23"/>
      <c r="LVA1361" s="23"/>
      <c r="LVB1361" s="23"/>
      <c r="LVC1361" s="23"/>
      <c r="LVD1361" s="23"/>
      <c r="LVE1361" s="23"/>
      <c r="LVF1361" s="23"/>
      <c r="LVG1361" s="23"/>
      <c r="LVH1361" s="23"/>
      <c r="LVI1361" s="23"/>
      <c r="LVJ1361" s="23"/>
      <c r="LVK1361" s="23"/>
      <c r="LVL1361" s="23"/>
      <c r="LVM1361" s="23"/>
      <c r="LVN1361" s="23"/>
      <c r="LVO1361" s="23"/>
      <c r="LVP1361" s="23"/>
      <c r="LVQ1361" s="23"/>
      <c r="LVR1361" s="23"/>
      <c r="LVS1361" s="23"/>
      <c r="LVT1361" s="23"/>
      <c r="LVU1361" s="23"/>
      <c r="LVV1361" s="23"/>
      <c r="LVW1361" s="23"/>
      <c r="LVX1361" s="23"/>
      <c r="LVY1361" s="23"/>
      <c r="LVZ1361" s="23"/>
      <c r="LWA1361" s="23"/>
      <c r="LWB1361" s="23"/>
      <c r="LWC1361" s="23"/>
      <c r="LWD1361" s="23"/>
      <c r="LWE1361" s="23"/>
      <c r="LWF1361" s="23"/>
      <c r="LWG1361" s="23"/>
      <c r="LWH1361" s="23"/>
      <c r="LWI1361" s="23"/>
      <c r="LWJ1361" s="23"/>
      <c r="LWK1361" s="23"/>
      <c r="LWL1361" s="23"/>
      <c r="LWM1361" s="23"/>
      <c r="LWN1361" s="23"/>
      <c r="LWO1361" s="23"/>
      <c r="LWP1361" s="23"/>
      <c r="LWQ1361" s="23"/>
      <c r="LWR1361" s="23"/>
      <c r="LWS1361" s="23"/>
      <c r="LWT1361" s="23"/>
      <c r="LWU1361" s="23"/>
      <c r="LWV1361" s="23"/>
      <c r="LWW1361" s="23"/>
      <c r="LWX1361" s="23"/>
      <c r="LWY1361" s="23"/>
      <c r="LWZ1361" s="23"/>
      <c r="LXA1361" s="23"/>
      <c r="LXB1361" s="23"/>
      <c r="LXC1361" s="23"/>
      <c r="LXD1361" s="23"/>
      <c r="LXE1361" s="23"/>
      <c r="LXF1361" s="23"/>
      <c r="LXG1361" s="23"/>
      <c r="LXH1361" s="23"/>
      <c r="LXI1361" s="23"/>
      <c r="LXJ1361" s="23"/>
      <c r="LXK1361" s="23"/>
      <c r="LXL1361" s="23"/>
      <c r="LXM1361" s="23"/>
      <c r="LXN1361" s="23"/>
      <c r="LXO1361" s="23"/>
      <c r="LXP1361" s="23"/>
      <c r="LXQ1361" s="23"/>
      <c r="LXR1361" s="23"/>
      <c r="LXS1361" s="23"/>
      <c r="LXT1361" s="23"/>
      <c r="LXU1361" s="23"/>
      <c r="LXV1361" s="23"/>
      <c r="LXW1361" s="23"/>
      <c r="LXX1361" s="23"/>
      <c r="LXY1361" s="23"/>
      <c r="LXZ1361" s="23"/>
      <c r="LYA1361" s="23"/>
      <c r="LYB1361" s="23"/>
      <c r="LYC1361" s="23"/>
      <c r="LYD1361" s="23"/>
      <c r="LYE1361" s="23"/>
      <c r="LYF1361" s="23"/>
      <c r="LYG1361" s="23"/>
      <c r="LYH1361" s="23"/>
      <c r="LYI1361" s="23"/>
      <c r="LYJ1361" s="23"/>
      <c r="LYK1361" s="23"/>
      <c r="LYL1361" s="23"/>
      <c r="LYM1361" s="23"/>
      <c r="LYN1361" s="23"/>
      <c r="LYO1361" s="23"/>
      <c r="LYP1361" s="23"/>
      <c r="LYQ1361" s="23"/>
      <c r="LYR1361" s="23"/>
      <c r="LYS1361" s="23"/>
      <c r="LYT1361" s="23"/>
      <c r="LYU1361" s="23"/>
      <c r="LYV1361" s="23"/>
      <c r="LYW1361" s="23"/>
      <c r="LYX1361" s="23"/>
      <c r="LYY1361" s="23"/>
      <c r="LYZ1361" s="23"/>
      <c r="LZA1361" s="23"/>
      <c r="LZB1361" s="23"/>
      <c r="LZC1361" s="23"/>
      <c r="LZD1361" s="23"/>
      <c r="LZE1361" s="23"/>
      <c r="LZF1361" s="23"/>
      <c r="LZG1361" s="23"/>
      <c r="LZH1361" s="23"/>
      <c r="LZI1361" s="23"/>
      <c r="LZJ1361" s="23"/>
      <c r="LZK1361" s="23"/>
      <c r="LZL1361" s="23"/>
      <c r="LZM1361" s="23"/>
      <c r="LZN1361" s="23"/>
      <c r="LZO1361" s="23"/>
      <c r="LZP1361" s="23"/>
      <c r="LZQ1361" s="23"/>
      <c r="LZR1361" s="23"/>
      <c r="LZS1361" s="23"/>
      <c r="LZT1361" s="23"/>
      <c r="LZU1361" s="23"/>
      <c r="LZV1361" s="23"/>
      <c r="LZW1361" s="23"/>
      <c r="LZX1361" s="23"/>
      <c r="LZY1361" s="23"/>
      <c r="LZZ1361" s="23"/>
      <c r="MAA1361" s="23"/>
      <c r="MAB1361" s="23"/>
      <c r="MAC1361" s="23"/>
      <c r="MAD1361" s="23"/>
      <c r="MAE1361" s="23"/>
      <c r="MAF1361" s="23"/>
      <c r="MAG1361" s="23"/>
      <c r="MAH1361" s="23"/>
      <c r="MAI1361" s="23"/>
      <c r="MAJ1361" s="23"/>
      <c r="MAK1361" s="23"/>
      <c r="MAL1361" s="23"/>
      <c r="MAM1361" s="23"/>
      <c r="MAN1361" s="23"/>
      <c r="MAO1361" s="23"/>
      <c r="MAP1361" s="23"/>
      <c r="MAQ1361" s="23"/>
      <c r="MAR1361" s="23"/>
      <c r="MAS1361" s="23"/>
      <c r="MAT1361" s="23"/>
      <c r="MAU1361" s="23"/>
      <c r="MAV1361" s="23"/>
      <c r="MAW1361" s="23"/>
      <c r="MAX1361" s="23"/>
      <c r="MAY1361" s="23"/>
      <c r="MAZ1361" s="23"/>
      <c r="MBA1361" s="23"/>
      <c r="MBB1361" s="23"/>
      <c r="MBC1361" s="23"/>
      <c r="MBD1361" s="23"/>
      <c r="MBE1361" s="23"/>
      <c r="MBF1361" s="23"/>
      <c r="MBG1361" s="23"/>
      <c r="MBH1361" s="23"/>
      <c r="MBI1361" s="23"/>
      <c r="MBJ1361" s="23"/>
      <c r="MBK1361" s="23"/>
      <c r="MBL1361" s="23"/>
      <c r="MBM1361" s="23"/>
      <c r="MBN1361" s="23"/>
      <c r="MBO1361" s="23"/>
      <c r="MBP1361" s="23"/>
      <c r="MBQ1361" s="23"/>
      <c r="MBR1361" s="23"/>
      <c r="MBS1361" s="23"/>
      <c r="MBT1361" s="23"/>
      <c r="MBU1361" s="23"/>
      <c r="MBV1361" s="23"/>
      <c r="MBW1361" s="23"/>
      <c r="MBX1361" s="23"/>
      <c r="MBY1361" s="23"/>
      <c r="MBZ1361" s="23"/>
      <c r="MCA1361" s="23"/>
      <c r="MCB1361" s="23"/>
      <c r="MCC1361" s="23"/>
      <c r="MCD1361" s="23"/>
      <c r="MCE1361" s="23"/>
      <c r="MCF1361" s="23"/>
      <c r="MCG1361" s="23"/>
      <c r="MCH1361" s="23"/>
      <c r="MCI1361" s="23"/>
      <c r="MCJ1361" s="23"/>
      <c r="MCK1361" s="23"/>
      <c r="MCL1361" s="23"/>
      <c r="MCM1361" s="23"/>
      <c r="MCN1361" s="23"/>
      <c r="MCO1361" s="23"/>
      <c r="MCP1361" s="23"/>
      <c r="MCQ1361" s="23"/>
      <c r="MCR1361" s="23"/>
      <c r="MCS1361" s="23"/>
      <c r="MCT1361" s="23"/>
      <c r="MCU1361" s="23"/>
      <c r="MCV1361" s="23"/>
      <c r="MCW1361" s="23"/>
      <c r="MCX1361" s="23"/>
      <c r="MCY1361" s="23"/>
      <c r="MCZ1361" s="23"/>
      <c r="MDA1361" s="23"/>
      <c r="MDB1361" s="23"/>
      <c r="MDC1361" s="23"/>
      <c r="MDD1361" s="23"/>
      <c r="MDE1361" s="23"/>
      <c r="MDF1361" s="23"/>
      <c r="MDG1361" s="23"/>
      <c r="MDH1361" s="23"/>
      <c r="MDI1361" s="23"/>
      <c r="MDJ1361" s="23"/>
      <c r="MDK1361" s="23"/>
      <c r="MDL1361" s="23"/>
      <c r="MDM1361" s="23"/>
      <c r="MDN1361" s="23"/>
      <c r="MDO1361" s="23"/>
      <c r="MDP1361" s="23"/>
      <c r="MDQ1361" s="23"/>
      <c r="MDR1361" s="23"/>
      <c r="MDS1361" s="23"/>
      <c r="MDT1361" s="23"/>
      <c r="MDU1361" s="23"/>
      <c r="MDV1361" s="23"/>
      <c r="MDW1361" s="23"/>
      <c r="MDX1361" s="23"/>
      <c r="MDY1361" s="23"/>
      <c r="MDZ1361" s="23"/>
      <c r="MEA1361" s="23"/>
      <c r="MEB1361" s="23"/>
      <c r="MEC1361" s="23"/>
      <c r="MED1361" s="23"/>
      <c r="MEE1361" s="23"/>
      <c r="MEF1361" s="23"/>
      <c r="MEG1361" s="23"/>
      <c r="MEH1361" s="23"/>
      <c r="MEI1361" s="23"/>
      <c r="MEJ1361" s="23"/>
      <c r="MEK1361" s="23"/>
      <c r="MEL1361" s="23"/>
      <c r="MEM1361" s="23"/>
      <c r="MEN1361" s="23"/>
      <c r="MEO1361" s="23"/>
      <c r="MEP1361" s="23"/>
      <c r="MEQ1361" s="23"/>
      <c r="MER1361" s="23"/>
      <c r="MES1361" s="23"/>
      <c r="MET1361" s="23"/>
      <c r="MEU1361" s="23"/>
      <c r="MEV1361" s="23"/>
      <c r="MEW1361" s="23"/>
      <c r="MEX1361" s="23"/>
      <c r="MEY1361" s="23"/>
      <c r="MEZ1361" s="23"/>
      <c r="MFA1361" s="23"/>
      <c r="MFB1361" s="23"/>
      <c r="MFC1361" s="23"/>
      <c r="MFD1361" s="23"/>
      <c r="MFE1361" s="23"/>
      <c r="MFF1361" s="23"/>
      <c r="MFG1361" s="23"/>
      <c r="MFH1361" s="23"/>
      <c r="MFI1361" s="23"/>
      <c r="MFJ1361" s="23"/>
      <c r="MFK1361" s="23"/>
      <c r="MFL1361" s="23"/>
      <c r="MFM1361" s="23"/>
      <c r="MFN1361" s="23"/>
      <c r="MFO1361" s="23"/>
      <c r="MFP1361" s="23"/>
      <c r="MFQ1361" s="23"/>
      <c r="MFR1361" s="23"/>
      <c r="MFS1361" s="23"/>
      <c r="MFT1361" s="23"/>
      <c r="MFU1361" s="23"/>
      <c r="MFV1361" s="23"/>
      <c r="MFW1361" s="23"/>
      <c r="MFX1361" s="23"/>
      <c r="MFY1361" s="23"/>
      <c r="MFZ1361" s="23"/>
      <c r="MGA1361" s="23"/>
      <c r="MGB1361" s="23"/>
      <c r="MGC1361" s="23"/>
      <c r="MGD1361" s="23"/>
      <c r="MGE1361" s="23"/>
      <c r="MGF1361" s="23"/>
      <c r="MGG1361" s="23"/>
      <c r="MGH1361" s="23"/>
      <c r="MGI1361" s="23"/>
      <c r="MGJ1361" s="23"/>
      <c r="MGK1361" s="23"/>
      <c r="MGL1361" s="23"/>
      <c r="MGM1361" s="23"/>
      <c r="MGN1361" s="23"/>
      <c r="MGO1361" s="23"/>
      <c r="MGP1361" s="23"/>
      <c r="MGQ1361" s="23"/>
      <c r="MGR1361" s="23"/>
      <c r="MGS1361" s="23"/>
      <c r="MGT1361" s="23"/>
      <c r="MGU1361" s="23"/>
      <c r="MGV1361" s="23"/>
      <c r="MGW1361" s="23"/>
      <c r="MGX1361" s="23"/>
      <c r="MGY1361" s="23"/>
      <c r="MGZ1361" s="23"/>
      <c r="MHA1361" s="23"/>
      <c r="MHB1361" s="23"/>
      <c r="MHC1361" s="23"/>
      <c r="MHD1361" s="23"/>
      <c r="MHE1361" s="23"/>
      <c r="MHF1361" s="23"/>
      <c r="MHG1361" s="23"/>
      <c r="MHH1361" s="23"/>
      <c r="MHI1361" s="23"/>
      <c r="MHJ1361" s="23"/>
      <c r="MHK1361" s="23"/>
      <c r="MHL1361" s="23"/>
      <c r="MHM1361" s="23"/>
      <c r="MHN1361" s="23"/>
      <c r="MHO1361" s="23"/>
      <c r="MHP1361" s="23"/>
      <c r="MHQ1361" s="23"/>
      <c r="MHR1361" s="23"/>
      <c r="MHS1361" s="23"/>
      <c r="MHT1361" s="23"/>
      <c r="MHU1361" s="23"/>
      <c r="MHV1361" s="23"/>
      <c r="MHW1361" s="23"/>
      <c r="MHX1361" s="23"/>
      <c r="MHY1361" s="23"/>
      <c r="MHZ1361" s="23"/>
      <c r="MIA1361" s="23"/>
      <c r="MIB1361" s="23"/>
      <c r="MIC1361" s="23"/>
      <c r="MID1361" s="23"/>
      <c r="MIE1361" s="23"/>
      <c r="MIF1361" s="23"/>
      <c r="MIG1361" s="23"/>
      <c r="MIH1361" s="23"/>
      <c r="MII1361" s="23"/>
      <c r="MIJ1361" s="23"/>
      <c r="MIK1361" s="23"/>
      <c r="MIL1361" s="23"/>
      <c r="MIM1361" s="23"/>
      <c r="MIN1361" s="23"/>
      <c r="MIO1361" s="23"/>
      <c r="MIP1361" s="23"/>
      <c r="MIQ1361" s="23"/>
      <c r="MIR1361" s="23"/>
      <c r="MIS1361" s="23"/>
      <c r="MIT1361" s="23"/>
      <c r="MIU1361" s="23"/>
      <c r="MIV1361" s="23"/>
      <c r="MIW1361" s="23"/>
      <c r="MIX1361" s="23"/>
      <c r="MIY1361" s="23"/>
      <c r="MIZ1361" s="23"/>
      <c r="MJA1361" s="23"/>
      <c r="MJB1361" s="23"/>
      <c r="MJC1361" s="23"/>
      <c r="MJD1361" s="23"/>
      <c r="MJE1361" s="23"/>
      <c r="MJF1361" s="23"/>
      <c r="MJG1361" s="23"/>
      <c r="MJH1361" s="23"/>
      <c r="MJI1361" s="23"/>
      <c r="MJJ1361" s="23"/>
      <c r="MJK1361" s="23"/>
      <c r="MJL1361" s="23"/>
      <c r="MJM1361" s="23"/>
      <c r="MJN1361" s="23"/>
      <c r="MJO1361" s="23"/>
      <c r="MJP1361" s="23"/>
      <c r="MJQ1361" s="23"/>
      <c r="MJR1361" s="23"/>
      <c r="MJS1361" s="23"/>
      <c r="MJT1361" s="23"/>
      <c r="MJU1361" s="23"/>
      <c r="MJV1361" s="23"/>
      <c r="MJW1361" s="23"/>
      <c r="MJX1361" s="23"/>
      <c r="MJY1361" s="23"/>
      <c r="MJZ1361" s="23"/>
      <c r="MKA1361" s="23"/>
      <c r="MKB1361" s="23"/>
      <c r="MKC1361" s="23"/>
      <c r="MKD1361" s="23"/>
      <c r="MKE1361" s="23"/>
      <c r="MKF1361" s="23"/>
      <c r="MKG1361" s="23"/>
      <c r="MKH1361" s="23"/>
      <c r="MKI1361" s="23"/>
      <c r="MKJ1361" s="23"/>
      <c r="MKK1361" s="23"/>
      <c r="MKL1361" s="23"/>
      <c r="MKM1361" s="23"/>
      <c r="MKN1361" s="23"/>
      <c r="MKO1361" s="23"/>
      <c r="MKP1361" s="23"/>
      <c r="MKQ1361" s="23"/>
      <c r="MKR1361" s="23"/>
      <c r="MKS1361" s="23"/>
      <c r="MKT1361" s="23"/>
      <c r="MKU1361" s="23"/>
      <c r="MKV1361" s="23"/>
      <c r="MKW1361" s="23"/>
      <c r="MKX1361" s="23"/>
      <c r="MKY1361" s="23"/>
      <c r="MKZ1361" s="23"/>
      <c r="MLA1361" s="23"/>
      <c r="MLB1361" s="23"/>
      <c r="MLC1361" s="23"/>
      <c r="MLD1361" s="23"/>
      <c r="MLE1361" s="23"/>
      <c r="MLF1361" s="23"/>
      <c r="MLG1361" s="23"/>
      <c r="MLH1361" s="23"/>
      <c r="MLI1361" s="23"/>
      <c r="MLJ1361" s="23"/>
      <c r="MLK1361" s="23"/>
      <c r="MLL1361" s="23"/>
      <c r="MLM1361" s="23"/>
      <c r="MLN1361" s="23"/>
      <c r="MLO1361" s="23"/>
      <c r="MLP1361" s="23"/>
      <c r="MLQ1361" s="23"/>
      <c r="MLR1361" s="23"/>
      <c r="MLS1361" s="23"/>
      <c r="MLT1361" s="23"/>
      <c r="MLU1361" s="23"/>
      <c r="MLV1361" s="23"/>
      <c r="MLW1361" s="23"/>
      <c r="MLX1361" s="23"/>
      <c r="MLY1361" s="23"/>
      <c r="MLZ1361" s="23"/>
      <c r="MMA1361" s="23"/>
      <c r="MMB1361" s="23"/>
      <c r="MMC1361" s="23"/>
      <c r="MMD1361" s="23"/>
      <c r="MME1361" s="23"/>
      <c r="MMF1361" s="23"/>
      <c r="MMG1361" s="23"/>
      <c r="MMH1361" s="23"/>
      <c r="MMI1361" s="23"/>
      <c r="MMJ1361" s="23"/>
      <c r="MMK1361" s="23"/>
      <c r="MML1361" s="23"/>
      <c r="MMM1361" s="23"/>
      <c r="MMN1361" s="23"/>
      <c r="MMO1361" s="23"/>
      <c r="MMP1361" s="23"/>
      <c r="MMQ1361" s="23"/>
      <c r="MMR1361" s="23"/>
      <c r="MMS1361" s="23"/>
      <c r="MMT1361" s="23"/>
      <c r="MMU1361" s="23"/>
      <c r="MMV1361" s="23"/>
      <c r="MMW1361" s="23"/>
      <c r="MMX1361" s="23"/>
      <c r="MMY1361" s="23"/>
      <c r="MMZ1361" s="23"/>
      <c r="MNA1361" s="23"/>
      <c r="MNB1361" s="23"/>
      <c r="MNC1361" s="23"/>
      <c r="MND1361" s="23"/>
      <c r="MNE1361" s="23"/>
      <c r="MNF1361" s="23"/>
      <c r="MNG1361" s="23"/>
      <c r="MNH1361" s="23"/>
      <c r="MNI1361" s="23"/>
      <c r="MNJ1361" s="23"/>
      <c r="MNK1361" s="23"/>
      <c r="MNL1361" s="23"/>
      <c r="MNM1361" s="23"/>
      <c r="MNN1361" s="23"/>
      <c r="MNO1361" s="23"/>
      <c r="MNP1361" s="23"/>
      <c r="MNQ1361" s="23"/>
      <c r="MNR1361" s="23"/>
      <c r="MNS1361" s="23"/>
      <c r="MNT1361" s="23"/>
      <c r="MNU1361" s="23"/>
      <c r="MNV1361" s="23"/>
      <c r="MNW1361" s="23"/>
      <c r="MNX1361" s="23"/>
      <c r="MNY1361" s="23"/>
      <c r="MNZ1361" s="23"/>
      <c r="MOA1361" s="23"/>
      <c r="MOB1361" s="23"/>
      <c r="MOC1361" s="23"/>
      <c r="MOD1361" s="23"/>
      <c r="MOE1361" s="23"/>
      <c r="MOF1361" s="23"/>
      <c r="MOG1361" s="23"/>
      <c r="MOH1361" s="23"/>
      <c r="MOI1361" s="23"/>
      <c r="MOJ1361" s="23"/>
      <c r="MOK1361" s="23"/>
      <c r="MOL1361" s="23"/>
      <c r="MOM1361" s="23"/>
      <c r="MON1361" s="23"/>
      <c r="MOO1361" s="23"/>
      <c r="MOP1361" s="23"/>
      <c r="MOQ1361" s="23"/>
      <c r="MOR1361" s="23"/>
      <c r="MOS1361" s="23"/>
      <c r="MOT1361" s="23"/>
      <c r="MOU1361" s="23"/>
      <c r="MOV1361" s="23"/>
      <c r="MOW1361" s="23"/>
      <c r="MOX1361" s="23"/>
      <c r="MOY1361" s="23"/>
      <c r="MOZ1361" s="23"/>
      <c r="MPA1361" s="23"/>
      <c r="MPB1361" s="23"/>
      <c r="MPC1361" s="23"/>
      <c r="MPD1361" s="23"/>
      <c r="MPE1361" s="23"/>
      <c r="MPF1361" s="23"/>
      <c r="MPG1361" s="23"/>
      <c r="MPH1361" s="23"/>
      <c r="MPI1361" s="23"/>
      <c r="MPJ1361" s="23"/>
      <c r="MPK1361" s="23"/>
      <c r="MPL1361" s="23"/>
      <c r="MPM1361" s="23"/>
      <c r="MPN1361" s="23"/>
      <c r="MPO1361" s="23"/>
      <c r="MPP1361" s="23"/>
      <c r="MPQ1361" s="23"/>
      <c r="MPR1361" s="23"/>
      <c r="MPS1361" s="23"/>
      <c r="MPT1361" s="23"/>
      <c r="MPU1361" s="23"/>
      <c r="MPV1361" s="23"/>
      <c r="MPW1361" s="23"/>
      <c r="MPX1361" s="23"/>
      <c r="MPY1361" s="23"/>
      <c r="MPZ1361" s="23"/>
      <c r="MQA1361" s="23"/>
      <c r="MQB1361" s="23"/>
      <c r="MQC1361" s="23"/>
      <c r="MQD1361" s="23"/>
      <c r="MQE1361" s="23"/>
      <c r="MQF1361" s="23"/>
      <c r="MQG1361" s="23"/>
      <c r="MQH1361" s="23"/>
      <c r="MQI1361" s="23"/>
      <c r="MQJ1361" s="23"/>
      <c r="MQK1361" s="23"/>
      <c r="MQL1361" s="23"/>
      <c r="MQM1361" s="23"/>
      <c r="MQN1361" s="23"/>
      <c r="MQO1361" s="23"/>
      <c r="MQP1361" s="23"/>
      <c r="MQQ1361" s="23"/>
      <c r="MQR1361" s="23"/>
      <c r="MQS1361" s="23"/>
      <c r="MQT1361" s="23"/>
      <c r="MQU1361" s="23"/>
      <c r="MQV1361" s="23"/>
      <c r="MQW1361" s="23"/>
      <c r="MQX1361" s="23"/>
      <c r="MQY1361" s="23"/>
      <c r="MQZ1361" s="23"/>
      <c r="MRA1361" s="23"/>
      <c r="MRB1361" s="23"/>
      <c r="MRC1361" s="23"/>
      <c r="MRD1361" s="23"/>
      <c r="MRE1361" s="23"/>
      <c r="MRF1361" s="23"/>
      <c r="MRG1361" s="23"/>
      <c r="MRH1361" s="23"/>
      <c r="MRI1361" s="23"/>
      <c r="MRJ1361" s="23"/>
      <c r="MRK1361" s="23"/>
      <c r="MRL1361" s="23"/>
      <c r="MRM1361" s="23"/>
      <c r="MRN1361" s="23"/>
      <c r="MRO1361" s="23"/>
      <c r="MRP1361" s="23"/>
      <c r="MRQ1361" s="23"/>
      <c r="MRR1361" s="23"/>
      <c r="MRS1361" s="23"/>
      <c r="MRT1361" s="23"/>
      <c r="MRU1361" s="23"/>
      <c r="MRV1361" s="23"/>
      <c r="MRW1361" s="23"/>
      <c r="MRX1361" s="23"/>
      <c r="MRY1361" s="23"/>
      <c r="MRZ1361" s="23"/>
      <c r="MSA1361" s="23"/>
      <c r="MSB1361" s="23"/>
      <c r="MSC1361" s="23"/>
      <c r="MSD1361" s="23"/>
      <c r="MSE1361" s="23"/>
      <c r="MSF1361" s="23"/>
      <c r="MSG1361" s="23"/>
      <c r="MSH1361" s="23"/>
      <c r="MSI1361" s="23"/>
      <c r="MSJ1361" s="23"/>
      <c r="MSK1361" s="23"/>
      <c r="MSL1361" s="23"/>
      <c r="MSM1361" s="23"/>
      <c r="MSN1361" s="23"/>
      <c r="MSO1361" s="23"/>
      <c r="MSP1361" s="23"/>
      <c r="MSQ1361" s="23"/>
      <c r="MSR1361" s="23"/>
      <c r="MSS1361" s="23"/>
      <c r="MST1361" s="23"/>
      <c r="MSU1361" s="23"/>
      <c r="MSV1361" s="23"/>
      <c r="MSW1361" s="23"/>
      <c r="MSX1361" s="23"/>
      <c r="MSY1361" s="23"/>
      <c r="MSZ1361" s="23"/>
      <c r="MTA1361" s="23"/>
      <c r="MTB1361" s="23"/>
      <c r="MTC1361" s="23"/>
      <c r="MTD1361" s="23"/>
      <c r="MTE1361" s="23"/>
      <c r="MTF1361" s="23"/>
      <c r="MTG1361" s="23"/>
      <c r="MTH1361" s="23"/>
      <c r="MTI1361" s="23"/>
      <c r="MTJ1361" s="23"/>
      <c r="MTK1361" s="23"/>
      <c r="MTL1361" s="23"/>
      <c r="MTM1361" s="23"/>
      <c r="MTN1361" s="23"/>
      <c r="MTO1361" s="23"/>
      <c r="MTP1361" s="23"/>
      <c r="MTQ1361" s="23"/>
      <c r="MTR1361" s="23"/>
      <c r="MTS1361" s="23"/>
      <c r="MTT1361" s="23"/>
      <c r="MTU1361" s="23"/>
      <c r="MTV1361" s="23"/>
      <c r="MTW1361" s="23"/>
      <c r="MTX1361" s="23"/>
      <c r="MTY1361" s="23"/>
      <c r="MTZ1361" s="23"/>
      <c r="MUA1361" s="23"/>
      <c r="MUB1361" s="23"/>
      <c r="MUC1361" s="23"/>
      <c r="MUD1361" s="23"/>
      <c r="MUE1361" s="23"/>
      <c r="MUF1361" s="23"/>
      <c r="MUG1361" s="23"/>
      <c r="MUH1361" s="23"/>
      <c r="MUI1361" s="23"/>
      <c r="MUJ1361" s="23"/>
      <c r="MUK1361" s="23"/>
      <c r="MUL1361" s="23"/>
      <c r="MUM1361" s="23"/>
      <c r="MUN1361" s="23"/>
      <c r="MUO1361" s="23"/>
      <c r="MUP1361" s="23"/>
      <c r="MUQ1361" s="23"/>
      <c r="MUR1361" s="23"/>
      <c r="MUS1361" s="23"/>
      <c r="MUT1361" s="23"/>
      <c r="MUU1361" s="23"/>
      <c r="MUV1361" s="23"/>
      <c r="MUW1361" s="23"/>
      <c r="MUX1361" s="23"/>
      <c r="MUY1361" s="23"/>
      <c r="MUZ1361" s="23"/>
      <c r="MVA1361" s="23"/>
      <c r="MVB1361" s="23"/>
      <c r="MVC1361" s="23"/>
      <c r="MVD1361" s="23"/>
      <c r="MVE1361" s="23"/>
      <c r="MVF1361" s="23"/>
      <c r="MVG1361" s="23"/>
      <c r="MVH1361" s="23"/>
      <c r="MVI1361" s="23"/>
      <c r="MVJ1361" s="23"/>
      <c r="MVK1361" s="23"/>
      <c r="MVL1361" s="23"/>
      <c r="MVM1361" s="23"/>
      <c r="MVN1361" s="23"/>
      <c r="MVO1361" s="23"/>
      <c r="MVP1361" s="23"/>
      <c r="MVQ1361" s="23"/>
      <c r="MVR1361" s="23"/>
      <c r="MVS1361" s="23"/>
      <c r="MVT1361" s="23"/>
      <c r="MVU1361" s="23"/>
      <c r="MVV1361" s="23"/>
      <c r="MVW1361" s="23"/>
      <c r="MVX1361" s="23"/>
      <c r="MVY1361" s="23"/>
      <c r="MVZ1361" s="23"/>
      <c r="MWA1361" s="23"/>
      <c r="MWB1361" s="23"/>
      <c r="MWC1361" s="23"/>
      <c r="MWD1361" s="23"/>
      <c r="MWE1361" s="23"/>
      <c r="MWF1361" s="23"/>
      <c r="MWG1361" s="23"/>
      <c r="MWH1361" s="23"/>
      <c r="MWI1361" s="23"/>
      <c r="MWJ1361" s="23"/>
      <c r="MWK1361" s="23"/>
      <c r="MWL1361" s="23"/>
      <c r="MWM1361" s="23"/>
      <c r="MWN1361" s="23"/>
      <c r="MWO1361" s="23"/>
      <c r="MWP1361" s="23"/>
      <c r="MWQ1361" s="23"/>
      <c r="MWR1361" s="23"/>
      <c r="MWS1361" s="23"/>
      <c r="MWT1361" s="23"/>
      <c r="MWU1361" s="23"/>
      <c r="MWV1361" s="23"/>
      <c r="MWW1361" s="23"/>
      <c r="MWX1361" s="23"/>
      <c r="MWY1361" s="23"/>
      <c r="MWZ1361" s="23"/>
      <c r="MXA1361" s="23"/>
      <c r="MXB1361" s="23"/>
      <c r="MXC1361" s="23"/>
      <c r="MXD1361" s="23"/>
      <c r="MXE1361" s="23"/>
      <c r="MXF1361" s="23"/>
      <c r="MXG1361" s="23"/>
      <c r="MXH1361" s="23"/>
      <c r="MXI1361" s="23"/>
      <c r="MXJ1361" s="23"/>
      <c r="MXK1361" s="23"/>
      <c r="MXL1361" s="23"/>
      <c r="MXM1361" s="23"/>
      <c r="MXN1361" s="23"/>
      <c r="MXO1361" s="23"/>
      <c r="MXP1361" s="23"/>
      <c r="MXQ1361" s="23"/>
      <c r="MXR1361" s="23"/>
      <c r="MXS1361" s="23"/>
      <c r="MXT1361" s="23"/>
      <c r="MXU1361" s="23"/>
      <c r="MXV1361" s="23"/>
      <c r="MXW1361" s="23"/>
      <c r="MXX1361" s="23"/>
      <c r="MXY1361" s="23"/>
      <c r="MXZ1361" s="23"/>
      <c r="MYA1361" s="23"/>
      <c r="MYB1361" s="23"/>
      <c r="MYC1361" s="23"/>
      <c r="MYD1361" s="23"/>
      <c r="MYE1361" s="23"/>
      <c r="MYF1361" s="23"/>
      <c r="MYG1361" s="23"/>
      <c r="MYH1361" s="23"/>
      <c r="MYI1361" s="23"/>
      <c r="MYJ1361" s="23"/>
      <c r="MYK1361" s="23"/>
      <c r="MYL1361" s="23"/>
      <c r="MYM1361" s="23"/>
      <c r="MYN1361" s="23"/>
      <c r="MYO1361" s="23"/>
      <c r="MYP1361" s="23"/>
      <c r="MYQ1361" s="23"/>
      <c r="MYR1361" s="23"/>
      <c r="MYS1361" s="23"/>
      <c r="MYT1361" s="23"/>
      <c r="MYU1361" s="23"/>
      <c r="MYV1361" s="23"/>
      <c r="MYW1361" s="23"/>
      <c r="MYX1361" s="23"/>
      <c r="MYY1361" s="23"/>
      <c r="MYZ1361" s="23"/>
      <c r="MZA1361" s="23"/>
      <c r="MZB1361" s="23"/>
      <c r="MZC1361" s="23"/>
      <c r="MZD1361" s="23"/>
      <c r="MZE1361" s="23"/>
      <c r="MZF1361" s="23"/>
      <c r="MZG1361" s="23"/>
      <c r="MZH1361" s="23"/>
      <c r="MZI1361" s="23"/>
      <c r="MZJ1361" s="23"/>
      <c r="MZK1361" s="23"/>
      <c r="MZL1361" s="23"/>
      <c r="MZM1361" s="23"/>
      <c r="MZN1361" s="23"/>
      <c r="MZO1361" s="23"/>
      <c r="MZP1361" s="23"/>
      <c r="MZQ1361" s="23"/>
      <c r="MZR1361" s="23"/>
      <c r="MZS1361" s="23"/>
      <c r="MZT1361" s="23"/>
      <c r="MZU1361" s="23"/>
      <c r="MZV1361" s="23"/>
      <c r="MZW1361" s="23"/>
      <c r="MZX1361" s="23"/>
      <c r="MZY1361" s="23"/>
      <c r="MZZ1361" s="23"/>
      <c r="NAA1361" s="23"/>
      <c r="NAB1361" s="23"/>
      <c r="NAC1361" s="23"/>
      <c r="NAD1361" s="23"/>
      <c r="NAE1361" s="23"/>
      <c r="NAF1361" s="23"/>
      <c r="NAG1361" s="23"/>
      <c r="NAH1361" s="23"/>
      <c r="NAI1361" s="23"/>
      <c r="NAJ1361" s="23"/>
      <c r="NAK1361" s="23"/>
      <c r="NAL1361" s="23"/>
      <c r="NAM1361" s="23"/>
      <c r="NAN1361" s="23"/>
      <c r="NAO1361" s="23"/>
      <c r="NAP1361" s="23"/>
      <c r="NAQ1361" s="23"/>
      <c r="NAR1361" s="23"/>
      <c r="NAS1361" s="23"/>
      <c r="NAT1361" s="23"/>
      <c r="NAU1361" s="23"/>
      <c r="NAV1361" s="23"/>
      <c r="NAW1361" s="23"/>
      <c r="NAX1361" s="23"/>
      <c r="NAY1361" s="23"/>
      <c r="NAZ1361" s="23"/>
      <c r="NBA1361" s="23"/>
      <c r="NBB1361" s="23"/>
      <c r="NBC1361" s="23"/>
      <c r="NBD1361" s="23"/>
      <c r="NBE1361" s="23"/>
      <c r="NBF1361" s="23"/>
      <c r="NBG1361" s="23"/>
      <c r="NBH1361" s="23"/>
      <c r="NBI1361" s="23"/>
      <c r="NBJ1361" s="23"/>
      <c r="NBK1361" s="23"/>
      <c r="NBL1361" s="23"/>
      <c r="NBM1361" s="23"/>
      <c r="NBN1361" s="23"/>
      <c r="NBO1361" s="23"/>
      <c r="NBP1361" s="23"/>
      <c r="NBQ1361" s="23"/>
      <c r="NBR1361" s="23"/>
      <c r="NBS1361" s="23"/>
      <c r="NBT1361" s="23"/>
      <c r="NBU1361" s="23"/>
      <c r="NBV1361" s="23"/>
      <c r="NBW1361" s="23"/>
      <c r="NBX1361" s="23"/>
      <c r="NBY1361" s="23"/>
      <c r="NBZ1361" s="23"/>
      <c r="NCA1361" s="23"/>
      <c r="NCB1361" s="23"/>
      <c r="NCC1361" s="23"/>
      <c r="NCD1361" s="23"/>
      <c r="NCE1361" s="23"/>
      <c r="NCF1361" s="23"/>
      <c r="NCG1361" s="23"/>
      <c r="NCH1361" s="23"/>
      <c r="NCI1361" s="23"/>
      <c r="NCJ1361" s="23"/>
      <c r="NCK1361" s="23"/>
      <c r="NCL1361" s="23"/>
      <c r="NCM1361" s="23"/>
      <c r="NCN1361" s="23"/>
      <c r="NCO1361" s="23"/>
      <c r="NCP1361" s="23"/>
      <c r="NCQ1361" s="23"/>
      <c r="NCR1361" s="23"/>
      <c r="NCS1361" s="23"/>
      <c r="NCT1361" s="23"/>
      <c r="NCU1361" s="23"/>
      <c r="NCV1361" s="23"/>
      <c r="NCW1361" s="23"/>
      <c r="NCX1361" s="23"/>
      <c r="NCY1361" s="23"/>
      <c r="NCZ1361" s="23"/>
      <c r="NDA1361" s="23"/>
      <c r="NDB1361" s="23"/>
      <c r="NDC1361" s="23"/>
      <c r="NDD1361" s="23"/>
      <c r="NDE1361" s="23"/>
      <c r="NDF1361" s="23"/>
      <c r="NDG1361" s="23"/>
      <c r="NDH1361" s="23"/>
      <c r="NDI1361" s="23"/>
      <c r="NDJ1361" s="23"/>
      <c r="NDK1361" s="23"/>
      <c r="NDL1361" s="23"/>
      <c r="NDM1361" s="23"/>
      <c r="NDN1361" s="23"/>
      <c r="NDO1361" s="23"/>
      <c r="NDP1361" s="23"/>
      <c r="NDQ1361" s="23"/>
      <c r="NDR1361" s="23"/>
      <c r="NDS1361" s="23"/>
      <c r="NDT1361" s="23"/>
      <c r="NDU1361" s="23"/>
      <c r="NDV1361" s="23"/>
      <c r="NDW1361" s="23"/>
      <c r="NDX1361" s="23"/>
      <c r="NDY1361" s="23"/>
      <c r="NDZ1361" s="23"/>
      <c r="NEA1361" s="23"/>
      <c r="NEB1361" s="23"/>
      <c r="NEC1361" s="23"/>
      <c r="NED1361" s="23"/>
      <c r="NEE1361" s="23"/>
      <c r="NEF1361" s="23"/>
      <c r="NEG1361" s="23"/>
      <c r="NEH1361" s="23"/>
      <c r="NEI1361" s="23"/>
      <c r="NEJ1361" s="23"/>
      <c r="NEK1361" s="23"/>
      <c r="NEL1361" s="23"/>
      <c r="NEM1361" s="23"/>
      <c r="NEN1361" s="23"/>
      <c r="NEO1361" s="23"/>
      <c r="NEP1361" s="23"/>
      <c r="NEQ1361" s="23"/>
      <c r="NER1361" s="23"/>
      <c r="NES1361" s="23"/>
      <c r="NET1361" s="23"/>
      <c r="NEU1361" s="23"/>
      <c r="NEV1361" s="23"/>
      <c r="NEW1361" s="23"/>
      <c r="NEX1361" s="23"/>
      <c r="NEY1361" s="23"/>
      <c r="NEZ1361" s="23"/>
      <c r="NFA1361" s="23"/>
      <c r="NFB1361" s="23"/>
      <c r="NFC1361" s="23"/>
      <c r="NFD1361" s="23"/>
      <c r="NFE1361" s="23"/>
      <c r="NFF1361" s="23"/>
      <c r="NFG1361" s="23"/>
      <c r="NFH1361" s="23"/>
      <c r="NFI1361" s="23"/>
      <c r="NFJ1361" s="23"/>
      <c r="NFK1361" s="23"/>
      <c r="NFL1361" s="23"/>
      <c r="NFM1361" s="23"/>
      <c r="NFN1361" s="23"/>
      <c r="NFO1361" s="23"/>
      <c r="NFP1361" s="23"/>
      <c r="NFQ1361" s="23"/>
      <c r="NFR1361" s="23"/>
      <c r="NFS1361" s="23"/>
      <c r="NFT1361" s="23"/>
      <c r="NFU1361" s="23"/>
      <c r="NFV1361" s="23"/>
      <c r="NFW1361" s="23"/>
      <c r="NFX1361" s="23"/>
      <c r="NFY1361" s="23"/>
      <c r="NFZ1361" s="23"/>
      <c r="NGA1361" s="23"/>
      <c r="NGB1361" s="23"/>
      <c r="NGC1361" s="23"/>
      <c r="NGD1361" s="23"/>
      <c r="NGE1361" s="23"/>
      <c r="NGF1361" s="23"/>
      <c r="NGG1361" s="23"/>
      <c r="NGH1361" s="23"/>
      <c r="NGI1361" s="23"/>
      <c r="NGJ1361" s="23"/>
      <c r="NGK1361" s="23"/>
      <c r="NGL1361" s="23"/>
      <c r="NGM1361" s="23"/>
      <c r="NGN1361" s="23"/>
      <c r="NGO1361" s="23"/>
      <c r="NGP1361" s="23"/>
      <c r="NGQ1361" s="23"/>
      <c r="NGR1361" s="23"/>
      <c r="NGS1361" s="23"/>
      <c r="NGT1361" s="23"/>
      <c r="NGU1361" s="23"/>
      <c r="NGV1361" s="23"/>
      <c r="NGW1361" s="23"/>
      <c r="NGX1361" s="23"/>
      <c r="NGY1361" s="23"/>
      <c r="NGZ1361" s="23"/>
      <c r="NHA1361" s="23"/>
      <c r="NHB1361" s="23"/>
      <c r="NHC1361" s="23"/>
      <c r="NHD1361" s="23"/>
      <c r="NHE1361" s="23"/>
      <c r="NHF1361" s="23"/>
      <c r="NHG1361" s="23"/>
      <c r="NHH1361" s="23"/>
      <c r="NHI1361" s="23"/>
      <c r="NHJ1361" s="23"/>
      <c r="NHK1361" s="23"/>
      <c r="NHL1361" s="23"/>
      <c r="NHM1361" s="23"/>
      <c r="NHN1361" s="23"/>
      <c r="NHO1361" s="23"/>
      <c r="NHP1361" s="23"/>
      <c r="NHQ1361" s="23"/>
      <c r="NHR1361" s="23"/>
      <c r="NHS1361" s="23"/>
      <c r="NHT1361" s="23"/>
      <c r="NHU1361" s="23"/>
      <c r="NHV1361" s="23"/>
      <c r="NHW1361" s="23"/>
      <c r="NHX1361" s="23"/>
      <c r="NHY1361" s="23"/>
      <c r="NHZ1361" s="23"/>
      <c r="NIA1361" s="23"/>
      <c r="NIB1361" s="23"/>
      <c r="NIC1361" s="23"/>
      <c r="NID1361" s="23"/>
      <c r="NIE1361" s="23"/>
      <c r="NIF1361" s="23"/>
      <c r="NIG1361" s="23"/>
      <c r="NIH1361" s="23"/>
      <c r="NII1361" s="23"/>
      <c r="NIJ1361" s="23"/>
      <c r="NIK1361" s="23"/>
      <c r="NIL1361" s="23"/>
      <c r="NIM1361" s="23"/>
      <c r="NIN1361" s="23"/>
      <c r="NIO1361" s="23"/>
      <c r="NIP1361" s="23"/>
      <c r="NIQ1361" s="23"/>
      <c r="NIR1361" s="23"/>
      <c r="NIS1361" s="23"/>
      <c r="NIT1361" s="23"/>
      <c r="NIU1361" s="23"/>
      <c r="NIV1361" s="23"/>
      <c r="NIW1361" s="23"/>
      <c r="NIX1361" s="23"/>
      <c r="NIY1361" s="23"/>
      <c r="NIZ1361" s="23"/>
      <c r="NJA1361" s="23"/>
      <c r="NJB1361" s="23"/>
      <c r="NJC1361" s="23"/>
      <c r="NJD1361" s="23"/>
      <c r="NJE1361" s="23"/>
      <c r="NJF1361" s="23"/>
      <c r="NJG1361" s="23"/>
      <c r="NJH1361" s="23"/>
      <c r="NJI1361" s="23"/>
      <c r="NJJ1361" s="23"/>
      <c r="NJK1361" s="23"/>
      <c r="NJL1361" s="23"/>
      <c r="NJM1361" s="23"/>
      <c r="NJN1361" s="23"/>
      <c r="NJO1361" s="23"/>
      <c r="NJP1361" s="23"/>
      <c r="NJQ1361" s="23"/>
      <c r="NJR1361" s="23"/>
      <c r="NJS1361" s="23"/>
      <c r="NJT1361" s="23"/>
      <c r="NJU1361" s="23"/>
      <c r="NJV1361" s="23"/>
      <c r="NJW1361" s="23"/>
      <c r="NJX1361" s="23"/>
      <c r="NJY1361" s="23"/>
      <c r="NJZ1361" s="23"/>
      <c r="NKA1361" s="23"/>
      <c r="NKB1361" s="23"/>
      <c r="NKC1361" s="23"/>
      <c r="NKD1361" s="23"/>
      <c r="NKE1361" s="23"/>
      <c r="NKF1361" s="23"/>
      <c r="NKG1361" s="23"/>
      <c r="NKH1361" s="23"/>
      <c r="NKI1361" s="23"/>
      <c r="NKJ1361" s="23"/>
      <c r="NKK1361" s="23"/>
      <c r="NKL1361" s="23"/>
      <c r="NKM1361" s="23"/>
      <c r="NKN1361" s="23"/>
      <c r="NKO1361" s="23"/>
      <c r="NKP1361" s="23"/>
      <c r="NKQ1361" s="23"/>
      <c r="NKR1361" s="23"/>
      <c r="NKS1361" s="23"/>
      <c r="NKT1361" s="23"/>
      <c r="NKU1361" s="23"/>
      <c r="NKV1361" s="23"/>
      <c r="NKW1361" s="23"/>
      <c r="NKX1361" s="23"/>
      <c r="NKY1361" s="23"/>
      <c r="NKZ1361" s="23"/>
      <c r="NLA1361" s="23"/>
      <c r="NLB1361" s="23"/>
      <c r="NLC1361" s="23"/>
      <c r="NLD1361" s="23"/>
      <c r="NLE1361" s="23"/>
      <c r="NLF1361" s="23"/>
      <c r="NLG1361" s="23"/>
      <c r="NLH1361" s="23"/>
      <c r="NLI1361" s="23"/>
      <c r="NLJ1361" s="23"/>
      <c r="NLK1361" s="23"/>
      <c r="NLL1361" s="23"/>
      <c r="NLM1361" s="23"/>
      <c r="NLN1361" s="23"/>
      <c r="NLO1361" s="23"/>
      <c r="NLP1361" s="23"/>
      <c r="NLQ1361" s="23"/>
      <c r="NLR1361" s="23"/>
      <c r="NLS1361" s="23"/>
      <c r="NLT1361" s="23"/>
      <c r="NLU1361" s="23"/>
      <c r="NLV1361" s="23"/>
      <c r="NLW1361" s="23"/>
      <c r="NLX1361" s="23"/>
      <c r="NLY1361" s="23"/>
      <c r="NLZ1361" s="23"/>
      <c r="NMA1361" s="23"/>
      <c r="NMB1361" s="23"/>
      <c r="NMC1361" s="23"/>
      <c r="NMD1361" s="23"/>
      <c r="NME1361" s="23"/>
      <c r="NMF1361" s="23"/>
      <c r="NMG1361" s="23"/>
      <c r="NMH1361" s="23"/>
      <c r="NMI1361" s="23"/>
      <c r="NMJ1361" s="23"/>
      <c r="NMK1361" s="23"/>
      <c r="NML1361" s="23"/>
      <c r="NMM1361" s="23"/>
      <c r="NMN1361" s="23"/>
      <c r="NMO1361" s="23"/>
      <c r="NMP1361" s="23"/>
      <c r="NMQ1361" s="23"/>
      <c r="NMR1361" s="23"/>
      <c r="NMS1361" s="23"/>
      <c r="NMT1361" s="23"/>
      <c r="NMU1361" s="23"/>
      <c r="NMV1361" s="23"/>
      <c r="NMW1361" s="23"/>
      <c r="NMX1361" s="23"/>
      <c r="NMY1361" s="23"/>
      <c r="NMZ1361" s="23"/>
      <c r="NNA1361" s="23"/>
      <c r="NNB1361" s="23"/>
      <c r="NNC1361" s="23"/>
      <c r="NND1361" s="23"/>
      <c r="NNE1361" s="23"/>
      <c r="NNF1361" s="23"/>
      <c r="NNG1361" s="23"/>
      <c r="NNH1361" s="23"/>
      <c r="NNI1361" s="23"/>
      <c r="NNJ1361" s="23"/>
      <c r="NNK1361" s="23"/>
      <c r="NNL1361" s="23"/>
      <c r="NNM1361" s="23"/>
      <c r="NNN1361" s="23"/>
      <c r="NNO1361" s="23"/>
      <c r="NNP1361" s="23"/>
      <c r="NNQ1361" s="23"/>
      <c r="NNR1361" s="23"/>
      <c r="NNS1361" s="23"/>
      <c r="NNT1361" s="23"/>
      <c r="NNU1361" s="23"/>
      <c r="NNV1361" s="23"/>
      <c r="NNW1361" s="23"/>
      <c r="NNX1361" s="23"/>
      <c r="NNY1361" s="23"/>
      <c r="NNZ1361" s="23"/>
      <c r="NOA1361" s="23"/>
      <c r="NOB1361" s="23"/>
      <c r="NOC1361" s="23"/>
      <c r="NOD1361" s="23"/>
      <c r="NOE1361" s="23"/>
      <c r="NOF1361" s="23"/>
      <c r="NOG1361" s="23"/>
      <c r="NOH1361" s="23"/>
      <c r="NOI1361" s="23"/>
      <c r="NOJ1361" s="23"/>
      <c r="NOK1361" s="23"/>
      <c r="NOL1361" s="23"/>
      <c r="NOM1361" s="23"/>
      <c r="NON1361" s="23"/>
      <c r="NOO1361" s="23"/>
      <c r="NOP1361" s="23"/>
      <c r="NOQ1361" s="23"/>
      <c r="NOR1361" s="23"/>
      <c r="NOS1361" s="23"/>
      <c r="NOT1361" s="23"/>
      <c r="NOU1361" s="23"/>
      <c r="NOV1361" s="23"/>
      <c r="NOW1361" s="23"/>
      <c r="NOX1361" s="23"/>
      <c r="NOY1361" s="23"/>
      <c r="NOZ1361" s="23"/>
      <c r="NPA1361" s="23"/>
      <c r="NPB1361" s="23"/>
      <c r="NPC1361" s="23"/>
      <c r="NPD1361" s="23"/>
      <c r="NPE1361" s="23"/>
      <c r="NPF1361" s="23"/>
      <c r="NPG1361" s="23"/>
      <c r="NPH1361" s="23"/>
      <c r="NPI1361" s="23"/>
      <c r="NPJ1361" s="23"/>
      <c r="NPK1361" s="23"/>
      <c r="NPL1361" s="23"/>
      <c r="NPM1361" s="23"/>
      <c r="NPN1361" s="23"/>
      <c r="NPO1361" s="23"/>
      <c r="NPP1361" s="23"/>
      <c r="NPQ1361" s="23"/>
      <c r="NPR1361" s="23"/>
      <c r="NPS1361" s="23"/>
      <c r="NPT1361" s="23"/>
      <c r="NPU1361" s="23"/>
      <c r="NPV1361" s="23"/>
      <c r="NPW1361" s="23"/>
      <c r="NPX1361" s="23"/>
      <c r="NPY1361" s="23"/>
      <c r="NPZ1361" s="23"/>
      <c r="NQA1361" s="23"/>
      <c r="NQB1361" s="23"/>
      <c r="NQC1361" s="23"/>
      <c r="NQD1361" s="23"/>
      <c r="NQE1361" s="23"/>
      <c r="NQF1361" s="23"/>
      <c r="NQG1361" s="23"/>
      <c r="NQH1361" s="23"/>
      <c r="NQI1361" s="23"/>
      <c r="NQJ1361" s="23"/>
      <c r="NQK1361" s="23"/>
      <c r="NQL1361" s="23"/>
      <c r="NQM1361" s="23"/>
      <c r="NQN1361" s="23"/>
      <c r="NQO1361" s="23"/>
      <c r="NQP1361" s="23"/>
      <c r="NQQ1361" s="23"/>
      <c r="NQR1361" s="23"/>
      <c r="NQS1361" s="23"/>
      <c r="NQT1361" s="23"/>
      <c r="NQU1361" s="23"/>
      <c r="NQV1361" s="23"/>
      <c r="NQW1361" s="23"/>
      <c r="NQX1361" s="23"/>
      <c r="NQY1361" s="23"/>
      <c r="NQZ1361" s="23"/>
      <c r="NRA1361" s="23"/>
      <c r="NRB1361" s="23"/>
      <c r="NRC1361" s="23"/>
      <c r="NRD1361" s="23"/>
      <c r="NRE1361" s="23"/>
      <c r="NRF1361" s="23"/>
      <c r="NRG1361" s="23"/>
      <c r="NRH1361" s="23"/>
      <c r="NRI1361" s="23"/>
      <c r="NRJ1361" s="23"/>
      <c r="NRK1361" s="23"/>
      <c r="NRL1361" s="23"/>
      <c r="NRM1361" s="23"/>
      <c r="NRN1361" s="23"/>
      <c r="NRO1361" s="23"/>
      <c r="NRP1361" s="23"/>
      <c r="NRQ1361" s="23"/>
      <c r="NRR1361" s="23"/>
      <c r="NRS1361" s="23"/>
      <c r="NRT1361" s="23"/>
      <c r="NRU1361" s="23"/>
      <c r="NRV1361" s="23"/>
      <c r="NRW1361" s="23"/>
      <c r="NRX1361" s="23"/>
      <c r="NRY1361" s="23"/>
      <c r="NRZ1361" s="23"/>
      <c r="NSA1361" s="23"/>
      <c r="NSB1361" s="23"/>
      <c r="NSC1361" s="23"/>
      <c r="NSD1361" s="23"/>
      <c r="NSE1361" s="23"/>
      <c r="NSF1361" s="23"/>
      <c r="NSG1361" s="23"/>
      <c r="NSH1361" s="23"/>
      <c r="NSI1361" s="23"/>
      <c r="NSJ1361" s="23"/>
      <c r="NSK1361" s="23"/>
      <c r="NSL1361" s="23"/>
      <c r="NSM1361" s="23"/>
      <c r="NSN1361" s="23"/>
      <c r="NSO1361" s="23"/>
      <c r="NSP1361" s="23"/>
      <c r="NSQ1361" s="23"/>
      <c r="NSR1361" s="23"/>
      <c r="NSS1361" s="23"/>
      <c r="NST1361" s="23"/>
      <c r="NSU1361" s="23"/>
      <c r="NSV1361" s="23"/>
      <c r="NSW1361" s="23"/>
      <c r="NSX1361" s="23"/>
      <c r="NSY1361" s="23"/>
      <c r="NSZ1361" s="23"/>
      <c r="NTA1361" s="23"/>
      <c r="NTB1361" s="23"/>
      <c r="NTC1361" s="23"/>
      <c r="NTD1361" s="23"/>
      <c r="NTE1361" s="23"/>
      <c r="NTF1361" s="23"/>
      <c r="NTG1361" s="23"/>
      <c r="NTH1361" s="23"/>
      <c r="NTI1361" s="23"/>
      <c r="NTJ1361" s="23"/>
      <c r="NTK1361" s="23"/>
      <c r="NTL1361" s="23"/>
      <c r="NTM1361" s="23"/>
      <c r="NTN1361" s="23"/>
      <c r="NTO1361" s="23"/>
      <c r="NTP1361" s="23"/>
      <c r="NTQ1361" s="23"/>
      <c r="NTR1361" s="23"/>
      <c r="NTS1361" s="23"/>
      <c r="NTT1361" s="23"/>
      <c r="NTU1361" s="23"/>
      <c r="NTV1361" s="23"/>
      <c r="NTW1361" s="23"/>
      <c r="NTX1361" s="23"/>
      <c r="NTY1361" s="23"/>
      <c r="NTZ1361" s="23"/>
      <c r="NUA1361" s="23"/>
      <c r="NUB1361" s="23"/>
      <c r="NUC1361" s="23"/>
      <c r="NUD1361" s="23"/>
      <c r="NUE1361" s="23"/>
      <c r="NUF1361" s="23"/>
      <c r="NUG1361" s="23"/>
      <c r="NUH1361" s="23"/>
      <c r="NUI1361" s="23"/>
      <c r="NUJ1361" s="23"/>
      <c r="NUK1361" s="23"/>
      <c r="NUL1361" s="23"/>
      <c r="NUM1361" s="23"/>
      <c r="NUN1361" s="23"/>
      <c r="NUO1361" s="23"/>
      <c r="NUP1361" s="23"/>
      <c r="NUQ1361" s="23"/>
      <c r="NUR1361" s="23"/>
      <c r="NUS1361" s="23"/>
      <c r="NUT1361" s="23"/>
      <c r="NUU1361" s="23"/>
      <c r="NUV1361" s="23"/>
      <c r="NUW1361" s="23"/>
      <c r="NUX1361" s="23"/>
      <c r="NUY1361" s="23"/>
      <c r="NUZ1361" s="23"/>
      <c r="NVA1361" s="23"/>
      <c r="NVB1361" s="23"/>
      <c r="NVC1361" s="23"/>
      <c r="NVD1361" s="23"/>
      <c r="NVE1361" s="23"/>
      <c r="NVF1361" s="23"/>
      <c r="NVG1361" s="23"/>
      <c r="NVH1361" s="23"/>
      <c r="NVI1361" s="23"/>
      <c r="NVJ1361" s="23"/>
      <c r="NVK1361" s="23"/>
      <c r="NVL1361" s="23"/>
      <c r="NVM1361" s="23"/>
      <c r="NVN1361" s="23"/>
      <c r="NVO1361" s="23"/>
      <c r="NVP1361" s="23"/>
      <c r="NVQ1361" s="23"/>
      <c r="NVR1361" s="23"/>
      <c r="NVS1361" s="23"/>
      <c r="NVT1361" s="23"/>
      <c r="NVU1361" s="23"/>
      <c r="NVV1361" s="23"/>
      <c r="NVW1361" s="23"/>
      <c r="NVX1361" s="23"/>
      <c r="NVY1361" s="23"/>
      <c r="NVZ1361" s="23"/>
      <c r="NWA1361" s="23"/>
      <c r="NWB1361" s="23"/>
      <c r="NWC1361" s="23"/>
      <c r="NWD1361" s="23"/>
      <c r="NWE1361" s="23"/>
      <c r="NWF1361" s="23"/>
      <c r="NWG1361" s="23"/>
      <c r="NWH1361" s="23"/>
      <c r="NWI1361" s="23"/>
      <c r="NWJ1361" s="23"/>
      <c r="NWK1361" s="23"/>
      <c r="NWL1361" s="23"/>
      <c r="NWM1361" s="23"/>
      <c r="NWN1361" s="23"/>
      <c r="NWO1361" s="23"/>
      <c r="NWP1361" s="23"/>
      <c r="NWQ1361" s="23"/>
      <c r="NWR1361" s="23"/>
      <c r="NWS1361" s="23"/>
      <c r="NWT1361" s="23"/>
      <c r="NWU1361" s="23"/>
      <c r="NWV1361" s="23"/>
      <c r="NWW1361" s="23"/>
      <c r="NWX1361" s="23"/>
      <c r="NWY1361" s="23"/>
      <c r="NWZ1361" s="23"/>
      <c r="NXA1361" s="23"/>
      <c r="NXB1361" s="23"/>
      <c r="NXC1361" s="23"/>
      <c r="NXD1361" s="23"/>
      <c r="NXE1361" s="23"/>
      <c r="NXF1361" s="23"/>
      <c r="NXG1361" s="23"/>
      <c r="NXH1361" s="23"/>
      <c r="NXI1361" s="23"/>
      <c r="NXJ1361" s="23"/>
      <c r="NXK1361" s="23"/>
      <c r="NXL1361" s="23"/>
      <c r="NXM1361" s="23"/>
      <c r="NXN1361" s="23"/>
      <c r="NXO1361" s="23"/>
      <c r="NXP1361" s="23"/>
      <c r="NXQ1361" s="23"/>
      <c r="NXR1361" s="23"/>
      <c r="NXS1361" s="23"/>
      <c r="NXT1361" s="23"/>
      <c r="NXU1361" s="23"/>
      <c r="NXV1361" s="23"/>
      <c r="NXW1361" s="23"/>
      <c r="NXX1361" s="23"/>
      <c r="NXY1361" s="23"/>
      <c r="NXZ1361" s="23"/>
      <c r="NYA1361" s="23"/>
      <c r="NYB1361" s="23"/>
      <c r="NYC1361" s="23"/>
      <c r="NYD1361" s="23"/>
      <c r="NYE1361" s="23"/>
      <c r="NYF1361" s="23"/>
      <c r="NYG1361" s="23"/>
      <c r="NYH1361" s="23"/>
      <c r="NYI1361" s="23"/>
      <c r="NYJ1361" s="23"/>
      <c r="NYK1361" s="23"/>
      <c r="NYL1361" s="23"/>
      <c r="NYM1361" s="23"/>
      <c r="NYN1361" s="23"/>
      <c r="NYO1361" s="23"/>
      <c r="NYP1361" s="23"/>
      <c r="NYQ1361" s="23"/>
      <c r="NYR1361" s="23"/>
      <c r="NYS1361" s="23"/>
      <c r="NYT1361" s="23"/>
      <c r="NYU1361" s="23"/>
      <c r="NYV1361" s="23"/>
      <c r="NYW1361" s="23"/>
      <c r="NYX1361" s="23"/>
      <c r="NYY1361" s="23"/>
      <c r="NYZ1361" s="23"/>
      <c r="NZA1361" s="23"/>
      <c r="NZB1361" s="23"/>
      <c r="NZC1361" s="23"/>
      <c r="NZD1361" s="23"/>
      <c r="NZE1361" s="23"/>
      <c r="NZF1361" s="23"/>
      <c r="NZG1361" s="23"/>
      <c r="NZH1361" s="23"/>
      <c r="NZI1361" s="23"/>
      <c r="NZJ1361" s="23"/>
      <c r="NZK1361" s="23"/>
      <c r="NZL1361" s="23"/>
      <c r="NZM1361" s="23"/>
      <c r="NZN1361" s="23"/>
      <c r="NZO1361" s="23"/>
      <c r="NZP1361" s="23"/>
      <c r="NZQ1361" s="23"/>
      <c r="NZR1361" s="23"/>
      <c r="NZS1361" s="23"/>
      <c r="NZT1361" s="23"/>
      <c r="NZU1361" s="23"/>
      <c r="NZV1361" s="23"/>
      <c r="NZW1361" s="23"/>
      <c r="NZX1361" s="23"/>
      <c r="NZY1361" s="23"/>
      <c r="NZZ1361" s="23"/>
      <c r="OAA1361" s="23"/>
      <c r="OAB1361" s="23"/>
      <c r="OAC1361" s="23"/>
      <c r="OAD1361" s="23"/>
      <c r="OAE1361" s="23"/>
      <c r="OAF1361" s="23"/>
      <c r="OAG1361" s="23"/>
      <c r="OAH1361" s="23"/>
      <c r="OAI1361" s="23"/>
      <c r="OAJ1361" s="23"/>
      <c r="OAK1361" s="23"/>
      <c r="OAL1361" s="23"/>
      <c r="OAM1361" s="23"/>
      <c r="OAN1361" s="23"/>
      <c r="OAO1361" s="23"/>
      <c r="OAP1361" s="23"/>
      <c r="OAQ1361" s="23"/>
      <c r="OAR1361" s="23"/>
      <c r="OAS1361" s="23"/>
      <c r="OAT1361" s="23"/>
      <c r="OAU1361" s="23"/>
      <c r="OAV1361" s="23"/>
      <c r="OAW1361" s="23"/>
      <c r="OAX1361" s="23"/>
      <c r="OAY1361" s="23"/>
      <c r="OAZ1361" s="23"/>
      <c r="OBA1361" s="23"/>
      <c r="OBB1361" s="23"/>
      <c r="OBC1361" s="23"/>
      <c r="OBD1361" s="23"/>
      <c r="OBE1361" s="23"/>
      <c r="OBF1361" s="23"/>
      <c r="OBG1361" s="23"/>
      <c r="OBH1361" s="23"/>
      <c r="OBI1361" s="23"/>
      <c r="OBJ1361" s="23"/>
      <c r="OBK1361" s="23"/>
      <c r="OBL1361" s="23"/>
      <c r="OBM1361" s="23"/>
      <c r="OBN1361" s="23"/>
      <c r="OBO1361" s="23"/>
      <c r="OBP1361" s="23"/>
      <c r="OBQ1361" s="23"/>
      <c r="OBR1361" s="23"/>
      <c r="OBS1361" s="23"/>
      <c r="OBT1361" s="23"/>
      <c r="OBU1361" s="23"/>
      <c r="OBV1361" s="23"/>
      <c r="OBW1361" s="23"/>
      <c r="OBX1361" s="23"/>
      <c r="OBY1361" s="23"/>
      <c r="OBZ1361" s="23"/>
      <c r="OCA1361" s="23"/>
      <c r="OCB1361" s="23"/>
      <c r="OCC1361" s="23"/>
      <c r="OCD1361" s="23"/>
      <c r="OCE1361" s="23"/>
      <c r="OCF1361" s="23"/>
      <c r="OCG1361" s="23"/>
      <c r="OCH1361" s="23"/>
      <c r="OCI1361" s="23"/>
      <c r="OCJ1361" s="23"/>
      <c r="OCK1361" s="23"/>
      <c r="OCL1361" s="23"/>
      <c r="OCM1361" s="23"/>
      <c r="OCN1361" s="23"/>
      <c r="OCO1361" s="23"/>
      <c r="OCP1361" s="23"/>
      <c r="OCQ1361" s="23"/>
      <c r="OCR1361" s="23"/>
      <c r="OCS1361" s="23"/>
      <c r="OCT1361" s="23"/>
      <c r="OCU1361" s="23"/>
      <c r="OCV1361" s="23"/>
      <c r="OCW1361" s="23"/>
      <c r="OCX1361" s="23"/>
      <c r="OCY1361" s="23"/>
      <c r="OCZ1361" s="23"/>
      <c r="ODA1361" s="23"/>
      <c r="ODB1361" s="23"/>
      <c r="ODC1361" s="23"/>
      <c r="ODD1361" s="23"/>
      <c r="ODE1361" s="23"/>
      <c r="ODF1361" s="23"/>
      <c r="ODG1361" s="23"/>
      <c r="ODH1361" s="23"/>
      <c r="ODI1361" s="23"/>
      <c r="ODJ1361" s="23"/>
      <c r="ODK1361" s="23"/>
      <c r="ODL1361" s="23"/>
      <c r="ODM1361" s="23"/>
      <c r="ODN1361" s="23"/>
      <c r="ODO1361" s="23"/>
      <c r="ODP1361" s="23"/>
      <c r="ODQ1361" s="23"/>
      <c r="ODR1361" s="23"/>
      <c r="ODS1361" s="23"/>
      <c r="ODT1361" s="23"/>
      <c r="ODU1361" s="23"/>
      <c r="ODV1361" s="23"/>
      <c r="ODW1361" s="23"/>
      <c r="ODX1361" s="23"/>
      <c r="ODY1361" s="23"/>
      <c r="ODZ1361" s="23"/>
      <c r="OEA1361" s="23"/>
      <c r="OEB1361" s="23"/>
      <c r="OEC1361" s="23"/>
      <c r="OED1361" s="23"/>
      <c r="OEE1361" s="23"/>
      <c r="OEF1361" s="23"/>
      <c r="OEG1361" s="23"/>
      <c r="OEH1361" s="23"/>
      <c r="OEI1361" s="23"/>
      <c r="OEJ1361" s="23"/>
      <c r="OEK1361" s="23"/>
      <c r="OEL1361" s="23"/>
      <c r="OEM1361" s="23"/>
      <c r="OEN1361" s="23"/>
      <c r="OEO1361" s="23"/>
      <c r="OEP1361" s="23"/>
      <c r="OEQ1361" s="23"/>
      <c r="OER1361" s="23"/>
      <c r="OES1361" s="23"/>
      <c r="OET1361" s="23"/>
      <c r="OEU1361" s="23"/>
      <c r="OEV1361" s="23"/>
      <c r="OEW1361" s="23"/>
      <c r="OEX1361" s="23"/>
      <c r="OEY1361" s="23"/>
      <c r="OEZ1361" s="23"/>
      <c r="OFA1361" s="23"/>
      <c r="OFB1361" s="23"/>
      <c r="OFC1361" s="23"/>
      <c r="OFD1361" s="23"/>
      <c r="OFE1361" s="23"/>
      <c r="OFF1361" s="23"/>
      <c r="OFG1361" s="23"/>
      <c r="OFH1361" s="23"/>
      <c r="OFI1361" s="23"/>
      <c r="OFJ1361" s="23"/>
      <c r="OFK1361" s="23"/>
      <c r="OFL1361" s="23"/>
      <c r="OFM1361" s="23"/>
      <c r="OFN1361" s="23"/>
      <c r="OFO1361" s="23"/>
      <c r="OFP1361" s="23"/>
      <c r="OFQ1361" s="23"/>
      <c r="OFR1361" s="23"/>
      <c r="OFS1361" s="23"/>
      <c r="OFT1361" s="23"/>
      <c r="OFU1361" s="23"/>
      <c r="OFV1361" s="23"/>
      <c r="OFW1361" s="23"/>
      <c r="OFX1361" s="23"/>
      <c r="OFY1361" s="23"/>
      <c r="OFZ1361" s="23"/>
      <c r="OGA1361" s="23"/>
      <c r="OGB1361" s="23"/>
      <c r="OGC1361" s="23"/>
      <c r="OGD1361" s="23"/>
      <c r="OGE1361" s="23"/>
      <c r="OGF1361" s="23"/>
      <c r="OGG1361" s="23"/>
      <c r="OGH1361" s="23"/>
      <c r="OGI1361" s="23"/>
      <c r="OGJ1361" s="23"/>
      <c r="OGK1361" s="23"/>
      <c r="OGL1361" s="23"/>
      <c r="OGM1361" s="23"/>
      <c r="OGN1361" s="23"/>
      <c r="OGO1361" s="23"/>
      <c r="OGP1361" s="23"/>
      <c r="OGQ1361" s="23"/>
      <c r="OGR1361" s="23"/>
      <c r="OGS1361" s="23"/>
      <c r="OGT1361" s="23"/>
      <c r="OGU1361" s="23"/>
      <c r="OGV1361" s="23"/>
      <c r="OGW1361" s="23"/>
      <c r="OGX1361" s="23"/>
      <c r="OGY1361" s="23"/>
      <c r="OGZ1361" s="23"/>
      <c r="OHA1361" s="23"/>
      <c r="OHB1361" s="23"/>
      <c r="OHC1361" s="23"/>
      <c r="OHD1361" s="23"/>
      <c r="OHE1361" s="23"/>
      <c r="OHF1361" s="23"/>
      <c r="OHG1361" s="23"/>
      <c r="OHH1361" s="23"/>
      <c r="OHI1361" s="23"/>
      <c r="OHJ1361" s="23"/>
      <c r="OHK1361" s="23"/>
      <c r="OHL1361" s="23"/>
      <c r="OHM1361" s="23"/>
      <c r="OHN1361" s="23"/>
      <c r="OHO1361" s="23"/>
      <c r="OHP1361" s="23"/>
      <c r="OHQ1361" s="23"/>
      <c r="OHR1361" s="23"/>
      <c r="OHS1361" s="23"/>
      <c r="OHT1361" s="23"/>
      <c r="OHU1361" s="23"/>
      <c r="OHV1361" s="23"/>
      <c r="OHW1361" s="23"/>
      <c r="OHX1361" s="23"/>
      <c r="OHY1361" s="23"/>
      <c r="OHZ1361" s="23"/>
      <c r="OIA1361" s="23"/>
      <c r="OIB1361" s="23"/>
      <c r="OIC1361" s="23"/>
      <c r="OID1361" s="23"/>
      <c r="OIE1361" s="23"/>
      <c r="OIF1361" s="23"/>
      <c r="OIG1361" s="23"/>
      <c r="OIH1361" s="23"/>
      <c r="OII1361" s="23"/>
      <c r="OIJ1361" s="23"/>
      <c r="OIK1361" s="23"/>
      <c r="OIL1361" s="23"/>
      <c r="OIM1361" s="23"/>
      <c r="OIN1361" s="23"/>
      <c r="OIO1361" s="23"/>
      <c r="OIP1361" s="23"/>
      <c r="OIQ1361" s="23"/>
      <c r="OIR1361" s="23"/>
      <c r="OIS1361" s="23"/>
      <c r="OIT1361" s="23"/>
      <c r="OIU1361" s="23"/>
      <c r="OIV1361" s="23"/>
      <c r="OIW1361" s="23"/>
      <c r="OIX1361" s="23"/>
      <c r="OIY1361" s="23"/>
      <c r="OIZ1361" s="23"/>
      <c r="OJA1361" s="23"/>
      <c r="OJB1361" s="23"/>
      <c r="OJC1361" s="23"/>
      <c r="OJD1361" s="23"/>
      <c r="OJE1361" s="23"/>
      <c r="OJF1361" s="23"/>
      <c r="OJG1361" s="23"/>
      <c r="OJH1361" s="23"/>
      <c r="OJI1361" s="23"/>
      <c r="OJJ1361" s="23"/>
      <c r="OJK1361" s="23"/>
      <c r="OJL1361" s="23"/>
      <c r="OJM1361" s="23"/>
      <c r="OJN1361" s="23"/>
      <c r="OJO1361" s="23"/>
      <c r="OJP1361" s="23"/>
      <c r="OJQ1361" s="23"/>
      <c r="OJR1361" s="23"/>
      <c r="OJS1361" s="23"/>
      <c r="OJT1361" s="23"/>
      <c r="OJU1361" s="23"/>
      <c r="OJV1361" s="23"/>
      <c r="OJW1361" s="23"/>
      <c r="OJX1361" s="23"/>
      <c r="OJY1361" s="23"/>
      <c r="OJZ1361" s="23"/>
      <c r="OKA1361" s="23"/>
      <c r="OKB1361" s="23"/>
      <c r="OKC1361" s="23"/>
      <c r="OKD1361" s="23"/>
      <c r="OKE1361" s="23"/>
      <c r="OKF1361" s="23"/>
      <c r="OKG1361" s="23"/>
      <c r="OKH1361" s="23"/>
      <c r="OKI1361" s="23"/>
      <c r="OKJ1361" s="23"/>
      <c r="OKK1361" s="23"/>
      <c r="OKL1361" s="23"/>
      <c r="OKM1361" s="23"/>
      <c r="OKN1361" s="23"/>
      <c r="OKO1361" s="23"/>
      <c r="OKP1361" s="23"/>
      <c r="OKQ1361" s="23"/>
      <c r="OKR1361" s="23"/>
      <c r="OKS1361" s="23"/>
      <c r="OKT1361" s="23"/>
      <c r="OKU1361" s="23"/>
      <c r="OKV1361" s="23"/>
      <c r="OKW1361" s="23"/>
      <c r="OKX1361" s="23"/>
      <c r="OKY1361" s="23"/>
      <c r="OKZ1361" s="23"/>
      <c r="OLA1361" s="23"/>
      <c r="OLB1361" s="23"/>
      <c r="OLC1361" s="23"/>
      <c r="OLD1361" s="23"/>
      <c r="OLE1361" s="23"/>
      <c r="OLF1361" s="23"/>
      <c r="OLG1361" s="23"/>
      <c r="OLH1361" s="23"/>
      <c r="OLI1361" s="23"/>
      <c r="OLJ1361" s="23"/>
      <c r="OLK1361" s="23"/>
      <c r="OLL1361" s="23"/>
      <c r="OLM1361" s="23"/>
      <c r="OLN1361" s="23"/>
      <c r="OLO1361" s="23"/>
      <c r="OLP1361" s="23"/>
      <c r="OLQ1361" s="23"/>
      <c r="OLR1361" s="23"/>
      <c r="OLS1361" s="23"/>
      <c r="OLT1361" s="23"/>
      <c r="OLU1361" s="23"/>
      <c r="OLV1361" s="23"/>
      <c r="OLW1361" s="23"/>
      <c r="OLX1361" s="23"/>
      <c r="OLY1361" s="23"/>
      <c r="OLZ1361" s="23"/>
      <c r="OMA1361" s="23"/>
      <c r="OMB1361" s="23"/>
      <c r="OMC1361" s="23"/>
      <c r="OMD1361" s="23"/>
      <c r="OME1361" s="23"/>
      <c r="OMF1361" s="23"/>
      <c r="OMG1361" s="23"/>
      <c r="OMH1361" s="23"/>
      <c r="OMI1361" s="23"/>
      <c r="OMJ1361" s="23"/>
      <c r="OMK1361" s="23"/>
      <c r="OML1361" s="23"/>
      <c r="OMM1361" s="23"/>
      <c r="OMN1361" s="23"/>
      <c r="OMO1361" s="23"/>
      <c r="OMP1361" s="23"/>
      <c r="OMQ1361" s="23"/>
      <c r="OMR1361" s="23"/>
      <c r="OMS1361" s="23"/>
      <c r="OMT1361" s="23"/>
      <c r="OMU1361" s="23"/>
      <c r="OMV1361" s="23"/>
      <c r="OMW1361" s="23"/>
      <c r="OMX1361" s="23"/>
      <c r="OMY1361" s="23"/>
      <c r="OMZ1361" s="23"/>
      <c r="ONA1361" s="23"/>
      <c r="ONB1361" s="23"/>
      <c r="ONC1361" s="23"/>
      <c r="OND1361" s="23"/>
      <c r="ONE1361" s="23"/>
      <c r="ONF1361" s="23"/>
      <c r="ONG1361" s="23"/>
      <c r="ONH1361" s="23"/>
      <c r="ONI1361" s="23"/>
      <c r="ONJ1361" s="23"/>
      <c r="ONK1361" s="23"/>
      <c r="ONL1361" s="23"/>
      <c r="ONM1361" s="23"/>
      <c r="ONN1361" s="23"/>
      <c r="ONO1361" s="23"/>
      <c r="ONP1361" s="23"/>
      <c r="ONQ1361" s="23"/>
      <c r="ONR1361" s="23"/>
      <c r="ONS1361" s="23"/>
      <c r="ONT1361" s="23"/>
      <c r="ONU1361" s="23"/>
      <c r="ONV1361" s="23"/>
      <c r="ONW1361" s="23"/>
      <c r="ONX1361" s="23"/>
      <c r="ONY1361" s="23"/>
      <c r="ONZ1361" s="23"/>
      <c r="OOA1361" s="23"/>
      <c r="OOB1361" s="23"/>
      <c r="OOC1361" s="23"/>
      <c r="OOD1361" s="23"/>
      <c r="OOE1361" s="23"/>
      <c r="OOF1361" s="23"/>
      <c r="OOG1361" s="23"/>
      <c r="OOH1361" s="23"/>
      <c r="OOI1361" s="23"/>
      <c r="OOJ1361" s="23"/>
      <c r="OOK1361" s="23"/>
      <c r="OOL1361" s="23"/>
      <c r="OOM1361" s="23"/>
      <c r="OON1361" s="23"/>
      <c r="OOO1361" s="23"/>
      <c r="OOP1361" s="23"/>
      <c r="OOQ1361" s="23"/>
      <c r="OOR1361" s="23"/>
      <c r="OOS1361" s="23"/>
      <c r="OOT1361" s="23"/>
      <c r="OOU1361" s="23"/>
      <c r="OOV1361" s="23"/>
      <c r="OOW1361" s="23"/>
      <c r="OOX1361" s="23"/>
      <c r="OOY1361" s="23"/>
      <c r="OOZ1361" s="23"/>
      <c r="OPA1361" s="23"/>
      <c r="OPB1361" s="23"/>
      <c r="OPC1361" s="23"/>
      <c r="OPD1361" s="23"/>
      <c r="OPE1361" s="23"/>
      <c r="OPF1361" s="23"/>
      <c r="OPG1361" s="23"/>
      <c r="OPH1361" s="23"/>
      <c r="OPI1361" s="23"/>
      <c r="OPJ1361" s="23"/>
      <c r="OPK1361" s="23"/>
      <c r="OPL1361" s="23"/>
      <c r="OPM1361" s="23"/>
      <c r="OPN1361" s="23"/>
      <c r="OPO1361" s="23"/>
      <c r="OPP1361" s="23"/>
      <c r="OPQ1361" s="23"/>
      <c r="OPR1361" s="23"/>
      <c r="OPS1361" s="23"/>
      <c r="OPT1361" s="23"/>
      <c r="OPU1361" s="23"/>
      <c r="OPV1361" s="23"/>
      <c r="OPW1361" s="23"/>
      <c r="OPX1361" s="23"/>
      <c r="OPY1361" s="23"/>
      <c r="OPZ1361" s="23"/>
      <c r="OQA1361" s="23"/>
      <c r="OQB1361" s="23"/>
      <c r="OQC1361" s="23"/>
      <c r="OQD1361" s="23"/>
      <c r="OQE1361" s="23"/>
      <c r="OQF1361" s="23"/>
      <c r="OQG1361" s="23"/>
      <c r="OQH1361" s="23"/>
      <c r="OQI1361" s="23"/>
      <c r="OQJ1361" s="23"/>
      <c r="OQK1361" s="23"/>
      <c r="OQL1361" s="23"/>
      <c r="OQM1361" s="23"/>
      <c r="OQN1361" s="23"/>
      <c r="OQO1361" s="23"/>
      <c r="OQP1361" s="23"/>
      <c r="OQQ1361" s="23"/>
      <c r="OQR1361" s="23"/>
      <c r="OQS1361" s="23"/>
      <c r="OQT1361" s="23"/>
      <c r="OQU1361" s="23"/>
      <c r="OQV1361" s="23"/>
      <c r="OQW1361" s="23"/>
      <c r="OQX1361" s="23"/>
      <c r="OQY1361" s="23"/>
      <c r="OQZ1361" s="23"/>
      <c r="ORA1361" s="23"/>
      <c r="ORB1361" s="23"/>
      <c r="ORC1361" s="23"/>
      <c r="ORD1361" s="23"/>
      <c r="ORE1361" s="23"/>
      <c r="ORF1361" s="23"/>
      <c r="ORG1361" s="23"/>
      <c r="ORH1361" s="23"/>
      <c r="ORI1361" s="23"/>
      <c r="ORJ1361" s="23"/>
      <c r="ORK1361" s="23"/>
      <c r="ORL1361" s="23"/>
      <c r="ORM1361" s="23"/>
      <c r="ORN1361" s="23"/>
      <c r="ORO1361" s="23"/>
      <c r="ORP1361" s="23"/>
      <c r="ORQ1361" s="23"/>
      <c r="ORR1361" s="23"/>
      <c r="ORS1361" s="23"/>
      <c r="ORT1361" s="23"/>
      <c r="ORU1361" s="23"/>
      <c r="ORV1361" s="23"/>
      <c r="ORW1361" s="23"/>
      <c r="ORX1361" s="23"/>
      <c r="ORY1361" s="23"/>
      <c r="ORZ1361" s="23"/>
      <c r="OSA1361" s="23"/>
      <c r="OSB1361" s="23"/>
      <c r="OSC1361" s="23"/>
      <c r="OSD1361" s="23"/>
      <c r="OSE1361" s="23"/>
      <c r="OSF1361" s="23"/>
      <c r="OSG1361" s="23"/>
      <c r="OSH1361" s="23"/>
      <c r="OSI1361" s="23"/>
      <c r="OSJ1361" s="23"/>
      <c r="OSK1361" s="23"/>
      <c r="OSL1361" s="23"/>
      <c r="OSM1361" s="23"/>
      <c r="OSN1361" s="23"/>
      <c r="OSO1361" s="23"/>
      <c r="OSP1361" s="23"/>
      <c r="OSQ1361" s="23"/>
      <c r="OSR1361" s="23"/>
      <c r="OSS1361" s="23"/>
      <c r="OST1361" s="23"/>
      <c r="OSU1361" s="23"/>
      <c r="OSV1361" s="23"/>
      <c r="OSW1361" s="23"/>
      <c r="OSX1361" s="23"/>
      <c r="OSY1361" s="23"/>
      <c r="OSZ1361" s="23"/>
      <c r="OTA1361" s="23"/>
      <c r="OTB1361" s="23"/>
      <c r="OTC1361" s="23"/>
      <c r="OTD1361" s="23"/>
      <c r="OTE1361" s="23"/>
      <c r="OTF1361" s="23"/>
      <c r="OTG1361" s="23"/>
      <c r="OTH1361" s="23"/>
      <c r="OTI1361" s="23"/>
      <c r="OTJ1361" s="23"/>
      <c r="OTK1361" s="23"/>
      <c r="OTL1361" s="23"/>
      <c r="OTM1361" s="23"/>
      <c r="OTN1361" s="23"/>
      <c r="OTO1361" s="23"/>
      <c r="OTP1361" s="23"/>
      <c r="OTQ1361" s="23"/>
      <c r="OTR1361" s="23"/>
      <c r="OTS1361" s="23"/>
      <c r="OTT1361" s="23"/>
      <c r="OTU1361" s="23"/>
      <c r="OTV1361" s="23"/>
      <c r="OTW1361" s="23"/>
      <c r="OTX1361" s="23"/>
      <c r="OTY1361" s="23"/>
      <c r="OTZ1361" s="23"/>
      <c r="OUA1361" s="23"/>
      <c r="OUB1361" s="23"/>
      <c r="OUC1361" s="23"/>
      <c r="OUD1361" s="23"/>
      <c r="OUE1361" s="23"/>
      <c r="OUF1361" s="23"/>
      <c r="OUG1361" s="23"/>
      <c r="OUH1361" s="23"/>
      <c r="OUI1361" s="23"/>
      <c r="OUJ1361" s="23"/>
      <c r="OUK1361" s="23"/>
      <c r="OUL1361" s="23"/>
      <c r="OUM1361" s="23"/>
      <c r="OUN1361" s="23"/>
      <c r="OUO1361" s="23"/>
      <c r="OUP1361" s="23"/>
      <c r="OUQ1361" s="23"/>
      <c r="OUR1361" s="23"/>
      <c r="OUS1361" s="23"/>
      <c r="OUT1361" s="23"/>
      <c r="OUU1361" s="23"/>
      <c r="OUV1361" s="23"/>
      <c r="OUW1361" s="23"/>
      <c r="OUX1361" s="23"/>
      <c r="OUY1361" s="23"/>
      <c r="OUZ1361" s="23"/>
      <c r="OVA1361" s="23"/>
      <c r="OVB1361" s="23"/>
      <c r="OVC1361" s="23"/>
      <c r="OVD1361" s="23"/>
      <c r="OVE1361" s="23"/>
      <c r="OVF1361" s="23"/>
      <c r="OVG1361" s="23"/>
      <c r="OVH1361" s="23"/>
      <c r="OVI1361" s="23"/>
      <c r="OVJ1361" s="23"/>
      <c r="OVK1361" s="23"/>
      <c r="OVL1361" s="23"/>
      <c r="OVM1361" s="23"/>
      <c r="OVN1361" s="23"/>
      <c r="OVO1361" s="23"/>
      <c r="OVP1361" s="23"/>
      <c r="OVQ1361" s="23"/>
      <c r="OVR1361" s="23"/>
      <c r="OVS1361" s="23"/>
      <c r="OVT1361" s="23"/>
      <c r="OVU1361" s="23"/>
      <c r="OVV1361" s="23"/>
      <c r="OVW1361" s="23"/>
      <c r="OVX1361" s="23"/>
      <c r="OVY1361" s="23"/>
      <c r="OVZ1361" s="23"/>
      <c r="OWA1361" s="23"/>
      <c r="OWB1361" s="23"/>
      <c r="OWC1361" s="23"/>
      <c r="OWD1361" s="23"/>
      <c r="OWE1361" s="23"/>
      <c r="OWF1361" s="23"/>
      <c r="OWG1361" s="23"/>
      <c r="OWH1361" s="23"/>
      <c r="OWI1361" s="23"/>
      <c r="OWJ1361" s="23"/>
      <c r="OWK1361" s="23"/>
      <c r="OWL1361" s="23"/>
      <c r="OWM1361" s="23"/>
      <c r="OWN1361" s="23"/>
      <c r="OWO1361" s="23"/>
      <c r="OWP1361" s="23"/>
      <c r="OWQ1361" s="23"/>
      <c r="OWR1361" s="23"/>
      <c r="OWS1361" s="23"/>
      <c r="OWT1361" s="23"/>
      <c r="OWU1361" s="23"/>
      <c r="OWV1361" s="23"/>
      <c r="OWW1361" s="23"/>
      <c r="OWX1361" s="23"/>
      <c r="OWY1361" s="23"/>
      <c r="OWZ1361" s="23"/>
      <c r="OXA1361" s="23"/>
      <c r="OXB1361" s="23"/>
      <c r="OXC1361" s="23"/>
      <c r="OXD1361" s="23"/>
      <c r="OXE1361" s="23"/>
      <c r="OXF1361" s="23"/>
      <c r="OXG1361" s="23"/>
      <c r="OXH1361" s="23"/>
      <c r="OXI1361" s="23"/>
      <c r="OXJ1361" s="23"/>
      <c r="OXK1361" s="23"/>
      <c r="OXL1361" s="23"/>
      <c r="OXM1361" s="23"/>
      <c r="OXN1361" s="23"/>
      <c r="OXO1361" s="23"/>
      <c r="OXP1361" s="23"/>
      <c r="OXQ1361" s="23"/>
      <c r="OXR1361" s="23"/>
      <c r="OXS1361" s="23"/>
      <c r="OXT1361" s="23"/>
      <c r="OXU1361" s="23"/>
      <c r="OXV1361" s="23"/>
      <c r="OXW1361" s="23"/>
      <c r="OXX1361" s="23"/>
      <c r="OXY1361" s="23"/>
      <c r="OXZ1361" s="23"/>
      <c r="OYA1361" s="23"/>
      <c r="OYB1361" s="23"/>
      <c r="OYC1361" s="23"/>
      <c r="OYD1361" s="23"/>
      <c r="OYE1361" s="23"/>
      <c r="OYF1361" s="23"/>
      <c r="OYG1361" s="23"/>
      <c r="OYH1361" s="23"/>
      <c r="OYI1361" s="23"/>
      <c r="OYJ1361" s="23"/>
      <c r="OYK1361" s="23"/>
      <c r="OYL1361" s="23"/>
      <c r="OYM1361" s="23"/>
      <c r="OYN1361" s="23"/>
      <c r="OYO1361" s="23"/>
      <c r="OYP1361" s="23"/>
      <c r="OYQ1361" s="23"/>
      <c r="OYR1361" s="23"/>
      <c r="OYS1361" s="23"/>
      <c r="OYT1361" s="23"/>
      <c r="OYU1361" s="23"/>
      <c r="OYV1361" s="23"/>
      <c r="OYW1361" s="23"/>
      <c r="OYX1361" s="23"/>
      <c r="OYY1361" s="23"/>
      <c r="OYZ1361" s="23"/>
      <c r="OZA1361" s="23"/>
      <c r="OZB1361" s="23"/>
      <c r="OZC1361" s="23"/>
      <c r="OZD1361" s="23"/>
      <c r="OZE1361" s="23"/>
      <c r="OZF1361" s="23"/>
      <c r="OZG1361" s="23"/>
      <c r="OZH1361" s="23"/>
      <c r="OZI1361" s="23"/>
      <c r="OZJ1361" s="23"/>
      <c r="OZK1361" s="23"/>
      <c r="OZL1361" s="23"/>
      <c r="OZM1361" s="23"/>
      <c r="OZN1361" s="23"/>
      <c r="OZO1361" s="23"/>
      <c r="OZP1361" s="23"/>
      <c r="OZQ1361" s="23"/>
      <c r="OZR1361" s="23"/>
      <c r="OZS1361" s="23"/>
      <c r="OZT1361" s="23"/>
      <c r="OZU1361" s="23"/>
      <c r="OZV1361" s="23"/>
      <c r="OZW1361" s="23"/>
      <c r="OZX1361" s="23"/>
      <c r="OZY1361" s="23"/>
      <c r="OZZ1361" s="23"/>
      <c r="PAA1361" s="23"/>
      <c r="PAB1361" s="23"/>
      <c r="PAC1361" s="23"/>
      <c r="PAD1361" s="23"/>
      <c r="PAE1361" s="23"/>
      <c r="PAF1361" s="23"/>
      <c r="PAG1361" s="23"/>
      <c r="PAH1361" s="23"/>
      <c r="PAI1361" s="23"/>
      <c r="PAJ1361" s="23"/>
      <c r="PAK1361" s="23"/>
      <c r="PAL1361" s="23"/>
      <c r="PAM1361" s="23"/>
      <c r="PAN1361" s="23"/>
      <c r="PAO1361" s="23"/>
      <c r="PAP1361" s="23"/>
      <c r="PAQ1361" s="23"/>
      <c r="PAR1361" s="23"/>
      <c r="PAS1361" s="23"/>
      <c r="PAT1361" s="23"/>
      <c r="PAU1361" s="23"/>
      <c r="PAV1361" s="23"/>
      <c r="PAW1361" s="23"/>
      <c r="PAX1361" s="23"/>
      <c r="PAY1361" s="23"/>
      <c r="PAZ1361" s="23"/>
      <c r="PBA1361" s="23"/>
      <c r="PBB1361" s="23"/>
      <c r="PBC1361" s="23"/>
      <c r="PBD1361" s="23"/>
      <c r="PBE1361" s="23"/>
      <c r="PBF1361" s="23"/>
      <c r="PBG1361" s="23"/>
      <c r="PBH1361" s="23"/>
      <c r="PBI1361" s="23"/>
      <c r="PBJ1361" s="23"/>
      <c r="PBK1361" s="23"/>
      <c r="PBL1361" s="23"/>
      <c r="PBM1361" s="23"/>
      <c r="PBN1361" s="23"/>
      <c r="PBO1361" s="23"/>
      <c r="PBP1361" s="23"/>
      <c r="PBQ1361" s="23"/>
      <c r="PBR1361" s="23"/>
      <c r="PBS1361" s="23"/>
      <c r="PBT1361" s="23"/>
      <c r="PBU1361" s="23"/>
      <c r="PBV1361" s="23"/>
      <c r="PBW1361" s="23"/>
      <c r="PBX1361" s="23"/>
      <c r="PBY1361" s="23"/>
      <c r="PBZ1361" s="23"/>
      <c r="PCA1361" s="23"/>
      <c r="PCB1361" s="23"/>
      <c r="PCC1361" s="23"/>
      <c r="PCD1361" s="23"/>
      <c r="PCE1361" s="23"/>
      <c r="PCF1361" s="23"/>
      <c r="PCG1361" s="23"/>
      <c r="PCH1361" s="23"/>
      <c r="PCI1361" s="23"/>
      <c r="PCJ1361" s="23"/>
      <c r="PCK1361" s="23"/>
      <c r="PCL1361" s="23"/>
      <c r="PCM1361" s="23"/>
      <c r="PCN1361" s="23"/>
      <c r="PCO1361" s="23"/>
      <c r="PCP1361" s="23"/>
      <c r="PCQ1361" s="23"/>
      <c r="PCR1361" s="23"/>
      <c r="PCS1361" s="23"/>
      <c r="PCT1361" s="23"/>
      <c r="PCU1361" s="23"/>
      <c r="PCV1361" s="23"/>
      <c r="PCW1361" s="23"/>
      <c r="PCX1361" s="23"/>
      <c r="PCY1361" s="23"/>
      <c r="PCZ1361" s="23"/>
      <c r="PDA1361" s="23"/>
      <c r="PDB1361" s="23"/>
      <c r="PDC1361" s="23"/>
      <c r="PDD1361" s="23"/>
      <c r="PDE1361" s="23"/>
      <c r="PDF1361" s="23"/>
      <c r="PDG1361" s="23"/>
      <c r="PDH1361" s="23"/>
      <c r="PDI1361" s="23"/>
      <c r="PDJ1361" s="23"/>
      <c r="PDK1361" s="23"/>
      <c r="PDL1361" s="23"/>
      <c r="PDM1361" s="23"/>
      <c r="PDN1361" s="23"/>
      <c r="PDO1361" s="23"/>
      <c r="PDP1361" s="23"/>
      <c r="PDQ1361" s="23"/>
      <c r="PDR1361" s="23"/>
      <c r="PDS1361" s="23"/>
      <c r="PDT1361" s="23"/>
      <c r="PDU1361" s="23"/>
      <c r="PDV1361" s="23"/>
      <c r="PDW1361" s="23"/>
      <c r="PDX1361" s="23"/>
      <c r="PDY1361" s="23"/>
      <c r="PDZ1361" s="23"/>
      <c r="PEA1361" s="23"/>
      <c r="PEB1361" s="23"/>
      <c r="PEC1361" s="23"/>
      <c r="PED1361" s="23"/>
      <c r="PEE1361" s="23"/>
      <c r="PEF1361" s="23"/>
      <c r="PEG1361" s="23"/>
      <c r="PEH1361" s="23"/>
      <c r="PEI1361" s="23"/>
      <c r="PEJ1361" s="23"/>
      <c r="PEK1361" s="23"/>
      <c r="PEL1361" s="23"/>
      <c r="PEM1361" s="23"/>
      <c r="PEN1361" s="23"/>
      <c r="PEO1361" s="23"/>
      <c r="PEP1361" s="23"/>
      <c r="PEQ1361" s="23"/>
      <c r="PER1361" s="23"/>
      <c r="PES1361" s="23"/>
      <c r="PET1361" s="23"/>
      <c r="PEU1361" s="23"/>
      <c r="PEV1361" s="23"/>
      <c r="PEW1361" s="23"/>
      <c r="PEX1361" s="23"/>
      <c r="PEY1361" s="23"/>
      <c r="PEZ1361" s="23"/>
      <c r="PFA1361" s="23"/>
      <c r="PFB1361" s="23"/>
      <c r="PFC1361" s="23"/>
      <c r="PFD1361" s="23"/>
      <c r="PFE1361" s="23"/>
      <c r="PFF1361" s="23"/>
      <c r="PFG1361" s="23"/>
      <c r="PFH1361" s="23"/>
      <c r="PFI1361" s="23"/>
      <c r="PFJ1361" s="23"/>
      <c r="PFK1361" s="23"/>
      <c r="PFL1361" s="23"/>
      <c r="PFM1361" s="23"/>
      <c r="PFN1361" s="23"/>
      <c r="PFO1361" s="23"/>
      <c r="PFP1361" s="23"/>
      <c r="PFQ1361" s="23"/>
      <c r="PFR1361" s="23"/>
      <c r="PFS1361" s="23"/>
      <c r="PFT1361" s="23"/>
      <c r="PFU1361" s="23"/>
      <c r="PFV1361" s="23"/>
      <c r="PFW1361" s="23"/>
      <c r="PFX1361" s="23"/>
      <c r="PFY1361" s="23"/>
      <c r="PFZ1361" s="23"/>
      <c r="PGA1361" s="23"/>
      <c r="PGB1361" s="23"/>
      <c r="PGC1361" s="23"/>
      <c r="PGD1361" s="23"/>
      <c r="PGE1361" s="23"/>
      <c r="PGF1361" s="23"/>
      <c r="PGG1361" s="23"/>
      <c r="PGH1361" s="23"/>
      <c r="PGI1361" s="23"/>
      <c r="PGJ1361" s="23"/>
      <c r="PGK1361" s="23"/>
      <c r="PGL1361" s="23"/>
      <c r="PGM1361" s="23"/>
      <c r="PGN1361" s="23"/>
      <c r="PGO1361" s="23"/>
      <c r="PGP1361" s="23"/>
      <c r="PGQ1361" s="23"/>
      <c r="PGR1361" s="23"/>
      <c r="PGS1361" s="23"/>
      <c r="PGT1361" s="23"/>
      <c r="PGU1361" s="23"/>
      <c r="PGV1361" s="23"/>
      <c r="PGW1361" s="23"/>
      <c r="PGX1361" s="23"/>
      <c r="PGY1361" s="23"/>
      <c r="PGZ1361" s="23"/>
      <c r="PHA1361" s="23"/>
      <c r="PHB1361" s="23"/>
      <c r="PHC1361" s="23"/>
      <c r="PHD1361" s="23"/>
      <c r="PHE1361" s="23"/>
      <c r="PHF1361" s="23"/>
      <c r="PHG1361" s="23"/>
      <c r="PHH1361" s="23"/>
      <c r="PHI1361" s="23"/>
      <c r="PHJ1361" s="23"/>
      <c r="PHK1361" s="23"/>
      <c r="PHL1361" s="23"/>
      <c r="PHM1361" s="23"/>
      <c r="PHN1361" s="23"/>
      <c r="PHO1361" s="23"/>
      <c r="PHP1361" s="23"/>
      <c r="PHQ1361" s="23"/>
      <c r="PHR1361" s="23"/>
      <c r="PHS1361" s="23"/>
      <c r="PHT1361" s="23"/>
      <c r="PHU1361" s="23"/>
      <c r="PHV1361" s="23"/>
      <c r="PHW1361" s="23"/>
      <c r="PHX1361" s="23"/>
      <c r="PHY1361" s="23"/>
      <c r="PHZ1361" s="23"/>
      <c r="PIA1361" s="23"/>
      <c r="PIB1361" s="23"/>
      <c r="PIC1361" s="23"/>
      <c r="PID1361" s="23"/>
      <c r="PIE1361" s="23"/>
      <c r="PIF1361" s="23"/>
      <c r="PIG1361" s="23"/>
      <c r="PIH1361" s="23"/>
      <c r="PII1361" s="23"/>
      <c r="PIJ1361" s="23"/>
      <c r="PIK1361" s="23"/>
      <c r="PIL1361" s="23"/>
      <c r="PIM1361" s="23"/>
      <c r="PIN1361" s="23"/>
      <c r="PIO1361" s="23"/>
      <c r="PIP1361" s="23"/>
      <c r="PIQ1361" s="23"/>
      <c r="PIR1361" s="23"/>
      <c r="PIS1361" s="23"/>
      <c r="PIT1361" s="23"/>
      <c r="PIU1361" s="23"/>
      <c r="PIV1361" s="23"/>
      <c r="PIW1361" s="23"/>
      <c r="PIX1361" s="23"/>
      <c r="PIY1361" s="23"/>
      <c r="PIZ1361" s="23"/>
      <c r="PJA1361" s="23"/>
      <c r="PJB1361" s="23"/>
      <c r="PJC1361" s="23"/>
      <c r="PJD1361" s="23"/>
      <c r="PJE1361" s="23"/>
      <c r="PJF1361" s="23"/>
      <c r="PJG1361" s="23"/>
      <c r="PJH1361" s="23"/>
      <c r="PJI1361" s="23"/>
      <c r="PJJ1361" s="23"/>
      <c r="PJK1361" s="23"/>
      <c r="PJL1361" s="23"/>
      <c r="PJM1361" s="23"/>
      <c r="PJN1361" s="23"/>
      <c r="PJO1361" s="23"/>
      <c r="PJP1361" s="23"/>
      <c r="PJQ1361" s="23"/>
      <c r="PJR1361" s="23"/>
      <c r="PJS1361" s="23"/>
      <c r="PJT1361" s="23"/>
      <c r="PJU1361" s="23"/>
      <c r="PJV1361" s="23"/>
      <c r="PJW1361" s="23"/>
      <c r="PJX1361" s="23"/>
      <c r="PJY1361" s="23"/>
      <c r="PJZ1361" s="23"/>
      <c r="PKA1361" s="23"/>
      <c r="PKB1361" s="23"/>
      <c r="PKC1361" s="23"/>
      <c r="PKD1361" s="23"/>
      <c r="PKE1361" s="23"/>
      <c r="PKF1361" s="23"/>
      <c r="PKG1361" s="23"/>
      <c r="PKH1361" s="23"/>
      <c r="PKI1361" s="23"/>
      <c r="PKJ1361" s="23"/>
      <c r="PKK1361" s="23"/>
      <c r="PKL1361" s="23"/>
      <c r="PKM1361" s="23"/>
      <c r="PKN1361" s="23"/>
      <c r="PKO1361" s="23"/>
      <c r="PKP1361" s="23"/>
      <c r="PKQ1361" s="23"/>
      <c r="PKR1361" s="23"/>
      <c r="PKS1361" s="23"/>
      <c r="PKT1361" s="23"/>
      <c r="PKU1361" s="23"/>
      <c r="PKV1361" s="23"/>
      <c r="PKW1361" s="23"/>
      <c r="PKX1361" s="23"/>
      <c r="PKY1361" s="23"/>
      <c r="PKZ1361" s="23"/>
      <c r="PLA1361" s="23"/>
      <c r="PLB1361" s="23"/>
      <c r="PLC1361" s="23"/>
      <c r="PLD1361" s="23"/>
      <c r="PLE1361" s="23"/>
      <c r="PLF1361" s="23"/>
      <c r="PLG1361" s="23"/>
      <c r="PLH1361" s="23"/>
      <c r="PLI1361" s="23"/>
      <c r="PLJ1361" s="23"/>
      <c r="PLK1361" s="23"/>
      <c r="PLL1361" s="23"/>
      <c r="PLM1361" s="23"/>
      <c r="PLN1361" s="23"/>
      <c r="PLO1361" s="23"/>
      <c r="PLP1361" s="23"/>
      <c r="PLQ1361" s="23"/>
      <c r="PLR1361" s="23"/>
      <c r="PLS1361" s="23"/>
      <c r="PLT1361" s="23"/>
      <c r="PLU1361" s="23"/>
      <c r="PLV1361" s="23"/>
      <c r="PLW1361" s="23"/>
      <c r="PLX1361" s="23"/>
      <c r="PLY1361" s="23"/>
      <c r="PLZ1361" s="23"/>
      <c r="PMA1361" s="23"/>
      <c r="PMB1361" s="23"/>
      <c r="PMC1361" s="23"/>
      <c r="PMD1361" s="23"/>
      <c r="PME1361" s="23"/>
      <c r="PMF1361" s="23"/>
      <c r="PMG1361" s="23"/>
      <c r="PMH1361" s="23"/>
      <c r="PMI1361" s="23"/>
      <c r="PMJ1361" s="23"/>
      <c r="PMK1361" s="23"/>
      <c r="PML1361" s="23"/>
      <c r="PMM1361" s="23"/>
      <c r="PMN1361" s="23"/>
      <c r="PMO1361" s="23"/>
      <c r="PMP1361" s="23"/>
      <c r="PMQ1361" s="23"/>
      <c r="PMR1361" s="23"/>
      <c r="PMS1361" s="23"/>
      <c r="PMT1361" s="23"/>
      <c r="PMU1361" s="23"/>
      <c r="PMV1361" s="23"/>
      <c r="PMW1361" s="23"/>
      <c r="PMX1361" s="23"/>
      <c r="PMY1361" s="23"/>
      <c r="PMZ1361" s="23"/>
      <c r="PNA1361" s="23"/>
      <c r="PNB1361" s="23"/>
      <c r="PNC1361" s="23"/>
      <c r="PND1361" s="23"/>
      <c r="PNE1361" s="23"/>
      <c r="PNF1361" s="23"/>
      <c r="PNG1361" s="23"/>
      <c r="PNH1361" s="23"/>
      <c r="PNI1361" s="23"/>
      <c r="PNJ1361" s="23"/>
      <c r="PNK1361" s="23"/>
      <c r="PNL1361" s="23"/>
      <c r="PNM1361" s="23"/>
      <c r="PNN1361" s="23"/>
      <c r="PNO1361" s="23"/>
      <c r="PNP1361" s="23"/>
      <c r="PNQ1361" s="23"/>
      <c r="PNR1361" s="23"/>
      <c r="PNS1361" s="23"/>
      <c r="PNT1361" s="23"/>
      <c r="PNU1361" s="23"/>
      <c r="PNV1361" s="23"/>
      <c r="PNW1361" s="23"/>
      <c r="PNX1361" s="23"/>
      <c r="PNY1361" s="23"/>
      <c r="PNZ1361" s="23"/>
      <c r="POA1361" s="23"/>
      <c r="POB1361" s="23"/>
      <c r="POC1361" s="23"/>
      <c r="POD1361" s="23"/>
      <c r="POE1361" s="23"/>
      <c r="POF1361" s="23"/>
      <c r="POG1361" s="23"/>
      <c r="POH1361" s="23"/>
      <c r="POI1361" s="23"/>
      <c r="POJ1361" s="23"/>
      <c r="POK1361" s="23"/>
      <c r="POL1361" s="23"/>
      <c r="POM1361" s="23"/>
      <c r="PON1361" s="23"/>
      <c r="POO1361" s="23"/>
      <c r="POP1361" s="23"/>
      <c r="POQ1361" s="23"/>
      <c r="POR1361" s="23"/>
      <c r="POS1361" s="23"/>
      <c r="POT1361" s="23"/>
      <c r="POU1361" s="23"/>
      <c r="POV1361" s="23"/>
      <c r="POW1361" s="23"/>
      <c r="POX1361" s="23"/>
      <c r="POY1361" s="23"/>
      <c r="POZ1361" s="23"/>
      <c r="PPA1361" s="23"/>
      <c r="PPB1361" s="23"/>
      <c r="PPC1361" s="23"/>
      <c r="PPD1361" s="23"/>
      <c r="PPE1361" s="23"/>
      <c r="PPF1361" s="23"/>
      <c r="PPG1361" s="23"/>
      <c r="PPH1361" s="23"/>
      <c r="PPI1361" s="23"/>
      <c r="PPJ1361" s="23"/>
      <c r="PPK1361" s="23"/>
      <c r="PPL1361" s="23"/>
      <c r="PPM1361" s="23"/>
      <c r="PPN1361" s="23"/>
      <c r="PPO1361" s="23"/>
      <c r="PPP1361" s="23"/>
      <c r="PPQ1361" s="23"/>
      <c r="PPR1361" s="23"/>
      <c r="PPS1361" s="23"/>
      <c r="PPT1361" s="23"/>
      <c r="PPU1361" s="23"/>
      <c r="PPV1361" s="23"/>
      <c r="PPW1361" s="23"/>
      <c r="PPX1361" s="23"/>
      <c r="PPY1361" s="23"/>
      <c r="PPZ1361" s="23"/>
      <c r="PQA1361" s="23"/>
      <c r="PQB1361" s="23"/>
      <c r="PQC1361" s="23"/>
      <c r="PQD1361" s="23"/>
      <c r="PQE1361" s="23"/>
      <c r="PQF1361" s="23"/>
      <c r="PQG1361" s="23"/>
      <c r="PQH1361" s="23"/>
      <c r="PQI1361" s="23"/>
      <c r="PQJ1361" s="23"/>
      <c r="PQK1361" s="23"/>
      <c r="PQL1361" s="23"/>
      <c r="PQM1361" s="23"/>
      <c r="PQN1361" s="23"/>
      <c r="PQO1361" s="23"/>
      <c r="PQP1361" s="23"/>
      <c r="PQQ1361" s="23"/>
      <c r="PQR1361" s="23"/>
      <c r="PQS1361" s="23"/>
      <c r="PQT1361" s="23"/>
      <c r="PQU1361" s="23"/>
      <c r="PQV1361" s="23"/>
      <c r="PQW1361" s="23"/>
      <c r="PQX1361" s="23"/>
      <c r="PQY1361" s="23"/>
      <c r="PQZ1361" s="23"/>
      <c r="PRA1361" s="23"/>
      <c r="PRB1361" s="23"/>
      <c r="PRC1361" s="23"/>
      <c r="PRD1361" s="23"/>
      <c r="PRE1361" s="23"/>
      <c r="PRF1361" s="23"/>
      <c r="PRG1361" s="23"/>
      <c r="PRH1361" s="23"/>
      <c r="PRI1361" s="23"/>
      <c r="PRJ1361" s="23"/>
      <c r="PRK1361" s="23"/>
      <c r="PRL1361" s="23"/>
      <c r="PRM1361" s="23"/>
      <c r="PRN1361" s="23"/>
      <c r="PRO1361" s="23"/>
      <c r="PRP1361" s="23"/>
      <c r="PRQ1361" s="23"/>
      <c r="PRR1361" s="23"/>
      <c r="PRS1361" s="23"/>
      <c r="PRT1361" s="23"/>
      <c r="PRU1361" s="23"/>
      <c r="PRV1361" s="23"/>
      <c r="PRW1361" s="23"/>
      <c r="PRX1361" s="23"/>
      <c r="PRY1361" s="23"/>
      <c r="PRZ1361" s="23"/>
      <c r="PSA1361" s="23"/>
      <c r="PSB1361" s="23"/>
      <c r="PSC1361" s="23"/>
      <c r="PSD1361" s="23"/>
      <c r="PSE1361" s="23"/>
      <c r="PSF1361" s="23"/>
      <c r="PSG1361" s="23"/>
      <c r="PSH1361" s="23"/>
      <c r="PSI1361" s="23"/>
      <c r="PSJ1361" s="23"/>
      <c r="PSK1361" s="23"/>
      <c r="PSL1361" s="23"/>
      <c r="PSM1361" s="23"/>
      <c r="PSN1361" s="23"/>
      <c r="PSO1361" s="23"/>
      <c r="PSP1361" s="23"/>
      <c r="PSQ1361" s="23"/>
      <c r="PSR1361" s="23"/>
      <c r="PSS1361" s="23"/>
      <c r="PST1361" s="23"/>
      <c r="PSU1361" s="23"/>
      <c r="PSV1361" s="23"/>
      <c r="PSW1361" s="23"/>
      <c r="PSX1361" s="23"/>
      <c r="PSY1361" s="23"/>
      <c r="PSZ1361" s="23"/>
      <c r="PTA1361" s="23"/>
      <c r="PTB1361" s="23"/>
      <c r="PTC1361" s="23"/>
      <c r="PTD1361" s="23"/>
      <c r="PTE1361" s="23"/>
      <c r="PTF1361" s="23"/>
      <c r="PTG1361" s="23"/>
      <c r="PTH1361" s="23"/>
      <c r="PTI1361" s="23"/>
      <c r="PTJ1361" s="23"/>
      <c r="PTK1361" s="23"/>
      <c r="PTL1361" s="23"/>
      <c r="PTM1361" s="23"/>
      <c r="PTN1361" s="23"/>
      <c r="PTO1361" s="23"/>
      <c r="PTP1361" s="23"/>
      <c r="PTQ1361" s="23"/>
      <c r="PTR1361" s="23"/>
      <c r="PTS1361" s="23"/>
      <c r="PTT1361" s="23"/>
      <c r="PTU1361" s="23"/>
      <c r="PTV1361" s="23"/>
      <c r="PTW1361" s="23"/>
      <c r="PTX1361" s="23"/>
      <c r="PTY1361" s="23"/>
      <c r="PTZ1361" s="23"/>
      <c r="PUA1361" s="23"/>
      <c r="PUB1361" s="23"/>
      <c r="PUC1361" s="23"/>
      <c r="PUD1361" s="23"/>
      <c r="PUE1361" s="23"/>
      <c r="PUF1361" s="23"/>
      <c r="PUG1361" s="23"/>
      <c r="PUH1361" s="23"/>
      <c r="PUI1361" s="23"/>
      <c r="PUJ1361" s="23"/>
      <c r="PUK1361" s="23"/>
      <c r="PUL1361" s="23"/>
      <c r="PUM1361" s="23"/>
      <c r="PUN1361" s="23"/>
      <c r="PUO1361" s="23"/>
      <c r="PUP1361" s="23"/>
      <c r="PUQ1361" s="23"/>
      <c r="PUR1361" s="23"/>
      <c r="PUS1361" s="23"/>
      <c r="PUT1361" s="23"/>
      <c r="PUU1361" s="23"/>
      <c r="PUV1361" s="23"/>
      <c r="PUW1361" s="23"/>
      <c r="PUX1361" s="23"/>
      <c r="PUY1361" s="23"/>
      <c r="PUZ1361" s="23"/>
      <c r="PVA1361" s="23"/>
      <c r="PVB1361" s="23"/>
      <c r="PVC1361" s="23"/>
      <c r="PVD1361" s="23"/>
      <c r="PVE1361" s="23"/>
      <c r="PVF1361" s="23"/>
      <c r="PVG1361" s="23"/>
      <c r="PVH1361" s="23"/>
      <c r="PVI1361" s="23"/>
      <c r="PVJ1361" s="23"/>
      <c r="PVK1361" s="23"/>
      <c r="PVL1361" s="23"/>
      <c r="PVM1361" s="23"/>
      <c r="PVN1361" s="23"/>
      <c r="PVO1361" s="23"/>
      <c r="PVP1361" s="23"/>
      <c r="PVQ1361" s="23"/>
      <c r="PVR1361" s="23"/>
      <c r="PVS1361" s="23"/>
      <c r="PVT1361" s="23"/>
      <c r="PVU1361" s="23"/>
      <c r="PVV1361" s="23"/>
      <c r="PVW1361" s="23"/>
      <c r="PVX1361" s="23"/>
      <c r="PVY1361" s="23"/>
      <c r="PVZ1361" s="23"/>
      <c r="PWA1361" s="23"/>
      <c r="PWB1361" s="23"/>
      <c r="PWC1361" s="23"/>
      <c r="PWD1361" s="23"/>
      <c r="PWE1361" s="23"/>
      <c r="PWF1361" s="23"/>
      <c r="PWG1361" s="23"/>
      <c r="PWH1361" s="23"/>
      <c r="PWI1361" s="23"/>
      <c r="PWJ1361" s="23"/>
      <c r="PWK1361" s="23"/>
      <c r="PWL1361" s="23"/>
      <c r="PWM1361" s="23"/>
      <c r="PWN1361" s="23"/>
      <c r="PWO1361" s="23"/>
      <c r="PWP1361" s="23"/>
      <c r="PWQ1361" s="23"/>
      <c r="PWR1361" s="23"/>
      <c r="PWS1361" s="23"/>
      <c r="PWT1361" s="23"/>
      <c r="PWU1361" s="23"/>
      <c r="PWV1361" s="23"/>
      <c r="PWW1361" s="23"/>
      <c r="PWX1361" s="23"/>
      <c r="PWY1361" s="23"/>
      <c r="PWZ1361" s="23"/>
      <c r="PXA1361" s="23"/>
      <c r="PXB1361" s="23"/>
      <c r="PXC1361" s="23"/>
      <c r="PXD1361" s="23"/>
      <c r="PXE1361" s="23"/>
      <c r="PXF1361" s="23"/>
      <c r="PXG1361" s="23"/>
      <c r="PXH1361" s="23"/>
      <c r="PXI1361" s="23"/>
      <c r="PXJ1361" s="23"/>
      <c r="PXK1361" s="23"/>
      <c r="PXL1361" s="23"/>
      <c r="PXM1361" s="23"/>
      <c r="PXN1361" s="23"/>
      <c r="PXO1361" s="23"/>
      <c r="PXP1361" s="23"/>
      <c r="PXQ1361" s="23"/>
      <c r="PXR1361" s="23"/>
      <c r="PXS1361" s="23"/>
      <c r="PXT1361" s="23"/>
      <c r="PXU1361" s="23"/>
      <c r="PXV1361" s="23"/>
      <c r="PXW1361" s="23"/>
      <c r="PXX1361" s="23"/>
      <c r="PXY1361" s="23"/>
      <c r="PXZ1361" s="23"/>
      <c r="PYA1361" s="23"/>
      <c r="PYB1361" s="23"/>
      <c r="PYC1361" s="23"/>
      <c r="PYD1361" s="23"/>
      <c r="PYE1361" s="23"/>
      <c r="PYF1361" s="23"/>
      <c r="PYG1361" s="23"/>
      <c r="PYH1361" s="23"/>
      <c r="PYI1361" s="23"/>
      <c r="PYJ1361" s="23"/>
      <c r="PYK1361" s="23"/>
      <c r="PYL1361" s="23"/>
      <c r="PYM1361" s="23"/>
      <c r="PYN1361" s="23"/>
      <c r="PYO1361" s="23"/>
      <c r="PYP1361" s="23"/>
      <c r="PYQ1361" s="23"/>
      <c r="PYR1361" s="23"/>
      <c r="PYS1361" s="23"/>
      <c r="PYT1361" s="23"/>
      <c r="PYU1361" s="23"/>
      <c r="PYV1361" s="23"/>
      <c r="PYW1361" s="23"/>
      <c r="PYX1361" s="23"/>
      <c r="PYY1361" s="23"/>
      <c r="PYZ1361" s="23"/>
      <c r="PZA1361" s="23"/>
      <c r="PZB1361" s="23"/>
      <c r="PZC1361" s="23"/>
      <c r="PZD1361" s="23"/>
      <c r="PZE1361" s="23"/>
      <c r="PZF1361" s="23"/>
      <c r="PZG1361" s="23"/>
      <c r="PZH1361" s="23"/>
      <c r="PZI1361" s="23"/>
      <c r="PZJ1361" s="23"/>
      <c r="PZK1361" s="23"/>
      <c r="PZL1361" s="23"/>
      <c r="PZM1361" s="23"/>
      <c r="PZN1361" s="23"/>
      <c r="PZO1361" s="23"/>
      <c r="PZP1361" s="23"/>
      <c r="PZQ1361" s="23"/>
      <c r="PZR1361" s="23"/>
      <c r="PZS1361" s="23"/>
      <c r="PZT1361" s="23"/>
      <c r="PZU1361" s="23"/>
      <c r="PZV1361" s="23"/>
      <c r="PZW1361" s="23"/>
      <c r="PZX1361" s="23"/>
      <c r="PZY1361" s="23"/>
      <c r="PZZ1361" s="23"/>
      <c r="QAA1361" s="23"/>
      <c r="QAB1361" s="23"/>
      <c r="QAC1361" s="23"/>
      <c r="QAD1361" s="23"/>
      <c r="QAE1361" s="23"/>
      <c r="QAF1361" s="23"/>
      <c r="QAG1361" s="23"/>
      <c r="QAH1361" s="23"/>
      <c r="QAI1361" s="23"/>
      <c r="QAJ1361" s="23"/>
      <c r="QAK1361" s="23"/>
      <c r="QAL1361" s="23"/>
      <c r="QAM1361" s="23"/>
      <c r="QAN1361" s="23"/>
      <c r="QAO1361" s="23"/>
      <c r="QAP1361" s="23"/>
      <c r="QAQ1361" s="23"/>
      <c r="QAR1361" s="23"/>
      <c r="QAS1361" s="23"/>
      <c r="QAT1361" s="23"/>
      <c r="QAU1361" s="23"/>
      <c r="QAV1361" s="23"/>
      <c r="QAW1361" s="23"/>
      <c r="QAX1361" s="23"/>
      <c r="QAY1361" s="23"/>
      <c r="QAZ1361" s="23"/>
      <c r="QBA1361" s="23"/>
      <c r="QBB1361" s="23"/>
      <c r="QBC1361" s="23"/>
      <c r="QBD1361" s="23"/>
      <c r="QBE1361" s="23"/>
      <c r="QBF1361" s="23"/>
      <c r="QBG1361" s="23"/>
      <c r="QBH1361" s="23"/>
      <c r="QBI1361" s="23"/>
      <c r="QBJ1361" s="23"/>
      <c r="QBK1361" s="23"/>
      <c r="QBL1361" s="23"/>
      <c r="QBM1361" s="23"/>
      <c r="QBN1361" s="23"/>
      <c r="QBO1361" s="23"/>
      <c r="QBP1361" s="23"/>
      <c r="QBQ1361" s="23"/>
      <c r="QBR1361" s="23"/>
      <c r="QBS1361" s="23"/>
      <c r="QBT1361" s="23"/>
      <c r="QBU1361" s="23"/>
      <c r="QBV1361" s="23"/>
      <c r="QBW1361" s="23"/>
      <c r="QBX1361" s="23"/>
      <c r="QBY1361" s="23"/>
      <c r="QBZ1361" s="23"/>
      <c r="QCA1361" s="23"/>
      <c r="QCB1361" s="23"/>
      <c r="QCC1361" s="23"/>
      <c r="QCD1361" s="23"/>
      <c r="QCE1361" s="23"/>
      <c r="QCF1361" s="23"/>
      <c r="QCG1361" s="23"/>
      <c r="QCH1361" s="23"/>
      <c r="QCI1361" s="23"/>
      <c r="QCJ1361" s="23"/>
      <c r="QCK1361" s="23"/>
      <c r="QCL1361" s="23"/>
      <c r="QCM1361" s="23"/>
      <c r="QCN1361" s="23"/>
      <c r="QCO1361" s="23"/>
      <c r="QCP1361" s="23"/>
      <c r="QCQ1361" s="23"/>
      <c r="QCR1361" s="23"/>
      <c r="QCS1361" s="23"/>
      <c r="QCT1361" s="23"/>
      <c r="QCU1361" s="23"/>
      <c r="QCV1361" s="23"/>
      <c r="QCW1361" s="23"/>
      <c r="QCX1361" s="23"/>
      <c r="QCY1361" s="23"/>
      <c r="QCZ1361" s="23"/>
      <c r="QDA1361" s="23"/>
      <c r="QDB1361" s="23"/>
      <c r="QDC1361" s="23"/>
      <c r="QDD1361" s="23"/>
      <c r="QDE1361" s="23"/>
      <c r="QDF1361" s="23"/>
      <c r="QDG1361" s="23"/>
      <c r="QDH1361" s="23"/>
      <c r="QDI1361" s="23"/>
      <c r="QDJ1361" s="23"/>
      <c r="QDK1361" s="23"/>
      <c r="QDL1361" s="23"/>
      <c r="QDM1361" s="23"/>
      <c r="QDN1361" s="23"/>
      <c r="QDO1361" s="23"/>
      <c r="QDP1361" s="23"/>
      <c r="QDQ1361" s="23"/>
      <c r="QDR1361" s="23"/>
      <c r="QDS1361" s="23"/>
      <c r="QDT1361" s="23"/>
      <c r="QDU1361" s="23"/>
      <c r="QDV1361" s="23"/>
      <c r="QDW1361" s="23"/>
      <c r="QDX1361" s="23"/>
      <c r="QDY1361" s="23"/>
      <c r="QDZ1361" s="23"/>
      <c r="QEA1361" s="23"/>
      <c r="QEB1361" s="23"/>
      <c r="QEC1361" s="23"/>
      <c r="QED1361" s="23"/>
      <c r="QEE1361" s="23"/>
      <c r="QEF1361" s="23"/>
      <c r="QEG1361" s="23"/>
      <c r="QEH1361" s="23"/>
      <c r="QEI1361" s="23"/>
      <c r="QEJ1361" s="23"/>
      <c r="QEK1361" s="23"/>
      <c r="QEL1361" s="23"/>
      <c r="QEM1361" s="23"/>
      <c r="QEN1361" s="23"/>
      <c r="QEO1361" s="23"/>
      <c r="QEP1361" s="23"/>
      <c r="QEQ1361" s="23"/>
      <c r="QER1361" s="23"/>
      <c r="QES1361" s="23"/>
      <c r="QET1361" s="23"/>
      <c r="QEU1361" s="23"/>
      <c r="QEV1361" s="23"/>
      <c r="QEW1361" s="23"/>
      <c r="QEX1361" s="23"/>
      <c r="QEY1361" s="23"/>
      <c r="QEZ1361" s="23"/>
      <c r="QFA1361" s="23"/>
      <c r="QFB1361" s="23"/>
      <c r="QFC1361" s="23"/>
      <c r="QFD1361" s="23"/>
      <c r="QFE1361" s="23"/>
      <c r="QFF1361" s="23"/>
      <c r="QFG1361" s="23"/>
      <c r="QFH1361" s="23"/>
      <c r="QFI1361" s="23"/>
      <c r="QFJ1361" s="23"/>
      <c r="QFK1361" s="23"/>
      <c r="QFL1361" s="23"/>
      <c r="QFM1361" s="23"/>
      <c r="QFN1361" s="23"/>
      <c r="QFO1361" s="23"/>
      <c r="QFP1361" s="23"/>
      <c r="QFQ1361" s="23"/>
      <c r="QFR1361" s="23"/>
      <c r="QFS1361" s="23"/>
      <c r="QFT1361" s="23"/>
      <c r="QFU1361" s="23"/>
      <c r="QFV1361" s="23"/>
      <c r="QFW1361" s="23"/>
      <c r="QFX1361" s="23"/>
      <c r="QFY1361" s="23"/>
      <c r="QFZ1361" s="23"/>
      <c r="QGA1361" s="23"/>
      <c r="QGB1361" s="23"/>
      <c r="QGC1361" s="23"/>
      <c r="QGD1361" s="23"/>
      <c r="QGE1361" s="23"/>
      <c r="QGF1361" s="23"/>
      <c r="QGG1361" s="23"/>
      <c r="QGH1361" s="23"/>
      <c r="QGI1361" s="23"/>
      <c r="QGJ1361" s="23"/>
      <c r="QGK1361" s="23"/>
      <c r="QGL1361" s="23"/>
      <c r="QGM1361" s="23"/>
      <c r="QGN1361" s="23"/>
      <c r="QGO1361" s="23"/>
      <c r="QGP1361" s="23"/>
      <c r="QGQ1361" s="23"/>
      <c r="QGR1361" s="23"/>
      <c r="QGS1361" s="23"/>
      <c r="QGT1361" s="23"/>
      <c r="QGU1361" s="23"/>
      <c r="QGV1361" s="23"/>
      <c r="QGW1361" s="23"/>
      <c r="QGX1361" s="23"/>
      <c r="QGY1361" s="23"/>
      <c r="QGZ1361" s="23"/>
      <c r="QHA1361" s="23"/>
      <c r="QHB1361" s="23"/>
      <c r="QHC1361" s="23"/>
      <c r="QHD1361" s="23"/>
      <c r="QHE1361" s="23"/>
      <c r="QHF1361" s="23"/>
      <c r="QHG1361" s="23"/>
      <c r="QHH1361" s="23"/>
      <c r="QHI1361" s="23"/>
      <c r="QHJ1361" s="23"/>
      <c r="QHK1361" s="23"/>
      <c r="QHL1361" s="23"/>
      <c r="QHM1361" s="23"/>
      <c r="QHN1361" s="23"/>
      <c r="QHO1361" s="23"/>
      <c r="QHP1361" s="23"/>
      <c r="QHQ1361" s="23"/>
      <c r="QHR1361" s="23"/>
      <c r="QHS1361" s="23"/>
      <c r="QHT1361" s="23"/>
      <c r="QHU1361" s="23"/>
      <c r="QHV1361" s="23"/>
      <c r="QHW1361" s="23"/>
      <c r="QHX1361" s="23"/>
      <c r="QHY1361" s="23"/>
      <c r="QHZ1361" s="23"/>
      <c r="QIA1361" s="23"/>
      <c r="QIB1361" s="23"/>
      <c r="QIC1361" s="23"/>
      <c r="QID1361" s="23"/>
      <c r="QIE1361" s="23"/>
      <c r="QIF1361" s="23"/>
      <c r="QIG1361" s="23"/>
      <c r="QIH1361" s="23"/>
      <c r="QII1361" s="23"/>
      <c r="QIJ1361" s="23"/>
      <c r="QIK1361" s="23"/>
      <c r="QIL1361" s="23"/>
      <c r="QIM1361" s="23"/>
      <c r="QIN1361" s="23"/>
      <c r="QIO1361" s="23"/>
      <c r="QIP1361" s="23"/>
      <c r="QIQ1361" s="23"/>
      <c r="QIR1361" s="23"/>
      <c r="QIS1361" s="23"/>
      <c r="QIT1361" s="23"/>
      <c r="QIU1361" s="23"/>
      <c r="QIV1361" s="23"/>
      <c r="QIW1361" s="23"/>
      <c r="QIX1361" s="23"/>
      <c r="QIY1361" s="23"/>
      <c r="QIZ1361" s="23"/>
      <c r="QJA1361" s="23"/>
      <c r="QJB1361" s="23"/>
      <c r="QJC1361" s="23"/>
      <c r="QJD1361" s="23"/>
      <c r="QJE1361" s="23"/>
      <c r="QJF1361" s="23"/>
      <c r="QJG1361" s="23"/>
      <c r="QJH1361" s="23"/>
      <c r="QJI1361" s="23"/>
      <c r="QJJ1361" s="23"/>
      <c r="QJK1361" s="23"/>
      <c r="QJL1361" s="23"/>
      <c r="QJM1361" s="23"/>
      <c r="QJN1361" s="23"/>
      <c r="QJO1361" s="23"/>
      <c r="QJP1361" s="23"/>
      <c r="QJQ1361" s="23"/>
      <c r="QJR1361" s="23"/>
      <c r="QJS1361" s="23"/>
      <c r="QJT1361" s="23"/>
      <c r="QJU1361" s="23"/>
      <c r="QJV1361" s="23"/>
      <c r="QJW1361" s="23"/>
      <c r="QJX1361" s="23"/>
      <c r="QJY1361" s="23"/>
      <c r="QJZ1361" s="23"/>
      <c r="QKA1361" s="23"/>
      <c r="QKB1361" s="23"/>
      <c r="QKC1361" s="23"/>
      <c r="QKD1361" s="23"/>
      <c r="QKE1361" s="23"/>
      <c r="QKF1361" s="23"/>
      <c r="QKG1361" s="23"/>
      <c r="QKH1361" s="23"/>
      <c r="QKI1361" s="23"/>
      <c r="QKJ1361" s="23"/>
      <c r="QKK1361" s="23"/>
      <c r="QKL1361" s="23"/>
      <c r="QKM1361" s="23"/>
      <c r="QKN1361" s="23"/>
      <c r="QKO1361" s="23"/>
      <c r="QKP1361" s="23"/>
      <c r="QKQ1361" s="23"/>
      <c r="QKR1361" s="23"/>
      <c r="QKS1361" s="23"/>
      <c r="QKT1361" s="23"/>
      <c r="QKU1361" s="23"/>
      <c r="QKV1361" s="23"/>
      <c r="QKW1361" s="23"/>
      <c r="QKX1361" s="23"/>
      <c r="QKY1361" s="23"/>
      <c r="QKZ1361" s="23"/>
      <c r="QLA1361" s="23"/>
      <c r="QLB1361" s="23"/>
      <c r="QLC1361" s="23"/>
      <c r="QLD1361" s="23"/>
      <c r="QLE1361" s="23"/>
      <c r="QLF1361" s="23"/>
      <c r="QLG1361" s="23"/>
      <c r="QLH1361" s="23"/>
      <c r="QLI1361" s="23"/>
      <c r="QLJ1361" s="23"/>
      <c r="QLK1361" s="23"/>
      <c r="QLL1361" s="23"/>
      <c r="QLM1361" s="23"/>
      <c r="QLN1361" s="23"/>
      <c r="QLO1361" s="23"/>
      <c r="QLP1361" s="23"/>
      <c r="QLQ1361" s="23"/>
      <c r="QLR1361" s="23"/>
      <c r="QLS1361" s="23"/>
      <c r="QLT1361" s="23"/>
      <c r="QLU1361" s="23"/>
      <c r="QLV1361" s="23"/>
      <c r="QLW1361" s="23"/>
      <c r="QLX1361" s="23"/>
      <c r="QLY1361" s="23"/>
      <c r="QLZ1361" s="23"/>
      <c r="QMA1361" s="23"/>
      <c r="QMB1361" s="23"/>
      <c r="QMC1361" s="23"/>
      <c r="QMD1361" s="23"/>
      <c r="QME1361" s="23"/>
      <c r="QMF1361" s="23"/>
      <c r="QMG1361" s="23"/>
      <c r="QMH1361" s="23"/>
      <c r="QMI1361" s="23"/>
      <c r="QMJ1361" s="23"/>
      <c r="QMK1361" s="23"/>
      <c r="QML1361" s="23"/>
      <c r="QMM1361" s="23"/>
      <c r="QMN1361" s="23"/>
      <c r="QMO1361" s="23"/>
      <c r="QMP1361" s="23"/>
      <c r="QMQ1361" s="23"/>
      <c r="QMR1361" s="23"/>
      <c r="QMS1361" s="23"/>
      <c r="QMT1361" s="23"/>
      <c r="QMU1361" s="23"/>
      <c r="QMV1361" s="23"/>
      <c r="QMW1361" s="23"/>
      <c r="QMX1361" s="23"/>
      <c r="QMY1361" s="23"/>
      <c r="QMZ1361" s="23"/>
      <c r="QNA1361" s="23"/>
      <c r="QNB1361" s="23"/>
      <c r="QNC1361" s="23"/>
      <c r="QND1361" s="23"/>
      <c r="QNE1361" s="23"/>
      <c r="QNF1361" s="23"/>
      <c r="QNG1361" s="23"/>
      <c r="QNH1361" s="23"/>
      <c r="QNI1361" s="23"/>
      <c r="QNJ1361" s="23"/>
      <c r="QNK1361" s="23"/>
      <c r="QNL1361" s="23"/>
      <c r="QNM1361" s="23"/>
      <c r="QNN1361" s="23"/>
      <c r="QNO1361" s="23"/>
      <c r="QNP1361" s="23"/>
      <c r="QNQ1361" s="23"/>
      <c r="QNR1361" s="23"/>
      <c r="QNS1361" s="23"/>
      <c r="QNT1361" s="23"/>
      <c r="QNU1361" s="23"/>
      <c r="QNV1361" s="23"/>
      <c r="QNW1361" s="23"/>
      <c r="QNX1361" s="23"/>
      <c r="QNY1361" s="23"/>
      <c r="QNZ1361" s="23"/>
      <c r="QOA1361" s="23"/>
      <c r="QOB1361" s="23"/>
      <c r="QOC1361" s="23"/>
      <c r="QOD1361" s="23"/>
      <c r="QOE1361" s="23"/>
      <c r="QOF1361" s="23"/>
      <c r="QOG1361" s="23"/>
      <c r="QOH1361" s="23"/>
      <c r="QOI1361" s="23"/>
      <c r="QOJ1361" s="23"/>
      <c r="QOK1361" s="23"/>
      <c r="QOL1361" s="23"/>
      <c r="QOM1361" s="23"/>
      <c r="QON1361" s="23"/>
      <c r="QOO1361" s="23"/>
      <c r="QOP1361" s="23"/>
      <c r="QOQ1361" s="23"/>
      <c r="QOR1361" s="23"/>
      <c r="QOS1361" s="23"/>
      <c r="QOT1361" s="23"/>
      <c r="QOU1361" s="23"/>
      <c r="QOV1361" s="23"/>
      <c r="QOW1361" s="23"/>
      <c r="QOX1361" s="23"/>
      <c r="QOY1361" s="23"/>
      <c r="QOZ1361" s="23"/>
      <c r="QPA1361" s="23"/>
      <c r="QPB1361" s="23"/>
      <c r="QPC1361" s="23"/>
      <c r="QPD1361" s="23"/>
      <c r="QPE1361" s="23"/>
      <c r="QPF1361" s="23"/>
      <c r="QPG1361" s="23"/>
      <c r="QPH1361" s="23"/>
      <c r="QPI1361" s="23"/>
      <c r="QPJ1361" s="23"/>
      <c r="QPK1361" s="23"/>
      <c r="QPL1361" s="23"/>
      <c r="QPM1361" s="23"/>
      <c r="QPN1361" s="23"/>
      <c r="QPO1361" s="23"/>
      <c r="QPP1361" s="23"/>
      <c r="QPQ1361" s="23"/>
      <c r="QPR1361" s="23"/>
      <c r="QPS1361" s="23"/>
      <c r="QPT1361" s="23"/>
      <c r="QPU1361" s="23"/>
      <c r="QPV1361" s="23"/>
      <c r="QPW1361" s="23"/>
      <c r="QPX1361" s="23"/>
      <c r="QPY1361" s="23"/>
      <c r="QPZ1361" s="23"/>
      <c r="QQA1361" s="23"/>
      <c r="QQB1361" s="23"/>
      <c r="QQC1361" s="23"/>
      <c r="QQD1361" s="23"/>
      <c r="QQE1361" s="23"/>
      <c r="QQF1361" s="23"/>
      <c r="QQG1361" s="23"/>
      <c r="QQH1361" s="23"/>
      <c r="QQI1361" s="23"/>
      <c r="QQJ1361" s="23"/>
      <c r="QQK1361" s="23"/>
      <c r="QQL1361" s="23"/>
      <c r="QQM1361" s="23"/>
      <c r="QQN1361" s="23"/>
      <c r="QQO1361" s="23"/>
      <c r="QQP1361" s="23"/>
      <c r="QQQ1361" s="23"/>
      <c r="QQR1361" s="23"/>
      <c r="QQS1361" s="23"/>
      <c r="QQT1361" s="23"/>
      <c r="QQU1361" s="23"/>
      <c r="QQV1361" s="23"/>
      <c r="QQW1361" s="23"/>
      <c r="QQX1361" s="23"/>
      <c r="QQY1361" s="23"/>
      <c r="QQZ1361" s="23"/>
      <c r="QRA1361" s="23"/>
      <c r="QRB1361" s="23"/>
      <c r="QRC1361" s="23"/>
      <c r="QRD1361" s="23"/>
      <c r="QRE1361" s="23"/>
      <c r="QRF1361" s="23"/>
      <c r="QRG1361" s="23"/>
      <c r="QRH1361" s="23"/>
      <c r="QRI1361" s="23"/>
      <c r="QRJ1361" s="23"/>
      <c r="QRK1361" s="23"/>
      <c r="QRL1361" s="23"/>
      <c r="QRM1361" s="23"/>
      <c r="QRN1361" s="23"/>
      <c r="QRO1361" s="23"/>
      <c r="QRP1361" s="23"/>
      <c r="QRQ1361" s="23"/>
      <c r="QRR1361" s="23"/>
      <c r="QRS1361" s="23"/>
      <c r="QRT1361" s="23"/>
      <c r="QRU1361" s="23"/>
      <c r="QRV1361" s="23"/>
      <c r="QRW1361" s="23"/>
      <c r="QRX1361" s="23"/>
      <c r="QRY1361" s="23"/>
      <c r="QRZ1361" s="23"/>
      <c r="QSA1361" s="23"/>
      <c r="QSB1361" s="23"/>
      <c r="QSC1361" s="23"/>
      <c r="QSD1361" s="23"/>
      <c r="QSE1361" s="23"/>
      <c r="QSF1361" s="23"/>
      <c r="QSG1361" s="23"/>
      <c r="QSH1361" s="23"/>
      <c r="QSI1361" s="23"/>
      <c r="QSJ1361" s="23"/>
      <c r="QSK1361" s="23"/>
      <c r="QSL1361" s="23"/>
      <c r="QSM1361" s="23"/>
      <c r="QSN1361" s="23"/>
      <c r="QSO1361" s="23"/>
      <c r="QSP1361" s="23"/>
      <c r="QSQ1361" s="23"/>
      <c r="QSR1361" s="23"/>
      <c r="QSS1361" s="23"/>
      <c r="QST1361" s="23"/>
      <c r="QSU1361" s="23"/>
      <c r="QSV1361" s="23"/>
      <c r="QSW1361" s="23"/>
      <c r="QSX1361" s="23"/>
      <c r="QSY1361" s="23"/>
      <c r="QSZ1361" s="23"/>
      <c r="QTA1361" s="23"/>
      <c r="QTB1361" s="23"/>
      <c r="QTC1361" s="23"/>
      <c r="QTD1361" s="23"/>
      <c r="QTE1361" s="23"/>
      <c r="QTF1361" s="23"/>
      <c r="QTG1361" s="23"/>
      <c r="QTH1361" s="23"/>
      <c r="QTI1361" s="23"/>
      <c r="QTJ1361" s="23"/>
      <c r="QTK1361" s="23"/>
      <c r="QTL1361" s="23"/>
      <c r="QTM1361" s="23"/>
      <c r="QTN1361" s="23"/>
      <c r="QTO1361" s="23"/>
      <c r="QTP1361" s="23"/>
      <c r="QTQ1361" s="23"/>
      <c r="QTR1361" s="23"/>
      <c r="QTS1361" s="23"/>
      <c r="QTT1361" s="23"/>
      <c r="QTU1361" s="23"/>
      <c r="QTV1361" s="23"/>
      <c r="QTW1361" s="23"/>
      <c r="QTX1361" s="23"/>
      <c r="QTY1361" s="23"/>
      <c r="QTZ1361" s="23"/>
      <c r="QUA1361" s="23"/>
      <c r="QUB1361" s="23"/>
      <c r="QUC1361" s="23"/>
      <c r="QUD1361" s="23"/>
      <c r="QUE1361" s="23"/>
      <c r="QUF1361" s="23"/>
      <c r="QUG1361" s="23"/>
      <c r="QUH1361" s="23"/>
      <c r="QUI1361" s="23"/>
      <c r="QUJ1361" s="23"/>
      <c r="QUK1361" s="23"/>
      <c r="QUL1361" s="23"/>
      <c r="QUM1361" s="23"/>
      <c r="QUN1361" s="23"/>
      <c r="QUO1361" s="23"/>
      <c r="QUP1361" s="23"/>
      <c r="QUQ1361" s="23"/>
      <c r="QUR1361" s="23"/>
      <c r="QUS1361" s="23"/>
      <c r="QUT1361" s="23"/>
      <c r="QUU1361" s="23"/>
      <c r="QUV1361" s="23"/>
      <c r="QUW1361" s="23"/>
      <c r="QUX1361" s="23"/>
      <c r="QUY1361" s="23"/>
      <c r="QUZ1361" s="23"/>
      <c r="QVA1361" s="23"/>
      <c r="QVB1361" s="23"/>
      <c r="QVC1361" s="23"/>
      <c r="QVD1361" s="23"/>
      <c r="QVE1361" s="23"/>
      <c r="QVF1361" s="23"/>
      <c r="QVG1361" s="23"/>
      <c r="QVH1361" s="23"/>
      <c r="QVI1361" s="23"/>
      <c r="QVJ1361" s="23"/>
      <c r="QVK1361" s="23"/>
      <c r="QVL1361" s="23"/>
      <c r="QVM1361" s="23"/>
      <c r="QVN1361" s="23"/>
      <c r="QVO1361" s="23"/>
      <c r="QVP1361" s="23"/>
      <c r="QVQ1361" s="23"/>
      <c r="QVR1361" s="23"/>
      <c r="QVS1361" s="23"/>
      <c r="QVT1361" s="23"/>
      <c r="QVU1361" s="23"/>
      <c r="QVV1361" s="23"/>
      <c r="QVW1361" s="23"/>
      <c r="QVX1361" s="23"/>
      <c r="QVY1361" s="23"/>
      <c r="QVZ1361" s="23"/>
      <c r="QWA1361" s="23"/>
      <c r="QWB1361" s="23"/>
      <c r="QWC1361" s="23"/>
      <c r="QWD1361" s="23"/>
      <c r="QWE1361" s="23"/>
      <c r="QWF1361" s="23"/>
      <c r="QWG1361" s="23"/>
      <c r="QWH1361" s="23"/>
      <c r="QWI1361" s="23"/>
      <c r="QWJ1361" s="23"/>
      <c r="QWK1361" s="23"/>
      <c r="QWL1361" s="23"/>
      <c r="QWM1361" s="23"/>
      <c r="QWN1361" s="23"/>
      <c r="QWO1361" s="23"/>
      <c r="QWP1361" s="23"/>
      <c r="QWQ1361" s="23"/>
      <c r="QWR1361" s="23"/>
      <c r="QWS1361" s="23"/>
      <c r="QWT1361" s="23"/>
      <c r="QWU1361" s="23"/>
      <c r="QWV1361" s="23"/>
      <c r="QWW1361" s="23"/>
      <c r="QWX1361" s="23"/>
      <c r="QWY1361" s="23"/>
      <c r="QWZ1361" s="23"/>
      <c r="QXA1361" s="23"/>
      <c r="QXB1361" s="23"/>
      <c r="QXC1361" s="23"/>
      <c r="QXD1361" s="23"/>
      <c r="QXE1361" s="23"/>
      <c r="QXF1361" s="23"/>
      <c r="QXG1361" s="23"/>
      <c r="QXH1361" s="23"/>
      <c r="QXI1361" s="23"/>
      <c r="QXJ1361" s="23"/>
      <c r="QXK1361" s="23"/>
      <c r="QXL1361" s="23"/>
      <c r="QXM1361" s="23"/>
      <c r="QXN1361" s="23"/>
      <c r="QXO1361" s="23"/>
      <c r="QXP1361" s="23"/>
      <c r="QXQ1361" s="23"/>
      <c r="QXR1361" s="23"/>
      <c r="QXS1361" s="23"/>
      <c r="QXT1361" s="23"/>
      <c r="QXU1361" s="23"/>
      <c r="QXV1361" s="23"/>
      <c r="QXW1361" s="23"/>
      <c r="QXX1361" s="23"/>
      <c r="QXY1361" s="23"/>
      <c r="QXZ1361" s="23"/>
      <c r="QYA1361" s="23"/>
      <c r="QYB1361" s="23"/>
      <c r="QYC1361" s="23"/>
      <c r="QYD1361" s="23"/>
      <c r="QYE1361" s="23"/>
      <c r="QYF1361" s="23"/>
      <c r="QYG1361" s="23"/>
      <c r="QYH1361" s="23"/>
      <c r="QYI1361" s="23"/>
      <c r="QYJ1361" s="23"/>
      <c r="QYK1361" s="23"/>
      <c r="QYL1361" s="23"/>
      <c r="QYM1361" s="23"/>
      <c r="QYN1361" s="23"/>
      <c r="QYO1361" s="23"/>
      <c r="QYP1361" s="23"/>
      <c r="QYQ1361" s="23"/>
      <c r="QYR1361" s="23"/>
      <c r="QYS1361" s="23"/>
      <c r="QYT1361" s="23"/>
      <c r="QYU1361" s="23"/>
      <c r="QYV1361" s="23"/>
      <c r="QYW1361" s="23"/>
      <c r="QYX1361" s="23"/>
      <c r="QYY1361" s="23"/>
      <c r="QYZ1361" s="23"/>
      <c r="QZA1361" s="23"/>
      <c r="QZB1361" s="23"/>
      <c r="QZC1361" s="23"/>
      <c r="QZD1361" s="23"/>
      <c r="QZE1361" s="23"/>
      <c r="QZF1361" s="23"/>
      <c r="QZG1361" s="23"/>
      <c r="QZH1361" s="23"/>
      <c r="QZI1361" s="23"/>
      <c r="QZJ1361" s="23"/>
      <c r="QZK1361" s="23"/>
      <c r="QZL1361" s="23"/>
      <c r="QZM1361" s="23"/>
      <c r="QZN1361" s="23"/>
      <c r="QZO1361" s="23"/>
      <c r="QZP1361" s="23"/>
      <c r="QZQ1361" s="23"/>
      <c r="QZR1361" s="23"/>
      <c r="QZS1361" s="23"/>
      <c r="QZT1361" s="23"/>
      <c r="QZU1361" s="23"/>
      <c r="QZV1361" s="23"/>
      <c r="QZW1361" s="23"/>
      <c r="QZX1361" s="23"/>
      <c r="QZY1361" s="23"/>
      <c r="QZZ1361" s="23"/>
      <c r="RAA1361" s="23"/>
      <c r="RAB1361" s="23"/>
      <c r="RAC1361" s="23"/>
      <c r="RAD1361" s="23"/>
      <c r="RAE1361" s="23"/>
      <c r="RAF1361" s="23"/>
      <c r="RAG1361" s="23"/>
      <c r="RAH1361" s="23"/>
      <c r="RAI1361" s="23"/>
      <c r="RAJ1361" s="23"/>
      <c r="RAK1361" s="23"/>
      <c r="RAL1361" s="23"/>
      <c r="RAM1361" s="23"/>
      <c r="RAN1361" s="23"/>
      <c r="RAO1361" s="23"/>
      <c r="RAP1361" s="23"/>
      <c r="RAQ1361" s="23"/>
      <c r="RAR1361" s="23"/>
      <c r="RAS1361" s="23"/>
      <c r="RAT1361" s="23"/>
      <c r="RAU1361" s="23"/>
      <c r="RAV1361" s="23"/>
      <c r="RAW1361" s="23"/>
      <c r="RAX1361" s="23"/>
      <c r="RAY1361" s="23"/>
      <c r="RAZ1361" s="23"/>
      <c r="RBA1361" s="23"/>
      <c r="RBB1361" s="23"/>
      <c r="RBC1361" s="23"/>
      <c r="RBD1361" s="23"/>
      <c r="RBE1361" s="23"/>
      <c r="RBF1361" s="23"/>
      <c r="RBG1361" s="23"/>
      <c r="RBH1361" s="23"/>
      <c r="RBI1361" s="23"/>
      <c r="RBJ1361" s="23"/>
      <c r="RBK1361" s="23"/>
      <c r="RBL1361" s="23"/>
      <c r="RBM1361" s="23"/>
      <c r="RBN1361" s="23"/>
      <c r="RBO1361" s="23"/>
      <c r="RBP1361" s="23"/>
      <c r="RBQ1361" s="23"/>
      <c r="RBR1361" s="23"/>
      <c r="RBS1361" s="23"/>
      <c r="RBT1361" s="23"/>
      <c r="RBU1361" s="23"/>
      <c r="RBV1361" s="23"/>
      <c r="RBW1361" s="23"/>
      <c r="RBX1361" s="23"/>
      <c r="RBY1361" s="23"/>
      <c r="RBZ1361" s="23"/>
      <c r="RCA1361" s="23"/>
      <c r="RCB1361" s="23"/>
      <c r="RCC1361" s="23"/>
      <c r="RCD1361" s="23"/>
      <c r="RCE1361" s="23"/>
      <c r="RCF1361" s="23"/>
      <c r="RCG1361" s="23"/>
      <c r="RCH1361" s="23"/>
      <c r="RCI1361" s="23"/>
      <c r="RCJ1361" s="23"/>
      <c r="RCK1361" s="23"/>
      <c r="RCL1361" s="23"/>
      <c r="RCM1361" s="23"/>
      <c r="RCN1361" s="23"/>
      <c r="RCO1361" s="23"/>
      <c r="RCP1361" s="23"/>
      <c r="RCQ1361" s="23"/>
      <c r="RCR1361" s="23"/>
      <c r="RCS1361" s="23"/>
      <c r="RCT1361" s="23"/>
      <c r="RCU1361" s="23"/>
      <c r="RCV1361" s="23"/>
      <c r="RCW1361" s="23"/>
      <c r="RCX1361" s="23"/>
      <c r="RCY1361" s="23"/>
      <c r="RCZ1361" s="23"/>
      <c r="RDA1361" s="23"/>
      <c r="RDB1361" s="23"/>
      <c r="RDC1361" s="23"/>
      <c r="RDD1361" s="23"/>
      <c r="RDE1361" s="23"/>
      <c r="RDF1361" s="23"/>
      <c r="RDG1361" s="23"/>
      <c r="RDH1361" s="23"/>
      <c r="RDI1361" s="23"/>
      <c r="RDJ1361" s="23"/>
      <c r="RDK1361" s="23"/>
      <c r="RDL1361" s="23"/>
      <c r="RDM1361" s="23"/>
      <c r="RDN1361" s="23"/>
      <c r="RDO1361" s="23"/>
      <c r="RDP1361" s="23"/>
      <c r="RDQ1361" s="23"/>
      <c r="RDR1361" s="23"/>
      <c r="RDS1361" s="23"/>
      <c r="RDT1361" s="23"/>
      <c r="RDU1361" s="23"/>
      <c r="RDV1361" s="23"/>
      <c r="RDW1361" s="23"/>
      <c r="RDX1361" s="23"/>
      <c r="RDY1361" s="23"/>
      <c r="RDZ1361" s="23"/>
      <c r="REA1361" s="23"/>
      <c r="REB1361" s="23"/>
      <c r="REC1361" s="23"/>
      <c r="RED1361" s="23"/>
      <c r="REE1361" s="23"/>
      <c r="REF1361" s="23"/>
      <c r="REG1361" s="23"/>
      <c r="REH1361" s="23"/>
      <c r="REI1361" s="23"/>
      <c r="REJ1361" s="23"/>
      <c r="REK1361" s="23"/>
      <c r="REL1361" s="23"/>
      <c r="REM1361" s="23"/>
      <c r="REN1361" s="23"/>
      <c r="REO1361" s="23"/>
      <c r="REP1361" s="23"/>
      <c r="REQ1361" s="23"/>
      <c r="RER1361" s="23"/>
      <c r="RES1361" s="23"/>
      <c r="RET1361" s="23"/>
      <c r="REU1361" s="23"/>
      <c r="REV1361" s="23"/>
      <c r="REW1361" s="23"/>
      <c r="REX1361" s="23"/>
      <c r="REY1361" s="23"/>
      <c r="REZ1361" s="23"/>
      <c r="RFA1361" s="23"/>
      <c r="RFB1361" s="23"/>
      <c r="RFC1361" s="23"/>
      <c r="RFD1361" s="23"/>
      <c r="RFE1361" s="23"/>
      <c r="RFF1361" s="23"/>
      <c r="RFG1361" s="23"/>
      <c r="RFH1361" s="23"/>
      <c r="RFI1361" s="23"/>
      <c r="RFJ1361" s="23"/>
      <c r="RFK1361" s="23"/>
      <c r="RFL1361" s="23"/>
      <c r="RFM1361" s="23"/>
      <c r="RFN1361" s="23"/>
      <c r="RFO1361" s="23"/>
      <c r="RFP1361" s="23"/>
      <c r="RFQ1361" s="23"/>
      <c r="RFR1361" s="23"/>
      <c r="RFS1361" s="23"/>
      <c r="RFT1361" s="23"/>
      <c r="RFU1361" s="23"/>
      <c r="RFV1361" s="23"/>
      <c r="RFW1361" s="23"/>
      <c r="RFX1361" s="23"/>
      <c r="RFY1361" s="23"/>
      <c r="RFZ1361" s="23"/>
      <c r="RGA1361" s="23"/>
      <c r="RGB1361" s="23"/>
      <c r="RGC1361" s="23"/>
      <c r="RGD1361" s="23"/>
      <c r="RGE1361" s="23"/>
      <c r="RGF1361" s="23"/>
      <c r="RGG1361" s="23"/>
      <c r="RGH1361" s="23"/>
      <c r="RGI1361" s="23"/>
      <c r="RGJ1361" s="23"/>
      <c r="RGK1361" s="23"/>
      <c r="RGL1361" s="23"/>
      <c r="RGM1361" s="23"/>
      <c r="RGN1361" s="23"/>
      <c r="RGO1361" s="23"/>
      <c r="RGP1361" s="23"/>
      <c r="RGQ1361" s="23"/>
      <c r="RGR1361" s="23"/>
      <c r="RGS1361" s="23"/>
      <c r="RGT1361" s="23"/>
      <c r="RGU1361" s="23"/>
      <c r="RGV1361" s="23"/>
      <c r="RGW1361" s="23"/>
      <c r="RGX1361" s="23"/>
      <c r="RGY1361" s="23"/>
      <c r="RGZ1361" s="23"/>
      <c r="RHA1361" s="23"/>
      <c r="RHB1361" s="23"/>
      <c r="RHC1361" s="23"/>
      <c r="RHD1361" s="23"/>
      <c r="RHE1361" s="23"/>
      <c r="RHF1361" s="23"/>
      <c r="RHG1361" s="23"/>
      <c r="RHH1361" s="23"/>
      <c r="RHI1361" s="23"/>
      <c r="RHJ1361" s="23"/>
      <c r="RHK1361" s="23"/>
      <c r="RHL1361" s="23"/>
      <c r="RHM1361" s="23"/>
      <c r="RHN1361" s="23"/>
      <c r="RHO1361" s="23"/>
      <c r="RHP1361" s="23"/>
      <c r="RHQ1361" s="23"/>
      <c r="RHR1361" s="23"/>
      <c r="RHS1361" s="23"/>
      <c r="RHT1361" s="23"/>
      <c r="RHU1361" s="23"/>
      <c r="RHV1361" s="23"/>
      <c r="RHW1361" s="23"/>
      <c r="RHX1361" s="23"/>
      <c r="RHY1361" s="23"/>
      <c r="RHZ1361" s="23"/>
      <c r="RIA1361" s="23"/>
      <c r="RIB1361" s="23"/>
      <c r="RIC1361" s="23"/>
      <c r="RID1361" s="23"/>
      <c r="RIE1361" s="23"/>
      <c r="RIF1361" s="23"/>
      <c r="RIG1361" s="23"/>
      <c r="RIH1361" s="23"/>
      <c r="RII1361" s="23"/>
      <c r="RIJ1361" s="23"/>
      <c r="RIK1361" s="23"/>
      <c r="RIL1361" s="23"/>
      <c r="RIM1361" s="23"/>
      <c r="RIN1361" s="23"/>
      <c r="RIO1361" s="23"/>
      <c r="RIP1361" s="23"/>
      <c r="RIQ1361" s="23"/>
      <c r="RIR1361" s="23"/>
      <c r="RIS1361" s="23"/>
      <c r="RIT1361" s="23"/>
      <c r="RIU1361" s="23"/>
      <c r="RIV1361" s="23"/>
      <c r="RIW1361" s="23"/>
      <c r="RIX1361" s="23"/>
      <c r="RIY1361" s="23"/>
      <c r="RIZ1361" s="23"/>
      <c r="RJA1361" s="23"/>
      <c r="RJB1361" s="23"/>
      <c r="RJC1361" s="23"/>
      <c r="RJD1361" s="23"/>
      <c r="RJE1361" s="23"/>
      <c r="RJF1361" s="23"/>
      <c r="RJG1361" s="23"/>
      <c r="RJH1361" s="23"/>
      <c r="RJI1361" s="23"/>
      <c r="RJJ1361" s="23"/>
      <c r="RJK1361" s="23"/>
      <c r="RJL1361" s="23"/>
      <c r="RJM1361" s="23"/>
      <c r="RJN1361" s="23"/>
      <c r="RJO1361" s="23"/>
      <c r="RJP1361" s="23"/>
      <c r="RJQ1361" s="23"/>
      <c r="RJR1361" s="23"/>
      <c r="RJS1361" s="23"/>
      <c r="RJT1361" s="23"/>
      <c r="RJU1361" s="23"/>
      <c r="RJV1361" s="23"/>
      <c r="RJW1361" s="23"/>
      <c r="RJX1361" s="23"/>
      <c r="RJY1361" s="23"/>
      <c r="RJZ1361" s="23"/>
      <c r="RKA1361" s="23"/>
      <c r="RKB1361" s="23"/>
      <c r="RKC1361" s="23"/>
      <c r="RKD1361" s="23"/>
      <c r="RKE1361" s="23"/>
      <c r="RKF1361" s="23"/>
      <c r="RKG1361" s="23"/>
      <c r="RKH1361" s="23"/>
      <c r="RKI1361" s="23"/>
      <c r="RKJ1361" s="23"/>
      <c r="RKK1361" s="23"/>
      <c r="RKL1361" s="23"/>
      <c r="RKM1361" s="23"/>
      <c r="RKN1361" s="23"/>
      <c r="RKO1361" s="23"/>
      <c r="RKP1361" s="23"/>
      <c r="RKQ1361" s="23"/>
      <c r="RKR1361" s="23"/>
      <c r="RKS1361" s="23"/>
      <c r="RKT1361" s="23"/>
      <c r="RKU1361" s="23"/>
      <c r="RKV1361" s="23"/>
      <c r="RKW1361" s="23"/>
      <c r="RKX1361" s="23"/>
      <c r="RKY1361" s="23"/>
      <c r="RKZ1361" s="23"/>
      <c r="RLA1361" s="23"/>
      <c r="RLB1361" s="23"/>
      <c r="RLC1361" s="23"/>
      <c r="RLD1361" s="23"/>
      <c r="RLE1361" s="23"/>
      <c r="RLF1361" s="23"/>
      <c r="RLG1361" s="23"/>
      <c r="RLH1361" s="23"/>
      <c r="RLI1361" s="23"/>
      <c r="RLJ1361" s="23"/>
      <c r="RLK1361" s="23"/>
      <c r="RLL1361" s="23"/>
      <c r="RLM1361" s="23"/>
      <c r="RLN1361" s="23"/>
      <c r="RLO1361" s="23"/>
      <c r="RLP1361" s="23"/>
      <c r="RLQ1361" s="23"/>
      <c r="RLR1361" s="23"/>
      <c r="RLS1361" s="23"/>
      <c r="RLT1361" s="23"/>
      <c r="RLU1361" s="23"/>
      <c r="RLV1361" s="23"/>
      <c r="RLW1361" s="23"/>
      <c r="RLX1361" s="23"/>
      <c r="RLY1361" s="23"/>
      <c r="RLZ1361" s="23"/>
      <c r="RMA1361" s="23"/>
      <c r="RMB1361" s="23"/>
      <c r="RMC1361" s="23"/>
      <c r="RMD1361" s="23"/>
      <c r="RME1361" s="23"/>
      <c r="RMF1361" s="23"/>
      <c r="RMG1361" s="23"/>
      <c r="RMH1361" s="23"/>
      <c r="RMI1361" s="23"/>
      <c r="RMJ1361" s="23"/>
      <c r="RMK1361" s="23"/>
      <c r="RML1361" s="23"/>
      <c r="RMM1361" s="23"/>
      <c r="RMN1361" s="23"/>
      <c r="RMO1361" s="23"/>
      <c r="RMP1361" s="23"/>
      <c r="RMQ1361" s="23"/>
      <c r="RMR1361" s="23"/>
      <c r="RMS1361" s="23"/>
      <c r="RMT1361" s="23"/>
      <c r="RMU1361" s="23"/>
      <c r="RMV1361" s="23"/>
      <c r="RMW1361" s="23"/>
      <c r="RMX1361" s="23"/>
      <c r="RMY1361" s="23"/>
      <c r="RMZ1361" s="23"/>
      <c r="RNA1361" s="23"/>
      <c r="RNB1361" s="23"/>
      <c r="RNC1361" s="23"/>
      <c r="RND1361" s="23"/>
      <c r="RNE1361" s="23"/>
      <c r="RNF1361" s="23"/>
      <c r="RNG1361" s="23"/>
      <c r="RNH1361" s="23"/>
      <c r="RNI1361" s="23"/>
      <c r="RNJ1361" s="23"/>
      <c r="RNK1361" s="23"/>
      <c r="RNL1361" s="23"/>
      <c r="RNM1361" s="23"/>
      <c r="RNN1361" s="23"/>
      <c r="RNO1361" s="23"/>
      <c r="RNP1361" s="23"/>
      <c r="RNQ1361" s="23"/>
      <c r="RNR1361" s="23"/>
      <c r="RNS1361" s="23"/>
      <c r="RNT1361" s="23"/>
      <c r="RNU1361" s="23"/>
      <c r="RNV1361" s="23"/>
      <c r="RNW1361" s="23"/>
      <c r="RNX1361" s="23"/>
      <c r="RNY1361" s="23"/>
      <c r="RNZ1361" s="23"/>
      <c r="ROA1361" s="23"/>
      <c r="ROB1361" s="23"/>
      <c r="ROC1361" s="23"/>
      <c r="ROD1361" s="23"/>
      <c r="ROE1361" s="23"/>
      <c r="ROF1361" s="23"/>
      <c r="ROG1361" s="23"/>
      <c r="ROH1361" s="23"/>
      <c r="ROI1361" s="23"/>
      <c r="ROJ1361" s="23"/>
      <c r="ROK1361" s="23"/>
      <c r="ROL1361" s="23"/>
      <c r="ROM1361" s="23"/>
      <c r="RON1361" s="23"/>
      <c r="ROO1361" s="23"/>
      <c r="ROP1361" s="23"/>
      <c r="ROQ1361" s="23"/>
      <c r="ROR1361" s="23"/>
      <c r="ROS1361" s="23"/>
      <c r="ROT1361" s="23"/>
      <c r="ROU1361" s="23"/>
      <c r="ROV1361" s="23"/>
      <c r="ROW1361" s="23"/>
      <c r="ROX1361" s="23"/>
      <c r="ROY1361" s="23"/>
      <c r="ROZ1361" s="23"/>
      <c r="RPA1361" s="23"/>
      <c r="RPB1361" s="23"/>
      <c r="RPC1361" s="23"/>
      <c r="RPD1361" s="23"/>
      <c r="RPE1361" s="23"/>
      <c r="RPF1361" s="23"/>
      <c r="RPG1361" s="23"/>
      <c r="RPH1361" s="23"/>
      <c r="RPI1361" s="23"/>
      <c r="RPJ1361" s="23"/>
      <c r="RPK1361" s="23"/>
      <c r="RPL1361" s="23"/>
      <c r="RPM1361" s="23"/>
      <c r="RPN1361" s="23"/>
      <c r="RPO1361" s="23"/>
      <c r="RPP1361" s="23"/>
      <c r="RPQ1361" s="23"/>
      <c r="RPR1361" s="23"/>
      <c r="RPS1361" s="23"/>
      <c r="RPT1361" s="23"/>
      <c r="RPU1361" s="23"/>
      <c r="RPV1361" s="23"/>
      <c r="RPW1361" s="23"/>
      <c r="RPX1361" s="23"/>
      <c r="RPY1361" s="23"/>
      <c r="RPZ1361" s="23"/>
      <c r="RQA1361" s="23"/>
      <c r="RQB1361" s="23"/>
      <c r="RQC1361" s="23"/>
      <c r="RQD1361" s="23"/>
      <c r="RQE1361" s="23"/>
      <c r="RQF1361" s="23"/>
      <c r="RQG1361" s="23"/>
      <c r="RQH1361" s="23"/>
      <c r="RQI1361" s="23"/>
      <c r="RQJ1361" s="23"/>
      <c r="RQK1361" s="23"/>
      <c r="RQL1361" s="23"/>
      <c r="RQM1361" s="23"/>
      <c r="RQN1361" s="23"/>
      <c r="RQO1361" s="23"/>
      <c r="RQP1361" s="23"/>
      <c r="RQQ1361" s="23"/>
      <c r="RQR1361" s="23"/>
      <c r="RQS1361" s="23"/>
      <c r="RQT1361" s="23"/>
      <c r="RQU1361" s="23"/>
      <c r="RQV1361" s="23"/>
      <c r="RQW1361" s="23"/>
      <c r="RQX1361" s="23"/>
      <c r="RQY1361" s="23"/>
      <c r="RQZ1361" s="23"/>
      <c r="RRA1361" s="23"/>
      <c r="RRB1361" s="23"/>
      <c r="RRC1361" s="23"/>
      <c r="RRD1361" s="23"/>
      <c r="RRE1361" s="23"/>
      <c r="RRF1361" s="23"/>
      <c r="RRG1361" s="23"/>
      <c r="RRH1361" s="23"/>
      <c r="RRI1361" s="23"/>
      <c r="RRJ1361" s="23"/>
      <c r="RRK1361" s="23"/>
      <c r="RRL1361" s="23"/>
      <c r="RRM1361" s="23"/>
      <c r="RRN1361" s="23"/>
      <c r="RRO1361" s="23"/>
      <c r="RRP1361" s="23"/>
      <c r="RRQ1361" s="23"/>
      <c r="RRR1361" s="23"/>
      <c r="RRS1361" s="23"/>
      <c r="RRT1361" s="23"/>
      <c r="RRU1361" s="23"/>
      <c r="RRV1361" s="23"/>
      <c r="RRW1361" s="23"/>
      <c r="RRX1361" s="23"/>
      <c r="RRY1361" s="23"/>
      <c r="RRZ1361" s="23"/>
      <c r="RSA1361" s="23"/>
      <c r="RSB1361" s="23"/>
      <c r="RSC1361" s="23"/>
      <c r="RSD1361" s="23"/>
      <c r="RSE1361" s="23"/>
      <c r="RSF1361" s="23"/>
      <c r="RSG1361" s="23"/>
      <c r="RSH1361" s="23"/>
      <c r="RSI1361" s="23"/>
      <c r="RSJ1361" s="23"/>
      <c r="RSK1361" s="23"/>
      <c r="RSL1361" s="23"/>
      <c r="RSM1361" s="23"/>
      <c r="RSN1361" s="23"/>
      <c r="RSO1361" s="23"/>
      <c r="RSP1361" s="23"/>
      <c r="RSQ1361" s="23"/>
      <c r="RSR1361" s="23"/>
      <c r="RSS1361" s="23"/>
      <c r="RST1361" s="23"/>
      <c r="RSU1361" s="23"/>
      <c r="RSV1361" s="23"/>
      <c r="RSW1361" s="23"/>
      <c r="RSX1361" s="23"/>
      <c r="RSY1361" s="23"/>
      <c r="RSZ1361" s="23"/>
      <c r="RTA1361" s="23"/>
      <c r="RTB1361" s="23"/>
      <c r="RTC1361" s="23"/>
      <c r="RTD1361" s="23"/>
      <c r="RTE1361" s="23"/>
      <c r="RTF1361" s="23"/>
      <c r="RTG1361" s="23"/>
      <c r="RTH1361" s="23"/>
      <c r="RTI1361" s="23"/>
      <c r="RTJ1361" s="23"/>
      <c r="RTK1361" s="23"/>
      <c r="RTL1361" s="23"/>
      <c r="RTM1361" s="23"/>
      <c r="RTN1361" s="23"/>
      <c r="RTO1361" s="23"/>
      <c r="RTP1361" s="23"/>
      <c r="RTQ1361" s="23"/>
      <c r="RTR1361" s="23"/>
      <c r="RTS1361" s="23"/>
      <c r="RTT1361" s="23"/>
      <c r="RTU1361" s="23"/>
      <c r="RTV1361" s="23"/>
      <c r="RTW1361" s="23"/>
      <c r="RTX1361" s="23"/>
      <c r="RTY1361" s="23"/>
      <c r="RTZ1361" s="23"/>
      <c r="RUA1361" s="23"/>
      <c r="RUB1361" s="23"/>
      <c r="RUC1361" s="23"/>
      <c r="RUD1361" s="23"/>
      <c r="RUE1361" s="23"/>
      <c r="RUF1361" s="23"/>
      <c r="RUG1361" s="23"/>
      <c r="RUH1361" s="23"/>
      <c r="RUI1361" s="23"/>
      <c r="RUJ1361" s="23"/>
      <c r="RUK1361" s="23"/>
      <c r="RUL1361" s="23"/>
      <c r="RUM1361" s="23"/>
      <c r="RUN1361" s="23"/>
      <c r="RUO1361" s="23"/>
      <c r="RUP1361" s="23"/>
      <c r="RUQ1361" s="23"/>
      <c r="RUR1361" s="23"/>
      <c r="RUS1361" s="23"/>
      <c r="RUT1361" s="23"/>
      <c r="RUU1361" s="23"/>
      <c r="RUV1361" s="23"/>
      <c r="RUW1361" s="23"/>
      <c r="RUX1361" s="23"/>
      <c r="RUY1361" s="23"/>
      <c r="RUZ1361" s="23"/>
      <c r="RVA1361" s="23"/>
      <c r="RVB1361" s="23"/>
      <c r="RVC1361" s="23"/>
      <c r="RVD1361" s="23"/>
      <c r="RVE1361" s="23"/>
      <c r="RVF1361" s="23"/>
      <c r="RVG1361" s="23"/>
      <c r="RVH1361" s="23"/>
      <c r="RVI1361" s="23"/>
      <c r="RVJ1361" s="23"/>
      <c r="RVK1361" s="23"/>
      <c r="RVL1361" s="23"/>
      <c r="RVM1361" s="23"/>
      <c r="RVN1361" s="23"/>
      <c r="RVO1361" s="23"/>
      <c r="RVP1361" s="23"/>
      <c r="RVQ1361" s="23"/>
      <c r="RVR1361" s="23"/>
      <c r="RVS1361" s="23"/>
      <c r="RVT1361" s="23"/>
      <c r="RVU1361" s="23"/>
      <c r="RVV1361" s="23"/>
      <c r="RVW1361" s="23"/>
      <c r="RVX1361" s="23"/>
      <c r="RVY1361" s="23"/>
      <c r="RVZ1361" s="23"/>
      <c r="RWA1361" s="23"/>
      <c r="RWB1361" s="23"/>
      <c r="RWC1361" s="23"/>
      <c r="RWD1361" s="23"/>
      <c r="RWE1361" s="23"/>
      <c r="RWF1361" s="23"/>
      <c r="RWG1361" s="23"/>
      <c r="RWH1361" s="23"/>
      <c r="RWI1361" s="23"/>
      <c r="RWJ1361" s="23"/>
      <c r="RWK1361" s="23"/>
      <c r="RWL1361" s="23"/>
      <c r="RWM1361" s="23"/>
      <c r="RWN1361" s="23"/>
      <c r="RWO1361" s="23"/>
      <c r="RWP1361" s="23"/>
      <c r="RWQ1361" s="23"/>
      <c r="RWR1361" s="23"/>
      <c r="RWS1361" s="23"/>
      <c r="RWT1361" s="23"/>
      <c r="RWU1361" s="23"/>
      <c r="RWV1361" s="23"/>
      <c r="RWW1361" s="23"/>
      <c r="RWX1361" s="23"/>
      <c r="RWY1361" s="23"/>
      <c r="RWZ1361" s="23"/>
      <c r="RXA1361" s="23"/>
      <c r="RXB1361" s="23"/>
      <c r="RXC1361" s="23"/>
      <c r="RXD1361" s="23"/>
      <c r="RXE1361" s="23"/>
      <c r="RXF1361" s="23"/>
      <c r="RXG1361" s="23"/>
      <c r="RXH1361" s="23"/>
      <c r="RXI1361" s="23"/>
      <c r="RXJ1361" s="23"/>
      <c r="RXK1361" s="23"/>
      <c r="RXL1361" s="23"/>
      <c r="RXM1361" s="23"/>
      <c r="RXN1361" s="23"/>
      <c r="RXO1361" s="23"/>
      <c r="RXP1361" s="23"/>
      <c r="RXQ1361" s="23"/>
      <c r="RXR1361" s="23"/>
      <c r="RXS1361" s="23"/>
      <c r="RXT1361" s="23"/>
      <c r="RXU1361" s="23"/>
      <c r="RXV1361" s="23"/>
      <c r="RXW1361" s="23"/>
      <c r="RXX1361" s="23"/>
      <c r="RXY1361" s="23"/>
      <c r="RXZ1361" s="23"/>
      <c r="RYA1361" s="23"/>
      <c r="RYB1361" s="23"/>
      <c r="RYC1361" s="23"/>
      <c r="RYD1361" s="23"/>
      <c r="RYE1361" s="23"/>
      <c r="RYF1361" s="23"/>
      <c r="RYG1361" s="23"/>
      <c r="RYH1361" s="23"/>
      <c r="RYI1361" s="23"/>
      <c r="RYJ1361" s="23"/>
      <c r="RYK1361" s="23"/>
      <c r="RYL1361" s="23"/>
      <c r="RYM1361" s="23"/>
      <c r="RYN1361" s="23"/>
      <c r="RYO1361" s="23"/>
      <c r="RYP1361" s="23"/>
      <c r="RYQ1361" s="23"/>
      <c r="RYR1361" s="23"/>
      <c r="RYS1361" s="23"/>
      <c r="RYT1361" s="23"/>
      <c r="RYU1361" s="23"/>
      <c r="RYV1361" s="23"/>
      <c r="RYW1361" s="23"/>
      <c r="RYX1361" s="23"/>
      <c r="RYY1361" s="23"/>
      <c r="RYZ1361" s="23"/>
      <c r="RZA1361" s="23"/>
      <c r="RZB1361" s="23"/>
      <c r="RZC1361" s="23"/>
      <c r="RZD1361" s="23"/>
      <c r="RZE1361" s="23"/>
      <c r="RZF1361" s="23"/>
      <c r="RZG1361" s="23"/>
      <c r="RZH1361" s="23"/>
      <c r="RZI1361" s="23"/>
      <c r="RZJ1361" s="23"/>
      <c r="RZK1361" s="23"/>
      <c r="RZL1361" s="23"/>
      <c r="RZM1361" s="23"/>
      <c r="RZN1361" s="23"/>
      <c r="RZO1361" s="23"/>
      <c r="RZP1361" s="23"/>
      <c r="RZQ1361" s="23"/>
      <c r="RZR1361" s="23"/>
      <c r="RZS1361" s="23"/>
      <c r="RZT1361" s="23"/>
      <c r="RZU1361" s="23"/>
      <c r="RZV1361" s="23"/>
      <c r="RZW1361" s="23"/>
      <c r="RZX1361" s="23"/>
      <c r="RZY1361" s="23"/>
      <c r="RZZ1361" s="23"/>
      <c r="SAA1361" s="23"/>
      <c r="SAB1361" s="23"/>
      <c r="SAC1361" s="23"/>
      <c r="SAD1361" s="23"/>
      <c r="SAE1361" s="23"/>
      <c r="SAF1361" s="23"/>
      <c r="SAG1361" s="23"/>
      <c r="SAH1361" s="23"/>
      <c r="SAI1361" s="23"/>
      <c r="SAJ1361" s="23"/>
      <c r="SAK1361" s="23"/>
      <c r="SAL1361" s="23"/>
      <c r="SAM1361" s="23"/>
      <c r="SAN1361" s="23"/>
      <c r="SAO1361" s="23"/>
      <c r="SAP1361" s="23"/>
      <c r="SAQ1361" s="23"/>
      <c r="SAR1361" s="23"/>
      <c r="SAS1361" s="23"/>
      <c r="SAT1361" s="23"/>
      <c r="SAU1361" s="23"/>
      <c r="SAV1361" s="23"/>
      <c r="SAW1361" s="23"/>
      <c r="SAX1361" s="23"/>
      <c r="SAY1361" s="23"/>
      <c r="SAZ1361" s="23"/>
      <c r="SBA1361" s="23"/>
      <c r="SBB1361" s="23"/>
      <c r="SBC1361" s="23"/>
      <c r="SBD1361" s="23"/>
      <c r="SBE1361" s="23"/>
      <c r="SBF1361" s="23"/>
      <c r="SBG1361" s="23"/>
      <c r="SBH1361" s="23"/>
      <c r="SBI1361" s="23"/>
      <c r="SBJ1361" s="23"/>
      <c r="SBK1361" s="23"/>
      <c r="SBL1361" s="23"/>
      <c r="SBM1361" s="23"/>
      <c r="SBN1361" s="23"/>
      <c r="SBO1361" s="23"/>
      <c r="SBP1361" s="23"/>
      <c r="SBQ1361" s="23"/>
      <c r="SBR1361" s="23"/>
      <c r="SBS1361" s="23"/>
      <c r="SBT1361" s="23"/>
      <c r="SBU1361" s="23"/>
      <c r="SBV1361" s="23"/>
      <c r="SBW1361" s="23"/>
      <c r="SBX1361" s="23"/>
      <c r="SBY1361" s="23"/>
      <c r="SBZ1361" s="23"/>
      <c r="SCA1361" s="23"/>
      <c r="SCB1361" s="23"/>
      <c r="SCC1361" s="23"/>
      <c r="SCD1361" s="23"/>
      <c r="SCE1361" s="23"/>
      <c r="SCF1361" s="23"/>
      <c r="SCG1361" s="23"/>
      <c r="SCH1361" s="23"/>
      <c r="SCI1361" s="23"/>
      <c r="SCJ1361" s="23"/>
      <c r="SCK1361" s="23"/>
      <c r="SCL1361" s="23"/>
      <c r="SCM1361" s="23"/>
      <c r="SCN1361" s="23"/>
      <c r="SCO1361" s="23"/>
      <c r="SCP1361" s="23"/>
      <c r="SCQ1361" s="23"/>
      <c r="SCR1361" s="23"/>
      <c r="SCS1361" s="23"/>
      <c r="SCT1361" s="23"/>
      <c r="SCU1361" s="23"/>
      <c r="SCV1361" s="23"/>
      <c r="SCW1361" s="23"/>
      <c r="SCX1361" s="23"/>
      <c r="SCY1361" s="23"/>
      <c r="SCZ1361" s="23"/>
      <c r="SDA1361" s="23"/>
      <c r="SDB1361" s="23"/>
      <c r="SDC1361" s="23"/>
      <c r="SDD1361" s="23"/>
      <c r="SDE1361" s="23"/>
      <c r="SDF1361" s="23"/>
      <c r="SDG1361" s="23"/>
      <c r="SDH1361" s="23"/>
      <c r="SDI1361" s="23"/>
      <c r="SDJ1361" s="23"/>
      <c r="SDK1361" s="23"/>
      <c r="SDL1361" s="23"/>
      <c r="SDM1361" s="23"/>
      <c r="SDN1361" s="23"/>
      <c r="SDO1361" s="23"/>
      <c r="SDP1361" s="23"/>
      <c r="SDQ1361" s="23"/>
      <c r="SDR1361" s="23"/>
      <c r="SDS1361" s="23"/>
      <c r="SDT1361" s="23"/>
      <c r="SDU1361" s="23"/>
      <c r="SDV1361" s="23"/>
      <c r="SDW1361" s="23"/>
      <c r="SDX1361" s="23"/>
      <c r="SDY1361" s="23"/>
      <c r="SDZ1361" s="23"/>
      <c r="SEA1361" s="23"/>
      <c r="SEB1361" s="23"/>
      <c r="SEC1361" s="23"/>
      <c r="SED1361" s="23"/>
      <c r="SEE1361" s="23"/>
      <c r="SEF1361" s="23"/>
      <c r="SEG1361" s="23"/>
      <c r="SEH1361" s="23"/>
      <c r="SEI1361" s="23"/>
      <c r="SEJ1361" s="23"/>
      <c r="SEK1361" s="23"/>
      <c r="SEL1361" s="23"/>
      <c r="SEM1361" s="23"/>
      <c r="SEN1361" s="23"/>
      <c r="SEO1361" s="23"/>
      <c r="SEP1361" s="23"/>
      <c r="SEQ1361" s="23"/>
      <c r="SER1361" s="23"/>
      <c r="SES1361" s="23"/>
      <c r="SET1361" s="23"/>
      <c r="SEU1361" s="23"/>
      <c r="SEV1361" s="23"/>
      <c r="SEW1361" s="23"/>
      <c r="SEX1361" s="23"/>
      <c r="SEY1361" s="23"/>
      <c r="SEZ1361" s="23"/>
      <c r="SFA1361" s="23"/>
      <c r="SFB1361" s="23"/>
      <c r="SFC1361" s="23"/>
      <c r="SFD1361" s="23"/>
      <c r="SFE1361" s="23"/>
      <c r="SFF1361" s="23"/>
      <c r="SFG1361" s="23"/>
      <c r="SFH1361" s="23"/>
      <c r="SFI1361" s="23"/>
      <c r="SFJ1361" s="23"/>
      <c r="SFK1361" s="23"/>
      <c r="SFL1361" s="23"/>
      <c r="SFM1361" s="23"/>
      <c r="SFN1361" s="23"/>
      <c r="SFO1361" s="23"/>
      <c r="SFP1361" s="23"/>
      <c r="SFQ1361" s="23"/>
      <c r="SFR1361" s="23"/>
      <c r="SFS1361" s="23"/>
      <c r="SFT1361" s="23"/>
      <c r="SFU1361" s="23"/>
      <c r="SFV1361" s="23"/>
      <c r="SFW1361" s="23"/>
      <c r="SFX1361" s="23"/>
      <c r="SFY1361" s="23"/>
      <c r="SFZ1361" s="23"/>
      <c r="SGA1361" s="23"/>
      <c r="SGB1361" s="23"/>
      <c r="SGC1361" s="23"/>
      <c r="SGD1361" s="23"/>
      <c r="SGE1361" s="23"/>
      <c r="SGF1361" s="23"/>
      <c r="SGG1361" s="23"/>
      <c r="SGH1361" s="23"/>
      <c r="SGI1361" s="23"/>
      <c r="SGJ1361" s="23"/>
      <c r="SGK1361" s="23"/>
      <c r="SGL1361" s="23"/>
      <c r="SGM1361" s="23"/>
      <c r="SGN1361" s="23"/>
      <c r="SGO1361" s="23"/>
      <c r="SGP1361" s="23"/>
      <c r="SGQ1361" s="23"/>
      <c r="SGR1361" s="23"/>
      <c r="SGS1361" s="23"/>
      <c r="SGT1361" s="23"/>
      <c r="SGU1361" s="23"/>
      <c r="SGV1361" s="23"/>
      <c r="SGW1361" s="23"/>
      <c r="SGX1361" s="23"/>
      <c r="SGY1361" s="23"/>
      <c r="SGZ1361" s="23"/>
      <c r="SHA1361" s="23"/>
      <c r="SHB1361" s="23"/>
      <c r="SHC1361" s="23"/>
      <c r="SHD1361" s="23"/>
      <c r="SHE1361" s="23"/>
      <c r="SHF1361" s="23"/>
      <c r="SHG1361" s="23"/>
      <c r="SHH1361" s="23"/>
      <c r="SHI1361" s="23"/>
      <c r="SHJ1361" s="23"/>
      <c r="SHK1361" s="23"/>
      <c r="SHL1361" s="23"/>
      <c r="SHM1361" s="23"/>
      <c r="SHN1361" s="23"/>
      <c r="SHO1361" s="23"/>
      <c r="SHP1361" s="23"/>
      <c r="SHQ1361" s="23"/>
      <c r="SHR1361" s="23"/>
      <c r="SHS1361" s="23"/>
      <c r="SHT1361" s="23"/>
      <c r="SHU1361" s="23"/>
      <c r="SHV1361" s="23"/>
      <c r="SHW1361" s="23"/>
      <c r="SHX1361" s="23"/>
      <c r="SHY1361" s="23"/>
      <c r="SHZ1361" s="23"/>
      <c r="SIA1361" s="23"/>
      <c r="SIB1361" s="23"/>
      <c r="SIC1361" s="23"/>
      <c r="SID1361" s="23"/>
      <c r="SIE1361" s="23"/>
      <c r="SIF1361" s="23"/>
      <c r="SIG1361" s="23"/>
      <c r="SIH1361" s="23"/>
      <c r="SII1361" s="23"/>
      <c r="SIJ1361" s="23"/>
      <c r="SIK1361" s="23"/>
      <c r="SIL1361" s="23"/>
      <c r="SIM1361" s="23"/>
      <c r="SIN1361" s="23"/>
      <c r="SIO1361" s="23"/>
      <c r="SIP1361" s="23"/>
      <c r="SIQ1361" s="23"/>
      <c r="SIR1361" s="23"/>
      <c r="SIS1361" s="23"/>
      <c r="SIT1361" s="23"/>
      <c r="SIU1361" s="23"/>
      <c r="SIV1361" s="23"/>
      <c r="SIW1361" s="23"/>
      <c r="SIX1361" s="23"/>
      <c r="SIY1361" s="23"/>
      <c r="SIZ1361" s="23"/>
      <c r="SJA1361" s="23"/>
      <c r="SJB1361" s="23"/>
      <c r="SJC1361" s="23"/>
      <c r="SJD1361" s="23"/>
      <c r="SJE1361" s="23"/>
      <c r="SJF1361" s="23"/>
      <c r="SJG1361" s="23"/>
      <c r="SJH1361" s="23"/>
      <c r="SJI1361" s="23"/>
      <c r="SJJ1361" s="23"/>
      <c r="SJK1361" s="23"/>
      <c r="SJL1361" s="23"/>
      <c r="SJM1361" s="23"/>
      <c r="SJN1361" s="23"/>
      <c r="SJO1361" s="23"/>
      <c r="SJP1361" s="23"/>
      <c r="SJQ1361" s="23"/>
      <c r="SJR1361" s="23"/>
      <c r="SJS1361" s="23"/>
      <c r="SJT1361" s="23"/>
      <c r="SJU1361" s="23"/>
      <c r="SJV1361" s="23"/>
      <c r="SJW1361" s="23"/>
      <c r="SJX1361" s="23"/>
      <c r="SJY1361" s="23"/>
      <c r="SJZ1361" s="23"/>
      <c r="SKA1361" s="23"/>
      <c r="SKB1361" s="23"/>
      <c r="SKC1361" s="23"/>
      <c r="SKD1361" s="23"/>
      <c r="SKE1361" s="23"/>
      <c r="SKF1361" s="23"/>
      <c r="SKG1361" s="23"/>
      <c r="SKH1361" s="23"/>
      <c r="SKI1361" s="23"/>
      <c r="SKJ1361" s="23"/>
      <c r="SKK1361" s="23"/>
      <c r="SKL1361" s="23"/>
      <c r="SKM1361" s="23"/>
      <c r="SKN1361" s="23"/>
      <c r="SKO1361" s="23"/>
      <c r="SKP1361" s="23"/>
      <c r="SKQ1361" s="23"/>
      <c r="SKR1361" s="23"/>
      <c r="SKS1361" s="23"/>
      <c r="SKT1361" s="23"/>
      <c r="SKU1361" s="23"/>
      <c r="SKV1361" s="23"/>
      <c r="SKW1361" s="23"/>
      <c r="SKX1361" s="23"/>
      <c r="SKY1361" s="23"/>
      <c r="SKZ1361" s="23"/>
      <c r="SLA1361" s="23"/>
      <c r="SLB1361" s="23"/>
      <c r="SLC1361" s="23"/>
      <c r="SLD1361" s="23"/>
      <c r="SLE1361" s="23"/>
      <c r="SLF1361" s="23"/>
      <c r="SLG1361" s="23"/>
      <c r="SLH1361" s="23"/>
      <c r="SLI1361" s="23"/>
      <c r="SLJ1361" s="23"/>
      <c r="SLK1361" s="23"/>
      <c r="SLL1361" s="23"/>
      <c r="SLM1361" s="23"/>
      <c r="SLN1361" s="23"/>
      <c r="SLO1361" s="23"/>
      <c r="SLP1361" s="23"/>
      <c r="SLQ1361" s="23"/>
      <c r="SLR1361" s="23"/>
      <c r="SLS1361" s="23"/>
      <c r="SLT1361" s="23"/>
      <c r="SLU1361" s="23"/>
      <c r="SLV1361" s="23"/>
      <c r="SLW1361" s="23"/>
      <c r="SLX1361" s="23"/>
      <c r="SLY1361" s="23"/>
      <c r="SLZ1361" s="23"/>
      <c r="SMA1361" s="23"/>
      <c r="SMB1361" s="23"/>
      <c r="SMC1361" s="23"/>
      <c r="SMD1361" s="23"/>
      <c r="SME1361" s="23"/>
      <c r="SMF1361" s="23"/>
      <c r="SMG1361" s="23"/>
      <c r="SMH1361" s="23"/>
      <c r="SMI1361" s="23"/>
      <c r="SMJ1361" s="23"/>
      <c r="SMK1361" s="23"/>
      <c r="SML1361" s="23"/>
      <c r="SMM1361" s="23"/>
      <c r="SMN1361" s="23"/>
      <c r="SMO1361" s="23"/>
      <c r="SMP1361" s="23"/>
      <c r="SMQ1361" s="23"/>
      <c r="SMR1361" s="23"/>
      <c r="SMS1361" s="23"/>
      <c r="SMT1361" s="23"/>
      <c r="SMU1361" s="23"/>
      <c r="SMV1361" s="23"/>
      <c r="SMW1361" s="23"/>
      <c r="SMX1361" s="23"/>
      <c r="SMY1361" s="23"/>
      <c r="SMZ1361" s="23"/>
      <c r="SNA1361" s="23"/>
      <c r="SNB1361" s="23"/>
      <c r="SNC1361" s="23"/>
      <c r="SND1361" s="23"/>
      <c r="SNE1361" s="23"/>
      <c r="SNF1361" s="23"/>
      <c r="SNG1361" s="23"/>
      <c r="SNH1361" s="23"/>
      <c r="SNI1361" s="23"/>
      <c r="SNJ1361" s="23"/>
      <c r="SNK1361" s="23"/>
      <c r="SNL1361" s="23"/>
      <c r="SNM1361" s="23"/>
      <c r="SNN1361" s="23"/>
      <c r="SNO1361" s="23"/>
      <c r="SNP1361" s="23"/>
      <c r="SNQ1361" s="23"/>
      <c r="SNR1361" s="23"/>
      <c r="SNS1361" s="23"/>
      <c r="SNT1361" s="23"/>
      <c r="SNU1361" s="23"/>
      <c r="SNV1361" s="23"/>
      <c r="SNW1361" s="23"/>
      <c r="SNX1361" s="23"/>
      <c r="SNY1361" s="23"/>
      <c r="SNZ1361" s="23"/>
      <c r="SOA1361" s="23"/>
      <c r="SOB1361" s="23"/>
      <c r="SOC1361" s="23"/>
      <c r="SOD1361" s="23"/>
      <c r="SOE1361" s="23"/>
      <c r="SOF1361" s="23"/>
      <c r="SOG1361" s="23"/>
      <c r="SOH1361" s="23"/>
      <c r="SOI1361" s="23"/>
      <c r="SOJ1361" s="23"/>
      <c r="SOK1361" s="23"/>
      <c r="SOL1361" s="23"/>
      <c r="SOM1361" s="23"/>
      <c r="SON1361" s="23"/>
      <c r="SOO1361" s="23"/>
      <c r="SOP1361" s="23"/>
      <c r="SOQ1361" s="23"/>
      <c r="SOR1361" s="23"/>
      <c r="SOS1361" s="23"/>
      <c r="SOT1361" s="23"/>
      <c r="SOU1361" s="23"/>
      <c r="SOV1361" s="23"/>
      <c r="SOW1361" s="23"/>
      <c r="SOX1361" s="23"/>
      <c r="SOY1361" s="23"/>
      <c r="SOZ1361" s="23"/>
      <c r="SPA1361" s="23"/>
      <c r="SPB1361" s="23"/>
      <c r="SPC1361" s="23"/>
      <c r="SPD1361" s="23"/>
      <c r="SPE1361" s="23"/>
      <c r="SPF1361" s="23"/>
      <c r="SPG1361" s="23"/>
      <c r="SPH1361" s="23"/>
      <c r="SPI1361" s="23"/>
      <c r="SPJ1361" s="23"/>
      <c r="SPK1361" s="23"/>
      <c r="SPL1361" s="23"/>
      <c r="SPM1361" s="23"/>
      <c r="SPN1361" s="23"/>
      <c r="SPO1361" s="23"/>
      <c r="SPP1361" s="23"/>
      <c r="SPQ1361" s="23"/>
      <c r="SPR1361" s="23"/>
      <c r="SPS1361" s="23"/>
      <c r="SPT1361" s="23"/>
      <c r="SPU1361" s="23"/>
      <c r="SPV1361" s="23"/>
      <c r="SPW1361" s="23"/>
      <c r="SPX1361" s="23"/>
      <c r="SPY1361" s="23"/>
      <c r="SPZ1361" s="23"/>
      <c r="SQA1361" s="23"/>
      <c r="SQB1361" s="23"/>
      <c r="SQC1361" s="23"/>
      <c r="SQD1361" s="23"/>
      <c r="SQE1361" s="23"/>
      <c r="SQF1361" s="23"/>
      <c r="SQG1361" s="23"/>
      <c r="SQH1361" s="23"/>
      <c r="SQI1361" s="23"/>
      <c r="SQJ1361" s="23"/>
      <c r="SQK1361" s="23"/>
      <c r="SQL1361" s="23"/>
      <c r="SQM1361" s="23"/>
      <c r="SQN1361" s="23"/>
      <c r="SQO1361" s="23"/>
      <c r="SQP1361" s="23"/>
      <c r="SQQ1361" s="23"/>
      <c r="SQR1361" s="23"/>
      <c r="SQS1361" s="23"/>
      <c r="SQT1361" s="23"/>
      <c r="SQU1361" s="23"/>
      <c r="SQV1361" s="23"/>
      <c r="SQW1361" s="23"/>
      <c r="SQX1361" s="23"/>
      <c r="SQY1361" s="23"/>
      <c r="SQZ1361" s="23"/>
      <c r="SRA1361" s="23"/>
      <c r="SRB1361" s="23"/>
      <c r="SRC1361" s="23"/>
      <c r="SRD1361" s="23"/>
      <c r="SRE1361" s="23"/>
      <c r="SRF1361" s="23"/>
      <c r="SRG1361" s="23"/>
      <c r="SRH1361" s="23"/>
      <c r="SRI1361" s="23"/>
      <c r="SRJ1361" s="23"/>
      <c r="SRK1361" s="23"/>
      <c r="SRL1361" s="23"/>
      <c r="SRM1361" s="23"/>
      <c r="SRN1361" s="23"/>
      <c r="SRO1361" s="23"/>
      <c r="SRP1361" s="23"/>
      <c r="SRQ1361" s="23"/>
      <c r="SRR1361" s="23"/>
      <c r="SRS1361" s="23"/>
      <c r="SRT1361" s="23"/>
      <c r="SRU1361" s="23"/>
      <c r="SRV1361" s="23"/>
      <c r="SRW1361" s="23"/>
      <c r="SRX1361" s="23"/>
      <c r="SRY1361" s="23"/>
      <c r="SRZ1361" s="23"/>
      <c r="SSA1361" s="23"/>
      <c r="SSB1361" s="23"/>
      <c r="SSC1361" s="23"/>
      <c r="SSD1361" s="23"/>
      <c r="SSE1361" s="23"/>
      <c r="SSF1361" s="23"/>
      <c r="SSG1361" s="23"/>
      <c r="SSH1361" s="23"/>
      <c r="SSI1361" s="23"/>
      <c r="SSJ1361" s="23"/>
      <c r="SSK1361" s="23"/>
      <c r="SSL1361" s="23"/>
      <c r="SSM1361" s="23"/>
      <c r="SSN1361" s="23"/>
      <c r="SSO1361" s="23"/>
      <c r="SSP1361" s="23"/>
      <c r="SSQ1361" s="23"/>
      <c r="SSR1361" s="23"/>
      <c r="SSS1361" s="23"/>
      <c r="SST1361" s="23"/>
      <c r="SSU1361" s="23"/>
      <c r="SSV1361" s="23"/>
      <c r="SSW1361" s="23"/>
      <c r="SSX1361" s="23"/>
      <c r="SSY1361" s="23"/>
      <c r="SSZ1361" s="23"/>
      <c r="STA1361" s="23"/>
      <c r="STB1361" s="23"/>
      <c r="STC1361" s="23"/>
      <c r="STD1361" s="23"/>
      <c r="STE1361" s="23"/>
      <c r="STF1361" s="23"/>
      <c r="STG1361" s="23"/>
      <c r="STH1361" s="23"/>
      <c r="STI1361" s="23"/>
      <c r="STJ1361" s="23"/>
      <c r="STK1361" s="23"/>
      <c r="STL1361" s="23"/>
      <c r="STM1361" s="23"/>
      <c r="STN1361" s="23"/>
      <c r="STO1361" s="23"/>
      <c r="STP1361" s="23"/>
      <c r="STQ1361" s="23"/>
      <c r="STR1361" s="23"/>
      <c r="STS1361" s="23"/>
      <c r="STT1361" s="23"/>
      <c r="STU1361" s="23"/>
      <c r="STV1361" s="23"/>
      <c r="STW1361" s="23"/>
      <c r="STX1361" s="23"/>
      <c r="STY1361" s="23"/>
      <c r="STZ1361" s="23"/>
      <c r="SUA1361" s="23"/>
      <c r="SUB1361" s="23"/>
      <c r="SUC1361" s="23"/>
      <c r="SUD1361" s="23"/>
      <c r="SUE1361" s="23"/>
      <c r="SUF1361" s="23"/>
      <c r="SUG1361" s="23"/>
      <c r="SUH1361" s="23"/>
      <c r="SUI1361" s="23"/>
      <c r="SUJ1361" s="23"/>
      <c r="SUK1361" s="23"/>
      <c r="SUL1361" s="23"/>
      <c r="SUM1361" s="23"/>
      <c r="SUN1361" s="23"/>
      <c r="SUO1361" s="23"/>
      <c r="SUP1361" s="23"/>
      <c r="SUQ1361" s="23"/>
      <c r="SUR1361" s="23"/>
      <c r="SUS1361" s="23"/>
      <c r="SUT1361" s="23"/>
      <c r="SUU1361" s="23"/>
      <c r="SUV1361" s="23"/>
      <c r="SUW1361" s="23"/>
      <c r="SUX1361" s="23"/>
      <c r="SUY1361" s="23"/>
      <c r="SUZ1361" s="23"/>
      <c r="SVA1361" s="23"/>
      <c r="SVB1361" s="23"/>
      <c r="SVC1361" s="23"/>
      <c r="SVD1361" s="23"/>
      <c r="SVE1361" s="23"/>
      <c r="SVF1361" s="23"/>
      <c r="SVG1361" s="23"/>
      <c r="SVH1361" s="23"/>
      <c r="SVI1361" s="23"/>
      <c r="SVJ1361" s="23"/>
      <c r="SVK1361" s="23"/>
      <c r="SVL1361" s="23"/>
      <c r="SVM1361" s="23"/>
      <c r="SVN1361" s="23"/>
      <c r="SVO1361" s="23"/>
      <c r="SVP1361" s="23"/>
      <c r="SVQ1361" s="23"/>
      <c r="SVR1361" s="23"/>
      <c r="SVS1361" s="23"/>
      <c r="SVT1361" s="23"/>
      <c r="SVU1361" s="23"/>
      <c r="SVV1361" s="23"/>
      <c r="SVW1361" s="23"/>
      <c r="SVX1361" s="23"/>
      <c r="SVY1361" s="23"/>
      <c r="SVZ1361" s="23"/>
      <c r="SWA1361" s="23"/>
      <c r="SWB1361" s="23"/>
      <c r="SWC1361" s="23"/>
      <c r="SWD1361" s="23"/>
      <c r="SWE1361" s="23"/>
      <c r="SWF1361" s="23"/>
      <c r="SWG1361" s="23"/>
      <c r="SWH1361" s="23"/>
      <c r="SWI1361" s="23"/>
      <c r="SWJ1361" s="23"/>
      <c r="SWK1361" s="23"/>
      <c r="SWL1361" s="23"/>
      <c r="SWM1361" s="23"/>
      <c r="SWN1361" s="23"/>
      <c r="SWO1361" s="23"/>
      <c r="SWP1361" s="23"/>
      <c r="SWQ1361" s="23"/>
      <c r="SWR1361" s="23"/>
      <c r="SWS1361" s="23"/>
      <c r="SWT1361" s="23"/>
      <c r="SWU1361" s="23"/>
      <c r="SWV1361" s="23"/>
      <c r="SWW1361" s="23"/>
      <c r="SWX1361" s="23"/>
      <c r="SWY1361" s="23"/>
      <c r="SWZ1361" s="23"/>
      <c r="SXA1361" s="23"/>
      <c r="SXB1361" s="23"/>
      <c r="SXC1361" s="23"/>
      <c r="SXD1361" s="23"/>
      <c r="SXE1361" s="23"/>
      <c r="SXF1361" s="23"/>
      <c r="SXG1361" s="23"/>
      <c r="SXH1361" s="23"/>
      <c r="SXI1361" s="23"/>
      <c r="SXJ1361" s="23"/>
      <c r="SXK1361" s="23"/>
      <c r="SXL1361" s="23"/>
      <c r="SXM1361" s="23"/>
      <c r="SXN1361" s="23"/>
      <c r="SXO1361" s="23"/>
      <c r="SXP1361" s="23"/>
      <c r="SXQ1361" s="23"/>
      <c r="SXR1361" s="23"/>
      <c r="SXS1361" s="23"/>
      <c r="SXT1361" s="23"/>
      <c r="SXU1361" s="23"/>
      <c r="SXV1361" s="23"/>
      <c r="SXW1361" s="23"/>
      <c r="SXX1361" s="23"/>
      <c r="SXY1361" s="23"/>
      <c r="SXZ1361" s="23"/>
      <c r="SYA1361" s="23"/>
      <c r="SYB1361" s="23"/>
      <c r="SYC1361" s="23"/>
      <c r="SYD1361" s="23"/>
      <c r="SYE1361" s="23"/>
      <c r="SYF1361" s="23"/>
      <c r="SYG1361" s="23"/>
      <c r="SYH1361" s="23"/>
      <c r="SYI1361" s="23"/>
      <c r="SYJ1361" s="23"/>
      <c r="SYK1361" s="23"/>
      <c r="SYL1361" s="23"/>
      <c r="SYM1361" s="23"/>
      <c r="SYN1361" s="23"/>
      <c r="SYO1361" s="23"/>
      <c r="SYP1361" s="23"/>
      <c r="SYQ1361" s="23"/>
      <c r="SYR1361" s="23"/>
      <c r="SYS1361" s="23"/>
      <c r="SYT1361" s="23"/>
      <c r="SYU1361" s="23"/>
      <c r="SYV1361" s="23"/>
      <c r="SYW1361" s="23"/>
      <c r="SYX1361" s="23"/>
      <c r="SYY1361" s="23"/>
      <c r="SYZ1361" s="23"/>
      <c r="SZA1361" s="23"/>
      <c r="SZB1361" s="23"/>
      <c r="SZC1361" s="23"/>
      <c r="SZD1361" s="23"/>
      <c r="SZE1361" s="23"/>
      <c r="SZF1361" s="23"/>
      <c r="SZG1361" s="23"/>
      <c r="SZH1361" s="23"/>
      <c r="SZI1361" s="23"/>
      <c r="SZJ1361" s="23"/>
      <c r="SZK1361" s="23"/>
      <c r="SZL1361" s="23"/>
      <c r="SZM1361" s="23"/>
      <c r="SZN1361" s="23"/>
      <c r="SZO1361" s="23"/>
      <c r="SZP1361" s="23"/>
      <c r="SZQ1361" s="23"/>
      <c r="SZR1361" s="23"/>
      <c r="SZS1361" s="23"/>
      <c r="SZT1361" s="23"/>
      <c r="SZU1361" s="23"/>
      <c r="SZV1361" s="23"/>
      <c r="SZW1361" s="23"/>
      <c r="SZX1361" s="23"/>
      <c r="SZY1361" s="23"/>
      <c r="SZZ1361" s="23"/>
      <c r="TAA1361" s="23"/>
      <c r="TAB1361" s="23"/>
      <c r="TAC1361" s="23"/>
      <c r="TAD1361" s="23"/>
      <c r="TAE1361" s="23"/>
      <c r="TAF1361" s="23"/>
      <c r="TAG1361" s="23"/>
      <c r="TAH1361" s="23"/>
      <c r="TAI1361" s="23"/>
      <c r="TAJ1361" s="23"/>
      <c r="TAK1361" s="23"/>
      <c r="TAL1361" s="23"/>
      <c r="TAM1361" s="23"/>
      <c r="TAN1361" s="23"/>
      <c r="TAO1361" s="23"/>
      <c r="TAP1361" s="23"/>
      <c r="TAQ1361" s="23"/>
      <c r="TAR1361" s="23"/>
      <c r="TAS1361" s="23"/>
      <c r="TAT1361" s="23"/>
      <c r="TAU1361" s="23"/>
      <c r="TAV1361" s="23"/>
      <c r="TAW1361" s="23"/>
      <c r="TAX1361" s="23"/>
      <c r="TAY1361" s="23"/>
      <c r="TAZ1361" s="23"/>
      <c r="TBA1361" s="23"/>
      <c r="TBB1361" s="23"/>
      <c r="TBC1361" s="23"/>
      <c r="TBD1361" s="23"/>
      <c r="TBE1361" s="23"/>
      <c r="TBF1361" s="23"/>
      <c r="TBG1361" s="23"/>
      <c r="TBH1361" s="23"/>
      <c r="TBI1361" s="23"/>
      <c r="TBJ1361" s="23"/>
      <c r="TBK1361" s="23"/>
      <c r="TBL1361" s="23"/>
      <c r="TBM1361" s="23"/>
      <c r="TBN1361" s="23"/>
      <c r="TBO1361" s="23"/>
      <c r="TBP1361" s="23"/>
      <c r="TBQ1361" s="23"/>
      <c r="TBR1361" s="23"/>
      <c r="TBS1361" s="23"/>
      <c r="TBT1361" s="23"/>
      <c r="TBU1361" s="23"/>
      <c r="TBV1361" s="23"/>
      <c r="TBW1361" s="23"/>
      <c r="TBX1361" s="23"/>
      <c r="TBY1361" s="23"/>
      <c r="TBZ1361" s="23"/>
      <c r="TCA1361" s="23"/>
      <c r="TCB1361" s="23"/>
      <c r="TCC1361" s="23"/>
      <c r="TCD1361" s="23"/>
      <c r="TCE1361" s="23"/>
      <c r="TCF1361" s="23"/>
      <c r="TCG1361" s="23"/>
      <c r="TCH1361" s="23"/>
      <c r="TCI1361" s="23"/>
      <c r="TCJ1361" s="23"/>
      <c r="TCK1361" s="23"/>
      <c r="TCL1361" s="23"/>
      <c r="TCM1361" s="23"/>
      <c r="TCN1361" s="23"/>
      <c r="TCO1361" s="23"/>
      <c r="TCP1361" s="23"/>
      <c r="TCQ1361" s="23"/>
      <c r="TCR1361" s="23"/>
      <c r="TCS1361" s="23"/>
      <c r="TCT1361" s="23"/>
      <c r="TCU1361" s="23"/>
      <c r="TCV1361" s="23"/>
      <c r="TCW1361" s="23"/>
      <c r="TCX1361" s="23"/>
      <c r="TCY1361" s="23"/>
      <c r="TCZ1361" s="23"/>
      <c r="TDA1361" s="23"/>
      <c r="TDB1361" s="23"/>
      <c r="TDC1361" s="23"/>
      <c r="TDD1361" s="23"/>
      <c r="TDE1361" s="23"/>
      <c r="TDF1361" s="23"/>
      <c r="TDG1361" s="23"/>
      <c r="TDH1361" s="23"/>
      <c r="TDI1361" s="23"/>
      <c r="TDJ1361" s="23"/>
      <c r="TDK1361" s="23"/>
      <c r="TDL1361" s="23"/>
      <c r="TDM1361" s="23"/>
      <c r="TDN1361" s="23"/>
      <c r="TDO1361" s="23"/>
      <c r="TDP1361" s="23"/>
      <c r="TDQ1361" s="23"/>
      <c r="TDR1361" s="23"/>
      <c r="TDS1361" s="23"/>
      <c r="TDT1361" s="23"/>
      <c r="TDU1361" s="23"/>
      <c r="TDV1361" s="23"/>
      <c r="TDW1361" s="23"/>
      <c r="TDX1361" s="23"/>
      <c r="TDY1361" s="23"/>
      <c r="TDZ1361" s="23"/>
      <c r="TEA1361" s="23"/>
      <c r="TEB1361" s="23"/>
      <c r="TEC1361" s="23"/>
      <c r="TED1361" s="23"/>
      <c r="TEE1361" s="23"/>
      <c r="TEF1361" s="23"/>
      <c r="TEG1361" s="23"/>
      <c r="TEH1361" s="23"/>
      <c r="TEI1361" s="23"/>
      <c r="TEJ1361" s="23"/>
      <c r="TEK1361" s="23"/>
      <c r="TEL1361" s="23"/>
      <c r="TEM1361" s="23"/>
      <c r="TEN1361" s="23"/>
      <c r="TEO1361" s="23"/>
      <c r="TEP1361" s="23"/>
      <c r="TEQ1361" s="23"/>
      <c r="TER1361" s="23"/>
      <c r="TES1361" s="23"/>
      <c r="TET1361" s="23"/>
      <c r="TEU1361" s="23"/>
      <c r="TEV1361" s="23"/>
      <c r="TEW1361" s="23"/>
      <c r="TEX1361" s="23"/>
      <c r="TEY1361" s="23"/>
      <c r="TEZ1361" s="23"/>
      <c r="TFA1361" s="23"/>
      <c r="TFB1361" s="23"/>
      <c r="TFC1361" s="23"/>
      <c r="TFD1361" s="23"/>
      <c r="TFE1361" s="23"/>
      <c r="TFF1361" s="23"/>
      <c r="TFG1361" s="23"/>
      <c r="TFH1361" s="23"/>
      <c r="TFI1361" s="23"/>
      <c r="TFJ1361" s="23"/>
      <c r="TFK1361" s="23"/>
      <c r="TFL1361" s="23"/>
      <c r="TFM1361" s="23"/>
      <c r="TFN1361" s="23"/>
      <c r="TFO1361" s="23"/>
      <c r="TFP1361" s="23"/>
      <c r="TFQ1361" s="23"/>
      <c r="TFR1361" s="23"/>
      <c r="TFS1361" s="23"/>
      <c r="TFT1361" s="23"/>
      <c r="TFU1361" s="23"/>
      <c r="TFV1361" s="23"/>
      <c r="TFW1361" s="23"/>
      <c r="TFX1361" s="23"/>
      <c r="TFY1361" s="23"/>
      <c r="TFZ1361" s="23"/>
      <c r="TGA1361" s="23"/>
      <c r="TGB1361" s="23"/>
      <c r="TGC1361" s="23"/>
      <c r="TGD1361" s="23"/>
      <c r="TGE1361" s="23"/>
      <c r="TGF1361" s="23"/>
      <c r="TGG1361" s="23"/>
      <c r="TGH1361" s="23"/>
      <c r="TGI1361" s="23"/>
      <c r="TGJ1361" s="23"/>
      <c r="TGK1361" s="23"/>
      <c r="TGL1361" s="23"/>
      <c r="TGM1361" s="23"/>
      <c r="TGN1361" s="23"/>
      <c r="TGO1361" s="23"/>
      <c r="TGP1361" s="23"/>
      <c r="TGQ1361" s="23"/>
      <c r="TGR1361" s="23"/>
      <c r="TGS1361" s="23"/>
      <c r="TGT1361" s="23"/>
      <c r="TGU1361" s="23"/>
      <c r="TGV1361" s="23"/>
      <c r="TGW1361" s="23"/>
      <c r="TGX1361" s="23"/>
      <c r="TGY1361" s="23"/>
      <c r="TGZ1361" s="23"/>
      <c r="THA1361" s="23"/>
      <c r="THB1361" s="23"/>
      <c r="THC1361" s="23"/>
      <c r="THD1361" s="23"/>
      <c r="THE1361" s="23"/>
      <c r="THF1361" s="23"/>
      <c r="THG1361" s="23"/>
      <c r="THH1361" s="23"/>
      <c r="THI1361" s="23"/>
      <c r="THJ1361" s="23"/>
      <c r="THK1361" s="23"/>
      <c r="THL1361" s="23"/>
      <c r="THM1361" s="23"/>
      <c r="THN1361" s="23"/>
      <c r="THO1361" s="23"/>
      <c r="THP1361" s="23"/>
      <c r="THQ1361" s="23"/>
      <c r="THR1361" s="23"/>
      <c r="THS1361" s="23"/>
      <c r="THT1361" s="23"/>
      <c r="THU1361" s="23"/>
      <c r="THV1361" s="23"/>
      <c r="THW1361" s="23"/>
      <c r="THX1361" s="23"/>
      <c r="THY1361" s="23"/>
      <c r="THZ1361" s="23"/>
      <c r="TIA1361" s="23"/>
      <c r="TIB1361" s="23"/>
      <c r="TIC1361" s="23"/>
      <c r="TID1361" s="23"/>
      <c r="TIE1361" s="23"/>
      <c r="TIF1361" s="23"/>
      <c r="TIG1361" s="23"/>
      <c r="TIH1361" s="23"/>
      <c r="TII1361" s="23"/>
      <c r="TIJ1361" s="23"/>
      <c r="TIK1361" s="23"/>
      <c r="TIL1361" s="23"/>
      <c r="TIM1361" s="23"/>
      <c r="TIN1361" s="23"/>
      <c r="TIO1361" s="23"/>
      <c r="TIP1361" s="23"/>
      <c r="TIQ1361" s="23"/>
      <c r="TIR1361" s="23"/>
      <c r="TIS1361" s="23"/>
      <c r="TIT1361" s="23"/>
      <c r="TIU1361" s="23"/>
      <c r="TIV1361" s="23"/>
      <c r="TIW1361" s="23"/>
      <c r="TIX1361" s="23"/>
      <c r="TIY1361" s="23"/>
      <c r="TIZ1361" s="23"/>
      <c r="TJA1361" s="23"/>
      <c r="TJB1361" s="23"/>
      <c r="TJC1361" s="23"/>
      <c r="TJD1361" s="23"/>
      <c r="TJE1361" s="23"/>
      <c r="TJF1361" s="23"/>
      <c r="TJG1361" s="23"/>
      <c r="TJH1361" s="23"/>
      <c r="TJI1361" s="23"/>
      <c r="TJJ1361" s="23"/>
      <c r="TJK1361" s="23"/>
      <c r="TJL1361" s="23"/>
      <c r="TJM1361" s="23"/>
      <c r="TJN1361" s="23"/>
      <c r="TJO1361" s="23"/>
      <c r="TJP1361" s="23"/>
      <c r="TJQ1361" s="23"/>
      <c r="TJR1361" s="23"/>
      <c r="TJS1361" s="23"/>
      <c r="TJT1361" s="23"/>
      <c r="TJU1361" s="23"/>
      <c r="TJV1361" s="23"/>
      <c r="TJW1361" s="23"/>
      <c r="TJX1361" s="23"/>
      <c r="TJY1361" s="23"/>
      <c r="TJZ1361" s="23"/>
      <c r="TKA1361" s="23"/>
      <c r="TKB1361" s="23"/>
      <c r="TKC1361" s="23"/>
      <c r="TKD1361" s="23"/>
      <c r="TKE1361" s="23"/>
      <c r="TKF1361" s="23"/>
      <c r="TKG1361" s="23"/>
      <c r="TKH1361" s="23"/>
      <c r="TKI1361" s="23"/>
      <c r="TKJ1361" s="23"/>
      <c r="TKK1361" s="23"/>
      <c r="TKL1361" s="23"/>
      <c r="TKM1361" s="23"/>
      <c r="TKN1361" s="23"/>
      <c r="TKO1361" s="23"/>
      <c r="TKP1361" s="23"/>
      <c r="TKQ1361" s="23"/>
      <c r="TKR1361" s="23"/>
      <c r="TKS1361" s="23"/>
      <c r="TKT1361" s="23"/>
      <c r="TKU1361" s="23"/>
      <c r="TKV1361" s="23"/>
      <c r="TKW1361" s="23"/>
      <c r="TKX1361" s="23"/>
      <c r="TKY1361" s="23"/>
      <c r="TKZ1361" s="23"/>
      <c r="TLA1361" s="23"/>
      <c r="TLB1361" s="23"/>
      <c r="TLC1361" s="23"/>
      <c r="TLD1361" s="23"/>
      <c r="TLE1361" s="23"/>
      <c r="TLF1361" s="23"/>
      <c r="TLG1361" s="23"/>
      <c r="TLH1361" s="23"/>
      <c r="TLI1361" s="23"/>
      <c r="TLJ1361" s="23"/>
      <c r="TLK1361" s="23"/>
      <c r="TLL1361" s="23"/>
      <c r="TLM1361" s="23"/>
      <c r="TLN1361" s="23"/>
      <c r="TLO1361" s="23"/>
      <c r="TLP1361" s="23"/>
      <c r="TLQ1361" s="23"/>
      <c r="TLR1361" s="23"/>
      <c r="TLS1361" s="23"/>
      <c r="TLT1361" s="23"/>
      <c r="TLU1361" s="23"/>
      <c r="TLV1361" s="23"/>
      <c r="TLW1361" s="23"/>
      <c r="TLX1361" s="23"/>
      <c r="TLY1361" s="23"/>
      <c r="TLZ1361" s="23"/>
      <c r="TMA1361" s="23"/>
      <c r="TMB1361" s="23"/>
      <c r="TMC1361" s="23"/>
      <c r="TMD1361" s="23"/>
      <c r="TME1361" s="23"/>
      <c r="TMF1361" s="23"/>
      <c r="TMG1361" s="23"/>
      <c r="TMH1361" s="23"/>
      <c r="TMI1361" s="23"/>
      <c r="TMJ1361" s="23"/>
      <c r="TMK1361" s="23"/>
      <c r="TML1361" s="23"/>
      <c r="TMM1361" s="23"/>
      <c r="TMN1361" s="23"/>
      <c r="TMO1361" s="23"/>
      <c r="TMP1361" s="23"/>
      <c r="TMQ1361" s="23"/>
      <c r="TMR1361" s="23"/>
      <c r="TMS1361" s="23"/>
      <c r="TMT1361" s="23"/>
      <c r="TMU1361" s="23"/>
      <c r="TMV1361" s="23"/>
      <c r="TMW1361" s="23"/>
      <c r="TMX1361" s="23"/>
      <c r="TMY1361" s="23"/>
      <c r="TMZ1361" s="23"/>
      <c r="TNA1361" s="23"/>
      <c r="TNB1361" s="23"/>
      <c r="TNC1361" s="23"/>
      <c r="TND1361" s="23"/>
      <c r="TNE1361" s="23"/>
      <c r="TNF1361" s="23"/>
      <c r="TNG1361" s="23"/>
      <c r="TNH1361" s="23"/>
      <c r="TNI1361" s="23"/>
      <c r="TNJ1361" s="23"/>
      <c r="TNK1361" s="23"/>
      <c r="TNL1361" s="23"/>
      <c r="TNM1361" s="23"/>
      <c r="TNN1361" s="23"/>
      <c r="TNO1361" s="23"/>
      <c r="TNP1361" s="23"/>
      <c r="TNQ1361" s="23"/>
      <c r="TNR1361" s="23"/>
      <c r="TNS1361" s="23"/>
      <c r="TNT1361" s="23"/>
      <c r="TNU1361" s="23"/>
      <c r="TNV1361" s="23"/>
      <c r="TNW1361" s="23"/>
      <c r="TNX1361" s="23"/>
      <c r="TNY1361" s="23"/>
      <c r="TNZ1361" s="23"/>
      <c r="TOA1361" s="23"/>
      <c r="TOB1361" s="23"/>
      <c r="TOC1361" s="23"/>
      <c r="TOD1361" s="23"/>
      <c r="TOE1361" s="23"/>
      <c r="TOF1361" s="23"/>
      <c r="TOG1361" s="23"/>
      <c r="TOH1361" s="23"/>
      <c r="TOI1361" s="23"/>
      <c r="TOJ1361" s="23"/>
      <c r="TOK1361" s="23"/>
      <c r="TOL1361" s="23"/>
      <c r="TOM1361" s="23"/>
      <c r="TON1361" s="23"/>
      <c r="TOO1361" s="23"/>
      <c r="TOP1361" s="23"/>
      <c r="TOQ1361" s="23"/>
      <c r="TOR1361" s="23"/>
      <c r="TOS1361" s="23"/>
      <c r="TOT1361" s="23"/>
      <c r="TOU1361" s="23"/>
      <c r="TOV1361" s="23"/>
      <c r="TOW1361" s="23"/>
      <c r="TOX1361" s="23"/>
      <c r="TOY1361" s="23"/>
      <c r="TOZ1361" s="23"/>
      <c r="TPA1361" s="23"/>
      <c r="TPB1361" s="23"/>
      <c r="TPC1361" s="23"/>
      <c r="TPD1361" s="23"/>
      <c r="TPE1361" s="23"/>
      <c r="TPF1361" s="23"/>
      <c r="TPG1361" s="23"/>
      <c r="TPH1361" s="23"/>
      <c r="TPI1361" s="23"/>
      <c r="TPJ1361" s="23"/>
      <c r="TPK1361" s="23"/>
      <c r="TPL1361" s="23"/>
      <c r="TPM1361" s="23"/>
      <c r="TPN1361" s="23"/>
      <c r="TPO1361" s="23"/>
      <c r="TPP1361" s="23"/>
      <c r="TPQ1361" s="23"/>
      <c r="TPR1361" s="23"/>
      <c r="TPS1361" s="23"/>
      <c r="TPT1361" s="23"/>
      <c r="TPU1361" s="23"/>
      <c r="TPV1361" s="23"/>
      <c r="TPW1361" s="23"/>
      <c r="TPX1361" s="23"/>
      <c r="TPY1361" s="23"/>
      <c r="TPZ1361" s="23"/>
      <c r="TQA1361" s="23"/>
      <c r="TQB1361" s="23"/>
      <c r="TQC1361" s="23"/>
      <c r="TQD1361" s="23"/>
      <c r="TQE1361" s="23"/>
      <c r="TQF1361" s="23"/>
      <c r="TQG1361" s="23"/>
      <c r="TQH1361" s="23"/>
      <c r="TQI1361" s="23"/>
      <c r="TQJ1361" s="23"/>
      <c r="TQK1361" s="23"/>
      <c r="TQL1361" s="23"/>
      <c r="TQM1361" s="23"/>
      <c r="TQN1361" s="23"/>
      <c r="TQO1361" s="23"/>
      <c r="TQP1361" s="23"/>
      <c r="TQQ1361" s="23"/>
      <c r="TQR1361" s="23"/>
      <c r="TQS1361" s="23"/>
      <c r="TQT1361" s="23"/>
      <c r="TQU1361" s="23"/>
      <c r="TQV1361" s="23"/>
      <c r="TQW1361" s="23"/>
      <c r="TQX1361" s="23"/>
      <c r="TQY1361" s="23"/>
      <c r="TQZ1361" s="23"/>
      <c r="TRA1361" s="23"/>
      <c r="TRB1361" s="23"/>
      <c r="TRC1361" s="23"/>
      <c r="TRD1361" s="23"/>
      <c r="TRE1361" s="23"/>
      <c r="TRF1361" s="23"/>
      <c r="TRG1361" s="23"/>
      <c r="TRH1361" s="23"/>
      <c r="TRI1361" s="23"/>
      <c r="TRJ1361" s="23"/>
      <c r="TRK1361" s="23"/>
      <c r="TRL1361" s="23"/>
      <c r="TRM1361" s="23"/>
      <c r="TRN1361" s="23"/>
      <c r="TRO1361" s="23"/>
      <c r="TRP1361" s="23"/>
      <c r="TRQ1361" s="23"/>
      <c r="TRR1361" s="23"/>
      <c r="TRS1361" s="23"/>
      <c r="TRT1361" s="23"/>
      <c r="TRU1361" s="23"/>
      <c r="TRV1361" s="23"/>
      <c r="TRW1361" s="23"/>
      <c r="TRX1361" s="23"/>
      <c r="TRY1361" s="23"/>
      <c r="TRZ1361" s="23"/>
      <c r="TSA1361" s="23"/>
      <c r="TSB1361" s="23"/>
      <c r="TSC1361" s="23"/>
      <c r="TSD1361" s="23"/>
      <c r="TSE1361" s="23"/>
      <c r="TSF1361" s="23"/>
      <c r="TSG1361" s="23"/>
      <c r="TSH1361" s="23"/>
      <c r="TSI1361" s="23"/>
      <c r="TSJ1361" s="23"/>
      <c r="TSK1361" s="23"/>
      <c r="TSL1361" s="23"/>
      <c r="TSM1361" s="23"/>
      <c r="TSN1361" s="23"/>
      <c r="TSO1361" s="23"/>
      <c r="TSP1361" s="23"/>
      <c r="TSQ1361" s="23"/>
      <c r="TSR1361" s="23"/>
      <c r="TSS1361" s="23"/>
      <c r="TST1361" s="23"/>
      <c r="TSU1361" s="23"/>
      <c r="TSV1361" s="23"/>
      <c r="TSW1361" s="23"/>
      <c r="TSX1361" s="23"/>
      <c r="TSY1361" s="23"/>
      <c r="TSZ1361" s="23"/>
      <c r="TTA1361" s="23"/>
      <c r="TTB1361" s="23"/>
      <c r="TTC1361" s="23"/>
      <c r="TTD1361" s="23"/>
      <c r="TTE1361" s="23"/>
      <c r="TTF1361" s="23"/>
      <c r="TTG1361" s="23"/>
      <c r="TTH1361" s="23"/>
      <c r="TTI1361" s="23"/>
      <c r="TTJ1361" s="23"/>
      <c r="TTK1361" s="23"/>
      <c r="TTL1361" s="23"/>
      <c r="TTM1361" s="23"/>
      <c r="TTN1361" s="23"/>
      <c r="TTO1361" s="23"/>
      <c r="TTP1361" s="23"/>
      <c r="TTQ1361" s="23"/>
      <c r="TTR1361" s="23"/>
      <c r="TTS1361" s="23"/>
      <c r="TTT1361" s="23"/>
      <c r="TTU1361" s="23"/>
      <c r="TTV1361" s="23"/>
      <c r="TTW1361" s="23"/>
      <c r="TTX1361" s="23"/>
      <c r="TTY1361" s="23"/>
      <c r="TTZ1361" s="23"/>
      <c r="TUA1361" s="23"/>
      <c r="TUB1361" s="23"/>
      <c r="TUC1361" s="23"/>
      <c r="TUD1361" s="23"/>
      <c r="TUE1361" s="23"/>
      <c r="TUF1361" s="23"/>
      <c r="TUG1361" s="23"/>
      <c r="TUH1361" s="23"/>
      <c r="TUI1361" s="23"/>
      <c r="TUJ1361" s="23"/>
      <c r="TUK1361" s="23"/>
      <c r="TUL1361" s="23"/>
      <c r="TUM1361" s="23"/>
      <c r="TUN1361" s="23"/>
      <c r="TUO1361" s="23"/>
      <c r="TUP1361" s="23"/>
      <c r="TUQ1361" s="23"/>
      <c r="TUR1361" s="23"/>
      <c r="TUS1361" s="23"/>
      <c r="TUT1361" s="23"/>
      <c r="TUU1361" s="23"/>
      <c r="TUV1361" s="23"/>
      <c r="TUW1361" s="23"/>
      <c r="TUX1361" s="23"/>
      <c r="TUY1361" s="23"/>
      <c r="TUZ1361" s="23"/>
      <c r="TVA1361" s="23"/>
      <c r="TVB1361" s="23"/>
      <c r="TVC1361" s="23"/>
      <c r="TVD1361" s="23"/>
      <c r="TVE1361" s="23"/>
      <c r="TVF1361" s="23"/>
      <c r="TVG1361" s="23"/>
      <c r="TVH1361" s="23"/>
      <c r="TVI1361" s="23"/>
      <c r="TVJ1361" s="23"/>
      <c r="TVK1361" s="23"/>
      <c r="TVL1361" s="23"/>
      <c r="TVM1361" s="23"/>
      <c r="TVN1361" s="23"/>
      <c r="TVO1361" s="23"/>
      <c r="TVP1361" s="23"/>
      <c r="TVQ1361" s="23"/>
      <c r="TVR1361" s="23"/>
      <c r="TVS1361" s="23"/>
      <c r="TVT1361" s="23"/>
      <c r="TVU1361" s="23"/>
      <c r="TVV1361" s="23"/>
      <c r="TVW1361" s="23"/>
      <c r="TVX1361" s="23"/>
      <c r="TVY1361" s="23"/>
      <c r="TVZ1361" s="23"/>
      <c r="TWA1361" s="23"/>
      <c r="TWB1361" s="23"/>
      <c r="TWC1361" s="23"/>
      <c r="TWD1361" s="23"/>
      <c r="TWE1361" s="23"/>
      <c r="TWF1361" s="23"/>
      <c r="TWG1361" s="23"/>
      <c r="TWH1361" s="23"/>
      <c r="TWI1361" s="23"/>
      <c r="TWJ1361" s="23"/>
      <c r="TWK1361" s="23"/>
      <c r="TWL1361" s="23"/>
      <c r="TWM1361" s="23"/>
      <c r="TWN1361" s="23"/>
      <c r="TWO1361" s="23"/>
      <c r="TWP1361" s="23"/>
      <c r="TWQ1361" s="23"/>
      <c r="TWR1361" s="23"/>
      <c r="TWS1361" s="23"/>
      <c r="TWT1361" s="23"/>
      <c r="TWU1361" s="23"/>
      <c r="TWV1361" s="23"/>
      <c r="TWW1361" s="23"/>
      <c r="TWX1361" s="23"/>
      <c r="TWY1361" s="23"/>
      <c r="TWZ1361" s="23"/>
      <c r="TXA1361" s="23"/>
      <c r="TXB1361" s="23"/>
      <c r="TXC1361" s="23"/>
      <c r="TXD1361" s="23"/>
      <c r="TXE1361" s="23"/>
      <c r="TXF1361" s="23"/>
      <c r="TXG1361" s="23"/>
      <c r="TXH1361" s="23"/>
      <c r="TXI1361" s="23"/>
      <c r="TXJ1361" s="23"/>
      <c r="TXK1361" s="23"/>
      <c r="TXL1361" s="23"/>
      <c r="TXM1361" s="23"/>
      <c r="TXN1361" s="23"/>
      <c r="TXO1361" s="23"/>
      <c r="TXP1361" s="23"/>
      <c r="TXQ1361" s="23"/>
      <c r="TXR1361" s="23"/>
      <c r="TXS1361" s="23"/>
      <c r="TXT1361" s="23"/>
      <c r="TXU1361" s="23"/>
      <c r="TXV1361" s="23"/>
      <c r="TXW1361" s="23"/>
      <c r="TXX1361" s="23"/>
      <c r="TXY1361" s="23"/>
      <c r="TXZ1361" s="23"/>
      <c r="TYA1361" s="23"/>
      <c r="TYB1361" s="23"/>
      <c r="TYC1361" s="23"/>
      <c r="TYD1361" s="23"/>
      <c r="TYE1361" s="23"/>
      <c r="TYF1361" s="23"/>
      <c r="TYG1361" s="23"/>
      <c r="TYH1361" s="23"/>
      <c r="TYI1361" s="23"/>
      <c r="TYJ1361" s="23"/>
      <c r="TYK1361" s="23"/>
      <c r="TYL1361" s="23"/>
      <c r="TYM1361" s="23"/>
      <c r="TYN1361" s="23"/>
      <c r="TYO1361" s="23"/>
      <c r="TYP1361" s="23"/>
      <c r="TYQ1361" s="23"/>
      <c r="TYR1361" s="23"/>
      <c r="TYS1361" s="23"/>
      <c r="TYT1361" s="23"/>
      <c r="TYU1361" s="23"/>
      <c r="TYV1361" s="23"/>
      <c r="TYW1361" s="23"/>
      <c r="TYX1361" s="23"/>
      <c r="TYY1361" s="23"/>
      <c r="TYZ1361" s="23"/>
      <c r="TZA1361" s="23"/>
      <c r="TZB1361" s="23"/>
      <c r="TZC1361" s="23"/>
      <c r="TZD1361" s="23"/>
      <c r="TZE1361" s="23"/>
      <c r="TZF1361" s="23"/>
      <c r="TZG1361" s="23"/>
      <c r="TZH1361" s="23"/>
      <c r="TZI1361" s="23"/>
      <c r="TZJ1361" s="23"/>
      <c r="TZK1361" s="23"/>
      <c r="TZL1361" s="23"/>
      <c r="TZM1361" s="23"/>
      <c r="TZN1361" s="23"/>
      <c r="TZO1361" s="23"/>
      <c r="TZP1361" s="23"/>
      <c r="TZQ1361" s="23"/>
      <c r="TZR1361" s="23"/>
      <c r="TZS1361" s="23"/>
      <c r="TZT1361" s="23"/>
      <c r="TZU1361" s="23"/>
      <c r="TZV1361" s="23"/>
      <c r="TZW1361" s="23"/>
      <c r="TZX1361" s="23"/>
      <c r="TZY1361" s="23"/>
      <c r="TZZ1361" s="23"/>
      <c r="UAA1361" s="23"/>
      <c r="UAB1361" s="23"/>
      <c r="UAC1361" s="23"/>
      <c r="UAD1361" s="23"/>
      <c r="UAE1361" s="23"/>
      <c r="UAF1361" s="23"/>
      <c r="UAG1361" s="23"/>
      <c r="UAH1361" s="23"/>
      <c r="UAI1361" s="23"/>
      <c r="UAJ1361" s="23"/>
      <c r="UAK1361" s="23"/>
      <c r="UAL1361" s="23"/>
      <c r="UAM1361" s="23"/>
      <c r="UAN1361" s="23"/>
      <c r="UAO1361" s="23"/>
      <c r="UAP1361" s="23"/>
      <c r="UAQ1361" s="23"/>
      <c r="UAR1361" s="23"/>
      <c r="UAS1361" s="23"/>
      <c r="UAT1361" s="23"/>
      <c r="UAU1361" s="23"/>
      <c r="UAV1361" s="23"/>
      <c r="UAW1361" s="23"/>
      <c r="UAX1361" s="23"/>
      <c r="UAY1361" s="23"/>
      <c r="UAZ1361" s="23"/>
      <c r="UBA1361" s="23"/>
      <c r="UBB1361" s="23"/>
      <c r="UBC1361" s="23"/>
      <c r="UBD1361" s="23"/>
      <c r="UBE1361" s="23"/>
      <c r="UBF1361" s="23"/>
      <c r="UBG1361" s="23"/>
      <c r="UBH1361" s="23"/>
      <c r="UBI1361" s="23"/>
      <c r="UBJ1361" s="23"/>
      <c r="UBK1361" s="23"/>
      <c r="UBL1361" s="23"/>
      <c r="UBM1361" s="23"/>
      <c r="UBN1361" s="23"/>
      <c r="UBO1361" s="23"/>
      <c r="UBP1361" s="23"/>
      <c r="UBQ1361" s="23"/>
      <c r="UBR1361" s="23"/>
      <c r="UBS1361" s="23"/>
      <c r="UBT1361" s="23"/>
      <c r="UBU1361" s="23"/>
      <c r="UBV1361" s="23"/>
      <c r="UBW1361" s="23"/>
      <c r="UBX1361" s="23"/>
      <c r="UBY1361" s="23"/>
      <c r="UBZ1361" s="23"/>
      <c r="UCA1361" s="23"/>
      <c r="UCB1361" s="23"/>
      <c r="UCC1361" s="23"/>
      <c r="UCD1361" s="23"/>
      <c r="UCE1361" s="23"/>
      <c r="UCF1361" s="23"/>
      <c r="UCG1361" s="23"/>
      <c r="UCH1361" s="23"/>
      <c r="UCI1361" s="23"/>
      <c r="UCJ1361" s="23"/>
      <c r="UCK1361" s="23"/>
      <c r="UCL1361" s="23"/>
      <c r="UCM1361" s="23"/>
      <c r="UCN1361" s="23"/>
      <c r="UCO1361" s="23"/>
      <c r="UCP1361" s="23"/>
      <c r="UCQ1361" s="23"/>
      <c r="UCR1361" s="23"/>
      <c r="UCS1361" s="23"/>
      <c r="UCT1361" s="23"/>
      <c r="UCU1361" s="23"/>
      <c r="UCV1361" s="23"/>
      <c r="UCW1361" s="23"/>
      <c r="UCX1361" s="23"/>
      <c r="UCY1361" s="23"/>
      <c r="UCZ1361" s="23"/>
      <c r="UDA1361" s="23"/>
      <c r="UDB1361" s="23"/>
      <c r="UDC1361" s="23"/>
      <c r="UDD1361" s="23"/>
      <c r="UDE1361" s="23"/>
      <c r="UDF1361" s="23"/>
      <c r="UDG1361" s="23"/>
      <c r="UDH1361" s="23"/>
      <c r="UDI1361" s="23"/>
      <c r="UDJ1361" s="23"/>
      <c r="UDK1361" s="23"/>
      <c r="UDL1361" s="23"/>
      <c r="UDM1361" s="23"/>
      <c r="UDN1361" s="23"/>
      <c r="UDO1361" s="23"/>
      <c r="UDP1361" s="23"/>
      <c r="UDQ1361" s="23"/>
      <c r="UDR1361" s="23"/>
      <c r="UDS1361" s="23"/>
      <c r="UDT1361" s="23"/>
      <c r="UDU1361" s="23"/>
      <c r="UDV1361" s="23"/>
      <c r="UDW1361" s="23"/>
      <c r="UDX1361" s="23"/>
      <c r="UDY1361" s="23"/>
      <c r="UDZ1361" s="23"/>
      <c r="UEA1361" s="23"/>
      <c r="UEB1361" s="23"/>
      <c r="UEC1361" s="23"/>
      <c r="UED1361" s="23"/>
      <c r="UEE1361" s="23"/>
      <c r="UEF1361" s="23"/>
      <c r="UEG1361" s="23"/>
      <c r="UEH1361" s="23"/>
      <c r="UEI1361" s="23"/>
      <c r="UEJ1361" s="23"/>
      <c r="UEK1361" s="23"/>
      <c r="UEL1361" s="23"/>
      <c r="UEM1361" s="23"/>
      <c r="UEN1361" s="23"/>
      <c r="UEO1361" s="23"/>
      <c r="UEP1361" s="23"/>
      <c r="UEQ1361" s="23"/>
      <c r="UER1361" s="23"/>
      <c r="UES1361" s="23"/>
      <c r="UET1361" s="23"/>
      <c r="UEU1361" s="23"/>
      <c r="UEV1361" s="23"/>
      <c r="UEW1361" s="23"/>
      <c r="UEX1361" s="23"/>
      <c r="UEY1361" s="23"/>
      <c r="UEZ1361" s="23"/>
      <c r="UFA1361" s="23"/>
      <c r="UFB1361" s="23"/>
      <c r="UFC1361" s="23"/>
      <c r="UFD1361" s="23"/>
      <c r="UFE1361" s="23"/>
      <c r="UFF1361" s="23"/>
      <c r="UFG1361" s="23"/>
      <c r="UFH1361" s="23"/>
      <c r="UFI1361" s="23"/>
      <c r="UFJ1361" s="23"/>
      <c r="UFK1361" s="23"/>
      <c r="UFL1361" s="23"/>
      <c r="UFM1361" s="23"/>
      <c r="UFN1361" s="23"/>
      <c r="UFO1361" s="23"/>
      <c r="UFP1361" s="23"/>
      <c r="UFQ1361" s="23"/>
      <c r="UFR1361" s="23"/>
      <c r="UFS1361" s="23"/>
      <c r="UFT1361" s="23"/>
      <c r="UFU1361" s="23"/>
      <c r="UFV1361" s="23"/>
      <c r="UFW1361" s="23"/>
      <c r="UFX1361" s="23"/>
      <c r="UFY1361" s="23"/>
      <c r="UFZ1361" s="23"/>
      <c r="UGA1361" s="23"/>
      <c r="UGB1361" s="23"/>
      <c r="UGC1361" s="23"/>
      <c r="UGD1361" s="23"/>
      <c r="UGE1361" s="23"/>
      <c r="UGF1361" s="23"/>
      <c r="UGG1361" s="23"/>
      <c r="UGH1361" s="23"/>
      <c r="UGI1361" s="23"/>
      <c r="UGJ1361" s="23"/>
      <c r="UGK1361" s="23"/>
      <c r="UGL1361" s="23"/>
      <c r="UGM1361" s="23"/>
      <c r="UGN1361" s="23"/>
      <c r="UGO1361" s="23"/>
      <c r="UGP1361" s="23"/>
      <c r="UGQ1361" s="23"/>
      <c r="UGR1361" s="23"/>
      <c r="UGS1361" s="23"/>
      <c r="UGT1361" s="23"/>
      <c r="UGU1361" s="23"/>
      <c r="UGV1361" s="23"/>
      <c r="UGW1361" s="23"/>
      <c r="UGX1361" s="23"/>
      <c r="UGY1361" s="23"/>
      <c r="UGZ1361" s="23"/>
      <c r="UHA1361" s="23"/>
      <c r="UHB1361" s="23"/>
      <c r="UHC1361" s="23"/>
      <c r="UHD1361" s="23"/>
      <c r="UHE1361" s="23"/>
      <c r="UHF1361" s="23"/>
      <c r="UHG1361" s="23"/>
      <c r="UHH1361" s="23"/>
      <c r="UHI1361" s="23"/>
      <c r="UHJ1361" s="23"/>
      <c r="UHK1361" s="23"/>
      <c r="UHL1361" s="23"/>
      <c r="UHM1361" s="23"/>
      <c r="UHN1361" s="23"/>
      <c r="UHO1361" s="23"/>
      <c r="UHP1361" s="23"/>
      <c r="UHQ1361" s="23"/>
      <c r="UHR1361" s="23"/>
      <c r="UHS1361" s="23"/>
      <c r="UHT1361" s="23"/>
      <c r="UHU1361" s="23"/>
      <c r="UHV1361" s="23"/>
      <c r="UHW1361" s="23"/>
      <c r="UHX1361" s="23"/>
      <c r="UHY1361" s="23"/>
      <c r="UHZ1361" s="23"/>
      <c r="UIA1361" s="23"/>
      <c r="UIB1361" s="23"/>
      <c r="UIC1361" s="23"/>
      <c r="UID1361" s="23"/>
      <c r="UIE1361" s="23"/>
      <c r="UIF1361" s="23"/>
      <c r="UIG1361" s="23"/>
      <c r="UIH1361" s="23"/>
      <c r="UII1361" s="23"/>
      <c r="UIJ1361" s="23"/>
      <c r="UIK1361" s="23"/>
      <c r="UIL1361" s="23"/>
      <c r="UIM1361" s="23"/>
      <c r="UIN1361" s="23"/>
      <c r="UIO1361" s="23"/>
      <c r="UIP1361" s="23"/>
      <c r="UIQ1361" s="23"/>
      <c r="UIR1361" s="23"/>
      <c r="UIS1361" s="23"/>
      <c r="UIT1361" s="23"/>
      <c r="UIU1361" s="23"/>
      <c r="UIV1361" s="23"/>
      <c r="UIW1361" s="23"/>
      <c r="UIX1361" s="23"/>
      <c r="UIY1361" s="23"/>
      <c r="UIZ1361" s="23"/>
      <c r="UJA1361" s="23"/>
      <c r="UJB1361" s="23"/>
      <c r="UJC1361" s="23"/>
      <c r="UJD1361" s="23"/>
      <c r="UJE1361" s="23"/>
      <c r="UJF1361" s="23"/>
      <c r="UJG1361" s="23"/>
      <c r="UJH1361" s="23"/>
      <c r="UJI1361" s="23"/>
      <c r="UJJ1361" s="23"/>
      <c r="UJK1361" s="23"/>
      <c r="UJL1361" s="23"/>
      <c r="UJM1361" s="23"/>
      <c r="UJN1361" s="23"/>
      <c r="UJO1361" s="23"/>
      <c r="UJP1361" s="23"/>
      <c r="UJQ1361" s="23"/>
      <c r="UJR1361" s="23"/>
      <c r="UJS1361" s="23"/>
      <c r="UJT1361" s="23"/>
      <c r="UJU1361" s="23"/>
      <c r="UJV1361" s="23"/>
      <c r="UJW1361" s="23"/>
      <c r="UJX1361" s="23"/>
      <c r="UJY1361" s="23"/>
      <c r="UJZ1361" s="23"/>
      <c r="UKA1361" s="23"/>
      <c r="UKB1361" s="23"/>
      <c r="UKC1361" s="23"/>
      <c r="UKD1361" s="23"/>
      <c r="UKE1361" s="23"/>
      <c r="UKF1361" s="23"/>
      <c r="UKG1361" s="23"/>
      <c r="UKH1361" s="23"/>
      <c r="UKI1361" s="23"/>
      <c r="UKJ1361" s="23"/>
      <c r="UKK1361" s="23"/>
      <c r="UKL1361" s="23"/>
      <c r="UKM1361" s="23"/>
      <c r="UKN1361" s="23"/>
      <c r="UKO1361" s="23"/>
      <c r="UKP1361" s="23"/>
      <c r="UKQ1361" s="23"/>
      <c r="UKR1361" s="23"/>
      <c r="UKS1361" s="23"/>
      <c r="UKT1361" s="23"/>
      <c r="UKU1361" s="23"/>
      <c r="UKV1361" s="23"/>
      <c r="UKW1361" s="23"/>
      <c r="UKX1361" s="23"/>
      <c r="UKY1361" s="23"/>
      <c r="UKZ1361" s="23"/>
      <c r="ULA1361" s="23"/>
      <c r="ULB1361" s="23"/>
      <c r="ULC1361" s="23"/>
      <c r="ULD1361" s="23"/>
      <c r="ULE1361" s="23"/>
      <c r="ULF1361" s="23"/>
      <c r="ULG1361" s="23"/>
      <c r="ULH1361" s="23"/>
      <c r="ULI1361" s="23"/>
      <c r="ULJ1361" s="23"/>
      <c r="ULK1361" s="23"/>
      <c r="ULL1361" s="23"/>
      <c r="ULM1361" s="23"/>
      <c r="ULN1361" s="23"/>
      <c r="ULO1361" s="23"/>
      <c r="ULP1361" s="23"/>
      <c r="ULQ1361" s="23"/>
      <c r="ULR1361" s="23"/>
      <c r="ULS1361" s="23"/>
      <c r="ULT1361" s="23"/>
      <c r="ULU1361" s="23"/>
      <c r="ULV1361" s="23"/>
      <c r="ULW1361" s="23"/>
      <c r="ULX1361" s="23"/>
      <c r="ULY1361" s="23"/>
      <c r="ULZ1361" s="23"/>
      <c r="UMA1361" s="23"/>
      <c r="UMB1361" s="23"/>
      <c r="UMC1361" s="23"/>
      <c r="UMD1361" s="23"/>
      <c r="UME1361" s="23"/>
      <c r="UMF1361" s="23"/>
      <c r="UMG1361" s="23"/>
      <c r="UMH1361" s="23"/>
      <c r="UMI1361" s="23"/>
      <c r="UMJ1361" s="23"/>
      <c r="UMK1361" s="23"/>
      <c r="UML1361" s="23"/>
      <c r="UMM1361" s="23"/>
      <c r="UMN1361" s="23"/>
      <c r="UMO1361" s="23"/>
      <c r="UMP1361" s="23"/>
      <c r="UMQ1361" s="23"/>
      <c r="UMR1361" s="23"/>
      <c r="UMS1361" s="23"/>
      <c r="UMT1361" s="23"/>
      <c r="UMU1361" s="23"/>
      <c r="UMV1361" s="23"/>
      <c r="UMW1361" s="23"/>
      <c r="UMX1361" s="23"/>
      <c r="UMY1361" s="23"/>
      <c r="UMZ1361" s="23"/>
      <c r="UNA1361" s="23"/>
      <c r="UNB1361" s="23"/>
      <c r="UNC1361" s="23"/>
      <c r="UND1361" s="23"/>
      <c r="UNE1361" s="23"/>
      <c r="UNF1361" s="23"/>
      <c r="UNG1361" s="23"/>
      <c r="UNH1361" s="23"/>
      <c r="UNI1361" s="23"/>
      <c r="UNJ1361" s="23"/>
      <c r="UNK1361" s="23"/>
      <c r="UNL1361" s="23"/>
      <c r="UNM1361" s="23"/>
      <c r="UNN1361" s="23"/>
      <c r="UNO1361" s="23"/>
      <c r="UNP1361" s="23"/>
      <c r="UNQ1361" s="23"/>
      <c r="UNR1361" s="23"/>
      <c r="UNS1361" s="23"/>
      <c r="UNT1361" s="23"/>
      <c r="UNU1361" s="23"/>
      <c r="UNV1361" s="23"/>
      <c r="UNW1361" s="23"/>
      <c r="UNX1361" s="23"/>
      <c r="UNY1361" s="23"/>
      <c r="UNZ1361" s="23"/>
      <c r="UOA1361" s="23"/>
      <c r="UOB1361" s="23"/>
      <c r="UOC1361" s="23"/>
      <c r="UOD1361" s="23"/>
      <c r="UOE1361" s="23"/>
      <c r="UOF1361" s="23"/>
      <c r="UOG1361" s="23"/>
      <c r="UOH1361" s="23"/>
      <c r="UOI1361" s="23"/>
      <c r="UOJ1361" s="23"/>
      <c r="UOK1361" s="23"/>
      <c r="UOL1361" s="23"/>
      <c r="UOM1361" s="23"/>
      <c r="UON1361" s="23"/>
      <c r="UOO1361" s="23"/>
      <c r="UOP1361" s="23"/>
      <c r="UOQ1361" s="23"/>
      <c r="UOR1361" s="23"/>
      <c r="UOS1361" s="23"/>
      <c r="UOT1361" s="23"/>
      <c r="UOU1361" s="23"/>
      <c r="UOV1361" s="23"/>
      <c r="UOW1361" s="23"/>
      <c r="UOX1361" s="23"/>
      <c r="UOY1361" s="23"/>
      <c r="UOZ1361" s="23"/>
      <c r="UPA1361" s="23"/>
      <c r="UPB1361" s="23"/>
      <c r="UPC1361" s="23"/>
      <c r="UPD1361" s="23"/>
      <c r="UPE1361" s="23"/>
      <c r="UPF1361" s="23"/>
      <c r="UPG1361" s="23"/>
      <c r="UPH1361" s="23"/>
      <c r="UPI1361" s="23"/>
      <c r="UPJ1361" s="23"/>
      <c r="UPK1361" s="23"/>
      <c r="UPL1361" s="23"/>
      <c r="UPM1361" s="23"/>
      <c r="UPN1361" s="23"/>
      <c r="UPO1361" s="23"/>
      <c r="UPP1361" s="23"/>
      <c r="UPQ1361" s="23"/>
      <c r="UPR1361" s="23"/>
      <c r="UPS1361" s="23"/>
      <c r="UPT1361" s="23"/>
      <c r="UPU1361" s="23"/>
      <c r="UPV1361" s="23"/>
      <c r="UPW1361" s="23"/>
      <c r="UPX1361" s="23"/>
      <c r="UPY1361" s="23"/>
      <c r="UPZ1361" s="23"/>
      <c r="UQA1361" s="23"/>
      <c r="UQB1361" s="23"/>
      <c r="UQC1361" s="23"/>
      <c r="UQD1361" s="23"/>
      <c r="UQE1361" s="23"/>
      <c r="UQF1361" s="23"/>
      <c r="UQG1361" s="23"/>
      <c r="UQH1361" s="23"/>
      <c r="UQI1361" s="23"/>
      <c r="UQJ1361" s="23"/>
      <c r="UQK1361" s="23"/>
      <c r="UQL1361" s="23"/>
      <c r="UQM1361" s="23"/>
      <c r="UQN1361" s="23"/>
      <c r="UQO1361" s="23"/>
      <c r="UQP1361" s="23"/>
      <c r="UQQ1361" s="23"/>
      <c r="UQR1361" s="23"/>
      <c r="UQS1361" s="23"/>
      <c r="UQT1361" s="23"/>
      <c r="UQU1361" s="23"/>
      <c r="UQV1361" s="23"/>
      <c r="UQW1361" s="23"/>
      <c r="UQX1361" s="23"/>
      <c r="UQY1361" s="23"/>
      <c r="UQZ1361" s="23"/>
      <c r="URA1361" s="23"/>
      <c r="URB1361" s="23"/>
      <c r="URC1361" s="23"/>
      <c r="URD1361" s="23"/>
      <c r="URE1361" s="23"/>
      <c r="URF1361" s="23"/>
      <c r="URG1361" s="23"/>
      <c r="URH1361" s="23"/>
      <c r="URI1361" s="23"/>
      <c r="URJ1361" s="23"/>
      <c r="URK1361" s="23"/>
      <c r="URL1361" s="23"/>
      <c r="URM1361" s="23"/>
      <c r="URN1361" s="23"/>
      <c r="URO1361" s="23"/>
      <c r="URP1361" s="23"/>
      <c r="URQ1361" s="23"/>
      <c r="URR1361" s="23"/>
      <c r="URS1361" s="23"/>
      <c r="URT1361" s="23"/>
      <c r="URU1361" s="23"/>
      <c r="URV1361" s="23"/>
      <c r="URW1361" s="23"/>
      <c r="URX1361" s="23"/>
      <c r="URY1361" s="23"/>
      <c r="URZ1361" s="23"/>
      <c r="USA1361" s="23"/>
      <c r="USB1361" s="23"/>
      <c r="USC1361" s="23"/>
      <c r="USD1361" s="23"/>
      <c r="USE1361" s="23"/>
      <c r="USF1361" s="23"/>
      <c r="USG1361" s="23"/>
      <c r="USH1361" s="23"/>
      <c r="USI1361" s="23"/>
      <c r="USJ1361" s="23"/>
      <c r="USK1361" s="23"/>
      <c r="USL1361" s="23"/>
      <c r="USM1361" s="23"/>
      <c r="USN1361" s="23"/>
      <c r="USO1361" s="23"/>
      <c r="USP1361" s="23"/>
      <c r="USQ1361" s="23"/>
      <c r="USR1361" s="23"/>
      <c r="USS1361" s="23"/>
      <c r="UST1361" s="23"/>
      <c r="USU1361" s="23"/>
      <c r="USV1361" s="23"/>
      <c r="USW1361" s="23"/>
      <c r="USX1361" s="23"/>
      <c r="USY1361" s="23"/>
      <c r="USZ1361" s="23"/>
      <c r="UTA1361" s="23"/>
      <c r="UTB1361" s="23"/>
      <c r="UTC1361" s="23"/>
      <c r="UTD1361" s="23"/>
      <c r="UTE1361" s="23"/>
      <c r="UTF1361" s="23"/>
      <c r="UTG1361" s="23"/>
      <c r="UTH1361" s="23"/>
      <c r="UTI1361" s="23"/>
      <c r="UTJ1361" s="23"/>
      <c r="UTK1361" s="23"/>
      <c r="UTL1361" s="23"/>
      <c r="UTM1361" s="23"/>
      <c r="UTN1361" s="23"/>
      <c r="UTO1361" s="23"/>
      <c r="UTP1361" s="23"/>
      <c r="UTQ1361" s="23"/>
      <c r="UTR1361" s="23"/>
      <c r="UTS1361" s="23"/>
      <c r="UTT1361" s="23"/>
      <c r="UTU1361" s="23"/>
      <c r="UTV1361" s="23"/>
      <c r="UTW1361" s="23"/>
      <c r="UTX1361" s="23"/>
      <c r="UTY1361" s="23"/>
      <c r="UTZ1361" s="23"/>
      <c r="UUA1361" s="23"/>
      <c r="UUB1361" s="23"/>
      <c r="UUC1361" s="23"/>
      <c r="UUD1361" s="23"/>
      <c r="UUE1361" s="23"/>
      <c r="UUF1361" s="23"/>
      <c r="UUG1361" s="23"/>
      <c r="UUH1361" s="23"/>
      <c r="UUI1361" s="23"/>
      <c r="UUJ1361" s="23"/>
      <c r="UUK1361" s="23"/>
      <c r="UUL1361" s="23"/>
      <c r="UUM1361" s="23"/>
      <c r="UUN1361" s="23"/>
      <c r="UUO1361" s="23"/>
      <c r="UUP1361" s="23"/>
      <c r="UUQ1361" s="23"/>
      <c r="UUR1361" s="23"/>
      <c r="UUS1361" s="23"/>
      <c r="UUT1361" s="23"/>
      <c r="UUU1361" s="23"/>
      <c r="UUV1361" s="23"/>
      <c r="UUW1361" s="23"/>
      <c r="UUX1361" s="23"/>
      <c r="UUY1361" s="23"/>
      <c r="UUZ1361" s="23"/>
      <c r="UVA1361" s="23"/>
      <c r="UVB1361" s="23"/>
      <c r="UVC1361" s="23"/>
      <c r="UVD1361" s="23"/>
      <c r="UVE1361" s="23"/>
      <c r="UVF1361" s="23"/>
      <c r="UVG1361" s="23"/>
      <c r="UVH1361" s="23"/>
      <c r="UVI1361" s="23"/>
      <c r="UVJ1361" s="23"/>
      <c r="UVK1361" s="23"/>
      <c r="UVL1361" s="23"/>
      <c r="UVM1361" s="23"/>
      <c r="UVN1361" s="23"/>
      <c r="UVO1361" s="23"/>
      <c r="UVP1361" s="23"/>
      <c r="UVQ1361" s="23"/>
      <c r="UVR1361" s="23"/>
      <c r="UVS1361" s="23"/>
      <c r="UVT1361" s="23"/>
      <c r="UVU1361" s="23"/>
      <c r="UVV1361" s="23"/>
      <c r="UVW1361" s="23"/>
      <c r="UVX1361" s="23"/>
      <c r="UVY1361" s="23"/>
      <c r="UVZ1361" s="23"/>
      <c r="UWA1361" s="23"/>
      <c r="UWB1361" s="23"/>
      <c r="UWC1361" s="23"/>
      <c r="UWD1361" s="23"/>
      <c r="UWE1361" s="23"/>
      <c r="UWF1361" s="23"/>
      <c r="UWG1361" s="23"/>
      <c r="UWH1361" s="23"/>
      <c r="UWI1361" s="23"/>
      <c r="UWJ1361" s="23"/>
      <c r="UWK1361" s="23"/>
      <c r="UWL1361" s="23"/>
      <c r="UWM1361" s="23"/>
      <c r="UWN1361" s="23"/>
      <c r="UWO1361" s="23"/>
      <c r="UWP1361" s="23"/>
      <c r="UWQ1361" s="23"/>
      <c r="UWR1361" s="23"/>
      <c r="UWS1361" s="23"/>
      <c r="UWT1361" s="23"/>
      <c r="UWU1361" s="23"/>
      <c r="UWV1361" s="23"/>
      <c r="UWW1361" s="23"/>
      <c r="UWX1361" s="23"/>
      <c r="UWY1361" s="23"/>
      <c r="UWZ1361" s="23"/>
      <c r="UXA1361" s="23"/>
      <c r="UXB1361" s="23"/>
      <c r="UXC1361" s="23"/>
      <c r="UXD1361" s="23"/>
      <c r="UXE1361" s="23"/>
      <c r="UXF1361" s="23"/>
      <c r="UXG1361" s="23"/>
      <c r="UXH1361" s="23"/>
      <c r="UXI1361" s="23"/>
      <c r="UXJ1361" s="23"/>
      <c r="UXK1361" s="23"/>
      <c r="UXL1361" s="23"/>
      <c r="UXM1361" s="23"/>
      <c r="UXN1361" s="23"/>
      <c r="UXO1361" s="23"/>
      <c r="UXP1361" s="23"/>
      <c r="UXQ1361" s="23"/>
      <c r="UXR1361" s="23"/>
      <c r="UXS1361" s="23"/>
      <c r="UXT1361" s="23"/>
      <c r="UXU1361" s="23"/>
      <c r="UXV1361" s="23"/>
      <c r="UXW1361" s="23"/>
      <c r="UXX1361" s="23"/>
      <c r="UXY1361" s="23"/>
      <c r="UXZ1361" s="23"/>
      <c r="UYA1361" s="23"/>
      <c r="UYB1361" s="23"/>
      <c r="UYC1361" s="23"/>
      <c r="UYD1361" s="23"/>
      <c r="UYE1361" s="23"/>
      <c r="UYF1361" s="23"/>
      <c r="UYG1361" s="23"/>
      <c r="UYH1361" s="23"/>
      <c r="UYI1361" s="23"/>
      <c r="UYJ1361" s="23"/>
      <c r="UYK1361" s="23"/>
      <c r="UYL1361" s="23"/>
      <c r="UYM1361" s="23"/>
      <c r="UYN1361" s="23"/>
      <c r="UYO1361" s="23"/>
      <c r="UYP1361" s="23"/>
      <c r="UYQ1361" s="23"/>
      <c r="UYR1361" s="23"/>
      <c r="UYS1361" s="23"/>
      <c r="UYT1361" s="23"/>
      <c r="UYU1361" s="23"/>
      <c r="UYV1361" s="23"/>
      <c r="UYW1361" s="23"/>
      <c r="UYX1361" s="23"/>
      <c r="UYY1361" s="23"/>
      <c r="UYZ1361" s="23"/>
      <c r="UZA1361" s="23"/>
      <c r="UZB1361" s="23"/>
      <c r="UZC1361" s="23"/>
      <c r="UZD1361" s="23"/>
      <c r="UZE1361" s="23"/>
      <c r="UZF1361" s="23"/>
      <c r="UZG1361" s="23"/>
      <c r="UZH1361" s="23"/>
      <c r="UZI1361" s="23"/>
      <c r="UZJ1361" s="23"/>
      <c r="UZK1361" s="23"/>
      <c r="UZL1361" s="23"/>
      <c r="UZM1361" s="23"/>
      <c r="UZN1361" s="23"/>
      <c r="UZO1361" s="23"/>
      <c r="UZP1361" s="23"/>
      <c r="UZQ1361" s="23"/>
      <c r="UZR1361" s="23"/>
      <c r="UZS1361" s="23"/>
      <c r="UZT1361" s="23"/>
      <c r="UZU1361" s="23"/>
      <c r="UZV1361" s="23"/>
      <c r="UZW1361" s="23"/>
      <c r="UZX1361" s="23"/>
      <c r="UZY1361" s="23"/>
      <c r="UZZ1361" s="23"/>
      <c r="VAA1361" s="23"/>
      <c r="VAB1361" s="23"/>
      <c r="VAC1361" s="23"/>
      <c r="VAD1361" s="23"/>
      <c r="VAE1361" s="23"/>
      <c r="VAF1361" s="23"/>
      <c r="VAG1361" s="23"/>
      <c r="VAH1361" s="23"/>
      <c r="VAI1361" s="23"/>
      <c r="VAJ1361" s="23"/>
      <c r="VAK1361" s="23"/>
      <c r="VAL1361" s="23"/>
      <c r="VAM1361" s="23"/>
      <c r="VAN1361" s="23"/>
      <c r="VAO1361" s="23"/>
      <c r="VAP1361" s="23"/>
      <c r="VAQ1361" s="23"/>
      <c r="VAR1361" s="23"/>
      <c r="VAS1361" s="23"/>
      <c r="VAT1361" s="23"/>
      <c r="VAU1361" s="23"/>
      <c r="VAV1361" s="23"/>
      <c r="VAW1361" s="23"/>
      <c r="VAX1361" s="23"/>
      <c r="VAY1361" s="23"/>
      <c r="VAZ1361" s="23"/>
      <c r="VBA1361" s="23"/>
      <c r="VBB1361" s="23"/>
      <c r="VBC1361" s="23"/>
      <c r="VBD1361" s="23"/>
      <c r="VBE1361" s="23"/>
      <c r="VBF1361" s="23"/>
      <c r="VBG1361" s="23"/>
      <c r="VBH1361" s="23"/>
      <c r="VBI1361" s="23"/>
      <c r="VBJ1361" s="23"/>
      <c r="VBK1361" s="23"/>
      <c r="VBL1361" s="23"/>
      <c r="VBM1361" s="23"/>
      <c r="VBN1361" s="23"/>
      <c r="VBO1361" s="23"/>
      <c r="VBP1361" s="23"/>
      <c r="VBQ1361" s="23"/>
      <c r="VBR1361" s="23"/>
      <c r="VBS1361" s="23"/>
      <c r="VBT1361" s="23"/>
      <c r="VBU1361" s="23"/>
      <c r="VBV1361" s="23"/>
      <c r="VBW1361" s="23"/>
      <c r="VBX1361" s="23"/>
      <c r="VBY1361" s="23"/>
      <c r="VBZ1361" s="23"/>
      <c r="VCA1361" s="23"/>
      <c r="VCB1361" s="23"/>
      <c r="VCC1361" s="23"/>
      <c r="VCD1361" s="23"/>
      <c r="VCE1361" s="23"/>
      <c r="VCF1361" s="23"/>
      <c r="VCG1361" s="23"/>
      <c r="VCH1361" s="23"/>
      <c r="VCI1361" s="23"/>
      <c r="VCJ1361" s="23"/>
      <c r="VCK1361" s="23"/>
      <c r="VCL1361" s="23"/>
      <c r="VCM1361" s="23"/>
      <c r="VCN1361" s="23"/>
      <c r="VCO1361" s="23"/>
      <c r="VCP1361" s="23"/>
      <c r="VCQ1361" s="23"/>
      <c r="VCR1361" s="23"/>
      <c r="VCS1361" s="23"/>
      <c r="VCT1361" s="23"/>
      <c r="VCU1361" s="23"/>
      <c r="VCV1361" s="23"/>
      <c r="VCW1361" s="23"/>
      <c r="VCX1361" s="23"/>
      <c r="VCY1361" s="23"/>
      <c r="VCZ1361" s="23"/>
      <c r="VDA1361" s="23"/>
      <c r="VDB1361" s="23"/>
      <c r="VDC1361" s="23"/>
      <c r="VDD1361" s="23"/>
      <c r="VDE1361" s="23"/>
      <c r="VDF1361" s="23"/>
      <c r="VDG1361" s="23"/>
      <c r="VDH1361" s="23"/>
      <c r="VDI1361" s="23"/>
      <c r="VDJ1361" s="23"/>
      <c r="VDK1361" s="23"/>
      <c r="VDL1361" s="23"/>
      <c r="VDM1361" s="23"/>
      <c r="VDN1361" s="23"/>
      <c r="VDO1361" s="23"/>
      <c r="VDP1361" s="23"/>
      <c r="VDQ1361" s="23"/>
      <c r="VDR1361" s="23"/>
      <c r="VDS1361" s="23"/>
      <c r="VDT1361" s="23"/>
      <c r="VDU1361" s="23"/>
      <c r="VDV1361" s="23"/>
      <c r="VDW1361" s="23"/>
      <c r="VDX1361" s="23"/>
      <c r="VDY1361" s="23"/>
      <c r="VDZ1361" s="23"/>
      <c r="VEA1361" s="23"/>
      <c r="VEB1361" s="23"/>
      <c r="VEC1361" s="23"/>
      <c r="VED1361" s="23"/>
      <c r="VEE1361" s="23"/>
      <c r="VEF1361" s="23"/>
      <c r="VEG1361" s="23"/>
      <c r="VEH1361" s="23"/>
      <c r="VEI1361" s="23"/>
      <c r="VEJ1361" s="23"/>
      <c r="VEK1361" s="23"/>
      <c r="VEL1361" s="23"/>
      <c r="VEM1361" s="23"/>
      <c r="VEN1361" s="23"/>
      <c r="VEO1361" s="23"/>
      <c r="VEP1361" s="23"/>
      <c r="VEQ1361" s="23"/>
      <c r="VER1361" s="23"/>
      <c r="VES1361" s="23"/>
      <c r="VET1361" s="23"/>
      <c r="VEU1361" s="23"/>
      <c r="VEV1361" s="23"/>
      <c r="VEW1361" s="23"/>
      <c r="VEX1361" s="23"/>
      <c r="VEY1361" s="23"/>
      <c r="VEZ1361" s="23"/>
      <c r="VFA1361" s="23"/>
      <c r="VFB1361" s="23"/>
      <c r="VFC1361" s="23"/>
      <c r="VFD1361" s="23"/>
      <c r="VFE1361" s="23"/>
      <c r="VFF1361" s="23"/>
      <c r="VFG1361" s="23"/>
      <c r="VFH1361" s="23"/>
      <c r="VFI1361" s="23"/>
      <c r="VFJ1361" s="23"/>
      <c r="VFK1361" s="23"/>
      <c r="VFL1361" s="23"/>
      <c r="VFM1361" s="23"/>
      <c r="VFN1361" s="23"/>
      <c r="VFO1361" s="23"/>
      <c r="VFP1361" s="23"/>
      <c r="VFQ1361" s="23"/>
      <c r="VFR1361" s="23"/>
      <c r="VFS1361" s="23"/>
      <c r="VFT1361" s="23"/>
      <c r="VFU1361" s="23"/>
      <c r="VFV1361" s="23"/>
      <c r="VFW1361" s="23"/>
      <c r="VFX1361" s="23"/>
      <c r="VFY1361" s="23"/>
      <c r="VFZ1361" s="23"/>
      <c r="VGA1361" s="23"/>
      <c r="VGB1361" s="23"/>
      <c r="VGC1361" s="23"/>
      <c r="VGD1361" s="23"/>
      <c r="VGE1361" s="23"/>
      <c r="VGF1361" s="23"/>
      <c r="VGG1361" s="23"/>
      <c r="VGH1361" s="23"/>
      <c r="VGI1361" s="23"/>
      <c r="VGJ1361" s="23"/>
      <c r="VGK1361" s="23"/>
      <c r="VGL1361" s="23"/>
      <c r="VGM1361" s="23"/>
      <c r="VGN1361" s="23"/>
      <c r="VGO1361" s="23"/>
      <c r="VGP1361" s="23"/>
      <c r="VGQ1361" s="23"/>
      <c r="VGR1361" s="23"/>
      <c r="VGS1361" s="23"/>
      <c r="VGT1361" s="23"/>
      <c r="VGU1361" s="23"/>
      <c r="VGV1361" s="23"/>
      <c r="VGW1361" s="23"/>
      <c r="VGX1361" s="23"/>
      <c r="VGY1361" s="23"/>
      <c r="VGZ1361" s="23"/>
      <c r="VHA1361" s="23"/>
      <c r="VHB1361" s="23"/>
      <c r="VHC1361" s="23"/>
      <c r="VHD1361" s="23"/>
      <c r="VHE1361" s="23"/>
      <c r="VHF1361" s="23"/>
      <c r="VHG1361" s="23"/>
      <c r="VHH1361" s="23"/>
      <c r="VHI1361" s="23"/>
      <c r="VHJ1361" s="23"/>
      <c r="VHK1361" s="23"/>
      <c r="VHL1361" s="23"/>
      <c r="VHM1361" s="23"/>
      <c r="VHN1361" s="23"/>
      <c r="VHO1361" s="23"/>
      <c r="VHP1361" s="23"/>
      <c r="VHQ1361" s="23"/>
      <c r="VHR1361" s="23"/>
      <c r="VHS1361" s="23"/>
      <c r="VHT1361" s="23"/>
      <c r="VHU1361" s="23"/>
      <c r="VHV1361" s="23"/>
      <c r="VHW1361" s="23"/>
      <c r="VHX1361" s="23"/>
      <c r="VHY1361" s="23"/>
      <c r="VHZ1361" s="23"/>
      <c r="VIA1361" s="23"/>
      <c r="VIB1361" s="23"/>
      <c r="VIC1361" s="23"/>
      <c r="VID1361" s="23"/>
      <c r="VIE1361" s="23"/>
      <c r="VIF1361" s="23"/>
      <c r="VIG1361" s="23"/>
      <c r="VIH1361" s="23"/>
      <c r="VII1361" s="23"/>
      <c r="VIJ1361" s="23"/>
      <c r="VIK1361" s="23"/>
      <c r="VIL1361" s="23"/>
      <c r="VIM1361" s="23"/>
      <c r="VIN1361" s="23"/>
      <c r="VIO1361" s="23"/>
      <c r="VIP1361" s="23"/>
      <c r="VIQ1361" s="23"/>
      <c r="VIR1361" s="23"/>
      <c r="VIS1361" s="23"/>
      <c r="VIT1361" s="23"/>
      <c r="VIU1361" s="23"/>
      <c r="VIV1361" s="23"/>
      <c r="VIW1361" s="23"/>
      <c r="VIX1361" s="23"/>
      <c r="VIY1361" s="23"/>
      <c r="VIZ1361" s="23"/>
      <c r="VJA1361" s="23"/>
      <c r="VJB1361" s="23"/>
      <c r="VJC1361" s="23"/>
      <c r="VJD1361" s="23"/>
      <c r="VJE1361" s="23"/>
      <c r="VJF1361" s="23"/>
      <c r="VJG1361" s="23"/>
      <c r="VJH1361" s="23"/>
      <c r="VJI1361" s="23"/>
      <c r="VJJ1361" s="23"/>
      <c r="VJK1361" s="23"/>
      <c r="VJL1361" s="23"/>
      <c r="VJM1361" s="23"/>
      <c r="VJN1361" s="23"/>
      <c r="VJO1361" s="23"/>
      <c r="VJP1361" s="23"/>
      <c r="VJQ1361" s="23"/>
      <c r="VJR1361" s="23"/>
      <c r="VJS1361" s="23"/>
      <c r="VJT1361" s="23"/>
      <c r="VJU1361" s="23"/>
      <c r="VJV1361" s="23"/>
      <c r="VJW1361" s="23"/>
      <c r="VJX1361" s="23"/>
      <c r="VJY1361" s="23"/>
      <c r="VJZ1361" s="23"/>
      <c r="VKA1361" s="23"/>
      <c r="VKB1361" s="23"/>
      <c r="VKC1361" s="23"/>
      <c r="VKD1361" s="23"/>
      <c r="VKE1361" s="23"/>
      <c r="VKF1361" s="23"/>
      <c r="VKG1361" s="23"/>
      <c r="VKH1361" s="23"/>
      <c r="VKI1361" s="23"/>
      <c r="VKJ1361" s="23"/>
      <c r="VKK1361" s="23"/>
      <c r="VKL1361" s="23"/>
      <c r="VKM1361" s="23"/>
      <c r="VKN1361" s="23"/>
      <c r="VKO1361" s="23"/>
      <c r="VKP1361" s="23"/>
      <c r="VKQ1361" s="23"/>
      <c r="VKR1361" s="23"/>
      <c r="VKS1361" s="23"/>
      <c r="VKT1361" s="23"/>
      <c r="VKU1361" s="23"/>
      <c r="VKV1361" s="23"/>
      <c r="VKW1361" s="23"/>
      <c r="VKX1361" s="23"/>
      <c r="VKY1361" s="23"/>
      <c r="VKZ1361" s="23"/>
      <c r="VLA1361" s="23"/>
      <c r="VLB1361" s="23"/>
      <c r="VLC1361" s="23"/>
      <c r="VLD1361" s="23"/>
      <c r="VLE1361" s="23"/>
      <c r="VLF1361" s="23"/>
      <c r="VLG1361" s="23"/>
      <c r="VLH1361" s="23"/>
      <c r="VLI1361" s="23"/>
      <c r="VLJ1361" s="23"/>
      <c r="VLK1361" s="23"/>
      <c r="VLL1361" s="23"/>
      <c r="VLM1361" s="23"/>
      <c r="VLN1361" s="23"/>
      <c r="VLO1361" s="23"/>
      <c r="VLP1361" s="23"/>
      <c r="VLQ1361" s="23"/>
      <c r="VLR1361" s="23"/>
      <c r="VLS1361" s="23"/>
      <c r="VLT1361" s="23"/>
      <c r="VLU1361" s="23"/>
      <c r="VLV1361" s="23"/>
      <c r="VLW1361" s="23"/>
      <c r="VLX1361" s="23"/>
      <c r="VLY1361" s="23"/>
      <c r="VLZ1361" s="23"/>
      <c r="VMA1361" s="23"/>
      <c r="VMB1361" s="23"/>
      <c r="VMC1361" s="23"/>
      <c r="VMD1361" s="23"/>
      <c r="VME1361" s="23"/>
      <c r="VMF1361" s="23"/>
      <c r="VMG1361" s="23"/>
      <c r="VMH1361" s="23"/>
      <c r="VMI1361" s="23"/>
      <c r="VMJ1361" s="23"/>
      <c r="VMK1361" s="23"/>
      <c r="VML1361" s="23"/>
      <c r="VMM1361" s="23"/>
      <c r="VMN1361" s="23"/>
      <c r="VMO1361" s="23"/>
      <c r="VMP1361" s="23"/>
      <c r="VMQ1361" s="23"/>
      <c r="VMR1361" s="23"/>
      <c r="VMS1361" s="23"/>
      <c r="VMT1361" s="23"/>
      <c r="VMU1361" s="23"/>
      <c r="VMV1361" s="23"/>
      <c r="VMW1361" s="23"/>
      <c r="VMX1361" s="23"/>
      <c r="VMY1361" s="23"/>
      <c r="VMZ1361" s="23"/>
      <c r="VNA1361" s="23"/>
      <c r="VNB1361" s="23"/>
      <c r="VNC1361" s="23"/>
      <c r="VND1361" s="23"/>
      <c r="VNE1361" s="23"/>
      <c r="VNF1361" s="23"/>
      <c r="VNG1361" s="23"/>
      <c r="VNH1361" s="23"/>
      <c r="VNI1361" s="23"/>
      <c r="VNJ1361" s="23"/>
      <c r="VNK1361" s="23"/>
      <c r="VNL1361" s="23"/>
      <c r="VNM1361" s="23"/>
      <c r="VNN1361" s="23"/>
      <c r="VNO1361" s="23"/>
      <c r="VNP1361" s="23"/>
      <c r="VNQ1361" s="23"/>
      <c r="VNR1361" s="23"/>
      <c r="VNS1361" s="23"/>
      <c r="VNT1361" s="23"/>
      <c r="VNU1361" s="23"/>
      <c r="VNV1361" s="23"/>
      <c r="VNW1361" s="23"/>
      <c r="VNX1361" s="23"/>
      <c r="VNY1361" s="23"/>
      <c r="VNZ1361" s="23"/>
      <c r="VOA1361" s="23"/>
      <c r="VOB1361" s="23"/>
      <c r="VOC1361" s="23"/>
      <c r="VOD1361" s="23"/>
      <c r="VOE1361" s="23"/>
      <c r="VOF1361" s="23"/>
      <c r="VOG1361" s="23"/>
      <c r="VOH1361" s="23"/>
      <c r="VOI1361" s="23"/>
      <c r="VOJ1361" s="23"/>
      <c r="VOK1361" s="23"/>
      <c r="VOL1361" s="23"/>
      <c r="VOM1361" s="23"/>
      <c r="VON1361" s="23"/>
      <c r="VOO1361" s="23"/>
      <c r="VOP1361" s="23"/>
      <c r="VOQ1361" s="23"/>
      <c r="VOR1361" s="23"/>
      <c r="VOS1361" s="23"/>
      <c r="VOT1361" s="23"/>
      <c r="VOU1361" s="23"/>
      <c r="VOV1361" s="23"/>
      <c r="VOW1361" s="23"/>
      <c r="VOX1361" s="23"/>
      <c r="VOY1361" s="23"/>
      <c r="VOZ1361" s="23"/>
      <c r="VPA1361" s="23"/>
      <c r="VPB1361" s="23"/>
      <c r="VPC1361" s="23"/>
      <c r="VPD1361" s="23"/>
      <c r="VPE1361" s="23"/>
      <c r="VPF1361" s="23"/>
      <c r="VPG1361" s="23"/>
      <c r="VPH1361" s="23"/>
      <c r="VPI1361" s="23"/>
      <c r="VPJ1361" s="23"/>
      <c r="VPK1361" s="23"/>
      <c r="VPL1361" s="23"/>
      <c r="VPM1361" s="23"/>
      <c r="VPN1361" s="23"/>
      <c r="VPO1361" s="23"/>
      <c r="VPP1361" s="23"/>
      <c r="VPQ1361" s="23"/>
      <c r="VPR1361" s="23"/>
      <c r="VPS1361" s="23"/>
      <c r="VPT1361" s="23"/>
      <c r="VPU1361" s="23"/>
      <c r="VPV1361" s="23"/>
      <c r="VPW1361" s="23"/>
      <c r="VPX1361" s="23"/>
      <c r="VPY1361" s="23"/>
      <c r="VPZ1361" s="23"/>
      <c r="VQA1361" s="23"/>
      <c r="VQB1361" s="23"/>
      <c r="VQC1361" s="23"/>
      <c r="VQD1361" s="23"/>
      <c r="VQE1361" s="23"/>
      <c r="VQF1361" s="23"/>
      <c r="VQG1361" s="23"/>
      <c r="VQH1361" s="23"/>
      <c r="VQI1361" s="23"/>
      <c r="VQJ1361" s="23"/>
      <c r="VQK1361" s="23"/>
      <c r="VQL1361" s="23"/>
      <c r="VQM1361" s="23"/>
      <c r="VQN1361" s="23"/>
      <c r="VQO1361" s="23"/>
      <c r="VQP1361" s="23"/>
      <c r="VQQ1361" s="23"/>
      <c r="VQR1361" s="23"/>
      <c r="VQS1361" s="23"/>
      <c r="VQT1361" s="23"/>
      <c r="VQU1361" s="23"/>
      <c r="VQV1361" s="23"/>
      <c r="VQW1361" s="23"/>
      <c r="VQX1361" s="23"/>
      <c r="VQY1361" s="23"/>
      <c r="VQZ1361" s="23"/>
      <c r="VRA1361" s="23"/>
      <c r="VRB1361" s="23"/>
      <c r="VRC1361" s="23"/>
      <c r="VRD1361" s="23"/>
      <c r="VRE1361" s="23"/>
      <c r="VRF1361" s="23"/>
      <c r="VRG1361" s="23"/>
      <c r="VRH1361" s="23"/>
      <c r="VRI1361" s="23"/>
      <c r="VRJ1361" s="23"/>
      <c r="VRK1361" s="23"/>
      <c r="VRL1361" s="23"/>
      <c r="VRM1361" s="23"/>
      <c r="VRN1361" s="23"/>
      <c r="VRO1361" s="23"/>
      <c r="VRP1361" s="23"/>
      <c r="VRQ1361" s="23"/>
      <c r="VRR1361" s="23"/>
      <c r="VRS1361" s="23"/>
      <c r="VRT1361" s="23"/>
      <c r="VRU1361" s="23"/>
      <c r="VRV1361" s="23"/>
      <c r="VRW1361" s="23"/>
      <c r="VRX1361" s="23"/>
      <c r="VRY1361" s="23"/>
      <c r="VRZ1361" s="23"/>
      <c r="VSA1361" s="23"/>
      <c r="VSB1361" s="23"/>
      <c r="VSC1361" s="23"/>
      <c r="VSD1361" s="23"/>
      <c r="VSE1361" s="23"/>
      <c r="VSF1361" s="23"/>
      <c r="VSG1361" s="23"/>
      <c r="VSH1361" s="23"/>
      <c r="VSI1361" s="23"/>
      <c r="VSJ1361" s="23"/>
      <c r="VSK1361" s="23"/>
      <c r="VSL1361" s="23"/>
      <c r="VSM1361" s="23"/>
      <c r="VSN1361" s="23"/>
      <c r="VSO1361" s="23"/>
      <c r="VSP1361" s="23"/>
      <c r="VSQ1361" s="23"/>
      <c r="VSR1361" s="23"/>
      <c r="VSS1361" s="23"/>
      <c r="VST1361" s="23"/>
      <c r="VSU1361" s="23"/>
      <c r="VSV1361" s="23"/>
      <c r="VSW1361" s="23"/>
      <c r="VSX1361" s="23"/>
      <c r="VSY1361" s="23"/>
      <c r="VSZ1361" s="23"/>
      <c r="VTA1361" s="23"/>
      <c r="VTB1361" s="23"/>
      <c r="VTC1361" s="23"/>
      <c r="VTD1361" s="23"/>
      <c r="VTE1361" s="23"/>
      <c r="VTF1361" s="23"/>
      <c r="VTG1361" s="23"/>
      <c r="VTH1361" s="23"/>
      <c r="VTI1361" s="23"/>
      <c r="VTJ1361" s="23"/>
      <c r="VTK1361" s="23"/>
      <c r="VTL1361" s="23"/>
      <c r="VTM1361" s="23"/>
      <c r="VTN1361" s="23"/>
      <c r="VTO1361" s="23"/>
      <c r="VTP1361" s="23"/>
      <c r="VTQ1361" s="23"/>
      <c r="VTR1361" s="23"/>
      <c r="VTS1361" s="23"/>
      <c r="VTT1361" s="23"/>
      <c r="VTU1361" s="23"/>
      <c r="VTV1361" s="23"/>
      <c r="VTW1361" s="23"/>
      <c r="VTX1361" s="23"/>
      <c r="VTY1361" s="23"/>
      <c r="VTZ1361" s="23"/>
      <c r="VUA1361" s="23"/>
      <c r="VUB1361" s="23"/>
      <c r="VUC1361" s="23"/>
      <c r="VUD1361" s="23"/>
      <c r="VUE1361" s="23"/>
      <c r="VUF1361" s="23"/>
      <c r="VUG1361" s="23"/>
      <c r="VUH1361" s="23"/>
      <c r="VUI1361" s="23"/>
      <c r="VUJ1361" s="23"/>
      <c r="VUK1361" s="23"/>
      <c r="VUL1361" s="23"/>
      <c r="VUM1361" s="23"/>
      <c r="VUN1361" s="23"/>
      <c r="VUO1361" s="23"/>
      <c r="VUP1361" s="23"/>
      <c r="VUQ1361" s="23"/>
      <c r="VUR1361" s="23"/>
      <c r="VUS1361" s="23"/>
      <c r="VUT1361" s="23"/>
      <c r="VUU1361" s="23"/>
      <c r="VUV1361" s="23"/>
      <c r="VUW1361" s="23"/>
      <c r="VUX1361" s="23"/>
      <c r="VUY1361" s="23"/>
      <c r="VUZ1361" s="23"/>
      <c r="VVA1361" s="23"/>
      <c r="VVB1361" s="23"/>
      <c r="VVC1361" s="23"/>
      <c r="VVD1361" s="23"/>
      <c r="VVE1361" s="23"/>
      <c r="VVF1361" s="23"/>
      <c r="VVG1361" s="23"/>
      <c r="VVH1361" s="23"/>
      <c r="VVI1361" s="23"/>
      <c r="VVJ1361" s="23"/>
      <c r="VVK1361" s="23"/>
      <c r="VVL1361" s="23"/>
      <c r="VVM1361" s="23"/>
      <c r="VVN1361" s="23"/>
      <c r="VVO1361" s="23"/>
      <c r="VVP1361" s="23"/>
      <c r="VVQ1361" s="23"/>
      <c r="VVR1361" s="23"/>
      <c r="VVS1361" s="23"/>
      <c r="VVT1361" s="23"/>
      <c r="VVU1361" s="23"/>
      <c r="VVV1361" s="23"/>
      <c r="VVW1361" s="23"/>
      <c r="VVX1361" s="23"/>
      <c r="VVY1361" s="23"/>
      <c r="VVZ1361" s="23"/>
      <c r="VWA1361" s="23"/>
      <c r="VWB1361" s="23"/>
      <c r="VWC1361" s="23"/>
      <c r="VWD1361" s="23"/>
      <c r="VWE1361" s="23"/>
      <c r="VWF1361" s="23"/>
      <c r="VWG1361" s="23"/>
      <c r="VWH1361" s="23"/>
      <c r="VWI1361" s="23"/>
      <c r="VWJ1361" s="23"/>
      <c r="VWK1361" s="23"/>
      <c r="VWL1361" s="23"/>
      <c r="VWM1361" s="23"/>
      <c r="VWN1361" s="23"/>
      <c r="VWO1361" s="23"/>
      <c r="VWP1361" s="23"/>
      <c r="VWQ1361" s="23"/>
      <c r="VWR1361" s="23"/>
      <c r="VWS1361" s="23"/>
      <c r="VWT1361" s="23"/>
      <c r="VWU1361" s="23"/>
      <c r="VWV1361" s="23"/>
      <c r="VWW1361" s="23"/>
      <c r="VWX1361" s="23"/>
      <c r="VWY1361" s="23"/>
      <c r="VWZ1361" s="23"/>
      <c r="VXA1361" s="23"/>
      <c r="VXB1361" s="23"/>
      <c r="VXC1361" s="23"/>
      <c r="VXD1361" s="23"/>
      <c r="VXE1361" s="23"/>
      <c r="VXF1361" s="23"/>
      <c r="VXG1361" s="23"/>
      <c r="VXH1361" s="23"/>
      <c r="VXI1361" s="23"/>
      <c r="VXJ1361" s="23"/>
      <c r="VXK1361" s="23"/>
      <c r="VXL1361" s="23"/>
      <c r="VXM1361" s="23"/>
      <c r="VXN1361" s="23"/>
      <c r="VXO1361" s="23"/>
      <c r="VXP1361" s="23"/>
      <c r="VXQ1361" s="23"/>
      <c r="VXR1361" s="23"/>
      <c r="VXS1361" s="23"/>
      <c r="VXT1361" s="23"/>
      <c r="VXU1361" s="23"/>
      <c r="VXV1361" s="23"/>
      <c r="VXW1361" s="23"/>
      <c r="VXX1361" s="23"/>
      <c r="VXY1361" s="23"/>
      <c r="VXZ1361" s="23"/>
      <c r="VYA1361" s="23"/>
      <c r="VYB1361" s="23"/>
      <c r="VYC1361" s="23"/>
      <c r="VYD1361" s="23"/>
      <c r="VYE1361" s="23"/>
      <c r="VYF1361" s="23"/>
      <c r="VYG1361" s="23"/>
      <c r="VYH1361" s="23"/>
      <c r="VYI1361" s="23"/>
      <c r="VYJ1361" s="23"/>
      <c r="VYK1361" s="23"/>
      <c r="VYL1361" s="23"/>
      <c r="VYM1361" s="23"/>
      <c r="VYN1361" s="23"/>
      <c r="VYO1361" s="23"/>
      <c r="VYP1361" s="23"/>
      <c r="VYQ1361" s="23"/>
      <c r="VYR1361" s="23"/>
      <c r="VYS1361" s="23"/>
      <c r="VYT1361" s="23"/>
      <c r="VYU1361" s="23"/>
      <c r="VYV1361" s="23"/>
      <c r="VYW1361" s="23"/>
      <c r="VYX1361" s="23"/>
      <c r="VYY1361" s="23"/>
      <c r="VYZ1361" s="23"/>
      <c r="VZA1361" s="23"/>
      <c r="VZB1361" s="23"/>
      <c r="VZC1361" s="23"/>
      <c r="VZD1361" s="23"/>
      <c r="VZE1361" s="23"/>
      <c r="VZF1361" s="23"/>
      <c r="VZG1361" s="23"/>
      <c r="VZH1361" s="23"/>
      <c r="VZI1361" s="23"/>
      <c r="VZJ1361" s="23"/>
      <c r="VZK1361" s="23"/>
      <c r="VZL1361" s="23"/>
      <c r="VZM1361" s="23"/>
      <c r="VZN1361" s="23"/>
      <c r="VZO1361" s="23"/>
      <c r="VZP1361" s="23"/>
      <c r="VZQ1361" s="23"/>
      <c r="VZR1361" s="23"/>
      <c r="VZS1361" s="23"/>
      <c r="VZT1361" s="23"/>
      <c r="VZU1361" s="23"/>
      <c r="VZV1361" s="23"/>
      <c r="VZW1361" s="23"/>
      <c r="VZX1361" s="23"/>
      <c r="VZY1361" s="23"/>
      <c r="VZZ1361" s="23"/>
      <c r="WAA1361" s="23"/>
      <c r="WAB1361" s="23"/>
      <c r="WAC1361" s="23"/>
      <c r="WAD1361" s="23"/>
      <c r="WAE1361" s="23"/>
      <c r="WAF1361" s="23"/>
      <c r="WAG1361" s="23"/>
      <c r="WAH1361" s="23"/>
      <c r="WAI1361" s="23"/>
      <c r="WAJ1361" s="23"/>
      <c r="WAK1361" s="23"/>
      <c r="WAL1361" s="23"/>
      <c r="WAM1361" s="23"/>
      <c r="WAN1361" s="23"/>
      <c r="WAO1361" s="23"/>
      <c r="WAP1361" s="23"/>
      <c r="WAQ1361" s="23"/>
      <c r="WAR1361" s="23"/>
      <c r="WAS1361" s="23"/>
      <c r="WAT1361" s="23"/>
      <c r="WAU1361" s="23"/>
      <c r="WAV1361" s="23"/>
      <c r="WAW1361" s="23"/>
      <c r="WAX1361" s="23"/>
      <c r="WAY1361" s="23"/>
      <c r="WAZ1361" s="23"/>
      <c r="WBA1361" s="23"/>
      <c r="WBB1361" s="23"/>
      <c r="WBC1361" s="23"/>
      <c r="WBD1361" s="23"/>
      <c r="WBE1361" s="23"/>
      <c r="WBF1361" s="23"/>
      <c r="WBG1361" s="23"/>
      <c r="WBH1361" s="23"/>
      <c r="WBI1361" s="23"/>
      <c r="WBJ1361" s="23"/>
      <c r="WBK1361" s="23"/>
      <c r="WBL1361" s="23"/>
      <c r="WBM1361" s="23"/>
      <c r="WBN1361" s="23"/>
      <c r="WBO1361" s="23"/>
      <c r="WBP1361" s="23"/>
      <c r="WBQ1361" s="23"/>
      <c r="WBR1361" s="23"/>
      <c r="WBS1361" s="23"/>
      <c r="WBT1361" s="23"/>
      <c r="WBU1361" s="23"/>
      <c r="WBV1361" s="23"/>
      <c r="WBW1361" s="23"/>
      <c r="WBX1361" s="23"/>
      <c r="WBY1361" s="23"/>
      <c r="WBZ1361" s="23"/>
      <c r="WCA1361" s="23"/>
      <c r="WCB1361" s="23"/>
      <c r="WCC1361" s="23"/>
      <c r="WCD1361" s="23"/>
      <c r="WCE1361" s="23"/>
      <c r="WCF1361" s="23"/>
      <c r="WCG1361" s="23"/>
      <c r="WCH1361" s="23"/>
      <c r="WCI1361" s="23"/>
      <c r="WCJ1361" s="23"/>
      <c r="WCK1361" s="23"/>
      <c r="WCL1361" s="23"/>
      <c r="WCM1361" s="23"/>
      <c r="WCN1361" s="23"/>
      <c r="WCO1361" s="23"/>
      <c r="WCP1361" s="23"/>
      <c r="WCQ1361" s="23"/>
      <c r="WCR1361" s="23"/>
      <c r="WCS1361" s="23"/>
      <c r="WCT1361" s="23"/>
      <c r="WCU1361" s="23"/>
      <c r="WCV1361" s="23"/>
      <c r="WCW1361" s="23"/>
      <c r="WCX1361" s="23"/>
      <c r="WCY1361" s="23"/>
      <c r="WCZ1361" s="23"/>
      <c r="WDA1361" s="23"/>
      <c r="WDB1361" s="23"/>
      <c r="WDC1361" s="23"/>
      <c r="WDD1361" s="23"/>
      <c r="WDE1361" s="23"/>
      <c r="WDF1361" s="23"/>
      <c r="WDG1361" s="23"/>
      <c r="WDH1361" s="23"/>
      <c r="WDI1361" s="23"/>
      <c r="WDJ1361" s="23"/>
      <c r="WDK1361" s="23"/>
      <c r="WDL1361" s="23"/>
      <c r="WDM1361" s="23"/>
      <c r="WDN1361" s="23"/>
      <c r="WDO1361" s="23"/>
      <c r="WDP1361" s="23"/>
      <c r="WDQ1361" s="23"/>
      <c r="WDR1361" s="23"/>
      <c r="WDS1361" s="23"/>
      <c r="WDT1361" s="23"/>
      <c r="WDU1361" s="23"/>
      <c r="WDV1361" s="23"/>
      <c r="WDW1361" s="23"/>
      <c r="WDX1361" s="23"/>
      <c r="WDY1361" s="23"/>
      <c r="WDZ1361" s="23"/>
      <c r="WEA1361" s="23"/>
      <c r="WEB1361" s="23"/>
      <c r="WEC1361" s="23"/>
      <c r="WED1361" s="23"/>
      <c r="WEE1361" s="23"/>
      <c r="WEF1361" s="23"/>
      <c r="WEG1361" s="23"/>
      <c r="WEH1361" s="23"/>
      <c r="WEI1361" s="23"/>
      <c r="WEJ1361" s="23"/>
      <c r="WEK1361" s="23"/>
      <c r="WEL1361" s="23"/>
      <c r="WEM1361" s="23"/>
      <c r="WEN1361" s="23"/>
      <c r="WEO1361" s="23"/>
      <c r="WEP1361" s="23"/>
      <c r="WEQ1361" s="23"/>
      <c r="WER1361" s="23"/>
      <c r="WES1361" s="23"/>
      <c r="WET1361" s="23"/>
      <c r="WEU1361" s="23"/>
      <c r="WEV1361" s="23"/>
      <c r="WEW1361" s="23"/>
      <c r="WEX1361" s="23"/>
      <c r="WEY1361" s="23"/>
      <c r="WEZ1361" s="23"/>
      <c r="WFA1361" s="23"/>
      <c r="WFB1361" s="23"/>
      <c r="WFC1361" s="23"/>
      <c r="WFD1361" s="23"/>
      <c r="WFE1361" s="23"/>
      <c r="WFF1361" s="23"/>
      <c r="WFG1361" s="23"/>
      <c r="WFH1361" s="23"/>
      <c r="WFI1361" s="23"/>
      <c r="WFJ1361" s="23"/>
      <c r="WFK1361" s="23"/>
      <c r="WFL1361" s="23"/>
      <c r="WFM1361" s="23"/>
      <c r="WFN1361" s="23"/>
      <c r="WFO1361" s="23"/>
      <c r="WFP1361" s="23"/>
      <c r="WFQ1361" s="23"/>
      <c r="WFR1361" s="23"/>
      <c r="WFS1361" s="23"/>
      <c r="WFT1361" s="23"/>
      <c r="WFU1361" s="23"/>
      <c r="WFV1361" s="23"/>
      <c r="WFW1361" s="23"/>
      <c r="WFX1361" s="23"/>
      <c r="WFY1361" s="23"/>
      <c r="WFZ1361" s="23"/>
      <c r="WGA1361" s="23"/>
      <c r="WGB1361" s="23"/>
      <c r="WGC1361" s="23"/>
      <c r="WGD1361" s="23"/>
      <c r="WGE1361" s="23"/>
      <c r="WGF1361" s="23"/>
      <c r="WGG1361" s="23"/>
      <c r="WGH1361" s="23"/>
      <c r="WGI1361" s="23"/>
      <c r="WGJ1361" s="23"/>
      <c r="WGK1361" s="23"/>
      <c r="WGL1361" s="23"/>
      <c r="WGM1361" s="23"/>
      <c r="WGN1361" s="23"/>
      <c r="WGO1361" s="23"/>
      <c r="WGP1361" s="23"/>
      <c r="WGQ1361" s="23"/>
      <c r="WGR1361" s="23"/>
      <c r="WGS1361" s="23"/>
      <c r="WGT1361" s="23"/>
      <c r="WGU1361" s="23"/>
      <c r="WGV1361" s="23"/>
      <c r="WGW1361" s="23"/>
      <c r="WGX1361" s="23"/>
      <c r="WGY1361" s="23"/>
      <c r="WGZ1361" s="23"/>
      <c r="WHA1361" s="23"/>
      <c r="WHB1361" s="23"/>
      <c r="WHC1361" s="23"/>
      <c r="WHD1361" s="23"/>
      <c r="WHE1361" s="23"/>
      <c r="WHF1361" s="23"/>
      <c r="WHG1361" s="23"/>
      <c r="WHH1361" s="23"/>
      <c r="WHI1361" s="23"/>
      <c r="WHJ1361" s="23"/>
      <c r="WHK1361" s="23"/>
      <c r="WHL1361" s="23"/>
      <c r="WHM1361" s="23"/>
      <c r="WHN1361" s="23"/>
      <c r="WHO1361" s="23"/>
      <c r="WHP1361" s="23"/>
      <c r="WHQ1361" s="23"/>
      <c r="WHR1361" s="23"/>
      <c r="WHS1361" s="23"/>
      <c r="WHT1361" s="23"/>
      <c r="WHU1361" s="23"/>
      <c r="WHV1361" s="23"/>
      <c r="WHW1361" s="23"/>
      <c r="WHX1361" s="23"/>
      <c r="WHY1361" s="23"/>
      <c r="WHZ1361" s="23"/>
      <c r="WIA1361" s="23"/>
      <c r="WIB1361" s="23"/>
      <c r="WIC1361" s="23"/>
      <c r="WID1361" s="23"/>
      <c r="WIE1361" s="23"/>
      <c r="WIF1361" s="23"/>
      <c r="WIG1361" s="23"/>
      <c r="WIH1361" s="23"/>
      <c r="WII1361" s="23"/>
      <c r="WIJ1361" s="23"/>
      <c r="WIK1361" s="23"/>
      <c r="WIL1361" s="23"/>
      <c r="WIM1361" s="23"/>
      <c r="WIN1361" s="23"/>
      <c r="WIO1361" s="23"/>
      <c r="WIP1361" s="23"/>
      <c r="WIQ1361" s="23"/>
      <c r="WIR1361" s="23"/>
      <c r="WIS1361" s="23"/>
      <c r="WIT1361" s="23"/>
      <c r="WIU1361" s="23"/>
      <c r="WIV1361" s="23"/>
      <c r="WIW1361" s="23"/>
      <c r="WIX1361" s="23"/>
      <c r="WIY1361" s="23"/>
      <c r="WIZ1361" s="23"/>
      <c r="WJA1361" s="23"/>
      <c r="WJB1361" s="23"/>
      <c r="WJC1361" s="23"/>
      <c r="WJD1361" s="23"/>
      <c r="WJE1361" s="23"/>
      <c r="WJF1361" s="23"/>
      <c r="WJG1361" s="23"/>
      <c r="WJH1361" s="23"/>
      <c r="WJI1361" s="23"/>
      <c r="WJJ1361" s="23"/>
      <c r="WJK1361" s="23"/>
      <c r="WJL1361" s="23"/>
      <c r="WJM1361" s="23"/>
      <c r="WJN1361" s="23"/>
      <c r="WJO1361" s="23"/>
      <c r="WJP1361" s="23"/>
      <c r="WJQ1361" s="23"/>
      <c r="WJR1361" s="23"/>
      <c r="WJS1361" s="23"/>
      <c r="WJT1361" s="23"/>
      <c r="WJU1361" s="23"/>
      <c r="WJV1361" s="23"/>
      <c r="WJW1361" s="23"/>
      <c r="WJX1361" s="23"/>
      <c r="WJY1361" s="23"/>
      <c r="WJZ1361" s="23"/>
      <c r="WKA1361" s="23"/>
      <c r="WKB1361" s="23"/>
      <c r="WKC1361" s="23"/>
      <c r="WKD1361" s="23"/>
      <c r="WKE1361" s="23"/>
      <c r="WKF1361" s="23"/>
      <c r="WKG1361" s="23"/>
      <c r="WKH1361" s="23"/>
      <c r="WKI1361" s="23"/>
      <c r="WKJ1361" s="23"/>
      <c r="WKK1361" s="23"/>
      <c r="WKL1361" s="23"/>
      <c r="WKM1361" s="23"/>
      <c r="WKN1361" s="23"/>
      <c r="WKO1361" s="23"/>
      <c r="WKP1361" s="23"/>
      <c r="WKQ1361" s="23"/>
      <c r="WKR1361" s="23"/>
      <c r="WKS1361" s="23"/>
      <c r="WKT1361" s="23"/>
      <c r="WKU1361" s="23"/>
      <c r="WKV1361" s="23"/>
      <c r="WKW1361" s="23"/>
      <c r="WKX1361" s="23"/>
      <c r="WKY1361" s="23"/>
      <c r="WKZ1361" s="23"/>
      <c r="WLA1361" s="23"/>
      <c r="WLB1361" s="23"/>
      <c r="WLC1361" s="23"/>
      <c r="WLD1361" s="23"/>
      <c r="WLE1361" s="23"/>
      <c r="WLF1361" s="23"/>
      <c r="WLG1361" s="23"/>
      <c r="WLH1361" s="23"/>
      <c r="WLI1361" s="23"/>
      <c r="WLJ1361" s="23"/>
      <c r="WLK1361" s="23"/>
      <c r="WLL1361" s="23"/>
      <c r="WLM1361" s="23"/>
      <c r="WLN1361" s="23"/>
      <c r="WLO1361" s="23"/>
      <c r="WLP1361" s="23"/>
      <c r="WLQ1361" s="23"/>
      <c r="WLR1361" s="23"/>
      <c r="WLS1361" s="23"/>
      <c r="WLT1361" s="23"/>
      <c r="WLU1361" s="23"/>
      <c r="WLV1361" s="23"/>
      <c r="WLW1361" s="23"/>
      <c r="WLX1361" s="23"/>
      <c r="WLY1361" s="23"/>
      <c r="WLZ1361" s="23"/>
      <c r="WMA1361" s="23"/>
      <c r="WMB1361" s="23"/>
      <c r="WMC1361" s="23"/>
      <c r="WMD1361" s="23"/>
      <c r="WME1361" s="23"/>
      <c r="WMF1361" s="23"/>
      <c r="WMG1361" s="23"/>
      <c r="WMH1361" s="23"/>
      <c r="WMI1361" s="23"/>
      <c r="WMJ1361" s="23"/>
      <c r="WMK1361" s="23"/>
      <c r="WML1361" s="23"/>
      <c r="WMM1361" s="23"/>
      <c r="WMN1361" s="23"/>
      <c r="WMO1361" s="23"/>
      <c r="WMP1361" s="23"/>
      <c r="WMQ1361" s="23"/>
      <c r="WMR1361" s="23"/>
      <c r="WMS1361" s="23"/>
      <c r="WMT1361" s="23"/>
      <c r="WMU1361" s="23"/>
      <c r="WMV1361" s="23"/>
      <c r="WMW1361" s="23"/>
      <c r="WMX1361" s="23"/>
      <c r="WMY1361" s="23"/>
      <c r="WMZ1361" s="23"/>
      <c r="WNA1361" s="23"/>
      <c r="WNB1361" s="23"/>
      <c r="WNC1361" s="23"/>
      <c r="WND1361" s="23"/>
      <c r="WNE1361" s="23"/>
      <c r="WNF1361" s="23"/>
      <c r="WNG1361" s="23"/>
      <c r="WNH1361" s="23"/>
      <c r="WNI1361" s="23"/>
      <c r="WNJ1361" s="23"/>
      <c r="WNK1361" s="23"/>
      <c r="WNL1361" s="23"/>
      <c r="WNM1361" s="23"/>
      <c r="WNN1361" s="23"/>
      <c r="WNO1361" s="23"/>
      <c r="WNP1361" s="23"/>
      <c r="WNQ1361" s="23"/>
      <c r="WNR1361" s="23"/>
      <c r="WNS1361" s="23"/>
      <c r="WNT1361" s="23"/>
      <c r="WNU1361" s="23"/>
      <c r="WNV1361" s="23"/>
      <c r="WNW1361" s="23"/>
      <c r="WNX1361" s="23"/>
      <c r="WNY1361" s="23"/>
      <c r="WNZ1361" s="23"/>
      <c r="WOA1361" s="23"/>
      <c r="WOB1361" s="23"/>
      <c r="WOC1361" s="23"/>
      <c r="WOD1361" s="23"/>
      <c r="WOE1361" s="23"/>
      <c r="WOF1361" s="23"/>
      <c r="WOG1361" s="23"/>
      <c r="WOH1361" s="23"/>
      <c r="WOI1361" s="23"/>
      <c r="WOJ1361" s="23"/>
      <c r="WOK1361" s="23"/>
      <c r="WOL1361" s="23"/>
      <c r="WOM1361" s="23"/>
      <c r="WON1361" s="23"/>
      <c r="WOO1361" s="23"/>
      <c r="WOP1361" s="23"/>
      <c r="WOQ1361" s="23"/>
      <c r="WOR1361" s="23"/>
      <c r="WOS1361" s="23"/>
      <c r="WOT1361" s="23"/>
      <c r="WOU1361" s="23"/>
      <c r="WOV1361" s="23"/>
      <c r="WOW1361" s="23"/>
      <c r="WOX1361" s="23"/>
      <c r="WOY1361" s="23"/>
      <c r="WOZ1361" s="23"/>
      <c r="WPA1361" s="23"/>
      <c r="WPB1361" s="23"/>
      <c r="WPC1361" s="23"/>
      <c r="WPD1361" s="23"/>
      <c r="WPE1361" s="23"/>
      <c r="WPF1361" s="23"/>
      <c r="WPG1361" s="23"/>
      <c r="WPH1361" s="23"/>
      <c r="WPI1361" s="23"/>
      <c r="WPJ1361" s="23"/>
      <c r="WPK1361" s="23"/>
      <c r="WPL1361" s="23"/>
      <c r="WPM1361" s="23"/>
      <c r="WPN1361" s="23"/>
      <c r="WPO1361" s="23"/>
      <c r="WPP1361" s="23"/>
      <c r="WPQ1361" s="23"/>
      <c r="WPR1361" s="23"/>
      <c r="WPS1361" s="23"/>
      <c r="WPT1361" s="23"/>
      <c r="WPU1361" s="23"/>
      <c r="WPV1361" s="23"/>
      <c r="WPW1361" s="23"/>
      <c r="WPX1361" s="23"/>
      <c r="WPY1361" s="23"/>
      <c r="WPZ1361" s="23"/>
      <c r="WQA1361" s="23"/>
      <c r="WQB1361" s="23"/>
      <c r="WQC1361" s="23"/>
      <c r="WQD1361" s="23"/>
      <c r="WQE1361" s="23"/>
      <c r="WQF1361" s="23"/>
      <c r="WQG1361" s="23"/>
      <c r="WQH1361" s="23"/>
      <c r="WQI1361" s="23"/>
      <c r="WQJ1361" s="23"/>
      <c r="WQK1361" s="23"/>
      <c r="WQL1361" s="23"/>
      <c r="WQM1361" s="23"/>
      <c r="WQN1361" s="23"/>
      <c r="WQO1361" s="23"/>
      <c r="WQP1361" s="23"/>
      <c r="WQQ1361" s="23"/>
      <c r="WQR1361" s="23"/>
      <c r="WQS1361" s="23"/>
      <c r="WQT1361" s="23"/>
      <c r="WQU1361" s="23"/>
      <c r="WQV1361" s="23"/>
      <c r="WQW1361" s="23"/>
      <c r="WQX1361" s="23"/>
      <c r="WQY1361" s="23"/>
      <c r="WQZ1361" s="23"/>
      <c r="WRA1361" s="23"/>
      <c r="WRB1361" s="23"/>
      <c r="WRC1361" s="23"/>
      <c r="WRD1361" s="23"/>
      <c r="WRE1361" s="23"/>
      <c r="WRF1361" s="23"/>
      <c r="WRG1361" s="23"/>
      <c r="WRH1361" s="23"/>
      <c r="WRI1361" s="23"/>
      <c r="WRJ1361" s="23"/>
      <c r="WRK1361" s="23"/>
      <c r="WRL1361" s="23"/>
      <c r="WRM1361" s="23"/>
      <c r="WRN1361" s="23"/>
      <c r="WRO1361" s="23"/>
      <c r="WRP1361" s="23"/>
      <c r="WRQ1361" s="23"/>
      <c r="WRR1361" s="23"/>
      <c r="WRS1361" s="23"/>
      <c r="WRT1361" s="23"/>
      <c r="WRU1361" s="23"/>
      <c r="WRV1361" s="23"/>
      <c r="WRW1361" s="23"/>
      <c r="WRX1361" s="23"/>
      <c r="WRY1361" s="23"/>
      <c r="WRZ1361" s="23"/>
      <c r="WSA1361" s="23"/>
      <c r="WSB1361" s="23"/>
      <c r="WSC1361" s="23"/>
      <c r="WSD1361" s="23"/>
      <c r="WSE1361" s="23"/>
      <c r="WSF1361" s="23"/>
      <c r="WSG1361" s="23"/>
      <c r="WSH1361" s="23"/>
      <c r="WSI1361" s="23"/>
      <c r="WSJ1361" s="23"/>
      <c r="WSK1361" s="23"/>
      <c r="WSL1361" s="23"/>
      <c r="WSM1361" s="23"/>
      <c r="WSN1361" s="23"/>
      <c r="WSO1361" s="23"/>
      <c r="WSP1361" s="23"/>
      <c r="WSQ1361" s="23"/>
      <c r="WSR1361" s="23"/>
      <c r="WSS1361" s="23"/>
      <c r="WST1361" s="23"/>
      <c r="WSU1361" s="23"/>
      <c r="WSV1361" s="23"/>
      <c r="WSW1361" s="23"/>
      <c r="WSX1361" s="23"/>
      <c r="WSY1361" s="23"/>
      <c r="WSZ1361" s="23"/>
      <c r="WTA1361" s="23"/>
      <c r="WTB1361" s="23"/>
      <c r="WTC1361" s="23"/>
      <c r="WTD1361" s="23"/>
      <c r="WTE1361" s="23"/>
      <c r="WTF1361" s="23"/>
      <c r="WTG1361" s="23"/>
      <c r="WTH1361" s="23"/>
      <c r="WTI1361" s="23"/>
      <c r="WTJ1361" s="23"/>
      <c r="WTK1361" s="23"/>
      <c r="WTL1361" s="23"/>
      <c r="WTM1361" s="23"/>
      <c r="WTN1361" s="23"/>
      <c r="WTO1361" s="23"/>
      <c r="WTP1361" s="23"/>
      <c r="WTQ1361" s="23"/>
      <c r="WTR1361" s="23"/>
      <c r="WTS1361" s="23"/>
      <c r="WTT1361" s="23"/>
      <c r="WTU1361" s="23"/>
      <c r="WTV1361" s="23"/>
      <c r="WTW1361" s="23"/>
      <c r="WTX1361" s="23"/>
      <c r="WTY1361" s="23"/>
      <c r="WTZ1361" s="23"/>
      <c r="WUA1361" s="23"/>
      <c r="WUB1361" s="23"/>
      <c r="WUC1361" s="23"/>
      <c r="WUD1361" s="23"/>
      <c r="WUE1361" s="23"/>
      <c r="WUF1361" s="23"/>
      <c r="WUG1361" s="23"/>
      <c r="WUH1361" s="23"/>
      <c r="WUI1361" s="23"/>
      <c r="WUJ1361" s="23"/>
      <c r="WUK1361" s="23"/>
      <c r="WUL1361" s="23"/>
      <c r="WUM1361" s="23"/>
      <c r="WUN1361" s="23"/>
      <c r="WUO1361" s="23"/>
      <c r="WUP1361" s="23"/>
      <c r="WUQ1361" s="23"/>
      <c r="WUR1361" s="23"/>
      <c r="WUS1361" s="23"/>
      <c r="WUT1361" s="23"/>
      <c r="WUU1361" s="23"/>
      <c r="WUV1361" s="23"/>
      <c r="WUW1361" s="23"/>
      <c r="WUX1361" s="23"/>
      <c r="WUY1361" s="23"/>
      <c r="WUZ1361" s="23"/>
      <c r="WVA1361" s="23"/>
      <c r="WVB1361" s="23"/>
      <c r="WVC1361" s="23"/>
      <c r="WVD1361" s="23"/>
      <c r="WVE1361" s="23"/>
      <c r="WVF1361" s="23"/>
      <c r="WVG1361" s="23"/>
      <c r="WVH1361" s="23"/>
      <c r="WVI1361" s="23"/>
      <c r="WVJ1361" s="23"/>
      <c r="WVK1361" s="23"/>
      <c r="WVL1361" s="23"/>
      <c r="WVM1361" s="23"/>
      <c r="WVN1361" s="23"/>
      <c r="WVO1361" s="23"/>
      <c r="WVP1361" s="23"/>
      <c r="WVQ1361" s="23"/>
      <c r="WVR1361" s="23"/>
      <c r="WVS1361" s="23"/>
      <c r="WVT1361" s="23"/>
      <c r="WVU1361" s="23"/>
      <c r="WVV1361" s="23"/>
      <c r="WVW1361" s="23"/>
      <c r="WVX1361" s="23"/>
      <c r="WVY1361" s="23"/>
      <c r="WVZ1361" s="23"/>
      <c r="WWA1361" s="23"/>
      <c r="WWB1361" s="23"/>
      <c r="WWC1361" s="23"/>
      <c r="WWD1361" s="23"/>
      <c r="WWE1361" s="23"/>
      <c r="WWF1361" s="23"/>
      <c r="WWG1361" s="23"/>
      <c r="WWH1361" s="23"/>
      <c r="WWI1361" s="23"/>
      <c r="WWJ1361" s="23"/>
      <c r="WWK1361" s="23"/>
      <c r="WWL1361" s="23"/>
      <c r="WWM1361" s="23"/>
      <c r="WWN1361" s="23"/>
      <c r="WWO1361" s="23"/>
      <c r="WWP1361" s="23"/>
      <c r="WWQ1361" s="23"/>
      <c r="WWR1361" s="23"/>
      <c r="WWS1361" s="23"/>
      <c r="WWT1361" s="23"/>
      <c r="WWU1361" s="23"/>
      <c r="WWV1361" s="23"/>
      <c r="WWW1361" s="23"/>
      <c r="WWX1361" s="23"/>
      <c r="WWY1361" s="23"/>
      <c r="WWZ1361" s="23"/>
      <c r="WXA1361" s="23"/>
      <c r="WXB1361" s="23"/>
      <c r="WXC1361" s="23"/>
      <c r="WXD1361" s="23"/>
      <c r="WXE1361" s="23"/>
      <c r="WXF1361" s="23"/>
      <c r="WXG1361" s="23"/>
      <c r="WXH1361" s="23"/>
      <c r="WXI1361" s="23"/>
      <c r="WXJ1361" s="23"/>
      <c r="WXK1361" s="23"/>
      <c r="WXL1361" s="23"/>
      <c r="WXM1361" s="23"/>
      <c r="WXN1361" s="23"/>
      <c r="WXO1361" s="23"/>
      <c r="WXP1361" s="23"/>
      <c r="WXQ1361" s="23"/>
      <c r="WXR1361" s="23"/>
      <c r="WXS1361" s="23"/>
      <c r="WXT1361" s="23"/>
      <c r="WXU1361" s="23"/>
      <c r="WXV1361" s="23"/>
      <c r="WXW1361" s="23"/>
      <c r="WXX1361" s="23"/>
      <c r="WXY1361" s="23"/>
      <c r="WXZ1361" s="23"/>
      <c r="WYA1361" s="23"/>
    </row>
    <row r="1362" spans="1:16199" ht="61.5" x14ac:dyDescent="0.85">
      <c r="B1362" s="160" t="s">
        <v>779</v>
      </c>
      <c r="C1362" s="176"/>
      <c r="D1362" s="177">
        <f>D1363</f>
        <v>63011.21</v>
      </c>
      <c r="E1362" s="60">
        <f>E1363</f>
        <v>0</v>
      </c>
      <c r="F1362" s="60">
        <f t="shared" ref="F1362:AE1362" si="253">F1363</f>
        <v>0</v>
      </c>
      <c r="G1362" s="60">
        <f t="shared" si="253"/>
        <v>0</v>
      </c>
      <c r="H1362" s="60">
        <f t="shared" si="253"/>
        <v>0</v>
      </c>
      <c r="I1362" s="60">
        <f t="shared" si="253"/>
        <v>0</v>
      </c>
      <c r="J1362" s="60">
        <f t="shared" si="253"/>
        <v>0</v>
      </c>
      <c r="K1362" s="168">
        <f t="shared" si="253"/>
        <v>0</v>
      </c>
      <c r="L1362" s="60">
        <f t="shared" si="253"/>
        <v>0</v>
      </c>
      <c r="M1362" s="60">
        <f t="shared" si="253"/>
        <v>0</v>
      </c>
      <c r="N1362" s="60">
        <f t="shared" si="253"/>
        <v>0</v>
      </c>
      <c r="O1362" s="60">
        <f t="shared" si="253"/>
        <v>0</v>
      </c>
      <c r="P1362" s="60">
        <f t="shared" si="253"/>
        <v>0</v>
      </c>
      <c r="Q1362" s="60">
        <f t="shared" si="253"/>
        <v>0</v>
      </c>
      <c r="R1362" s="60">
        <f t="shared" si="253"/>
        <v>0</v>
      </c>
      <c r="S1362" s="60">
        <f t="shared" si="253"/>
        <v>0</v>
      </c>
      <c r="T1362" s="60">
        <f t="shared" si="253"/>
        <v>0</v>
      </c>
      <c r="U1362" s="60">
        <f t="shared" si="253"/>
        <v>0</v>
      </c>
      <c r="V1362" s="60">
        <f t="shared" si="253"/>
        <v>0</v>
      </c>
      <c r="W1362" s="60">
        <f t="shared" si="253"/>
        <v>0</v>
      </c>
      <c r="X1362" s="60">
        <f t="shared" si="253"/>
        <v>0</v>
      </c>
      <c r="Y1362" s="60">
        <f t="shared" si="253"/>
        <v>0</v>
      </c>
      <c r="Z1362" s="60">
        <f t="shared" si="253"/>
        <v>0</v>
      </c>
      <c r="AA1362" s="60">
        <f t="shared" si="253"/>
        <v>0</v>
      </c>
      <c r="AB1362" s="60">
        <f t="shared" si="253"/>
        <v>0</v>
      </c>
      <c r="AC1362" s="60">
        <f t="shared" si="253"/>
        <v>0</v>
      </c>
      <c r="AD1362" s="60">
        <f t="shared" si="253"/>
        <v>63011.21</v>
      </c>
      <c r="AE1362" s="60">
        <f t="shared" si="253"/>
        <v>0</v>
      </c>
      <c r="AF1362" s="202" t="s">
        <v>701</v>
      </c>
      <c r="AG1362" s="202" t="s">
        <v>701</v>
      </c>
      <c r="AH1362" s="207" t="s">
        <v>701</v>
      </c>
    </row>
    <row r="1363" spans="1:16199" s="67" customFormat="1" ht="61.5" x14ac:dyDescent="0.85">
      <c r="A1363" s="7">
        <v>1</v>
      </c>
      <c r="B1363" s="59">
        <f>SUBTOTAL(103,$A$1032:A1363)</f>
        <v>299</v>
      </c>
      <c r="C1363" s="187" t="s">
        <v>173</v>
      </c>
      <c r="D1363" s="188">
        <f t="shared" ref="D1363" si="254">E1363+F1363+G1363+H1363+I1363+J1363+L1363+N1363+P1363+R1363+T1363+U1363+V1363+W1363+X1363+Y1363+Z1363+AA1363+AB1363+AC1363+AD1363+AE1363</f>
        <v>63011.21</v>
      </c>
      <c r="E1363" s="188">
        <v>0</v>
      </c>
      <c r="F1363" s="188">
        <v>0</v>
      </c>
      <c r="G1363" s="188">
        <v>0</v>
      </c>
      <c r="H1363" s="188">
        <v>0</v>
      </c>
      <c r="I1363" s="188">
        <v>0</v>
      </c>
      <c r="J1363" s="188">
        <v>0</v>
      </c>
      <c r="K1363" s="168">
        <v>0</v>
      </c>
      <c r="L1363" s="188">
        <v>0</v>
      </c>
      <c r="M1363" s="188">
        <v>0</v>
      </c>
      <c r="N1363" s="188">
        <v>0</v>
      </c>
      <c r="O1363" s="188">
        <v>0</v>
      </c>
      <c r="P1363" s="188">
        <v>0</v>
      </c>
      <c r="Q1363" s="188">
        <v>0</v>
      </c>
      <c r="R1363" s="188">
        <v>0</v>
      </c>
      <c r="S1363" s="188">
        <v>0</v>
      </c>
      <c r="T1363" s="188">
        <v>0</v>
      </c>
      <c r="U1363" s="188">
        <v>0</v>
      </c>
      <c r="V1363" s="188">
        <v>0</v>
      </c>
      <c r="W1363" s="188">
        <v>0</v>
      </c>
      <c r="X1363" s="188">
        <v>0</v>
      </c>
      <c r="Y1363" s="188">
        <v>0</v>
      </c>
      <c r="Z1363" s="188">
        <v>0</v>
      </c>
      <c r="AA1363" s="188">
        <v>0</v>
      </c>
      <c r="AB1363" s="188">
        <v>0</v>
      </c>
      <c r="AC1363" s="188">
        <v>0</v>
      </c>
      <c r="AD1363" s="60">
        <v>63011.21</v>
      </c>
      <c r="AE1363" s="188">
        <v>0</v>
      </c>
      <c r="AF1363" s="190">
        <v>2022</v>
      </c>
      <c r="AG1363" s="170" t="s">
        <v>257</v>
      </c>
      <c r="AH1363" s="63" t="s">
        <v>257</v>
      </c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  <c r="CA1363" s="23"/>
      <c r="CB1363" s="23"/>
      <c r="CC1363" s="23"/>
      <c r="CD1363" s="23"/>
      <c r="CE1363" s="23"/>
      <c r="CF1363" s="23"/>
      <c r="CG1363" s="23"/>
      <c r="CH1363" s="23"/>
      <c r="CI1363" s="23"/>
      <c r="CJ1363" s="23"/>
      <c r="CK1363" s="23"/>
      <c r="CL1363" s="23"/>
      <c r="CM1363" s="23"/>
      <c r="CN1363" s="23"/>
      <c r="CO1363" s="23"/>
      <c r="CP1363" s="23"/>
      <c r="CQ1363" s="23"/>
      <c r="CR1363" s="23"/>
      <c r="CS1363" s="23"/>
      <c r="CT1363" s="23"/>
      <c r="CU1363" s="23"/>
      <c r="CV1363" s="23"/>
      <c r="CW1363" s="23"/>
      <c r="CX1363" s="23"/>
      <c r="CY1363" s="23"/>
      <c r="CZ1363" s="23"/>
      <c r="DA1363" s="23"/>
      <c r="DB1363" s="23"/>
      <c r="DC1363" s="23"/>
      <c r="DD1363" s="23"/>
      <c r="DE1363" s="23"/>
      <c r="DF1363" s="23"/>
      <c r="DG1363" s="23"/>
      <c r="DH1363" s="23"/>
      <c r="DI1363" s="23"/>
      <c r="DJ1363" s="23"/>
      <c r="DK1363" s="23"/>
      <c r="DL1363" s="23"/>
      <c r="DM1363" s="23"/>
      <c r="DN1363" s="23"/>
      <c r="DO1363" s="23"/>
      <c r="DP1363" s="23"/>
      <c r="DQ1363" s="23"/>
      <c r="DR1363" s="23"/>
      <c r="DS1363" s="23"/>
      <c r="DT1363" s="23"/>
      <c r="DU1363" s="23"/>
      <c r="DV1363" s="23"/>
      <c r="DW1363" s="23"/>
      <c r="DX1363" s="23"/>
      <c r="DY1363" s="23"/>
      <c r="DZ1363" s="23"/>
      <c r="EA1363" s="23"/>
      <c r="EB1363" s="23"/>
      <c r="EC1363" s="23"/>
      <c r="ED1363" s="23"/>
      <c r="EE1363" s="23"/>
      <c r="EF1363" s="23"/>
      <c r="EG1363" s="23"/>
      <c r="EH1363" s="23"/>
      <c r="EI1363" s="23"/>
      <c r="EJ1363" s="23"/>
      <c r="EK1363" s="23"/>
      <c r="EL1363" s="23"/>
      <c r="EM1363" s="23"/>
      <c r="EN1363" s="23"/>
      <c r="EO1363" s="23"/>
      <c r="EP1363" s="23"/>
      <c r="EQ1363" s="23"/>
      <c r="ER1363" s="23"/>
      <c r="ES1363" s="23"/>
      <c r="ET1363" s="23"/>
      <c r="EU1363" s="23"/>
      <c r="EV1363" s="23"/>
      <c r="EW1363" s="23"/>
      <c r="EX1363" s="23"/>
      <c r="EY1363" s="23"/>
      <c r="EZ1363" s="23"/>
      <c r="FA1363" s="23"/>
      <c r="FB1363" s="23"/>
      <c r="FC1363" s="23"/>
      <c r="FD1363" s="23"/>
      <c r="FE1363" s="23"/>
      <c r="FF1363" s="23"/>
      <c r="FG1363" s="23"/>
      <c r="FH1363" s="23"/>
      <c r="FI1363" s="23"/>
      <c r="FJ1363" s="23"/>
      <c r="FK1363" s="23"/>
      <c r="FL1363" s="23"/>
      <c r="FM1363" s="23"/>
      <c r="FN1363" s="23"/>
      <c r="FO1363" s="23"/>
      <c r="FP1363" s="23"/>
      <c r="FQ1363" s="23"/>
      <c r="FR1363" s="23"/>
      <c r="FS1363" s="23"/>
      <c r="FT1363" s="23"/>
      <c r="FU1363" s="23"/>
      <c r="FV1363" s="23"/>
      <c r="FW1363" s="23"/>
      <c r="FX1363" s="23"/>
      <c r="FY1363" s="23"/>
      <c r="FZ1363" s="23"/>
      <c r="GA1363" s="23"/>
      <c r="GB1363" s="23"/>
      <c r="GC1363" s="23"/>
      <c r="GD1363" s="23"/>
      <c r="GE1363" s="23"/>
      <c r="GF1363" s="23"/>
      <c r="GG1363" s="23"/>
      <c r="GH1363" s="23"/>
      <c r="GI1363" s="23"/>
      <c r="GJ1363" s="23"/>
      <c r="GK1363" s="23"/>
      <c r="GL1363" s="23"/>
      <c r="GM1363" s="23"/>
      <c r="GN1363" s="23"/>
      <c r="GO1363" s="23"/>
      <c r="GP1363" s="23"/>
      <c r="GQ1363" s="23"/>
      <c r="GR1363" s="23"/>
      <c r="GS1363" s="23"/>
      <c r="GT1363" s="23"/>
      <c r="GU1363" s="23"/>
      <c r="GV1363" s="23"/>
      <c r="GW1363" s="23"/>
      <c r="GX1363" s="23"/>
      <c r="GY1363" s="23"/>
      <c r="GZ1363" s="23"/>
      <c r="HA1363" s="23"/>
      <c r="HB1363" s="23"/>
      <c r="HC1363" s="23"/>
      <c r="HD1363" s="23"/>
      <c r="HE1363" s="23"/>
      <c r="HF1363" s="23"/>
      <c r="HG1363" s="23"/>
      <c r="HH1363" s="23"/>
      <c r="HI1363" s="23"/>
      <c r="HJ1363" s="23"/>
      <c r="HK1363" s="23"/>
      <c r="HL1363" s="23"/>
      <c r="HM1363" s="23"/>
      <c r="HN1363" s="23"/>
      <c r="HO1363" s="23"/>
      <c r="HP1363" s="23"/>
      <c r="HQ1363" s="23"/>
      <c r="HR1363" s="23"/>
      <c r="HS1363" s="23"/>
      <c r="HT1363" s="23"/>
      <c r="HU1363" s="23"/>
      <c r="HV1363" s="23"/>
      <c r="HW1363" s="23"/>
      <c r="HX1363" s="23"/>
      <c r="HY1363" s="23"/>
      <c r="HZ1363" s="23"/>
      <c r="IA1363" s="23"/>
      <c r="IB1363" s="23"/>
      <c r="IC1363" s="23"/>
      <c r="ID1363" s="23"/>
      <c r="IE1363" s="23"/>
      <c r="IF1363" s="23"/>
      <c r="IG1363" s="23"/>
      <c r="IH1363" s="23"/>
      <c r="II1363" s="23"/>
      <c r="IJ1363" s="23"/>
      <c r="IK1363" s="23"/>
      <c r="IL1363" s="23"/>
      <c r="IM1363" s="23"/>
      <c r="IN1363" s="23"/>
      <c r="IO1363" s="23"/>
      <c r="IP1363" s="23"/>
      <c r="IQ1363" s="23"/>
      <c r="IR1363" s="23"/>
      <c r="IS1363" s="23"/>
      <c r="IT1363" s="23"/>
      <c r="IU1363" s="23"/>
      <c r="IV1363" s="23"/>
      <c r="IW1363" s="23"/>
      <c r="IX1363" s="23"/>
      <c r="IY1363" s="23"/>
      <c r="IZ1363" s="23"/>
      <c r="JA1363" s="23"/>
      <c r="JB1363" s="23"/>
      <c r="JC1363" s="23"/>
      <c r="JD1363" s="23"/>
      <c r="JE1363" s="23"/>
      <c r="JF1363" s="23"/>
      <c r="JG1363" s="23"/>
      <c r="JH1363" s="23"/>
      <c r="JI1363" s="23"/>
      <c r="JJ1363" s="23"/>
      <c r="JK1363" s="23"/>
      <c r="JL1363" s="23"/>
      <c r="JM1363" s="23"/>
      <c r="JN1363" s="23"/>
      <c r="JO1363" s="23"/>
      <c r="JP1363" s="23"/>
      <c r="JQ1363" s="23"/>
      <c r="JR1363" s="23"/>
      <c r="JS1363" s="23"/>
      <c r="JT1363" s="23"/>
      <c r="JU1363" s="23"/>
      <c r="JV1363" s="23"/>
      <c r="JW1363" s="23"/>
      <c r="JX1363" s="23"/>
      <c r="JY1363" s="23"/>
      <c r="JZ1363" s="23"/>
      <c r="KA1363" s="23"/>
      <c r="KB1363" s="23"/>
      <c r="KC1363" s="23"/>
      <c r="KD1363" s="23"/>
      <c r="KE1363" s="23"/>
      <c r="KF1363" s="23"/>
      <c r="KG1363" s="23"/>
      <c r="KH1363" s="23"/>
      <c r="KI1363" s="23"/>
      <c r="KJ1363" s="23"/>
      <c r="KK1363" s="23"/>
      <c r="KL1363" s="23"/>
      <c r="KM1363" s="23"/>
      <c r="KN1363" s="23"/>
      <c r="KO1363" s="23"/>
      <c r="KP1363" s="23"/>
      <c r="KQ1363" s="23"/>
      <c r="KR1363" s="23"/>
      <c r="KS1363" s="23"/>
      <c r="KT1363" s="23"/>
      <c r="KU1363" s="23"/>
      <c r="KV1363" s="23"/>
      <c r="KW1363" s="23"/>
      <c r="KX1363" s="23"/>
      <c r="KY1363" s="23"/>
      <c r="KZ1363" s="23"/>
      <c r="LA1363" s="23"/>
      <c r="LB1363" s="23"/>
      <c r="LC1363" s="23"/>
      <c r="LD1363" s="23"/>
      <c r="LE1363" s="23"/>
      <c r="LF1363" s="23"/>
      <c r="LG1363" s="23"/>
      <c r="LH1363" s="23"/>
      <c r="LI1363" s="23"/>
      <c r="LJ1363" s="23"/>
      <c r="LK1363" s="23"/>
      <c r="LL1363" s="23"/>
      <c r="LM1363" s="23"/>
      <c r="LN1363" s="23"/>
      <c r="LO1363" s="23"/>
      <c r="LP1363" s="23"/>
      <c r="LQ1363" s="23"/>
      <c r="LR1363" s="23"/>
      <c r="LS1363" s="23"/>
      <c r="LT1363" s="23"/>
      <c r="LU1363" s="23"/>
      <c r="LV1363" s="23"/>
      <c r="LW1363" s="23"/>
      <c r="LX1363" s="23"/>
      <c r="LY1363" s="23"/>
      <c r="LZ1363" s="23"/>
      <c r="MA1363" s="23"/>
      <c r="MB1363" s="23"/>
      <c r="MC1363" s="23"/>
      <c r="MD1363" s="23"/>
      <c r="ME1363" s="23"/>
      <c r="MF1363" s="23"/>
      <c r="MG1363" s="23"/>
      <c r="MH1363" s="23"/>
      <c r="MI1363" s="23"/>
      <c r="MJ1363" s="23"/>
      <c r="MK1363" s="23"/>
      <c r="ML1363" s="23"/>
      <c r="MM1363" s="23"/>
      <c r="MN1363" s="23"/>
      <c r="MO1363" s="23"/>
      <c r="MP1363" s="23"/>
      <c r="MQ1363" s="23"/>
      <c r="MR1363" s="23"/>
      <c r="MS1363" s="23"/>
      <c r="MT1363" s="23"/>
      <c r="MU1363" s="23"/>
      <c r="MV1363" s="23"/>
      <c r="MW1363" s="23"/>
      <c r="MX1363" s="23"/>
      <c r="MY1363" s="23"/>
      <c r="MZ1363" s="23"/>
      <c r="NA1363" s="23"/>
      <c r="NB1363" s="23"/>
      <c r="NC1363" s="23"/>
      <c r="ND1363" s="23"/>
      <c r="NE1363" s="23"/>
      <c r="NF1363" s="23"/>
      <c r="NG1363" s="23"/>
      <c r="NH1363" s="23"/>
      <c r="NI1363" s="23"/>
      <c r="NJ1363" s="23"/>
      <c r="NK1363" s="23"/>
      <c r="NL1363" s="23"/>
      <c r="NM1363" s="23"/>
      <c r="NN1363" s="23"/>
      <c r="NO1363" s="23"/>
      <c r="NP1363" s="23"/>
      <c r="NQ1363" s="23"/>
      <c r="NR1363" s="23"/>
      <c r="NS1363" s="23"/>
      <c r="NT1363" s="23"/>
      <c r="NU1363" s="23"/>
      <c r="NV1363" s="23"/>
      <c r="NW1363" s="23"/>
      <c r="NX1363" s="23"/>
      <c r="NY1363" s="23"/>
      <c r="NZ1363" s="23"/>
      <c r="OA1363" s="23"/>
      <c r="OB1363" s="23"/>
      <c r="OC1363" s="23"/>
      <c r="OD1363" s="23"/>
      <c r="OE1363" s="23"/>
      <c r="OF1363" s="23"/>
      <c r="OG1363" s="23"/>
      <c r="OH1363" s="23"/>
      <c r="OI1363" s="23"/>
      <c r="OJ1363" s="23"/>
      <c r="OK1363" s="23"/>
      <c r="OL1363" s="23"/>
      <c r="OM1363" s="23"/>
      <c r="ON1363" s="23"/>
      <c r="OO1363" s="23"/>
      <c r="OP1363" s="23"/>
      <c r="OQ1363" s="23"/>
      <c r="OR1363" s="23"/>
      <c r="OS1363" s="23"/>
      <c r="OT1363" s="23"/>
      <c r="OU1363" s="23"/>
      <c r="OV1363" s="23"/>
      <c r="OW1363" s="23"/>
      <c r="OX1363" s="23"/>
      <c r="OY1363" s="23"/>
      <c r="OZ1363" s="23"/>
      <c r="PA1363" s="23"/>
      <c r="PB1363" s="23"/>
      <c r="PC1363" s="23"/>
      <c r="PD1363" s="23"/>
      <c r="PE1363" s="23"/>
      <c r="PF1363" s="23"/>
      <c r="PG1363" s="23"/>
      <c r="PH1363" s="23"/>
      <c r="PI1363" s="23"/>
      <c r="PJ1363" s="23"/>
      <c r="PK1363" s="23"/>
      <c r="PL1363" s="23"/>
      <c r="PM1363" s="23"/>
      <c r="PN1363" s="23"/>
      <c r="PO1363" s="23"/>
      <c r="PP1363" s="23"/>
      <c r="PQ1363" s="23"/>
      <c r="PR1363" s="23"/>
      <c r="PS1363" s="23"/>
      <c r="PT1363" s="23"/>
      <c r="PU1363" s="23"/>
      <c r="PV1363" s="23"/>
      <c r="PW1363" s="23"/>
      <c r="PX1363" s="23"/>
      <c r="PY1363" s="23"/>
      <c r="PZ1363" s="23"/>
      <c r="QA1363" s="23"/>
      <c r="QB1363" s="23"/>
      <c r="QC1363" s="23"/>
      <c r="QD1363" s="23"/>
      <c r="QE1363" s="23"/>
      <c r="QF1363" s="23"/>
      <c r="QG1363" s="23"/>
      <c r="QH1363" s="23"/>
      <c r="QI1363" s="23"/>
      <c r="QJ1363" s="23"/>
      <c r="QK1363" s="23"/>
      <c r="QL1363" s="23"/>
      <c r="QM1363" s="23"/>
      <c r="QN1363" s="23"/>
      <c r="QO1363" s="23"/>
      <c r="QP1363" s="23"/>
      <c r="QQ1363" s="23"/>
      <c r="QR1363" s="23"/>
      <c r="QS1363" s="23"/>
      <c r="QT1363" s="23"/>
      <c r="QU1363" s="23"/>
      <c r="QV1363" s="23"/>
      <c r="QW1363" s="23"/>
      <c r="QX1363" s="23"/>
      <c r="QY1363" s="23"/>
      <c r="QZ1363" s="23"/>
      <c r="RA1363" s="23"/>
      <c r="RB1363" s="23"/>
      <c r="RC1363" s="23"/>
      <c r="RD1363" s="23"/>
      <c r="RE1363" s="23"/>
      <c r="RF1363" s="23"/>
      <c r="RG1363" s="23"/>
      <c r="RH1363" s="23"/>
      <c r="RI1363" s="23"/>
      <c r="RJ1363" s="23"/>
      <c r="RK1363" s="23"/>
      <c r="RL1363" s="23"/>
      <c r="RM1363" s="23"/>
      <c r="RN1363" s="23"/>
      <c r="RO1363" s="23"/>
      <c r="RP1363" s="23"/>
      <c r="RQ1363" s="23"/>
      <c r="RR1363" s="23"/>
      <c r="RS1363" s="23"/>
      <c r="RT1363" s="23"/>
      <c r="RU1363" s="23"/>
      <c r="RV1363" s="23"/>
      <c r="RW1363" s="23"/>
      <c r="RX1363" s="23"/>
      <c r="RY1363" s="23"/>
      <c r="RZ1363" s="23"/>
      <c r="SA1363" s="23"/>
      <c r="SB1363" s="23"/>
      <c r="SC1363" s="23"/>
      <c r="SD1363" s="23"/>
      <c r="SE1363" s="23"/>
      <c r="SF1363" s="23"/>
      <c r="SG1363" s="23"/>
      <c r="SH1363" s="23"/>
      <c r="SI1363" s="23"/>
      <c r="SJ1363" s="23"/>
      <c r="SK1363" s="23"/>
      <c r="SL1363" s="23"/>
      <c r="SM1363" s="23"/>
      <c r="SN1363" s="23"/>
      <c r="SO1363" s="23"/>
      <c r="SP1363" s="23"/>
      <c r="SQ1363" s="23"/>
      <c r="SR1363" s="23"/>
      <c r="SS1363" s="23"/>
      <c r="ST1363" s="23"/>
      <c r="SU1363" s="23"/>
      <c r="SV1363" s="23"/>
      <c r="SW1363" s="23"/>
      <c r="SX1363" s="23"/>
      <c r="SY1363" s="23"/>
      <c r="SZ1363" s="23"/>
      <c r="TA1363" s="23"/>
      <c r="TB1363" s="23"/>
      <c r="TC1363" s="23"/>
      <c r="TD1363" s="23"/>
      <c r="TE1363" s="23"/>
      <c r="TF1363" s="23"/>
      <c r="TG1363" s="23"/>
      <c r="TH1363" s="23"/>
      <c r="TI1363" s="23"/>
      <c r="TJ1363" s="23"/>
      <c r="TK1363" s="23"/>
      <c r="TL1363" s="23"/>
      <c r="TM1363" s="23"/>
      <c r="TN1363" s="23"/>
      <c r="TO1363" s="23"/>
      <c r="TP1363" s="23"/>
      <c r="TQ1363" s="23"/>
      <c r="TR1363" s="23"/>
      <c r="TS1363" s="23"/>
      <c r="TT1363" s="23"/>
      <c r="TU1363" s="23"/>
      <c r="TV1363" s="23"/>
      <c r="TW1363" s="23"/>
      <c r="TX1363" s="23"/>
      <c r="TY1363" s="23"/>
      <c r="TZ1363" s="23"/>
      <c r="UA1363" s="23"/>
      <c r="UB1363" s="23"/>
      <c r="UC1363" s="23"/>
      <c r="UD1363" s="23"/>
      <c r="UE1363" s="23"/>
      <c r="UF1363" s="23"/>
      <c r="UG1363" s="23"/>
      <c r="UH1363" s="23"/>
      <c r="UI1363" s="23"/>
      <c r="UJ1363" s="23"/>
      <c r="UK1363" s="23"/>
      <c r="UL1363" s="23"/>
      <c r="UM1363" s="23"/>
      <c r="UN1363" s="23"/>
      <c r="UO1363" s="23"/>
      <c r="UP1363" s="23"/>
      <c r="UQ1363" s="23"/>
      <c r="UR1363" s="23"/>
      <c r="US1363" s="23"/>
      <c r="UT1363" s="23"/>
      <c r="UU1363" s="23"/>
      <c r="UV1363" s="23"/>
      <c r="UW1363" s="23"/>
      <c r="UX1363" s="23"/>
      <c r="UY1363" s="23"/>
      <c r="UZ1363" s="23"/>
      <c r="VA1363" s="23"/>
      <c r="VB1363" s="23"/>
      <c r="VC1363" s="23"/>
      <c r="VD1363" s="23"/>
      <c r="VE1363" s="23"/>
      <c r="VF1363" s="23"/>
      <c r="VG1363" s="23"/>
      <c r="VH1363" s="23"/>
      <c r="VI1363" s="23"/>
      <c r="VJ1363" s="23"/>
      <c r="VK1363" s="23"/>
      <c r="VL1363" s="23"/>
      <c r="VM1363" s="23"/>
      <c r="VN1363" s="23"/>
      <c r="VO1363" s="23"/>
      <c r="VP1363" s="23"/>
      <c r="VQ1363" s="23"/>
      <c r="VR1363" s="23"/>
      <c r="VS1363" s="23"/>
      <c r="VT1363" s="23"/>
      <c r="VU1363" s="23"/>
      <c r="VV1363" s="23"/>
      <c r="VW1363" s="23"/>
      <c r="VX1363" s="23"/>
      <c r="VY1363" s="23"/>
      <c r="VZ1363" s="23"/>
      <c r="WA1363" s="23"/>
      <c r="WB1363" s="23"/>
      <c r="WC1363" s="23"/>
      <c r="WD1363" s="23"/>
      <c r="WE1363" s="23"/>
      <c r="WF1363" s="23"/>
      <c r="WG1363" s="23"/>
      <c r="WH1363" s="23"/>
      <c r="WI1363" s="23"/>
      <c r="WJ1363" s="23"/>
      <c r="WK1363" s="23"/>
      <c r="WL1363" s="23"/>
      <c r="WM1363" s="23"/>
      <c r="WN1363" s="23"/>
      <c r="WO1363" s="23"/>
      <c r="WP1363" s="23"/>
      <c r="WQ1363" s="23"/>
      <c r="WR1363" s="23"/>
      <c r="WS1363" s="23"/>
      <c r="WT1363" s="23"/>
      <c r="WU1363" s="23"/>
      <c r="WV1363" s="23"/>
      <c r="WW1363" s="23"/>
      <c r="WX1363" s="23"/>
      <c r="WY1363" s="23"/>
      <c r="WZ1363" s="23"/>
      <c r="XA1363" s="23"/>
      <c r="XB1363" s="23"/>
      <c r="XC1363" s="23"/>
      <c r="XD1363" s="23"/>
      <c r="XE1363" s="23"/>
      <c r="XF1363" s="23"/>
      <c r="XG1363" s="23"/>
      <c r="XH1363" s="23"/>
      <c r="XI1363" s="23"/>
      <c r="XJ1363" s="23"/>
      <c r="XK1363" s="23"/>
      <c r="XL1363" s="23"/>
      <c r="XM1363" s="23"/>
      <c r="XN1363" s="23"/>
      <c r="XO1363" s="23"/>
      <c r="XP1363" s="23"/>
      <c r="XQ1363" s="23"/>
      <c r="XR1363" s="23"/>
      <c r="XS1363" s="23"/>
      <c r="XT1363" s="23"/>
      <c r="XU1363" s="23"/>
      <c r="XV1363" s="23"/>
      <c r="XW1363" s="23"/>
      <c r="XX1363" s="23"/>
      <c r="XY1363" s="23"/>
      <c r="XZ1363" s="23"/>
      <c r="YA1363" s="23"/>
      <c r="YB1363" s="23"/>
      <c r="YC1363" s="23"/>
      <c r="YD1363" s="23"/>
      <c r="YE1363" s="23"/>
      <c r="YF1363" s="23"/>
      <c r="YG1363" s="23"/>
      <c r="YH1363" s="23"/>
      <c r="YI1363" s="23"/>
      <c r="YJ1363" s="23"/>
      <c r="YK1363" s="23"/>
      <c r="YL1363" s="23"/>
      <c r="YM1363" s="23"/>
      <c r="YN1363" s="23"/>
      <c r="YO1363" s="23"/>
      <c r="YP1363" s="23"/>
      <c r="YQ1363" s="23"/>
      <c r="YR1363" s="23"/>
      <c r="YS1363" s="23"/>
      <c r="YT1363" s="23"/>
      <c r="YU1363" s="23"/>
      <c r="YV1363" s="23"/>
      <c r="YW1363" s="23"/>
      <c r="YX1363" s="23"/>
      <c r="YY1363" s="23"/>
      <c r="YZ1363" s="23"/>
      <c r="ZA1363" s="23"/>
      <c r="ZB1363" s="23"/>
      <c r="ZC1363" s="23"/>
      <c r="ZD1363" s="23"/>
      <c r="ZE1363" s="23"/>
      <c r="ZF1363" s="23"/>
      <c r="ZG1363" s="23"/>
      <c r="ZH1363" s="23"/>
      <c r="ZI1363" s="23"/>
      <c r="ZJ1363" s="23"/>
      <c r="ZK1363" s="23"/>
      <c r="ZL1363" s="23"/>
      <c r="ZM1363" s="23"/>
      <c r="ZN1363" s="23"/>
      <c r="ZO1363" s="23"/>
      <c r="ZP1363" s="23"/>
      <c r="ZQ1363" s="23"/>
      <c r="ZR1363" s="23"/>
      <c r="ZS1363" s="23"/>
      <c r="ZT1363" s="23"/>
      <c r="ZU1363" s="23"/>
      <c r="ZV1363" s="23"/>
      <c r="ZW1363" s="23"/>
      <c r="ZX1363" s="23"/>
      <c r="ZY1363" s="23"/>
      <c r="ZZ1363" s="23"/>
      <c r="AAA1363" s="23"/>
      <c r="AAB1363" s="23"/>
      <c r="AAC1363" s="23"/>
      <c r="AAD1363" s="23"/>
      <c r="AAE1363" s="23"/>
      <c r="AAF1363" s="23"/>
      <c r="AAG1363" s="23"/>
      <c r="AAH1363" s="23"/>
      <c r="AAI1363" s="23"/>
      <c r="AAJ1363" s="23"/>
      <c r="AAK1363" s="23"/>
      <c r="AAL1363" s="23"/>
      <c r="AAM1363" s="23"/>
      <c r="AAN1363" s="23"/>
      <c r="AAO1363" s="23"/>
      <c r="AAP1363" s="23"/>
      <c r="AAQ1363" s="23"/>
      <c r="AAR1363" s="23"/>
      <c r="AAS1363" s="23"/>
      <c r="AAT1363" s="23"/>
      <c r="AAU1363" s="23"/>
      <c r="AAV1363" s="23"/>
      <c r="AAW1363" s="23"/>
      <c r="AAX1363" s="23"/>
      <c r="AAY1363" s="23"/>
      <c r="AAZ1363" s="23"/>
      <c r="ABA1363" s="23"/>
      <c r="ABB1363" s="23"/>
      <c r="ABC1363" s="23"/>
      <c r="ABD1363" s="23"/>
      <c r="ABE1363" s="23"/>
      <c r="ABF1363" s="23"/>
      <c r="ABG1363" s="23"/>
      <c r="ABH1363" s="23"/>
      <c r="ABI1363" s="23"/>
      <c r="ABJ1363" s="23"/>
      <c r="ABK1363" s="23"/>
      <c r="ABL1363" s="23"/>
      <c r="ABM1363" s="23"/>
      <c r="ABN1363" s="23"/>
      <c r="ABO1363" s="23"/>
      <c r="ABP1363" s="23"/>
      <c r="ABQ1363" s="23"/>
      <c r="ABR1363" s="23"/>
      <c r="ABS1363" s="23"/>
      <c r="ABT1363" s="23"/>
      <c r="ABU1363" s="23"/>
      <c r="ABV1363" s="23"/>
      <c r="ABW1363" s="23"/>
      <c r="ABX1363" s="23"/>
      <c r="ABY1363" s="23"/>
      <c r="ABZ1363" s="23"/>
      <c r="ACA1363" s="23"/>
      <c r="ACB1363" s="23"/>
      <c r="ACC1363" s="23"/>
      <c r="ACD1363" s="23"/>
      <c r="ACE1363" s="23"/>
      <c r="ACF1363" s="23"/>
      <c r="ACG1363" s="23"/>
      <c r="ACH1363" s="23"/>
      <c r="ACI1363" s="23"/>
      <c r="ACJ1363" s="23"/>
      <c r="ACK1363" s="23"/>
      <c r="ACL1363" s="23"/>
      <c r="ACM1363" s="23"/>
      <c r="ACN1363" s="23"/>
      <c r="ACO1363" s="23"/>
      <c r="ACP1363" s="23"/>
      <c r="ACQ1363" s="23"/>
      <c r="ACR1363" s="23"/>
      <c r="ACS1363" s="23"/>
      <c r="ACT1363" s="23"/>
      <c r="ACU1363" s="23"/>
      <c r="ACV1363" s="23"/>
      <c r="ACW1363" s="23"/>
      <c r="ACX1363" s="23"/>
      <c r="ACY1363" s="23"/>
      <c r="ACZ1363" s="23"/>
      <c r="ADA1363" s="23"/>
      <c r="ADB1363" s="23"/>
      <c r="ADC1363" s="23"/>
      <c r="ADD1363" s="23"/>
      <c r="ADE1363" s="23"/>
      <c r="ADF1363" s="23"/>
      <c r="ADG1363" s="23"/>
      <c r="ADH1363" s="23"/>
      <c r="ADI1363" s="23"/>
      <c r="ADJ1363" s="23"/>
      <c r="ADK1363" s="23"/>
      <c r="ADL1363" s="23"/>
      <c r="ADM1363" s="23"/>
      <c r="ADN1363" s="23"/>
      <c r="ADO1363" s="23"/>
      <c r="ADP1363" s="23"/>
      <c r="ADQ1363" s="23"/>
      <c r="ADR1363" s="23"/>
      <c r="ADS1363" s="23"/>
      <c r="ADT1363" s="23"/>
      <c r="ADU1363" s="23"/>
      <c r="ADV1363" s="23"/>
      <c r="ADW1363" s="23"/>
      <c r="ADX1363" s="23"/>
      <c r="ADY1363" s="23"/>
      <c r="ADZ1363" s="23"/>
      <c r="AEA1363" s="23"/>
      <c r="AEB1363" s="23"/>
      <c r="AEC1363" s="23"/>
      <c r="AED1363" s="23"/>
      <c r="AEE1363" s="23"/>
      <c r="AEF1363" s="23"/>
      <c r="AEG1363" s="23"/>
      <c r="AEH1363" s="23"/>
      <c r="AEI1363" s="23"/>
      <c r="AEJ1363" s="23"/>
      <c r="AEK1363" s="23"/>
      <c r="AEL1363" s="23"/>
      <c r="AEM1363" s="23"/>
      <c r="AEN1363" s="23"/>
      <c r="AEO1363" s="23"/>
      <c r="AEP1363" s="23"/>
      <c r="AEQ1363" s="23"/>
      <c r="AER1363" s="23"/>
      <c r="AES1363" s="23"/>
      <c r="AET1363" s="23"/>
      <c r="AEU1363" s="23"/>
      <c r="AEV1363" s="23"/>
      <c r="AEW1363" s="23"/>
      <c r="AEX1363" s="23"/>
      <c r="AEY1363" s="23"/>
      <c r="AEZ1363" s="23"/>
      <c r="AFA1363" s="23"/>
      <c r="AFB1363" s="23"/>
      <c r="AFC1363" s="23"/>
      <c r="AFD1363" s="23"/>
      <c r="AFE1363" s="23"/>
      <c r="AFF1363" s="23"/>
      <c r="AFG1363" s="23"/>
      <c r="AFH1363" s="23"/>
      <c r="AFI1363" s="23"/>
      <c r="AFJ1363" s="23"/>
      <c r="AFK1363" s="23"/>
      <c r="AFL1363" s="23"/>
      <c r="AFM1363" s="23"/>
      <c r="AFN1363" s="23"/>
      <c r="AFO1363" s="23"/>
      <c r="AFP1363" s="23"/>
      <c r="AFQ1363" s="23"/>
      <c r="AFR1363" s="23"/>
      <c r="AFS1363" s="23"/>
      <c r="AFT1363" s="23"/>
      <c r="AFU1363" s="23"/>
      <c r="AFV1363" s="23"/>
      <c r="AFW1363" s="23"/>
      <c r="AFX1363" s="23"/>
      <c r="AFY1363" s="23"/>
      <c r="AFZ1363" s="23"/>
      <c r="AGA1363" s="23"/>
      <c r="AGB1363" s="23"/>
      <c r="AGC1363" s="23"/>
      <c r="AGD1363" s="23"/>
      <c r="AGE1363" s="23"/>
      <c r="AGF1363" s="23"/>
      <c r="AGG1363" s="23"/>
      <c r="AGH1363" s="23"/>
      <c r="AGI1363" s="23"/>
      <c r="AGJ1363" s="23"/>
      <c r="AGK1363" s="23"/>
      <c r="AGL1363" s="23"/>
      <c r="AGM1363" s="23"/>
      <c r="AGN1363" s="23"/>
      <c r="AGO1363" s="23"/>
      <c r="AGP1363" s="23"/>
      <c r="AGQ1363" s="23"/>
      <c r="AGR1363" s="23"/>
      <c r="AGS1363" s="23"/>
      <c r="AGT1363" s="23"/>
      <c r="AGU1363" s="23"/>
      <c r="AGV1363" s="23"/>
      <c r="AGW1363" s="23"/>
      <c r="AGX1363" s="23"/>
      <c r="AGY1363" s="23"/>
      <c r="AGZ1363" s="23"/>
      <c r="AHA1363" s="23"/>
      <c r="AHB1363" s="23"/>
      <c r="AHC1363" s="23"/>
      <c r="AHD1363" s="23"/>
      <c r="AHE1363" s="23"/>
      <c r="AHF1363" s="23"/>
      <c r="AHG1363" s="23"/>
      <c r="AHH1363" s="23"/>
      <c r="AHI1363" s="23"/>
      <c r="AHJ1363" s="23"/>
      <c r="AHK1363" s="23"/>
      <c r="AHL1363" s="23"/>
      <c r="AHM1363" s="23"/>
      <c r="AHN1363" s="23"/>
      <c r="AHO1363" s="23"/>
      <c r="AHP1363" s="23"/>
      <c r="AHQ1363" s="23"/>
      <c r="AHR1363" s="23"/>
      <c r="AHS1363" s="23"/>
      <c r="AHT1363" s="23"/>
      <c r="AHU1363" s="23"/>
      <c r="AHV1363" s="23"/>
      <c r="AHW1363" s="23"/>
      <c r="AHX1363" s="23"/>
      <c r="AHY1363" s="23"/>
      <c r="AHZ1363" s="23"/>
      <c r="AIA1363" s="23"/>
      <c r="AIB1363" s="23"/>
      <c r="AIC1363" s="23"/>
      <c r="AID1363" s="23"/>
      <c r="AIE1363" s="23"/>
      <c r="AIF1363" s="23"/>
      <c r="AIG1363" s="23"/>
      <c r="AIH1363" s="23"/>
      <c r="AII1363" s="23"/>
      <c r="AIJ1363" s="23"/>
      <c r="AIK1363" s="23"/>
      <c r="AIL1363" s="23"/>
      <c r="AIM1363" s="23"/>
      <c r="AIN1363" s="23"/>
      <c r="AIO1363" s="23"/>
      <c r="AIP1363" s="23"/>
      <c r="AIQ1363" s="23"/>
      <c r="AIR1363" s="23"/>
      <c r="AIS1363" s="23"/>
      <c r="AIT1363" s="23"/>
      <c r="AIU1363" s="23"/>
      <c r="AIV1363" s="23"/>
      <c r="AIW1363" s="23"/>
      <c r="AIX1363" s="23"/>
      <c r="AIY1363" s="23"/>
      <c r="AIZ1363" s="23"/>
      <c r="AJA1363" s="23"/>
      <c r="AJB1363" s="23"/>
      <c r="AJC1363" s="23"/>
      <c r="AJD1363" s="23"/>
      <c r="AJE1363" s="23"/>
      <c r="AJF1363" s="23"/>
      <c r="AJG1363" s="23"/>
      <c r="AJH1363" s="23"/>
      <c r="AJI1363" s="23"/>
      <c r="AJJ1363" s="23"/>
      <c r="AJK1363" s="23"/>
      <c r="AJL1363" s="23"/>
      <c r="AJM1363" s="23"/>
      <c r="AJN1363" s="23"/>
      <c r="AJO1363" s="23"/>
      <c r="AJP1363" s="23"/>
      <c r="AJQ1363" s="23"/>
      <c r="AJR1363" s="23"/>
      <c r="AJS1363" s="23"/>
      <c r="AJT1363" s="23"/>
      <c r="AJU1363" s="23"/>
      <c r="AJV1363" s="23"/>
      <c r="AJW1363" s="23"/>
      <c r="AJX1363" s="23"/>
      <c r="AJY1363" s="23"/>
      <c r="AJZ1363" s="23"/>
      <c r="AKA1363" s="23"/>
      <c r="AKB1363" s="23"/>
      <c r="AKC1363" s="23"/>
      <c r="AKD1363" s="23"/>
      <c r="AKE1363" s="23"/>
      <c r="AKF1363" s="23"/>
      <c r="AKG1363" s="23"/>
      <c r="AKH1363" s="23"/>
      <c r="AKI1363" s="23"/>
      <c r="AKJ1363" s="23"/>
      <c r="AKK1363" s="23"/>
      <c r="AKL1363" s="23"/>
      <c r="AKM1363" s="23"/>
      <c r="AKN1363" s="23"/>
      <c r="AKO1363" s="23"/>
      <c r="AKP1363" s="23"/>
      <c r="AKQ1363" s="23"/>
      <c r="AKR1363" s="23"/>
      <c r="AKS1363" s="23"/>
      <c r="AKT1363" s="23"/>
      <c r="AKU1363" s="23"/>
      <c r="AKV1363" s="23"/>
      <c r="AKW1363" s="23"/>
      <c r="AKX1363" s="23"/>
      <c r="AKY1363" s="23"/>
      <c r="AKZ1363" s="23"/>
      <c r="ALA1363" s="23"/>
      <c r="ALB1363" s="23"/>
      <c r="ALC1363" s="23"/>
      <c r="ALD1363" s="23"/>
      <c r="ALE1363" s="23"/>
      <c r="ALF1363" s="23"/>
      <c r="ALG1363" s="23"/>
      <c r="ALH1363" s="23"/>
      <c r="ALI1363" s="23"/>
      <c r="ALJ1363" s="23"/>
      <c r="ALK1363" s="23"/>
      <c r="ALL1363" s="23"/>
      <c r="ALM1363" s="23"/>
      <c r="ALN1363" s="23"/>
      <c r="ALO1363" s="23"/>
      <c r="ALP1363" s="23"/>
      <c r="ALQ1363" s="23"/>
      <c r="ALR1363" s="23"/>
      <c r="ALS1363" s="23"/>
      <c r="ALT1363" s="23"/>
      <c r="ALU1363" s="23"/>
      <c r="ALV1363" s="23"/>
      <c r="ALW1363" s="23"/>
      <c r="ALX1363" s="23"/>
      <c r="ALY1363" s="23"/>
      <c r="ALZ1363" s="23"/>
      <c r="AMA1363" s="23"/>
      <c r="AMB1363" s="23"/>
      <c r="AMC1363" s="23"/>
      <c r="AMD1363" s="23"/>
      <c r="AME1363" s="23"/>
      <c r="AMF1363" s="23"/>
      <c r="AMG1363" s="23"/>
      <c r="AMH1363" s="23"/>
      <c r="AMI1363" s="23"/>
      <c r="AMJ1363" s="23"/>
      <c r="AMK1363" s="23"/>
      <c r="AML1363" s="23"/>
      <c r="AMM1363" s="23"/>
      <c r="AMN1363" s="23"/>
      <c r="AMO1363" s="23"/>
      <c r="AMP1363" s="23"/>
      <c r="AMQ1363" s="23"/>
      <c r="AMR1363" s="23"/>
      <c r="AMS1363" s="23"/>
      <c r="AMT1363" s="23"/>
      <c r="AMU1363" s="23"/>
      <c r="AMV1363" s="23"/>
      <c r="AMW1363" s="23"/>
      <c r="AMX1363" s="23"/>
      <c r="AMY1363" s="23"/>
      <c r="AMZ1363" s="23"/>
      <c r="ANA1363" s="23"/>
      <c r="ANB1363" s="23"/>
      <c r="ANC1363" s="23"/>
      <c r="AND1363" s="23"/>
      <c r="ANE1363" s="23"/>
      <c r="ANF1363" s="23"/>
      <c r="ANG1363" s="23"/>
      <c r="ANH1363" s="23"/>
      <c r="ANI1363" s="23"/>
      <c r="ANJ1363" s="23"/>
      <c r="ANK1363" s="23"/>
      <c r="ANL1363" s="23"/>
      <c r="ANM1363" s="23"/>
      <c r="ANN1363" s="23"/>
      <c r="ANO1363" s="23"/>
      <c r="ANP1363" s="23"/>
      <c r="ANQ1363" s="23"/>
      <c r="ANR1363" s="23"/>
      <c r="ANS1363" s="23"/>
      <c r="ANT1363" s="23"/>
      <c r="ANU1363" s="23"/>
      <c r="ANV1363" s="23"/>
      <c r="ANW1363" s="23"/>
      <c r="ANX1363" s="23"/>
      <c r="ANY1363" s="23"/>
      <c r="ANZ1363" s="23"/>
      <c r="AOA1363" s="23"/>
      <c r="AOB1363" s="23"/>
      <c r="AOC1363" s="23"/>
      <c r="AOD1363" s="23"/>
      <c r="AOE1363" s="23"/>
      <c r="AOF1363" s="23"/>
      <c r="AOG1363" s="23"/>
      <c r="AOH1363" s="23"/>
      <c r="AOI1363" s="23"/>
      <c r="AOJ1363" s="23"/>
      <c r="AOK1363" s="23"/>
      <c r="AOL1363" s="23"/>
      <c r="AOM1363" s="23"/>
      <c r="AON1363" s="23"/>
      <c r="AOO1363" s="23"/>
      <c r="AOP1363" s="23"/>
      <c r="AOQ1363" s="23"/>
      <c r="AOR1363" s="23"/>
      <c r="AOS1363" s="23"/>
      <c r="AOT1363" s="23"/>
      <c r="AOU1363" s="23"/>
      <c r="AOV1363" s="23"/>
      <c r="AOW1363" s="23"/>
      <c r="AOX1363" s="23"/>
      <c r="AOY1363" s="23"/>
      <c r="AOZ1363" s="23"/>
      <c r="APA1363" s="23"/>
      <c r="APB1363" s="23"/>
      <c r="APC1363" s="23"/>
      <c r="APD1363" s="23"/>
      <c r="APE1363" s="23"/>
      <c r="APF1363" s="23"/>
      <c r="APG1363" s="23"/>
      <c r="APH1363" s="23"/>
      <c r="API1363" s="23"/>
      <c r="APJ1363" s="23"/>
      <c r="APK1363" s="23"/>
      <c r="APL1363" s="23"/>
      <c r="APM1363" s="23"/>
      <c r="APN1363" s="23"/>
      <c r="APO1363" s="23"/>
      <c r="APP1363" s="23"/>
      <c r="APQ1363" s="23"/>
      <c r="APR1363" s="23"/>
      <c r="APS1363" s="23"/>
      <c r="APT1363" s="23"/>
      <c r="APU1363" s="23"/>
      <c r="APV1363" s="23"/>
      <c r="APW1363" s="23"/>
      <c r="APX1363" s="23"/>
      <c r="APY1363" s="23"/>
      <c r="APZ1363" s="23"/>
      <c r="AQA1363" s="23"/>
      <c r="AQB1363" s="23"/>
      <c r="AQC1363" s="23"/>
      <c r="AQD1363" s="23"/>
      <c r="AQE1363" s="23"/>
      <c r="AQF1363" s="23"/>
      <c r="AQG1363" s="23"/>
      <c r="AQH1363" s="23"/>
      <c r="AQI1363" s="23"/>
      <c r="AQJ1363" s="23"/>
      <c r="AQK1363" s="23"/>
      <c r="AQL1363" s="23"/>
      <c r="AQM1363" s="23"/>
      <c r="AQN1363" s="23"/>
      <c r="AQO1363" s="23"/>
      <c r="AQP1363" s="23"/>
      <c r="AQQ1363" s="23"/>
      <c r="AQR1363" s="23"/>
      <c r="AQS1363" s="23"/>
      <c r="AQT1363" s="23"/>
      <c r="AQU1363" s="23"/>
      <c r="AQV1363" s="23"/>
      <c r="AQW1363" s="23"/>
      <c r="AQX1363" s="23"/>
      <c r="AQY1363" s="23"/>
      <c r="AQZ1363" s="23"/>
      <c r="ARA1363" s="23"/>
      <c r="ARB1363" s="23"/>
      <c r="ARC1363" s="23"/>
      <c r="ARD1363" s="23"/>
      <c r="ARE1363" s="23"/>
      <c r="ARF1363" s="23"/>
      <c r="ARG1363" s="23"/>
      <c r="ARH1363" s="23"/>
      <c r="ARI1363" s="23"/>
      <c r="ARJ1363" s="23"/>
      <c r="ARK1363" s="23"/>
      <c r="ARL1363" s="23"/>
      <c r="ARM1363" s="23"/>
      <c r="ARN1363" s="23"/>
      <c r="ARO1363" s="23"/>
      <c r="ARP1363" s="23"/>
      <c r="ARQ1363" s="23"/>
      <c r="ARR1363" s="23"/>
      <c r="ARS1363" s="23"/>
      <c r="ART1363" s="23"/>
      <c r="ARU1363" s="23"/>
      <c r="ARV1363" s="23"/>
      <c r="ARW1363" s="23"/>
      <c r="ARX1363" s="23"/>
      <c r="ARY1363" s="23"/>
      <c r="ARZ1363" s="23"/>
      <c r="ASA1363" s="23"/>
      <c r="ASB1363" s="23"/>
      <c r="ASC1363" s="23"/>
      <c r="ASD1363" s="23"/>
      <c r="ASE1363" s="23"/>
      <c r="ASF1363" s="23"/>
      <c r="ASG1363" s="23"/>
      <c r="ASH1363" s="23"/>
      <c r="ASI1363" s="23"/>
      <c r="ASJ1363" s="23"/>
      <c r="ASK1363" s="23"/>
      <c r="ASL1363" s="23"/>
      <c r="ASM1363" s="23"/>
      <c r="ASN1363" s="23"/>
      <c r="ASO1363" s="23"/>
      <c r="ASP1363" s="23"/>
      <c r="ASQ1363" s="23"/>
      <c r="ASR1363" s="23"/>
      <c r="ASS1363" s="23"/>
      <c r="AST1363" s="23"/>
      <c r="ASU1363" s="23"/>
      <c r="ASV1363" s="23"/>
      <c r="ASW1363" s="23"/>
      <c r="ASX1363" s="23"/>
      <c r="ASY1363" s="23"/>
      <c r="ASZ1363" s="23"/>
      <c r="ATA1363" s="23"/>
      <c r="ATB1363" s="23"/>
      <c r="ATC1363" s="23"/>
      <c r="ATD1363" s="23"/>
      <c r="ATE1363" s="23"/>
      <c r="ATF1363" s="23"/>
      <c r="ATG1363" s="23"/>
      <c r="ATH1363" s="23"/>
      <c r="ATI1363" s="23"/>
      <c r="ATJ1363" s="23"/>
      <c r="ATK1363" s="23"/>
      <c r="ATL1363" s="23"/>
      <c r="ATM1363" s="23"/>
      <c r="ATN1363" s="23"/>
      <c r="ATO1363" s="23"/>
      <c r="ATP1363" s="23"/>
      <c r="ATQ1363" s="23"/>
      <c r="ATR1363" s="23"/>
      <c r="ATS1363" s="23"/>
      <c r="ATT1363" s="23"/>
      <c r="ATU1363" s="23"/>
      <c r="ATV1363" s="23"/>
      <c r="ATW1363" s="23"/>
      <c r="ATX1363" s="23"/>
      <c r="ATY1363" s="23"/>
      <c r="ATZ1363" s="23"/>
      <c r="AUA1363" s="23"/>
      <c r="AUB1363" s="23"/>
      <c r="AUC1363" s="23"/>
      <c r="AUD1363" s="23"/>
      <c r="AUE1363" s="23"/>
      <c r="AUF1363" s="23"/>
      <c r="AUG1363" s="23"/>
      <c r="AUH1363" s="23"/>
      <c r="AUI1363" s="23"/>
      <c r="AUJ1363" s="23"/>
      <c r="AUK1363" s="23"/>
      <c r="AUL1363" s="23"/>
      <c r="AUM1363" s="23"/>
      <c r="AUN1363" s="23"/>
      <c r="AUO1363" s="23"/>
      <c r="AUP1363" s="23"/>
      <c r="AUQ1363" s="23"/>
      <c r="AUR1363" s="23"/>
      <c r="AUS1363" s="23"/>
      <c r="AUT1363" s="23"/>
      <c r="AUU1363" s="23"/>
      <c r="AUV1363" s="23"/>
      <c r="AUW1363" s="23"/>
      <c r="AUX1363" s="23"/>
      <c r="AUY1363" s="23"/>
      <c r="AUZ1363" s="23"/>
      <c r="AVA1363" s="23"/>
      <c r="AVB1363" s="23"/>
      <c r="AVC1363" s="23"/>
      <c r="AVD1363" s="23"/>
      <c r="AVE1363" s="23"/>
      <c r="AVF1363" s="23"/>
      <c r="AVG1363" s="23"/>
      <c r="AVH1363" s="23"/>
      <c r="AVI1363" s="23"/>
      <c r="AVJ1363" s="23"/>
      <c r="AVK1363" s="23"/>
      <c r="AVL1363" s="23"/>
      <c r="AVM1363" s="23"/>
      <c r="AVN1363" s="23"/>
      <c r="AVO1363" s="23"/>
      <c r="AVP1363" s="23"/>
      <c r="AVQ1363" s="23"/>
      <c r="AVR1363" s="23"/>
      <c r="AVS1363" s="23"/>
      <c r="AVT1363" s="23"/>
      <c r="AVU1363" s="23"/>
      <c r="AVV1363" s="23"/>
      <c r="AVW1363" s="23"/>
      <c r="AVX1363" s="23"/>
      <c r="AVY1363" s="23"/>
      <c r="AVZ1363" s="23"/>
      <c r="AWA1363" s="23"/>
      <c r="AWB1363" s="23"/>
      <c r="AWC1363" s="23"/>
      <c r="AWD1363" s="23"/>
      <c r="AWE1363" s="23"/>
      <c r="AWF1363" s="23"/>
      <c r="AWG1363" s="23"/>
      <c r="AWH1363" s="23"/>
      <c r="AWI1363" s="23"/>
      <c r="AWJ1363" s="23"/>
      <c r="AWK1363" s="23"/>
      <c r="AWL1363" s="23"/>
      <c r="AWM1363" s="23"/>
      <c r="AWN1363" s="23"/>
      <c r="AWO1363" s="23"/>
      <c r="AWP1363" s="23"/>
      <c r="AWQ1363" s="23"/>
      <c r="AWR1363" s="23"/>
      <c r="AWS1363" s="23"/>
      <c r="AWT1363" s="23"/>
      <c r="AWU1363" s="23"/>
      <c r="AWV1363" s="23"/>
      <c r="AWW1363" s="23"/>
      <c r="AWX1363" s="23"/>
      <c r="AWY1363" s="23"/>
      <c r="AWZ1363" s="23"/>
      <c r="AXA1363" s="23"/>
      <c r="AXB1363" s="23"/>
      <c r="AXC1363" s="23"/>
      <c r="AXD1363" s="23"/>
      <c r="AXE1363" s="23"/>
      <c r="AXF1363" s="23"/>
      <c r="AXG1363" s="23"/>
      <c r="AXH1363" s="23"/>
      <c r="AXI1363" s="23"/>
      <c r="AXJ1363" s="23"/>
      <c r="AXK1363" s="23"/>
      <c r="AXL1363" s="23"/>
      <c r="AXM1363" s="23"/>
      <c r="AXN1363" s="23"/>
      <c r="AXO1363" s="23"/>
      <c r="AXP1363" s="23"/>
      <c r="AXQ1363" s="23"/>
      <c r="AXR1363" s="23"/>
      <c r="AXS1363" s="23"/>
      <c r="AXT1363" s="23"/>
      <c r="AXU1363" s="23"/>
      <c r="AXV1363" s="23"/>
      <c r="AXW1363" s="23"/>
      <c r="AXX1363" s="23"/>
      <c r="AXY1363" s="23"/>
      <c r="AXZ1363" s="23"/>
      <c r="AYA1363" s="23"/>
      <c r="AYB1363" s="23"/>
      <c r="AYC1363" s="23"/>
      <c r="AYD1363" s="23"/>
      <c r="AYE1363" s="23"/>
      <c r="AYF1363" s="23"/>
      <c r="AYG1363" s="23"/>
      <c r="AYH1363" s="23"/>
      <c r="AYI1363" s="23"/>
      <c r="AYJ1363" s="23"/>
      <c r="AYK1363" s="23"/>
      <c r="AYL1363" s="23"/>
      <c r="AYM1363" s="23"/>
      <c r="AYN1363" s="23"/>
      <c r="AYO1363" s="23"/>
      <c r="AYP1363" s="23"/>
      <c r="AYQ1363" s="23"/>
      <c r="AYR1363" s="23"/>
      <c r="AYS1363" s="23"/>
      <c r="AYT1363" s="23"/>
      <c r="AYU1363" s="23"/>
      <c r="AYV1363" s="23"/>
      <c r="AYW1363" s="23"/>
      <c r="AYX1363" s="23"/>
      <c r="AYY1363" s="23"/>
      <c r="AYZ1363" s="23"/>
      <c r="AZA1363" s="23"/>
      <c r="AZB1363" s="23"/>
      <c r="AZC1363" s="23"/>
      <c r="AZD1363" s="23"/>
      <c r="AZE1363" s="23"/>
      <c r="AZF1363" s="23"/>
      <c r="AZG1363" s="23"/>
      <c r="AZH1363" s="23"/>
      <c r="AZI1363" s="23"/>
      <c r="AZJ1363" s="23"/>
      <c r="AZK1363" s="23"/>
      <c r="AZL1363" s="23"/>
      <c r="AZM1363" s="23"/>
      <c r="AZN1363" s="23"/>
      <c r="AZO1363" s="23"/>
      <c r="AZP1363" s="23"/>
      <c r="AZQ1363" s="23"/>
      <c r="AZR1363" s="23"/>
      <c r="AZS1363" s="23"/>
      <c r="AZT1363" s="23"/>
      <c r="AZU1363" s="23"/>
      <c r="AZV1363" s="23"/>
      <c r="AZW1363" s="23"/>
      <c r="AZX1363" s="23"/>
      <c r="AZY1363" s="23"/>
      <c r="AZZ1363" s="23"/>
      <c r="BAA1363" s="23"/>
      <c r="BAB1363" s="23"/>
      <c r="BAC1363" s="23"/>
      <c r="BAD1363" s="23"/>
      <c r="BAE1363" s="23"/>
      <c r="BAF1363" s="23"/>
      <c r="BAG1363" s="23"/>
      <c r="BAH1363" s="23"/>
      <c r="BAI1363" s="23"/>
      <c r="BAJ1363" s="23"/>
      <c r="BAK1363" s="23"/>
      <c r="BAL1363" s="23"/>
      <c r="BAM1363" s="23"/>
      <c r="BAN1363" s="23"/>
      <c r="BAO1363" s="23"/>
      <c r="BAP1363" s="23"/>
      <c r="BAQ1363" s="23"/>
      <c r="BAR1363" s="23"/>
      <c r="BAS1363" s="23"/>
      <c r="BAT1363" s="23"/>
      <c r="BAU1363" s="23"/>
      <c r="BAV1363" s="23"/>
      <c r="BAW1363" s="23"/>
      <c r="BAX1363" s="23"/>
      <c r="BAY1363" s="23"/>
      <c r="BAZ1363" s="23"/>
      <c r="BBA1363" s="23"/>
      <c r="BBB1363" s="23"/>
      <c r="BBC1363" s="23"/>
      <c r="BBD1363" s="23"/>
      <c r="BBE1363" s="23"/>
      <c r="BBF1363" s="23"/>
      <c r="BBG1363" s="23"/>
      <c r="BBH1363" s="23"/>
      <c r="BBI1363" s="23"/>
      <c r="BBJ1363" s="23"/>
      <c r="BBK1363" s="23"/>
      <c r="BBL1363" s="23"/>
      <c r="BBM1363" s="23"/>
      <c r="BBN1363" s="23"/>
      <c r="BBO1363" s="23"/>
      <c r="BBP1363" s="23"/>
      <c r="BBQ1363" s="23"/>
      <c r="BBR1363" s="23"/>
      <c r="BBS1363" s="23"/>
      <c r="BBT1363" s="23"/>
      <c r="BBU1363" s="23"/>
      <c r="BBV1363" s="23"/>
      <c r="BBW1363" s="23"/>
      <c r="BBX1363" s="23"/>
      <c r="BBY1363" s="23"/>
      <c r="BBZ1363" s="23"/>
      <c r="BCA1363" s="23"/>
      <c r="BCB1363" s="23"/>
      <c r="BCC1363" s="23"/>
      <c r="BCD1363" s="23"/>
      <c r="BCE1363" s="23"/>
      <c r="BCF1363" s="23"/>
      <c r="BCG1363" s="23"/>
      <c r="BCH1363" s="23"/>
      <c r="BCI1363" s="23"/>
      <c r="BCJ1363" s="23"/>
      <c r="BCK1363" s="23"/>
      <c r="BCL1363" s="23"/>
      <c r="BCM1363" s="23"/>
      <c r="BCN1363" s="23"/>
      <c r="BCO1363" s="23"/>
      <c r="BCP1363" s="23"/>
      <c r="BCQ1363" s="23"/>
      <c r="BCR1363" s="23"/>
      <c r="BCS1363" s="23"/>
      <c r="BCT1363" s="23"/>
      <c r="BCU1363" s="23"/>
      <c r="BCV1363" s="23"/>
      <c r="BCW1363" s="23"/>
      <c r="BCX1363" s="23"/>
      <c r="BCY1363" s="23"/>
      <c r="BCZ1363" s="23"/>
      <c r="BDA1363" s="23"/>
      <c r="BDB1363" s="23"/>
      <c r="BDC1363" s="23"/>
      <c r="BDD1363" s="23"/>
      <c r="BDE1363" s="23"/>
      <c r="BDF1363" s="23"/>
      <c r="BDG1363" s="23"/>
      <c r="BDH1363" s="23"/>
      <c r="BDI1363" s="23"/>
      <c r="BDJ1363" s="23"/>
      <c r="BDK1363" s="23"/>
      <c r="BDL1363" s="23"/>
      <c r="BDM1363" s="23"/>
      <c r="BDN1363" s="23"/>
      <c r="BDO1363" s="23"/>
      <c r="BDP1363" s="23"/>
      <c r="BDQ1363" s="23"/>
      <c r="BDR1363" s="23"/>
      <c r="BDS1363" s="23"/>
      <c r="BDT1363" s="23"/>
      <c r="BDU1363" s="23"/>
      <c r="BDV1363" s="23"/>
      <c r="BDW1363" s="23"/>
      <c r="BDX1363" s="23"/>
      <c r="BDY1363" s="23"/>
      <c r="BDZ1363" s="23"/>
      <c r="BEA1363" s="23"/>
      <c r="BEB1363" s="23"/>
      <c r="BEC1363" s="23"/>
      <c r="BED1363" s="23"/>
      <c r="BEE1363" s="23"/>
      <c r="BEF1363" s="23"/>
      <c r="BEG1363" s="23"/>
      <c r="BEH1363" s="23"/>
      <c r="BEI1363" s="23"/>
      <c r="BEJ1363" s="23"/>
      <c r="BEK1363" s="23"/>
      <c r="BEL1363" s="23"/>
      <c r="BEM1363" s="23"/>
      <c r="BEN1363" s="23"/>
      <c r="BEO1363" s="23"/>
      <c r="BEP1363" s="23"/>
      <c r="BEQ1363" s="23"/>
      <c r="BER1363" s="23"/>
      <c r="BES1363" s="23"/>
      <c r="BET1363" s="23"/>
      <c r="BEU1363" s="23"/>
      <c r="BEV1363" s="23"/>
      <c r="BEW1363" s="23"/>
      <c r="BEX1363" s="23"/>
      <c r="BEY1363" s="23"/>
      <c r="BEZ1363" s="23"/>
      <c r="BFA1363" s="23"/>
      <c r="BFB1363" s="23"/>
      <c r="BFC1363" s="23"/>
      <c r="BFD1363" s="23"/>
      <c r="BFE1363" s="23"/>
      <c r="BFF1363" s="23"/>
      <c r="BFG1363" s="23"/>
      <c r="BFH1363" s="23"/>
      <c r="BFI1363" s="23"/>
      <c r="BFJ1363" s="23"/>
      <c r="BFK1363" s="23"/>
      <c r="BFL1363" s="23"/>
      <c r="BFM1363" s="23"/>
      <c r="BFN1363" s="23"/>
      <c r="BFO1363" s="23"/>
      <c r="BFP1363" s="23"/>
      <c r="BFQ1363" s="23"/>
      <c r="BFR1363" s="23"/>
      <c r="BFS1363" s="23"/>
      <c r="BFT1363" s="23"/>
      <c r="BFU1363" s="23"/>
      <c r="BFV1363" s="23"/>
      <c r="BFW1363" s="23"/>
      <c r="BFX1363" s="23"/>
      <c r="BFY1363" s="23"/>
      <c r="BFZ1363" s="23"/>
      <c r="BGA1363" s="23"/>
      <c r="BGB1363" s="23"/>
      <c r="BGC1363" s="23"/>
      <c r="BGD1363" s="23"/>
      <c r="BGE1363" s="23"/>
      <c r="BGF1363" s="23"/>
      <c r="BGG1363" s="23"/>
      <c r="BGH1363" s="23"/>
      <c r="BGI1363" s="23"/>
      <c r="BGJ1363" s="23"/>
      <c r="BGK1363" s="23"/>
      <c r="BGL1363" s="23"/>
      <c r="BGM1363" s="23"/>
      <c r="BGN1363" s="23"/>
      <c r="BGO1363" s="23"/>
      <c r="BGP1363" s="23"/>
      <c r="BGQ1363" s="23"/>
      <c r="BGR1363" s="23"/>
      <c r="BGS1363" s="23"/>
      <c r="BGT1363" s="23"/>
      <c r="BGU1363" s="23"/>
      <c r="BGV1363" s="23"/>
      <c r="BGW1363" s="23"/>
      <c r="BGX1363" s="23"/>
      <c r="BGY1363" s="23"/>
      <c r="BGZ1363" s="23"/>
      <c r="BHA1363" s="23"/>
      <c r="BHB1363" s="23"/>
      <c r="BHC1363" s="23"/>
      <c r="BHD1363" s="23"/>
      <c r="BHE1363" s="23"/>
      <c r="BHF1363" s="23"/>
      <c r="BHG1363" s="23"/>
      <c r="BHH1363" s="23"/>
      <c r="BHI1363" s="23"/>
      <c r="BHJ1363" s="23"/>
      <c r="BHK1363" s="23"/>
      <c r="BHL1363" s="23"/>
      <c r="BHM1363" s="23"/>
      <c r="BHN1363" s="23"/>
      <c r="BHO1363" s="23"/>
      <c r="BHP1363" s="23"/>
      <c r="BHQ1363" s="23"/>
      <c r="BHR1363" s="23"/>
      <c r="BHS1363" s="23"/>
      <c r="BHT1363" s="23"/>
      <c r="BHU1363" s="23"/>
      <c r="BHV1363" s="23"/>
      <c r="BHW1363" s="23"/>
      <c r="BHX1363" s="23"/>
      <c r="BHY1363" s="23"/>
      <c r="BHZ1363" s="23"/>
      <c r="BIA1363" s="23"/>
      <c r="BIB1363" s="23"/>
      <c r="BIC1363" s="23"/>
      <c r="BID1363" s="23"/>
      <c r="BIE1363" s="23"/>
      <c r="BIF1363" s="23"/>
      <c r="BIG1363" s="23"/>
      <c r="BIH1363" s="23"/>
      <c r="BII1363" s="23"/>
      <c r="BIJ1363" s="23"/>
      <c r="BIK1363" s="23"/>
      <c r="BIL1363" s="23"/>
      <c r="BIM1363" s="23"/>
      <c r="BIN1363" s="23"/>
      <c r="BIO1363" s="23"/>
      <c r="BIP1363" s="23"/>
      <c r="BIQ1363" s="23"/>
      <c r="BIR1363" s="23"/>
      <c r="BIS1363" s="23"/>
      <c r="BIT1363" s="23"/>
      <c r="BIU1363" s="23"/>
      <c r="BIV1363" s="23"/>
      <c r="BIW1363" s="23"/>
      <c r="BIX1363" s="23"/>
      <c r="BIY1363" s="23"/>
      <c r="BIZ1363" s="23"/>
      <c r="BJA1363" s="23"/>
      <c r="BJB1363" s="23"/>
      <c r="BJC1363" s="23"/>
      <c r="BJD1363" s="23"/>
      <c r="BJE1363" s="23"/>
      <c r="BJF1363" s="23"/>
      <c r="BJG1363" s="23"/>
      <c r="BJH1363" s="23"/>
      <c r="BJI1363" s="23"/>
      <c r="BJJ1363" s="23"/>
      <c r="BJK1363" s="23"/>
      <c r="BJL1363" s="23"/>
      <c r="BJM1363" s="23"/>
      <c r="BJN1363" s="23"/>
      <c r="BJO1363" s="23"/>
      <c r="BJP1363" s="23"/>
      <c r="BJQ1363" s="23"/>
      <c r="BJR1363" s="23"/>
      <c r="BJS1363" s="23"/>
      <c r="BJT1363" s="23"/>
      <c r="BJU1363" s="23"/>
      <c r="BJV1363" s="23"/>
      <c r="BJW1363" s="23"/>
      <c r="BJX1363" s="23"/>
      <c r="BJY1363" s="23"/>
      <c r="BJZ1363" s="23"/>
      <c r="BKA1363" s="23"/>
      <c r="BKB1363" s="23"/>
      <c r="BKC1363" s="23"/>
      <c r="BKD1363" s="23"/>
      <c r="BKE1363" s="23"/>
      <c r="BKF1363" s="23"/>
      <c r="BKG1363" s="23"/>
      <c r="BKH1363" s="23"/>
      <c r="BKI1363" s="23"/>
      <c r="BKJ1363" s="23"/>
      <c r="BKK1363" s="23"/>
      <c r="BKL1363" s="23"/>
      <c r="BKM1363" s="23"/>
      <c r="BKN1363" s="23"/>
      <c r="BKO1363" s="23"/>
      <c r="BKP1363" s="23"/>
      <c r="BKQ1363" s="23"/>
      <c r="BKR1363" s="23"/>
      <c r="BKS1363" s="23"/>
      <c r="BKT1363" s="23"/>
      <c r="BKU1363" s="23"/>
      <c r="BKV1363" s="23"/>
      <c r="BKW1363" s="23"/>
      <c r="BKX1363" s="23"/>
      <c r="BKY1363" s="23"/>
      <c r="BKZ1363" s="23"/>
      <c r="BLA1363" s="23"/>
      <c r="BLB1363" s="23"/>
      <c r="BLC1363" s="23"/>
      <c r="BLD1363" s="23"/>
      <c r="BLE1363" s="23"/>
      <c r="BLF1363" s="23"/>
      <c r="BLG1363" s="23"/>
      <c r="BLH1363" s="23"/>
      <c r="BLI1363" s="23"/>
      <c r="BLJ1363" s="23"/>
      <c r="BLK1363" s="23"/>
      <c r="BLL1363" s="23"/>
      <c r="BLM1363" s="23"/>
      <c r="BLN1363" s="23"/>
      <c r="BLO1363" s="23"/>
      <c r="BLP1363" s="23"/>
      <c r="BLQ1363" s="23"/>
      <c r="BLR1363" s="23"/>
      <c r="BLS1363" s="23"/>
      <c r="BLT1363" s="23"/>
      <c r="BLU1363" s="23"/>
      <c r="BLV1363" s="23"/>
      <c r="BLW1363" s="23"/>
      <c r="BLX1363" s="23"/>
      <c r="BLY1363" s="23"/>
      <c r="BLZ1363" s="23"/>
      <c r="BMA1363" s="23"/>
      <c r="BMB1363" s="23"/>
      <c r="BMC1363" s="23"/>
      <c r="BMD1363" s="23"/>
      <c r="BME1363" s="23"/>
      <c r="BMF1363" s="23"/>
      <c r="BMG1363" s="23"/>
      <c r="BMH1363" s="23"/>
      <c r="BMI1363" s="23"/>
      <c r="BMJ1363" s="23"/>
      <c r="BMK1363" s="23"/>
      <c r="BML1363" s="23"/>
      <c r="BMM1363" s="23"/>
      <c r="BMN1363" s="23"/>
      <c r="BMO1363" s="23"/>
      <c r="BMP1363" s="23"/>
      <c r="BMQ1363" s="23"/>
      <c r="BMR1363" s="23"/>
      <c r="BMS1363" s="23"/>
      <c r="BMT1363" s="23"/>
      <c r="BMU1363" s="23"/>
      <c r="BMV1363" s="23"/>
      <c r="BMW1363" s="23"/>
      <c r="BMX1363" s="23"/>
      <c r="BMY1363" s="23"/>
      <c r="BMZ1363" s="23"/>
      <c r="BNA1363" s="23"/>
      <c r="BNB1363" s="23"/>
      <c r="BNC1363" s="23"/>
      <c r="BND1363" s="23"/>
      <c r="BNE1363" s="23"/>
      <c r="BNF1363" s="23"/>
      <c r="BNG1363" s="23"/>
      <c r="BNH1363" s="23"/>
      <c r="BNI1363" s="23"/>
      <c r="BNJ1363" s="23"/>
      <c r="BNK1363" s="23"/>
      <c r="BNL1363" s="23"/>
      <c r="BNM1363" s="23"/>
      <c r="BNN1363" s="23"/>
      <c r="BNO1363" s="23"/>
      <c r="BNP1363" s="23"/>
      <c r="BNQ1363" s="23"/>
      <c r="BNR1363" s="23"/>
      <c r="BNS1363" s="23"/>
      <c r="BNT1363" s="23"/>
      <c r="BNU1363" s="23"/>
      <c r="BNV1363" s="23"/>
      <c r="BNW1363" s="23"/>
      <c r="BNX1363" s="23"/>
      <c r="BNY1363" s="23"/>
      <c r="BNZ1363" s="23"/>
      <c r="BOA1363" s="23"/>
      <c r="BOB1363" s="23"/>
      <c r="BOC1363" s="23"/>
      <c r="BOD1363" s="23"/>
      <c r="BOE1363" s="23"/>
      <c r="BOF1363" s="23"/>
      <c r="BOG1363" s="23"/>
      <c r="BOH1363" s="23"/>
      <c r="BOI1363" s="23"/>
      <c r="BOJ1363" s="23"/>
      <c r="BOK1363" s="23"/>
      <c r="BOL1363" s="23"/>
      <c r="BOM1363" s="23"/>
      <c r="BON1363" s="23"/>
      <c r="BOO1363" s="23"/>
      <c r="BOP1363" s="23"/>
      <c r="BOQ1363" s="23"/>
      <c r="BOR1363" s="23"/>
      <c r="BOS1363" s="23"/>
      <c r="BOT1363" s="23"/>
      <c r="BOU1363" s="23"/>
      <c r="BOV1363" s="23"/>
      <c r="BOW1363" s="23"/>
      <c r="BOX1363" s="23"/>
      <c r="BOY1363" s="23"/>
      <c r="BOZ1363" s="23"/>
      <c r="BPA1363" s="23"/>
      <c r="BPB1363" s="23"/>
      <c r="BPC1363" s="23"/>
      <c r="BPD1363" s="23"/>
      <c r="BPE1363" s="23"/>
      <c r="BPF1363" s="23"/>
      <c r="BPG1363" s="23"/>
      <c r="BPH1363" s="23"/>
      <c r="BPI1363" s="23"/>
      <c r="BPJ1363" s="23"/>
      <c r="BPK1363" s="23"/>
      <c r="BPL1363" s="23"/>
      <c r="BPM1363" s="23"/>
      <c r="BPN1363" s="23"/>
      <c r="BPO1363" s="23"/>
      <c r="BPP1363" s="23"/>
      <c r="BPQ1363" s="23"/>
      <c r="BPR1363" s="23"/>
      <c r="BPS1363" s="23"/>
      <c r="BPT1363" s="23"/>
      <c r="BPU1363" s="23"/>
      <c r="BPV1363" s="23"/>
      <c r="BPW1363" s="23"/>
      <c r="BPX1363" s="23"/>
      <c r="BPY1363" s="23"/>
      <c r="BPZ1363" s="23"/>
      <c r="BQA1363" s="23"/>
      <c r="BQB1363" s="23"/>
      <c r="BQC1363" s="23"/>
      <c r="BQD1363" s="23"/>
      <c r="BQE1363" s="23"/>
      <c r="BQF1363" s="23"/>
      <c r="BQG1363" s="23"/>
      <c r="BQH1363" s="23"/>
      <c r="BQI1363" s="23"/>
      <c r="BQJ1363" s="23"/>
      <c r="BQK1363" s="23"/>
      <c r="BQL1363" s="23"/>
      <c r="BQM1363" s="23"/>
      <c r="BQN1363" s="23"/>
      <c r="BQO1363" s="23"/>
      <c r="BQP1363" s="23"/>
      <c r="BQQ1363" s="23"/>
      <c r="BQR1363" s="23"/>
      <c r="BQS1363" s="23"/>
      <c r="BQT1363" s="23"/>
      <c r="BQU1363" s="23"/>
      <c r="BQV1363" s="23"/>
      <c r="BQW1363" s="23"/>
      <c r="BQX1363" s="23"/>
      <c r="BQY1363" s="23"/>
      <c r="BQZ1363" s="23"/>
      <c r="BRA1363" s="23"/>
      <c r="BRB1363" s="23"/>
      <c r="BRC1363" s="23"/>
      <c r="BRD1363" s="23"/>
      <c r="BRE1363" s="23"/>
      <c r="BRF1363" s="23"/>
      <c r="BRG1363" s="23"/>
      <c r="BRH1363" s="23"/>
      <c r="BRI1363" s="23"/>
      <c r="BRJ1363" s="23"/>
      <c r="BRK1363" s="23"/>
      <c r="BRL1363" s="23"/>
      <c r="BRM1363" s="23"/>
      <c r="BRN1363" s="23"/>
      <c r="BRO1363" s="23"/>
      <c r="BRP1363" s="23"/>
      <c r="BRQ1363" s="23"/>
      <c r="BRR1363" s="23"/>
      <c r="BRS1363" s="23"/>
      <c r="BRT1363" s="23"/>
      <c r="BRU1363" s="23"/>
      <c r="BRV1363" s="23"/>
      <c r="BRW1363" s="23"/>
      <c r="BRX1363" s="23"/>
      <c r="BRY1363" s="23"/>
      <c r="BRZ1363" s="23"/>
      <c r="BSA1363" s="23"/>
      <c r="BSB1363" s="23"/>
      <c r="BSC1363" s="23"/>
      <c r="BSD1363" s="23"/>
      <c r="BSE1363" s="23"/>
      <c r="BSF1363" s="23"/>
      <c r="BSG1363" s="23"/>
      <c r="BSH1363" s="23"/>
      <c r="BSI1363" s="23"/>
      <c r="BSJ1363" s="23"/>
      <c r="BSK1363" s="23"/>
      <c r="BSL1363" s="23"/>
      <c r="BSM1363" s="23"/>
      <c r="BSN1363" s="23"/>
      <c r="BSO1363" s="23"/>
      <c r="BSP1363" s="23"/>
      <c r="BSQ1363" s="23"/>
      <c r="BSR1363" s="23"/>
      <c r="BSS1363" s="23"/>
      <c r="BST1363" s="23"/>
      <c r="BSU1363" s="23"/>
      <c r="BSV1363" s="23"/>
      <c r="BSW1363" s="23"/>
      <c r="BSX1363" s="23"/>
      <c r="BSY1363" s="23"/>
      <c r="BSZ1363" s="23"/>
      <c r="BTA1363" s="23"/>
      <c r="BTB1363" s="23"/>
      <c r="BTC1363" s="23"/>
      <c r="BTD1363" s="23"/>
      <c r="BTE1363" s="23"/>
      <c r="BTF1363" s="23"/>
      <c r="BTG1363" s="23"/>
      <c r="BTH1363" s="23"/>
      <c r="BTI1363" s="23"/>
      <c r="BTJ1363" s="23"/>
      <c r="BTK1363" s="23"/>
      <c r="BTL1363" s="23"/>
      <c r="BTM1363" s="23"/>
      <c r="BTN1363" s="23"/>
      <c r="BTO1363" s="23"/>
      <c r="BTP1363" s="23"/>
      <c r="BTQ1363" s="23"/>
      <c r="BTR1363" s="23"/>
      <c r="BTS1363" s="23"/>
      <c r="BTT1363" s="23"/>
      <c r="BTU1363" s="23"/>
      <c r="BTV1363" s="23"/>
      <c r="BTW1363" s="23"/>
      <c r="BTX1363" s="23"/>
      <c r="BTY1363" s="23"/>
      <c r="BTZ1363" s="23"/>
      <c r="BUA1363" s="23"/>
      <c r="BUB1363" s="23"/>
      <c r="BUC1363" s="23"/>
      <c r="BUD1363" s="23"/>
      <c r="BUE1363" s="23"/>
      <c r="BUF1363" s="23"/>
      <c r="BUG1363" s="23"/>
      <c r="BUH1363" s="23"/>
      <c r="BUI1363" s="23"/>
      <c r="BUJ1363" s="23"/>
      <c r="BUK1363" s="23"/>
      <c r="BUL1363" s="23"/>
      <c r="BUM1363" s="23"/>
      <c r="BUN1363" s="23"/>
      <c r="BUO1363" s="23"/>
      <c r="BUP1363" s="23"/>
      <c r="BUQ1363" s="23"/>
      <c r="BUR1363" s="23"/>
      <c r="BUS1363" s="23"/>
      <c r="BUT1363" s="23"/>
      <c r="BUU1363" s="23"/>
      <c r="BUV1363" s="23"/>
      <c r="BUW1363" s="23"/>
      <c r="BUX1363" s="23"/>
      <c r="BUY1363" s="23"/>
      <c r="BUZ1363" s="23"/>
      <c r="BVA1363" s="23"/>
      <c r="BVB1363" s="23"/>
      <c r="BVC1363" s="23"/>
      <c r="BVD1363" s="23"/>
      <c r="BVE1363" s="23"/>
      <c r="BVF1363" s="23"/>
      <c r="BVG1363" s="23"/>
      <c r="BVH1363" s="23"/>
      <c r="BVI1363" s="23"/>
      <c r="BVJ1363" s="23"/>
      <c r="BVK1363" s="23"/>
      <c r="BVL1363" s="23"/>
      <c r="BVM1363" s="23"/>
      <c r="BVN1363" s="23"/>
      <c r="BVO1363" s="23"/>
      <c r="BVP1363" s="23"/>
      <c r="BVQ1363" s="23"/>
      <c r="BVR1363" s="23"/>
      <c r="BVS1363" s="23"/>
      <c r="BVT1363" s="23"/>
      <c r="BVU1363" s="23"/>
      <c r="BVV1363" s="23"/>
      <c r="BVW1363" s="23"/>
      <c r="BVX1363" s="23"/>
      <c r="BVY1363" s="23"/>
      <c r="BVZ1363" s="23"/>
      <c r="BWA1363" s="23"/>
      <c r="BWB1363" s="23"/>
      <c r="BWC1363" s="23"/>
      <c r="BWD1363" s="23"/>
      <c r="BWE1363" s="23"/>
      <c r="BWF1363" s="23"/>
      <c r="BWG1363" s="23"/>
      <c r="BWH1363" s="23"/>
      <c r="BWI1363" s="23"/>
      <c r="BWJ1363" s="23"/>
      <c r="BWK1363" s="23"/>
      <c r="BWL1363" s="23"/>
      <c r="BWM1363" s="23"/>
      <c r="BWN1363" s="23"/>
      <c r="BWO1363" s="23"/>
      <c r="BWP1363" s="23"/>
      <c r="BWQ1363" s="23"/>
      <c r="BWR1363" s="23"/>
      <c r="BWS1363" s="23"/>
      <c r="BWT1363" s="23"/>
      <c r="BWU1363" s="23"/>
      <c r="BWV1363" s="23"/>
      <c r="BWW1363" s="23"/>
      <c r="BWX1363" s="23"/>
      <c r="BWY1363" s="23"/>
      <c r="BWZ1363" s="23"/>
      <c r="BXA1363" s="23"/>
      <c r="BXB1363" s="23"/>
      <c r="BXC1363" s="23"/>
      <c r="BXD1363" s="23"/>
      <c r="BXE1363" s="23"/>
      <c r="BXF1363" s="23"/>
      <c r="BXG1363" s="23"/>
      <c r="BXH1363" s="23"/>
      <c r="BXI1363" s="23"/>
      <c r="BXJ1363" s="23"/>
      <c r="BXK1363" s="23"/>
      <c r="BXL1363" s="23"/>
      <c r="BXM1363" s="23"/>
      <c r="BXN1363" s="23"/>
      <c r="BXO1363" s="23"/>
      <c r="BXP1363" s="23"/>
      <c r="BXQ1363" s="23"/>
      <c r="BXR1363" s="23"/>
      <c r="BXS1363" s="23"/>
      <c r="BXT1363" s="23"/>
      <c r="BXU1363" s="23"/>
      <c r="BXV1363" s="23"/>
      <c r="BXW1363" s="23"/>
      <c r="BXX1363" s="23"/>
      <c r="BXY1363" s="23"/>
      <c r="BXZ1363" s="23"/>
      <c r="BYA1363" s="23"/>
      <c r="BYB1363" s="23"/>
      <c r="BYC1363" s="23"/>
      <c r="BYD1363" s="23"/>
      <c r="BYE1363" s="23"/>
      <c r="BYF1363" s="23"/>
      <c r="BYG1363" s="23"/>
      <c r="BYH1363" s="23"/>
      <c r="BYI1363" s="23"/>
      <c r="BYJ1363" s="23"/>
      <c r="BYK1363" s="23"/>
      <c r="BYL1363" s="23"/>
      <c r="BYM1363" s="23"/>
      <c r="BYN1363" s="23"/>
      <c r="BYO1363" s="23"/>
      <c r="BYP1363" s="23"/>
      <c r="BYQ1363" s="23"/>
      <c r="BYR1363" s="23"/>
      <c r="BYS1363" s="23"/>
      <c r="BYT1363" s="23"/>
      <c r="BYU1363" s="23"/>
      <c r="BYV1363" s="23"/>
      <c r="BYW1363" s="23"/>
      <c r="BYX1363" s="23"/>
      <c r="BYY1363" s="23"/>
      <c r="BYZ1363" s="23"/>
      <c r="BZA1363" s="23"/>
      <c r="BZB1363" s="23"/>
      <c r="BZC1363" s="23"/>
      <c r="BZD1363" s="23"/>
      <c r="BZE1363" s="23"/>
      <c r="BZF1363" s="23"/>
      <c r="BZG1363" s="23"/>
      <c r="BZH1363" s="23"/>
      <c r="BZI1363" s="23"/>
      <c r="BZJ1363" s="23"/>
      <c r="BZK1363" s="23"/>
      <c r="BZL1363" s="23"/>
      <c r="BZM1363" s="23"/>
      <c r="BZN1363" s="23"/>
      <c r="BZO1363" s="23"/>
      <c r="BZP1363" s="23"/>
      <c r="BZQ1363" s="23"/>
      <c r="BZR1363" s="23"/>
      <c r="BZS1363" s="23"/>
      <c r="BZT1363" s="23"/>
      <c r="BZU1363" s="23"/>
      <c r="BZV1363" s="23"/>
      <c r="BZW1363" s="23"/>
      <c r="BZX1363" s="23"/>
      <c r="BZY1363" s="23"/>
      <c r="BZZ1363" s="23"/>
      <c r="CAA1363" s="23"/>
      <c r="CAB1363" s="23"/>
      <c r="CAC1363" s="23"/>
      <c r="CAD1363" s="23"/>
      <c r="CAE1363" s="23"/>
      <c r="CAF1363" s="23"/>
      <c r="CAG1363" s="23"/>
      <c r="CAH1363" s="23"/>
      <c r="CAI1363" s="23"/>
      <c r="CAJ1363" s="23"/>
      <c r="CAK1363" s="23"/>
      <c r="CAL1363" s="23"/>
      <c r="CAM1363" s="23"/>
      <c r="CAN1363" s="23"/>
      <c r="CAO1363" s="23"/>
      <c r="CAP1363" s="23"/>
      <c r="CAQ1363" s="23"/>
      <c r="CAR1363" s="23"/>
      <c r="CAS1363" s="23"/>
      <c r="CAT1363" s="23"/>
      <c r="CAU1363" s="23"/>
      <c r="CAV1363" s="23"/>
      <c r="CAW1363" s="23"/>
      <c r="CAX1363" s="23"/>
      <c r="CAY1363" s="23"/>
      <c r="CAZ1363" s="23"/>
      <c r="CBA1363" s="23"/>
      <c r="CBB1363" s="23"/>
      <c r="CBC1363" s="23"/>
      <c r="CBD1363" s="23"/>
      <c r="CBE1363" s="23"/>
      <c r="CBF1363" s="23"/>
      <c r="CBG1363" s="23"/>
      <c r="CBH1363" s="23"/>
      <c r="CBI1363" s="23"/>
      <c r="CBJ1363" s="23"/>
      <c r="CBK1363" s="23"/>
      <c r="CBL1363" s="23"/>
      <c r="CBM1363" s="23"/>
      <c r="CBN1363" s="23"/>
      <c r="CBO1363" s="23"/>
      <c r="CBP1363" s="23"/>
      <c r="CBQ1363" s="23"/>
      <c r="CBR1363" s="23"/>
      <c r="CBS1363" s="23"/>
      <c r="CBT1363" s="23"/>
      <c r="CBU1363" s="23"/>
      <c r="CBV1363" s="23"/>
      <c r="CBW1363" s="23"/>
      <c r="CBX1363" s="23"/>
      <c r="CBY1363" s="23"/>
      <c r="CBZ1363" s="23"/>
      <c r="CCA1363" s="23"/>
      <c r="CCB1363" s="23"/>
      <c r="CCC1363" s="23"/>
      <c r="CCD1363" s="23"/>
      <c r="CCE1363" s="23"/>
      <c r="CCF1363" s="23"/>
      <c r="CCG1363" s="23"/>
      <c r="CCH1363" s="23"/>
      <c r="CCI1363" s="23"/>
      <c r="CCJ1363" s="23"/>
      <c r="CCK1363" s="23"/>
      <c r="CCL1363" s="23"/>
      <c r="CCM1363" s="23"/>
      <c r="CCN1363" s="23"/>
      <c r="CCO1363" s="23"/>
      <c r="CCP1363" s="23"/>
      <c r="CCQ1363" s="23"/>
      <c r="CCR1363" s="23"/>
      <c r="CCS1363" s="23"/>
      <c r="CCT1363" s="23"/>
      <c r="CCU1363" s="23"/>
      <c r="CCV1363" s="23"/>
      <c r="CCW1363" s="23"/>
      <c r="CCX1363" s="23"/>
      <c r="CCY1363" s="23"/>
      <c r="CCZ1363" s="23"/>
      <c r="CDA1363" s="23"/>
      <c r="CDB1363" s="23"/>
      <c r="CDC1363" s="23"/>
      <c r="CDD1363" s="23"/>
      <c r="CDE1363" s="23"/>
      <c r="CDF1363" s="23"/>
      <c r="CDG1363" s="23"/>
      <c r="CDH1363" s="23"/>
      <c r="CDI1363" s="23"/>
      <c r="CDJ1363" s="23"/>
      <c r="CDK1363" s="23"/>
      <c r="CDL1363" s="23"/>
      <c r="CDM1363" s="23"/>
      <c r="CDN1363" s="23"/>
      <c r="CDO1363" s="23"/>
      <c r="CDP1363" s="23"/>
      <c r="CDQ1363" s="23"/>
      <c r="CDR1363" s="23"/>
      <c r="CDS1363" s="23"/>
      <c r="CDT1363" s="23"/>
      <c r="CDU1363" s="23"/>
      <c r="CDV1363" s="23"/>
      <c r="CDW1363" s="23"/>
      <c r="CDX1363" s="23"/>
      <c r="CDY1363" s="23"/>
      <c r="CDZ1363" s="23"/>
      <c r="CEA1363" s="23"/>
      <c r="CEB1363" s="23"/>
      <c r="CEC1363" s="23"/>
      <c r="CED1363" s="23"/>
      <c r="CEE1363" s="23"/>
      <c r="CEF1363" s="23"/>
      <c r="CEG1363" s="23"/>
      <c r="CEH1363" s="23"/>
      <c r="CEI1363" s="23"/>
      <c r="CEJ1363" s="23"/>
      <c r="CEK1363" s="23"/>
      <c r="CEL1363" s="23"/>
      <c r="CEM1363" s="23"/>
      <c r="CEN1363" s="23"/>
      <c r="CEO1363" s="23"/>
      <c r="CEP1363" s="23"/>
      <c r="CEQ1363" s="23"/>
      <c r="CER1363" s="23"/>
      <c r="CES1363" s="23"/>
      <c r="CET1363" s="23"/>
      <c r="CEU1363" s="23"/>
      <c r="CEV1363" s="23"/>
      <c r="CEW1363" s="23"/>
      <c r="CEX1363" s="23"/>
      <c r="CEY1363" s="23"/>
      <c r="CEZ1363" s="23"/>
      <c r="CFA1363" s="23"/>
      <c r="CFB1363" s="23"/>
      <c r="CFC1363" s="23"/>
      <c r="CFD1363" s="23"/>
      <c r="CFE1363" s="23"/>
      <c r="CFF1363" s="23"/>
      <c r="CFG1363" s="23"/>
      <c r="CFH1363" s="23"/>
      <c r="CFI1363" s="23"/>
      <c r="CFJ1363" s="23"/>
      <c r="CFK1363" s="23"/>
      <c r="CFL1363" s="23"/>
      <c r="CFM1363" s="23"/>
      <c r="CFN1363" s="23"/>
      <c r="CFO1363" s="23"/>
      <c r="CFP1363" s="23"/>
      <c r="CFQ1363" s="23"/>
      <c r="CFR1363" s="23"/>
      <c r="CFS1363" s="23"/>
      <c r="CFT1363" s="23"/>
      <c r="CFU1363" s="23"/>
      <c r="CFV1363" s="23"/>
      <c r="CFW1363" s="23"/>
      <c r="CFX1363" s="23"/>
      <c r="CFY1363" s="23"/>
      <c r="CFZ1363" s="23"/>
      <c r="CGA1363" s="23"/>
      <c r="CGB1363" s="23"/>
      <c r="CGC1363" s="23"/>
      <c r="CGD1363" s="23"/>
      <c r="CGE1363" s="23"/>
      <c r="CGF1363" s="23"/>
      <c r="CGG1363" s="23"/>
      <c r="CGH1363" s="23"/>
      <c r="CGI1363" s="23"/>
      <c r="CGJ1363" s="23"/>
      <c r="CGK1363" s="23"/>
      <c r="CGL1363" s="23"/>
      <c r="CGM1363" s="23"/>
      <c r="CGN1363" s="23"/>
      <c r="CGO1363" s="23"/>
      <c r="CGP1363" s="23"/>
      <c r="CGQ1363" s="23"/>
      <c r="CGR1363" s="23"/>
      <c r="CGS1363" s="23"/>
      <c r="CGT1363" s="23"/>
      <c r="CGU1363" s="23"/>
      <c r="CGV1363" s="23"/>
      <c r="CGW1363" s="23"/>
      <c r="CGX1363" s="23"/>
      <c r="CGY1363" s="23"/>
      <c r="CGZ1363" s="23"/>
      <c r="CHA1363" s="23"/>
      <c r="CHB1363" s="23"/>
      <c r="CHC1363" s="23"/>
      <c r="CHD1363" s="23"/>
      <c r="CHE1363" s="23"/>
      <c r="CHF1363" s="23"/>
      <c r="CHG1363" s="23"/>
      <c r="CHH1363" s="23"/>
      <c r="CHI1363" s="23"/>
      <c r="CHJ1363" s="23"/>
      <c r="CHK1363" s="23"/>
      <c r="CHL1363" s="23"/>
      <c r="CHM1363" s="23"/>
      <c r="CHN1363" s="23"/>
      <c r="CHO1363" s="23"/>
      <c r="CHP1363" s="23"/>
      <c r="CHQ1363" s="23"/>
      <c r="CHR1363" s="23"/>
      <c r="CHS1363" s="23"/>
      <c r="CHT1363" s="23"/>
      <c r="CHU1363" s="23"/>
      <c r="CHV1363" s="23"/>
      <c r="CHW1363" s="23"/>
      <c r="CHX1363" s="23"/>
      <c r="CHY1363" s="23"/>
      <c r="CHZ1363" s="23"/>
      <c r="CIA1363" s="23"/>
      <c r="CIB1363" s="23"/>
      <c r="CIC1363" s="23"/>
      <c r="CID1363" s="23"/>
      <c r="CIE1363" s="23"/>
      <c r="CIF1363" s="23"/>
      <c r="CIG1363" s="23"/>
      <c r="CIH1363" s="23"/>
      <c r="CII1363" s="23"/>
      <c r="CIJ1363" s="23"/>
      <c r="CIK1363" s="23"/>
      <c r="CIL1363" s="23"/>
      <c r="CIM1363" s="23"/>
      <c r="CIN1363" s="23"/>
      <c r="CIO1363" s="23"/>
      <c r="CIP1363" s="23"/>
      <c r="CIQ1363" s="23"/>
      <c r="CIR1363" s="23"/>
      <c r="CIS1363" s="23"/>
      <c r="CIT1363" s="23"/>
      <c r="CIU1363" s="23"/>
      <c r="CIV1363" s="23"/>
      <c r="CIW1363" s="23"/>
      <c r="CIX1363" s="23"/>
      <c r="CIY1363" s="23"/>
      <c r="CIZ1363" s="23"/>
      <c r="CJA1363" s="23"/>
      <c r="CJB1363" s="23"/>
      <c r="CJC1363" s="23"/>
      <c r="CJD1363" s="23"/>
      <c r="CJE1363" s="23"/>
      <c r="CJF1363" s="23"/>
      <c r="CJG1363" s="23"/>
      <c r="CJH1363" s="23"/>
      <c r="CJI1363" s="23"/>
      <c r="CJJ1363" s="23"/>
      <c r="CJK1363" s="23"/>
      <c r="CJL1363" s="23"/>
      <c r="CJM1363" s="23"/>
      <c r="CJN1363" s="23"/>
      <c r="CJO1363" s="23"/>
      <c r="CJP1363" s="23"/>
      <c r="CJQ1363" s="23"/>
      <c r="CJR1363" s="23"/>
      <c r="CJS1363" s="23"/>
      <c r="CJT1363" s="23"/>
      <c r="CJU1363" s="23"/>
      <c r="CJV1363" s="23"/>
      <c r="CJW1363" s="23"/>
      <c r="CJX1363" s="23"/>
      <c r="CJY1363" s="23"/>
      <c r="CJZ1363" s="23"/>
      <c r="CKA1363" s="23"/>
      <c r="CKB1363" s="23"/>
      <c r="CKC1363" s="23"/>
      <c r="CKD1363" s="23"/>
      <c r="CKE1363" s="23"/>
      <c r="CKF1363" s="23"/>
      <c r="CKG1363" s="23"/>
      <c r="CKH1363" s="23"/>
      <c r="CKI1363" s="23"/>
      <c r="CKJ1363" s="23"/>
      <c r="CKK1363" s="23"/>
      <c r="CKL1363" s="23"/>
      <c r="CKM1363" s="23"/>
      <c r="CKN1363" s="23"/>
      <c r="CKO1363" s="23"/>
      <c r="CKP1363" s="23"/>
      <c r="CKQ1363" s="23"/>
      <c r="CKR1363" s="23"/>
      <c r="CKS1363" s="23"/>
      <c r="CKT1363" s="23"/>
      <c r="CKU1363" s="23"/>
      <c r="CKV1363" s="23"/>
      <c r="CKW1363" s="23"/>
      <c r="CKX1363" s="23"/>
      <c r="CKY1363" s="23"/>
      <c r="CKZ1363" s="23"/>
      <c r="CLA1363" s="23"/>
      <c r="CLB1363" s="23"/>
      <c r="CLC1363" s="23"/>
      <c r="CLD1363" s="23"/>
      <c r="CLE1363" s="23"/>
      <c r="CLF1363" s="23"/>
      <c r="CLG1363" s="23"/>
      <c r="CLH1363" s="23"/>
      <c r="CLI1363" s="23"/>
      <c r="CLJ1363" s="23"/>
      <c r="CLK1363" s="23"/>
      <c r="CLL1363" s="23"/>
      <c r="CLM1363" s="23"/>
      <c r="CLN1363" s="23"/>
      <c r="CLO1363" s="23"/>
      <c r="CLP1363" s="23"/>
      <c r="CLQ1363" s="23"/>
      <c r="CLR1363" s="23"/>
      <c r="CLS1363" s="23"/>
      <c r="CLT1363" s="23"/>
      <c r="CLU1363" s="23"/>
      <c r="CLV1363" s="23"/>
      <c r="CLW1363" s="23"/>
      <c r="CLX1363" s="23"/>
      <c r="CLY1363" s="23"/>
      <c r="CLZ1363" s="23"/>
      <c r="CMA1363" s="23"/>
      <c r="CMB1363" s="23"/>
      <c r="CMC1363" s="23"/>
      <c r="CMD1363" s="23"/>
      <c r="CME1363" s="23"/>
      <c r="CMF1363" s="23"/>
      <c r="CMG1363" s="23"/>
      <c r="CMH1363" s="23"/>
      <c r="CMI1363" s="23"/>
      <c r="CMJ1363" s="23"/>
      <c r="CMK1363" s="23"/>
      <c r="CML1363" s="23"/>
      <c r="CMM1363" s="23"/>
      <c r="CMN1363" s="23"/>
      <c r="CMO1363" s="23"/>
      <c r="CMP1363" s="23"/>
      <c r="CMQ1363" s="23"/>
      <c r="CMR1363" s="23"/>
      <c r="CMS1363" s="23"/>
      <c r="CMT1363" s="23"/>
      <c r="CMU1363" s="23"/>
      <c r="CMV1363" s="23"/>
      <c r="CMW1363" s="23"/>
      <c r="CMX1363" s="23"/>
      <c r="CMY1363" s="23"/>
      <c r="CMZ1363" s="23"/>
      <c r="CNA1363" s="23"/>
      <c r="CNB1363" s="23"/>
      <c r="CNC1363" s="23"/>
      <c r="CND1363" s="23"/>
      <c r="CNE1363" s="23"/>
      <c r="CNF1363" s="23"/>
      <c r="CNG1363" s="23"/>
      <c r="CNH1363" s="23"/>
      <c r="CNI1363" s="23"/>
      <c r="CNJ1363" s="23"/>
      <c r="CNK1363" s="23"/>
      <c r="CNL1363" s="23"/>
      <c r="CNM1363" s="23"/>
      <c r="CNN1363" s="23"/>
      <c r="CNO1363" s="23"/>
      <c r="CNP1363" s="23"/>
      <c r="CNQ1363" s="23"/>
      <c r="CNR1363" s="23"/>
      <c r="CNS1363" s="23"/>
      <c r="CNT1363" s="23"/>
      <c r="CNU1363" s="23"/>
      <c r="CNV1363" s="23"/>
      <c r="CNW1363" s="23"/>
      <c r="CNX1363" s="23"/>
      <c r="CNY1363" s="23"/>
      <c r="CNZ1363" s="23"/>
      <c r="COA1363" s="23"/>
      <c r="COB1363" s="23"/>
      <c r="COC1363" s="23"/>
      <c r="COD1363" s="23"/>
      <c r="COE1363" s="23"/>
      <c r="COF1363" s="23"/>
      <c r="COG1363" s="23"/>
      <c r="COH1363" s="23"/>
      <c r="COI1363" s="23"/>
      <c r="COJ1363" s="23"/>
      <c r="COK1363" s="23"/>
      <c r="COL1363" s="23"/>
      <c r="COM1363" s="23"/>
      <c r="CON1363" s="23"/>
      <c r="COO1363" s="23"/>
      <c r="COP1363" s="23"/>
      <c r="COQ1363" s="23"/>
      <c r="COR1363" s="23"/>
      <c r="COS1363" s="23"/>
      <c r="COT1363" s="23"/>
      <c r="COU1363" s="23"/>
      <c r="COV1363" s="23"/>
      <c r="COW1363" s="23"/>
      <c r="COX1363" s="23"/>
      <c r="COY1363" s="23"/>
      <c r="COZ1363" s="23"/>
      <c r="CPA1363" s="23"/>
      <c r="CPB1363" s="23"/>
      <c r="CPC1363" s="23"/>
      <c r="CPD1363" s="23"/>
      <c r="CPE1363" s="23"/>
      <c r="CPF1363" s="23"/>
      <c r="CPG1363" s="23"/>
      <c r="CPH1363" s="23"/>
      <c r="CPI1363" s="23"/>
      <c r="CPJ1363" s="23"/>
      <c r="CPK1363" s="23"/>
      <c r="CPL1363" s="23"/>
      <c r="CPM1363" s="23"/>
      <c r="CPN1363" s="23"/>
      <c r="CPO1363" s="23"/>
      <c r="CPP1363" s="23"/>
      <c r="CPQ1363" s="23"/>
      <c r="CPR1363" s="23"/>
      <c r="CPS1363" s="23"/>
      <c r="CPT1363" s="23"/>
      <c r="CPU1363" s="23"/>
      <c r="CPV1363" s="23"/>
      <c r="CPW1363" s="23"/>
      <c r="CPX1363" s="23"/>
      <c r="CPY1363" s="23"/>
      <c r="CPZ1363" s="23"/>
      <c r="CQA1363" s="23"/>
      <c r="CQB1363" s="23"/>
      <c r="CQC1363" s="23"/>
      <c r="CQD1363" s="23"/>
      <c r="CQE1363" s="23"/>
      <c r="CQF1363" s="23"/>
      <c r="CQG1363" s="23"/>
      <c r="CQH1363" s="23"/>
      <c r="CQI1363" s="23"/>
      <c r="CQJ1363" s="23"/>
      <c r="CQK1363" s="23"/>
      <c r="CQL1363" s="23"/>
      <c r="CQM1363" s="23"/>
      <c r="CQN1363" s="23"/>
      <c r="CQO1363" s="23"/>
      <c r="CQP1363" s="23"/>
      <c r="CQQ1363" s="23"/>
      <c r="CQR1363" s="23"/>
      <c r="CQS1363" s="23"/>
      <c r="CQT1363" s="23"/>
      <c r="CQU1363" s="23"/>
      <c r="CQV1363" s="23"/>
      <c r="CQW1363" s="23"/>
      <c r="CQX1363" s="23"/>
      <c r="CQY1363" s="23"/>
      <c r="CQZ1363" s="23"/>
      <c r="CRA1363" s="23"/>
      <c r="CRB1363" s="23"/>
      <c r="CRC1363" s="23"/>
      <c r="CRD1363" s="23"/>
      <c r="CRE1363" s="23"/>
      <c r="CRF1363" s="23"/>
      <c r="CRG1363" s="23"/>
      <c r="CRH1363" s="23"/>
      <c r="CRI1363" s="23"/>
      <c r="CRJ1363" s="23"/>
      <c r="CRK1363" s="23"/>
      <c r="CRL1363" s="23"/>
      <c r="CRM1363" s="23"/>
      <c r="CRN1363" s="23"/>
      <c r="CRO1363" s="23"/>
      <c r="CRP1363" s="23"/>
      <c r="CRQ1363" s="23"/>
      <c r="CRR1363" s="23"/>
      <c r="CRS1363" s="23"/>
      <c r="CRT1363" s="23"/>
      <c r="CRU1363" s="23"/>
      <c r="CRV1363" s="23"/>
      <c r="CRW1363" s="23"/>
      <c r="CRX1363" s="23"/>
      <c r="CRY1363" s="23"/>
      <c r="CRZ1363" s="23"/>
      <c r="CSA1363" s="23"/>
      <c r="CSB1363" s="23"/>
      <c r="CSC1363" s="23"/>
      <c r="CSD1363" s="23"/>
      <c r="CSE1363" s="23"/>
      <c r="CSF1363" s="23"/>
      <c r="CSG1363" s="23"/>
      <c r="CSH1363" s="23"/>
      <c r="CSI1363" s="23"/>
      <c r="CSJ1363" s="23"/>
      <c r="CSK1363" s="23"/>
      <c r="CSL1363" s="23"/>
      <c r="CSM1363" s="23"/>
      <c r="CSN1363" s="23"/>
      <c r="CSO1363" s="23"/>
      <c r="CSP1363" s="23"/>
      <c r="CSQ1363" s="23"/>
      <c r="CSR1363" s="23"/>
      <c r="CSS1363" s="23"/>
      <c r="CST1363" s="23"/>
      <c r="CSU1363" s="23"/>
      <c r="CSV1363" s="23"/>
      <c r="CSW1363" s="23"/>
      <c r="CSX1363" s="23"/>
      <c r="CSY1363" s="23"/>
      <c r="CSZ1363" s="23"/>
      <c r="CTA1363" s="23"/>
      <c r="CTB1363" s="23"/>
      <c r="CTC1363" s="23"/>
      <c r="CTD1363" s="23"/>
      <c r="CTE1363" s="23"/>
      <c r="CTF1363" s="23"/>
      <c r="CTG1363" s="23"/>
      <c r="CTH1363" s="23"/>
      <c r="CTI1363" s="23"/>
      <c r="CTJ1363" s="23"/>
      <c r="CTK1363" s="23"/>
      <c r="CTL1363" s="23"/>
      <c r="CTM1363" s="23"/>
      <c r="CTN1363" s="23"/>
      <c r="CTO1363" s="23"/>
      <c r="CTP1363" s="23"/>
      <c r="CTQ1363" s="23"/>
      <c r="CTR1363" s="23"/>
      <c r="CTS1363" s="23"/>
      <c r="CTT1363" s="23"/>
      <c r="CTU1363" s="23"/>
      <c r="CTV1363" s="23"/>
      <c r="CTW1363" s="23"/>
      <c r="CTX1363" s="23"/>
      <c r="CTY1363" s="23"/>
      <c r="CTZ1363" s="23"/>
      <c r="CUA1363" s="23"/>
      <c r="CUB1363" s="23"/>
      <c r="CUC1363" s="23"/>
      <c r="CUD1363" s="23"/>
      <c r="CUE1363" s="23"/>
      <c r="CUF1363" s="23"/>
      <c r="CUG1363" s="23"/>
      <c r="CUH1363" s="23"/>
      <c r="CUI1363" s="23"/>
      <c r="CUJ1363" s="23"/>
      <c r="CUK1363" s="23"/>
      <c r="CUL1363" s="23"/>
      <c r="CUM1363" s="23"/>
      <c r="CUN1363" s="23"/>
      <c r="CUO1363" s="23"/>
      <c r="CUP1363" s="23"/>
      <c r="CUQ1363" s="23"/>
      <c r="CUR1363" s="23"/>
      <c r="CUS1363" s="23"/>
      <c r="CUT1363" s="23"/>
      <c r="CUU1363" s="23"/>
      <c r="CUV1363" s="23"/>
      <c r="CUW1363" s="23"/>
      <c r="CUX1363" s="23"/>
      <c r="CUY1363" s="23"/>
      <c r="CUZ1363" s="23"/>
      <c r="CVA1363" s="23"/>
      <c r="CVB1363" s="23"/>
      <c r="CVC1363" s="23"/>
      <c r="CVD1363" s="23"/>
      <c r="CVE1363" s="23"/>
      <c r="CVF1363" s="23"/>
      <c r="CVG1363" s="23"/>
      <c r="CVH1363" s="23"/>
      <c r="CVI1363" s="23"/>
      <c r="CVJ1363" s="23"/>
      <c r="CVK1363" s="23"/>
      <c r="CVL1363" s="23"/>
      <c r="CVM1363" s="23"/>
      <c r="CVN1363" s="23"/>
      <c r="CVO1363" s="23"/>
      <c r="CVP1363" s="23"/>
      <c r="CVQ1363" s="23"/>
      <c r="CVR1363" s="23"/>
      <c r="CVS1363" s="23"/>
      <c r="CVT1363" s="23"/>
      <c r="CVU1363" s="23"/>
      <c r="CVV1363" s="23"/>
      <c r="CVW1363" s="23"/>
      <c r="CVX1363" s="23"/>
      <c r="CVY1363" s="23"/>
      <c r="CVZ1363" s="23"/>
      <c r="CWA1363" s="23"/>
      <c r="CWB1363" s="23"/>
      <c r="CWC1363" s="23"/>
      <c r="CWD1363" s="23"/>
      <c r="CWE1363" s="23"/>
      <c r="CWF1363" s="23"/>
      <c r="CWG1363" s="23"/>
      <c r="CWH1363" s="23"/>
      <c r="CWI1363" s="23"/>
      <c r="CWJ1363" s="23"/>
      <c r="CWK1363" s="23"/>
      <c r="CWL1363" s="23"/>
      <c r="CWM1363" s="23"/>
      <c r="CWN1363" s="23"/>
      <c r="CWO1363" s="23"/>
      <c r="CWP1363" s="23"/>
      <c r="CWQ1363" s="23"/>
      <c r="CWR1363" s="23"/>
      <c r="CWS1363" s="23"/>
      <c r="CWT1363" s="23"/>
      <c r="CWU1363" s="23"/>
      <c r="CWV1363" s="23"/>
      <c r="CWW1363" s="23"/>
      <c r="CWX1363" s="23"/>
      <c r="CWY1363" s="23"/>
      <c r="CWZ1363" s="23"/>
      <c r="CXA1363" s="23"/>
      <c r="CXB1363" s="23"/>
      <c r="CXC1363" s="23"/>
      <c r="CXD1363" s="23"/>
      <c r="CXE1363" s="23"/>
      <c r="CXF1363" s="23"/>
      <c r="CXG1363" s="23"/>
      <c r="CXH1363" s="23"/>
      <c r="CXI1363" s="23"/>
      <c r="CXJ1363" s="23"/>
      <c r="CXK1363" s="23"/>
      <c r="CXL1363" s="23"/>
      <c r="CXM1363" s="23"/>
      <c r="CXN1363" s="23"/>
      <c r="CXO1363" s="23"/>
      <c r="CXP1363" s="23"/>
      <c r="CXQ1363" s="23"/>
      <c r="CXR1363" s="23"/>
      <c r="CXS1363" s="23"/>
      <c r="CXT1363" s="23"/>
      <c r="CXU1363" s="23"/>
      <c r="CXV1363" s="23"/>
      <c r="CXW1363" s="23"/>
      <c r="CXX1363" s="23"/>
      <c r="CXY1363" s="23"/>
      <c r="CXZ1363" s="23"/>
      <c r="CYA1363" s="23"/>
      <c r="CYB1363" s="23"/>
      <c r="CYC1363" s="23"/>
      <c r="CYD1363" s="23"/>
      <c r="CYE1363" s="23"/>
      <c r="CYF1363" s="23"/>
      <c r="CYG1363" s="23"/>
      <c r="CYH1363" s="23"/>
      <c r="CYI1363" s="23"/>
      <c r="CYJ1363" s="23"/>
      <c r="CYK1363" s="23"/>
      <c r="CYL1363" s="23"/>
      <c r="CYM1363" s="23"/>
      <c r="CYN1363" s="23"/>
      <c r="CYO1363" s="23"/>
      <c r="CYP1363" s="23"/>
      <c r="CYQ1363" s="23"/>
      <c r="CYR1363" s="23"/>
      <c r="CYS1363" s="23"/>
      <c r="CYT1363" s="23"/>
      <c r="CYU1363" s="23"/>
      <c r="CYV1363" s="23"/>
      <c r="CYW1363" s="23"/>
      <c r="CYX1363" s="23"/>
      <c r="CYY1363" s="23"/>
      <c r="CYZ1363" s="23"/>
      <c r="CZA1363" s="23"/>
      <c r="CZB1363" s="23"/>
      <c r="CZC1363" s="23"/>
      <c r="CZD1363" s="23"/>
      <c r="CZE1363" s="23"/>
      <c r="CZF1363" s="23"/>
      <c r="CZG1363" s="23"/>
      <c r="CZH1363" s="23"/>
      <c r="CZI1363" s="23"/>
      <c r="CZJ1363" s="23"/>
      <c r="CZK1363" s="23"/>
      <c r="CZL1363" s="23"/>
      <c r="CZM1363" s="23"/>
      <c r="CZN1363" s="23"/>
      <c r="CZO1363" s="23"/>
      <c r="CZP1363" s="23"/>
      <c r="CZQ1363" s="23"/>
      <c r="CZR1363" s="23"/>
      <c r="CZS1363" s="23"/>
      <c r="CZT1363" s="23"/>
      <c r="CZU1363" s="23"/>
      <c r="CZV1363" s="23"/>
      <c r="CZW1363" s="23"/>
      <c r="CZX1363" s="23"/>
      <c r="CZY1363" s="23"/>
      <c r="CZZ1363" s="23"/>
      <c r="DAA1363" s="23"/>
      <c r="DAB1363" s="23"/>
      <c r="DAC1363" s="23"/>
      <c r="DAD1363" s="23"/>
      <c r="DAE1363" s="23"/>
      <c r="DAF1363" s="23"/>
      <c r="DAG1363" s="23"/>
      <c r="DAH1363" s="23"/>
      <c r="DAI1363" s="23"/>
      <c r="DAJ1363" s="23"/>
      <c r="DAK1363" s="23"/>
      <c r="DAL1363" s="23"/>
      <c r="DAM1363" s="23"/>
      <c r="DAN1363" s="23"/>
      <c r="DAO1363" s="23"/>
      <c r="DAP1363" s="23"/>
      <c r="DAQ1363" s="23"/>
      <c r="DAR1363" s="23"/>
      <c r="DAS1363" s="23"/>
      <c r="DAT1363" s="23"/>
      <c r="DAU1363" s="23"/>
      <c r="DAV1363" s="23"/>
      <c r="DAW1363" s="23"/>
      <c r="DAX1363" s="23"/>
      <c r="DAY1363" s="23"/>
      <c r="DAZ1363" s="23"/>
      <c r="DBA1363" s="23"/>
      <c r="DBB1363" s="23"/>
      <c r="DBC1363" s="23"/>
      <c r="DBD1363" s="23"/>
      <c r="DBE1363" s="23"/>
      <c r="DBF1363" s="23"/>
      <c r="DBG1363" s="23"/>
      <c r="DBH1363" s="23"/>
      <c r="DBI1363" s="23"/>
      <c r="DBJ1363" s="23"/>
      <c r="DBK1363" s="23"/>
      <c r="DBL1363" s="23"/>
      <c r="DBM1363" s="23"/>
      <c r="DBN1363" s="23"/>
      <c r="DBO1363" s="23"/>
      <c r="DBP1363" s="23"/>
      <c r="DBQ1363" s="23"/>
      <c r="DBR1363" s="23"/>
      <c r="DBS1363" s="23"/>
      <c r="DBT1363" s="23"/>
      <c r="DBU1363" s="23"/>
      <c r="DBV1363" s="23"/>
      <c r="DBW1363" s="23"/>
      <c r="DBX1363" s="23"/>
      <c r="DBY1363" s="23"/>
      <c r="DBZ1363" s="23"/>
      <c r="DCA1363" s="23"/>
      <c r="DCB1363" s="23"/>
      <c r="DCC1363" s="23"/>
      <c r="DCD1363" s="23"/>
      <c r="DCE1363" s="23"/>
      <c r="DCF1363" s="23"/>
      <c r="DCG1363" s="23"/>
      <c r="DCH1363" s="23"/>
      <c r="DCI1363" s="23"/>
      <c r="DCJ1363" s="23"/>
      <c r="DCK1363" s="23"/>
      <c r="DCL1363" s="23"/>
      <c r="DCM1363" s="23"/>
      <c r="DCN1363" s="23"/>
      <c r="DCO1363" s="23"/>
      <c r="DCP1363" s="23"/>
      <c r="DCQ1363" s="23"/>
      <c r="DCR1363" s="23"/>
      <c r="DCS1363" s="23"/>
      <c r="DCT1363" s="23"/>
      <c r="DCU1363" s="23"/>
      <c r="DCV1363" s="23"/>
      <c r="DCW1363" s="23"/>
      <c r="DCX1363" s="23"/>
      <c r="DCY1363" s="23"/>
      <c r="DCZ1363" s="23"/>
      <c r="DDA1363" s="23"/>
      <c r="DDB1363" s="23"/>
      <c r="DDC1363" s="23"/>
      <c r="DDD1363" s="23"/>
      <c r="DDE1363" s="23"/>
      <c r="DDF1363" s="23"/>
      <c r="DDG1363" s="23"/>
      <c r="DDH1363" s="23"/>
      <c r="DDI1363" s="23"/>
      <c r="DDJ1363" s="23"/>
      <c r="DDK1363" s="23"/>
      <c r="DDL1363" s="23"/>
      <c r="DDM1363" s="23"/>
      <c r="DDN1363" s="23"/>
      <c r="DDO1363" s="23"/>
      <c r="DDP1363" s="23"/>
      <c r="DDQ1363" s="23"/>
      <c r="DDR1363" s="23"/>
      <c r="DDS1363" s="23"/>
      <c r="DDT1363" s="23"/>
      <c r="DDU1363" s="23"/>
      <c r="DDV1363" s="23"/>
      <c r="DDW1363" s="23"/>
      <c r="DDX1363" s="23"/>
      <c r="DDY1363" s="23"/>
      <c r="DDZ1363" s="23"/>
      <c r="DEA1363" s="23"/>
      <c r="DEB1363" s="23"/>
      <c r="DEC1363" s="23"/>
      <c r="DED1363" s="23"/>
      <c r="DEE1363" s="23"/>
      <c r="DEF1363" s="23"/>
      <c r="DEG1363" s="23"/>
      <c r="DEH1363" s="23"/>
      <c r="DEI1363" s="23"/>
      <c r="DEJ1363" s="23"/>
      <c r="DEK1363" s="23"/>
      <c r="DEL1363" s="23"/>
      <c r="DEM1363" s="23"/>
      <c r="DEN1363" s="23"/>
      <c r="DEO1363" s="23"/>
      <c r="DEP1363" s="23"/>
      <c r="DEQ1363" s="23"/>
      <c r="DER1363" s="23"/>
      <c r="DES1363" s="23"/>
      <c r="DET1363" s="23"/>
      <c r="DEU1363" s="23"/>
      <c r="DEV1363" s="23"/>
      <c r="DEW1363" s="23"/>
      <c r="DEX1363" s="23"/>
      <c r="DEY1363" s="23"/>
      <c r="DEZ1363" s="23"/>
      <c r="DFA1363" s="23"/>
      <c r="DFB1363" s="23"/>
      <c r="DFC1363" s="23"/>
      <c r="DFD1363" s="23"/>
      <c r="DFE1363" s="23"/>
      <c r="DFF1363" s="23"/>
      <c r="DFG1363" s="23"/>
      <c r="DFH1363" s="23"/>
      <c r="DFI1363" s="23"/>
      <c r="DFJ1363" s="23"/>
      <c r="DFK1363" s="23"/>
      <c r="DFL1363" s="23"/>
      <c r="DFM1363" s="23"/>
      <c r="DFN1363" s="23"/>
      <c r="DFO1363" s="23"/>
      <c r="DFP1363" s="23"/>
      <c r="DFQ1363" s="23"/>
      <c r="DFR1363" s="23"/>
      <c r="DFS1363" s="23"/>
      <c r="DFT1363" s="23"/>
      <c r="DFU1363" s="23"/>
      <c r="DFV1363" s="23"/>
      <c r="DFW1363" s="23"/>
      <c r="DFX1363" s="23"/>
      <c r="DFY1363" s="23"/>
      <c r="DFZ1363" s="23"/>
      <c r="DGA1363" s="23"/>
      <c r="DGB1363" s="23"/>
      <c r="DGC1363" s="23"/>
      <c r="DGD1363" s="23"/>
      <c r="DGE1363" s="23"/>
      <c r="DGF1363" s="23"/>
      <c r="DGG1363" s="23"/>
      <c r="DGH1363" s="23"/>
      <c r="DGI1363" s="23"/>
      <c r="DGJ1363" s="23"/>
      <c r="DGK1363" s="23"/>
      <c r="DGL1363" s="23"/>
      <c r="DGM1363" s="23"/>
      <c r="DGN1363" s="23"/>
      <c r="DGO1363" s="23"/>
      <c r="DGP1363" s="23"/>
      <c r="DGQ1363" s="23"/>
      <c r="DGR1363" s="23"/>
      <c r="DGS1363" s="23"/>
      <c r="DGT1363" s="23"/>
      <c r="DGU1363" s="23"/>
      <c r="DGV1363" s="23"/>
      <c r="DGW1363" s="23"/>
      <c r="DGX1363" s="23"/>
      <c r="DGY1363" s="23"/>
      <c r="DGZ1363" s="23"/>
      <c r="DHA1363" s="23"/>
      <c r="DHB1363" s="23"/>
      <c r="DHC1363" s="23"/>
      <c r="DHD1363" s="23"/>
      <c r="DHE1363" s="23"/>
      <c r="DHF1363" s="23"/>
      <c r="DHG1363" s="23"/>
      <c r="DHH1363" s="23"/>
      <c r="DHI1363" s="23"/>
      <c r="DHJ1363" s="23"/>
      <c r="DHK1363" s="23"/>
      <c r="DHL1363" s="23"/>
      <c r="DHM1363" s="23"/>
      <c r="DHN1363" s="23"/>
      <c r="DHO1363" s="23"/>
      <c r="DHP1363" s="23"/>
      <c r="DHQ1363" s="23"/>
      <c r="DHR1363" s="23"/>
      <c r="DHS1363" s="23"/>
      <c r="DHT1363" s="23"/>
      <c r="DHU1363" s="23"/>
      <c r="DHV1363" s="23"/>
      <c r="DHW1363" s="23"/>
      <c r="DHX1363" s="23"/>
      <c r="DHY1363" s="23"/>
      <c r="DHZ1363" s="23"/>
      <c r="DIA1363" s="23"/>
      <c r="DIB1363" s="23"/>
      <c r="DIC1363" s="23"/>
      <c r="DID1363" s="23"/>
      <c r="DIE1363" s="23"/>
      <c r="DIF1363" s="23"/>
      <c r="DIG1363" s="23"/>
      <c r="DIH1363" s="23"/>
      <c r="DII1363" s="23"/>
      <c r="DIJ1363" s="23"/>
      <c r="DIK1363" s="23"/>
      <c r="DIL1363" s="23"/>
      <c r="DIM1363" s="23"/>
      <c r="DIN1363" s="23"/>
      <c r="DIO1363" s="23"/>
      <c r="DIP1363" s="23"/>
      <c r="DIQ1363" s="23"/>
      <c r="DIR1363" s="23"/>
      <c r="DIS1363" s="23"/>
      <c r="DIT1363" s="23"/>
      <c r="DIU1363" s="23"/>
      <c r="DIV1363" s="23"/>
      <c r="DIW1363" s="23"/>
      <c r="DIX1363" s="23"/>
      <c r="DIY1363" s="23"/>
      <c r="DIZ1363" s="23"/>
      <c r="DJA1363" s="23"/>
      <c r="DJB1363" s="23"/>
      <c r="DJC1363" s="23"/>
      <c r="DJD1363" s="23"/>
      <c r="DJE1363" s="23"/>
      <c r="DJF1363" s="23"/>
      <c r="DJG1363" s="23"/>
      <c r="DJH1363" s="23"/>
      <c r="DJI1363" s="23"/>
      <c r="DJJ1363" s="23"/>
      <c r="DJK1363" s="23"/>
      <c r="DJL1363" s="23"/>
      <c r="DJM1363" s="23"/>
      <c r="DJN1363" s="23"/>
      <c r="DJO1363" s="23"/>
      <c r="DJP1363" s="23"/>
      <c r="DJQ1363" s="23"/>
      <c r="DJR1363" s="23"/>
      <c r="DJS1363" s="23"/>
      <c r="DJT1363" s="23"/>
      <c r="DJU1363" s="23"/>
      <c r="DJV1363" s="23"/>
      <c r="DJW1363" s="23"/>
      <c r="DJX1363" s="23"/>
      <c r="DJY1363" s="23"/>
      <c r="DJZ1363" s="23"/>
      <c r="DKA1363" s="23"/>
      <c r="DKB1363" s="23"/>
      <c r="DKC1363" s="23"/>
      <c r="DKD1363" s="23"/>
      <c r="DKE1363" s="23"/>
      <c r="DKF1363" s="23"/>
      <c r="DKG1363" s="23"/>
      <c r="DKH1363" s="23"/>
      <c r="DKI1363" s="23"/>
      <c r="DKJ1363" s="23"/>
      <c r="DKK1363" s="23"/>
      <c r="DKL1363" s="23"/>
      <c r="DKM1363" s="23"/>
      <c r="DKN1363" s="23"/>
      <c r="DKO1363" s="23"/>
      <c r="DKP1363" s="23"/>
      <c r="DKQ1363" s="23"/>
      <c r="DKR1363" s="23"/>
      <c r="DKS1363" s="23"/>
      <c r="DKT1363" s="23"/>
      <c r="DKU1363" s="23"/>
      <c r="DKV1363" s="23"/>
      <c r="DKW1363" s="23"/>
      <c r="DKX1363" s="23"/>
      <c r="DKY1363" s="23"/>
      <c r="DKZ1363" s="23"/>
      <c r="DLA1363" s="23"/>
      <c r="DLB1363" s="23"/>
      <c r="DLC1363" s="23"/>
      <c r="DLD1363" s="23"/>
      <c r="DLE1363" s="23"/>
      <c r="DLF1363" s="23"/>
      <c r="DLG1363" s="23"/>
      <c r="DLH1363" s="23"/>
      <c r="DLI1363" s="23"/>
      <c r="DLJ1363" s="23"/>
      <c r="DLK1363" s="23"/>
      <c r="DLL1363" s="23"/>
      <c r="DLM1363" s="23"/>
      <c r="DLN1363" s="23"/>
      <c r="DLO1363" s="23"/>
      <c r="DLP1363" s="23"/>
      <c r="DLQ1363" s="23"/>
      <c r="DLR1363" s="23"/>
      <c r="DLS1363" s="23"/>
      <c r="DLT1363" s="23"/>
      <c r="DLU1363" s="23"/>
      <c r="DLV1363" s="23"/>
      <c r="DLW1363" s="23"/>
      <c r="DLX1363" s="23"/>
      <c r="DLY1363" s="23"/>
      <c r="DLZ1363" s="23"/>
      <c r="DMA1363" s="23"/>
      <c r="DMB1363" s="23"/>
      <c r="DMC1363" s="23"/>
      <c r="DMD1363" s="23"/>
      <c r="DME1363" s="23"/>
      <c r="DMF1363" s="23"/>
      <c r="DMG1363" s="23"/>
      <c r="DMH1363" s="23"/>
      <c r="DMI1363" s="23"/>
      <c r="DMJ1363" s="23"/>
      <c r="DMK1363" s="23"/>
      <c r="DML1363" s="23"/>
      <c r="DMM1363" s="23"/>
      <c r="DMN1363" s="23"/>
      <c r="DMO1363" s="23"/>
      <c r="DMP1363" s="23"/>
      <c r="DMQ1363" s="23"/>
      <c r="DMR1363" s="23"/>
      <c r="DMS1363" s="23"/>
      <c r="DMT1363" s="23"/>
      <c r="DMU1363" s="23"/>
      <c r="DMV1363" s="23"/>
      <c r="DMW1363" s="23"/>
      <c r="DMX1363" s="23"/>
      <c r="DMY1363" s="23"/>
      <c r="DMZ1363" s="23"/>
      <c r="DNA1363" s="23"/>
      <c r="DNB1363" s="23"/>
      <c r="DNC1363" s="23"/>
      <c r="DND1363" s="23"/>
      <c r="DNE1363" s="23"/>
      <c r="DNF1363" s="23"/>
      <c r="DNG1363" s="23"/>
      <c r="DNH1363" s="23"/>
      <c r="DNI1363" s="23"/>
      <c r="DNJ1363" s="23"/>
      <c r="DNK1363" s="23"/>
      <c r="DNL1363" s="23"/>
      <c r="DNM1363" s="23"/>
      <c r="DNN1363" s="23"/>
      <c r="DNO1363" s="23"/>
      <c r="DNP1363" s="23"/>
      <c r="DNQ1363" s="23"/>
      <c r="DNR1363" s="23"/>
      <c r="DNS1363" s="23"/>
      <c r="DNT1363" s="23"/>
      <c r="DNU1363" s="23"/>
      <c r="DNV1363" s="23"/>
      <c r="DNW1363" s="23"/>
      <c r="DNX1363" s="23"/>
      <c r="DNY1363" s="23"/>
      <c r="DNZ1363" s="23"/>
      <c r="DOA1363" s="23"/>
      <c r="DOB1363" s="23"/>
      <c r="DOC1363" s="23"/>
      <c r="DOD1363" s="23"/>
      <c r="DOE1363" s="23"/>
      <c r="DOF1363" s="23"/>
      <c r="DOG1363" s="23"/>
      <c r="DOH1363" s="23"/>
      <c r="DOI1363" s="23"/>
      <c r="DOJ1363" s="23"/>
      <c r="DOK1363" s="23"/>
      <c r="DOL1363" s="23"/>
      <c r="DOM1363" s="23"/>
      <c r="DON1363" s="23"/>
      <c r="DOO1363" s="23"/>
      <c r="DOP1363" s="23"/>
      <c r="DOQ1363" s="23"/>
      <c r="DOR1363" s="23"/>
      <c r="DOS1363" s="23"/>
      <c r="DOT1363" s="23"/>
      <c r="DOU1363" s="23"/>
      <c r="DOV1363" s="23"/>
      <c r="DOW1363" s="23"/>
      <c r="DOX1363" s="23"/>
      <c r="DOY1363" s="23"/>
      <c r="DOZ1363" s="23"/>
      <c r="DPA1363" s="23"/>
      <c r="DPB1363" s="23"/>
      <c r="DPC1363" s="23"/>
      <c r="DPD1363" s="23"/>
      <c r="DPE1363" s="23"/>
      <c r="DPF1363" s="23"/>
      <c r="DPG1363" s="23"/>
      <c r="DPH1363" s="23"/>
      <c r="DPI1363" s="23"/>
      <c r="DPJ1363" s="23"/>
      <c r="DPK1363" s="23"/>
      <c r="DPL1363" s="23"/>
      <c r="DPM1363" s="23"/>
      <c r="DPN1363" s="23"/>
      <c r="DPO1363" s="23"/>
      <c r="DPP1363" s="23"/>
      <c r="DPQ1363" s="23"/>
      <c r="DPR1363" s="23"/>
      <c r="DPS1363" s="23"/>
      <c r="DPT1363" s="23"/>
      <c r="DPU1363" s="23"/>
      <c r="DPV1363" s="23"/>
      <c r="DPW1363" s="23"/>
      <c r="DPX1363" s="23"/>
      <c r="DPY1363" s="23"/>
      <c r="DPZ1363" s="23"/>
      <c r="DQA1363" s="23"/>
      <c r="DQB1363" s="23"/>
      <c r="DQC1363" s="23"/>
      <c r="DQD1363" s="23"/>
      <c r="DQE1363" s="23"/>
      <c r="DQF1363" s="23"/>
      <c r="DQG1363" s="23"/>
      <c r="DQH1363" s="23"/>
      <c r="DQI1363" s="23"/>
      <c r="DQJ1363" s="23"/>
      <c r="DQK1363" s="23"/>
      <c r="DQL1363" s="23"/>
      <c r="DQM1363" s="23"/>
      <c r="DQN1363" s="23"/>
      <c r="DQO1363" s="23"/>
      <c r="DQP1363" s="23"/>
      <c r="DQQ1363" s="23"/>
      <c r="DQR1363" s="23"/>
      <c r="DQS1363" s="23"/>
      <c r="DQT1363" s="23"/>
      <c r="DQU1363" s="23"/>
      <c r="DQV1363" s="23"/>
      <c r="DQW1363" s="23"/>
      <c r="DQX1363" s="23"/>
      <c r="DQY1363" s="23"/>
      <c r="DQZ1363" s="23"/>
      <c r="DRA1363" s="23"/>
      <c r="DRB1363" s="23"/>
      <c r="DRC1363" s="23"/>
      <c r="DRD1363" s="23"/>
      <c r="DRE1363" s="23"/>
      <c r="DRF1363" s="23"/>
      <c r="DRG1363" s="23"/>
      <c r="DRH1363" s="23"/>
      <c r="DRI1363" s="23"/>
      <c r="DRJ1363" s="23"/>
      <c r="DRK1363" s="23"/>
      <c r="DRL1363" s="23"/>
      <c r="DRM1363" s="23"/>
      <c r="DRN1363" s="23"/>
      <c r="DRO1363" s="23"/>
      <c r="DRP1363" s="23"/>
      <c r="DRQ1363" s="23"/>
      <c r="DRR1363" s="23"/>
      <c r="DRS1363" s="23"/>
      <c r="DRT1363" s="23"/>
      <c r="DRU1363" s="23"/>
      <c r="DRV1363" s="23"/>
      <c r="DRW1363" s="23"/>
      <c r="DRX1363" s="23"/>
      <c r="DRY1363" s="23"/>
      <c r="DRZ1363" s="23"/>
      <c r="DSA1363" s="23"/>
      <c r="DSB1363" s="23"/>
      <c r="DSC1363" s="23"/>
      <c r="DSD1363" s="23"/>
      <c r="DSE1363" s="23"/>
      <c r="DSF1363" s="23"/>
      <c r="DSG1363" s="23"/>
      <c r="DSH1363" s="23"/>
      <c r="DSI1363" s="23"/>
      <c r="DSJ1363" s="23"/>
      <c r="DSK1363" s="23"/>
      <c r="DSL1363" s="23"/>
      <c r="DSM1363" s="23"/>
      <c r="DSN1363" s="23"/>
      <c r="DSO1363" s="23"/>
      <c r="DSP1363" s="23"/>
      <c r="DSQ1363" s="23"/>
      <c r="DSR1363" s="23"/>
      <c r="DSS1363" s="23"/>
      <c r="DST1363" s="23"/>
      <c r="DSU1363" s="23"/>
      <c r="DSV1363" s="23"/>
      <c r="DSW1363" s="23"/>
      <c r="DSX1363" s="23"/>
      <c r="DSY1363" s="23"/>
      <c r="DSZ1363" s="23"/>
      <c r="DTA1363" s="23"/>
      <c r="DTB1363" s="23"/>
      <c r="DTC1363" s="23"/>
      <c r="DTD1363" s="23"/>
      <c r="DTE1363" s="23"/>
      <c r="DTF1363" s="23"/>
      <c r="DTG1363" s="23"/>
      <c r="DTH1363" s="23"/>
      <c r="DTI1363" s="23"/>
      <c r="DTJ1363" s="23"/>
      <c r="DTK1363" s="23"/>
      <c r="DTL1363" s="23"/>
      <c r="DTM1363" s="23"/>
      <c r="DTN1363" s="23"/>
      <c r="DTO1363" s="23"/>
      <c r="DTP1363" s="23"/>
      <c r="DTQ1363" s="23"/>
      <c r="DTR1363" s="23"/>
      <c r="DTS1363" s="23"/>
      <c r="DTT1363" s="23"/>
      <c r="DTU1363" s="23"/>
      <c r="DTV1363" s="23"/>
      <c r="DTW1363" s="23"/>
      <c r="DTX1363" s="23"/>
      <c r="DTY1363" s="23"/>
      <c r="DTZ1363" s="23"/>
      <c r="DUA1363" s="23"/>
      <c r="DUB1363" s="23"/>
      <c r="DUC1363" s="23"/>
      <c r="DUD1363" s="23"/>
      <c r="DUE1363" s="23"/>
      <c r="DUF1363" s="23"/>
      <c r="DUG1363" s="23"/>
      <c r="DUH1363" s="23"/>
      <c r="DUI1363" s="23"/>
      <c r="DUJ1363" s="23"/>
      <c r="DUK1363" s="23"/>
      <c r="DUL1363" s="23"/>
      <c r="DUM1363" s="23"/>
      <c r="DUN1363" s="23"/>
      <c r="DUO1363" s="23"/>
      <c r="DUP1363" s="23"/>
      <c r="DUQ1363" s="23"/>
      <c r="DUR1363" s="23"/>
      <c r="DUS1363" s="23"/>
      <c r="DUT1363" s="23"/>
      <c r="DUU1363" s="23"/>
      <c r="DUV1363" s="23"/>
      <c r="DUW1363" s="23"/>
      <c r="DUX1363" s="23"/>
      <c r="DUY1363" s="23"/>
      <c r="DUZ1363" s="23"/>
      <c r="DVA1363" s="23"/>
      <c r="DVB1363" s="23"/>
      <c r="DVC1363" s="23"/>
      <c r="DVD1363" s="23"/>
      <c r="DVE1363" s="23"/>
      <c r="DVF1363" s="23"/>
      <c r="DVG1363" s="23"/>
      <c r="DVH1363" s="23"/>
      <c r="DVI1363" s="23"/>
      <c r="DVJ1363" s="23"/>
      <c r="DVK1363" s="23"/>
      <c r="DVL1363" s="23"/>
      <c r="DVM1363" s="23"/>
      <c r="DVN1363" s="23"/>
      <c r="DVO1363" s="23"/>
      <c r="DVP1363" s="23"/>
      <c r="DVQ1363" s="23"/>
      <c r="DVR1363" s="23"/>
      <c r="DVS1363" s="23"/>
      <c r="DVT1363" s="23"/>
      <c r="DVU1363" s="23"/>
      <c r="DVV1363" s="23"/>
      <c r="DVW1363" s="23"/>
      <c r="DVX1363" s="23"/>
      <c r="DVY1363" s="23"/>
      <c r="DVZ1363" s="23"/>
      <c r="DWA1363" s="23"/>
      <c r="DWB1363" s="23"/>
      <c r="DWC1363" s="23"/>
      <c r="DWD1363" s="23"/>
      <c r="DWE1363" s="23"/>
      <c r="DWF1363" s="23"/>
      <c r="DWG1363" s="23"/>
      <c r="DWH1363" s="23"/>
      <c r="DWI1363" s="23"/>
      <c r="DWJ1363" s="23"/>
      <c r="DWK1363" s="23"/>
      <c r="DWL1363" s="23"/>
      <c r="DWM1363" s="23"/>
      <c r="DWN1363" s="23"/>
      <c r="DWO1363" s="23"/>
      <c r="DWP1363" s="23"/>
      <c r="DWQ1363" s="23"/>
      <c r="DWR1363" s="23"/>
      <c r="DWS1363" s="23"/>
      <c r="DWT1363" s="23"/>
      <c r="DWU1363" s="23"/>
      <c r="DWV1363" s="23"/>
      <c r="DWW1363" s="23"/>
      <c r="DWX1363" s="23"/>
      <c r="DWY1363" s="23"/>
      <c r="DWZ1363" s="23"/>
      <c r="DXA1363" s="23"/>
      <c r="DXB1363" s="23"/>
      <c r="DXC1363" s="23"/>
      <c r="DXD1363" s="23"/>
      <c r="DXE1363" s="23"/>
      <c r="DXF1363" s="23"/>
      <c r="DXG1363" s="23"/>
      <c r="DXH1363" s="23"/>
      <c r="DXI1363" s="23"/>
      <c r="DXJ1363" s="23"/>
      <c r="DXK1363" s="23"/>
      <c r="DXL1363" s="23"/>
      <c r="DXM1363" s="23"/>
      <c r="DXN1363" s="23"/>
      <c r="DXO1363" s="23"/>
      <c r="DXP1363" s="23"/>
      <c r="DXQ1363" s="23"/>
      <c r="DXR1363" s="23"/>
      <c r="DXS1363" s="23"/>
      <c r="DXT1363" s="23"/>
      <c r="DXU1363" s="23"/>
      <c r="DXV1363" s="23"/>
      <c r="DXW1363" s="23"/>
      <c r="DXX1363" s="23"/>
      <c r="DXY1363" s="23"/>
      <c r="DXZ1363" s="23"/>
      <c r="DYA1363" s="23"/>
      <c r="DYB1363" s="23"/>
      <c r="DYC1363" s="23"/>
      <c r="DYD1363" s="23"/>
      <c r="DYE1363" s="23"/>
      <c r="DYF1363" s="23"/>
      <c r="DYG1363" s="23"/>
      <c r="DYH1363" s="23"/>
      <c r="DYI1363" s="23"/>
      <c r="DYJ1363" s="23"/>
      <c r="DYK1363" s="23"/>
      <c r="DYL1363" s="23"/>
      <c r="DYM1363" s="23"/>
      <c r="DYN1363" s="23"/>
      <c r="DYO1363" s="23"/>
      <c r="DYP1363" s="23"/>
      <c r="DYQ1363" s="23"/>
      <c r="DYR1363" s="23"/>
      <c r="DYS1363" s="23"/>
      <c r="DYT1363" s="23"/>
      <c r="DYU1363" s="23"/>
      <c r="DYV1363" s="23"/>
      <c r="DYW1363" s="23"/>
      <c r="DYX1363" s="23"/>
      <c r="DYY1363" s="23"/>
      <c r="DYZ1363" s="23"/>
      <c r="DZA1363" s="23"/>
      <c r="DZB1363" s="23"/>
      <c r="DZC1363" s="23"/>
      <c r="DZD1363" s="23"/>
      <c r="DZE1363" s="23"/>
      <c r="DZF1363" s="23"/>
      <c r="DZG1363" s="23"/>
      <c r="DZH1363" s="23"/>
      <c r="DZI1363" s="23"/>
      <c r="DZJ1363" s="23"/>
      <c r="DZK1363" s="23"/>
      <c r="DZL1363" s="23"/>
      <c r="DZM1363" s="23"/>
      <c r="DZN1363" s="23"/>
      <c r="DZO1363" s="23"/>
      <c r="DZP1363" s="23"/>
      <c r="DZQ1363" s="23"/>
      <c r="DZR1363" s="23"/>
      <c r="DZS1363" s="23"/>
      <c r="DZT1363" s="23"/>
      <c r="DZU1363" s="23"/>
      <c r="DZV1363" s="23"/>
      <c r="DZW1363" s="23"/>
      <c r="DZX1363" s="23"/>
      <c r="DZY1363" s="23"/>
      <c r="DZZ1363" s="23"/>
      <c r="EAA1363" s="23"/>
      <c r="EAB1363" s="23"/>
      <c r="EAC1363" s="23"/>
      <c r="EAD1363" s="23"/>
      <c r="EAE1363" s="23"/>
      <c r="EAF1363" s="23"/>
      <c r="EAG1363" s="23"/>
      <c r="EAH1363" s="23"/>
      <c r="EAI1363" s="23"/>
      <c r="EAJ1363" s="23"/>
      <c r="EAK1363" s="23"/>
      <c r="EAL1363" s="23"/>
      <c r="EAM1363" s="23"/>
      <c r="EAN1363" s="23"/>
      <c r="EAO1363" s="23"/>
      <c r="EAP1363" s="23"/>
      <c r="EAQ1363" s="23"/>
      <c r="EAR1363" s="23"/>
      <c r="EAS1363" s="23"/>
      <c r="EAT1363" s="23"/>
      <c r="EAU1363" s="23"/>
      <c r="EAV1363" s="23"/>
      <c r="EAW1363" s="23"/>
      <c r="EAX1363" s="23"/>
      <c r="EAY1363" s="23"/>
      <c r="EAZ1363" s="23"/>
      <c r="EBA1363" s="23"/>
      <c r="EBB1363" s="23"/>
      <c r="EBC1363" s="23"/>
      <c r="EBD1363" s="23"/>
      <c r="EBE1363" s="23"/>
      <c r="EBF1363" s="23"/>
      <c r="EBG1363" s="23"/>
      <c r="EBH1363" s="23"/>
      <c r="EBI1363" s="23"/>
      <c r="EBJ1363" s="23"/>
      <c r="EBK1363" s="23"/>
      <c r="EBL1363" s="23"/>
      <c r="EBM1363" s="23"/>
      <c r="EBN1363" s="23"/>
      <c r="EBO1363" s="23"/>
      <c r="EBP1363" s="23"/>
      <c r="EBQ1363" s="23"/>
      <c r="EBR1363" s="23"/>
      <c r="EBS1363" s="23"/>
      <c r="EBT1363" s="23"/>
      <c r="EBU1363" s="23"/>
      <c r="EBV1363" s="23"/>
      <c r="EBW1363" s="23"/>
      <c r="EBX1363" s="23"/>
      <c r="EBY1363" s="23"/>
      <c r="EBZ1363" s="23"/>
      <c r="ECA1363" s="23"/>
      <c r="ECB1363" s="23"/>
      <c r="ECC1363" s="23"/>
      <c r="ECD1363" s="23"/>
      <c r="ECE1363" s="23"/>
      <c r="ECF1363" s="23"/>
      <c r="ECG1363" s="23"/>
      <c r="ECH1363" s="23"/>
      <c r="ECI1363" s="23"/>
      <c r="ECJ1363" s="23"/>
      <c r="ECK1363" s="23"/>
      <c r="ECL1363" s="23"/>
      <c r="ECM1363" s="23"/>
      <c r="ECN1363" s="23"/>
      <c r="ECO1363" s="23"/>
      <c r="ECP1363" s="23"/>
      <c r="ECQ1363" s="23"/>
      <c r="ECR1363" s="23"/>
      <c r="ECS1363" s="23"/>
      <c r="ECT1363" s="23"/>
      <c r="ECU1363" s="23"/>
      <c r="ECV1363" s="23"/>
      <c r="ECW1363" s="23"/>
      <c r="ECX1363" s="23"/>
      <c r="ECY1363" s="23"/>
      <c r="ECZ1363" s="23"/>
      <c r="EDA1363" s="23"/>
      <c r="EDB1363" s="23"/>
      <c r="EDC1363" s="23"/>
      <c r="EDD1363" s="23"/>
      <c r="EDE1363" s="23"/>
      <c r="EDF1363" s="23"/>
      <c r="EDG1363" s="23"/>
      <c r="EDH1363" s="23"/>
      <c r="EDI1363" s="23"/>
      <c r="EDJ1363" s="23"/>
      <c r="EDK1363" s="23"/>
      <c r="EDL1363" s="23"/>
      <c r="EDM1363" s="23"/>
      <c r="EDN1363" s="23"/>
      <c r="EDO1363" s="23"/>
      <c r="EDP1363" s="23"/>
      <c r="EDQ1363" s="23"/>
      <c r="EDR1363" s="23"/>
      <c r="EDS1363" s="23"/>
      <c r="EDT1363" s="23"/>
      <c r="EDU1363" s="23"/>
      <c r="EDV1363" s="23"/>
      <c r="EDW1363" s="23"/>
      <c r="EDX1363" s="23"/>
      <c r="EDY1363" s="23"/>
      <c r="EDZ1363" s="23"/>
      <c r="EEA1363" s="23"/>
      <c r="EEB1363" s="23"/>
      <c r="EEC1363" s="23"/>
      <c r="EED1363" s="23"/>
      <c r="EEE1363" s="23"/>
      <c r="EEF1363" s="23"/>
      <c r="EEG1363" s="23"/>
      <c r="EEH1363" s="23"/>
      <c r="EEI1363" s="23"/>
      <c r="EEJ1363" s="23"/>
      <c r="EEK1363" s="23"/>
      <c r="EEL1363" s="23"/>
      <c r="EEM1363" s="23"/>
      <c r="EEN1363" s="23"/>
      <c r="EEO1363" s="23"/>
      <c r="EEP1363" s="23"/>
      <c r="EEQ1363" s="23"/>
      <c r="EER1363" s="23"/>
      <c r="EES1363" s="23"/>
      <c r="EET1363" s="23"/>
      <c r="EEU1363" s="23"/>
      <c r="EEV1363" s="23"/>
      <c r="EEW1363" s="23"/>
      <c r="EEX1363" s="23"/>
      <c r="EEY1363" s="23"/>
      <c r="EEZ1363" s="23"/>
      <c r="EFA1363" s="23"/>
      <c r="EFB1363" s="23"/>
      <c r="EFC1363" s="23"/>
      <c r="EFD1363" s="23"/>
      <c r="EFE1363" s="23"/>
      <c r="EFF1363" s="23"/>
      <c r="EFG1363" s="23"/>
      <c r="EFH1363" s="23"/>
      <c r="EFI1363" s="23"/>
      <c r="EFJ1363" s="23"/>
      <c r="EFK1363" s="23"/>
      <c r="EFL1363" s="23"/>
      <c r="EFM1363" s="23"/>
      <c r="EFN1363" s="23"/>
      <c r="EFO1363" s="23"/>
      <c r="EFP1363" s="23"/>
      <c r="EFQ1363" s="23"/>
      <c r="EFR1363" s="23"/>
      <c r="EFS1363" s="23"/>
      <c r="EFT1363" s="23"/>
      <c r="EFU1363" s="23"/>
      <c r="EFV1363" s="23"/>
      <c r="EFW1363" s="23"/>
      <c r="EFX1363" s="23"/>
      <c r="EFY1363" s="23"/>
      <c r="EFZ1363" s="23"/>
      <c r="EGA1363" s="23"/>
      <c r="EGB1363" s="23"/>
      <c r="EGC1363" s="23"/>
      <c r="EGD1363" s="23"/>
      <c r="EGE1363" s="23"/>
      <c r="EGF1363" s="23"/>
      <c r="EGG1363" s="23"/>
      <c r="EGH1363" s="23"/>
      <c r="EGI1363" s="23"/>
      <c r="EGJ1363" s="23"/>
      <c r="EGK1363" s="23"/>
      <c r="EGL1363" s="23"/>
      <c r="EGM1363" s="23"/>
      <c r="EGN1363" s="23"/>
      <c r="EGO1363" s="23"/>
      <c r="EGP1363" s="23"/>
      <c r="EGQ1363" s="23"/>
      <c r="EGR1363" s="23"/>
      <c r="EGS1363" s="23"/>
      <c r="EGT1363" s="23"/>
      <c r="EGU1363" s="23"/>
      <c r="EGV1363" s="23"/>
      <c r="EGW1363" s="23"/>
      <c r="EGX1363" s="23"/>
      <c r="EGY1363" s="23"/>
      <c r="EGZ1363" s="23"/>
      <c r="EHA1363" s="23"/>
      <c r="EHB1363" s="23"/>
      <c r="EHC1363" s="23"/>
      <c r="EHD1363" s="23"/>
      <c r="EHE1363" s="23"/>
      <c r="EHF1363" s="23"/>
      <c r="EHG1363" s="23"/>
      <c r="EHH1363" s="23"/>
      <c r="EHI1363" s="23"/>
      <c r="EHJ1363" s="23"/>
      <c r="EHK1363" s="23"/>
      <c r="EHL1363" s="23"/>
      <c r="EHM1363" s="23"/>
      <c r="EHN1363" s="23"/>
      <c r="EHO1363" s="23"/>
      <c r="EHP1363" s="23"/>
      <c r="EHQ1363" s="23"/>
      <c r="EHR1363" s="23"/>
      <c r="EHS1363" s="23"/>
      <c r="EHT1363" s="23"/>
      <c r="EHU1363" s="23"/>
      <c r="EHV1363" s="23"/>
      <c r="EHW1363" s="23"/>
      <c r="EHX1363" s="23"/>
      <c r="EHY1363" s="23"/>
      <c r="EHZ1363" s="23"/>
      <c r="EIA1363" s="23"/>
      <c r="EIB1363" s="23"/>
      <c r="EIC1363" s="23"/>
      <c r="EID1363" s="23"/>
      <c r="EIE1363" s="23"/>
      <c r="EIF1363" s="23"/>
      <c r="EIG1363" s="23"/>
      <c r="EIH1363" s="23"/>
      <c r="EII1363" s="23"/>
      <c r="EIJ1363" s="23"/>
      <c r="EIK1363" s="23"/>
      <c r="EIL1363" s="23"/>
      <c r="EIM1363" s="23"/>
      <c r="EIN1363" s="23"/>
      <c r="EIO1363" s="23"/>
      <c r="EIP1363" s="23"/>
      <c r="EIQ1363" s="23"/>
      <c r="EIR1363" s="23"/>
      <c r="EIS1363" s="23"/>
      <c r="EIT1363" s="23"/>
      <c r="EIU1363" s="23"/>
      <c r="EIV1363" s="23"/>
      <c r="EIW1363" s="23"/>
      <c r="EIX1363" s="23"/>
      <c r="EIY1363" s="23"/>
      <c r="EIZ1363" s="23"/>
      <c r="EJA1363" s="23"/>
      <c r="EJB1363" s="23"/>
      <c r="EJC1363" s="23"/>
      <c r="EJD1363" s="23"/>
      <c r="EJE1363" s="23"/>
      <c r="EJF1363" s="23"/>
      <c r="EJG1363" s="23"/>
      <c r="EJH1363" s="23"/>
      <c r="EJI1363" s="23"/>
      <c r="EJJ1363" s="23"/>
      <c r="EJK1363" s="23"/>
      <c r="EJL1363" s="23"/>
      <c r="EJM1363" s="23"/>
      <c r="EJN1363" s="23"/>
      <c r="EJO1363" s="23"/>
      <c r="EJP1363" s="23"/>
      <c r="EJQ1363" s="23"/>
      <c r="EJR1363" s="23"/>
      <c r="EJS1363" s="23"/>
      <c r="EJT1363" s="23"/>
      <c r="EJU1363" s="23"/>
      <c r="EJV1363" s="23"/>
      <c r="EJW1363" s="23"/>
      <c r="EJX1363" s="23"/>
      <c r="EJY1363" s="23"/>
      <c r="EJZ1363" s="23"/>
      <c r="EKA1363" s="23"/>
      <c r="EKB1363" s="23"/>
      <c r="EKC1363" s="23"/>
      <c r="EKD1363" s="23"/>
      <c r="EKE1363" s="23"/>
      <c r="EKF1363" s="23"/>
      <c r="EKG1363" s="23"/>
      <c r="EKH1363" s="23"/>
      <c r="EKI1363" s="23"/>
      <c r="EKJ1363" s="23"/>
      <c r="EKK1363" s="23"/>
      <c r="EKL1363" s="23"/>
      <c r="EKM1363" s="23"/>
      <c r="EKN1363" s="23"/>
      <c r="EKO1363" s="23"/>
      <c r="EKP1363" s="23"/>
      <c r="EKQ1363" s="23"/>
      <c r="EKR1363" s="23"/>
      <c r="EKS1363" s="23"/>
      <c r="EKT1363" s="23"/>
      <c r="EKU1363" s="23"/>
      <c r="EKV1363" s="23"/>
      <c r="EKW1363" s="23"/>
      <c r="EKX1363" s="23"/>
      <c r="EKY1363" s="23"/>
      <c r="EKZ1363" s="23"/>
      <c r="ELA1363" s="23"/>
      <c r="ELB1363" s="23"/>
      <c r="ELC1363" s="23"/>
      <c r="ELD1363" s="23"/>
      <c r="ELE1363" s="23"/>
      <c r="ELF1363" s="23"/>
      <c r="ELG1363" s="23"/>
      <c r="ELH1363" s="23"/>
      <c r="ELI1363" s="23"/>
      <c r="ELJ1363" s="23"/>
      <c r="ELK1363" s="23"/>
      <c r="ELL1363" s="23"/>
      <c r="ELM1363" s="23"/>
      <c r="ELN1363" s="23"/>
      <c r="ELO1363" s="23"/>
      <c r="ELP1363" s="23"/>
      <c r="ELQ1363" s="23"/>
      <c r="ELR1363" s="23"/>
      <c r="ELS1363" s="23"/>
      <c r="ELT1363" s="23"/>
      <c r="ELU1363" s="23"/>
      <c r="ELV1363" s="23"/>
      <c r="ELW1363" s="23"/>
      <c r="ELX1363" s="23"/>
      <c r="ELY1363" s="23"/>
      <c r="ELZ1363" s="23"/>
      <c r="EMA1363" s="23"/>
      <c r="EMB1363" s="23"/>
      <c r="EMC1363" s="23"/>
      <c r="EMD1363" s="23"/>
      <c r="EME1363" s="23"/>
      <c r="EMF1363" s="23"/>
      <c r="EMG1363" s="23"/>
      <c r="EMH1363" s="23"/>
      <c r="EMI1363" s="23"/>
      <c r="EMJ1363" s="23"/>
      <c r="EMK1363" s="23"/>
      <c r="EML1363" s="23"/>
      <c r="EMM1363" s="23"/>
      <c r="EMN1363" s="23"/>
      <c r="EMO1363" s="23"/>
      <c r="EMP1363" s="23"/>
      <c r="EMQ1363" s="23"/>
      <c r="EMR1363" s="23"/>
      <c r="EMS1363" s="23"/>
      <c r="EMT1363" s="23"/>
      <c r="EMU1363" s="23"/>
      <c r="EMV1363" s="23"/>
      <c r="EMW1363" s="23"/>
      <c r="EMX1363" s="23"/>
      <c r="EMY1363" s="23"/>
      <c r="EMZ1363" s="23"/>
      <c r="ENA1363" s="23"/>
      <c r="ENB1363" s="23"/>
      <c r="ENC1363" s="23"/>
      <c r="END1363" s="23"/>
      <c r="ENE1363" s="23"/>
      <c r="ENF1363" s="23"/>
      <c r="ENG1363" s="23"/>
      <c r="ENH1363" s="23"/>
      <c r="ENI1363" s="23"/>
      <c r="ENJ1363" s="23"/>
      <c r="ENK1363" s="23"/>
      <c r="ENL1363" s="23"/>
      <c r="ENM1363" s="23"/>
      <c r="ENN1363" s="23"/>
      <c r="ENO1363" s="23"/>
      <c r="ENP1363" s="23"/>
      <c r="ENQ1363" s="23"/>
      <c r="ENR1363" s="23"/>
      <c r="ENS1363" s="23"/>
      <c r="ENT1363" s="23"/>
      <c r="ENU1363" s="23"/>
      <c r="ENV1363" s="23"/>
      <c r="ENW1363" s="23"/>
      <c r="ENX1363" s="23"/>
      <c r="ENY1363" s="23"/>
      <c r="ENZ1363" s="23"/>
      <c r="EOA1363" s="23"/>
      <c r="EOB1363" s="23"/>
      <c r="EOC1363" s="23"/>
      <c r="EOD1363" s="23"/>
      <c r="EOE1363" s="23"/>
      <c r="EOF1363" s="23"/>
      <c r="EOG1363" s="23"/>
      <c r="EOH1363" s="23"/>
      <c r="EOI1363" s="23"/>
      <c r="EOJ1363" s="23"/>
      <c r="EOK1363" s="23"/>
      <c r="EOL1363" s="23"/>
      <c r="EOM1363" s="23"/>
      <c r="EON1363" s="23"/>
      <c r="EOO1363" s="23"/>
      <c r="EOP1363" s="23"/>
      <c r="EOQ1363" s="23"/>
      <c r="EOR1363" s="23"/>
      <c r="EOS1363" s="23"/>
      <c r="EOT1363" s="23"/>
      <c r="EOU1363" s="23"/>
      <c r="EOV1363" s="23"/>
      <c r="EOW1363" s="23"/>
      <c r="EOX1363" s="23"/>
      <c r="EOY1363" s="23"/>
      <c r="EOZ1363" s="23"/>
      <c r="EPA1363" s="23"/>
      <c r="EPB1363" s="23"/>
      <c r="EPC1363" s="23"/>
      <c r="EPD1363" s="23"/>
      <c r="EPE1363" s="23"/>
      <c r="EPF1363" s="23"/>
      <c r="EPG1363" s="23"/>
      <c r="EPH1363" s="23"/>
      <c r="EPI1363" s="23"/>
      <c r="EPJ1363" s="23"/>
      <c r="EPK1363" s="23"/>
      <c r="EPL1363" s="23"/>
      <c r="EPM1363" s="23"/>
      <c r="EPN1363" s="23"/>
      <c r="EPO1363" s="23"/>
      <c r="EPP1363" s="23"/>
      <c r="EPQ1363" s="23"/>
      <c r="EPR1363" s="23"/>
      <c r="EPS1363" s="23"/>
      <c r="EPT1363" s="23"/>
      <c r="EPU1363" s="23"/>
      <c r="EPV1363" s="23"/>
      <c r="EPW1363" s="23"/>
      <c r="EPX1363" s="23"/>
      <c r="EPY1363" s="23"/>
      <c r="EPZ1363" s="23"/>
      <c r="EQA1363" s="23"/>
      <c r="EQB1363" s="23"/>
      <c r="EQC1363" s="23"/>
      <c r="EQD1363" s="23"/>
      <c r="EQE1363" s="23"/>
      <c r="EQF1363" s="23"/>
      <c r="EQG1363" s="23"/>
      <c r="EQH1363" s="23"/>
      <c r="EQI1363" s="23"/>
      <c r="EQJ1363" s="23"/>
      <c r="EQK1363" s="23"/>
      <c r="EQL1363" s="23"/>
      <c r="EQM1363" s="23"/>
      <c r="EQN1363" s="23"/>
      <c r="EQO1363" s="23"/>
      <c r="EQP1363" s="23"/>
      <c r="EQQ1363" s="23"/>
      <c r="EQR1363" s="23"/>
      <c r="EQS1363" s="23"/>
      <c r="EQT1363" s="23"/>
      <c r="EQU1363" s="23"/>
      <c r="EQV1363" s="23"/>
      <c r="EQW1363" s="23"/>
      <c r="EQX1363" s="23"/>
      <c r="EQY1363" s="23"/>
      <c r="EQZ1363" s="23"/>
      <c r="ERA1363" s="23"/>
      <c r="ERB1363" s="23"/>
      <c r="ERC1363" s="23"/>
      <c r="ERD1363" s="23"/>
      <c r="ERE1363" s="23"/>
      <c r="ERF1363" s="23"/>
      <c r="ERG1363" s="23"/>
      <c r="ERH1363" s="23"/>
      <c r="ERI1363" s="23"/>
      <c r="ERJ1363" s="23"/>
      <c r="ERK1363" s="23"/>
      <c r="ERL1363" s="23"/>
      <c r="ERM1363" s="23"/>
      <c r="ERN1363" s="23"/>
      <c r="ERO1363" s="23"/>
      <c r="ERP1363" s="23"/>
      <c r="ERQ1363" s="23"/>
      <c r="ERR1363" s="23"/>
      <c r="ERS1363" s="23"/>
      <c r="ERT1363" s="23"/>
      <c r="ERU1363" s="23"/>
      <c r="ERV1363" s="23"/>
      <c r="ERW1363" s="23"/>
      <c r="ERX1363" s="23"/>
      <c r="ERY1363" s="23"/>
      <c r="ERZ1363" s="23"/>
      <c r="ESA1363" s="23"/>
      <c r="ESB1363" s="23"/>
      <c r="ESC1363" s="23"/>
      <c r="ESD1363" s="23"/>
      <c r="ESE1363" s="23"/>
      <c r="ESF1363" s="23"/>
      <c r="ESG1363" s="23"/>
      <c r="ESH1363" s="23"/>
      <c r="ESI1363" s="23"/>
      <c r="ESJ1363" s="23"/>
      <c r="ESK1363" s="23"/>
      <c r="ESL1363" s="23"/>
      <c r="ESM1363" s="23"/>
      <c r="ESN1363" s="23"/>
      <c r="ESO1363" s="23"/>
      <c r="ESP1363" s="23"/>
      <c r="ESQ1363" s="23"/>
      <c r="ESR1363" s="23"/>
      <c r="ESS1363" s="23"/>
      <c r="EST1363" s="23"/>
      <c r="ESU1363" s="23"/>
      <c r="ESV1363" s="23"/>
      <c r="ESW1363" s="23"/>
      <c r="ESX1363" s="23"/>
      <c r="ESY1363" s="23"/>
      <c r="ESZ1363" s="23"/>
      <c r="ETA1363" s="23"/>
      <c r="ETB1363" s="23"/>
      <c r="ETC1363" s="23"/>
      <c r="ETD1363" s="23"/>
      <c r="ETE1363" s="23"/>
      <c r="ETF1363" s="23"/>
      <c r="ETG1363" s="23"/>
      <c r="ETH1363" s="23"/>
      <c r="ETI1363" s="23"/>
      <c r="ETJ1363" s="23"/>
      <c r="ETK1363" s="23"/>
      <c r="ETL1363" s="23"/>
      <c r="ETM1363" s="23"/>
      <c r="ETN1363" s="23"/>
      <c r="ETO1363" s="23"/>
      <c r="ETP1363" s="23"/>
      <c r="ETQ1363" s="23"/>
      <c r="ETR1363" s="23"/>
      <c r="ETS1363" s="23"/>
      <c r="ETT1363" s="23"/>
      <c r="ETU1363" s="23"/>
      <c r="ETV1363" s="23"/>
      <c r="ETW1363" s="23"/>
      <c r="ETX1363" s="23"/>
      <c r="ETY1363" s="23"/>
      <c r="ETZ1363" s="23"/>
      <c r="EUA1363" s="23"/>
      <c r="EUB1363" s="23"/>
      <c r="EUC1363" s="23"/>
      <c r="EUD1363" s="23"/>
      <c r="EUE1363" s="23"/>
      <c r="EUF1363" s="23"/>
      <c r="EUG1363" s="23"/>
      <c r="EUH1363" s="23"/>
      <c r="EUI1363" s="23"/>
      <c r="EUJ1363" s="23"/>
      <c r="EUK1363" s="23"/>
      <c r="EUL1363" s="23"/>
      <c r="EUM1363" s="23"/>
      <c r="EUN1363" s="23"/>
      <c r="EUO1363" s="23"/>
      <c r="EUP1363" s="23"/>
      <c r="EUQ1363" s="23"/>
      <c r="EUR1363" s="23"/>
      <c r="EUS1363" s="23"/>
      <c r="EUT1363" s="23"/>
      <c r="EUU1363" s="23"/>
      <c r="EUV1363" s="23"/>
      <c r="EUW1363" s="23"/>
      <c r="EUX1363" s="23"/>
      <c r="EUY1363" s="23"/>
      <c r="EUZ1363" s="23"/>
      <c r="EVA1363" s="23"/>
      <c r="EVB1363" s="23"/>
      <c r="EVC1363" s="23"/>
      <c r="EVD1363" s="23"/>
      <c r="EVE1363" s="23"/>
      <c r="EVF1363" s="23"/>
      <c r="EVG1363" s="23"/>
      <c r="EVH1363" s="23"/>
      <c r="EVI1363" s="23"/>
      <c r="EVJ1363" s="23"/>
      <c r="EVK1363" s="23"/>
      <c r="EVL1363" s="23"/>
      <c r="EVM1363" s="23"/>
      <c r="EVN1363" s="23"/>
      <c r="EVO1363" s="23"/>
      <c r="EVP1363" s="23"/>
      <c r="EVQ1363" s="23"/>
      <c r="EVR1363" s="23"/>
      <c r="EVS1363" s="23"/>
      <c r="EVT1363" s="23"/>
      <c r="EVU1363" s="23"/>
      <c r="EVV1363" s="23"/>
      <c r="EVW1363" s="23"/>
      <c r="EVX1363" s="23"/>
      <c r="EVY1363" s="23"/>
      <c r="EVZ1363" s="23"/>
      <c r="EWA1363" s="23"/>
      <c r="EWB1363" s="23"/>
      <c r="EWC1363" s="23"/>
      <c r="EWD1363" s="23"/>
      <c r="EWE1363" s="23"/>
      <c r="EWF1363" s="23"/>
      <c r="EWG1363" s="23"/>
      <c r="EWH1363" s="23"/>
      <c r="EWI1363" s="23"/>
      <c r="EWJ1363" s="23"/>
      <c r="EWK1363" s="23"/>
      <c r="EWL1363" s="23"/>
      <c r="EWM1363" s="23"/>
      <c r="EWN1363" s="23"/>
      <c r="EWO1363" s="23"/>
      <c r="EWP1363" s="23"/>
      <c r="EWQ1363" s="23"/>
      <c r="EWR1363" s="23"/>
      <c r="EWS1363" s="23"/>
      <c r="EWT1363" s="23"/>
      <c r="EWU1363" s="23"/>
      <c r="EWV1363" s="23"/>
      <c r="EWW1363" s="23"/>
      <c r="EWX1363" s="23"/>
      <c r="EWY1363" s="23"/>
      <c r="EWZ1363" s="23"/>
      <c r="EXA1363" s="23"/>
      <c r="EXB1363" s="23"/>
      <c r="EXC1363" s="23"/>
      <c r="EXD1363" s="23"/>
      <c r="EXE1363" s="23"/>
      <c r="EXF1363" s="23"/>
      <c r="EXG1363" s="23"/>
      <c r="EXH1363" s="23"/>
      <c r="EXI1363" s="23"/>
      <c r="EXJ1363" s="23"/>
      <c r="EXK1363" s="23"/>
      <c r="EXL1363" s="23"/>
      <c r="EXM1363" s="23"/>
      <c r="EXN1363" s="23"/>
      <c r="EXO1363" s="23"/>
      <c r="EXP1363" s="23"/>
      <c r="EXQ1363" s="23"/>
      <c r="EXR1363" s="23"/>
      <c r="EXS1363" s="23"/>
      <c r="EXT1363" s="23"/>
      <c r="EXU1363" s="23"/>
      <c r="EXV1363" s="23"/>
      <c r="EXW1363" s="23"/>
      <c r="EXX1363" s="23"/>
      <c r="EXY1363" s="23"/>
      <c r="EXZ1363" s="23"/>
      <c r="EYA1363" s="23"/>
      <c r="EYB1363" s="23"/>
      <c r="EYC1363" s="23"/>
      <c r="EYD1363" s="23"/>
      <c r="EYE1363" s="23"/>
      <c r="EYF1363" s="23"/>
      <c r="EYG1363" s="23"/>
      <c r="EYH1363" s="23"/>
      <c r="EYI1363" s="23"/>
      <c r="EYJ1363" s="23"/>
      <c r="EYK1363" s="23"/>
      <c r="EYL1363" s="23"/>
      <c r="EYM1363" s="23"/>
      <c r="EYN1363" s="23"/>
      <c r="EYO1363" s="23"/>
      <c r="EYP1363" s="23"/>
      <c r="EYQ1363" s="23"/>
      <c r="EYR1363" s="23"/>
      <c r="EYS1363" s="23"/>
      <c r="EYT1363" s="23"/>
      <c r="EYU1363" s="23"/>
      <c r="EYV1363" s="23"/>
      <c r="EYW1363" s="23"/>
      <c r="EYX1363" s="23"/>
      <c r="EYY1363" s="23"/>
      <c r="EYZ1363" s="23"/>
      <c r="EZA1363" s="23"/>
      <c r="EZB1363" s="23"/>
      <c r="EZC1363" s="23"/>
      <c r="EZD1363" s="23"/>
      <c r="EZE1363" s="23"/>
      <c r="EZF1363" s="23"/>
      <c r="EZG1363" s="23"/>
      <c r="EZH1363" s="23"/>
      <c r="EZI1363" s="23"/>
      <c r="EZJ1363" s="23"/>
      <c r="EZK1363" s="23"/>
      <c r="EZL1363" s="23"/>
      <c r="EZM1363" s="23"/>
      <c r="EZN1363" s="23"/>
      <c r="EZO1363" s="23"/>
      <c r="EZP1363" s="23"/>
      <c r="EZQ1363" s="23"/>
      <c r="EZR1363" s="23"/>
      <c r="EZS1363" s="23"/>
      <c r="EZT1363" s="23"/>
      <c r="EZU1363" s="23"/>
      <c r="EZV1363" s="23"/>
      <c r="EZW1363" s="23"/>
      <c r="EZX1363" s="23"/>
      <c r="EZY1363" s="23"/>
      <c r="EZZ1363" s="23"/>
      <c r="FAA1363" s="23"/>
      <c r="FAB1363" s="23"/>
      <c r="FAC1363" s="23"/>
      <c r="FAD1363" s="23"/>
      <c r="FAE1363" s="23"/>
      <c r="FAF1363" s="23"/>
      <c r="FAG1363" s="23"/>
      <c r="FAH1363" s="23"/>
      <c r="FAI1363" s="23"/>
      <c r="FAJ1363" s="23"/>
      <c r="FAK1363" s="23"/>
      <c r="FAL1363" s="23"/>
      <c r="FAM1363" s="23"/>
      <c r="FAN1363" s="23"/>
      <c r="FAO1363" s="23"/>
      <c r="FAP1363" s="23"/>
      <c r="FAQ1363" s="23"/>
      <c r="FAR1363" s="23"/>
      <c r="FAS1363" s="23"/>
      <c r="FAT1363" s="23"/>
      <c r="FAU1363" s="23"/>
      <c r="FAV1363" s="23"/>
      <c r="FAW1363" s="23"/>
      <c r="FAX1363" s="23"/>
      <c r="FAY1363" s="23"/>
      <c r="FAZ1363" s="23"/>
      <c r="FBA1363" s="23"/>
      <c r="FBB1363" s="23"/>
      <c r="FBC1363" s="23"/>
      <c r="FBD1363" s="23"/>
      <c r="FBE1363" s="23"/>
      <c r="FBF1363" s="23"/>
      <c r="FBG1363" s="23"/>
      <c r="FBH1363" s="23"/>
      <c r="FBI1363" s="23"/>
      <c r="FBJ1363" s="23"/>
      <c r="FBK1363" s="23"/>
      <c r="FBL1363" s="23"/>
      <c r="FBM1363" s="23"/>
      <c r="FBN1363" s="23"/>
      <c r="FBO1363" s="23"/>
      <c r="FBP1363" s="23"/>
      <c r="FBQ1363" s="23"/>
      <c r="FBR1363" s="23"/>
      <c r="FBS1363" s="23"/>
      <c r="FBT1363" s="23"/>
      <c r="FBU1363" s="23"/>
      <c r="FBV1363" s="23"/>
      <c r="FBW1363" s="23"/>
      <c r="FBX1363" s="23"/>
      <c r="FBY1363" s="23"/>
      <c r="FBZ1363" s="23"/>
      <c r="FCA1363" s="23"/>
      <c r="FCB1363" s="23"/>
      <c r="FCC1363" s="23"/>
      <c r="FCD1363" s="23"/>
      <c r="FCE1363" s="23"/>
      <c r="FCF1363" s="23"/>
      <c r="FCG1363" s="23"/>
      <c r="FCH1363" s="23"/>
      <c r="FCI1363" s="23"/>
      <c r="FCJ1363" s="23"/>
      <c r="FCK1363" s="23"/>
      <c r="FCL1363" s="23"/>
      <c r="FCM1363" s="23"/>
      <c r="FCN1363" s="23"/>
      <c r="FCO1363" s="23"/>
      <c r="FCP1363" s="23"/>
      <c r="FCQ1363" s="23"/>
      <c r="FCR1363" s="23"/>
      <c r="FCS1363" s="23"/>
      <c r="FCT1363" s="23"/>
      <c r="FCU1363" s="23"/>
      <c r="FCV1363" s="23"/>
      <c r="FCW1363" s="23"/>
      <c r="FCX1363" s="23"/>
      <c r="FCY1363" s="23"/>
      <c r="FCZ1363" s="23"/>
      <c r="FDA1363" s="23"/>
      <c r="FDB1363" s="23"/>
      <c r="FDC1363" s="23"/>
      <c r="FDD1363" s="23"/>
      <c r="FDE1363" s="23"/>
      <c r="FDF1363" s="23"/>
      <c r="FDG1363" s="23"/>
      <c r="FDH1363" s="23"/>
      <c r="FDI1363" s="23"/>
      <c r="FDJ1363" s="23"/>
      <c r="FDK1363" s="23"/>
      <c r="FDL1363" s="23"/>
      <c r="FDM1363" s="23"/>
      <c r="FDN1363" s="23"/>
      <c r="FDO1363" s="23"/>
      <c r="FDP1363" s="23"/>
      <c r="FDQ1363" s="23"/>
      <c r="FDR1363" s="23"/>
      <c r="FDS1363" s="23"/>
      <c r="FDT1363" s="23"/>
      <c r="FDU1363" s="23"/>
      <c r="FDV1363" s="23"/>
      <c r="FDW1363" s="23"/>
      <c r="FDX1363" s="23"/>
      <c r="FDY1363" s="23"/>
      <c r="FDZ1363" s="23"/>
      <c r="FEA1363" s="23"/>
      <c r="FEB1363" s="23"/>
      <c r="FEC1363" s="23"/>
      <c r="FED1363" s="23"/>
      <c r="FEE1363" s="23"/>
      <c r="FEF1363" s="23"/>
      <c r="FEG1363" s="23"/>
      <c r="FEH1363" s="23"/>
      <c r="FEI1363" s="23"/>
      <c r="FEJ1363" s="23"/>
      <c r="FEK1363" s="23"/>
      <c r="FEL1363" s="23"/>
      <c r="FEM1363" s="23"/>
      <c r="FEN1363" s="23"/>
      <c r="FEO1363" s="23"/>
      <c r="FEP1363" s="23"/>
      <c r="FEQ1363" s="23"/>
      <c r="FER1363" s="23"/>
      <c r="FES1363" s="23"/>
      <c r="FET1363" s="23"/>
      <c r="FEU1363" s="23"/>
      <c r="FEV1363" s="23"/>
      <c r="FEW1363" s="23"/>
      <c r="FEX1363" s="23"/>
      <c r="FEY1363" s="23"/>
      <c r="FEZ1363" s="23"/>
      <c r="FFA1363" s="23"/>
      <c r="FFB1363" s="23"/>
      <c r="FFC1363" s="23"/>
      <c r="FFD1363" s="23"/>
      <c r="FFE1363" s="23"/>
      <c r="FFF1363" s="23"/>
      <c r="FFG1363" s="23"/>
      <c r="FFH1363" s="23"/>
      <c r="FFI1363" s="23"/>
      <c r="FFJ1363" s="23"/>
      <c r="FFK1363" s="23"/>
      <c r="FFL1363" s="23"/>
      <c r="FFM1363" s="23"/>
      <c r="FFN1363" s="23"/>
      <c r="FFO1363" s="23"/>
      <c r="FFP1363" s="23"/>
      <c r="FFQ1363" s="23"/>
      <c r="FFR1363" s="23"/>
      <c r="FFS1363" s="23"/>
      <c r="FFT1363" s="23"/>
      <c r="FFU1363" s="23"/>
      <c r="FFV1363" s="23"/>
      <c r="FFW1363" s="23"/>
      <c r="FFX1363" s="23"/>
      <c r="FFY1363" s="23"/>
      <c r="FFZ1363" s="23"/>
      <c r="FGA1363" s="23"/>
      <c r="FGB1363" s="23"/>
      <c r="FGC1363" s="23"/>
      <c r="FGD1363" s="23"/>
      <c r="FGE1363" s="23"/>
      <c r="FGF1363" s="23"/>
      <c r="FGG1363" s="23"/>
      <c r="FGH1363" s="23"/>
      <c r="FGI1363" s="23"/>
      <c r="FGJ1363" s="23"/>
      <c r="FGK1363" s="23"/>
      <c r="FGL1363" s="23"/>
      <c r="FGM1363" s="23"/>
      <c r="FGN1363" s="23"/>
      <c r="FGO1363" s="23"/>
      <c r="FGP1363" s="23"/>
      <c r="FGQ1363" s="23"/>
      <c r="FGR1363" s="23"/>
      <c r="FGS1363" s="23"/>
      <c r="FGT1363" s="23"/>
      <c r="FGU1363" s="23"/>
      <c r="FGV1363" s="23"/>
      <c r="FGW1363" s="23"/>
      <c r="FGX1363" s="23"/>
      <c r="FGY1363" s="23"/>
      <c r="FGZ1363" s="23"/>
      <c r="FHA1363" s="23"/>
      <c r="FHB1363" s="23"/>
      <c r="FHC1363" s="23"/>
      <c r="FHD1363" s="23"/>
      <c r="FHE1363" s="23"/>
      <c r="FHF1363" s="23"/>
      <c r="FHG1363" s="23"/>
      <c r="FHH1363" s="23"/>
      <c r="FHI1363" s="23"/>
      <c r="FHJ1363" s="23"/>
      <c r="FHK1363" s="23"/>
      <c r="FHL1363" s="23"/>
      <c r="FHM1363" s="23"/>
      <c r="FHN1363" s="23"/>
      <c r="FHO1363" s="23"/>
      <c r="FHP1363" s="23"/>
      <c r="FHQ1363" s="23"/>
      <c r="FHR1363" s="23"/>
      <c r="FHS1363" s="23"/>
      <c r="FHT1363" s="23"/>
      <c r="FHU1363" s="23"/>
      <c r="FHV1363" s="23"/>
      <c r="FHW1363" s="23"/>
      <c r="FHX1363" s="23"/>
      <c r="FHY1363" s="23"/>
      <c r="FHZ1363" s="23"/>
      <c r="FIA1363" s="23"/>
      <c r="FIB1363" s="23"/>
      <c r="FIC1363" s="23"/>
      <c r="FID1363" s="23"/>
      <c r="FIE1363" s="23"/>
      <c r="FIF1363" s="23"/>
      <c r="FIG1363" s="23"/>
      <c r="FIH1363" s="23"/>
      <c r="FII1363" s="23"/>
      <c r="FIJ1363" s="23"/>
      <c r="FIK1363" s="23"/>
      <c r="FIL1363" s="23"/>
      <c r="FIM1363" s="23"/>
      <c r="FIN1363" s="23"/>
      <c r="FIO1363" s="23"/>
      <c r="FIP1363" s="23"/>
      <c r="FIQ1363" s="23"/>
      <c r="FIR1363" s="23"/>
      <c r="FIS1363" s="23"/>
      <c r="FIT1363" s="23"/>
      <c r="FIU1363" s="23"/>
      <c r="FIV1363" s="23"/>
      <c r="FIW1363" s="23"/>
      <c r="FIX1363" s="23"/>
      <c r="FIY1363" s="23"/>
      <c r="FIZ1363" s="23"/>
      <c r="FJA1363" s="23"/>
      <c r="FJB1363" s="23"/>
      <c r="FJC1363" s="23"/>
      <c r="FJD1363" s="23"/>
      <c r="FJE1363" s="23"/>
      <c r="FJF1363" s="23"/>
      <c r="FJG1363" s="23"/>
      <c r="FJH1363" s="23"/>
      <c r="FJI1363" s="23"/>
      <c r="FJJ1363" s="23"/>
      <c r="FJK1363" s="23"/>
      <c r="FJL1363" s="23"/>
      <c r="FJM1363" s="23"/>
      <c r="FJN1363" s="23"/>
      <c r="FJO1363" s="23"/>
      <c r="FJP1363" s="23"/>
      <c r="FJQ1363" s="23"/>
      <c r="FJR1363" s="23"/>
      <c r="FJS1363" s="23"/>
      <c r="FJT1363" s="23"/>
      <c r="FJU1363" s="23"/>
      <c r="FJV1363" s="23"/>
      <c r="FJW1363" s="23"/>
      <c r="FJX1363" s="23"/>
      <c r="FJY1363" s="23"/>
      <c r="FJZ1363" s="23"/>
      <c r="FKA1363" s="23"/>
      <c r="FKB1363" s="23"/>
      <c r="FKC1363" s="23"/>
      <c r="FKD1363" s="23"/>
      <c r="FKE1363" s="23"/>
      <c r="FKF1363" s="23"/>
      <c r="FKG1363" s="23"/>
      <c r="FKH1363" s="23"/>
      <c r="FKI1363" s="23"/>
      <c r="FKJ1363" s="23"/>
      <c r="FKK1363" s="23"/>
      <c r="FKL1363" s="23"/>
      <c r="FKM1363" s="23"/>
      <c r="FKN1363" s="23"/>
      <c r="FKO1363" s="23"/>
      <c r="FKP1363" s="23"/>
      <c r="FKQ1363" s="23"/>
      <c r="FKR1363" s="23"/>
      <c r="FKS1363" s="23"/>
      <c r="FKT1363" s="23"/>
      <c r="FKU1363" s="23"/>
      <c r="FKV1363" s="23"/>
      <c r="FKW1363" s="23"/>
      <c r="FKX1363" s="23"/>
      <c r="FKY1363" s="23"/>
      <c r="FKZ1363" s="23"/>
      <c r="FLA1363" s="23"/>
      <c r="FLB1363" s="23"/>
      <c r="FLC1363" s="23"/>
      <c r="FLD1363" s="23"/>
      <c r="FLE1363" s="23"/>
      <c r="FLF1363" s="23"/>
      <c r="FLG1363" s="23"/>
      <c r="FLH1363" s="23"/>
      <c r="FLI1363" s="23"/>
      <c r="FLJ1363" s="23"/>
      <c r="FLK1363" s="23"/>
      <c r="FLL1363" s="23"/>
      <c r="FLM1363" s="23"/>
      <c r="FLN1363" s="23"/>
      <c r="FLO1363" s="23"/>
      <c r="FLP1363" s="23"/>
      <c r="FLQ1363" s="23"/>
      <c r="FLR1363" s="23"/>
      <c r="FLS1363" s="23"/>
      <c r="FLT1363" s="23"/>
      <c r="FLU1363" s="23"/>
      <c r="FLV1363" s="23"/>
      <c r="FLW1363" s="23"/>
      <c r="FLX1363" s="23"/>
      <c r="FLY1363" s="23"/>
      <c r="FLZ1363" s="23"/>
      <c r="FMA1363" s="23"/>
      <c r="FMB1363" s="23"/>
      <c r="FMC1363" s="23"/>
      <c r="FMD1363" s="23"/>
      <c r="FME1363" s="23"/>
      <c r="FMF1363" s="23"/>
      <c r="FMG1363" s="23"/>
      <c r="FMH1363" s="23"/>
      <c r="FMI1363" s="23"/>
      <c r="FMJ1363" s="23"/>
      <c r="FMK1363" s="23"/>
      <c r="FML1363" s="23"/>
      <c r="FMM1363" s="23"/>
      <c r="FMN1363" s="23"/>
      <c r="FMO1363" s="23"/>
      <c r="FMP1363" s="23"/>
      <c r="FMQ1363" s="23"/>
      <c r="FMR1363" s="23"/>
      <c r="FMS1363" s="23"/>
      <c r="FMT1363" s="23"/>
      <c r="FMU1363" s="23"/>
      <c r="FMV1363" s="23"/>
      <c r="FMW1363" s="23"/>
      <c r="FMX1363" s="23"/>
      <c r="FMY1363" s="23"/>
      <c r="FMZ1363" s="23"/>
      <c r="FNA1363" s="23"/>
      <c r="FNB1363" s="23"/>
      <c r="FNC1363" s="23"/>
      <c r="FND1363" s="23"/>
      <c r="FNE1363" s="23"/>
      <c r="FNF1363" s="23"/>
      <c r="FNG1363" s="23"/>
      <c r="FNH1363" s="23"/>
      <c r="FNI1363" s="23"/>
      <c r="FNJ1363" s="23"/>
      <c r="FNK1363" s="23"/>
      <c r="FNL1363" s="23"/>
      <c r="FNM1363" s="23"/>
      <c r="FNN1363" s="23"/>
      <c r="FNO1363" s="23"/>
      <c r="FNP1363" s="23"/>
      <c r="FNQ1363" s="23"/>
      <c r="FNR1363" s="23"/>
      <c r="FNS1363" s="23"/>
      <c r="FNT1363" s="23"/>
      <c r="FNU1363" s="23"/>
      <c r="FNV1363" s="23"/>
      <c r="FNW1363" s="23"/>
      <c r="FNX1363" s="23"/>
      <c r="FNY1363" s="23"/>
      <c r="FNZ1363" s="23"/>
      <c r="FOA1363" s="23"/>
      <c r="FOB1363" s="23"/>
      <c r="FOC1363" s="23"/>
      <c r="FOD1363" s="23"/>
      <c r="FOE1363" s="23"/>
      <c r="FOF1363" s="23"/>
      <c r="FOG1363" s="23"/>
      <c r="FOH1363" s="23"/>
      <c r="FOI1363" s="23"/>
      <c r="FOJ1363" s="23"/>
      <c r="FOK1363" s="23"/>
      <c r="FOL1363" s="23"/>
      <c r="FOM1363" s="23"/>
      <c r="FON1363" s="23"/>
      <c r="FOO1363" s="23"/>
      <c r="FOP1363" s="23"/>
      <c r="FOQ1363" s="23"/>
      <c r="FOR1363" s="23"/>
      <c r="FOS1363" s="23"/>
      <c r="FOT1363" s="23"/>
      <c r="FOU1363" s="23"/>
      <c r="FOV1363" s="23"/>
      <c r="FOW1363" s="23"/>
      <c r="FOX1363" s="23"/>
      <c r="FOY1363" s="23"/>
      <c r="FOZ1363" s="23"/>
      <c r="FPA1363" s="23"/>
      <c r="FPB1363" s="23"/>
      <c r="FPC1363" s="23"/>
      <c r="FPD1363" s="23"/>
      <c r="FPE1363" s="23"/>
      <c r="FPF1363" s="23"/>
      <c r="FPG1363" s="23"/>
      <c r="FPH1363" s="23"/>
      <c r="FPI1363" s="23"/>
      <c r="FPJ1363" s="23"/>
      <c r="FPK1363" s="23"/>
      <c r="FPL1363" s="23"/>
      <c r="FPM1363" s="23"/>
      <c r="FPN1363" s="23"/>
      <c r="FPO1363" s="23"/>
      <c r="FPP1363" s="23"/>
      <c r="FPQ1363" s="23"/>
      <c r="FPR1363" s="23"/>
      <c r="FPS1363" s="23"/>
      <c r="FPT1363" s="23"/>
      <c r="FPU1363" s="23"/>
      <c r="FPV1363" s="23"/>
      <c r="FPW1363" s="23"/>
      <c r="FPX1363" s="23"/>
      <c r="FPY1363" s="23"/>
      <c r="FPZ1363" s="23"/>
      <c r="FQA1363" s="23"/>
      <c r="FQB1363" s="23"/>
      <c r="FQC1363" s="23"/>
      <c r="FQD1363" s="23"/>
      <c r="FQE1363" s="23"/>
      <c r="FQF1363" s="23"/>
      <c r="FQG1363" s="23"/>
      <c r="FQH1363" s="23"/>
      <c r="FQI1363" s="23"/>
      <c r="FQJ1363" s="23"/>
      <c r="FQK1363" s="23"/>
      <c r="FQL1363" s="23"/>
      <c r="FQM1363" s="23"/>
      <c r="FQN1363" s="23"/>
      <c r="FQO1363" s="23"/>
      <c r="FQP1363" s="23"/>
      <c r="FQQ1363" s="23"/>
      <c r="FQR1363" s="23"/>
      <c r="FQS1363" s="23"/>
      <c r="FQT1363" s="23"/>
      <c r="FQU1363" s="23"/>
      <c r="FQV1363" s="23"/>
      <c r="FQW1363" s="23"/>
      <c r="FQX1363" s="23"/>
      <c r="FQY1363" s="23"/>
      <c r="FQZ1363" s="23"/>
      <c r="FRA1363" s="23"/>
      <c r="FRB1363" s="23"/>
      <c r="FRC1363" s="23"/>
      <c r="FRD1363" s="23"/>
      <c r="FRE1363" s="23"/>
      <c r="FRF1363" s="23"/>
      <c r="FRG1363" s="23"/>
      <c r="FRH1363" s="23"/>
      <c r="FRI1363" s="23"/>
      <c r="FRJ1363" s="23"/>
      <c r="FRK1363" s="23"/>
      <c r="FRL1363" s="23"/>
      <c r="FRM1363" s="23"/>
      <c r="FRN1363" s="23"/>
      <c r="FRO1363" s="23"/>
      <c r="FRP1363" s="23"/>
      <c r="FRQ1363" s="23"/>
      <c r="FRR1363" s="23"/>
      <c r="FRS1363" s="23"/>
      <c r="FRT1363" s="23"/>
      <c r="FRU1363" s="23"/>
      <c r="FRV1363" s="23"/>
      <c r="FRW1363" s="23"/>
      <c r="FRX1363" s="23"/>
      <c r="FRY1363" s="23"/>
      <c r="FRZ1363" s="23"/>
      <c r="FSA1363" s="23"/>
      <c r="FSB1363" s="23"/>
      <c r="FSC1363" s="23"/>
      <c r="FSD1363" s="23"/>
      <c r="FSE1363" s="23"/>
      <c r="FSF1363" s="23"/>
      <c r="FSG1363" s="23"/>
      <c r="FSH1363" s="23"/>
      <c r="FSI1363" s="23"/>
      <c r="FSJ1363" s="23"/>
      <c r="FSK1363" s="23"/>
      <c r="FSL1363" s="23"/>
      <c r="FSM1363" s="23"/>
      <c r="FSN1363" s="23"/>
      <c r="FSO1363" s="23"/>
      <c r="FSP1363" s="23"/>
      <c r="FSQ1363" s="23"/>
      <c r="FSR1363" s="23"/>
      <c r="FSS1363" s="23"/>
      <c r="FST1363" s="23"/>
      <c r="FSU1363" s="23"/>
      <c r="FSV1363" s="23"/>
      <c r="FSW1363" s="23"/>
      <c r="FSX1363" s="23"/>
      <c r="FSY1363" s="23"/>
      <c r="FSZ1363" s="23"/>
      <c r="FTA1363" s="23"/>
      <c r="FTB1363" s="23"/>
      <c r="FTC1363" s="23"/>
      <c r="FTD1363" s="23"/>
      <c r="FTE1363" s="23"/>
      <c r="FTF1363" s="23"/>
      <c r="FTG1363" s="23"/>
      <c r="FTH1363" s="23"/>
      <c r="FTI1363" s="23"/>
      <c r="FTJ1363" s="23"/>
      <c r="FTK1363" s="23"/>
      <c r="FTL1363" s="23"/>
      <c r="FTM1363" s="23"/>
      <c r="FTN1363" s="23"/>
      <c r="FTO1363" s="23"/>
      <c r="FTP1363" s="23"/>
      <c r="FTQ1363" s="23"/>
      <c r="FTR1363" s="23"/>
      <c r="FTS1363" s="23"/>
      <c r="FTT1363" s="23"/>
      <c r="FTU1363" s="23"/>
      <c r="FTV1363" s="23"/>
      <c r="FTW1363" s="23"/>
      <c r="FTX1363" s="23"/>
      <c r="FTY1363" s="23"/>
      <c r="FTZ1363" s="23"/>
      <c r="FUA1363" s="23"/>
      <c r="FUB1363" s="23"/>
      <c r="FUC1363" s="23"/>
      <c r="FUD1363" s="23"/>
      <c r="FUE1363" s="23"/>
      <c r="FUF1363" s="23"/>
      <c r="FUG1363" s="23"/>
      <c r="FUH1363" s="23"/>
      <c r="FUI1363" s="23"/>
      <c r="FUJ1363" s="23"/>
      <c r="FUK1363" s="23"/>
      <c r="FUL1363" s="23"/>
      <c r="FUM1363" s="23"/>
      <c r="FUN1363" s="23"/>
      <c r="FUO1363" s="23"/>
      <c r="FUP1363" s="23"/>
      <c r="FUQ1363" s="23"/>
      <c r="FUR1363" s="23"/>
      <c r="FUS1363" s="23"/>
      <c r="FUT1363" s="23"/>
      <c r="FUU1363" s="23"/>
      <c r="FUV1363" s="23"/>
      <c r="FUW1363" s="23"/>
      <c r="FUX1363" s="23"/>
      <c r="FUY1363" s="23"/>
      <c r="FUZ1363" s="23"/>
      <c r="FVA1363" s="23"/>
      <c r="FVB1363" s="23"/>
      <c r="FVC1363" s="23"/>
      <c r="FVD1363" s="23"/>
      <c r="FVE1363" s="23"/>
      <c r="FVF1363" s="23"/>
      <c r="FVG1363" s="23"/>
      <c r="FVH1363" s="23"/>
      <c r="FVI1363" s="23"/>
      <c r="FVJ1363" s="23"/>
      <c r="FVK1363" s="23"/>
      <c r="FVL1363" s="23"/>
      <c r="FVM1363" s="23"/>
      <c r="FVN1363" s="23"/>
      <c r="FVO1363" s="23"/>
      <c r="FVP1363" s="23"/>
      <c r="FVQ1363" s="23"/>
      <c r="FVR1363" s="23"/>
      <c r="FVS1363" s="23"/>
      <c r="FVT1363" s="23"/>
      <c r="FVU1363" s="23"/>
      <c r="FVV1363" s="23"/>
      <c r="FVW1363" s="23"/>
      <c r="FVX1363" s="23"/>
      <c r="FVY1363" s="23"/>
      <c r="FVZ1363" s="23"/>
      <c r="FWA1363" s="23"/>
      <c r="FWB1363" s="23"/>
      <c r="FWC1363" s="23"/>
      <c r="FWD1363" s="23"/>
      <c r="FWE1363" s="23"/>
      <c r="FWF1363" s="23"/>
      <c r="FWG1363" s="23"/>
      <c r="FWH1363" s="23"/>
      <c r="FWI1363" s="23"/>
      <c r="FWJ1363" s="23"/>
      <c r="FWK1363" s="23"/>
      <c r="FWL1363" s="23"/>
      <c r="FWM1363" s="23"/>
      <c r="FWN1363" s="23"/>
      <c r="FWO1363" s="23"/>
      <c r="FWP1363" s="23"/>
      <c r="FWQ1363" s="23"/>
      <c r="FWR1363" s="23"/>
      <c r="FWS1363" s="23"/>
      <c r="FWT1363" s="23"/>
      <c r="FWU1363" s="23"/>
      <c r="FWV1363" s="23"/>
      <c r="FWW1363" s="23"/>
      <c r="FWX1363" s="23"/>
      <c r="FWY1363" s="23"/>
      <c r="FWZ1363" s="23"/>
      <c r="FXA1363" s="23"/>
      <c r="FXB1363" s="23"/>
      <c r="FXC1363" s="23"/>
      <c r="FXD1363" s="23"/>
      <c r="FXE1363" s="23"/>
      <c r="FXF1363" s="23"/>
      <c r="FXG1363" s="23"/>
      <c r="FXH1363" s="23"/>
      <c r="FXI1363" s="23"/>
      <c r="FXJ1363" s="23"/>
      <c r="FXK1363" s="23"/>
      <c r="FXL1363" s="23"/>
      <c r="FXM1363" s="23"/>
      <c r="FXN1363" s="23"/>
      <c r="FXO1363" s="23"/>
      <c r="FXP1363" s="23"/>
      <c r="FXQ1363" s="23"/>
      <c r="FXR1363" s="23"/>
      <c r="FXS1363" s="23"/>
      <c r="FXT1363" s="23"/>
      <c r="FXU1363" s="23"/>
      <c r="FXV1363" s="23"/>
      <c r="FXW1363" s="23"/>
      <c r="FXX1363" s="23"/>
      <c r="FXY1363" s="23"/>
      <c r="FXZ1363" s="23"/>
      <c r="FYA1363" s="23"/>
      <c r="FYB1363" s="23"/>
      <c r="FYC1363" s="23"/>
      <c r="FYD1363" s="23"/>
      <c r="FYE1363" s="23"/>
      <c r="FYF1363" s="23"/>
      <c r="FYG1363" s="23"/>
      <c r="FYH1363" s="23"/>
      <c r="FYI1363" s="23"/>
      <c r="FYJ1363" s="23"/>
      <c r="FYK1363" s="23"/>
      <c r="FYL1363" s="23"/>
      <c r="FYM1363" s="23"/>
      <c r="FYN1363" s="23"/>
      <c r="FYO1363" s="23"/>
      <c r="FYP1363" s="23"/>
      <c r="FYQ1363" s="23"/>
      <c r="FYR1363" s="23"/>
      <c r="FYS1363" s="23"/>
      <c r="FYT1363" s="23"/>
      <c r="FYU1363" s="23"/>
      <c r="FYV1363" s="23"/>
      <c r="FYW1363" s="23"/>
      <c r="FYX1363" s="23"/>
      <c r="FYY1363" s="23"/>
      <c r="FYZ1363" s="23"/>
      <c r="FZA1363" s="23"/>
      <c r="FZB1363" s="23"/>
      <c r="FZC1363" s="23"/>
      <c r="FZD1363" s="23"/>
      <c r="FZE1363" s="23"/>
      <c r="FZF1363" s="23"/>
      <c r="FZG1363" s="23"/>
      <c r="FZH1363" s="23"/>
      <c r="FZI1363" s="23"/>
      <c r="FZJ1363" s="23"/>
      <c r="FZK1363" s="23"/>
      <c r="FZL1363" s="23"/>
      <c r="FZM1363" s="23"/>
      <c r="FZN1363" s="23"/>
      <c r="FZO1363" s="23"/>
      <c r="FZP1363" s="23"/>
      <c r="FZQ1363" s="23"/>
      <c r="FZR1363" s="23"/>
      <c r="FZS1363" s="23"/>
      <c r="FZT1363" s="23"/>
      <c r="FZU1363" s="23"/>
      <c r="FZV1363" s="23"/>
      <c r="FZW1363" s="23"/>
      <c r="FZX1363" s="23"/>
      <c r="FZY1363" s="23"/>
      <c r="FZZ1363" s="23"/>
      <c r="GAA1363" s="23"/>
      <c r="GAB1363" s="23"/>
      <c r="GAC1363" s="23"/>
      <c r="GAD1363" s="23"/>
      <c r="GAE1363" s="23"/>
      <c r="GAF1363" s="23"/>
      <c r="GAG1363" s="23"/>
      <c r="GAH1363" s="23"/>
      <c r="GAI1363" s="23"/>
      <c r="GAJ1363" s="23"/>
      <c r="GAK1363" s="23"/>
      <c r="GAL1363" s="23"/>
      <c r="GAM1363" s="23"/>
      <c r="GAN1363" s="23"/>
      <c r="GAO1363" s="23"/>
      <c r="GAP1363" s="23"/>
      <c r="GAQ1363" s="23"/>
      <c r="GAR1363" s="23"/>
      <c r="GAS1363" s="23"/>
      <c r="GAT1363" s="23"/>
      <c r="GAU1363" s="23"/>
      <c r="GAV1363" s="23"/>
      <c r="GAW1363" s="23"/>
      <c r="GAX1363" s="23"/>
      <c r="GAY1363" s="23"/>
      <c r="GAZ1363" s="23"/>
      <c r="GBA1363" s="23"/>
      <c r="GBB1363" s="23"/>
      <c r="GBC1363" s="23"/>
      <c r="GBD1363" s="23"/>
      <c r="GBE1363" s="23"/>
      <c r="GBF1363" s="23"/>
      <c r="GBG1363" s="23"/>
      <c r="GBH1363" s="23"/>
      <c r="GBI1363" s="23"/>
      <c r="GBJ1363" s="23"/>
      <c r="GBK1363" s="23"/>
      <c r="GBL1363" s="23"/>
      <c r="GBM1363" s="23"/>
      <c r="GBN1363" s="23"/>
      <c r="GBO1363" s="23"/>
      <c r="GBP1363" s="23"/>
      <c r="GBQ1363" s="23"/>
      <c r="GBR1363" s="23"/>
      <c r="GBS1363" s="23"/>
      <c r="GBT1363" s="23"/>
      <c r="GBU1363" s="23"/>
      <c r="GBV1363" s="23"/>
      <c r="GBW1363" s="23"/>
      <c r="GBX1363" s="23"/>
      <c r="GBY1363" s="23"/>
      <c r="GBZ1363" s="23"/>
      <c r="GCA1363" s="23"/>
      <c r="GCB1363" s="23"/>
      <c r="GCC1363" s="23"/>
      <c r="GCD1363" s="23"/>
      <c r="GCE1363" s="23"/>
      <c r="GCF1363" s="23"/>
      <c r="GCG1363" s="23"/>
      <c r="GCH1363" s="23"/>
      <c r="GCI1363" s="23"/>
      <c r="GCJ1363" s="23"/>
      <c r="GCK1363" s="23"/>
      <c r="GCL1363" s="23"/>
      <c r="GCM1363" s="23"/>
      <c r="GCN1363" s="23"/>
      <c r="GCO1363" s="23"/>
      <c r="GCP1363" s="23"/>
      <c r="GCQ1363" s="23"/>
      <c r="GCR1363" s="23"/>
      <c r="GCS1363" s="23"/>
      <c r="GCT1363" s="23"/>
      <c r="GCU1363" s="23"/>
      <c r="GCV1363" s="23"/>
      <c r="GCW1363" s="23"/>
      <c r="GCX1363" s="23"/>
      <c r="GCY1363" s="23"/>
      <c r="GCZ1363" s="23"/>
      <c r="GDA1363" s="23"/>
      <c r="GDB1363" s="23"/>
      <c r="GDC1363" s="23"/>
      <c r="GDD1363" s="23"/>
      <c r="GDE1363" s="23"/>
      <c r="GDF1363" s="23"/>
      <c r="GDG1363" s="23"/>
      <c r="GDH1363" s="23"/>
      <c r="GDI1363" s="23"/>
      <c r="GDJ1363" s="23"/>
      <c r="GDK1363" s="23"/>
      <c r="GDL1363" s="23"/>
      <c r="GDM1363" s="23"/>
      <c r="GDN1363" s="23"/>
      <c r="GDO1363" s="23"/>
      <c r="GDP1363" s="23"/>
      <c r="GDQ1363" s="23"/>
      <c r="GDR1363" s="23"/>
      <c r="GDS1363" s="23"/>
      <c r="GDT1363" s="23"/>
      <c r="GDU1363" s="23"/>
      <c r="GDV1363" s="23"/>
      <c r="GDW1363" s="23"/>
      <c r="GDX1363" s="23"/>
      <c r="GDY1363" s="23"/>
      <c r="GDZ1363" s="23"/>
      <c r="GEA1363" s="23"/>
      <c r="GEB1363" s="23"/>
      <c r="GEC1363" s="23"/>
      <c r="GED1363" s="23"/>
      <c r="GEE1363" s="23"/>
      <c r="GEF1363" s="23"/>
      <c r="GEG1363" s="23"/>
      <c r="GEH1363" s="23"/>
      <c r="GEI1363" s="23"/>
      <c r="GEJ1363" s="23"/>
      <c r="GEK1363" s="23"/>
      <c r="GEL1363" s="23"/>
      <c r="GEM1363" s="23"/>
      <c r="GEN1363" s="23"/>
      <c r="GEO1363" s="23"/>
      <c r="GEP1363" s="23"/>
      <c r="GEQ1363" s="23"/>
      <c r="GER1363" s="23"/>
      <c r="GES1363" s="23"/>
      <c r="GET1363" s="23"/>
      <c r="GEU1363" s="23"/>
      <c r="GEV1363" s="23"/>
      <c r="GEW1363" s="23"/>
      <c r="GEX1363" s="23"/>
      <c r="GEY1363" s="23"/>
      <c r="GEZ1363" s="23"/>
      <c r="GFA1363" s="23"/>
      <c r="GFB1363" s="23"/>
      <c r="GFC1363" s="23"/>
      <c r="GFD1363" s="23"/>
      <c r="GFE1363" s="23"/>
      <c r="GFF1363" s="23"/>
      <c r="GFG1363" s="23"/>
      <c r="GFH1363" s="23"/>
      <c r="GFI1363" s="23"/>
      <c r="GFJ1363" s="23"/>
      <c r="GFK1363" s="23"/>
      <c r="GFL1363" s="23"/>
      <c r="GFM1363" s="23"/>
      <c r="GFN1363" s="23"/>
      <c r="GFO1363" s="23"/>
      <c r="GFP1363" s="23"/>
      <c r="GFQ1363" s="23"/>
      <c r="GFR1363" s="23"/>
      <c r="GFS1363" s="23"/>
      <c r="GFT1363" s="23"/>
      <c r="GFU1363" s="23"/>
      <c r="GFV1363" s="23"/>
      <c r="GFW1363" s="23"/>
      <c r="GFX1363" s="23"/>
      <c r="GFY1363" s="23"/>
      <c r="GFZ1363" s="23"/>
      <c r="GGA1363" s="23"/>
      <c r="GGB1363" s="23"/>
      <c r="GGC1363" s="23"/>
      <c r="GGD1363" s="23"/>
      <c r="GGE1363" s="23"/>
      <c r="GGF1363" s="23"/>
      <c r="GGG1363" s="23"/>
      <c r="GGH1363" s="23"/>
      <c r="GGI1363" s="23"/>
      <c r="GGJ1363" s="23"/>
      <c r="GGK1363" s="23"/>
      <c r="GGL1363" s="23"/>
      <c r="GGM1363" s="23"/>
      <c r="GGN1363" s="23"/>
      <c r="GGO1363" s="23"/>
      <c r="GGP1363" s="23"/>
      <c r="GGQ1363" s="23"/>
      <c r="GGR1363" s="23"/>
      <c r="GGS1363" s="23"/>
      <c r="GGT1363" s="23"/>
      <c r="GGU1363" s="23"/>
      <c r="GGV1363" s="23"/>
      <c r="GGW1363" s="23"/>
      <c r="GGX1363" s="23"/>
      <c r="GGY1363" s="23"/>
      <c r="GGZ1363" s="23"/>
      <c r="GHA1363" s="23"/>
      <c r="GHB1363" s="23"/>
      <c r="GHC1363" s="23"/>
      <c r="GHD1363" s="23"/>
      <c r="GHE1363" s="23"/>
      <c r="GHF1363" s="23"/>
      <c r="GHG1363" s="23"/>
      <c r="GHH1363" s="23"/>
      <c r="GHI1363" s="23"/>
      <c r="GHJ1363" s="23"/>
      <c r="GHK1363" s="23"/>
      <c r="GHL1363" s="23"/>
      <c r="GHM1363" s="23"/>
      <c r="GHN1363" s="23"/>
      <c r="GHO1363" s="23"/>
      <c r="GHP1363" s="23"/>
      <c r="GHQ1363" s="23"/>
      <c r="GHR1363" s="23"/>
      <c r="GHS1363" s="23"/>
      <c r="GHT1363" s="23"/>
      <c r="GHU1363" s="23"/>
      <c r="GHV1363" s="23"/>
      <c r="GHW1363" s="23"/>
      <c r="GHX1363" s="23"/>
      <c r="GHY1363" s="23"/>
      <c r="GHZ1363" s="23"/>
      <c r="GIA1363" s="23"/>
      <c r="GIB1363" s="23"/>
      <c r="GIC1363" s="23"/>
      <c r="GID1363" s="23"/>
      <c r="GIE1363" s="23"/>
      <c r="GIF1363" s="23"/>
      <c r="GIG1363" s="23"/>
      <c r="GIH1363" s="23"/>
      <c r="GII1363" s="23"/>
      <c r="GIJ1363" s="23"/>
      <c r="GIK1363" s="23"/>
      <c r="GIL1363" s="23"/>
      <c r="GIM1363" s="23"/>
      <c r="GIN1363" s="23"/>
      <c r="GIO1363" s="23"/>
      <c r="GIP1363" s="23"/>
      <c r="GIQ1363" s="23"/>
      <c r="GIR1363" s="23"/>
      <c r="GIS1363" s="23"/>
      <c r="GIT1363" s="23"/>
      <c r="GIU1363" s="23"/>
      <c r="GIV1363" s="23"/>
      <c r="GIW1363" s="23"/>
      <c r="GIX1363" s="23"/>
      <c r="GIY1363" s="23"/>
      <c r="GIZ1363" s="23"/>
      <c r="GJA1363" s="23"/>
      <c r="GJB1363" s="23"/>
      <c r="GJC1363" s="23"/>
      <c r="GJD1363" s="23"/>
      <c r="GJE1363" s="23"/>
      <c r="GJF1363" s="23"/>
      <c r="GJG1363" s="23"/>
      <c r="GJH1363" s="23"/>
      <c r="GJI1363" s="23"/>
      <c r="GJJ1363" s="23"/>
      <c r="GJK1363" s="23"/>
      <c r="GJL1363" s="23"/>
      <c r="GJM1363" s="23"/>
      <c r="GJN1363" s="23"/>
      <c r="GJO1363" s="23"/>
      <c r="GJP1363" s="23"/>
      <c r="GJQ1363" s="23"/>
      <c r="GJR1363" s="23"/>
      <c r="GJS1363" s="23"/>
      <c r="GJT1363" s="23"/>
      <c r="GJU1363" s="23"/>
      <c r="GJV1363" s="23"/>
      <c r="GJW1363" s="23"/>
      <c r="GJX1363" s="23"/>
      <c r="GJY1363" s="23"/>
      <c r="GJZ1363" s="23"/>
      <c r="GKA1363" s="23"/>
      <c r="GKB1363" s="23"/>
      <c r="GKC1363" s="23"/>
      <c r="GKD1363" s="23"/>
      <c r="GKE1363" s="23"/>
      <c r="GKF1363" s="23"/>
      <c r="GKG1363" s="23"/>
      <c r="GKH1363" s="23"/>
      <c r="GKI1363" s="23"/>
      <c r="GKJ1363" s="23"/>
      <c r="GKK1363" s="23"/>
      <c r="GKL1363" s="23"/>
      <c r="GKM1363" s="23"/>
      <c r="GKN1363" s="23"/>
      <c r="GKO1363" s="23"/>
      <c r="GKP1363" s="23"/>
      <c r="GKQ1363" s="23"/>
      <c r="GKR1363" s="23"/>
      <c r="GKS1363" s="23"/>
      <c r="GKT1363" s="23"/>
      <c r="GKU1363" s="23"/>
      <c r="GKV1363" s="23"/>
      <c r="GKW1363" s="23"/>
      <c r="GKX1363" s="23"/>
      <c r="GKY1363" s="23"/>
      <c r="GKZ1363" s="23"/>
      <c r="GLA1363" s="23"/>
      <c r="GLB1363" s="23"/>
      <c r="GLC1363" s="23"/>
      <c r="GLD1363" s="23"/>
      <c r="GLE1363" s="23"/>
      <c r="GLF1363" s="23"/>
      <c r="GLG1363" s="23"/>
      <c r="GLH1363" s="23"/>
      <c r="GLI1363" s="23"/>
      <c r="GLJ1363" s="23"/>
      <c r="GLK1363" s="23"/>
      <c r="GLL1363" s="23"/>
      <c r="GLM1363" s="23"/>
      <c r="GLN1363" s="23"/>
      <c r="GLO1363" s="23"/>
      <c r="GLP1363" s="23"/>
      <c r="GLQ1363" s="23"/>
      <c r="GLR1363" s="23"/>
      <c r="GLS1363" s="23"/>
      <c r="GLT1363" s="23"/>
      <c r="GLU1363" s="23"/>
      <c r="GLV1363" s="23"/>
      <c r="GLW1363" s="23"/>
      <c r="GLX1363" s="23"/>
      <c r="GLY1363" s="23"/>
      <c r="GLZ1363" s="23"/>
      <c r="GMA1363" s="23"/>
      <c r="GMB1363" s="23"/>
      <c r="GMC1363" s="23"/>
      <c r="GMD1363" s="23"/>
      <c r="GME1363" s="23"/>
      <c r="GMF1363" s="23"/>
      <c r="GMG1363" s="23"/>
      <c r="GMH1363" s="23"/>
      <c r="GMI1363" s="23"/>
      <c r="GMJ1363" s="23"/>
      <c r="GMK1363" s="23"/>
      <c r="GML1363" s="23"/>
      <c r="GMM1363" s="23"/>
      <c r="GMN1363" s="23"/>
      <c r="GMO1363" s="23"/>
      <c r="GMP1363" s="23"/>
      <c r="GMQ1363" s="23"/>
      <c r="GMR1363" s="23"/>
      <c r="GMS1363" s="23"/>
      <c r="GMT1363" s="23"/>
      <c r="GMU1363" s="23"/>
      <c r="GMV1363" s="23"/>
      <c r="GMW1363" s="23"/>
      <c r="GMX1363" s="23"/>
      <c r="GMY1363" s="23"/>
      <c r="GMZ1363" s="23"/>
      <c r="GNA1363" s="23"/>
      <c r="GNB1363" s="23"/>
      <c r="GNC1363" s="23"/>
      <c r="GND1363" s="23"/>
      <c r="GNE1363" s="23"/>
      <c r="GNF1363" s="23"/>
      <c r="GNG1363" s="23"/>
      <c r="GNH1363" s="23"/>
      <c r="GNI1363" s="23"/>
      <c r="GNJ1363" s="23"/>
      <c r="GNK1363" s="23"/>
      <c r="GNL1363" s="23"/>
      <c r="GNM1363" s="23"/>
      <c r="GNN1363" s="23"/>
      <c r="GNO1363" s="23"/>
      <c r="GNP1363" s="23"/>
      <c r="GNQ1363" s="23"/>
      <c r="GNR1363" s="23"/>
      <c r="GNS1363" s="23"/>
      <c r="GNT1363" s="23"/>
      <c r="GNU1363" s="23"/>
      <c r="GNV1363" s="23"/>
      <c r="GNW1363" s="23"/>
      <c r="GNX1363" s="23"/>
      <c r="GNY1363" s="23"/>
      <c r="GNZ1363" s="23"/>
      <c r="GOA1363" s="23"/>
      <c r="GOB1363" s="23"/>
      <c r="GOC1363" s="23"/>
      <c r="GOD1363" s="23"/>
      <c r="GOE1363" s="23"/>
      <c r="GOF1363" s="23"/>
      <c r="GOG1363" s="23"/>
      <c r="GOH1363" s="23"/>
      <c r="GOI1363" s="23"/>
      <c r="GOJ1363" s="23"/>
      <c r="GOK1363" s="23"/>
      <c r="GOL1363" s="23"/>
      <c r="GOM1363" s="23"/>
      <c r="GON1363" s="23"/>
      <c r="GOO1363" s="23"/>
      <c r="GOP1363" s="23"/>
      <c r="GOQ1363" s="23"/>
      <c r="GOR1363" s="23"/>
      <c r="GOS1363" s="23"/>
      <c r="GOT1363" s="23"/>
      <c r="GOU1363" s="23"/>
      <c r="GOV1363" s="23"/>
      <c r="GOW1363" s="23"/>
      <c r="GOX1363" s="23"/>
      <c r="GOY1363" s="23"/>
      <c r="GOZ1363" s="23"/>
      <c r="GPA1363" s="23"/>
      <c r="GPB1363" s="23"/>
      <c r="GPC1363" s="23"/>
      <c r="GPD1363" s="23"/>
      <c r="GPE1363" s="23"/>
      <c r="GPF1363" s="23"/>
      <c r="GPG1363" s="23"/>
      <c r="GPH1363" s="23"/>
      <c r="GPI1363" s="23"/>
      <c r="GPJ1363" s="23"/>
      <c r="GPK1363" s="23"/>
      <c r="GPL1363" s="23"/>
      <c r="GPM1363" s="23"/>
      <c r="GPN1363" s="23"/>
      <c r="GPO1363" s="23"/>
      <c r="GPP1363" s="23"/>
      <c r="GPQ1363" s="23"/>
      <c r="GPR1363" s="23"/>
      <c r="GPS1363" s="23"/>
      <c r="GPT1363" s="23"/>
      <c r="GPU1363" s="23"/>
      <c r="GPV1363" s="23"/>
      <c r="GPW1363" s="23"/>
      <c r="GPX1363" s="23"/>
      <c r="GPY1363" s="23"/>
      <c r="GPZ1363" s="23"/>
      <c r="GQA1363" s="23"/>
      <c r="GQB1363" s="23"/>
      <c r="GQC1363" s="23"/>
      <c r="GQD1363" s="23"/>
      <c r="GQE1363" s="23"/>
      <c r="GQF1363" s="23"/>
      <c r="GQG1363" s="23"/>
      <c r="GQH1363" s="23"/>
      <c r="GQI1363" s="23"/>
      <c r="GQJ1363" s="23"/>
      <c r="GQK1363" s="23"/>
      <c r="GQL1363" s="23"/>
      <c r="GQM1363" s="23"/>
      <c r="GQN1363" s="23"/>
      <c r="GQO1363" s="23"/>
      <c r="GQP1363" s="23"/>
      <c r="GQQ1363" s="23"/>
      <c r="GQR1363" s="23"/>
      <c r="GQS1363" s="23"/>
      <c r="GQT1363" s="23"/>
      <c r="GQU1363" s="23"/>
      <c r="GQV1363" s="23"/>
      <c r="GQW1363" s="23"/>
      <c r="GQX1363" s="23"/>
      <c r="GQY1363" s="23"/>
      <c r="GQZ1363" s="23"/>
      <c r="GRA1363" s="23"/>
      <c r="GRB1363" s="23"/>
      <c r="GRC1363" s="23"/>
      <c r="GRD1363" s="23"/>
      <c r="GRE1363" s="23"/>
      <c r="GRF1363" s="23"/>
      <c r="GRG1363" s="23"/>
      <c r="GRH1363" s="23"/>
      <c r="GRI1363" s="23"/>
      <c r="GRJ1363" s="23"/>
      <c r="GRK1363" s="23"/>
      <c r="GRL1363" s="23"/>
      <c r="GRM1363" s="23"/>
      <c r="GRN1363" s="23"/>
      <c r="GRO1363" s="23"/>
      <c r="GRP1363" s="23"/>
      <c r="GRQ1363" s="23"/>
      <c r="GRR1363" s="23"/>
      <c r="GRS1363" s="23"/>
      <c r="GRT1363" s="23"/>
      <c r="GRU1363" s="23"/>
      <c r="GRV1363" s="23"/>
      <c r="GRW1363" s="23"/>
      <c r="GRX1363" s="23"/>
      <c r="GRY1363" s="23"/>
      <c r="GRZ1363" s="23"/>
      <c r="GSA1363" s="23"/>
      <c r="GSB1363" s="23"/>
      <c r="GSC1363" s="23"/>
      <c r="GSD1363" s="23"/>
      <c r="GSE1363" s="23"/>
      <c r="GSF1363" s="23"/>
      <c r="GSG1363" s="23"/>
      <c r="GSH1363" s="23"/>
      <c r="GSI1363" s="23"/>
      <c r="GSJ1363" s="23"/>
      <c r="GSK1363" s="23"/>
      <c r="GSL1363" s="23"/>
      <c r="GSM1363" s="23"/>
      <c r="GSN1363" s="23"/>
      <c r="GSO1363" s="23"/>
      <c r="GSP1363" s="23"/>
      <c r="GSQ1363" s="23"/>
      <c r="GSR1363" s="23"/>
      <c r="GSS1363" s="23"/>
      <c r="GST1363" s="23"/>
      <c r="GSU1363" s="23"/>
      <c r="GSV1363" s="23"/>
      <c r="GSW1363" s="23"/>
      <c r="GSX1363" s="23"/>
      <c r="GSY1363" s="23"/>
      <c r="GSZ1363" s="23"/>
      <c r="GTA1363" s="23"/>
      <c r="GTB1363" s="23"/>
      <c r="GTC1363" s="23"/>
      <c r="GTD1363" s="23"/>
      <c r="GTE1363" s="23"/>
      <c r="GTF1363" s="23"/>
      <c r="GTG1363" s="23"/>
      <c r="GTH1363" s="23"/>
      <c r="GTI1363" s="23"/>
      <c r="GTJ1363" s="23"/>
      <c r="GTK1363" s="23"/>
      <c r="GTL1363" s="23"/>
      <c r="GTM1363" s="23"/>
      <c r="GTN1363" s="23"/>
      <c r="GTO1363" s="23"/>
      <c r="GTP1363" s="23"/>
      <c r="GTQ1363" s="23"/>
      <c r="GTR1363" s="23"/>
      <c r="GTS1363" s="23"/>
      <c r="GTT1363" s="23"/>
      <c r="GTU1363" s="23"/>
      <c r="GTV1363" s="23"/>
      <c r="GTW1363" s="23"/>
      <c r="GTX1363" s="23"/>
      <c r="GTY1363" s="23"/>
      <c r="GTZ1363" s="23"/>
      <c r="GUA1363" s="23"/>
      <c r="GUB1363" s="23"/>
      <c r="GUC1363" s="23"/>
      <c r="GUD1363" s="23"/>
      <c r="GUE1363" s="23"/>
      <c r="GUF1363" s="23"/>
      <c r="GUG1363" s="23"/>
      <c r="GUH1363" s="23"/>
      <c r="GUI1363" s="23"/>
      <c r="GUJ1363" s="23"/>
      <c r="GUK1363" s="23"/>
      <c r="GUL1363" s="23"/>
      <c r="GUM1363" s="23"/>
      <c r="GUN1363" s="23"/>
      <c r="GUO1363" s="23"/>
      <c r="GUP1363" s="23"/>
      <c r="GUQ1363" s="23"/>
      <c r="GUR1363" s="23"/>
      <c r="GUS1363" s="23"/>
      <c r="GUT1363" s="23"/>
      <c r="GUU1363" s="23"/>
      <c r="GUV1363" s="23"/>
      <c r="GUW1363" s="23"/>
      <c r="GUX1363" s="23"/>
      <c r="GUY1363" s="23"/>
      <c r="GUZ1363" s="23"/>
      <c r="GVA1363" s="23"/>
      <c r="GVB1363" s="23"/>
      <c r="GVC1363" s="23"/>
      <c r="GVD1363" s="23"/>
      <c r="GVE1363" s="23"/>
      <c r="GVF1363" s="23"/>
      <c r="GVG1363" s="23"/>
      <c r="GVH1363" s="23"/>
      <c r="GVI1363" s="23"/>
      <c r="GVJ1363" s="23"/>
      <c r="GVK1363" s="23"/>
      <c r="GVL1363" s="23"/>
      <c r="GVM1363" s="23"/>
      <c r="GVN1363" s="23"/>
      <c r="GVO1363" s="23"/>
      <c r="GVP1363" s="23"/>
      <c r="GVQ1363" s="23"/>
      <c r="GVR1363" s="23"/>
      <c r="GVS1363" s="23"/>
      <c r="GVT1363" s="23"/>
      <c r="GVU1363" s="23"/>
      <c r="GVV1363" s="23"/>
      <c r="GVW1363" s="23"/>
      <c r="GVX1363" s="23"/>
      <c r="GVY1363" s="23"/>
      <c r="GVZ1363" s="23"/>
      <c r="GWA1363" s="23"/>
      <c r="GWB1363" s="23"/>
      <c r="GWC1363" s="23"/>
      <c r="GWD1363" s="23"/>
      <c r="GWE1363" s="23"/>
      <c r="GWF1363" s="23"/>
      <c r="GWG1363" s="23"/>
      <c r="GWH1363" s="23"/>
      <c r="GWI1363" s="23"/>
      <c r="GWJ1363" s="23"/>
      <c r="GWK1363" s="23"/>
      <c r="GWL1363" s="23"/>
      <c r="GWM1363" s="23"/>
      <c r="GWN1363" s="23"/>
      <c r="GWO1363" s="23"/>
      <c r="GWP1363" s="23"/>
      <c r="GWQ1363" s="23"/>
      <c r="GWR1363" s="23"/>
      <c r="GWS1363" s="23"/>
      <c r="GWT1363" s="23"/>
      <c r="GWU1363" s="23"/>
      <c r="GWV1363" s="23"/>
      <c r="GWW1363" s="23"/>
      <c r="GWX1363" s="23"/>
      <c r="GWY1363" s="23"/>
      <c r="GWZ1363" s="23"/>
      <c r="GXA1363" s="23"/>
      <c r="GXB1363" s="23"/>
      <c r="GXC1363" s="23"/>
      <c r="GXD1363" s="23"/>
      <c r="GXE1363" s="23"/>
      <c r="GXF1363" s="23"/>
      <c r="GXG1363" s="23"/>
      <c r="GXH1363" s="23"/>
      <c r="GXI1363" s="23"/>
      <c r="GXJ1363" s="23"/>
      <c r="GXK1363" s="23"/>
      <c r="GXL1363" s="23"/>
      <c r="GXM1363" s="23"/>
      <c r="GXN1363" s="23"/>
      <c r="GXO1363" s="23"/>
      <c r="GXP1363" s="23"/>
      <c r="GXQ1363" s="23"/>
      <c r="GXR1363" s="23"/>
      <c r="GXS1363" s="23"/>
      <c r="GXT1363" s="23"/>
      <c r="GXU1363" s="23"/>
      <c r="GXV1363" s="23"/>
      <c r="GXW1363" s="23"/>
      <c r="GXX1363" s="23"/>
      <c r="GXY1363" s="23"/>
      <c r="GXZ1363" s="23"/>
      <c r="GYA1363" s="23"/>
      <c r="GYB1363" s="23"/>
      <c r="GYC1363" s="23"/>
      <c r="GYD1363" s="23"/>
      <c r="GYE1363" s="23"/>
      <c r="GYF1363" s="23"/>
      <c r="GYG1363" s="23"/>
      <c r="GYH1363" s="23"/>
      <c r="GYI1363" s="23"/>
      <c r="GYJ1363" s="23"/>
      <c r="GYK1363" s="23"/>
      <c r="GYL1363" s="23"/>
      <c r="GYM1363" s="23"/>
      <c r="GYN1363" s="23"/>
      <c r="GYO1363" s="23"/>
      <c r="GYP1363" s="23"/>
      <c r="GYQ1363" s="23"/>
      <c r="GYR1363" s="23"/>
      <c r="GYS1363" s="23"/>
      <c r="GYT1363" s="23"/>
      <c r="GYU1363" s="23"/>
      <c r="GYV1363" s="23"/>
      <c r="GYW1363" s="23"/>
      <c r="GYX1363" s="23"/>
      <c r="GYY1363" s="23"/>
      <c r="GYZ1363" s="23"/>
      <c r="GZA1363" s="23"/>
      <c r="GZB1363" s="23"/>
      <c r="GZC1363" s="23"/>
      <c r="GZD1363" s="23"/>
      <c r="GZE1363" s="23"/>
      <c r="GZF1363" s="23"/>
      <c r="GZG1363" s="23"/>
      <c r="GZH1363" s="23"/>
      <c r="GZI1363" s="23"/>
      <c r="GZJ1363" s="23"/>
      <c r="GZK1363" s="23"/>
      <c r="GZL1363" s="23"/>
      <c r="GZM1363" s="23"/>
      <c r="GZN1363" s="23"/>
      <c r="GZO1363" s="23"/>
      <c r="GZP1363" s="23"/>
      <c r="GZQ1363" s="23"/>
      <c r="GZR1363" s="23"/>
      <c r="GZS1363" s="23"/>
      <c r="GZT1363" s="23"/>
      <c r="GZU1363" s="23"/>
      <c r="GZV1363" s="23"/>
      <c r="GZW1363" s="23"/>
      <c r="GZX1363" s="23"/>
      <c r="GZY1363" s="23"/>
      <c r="GZZ1363" s="23"/>
      <c r="HAA1363" s="23"/>
      <c r="HAB1363" s="23"/>
      <c r="HAC1363" s="23"/>
      <c r="HAD1363" s="23"/>
      <c r="HAE1363" s="23"/>
      <c r="HAF1363" s="23"/>
      <c r="HAG1363" s="23"/>
      <c r="HAH1363" s="23"/>
      <c r="HAI1363" s="23"/>
      <c r="HAJ1363" s="23"/>
      <c r="HAK1363" s="23"/>
      <c r="HAL1363" s="23"/>
      <c r="HAM1363" s="23"/>
      <c r="HAN1363" s="23"/>
      <c r="HAO1363" s="23"/>
      <c r="HAP1363" s="23"/>
      <c r="HAQ1363" s="23"/>
      <c r="HAR1363" s="23"/>
      <c r="HAS1363" s="23"/>
      <c r="HAT1363" s="23"/>
      <c r="HAU1363" s="23"/>
      <c r="HAV1363" s="23"/>
      <c r="HAW1363" s="23"/>
      <c r="HAX1363" s="23"/>
      <c r="HAY1363" s="23"/>
      <c r="HAZ1363" s="23"/>
      <c r="HBA1363" s="23"/>
      <c r="HBB1363" s="23"/>
      <c r="HBC1363" s="23"/>
      <c r="HBD1363" s="23"/>
      <c r="HBE1363" s="23"/>
      <c r="HBF1363" s="23"/>
      <c r="HBG1363" s="23"/>
      <c r="HBH1363" s="23"/>
      <c r="HBI1363" s="23"/>
      <c r="HBJ1363" s="23"/>
      <c r="HBK1363" s="23"/>
      <c r="HBL1363" s="23"/>
      <c r="HBM1363" s="23"/>
      <c r="HBN1363" s="23"/>
      <c r="HBO1363" s="23"/>
      <c r="HBP1363" s="23"/>
      <c r="HBQ1363" s="23"/>
      <c r="HBR1363" s="23"/>
      <c r="HBS1363" s="23"/>
      <c r="HBT1363" s="23"/>
      <c r="HBU1363" s="23"/>
      <c r="HBV1363" s="23"/>
      <c r="HBW1363" s="23"/>
      <c r="HBX1363" s="23"/>
      <c r="HBY1363" s="23"/>
      <c r="HBZ1363" s="23"/>
      <c r="HCA1363" s="23"/>
      <c r="HCB1363" s="23"/>
      <c r="HCC1363" s="23"/>
      <c r="HCD1363" s="23"/>
      <c r="HCE1363" s="23"/>
      <c r="HCF1363" s="23"/>
      <c r="HCG1363" s="23"/>
      <c r="HCH1363" s="23"/>
      <c r="HCI1363" s="23"/>
      <c r="HCJ1363" s="23"/>
      <c r="HCK1363" s="23"/>
      <c r="HCL1363" s="23"/>
      <c r="HCM1363" s="23"/>
      <c r="HCN1363" s="23"/>
      <c r="HCO1363" s="23"/>
      <c r="HCP1363" s="23"/>
      <c r="HCQ1363" s="23"/>
      <c r="HCR1363" s="23"/>
      <c r="HCS1363" s="23"/>
      <c r="HCT1363" s="23"/>
      <c r="HCU1363" s="23"/>
      <c r="HCV1363" s="23"/>
      <c r="HCW1363" s="23"/>
      <c r="HCX1363" s="23"/>
      <c r="HCY1363" s="23"/>
      <c r="HCZ1363" s="23"/>
      <c r="HDA1363" s="23"/>
      <c r="HDB1363" s="23"/>
      <c r="HDC1363" s="23"/>
      <c r="HDD1363" s="23"/>
      <c r="HDE1363" s="23"/>
      <c r="HDF1363" s="23"/>
      <c r="HDG1363" s="23"/>
      <c r="HDH1363" s="23"/>
      <c r="HDI1363" s="23"/>
      <c r="HDJ1363" s="23"/>
      <c r="HDK1363" s="23"/>
      <c r="HDL1363" s="23"/>
      <c r="HDM1363" s="23"/>
      <c r="HDN1363" s="23"/>
      <c r="HDO1363" s="23"/>
      <c r="HDP1363" s="23"/>
      <c r="HDQ1363" s="23"/>
      <c r="HDR1363" s="23"/>
      <c r="HDS1363" s="23"/>
      <c r="HDT1363" s="23"/>
      <c r="HDU1363" s="23"/>
      <c r="HDV1363" s="23"/>
      <c r="HDW1363" s="23"/>
      <c r="HDX1363" s="23"/>
      <c r="HDY1363" s="23"/>
      <c r="HDZ1363" s="23"/>
      <c r="HEA1363" s="23"/>
      <c r="HEB1363" s="23"/>
      <c r="HEC1363" s="23"/>
      <c r="HED1363" s="23"/>
      <c r="HEE1363" s="23"/>
      <c r="HEF1363" s="23"/>
      <c r="HEG1363" s="23"/>
      <c r="HEH1363" s="23"/>
      <c r="HEI1363" s="23"/>
      <c r="HEJ1363" s="23"/>
      <c r="HEK1363" s="23"/>
      <c r="HEL1363" s="23"/>
      <c r="HEM1363" s="23"/>
      <c r="HEN1363" s="23"/>
      <c r="HEO1363" s="23"/>
      <c r="HEP1363" s="23"/>
      <c r="HEQ1363" s="23"/>
      <c r="HER1363" s="23"/>
      <c r="HES1363" s="23"/>
      <c r="HET1363" s="23"/>
      <c r="HEU1363" s="23"/>
      <c r="HEV1363" s="23"/>
      <c r="HEW1363" s="23"/>
      <c r="HEX1363" s="23"/>
      <c r="HEY1363" s="23"/>
      <c r="HEZ1363" s="23"/>
      <c r="HFA1363" s="23"/>
      <c r="HFB1363" s="23"/>
      <c r="HFC1363" s="23"/>
      <c r="HFD1363" s="23"/>
      <c r="HFE1363" s="23"/>
      <c r="HFF1363" s="23"/>
      <c r="HFG1363" s="23"/>
      <c r="HFH1363" s="23"/>
      <c r="HFI1363" s="23"/>
      <c r="HFJ1363" s="23"/>
      <c r="HFK1363" s="23"/>
      <c r="HFL1363" s="23"/>
      <c r="HFM1363" s="23"/>
      <c r="HFN1363" s="23"/>
      <c r="HFO1363" s="23"/>
      <c r="HFP1363" s="23"/>
      <c r="HFQ1363" s="23"/>
      <c r="HFR1363" s="23"/>
      <c r="HFS1363" s="23"/>
      <c r="HFT1363" s="23"/>
      <c r="HFU1363" s="23"/>
      <c r="HFV1363" s="23"/>
      <c r="HFW1363" s="23"/>
      <c r="HFX1363" s="23"/>
      <c r="HFY1363" s="23"/>
      <c r="HFZ1363" s="23"/>
      <c r="HGA1363" s="23"/>
      <c r="HGB1363" s="23"/>
      <c r="HGC1363" s="23"/>
      <c r="HGD1363" s="23"/>
      <c r="HGE1363" s="23"/>
      <c r="HGF1363" s="23"/>
      <c r="HGG1363" s="23"/>
      <c r="HGH1363" s="23"/>
      <c r="HGI1363" s="23"/>
      <c r="HGJ1363" s="23"/>
      <c r="HGK1363" s="23"/>
      <c r="HGL1363" s="23"/>
      <c r="HGM1363" s="23"/>
      <c r="HGN1363" s="23"/>
      <c r="HGO1363" s="23"/>
      <c r="HGP1363" s="23"/>
      <c r="HGQ1363" s="23"/>
      <c r="HGR1363" s="23"/>
      <c r="HGS1363" s="23"/>
      <c r="HGT1363" s="23"/>
      <c r="HGU1363" s="23"/>
      <c r="HGV1363" s="23"/>
      <c r="HGW1363" s="23"/>
      <c r="HGX1363" s="23"/>
      <c r="HGY1363" s="23"/>
      <c r="HGZ1363" s="23"/>
      <c r="HHA1363" s="23"/>
      <c r="HHB1363" s="23"/>
      <c r="HHC1363" s="23"/>
      <c r="HHD1363" s="23"/>
      <c r="HHE1363" s="23"/>
      <c r="HHF1363" s="23"/>
      <c r="HHG1363" s="23"/>
      <c r="HHH1363" s="23"/>
      <c r="HHI1363" s="23"/>
      <c r="HHJ1363" s="23"/>
      <c r="HHK1363" s="23"/>
      <c r="HHL1363" s="23"/>
      <c r="HHM1363" s="23"/>
      <c r="HHN1363" s="23"/>
      <c r="HHO1363" s="23"/>
      <c r="HHP1363" s="23"/>
      <c r="HHQ1363" s="23"/>
      <c r="HHR1363" s="23"/>
      <c r="HHS1363" s="23"/>
      <c r="HHT1363" s="23"/>
      <c r="HHU1363" s="23"/>
      <c r="HHV1363" s="23"/>
      <c r="HHW1363" s="23"/>
      <c r="HHX1363" s="23"/>
      <c r="HHY1363" s="23"/>
      <c r="HHZ1363" s="23"/>
      <c r="HIA1363" s="23"/>
      <c r="HIB1363" s="23"/>
      <c r="HIC1363" s="23"/>
      <c r="HID1363" s="23"/>
      <c r="HIE1363" s="23"/>
      <c r="HIF1363" s="23"/>
      <c r="HIG1363" s="23"/>
      <c r="HIH1363" s="23"/>
      <c r="HII1363" s="23"/>
      <c r="HIJ1363" s="23"/>
      <c r="HIK1363" s="23"/>
      <c r="HIL1363" s="23"/>
      <c r="HIM1363" s="23"/>
      <c r="HIN1363" s="23"/>
      <c r="HIO1363" s="23"/>
      <c r="HIP1363" s="23"/>
      <c r="HIQ1363" s="23"/>
      <c r="HIR1363" s="23"/>
      <c r="HIS1363" s="23"/>
      <c r="HIT1363" s="23"/>
      <c r="HIU1363" s="23"/>
      <c r="HIV1363" s="23"/>
      <c r="HIW1363" s="23"/>
      <c r="HIX1363" s="23"/>
      <c r="HIY1363" s="23"/>
      <c r="HIZ1363" s="23"/>
      <c r="HJA1363" s="23"/>
      <c r="HJB1363" s="23"/>
      <c r="HJC1363" s="23"/>
      <c r="HJD1363" s="23"/>
      <c r="HJE1363" s="23"/>
      <c r="HJF1363" s="23"/>
      <c r="HJG1363" s="23"/>
      <c r="HJH1363" s="23"/>
      <c r="HJI1363" s="23"/>
      <c r="HJJ1363" s="23"/>
      <c r="HJK1363" s="23"/>
      <c r="HJL1363" s="23"/>
      <c r="HJM1363" s="23"/>
      <c r="HJN1363" s="23"/>
      <c r="HJO1363" s="23"/>
      <c r="HJP1363" s="23"/>
      <c r="HJQ1363" s="23"/>
      <c r="HJR1363" s="23"/>
      <c r="HJS1363" s="23"/>
      <c r="HJT1363" s="23"/>
      <c r="HJU1363" s="23"/>
      <c r="HJV1363" s="23"/>
      <c r="HJW1363" s="23"/>
      <c r="HJX1363" s="23"/>
      <c r="HJY1363" s="23"/>
      <c r="HJZ1363" s="23"/>
      <c r="HKA1363" s="23"/>
      <c r="HKB1363" s="23"/>
      <c r="HKC1363" s="23"/>
      <c r="HKD1363" s="23"/>
      <c r="HKE1363" s="23"/>
      <c r="HKF1363" s="23"/>
      <c r="HKG1363" s="23"/>
      <c r="HKH1363" s="23"/>
      <c r="HKI1363" s="23"/>
      <c r="HKJ1363" s="23"/>
      <c r="HKK1363" s="23"/>
      <c r="HKL1363" s="23"/>
      <c r="HKM1363" s="23"/>
      <c r="HKN1363" s="23"/>
      <c r="HKO1363" s="23"/>
      <c r="HKP1363" s="23"/>
      <c r="HKQ1363" s="23"/>
      <c r="HKR1363" s="23"/>
      <c r="HKS1363" s="23"/>
      <c r="HKT1363" s="23"/>
      <c r="HKU1363" s="23"/>
      <c r="HKV1363" s="23"/>
      <c r="HKW1363" s="23"/>
      <c r="HKX1363" s="23"/>
      <c r="HKY1363" s="23"/>
      <c r="HKZ1363" s="23"/>
      <c r="HLA1363" s="23"/>
      <c r="HLB1363" s="23"/>
      <c r="HLC1363" s="23"/>
      <c r="HLD1363" s="23"/>
      <c r="HLE1363" s="23"/>
      <c r="HLF1363" s="23"/>
      <c r="HLG1363" s="23"/>
      <c r="HLH1363" s="23"/>
      <c r="HLI1363" s="23"/>
      <c r="HLJ1363" s="23"/>
      <c r="HLK1363" s="23"/>
      <c r="HLL1363" s="23"/>
      <c r="HLM1363" s="23"/>
      <c r="HLN1363" s="23"/>
      <c r="HLO1363" s="23"/>
      <c r="HLP1363" s="23"/>
      <c r="HLQ1363" s="23"/>
      <c r="HLR1363" s="23"/>
      <c r="HLS1363" s="23"/>
      <c r="HLT1363" s="23"/>
      <c r="HLU1363" s="23"/>
      <c r="HLV1363" s="23"/>
      <c r="HLW1363" s="23"/>
      <c r="HLX1363" s="23"/>
      <c r="HLY1363" s="23"/>
      <c r="HLZ1363" s="23"/>
      <c r="HMA1363" s="23"/>
      <c r="HMB1363" s="23"/>
      <c r="HMC1363" s="23"/>
      <c r="HMD1363" s="23"/>
      <c r="HME1363" s="23"/>
      <c r="HMF1363" s="23"/>
      <c r="HMG1363" s="23"/>
      <c r="HMH1363" s="23"/>
      <c r="HMI1363" s="23"/>
      <c r="HMJ1363" s="23"/>
      <c r="HMK1363" s="23"/>
      <c r="HML1363" s="23"/>
      <c r="HMM1363" s="23"/>
      <c r="HMN1363" s="23"/>
      <c r="HMO1363" s="23"/>
      <c r="HMP1363" s="23"/>
      <c r="HMQ1363" s="23"/>
      <c r="HMR1363" s="23"/>
      <c r="HMS1363" s="23"/>
      <c r="HMT1363" s="23"/>
      <c r="HMU1363" s="23"/>
      <c r="HMV1363" s="23"/>
      <c r="HMW1363" s="23"/>
      <c r="HMX1363" s="23"/>
      <c r="HMY1363" s="23"/>
      <c r="HMZ1363" s="23"/>
      <c r="HNA1363" s="23"/>
      <c r="HNB1363" s="23"/>
      <c r="HNC1363" s="23"/>
      <c r="HND1363" s="23"/>
      <c r="HNE1363" s="23"/>
      <c r="HNF1363" s="23"/>
      <c r="HNG1363" s="23"/>
      <c r="HNH1363" s="23"/>
      <c r="HNI1363" s="23"/>
      <c r="HNJ1363" s="23"/>
      <c r="HNK1363" s="23"/>
      <c r="HNL1363" s="23"/>
      <c r="HNM1363" s="23"/>
      <c r="HNN1363" s="23"/>
      <c r="HNO1363" s="23"/>
      <c r="HNP1363" s="23"/>
      <c r="HNQ1363" s="23"/>
      <c r="HNR1363" s="23"/>
      <c r="HNS1363" s="23"/>
      <c r="HNT1363" s="23"/>
      <c r="HNU1363" s="23"/>
      <c r="HNV1363" s="23"/>
      <c r="HNW1363" s="23"/>
      <c r="HNX1363" s="23"/>
      <c r="HNY1363" s="23"/>
      <c r="HNZ1363" s="23"/>
      <c r="HOA1363" s="23"/>
      <c r="HOB1363" s="23"/>
      <c r="HOC1363" s="23"/>
      <c r="HOD1363" s="23"/>
      <c r="HOE1363" s="23"/>
      <c r="HOF1363" s="23"/>
      <c r="HOG1363" s="23"/>
      <c r="HOH1363" s="23"/>
      <c r="HOI1363" s="23"/>
      <c r="HOJ1363" s="23"/>
      <c r="HOK1363" s="23"/>
      <c r="HOL1363" s="23"/>
      <c r="HOM1363" s="23"/>
      <c r="HON1363" s="23"/>
      <c r="HOO1363" s="23"/>
      <c r="HOP1363" s="23"/>
      <c r="HOQ1363" s="23"/>
      <c r="HOR1363" s="23"/>
      <c r="HOS1363" s="23"/>
      <c r="HOT1363" s="23"/>
      <c r="HOU1363" s="23"/>
      <c r="HOV1363" s="23"/>
      <c r="HOW1363" s="23"/>
      <c r="HOX1363" s="23"/>
      <c r="HOY1363" s="23"/>
      <c r="HOZ1363" s="23"/>
      <c r="HPA1363" s="23"/>
      <c r="HPB1363" s="23"/>
      <c r="HPC1363" s="23"/>
      <c r="HPD1363" s="23"/>
      <c r="HPE1363" s="23"/>
      <c r="HPF1363" s="23"/>
      <c r="HPG1363" s="23"/>
      <c r="HPH1363" s="23"/>
      <c r="HPI1363" s="23"/>
      <c r="HPJ1363" s="23"/>
      <c r="HPK1363" s="23"/>
      <c r="HPL1363" s="23"/>
      <c r="HPM1363" s="23"/>
      <c r="HPN1363" s="23"/>
      <c r="HPO1363" s="23"/>
      <c r="HPP1363" s="23"/>
      <c r="HPQ1363" s="23"/>
      <c r="HPR1363" s="23"/>
      <c r="HPS1363" s="23"/>
      <c r="HPT1363" s="23"/>
      <c r="HPU1363" s="23"/>
      <c r="HPV1363" s="23"/>
      <c r="HPW1363" s="23"/>
      <c r="HPX1363" s="23"/>
      <c r="HPY1363" s="23"/>
      <c r="HPZ1363" s="23"/>
      <c r="HQA1363" s="23"/>
      <c r="HQB1363" s="23"/>
      <c r="HQC1363" s="23"/>
      <c r="HQD1363" s="23"/>
      <c r="HQE1363" s="23"/>
      <c r="HQF1363" s="23"/>
      <c r="HQG1363" s="23"/>
      <c r="HQH1363" s="23"/>
      <c r="HQI1363" s="23"/>
      <c r="HQJ1363" s="23"/>
      <c r="HQK1363" s="23"/>
      <c r="HQL1363" s="23"/>
      <c r="HQM1363" s="23"/>
      <c r="HQN1363" s="23"/>
      <c r="HQO1363" s="23"/>
      <c r="HQP1363" s="23"/>
      <c r="HQQ1363" s="23"/>
      <c r="HQR1363" s="23"/>
      <c r="HQS1363" s="23"/>
      <c r="HQT1363" s="23"/>
      <c r="HQU1363" s="23"/>
      <c r="HQV1363" s="23"/>
      <c r="HQW1363" s="23"/>
      <c r="HQX1363" s="23"/>
      <c r="HQY1363" s="23"/>
      <c r="HQZ1363" s="23"/>
      <c r="HRA1363" s="23"/>
      <c r="HRB1363" s="23"/>
      <c r="HRC1363" s="23"/>
      <c r="HRD1363" s="23"/>
      <c r="HRE1363" s="23"/>
      <c r="HRF1363" s="23"/>
      <c r="HRG1363" s="23"/>
      <c r="HRH1363" s="23"/>
      <c r="HRI1363" s="23"/>
      <c r="HRJ1363" s="23"/>
      <c r="HRK1363" s="23"/>
      <c r="HRL1363" s="23"/>
      <c r="HRM1363" s="23"/>
      <c r="HRN1363" s="23"/>
      <c r="HRO1363" s="23"/>
      <c r="HRP1363" s="23"/>
      <c r="HRQ1363" s="23"/>
      <c r="HRR1363" s="23"/>
      <c r="HRS1363" s="23"/>
      <c r="HRT1363" s="23"/>
      <c r="HRU1363" s="23"/>
      <c r="HRV1363" s="23"/>
      <c r="HRW1363" s="23"/>
      <c r="HRX1363" s="23"/>
      <c r="HRY1363" s="23"/>
      <c r="HRZ1363" s="23"/>
      <c r="HSA1363" s="23"/>
      <c r="HSB1363" s="23"/>
      <c r="HSC1363" s="23"/>
      <c r="HSD1363" s="23"/>
      <c r="HSE1363" s="23"/>
      <c r="HSF1363" s="23"/>
      <c r="HSG1363" s="23"/>
      <c r="HSH1363" s="23"/>
      <c r="HSI1363" s="23"/>
      <c r="HSJ1363" s="23"/>
      <c r="HSK1363" s="23"/>
      <c r="HSL1363" s="23"/>
      <c r="HSM1363" s="23"/>
      <c r="HSN1363" s="23"/>
      <c r="HSO1363" s="23"/>
      <c r="HSP1363" s="23"/>
      <c r="HSQ1363" s="23"/>
      <c r="HSR1363" s="23"/>
      <c r="HSS1363" s="23"/>
      <c r="HST1363" s="23"/>
      <c r="HSU1363" s="23"/>
      <c r="HSV1363" s="23"/>
      <c r="HSW1363" s="23"/>
      <c r="HSX1363" s="23"/>
      <c r="HSY1363" s="23"/>
      <c r="HSZ1363" s="23"/>
      <c r="HTA1363" s="23"/>
      <c r="HTB1363" s="23"/>
      <c r="HTC1363" s="23"/>
      <c r="HTD1363" s="23"/>
      <c r="HTE1363" s="23"/>
      <c r="HTF1363" s="23"/>
      <c r="HTG1363" s="23"/>
      <c r="HTH1363" s="23"/>
      <c r="HTI1363" s="23"/>
      <c r="HTJ1363" s="23"/>
      <c r="HTK1363" s="23"/>
      <c r="HTL1363" s="23"/>
      <c r="HTM1363" s="23"/>
      <c r="HTN1363" s="23"/>
      <c r="HTO1363" s="23"/>
      <c r="HTP1363" s="23"/>
      <c r="HTQ1363" s="23"/>
      <c r="HTR1363" s="23"/>
      <c r="HTS1363" s="23"/>
      <c r="HTT1363" s="23"/>
      <c r="HTU1363" s="23"/>
      <c r="HTV1363" s="23"/>
      <c r="HTW1363" s="23"/>
      <c r="HTX1363" s="23"/>
      <c r="HTY1363" s="23"/>
      <c r="HTZ1363" s="23"/>
      <c r="HUA1363" s="23"/>
      <c r="HUB1363" s="23"/>
      <c r="HUC1363" s="23"/>
      <c r="HUD1363" s="23"/>
      <c r="HUE1363" s="23"/>
      <c r="HUF1363" s="23"/>
      <c r="HUG1363" s="23"/>
      <c r="HUH1363" s="23"/>
      <c r="HUI1363" s="23"/>
      <c r="HUJ1363" s="23"/>
      <c r="HUK1363" s="23"/>
      <c r="HUL1363" s="23"/>
      <c r="HUM1363" s="23"/>
      <c r="HUN1363" s="23"/>
      <c r="HUO1363" s="23"/>
      <c r="HUP1363" s="23"/>
      <c r="HUQ1363" s="23"/>
      <c r="HUR1363" s="23"/>
      <c r="HUS1363" s="23"/>
      <c r="HUT1363" s="23"/>
      <c r="HUU1363" s="23"/>
      <c r="HUV1363" s="23"/>
      <c r="HUW1363" s="23"/>
      <c r="HUX1363" s="23"/>
      <c r="HUY1363" s="23"/>
      <c r="HUZ1363" s="23"/>
      <c r="HVA1363" s="23"/>
      <c r="HVB1363" s="23"/>
      <c r="HVC1363" s="23"/>
      <c r="HVD1363" s="23"/>
      <c r="HVE1363" s="23"/>
      <c r="HVF1363" s="23"/>
      <c r="HVG1363" s="23"/>
      <c r="HVH1363" s="23"/>
      <c r="HVI1363" s="23"/>
      <c r="HVJ1363" s="23"/>
      <c r="HVK1363" s="23"/>
      <c r="HVL1363" s="23"/>
      <c r="HVM1363" s="23"/>
      <c r="HVN1363" s="23"/>
      <c r="HVO1363" s="23"/>
      <c r="HVP1363" s="23"/>
      <c r="HVQ1363" s="23"/>
      <c r="HVR1363" s="23"/>
      <c r="HVS1363" s="23"/>
      <c r="HVT1363" s="23"/>
      <c r="HVU1363" s="23"/>
      <c r="HVV1363" s="23"/>
      <c r="HVW1363" s="23"/>
      <c r="HVX1363" s="23"/>
      <c r="HVY1363" s="23"/>
      <c r="HVZ1363" s="23"/>
      <c r="HWA1363" s="23"/>
      <c r="HWB1363" s="23"/>
      <c r="HWC1363" s="23"/>
      <c r="HWD1363" s="23"/>
      <c r="HWE1363" s="23"/>
      <c r="HWF1363" s="23"/>
      <c r="HWG1363" s="23"/>
      <c r="HWH1363" s="23"/>
      <c r="HWI1363" s="23"/>
      <c r="HWJ1363" s="23"/>
      <c r="HWK1363" s="23"/>
      <c r="HWL1363" s="23"/>
      <c r="HWM1363" s="23"/>
      <c r="HWN1363" s="23"/>
      <c r="HWO1363" s="23"/>
      <c r="HWP1363" s="23"/>
      <c r="HWQ1363" s="23"/>
      <c r="HWR1363" s="23"/>
      <c r="HWS1363" s="23"/>
      <c r="HWT1363" s="23"/>
      <c r="HWU1363" s="23"/>
      <c r="HWV1363" s="23"/>
      <c r="HWW1363" s="23"/>
      <c r="HWX1363" s="23"/>
      <c r="HWY1363" s="23"/>
      <c r="HWZ1363" s="23"/>
      <c r="HXA1363" s="23"/>
      <c r="HXB1363" s="23"/>
      <c r="HXC1363" s="23"/>
      <c r="HXD1363" s="23"/>
      <c r="HXE1363" s="23"/>
      <c r="HXF1363" s="23"/>
      <c r="HXG1363" s="23"/>
      <c r="HXH1363" s="23"/>
      <c r="HXI1363" s="23"/>
      <c r="HXJ1363" s="23"/>
      <c r="HXK1363" s="23"/>
      <c r="HXL1363" s="23"/>
      <c r="HXM1363" s="23"/>
      <c r="HXN1363" s="23"/>
      <c r="HXO1363" s="23"/>
      <c r="HXP1363" s="23"/>
      <c r="HXQ1363" s="23"/>
      <c r="HXR1363" s="23"/>
      <c r="HXS1363" s="23"/>
      <c r="HXT1363" s="23"/>
      <c r="HXU1363" s="23"/>
      <c r="HXV1363" s="23"/>
      <c r="HXW1363" s="23"/>
      <c r="HXX1363" s="23"/>
      <c r="HXY1363" s="23"/>
      <c r="HXZ1363" s="23"/>
      <c r="HYA1363" s="23"/>
      <c r="HYB1363" s="23"/>
      <c r="HYC1363" s="23"/>
      <c r="HYD1363" s="23"/>
      <c r="HYE1363" s="23"/>
      <c r="HYF1363" s="23"/>
      <c r="HYG1363" s="23"/>
      <c r="HYH1363" s="23"/>
      <c r="HYI1363" s="23"/>
      <c r="HYJ1363" s="23"/>
      <c r="HYK1363" s="23"/>
      <c r="HYL1363" s="23"/>
      <c r="HYM1363" s="23"/>
      <c r="HYN1363" s="23"/>
      <c r="HYO1363" s="23"/>
      <c r="HYP1363" s="23"/>
      <c r="HYQ1363" s="23"/>
      <c r="HYR1363" s="23"/>
      <c r="HYS1363" s="23"/>
      <c r="HYT1363" s="23"/>
      <c r="HYU1363" s="23"/>
      <c r="HYV1363" s="23"/>
      <c r="HYW1363" s="23"/>
      <c r="HYX1363" s="23"/>
      <c r="HYY1363" s="23"/>
      <c r="HYZ1363" s="23"/>
      <c r="HZA1363" s="23"/>
      <c r="HZB1363" s="23"/>
      <c r="HZC1363" s="23"/>
      <c r="HZD1363" s="23"/>
      <c r="HZE1363" s="23"/>
      <c r="HZF1363" s="23"/>
      <c r="HZG1363" s="23"/>
      <c r="HZH1363" s="23"/>
      <c r="HZI1363" s="23"/>
      <c r="HZJ1363" s="23"/>
      <c r="HZK1363" s="23"/>
      <c r="HZL1363" s="23"/>
      <c r="HZM1363" s="23"/>
      <c r="HZN1363" s="23"/>
      <c r="HZO1363" s="23"/>
      <c r="HZP1363" s="23"/>
      <c r="HZQ1363" s="23"/>
      <c r="HZR1363" s="23"/>
      <c r="HZS1363" s="23"/>
      <c r="HZT1363" s="23"/>
      <c r="HZU1363" s="23"/>
      <c r="HZV1363" s="23"/>
      <c r="HZW1363" s="23"/>
      <c r="HZX1363" s="23"/>
      <c r="HZY1363" s="23"/>
      <c r="HZZ1363" s="23"/>
      <c r="IAA1363" s="23"/>
      <c r="IAB1363" s="23"/>
      <c r="IAC1363" s="23"/>
      <c r="IAD1363" s="23"/>
      <c r="IAE1363" s="23"/>
      <c r="IAF1363" s="23"/>
      <c r="IAG1363" s="23"/>
      <c r="IAH1363" s="23"/>
      <c r="IAI1363" s="23"/>
      <c r="IAJ1363" s="23"/>
      <c r="IAK1363" s="23"/>
      <c r="IAL1363" s="23"/>
      <c r="IAM1363" s="23"/>
      <c r="IAN1363" s="23"/>
      <c r="IAO1363" s="23"/>
      <c r="IAP1363" s="23"/>
      <c r="IAQ1363" s="23"/>
      <c r="IAR1363" s="23"/>
      <c r="IAS1363" s="23"/>
      <c r="IAT1363" s="23"/>
      <c r="IAU1363" s="23"/>
      <c r="IAV1363" s="23"/>
      <c r="IAW1363" s="23"/>
      <c r="IAX1363" s="23"/>
      <c r="IAY1363" s="23"/>
      <c r="IAZ1363" s="23"/>
      <c r="IBA1363" s="23"/>
      <c r="IBB1363" s="23"/>
      <c r="IBC1363" s="23"/>
      <c r="IBD1363" s="23"/>
      <c r="IBE1363" s="23"/>
      <c r="IBF1363" s="23"/>
      <c r="IBG1363" s="23"/>
      <c r="IBH1363" s="23"/>
      <c r="IBI1363" s="23"/>
      <c r="IBJ1363" s="23"/>
      <c r="IBK1363" s="23"/>
      <c r="IBL1363" s="23"/>
      <c r="IBM1363" s="23"/>
      <c r="IBN1363" s="23"/>
      <c r="IBO1363" s="23"/>
      <c r="IBP1363" s="23"/>
      <c r="IBQ1363" s="23"/>
      <c r="IBR1363" s="23"/>
      <c r="IBS1363" s="23"/>
      <c r="IBT1363" s="23"/>
      <c r="IBU1363" s="23"/>
      <c r="IBV1363" s="23"/>
      <c r="IBW1363" s="23"/>
      <c r="IBX1363" s="23"/>
      <c r="IBY1363" s="23"/>
      <c r="IBZ1363" s="23"/>
      <c r="ICA1363" s="23"/>
      <c r="ICB1363" s="23"/>
      <c r="ICC1363" s="23"/>
      <c r="ICD1363" s="23"/>
      <c r="ICE1363" s="23"/>
      <c r="ICF1363" s="23"/>
      <c r="ICG1363" s="23"/>
      <c r="ICH1363" s="23"/>
      <c r="ICI1363" s="23"/>
      <c r="ICJ1363" s="23"/>
      <c r="ICK1363" s="23"/>
      <c r="ICL1363" s="23"/>
      <c r="ICM1363" s="23"/>
      <c r="ICN1363" s="23"/>
      <c r="ICO1363" s="23"/>
      <c r="ICP1363" s="23"/>
      <c r="ICQ1363" s="23"/>
      <c r="ICR1363" s="23"/>
      <c r="ICS1363" s="23"/>
      <c r="ICT1363" s="23"/>
      <c r="ICU1363" s="23"/>
      <c r="ICV1363" s="23"/>
      <c r="ICW1363" s="23"/>
      <c r="ICX1363" s="23"/>
      <c r="ICY1363" s="23"/>
      <c r="ICZ1363" s="23"/>
      <c r="IDA1363" s="23"/>
      <c r="IDB1363" s="23"/>
      <c r="IDC1363" s="23"/>
      <c r="IDD1363" s="23"/>
      <c r="IDE1363" s="23"/>
      <c r="IDF1363" s="23"/>
      <c r="IDG1363" s="23"/>
      <c r="IDH1363" s="23"/>
      <c r="IDI1363" s="23"/>
      <c r="IDJ1363" s="23"/>
      <c r="IDK1363" s="23"/>
      <c r="IDL1363" s="23"/>
      <c r="IDM1363" s="23"/>
      <c r="IDN1363" s="23"/>
      <c r="IDO1363" s="23"/>
      <c r="IDP1363" s="23"/>
      <c r="IDQ1363" s="23"/>
      <c r="IDR1363" s="23"/>
      <c r="IDS1363" s="23"/>
      <c r="IDT1363" s="23"/>
      <c r="IDU1363" s="23"/>
      <c r="IDV1363" s="23"/>
      <c r="IDW1363" s="23"/>
      <c r="IDX1363" s="23"/>
      <c r="IDY1363" s="23"/>
      <c r="IDZ1363" s="23"/>
      <c r="IEA1363" s="23"/>
      <c r="IEB1363" s="23"/>
      <c r="IEC1363" s="23"/>
      <c r="IED1363" s="23"/>
      <c r="IEE1363" s="23"/>
      <c r="IEF1363" s="23"/>
      <c r="IEG1363" s="23"/>
      <c r="IEH1363" s="23"/>
      <c r="IEI1363" s="23"/>
      <c r="IEJ1363" s="23"/>
      <c r="IEK1363" s="23"/>
      <c r="IEL1363" s="23"/>
      <c r="IEM1363" s="23"/>
      <c r="IEN1363" s="23"/>
      <c r="IEO1363" s="23"/>
      <c r="IEP1363" s="23"/>
      <c r="IEQ1363" s="23"/>
      <c r="IER1363" s="23"/>
      <c r="IES1363" s="23"/>
      <c r="IET1363" s="23"/>
      <c r="IEU1363" s="23"/>
      <c r="IEV1363" s="23"/>
      <c r="IEW1363" s="23"/>
      <c r="IEX1363" s="23"/>
      <c r="IEY1363" s="23"/>
      <c r="IEZ1363" s="23"/>
      <c r="IFA1363" s="23"/>
      <c r="IFB1363" s="23"/>
      <c r="IFC1363" s="23"/>
      <c r="IFD1363" s="23"/>
      <c r="IFE1363" s="23"/>
      <c r="IFF1363" s="23"/>
      <c r="IFG1363" s="23"/>
      <c r="IFH1363" s="23"/>
      <c r="IFI1363" s="23"/>
      <c r="IFJ1363" s="23"/>
      <c r="IFK1363" s="23"/>
      <c r="IFL1363" s="23"/>
      <c r="IFM1363" s="23"/>
      <c r="IFN1363" s="23"/>
      <c r="IFO1363" s="23"/>
      <c r="IFP1363" s="23"/>
      <c r="IFQ1363" s="23"/>
      <c r="IFR1363" s="23"/>
      <c r="IFS1363" s="23"/>
      <c r="IFT1363" s="23"/>
      <c r="IFU1363" s="23"/>
      <c r="IFV1363" s="23"/>
      <c r="IFW1363" s="23"/>
      <c r="IFX1363" s="23"/>
      <c r="IFY1363" s="23"/>
      <c r="IFZ1363" s="23"/>
      <c r="IGA1363" s="23"/>
      <c r="IGB1363" s="23"/>
      <c r="IGC1363" s="23"/>
      <c r="IGD1363" s="23"/>
      <c r="IGE1363" s="23"/>
      <c r="IGF1363" s="23"/>
      <c r="IGG1363" s="23"/>
      <c r="IGH1363" s="23"/>
      <c r="IGI1363" s="23"/>
      <c r="IGJ1363" s="23"/>
      <c r="IGK1363" s="23"/>
      <c r="IGL1363" s="23"/>
      <c r="IGM1363" s="23"/>
      <c r="IGN1363" s="23"/>
      <c r="IGO1363" s="23"/>
      <c r="IGP1363" s="23"/>
      <c r="IGQ1363" s="23"/>
      <c r="IGR1363" s="23"/>
      <c r="IGS1363" s="23"/>
      <c r="IGT1363" s="23"/>
      <c r="IGU1363" s="23"/>
      <c r="IGV1363" s="23"/>
      <c r="IGW1363" s="23"/>
      <c r="IGX1363" s="23"/>
      <c r="IGY1363" s="23"/>
      <c r="IGZ1363" s="23"/>
      <c r="IHA1363" s="23"/>
      <c r="IHB1363" s="23"/>
      <c r="IHC1363" s="23"/>
      <c r="IHD1363" s="23"/>
      <c r="IHE1363" s="23"/>
      <c r="IHF1363" s="23"/>
      <c r="IHG1363" s="23"/>
      <c r="IHH1363" s="23"/>
      <c r="IHI1363" s="23"/>
      <c r="IHJ1363" s="23"/>
      <c r="IHK1363" s="23"/>
      <c r="IHL1363" s="23"/>
      <c r="IHM1363" s="23"/>
      <c r="IHN1363" s="23"/>
      <c r="IHO1363" s="23"/>
      <c r="IHP1363" s="23"/>
      <c r="IHQ1363" s="23"/>
      <c r="IHR1363" s="23"/>
      <c r="IHS1363" s="23"/>
      <c r="IHT1363" s="23"/>
      <c r="IHU1363" s="23"/>
      <c r="IHV1363" s="23"/>
      <c r="IHW1363" s="23"/>
      <c r="IHX1363" s="23"/>
      <c r="IHY1363" s="23"/>
      <c r="IHZ1363" s="23"/>
      <c r="IIA1363" s="23"/>
      <c r="IIB1363" s="23"/>
      <c r="IIC1363" s="23"/>
      <c r="IID1363" s="23"/>
      <c r="IIE1363" s="23"/>
      <c r="IIF1363" s="23"/>
      <c r="IIG1363" s="23"/>
      <c r="IIH1363" s="23"/>
      <c r="III1363" s="23"/>
      <c r="IIJ1363" s="23"/>
      <c r="IIK1363" s="23"/>
      <c r="IIL1363" s="23"/>
      <c r="IIM1363" s="23"/>
      <c r="IIN1363" s="23"/>
      <c r="IIO1363" s="23"/>
      <c r="IIP1363" s="23"/>
      <c r="IIQ1363" s="23"/>
      <c r="IIR1363" s="23"/>
      <c r="IIS1363" s="23"/>
      <c r="IIT1363" s="23"/>
      <c r="IIU1363" s="23"/>
      <c r="IIV1363" s="23"/>
      <c r="IIW1363" s="23"/>
      <c r="IIX1363" s="23"/>
      <c r="IIY1363" s="23"/>
      <c r="IIZ1363" s="23"/>
      <c r="IJA1363" s="23"/>
      <c r="IJB1363" s="23"/>
      <c r="IJC1363" s="23"/>
      <c r="IJD1363" s="23"/>
      <c r="IJE1363" s="23"/>
      <c r="IJF1363" s="23"/>
      <c r="IJG1363" s="23"/>
      <c r="IJH1363" s="23"/>
      <c r="IJI1363" s="23"/>
      <c r="IJJ1363" s="23"/>
      <c r="IJK1363" s="23"/>
      <c r="IJL1363" s="23"/>
      <c r="IJM1363" s="23"/>
      <c r="IJN1363" s="23"/>
      <c r="IJO1363" s="23"/>
      <c r="IJP1363" s="23"/>
      <c r="IJQ1363" s="23"/>
      <c r="IJR1363" s="23"/>
      <c r="IJS1363" s="23"/>
      <c r="IJT1363" s="23"/>
      <c r="IJU1363" s="23"/>
      <c r="IJV1363" s="23"/>
      <c r="IJW1363" s="23"/>
      <c r="IJX1363" s="23"/>
      <c r="IJY1363" s="23"/>
      <c r="IJZ1363" s="23"/>
      <c r="IKA1363" s="23"/>
      <c r="IKB1363" s="23"/>
      <c r="IKC1363" s="23"/>
      <c r="IKD1363" s="23"/>
      <c r="IKE1363" s="23"/>
      <c r="IKF1363" s="23"/>
      <c r="IKG1363" s="23"/>
      <c r="IKH1363" s="23"/>
      <c r="IKI1363" s="23"/>
      <c r="IKJ1363" s="23"/>
      <c r="IKK1363" s="23"/>
      <c r="IKL1363" s="23"/>
      <c r="IKM1363" s="23"/>
      <c r="IKN1363" s="23"/>
      <c r="IKO1363" s="23"/>
      <c r="IKP1363" s="23"/>
      <c r="IKQ1363" s="23"/>
      <c r="IKR1363" s="23"/>
      <c r="IKS1363" s="23"/>
      <c r="IKT1363" s="23"/>
      <c r="IKU1363" s="23"/>
      <c r="IKV1363" s="23"/>
      <c r="IKW1363" s="23"/>
      <c r="IKX1363" s="23"/>
      <c r="IKY1363" s="23"/>
      <c r="IKZ1363" s="23"/>
      <c r="ILA1363" s="23"/>
      <c r="ILB1363" s="23"/>
      <c r="ILC1363" s="23"/>
      <c r="ILD1363" s="23"/>
      <c r="ILE1363" s="23"/>
      <c r="ILF1363" s="23"/>
      <c r="ILG1363" s="23"/>
      <c r="ILH1363" s="23"/>
      <c r="ILI1363" s="23"/>
      <c r="ILJ1363" s="23"/>
      <c r="ILK1363" s="23"/>
      <c r="ILL1363" s="23"/>
      <c r="ILM1363" s="23"/>
      <c r="ILN1363" s="23"/>
      <c r="ILO1363" s="23"/>
      <c r="ILP1363" s="23"/>
      <c r="ILQ1363" s="23"/>
      <c r="ILR1363" s="23"/>
      <c r="ILS1363" s="23"/>
      <c r="ILT1363" s="23"/>
      <c r="ILU1363" s="23"/>
      <c r="ILV1363" s="23"/>
      <c r="ILW1363" s="23"/>
      <c r="ILX1363" s="23"/>
      <c r="ILY1363" s="23"/>
      <c r="ILZ1363" s="23"/>
      <c r="IMA1363" s="23"/>
      <c r="IMB1363" s="23"/>
      <c r="IMC1363" s="23"/>
      <c r="IMD1363" s="23"/>
      <c r="IME1363" s="23"/>
      <c r="IMF1363" s="23"/>
      <c r="IMG1363" s="23"/>
      <c r="IMH1363" s="23"/>
      <c r="IMI1363" s="23"/>
      <c r="IMJ1363" s="23"/>
      <c r="IMK1363" s="23"/>
      <c r="IML1363" s="23"/>
      <c r="IMM1363" s="23"/>
      <c r="IMN1363" s="23"/>
      <c r="IMO1363" s="23"/>
      <c r="IMP1363" s="23"/>
      <c r="IMQ1363" s="23"/>
      <c r="IMR1363" s="23"/>
      <c r="IMS1363" s="23"/>
      <c r="IMT1363" s="23"/>
      <c r="IMU1363" s="23"/>
      <c r="IMV1363" s="23"/>
      <c r="IMW1363" s="23"/>
      <c r="IMX1363" s="23"/>
      <c r="IMY1363" s="23"/>
      <c r="IMZ1363" s="23"/>
      <c r="INA1363" s="23"/>
      <c r="INB1363" s="23"/>
      <c r="INC1363" s="23"/>
      <c r="IND1363" s="23"/>
      <c r="INE1363" s="23"/>
      <c r="INF1363" s="23"/>
      <c r="ING1363" s="23"/>
      <c r="INH1363" s="23"/>
      <c r="INI1363" s="23"/>
      <c r="INJ1363" s="23"/>
      <c r="INK1363" s="23"/>
      <c r="INL1363" s="23"/>
      <c r="INM1363" s="23"/>
      <c r="INN1363" s="23"/>
      <c r="INO1363" s="23"/>
      <c r="INP1363" s="23"/>
      <c r="INQ1363" s="23"/>
      <c r="INR1363" s="23"/>
      <c r="INS1363" s="23"/>
      <c r="INT1363" s="23"/>
      <c r="INU1363" s="23"/>
      <c r="INV1363" s="23"/>
      <c r="INW1363" s="23"/>
      <c r="INX1363" s="23"/>
      <c r="INY1363" s="23"/>
      <c r="INZ1363" s="23"/>
      <c r="IOA1363" s="23"/>
      <c r="IOB1363" s="23"/>
      <c r="IOC1363" s="23"/>
      <c r="IOD1363" s="23"/>
      <c r="IOE1363" s="23"/>
      <c r="IOF1363" s="23"/>
      <c r="IOG1363" s="23"/>
      <c r="IOH1363" s="23"/>
      <c r="IOI1363" s="23"/>
      <c r="IOJ1363" s="23"/>
      <c r="IOK1363" s="23"/>
      <c r="IOL1363" s="23"/>
      <c r="IOM1363" s="23"/>
      <c r="ION1363" s="23"/>
      <c r="IOO1363" s="23"/>
      <c r="IOP1363" s="23"/>
      <c r="IOQ1363" s="23"/>
      <c r="IOR1363" s="23"/>
      <c r="IOS1363" s="23"/>
      <c r="IOT1363" s="23"/>
      <c r="IOU1363" s="23"/>
      <c r="IOV1363" s="23"/>
      <c r="IOW1363" s="23"/>
      <c r="IOX1363" s="23"/>
      <c r="IOY1363" s="23"/>
      <c r="IOZ1363" s="23"/>
      <c r="IPA1363" s="23"/>
      <c r="IPB1363" s="23"/>
      <c r="IPC1363" s="23"/>
      <c r="IPD1363" s="23"/>
      <c r="IPE1363" s="23"/>
      <c r="IPF1363" s="23"/>
      <c r="IPG1363" s="23"/>
      <c r="IPH1363" s="23"/>
      <c r="IPI1363" s="23"/>
      <c r="IPJ1363" s="23"/>
      <c r="IPK1363" s="23"/>
      <c r="IPL1363" s="23"/>
      <c r="IPM1363" s="23"/>
      <c r="IPN1363" s="23"/>
      <c r="IPO1363" s="23"/>
      <c r="IPP1363" s="23"/>
      <c r="IPQ1363" s="23"/>
      <c r="IPR1363" s="23"/>
      <c r="IPS1363" s="23"/>
      <c r="IPT1363" s="23"/>
      <c r="IPU1363" s="23"/>
      <c r="IPV1363" s="23"/>
      <c r="IPW1363" s="23"/>
      <c r="IPX1363" s="23"/>
      <c r="IPY1363" s="23"/>
      <c r="IPZ1363" s="23"/>
      <c r="IQA1363" s="23"/>
      <c r="IQB1363" s="23"/>
      <c r="IQC1363" s="23"/>
      <c r="IQD1363" s="23"/>
      <c r="IQE1363" s="23"/>
      <c r="IQF1363" s="23"/>
      <c r="IQG1363" s="23"/>
      <c r="IQH1363" s="23"/>
      <c r="IQI1363" s="23"/>
      <c r="IQJ1363" s="23"/>
      <c r="IQK1363" s="23"/>
      <c r="IQL1363" s="23"/>
      <c r="IQM1363" s="23"/>
      <c r="IQN1363" s="23"/>
      <c r="IQO1363" s="23"/>
      <c r="IQP1363" s="23"/>
      <c r="IQQ1363" s="23"/>
      <c r="IQR1363" s="23"/>
      <c r="IQS1363" s="23"/>
      <c r="IQT1363" s="23"/>
      <c r="IQU1363" s="23"/>
      <c r="IQV1363" s="23"/>
      <c r="IQW1363" s="23"/>
      <c r="IQX1363" s="23"/>
      <c r="IQY1363" s="23"/>
      <c r="IQZ1363" s="23"/>
      <c r="IRA1363" s="23"/>
      <c r="IRB1363" s="23"/>
      <c r="IRC1363" s="23"/>
      <c r="IRD1363" s="23"/>
      <c r="IRE1363" s="23"/>
      <c r="IRF1363" s="23"/>
      <c r="IRG1363" s="23"/>
      <c r="IRH1363" s="23"/>
      <c r="IRI1363" s="23"/>
      <c r="IRJ1363" s="23"/>
      <c r="IRK1363" s="23"/>
      <c r="IRL1363" s="23"/>
      <c r="IRM1363" s="23"/>
      <c r="IRN1363" s="23"/>
      <c r="IRO1363" s="23"/>
      <c r="IRP1363" s="23"/>
      <c r="IRQ1363" s="23"/>
      <c r="IRR1363" s="23"/>
      <c r="IRS1363" s="23"/>
      <c r="IRT1363" s="23"/>
      <c r="IRU1363" s="23"/>
      <c r="IRV1363" s="23"/>
      <c r="IRW1363" s="23"/>
      <c r="IRX1363" s="23"/>
      <c r="IRY1363" s="23"/>
      <c r="IRZ1363" s="23"/>
      <c r="ISA1363" s="23"/>
      <c r="ISB1363" s="23"/>
      <c r="ISC1363" s="23"/>
      <c r="ISD1363" s="23"/>
      <c r="ISE1363" s="23"/>
      <c r="ISF1363" s="23"/>
      <c r="ISG1363" s="23"/>
      <c r="ISH1363" s="23"/>
      <c r="ISI1363" s="23"/>
      <c r="ISJ1363" s="23"/>
      <c r="ISK1363" s="23"/>
      <c r="ISL1363" s="23"/>
      <c r="ISM1363" s="23"/>
      <c r="ISN1363" s="23"/>
      <c r="ISO1363" s="23"/>
      <c r="ISP1363" s="23"/>
      <c r="ISQ1363" s="23"/>
      <c r="ISR1363" s="23"/>
      <c r="ISS1363" s="23"/>
      <c r="IST1363" s="23"/>
      <c r="ISU1363" s="23"/>
      <c r="ISV1363" s="23"/>
      <c r="ISW1363" s="23"/>
      <c r="ISX1363" s="23"/>
      <c r="ISY1363" s="23"/>
      <c r="ISZ1363" s="23"/>
      <c r="ITA1363" s="23"/>
      <c r="ITB1363" s="23"/>
      <c r="ITC1363" s="23"/>
      <c r="ITD1363" s="23"/>
      <c r="ITE1363" s="23"/>
      <c r="ITF1363" s="23"/>
      <c r="ITG1363" s="23"/>
      <c r="ITH1363" s="23"/>
      <c r="ITI1363" s="23"/>
      <c r="ITJ1363" s="23"/>
      <c r="ITK1363" s="23"/>
      <c r="ITL1363" s="23"/>
      <c r="ITM1363" s="23"/>
      <c r="ITN1363" s="23"/>
      <c r="ITO1363" s="23"/>
      <c r="ITP1363" s="23"/>
      <c r="ITQ1363" s="23"/>
      <c r="ITR1363" s="23"/>
      <c r="ITS1363" s="23"/>
      <c r="ITT1363" s="23"/>
      <c r="ITU1363" s="23"/>
      <c r="ITV1363" s="23"/>
      <c r="ITW1363" s="23"/>
      <c r="ITX1363" s="23"/>
      <c r="ITY1363" s="23"/>
      <c r="ITZ1363" s="23"/>
      <c r="IUA1363" s="23"/>
      <c r="IUB1363" s="23"/>
      <c r="IUC1363" s="23"/>
      <c r="IUD1363" s="23"/>
      <c r="IUE1363" s="23"/>
      <c r="IUF1363" s="23"/>
      <c r="IUG1363" s="23"/>
      <c r="IUH1363" s="23"/>
      <c r="IUI1363" s="23"/>
      <c r="IUJ1363" s="23"/>
      <c r="IUK1363" s="23"/>
      <c r="IUL1363" s="23"/>
      <c r="IUM1363" s="23"/>
      <c r="IUN1363" s="23"/>
      <c r="IUO1363" s="23"/>
      <c r="IUP1363" s="23"/>
      <c r="IUQ1363" s="23"/>
      <c r="IUR1363" s="23"/>
      <c r="IUS1363" s="23"/>
      <c r="IUT1363" s="23"/>
      <c r="IUU1363" s="23"/>
      <c r="IUV1363" s="23"/>
      <c r="IUW1363" s="23"/>
      <c r="IUX1363" s="23"/>
      <c r="IUY1363" s="23"/>
      <c r="IUZ1363" s="23"/>
      <c r="IVA1363" s="23"/>
      <c r="IVB1363" s="23"/>
      <c r="IVC1363" s="23"/>
      <c r="IVD1363" s="23"/>
      <c r="IVE1363" s="23"/>
      <c r="IVF1363" s="23"/>
      <c r="IVG1363" s="23"/>
      <c r="IVH1363" s="23"/>
      <c r="IVI1363" s="23"/>
      <c r="IVJ1363" s="23"/>
      <c r="IVK1363" s="23"/>
      <c r="IVL1363" s="23"/>
      <c r="IVM1363" s="23"/>
      <c r="IVN1363" s="23"/>
      <c r="IVO1363" s="23"/>
      <c r="IVP1363" s="23"/>
      <c r="IVQ1363" s="23"/>
      <c r="IVR1363" s="23"/>
      <c r="IVS1363" s="23"/>
      <c r="IVT1363" s="23"/>
      <c r="IVU1363" s="23"/>
      <c r="IVV1363" s="23"/>
      <c r="IVW1363" s="23"/>
      <c r="IVX1363" s="23"/>
      <c r="IVY1363" s="23"/>
      <c r="IVZ1363" s="23"/>
      <c r="IWA1363" s="23"/>
      <c r="IWB1363" s="23"/>
      <c r="IWC1363" s="23"/>
      <c r="IWD1363" s="23"/>
      <c r="IWE1363" s="23"/>
      <c r="IWF1363" s="23"/>
      <c r="IWG1363" s="23"/>
      <c r="IWH1363" s="23"/>
      <c r="IWI1363" s="23"/>
      <c r="IWJ1363" s="23"/>
      <c r="IWK1363" s="23"/>
      <c r="IWL1363" s="23"/>
      <c r="IWM1363" s="23"/>
      <c r="IWN1363" s="23"/>
      <c r="IWO1363" s="23"/>
      <c r="IWP1363" s="23"/>
      <c r="IWQ1363" s="23"/>
      <c r="IWR1363" s="23"/>
      <c r="IWS1363" s="23"/>
      <c r="IWT1363" s="23"/>
      <c r="IWU1363" s="23"/>
      <c r="IWV1363" s="23"/>
      <c r="IWW1363" s="23"/>
      <c r="IWX1363" s="23"/>
      <c r="IWY1363" s="23"/>
      <c r="IWZ1363" s="23"/>
      <c r="IXA1363" s="23"/>
      <c r="IXB1363" s="23"/>
      <c r="IXC1363" s="23"/>
      <c r="IXD1363" s="23"/>
      <c r="IXE1363" s="23"/>
      <c r="IXF1363" s="23"/>
      <c r="IXG1363" s="23"/>
      <c r="IXH1363" s="23"/>
      <c r="IXI1363" s="23"/>
      <c r="IXJ1363" s="23"/>
      <c r="IXK1363" s="23"/>
      <c r="IXL1363" s="23"/>
      <c r="IXM1363" s="23"/>
      <c r="IXN1363" s="23"/>
      <c r="IXO1363" s="23"/>
      <c r="IXP1363" s="23"/>
      <c r="IXQ1363" s="23"/>
      <c r="IXR1363" s="23"/>
      <c r="IXS1363" s="23"/>
      <c r="IXT1363" s="23"/>
      <c r="IXU1363" s="23"/>
      <c r="IXV1363" s="23"/>
      <c r="IXW1363" s="23"/>
      <c r="IXX1363" s="23"/>
      <c r="IXY1363" s="23"/>
      <c r="IXZ1363" s="23"/>
      <c r="IYA1363" s="23"/>
      <c r="IYB1363" s="23"/>
      <c r="IYC1363" s="23"/>
      <c r="IYD1363" s="23"/>
      <c r="IYE1363" s="23"/>
      <c r="IYF1363" s="23"/>
      <c r="IYG1363" s="23"/>
      <c r="IYH1363" s="23"/>
      <c r="IYI1363" s="23"/>
      <c r="IYJ1363" s="23"/>
      <c r="IYK1363" s="23"/>
      <c r="IYL1363" s="23"/>
      <c r="IYM1363" s="23"/>
      <c r="IYN1363" s="23"/>
      <c r="IYO1363" s="23"/>
      <c r="IYP1363" s="23"/>
      <c r="IYQ1363" s="23"/>
      <c r="IYR1363" s="23"/>
      <c r="IYS1363" s="23"/>
      <c r="IYT1363" s="23"/>
      <c r="IYU1363" s="23"/>
      <c r="IYV1363" s="23"/>
      <c r="IYW1363" s="23"/>
      <c r="IYX1363" s="23"/>
      <c r="IYY1363" s="23"/>
      <c r="IYZ1363" s="23"/>
      <c r="IZA1363" s="23"/>
      <c r="IZB1363" s="23"/>
      <c r="IZC1363" s="23"/>
      <c r="IZD1363" s="23"/>
      <c r="IZE1363" s="23"/>
      <c r="IZF1363" s="23"/>
      <c r="IZG1363" s="23"/>
      <c r="IZH1363" s="23"/>
      <c r="IZI1363" s="23"/>
      <c r="IZJ1363" s="23"/>
      <c r="IZK1363" s="23"/>
      <c r="IZL1363" s="23"/>
      <c r="IZM1363" s="23"/>
      <c r="IZN1363" s="23"/>
      <c r="IZO1363" s="23"/>
      <c r="IZP1363" s="23"/>
      <c r="IZQ1363" s="23"/>
      <c r="IZR1363" s="23"/>
      <c r="IZS1363" s="23"/>
      <c r="IZT1363" s="23"/>
      <c r="IZU1363" s="23"/>
      <c r="IZV1363" s="23"/>
      <c r="IZW1363" s="23"/>
      <c r="IZX1363" s="23"/>
      <c r="IZY1363" s="23"/>
      <c r="IZZ1363" s="23"/>
      <c r="JAA1363" s="23"/>
      <c r="JAB1363" s="23"/>
      <c r="JAC1363" s="23"/>
      <c r="JAD1363" s="23"/>
      <c r="JAE1363" s="23"/>
      <c r="JAF1363" s="23"/>
      <c r="JAG1363" s="23"/>
      <c r="JAH1363" s="23"/>
      <c r="JAI1363" s="23"/>
      <c r="JAJ1363" s="23"/>
      <c r="JAK1363" s="23"/>
      <c r="JAL1363" s="23"/>
      <c r="JAM1363" s="23"/>
      <c r="JAN1363" s="23"/>
      <c r="JAO1363" s="23"/>
      <c r="JAP1363" s="23"/>
      <c r="JAQ1363" s="23"/>
      <c r="JAR1363" s="23"/>
      <c r="JAS1363" s="23"/>
      <c r="JAT1363" s="23"/>
      <c r="JAU1363" s="23"/>
      <c r="JAV1363" s="23"/>
      <c r="JAW1363" s="23"/>
      <c r="JAX1363" s="23"/>
      <c r="JAY1363" s="23"/>
      <c r="JAZ1363" s="23"/>
      <c r="JBA1363" s="23"/>
      <c r="JBB1363" s="23"/>
      <c r="JBC1363" s="23"/>
      <c r="JBD1363" s="23"/>
      <c r="JBE1363" s="23"/>
      <c r="JBF1363" s="23"/>
      <c r="JBG1363" s="23"/>
      <c r="JBH1363" s="23"/>
      <c r="JBI1363" s="23"/>
      <c r="JBJ1363" s="23"/>
      <c r="JBK1363" s="23"/>
      <c r="JBL1363" s="23"/>
      <c r="JBM1363" s="23"/>
      <c r="JBN1363" s="23"/>
      <c r="JBO1363" s="23"/>
      <c r="JBP1363" s="23"/>
      <c r="JBQ1363" s="23"/>
      <c r="JBR1363" s="23"/>
      <c r="JBS1363" s="23"/>
      <c r="JBT1363" s="23"/>
      <c r="JBU1363" s="23"/>
      <c r="JBV1363" s="23"/>
      <c r="JBW1363" s="23"/>
      <c r="JBX1363" s="23"/>
      <c r="JBY1363" s="23"/>
      <c r="JBZ1363" s="23"/>
      <c r="JCA1363" s="23"/>
      <c r="JCB1363" s="23"/>
      <c r="JCC1363" s="23"/>
      <c r="JCD1363" s="23"/>
      <c r="JCE1363" s="23"/>
      <c r="JCF1363" s="23"/>
      <c r="JCG1363" s="23"/>
      <c r="JCH1363" s="23"/>
      <c r="JCI1363" s="23"/>
      <c r="JCJ1363" s="23"/>
      <c r="JCK1363" s="23"/>
      <c r="JCL1363" s="23"/>
      <c r="JCM1363" s="23"/>
      <c r="JCN1363" s="23"/>
      <c r="JCO1363" s="23"/>
      <c r="JCP1363" s="23"/>
      <c r="JCQ1363" s="23"/>
      <c r="JCR1363" s="23"/>
      <c r="JCS1363" s="23"/>
      <c r="JCT1363" s="23"/>
      <c r="JCU1363" s="23"/>
      <c r="JCV1363" s="23"/>
      <c r="JCW1363" s="23"/>
      <c r="JCX1363" s="23"/>
      <c r="JCY1363" s="23"/>
      <c r="JCZ1363" s="23"/>
      <c r="JDA1363" s="23"/>
      <c r="JDB1363" s="23"/>
      <c r="JDC1363" s="23"/>
      <c r="JDD1363" s="23"/>
      <c r="JDE1363" s="23"/>
      <c r="JDF1363" s="23"/>
      <c r="JDG1363" s="23"/>
      <c r="JDH1363" s="23"/>
      <c r="JDI1363" s="23"/>
      <c r="JDJ1363" s="23"/>
      <c r="JDK1363" s="23"/>
      <c r="JDL1363" s="23"/>
      <c r="JDM1363" s="23"/>
      <c r="JDN1363" s="23"/>
      <c r="JDO1363" s="23"/>
      <c r="JDP1363" s="23"/>
      <c r="JDQ1363" s="23"/>
      <c r="JDR1363" s="23"/>
      <c r="JDS1363" s="23"/>
      <c r="JDT1363" s="23"/>
      <c r="JDU1363" s="23"/>
      <c r="JDV1363" s="23"/>
      <c r="JDW1363" s="23"/>
      <c r="JDX1363" s="23"/>
      <c r="JDY1363" s="23"/>
      <c r="JDZ1363" s="23"/>
      <c r="JEA1363" s="23"/>
      <c r="JEB1363" s="23"/>
      <c r="JEC1363" s="23"/>
      <c r="JED1363" s="23"/>
      <c r="JEE1363" s="23"/>
      <c r="JEF1363" s="23"/>
      <c r="JEG1363" s="23"/>
      <c r="JEH1363" s="23"/>
      <c r="JEI1363" s="23"/>
      <c r="JEJ1363" s="23"/>
      <c r="JEK1363" s="23"/>
      <c r="JEL1363" s="23"/>
      <c r="JEM1363" s="23"/>
      <c r="JEN1363" s="23"/>
      <c r="JEO1363" s="23"/>
      <c r="JEP1363" s="23"/>
      <c r="JEQ1363" s="23"/>
      <c r="JER1363" s="23"/>
      <c r="JES1363" s="23"/>
      <c r="JET1363" s="23"/>
      <c r="JEU1363" s="23"/>
      <c r="JEV1363" s="23"/>
      <c r="JEW1363" s="23"/>
      <c r="JEX1363" s="23"/>
      <c r="JEY1363" s="23"/>
      <c r="JEZ1363" s="23"/>
      <c r="JFA1363" s="23"/>
      <c r="JFB1363" s="23"/>
      <c r="JFC1363" s="23"/>
      <c r="JFD1363" s="23"/>
      <c r="JFE1363" s="23"/>
      <c r="JFF1363" s="23"/>
      <c r="JFG1363" s="23"/>
      <c r="JFH1363" s="23"/>
      <c r="JFI1363" s="23"/>
      <c r="JFJ1363" s="23"/>
      <c r="JFK1363" s="23"/>
      <c r="JFL1363" s="23"/>
      <c r="JFM1363" s="23"/>
      <c r="JFN1363" s="23"/>
      <c r="JFO1363" s="23"/>
      <c r="JFP1363" s="23"/>
      <c r="JFQ1363" s="23"/>
      <c r="JFR1363" s="23"/>
      <c r="JFS1363" s="23"/>
      <c r="JFT1363" s="23"/>
      <c r="JFU1363" s="23"/>
      <c r="JFV1363" s="23"/>
      <c r="JFW1363" s="23"/>
      <c r="JFX1363" s="23"/>
      <c r="JFY1363" s="23"/>
      <c r="JFZ1363" s="23"/>
      <c r="JGA1363" s="23"/>
      <c r="JGB1363" s="23"/>
      <c r="JGC1363" s="23"/>
      <c r="JGD1363" s="23"/>
      <c r="JGE1363" s="23"/>
      <c r="JGF1363" s="23"/>
      <c r="JGG1363" s="23"/>
      <c r="JGH1363" s="23"/>
      <c r="JGI1363" s="23"/>
      <c r="JGJ1363" s="23"/>
      <c r="JGK1363" s="23"/>
      <c r="JGL1363" s="23"/>
      <c r="JGM1363" s="23"/>
      <c r="JGN1363" s="23"/>
      <c r="JGO1363" s="23"/>
      <c r="JGP1363" s="23"/>
      <c r="JGQ1363" s="23"/>
      <c r="JGR1363" s="23"/>
      <c r="JGS1363" s="23"/>
      <c r="JGT1363" s="23"/>
      <c r="JGU1363" s="23"/>
      <c r="JGV1363" s="23"/>
      <c r="JGW1363" s="23"/>
      <c r="JGX1363" s="23"/>
      <c r="JGY1363" s="23"/>
      <c r="JGZ1363" s="23"/>
      <c r="JHA1363" s="23"/>
      <c r="JHB1363" s="23"/>
      <c r="JHC1363" s="23"/>
      <c r="JHD1363" s="23"/>
      <c r="JHE1363" s="23"/>
      <c r="JHF1363" s="23"/>
      <c r="JHG1363" s="23"/>
      <c r="JHH1363" s="23"/>
      <c r="JHI1363" s="23"/>
      <c r="JHJ1363" s="23"/>
      <c r="JHK1363" s="23"/>
      <c r="JHL1363" s="23"/>
      <c r="JHM1363" s="23"/>
      <c r="JHN1363" s="23"/>
      <c r="JHO1363" s="23"/>
      <c r="JHP1363" s="23"/>
      <c r="JHQ1363" s="23"/>
      <c r="JHR1363" s="23"/>
      <c r="JHS1363" s="23"/>
      <c r="JHT1363" s="23"/>
      <c r="JHU1363" s="23"/>
      <c r="JHV1363" s="23"/>
      <c r="JHW1363" s="23"/>
      <c r="JHX1363" s="23"/>
      <c r="JHY1363" s="23"/>
      <c r="JHZ1363" s="23"/>
      <c r="JIA1363" s="23"/>
      <c r="JIB1363" s="23"/>
      <c r="JIC1363" s="23"/>
      <c r="JID1363" s="23"/>
      <c r="JIE1363" s="23"/>
      <c r="JIF1363" s="23"/>
      <c r="JIG1363" s="23"/>
      <c r="JIH1363" s="23"/>
      <c r="JII1363" s="23"/>
      <c r="JIJ1363" s="23"/>
      <c r="JIK1363" s="23"/>
      <c r="JIL1363" s="23"/>
      <c r="JIM1363" s="23"/>
      <c r="JIN1363" s="23"/>
      <c r="JIO1363" s="23"/>
      <c r="JIP1363" s="23"/>
      <c r="JIQ1363" s="23"/>
      <c r="JIR1363" s="23"/>
      <c r="JIS1363" s="23"/>
      <c r="JIT1363" s="23"/>
      <c r="JIU1363" s="23"/>
      <c r="JIV1363" s="23"/>
      <c r="JIW1363" s="23"/>
      <c r="JIX1363" s="23"/>
      <c r="JIY1363" s="23"/>
      <c r="JIZ1363" s="23"/>
      <c r="JJA1363" s="23"/>
      <c r="JJB1363" s="23"/>
      <c r="JJC1363" s="23"/>
      <c r="JJD1363" s="23"/>
      <c r="JJE1363" s="23"/>
      <c r="JJF1363" s="23"/>
      <c r="JJG1363" s="23"/>
      <c r="JJH1363" s="23"/>
      <c r="JJI1363" s="23"/>
      <c r="JJJ1363" s="23"/>
      <c r="JJK1363" s="23"/>
      <c r="JJL1363" s="23"/>
      <c r="JJM1363" s="23"/>
      <c r="JJN1363" s="23"/>
      <c r="JJO1363" s="23"/>
      <c r="JJP1363" s="23"/>
      <c r="JJQ1363" s="23"/>
      <c r="JJR1363" s="23"/>
      <c r="JJS1363" s="23"/>
      <c r="JJT1363" s="23"/>
      <c r="JJU1363" s="23"/>
      <c r="JJV1363" s="23"/>
      <c r="JJW1363" s="23"/>
      <c r="JJX1363" s="23"/>
      <c r="JJY1363" s="23"/>
      <c r="JJZ1363" s="23"/>
      <c r="JKA1363" s="23"/>
      <c r="JKB1363" s="23"/>
      <c r="JKC1363" s="23"/>
      <c r="JKD1363" s="23"/>
      <c r="JKE1363" s="23"/>
      <c r="JKF1363" s="23"/>
      <c r="JKG1363" s="23"/>
      <c r="JKH1363" s="23"/>
      <c r="JKI1363" s="23"/>
      <c r="JKJ1363" s="23"/>
      <c r="JKK1363" s="23"/>
      <c r="JKL1363" s="23"/>
      <c r="JKM1363" s="23"/>
      <c r="JKN1363" s="23"/>
      <c r="JKO1363" s="23"/>
      <c r="JKP1363" s="23"/>
      <c r="JKQ1363" s="23"/>
      <c r="JKR1363" s="23"/>
      <c r="JKS1363" s="23"/>
      <c r="JKT1363" s="23"/>
      <c r="JKU1363" s="23"/>
      <c r="JKV1363" s="23"/>
      <c r="JKW1363" s="23"/>
      <c r="JKX1363" s="23"/>
      <c r="JKY1363" s="23"/>
      <c r="JKZ1363" s="23"/>
      <c r="JLA1363" s="23"/>
      <c r="JLB1363" s="23"/>
      <c r="JLC1363" s="23"/>
      <c r="JLD1363" s="23"/>
      <c r="JLE1363" s="23"/>
      <c r="JLF1363" s="23"/>
      <c r="JLG1363" s="23"/>
      <c r="JLH1363" s="23"/>
      <c r="JLI1363" s="23"/>
      <c r="JLJ1363" s="23"/>
      <c r="JLK1363" s="23"/>
      <c r="JLL1363" s="23"/>
      <c r="JLM1363" s="23"/>
      <c r="JLN1363" s="23"/>
      <c r="JLO1363" s="23"/>
      <c r="JLP1363" s="23"/>
      <c r="JLQ1363" s="23"/>
      <c r="JLR1363" s="23"/>
      <c r="JLS1363" s="23"/>
      <c r="JLT1363" s="23"/>
      <c r="JLU1363" s="23"/>
      <c r="JLV1363" s="23"/>
      <c r="JLW1363" s="23"/>
      <c r="JLX1363" s="23"/>
      <c r="JLY1363" s="23"/>
      <c r="JLZ1363" s="23"/>
      <c r="JMA1363" s="23"/>
      <c r="JMB1363" s="23"/>
      <c r="JMC1363" s="23"/>
      <c r="JMD1363" s="23"/>
      <c r="JME1363" s="23"/>
      <c r="JMF1363" s="23"/>
      <c r="JMG1363" s="23"/>
      <c r="JMH1363" s="23"/>
      <c r="JMI1363" s="23"/>
      <c r="JMJ1363" s="23"/>
      <c r="JMK1363" s="23"/>
      <c r="JML1363" s="23"/>
      <c r="JMM1363" s="23"/>
      <c r="JMN1363" s="23"/>
      <c r="JMO1363" s="23"/>
      <c r="JMP1363" s="23"/>
      <c r="JMQ1363" s="23"/>
      <c r="JMR1363" s="23"/>
      <c r="JMS1363" s="23"/>
      <c r="JMT1363" s="23"/>
      <c r="JMU1363" s="23"/>
      <c r="JMV1363" s="23"/>
      <c r="JMW1363" s="23"/>
      <c r="JMX1363" s="23"/>
      <c r="JMY1363" s="23"/>
      <c r="JMZ1363" s="23"/>
      <c r="JNA1363" s="23"/>
      <c r="JNB1363" s="23"/>
      <c r="JNC1363" s="23"/>
      <c r="JND1363" s="23"/>
      <c r="JNE1363" s="23"/>
      <c r="JNF1363" s="23"/>
      <c r="JNG1363" s="23"/>
      <c r="JNH1363" s="23"/>
      <c r="JNI1363" s="23"/>
      <c r="JNJ1363" s="23"/>
      <c r="JNK1363" s="23"/>
      <c r="JNL1363" s="23"/>
      <c r="JNM1363" s="23"/>
      <c r="JNN1363" s="23"/>
      <c r="JNO1363" s="23"/>
      <c r="JNP1363" s="23"/>
      <c r="JNQ1363" s="23"/>
      <c r="JNR1363" s="23"/>
      <c r="JNS1363" s="23"/>
      <c r="JNT1363" s="23"/>
      <c r="JNU1363" s="23"/>
      <c r="JNV1363" s="23"/>
      <c r="JNW1363" s="23"/>
      <c r="JNX1363" s="23"/>
      <c r="JNY1363" s="23"/>
      <c r="JNZ1363" s="23"/>
      <c r="JOA1363" s="23"/>
      <c r="JOB1363" s="23"/>
      <c r="JOC1363" s="23"/>
      <c r="JOD1363" s="23"/>
      <c r="JOE1363" s="23"/>
      <c r="JOF1363" s="23"/>
      <c r="JOG1363" s="23"/>
      <c r="JOH1363" s="23"/>
      <c r="JOI1363" s="23"/>
      <c r="JOJ1363" s="23"/>
      <c r="JOK1363" s="23"/>
      <c r="JOL1363" s="23"/>
      <c r="JOM1363" s="23"/>
      <c r="JON1363" s="23"/>
      <c r="JOO1363" s="23"/>
      <c r="JOP1363" s="23"/>
      <c r="JOQ1363" s="23"/>
      <c r="JOR1363" s="23"/>
      <c r="JOS1363" s="23"/>
      <c r="JOT1363" s="23"/>
      <c r="JOU1363" s="23"/>
      <c r="JOV1363" s="23"/>
      <c r="JOW1363" s="23"/>
      <c r="JOX1363" s="23"/>
      <c r="JOY1363" s="23"/>
      <c r="JOZ1363" s="23"/>
      <c r="JPA1363" s="23"/>
      <c r="JPB1363" s="23"/>
      <c r="JPC1363" s="23"/>
      <c r="JPD1363" s="23"/>
      <c r="JPE1363" s="23"/>
      <c r="JPF1363" s="23"/>
      <c r="JPG1363" s="23"/>
      <c r="JPH1363" s="23"/>
      <c r="JPI1363" s="23"/>
      <c r="JPJ1363" s="23"/>
      <c r="JPK1363" s="23"/>
      <c r="JPL1363" s="23"/>
      <c r="JPM1363" s="23"/>
      <c r="JPN1363" s="23"/>
      <c r="JPO1363" s="23"/>
      <c r="JPP1363" s="23"/>
      <c r="JPQ1363" s="23"/>
      <c r="JPR1363" s="23"/>
      <c r="JPS1363" s="23"/>
      <c r="JPT1363" s="23"/>
      <c r="JPU1363" s="23"/>
      <c r="JPV1363" s="23"/>
      <c r="JPW1363" s="23"/>
      <c r="JPX1363" s="23"/>
      <c r="JPY1363" s="23"/>
      <c r="JPZ1363" s="23"/>
      <c r="JQA1363" s="23"/>
      <c r="JQB1363" s="23"/>
      <c r="JQC1363" s="23"/>
      <c r="JQD1363" s="23"/>
      <c r="JQE1363" s="23"/>
      <c r="JQF1363" s="23"/>
      <c r="JQG1363" s="23"/>
      <c r="JQH1363" s="23"/>
      <c r="JQI1363" s="23"/>
      <c r="JQJ1363" s="23"/>
      <c r="JQK1363" s="23"/>
      <c r="JQL1363" s="23"/>
      <c r="JQM1363" s="23"/>
      <c r="JQN1363" s="23"/>
      <c r="JQO1363" s="23"/>
      <c r="JQP1363" s="23"/>
      <c r="JQQ1363" s="23"/>
      <c r="JQR1363" s="23"/>
      <c r="JQS1363" s="23"/>
      <c r="JQT1363" s="23"/>
      <c r="JQU1363" s="23"/>
      <c r="JQV1363" s="23"/>
      <c r="JQW1363" s="23"/>
      <c r="JQX1363" s="23"/>
      <c r="JQY1363" s="23"/>
      <c r="JQZ1363" s="23"/>
      <c r="JRA1363" s="23"/>
      <c r="JRB1363" s="23"/>
      <c r="JRC1363" s="23"/>
      <c r="JRD1363" s="23"/>
      <c r="JRE1363" s="23"/>
      <c r="JRF1363" s="23"/>
      <c r="JRG1363" s="23"/>
      <c r="JRH1363" s="23"/>
      <c r="JRI1363" s="23"/>
      <c r="JRJ1363" s="23"/>
      <c r="JRK1363" s="23"/>
      <c r="JRL1363" s="23"/>
      <c r="JRM1363" s="23"/>
      <c r="JRN1363" s="23"/>
      <c r="JRO1363" s="23"/>
      <c r="JRP1363" s="23"/>
      <c r="JRQ1363" s="23"/>
      <c r="JRR1363" s="23"/>
      <c r="JRS1363" s="23"/>
      <c r="JRT1363" s="23"/>
      <c r="JRU1363" s="23"/>
      <c r="JRV1363" s="23"/>
      <c r="JRW1363" s="23"/>
      <c r="JRX1363" s="23"/>
      <c r="JRY1363" s="23"/>
      <c r="JRZ1363" s="23"/>
      <c r="JSA1363" s="23"/>
      <c r="JSB1363" s="23"/>
      <c r="JSC1363" s="23"/>
      <c r="JSD1363" s="23"/>
      <c r="JSE1363" s="23"/>
      <c r="JSF1363" s="23"/>
      <c r="JSG1363" s="23"/>
      <c r="JSH1363" s="23"/>
      <c r="JSI1363" s="23"/>
      <c r="JSJ1363" s="23"/>
      <c r="JSK1363" s="23"/>
      <c r="JSL1363" s="23"/>
      <c r="JSM1363" s="23"/>
      <c r="JSN1363" s="23"/>
      <c r="JSO1363" s="23"/>
      <c r="JSP1363" s="23"/>
      <c r="JSQ1363" s="23"/>
      <c r="JSR1363" s="23"/>
      <c r="JSS1363" s="23"/>
      <c r="JST1363" s="23"/>
      <c r="JSU1363" s="23"/>
      <c r="JSV1363" s="23"/>
      <c r="JSW1363" s="23"/>
      <c r="JSX1363" s="23"/>
      <c r="JSY1363" s="23"/>
      <c r="JSZ1363" s="23"/>
      <c r="JTA1363" s="23"/>
      <c r="JTB1363" s="23"/>
      <c r="JTC1363" s="23"/>
      <c r="JTD1363" s="23"/>
      <c r="JTE1363" s="23"/>
      <c r="JTF1363" s="23"/>
      <c r="JTG1363" s="23"/>
      <c r="JTH1363" s="23"/>
      <c r="JTI1363" s="23"/>
      <c r="JTJ1363" s="23"/>
      <c r="JTK1363" s="23"/>
      <c r="JTL1363" s="23"/>
      <c r="JTM1363" s="23"/>
      <c r="JTN1363" s="23"/>
      <c r="JTO1363" s="23"/>
      <c r="JTP1363" s="23"/>
      <c r="JTQ1363" s="23"/>
      <c r="JTR1363" s="23"/>
      <c r="JTS1363" s="23"/>
      <c r="JTT1363" s="23"/>
      <c r="JTU1363" s="23"/>
      <c r="JTV1363" s="23"/>
      <c r="JTW1363" s="23"/>
      <c r="JTX1363" s="23"/>
      <c r="JTY1363" s="23"/>
      <c r="JTZ1363" s="23"/>
      <c r="JUA1363" s="23"/>
      <c r="JUB1363" s="23"/>
      <c r="JUC1363" s="23"/>
      <c r="JUD1363" s="23"/>
      <c r="JUE1363" s="23"/>
      <c r="JUF1363" s="23"/>
      <c r="JUG1363" s="23"/>
      <c r="JUH1363" s="23"/>
      <c r="JUI1363" s="23"/>
      <c r="JUJ1363" s="23"/>
      <c r="JUK1363" s="23"/>
      <c r="JUL1363" s="23"/>
      <c r="JUM1363" s="23"/>
      <c r="JUN1363" s="23"/>
      <c r="JUO1363" s="23"/>
      <c r="JUP1363" s="23"/>
      <c r="JUQ1363" s="23"/>
      <c r="JUR1363" s="23"/>
      <c r="JUS1363" s="23"/>
      <c r="JUT1363" s="23"/>
      <c r="JUU1363" s="23"/>
      <c r="JUV1363" s="23"/>
      <c r="JUW1363" s="23"/>
      <c r="JUX1363" s="23"/>
      <c r="JUY1363" s="23"/>
      <c r="JUZ1363" s="23"/>
      <c r="JVA1363" s="23"/>
      <c r="JVB1363" s="23"/>
      <c r="JVC1363" s="23"/>
      <c r="JVD1363" s="23"/>
      <c r="JVE1363" s="23"/>
      <c r="JVF1363" s="23"/>
      <c r="JVG1363" s="23"/>
      <c r="JVH1363" s="23"/>
      <c r="JVI1363" s="23"/>
      <c r="JVJ1363" s="23"/>
      <c r="JVK1363" s="23"/>
      <c r="JVL1363" s="23"/>
      <c r="JVM1363" s="23"/>
      <c r="JVN1363" s="23"/>
      <c r="JVO1363" s="23"/>
      <c r="JVP1363" s="23"/>
      <c r="JVQ1363" s="23"/>
      <c r="JVR1363" s="23"/>
      <c r="JVS1363" s="23"/>
      <c r="JVT1363" s="23"/>
      <c r="JVU1363" s="23"/>
      <c r="JVV1363" s="23"/>
      <c r="JVW1363" s="23"/>
      <c r="JVX1363" s="23"/>
      <c r="JVY1363" s="23"/>
      <c r="JVZ1363" s="23"/>
      <c r="JWA1363" s="23"/>
      <c r="JWB1363" s="23"/>
      <c r="JWC1363" s="23"/>
      <c r="JWD1363" s="23"/>
      <c r="JWE1363" s="23"/>
      <c r="JWF1363" s="23"/>
      <c r="JWG1363" s="23"/>
      <c r="JWH1363" s="23"/>
      <c r="JWI1363" s="23"/>
      <c r="JWJ1363" s="23"/>
      <c r="JWK1363" s="23"/>
      <c r="JWL1363" s="23"/>
      <c r="JWM1363" s="23"/>
      <c r="JWN1363" s="23"/>
      <c r="JWO1363" s="23"/>
      <c r="JWP1363" s="23"/>
      <c r="JWQ1363" s="23"/>
      <c r="JWR1363" s="23"/>
      <c r="JWS1363" s="23"/>
      <c r="JWT1363" s="23"/>
      <c r="JWU1363" s="23"/>
      <c r="JWV1363" s="23"/>
      <c r="JWW1363" s="23"/>
      <c r="JWX1363" s="23"/>
      <c r="JWY1363" s="23"/>
      <c r="JWZ1363" s="23"/>
      <c r="JXA1363" s="23"/>
      <c r="JXB1363" s="23"/>
      <c r="JXC1363" s="23"/>
      <c r="JXD1363" s="23"/>
      <c r="JXE1363" s="23"/>
      <c r="JXF1363" s="23"/>
      <c r="JXG1363" s="23"/>
      <c r="JXH1363" s="23"/>
      <c r="JXI1363" s="23"/>
      <c r="JXJ1363" s="23"/>
      <c r="JXK1363" s="23"/>
      <c r="JXL1363" s="23"/>
      <c r="JXM1363" s="23"/>
      <c r="JXN1363" s="23"/>
      <c r="JXO1363" s="23"/>
      <c r="JXP1363" s="23"/>
      <c r="JXQ1363" s="23"/>
      <c r="JXR1363" s="23"/>
      <c r="JXS1363" s="23"/>
      <c r="JXT1363" s="23"/>
      <c r="JXU1363" s="23"/>
      <c r="JXV1363" s="23"/>
      <c r="JXW1363" s="23"/>
      <c r="JXX1363" s="23"/>
      <c r="JXY1363" s="23"/>
      <c r="JXZ1363" s="23"/>
      <c r="JYA1363" s="23"/>
      <c r="JYB1363" s="23"/>
      <c r="JYC1363" s="23"/>
      <c r="JYD1363" s="23"/>
      <c r="JYE1363" s="23"/>
      <c r="JYF1363" s="23"/>
      <c r="JYG1363" s="23"/>
      <c r="JYH1363" s="23"/>
      <c r="JYI1363" s="23"/>
      <c r="JYJ1363" s="23"/>
      <c r="JYK1363" s="23"/>
      <c r="JYL1363" s="23"/>
      <c r="JYM1363" s="23"/>
      <c r="JYN1363" s="23"/>
      <c r="JYO1363" s="23"/>
      <c r="JYP1363" s="23"/>
      <c r="JYQ1363" s="23"/>
      <c r="JYR1363" s="23"/>
      <c r="JYS1363" s="23"/>
      <c r="JYT1363" s="23"/>
      <c r="JYU1363" s="23"/>
      <c r="JYV1363" s="23"/>
      <c r="JYW1363" s="23"/>
      <c r="JYX1363" s="23"/>
      <c r="JYY1363" s="23"/>
      <c r="JYZ1363" s="23"/>
      <c r="JZA1363" s="23"/>
      <c r="JZB1363" s="23"/>
      <c r="JZC1363" s="23"/>
      <c r="JZD1363" s="23"/>
      <c r="JZE1363" s="23"/>
      <c r="JZF1363" s="23"/>
      <c r="JZG1363" s="23"/>
      <c r="JZH1363" s="23"/>
      <c r="JZI1363" s="23"/>
      <c r="JZJ1363" s="23"/>
      <c r="JZK1363" s="23"/>
      <c r="JZL1363" s="23"/>
      <c r="JZM1363" s="23"/>
      <c r="JZN1363" s="23"/>
      <c r="JZO1363" s="23"/>
      <c r="JZP1363" s="23"/>
      <c r="JZQ1363" s="23"/>
      <c r="JZR1363" s="23"/>
      <c r="JZS1363" s="23"/>
      <c r="JZT1363" s="23"/>
      <c r="JZU1363" s="23"/>
      <c r="JZV1363" s="23"/>
      <c r="JZW1363" s="23"/>
      <c r="JZX1363" s="23"/>
      <c r="JZY1363" s="23"/>
      <c r="JZZ1363" s="23"/>
      <c r="KAA1363" s="23"/>
      <c r="KAB1363" s="23"/>
      <c r="KAC1363" s="23"/>
      <c r="KAD1363" s="23"/>
      <c r="KAE1363" s="23"/>
      <c r="KAF1363" s="23"/>
      <c r="KAG1363" s="23"/>
      <c r="KAH1363" s="23"/>
      <c r="KAI1363" s="23"/>
      <c r="KAJ1363" s="23"/>
      <c r="KAK1363" s="23"/>
      <c r="KAL1363" s="23"/>
      <c r="KAM1363" s="23"/>
      <c r="KAN1363" s="23"/>
      <c r="KAO1363" s="23"/>
      <c r="KAP1363" s="23"/>
      <c r="KAQ1363" s="23"/>
      <c r="KAR1363" s="23"/>
      <c r="KAS1363" s="23"/>
      <c r="KAT1363" s="23"/>
      <c r="KAU1363" s="23"/>
      <c r="KAV1363" s="23"/>
      <c r="KAW1363" s="23"/>
      <c r="KAX1363" s="23"/>
      <c r="KAY1363" s="23"/>
      <c r="KAZ1363" s="23"/>
      <c r="KBA1363" s="23"/>
      <c r="KBB1363" s="23"/>
      <c r="KBC1363" s="23"/>
      <c r="KBD1363" s="23"/>
      <c r="KBE1363" s="23"/>
      <c r="KBF1363" s="23"/>
      <c r="KBG1363" s="23"/>
      <c r="KBH1363" s="23"/>
      <c r="KBI1363" s="23"/>
      <c r="KBJ1363" s="23"/>
      <c r="KBK1363" s="23"/>
      <c r="KBL1363" s="23"/>
      <c r="KBM1363" s="23"/>
      <c r="KBN1363" s="23"/>
      <c r="KBO1363" s="23"/>
      <c r="KBP1363" s="23"/>
      <c r="KBQ1363" s="23"/>
      <c r="KBR1363" s="23"/>
      <c r="KBS1363" s="23"/>
      <c r="KBT1363" s="23"/>
      <c r="KBU1363" s="23"/>
      <c r="KBV1363" s="23"/>
      <c r="KBW1363" s="23"/>
      <c r="KBX1363" s="23"/>
      <c r="KBY1363" s="23"/>
      <c r="KBZ1363" s="23"/>
      <c r="KCA1363" s="23"/>
      <c r="KCB1363" s="23"/>
      <c r="KCC1363" s="23"/>
      <c r="KCD1363" s="23"/>
      <c r="KCE1363" s="23"/>
      <c r="KCF1363" s="23"/>
      <c r="KCG1363" s="23"/>
      <c r="KCH1363" s="23"/>
      <c r="KCI1363" s="23"/>
      <c r="KCJ1363" s="23"/>
      <c r="KCK1363" s="23"/>
      <c r="KCL1363" s="23"/>
      <c r="KCM1363" s="23"/>
      <c r="KCN1363" s="23"/>
      <c r="KCO1363" s="23"/>
      <c r="KCP1363" s="23"/>
      <c r="KCQ1363" s="23"/>
      <c r="KCR1363" s="23"/>
      <c r="KCS1363" s="23"/>
      <c r="KCT1363" s="23"/>
      <c r="KCU1363" s="23"/>
      <c r="KCV1363" s="23"/>
      <c r="KCW1363" s="23"/>
      <c r="KCX1363" s="23"/>
      <c r="KCY1363" s="23"/>
      <c r="KCZ1363" s="23"/>
      <c r="KDA1363" s="23"/>
      <c r="KDB1363" s="23"/>
      <c r="KDC1363" s="23"/>
      <c r="KDD1363" s="23"/>
      <c r="KDE1363" s="23"/>
      <c r="KDF1363" s="23"/>
      <c r="KDG1363" s="23"/>
      <c r="KDH1363" s="23"/>
      <c r="KDI1363" s="23"/>
      <c r="KDJ1363" s="23"/>
      <c r="KDK1363" s="23"/>
      <c r="KDL1363" s="23"/>
      <c r="KDM1363" s="23"/>
      <c r="KDN1363" s="23"/>
      <c r="KDO1363" s="23"/>
      <c r="KDP1363" s="23"/>
      <c r="KDQ1363" s="23"/>
      <c r="KDR1363" s="23"/>
      <c r="KDS1363" s="23"/>
      <c r="KDT1363" s="23"/>
      <c r="KDU1363" s="23"/>
      <c r="KDV1363" s="23"/>
      <c r="KDW1363" s="23"/>
      <c r="KDX1363" s="23"/>
      <c r="KDY1363" s="23"/>
      <c r="KDZ1363" s="23"/>
      <c r="KEA1363" s="23"/>
      <c r="KEB1363" s="23"/>
      <c r="KEC1363" s="23"/>
      <c r="KED1363" s="23"/>
      <c r="KEE1363" s="23"/>
      <c r="KEF1363" s="23"/>
      <c r="KEG1363" s="23"/>
      <c r="KEH1363" s="23"/>
      <c r="KEI1363" s="23"/>
      <c r="KEJ1363" s="23"/>
      <c r="KEK1363" s="23"/>
      <c r="KEL1363" s="23"/>
      <c r="KEM1363" s="23"/>
      <c r="KEN1363" s="23"/>
      <c r="KEO1363" s="23"/>
      <c r="KEP1363" s="23"/>
      <c r="KEQ1363" s="23"/>
      <c r="KER1363" s="23"/>
      <c r="KES1363" s="23"/>
      <c r="KET1363" s="23"/>
      <c r="KEU1363" s="23"/>
      <c r="KEV1363" s="23"/>
      <c r="KEW1363" s="23"/>
      <c r="KEX1363" s="23"/>
      <c r="KEY1363" s="23"/>
      <c r="KEZ1363" s="23"/>
      <c r="KFA1363" s="23"/>
      <c r="KFB1363" s="23"/>
      <c r="KFC1363" s="23"/>
      <c r="KFD1363" s="23"/>
      <c r="KFE1363" s="23"/>
      <c r="KFF1363" s="23"/>
      <c r="KFG1363" s="23"/>
      <c r="KFH1363" s="23"/>
      <c r="KFI1363" s="23"/>
      <c r="KFJ1363" s="23"/>
      <c r="KFK1363" s="23"/>
      <c r="KFL1363" s="23"/>
      <c r="KFM1363" s="23"/>
      <c r="KFN1363" s="23"/>
      <c r="KFO1363" s="23"/>
      <c r="KFP1363" s="23"/>
      <c r="KFQ1363" s="23"/>
      <c r="KFR1363" s="23"/>
      <c r="KFS1363" s="23"/>
      <c r="KFT1363" s="23"/>
      <c r="KFU1363" s="23"/>
      <c r="KFV1363" s="23"/>
      <c r="KFW1363" s="23"/>
      <c r="KFX1363" s="23"/>
      <c r="KFY1363" s="23"/>
      <c r="KFZ1363" s="23"/>
      <c r="KGA1363" s="23"/>
      <c r="KGB1363" s="23"/>
      <c r="KGC1363" s="23"/>
      <c r="KGD1363" s="23"/>
      <c r="KGE1363" s="23"/>
      <c r="KGF1363" s="23"/>
      <c r="KGG1363" s="23"/>
      <c r="KGH1363" s="23"/>
      <c r="KGI1363" s="23"/>
      <c r="KGJ1363" s="23"/>
      <c r="KGK1363" s="23"/>
      <c r="KGL1363" s="23"/>
      <c r="KGM1363" s="23"/>
      <c r="KGN1363" s="23"/>
      <c r="KGO1363" s="23"/>
      <c r="KGP1363" s="23"/>
      <c r="KGQ1363" s="23"/>
      <c r="KGR1363" s="23"/>
      <c r="KGS1363" s="23"/>
      <c r="KGT1363" s="23"/>
      <c r="KGU1363" s="23"/>
      <c r="KGV1363" s="23"/>
      <c r="KGW1363" s="23"/>
      <c r="KGX1363" s="23"/>
      <c r="KGY1363" s="23"/>
      <c r="KGZ1363" s="23"/>
      <c r="KHA1363" s="23"/>
      <c r="KHB1363" s="23"/>
      <c r="KHC1363" s="23"/>
      <c r="KHD1363" s="23"/>
      <c r="KHE1363" s="23"/>
      <c r="KHF1363" s="23"/>
      <c r="KHG1363" s="23"/>
      <c r="KHH1363" s="23"/>
      <c r="KHI1363" s="23"/>
      <c r="KHJ1363" s="23"/>
      <c r="KHK1363" s="23"/>
      <c r="KHL1363" s="23"/>
      <c r="KHM1363" s="23"/>
      <c r="KHN1363" s="23"/>
      <c r="KHO1363" s="23"/>
      <c r="KHP1363" s="23"/>
      <c r="KHQ1363" s="23"/>
      <c r="KHR1363" s="23"/>
      <c r="KHS1363" s="23"/>
      <c r="KHT1363" s="23"/>
      <c r="KHU1363" s="23"/>
      <c r="KHV1363" s="23"/>
      <c r="KHW1363" s="23"/>
      <c r="KHX1363" s="23"/>
      <c r="KHY1363" s="23"/>
      <c r="KHZ1363" s="23"/>
      <c r="KIA1363" s="23"/>
      <c r="KIB1363" s="23"/>
      <c r="KIC1363" s="23"/>
      <c r="KID1363" s="23"/>
      <c r="KIE1363" s="23"/>
      <c r="KIF1363" s="23"/>
      <c r="KIG1363" s="23"/>
      <c r="KIH1363" s="23"/>
      <c r="KII1363" s="23"/>
      <c r="KIJ1363" s="23"/>
      <c r="KIK1363" s="23"/>
      <c r="KIL1363" s="23"/>
      <c r="KIM1363" s="23"/>
      <c r="KIN1363" s="23"/>
      <c r="KIO1363" s="23"/>
      <c r="KIP1363" s="23"/>
      <c r="KIQ1363" s="23"/>
      <c r="KIR1363" s="23"/>
      <c r="KIS1363" s="23"/>
      <c r="KIT1363" s="23"/>
      <c r="KIU1363" s="23"/>
      <c r="KIV1363" s="23"/>
      <c r="KIW1363" s="23"/>
      <c r="KIX1363" s="23"/>
      <c r="KIY1363" s="23"/>
      <c r="KIZ1363" s="23"/>
      <c r="KJA1363" s="23"/>
      <c r="KJB1363" s="23"/>
      <c r="KJC1363" s="23"/>
      <c r="KJD1363" s="23"/>
      <c r="KJE1363" s="23"/>
      <c r="KJF1363" s="23"/>
      <c r="KJG1363" s="23"/>
      <c r="KJH1363" s="23"/>
      <c r="KJI1363" s="23"/>
      <c r="KJJ1363" s="23"/>
      <c r="KJK1363" s="23"/>
      <c r="KJL1363" s="23"/>
      <c r="KJM1363" s="23"/>
      <c r="KJN1363" s="23"/>
      <c r="KJO1363" s="23"/>
      <c r="KJP1363" s="23"/>
      <c r="KJQ1363" s="23"/>
      <c r="KJR1363" s="23"/>
      <c r="KJS1363" s="23"/>
      <c r="KJT1363" s="23"/>
      <c r="KJU1363" s="23"/>
      <c r="KJV1363" s="23"/>
      <c r="KJW1363" s="23"/>
      <c r="KJX1363" s="23"/>
      <c r="KJY1363" s="23"/>
      <c r="KJZ1363" s="23"/>
      <c r="KKA1363" s="23"/>
      <c r="KKB1363" s="23"/>
      <c r="KKC1363" s="23"/>
      <c r="KKD1363" s="23"/>
      <c r="KKE1363" s="23"/>
      <c r="KKF1363" s="23"/>
      <c r="KKG1363" s="23"/>
      <c r="KKH1363" s="23"/>
      <c r="KKI1363" s="23"/>
      <c r="KKJ1363" s="23"/>
      <c r="KKK1363" s="23"/>
      <c r="KKL1363" s="23"/>
      <c r="KKM1363" s="23"/>
      <c r="KKN1363" s="23"/>
      <c r="KKO1363" s="23"/>
      <c r="KKP1363" s="23"/>
      <c r="KKQ1363" s="23"/>
      <c r="KKR1363" s="23"/>
      <c r="KKS1363" s="23"/>
      <c r="KKT1363" s="23"/>
      <c r="KKU1363" s="23"/>
      <c r="KKV1363" s="23"/>
      <c r="KKW1363" s="23"/>
      <c r="KKX1363" s="23"/>
      <c r="KKY1363" s="23"/>
      <c r="KKZ1363" s="23"/>
      <c r="KLA1363" s="23"/>
      <c r="KLB1363" s="23"/>
      <c r="KLC1363" s="23"/>
      <c r="KLD1363" s="23"/>
      <c r="KLE1363" s="23"/>
      <c r="KLF1363" s="23"/>
      <c r="KLG1363" s="23"/>
      <c r="KLH1363" s="23"/>
      <c r="KLI1363" s="23"/>
      <c r="KLJ1363" s="23"/>
      <c r="KLK1363" s="23"/>
      <c r="KLL1363" s="23"/>
      <c r="KLM1363" s="23"/>
      <c r="KLN1363" s="23"/>
      <c r="KLO1363" s="23"/>
      <c r="KLP1363" s="23"/>
      <c r="KLQ1363" s="23"/>
      <c r="KLR1363" s="23"/>
      <c r="KLS1363" s="23"/>
      <c r="KLT1363" s="23"/>
      <c r="KLU1363" s="23"/>
      <c r="KLV1363" s="23"/>
      <c r="KLW1363" s="23"/>
      <c r="KLX1363" s="23"/>
      <c r="KLY1363" s="23"/>
      <c r="KLZ1363" s="23"/>
      <c r="KMA1363" s="23"/>
      <c r="KMB1363" s="23"/>
      <c r="KMC1363" s="23"/>
      <c r="KMD1363" s="23"/>
      <c r="KME1363" s="23"/>
      <c r="KMF1363" s="23"/>
      <c r="KMG1363" s="23"/>
      <c r="KMH1363" s="23"/>
      <c r="KMI1363" s="23"/>
      <c r="KMJ1363" s="23"/>
      <c r="KMK1363" s="23"/>
      <c r="KML1363" s="23"/>
      <c r="KMM1363" s="23"/>
      <c r="KMN1363" s="23"/>
      <c r="KMO1363" s="23"/>
      <c r="KMP1363" s="23"/>
      <c r="KMQ1363" s="23"/>
      <c r="KMR1363" s="23"/>
      <c r="KMS1363" s="23"/>
      <c r="KMT1363" s="23"/>
      <c r="KMU1363" s="23"/>
      <c r="KMV1363" s="23"/>
      <c r="KMW1363" s="23"/>
      <c r="KMX1363" s="23"/>
      <c r="KMY1363" s="23"/>
      <c r="KMZ1363" s="23"/>
      <c r="KNA1363" s="23"/>
      <c r="KNB1363" s="23"/>
      <c r="KNC1363" s="23"/>
      <c r="KND1363" s="23"/>
      <c r="KNE1363" s="23"/>
      <c r="KNF1363" s="23"/>
      <c r="KNG1363" s="23"/>
      <c r="KNH1363" s="23"/>
      <c r="KNI1363" s="23"/>
      <c r="KNJ1363" s="23"/>
      <c r="KNK1363" s="23"/>
      <c r="KNL1363" s="23"/>
      <c r="KNM1363" s="23"/>
      <c r="KNN1363" s="23"/>
      <c r="KNO1363" s="23"/>
      <c r="KNP1363" s="23"/>
      <c r="KNQ1363" s="23"/>
      <c r="KNR1363" s="23"/>
      <c r="KNS1363" s="23"/>
      <c r="KNT1363" s="23"/>
      <c r="KNU1363" s="23"/>
      <c r="KNV1363" s="23"/>
      <c r="KNW1363" s="23"/>
      <c r="KNX1363" s="23"/>
      <c r="KNY1363" s="23"/>
      <c r="KNZ1363" s="23"/>
      <c r="KOA1363" s="23"/>
      <c r="KOB1363" s="23"/>
      <c r="KOC1363" s="23"/>
      <c r="KOD1363" s="23"/>
      <c r="KOE1363" s="23"/>
      <c r="KOF1363" s="23"/>
      <c r="KOG1363" s="23"/>
      <c r="KOH1363" s="23"/>
      <c r="KOI1363" s="23"/>
      <c r="KOJ1363" s="23"/>
      <c r="KOK1363" s="23"/>
      <c r="KOL1363" s="23"/>
      <c r="KOM1363" s="23"/>
      <c r="KON1363" s="23"/>
      <c r="KOO1363" s="23"/>
      <c r="KOP1363" s="23"/>
      <c r="KOQ1363" s="23"/>
      <c r="KOR1363" s="23"/>
      <c r="KOS1363" s="23"/>
      <c r="KOT1363" s="23"/>
      <c r="KOU1363" s="23"/>
      <c r="KOV1363" s="23"/>
      <c r="KOW1363" s="23"/>
      <c r="KOX1363" s="23"/>
      <c r="KOY1363" s="23"/>
      <c r="KOZ1363" s="23"/>
      <c r="KPA1363" s="23"/>
      <c r="KPB1363" s="23"/>
      <c r="KPC1363" s="23"/>
      <c r="KPD1363" s="23"/>
      <c r="KPE1363" s="23"/>
      <c r="KPF1363" s="23"/>
      <c r="KPG1363" s="23"/>
      <c r="KPH1363" s="23"/>
      <c r="KPI1363" s="23"/>
      <c r="KPJ1363" s="23"/>
      <c r="KPK1363" s="23"/>
      <c r="KPL1363" s="23"/>
      <c r="KPM1363" s="23"/>
      <c r="KPN1363" s="23"/>
      <c r="KPO1363" s="23"/>
      <c r="KPP1363" s="23"/>
      <c r="KPQ1363" s="23"/>
      <c r="KPR1363" s="23"/>
      <c r="KPS1363" s="23"/>
      <c r="KPT1363" s="23"/>
      <c r="KPU1363" s="23"/>
      <c r="KPV1363" s="23"/>
      <c r="KPW1363" s="23"/>
      <c r="KPX1363" s="23"/>
      <c r="KPY1363" s="23"/>
      <c r="KPZ1363" s="23"/>
      <c r="KQA1363" s="23"/>
      <c r="KQB1363" s="23"/>
      <c r="KQC1363" s="23"/>
      <c r="KQD1363" s="23"/>
      <c r="KQE1363" s="23"/>
      <c r="KQF1363" s="23"/>
      <c r="KQG1363" s="23"/>
      <c r="KQH1363" s="23"/>
      <c r="KQI1363" s="23"/>
      <c r="KQJ1363" s="23"/>
      <c r="KQK1363" s="23"/>
      <c r="KQL1363" s="23"/>
      <c r="KQM1363" s="23"/>
      <c r="KQN1363" s="23"/>
      <c r="KQO1363" s="23"/>
      <c r="KQP1363" s="23"/>
      <c r="KQQ1363" s="23"/>
      <c r="KQR1363" s="23"/>
      <c r="KQS1363" s="23"/>
      <c r="KQT1363" s="23"/>
      <c r="KQU1363" s="23"/>
      <c r="KQV1363" s="23"/>
      <c r="KQW1363" s="23"/>
      <c r="KQX1363" s="23"/>
      <c r="KQY1363" s="23"/>
      <c r="KQZ1363" s="23"/>
      <c r="KRA1363" s="23"/>
      <c r="KRB1363" s="23"/>
      <c r="KRC1363" s="23"/>
      <c r="KRD1363" s="23"/>
      <c r="KRE1363" s="23"/>
      <c r="KRF1363" s="23"/>
      <c r="KRG1363" s="23"/>
      <c r="KRH1363" s="23"/>
      <c r="KRI1363" s="23"/>
      <c r="KRJ1363" s="23"/>
      <c r="KRK1363" s="23"/>
      <c r="KRL1363" s="23"/>
      <c r="KRM1363" s="23"/>
      <c r="KRN1363" s="23"/>
      <c r="KRO1363" s="23"/>
      <c r="KRP1363" s="23"/>
      <c r="KRQ1363" s="23"/>
      <c r="KRR1363" s="23"/>
      <c r="KRS1363" s="23"/>
      <c r="KRT1363" s="23"/>
      <c r="KRU1363" s="23"/>
      <c r="KRV1363" s="23"/>
      <c r="KRW1363" s="23"/>
      <c r="KRX1363" s="23"/>
      <c r="KRY1363" s="23"/>
      <c r="KRZ1363" s="23"/>
      <c r="KSA1363" s="23"/>
      <c r="KSB1363" s="23"/>
      <c r="KSC1363" s="23"/>
      <c r="KSD1363" s="23"/>
      <c r="KSE1363" s="23"/>
      <c r="KSF1363" s="23"/>
      <c r="KSG1363" s="23"/>
      <c r="KSH1363" s="23"/>
      <c r="KSI1363" s="23"/>
      <c r="KSJ1363" s="23"/>
      <c r="KSK1363" s="23"/>
      <c r="KSL1363" s="23"/>
      <c r="KSM1363" s="23"/>
      <c r="KSN1363" s="23"/>
      <c r="KSO1363" s="23"/>
      <c r="KSP1363" s="23"/>
      <c r="KSQ1363" s="23"/>
      <c r="KSR1363" s="23"/>
      <c r="KSS1363" s="23"/>
      <c r="KST1363" s="23"/>
      <c r="KSU1363" s="23"/>
      <c r="KSV1363" s="23"/>
      <c r="KSW1363" s="23"/>
      <c r="KSX1363" s="23"/>
      <c r="KSY1363" s="23"/>
      <c r="KSZ1363" s="23"/>
      <c r="KTA1363" s="23"/>
      <c r="KTB1363" s="23"/>
      <c r="KTC1363" s="23"/>
      <c r="KTD1363" s="23"/>
      <c r="KTE1363" s="23"/>
      <c r="KTF1363" s="23"/>
      <c r="KTG1363" s="23"/>
      <c r="KTH1363" s="23"/>
      <c r="KTI1363" s="23"/>
      <c r="KTJ1363" s="23"/>
      <c r="KTK1363" s="23"/>
      <c r="KTL1363" s="23"/>
      <c r="KTM1363" s="23"/>
      <c r="KTN1363" s="23"/>
      <c r="KTO1363" s="23"/>
      <c r="KTP1363" s="23"/>
      <c r="KTQ1363" s="23"/>
      <c r="KTR1363" s="23"/>
      <c r="KTS1363" s="23"/>
      <c r="KTT1363" s="23"/>
      <c r="KTU1363" s="23"/>
      <c r="KTV1363" s="23"/>
      <c r="KTW1363" s="23"/>
      <c r="KTX1363" s="23"/>
      <c r="KTY1363" s="23"/>
      <c r="KTZ1363" s="23"/>
      <c r="KUA1363" s="23"/>
      <c r="KUB1363" s="23"/>
      <c r="KUC1363" s="23"/>
      <c r="KUD1363" s="23"/>
      <c r="KUE1363" s="23"/>
      <c r="KUF1363" s="23"/>
      <c r="KUG1363" s="23"/>
      <c r="KUH1363" s="23"/>
      <c r="KUI1363" s="23"/>
      <c r="KUJ1363" s="23"/>
      <c r="KUK1363" s="23"/>
      <c r="KUL1363" s="23"/>
      <c r="KUM1363" s="23"/>
      <c r="KUN1363" s="23"/>
      <c r="KUO1363" s="23"/>
      <c r="KUP1363" s="23"/>
      <c r="KUQ1363" s="23"/>
      <c r="KUR1363" s="23"/>
      <c r="KUS1363" s="23"/>
      <c r="KUT1363" s="23"/>
      <c r="KUU1363" s="23"/>
      <c r="KUV1363" s="23"/>
      <c r="KUW1363" s="23"/>
      <c r="KUX1363" s="23"/>
      <c r="KUY1363" s="23"/>
      <c r="KUZ1363" s="23"/>
      <c r="KVA1363" s="23"/>
      <c r="KVB1363" s="23"/>
      <c r="KVC1363" s="23"/>
      <c r="KVD1363" s="23"/>
      <c r="KVE1363" s="23"/>
      <c r="KVF1363" s="23"/>
      <c r="KVG1363" s="23"/>
      <c r="KVH1363" s="23"/>
      <c r="KVI1363" s="23"/>
      <c r="KVJ1363" s="23"/>
      <c r="KVK1363" s="23"/>
      <c r="KVL1363" s="23"/>
      <c r="KVM1363" s="23"/>
      <c r="KVN1363" s="23"/>
      <c r="KVO1363" s="23"/>
      <c r="KVP1363" s="23"/>
      <c r="KVQ1363" s="23"/>
      <c r="KVR1363" s="23"/>
      <c r="KVS1363" s="23"/>
      <c r="KVT1363" s="23"/>
      <c r="KVU1363" s="23"/>
      <c r="KVV1363" s="23"/>
      <c r="KVW1363" s="23"/>
      <c r="KVX1363" s="23"/>
      <c r="KVY1363" s="23"/>
      <c r="KVZ1363" s="23"/>
      <c r="KWA1363" s="23"/>
      <c r="KWB1363" s="23"/>
      <c r="KWC1363" s="23"/>
      <c r="KWD1363" s="23"/>
      <c r="KWE1363" s="23"/>
      <c r="KWF1363" s="23"/>
      <c r="KWG1363" s="23"/>
      <c r="KWH1363" s="23"/>
      <c r="KWI1363" s="23"/>
      <c r="KWJ1363" s="23"/>
      <c r="KWK1363" s="23"/>
      <c r="KWL1363" s="23"/>
      <c r="KWM1363" s="23"/>
      <c r="KWN1363" s="23"/>
      <c r="KWO1363" s="23"/>
      <c r="KWP1363" s="23"/>
      <c r="KWQ1363" s="23"/>
      <c r="KWR1363" s="23"/>
      <c r="KWS1363" s="23"/>
      <c r="KWT1363" s="23"/>
      <c r="KWU1363" s="23"/>
      <c r="KWV1363" s="23"/>
      <c r="KWW1363" s="23"/>
      <c r="KWX1363" s="23"/>
      <c r="KWY1363" s="23"/>
      <c r="KWZ1363" s="23"/>
      <c r="KXA1363" s="23"/>
      <c r="KXB1363" s="23"/>
      <c r="KXC1363" s="23"/>
      <c r="KXD1363" s="23"/>
      <c r="KXE1363" s="23"/>
      <c r="KXF1363" s="23"/>
      <c r="KXG1363" s="23"/>
      <c r="KXH1363" s="23"/>
      <c r="KXI1363" s="23"/>
      <c r="KXJ1363" s="23"/>
      <c r="KXK1363" s="23"/>
      <c r="KXL1363" s="23"/>
      <c r="KXM1363" s="23"/>
      <c r="KXN1363" s="23"/>
      <c r="KXO1363" s="23"/>
      <c r="KXP1363" s="23"/>
      <c r="KXQ1363" s="23"/>
      <c r="KXR1363" s="23"/>
      <c r="KXS1363" s="23"/>
      <c r="KXT1363" s="23"/>
      <c r="KXU1363" s="23"/>
      <c r="KXV1363" s="23"/>
      <c r="KXW1363" s="23"/>
      <c r="KXX1363" s="23"/>
      <c r="KXY1363" s="23"/>
      <c r="KXZ1363" s="23"/>
      <c r="KYA1363" s="23"/>
      <c r="KYB1363" s="23"/>
      <c r="KYC1363" s="23"/>
      <c r="KYD1363" s="23"/>
      <c r="KYE1363" s="23"/>
      <c r="KYF1363" s="23"/>
      <c r="KYG1363" s="23"/>
      <c r="KYH1363" s="23"/>
      <c r="KYI1363" s="23"/>
      <c r="KYJ1363" s="23"/>
      <c r="KYK1363" s="23"/>
      <c r="KYL1363" s="23"/>
      <c r="KYM1363" s="23"/>
      <c r="KYN1363" s="23"/>
      <c r="KYO1363" s="23"/>
      <c r="KYP1363" s="23"/>
      <c r="KYQ1363" s="23"/>
      <c r="KYR1363" s="23"/>
      <c r="KYS1363" s="23"/>
      <c r="KYT1363" s="23"/>
      <c r="KYU1363" s="23"/>
      <c r="KYV1363" s="23"/>
      <c r="KYW1363" s="23"/>
      <c r="KYX1363" s="23"/>
      <c r="KYY1363" s="23"/>
      <c r="KYZ1363" s="23"/>
      <c r="KZA1363" s="23"/>
      <c r="KZB1363" s="23"/>
      <c r="KZC1363" s="23"/>
      <c r="KZD1363" s="23"/>
      <c r="KZE1363" s="23"/>
      <c r="KZF1363" s="23"/>
      <c r="KZG1363" s="23"/>
      <c r="KZH1363" s="23"/>
      <c r="KZI1363" s="23"/>
      <c r="KZJ1363" s="23"/>
      <c r="KZK1363" s="23"/>
      <c r="KZL1363" s="23"/>
      <c r="KZM1363" s="23"/>
      <c r="KZN1363" s="23"/>
      <c r="KZO1363" s="23"/>
      <c r="KZP1363" s="23"/>
      <c r="KZQ1363" s="23"/>
      <c r="KZR1363" s="23"/>
      <c r="KZS1363" s="23"/>
      <c r="KZT1363" s="23"/>
      <c r="KZU1363" s="23"/>
      <c r="KZV1363" s="23"/>
      <c r="KZW1363" s="23"/>
      <c r="KZX1363" s="23"/>
      <c r="KZY1363" s="23"/>
      <c r="KZZ1363" s="23"/>
      <c r="LAA1363" s="23"/>
      <c r="LAB1363" s="23"/>
      <c r="LAC1363" s="23"/>
      <c r="LAD1363" s="23"/>
      <c r="LAE1363" s="23"/>
      <c r="LAF1363" s="23"/>
      <c r="LAG1363" s="23"/>
      <c r="LAH1363" s="23"/>
      <c r="LAI1363" s="23"/>
      <c r="LAJ1363" s="23"/>
      <c r="LAK1363" s="23"/>
      <c r="LAL1363" s="23"/>
      <c r="LAM1363" s="23"/>
      <c r="LAN1363" s="23"/>
      <c r="LAO1363" s="23"/>
      <c r="LAP1363" s="23"/>
      <c r="LAQ1363" s="23"/>
      <c r="LAR1363" s="23"/>
      <c r="LAS1363" s="23"/>
      <c r="LAT1363" s="23"/>
      <c r="LAU1363" s="23"/>
      <c r="LAV1363" s="23"/>
      <c r="LAW1363" s="23"/>
      <c r="LAX1363" s="23"/>
      <c r="LAY1363" s="23"/>
      <c r="LAZ1363" s="23"/>
      <c r="LBA1363" s="23"/>
      <c r="LBB1363" s="23"/>
      <c r="LBC1363" s="23"/>
      <c r="LBD1363" s="23"/>
      <c r="LBE1363" s="23"/>
      <c r="LBF1363" s="23"/>
      <c r="LBG1363" s="23"/>
      <c r="LBH1363" s="23"/>
      <c r="LBI1363" s="23"/>
      <c r="LBJ1363" s="23"/>
      <c r="LBK1363" s="23"/>
      <c r="LBL1363" s="23"/>
      <c r="LBM1363" s="23"/>
      <c r="LBN1363" s="23"/>
      <c r="LBO1363" s="23"/>
      <c r="LBP1363" s="23"/>
      <c r="LBQ1363" s="23"/>
      <c r="LBR1363" s="23"/>
      <c r="LBS1363" s="23"/>
      <c r="LBT1363" s="23"/>
      <c r="LBU1363" s="23"/>
      <c r="LBV1363" s="23"/>
      <c r="LBW1363" s="23"/>
      <c r="LBX1363" s="23"/>
      <c r="LBY1363" s="23"/>
      <c r="LBZ1363" s="23"/>
      <c r="LCA1363" s="23"/>
      <c r="LCB1363" s="23"/>
      <c r="LCC1363" s="23"/>
      <c r="LCD1363" s="23"/>
      <c r="LCE1363" s="23"/>
      <c r="LCF1363" s="23"/>
      <c r="LCG1363" s="23"/>
      <c r="LCH1363" s="23"/>
      <c r="LCI1363" s="23"/>
      <c r="LCJ1363" s="23"/>
      <c r="LCK1363" s="23"/>
      <c r="LCL1363" s="23"/>
      <c r="LCM1363" s="23"/>
      <c r="LCN1363" s="23"/>
      <c r="LCO1363" s="23"/>
      <c r="LCP1363" s="23"/>
      <c r="LCQ1363" s="23"/>
      <c r="LCR1363" s="23"/>
      <c r="LCS1363" s="23"/>
      <c r="LCT1363" s="23"/>
      <c r="LCU1363" s="23"/>
      <c r="LCV1363" s="23"/>
      <c r="LCW1363" s="23"/>
      <c r="LCX1363" s="23"/>
      <c r="LCY1363" s="23"/>
      <c r="LCZ1363" s="23"/>
      <c r="LDA1363" s="23"/>
      <c r="LDB1363" s="23"/>
      <c r="LDC1363" s="23"/>
      <c r="LDD1363" s="23"/>
      <c r="LDE1363" s="23"/>
      <c r="LDF1363" s="23"/>
      <c r="LDG1363" s="23"/>
      <c r="LDH1363" s="23"/>
      <c r="LDI1363" s="23"/>
      <c r="LDJ1363" s="23"/>
      <c r="LDK1363" s="23"/>
      <c r="LDL1363" s="23"/>
      <c r="LDM1363" s="23"/>
      <c r="LDN1363" s="23"/>
      <c r="LDO1363" s="23"/>
      <c r="LDP1363" s="23"/>
      <c r="LDQ1363" s="23"/>
      <c r="LDR1363" s="23"/>
      <c r="LDS1363" s="23"/>
      <c r="LDT1363" s="23"/>
      <c r="LDU1363" s="23"/>
      <c r="LDV1363" s="23"/>
      <c r="LDW1363" s="23"/>
      <c r="LDX1363" s="23"/>
      <c r="LDY1363" s="23"/>
      <c r="LDZ1363" s="23"/>
      <c r="LEA1363" s="23"/>
      <c r="LEB1363" s="23"/>
      <c r="LEC1363" s="23"/>
      <c r="LED1363" s="23"/>
      <c r="LEE1363" s="23"/>
      <c r="LEF1363" s="23"/>
      <c r="LEG1363" s="23"/>
      <c r="LEH1363" s="23"/>
      <c r="LEI1363" s="23"/>
      <c r="LEJ1363" s="23"/>
      <c r="LEK1363" s="23"/>
      <c r="LEL1363" s="23"/>
      <c r="LEM1363" s="23"/>
      <c r="LEN1363" s="23"/>
      <c r="LEO1363" s="23"/>
      <c r="LEP1363" s="23"/>
      <c r="LEQ1363" s="23"/>
      <c r="LER1363" s="23"/>
      <c r="LES1363" s="23"/>
      <c r="LET1363" s="23"/>
      <c r="LEU1363" s="23"/>
      <c r="LEV1363" s="23"/>
      <c r="LEW1363" s="23"/>
      <c r="LEX1363" s="23"/>
      <c r="LEY1363" s="23"/>
      <c r="LEZ1363" s="23"/>
      <c r="LFA1363" s="23"/>
      <c r="LFB1363" s="23"/>
      <c r="LFC1363" s="23"/>
      <c r="LFD1363" s="23"/>
      <c r="LFE1363" s="23"/>
      <c r="LFF1363" s="23"/>
      <c r="LFG1363" s="23"/>
      <c r="LFH1363" s="23"/>
      <c r="LFI1363" s="23"/>
      <c r="LFJ1363" s="23"/>
      <c r="LFK1363" s="23"/>
      <c r="LFL1363" s="23"/>
      <c r="LFM1363" s="23"/>
      <c r="LFN1363" s="23"/>
      <c r="LFO1363" s="23"/>
      <c r="LFP1363" s="23"/>
      <c r="LFQ1363" s="23"/>
      <c r="LFR1363" s="23"/>
      <c r="LFS1363" s="23"/>
      <c r="LFT1363" s="23"/>
      <c r="LFU1363" s="23"/>
      <c r="LFV1363" s="23"/>
      <c r="LFW1363" s="23"/>
      <c r="LFX1363" s="23"/>
      <c r="LFY1363" s="23"/>
      <c r="LFZ1363" s="23"/>
      <c r="LGA1363" s="23"/>
      <c r="LGB1363" s="23"/>
      <c r="LGC1363" s="23"/>
      <c r="LGD1363" s="23"/>
      <c r="LGE1363" s="23"/>
      <c r="LGF1363" s="23"/>
      <c r="LGG1363" s="23"/>
      <c r="LGH1363" s="23"/>
      <c r="LGI1363" s="23"/>
      <c r="LGJ1363" s="23"/>
      <c r="LGK1363" s="23"/>
      <c r="LGL1363" s="23"/>
      <c r="LGM1363" s="23"/>
      <c r="LGN1363" s="23"/>
      <c r="LGO1363" s="23"/>
      <c r="LGP1363" s="23"/>
      <c r="LGQ1363" s="23"/>
      <c r="LGR1363" s="23"/>
      <c r="LGS1363" s="23"/>
      <c r="LGT1363" s="23"/>
      <c r="LGU1363" s="23"/>
      <c r="LGV1363" s="23"/>
      <c r="LGW1363" s="23"/>
      <c r="LGX1363" s="23"/>
      <c r="LGY1363" s="23"/>
      <c r="LGZ1363" s="23"/>
      <c r="LHA1363" s="23"/>
      <c r="LHB1363" s="23"/>
      <c r="LHC1363" s="23"/>
      <c r="LHD1363" s="23"/>
      <c r="LHE1363" s="23"/>
      <c r="LHF1363" s="23"/>
      <c r="LHG1363" s="23"/>
      <c r="LHH1363" s="23"/>
      <c r="LHI1363" s="23"/>
      <c r="LHJ1363" s="23"/>
      <c r="LHK1363" s="23"/>
      <c r="LHL1363" s="23"/>
      <c r="LHM1363" s="23"/>
      <c r="LHN1363" s="23"/>
      <c r="LHO1363" s="23"/>
      <c r="LHP1363" s="23"/>
      <c r="LHQ1363" s="23"/>
      <c r="LHR1363" s="23"/>
      <c r="LHS1363" s="23"/>
      <c r="LHT1363" s="23"/>
      <c r="LHU1363" s="23"/>
      <c r="LHV1363" s="23"/>
      <c r="LHW1363" s="23"/>
      <c r="LHX1363" s="23"/>
      <c r="LHY1363" s="23"/>
      <c r="LHZ1363" s="23"/>
      <c r="LIA1363" s="23"/>
      <c r="LIB1363" s="23"/>
      <c r="LIC1363" s="23"/>
      <c r="LID1363" s="23"/>
      <c r="LIE1363" s="23"/>
      <c r="LIF1363" s="23"/>
      <c r="LIG1363" s="23"/>
      <c r="LIH1363" s="23"/>
      <c r="LII1363" s="23"/>
      <c r="LIJ1363" s="23"/>
      <c r="LIK1363" s="23"/>
      <c r="LIL1363" s="23"/>
      <c r="LIM1363" s="23"/>
      <c r="LIN1363" s="23"/>
      <c r="LIO1363" s="23"/>
      <c r="LIP1363" s="23"/>
      <c r="LIQ1363" s="23"/>
      <c r="LIR1363" s="23"/>
      <c r="LIS1363" s="23"/>
      <c r="LIT1363" s="23"/>
      <c r="LIU1363" s="23"/>
      <c r="LIV1363" s="23"/>
      <c r="LIW1363" s="23"/>
      <c r="LIX1363" s="23"/>
      <c r="LIY1363" s="23"/>
      <c r="LIZ1363" s="23"/>
      <c r="LJA1363" s="23"/>
      <c r="LJB1363" s="23"/>
      <c r="LJC1363" s="23"/>
      <c r="LJD1363" s="23"/>
      <c r="LJE1363" s="23"/>
      <c r="LJF1363" s="23"/>
      <c r="LJG1363" s="23"/>
      <c r="LJH1363" s="23"/>
      <c r="LJI1363" s="23"/>
      <c r="LJJ1363" s="23"/>
      <c r="LJK1363" s="23"/>
      <c r="LJL1363" s="23"/>
      <c r="LJM1363" s="23"/>
      <c r="LJN1363" s="23"/>
      <c r="LJO1363" s="23"/>
      <c r="LJP1363" s="23"/>
      <c r="LJQ1363" s="23"/>
      <c r="LJR1363" s="23"/>
      <c r="LJS1363" s="23"/>
      <c r="LJT1363" s="23"/>
      <c r="LJU1363" s="23"/>
      <c r="LJV1363" s="23"/>
      <c r="LJW1363" s="23"/>
      <c r="LJX1363" s="23"/>
      <c r="LJY1363" s="23"/>
      <c r="LJZ1363" s="23"/>
      <c r="LKA1363" s="23"/>
      <c r="LKB1363" s="23"/>
      <c r="LKC1363" s="23"/>
      <c r="LKD1363" s="23"/>
      <c r="LKE1363" s="23"/>
      <c r="LKF1363" s="23"/>
      <c r="LKG1363" s="23"/>
      <c r="LKH1363" s="23"/>
      <c r="LKI1363" s="23"/>
      <c r="LKJ1363" s="23"/>
      <c r="LKK1363" s="23"/>
      <c r="LKL1363" s="23"/>
      <c r="LKM1363" s="23"/>
      <c r="LKN1363" s="23"/>
      <c r="LKO1363" s="23"/>
      <c r="LKP1363" s="23"/>
      <c r="LKQ1363" s="23"/>
      <c r="LKR1363" s="23"/>
      <c r="LKS1363" s="23"/>
      <c r="LKT1363" s="23"/>
      <c r="LKU1363" s="23"/>
      <c r="LKV1363" s="23"/>
      <c r="LKW1363" s="23"/>
      <c r="LKX1363" s="23"/>
      <c r="LKY1363" s="23"/>
      <c r="LKZ1363" s="23"/>
      <c r="LLA1363" s="23"/>
      <c r="LLB1363" s="23"/>
      <c r="LLC1363" s="23"/>
      <c r="LLD1363" s="23"/>
      <c r="LLE1363" s="23"/>
      <c r="LLF1363" s="23"/>
      <c r="LLG1363" s="23"/>
      <c r="LLH1363" s="23"/>
      <c r="LLI1363" s="23"/>
      <c r="LLJ1363" s="23"/>
      <c r="LLK1363" s="23"/>
      <c r="LLL1363" s="23"/>
      <c r="LLM1363" s="23"/>
      <c r="LLN1363" s="23"/>
      <c r="LLO1363" s="23"/>
      <c r="LLP1363" s="23"/>
      <c r="LLQ1363" s="23"/>
      <c r="LLR1363" s="23"/>
      <c r="LLS1363" s="23"/>
      <c r="LLT1363" s="23"/>
      <c r="LLU1363" s="23"/>
      <c r="LLV1363" s="23"/>
      <c r="LLW1363" s="23"/>
      <c r="LLX1363" s="23"/>
      <c r="LLY1363" s="23"/>
      <c r="LLZ1363" s="23"/>
      <c r="LMA1363" s="23"/>
      <c r="LMB1363" s="23"/>
      <c r="LMC1363" s="23"/>
      <c r="LMD1363" s="23"/>
      <c r="LME1363" s="23"/>
      <c r="LMF1363" s="23"/>
      <c r="LMG1363" s="23"/>
      <c r="LMH1363" s="23"/>
      <c r="LMI1363" s="23"/>
      <c r="LMJ1363" s="23"/>
      <c r="LMK1363" s="23"/>
      <c r="LML1363" s="23"/>
      <c r="LMM1363" s="23"/>
      <c r="LMN1363" s="23"/>
      <c r="LMO1363" s="23"/>
      <c r="LMP1363" s="23"/>
      <c r="LMQ1363" s="23"/>
      <c r="LMR1363" s="23"/>
      <c r="LMS1363" s="23"/>
      <c r="LMT1363" s="23"/>
      <c r="LMU1363" s="23"/>
      <c r="LMV1363" s="23"/>
      <c r="LMW1363" s="23"/>
      <c r="LMX1363" s="23"/>
      <c r="LMY1363" s="23"/>
      <c r="LMZ1363" s="23"/>
      <c r="LNA1363" s="23"/>
      <c r="LNB1363" s="23"/>
      <c r="LNC1363" s="23"/>
      <c r="LND1363" s="23"/>
      <c r="LNE1363" s="23"/>
      <c r="LNF1363" s="23"/>
      <c r="LNG1363" s="23"/>
      <c r="LNH1363" s="23"/>
      <c r="LNI1363" s="23"/>
      <c r="LNJ1363" s="23"/>
      <c r="LNK1363" s="23"/>
      <c r="LNL1363" s="23"/>
      <c r="LNM1363" s="23"/>
      <c r="LNN1363" s="23"/>
      <c r="LNO1363" s="23"/>
      <c r="LNP1363" s="23"/>
      <c r="LNQ1363" s="23"/>
      <c r="LNR1363" s="23"/>
      <c r="LNS1363" s="23"/>
      <c r="LNT1363" s="23"/>
      <c r="LNU1363" s="23"/>
      <c r="LNV1363" s="23"/>
      <c r="LNW1363" s="23"/>
      <c r="LNX1363" s="23"/>
      <c r="LNY1363" s="23"/>
      <c r="LNZ1363" s="23"/>
      <c r="LOA1363" s="23"/>
      <c r="LOB1363" s="23"/>
      <c r="LOC1363" s="23"/>
      <c r="LOD1363" s="23"/>
      <c r="LOE1363" s="23"/>
      <c r="LOF1363" s="23"/>
      <c r="LOG1363" s="23"/>
      <c r="LOH1363" s="23"/>
      <c r="LOI1363" s="23"/>
      <c r="LOJ1363" s="23"/>
      <c r="LOK1363" s="23"/>
      <c r="LOL1363" s="23"/>
      <c r="LOM1363" s="23"/>
      <c r="LON1363" s="23"/>
      <c r="LOO1363" s="23"/>
      <c r="LOP1363" s="23"/>
      <c r="LOQ1363" s="23"/>
      <c r="LOR1363" s="23"/>
      <c r="LOS1363" s="23"/>
      <c r="LOT1363" s="23"/>
      <c r="LOU1363" s="23"/>
      <c r="LOV1363" s="23"/>
      <c r="LOW1363" s="23"/>
      <c r="LOX1363" s="23"/>
      <c r="LOY1363" s="23"/>
      <c r="LOZ1363" s="23"/>
      <c r="LPA1363" s="23"/>
      <c r="LPB1363" s="23"/>
      <c r="LPC1363" s="23"/>
      <c r="LPD1363" s="23"/>
      <c r="LPE1363" s="23"/>
      <c r="LPF1363" s="23"/>
      <c r="LPG1363" s="23"/>
      <c r="LPH1363" s="23"/>
      <c r="LPI1363" s="23"/>
      <c r="LPJ1363" s="23"/>
      <c r="LPK1363" s="23"/>
      <c r="LPL1363" s="23"/>
      <c r="LPM1363" s="23"/>
      <c r="LPN1363" s="23"/>
      <c r="LPO1363" s="23"/>
      <c r="LPP1363" s="23"/>
      <c r="LPQ1363" s="23"/>
      <c r="LPR1363" s="23"/>
      <c r="LPS1363" s="23"/>
      <c r="LPT1363" s="23"/>
      <c r="LPU1363" s="23"/>
      <c r="LPV1363" s="23"/>
      <c r="LPW1363" s="23"/>
      <c r="LPX1363" s="23"/>
      <c r="LPY1363" s="23"/>
      <c r="LPZ1363" s="23"/>
      <c r="LQA1363" s="23"/>
      <c r="LQB1363" s="23"/>
      <c r="LQC1363" s="23"/>
      <c r="LQD1363" s="23"/>
      <c r="LQE1363" s="23"/>
      <c r="LQF1363" s="23"/>
      <c r="LQG1363" s="23"/>
      <c r="LQH1363" s="23"/>
      <c r="LQI1363" s="23"/>
      <c r="LQJ1363" s="23"/>
      <c r="LQK1363" s="23"/>
      <c r="LQL1363" s="23"/>
      <c r="LQM1363" s="23"/>
      <c r="LQN1363" s="23"/>
      <c r="LQO1363" s="23"/>
      <c r="LQP1363" s="23"/>
      <c r="LQQ1363" s="23"/>
      <c r="LQR1363" s="23"/>
      <c r="LQS1363" s="23"/>
      <c r="LQT1363" s="23"/>
      <c r="LQU1363" s="23"/>
      <c r="LQV1363" s="23"/>
      <c r="LQW1363" s="23"/>
      <c r="LQX1363" s="23"/>
      <c r="LQY1363" s="23"/>
      <c r="LQZ1363" s="23"/>
      <c r="LRA1363" s="23"/>
      <c r="LRB1363" s="23"/>
      <c r="LRC1363" s="23"/>
      <c r="LRD1363" s="23"/>
      <c r="LRE1363" s="23"/>
      <c r="LRF1363" s="23"/>
      <c r="LRG1363" s="23"/>
      <c r="LRH1363" s="23"/>
      <c r="LRI1363" s="23"/>
      <c r="LRJ1363" s="23"/>
      <c r="LRK1363" s="23"/>
      <c r="LRL1363" s="23"/>
      <c r="LRM1363" s="23"/>
      <c r="LRN1363" s="23"/>
      <c r="LRO1363" s="23"/>
      <c r="LRP1363" s="23"/>
      <c r="LRQ1363" s="23"/>
      <c r="LRR1363" s="23"/>
      <c r="LRS1363" s="23"/>
      <c r="LRT1363" s="23"/>
      <c r="LRU1363" s="23"/>
      <c r="LRV1363" s="23"/>
      <c r="LRW1363" s="23"/>
      <c r="LRX1363" s="23"/>
      <c r="LRY1363" s="23"/>
      <c r="LRZ1363" s="23"/>
      <c r="LSA1363" s="23"/>
      <c r="LSB1363" s="23"/>
      <c r="LSC1363" s="23"/>
      <c r="LSD1363" s="23"/>
      <c r="LSE1363" s="23"/>
      <c r="LSF1363" s="23"/>
      <c r="LSG1363" s="23"/>
      <c r="LSH1363" s="23"/>
      <c r="LSI1363" s="23"/>
      <c r="LSJ1363" s="23"/>
      <c r="LSK1363" s="23"/>
      <c r="LSL1363" s="23"/>
      <c r="LSM1363" s="23"/>
      <c r="LSN1363" s="23"/>
      <c r="LSO1363" s="23"/>
      <c r="LSP1363" s="23"/>
      <c r="LSQ1363" s="23"/>
      <c r="LSR1363" s="23"/>
      <c r="LSS1363" s="23"/>
      <c r="LST1363" s="23"/>
      <c r="LSU1363" s="23"/>
      <c r="LSV1363" s="23"/>
      <c r="LSW1363" s="23"/>
      <c r="LSX1363" s="23"/>
      <c r="LSY1363" s="23"/>
      <c r="LSZ1363" s="23"/>
      <c r="LTA1363" s="23"/>
      <c r="LTB1363" s="23"/>
      <c r="LTC1363" s="23"/>
      <c r="LTD1363" s="23"/>
      <c r="LTE1363" s="23"/>
      <c r="LTF1363" s="23"/>
      <c r="LTG1363" s="23"/>
      <c r="LTH1363" s="23"/>
      <c r="LTI1363" s="23"/>
      <c r="LTJ1363" s="23"/>
      <c r="LTK1363" s="23"/>
      <c r="LTL1363" s="23"/>
      <c r="LTM1363" s="23"/>
      <c r="LTN1363" s="23"/>
      <c r="LTO1363" s="23"/>
      <c r="LTP1363" s="23"/>
      <c r="LTQ1363" s="23"/>
      <c r="LTR1363" s="23"/>
      <c r="LTS1363" s="23"/>
      <c r="LTT1363" s="23"/>
      <c r="LTU1363" s="23"/>
      <c r="LTV1363" s="23"/>
      <c r="LTW1363" s="23"/>
      <c r="LTX1363" s="23"/>
      <c r="LTY1363" s="23"/>
      <c r="LTZ1363" s="23"/>
      <c r="LUA1363" s="23"/>
      <c r="LUB1363" s="23"/>
      <c r="LUC1363" s="23"/>
      <c r="LUD1363" s="23"/>
      <c r="LUE1363" s="23"/>
      <c r="LUF1363" s="23"/>
      <c r="LUG1363" s="23"/>
      <c r="LUH1363" s="23"/>
      <c r="LUI1363" s="23"/>
      <c r="LUJ1363" s="23"/>
      <c r="LUK1363" s="23"/>
      <c r="LUL1363" s="23"/>
      <c r="LUM1363" s="23"/>
      <c r="LUN1363" s="23"/>
      <c r="LUO1363" s="23"/>
      <c r="LUP1363" s="23"/>
      <c r="LUQ1363" s="23"/>
      <c r="LUR1363" s="23"/>
      <c r="LUS1363" s="23"/>
      <c r="LUT1363" s="23"/>
      <c r="LUU1363" s="23"/>
      <c r="LUV1363" s="23"/>
      <c r="LUW1363" s="23"/>
      <c r="LUX1363" s="23"/>
      <c r="LUY1363" s="23"/>
      <c r="LUZ1363" s="23"/>
      <c r="LVA1363" s="23"/>
      <c r="LVB1363" s="23"/>
      <c r="LVC1363" s="23"/>
      <c r="LVD1363" s="23"/>
      <c r="LVE1363" s="23"/>
      <c r="LVF1363" s="23"/>
      <c r="LVG1363" s="23"/>
      <c r="LVH1363" s="23"/>
      <c r="LVI1363" s="23"/>
      <c r="LVJ1363" s="23"/>
      <c r="LVK1363" s="23"/>
      <c r="LVL1363" s="23"/>
      <c r="LVM1363" s="23"/>
      <c r="LVN1363" s="23"/>
      <c r="LVO1363" s="23"/>
      <c r="LVP1363" s="23"/>
      <c r="LVQ1363" s="23"/>
      <c r="LVR1363" s="23"/>
      <c r="LVS1363" s="23"/>
      <c r="LVT1363" s="23"/>
      <c r="LVU1363" s="23"/>
      <c r="LVV1363" s="23"/>
      <c r="LVW1363" s="23"/>
      <c r="LVX1363" s="23"/>
      <c r="LVY1363" s="23"/>
      <c r="LVZ1363" s="23"/>
      <c r="LWA1363" s="23"/>
      <c r="LWB1363" s="23"/>
      <c r="LWC1363" s="23"/>
      <c r="LWD1363" s="23"/>
      <c r="LWE1363" s="23"/>
      <c r="LWF1363" s="23"/>
      <c r="LWG1363" s="23"/>
      <c r="LWH1363" s="23"/>
      <c r="LWI1363" s="23"/>
      <c r="LWJ1363" s="23"/>
      <c r="LWK1363" s="23"/>
      <c r="LWL1363" s="23"/>
      <c r="LWM1363" s="23"/>
      <c r="LWN1363" s="23"/>
      <c r="LWO1363" s="23"/>
      <c r="LWP1363" s="23"/>
      <c r="LWQ1363" s="23"/>
      <c r="LWR1363" s="23"/>
      <c r="LWS1363" s="23"/>
      <c r="LWT1363" s="23"/>
      <c r="LWU1363" s="23"/>
      <c r="LWV1363" s="23"/>
      <c r="LWW1363" s="23"/>
      <c r="LWX1363" s="23"/>
      <c r="LWY1363" s="23"/>
      <c r="LWZ1363" s="23"/>
      <c r="LXA1363" s="23"/>
      <c r="LXB1363" s="23"/>
      <c r="LXC1363" s="23"/>
      <c r="LXD1363" s="23"/>
      <c r="LXE1363" s="23"/>
      <c r="LXF1363" s="23"/>
      <c r="LXG1363" s="23"/>
      <c r="LXH1363" s="23"/>
      <c r="LXI1363" s="23"/>
      <c r="LXJ1363" s="23"/>
      <c r="LXK1363" s="23"/>
      <c r="LXL1363" s="23"/>
      <c r="LXM1363" s="23"/>
      <c r="LXN1363" s="23"/>
      <c r="LXO1363" s="23"/>
      <c r="LXP1363" s="23"/>
      <c r="LXQ1363" s="23"/>
      <c r="LXR1363" s="23"/>
      <c r="LXS1363" s="23"/>
      <c r="LXT1363" s="23"/>
      <c r="LXU1363" s="23"/>
      <c r="LXV1363" s="23"/>
      <c r="LXW1363" s="23"/>
      <c r="LXX1363" s="23"/>
      <c r="LXY1363" s="23"/>
      <c r="LXZ1363" s="23"/>
      <c r="LYA1363" s="23"/>
      <c r="LYB1363" s="23"/>
      <c r="LYC1363" s="23"/>
      <c r="LYD1363" s="23"/>
      <c r="LYE1363" s="23"/>
      <c r="LYF1363" s="23"/>
      <c r="LYG1363" s="23"/>
      <c r="LYH1363" s="23"/>
      <c r="LYI1363" s="23"/>
      <c r="LYJ1363" s="23"/>
      <c r="LYK1363" s="23"/>
      <c r="LYL1363" s="23"/>
      <c r="LYM1363" s="23"/>
      <c r="LYN1363" s="23"/>
      <c r="LYO1363" s="23"/>
      <c r="LYP1363" s="23"/>
      <c r="LYQ1363" s="23"/>
      <c r="LYR1363" s="23"/>
      <c r="LYS1363" s="23"/>
      <c r="LYT1363" s="23"/>
      <c r="LYU1363" s="23"/>
      <c r="LYV1363" s="23"/>
      <c r="LYW1363" s="23"/>
      <c r="LYX1363" s="23"/>
      <c r="LYY1363" s="23"/>
      <c r="LYZ1363" s="23"/>
      <c r="LZA1363" s="23"/>
      <c r="LZB1363" s="23"/>
      <c r="LZC1363" s="23"/>
      <c r="LZD1363" s="23"/>
      <c r="LZE1363" s="23"/>
      <c r="LZF1363" s="23"/>
      <c r="LZG1363" s="23"/>
      <c r="LZH1363" s="23"/>
      <c r="LZI1363" s="23"/>
      <c r="LZJ1363" s="23"/>
      <c r="LZK1363" s="23"/>
      <c r="LZL1363" s="23"/>
      <c r="LZM1363" s="23"/>
      <c r="LZN1363" s="23"/>
      <c r="LZO1363" s="23"/>
      <c r="LZP1363" s="23"/>
      <c r="LZQ1363" s="23"/>
      <c r="LZR1363" s="23"/>
      <c r="LZS1363" s="23"/>
      <c r="LZT1363" s="23"/>
      <c r="LZU1363" s="23"/>
      <c r="LZV1363" s="23"/>
      <c r="LZW1363" s="23"/>
      <c r="LZX1363" s="23"/>
      <c r="LZY1363" s="23"/>
      <c r="LZZ1363" s="23"/>
      <c r="MAA1363" s="23"/>
      <c r="MAB1363" s="23"/>
      <c r="MAC1363" s="23"/>
      <c r="MAD1363" s="23"/>
      <c r="MAE1363" s="23"/>
      <c r="MAF1363" s="23"/>
      <c r="MAG1363" s="23"/>
      <c r="MAH1363" s="23"/>
      <c r="MAI1363" s="23"/>
      <c r="MAJ1363" s="23"/>
      <c r="MAK1363" s="23"/>
      <c r="MAL1363" s="23"/>
      <c r="MAM1363" s="23"/>
      <c r="MAN1363" s="23"/>
      <c r="MAO1363" s="23"/>
      <c r="MAP1363" s="23"/>
      <c r="MAQ1363" s="23"/>
      <c r="MAR1363" s="23"/>
      <c r="MAS1363" s="23"/>
      <c r="MAT1363" s="23"/>
      <c r="MAU1363" s="23"/>
      <c r="MAV1363" s="23"/>
      <c r="MAW1363" s="23"/>
      <c r="MAX1363" s="23"/>
      <c r="MAY1363" s="23"/>
      <c r="MAZ1363" s="23"/>
      <c r="MBA1363" s="23"/>
      <c r="MBB1363" s="23"/>
      <c r="MBC1363" s="23"/>
      <c r="MBD1363" s="23"/>
      <c r="MBE1363" s="23"/>
      <c r="MBF1363" s="23"/>
      <c r="MBG1363" s="23"/>
      <c r="MBH1363" s="23"/>
      <c r="MBI1363" s="23"/>
      <c r="MBJ1363" s="23"/>
      <c r="MBK1363" s="23"/>
      <c r="MBL1363" s="23"/>
      <c r="MBM1363" s="23"/>
      <c r="MBN1363" s="23"/>
      <c r="MBO1363" s="23"/>
      <c r="MBP1363" s="23"/>
      <c r="MBQ1363" s="23"/>
      <c r="MBR1363" s="23"/>
      <c r="MBS1363" s="23"/>
      <c r="MBT1363" s="23"/>
      <c r="MBU1363" s="23"/>
      <c r="MBV1363" s="23"/>
      <c r="MBW1363" s="23"/>
      <c r="MBX1363" s="23"/>
      <c r="MBY1363" s="23"/>
      <c r="MBZ1363" s="23"/>
      <c r="MCA1363" s="23"/>
      <c r="MCB1363" s="23"/>
      <c r="MCC1363" s="23"/>
      <c r="MCD1363" s="23"/>
      <c r="MCE1363" s="23"/>
      <c r="MCF1363" s="23"/>
      <c r="MCG1363" s="23"/>
      <c r="MCH1363" s="23"/>
      <c r="MCI1363" s="23"/>
      <c r="MCJ1363" s="23"/>
      <c r="MCK1363" s="23"/>
      <c r="MCL1363" s="23"/>
      <c r="MCM1363" s="23"/>
      <c r="MCN1363" s="23"/>
      <c r="MCO1363" s="23"/>
      <c r="MCP1363" s="23"/>
      <c r="MCQ1363" s="23"/>
      <c r="MCR1363" s="23"/>
      <c r="MCS1363" s="23"/>
      <c r="MCT1363" s="23"/>
      <c r="MCU1363" s="23"/>
      <c r="MCV1363" s="23"/>
      <c r="MCW1363" s="23"/>
      <c r="MCX1363" s="23"/>
      <c r="MCY1363" s="23"/>
      <c r="MCZ1363" s="23"/>
      <c r="MDA1363" s="23"/>
      <c r="MDB1363" s="23"/>
      <c r="MDC1363" s="23"/>
      <c r="MDD1363" s="23"/>
      <c r="MDE1363" s="23"/>
      <c r="MDF1363" s="23"/>
      <c r="MDG1363" s="23"/>
      <c r="MDH1363" s="23"/>
      <c r="MDI1363" s="23"/>
      <c r="MDJ1363" s="23"/>
      <c r="MDK1363" s="23"/>
      <c r="MDL1363" s="23"/>
      <c r="MDM1363" s="23"/>
      <c r="MDN1363" s="23"/>
      <c r="MDO1363" s="23"/>
      <c r="MDP1363" s="23"/>
      <c r="MDQ1363" s="23"/>
      <c r="MDR1363" s="23"/>
      <c r="MDS1363" s="23"/>
      <c r="MDT1363" s="23"/>
      <c r="MDU1363" s="23"/>
      <c r="MDV1363" s="23"/>
      <c r="MDW1363" s="23"/>
      <c r="MDX1363" s="23"/>
      <c r="MDY1363" s="23"/>
      <c r="MDZ1363" s="23"/>
      <c r="MEA1363" s="23"/>
      <c r="MEB1363" s="23"/>
      <c r="MEC1363" s="23"/>
      <c r="MED1363" s="23"/>
      <c r="MEE1363" s="23"/>
      <c r="MEF1363" s="23"/>
      <c r="MEG1363" s="23"/>
      <c r="MEH1363" s="23"/>
      <c r="MEI1363" s="23"/>
      <c r="MEJ1363" s="23"/>
      <c r="MEK1363" s="23"/>
      <c r="MEL1363" s="23"/>
      <c r="MEM1363" s="23"/>
      <c r="MEN1363" s="23"/>
      <c r="MEO1363" s="23"/>
      <c r="MEP1363" s="23"/>
      <c r="MEQ1363" s="23"/>
      <c r="MER1363" s="23"/>
      <c r="MES1363" s="23"/>
      <c r="MET1363" s="23"/>
      <c r="MEU1363" s="23"/>
      <c r="MEV1363" s="23"/>
      <c r="MEW1363" s="23"/>
      <c r="MEX1363" s="23"/>
      <c r="MEY1363" s="23"/>
      <c r="MEZ1363" s="23"/>
      <c r="MFA1363" s="23"/>
      <c r="MFB1363" s="23"/>
      <c r="MFC1363" s="23"/>
      <c r="MFD1363" s="23"/>
      <c r="MFE1363" s="23"/>
      <c r="MFF1363" s="23"/>
      <c r="MFG1363" s="23"/>
      <c r="MFH1363" s="23"/>
      <c r="MFI1363" s="23"/>
      <c r="MFJ1363" s="23"/>
      <c r="MFK1363" s="23"/>
      <c r="MFL1363" s="23"/>
      <c r="MFM1363" s="23"/>
      <c r="MFN1363" s="23"/>
      <c r="MFO1363" s="23"/>
      <c r="MFP1363" s="23"/>
      <c r="MFQ1363" s="23"/>
      <c r="MFR1363" s="23"/>
      <c r="MFS1363" s="23"/>
      <c r="MFT1363" s="23"/>
      <c r="MFU1363" s="23"/>
      <c r="MFV1363" s="23"/>
      <c r="MFW1363" s="23"/>
      <c r="MFX1363" s="23"/>
      <c r="MFY1363" s="23"/>
      <c r="MFZ1363" s="23"/>
      <c r="MGA1363" s="23"/>
      <c r="MGB1363" s="23"/>
      <c r="MGC1363" s="23"/>
      <c r="MGD1363" s="23"/>
      <c r="MGE1363" s="23"/>
      <c r="MGF1363" s="23"/>
      <c r="MGG1363" s="23"/>
      <c r="MGH1363" s="23"/>
      <c r="MGI1363" s="23"/>
      <c r="MGJ1363" s="23"/>
      <c r="MGK1363" s="23"/>
      <c r="MGL1363" s="23"/>
      <c r="MGM1363" s="23"/>
      <c r="MGN1363" s="23"/>
      <c r="MGO1363" s="23"/>
      <c r="MGP1363" s="23"/>
      <c r="MGQ1363" s="23"/>
      <c r="MGR1363" s="23"/>
      <c r="MGS1363" s="23"/>
      <c r="MGT1363" s="23"/>
      <c r="MGU1363" s="23"/>
      <c r="MGV1363" s="23"/>
      <c r="MGW1363" s="23"/>
      <c r="MGX1363" s="23"/>
      <c r="MGY1363" s="23"/>
      <c r="MGZ1363" s="23"/>
      <c r="MHA1363" s="23"/>
      <c r="MHB1363" s="23"/>
      <c r="MHC1363" s="23"/>
      <c r="MHD1363" s="23"/>
      <c r="MHE1363" s="23"/>
      <c r="MHF1363" s="23"/>
      <c r="MHG1363" s="23"/>
      <c r="MHH1363" s="23"/>
      <c r="MHI1363" s="23"/>
      <c r="MHJ1363" s="23"/>
      <c r="MHK1363" s="23"/>
      <c r="MHL1363" s="23"/>
      <c r="MHM1363" s="23"/>
      <c r="MHN1363" s="23"/>
      <c r="MHO1363" s="23"/>
      <c r="MHP1363" s="23"/>
      <c r="MHQ1363" s="23"/>
      <c r="MHR1363" s="23"/>
      <c r="MHS1363" s="23"/>
      <c r="MHT1363" s="23"/>
      <c r="MHU1363" s="23"/>
      <c r="MHV1363" s="23"/>
      <c r="MHW1363" s="23"/>
      <c r="MHX1363" s="23"/>
      <c r="MHY1363" s="23"/>
      <c r="MHZ1363" s="23"/>
      <c r="MIA1363" s="23"/>
      <c r="MIB1363" s="23"/>
      <c r="MIC1363" s="23"/>
      <c r="MID1363" s="23"/>
      <c r="MIE1363" s="23"/>
      <c r="MIF1363" s="23"/>
      <c r="MIG1363" s="23"/>
      <c r="MIH1363" s="23"/>
      <c r="MII1363" s="23"/>
      <c r="MIJ1363" s="23"/>
      <c r="MIK1363" s="23"/>
      <c r="MIL1363" s="23"/>
      <c r="MIM1363" s="23"/>
      <c r="MIN1363" s="23"/>
      <c r="MIO1363" s="23"/>
      <c r="MIP1363" s="23"/>
      <c r="MIQ1363" s="23"/>
      <c r="MIR1363" s="23"/>
      <c r="MIS1363" s="23"/>
      <c r="MIT1363" s="23"/>
      <c r="MIU1363" s="23"/>
      <c r="MIV1363" s="23"/>
      <c r="MIW1363" s="23"/>
      <c r="MIX1363" s="23"/>
      <c r="MIY1363" s="23"/>
      <c r="MIZ1363" s="23"/>
      <c r="MJA1363" s="23"/>
      <c r="MJB1363" s="23"/>
      <c r="MJC1363" s="23"/>
      <c r="MJD1363" s="23"/>
      <c r="MJE1363" s="23"/>
      <c r="MJF1363" s="23"/>
      <c r="MJG1363" s="23"/>
      <c r="MJH1363" s="23"/>
      <c r="MJI1363" s="23"/>
      <c r="MJJ1363" s="23"/>
      <c r="MJK1363" s="23"/>
      <c r="MJL1363" s="23"/>
      <c r="MJM1363" s="23"/>
      <c r="MJN1363" s="23"/>
      <c r="MJO1363" s="23"/>
      <c r="MJP1363" s="23"/>
      <c r="MJQ1363" s="23"/>
      <c r="MJR1363" s="23"/>
      <c r="MJS1363" s="23"/>
      <c r="MJT1363" s="23"/>
      <c r="MJU1363" s="23"/>
      <c r="MJV1363" s="23"/>
      <c r="MJW1363" s="23"/>
      <c r="MJX1363" s="23"/>
      <c r="MJY1363" s="23"/>
      <c r="MJZ1363" s="23"/>
      <c r="MKA1363" s="23"/>
      <c r="MKB1363" s="23"/>
      <c r="MKC1363" s="23"/>
      <c r="MKD1363" s="23"/>
      <c r="MKE1363" s="23"/>
      <c r="MKF1363" s="23"/>
      <c r="MKG1363" s="23"/>
      <c r="MKH1363" s="23"/>
      <c r="MKI1363" s="23"/>
      <c r="MKJ1363" s="23"/>
      <c r="MKK1363" s="23"/>
      <c r="MKL1363" s="23"/>
      <c r="MKM1363" s="23"/>
      <c r="MKN1363" s="23"/>
      <c r="MKO1363" s="23"/>
      <c r="MKP1363" s="23"/>
      <c r="MKQ1363" s="23"/>
      <c r="MKR1363" s="23"/>
      <c r="MKS1363" s="23"/>
      <c r="MKT1363" s="23"/>
      <c r="MKU1363" s="23"/>
      <c r="MKV1363" s="23"/>
      <c r="MKW1363" s="23"/>
      <c r="MKX1363" s="23"/>
      <c r="MKY1363" s="23"/>
      <c r="MKZ1363" s="23"/>
      <c r="MLA1363" s="23"/>
      <c r="MLB1363" s="23"/>
      <c r="MLC1363" s="23"/>
      <c r="MLD1363" s="23"/>
      <c r="MLE1363" s="23"/>
      <c r="MLF1363" s="23"/>
      <c r="MLG1363" s="23"/>
      <c r="MLH1363" s="23"/>
      <c r="MLI1363" s="23"/>
      <c r="MLJ1363" s="23"/>
      <c r="MLK1363" s="23"/>
      <c r="MLL1363" s="23"/>
      <c r="MLM1363" s="23"/>
      <c r="MLN1363" s="23"/>
      <c r="MLO1363" s="23"/>
      <c r="MLP1363" s="23"/>
      <c r="MLQ1363" s="23"/>
      <c r="MLR1363" s="23"/>
      <c r="MLS1363" s="23"/>
      <c r="MLT1363" s="23"/>
      <c r="MLU1363" s="23"/>
      <c r="MLV1363" s="23"/>
      <c r="MLW1363" s="23"/>
      <c r="MLX1363" s="23"/>
      <c r="MLY1363" s="23"/>
      <c r="MLZ1363" s="23"/>
      <c r="MMA1363" s="23"/>
      <c r="MMB1363" s="23"/>
      <c r="MMC1363" s="23"/>
      <c r="MMD1363" s="23"/>
      <c r="MME1363" s="23"/>
      <c r="MMF1363" s="23"/>
      <c r="MMG1363" s="23"/>
      <c r="MMH1363" s="23"/>
      <c r="MMI1363" s="23"/>
      <c r="MMJ1363" s="23"/>
      <c r="MMK1363" s="23"/>
      <c r="MML1363" s="23"/>
      <c r="MMM1363" s="23"/>
      <c r="MMN1363" s="23"/>
      <c r="MMO1363" s="23"/>
      <c r="MMP1363" s="23"/>
      <c r="MMQ1363" s="23"/>
      <c r="MMR1363" s="23"/>
      <c r="MMS1363" s="23"/>
      <c r="MMT1363" s="23"/>
      <c r="MMU1363" s="23"/>
      <c r="MMV1363" s="23"/>
      <c r="MMW1363" s="23"/>
      <c r="MMX1363" s="23"/>
      <c r="MMY1363" s="23"/>
      <c r="MMZ1363" s="23"/>
      <c r="MNA1363" s="23"/>
      <c r="MNB1363" s="23"/>
      <c r="MNC1363" s="23"/>
      <c r="MND1363" s="23"/>
      <c r="MNE1363" s="23"/>
      <c r="MNF1363" s="23"/>
      <c r="MNG1363" s="23"/>
      <c r="MNH1363" s="23"/>
      <c r="MNI1363" s="23"/>
      <c r="MNJ1363" s="23"/>
      <c r="MNK1363" s="23"/>
      <c r="MNL1363" s="23"/>
      <c r="MNM1363" s="23"/>
      <c r="MNN1363" s="23"/>
      <c r="MNO1363" s="23"/>
      <c r="MNP1363" s="23"/>
      <c r="MNQ1363" s="23"/>
      <c r="MNR1363" s="23"/>
      <c r="MNS1363" s="23"/>
      <c r="MNT1363" s="23"/>
      <c r="MNU1363" s="23"/>
      <c r="MNV1363" s="23"/>
      <c r="MNW1363" s="23"/>
      <c r="MNX1363" s="23"/>
      <c r="MNY1363" s="23"/>
      <c r="MNZ1363" s="23"/>
      <c r="MOA1363" s="23"/>
      <c r="MOB1363" s="23"/>
      <c r="MOC1363" s="23"/>
      <c r="MOD1363" s="23"/>
      <c r="MOE1363" s="23"/>
      <c r="MOF1363" s="23"/>
      <c r="MOG1363" s="23"/>
      <c r="MOH1363" s="23"/>
      <c r="MOI1363" s="23"/>
      <c r="MOJ1363" s="23"/>
      <c r="MOK1363" s="23"/>
      <c r="MOL1363" s="23"/>
      <c r="MOM1363" s="23"/>
      <c r="MON1363" s="23"/>
      <c r="MOO1363" s="23"/>
      <c r="MOP1363" s="23"/>
      <c r="MOQ1363" s="23"/>
      <c r="MOR1363" s="23"/>
      <c r="MOS1363" s="23"/>
      <c r="MOT1363" s="23"/>
      <c r="MOU1363" s="23"/>
      <c r="MOV1363" s="23"/>
      <c r="MOW1363" s="23"/>
      <c r="MOX1363" s="23"/>
      <c r="MOY1363" s="23"/>
      <c r="MOZ1363" s="23"/>
      <c r="MPA1363" s="23"/>
      <c r="MPB1363" s="23"/>
      <c r="MPC1363" s="23"/>
      <c r="MPD1363" s="23"/>
      <c r="MPE1363" s="23"/>
      <c r="MPF1363" s="23"/>
      <c r="MPG1363" s="23"/>
      <c r="MPH1363" s="23"/>
      <c r="MPI1363" s="23"/>
      <c r="MPJ1363" s="23"/>
      <c r="MPK1363" s="23"/>
      <c r="MPL1363" s="23"/>
      <c r="MPM1363" s="23"/>
      <c r="MPN1363" s="23"/>
      <c r="MPO1363" s="23"/>
      <c r="MPP1363" s="23"/>
      <c r="MPQ1363" s="23"/>
      <c r="MPR1363" s="23"/>
      <c r="MPS1363" s="23"/>
      <c r="MPT1363" s="23"/>
      <c r="MPU1363" s="23"/>
      <c r="MPV1363" s="23"/>
      <c r="MPW1363" s="23"/>
      <c r="MPX1363" s="23"/>
      <c r="MPY1363" s="23"/>
      <c r="MPZ1363" s="23"/>
      <c r="MQA1363" s="23"/>
      <c r="MQB1363" s="23"/>
      <c r="MQC1363" s="23"/>
      <c r="MQD1363" s="23"/>
      <c r="MQE1363" s="23"/>
      <c r="MQF1363" s="23"/>
      <c r="MQG1363" s="23"/>
      <c r="MQH1363" s="23"/>
      <c r="MQI1363" s="23"/>
      <c r="MQJ1363" s="23"/>
      <c r="MQK1363" s="23"/>
      <c r="MQL1363" s="23"/>
      <c r="MQM1363" s="23"/>
      <c r="MQN1363" s="23"/>
      <c r="MQO1363" s="23"/>
      <c r="MQP1363" s="23"/>
      <c r="MQQ1363" s="23"/>
      <c r="MQR1363" s="23"/>
      <c r="MQS1363" s="23"/>
      <c r="MQT1363" s="23"/>
      <c r="MQU1363" s="23"/>
      <c r="MQV1363" s="23"/>
      <c r="MQW1363" s="23"/>
      <c r="MQX1363" s="23"/>
      <c r="MQY1363" s="23"/>
      <c r="MQZ1363" s="23"/>
      <c r="MRA1363" s="23"/>
      <c r="MRB1363" s="23"/>
      <c r="MRC1363" s="23"/>
      <c r="MRD1363" s="23"/>
      <c r="MRE1363" s="23"/>
      <c r="MRF1363" s="23"/>
      <c r="MRG1363" s="23"/>
      <c r="MRH1363" s="23"/>
      <c r="MRI1363" s="23"/>
      <c r="MRJ1363" s="23"/>
      <c r="MRK1363" s="23"/>
      <c r="MRL1363" s="23"/>
      <c r="MRM1363" s="23"/>
      <c r="MRN1363" s="23"/>
      <c r="MRO1363" s="23"/>
      <c r="MRP1363" s="23"/>
      <c r="MRQ1363" s="23"/>
      <c r="MRR1363" s="23"/>
      <c r="MRS1363" s="23"/>
      <c r="MRT1363" s="23"/>
      <c r="MRU1363" s="23"/>
      <c r="MRV1363" s="23"/>
      <c r="MRW1363" s="23"/>
      <c r="MRX1363" s="23"/>
      <c r="MRY1363" s="23"/>
      <c r="MRZ1363" s="23"/>
      <c r="MSA1363" s="23"/>
      <c r="MSB1363" s="23"/>
      <c r="MSC1363" s="23"/>
      <c r="MSD1363" s="23"/>
      <c r="MSE1363" s="23"/>
      <c r="MSF1363" s="23"/>
      <c r="MSG1363" s="23"/>
      <c r="MSH1363" s="23"/>
      <c r="MSI1363" s="23"/>
      <c r="MSJ1363" s="23"/>
      <c r="MSK1363" s="23"/>
      <c r="MSL1363" s="23"/>
      <c r="MSM1363" s="23"/>
      <c r="MSN1363" s="23"/>
      <c r="MSO1363" s="23"/>
      <c r="MSP1363" s="23"/>
      <c r="MSQ1363" s="23"/>
      <c r="MSR1363" s="23"/>
      <c r="MSS1363" s="23"/>
      <c r="MST1363" s="23"/>
      <c r="MSU1363" s="23"/>
      <c r="MSV1363" s="23"/>
      <c r="MSW1363" s="23"/>
      <c r="MSX1363" s="23"/>
      <c r="MSY1363" s="23"/>
      <c r="MSZ1363" s="23"/>
      <c r="MTA1363" s="23"/>
      <c r="MTB1363" s="23"/>
      <c r="MTC1363" s="23"/>
      <c r="MTD1363" s="23"/>
      <c r="MTE1363" s="23"/>
      <c r="MTF1363" s="23"/>
      <c r="MTG1363" s="23"/>
      <c r="MTH1363" s="23"/>
      <c r="MTI1363" s="23"/>
      <c r="MTJ1363" s="23"/>
      <c r="MTK1363" s="23"/>
      <c r="MTL1363" s="23"/>
      <c r="MTM1363" s="23"/>
      <c r="MTN1363" s="23"/>
      <c r="MTO1363" s="23"/>
      <c r="MTP1363" s="23"/>
      <c r="MTQ1363" s="23"/>
      <c r="MTR1363" s="23"/>
      <c r="MTS1363" s="23"/>
      <c r="MTT1363" s="23"/>
      <c r="MTU1363" s="23"/>
      <c r="MTV1363" s="23"/>
      <c r="MTW1363" s="23"/>
      <c r="MTX1363" s="23"/>
      <c r="MTY1363" s="23"/>
      <c r="MTZ1363" s="23"/>
      <c r="MUA1363" s="23"/>
      <c r="MUB1363" s="23"/>
      <c r="MUC1363" s="23"/>
      <c r="MUD1363" s="23"/>
      <c r="MUE1363" s="23"/>
      <c r="MUF1363" s="23"/>
      <c r="MUG1363" s="23"/>
      <c r="MUH1363" s="23"/>
      <c r="MUI1363" s="23"/>
      <c r="MUJ1363" s="23"/>
      <c r="MUK1363" s="23"/>
      <c r="MUL1363" s="23"/>
      <c r="MUM1363" s="23"/>
      <c r="MUN1363" s="23"/>
      <c r="MUO1363" s="23"/>
      <c r="MUP1363" s="23"/>
      <c r="MUQ1363" s="23"/>
      <c r="MUR1363" s="23"/>
      <c r="MUS1363" s="23"/>
      <c r="MUT1363" s="23"/>
      <c r="MUU1363" s="23"/>
      <c r="MUV1363" s="23"/>
      <c r="MUW1363" s="23"/>
      <c r="MUX1363" s="23"/>
      <c r="MUY1363" s="23"/>
      <c r="MUZ1363" s="23"/>
      <c r="MVA1363" s="23"/>
      <c r="MVB1363" s="23"/>
      <c r="MVC1363" s="23"/>
      <c r="MVD1363" s="23"/>
      <c r="MVE1363" s="23"/>
      <c r="MVF1363" s="23"/>
      <c r="MVG1363" s="23"/>
      <c r="MVH1363" s="23"/>
      <c r="MVI1363" s="23"/>
      <c r="MVJ1363" s="23"/>
      <c r="MVK1363" s="23"/>
      <c r="MVL1363" s="23"/>
      <c r="MVM1363" s="23"/>
      <c r="MVN1363" s="23"/>
      <c r="MVO1363" s="23"/>
      <c r="MVP1363" s="23"/>
      <c r="MVQ1363" s="23"/>
      <c r="MVR1363" s="23"/>
      <c r="MVS1363" s="23"/>
      <c r="MVT1363" s="23"/>
      <c r="MVU1363" s="23"/>
      <c r="MVV1363" s="23"/>
      <c r="MVW1363" s="23"/>
      <c r="MVX1363" s="23"/>
      <c r="MVY1363" s="23"/>
      <c r="MVZ1363" s="23"/>
      <c r="MWA1363" s="23"/>
      <c r="MWB1363" s="23"/>
      <c r="MWC1363" s="23"/>
      <c r="MWD1363" s="23"/>
      <c r="MWE1363" s="23"/>
      <c r="MWF1363" s="23"/>
      <c r="MWG1363" s="23"/>
      <c r="MWH1363" s="23"/>
      <c r="MWI1363" s="23"/>
      <c r="MWJ1363" s="23"/>
      <c r="MWK1363" s="23"/>
      <c r="MWL1363" s="23"/>
      <c r="MWM1363" s="23"/>
      <c r="MWN1363" s="23"/>
      <c r="MWO1363" s="23"/>
      <c r="MWP1363" s="23"/>
      <c r="MWQ1363" s="23"/>
      <c r="MWR1363" s="23"/>
      <c r="MWS1363" s="23"/>
      <c r="MWT1363" s="23"/>
      <c r="MWU1363" s="23"/>
      <c r="MWV1363" s="23"/>
      <c r="MWW1363" s="23"/>
      <c r="MWX1363" s="23"/>
      <c r="MWY1363" s="23"/>
      <c r="MWZ1363" s="23"/>
      <c r="MXA1363" s="23"/>
      <c r="MXB1363" s="23"/>
      <c r="MXC1363" s="23"/>
      <c r="MXD1363" s="23"/>
      <c r="MXE1363" s="23"/>
      <c r="MXF1363" s="23"/>
      <c r="MXG1363" s="23"/>
      <c r="MXH1363" s="23"/>
      <c r="MXI1363" s="23"/>
      <c r="MXJ1363" s="23"/>
      <c r="MXK1363" s="23"/>
      <c r="MXL1363" s="23"/>
      <c r="MXM1363" s="23"/>
      <c r="MXN1363" s="23"/>
      <c r="MXO1363" s="23"/>
      <c r="MXP1363" s="23"/>
      <c r="MXQ1363" s="23"/>
      <c r="MXR1363" s="23"/>
      <c r="MXS1363" s="23"/>
      <c r="MXT1363" s="23"/>
      <c r="MXU1363" s="23"/>
      <c r="MXV1363" s="23"/>
      <c r="MXW1363" s="23"/>
      <c r="MXX1363" s="23"/>
      <c r="MXY1363" s="23"/>
      <c r="MXZ1363" s="23"/>
      <c r="MYA1363" s="23"/>
      <c r="MYB1363" s="23"/>
      <c r="MYC1363" s="23"/>
      <c r="MYD1363" s="23"/>
      <c r="MYE1363" s="23"/>
      <c r="MYF1363" s="23"/>
      <c r="MYG1363" s="23"/>
      <c r="MYH1363" s="23"/>
      <c r="MYI1363" s="23"/>
      <c r="MYJ1363" s="23"/>
      <c r="MYK1363" s="23"/>
      <c r="MYL1363" s="23"/>
      <c r="MYM1363" s="23"/>
      <c r="MYN1363" s="23"/>
      <c r="MYO1363" s="23"/>
      <c r="MYP1363" s="23"/>
      <c r="MYQ1363" s="23"/>
      <c r="MYR1363" s="23"/>
      <c r="MYS1363" s="23"/>
      <c r="MYT1363" s="23"/>
      <c r="MYU1363" s="23"/>
      <c r="MYV1363" s="23"/>
      <c r="MYW1363" s="23"/>
      <c r="MYX1363" s="23"/>
      <c r="MYY1363" s="23"/>
      <c r="MYZ1363" s="23"/>
      <c r="MZA1363" s="23"/>
      <c r="MZB1363" s="23"/>
      <c r="MZC1363" s="23"/>
      <c r="MZD1363" s="23"/>
      <c r="MZE1363" s="23"/>
      <c r="MZF1363" s="23"/>
      <c r="MZG1363" s="23"/>
      <c r="MZH1363" s="23"/>
      <c r="MZI1363" s="23"/>
      <c r="MZJ1363" s="23"/>
      <c r="MZK1363" s="23"/>
      <c r="MZL1363" s="23"/>
      <c r="MZM1363" s="23"/>
      <c r="MZN1363" s="23"/>
      <c r="MZO1363" s="23"/>
      <c r="MZP1363" s="23"/>
      <c r="MZQ1363" s="23"/>
      <c r="MZR1363" s="23"/>
      <c r="MZS1363" s="23"/>
      <c r="MZT1363" s="23"/>
      <c r="MZU1363" s="23"/>
      <c r="MZV1363" s="23"/>
      <c r="MZW1363" s="23"/>
      <c r="MZX1363" s="23"/>
      <c r="MZY1363" s="23"/>
      <c r="MZZ1363" s="23"/>
      <c r="NAA1363" s="23"/>
      <c r="NAB1363" s="23"/>
      <c r="NAC1363" s="23"/>
      <c r="NAD1363" s="23"/>
      <c r="NAE1363" s="23"/>
      <c r="NAF1363" s="23"/>
      <c r="NAG1363" s="23"/>
      <c r="NAH1363" s="23"/>
      <c r="NAI1363" s="23"/>
      <c r="NAJ1363" s="23"/>
      <c r="NAK1363" s="23"/>
      <c r="NAL1363" s="23"/>
      <c r="NAM1363" s="23"/>
      <c r="NAN1363" s="23"/>
      <c r="NAO1363" s="23"/>
      <c r="NAP1363" s="23"/>
      <c r="NAQ1363" s="23"/>
      <c r="NAR1363" s="23"/>
      <c r="NAS1363" s="23"/>
      <c r="NAT1363" s="23"/>
      <c r="NAU1363" s="23"/>
      <c r="NAV1363" s="23"/>
      <c r="NAW1363" s="23"/>
      <c r="NAX1363" s="23"/>
      <c r="NAY1363" s="23"/>
      <c r="NAZ1363" s="23"/>
      <c r="NBA1363" s="23"/>
      <c r="NBB1363" s="23"/>
      <c r="NBC1363" s="23"/>
      <c r="NBD1363" s="23"/>
      <c r="NBE1363" s="23"/>
      <c r="NBF1363" s="23"/>
      <c r="NBG1363" s="23"/>
      <c r="NBH1363" s="23"/>
      <c r="NBI1363" s="23"/>
      <c r="NBJ1363" s="23"/>
      <c r="NBK1363" s="23"/>
      <c r="NBL1363" s="23"/>
      <c r="NBM1363" s="23"/>
      <c r="NBN1363" s="23"/>
      <c r="NBO1363" s="23"/>
      <c r="NBP1363" s="23"/>
      <c r="NBQ1363" s="23"/>
      <c r="NBR1363" s="23"/>
      <c r="NBS1363" s="23"/>
      <c r="NBT1363" s="23"/>
      <c r="NBU1363" s="23"/>
      <c r="NBV1363" s="23"/>
      <c r="NBW1363" s="23"/>
      <c r="NBX1363" s="23"/>
      <c r="NBY1363" s="23"/>
      <c r="NBZ1363" s="23"/>
      <c r="NCA1363" s="23"/>
      <c r="NCB1363" s="23"/>
      <c r="NCC1363" s="23"/>
      <c r="NCD1363" s="23"/>
      <c r="NCE1363" s="23"/>
      <c r="NCF1363" s="23"/>
      <c r="NCG1363" s="23"/>
      <c r="NCH1363" s="23"/>
      <c r="NCI1363" s="23"/>
      <c r="NCJ1363" s="23"/>
      <c r="NCK1363" s="23"/>
      <c r="NCL1363" s="23"/>
      <c r="NCM1363" s="23"/>
      <c r="NCN1363" s="23"/>
      <c r="NCO1363" s="23"/>
      <c r="NCP1363" s="23"/>
      <c r="NCQ1363" s="23"/>
      <c r="NCR1363" s="23"/>
      <c r="NCS1363" s="23"/>
      <c r="NCT1363" s="23"/>
      <c r="NCU1363" s="23"/>
      <c r="NCV1363" s="23"/>
      <c r="NCW1363" s="23"/>
      <c r="NCX1363" s="23"/>
      <c r="NCY1363" s="23"/>
      <c r="NCZ1363" s="23"/>
      <c r="NDA1363" s="23"/>
      <c r="NDB1363" s="23"/>
      <c r="NDC1363" s="23"/>
      <c r="NDD1363" s="23"/>
      <c r="NDE1363" s="23"/>
      <c r="NDF1363" s="23"/>
      <c r="NDG1363" s="23"/>
      <c r="NDH1363" s="23"/>
      <c r="NDI1363" s="23"/>
      <c r="NDJ1363" s="23"/>
      <c r="NDK1363" s="23"/>
      <c r="NDL1363" s="23"/>
      <c r="NDM1363" s="23"/>
      <c r="NDN1363" s="23"/>
      <c r="NDO1363" s="23"/>
      <c r="NDP1363" s="23"/>
      <c r="NDQ1363" s="23"/>
      <c r="NDR1363" s="23"/>
      <c r="NDS1363" s="23"/>
      <c r="NDT1363" s="23"/>
      <c r="NDU1363" s="23"/>
      <c r="NDV1363" s="23"/>
      <c r="NDW1363" s="23"/>
      <c r="NDX1363" s="23"/>
      <c r="NDY1363" s="23"/>
      <c r="NDZ1363" s="23"/>
      <c r="NEA1363" s="23"/>
      <c r="NEB1363" s="23"/>
      <c r="NEC1363" s="23"/>
      <c r="NED1363" s="23"/>
      <c r="NEE1363" s="23"/>
      <c r="NEF1363" s="23"/>
      <c r="NEG1363" s="23"/>
      <c r="NEH1363" s="23"/>
      <c r="NEI1363" s="23"/>
      <c r="NEJ1363" s="23"/>
      <c r="NEK1363" s="23"/>
      <c r="NEL1363" s="23"/>
      <c r="NEM1363" s="23"/>
      <c r="NEN1363" s="23"/>
      <c r="NEO1363" s="23"/>
      <c r="NEP1363" s="23"/>
      <c r="NEQ1363" s="23"/>
      <c r="NER1363" s="23"/>
      <c r="NES1363" s="23"/>
      <c r="NET1363" s="23"/>
      <c r="NEU1363" s="23"/>
      <c r="NEV1363" s="23"/>
      <c r="NEW1363" s="23"/>
      <c r="NEX1363" s="23"/>
      <c r="NEY1363" s="23"/>
      <c r="NEZ1363" s="23"/>
      <c r="NFA1363" s="23"/>
      <c r="NFB1363" s="23"/>
      <c r="NFC1363" s="23"/>
      <c r="NFD1363" s="23"/>
      <c r="NFE1363" s="23"/>
      <c r="NFF1363" s="23"/>
      <c r="NFG1363" s="23"/>
      <c r="NFH1363" s="23"/>
      <c r="NFI1363" s="23"/>
      <c r="NFJ1363" s="23"/>
      <c r="NFK1363" s="23"/>
      <c r="NFL1363" s="23"/>
      <c r="NFM1363" s="23"/>
      <c r="NFN1363" s="23"/>
      <c r="NFO1363" s="23"/>
      <c r="NFP1363" s="23"/>
      <c r="NFQ1363" s="23"/>
      <c r="NFR1363" s="23"/>
      <c r="NFS1363" s="23"/>
      <c r="NFT1363" s="23"/>
      <c r="NFU1363" s="23"/>
      <c r="NFV1363" s="23"/>
      <c r="NFW1363" s="23"/>
      <c r="NFX1363" s="23"/>
      <c r="NFY1363" s="23"/>
      <c r="NFZ1363" s="23"/>
      <c r="NGA1363" s="23"/>
      <c r="NGB1363" s="23"/>
      <c r="NGC1363" s="23"/>
      <c r="NGD1363" s="23"/>
      <c r="NGE1363" s="23"/>
      <c r="NGF1363" s="23"/>
      <c r="NGG1363" s="23"/>
      <c r="NGH1363" s="23"/>
      <c r="NGI1363" s="23"/>
      <c r="NGJ1363" s="23"/>
      <c r="NGK1363" s="23"/>
      <c r="NGL1363" s="23"/>
      <c r="NGM1363" s="23"/>
      <c r="NGN1363" s="23"/>
      <c r="NGO1363" s="23"/>
      <c r="NGP1363" s="23"/>
      <c r="NGQ1363" s="23"/>
      <c r="NGR1363" s="23"/>
      <c r="NGS1363" s="23"/>
      <c r="NGT1363" s="23"/>
      <c r="NGU1363" s="23"/>
      <c r="NGV1363" s="23"/>
      <c r="NGW1363" s="23"/>
      <c r="NGX1363" s="23"/>
      <c r="NGY1363" s="23"/>
      <c r="NGZ1363" s="23"/>
      <c r="NHA1363" s="23"/>
      <c r="NHB1363" s="23"/>
      <c r="NHC1363" s="23"/>
      <c r="NHD1363" s="23"/>
      <c r="NHE1363" s="23"/>
      <c r="NHF1363" s="23"/>
      <c r="NHG1363" s="23"/>
      <c r="NHH1363" s="23"/>
      <c r="NHI1363" s="23"/>
      <c r="NHJ1363" s="23"/>
      <c r="NHK1363" s="23"/>
      <c r="NHL1363" s="23"/>
      <c r="NHM1363" s="23"/>
      <c r="NHN1363" s="23"/>
      <c r="NHO1363" s="23"/>
      <c r="NHP1363" s="23"/>
      <c r="NHQ1363" s="23"/>
      <c r="NHR1363" s="23"/>
      <c r="NHS1363" s="23"/>
      <c r="NHT1363" s="23"/>
      <c r="NHU1363" s="23"/>
      <c r="NHV1363" s="23"/>
      <c r="NHW1363" s="23"/>
      <c r="NHX1363" s="23"/>
      <c r="NHY1363" s="23"/>
      <c r="NHZ1363" s="23"/>
      <c r="NIA1363" s="23"/>
      <c r="NIB1363" s="23"/>
      <c r="NIC1363" s="23"/>
      <c r="NID1363" s="23"/>
      <c r="NIE1363" s="23"/>
      <c r="NIF1363" s="23"/>
      <c r="NIG1363" s="23"/>
      <c r="NIH1363" s="23"/>
      <c r="NII1363" s="23"/>
      <c r="NIJ1363" s="23"/>
      <c r="NIK1363" s="23"/>
      <c r="NIL1363" s="23"/>
      <c r="NIM1363" s="23"/>
      <c r="NIN1363" s="23"/>
      <c r="NIO1363" s="23"/>
      <c r="NIP1363" s="23"/>
      <c r="NIQ1363" s="23"/>
      <c r="NIR1363" s="23"/>
      <c r="NIS1363" s="23"/>
      <c r="NIT1363" s="23"/>
      <c r="NIU1363" s="23"/>
      <c r="NIV1363" s="23"/>
      <c r="NIW1363" s="23"/>
      <c r="NIX1363" s="23"/>
      <c r="NIY1363" s="23"/>
      <c r="NIZ1363" s="23"/>
      <c r="NJA1363" s="23"/>
      <c r="NJB1363" s="23"/>
      <c r="NJC1363" s="23"/>
      <c r="NJD1363" s="23"/>
      <c r="NJE1363" s="23"/>
      <c r="NJF1363" s="23"/>
      <c r="NJG1363" s="23"/>
      <c r="NJH1363" s="23"/>
      <c r="NJI1363" s="23"/>
      <c r="NJJ1363" s="23"/>
      <c r="NJK1363" s="23"/>
      <c r="NJL1363" s="23"/>
      <c r="NJM1363" s="23"/>
      <c r="NJN1363" s="23"/>
      <c r="NJO1363" s="23"/>
      <c r="NJP1363" s="23"/>
      <c r="NJQ1363" s="23"/>
      <c r="NJR1363" s="23"/>
      <c r="NJS1363" s="23"/>
      <c r="NJT1363" s="23"/>
      <c r="NJU1363" s="23"/>
      <c r="NJV1363" s="23"/>
      <c r="NJW1363" s="23"/>
      <c r="NJX1363" s="23"/>
      <c r="NJY1363" s="23"/>
      <c r="NJZ1363" s="23"/>
      <c r="NKA1363" s="23"/>
      <c r="NKB1363" s="23"/>
      <c r="NKC1363" s="23"/>
      <c r="NKD1363" s="23"/>
      <c r="NKE1363" s="23"/>
      <c r="NKF1363" s="23"/>
      <c r="NKG1363" s="23"/>
      <c r="NKH1363" s="23"/>
      <c r="NKI1363" s="23"/>
      <c r="NKJ1363" s="23"/>
      <c r="NKK1363" s="23"/>
      <c r="NKL1363" s="23"/>
      <c r="NKM1363" s="23"/>
      <c r="NKN1363" s="23"/>
      <c r="NKO1363" s="23"/>
      <c r="NKP1363" s="23"/>
      <c r="NKQ1363" s="23"/>
      <c r="NKR1363" s="23"/>
      <c r="NKS1363" s="23"/>
      <c r="NKT1363" s="23"/>
      <c r="NKU1363" s="23"/>
      <c r="NKV1363" s="23"/>
      <c r="NKW1363" s="23"/>
      <c r="NKX1363" s="23"/>
      <c r="NKY1363" s="23"/>
      <c r="NKZ1363" s="23"/>
      <c r="NLA1363" s="23"/>
      <c r="NLB1363" s="23"/>
      <c r="NLC1363" s="23"/>
      <c r="NLD1363" s="23"/>
      <c r="NLE1363" s="23"/>
      <c r="NLF1363" s="23"/>
      <c r="NLG1363" s="23"/>
      <c r="NLH1363" s="23"/>
      <c r="NLI1363" s="23"/>
      <c r="NLJ1363" s="23"/>
      <c r="NLK1363" s="23"/>
      <c r="NLL1363" s="23"/>
      <c r="NLM1363" s="23"/>
      <c r="NLN1363" s="23"/>
      <c r="NLO1363" s="23"/>
      <c r="NLP1363" s="23"/>
      <c r="NLQ1363" s="23"/>
      <c r="NLR1363" s="23"/>
      <c r="NLS1363" s="23"/>
      <c r="NLT1363" s="23"/>
      <c r="NLU1363" s="23"/>
      <c r="NLV1363" s="23"/>
      <c r="NLW1363" s="23"/>
      <c r="NLX1363" s="23"/>
      <c r="NLY1363" s="23"/>
      <c r="NLZ1363" s="23"/>
      <c r="NMA1363" s="23"/>
      <c r="NMB1363" s="23"/>
      <c r="NMC1363" s="23"/>
      <c r="NMD1363" s="23"/>
      <c r="NME1363" s="23"/>
      <c r="NMF1363" s="23"/>
      <c r="NMG1363" s="23"/>
      <c r="NMH1363" s="23"/>
      <c r="NMI1363" s="23"/>
      <c r="NMJ1363" s="23"/>
      <c r="NMK1363" s="23"/>
      <c r="NML1363" s="23"/>
      <c r="NMM1363" s="23"/>
      <c r="NMN1363" s="23"/>
      <c r="NMO1363" s="23"/>
      <c r="NMP1363" s="23"/>
      <c r="NMQ1363" s="23"/>
      <c r="NMR1363" s="23"/>
      <c r="NMS1363" s="23"/>
      <c r="NMT1363" s="23"/>
      <c r="NMU1363" s="23"/>
      <c r="NMV1363" s="23"/>
      <c r="NMW1363" s="23"/>
      <c r="NMX1363" s="23"/>
      <c r="NMY1363" s="23"/>
      <c r="NMZ1363" s="23"/>
      <c r="NNA1363" s="23"/>
      <c r="NNB1363" s="23"/>
      <c r="NNC1363" s="23"/>
      <c r="NND1363" s="23"/>
      <c r="NNE1363" s="23"/>
      <c r="NNF1363" s="23"/>
      <c r="NNG1363" s="23"/>
      <c r="NNH1363" s="23"/>
      <c r="NNI1363" s="23"/>
      <c r="NNJ1363" s="23"/>
      <c r="NNK1363" s="23"/>
      <c r="NNL1363" s="23"/>
      <c r="NNM1363" s="23"/>
      <c r="NNN1363" s="23"/>
      <c r="NNO1363" s="23"/>
      <c r="NNP1363" s="23"/>
      <c r="NNQ1363" s="23"/>
      <c r="NNR1363" s="23"/>
      <c r="NNS1363" s="23"/>
      <c r="NNT1363" s="23"/>
      <c r="NNU1363" s="23"/>
      <c r="NNV1363" s="23"/>
      <c r="NNW1363" s="23"/>
      <c r="NNX1363" s="23"/>
      <c r="NNY1363" s="23"/>
      <c r="NNZ1363" s="23"/>
      <c r="NOA1363" s="23"/>
      <c r="NOB1363" s="23"/>
      <c r="NOC1363" s="23"/>
      <c r="NOD1363" s="23"/>
      <c r="NOE1363" s="23"/>
      <c r="NOF1363" s="23"/>
      <c r="NOG1363" s="23"/>
      <c r="NOH1363" s="23"/>
      <c r="NOI1363" s="23"/>
      <c r="NOJ1363" s="23"/>
      <c r="NOK1363" s="23"/>
      <c r="NOL1363" s="23"/>
      <c r="NOM1363" s="23"/>
      <c r="NON1363" s="23"/>
      <c r="NOO1363" s="23"/>
      <c r="NOP1363" s="23"/>
      <c r="NOQ1363" s="23"/>
      <c r="NOR1363" s="23"/>
      <c r="NOS1363" s="23"/>
      <c r="NOT1363" s="23"/>
      <c r="NOU1363" s="23"/>
      <c r="NOV1363" s="23"/>
      <c r="NOW1363" s="23"/>
      <c r="NOX1363" s="23"/>
      <c r="NOY1363" s="23"/>
      <c r="NOZ1363" s="23"/>
      <c r="NPA1363" s="23"/>
      <c r="NPB1363" s="23"/>
      <c r="NPC1363" s="23"/>
      <c r="NPD1363" s="23"/>
      <c r="NPE1363" s="23"/>
      <c r="NPF1363" s="23"/>
      <c r="NPG1363" s="23"/>
      <c r="NPH1363" s="23"/>
      <c r="NPI1363" s="23"/>
      <c r="NPJ1363" s="23"/>
      <c r="NPK1363" s="23"/>
      <c r="NPL1363" s="23"/>
      <c r="NPM1363" s="23"/>
      <c r="NPN1363" s="23"/>
      <c r="NPO1363" s="23"/>
      <c r="NPP1363" s="23"/>
      <c r="NPQ1363" s="23"/>
      <c r="NPR1363" s="23"/>
      <c r="NPS1363" s="23"/>
      <c r="NPT1363" s="23"/>
      <c r="NPU1363" s="23"/>
      <c r="NPV1363" s="23"/>
      <c r="NPW1363" s="23"/>
      <c r="NPX1363" s="23"/>
      <c r="NPY1363" s="23"/>
      <c r="NPZ1363" s="23"/>
      <c r="NQA1363" s="23"/>
      <c r="NQB1363" s="23"/>
      <c r="NQC1363" s="23"/>
      <c r="NQD1363" s="23"/>
      <c r="NQE1363" s="23"/>
      <c r="NQF1363" s="23"/>
      <c r="NQG1363" s="23"/>
      <c r="NQH1363" s="23"/>
      <c r="NQI1363" s="23"/>
      <c r="NQJ1363" s="23"/>
      <c r="NQK1363" s="23"/>
      <c r="NQL1363" s="23"/>
      <c r="NQM1363" s="23"/>
      <c r="NQN1363" s="23"/>
      <c r="NQO1363" s="23"/>
      <c r="NQP1363" s="23"/>
      <c r="NQQ1363" s="23"/>
      <c r="NQR1363" s="23"/>
      <c r="NQS1363" s="23"/>
      <c r="NQT1363" s="23"/>
      <c r="NQU1363" s="23"/>
      <c r="NQV1363" s="23"/>
      <c r="NQW1363" s="23"/>
      <c r="NQX1363" s="23"/>
      <c r="NQY1363" s="23"/>
      <c r="NQZ1363" s="23"/>
      <c r="NRA1363" s="23"/>
      <c r="NRB1363" s="23"/>
      <c r="NRC1363" s="23"/>
      <c r="NRD1363" s="23"/>
      <c r="NRE1363" s="23"/>
      <c r="NRF1363" s="23"/>
      <c r="NRG1363" s="23"/>
      <c r="NRH1363" s="23"/>
      <c r="NRI1363" s="23"/>
      <c r="NRJ1363" s="23"/>
      <c r="NRK1363" s="23"/>
      <c r="NRL1363" s="23"/>
      <c r="NRM1363" s="23"/>
      <c r="NRN1363" s="23"/>
      <c r="NRO1363" s="23"/>
      <c r="NRP1363" s="23"/>
      <c r="NRQ1363" s="23"/>
      <c r="NRR1363" s="23"/>
      <c r="NRS1363" s="23"/>
      <c r="NRT1363" s="23"/>
      <c r="NRU1363" s="23"/>
      <c r="NRV1363" s="23"/>
      <c r="NRW1363" s="23"/>
      <c r="NRX1363" s="23"/>
      <c r="NRY1363" s="23"/>
      <c r="NRZ1363" s="23"/>
      <c r="NSA1363" s="23"/>
      <c r="NSB1363" s="23"/>
      <c r="NSC1363" s="23"/>
      <c r="NSD1363" s="23"/>
      <c r="NSE1363" s="23"/>
      <c r="NSF1363" s="23"/>
      <c r="NSG1363" s="23"/>
      <c r="NSH1363" s="23"/>
      <c r="NSI1363" s="23"/>
      <c r="NSJ1363" s="23"/>
      <c r="NSK1363" s="23"/>
      <c r="NSL1363" s="23"/>
      <c r="NSM1363" s="23"/>
      <c r="NSN1363" s="23"/>
      <c r="NSO1363" s="23"/>
      <c r="NSP1363" s="23"/>
      <c r="NSQ1363" s="23"/>
      <c r="NSR1363" s="23"/>
      <c r="NSS1363" s="23"/>
      <c r="NST1363" s="23"/>
      <c r="NSU1363" s="23"/>
      <c r="NSV1363" s="23"/>
      <c r="NSW1363" s="23"/>
      <c r="NSX1363" s="23"/>
      <c r="NSY1363" s="23"/>
      <c r="NSZ1363" s="23"/>
      <c r="NTA1363" s="23"/>
      <c r="NTB1363" s="23"/>
      <c r="NTC1363" s="23"/>
      <c r="NTD1363" s="23"/>
      <c r="NTE1363" s="23"/>
      <c r="NTF1363" s="23"/>
      <c r="NTG1363" s="23"/>
      <c r="NTH1363" s="23"/>
      <c r="NTI1363" s="23"/>
      <c r="NTJ1363" s="23"/>
      <c r="NTK1363" s="23"/>
      <c r="NTL1363" s="23"/>
      <c r="NTM1363" s="23"/>
      <c r="NTN1363" s="23"/>
      <c r="NTO1363" s="23"/>
      <c r="NTP1363" s="23"/>
      <c r="NTQ1363" s="23"/>
      <c r="NTR1363" s="23"/>
      <c r="NTS1363" s="23"/>
      <c r="NTT1363" s="23"/>
      <c r="NTU1363" s="23"/>
      <c r="NTV1363" s="23"/>
      <c r="NTW1363" s="23"/>
      <c r="NTX1363" s="23"/>
      <c r="NTY1363" s="23"/>
      <c r="NTZ1363" s="23"/>
      <c r="NUA1363" s="23"/>
      <c r="NUB1363" s="23"/>
      <c r="NUC1363" s="23"/>
      <c r="NUD1363" s="23"/>
      <c r="NUE1363" s="23"/>
      <c r="NUF1363" s="23"/>
      <c r="NUG1363" s="23"/>
      <c r="NUH1363" s="23"/>
      <c r="NUI1363" s="23"/>
      <c r="NUJ1363" s="23"/>
      <c r="NUK1363" s="23"/>
      <c r="NUL1363" s="23"/>
      <c r="NUM1363" s="23"/>
      <c r="NUN1363" s="23"/>
      <c r="NUO1363" s="23"/>
      <c r="NUP1363" s="23"/>
      <c r="NUQ1363" s="23"/>
      <c r="NUR1363" s="23"/>
      <c r="NUS1363" s="23"/>
      <c r="NUT1363" s="23"/>
      <c r="NUU1363" s="23"/>
      <c r="NUV1363" s="23"/>
      <c r="NUW1363" s="23"/>
      <c r="NUX1363" s="23"/>
      <c r="NUY1363" s="23"/>
      <c r="NUZ1363" s="23"/>
      <c r="NVA1363" s="23"/>
      <c r="NVB1363" s="23"/>
      <c r="NVC1363" s="23"/>
      <c r="NVD1363" s="23"/>
      <c r="NVE1363" s="23"/>
      <c r="NVF1363" s="23"/>
      <c r="NVG1363" s="23"/>
      <c r="NVH1363" s="23"/>
      <c r="NVI1363" s="23"/>
      <c r="NVJ1363" s="23"/>
      <c r="NVK1363" s="23"/>
      <c r="NVL1363" s="23"/>
      <c r="NVM1363" s="23"/>
      <c r="NVN1363" s="23"/>
      <c r="NVO1363" s="23"/>
      <c r="NVP1363" s="23"/>
      <c r="NVQ1363" s="23"/>
      <c r="NVR1363" s="23"/>
      <c r="NVS1363" s="23"/>
      <c r="NVT1363" s="23"/>
      <c r="NVU1363" s="23"/>
      <c r="NVV1363" s="23"/>
      <c r="NVW1363" s="23"/>
      <c r="NVX1363" s="23"/>
      <c r="NVY1363" s="23"/>
      <c r="NVZ1363" s="23"/>
      <c r="NWA1363" s="23"/>
      <c r="NWB1363" s="23"/>
      <c r="NWC1363" s="23"/>
      <c r="NWD1363" s="23"/>
      <c r="NWE1363" s="23"/>
      <c r="NWF1363" s="23"/>
      <c r="NWG1363" s="23"/>
      <c r="NWH1363" s="23"/>
      <c r="NWI1363" s="23"/>
      <c r="NWJ1363" s="23"/>
      <c r="NWK1363" s="23"/>
      <c r="NWL1363" s="23"/>
      <c r="NWM1363" s="23"/>
      <c r="NWN1363" s="23"/>
      <c r="NWO1363" s="23"/>
      <c r="NWP1363" s="23"/>
      <c r="NWQ1363" s="23"/>
      <c r="NWR1363" s="23"/>
      <c r="NWS1363" s="23"/>
      <c r="NWT1363" s="23"/>
      <c r="NWU1363" s="23"/>
      <c r="NWV1363" s="23"/>
      <c r="NWW1363" s="23"/>
      <c r="NWX1363" s="23"/>
      <c r="NWY1363" s="23"/>
      <c r="NWZ1363" s="23"/>
      <c r="NXA1363" s="23"/>
      <c r="NXB1363" s="23"/>
      <c r="NXC1363" s="23"/>
      <c r="NXD1363" s="23"/>
      <c r="NXE1363" s="23"/>
      <c r="NXF1363" s="23"/>
      <c r="NXG1363" s="23"/>
      <c r="NXH1363" s="23"/>
      <c r="NXI1363" s="23"/>
      <c r="NXJ1363" s="23"/>
      <c r="NXK1363" s="23"/>
      <c r="NXL1363" s="23"/>
      <c r="NXM1363" s="23"/>
      <c r="NXN1363" s="23"/>
      <c r="NXO1363" s="23"/>
      <c r="NXP1363" s="23"/>
      <c r="NXQ1363" s="23"/>
      <c r="NXR1363" s="23"/>
      <c r="NXS1363" s="23"/>
      <c r="NXT1363" s="23"/>
      <c r="NXU1363" s="23"/>
      <c r="NXV1363" s="23"/>
      <c r="NXW1363" s="23"/>
      <c r="NXX1363" s="23"/>
      <c r="NXY1363" s="23"/>
      <c r="NXZ1363" s="23"/>
      <c r="NYA1363" s="23"/>
      <c r="NYB1363" s="23"/>
      <c r="NYC1363" s="23"/>
      <c r="NYD1363" s="23"/>
      <c r="NYE1363" s="23"/>
      <c r="NYF1363" s="23"/>
      <c r="NYG1363" s="23"/>
      <c r="NYH1363" s="23"/>
      <c r="NYI1363" s="23"/>
      <c r="NYJ1363" s="23"/>
      <c r="NYK1363" s="23"/>
      <c r="NYL1363" s="23"/>
      <c r="NYM1363" s="23"/>
      <c r="NYN1363" s="23"/>
      <c r="NYO1363" s="23"/>
      <c r="NYP1363" s="23"/>
      <c r="NYQ1363" s="23"/>
      <c r="NYR1363" s="23"/>
      <c r="NYS1363" s="23"/>
      <c r="NYT1363" s="23"/>
      <c r="NYU1363" s="23"/>
      <c r="NYV1363" s="23"/>
      <c r="NYW1363" s="23"/>
      <c r="NYX1363" s="23"/>
      <c r="NYY1363" s="23"/>
      <c r="NYZ1363" s="23"/>
      <c r="NZA1363" s="23"/>
      <c r="NZB1363" s="23"/>
      <c r="NZC1363" s="23"/>
      <c r="NZD1363" s="23"/>
      <c r="NZE1363" s="23"/>
      <c r="NZF1363" s="23"/>
      <c r="NZG1363" s="23"/>
      <c r="NZH1363" s="23"/>
      <c r="NZI1363" s="23"/>
      <c r="NZJ1363" s="23"/>
      <c r="NZK1363" s="23"/>
      <c r="NZL1363" s="23"/>
      <c r="NZM1363" s="23"/>
      <c r="NZN1363" s="23"/>
      <c r="NZO1363" s="23"/>
      <c r="NZP1363" s="23"/>
      <c r="NZQ1363" s="23"/>
      <c r="NZR1363" s="23"/>
      <c r="NZS1363" s="23"/>
      <c r="NZT1363" s="23"/>
      <c r="NZU1363" s="23"/>
      <c r="NZV1363" s="23"/>
      <c r="NZW1363" s="23"/>
      <c r="NZX1363" s="23"/>
      <c r="NZY1363" s="23"/>
      <c r="NZZ1363" s="23"/>
      <c r="OAA1363" s="23"/>
      <c r="OAB1363" s="23"/>
      <c r="OAC1363" s="23"/>
      <c r="OAD1363" s="23"/>
      <c r="OAE1363" s="23"/>
      <c r="OAF1363" s="23"/>
      <c r="OAG1363" s="23"/>
      <c r="OAH1363" s="23"/>
      <c r="OAI1363" s="23"/>
      <c r="OAJ1363" s="23"/>
      <c r="OAK1363" s="23"/>
      <c r="OAL1363" s="23"/>
      <c r="OAM1363" s="23"/>
      <c r="OAN1363" s="23"/>
      <c r="OAO1363" s="23"/>
      <c r="OAP1363" s="23"/>
      <c r="OAQ1363" s="23"/>
      <c r="OAR1363" s="23"/>
      <c r="OAS1363" s="23"/>
      <c r="OAT1363" s="23"/>
      <c r="OAU1363" s="23"/>
      <c r="OAV1363" s="23"/>
      <c r="OAW1363" s="23"/>
      <c r="OAX1363" s="23"/>
      <c r="OAY1363" s="23"/>
      <c r="OAZ1363" s="23"/>
      <c r="OBA1363" s="23"/>
      <c r="OBB1363" s="23"/>
      <c r="OBC1363" s="23"/>
      <c r="OBD1363" s="23"/>
      <c r="OBE1363" s="23"/>
      <c r="OBF1363" s="23"/>
      <c r="OBG1363" s="23"/>
      <c r="OBH1363" s="23"/>
      <c r="OBI1363" s="23"/>
      <c r="OBJ1363" s="23"/>
      <c r="OBK1363" s="23"/>
      <c r="OBL1363" s="23"/>
      <c r="OBM1363" s="23"/>
      <c r="OBN1363" s="23"/>
      <c r="OBO1363" s="23"/>
      <c r="OBP1363" s="23"/>
      <c r="OBQ1363" s="23"/>
      <c r="OBR1363" s="23"/>
      <c r="OBS1363" s="23"/>
      <c r="OBT1363" s="23"/>
      <c r="OBU1363" s="23"/>
      <c r="OBV1363" s="23"/>
      <c r="OBW1363" s="23"/>
      <c r="OBX1363" s="23"/>
      <c r="OBY1363" s="23"/>
      <c r="OBZ1363" s="23"/>
      <c r="OCA1363" s="23"/>
      <c r="OCB1363" s="23"/>
      <c r="OCC1363" s="23"/>
      <c r="OCD1363" s="23"/>
      <c r="OCE1363" s="23"/>
      <c r="OCF1363" s="23"/>
      <c r="OCG1363" s="23"/>
      <c r="OCH1363" s="23"/>
      <c r="OCI1363" s="23"/>
      <c r="OCJ1363" s="23"/>
      <c r="OCK1363" s="23"/>
      <c r="OCL1363" s="23"/>
      <c r="OCM1363" s="23"/>
      <c r="OCN1363" s="23"/>
      <c r="OCO1363" s="23"/>
      <c r="OCP1363" s="23"/>
      <c r="OCQ1363" s="23"/>
      <c r="OCR1363" s="23"/>
      <c r="OCS1363" s="23"/>
      <c r="OCT1363" s="23"/>
      <c r="OCU1363" s="23"/>
      <c r="OCV1363" s="23"/>
      <c r="OCW1363" s="23"/>
      <c r="OCX1363" s="23"/>
      <c r="OCY1363" s="23"/>
      <c r="OCZ1363" s="23"/>
      <c r="ODA1363" s="23"/>
      <c r="ODB1363" s="23"/>
      <c r="ODC1363" s="23"/>
      <c r="ODD1363" s="23"/>
      <c r="ODE1363" s="23"/>
      <c r="ODF1363" s="23"/>
      <c r="ODG1363" s="23"/>
      <c r="ODH1363" s="23"/>
      <c r="ODI1363" s="23"/>
      <c r="ODJ1363" s="23"/>
      <c r="ODK1363" s="23"/>
      <c r="ODL1363" s="23"/>
      <c r="ODM1363" s="23"/>
      <c r="ODN1363" s="23"/>
      <c r="ODO1363" s="23"/>
      <c r="ODP1363" s="23"/>
      <c r="ODQ1363" s="23"/>
      <c r="ODR1363" s="23"/>
      <c r="ODS1363" s="23"/>
      <c r="ODT1363" s="23"/>
      <c r="ODU1363" s="23"/>
      <c r="ODV1363" s="23"/>
      <c r="ODW1363" s="23"/>
      <c r="ODX1363" s="23"/>
      <c r="ODY1363" s="23"/>
      <c r="ODZ1363" s="23"/>
      <c r="OEA1363" s="23"/>
      <c r="OEB1363" s="23"/>
      <c r="OEC1363" s="23"/>
      <c r="OED1363" s="23"/>
      <c r="OEE1363" s="23"/>
      <c r="OEF1363" s="23"/>
      <c r="OEG1363" s="23"/>
      <c r="OEH1363" s="23"/>
      <c r="OEI1363" s="23"/>
      <c r="OEJ1363" s="23"/>
      <c r="OEK1363" s="23"/>
      <c r="OEL1363" s="23"/>
      <c r="OEM1363" s="23"/>
      <c r="OEN1363" s="23"/>
      <c r="OEO1363" s="23"/>
      <c r="OEP1363" s="23"/>
      <c r="OEQ1363" s="23"/>
      <c r="OER1363" s="23"/>
      <c r="OES1363" s="23"/>
      <c r="OET1363" s="23"/>
      <c r="OEU1363" s="23"/>
      <c r="OEV1363" s="23"/>
      <c r="OEW1363" s="23"/>
      <c r="OEX1363" s="23"/>
      <c r="OEY1363" s="23"/>
      <c r="OEZ1363" s="23"/>
      <c r="OFA1363" s="23"/>
      <c r="OFB1363" s="23"/>
      <c r="OFC1363" s="23"/>
      <c r="OFD1363" s="23"/>
      <c r="OFE1363" s="23"/>
      <c r="OFF1363" s="23"/>
      <c r="OFG1363" s="23"/>
      <c r="OFH1363" s="23"/>
      <c r="OFI1363" s="23"/>
      <c r="OFJ1363" s="23"/>
      <c r="OFK1363" s="23"/>
      <c r="OFL1363" s="23"/>
      <c r="OFM1363" s="23"/>
      <c r="OFN1363" s="23"/>
      <c r="OFO1363" s="23"/>
      <c r="OFP1363" s="23"/>
      <c r="OFQ1363" s="23"/>
      <c r="OFR1363" s="23"/>
      <c r="OFS1363" s="23"/>
      <c r="OFT1363" s="23"/>
      <c r="OFU1363" s="23"/>
      <c r="OFV1363" s="23"/>
      <c r="OFW1363" s="23"/>
      <c r="OFX1363" s="23"/>
      <c r="OFY1363" s="23"/>
      <c r="OFZ1363" s="23"/>
      <c r="OGA1363" s="23"/>
      <c r="OGB1363" s="23"/>
      <c r="OGC1363" s="23"/>
      <c r="OGD1363" s="23"/>
      <c r="OGE1363" s="23"/>
      <c r="OGF1363" s="23"/>
      <c r="OGG1363" s="23"/>
      <c r="OGH1363" s="23"/>
      <c r="OGI1363" s="23"/>
      <c r="OGJ1363" s="23"/>
      <c r="OGK1363" s="23"/>
      <c r="OGL1363" s="23"/>
      <c r="OGM1363" s="23"/>
      <c r="OGN1363" s="23"/>
      <c r="OGO1363" s="23"/>
      <c r="OGP1363" s="23"/>
      <c r="OGQ1363" s="23"/>
      <c r="OGR1363" s="23"/>
      <c r="OGS1363" s="23"/>
      <c r="OGT1363" s="23"/>
      <c r="OGU1363" s="23"/>
      <c r="OGV1363" s="23"/>
      <c r="OGW1363" s="23"/>
      <c r="OGX1363" s="23"/>
      <c r="OGY1363" s="23"/>
      <c r="OGZ1363" s="23"/>
      <c r="OHA1363" s="23"/>
      <c r="OHB1363" s="23"/>
      <c r="OHC1363" s="23"/>
      <c r="OHD1363" s="23"/>
      <c r="OHE1363" s="23"/>
      <c r="OHF1363" s="23"/>
      <c r="OHG1363" s="23"/>
      <c r="OHH1363" s="23"/>
      <c r="OHI1363" s="23"/>
      <c r="OHJ1363" s="23"/>
      <c r="OHK1363" s="23"/>
      <c r="OHL1363" s="23"/>
      <c r="OHM1363" s="23"/>
      <c r="OHN1363" s="23"/>
      <c r="OHO1363" s="23"/>
      <c r="OHP1363" s="23"/>
      <c r="OHQ1363" s="23"/>
      <c r="OHR1363" s="23"/>
      <c r="OHS1363" s="23"/>
      <c r="OHT1363" s="23"/>
      <c r="OHU1363" s="23"/>
      <c r="OHV1363" s="23"/>
      <c r="OHW1363" s="23"/>
      <c r="OHX1363" s="23"/>
      <c r="OHY1363" s="23"/>
      <c r="OHZ1363" s="23"/>
      <c r="OIA1363" s="23"/>
      <c r="OIB1363" s="23"/>
      <c r="OIC1363" s="23"/>
      <c r="OID1363" s="23"/>
      <c r="OIE1363" s="23"/>
      <c r="OIF1363" s="23"/>
      <c r="OIG1363" s="23"/>
      <c r="OIH1363" s="23"/>
      <c r="OII1363" s="23"/>
      <c r="OIJ1363" s="23"/>
      <c r="OIK1363" s="23"/>
      <c r="OIL1363" s="23"/>
      <c r="OIM1363" s="23"/>
      <c r="OIN1363" s="23"/>
      <c r="OIO1363" s="23"/>
      <c r="OIP1363" s="23"/>
      <c r="OIQ1363" s="23"/>
      <c r="OIR1363" s="23"/>
      <c r="OIS1363" s="23"/>
      <c r="OIT1363" s="23"/>
      <c r="OIU1363" s="23"/>
      <c r="OIV1363" s="23"/>
      <c r="OIW1363" s="23"/>
      <c r="OIX1363" s="23"/>
      <c r="OIY1363" s="23"/>
      <c r="OIZ1363" s="23"/>
      <c r="OJA1363" s="23"/>
      <c r="OJB1363" s="23"/>
      <c r="OJC1363" s="23"/>
      <c r="OJD1363" s="23"/>
      <c r="OJE1363" s="23"/>
      <c r="OJF1363" s="23"/>
      <c r="OJG1363" s="23"/>
      <c r="OJH1363" s="23"/>
      <c r="OJI1363" s="23"/>
      <c r="OJJ1363" s="23"/>
      <c r="OJK1363" s="23"/>
      <c r="OJL1363" s="23"/>
      <c r="OJM1363" s="23"/>
      <c r="OJN1363" s="23"/>
      <c r="OJO1363" s="23"/>
      <c r="OJP1363" s="23"/>
      <c r="OJQ1363" s="23"/>
      <c r="OJR1363" s="23"/>
      <c r="OJS1363" s="23"/>
      <c r="OJT1363" s="23"/>
      <c r="OJU1363" s="23"/>
      <c r="OJV1363" s="23"/>
      <c r="OJW1363" s="23"/>
      <c r="OJX1363" s="23"/>
      <c r="OJY1363" s="23"/>
      <c r="OJZ1363" s="23"/>
      <c r="OKA1363" s="23"/>
      <c r="OKB1363" s="23"/>
      <c r="OKC1363" s="23"/>
      <c r="OKD1363" s="23"/>
      <c r="OKE1363" s="23"/>
      <c r="OKF1363" s="23"/>
      <c r="OKG1363" s="23"/>
      <c r="OKH1363" s="23"/>
      <c r="OKI1363" s="23"/>
      <c r="OKJ1363" s="23"/>
      <c r="OKK1363" s="23"/>
      <c r="OKL1363" s="23"/>
      <c r="OKM1363" s="23"/>
      <c r="OKN1363" s="23"/>
      <c r="OKO1363" s="23"/>
      <c r="OKP1363" s="23"/>
      <c r="OKQ1363" s="23"/>
      <c r="OKR1363" s="23"/>
      <c r="OKS1363" s="23"/>
      <c r="OKT1363" s="23"/>
      <c r="OKU1363" s="23"/>
      <c r="OKV1363" s="23"/>
      <c r="OKW1363" s="23"/>
      <c r="OKX1363" s="23"/>
      <c r="OKY1363" s="23"/>
      <c r="OKZ1363" s="23"/>
      <c r="OLA1363" s="23"/>
      <c r="OLB1363" s="23"/>
      <c r="OLC1363" s="23"/>
      <c r="OLD1363" s="23"/>
      <c r="OLE1363" s="23"/>
      <c r="OLF1363" s="23"/>
      <c r="OLG1363" s="23"/>
      <c r="OLH1363" s="23"/>
      <c r="OLI1363" s="23"/>
      <c r="OLJ1363" s="23"/>
      <c r="OLK1363" s="23"/>
      <c r="OLL1363" s="23"/>
      <c r="OLM1363" s="23"/>
      <c r="OLN1363" s="23"/>
      <c r="OLO1363" s="23"/>
      <c r="OLP1363" s="23"/>
      <c r="OLQ1363" s="23"/>
      <c r="OLR1363" s="23"/>
      <c r="OLS1363" s="23"/>
      <c r="OLT1363" s="23"/>
      <c r="OLU1363" s="23"/>
      <c r="OLV1363" s="23"/>
      <c r="OLW1363" s="23"/>
      <c r="OLX1363" s="23"/>
      <c r="OLY1363" s="23"/>
      <c r="OLZ1363" s="23"/>
      <c r="OMA1363" s="23"/>
      <c r="OMB1363" s="23"/>
      <c r="OMC1363" s="23"/>
      <c r="OMD1363" s="23"/>
      <c r="OME1363" s="23"/>
      <c r="OMF1363" s="23"/>
      <c r="OMG1363" s="23"/>
      <c r="OMH1363" s="23"/>
      <c r="OMI1363" s="23"/>
      <c r="OMJ1363" s="23"/>
      <c r="OMK1363" s="23"/>
      <c r="OML1363" s="23"/>
      <c r="OMM1363" s="23"/>
      <c r="OMN1363" s="23"/>
      <c r="OMO1363" s="23"/>
      <c r="OMP1363" s="23"/>
      <c r="OMQ1363" s="23"/>
      <c r="OMR1363" s="23"/>
      <c r="OMS1363" s="23"/>
      <c r="OMT1363" s="23"/>
      <c r="OMU1363" s="23"/>
      <c r="OMV1363" s="23"/>
      <c r="OMW1363" s="23"/>
      <c r="OMX1363" s="23"/>
      <c r="OMY1363" s="23"/>
      <c r="OMZ1363" s="23"/>
      <c r="ONA1363" s="23"/>
      <c r="ONB1363" s="23"/>
      <c r="ONC1363" s="23"/>
      <c r="OND1363" s="23"/>
      <c r="ONE1363" s="23"/>
      <c r="ONF1363" s="23"/>
      <c r="ONG1363" s="23"/>
      <c r="ONH1363" s="23"/>
      <c r="ONI1363" s="23"/>
      <c r="ONJ1363" s="23"/>
      <c r="ONK1363" s="23"/>
      <c r="ONL1363" s="23"/>
      <c r="ONM1363" s="23"/>
      <c r="ONN1363" s="23"/>
      <c r="ONO1363" s="23"/>
      <c r="ONP1363" s="23"/>
      <c r="ONQ1363" s="23"/>
      <c r="ONR1363" s="23"/>
      <c r="ONS1363" s="23"/>
      <c r="ONT1363" s="23"/>
      <c r="ONU1363" s="23"/>
      <c r="ONV1363" s="23"/>
      <c r="ONW1363" s="23"/>
      <c r="ONX1363" s="23"/>
      <c r="ONY1363" s="23"/>
      <c r="ONZ1363" s="23"/>
      <c r="OOA1363" s="23"/>
      <c r="OOB1363" s="23"/>
      <c r="OOC1363" s="23"/>
      <c r="OOD1363" s="23"/>
      <c r="OOE1363" s="23"/>
      <c r="OOF1363" s="23"/>
      <c r="OOG1363" s="23"/>
      <c r="OOH1363" s="23"/>
      <c r="OOI1363" s="23"/>
      <c r="OOJ1363" s="23"/>
      <c r="OOK1363" s="23"/>
      <c r="OOL1363" s="23"/>
      <c r="OOM1363" s="23"/>
      <c r="OON1363" s="23"/>
      <c r="OOO1363" s="23"/>
      <c r="OOP1363" s="23"/>
      <c r="OOQ1363" s="23"/>
      <c r="OOR1363" s="23"/>
      <c r="OOS1363" s="23"/>
      <c r="OOT1363" s="23"/>
      <c r="OOU1363" s="23"/>
      <c r="OOV1363" s="23"/>
      <c r="OOW1363" s="23"/>
      <c r="OOX1363" s="23"/>
      <c r="OOY1363" s="23"/>
      <c r="OOZ1363" s="23"/>
      <c r="OPA1363" s="23"/>
      <c r="OPB1363" s="23"/>
      <c r="OPC1363" s="23"/>
      <c r="OPD1363" s="23"/>
      <c r="OPE1363" s="23"/>
      <c r="OPF1363" s="23"/>
      <c r="OPG1363" s="23"/>
      <c r="OPH1363" s="23"/>
      <c r="OPI1363" s="23"/>
      <c r="OPJ1363" s="23"/>
      <c r="OPK1363" s="23"/>
      <c r="OPL1363" s="23"/>
      <c r="OPM1363" s="23"/>
      <c r="OPN1363" s="23"/>
      <c r="OPO1363" s="23"/>
      <c r="OPP1363" s="23"/>
      <c r="OPQ1363" s="23"/>
      <c r="OPR1363" s="23"/>
      <c r="OPS1363" s="23"/>
      <c r="OPT1363" s="23"/>
      <c r="OPU1363" s="23"/>
      <c r="OPV1363" s="23"/>
      <c r="OPW1363" s="23"/>
      <c r="OPX1363" s="23"/>
      <c r="OPY1363" s="23"/>
      <c r="OPZ1363" s="23"/>
      <c r="OQA1363" s="23"/>
      <c r="OQB1363" s="23"/>
      <c r="OQC1363" s="23"/>
      <c r="OQD1363" s="23"/>
      <c r="OQE1363" s="23"/>
      <c r="OQF1363" s="23"/>
      <c r="OQG1363" s="23"/>
      <c r="OQH1363" s="23"/>
      <c r="OQI1363" s="23"/>
      <c r="OQJ1363" s="23"/>
      <c r="OQK1363" s="23"/>
      <c r="OQL1363" s="23"/>
      <c r="OQM1363" s="23"/>
      <c r="OQN1363" s="23"/>
      <c r="OQO1363" s="23"/>
      <c r="OQP1363" s="23"/>
      <c r="OQQ1363" s="23"/>
      <c r="OQR1363" s="23"/>
      <c r="OQS1363" s="23"/>
      <c r="OQT1363" s="23"/>
      <c r="OQU1363" s="23"/>
      <c r="OQV1363" s="23"/>
      <c r="OQW1363" s="23"/>
      <c r="OQX1363" s="23"/>
      <c r="OQY1363" s="23"/>
      <c r="OQZ1363" s="23"/>
      <c r="ORA1363" s="23"/>
      <c r="ORB1363" s="23"/>
      <c r="ORC1363" s="23"/>
      <c r="ORD1363" s="23"/>
      <c r="ORE1363" s="23"/>
      <c r="ORF1363" s="23"/>
      <c r="ORG1363" s="23"/>
      <c r="ORH1363" s="23"/>
      <c r="ORI1363" s="23"/>
      <c r="ORJ1363" s="23"/>
      <c r="ORK1363" s="23"/>
      <c r="ORL1363" s="23"/>
      <c r="ORM1363" s="23"/>
      <c r="ORN1363" s="23"/>
      <c r="ORO1363" s="23"/>
      <c r="ORP1363" s="23"/>
      <c r="ORQ1363" s="23"/>
      <c r="ORR1363" s="23"/>
      <c r="ORS1363" s="23"/>
      <c r="ORT1363" s="23"/>
      <c r="ORU1363" s="23"/>
      <c r="ORV1363" s="23"/>
      <c r="ORW1363" s="23"/>
      <c r="ORX1363" s="23"/>
      <c r="ORY1363" s="23"/>
      <c r="ORZ1363" s="23"/>
      <c r="OSA1363" s="23"/>
      <c r="OSB1363" s="23"/>
      <c r="OSC1363" s="23"/>
      <c r="OSD1363" s="23"/>
      <c r="OSE1363" s="23"/>
      <c r="OSF1363" s="23"/>
      <c r="OSG1363" s="23"/>
      <c r="OSH1363" s="23"/>
      <c r="OSI1363" s="23"/>
      <c r="OSJ1363" s="23"/>
      <c r="OSK1363" s="23"/>
      <c r="OSL1363" s="23"/>
      <c r="OSM1363" s="23"/>
      <c r="OSN1363" s="23"/>
      <c r="OSO1363" s="23"/>
      <c r="OSP1363" s="23"/>
      <c r="OSQ1363" s="23"/>
      <c r="OSR1363" s="23"/>
      <c r="OSS1363" s="23"/>
      <c r="OST1363" s="23"/>
      <c r="OSU1363" s="23"/>
      <c r="OSV1363" s="23"/>
      <c r="OSW1363" s="23"/>
      <c r="OSX1363" s="23"/>
      <c r="OSY1363" s="23"/>
      <c r="OSZ1363" s="23"/>
      <c r="OTA1363" s="23"/>
      <c r="OTB1363" s="23"/>
      <c r="OTC1363" s="23"/>
      <c r="OTD1363" s="23"/>
      <c r="OTE1363" s="23"/>
      <c r="OTF1363" s="23"/>
      <c r="OTG1363" s="23"/>
      <c r="OTH1363" s="23"/>
      <c r="OTI1363" s="23"/>
      <c r="OTJ1363" s="23"/>
      <c r="OTK1363" s="23"/>
      <c r="OTL1363" s="23"/>
      <c r="OTM1363" s="23"/>
      <c r="OTN1363" s="23"/>
      <c r="OTO1363" s="23"/>
      <c r="OTP1363" s="23"/>
      <c r="OTQ1363" s="23"/>
      <c r="OTR1363" s="23"/>
      <c r="OTS1363" s="23"/>
      <c r="OTT1363" s="23"/>
      <c r="OTU1363" s="23"/>
      <c r="OTV1363" s="23"/>
      <c r="OTW1363" s="23"/>
      <c r="OTX1363" s="23"/>
      <c r="OTY1363" s="23"/>
      <c r="OTZ1363" s="23"/>
      <c r="OUA1363" s="23"/>
      <c r="OUB1363" s="23"/>
      <c r="OUC1363" s="23"/>
      <c r="OUD1363" s="23"/>
      <c r="OUE1363" s="23"/>
      <c r="OUF1363" s="23"/>
      <c r="OUG1363" s="23"/>
      <c r="OUH1363" s="23"/>
      <c r="OUI1363" s="23"/>
      <c r="OUJ1363" s="23"/>
      <c r="OUK1363" s="23"/>
      <c r="OUL1363" s="23"/>
      <c r="OUM1363" s="23"/>
      <c r="OUN1363" s="23"/>
      <c r="OUO1363" s="23"/>
      <c r="OUP1363" s="23"/>
      <c r="OUQ1363" s="23"/>
      <c r="OUR1363" s="23"/>
      <c r="OUS1363" s="23"/>
      <c r="OUT1363" s="23"/>
      <c r="OUU1363" s="23"/>
      <c r="OUV1363" s="23"/>
      <c r="OUW1363" s="23"/>
      <c r="OUX1363" s="23"/>
      <c r="OUY1363" s="23"/>
      <c r="OUZ1363" s="23"/>
      <c r="OVA1363" s="23"/>
      <c r="OVB1363" s="23"/>
      <c r="OVC1363" s="23"/>
      <c r="OVD1363" s="23"/>
      <c r="OVE1363" s="23"/>
      <c r="OVF1363" s="23"/>
      <c r="OVG1363" s="23"/>
      <c r="OVH1363" s="23"/>
      <c r="OVI1363" s="23"/>
      <c r="OVJ1363" s="23"/>
      <c r="OVK1363" s="23"/>
      <c r="OVL1363" s="23"/>
      <c r="OVM1363" s="23"/>
      <c r="OVN1363" s="23"/>
      <c r="OVO1363" s="23"/>
      <c r="OVP1363" s="23"/>
      <c r="OVQ1363" s="23"/>
      <c r="OVR1363" s="23"/>
      <c r="OVS1363" s="23"/>
      <c r="OVT1363" s="23"/>
      <c r="OVU1363" s="23"/>
      <c r="OVV1363" s="23"/>
      <c r="OVW1363" s="23"/>
      <c r="OVX1363" s="23"/>
      <c r="OVY1363" s="23"/>
      <c r="OVZ1363" s="23"/>
      <c r="OWA1363" s="23"/>
      <c r="OWB1363" s="23"/>
      <c r="OWC1363" s="23"/>
      <c r="OWD1363" s="23"/>
      <c r="OWE1363" s="23"/>
      <c r="OWF1363" s="23"/>
      <c r="OWG1363" s="23"/>
      <c r="OWH1363" s="23"/>
      <c r="OWI1363" s="23"/>
      <c r="OWJ1363" s="23"/>
      <c r="OWK1363" s="23"/>
      <c r="OWL1363" s="23"/>
      <c r="OWM1363" s="23"/>
      <c r="OWN1363" s="23"/>
      <c r="OWO1363" s="23"/>
      <c r="OWP1363" s="23"/>
      <c r="OWQ1363" s="23"/>
      <c r="OWR1363" s="23"/>
      <c r="OWS1363" s="23"/>
      <c r="OWT1363" s="23"/>
      <c r="OWU1363" s="23"/>
      <c r="OWV1363" s="23"/>
      <c r="OWW1363" s="23"/>
      <c r="OWX1363" s="23"/>
      <c r="OWY1363" s="23"/>
      <c r="OWZ1363" s="23"/>
      <c r="OXA1363" s="23"/>
      <c r="OXB1363" s="23"/>
      <c r="OXC1363" s="23"/>
      <c r="OXD1363" s="23"/>
      <c r="OXE1363" s="23"/>
      <c r="OXF1363" s="23"/>
      <c r="OXG1363" s="23"/>
      <c r="OXH1363" s="23"/>
      <c r="OXI1363" s="23"/>
      <c r="OXJ1363" s="23"/>
      <c r="OXK1363" s="23"/>
      <c r="OXL1363" s="23"/>
      <c r="OXM1363" s="23"/>
      <c r="OXN1363" s="23"/>
      <c r="OXO1363" s="23"/>
      <c r="OXP1363" s="23"/>
      <c r="OXQ1363" s="23"/>
      <c r="OXR1363" s="23"/>
      <c r="OXS1363" s="23"/>
      <c r="OXT1363" s="23"/>
      <c r="OXU1363" s="23"/>
      <c r="OXV1363" s="23"/>
      <c r="OXW1363" s="23"/>
      <c r="OXX1363" s="23"/>
      <c r="OXY1363" s="23"/>
      <c r="OXZ1363" s="23"/>
      <c r="OYA1363" s="23"/>
      <c r="OYB1363" s="23"/>
      <c r="OYC1363" s="23"/>
      <c r="OYD1363" s="23"/>
      <c r="OYE1363" s="23"/>
      <c r="OYF1363" s="23"/>
      <c r="OYG1363" s="23"/>
      <c r="OYH1363" s="23"/>
      <c r="OYI1363" s="23"/>
      <c r="OYJ1363" s="23"/>
      <c r="OYK1363" s="23"/>
      <c r="OYL1363" s="23"/>
      <c r="OYM1363" s="23"/>
      <c r="OYN1363" s="23"/>
      <c r="OYO1363" s="23"/>
      <c r="OYP1363" s="23"/>
      <c r="OYQ1363" s="23"/>
      <c r="OYR1363" s="23"/>
      <c r="OYS1363" s="23"/>
      <c r="OYT1363" s="23"/>
      <c r="OYU1363" s="23"/>
      <c r="OYV1363" s="23"/>
      <c r="OYW1363" s="23"/>
      <c r="OYX1363" s="23"/>
      <c r="OYY1363" s="23"/>
      <c r="OYZ1363" s="23"/>
      <c r="OZA1363" s="23"/>
      <c r="OZB1363" s="23"/>
      <c r="OZC1363" s="23"/>
      <c r="OZD1363" s="23"/>
      <c r="OZE1363" s="23"/>
      <c r="OZF1363" s="23"/>
      <c r="OZG1363" s="23"/>
      <c r="OZH1363" s="23"/>
      <c r="OZI1363" s="23"/>
      <c r="OZJ1363" s="23"/>
      <c r="OZK1363" s="23"/>
      <c r="OZL1363" s="23"/>
      <c r="OZM1363" s="23"/>
      <c r="OZN1363" s="23"/>
      <c r="OZO1363" s="23"/>
      <c r="OZP1363" s="23"/>
      <c r="OZQ1363" s="23"/>
      <c r="OZR1363" s="23"/>
      <c r="OZS1363" s="23"/>
      <c r="OZT1363" s="23"/>
      <c r="OZU1363" s="23"/>
      <c r="OZV1363" s="23"/>
      <c r="OZW1363" s="23"/>
      <c r="OZX1363" s="23"/>
      <c r="OZY1363" s="23"/>
      <c r="OZZ1363" s="23"/>
      <c r="PAA1363" s="23"/>
      <c r="PAB1363" s="23"/>
      <c r="PAC1363" s="23"/>
      <c r="PAD1363" s="23"/>
      <c r="PAE1363" s="23"/>
      <c r="PAF1363" s="23"/>
      <c r="PAG1363" s="23"/>
      <c r="PAH1363" s="23"/>
      <c r="PAI1363" s="23"/>
      <c r="PAJ1363" s="23"/>
      <c r="PAK1363" s="23"/>
      <c r="PAL1363" s="23"/>
      <c r="PAM1363" s="23"/>
      <c r="PAN1363" s="23"/>
      <c r="PAO1363" s="23"/>
      <c r="PAP1363" s="23"/>
      <c r="PAQ1363" s="23"/>
      <c r="PAR1363" s="23"/>
      <c r="PAS1363" s="23"/>
      <c r="PAT1363" s="23"/>
      <c r="PAU1363" s="23"/>
      <c r="PAV1363" s="23"/>
      <c r="PAW1363" s="23"/>
      <c r="PAX1363" s="23"/>
      <c r="PAY1363" s="23"/>
      <c r="PAZ1363" s="23"/>
      <c r="PBA1363" s="23"/>
      <c r="PBB1363" s="23"/>
      <c r="PBC1363" s="23"/>
      <c r="PBD1363" s="23"/>
      <c r="PBE1363" s="23"/>
      <c r="PBF1363" s="23"/>
      <c r="PBG1363" s="23"/>
      <c r="PBH1363" s="23"/>
      <c r="PBI1363" s="23"/>
      <c r="PBJ1363" s="23"/>
      <c r="PBK1363" s="23"/>
      <c r="PBL1363" s="23"/>
      <c r="PBM1363" s="23"/>
      <c r="PBN1363" s="23"/>
      <c r="PBO1363" s="23"/>
      <c r="PBP1363" s="23"/>
      <c r="PBQ1363" s="23"/>
      <c r="PBR1363" s="23"/>
      <c r="PBS1363" s="23"/>
      <c r="PBT1363" s="23"/>
      <c r="PBU1363" s="23"/>
      <c r="PBV1363" s="23"/>
      <c r="PBW1363" s="23"/>
      <c r="PBX1363" s="23"/>
      <c r="PBY1363" s="23"/>
      <c r="PBZ1363" s="23"/>
      <c r="PCA1363" s="23"/>
      <c r="PCB1363" s="23"/>
      <c r="PCC1363" s="23"/>
      <c r="PCD1363" s="23"/>
      <c r="PCE1363" s="23"/>
      <c r="PCF1363" s="23"/>
      <c r="PCG1363" s="23"/>
      <c r="PCH1363" s="23"/>
      <c r="PCI1363" s="23"/>
      <c r="PCJ1363" s="23"/>
      <c r="PCK1363" s="23"/>
      <c r="PCL1363" s="23"/>
      <c r="PCM1363" s="23"/>
      <c r="PCN1363" s="23"/>
      <c r="PCO1363" s="23"/>
      <c r="PCP1363" s="23"/>
      <c r="PCQ1363" s="23"/>
      <c r="PCR1363" s="23"/>
      <c r="PCS1363" s="23"/>
      <c r="PCT1363" s="23"/>
      <c r="PCU1363" s="23"/>
      <c r="PCV1363" s="23"/>
      <c r="PCW1363" s="23"/>
      <c r="PCX1363" s="23"/>
      <c r="PCY1363" s="23"/>
      <c r="PCZ1363" s="23"/>
      <c r="PDA1363" s="23"/>
      <c r="PDB1363" s="23"/>
      <c r="PDC1363" s="23"/>
      <c r="PDD1363" s="23"/>
      <c r="PDE1363" s="23"/>
      <c r="PDF1363" s="23"/>
      <c r="PDG1363" s="23"/>
      <c r="PDH1363" s="23"/>
      <c r="PDI1363" s="23"/>
      <c r="PDJ1363" s="23"/>
      <c r="PDK1363" s="23"/>
      <c r="PDL1363" s="23"/>
      <c r="PDM1363" s="23"/>
      <c r="PDN1363" s="23"/>
      <c r="PDO1363" s="23"/>
      <c r="PDP1363" s="23"/>
      <c r="PDQ1363" s="23"/>
      <c r="PDR1363" s="23"/>
      <c r="PDS1363" s="23"/>
      <c r="PDT1363" s="23"/>
      <c r="PDU1363" s="23"/>
      <c r="PDV1363" s="23"/>
      <c r="PDW1363" s="23"/>
      <c r="PDX1363" s="23"/>
      <c r="PDY1363" s="23"/>
      <c r="PDZ1363" s="23"/>
      <c r="PEA1363" s="23"/>
      <c r="PEB1363" s="23"/>
      <c r="PEC1363" s="23"/>
      <c r="PED1363" s="23"/>
      <c r="PEE1363" s="23"/>
      <c r="PEF1363" s="23"/>
      <c r="PEG1363" s="23"/>
      <c r="PEH1363" s="23"/>
      <c r="PEI1363" s="23"/>
      <c r="PEJ1363" s="23"/>
      <c r="PEK1363" s="23"/>
      <c r="PEL1363" s="23"/>
      <c r="PEM1363" s="23"/>
      <c r="PEN1363" s="23"/>
      <c r="PEO1363" s="23"/>
      <c r="PEP1363" s="23"/>
      <c r="PEQ1363" s="23"/>
      <c r="PER1363" s="23"/>
      <c r="PES1363" s="23"/>
      <c r="PET1363" s="23"/>
      <c r="PEU1363" s="23"/>
      <c r="PEV1363" s="23"/>
      <c r="PEW1363" s="23"/>
      <c r="PEX1363" s="23"/>
      <c r="PEY1363" s="23"/>
      <c r="PEZ1363" s="23"/>
      <c r="PFA1363" s="23"/>
      <c r="PFB1363" s="23"/>
      <c r="PFC1363" s="23"/>
      <c r="PFD1363" s="23"/>
      <c r="PFE1363" s="23"/>
      <c r="PFF1363" s="23"/>
      <c r="PFG1363" s="23"/>
      <c r="PFH1363" s="23"/>
      <c r="PFI1363" s="23"/>
      <c r="PFJ1363" s="23"/>
      <c r="PFK1363" s="23"/>
      <c r="PFL1363" s="23"/>
      <c r="PFM1363" s="23"/>
      <c r="PFN1363" s="23"/>
      <c r="PFO1363" s="23"/>
      <c r="PFP1363" s="23"/>
      <c r="PFQ1363" s="23"/>
      <c r="PFR1363" s="23"/>
      <c r="PFS1363" s="23"/>
      <c r="PFT1363" s="23"/>
      <c r="PFU1363" s="23"/>
      <c r="PFV1363" s="23"/>
      <c r="PFW1363" s="23"/>
      <c r="PFX1363" s="23"/>
      <c r="PFY1363" s="23"/>
      <c r="PFZ1363" s="23"/>
      <c r="PGA1363" s="23"/>
      <c r="PGB1363" s="23"/>
      <c r="PGC1363" s="23"/>
      <c r="PGD1363" s="23"/>
      <c r="PGE1363" s="23"/>
      <c r="PGF1363" s="23"/>
      <c r="PGG1363" s="23"/>
      <c r="PGH1363" s="23"/>
      <c r="PGI1363" s="23"/>
      <c r="PGJ1363" s="23"/>
      <c r="PGK1363" s="23"/>
      <c r="PGL1363" s="23"/>
      <c r="PGM1363" s="23"/>
      <c r="PGN1363" s="23"/>
      <c r="PGO1363" s="23"/>
      <c r="PGP1363" s="23"/>
      <c r="PGQ1363" s="23"/>
      <c r="PGR1363" s="23"/>
      <c r="PGS1363" s="23"/>
      <c r="PGT1363" s="23"/>
      <c r="PGU1363" s="23"/>
      <c r="PGV1363" s="23"/>
      <c r="PGW1363" s="23"/>
      <c r="PGX1363" s="23"/>
      <c r="PGY1363" s="23"/>
      <c r="PGZ1363" s="23"/>
      <c r="PHA1363" s="23"/>
      <c r="PHB1363" s="23"/>
      <c r="PHC1363" s="23"/>
      <c r="PHD1363" s="23"/>
      <c r="PHE1363" s="23"/>
      <c r="PHF1363" s="23"/>
      <c r="PHG1363" s="23"/>
      <c r="PHH1363" s="23"/>
      <c r="PHI1363" s="23"/>
      <c r="PHJ1363" s="23"/>
      <c r="PHK1363" s="23"/>
      <c r="PHL1363" s="23"/>
      <c r="PHM1363" s="23"/>
      <c r="PHN1363" s="23"/>
      <c r="PHO1363" s="23"/>
      <c r="PHP1363" s="23"/>
      <c r="PHQ1363" s="23"/>
      <c r="PHR1363" s="23"/>
      <c r="PHS1363" s="23"/>
      <c r="PHT1363" s="23"/>
      <c r="PHU1363" s="23"/>
      <c r="PHV1363" s="23"/>
      <c r="PHW1363" s="23"/>
      <c r="PHX1363" s="23"/>
      <c r="PHY1363" s="23"/>
      <c r="PHZ1363" s="23"/>
      <c r="PIA1363" s="23"/>
      <c r="PIB1363" s="23"/>
      <c r="PIC1363" s="23"/>
      <c r="PID1363" s="23"/>
      <c r="PIE1363" s="23"/>
      <c r="PIF1363" s="23"/>
      <c r="PIG1363" s="23"/>
      <c r="PIH1363" s="23"/>
      <c r="PII1363" s="23"/>
      <c r="PIJ1363" s="23"/>
      <c r="PIK1363" s="23"/>
      <c r="PIL1363" s="23"/>
      <c r="PIM1363" s="23"/>
      <c r="PIN1363" s="23"/>
      <c r="PIO1363" s="23"/>
      <c r="PIP1363" s="23"/>
      <c r="PIQ1363" s="23"/>
      <c r="PIR1363" s="23"/>
      <c r="PIS1363" s="23"/>
      <c r="PIT1363" s="23"/>
      <c r="PIU1363" s="23"/>
      <c r="PIV1363" s="23"/>
      <c r="PIW1363" s="23"/>
      <c r="PIX1363" s="23"/>
      <c r="PIY1363" s="23"/>
      <c r="PIZ1363" s="23"/>
      <c r="PJA1363" s="23"/>
      <c r="PJB1363" s="23"/>
      <c r="PJC1363" s="23"/>
      <c r="PJD1363" s="23"/>
      <c r="PJE1363" s="23"/>
      <c r="PJF1363" s="23"/>
      <c r="PJG1363" s="23"/>
      <c r="PJH1363" s="23"/>
      <c r="PJI1363" s="23"/>
      <c r="PJJ1363" s="23"/>
      <c r="PJK1363" s="23"/>
      <c r="PJL1363" s="23"/>
      <c r="PJM1363" s="23"/>
      <c r="PJN1363" s="23"/>
      <c r="PJO1363" s="23"/>
      <c r="PJP1363" s="23"/>
      <c r="PJQ1363" s="23"/>
      <c r="PJR1363" s="23"/>
      <c r="PJS1363" s="23"/>
      <c r="PJT1363" s="23"/>
      <c r="PJU1363" s="23"/>
      <c r="PJV1363" s="23"/>
      <c r="PJW1363" s="23"/>
      <c r="PJX1363" s="23"/>
      <c r="PJY1363" s="23"/>
      <c r="PJZ1363" s="23"/>
      <c r="PKA1363" s="23"/>
      <c r="PKB1363" s="23"/>
      <c r="PKC1363" s="23"/>
      <c r="PKD1363" s="23"/>
      <c r="PKE1363" s="23"/>
      <c r="PKF1363" s="23"/>
      <c r="PKG1363" s="23"/>
      <c r="PKH1363" s="23"/>
      <c r="PKI1363" s="23"/>
      <c r="PKJ1363" s="23"/>
      <c r="PKK1363" s="23"/>
      <c r="PKL1363" s="23"/>
      <c r="PKM1363" s="23"/>
      <c r="PKN1363" s="23"/>
      <c r="PKO1363" s="23"/>
      <c r="PKP1363" s="23"/>
      <c r="PKQ1363" s="23"/>
      <c r="PKR1363" s="23"/>
      <c r="PKS1363" s="23"/>
      <c r="PKT1363" s="23"/>
      <c r="PKU1363" s="23"/>
      <c r="PKV1363" s="23"/>
      <c r="PKW1363" s="23"/>
      <c r="PKX1363" s="23"/>
      <c r="PKY1363" s="23"/>
      <c r="PKZ1363" s="23"/>
      <c r="PLA1363" s="23"/>
      <c r="PLB1363" s="23"/>
      <c r="PLC1363" s="23"/>
      <c r="PLD1363" s="23"/>
      <c r="PLE1363" s="23"/>
      <c r="PLF1363" s="23"/>
      <c r="PLG1363" s="23"/>
      <c r="PLH1363" s="23"/>
      <c r="PLI1363" s="23"/>
      <c r="PLJ1363" s="23"/>
      <c r="PLK1363" s="23"/>
      <c r="PLL1363" s="23"/>
      <c r="PLM1363" s="23"/>
      <c r="PLN1363" s="23"/>
      <c r="PLO1363" s="23"/>
      <c r="PLP1363" s="23"/>
      <c r="PLQ1363" s="23"/>
      <c r="PLR1363" s="23"/>
      <c r="PLS1363" s="23"/>
      <c r="PLT1363" s="23"/>
      <c r="PLU1363" s="23"/>
      <c r="PLV1363" s="23"/>
      <c r="PLW1363" s="23"/>
      <c r="PLX1363" s="23"/>
      <c r="PLY1363" s="23"/>
      <c r="PLZ1363" s="23"/>
      <c r="PMA1363" s="23"/>
      <c r="PMB1363" s="23"/>
      <c r="PMC1363" s="23"/>
      <c r="PMD1363" s="23"/>
      <c r="PME1363" s="23"/>
      <c r="PMF1363" s="23"/>
      <c r="PMG1363" s="23"/>
      <c r="PMH1363" s="23"/>
      <c r="PMI1363" s="23"/>
      <c r="PMJ1363" s="23"/>
      <c r="PMK1363" s="23"/>
      <c r="PML1363" s="23"/>
      <c r="PMM1363" s="23"/>
      <c r="PMN1363" s="23"/>
      <c r="PMO1363" s="23"/>
      <c r="PMP1363" s="23"/>
      <c r="PMQ1363" s="23"/>
      <c r="PMR1363" s="23"/>
      <c r="PMS1363" s="23"/>
      <c r="PMT1363" s="23"/>
      <c r="PMU1363" s="23"/>
      <c r="PMV1363" s="23"/>
      <c r="PMW1363" s="23"/>
      <c r="PMX1363" s="23"/>
      <c r="PMY1363" s="23"/>
      <c r="PMZ1363" s="23"/>
      <c r="PNA1363" s="23"/>
      <c r="PNB1363" s="23"/>
      <c r="PNC1363" s="23"/>
      <c r="PND1363" s="23"/>
      <c r="PNE1363" s="23"/>
      <c r="PNF1363" s="23"/>
      <c r="PNG1363" s="23"/>
      <c r="PNH1363" s="23"/>
      <c r="PNI1363" s="23"/>
      <c r="PNJ1363" s="23"/>
      <c r="PNK1363" s="23"/>
      <c r="PNL1363" s="23"/>
      <c r="PNM1363" s="23"/>
      <c r="PNN1363" s="23"/>
      <c r="PNO1363" s="23"/>
      <c r="PNP1363" s="23"/>
      <c r="PNQ1363" s="23"/>
      <c r="PNR1363" s="23"/>
      <c r="PNS1363" s="23"/>
      <c r="PNT1363" s="23"/>
      <c r="PNU1363" s="23"/>
      <c r="PNV1363" s="23"/>
      <c r="PNW1363" s="23"/>
      <c r="PNX1363" s="23"/>
      <c r="PNY1363" s="23"/>
      <c r="PNZ1363" s="23"/>
      <c r="POA1363" s="23"/>
      <c r="POB1363" s="23"/>
      <c r="POC1363" s="23"/>
      <c r="POD1363" s="23"/>
      <c r="POE1363" s="23"/>
      <c r="POF1363" s="23"/>
      <c r="POG1363" s="23"/>
      <c r="POH1363" s="23"/>
      <c r="POI1363" s="23"/>
      <c r="POJ1363" s="23"/>
      <c r="POK1363" s="23"/>
      <c r="POL1363" s="23"/>
      <c r="POM1363" s="23"/>
      <c r="PON1363" s="23"/>
      <c r="POO1363" s="23"/>
      <c r="POP1363" s="23"/>
      <c r="POQ1363" s="23"/>
      <c r="POR1363" s="23"/>
      <c r="POS1363" s="23"/>
      <c r="POT1363" s="23"/>
      <c r="POU1363" s="23"/>
      <c r="POV1363" s="23"/>
      <c r="POW1363" s="23"/>
      <c r="POX1363" s="23"/>
      <c r="POY1363" s="23"/>
      <c r="POZ1363" s="23"/>
      <c r="PPA1363" s="23"/>
      <c r="PPB1363" s="23"/>
      <c r="PPC1363" s="23"/>
      <c r="PPD1363" s="23"/>
      <c r="PPE1363" s="23"/>
      <c r="PPF1363" s="23"/>
      <c r="PPG1363" s="23"/>
      <c r="PPH1363" s="23"/>
      <c r="PPI1363" s="23"/>
      <c r="PPJ1363" s="23"/>
      <c r="PPK1363" s="23"/>
      <c r="PPL1363" s="23"/>
      <c r="PPM1363" s="23"/>
      <c r="PPN1363" s="23"/>
      <c r="PPO1363" s="23"/>
      <c r="PPP1363" s="23"/>
      <c r="PPQ1363" s="23"/>
      <c r="PPR1363" s="23"/>
      <c r="PPS1363" s="23"/>
      <c r="PPT1363" s="23"/>
      <c r="PPU1363" s="23"/>
      <c r="PPV1363" s="23"/>
      <c r="PPW1363" s="23"/>
      <c r="PPX1363" s="23"/>
      <c r="PPY1363" s="23"/>
      <c r="PPZ1363" s="23"/>
      <c r="PQA1363" s="23"/>
      <c r="PQB1363" s="23"/>
      <c r="PQC1363" s="23"/>
      <c r="PQD1363" s="23"/>
      <c r="PQE1363" s="23"/>
      <c r="PQF1363" s="23"/>
      <c r="PQG1363" s="23"/>
      <c r="PQH1363" s="23"/>
      <c r="PQI1363" s="23"/>
      <c r="PQJ1363" s="23"/>
      <c r="PQK1363" s="23"/>
      <c r="PQL1363" s="23"/>
      <c r="PQM1363" s="23"/>
      <c r="PQN1363" s="23"/>
      <c r="PQO1363" s="23"/>
      <c r="PQP1363" s="23"/>
      <c r="PQQ1363" s="23"/>
      <c r="PQR1363" s="23"/>
      <c r="PQS1363" s="23"/>
      <c r="PQT1363" s="23"/>
      <c r="PQU1363" s="23"/>
      <c r="PQV1363" s="23"/>
      <c r="PQW1363" s="23"/>
      <c r="PQX1363" s="23"/>
      <c r="PQY1363" s="23"/>
      <c r="PQZ1363" s="23"/>
      <c r="PRA1363" s="23"/>
      <c r="PRB1363" s="23"/>
      <c r="PRC1363" s="23"/>
      <c r="PRD1363" s="23"/>
      <c r="PRE1363" s="23"/>
      <c r="PRF1363" s="23"/>
      <c r="PRG1363" s="23"/>
      <c r="PRH1363" s="23"/>
      <c r="PRI1363" s="23"/>
      <c r="PRJ1363" s="23"/>
      <c r="PRK1363" s="23"/>
      <c r="PRL1363" s="23"/>
      <c r="PRM1363" s="23"/>
      <c r="PRN1363" s="23"/>
      <c r="PRO1363" s="23"/>
      <c r="PRP1363" s="23"/>
      <c r="PRQ1363" s="23"/>
      <c r="PRR1363" s="23"/>
      <c r="PRS1363" s="23"/>
      <c r="PRT1363" s="23"/>
      <c r="PRU1363" s="23"/>
      <c r="PRV1363" s="23"/>
      <c r="PRW1363" s="23"/>
      <c r="PRX1363" s="23"/>
      <c r="PRY1363" s="23"/>
      <c r="PRZ1363" s="23"/>
      <c r="PSA1363" s="23"/>
      <c r="PSB1363" s="23"/>
      <c r="PSC1363" s="23"/>
      <c r="PSD1363" s="23"/>
      <c r="PSE1363" s="23"/>
      <c r="PSF1363" s="23"/>
      <c r="PSG1363" s="23"/>
      <c r="PSH1363" s="23"/>
      <c r="PSI1363" s="23"/>
      <c r="PSJ1363" s="23"/>
      <c r="PSK1363" s="23"/>
      <c r="PSL1363" s="23"/>
      <c r="PSM1363" s="23"/>
      <c r="PSN1363" s="23"/>
      <c r="PSO1363" s="23"/>
      <c r="PSP1363" s="23"/>
      <c r="PSQ1363" s="23"/>
      <c r="PSR1363" s="23"/>
      <c r="PSS1363" s="23"/>
      <c r="PST1363" s="23"/>
      <c r="PSU1363" s="23"/>
      <c r="PSV1363" s="23"/>
      <c r="PSW1363" s="23"/>
      <c r="PSX1363" s="23"/>
      <c r="PSY1363" s="23"/>
      <c r="PSZ1363" s="23"/>
      <c r="PTA1363" s="23"/>
      <c r="PTB1363" s="23"/>
      <c r="PTC1363" s="23"/>
      <c r="PTD1363" s="23"/>
      <c r="PTE1363" s="23"/>
      <c r="PTF1363" s="23"/>
      <c r="PTG1363" s="23"/>
      <c r="PTH1363" s="23"/>
      <c r="PTI1363" s="23"/>
      <c r="PTJ1363" s="23"/>
      <c r="PTK1363" s="23"/>
      <c r="PTL1363" s="23"/>
      <c r="PTM1363" s="23"/>
      <c r="PTN1363" s="23"/>
      <c r="PTO1363" s="23"/>
      <c r="PTP1363" s="23"/>
      <c r="PTQ1363" s="23"/>
      <c r="PTR1363" s="23"/>
      <c r="PTS1363" s="23"/>
      <c r="PTT1363" s="23"/>
      <c r="PTU1363" s="23"/>
      <c r="PTV1363" s="23"/>
      <c r="PTW1363" s="23"/>
      <c r="PTX1363" s="23"/>
      <c r="PTY1363" s="23"/>
      <c r="PTZ1363" s="23"/>
      <c r="PUA1363" s="23"/>
      <c r="PUB1363" s="23"/>
      <c r="PUC1363" s="23"/>
      <c r="PUD1363" s="23"/>
      <c r="PUE1363" s="23"/>
      <c r="PUF1363" s="23"/>
      <c r="PUG1363" s="23"/>
      <c r="PUH1363" s="23"/>
      <c r="PUI1363" s="23"/>
      <c r="PUJ1363" s="23"/>
      <c r="PUK1363" s="23"/>
      <c r="PUL1363" s="23"/>
      <c r="PUM1363" s="23"/>
      <c r="PUN1363" s="23"/>
      <c r="PUO1363" s="23"/>
      <c r="PUP1363" s="23"/>
      <c r="PUQ1363" s="23"/>
      <c r="PUR1363" s="23"/>
      <c r="PUS1363" s="23"/>
      <c r="PUT1363" s="23"/>
      <c r="PUU1363" s="23"/>
      <c r="PUV1363" s="23"/>
      <c r="PUW1363" s="23"/>
      <c r="PUX1363" s="23"/>
      <c r="PUY1363" s="23"/>
      <c r="PUZ1363" s="23"/>
      <c r="PVA1363" s="23"/>
      <c r="PVB1363" s="23"/>
      <c r="PVC1363" s="23"/>
      <c r="PVD1363" s="23"/>
      <c r="PVE1363" s="23"/>
      <c r="PVF1363" s="23"/>
      <c r="PVG1363" s="23"/>
      <c r="PVH1363" s="23"/>
      <c r="PVI1363" s="23"/>
      <c r="PVJ1363" s="23"/>
      <c r="PVK1363" s="23"/>
      <c r="PVL1363" s="23"/>
      <c r="PVM1363" s="23"/>
      <c r="PVN1363" s="23"/>
      <c r="PVO1363" s="23"/>
      <c r="PVP1363" s="23"/>
      <c r="PVQ1363" s="23"/>
      <c r="PVR1363" s="23"/>
      <c r="PVS1363" s="23"/>
      <c r="PVT1363" s="23"/>
      <c r="PVU1363" s="23"/>
      <c r="PVV1363" s="23"/>
      <c r="PVW1363" s="23"/>
      <c r="PVX1363" s="23"/>
      <c r="PVY1363" s="23"/>
      <c r="PVZ1363" s="23"/>
      <c r="PWA1363" s="23"/>
      <c r="PWB1363" s="23"/>
      <c r="PWC1363" s="23"/>
      <c r="PWD1363" s="23"/>
      <c r="PWE1363" s="23"/>
      <c r="PWF1363" s="23"/>
      <c r="PWG1363" s="23"/>
      <c r="PWH1363" s="23"/>
      <c r="PWI1363" s="23"/>
      <c r="PWJ1363" s="23"/>
      <c r="PWK1363" s="23"/>
      <c r="PWL1363" s="23"/>
      <c r="PWM1363" s="23"/>
      <c r="PWN1363" s="23"/>
      <c r="PWO1363" s="23"/>
      <c r="PWP1363" s="23"/>
      <c r="PWQ1363" s="23"/>
      <c r="PWR1363" s="23"/>
      <c r="PWS1363" s="23"/>
      <c r="PWT1363" s="23"/>
      <c r="PWU1363" s="23"/>
      <c r="PWV1363" s="23"/>
      <c r="PWW1363" s="23"/>
      <c r="PWX1363" s="23"/>
      <c r="PWY1363" s="23"/>
      <c r="PWZ1363" s="23"/>
      <c r="PXA1363" s="23"/>
      <c r="PXB1363" s="23"/>
      <c r="PXC1363" s="23"/>
      <c r="PXD1363" s="23"/>
      <c r="PXE1363" s="23"/>
      <c r="PXF1363" s="23"/>
      <c r="PXG1363" s="23"/>
      <c r="PXH1363" s="23"/>
      <c r="PXI1363" s="23"/>
      <c r="PXJ1363" s="23"/>
      <c r="PXK1363" s="23"/>
      <c r="PXL1363" s="23"/>
      <c r="PXM1363" s="23"/>
      <c r="PXN1363" s="23"/>
      <c r="PXO1363" s="23"/>
      <c r="PXP1363" s="23"/>
      <c r="PXQ1363" s="23"/>
      <c r="PXR1363" s="23"/>
      <c r="PXS1363" s="23"/>
      <c r="PXT1363" s="23"/>
      <c r="PXU1363" s="23"/>
      <c r="PXV1363" s="23"/>
      <c r="PXW1363" s="23"/>
      <c r="PXX1363" s="23"/>
      <c r="PXY1363" s="23"/>
      <c r="PXZ1363" s="23"/>
      <c r="PYA1363" s="23"/>
      <c r="PYB1363" s="23"/>
      <c r="PYC1363" s="23"/>
      <c r="PYD1363" s="23"/>
      <c r="PYE1363" s="23"/>
      <c r="PYF1363" s="23"/>
      <c r="PYG1363" s="23"/>
      <c r="PYH1363" s="23"/>
      <c r="PYI1363" s="23"/>
      <c r="PYJ1363" s="23"/>
      <c r="PYK1363" s="23"/>
      <c r="PYL1363" s="23"/>
      <c r="PYM1363" s="23"/>
      <c r="PYN1363" s="23"/>
      <c r="PYO1363" s="23"/>
      <c r="PYP1363" s="23"/>
      <c r="PYQ1363" s="23"/>
      <c r="PYR1363" s="23"/>
      <c r="PYS1363" s="23"/>
      <c r="PYT1363" s="23"/>
      <c r="PYU1363" s="23"/>
      <c r="PYV1363" s="23"/>
      <c r="PYW1363" s="23"/>
      <c r="PYX1363" s="23"/>
      <c r="PYY1363" s="23"/>
      <c r="PYZ1363" s="23"/>
      <c r="PZA1363" s="23"/>
      <c r="PZB1363" s="23"/>
      <c r="PZC1363" s="23"/>
      <c r="PZD1363" s="23"/>
      <c r="PZE1363" s="23"/>
      <c r="PZF1363" s="23"/>
      <c r="PZG1363" s="23"/>
      <c r="PZH1363" s="23"/>
      <c r="PZI1363" s="23"/>
      <c r="PZJ1363" s="23"/>
      <c r="PZK1363" s="23"/>
      <c r="PZL1363" s="23"/>
      <c r="PZM1363" s="23"/>
      <c r="PZN1363" s="23"/>
      <c r="PZO1363" s="23"/>
      <c r="PZP1363" s="23"/>
      <c r="PZQ1363" s="23"/>
      <c r="PZR1363" s="23"/>
      <c r="PZS1363" s="23"/>
      <c r="PZT1363" s="23"/>
      <c r="PZU1363" s="23"/>
      <c r="PZV1363" s="23"/>
      <c r="PZW1363" s="23"/>
      <c r="PZX1363" s="23"/>
      <c r="PZY1363" s="23"/>
      <c r="PZZ1363" s="23"/>
      <c r="QAA1363" s="23"/>
      <c r="QAB1363" s="23"/>
      <c r="QAC1363" s="23"/>
      <c r="QAD1363" s="23"/>
      <c r="QAE1363" s="23"/>
      <c r="QAF1363" s="23"/>
      <c r="QAG1363" s="23"/>
      <c r="QAH1363" s="23"/>
      <c r="QAI1363" s="23"/>
      <c r="QAJ1363" s="23"/>
      <c r="QAK1363" s="23"/>
      <c r="QAL1363" s="23"/>
      <c r="QAM1363" s="23"/>
      <c r="QAN1363" s="23"/>
      <c r="QAO1363" s="23"/>
      <c r="QAP1363" s="23"/>
      <c r="QAQ1363" s="23"/>
      <c r="QAR1363" s="23"/>
      <c r="QAS1363" s="23"/>
      <c r="QAT1363" s="23"/>
      <c r="QAU1363" s="23"/>
      <c r="QAV1363" s="23"/>
      <c r="QAW1363" s="23"/>
      <c r="QAX1363" s="23"/>
      <c r="QAY1363" s="23"/>
      <c r="QAZ1363" s="23"/>
      <c r="QBA1363" s="23"/>
      <c r="QBB1363" s="23"/>
      <c r="QBC1363" s="23"/>
      <c r="QBD1363" s="23"/>
      <c r="QBE1363" s="23"/>
      <c r="QBF1363" s="23"/>
      <c r="QBG1363" s="23"/>
      <c r="QBH1363" s="23"/>
      <c r="QBI1363" s="23"/>
      <c r="QBJ1363" s="23"/>
      <c r="QBK1363" s="23"/>
      <c r="QBL1363" s="23"/>
      <c r="QBM1363" s="23"/>
      <c r="QBN1363" s="23"/>
      <c r="QBO1363" s="23"/>
      <c r="QBP1363" s="23"/>
      <c r="QBQ1363" s="23"/>
      <c r="QBR1363" s="23"/>
      <c r="QBS1363" s="23"/>
      <c r="QBT1363" s="23"/>
      <c r="QBU1363" s="23"/>
      <c r="QBV1363" s="23"/>
      <c r="QBW1363" s="23"/>
      <c r="QBX1363" s="23"/>
      <c r="QBY1363" s="23"/>
      <c r="QBZ1363" s="23"/>
      <c r="QCA1363" s="23"/>
      <c r="QCB1363" s="23"/>
      <c r="QCC1363" s="23"/>
      <c r="QCD1363" s="23"/>
      <c r="QCE1363" s="23"/>
      <c r="QCF1363" s="23"/>
      <c r="QCG1363" s="23"/>
      <c r="QCH1363" s="23"/>
      <c r="QCI1363" s="23"/>
      <c r="QCJ1363" s="23"/>
      <c r="QCK1363" s="23"/>
      <c r="QCL1363" s="23"/>
      <c r="QCM1363" s="23"/>
      <c r="QCN1363" s="23"/>
      <c r="QCO1363" s="23"/>
      <c r="QCP1363" s="23"/>
      <c r="QCQ1363" s="23"/>
      <c r="QCR1363" s="23"/>
      <c r="QCS1363" s="23"/>
      <c r="QCT1363" s="23"/>
      <c r="QCU1363" s="23"/>
      <c r="QCV1363" s="23"/>
      <c r="QCW1363" s="23"/>
      <c r="QCX1363" s="23"/>
      <c r="QCY1363" s="23"/>
      <c r="QCZ1363" s="23"/>
      <c r="QDA1363" s="23"/>
      <c r="QDB1363" s="23"/>
      <c r="QDC1363" s="23"/>
      <c r="QDD1363" s="23"/>
      <c r="QDE1363" s="23"/>
      <c r="QDF1363" s="23"/>
      <c r="QDG1363" s="23"/>
      <c r="QDH1363" s="23"/>
      <c r="QDI1363" s="23"/>
      <c r="QDJ1363" s="23"/>
      <c r="QDK1363" s="23"/>
      <c r="QDL1363" s="23"/>
      <c r="QDM1363" s="23"/>
      <c r="QDN1363" s="23"/>
      <c r="QDO1363" s="23"/>
      <c r="QDP1363" s="23"/>
      <c r="QDQ1363" s="23"/>
      <c r="QDR1363" s="23"/>
      <c r="QDS1363" s="23"/>
      <c r="QDT1363" s="23"/>
      <c r="QDU1363" s="23"/>
      <c r="QDV1363" s="23"/>
      <c r="QDW1363" s="23"/>
      <c r="QDX1363" s="23"/>
      <c r="QDY1363" s="23"/>
      <c r="QDZ1363" s="23"/>
      <c r="QEA1363" s="23"/>
      <c r="QEB1363" s="23"/>
      <c r="QEC1363" s="23"/>
      <c r="QED1363" s="23"/>
      <c r="QEE1363" s="23"/>
      <c r="QEF1363" s="23"/>
      <c r="QEG1363" s="23"/>
      <c r="QEH1363" s="23"/>
      <c r="QEI1363" s="23"/>
      <c r="QEJ1363" s="23"/>
      <c r="QEK1363" s="23"/>
      <c r="QEL1363" s="23"/>
      <c r="QEM1363" s="23"/>
      <c r="QEN1363" s="23"/>
      <c r="QEO1363" s="23"/>
      <c r="QEP1363" s="23"/>
      <c r="QEQ1363" s="23"/>
      <c r="QER1363" s="23"/>
      <c r="QES1363" s="23"/>
      <c r="QET1363" s="23"/>
      <c r="QEU1363" s="23"/>
      <c r="QEV1363" s="23"/>
      <c r="QEW1363" s="23"/>
      <c r="QEX1363" s="23"/>
      <c r="QEY1363" s="23"/>
      <c r="QEZ1363" s="23"/>
      <c r="QFA1363" s="23"/>
      <c r="QFB1363" s="23"/>
      <c r="QFC1363" s="23"/>
      <c r="QFD1363" s="23"/>
      <c r="QFE1363" s="23"/>
      <c r="QFF1363" s="23"/>
      <c r="QFG1363" s="23"/>
      <c r="QFH1363" s="23"/>
      <c r="QFI1363" s="23"/>
      <c r="QFJ1363" s="23"/>
      <c r="QFK1363" s="23"/>
      <c r="QFL1363" s="23"/>
      <c r="QFM1363" s="23"/>
      <c r="QFN1363" s="23"/>
      <c r="QFO1363" s="23"/>
      <c r="QFP1363" s="23"/>
      <c r="QFQ1363" s="23"/>
      <c r="QFR1363" s="23"/>
      <c r="QFS1363" s="23"/>
      <c r="QFT1363" s="23"/>
      <c r="QFU1363" s="23"/>
      <c r="QFV1363" s="23"/>
      <c r="QFW1363" s="23"/>
      <c r="QFX1363" s="23"/>
      <c r="QFY1363" s="23"/>
      <c r="QFZ1363" s="23"/>
      <c r="QGA1363" s="23"/>
      <c r="QGB1363" s="23"/>
      <c r="QGC1363" s="23"/>
      <c r="QGD1363" s="23"/>
      <c r="QGE1363" s="23"/>
      <c r="QGF1363" s="23"/>
      <c r="QGG1363" s="23"/>
      <c r="QGH1363" s="23"/>
      <c r="QGI1363" s="23"/>
      <c r="QGJ1363" s="23"/>
      <c r="QGK1363" s="23"/>
      <c r="QGL1363" s="23"/>
      <c r="QGM1363" s="23"/>
      <c r="QGN1363" s="23"/>
      <c r="QGO1363" s="23"/>
      <c r="QGP1363" s="23"/>
      <c r="QGQ1363" s="23"/>
      <c r="QGR1363" s="23"/>
      <c r="QGS1363" s="23"/>
      <c r="QGT1363" s="23"/>
      <c r="QGU1363" s="23"/>
      <c r="QGV1363" s="23"/>
      <c r="QGW1363" s="23"/>
      <c r="QGX1363" s="23"/>
      <c r="QGY1363" s="23"/>
      <c r="QGZ1363" s="23"/>
      <c r="QHA1363" s="23"/>
      <c r="QHB1363" s="23"/>
      <c r="QHC1363" s="23"/>
      <c r="QHD1363" s="23"/>
      <c r="QHE1363" s="23"/>
      <c r="QHF1363" s="23"/>
      <c r="QHG1363" s="23"/>
      <c r="QHH1363" s="23"/>
      <c r="QHI1363" s="23"/>
      <c r="QHJ1363" s="23"/>
      <c r="QHK1363" s="23"/>
      <c r="QHL1363" s="23"/>
      <c r="QHM1363" s="23"/>
      <c r="QHN1363" s="23"/>
      <c r="QHO1363" s="23"/>
      <c r="QHP1363" s="23"/>
      <c r="QHQ1363" s="23"/>
      <c r="QHR1363" s="23"/>
      <c r="QHS1363" s="23"/>
      <c r="QHT1363" s="23"/>
      <c r="QHU1363" s="23"/>
      <c r="QHV1363" s="23"/>
      <c r="QHW1363" s="23"/>
      <c r="QHX1363" s="23"/>
      <c r="QHY1363" s="23"/>
      <c r="QHZ1363" s="23"/>
      <c r="QIA1363" s="23"/>
      <c r="QIB1363" s="23"/>
      <c r="QIC1363" s="23"/>
      <c r="QID1363" s="23"/>
      <c r="QIE1363" s="23"/>
      <c r="QIF1363" s="23"/>
      <c r="QIG1363" s="23"/>
      <c r="QIH1363" s="23"/>
      <c r="QII1363" s="23"/>
      <c r="QIJ1363" s="23"/>
      <c r="QIK1363" s="23"/>
      <c r="QIL1363" s="23"/>
      <c r="QIM1363" s="23"/>
      <c r="QIN1363" s="23"/>
      <c r="QIO1363" s="23"/>
      <c r="QIP1363" s="23"/>
      <c r="QIQ1363" s="23"/>
      <c r="QIR1363" s="23"/>
      <c r="QIS1363" s="23"/>
      <c r="QIT1363" s="23"/>
      <c r="QIU1363" s="23"/>
      <c r="QIV1363" s="23"/>
      <c r="QIW1363" s="23"/>
      <c r="QIX1363" s="23"/>
      <c r="QIY1363" s="23"/>
      <c r="QIZ1363" s="23"/>
      <c r="QJA1363" s="23"/>
      <c r="QJB1363" s="23"/>
      <c r="QJC1363" s="23"/>
      <c r="QJD1363" s="23"/>
      <c r="QJE1363" s="23"/>
      <c r="QJF1363" s="23"/>
      <c r="QJG1363" s="23"/>
      <c r="QJH1363" s="23"/>
      <c r="QJI1363" s="23"/>
      <c r="QJJ1363" s="23"/>
      <c r="QJK1363" s="23"/>
      <c r="QJL1363" s="23"/>
      <c r="QJM1363" s="23"/>
      <c r="QJN1363" s="23"/>
      <c r="QJO1363" s="23"/>
      <c r="QJP1363" s="23"/>
      <c r="QJQ1363" s="23"/>
      <c r="QJR1363" s="23"/>
      <c r="QJS1363" s="23"/>
      <c r="QJT1363" s="23"/>
      <c r="QJU1363" s="23"/>
      <c r="QJV1363" s="23"/>
      <c r="QJW1363" s="23"/>
      <c r="QJX1363" s="23"/>
      <c r="QJY1363" s="23"/>
      <c r="QJZ1363" s="23"/>
      <c r="QKA1363" s="23"/>
      <c r="QKB1363" s="23"/>
      <c r="QKC1363" s="23"/>
      <c r="QKD1363" s="23"/>
      <c r="QKE1363" s="23"/>
      <c r="QKF1363" s="23"/>
      <c r="QKG1363" s="23"/>
      <c r="QKH1363" s="23"/>
      <c r="QKI1363" s="23"/>
      <c r="QKJ1363" s="23"/>
      <c r="QKK1363" s="23"/>
      <c r="QKL1363" s="23"/>
      <c r="QKM1363" s="23"/>
      <c r="QKN1363" s="23"/>
      <c r="QKO1363" s="23"/>
      <c r="QKP1363" s="23"/>
      <c r="QKQ1363" s="23"/>
      <c r="QKR1363" s="23"/>
      <c r="QKS1363" s="23"/>
      <c r="QKT1363" s="23"/>
      <c r="QKU1363" s="23"/>
      <c r="QKV1363" s="23"/>
      <c r="QKW1363" s="23"/>
      <c r="QKX1363" s="23"/>
      <c r="QKY1363" s="23"/>
      <c r="QKZ1363" s="23"/>
      <c r="QLA1363" s="23"/>
      <c r="QLB1363" s="23"/>
      <c r="QLC1363" s="23"/>
      <c r="QLD1363" s="23"/>
      <c r="QLE1363" s="23"/>
      <c r="QLF1363" s="23"/>
      <c r="QLG1363" s="23"/>
      <c r="QLH1363" s="23"/>
      <c r="QLI1363" s="23"/>
      <c r="QLJ1363" s="23"/>
      <c r="QLK1363" s="23"/>
      <c r="QLL1363" s="23"/>
      <c r="QLM1363" s="23"/>
      <c r="QLN1363" s="23"/>
      <c r="QLO1363" s="23"/>
      <c r="QLP1363" s="23"/>
      <c r="QLQ1363" s="23"/>
      <c r="QLR1363" s="23"/>
      <c r="QLS1363" s="23"/>
      <c r="QLT1363" s="23"/>
      <c r="QLU1363" s="23"/>
      <c r="QLV1363" s="23"/>
      <c r="QLW1363" s="23"/>
      <c r="QLX1363" s="23"/>
      <c r="QLY1363" s="23"/>
      <c r="QLZ1363" s="23"/>
      <c r="QMA1363" s="23"/>
      <c r="QMB1363" s="23"/>
      <c r="QMC1363" s="23"/>
      <c r="QMD1363" s="23"/>
      <c r="QME1363" s="23"/>
      <c r="QMF1363" s="23"/>
      <c r="QMG1363" s="23"/>
      <c r="QMH1363" s="23"/>
      <c r="QMI1363" s="23"/>
      <c r="QMJ1363" s="23"/>
      <c r="QMK1363" s="23"/>
      <c r="QML1363" s="23"/>
      <c r="QMM1363" s="23"/>
      <c r="QMN1363" s="23"/>
      <c r="QMO1363" s="23"/>
      <c r="QMP1363" s="23"/>
      <c r="QMQ1363" s="23"/>
      <c r="QMR1363" s="23"/>
      <c r="QMS1363" s="23"/>
      <c r="QMT1363" s="23"/>
      <c r="QMU1363" s="23"/>
      <c r="QMV1363" s="23"/>
      <c r="QMW1363" s="23"/>
      <c r="QMX1363" s="23"/>
      <c r="QMY1363" s="23"/>
      <c r="QMZ1363" s="23"/>
      <c r="QNA1363" s="23"/>
      <c r="QNB1363" s="23"/>
      <c r="QNC1363" s="23"/>
      <c r="QND1363" s="23"/>
      <c r="QNE1363" s="23"/>
      <c r="QNF1363" s="23"/>
      <c r="QNG1363" s="23"/>
      <c r="QNH1363" s="23"/>
      <c r="QNI1363" s="23"/>
      <c r="QNJ1363" s="23"/>
      <c r="QNK1363" s="23"/>
      <c r="QNL1363" s="23"/>
      <c r="QNM1363" s="23"/>
      <c r="QNN1363" s="23"/>
      <c r="QNO1363" s="23"/>
      <c r="QNP1363" s="23"/>
      <c r="QNQ1363" s="23"/>
      <c r="QNR1363" s="23"/>
      <c r="QNS1363" s="23"/>
      <c r="QNT1363" s="23"/>
      <c r="QNU1363" s="23"/>
      <c r="QNV1363" s="23"/>
      <c r="QNW1363" s="23"/>
      <c r="QNX1363" s="23"/>
      <c r="QNY1363" s="23"/>
      <c r="QNZ1363" s="23"/>
      <c r="QOA1363" s="23"/>
      <c r="QOB1363" s="23"/>
      <c r="QOC1363" s="23"/>
      <c r="QOD1363" s="23"/>
      <c r="QOE1363" s="23"/>
      <c r="QOF1363" s="23"/>
      <c r="QOG1363" s="23"/>
      <c r="QOH1363" s="23"/>
      <c r="QOI1363" s="23"/>
      <c r="QOJ1363" s="23"/>
      <c r="QOK1363" s="23"/>
      <c r="QOL1363" s="23"/>
      <c r="QOM1363" s="23"/>
      <c r="QON1363" s="23"/>
      <c r="QOO1363" s="23"/>
      <c r="QOP1363" s="23"/>
      <c r="QOQ1363" s="23"/>
      <c r="QOR1363" s="23"/>
      <c r="QOS1363" s="23"/>
      <c r="QOT1363" s="23"/>
      <c r="QOU1363" s="23"/>
      <c r="QOV1363" s="23"/>
      <c r="QOW1363" s="23"/>
      <c r="QOX1363" s="23"/>
      <c r="QOY1363" s="23"/>
      <c r="QOZ1363" s="23"/>
      <c r="QPA1363" s="23"/>
      <c r="QPB1363" s="23"/>
      <c r="QPC1363" s="23"/>
      <c r="QPD1363" s="23"/>
      <c r="QPE1363" s="23"/>
      <c r="QPF1363" s="23"/>
      <c r="QPG1363" s="23"/>
      <c r="QPH1363" s="23"/>
      <c r="QPI1363" s="23"/>
      <c r="QPJ1363" s="23"/>
      <c r="QPK1363" s="23"/>
      <c r="QPL1363" s="23"/>
      <c r="QPM1363" s="23"/>
      <c r="QPN1363" s="23"/>
      <c r="QPO1363" s="23"/>
      <c r="QPP1363" s="23"/>
      <c r="QPQ1363" s="23"/>
      <c r="QPR1363" s="23"/>
      <c r="QPS1363" s="23"/>
      <c r="QPT1363" s="23"/>
      <c r="QPU1363" s="23"/>
      <c r="QPV1363" s="23"/>
      <c r="QPW1363" s="23"/>
      <c r="QPX1363" s="23"/>
      <c r="QPY1363" s="23"/>
      <c r="QPZ1363" s="23"/>
      <c r="QQA1363" s="23"/>
      <c r="QQB1363" s="23"/>
      <c r="QQC1363" s="23"/>
      <c r="QQD1363" s="23"/>
      <c r="QQE1363" s="23"/>
      <c r="QQF1363" s="23"/>
      <c r="QQG1363" s="23"/>
      <c r="QQH1363" s="23"/>
      <c r="QQI1363" s="23"/>
      <c r="QQJ1363" s="23"/>
      <c r="QQK1363" s="23"/>
      <c r="QQL1363" s="23"/>
      <c r="QQM1363" s="23"/>
      <c r="QQN1363" s="23"/>
      <c r="QQO1363" s="23"/>
      <c r="QQP1363" s="23"/>
      <c r="QQQ1363" s="23"/>
      <c r="QQR1363" s="23"/>
      <c r="QQS1363" s="23"/>
      <c r="QQT1363" s="23"/>
      <c r="QQU1363" s="23"/>
      <c r="QQV1363" s="23"/>
      <c r="QQW1363" s="23"/>
      <c r="QQX1363" s="23"/>
      <c r="QQY1363" s="23"/>
      <c r="QQZ1363" s="23"/>
      <c r="QRA1363" s="23"/>
      <c r="QRB1363" s="23"/>
      <c r="QRC1363" s="23"/>
      <c r="QRD1363" s="23"/>
      <c r="QRE1363" s="23"/>
      <c r="QRF1363" s="23"/>
      <c r="QRG1363" s="23"/>
      <c r="QRH1363" s="23"/>
      <c r="QRI1363" s="23"/>
      <c r="QRJ1363" s="23"/>
      <c r="QRK1363" s="23"/>
      <c r="QRL1363" s="23"/>
      <c r="QRM1363" s="23"/>
      <c r="QRN1363" s="23"/>
      <c r="QRO1363" s="23"/>
      <c r="QRP1363" s="23"/>
      <c r="QRQ1363" s="23"/>
      <c r="QRR1363" s="23"/>
      <c r="QRS1363" s="23"/>
      <c r="QRT1363" s="23"/>
      <c r="QRU1363" s="23"/>
      <c r="QRV1363" s="23"/>
      <c r="QRW1363" s="23"/>
      <c r="QRX1363" s="23"/>
      <c r="QRY1363" s="23"/>
      <c r="QRZ1363" s="23"/>
      <c r="QSA1363" s="23"/>
      <c r="QSB1363" s="23"/>
      <c r="QSC1363" s="23"/>
      <c r="QSD1363" s="23"/>
      <c r="QSE1363" s="23"/>
      <c r="QSF1363" s="23"/>
      <c r="QSG1363" s="23"/>
      <c r="QSH1363" s="23"/>
      <c r="QSI1363" s="23"/>
      <c r="QSJ1363" s="23"/>
      <c r="QSK1363" s="23"/>
      <c r="QSL1363" s="23"/>
      <c r="QSM1363" s="23"/>
      <c r="QSN1363" s="23"/>
      <c r="QSO1363" s="23"/>
      <c r="QSP1363" s="23"/>
      <c r="QSQ1363" s="23"/>
      <c r="QSR1363" s="23"/>
      <c r="QSS1363" s="23"/>
      <c r="QST1363" s="23"/>
      <c r="QSU1363" s="23"/>
      <c r="QSV1363" s="23"/>
      <c r="QSW1363" s="23"/>
      <c r="QSX1363" s="23"/>
      <c r="QSY1363" s="23"/>
      <c r="QSZ1363" s="23"/>
      <c r="QTA1363" s="23"/>
      <c r="QTB1363" s="23"/>
      <c r="QTC1363" s="23"/>
      <c r="QTD1363" s="23"/>
      <c r="QTE1363" s="23"/>
      <c r="QTF1363" s="23"/>
      <c r="QTG1363" s="23"/>
      <c r="QTH1363" s="23"/>
      <c r="QTI1363" s="23"/>
      <c r="QTJ1363" s="23"/>
      <c r="QTK1363" s="23"/>
      <c r="QTL1363" s="23"/>
      <c r="QTM1363" s="23"/>
      <c r="QTN1363" s="23"/>
      <c r="QTO1363" s="23"/>
      <c r="QTP1363" s="23"/>
      <c r="QTQ1363" s="23"/>
      <c r="QTR1363" s="23"/>
      <c r="QTS1363" s="23"/>
      <c r="QTT1363" s="23"/>
      <c r="QTU1363" s="23"/>
      <c r="QTV1363" s="23"/>
      <c r="QTW1363" s="23"/>
      <c r="QTX1363" s="23"/>
      <c r="QTY1363" s="23"/>
      <c r="QTZ1363" s="23"/>
      <c r="QUA1363" s="23"/>
      <c r="QUB1363" s="23"/>
      <c r="QUC1363" s="23"/>
      <c r="QUD1363" s="23"/>
      <c r="QUE1363" s="23"/>
      <c r="QUF1363" s="23"/>
      <c r="QUG1363" s="23"/>
      <c r="QUH1363" s="23"/>
      <c r="QUI1363" s="23"/>
      <c r="QUJ1363" s="23"/>
      <c r="QUK1363" s="23"/>
      <c r="QUL1363" s="23"/>
      <c r="QUM1363" s="23"/>
      <c r="QUN1363" s="23"/>
      <c r="QUO1363" s="23"/>
      <c r="QUP1363" s="23"/>
      <c r="QUQ1363" s="23"/>
      <c r="QUR1363" s="23"/>
      <c r="QUS1363" s="23"/>
      <c r="QUT1363" s="23"/>
      <c r="QUU1363" s="23"/>
      <c r="QUV1363" s="23"/>
      <c r="QUW1363" s="23"/>
      <c r="QUX1363" s="23"/>
      <c r="QUY1363" s="23"/>
      <c r="QUZ1363" s="23"/>
      <c r="QVA1363" s="23"/>
      <c r="QVB1363" s="23"/>
      <c r="QVC1363" s="23"/>
      <c r="QVD1363" s="23"/>
      <c r="QVE1363" s="23"/>
      <c r="QVF1363" s="23"/>
      <c r="QVG1363" s="23"/>
      <c r="QVH1363" s="23"/>
      <c r="QVI1363" s="23"/>
      <c r="QVJ1363" s="23"/>
      <c r="QVK1363" s="23"/>
      <c r="QVL1363" s="23"/>
      <c r="QVM1363" s="23"/>
      <c r="QVN1363" s="23"/>
      <c r="QVO1363" s="23"/>
      <c r="QVP1363" s="23"/>
      <c r="QVQ1363" s="23"/>
      <c r="QVR1363" s="23"/>
      <c r="QVS1363" s="23"/>
      <c r="QVT1363" s="23"/>
      <c r="QVU1363" s="23"/>
      <c r="QVV1363" s="23"/>
      <c r="QVW1363" s="23"/>
      <c r="QVX1363" s="23"/>
      <c r="QVY1363" s="23"/>
      <c r="QVZ1363" s="23"/>
      <c r="QWA1363" s="23"/>
      <c r="QWB1363" s="23"/>
      <c r="QWC1363" s="23"/>
      <c r="QWD1363" s="23"/>
      <c r="QWE1363" s="23"/>
      <c r="QWF1363" s="23"/>
      <c r="QWG1363" s="23"/>
      <c r="QWH1363" s="23"/>
      <c r="QWI1363" s="23"/>
      <c r="QWJ1363" s="23"/>
      <c r="QWK1363" s="23"/>
      <c r="QWL1363" s="23"/>
      <c r="QWM1363" s="23"/>
      <c r="QWN1363" s="23"/>
      <c r="QWO1363" s="23"/>
      <c r="QWP1363" s="23"/>
      <c r="QWQ1363" s="23"/>
      <c r="QWR1363" s="23"/>
      <c r="QWS1363" s="23"/>
      <c r="QWT1363" s="23"/>
      <c r="QWU1363" s="23"/>
      <c r="QWV1363" s="23"/>
      <c r="QWW1363" s="23"/>
      <c r="QWX1363" s="23"/>
      <c r="QWY1363" s="23"/>
      <c r="QWZ1363" s="23"/>
      <c r="QXA1363" s="23"/>
      <c r="QXB1363" s="23"/>
      <c r="QXC1363" s="23"/>
      <c r="QXD1363" s="23"/>
      <c r="QXE1363" s="23"/>
      <c r="QXF1363" s="23"/>
      <c r="QXG1363" s="23"/>
      <c r="QXH1363" s="23"/>
      <c r="QXI1363" s="23"/>
      <c r="QXJ1363" s="23"/>
      <c r="QXK1363" s="23"/>
      <c r="QXL1363" s="23"/>
      <c r="QXM1363" s="23"/>
      <c r="QXN1363" s="23"/>
      <c r="QXO1363" s="23"/>
      <c r="QXP1363" s="23"/>
      <c r="QXQ1363" s="23"/>
      <c r="QXR1363" s="23"/>
      <c r="QXS1363" s="23"/>
      <c r="QXT1363" s="23"/>
      <c r="QXU1363" s="23"/>
      <c r="QXV1363" s="23"/>
      <c r="QXW1363" s="23"/>
      <c r="QXX1363" s="23"/>
      <c r="QXY1363" s="23"/>
      <c r="QXZ1363" s="23"/>
      <c r="QYA1363" s="23"/>
      <c r="QYB1363" s="23"/>
      <c r="QYC1363" s="23"/>
      <c r="QYD1363" s="23"/>
      <c r="QYE1363" s="23"/>
      <c r="QYF1363" s="23"/>
      <c r="QYG1363" s="23"/>
      <c r="QYH1363" s="23"/>
      <c r="QYI1363" s="23"/>
      <c r="QYJ1363" s="23"/>
      <c r="QYK1363" s="23"/>
      <c r="QYL1363" s="23"/>
      <c r="QYM1363" s="23"/>
      <c r="QYN1363" s="23"/>
      <c r="QYO1363" s="23"/>
      <c r="QYP1363" s="23"/>
      <c r="QYQ1363" s="23"/>
      <c r="QYR1363" s="23"/>
      <c r="QYS1363" s="23"/>
      <c r="QYT1363" s="23"/>
      <c r="QYU1363" s="23"/>
      <c r="QYV1363" s="23"/>
      <c r="QYW1363" s="23"/>
      <c r="QYX1363" s="23"/>
      <c r="QYY1363" s="23"/>
      <c r="QYZ1363" s="23"/>
      <c r="QZA1363" s="23"/>
      <c r="QZB1363" s="23"/>
      <c r="QZC1363" s="23"/>
      <c r="QZD1363" s="23"/>
      <c r="QZE1363" s="23"/>
      <c r="QZF1363" s="23"/>
      <c r="QZG1363" s="23"/>
      <c r="QZH1363" s="23"/>
      <c r="QZI1363" s="23"/>
      <c r="QZJ1363" s="23"/>
      <c r="QZK1363" s="23"/>
      <c r="QZL1363" s="23"/>
      <c r="QZM1363" s="23"/>
      <c r="QZN1363" s="23"/>
      <c r="QZO1363" s="23"/>
      <c r="QZP1363" s="23"/>
      <c r="QZQ1363" s="23"/>
      <c r="QZR1363" s="23"/>
      <c r="QZS1363" s="23"/>
      <c r="QZT1363" s="23"/>
      <c r="QZU1363" s="23"/>
      <c r="QZV1363" s="23"/>
      <c r="QZW1363" s="23"/>
      <c r="QZX1363" s="23"/>
      <c r="QZY1363" s="23"/>
      <c r="QZZ1363" s="23"/>
      <c r="RAA1363" s="23"/>
      <c r="RAB1363" s="23"/>
      <c r="RAC1363" s="23"/>
      <c r="RAD1363" s="23"/>
      <c r="RAE1363" s="23"/>
      <c r="RAF1363" s="23"/>
      <c r="RAG1363" s="23"/>
      <c r="RAH1363" s="23"/>
      <c r="RAI1363" s="23"/>
      <c r="RAJ1363" s="23"/>
      <c r="RAK1363" s="23"/>
      <c r="RAL1363" s="23"/>
      <c r="RAM1363" s="23"/>
      <c r="RAN1363" s="23"/>
      <c r="RAO1363" s="23"/>
      <c r="RAP1363" s="23"/>
      <c r="RAQ1363" s="23"/>
      <c r="RAR1363" s="23"/>
      <c r="RAS1363" s="23"/>
      <c r="RAT1363" s="23"/>
      <c r="RAU1363" s="23"/>
      <c r="RAV1363" s="23"/>
      <c r="RAW1363" s="23"/>
      <c r="RAX1363" s="23"/>
      <c r="RAY1363" s="23"/>
      <c r="RAZ1363" s="23"/>
      <c r="RBA1363" s="23"/>
      <c r="RBB1363" s="23"/>
      <c r="RBC1363" s="23"/>
      <c r="RBD1363" s="23"/>
      <c r="RBE1363" s="23"/>
      <c r="RBF1363" s="23"/>
      <c r="RBG1363" s="23"/>
      <c r="RBH1363" s="23"/>
      <c r="RBI1363" s="23"/>
      <c r="RBJ1363" s="23"/>
      <c r="RBK1363" s="23"/>
      <c r="RBL1363" s="23"/>
      <c r="RBM1363" s="23"/>
      <c r="RBN1363" s="23"/>
      <c r="RBO1363" s="23"/>
      <c r="RBP1363" s="23"/>
      <c r="RBQ1363" s="23"/>
      <c r="RBR1363" s="23"/>
      <c r="RBS1363" s="23"/>
      <c r="RBT1363" s="23"/>
      <c r="RBU1363" s="23"/>
      <c r="RBV1363" s="23"/>
      <c r="RBW1363" s="23"/>
      <c r="RBX1363" s="23"/>
      <c r="RBY1363" s="23"/>
      <c r="RBZ1363" s="23"/>
      <c r="RCA1363" s="23"/>
      <c r="RCB1363" s="23"/>
      <c r="RCC1363" s="23"/>
      <c r="RCD1363" s="23"/>
      <c r="RCE1363" s="23"/>
      <c r="RCF1363" s="23"/>
      <c r="RCG1363" s="23"/>
      <c r="RCH1363" s="23"/>
      <c r="RCI1363" s="23"/>
      <c r="RCJ1363" s="23"/>
      <c r="RCK1363" s="23"/>
      <c r="RCL1363" s="23"/>
      <c r="RCM1363" s="23"/>
      <c r="RCN1363" s="23"/>
      <c r="RCO1363" s="23"/>
      <c r="RCP1363" s="23"/>
      <c r="RCQ1363" s="23"/>
      <c r="RCR1363" s="23"/>
      <c r="RCS1363" s="23"/>
      <c r="RCT1363" s="23"/>
      <c r="RCU1363" s="23"/>
      <c r="RCV1363" s="23"/>
      <c r="RCW1363" s="23"/>
      <c r="RCX1363" s="23"/>
      <c r="RCY1363" s="23"/>
      <c r="RCZ1363" s="23"/>
      <c r="RDA1363" s="23"/>
      <c r="RDB1363" s="23"/>
      <c r="RDC1363" s="23"/>
      <c r="RDD1363" s="23"/>
      <c r="RDE1363" s="23"/>
      <c r="RDF1363" s="23"/>
      <c r="RDG1363" s="23"/>
      <c r="RDH1363" s="23"/>
      <c r="RDI1363" s="23"/>
      <c r="RDJ1363" s="23"/>
      <c r="RDK1363" s="23"/>
      <c r="RDL1363" s="23"/>
      <c r="RDM1363" s="23"/>
      <c r="RDN1363" s="23"/>
      <c r="RDO1363" s="23"/>
      <c r="RDP1363" s="23"/>
      <c r="RDQ1363" s="23"/>
      <c r="RDR1363" s="23"/>
      <c r="RDS1363" s="23"/>
      <c r="RDT1363" s="23"/>
      <c r="RDU1363" s="23"/>
      <c r="RDV1363" s="23"/>
      <c r="RDW1363" s="23"/>
      <c r="RDX1363" s="23"/>
      <c r="RDY1363" s="23"/>
      <c r="RDZ1363" s="23"/>
      <c r="REA1363" s="23"/>
      <c r="REB1363" s="23"/>
      <c r="REC1363" s="23"/>
      <c r="RED1363" s="23"/>
      <c r="REE1363" s="23"/>
      <c r="REF1363" s="23"/>
      <c r="REG1363" s="23"/>
      <c r="REH1363" s="23"/>
      <c r="REI1363" s="23"/>
      <c r="REJ1363" s="23"/>
      <c r="REK1363" s="23"/>
      <c r="REL1363" s="23"/>
      <c r="REM1363" s="23"/>
      <c r="REN1363" s="23"/>
      <c r="REO1363" s="23"/>
      <c r="REP1363" s="23"/>
      <c r="REQ1363" s="23"/>
      <c r="RER1363" s="23"/>
      <c r="RES1363" s="23"/>
      <c r="RET1363" s="23"/>
      <c r="REU1363" s="23"/>
      <c r="REV1363" s="23"/>
      <c r="REW1363" s="23"/>
      <c r="REX1363" s="23"/>
      <c r="REY1363" s="23"/>
      <c r="REZ1363" s="23"/>
      <c r="RFA1363" s="23"/>
      <c r="RFB1363" s="23"/>
      <c r="RFC1363" s="23"/>
      <c r="RFD1363" s="23"/>
      <c r="RFE1363" s="23"/>
      <c r="RFF1363" s="23"/>
      <c r="RFG1363" s="23"/>
      <c r="RFH1363" s="23"/>
      <c r="RFI1363" s="23"/>
      <c r="RFJ1363" s="23"/>
      <c r="RFK1363" s="23"/>
      <c r="RFL1363" s="23"/>
      <c r="RFM1363" s="23"/>
      <c r="RFN1363" s="23"/>
      <c r="RFO1363" s="23"/>
      <c r="RFP1363" s="23"/>
      <c r="RFQ1363" s="23"/>
      <c r="RFR1363" s="23"/>
      <c r="RFS1363" s="23"/>
      <c r="RFT1363" s="23"/>
      <c r="RFU1363" s="23"/>
      <c r="RFV1363" s="23"/>
      <c r="RFW1363" s="23"/>
      <c r="RFX1363" s="23"/>
      <c r="RFY1363" s="23"/>
      <c r="RFZ1363" s="23"/>
      <c r="RGA1363" s="23"/>
      <c r="RGB1363" s="23"/>
      <c r="RGC1363" s="23"/>
      <c r="RGD1363" s="23"/>
      <c r="RGE1363" s="23"/>
      <c r="RGF1363" s="23"/>
      <c r="RGG1363" s="23"/>
      <c r="RGH1363" s="23"/>
      <c r="RGI1363" s="23"/>
      <c r="RGJ1363" s="23"/>
      <c r="RGK1363" s="23"/>
      <c r="RGL1363" s="23"/>
      <c r="RGM1363" s="23"/>
      <c r="RGN1363" s="23"/>
      <c r="RGO1363" s="23"/>
      <c r="RGP1363" s="23"/>
      <c r="RGQ1363" s="23"/>
      <c r="RGR1363" s="23"/>
      <c r="RGS1363" s="23"/>
      <c r="RGT1363" s="23"/>
      <c r="RGU1363" s="23"/>
      <c r="RGV1363" s="23"/>
      <c r="RGW1363" s="23"/>
      <c r="RGX1363" s="23"/>
      <c r="RGY1363" s="23"/>
      <c r="RGZ1363" s="23"/>
      <c r="RHA1363" s="23"/>
      <c r="RHB1363" s="23"/>
      <c r="RHC1363" s="23"/>
      <c r="RHD1363" s="23"/>
      <c r="RHE1363" s="23"/>
      <c r="RHF1363" s="23"/>
      <c r="RHG1363" s="23"/>
      <c r="RHH1363" s="23"/>
      <c r="RHI1363" s="23"/>
      <c r="RHJ1363" s="23"/>
      <c r="RHK1363" s="23"/>
      <c r="RHL1363" s="23"/>
      <c r="RHM1363" s="23"/>
      <c r="RHN1363" s="23"/>
      <c r="RHO1363" s="23"/>
      <c r="RHP1363" s="23"/>
      <c r="RHQ1363" s="23"/>
      <c r="RHR1363" s="23"/>
      <c r="RHS1363" s="23"/>
      <c r="RHT1363" s="23"/>
      <c r="RHU1363" s="23"/>
      <c r="RHV1363" s="23"/>
      <c r="RHW1363" s="23"/>
      <c r="RHX1363" s="23"/>
      <c r="RHY1363" s="23"/>
      <c r="RHZ1363" s="23"/>
      <c r="RIA1363" s="23"/>
      <c r="RIB1363" s="23"/>
      <c r="RIC1363" s="23"/>
      <c r="RID1363" s="23"/>
      <c r="RIE1363" s="23"/>
      <c r="RIF1363" s="23"/>
      <c r="RIG1363" s="23"/>
      <c r="RIH1363" s="23"/>
      <c r="RII1363" s="23"/>
      <c r="RIJ1363" s="23"/>
      <c r="RIK1363" s="23"/>
      <c r="RIL1363" s="23"/>
      <c r="RIM1363" s="23"/>
      <c r="RIN1363" s="23"/>
      <c r="RIO1363" s="23"/>
      <c r="RIP1363" s="23"/>
      <c r="RIQ1363" s="23"/>
      <c r="RIR1363" s="23"/>
      <c r="RIS1363" s="23"/>
      <c r="RIT1363" s="23"/>
      <c r="RIU1363" s="23"/>
      <c r="RIV1363" s="23"/>
      <c r="RIW1363" s="23"/>
      <c r="RIX1363" s="23"/>
      <c r="RIY1363" s="23"/>
      <c r="RIZ1363" s="23"/>
      <c r="RJA1363" s="23"/>
      <c r="RJB1363" s="23"/>
      <c r="RJC1363" s="23"/>
      <c r="RJD1363" s="23"/>
      <c r="RJE1363" s="23"/>
      <c r="RJF1363" s="23"/>
      <c r="RJG1363" s="23"/>
      <c r="RJH1363" s="23"/>
      <c r="RJI1363" s="23"/>
      <c r="RJJ1363" s="23"/>
      <c r="RJK1363" s="23"/>
      <c r="RJL1363" s="23"/>
      <c r="RJM1363" s="23"/>
      <c r="RJN1363" s="23"/>
      <c r="RJO1363" s="23"/>
      <c r="RJP1363" s="23"/>
      <c r="RJQ1363" s="23"/>
      <c r="RJR1363" s="23"/>
      <c r="RJS1363" s="23"/>
      <c r="RJT1363" s="23"/>
      <c r="RJU1363" s="23"/>
      <c r="RJV1363" s="23"/>
      <c r="RJW1363" s="23"/>
      <c r="RJX1363" s="23"/>
      <c r="RJY1363" s="23"/>
      <c r="RJZ1363" s="23"/>
      <c r="RKA1363" s="23"/>
      <c r="RKB1363" s="23"/>
      <c r="RKC1363" s="23"/>
      <c r="RKD1363" s="23"/>
      <c r="RKE1363" s="23"/>
      <c r="RKF1363" s="23"/>
      <c r="RKG1363" s="23"/>
      <c r="RKH1363" s="23"/>
      <c r="RKI1363" s="23"/>
      <c r="RKJ1363" s="23"/>
      <c r="RKK1363" s="23"/>
      <c r="RKL1363" s="23"/>
      <c r="RKM1363" s="23"/>
      <c r="RKN1363" s="23"/>
      <c r="RKO1363" s="23"/>
      <c r="RKP1363" s="23"/>
      <c r="RKQ1363" s="23"/>
      <c r="RKR1363" s="23"/>
      <c r="RKS1363" s="23"/>
      <c r="RKT1363" s="23"/>
      <c r="RKU1363" s="23"/>
      <c r="RKV1363" s="23"/>
      <c r="RKW1363" s="23"/>
      <c r="RKX1363" s="23"/>
      <c r="RKY1363" s="23"/>
      <c r="RKZ1363" s="23"/>
      <c r="RLA1363" s="23"/>
      <c r="RLB1363" s="23"/>
      <c r="RLC1363" s="23"/>
      <c r="RLD1363" s="23"/>
      <c r="RLE1363" s="23"/>
      <c r="RLF1363" s="23"/>
      <c r="RLG1363" s="23"/>
      <c r="RLH1363" s="23"/>
      <c r="RLI1363" s="23"/>
      <c r="RLJ1363" s="23"/>
      <c r="RLK1363" s="23"/>
      <c r="RLL1363" s="23"/>
      <c r="RLM1363" s="23"/>
      <c r="RLN1363" s="23"/>
      <c r="RLO1363" s="23"/>
      <c r="RLP1363" s="23"/>
      <c r="RLQ1363" s="23"/>
      <c r="RLR1363" s="23"/>
      <c r="RLS1363" s="23"/>
      <c r="RLT1363" s="23"/>
      <c r="RLU1363" s="23"/>
      <c r="RLV1363" s="23"/>
      <c r="RLW1363" s="23"/>
      <c r="RLX1363" s="23"/>
      <c r="RLY1363" s="23"/>
      <c r="RLZ1363" s="23"/>
      <c r="RMA1363" s="23"/>
      <c r="RMB1363" s="23"/>
      <c r="RMC1363" s="23"/>
      <c r="RMD1363" s="23"/>
      <c r="RME1363" s="23"/>
      <c r="RMF1363" s="23"/>
      <c r="RMG1363" s="23"/>
      <c r="RMH1363" s="23"/>
      <c r="RMI1363" s="23"/>
      <c r="RMJ1363" s="23"/>
      <c r="RMK1363" s="23"/>
      <c r="RML1363" s="23"/>
      <c r="RMM1363" s="23"/>
      <c r="RMN1363" s="23"/>
      <c r="RMO1363" s="23"/>
      <c r="RMP1363" s="23"/>
      <c r="RMQ1363" s="23"/>
      <c r="RMR1363" s="23"/>
      <c r="RMS1363" s="23"/>
      <c r="RMT1363" s="23"/>
      <c r="RMU1363" s="23"/>
      <c r="RMV1363" s="23"/>
      <c r="RMW1363" s="23"/>
      <c r="RMX1363" s="23"/>
      <c r="RMY1363" s="23"/>
      <c r="RMZ1363" s="23"/>
      <c r="RNA1363" s="23"/>
      <c r="RNB1363" s="23"/>
      <c r="RNC1363" s="23"/>
      <c r="RND1363" s="23"/>
      <c r="RNE1363" s="23"/>
      <c r="RNF1363" s="23"/>
      <c r="RNG1363" s="23"/>
      <c r="RNH1363" s="23"/>
      <c r="RNI1363" s="23"/>
      <c r="RNJ1363" s="23"/>
      <c r="RNK1363" s="23"/>
      <c r="RNL1363" s="23"/>
      <c r="RNM1363" s="23"/>
      <c r="RNN1363" s="23"/>
      <c r="RNO1363" s="23"/>
      <c r="RNP1363" s="23"/>
      <c r="RNQ1363" s="23"/>
      <c r="RNR1363" s="23"/>
      <c r="RNS1363" s="23"/>
      <c r="RNT1363" s="23"/>
      <c r="RNU1363" s="23"/>
      <c r="RNV1363" s="23"/>
      <c r="RNW1363" s="23"/>
      <c r="RNX1363" s="23"/>
      <c r="RNY1363" s="23"/>
      <c r="RNZ1363" s="23"/>
      <c r="ROA1363" s="23"/>
      <c r="ROB1363" s="23"/>
      <c r="ROC1363" s="23"/>
      <c r="ROD1363" s="23"/>
      <c r="ROE1363" s="23"/>
      <c r="ROF1363" s="23"/>
      <c r="ROG1363" s="23"/>
      <c r="ROH1363" s="23"/>
      <c r="ROI1363" s="23"/>
      <c r="ROJ1363" s="23"/>
      <c r="ROK1363" s="23"/>
      <c r="ROL1363" s="23"/>
      <c r="ROM1363" s="23"/>
      <c r="RON1363" s="23"/>
      <c r="ROO1363" s="23"/>
      <c r="ROP1363" s="23"/>
      <c r="ROQ1363" s="23"/>
      <c r="ROR1363" s="23"/>
      <c r="ROS1363" s="23"/>
      <c r="ROT1363" s="23"/>
      <c r="ROU1363" s="23"/>
      <c r="ROV1363" s="23"/>
      <c r="ROW1363" s="23"/>
      <c r="ROX1363" s="23"/>
      <c r="ROY1363" s="23"/>
      <c r="ROZ1363" s="23"/>
      <c r="RPA1363" s="23"/>
      <c r="RPB1363" s="23"/>
      <c r="RPC1363" s="23"/>
      <c r="RPD1363" s="23"/>
      <c r="RPE1363" s="23"/>
      <c r="RPF1363" s="23"/>
      <c r="RPG1363" s="23"/>
      <c r="RPH1363" s="23"/>
      <c r="RPI1363" s="23"/>
      <c r="RPJ1363" s="23"/>
      <c r="RPK1363" s="23"/>
      <c r="RPL1363" s="23"/>
      <c r="RPM1363" s="23"/>
      <c r="RPN1363" s="23"/>
      <c r="RPO1363" s="23"/>
      <c r="RPP1363" s="23"/>
      <c r="RPQ1363" s="23"/>
      <c r="RPR1363" s="23"/>
      <c r="RPS1363" s="23"/>
      <c r="RPT1363" s="23"/>
      <c r="RPU1363" s="23"/>
      <c r="RPV1363" s="23"/>
      <c r="RPW1363" s="23"/>
      <c r="RPX1363" s="23"/>
      <c r="RPY1363" s="23"/>
      <c r="RPZ1363" s="23"/>
      <c r="RQA1363" s="23"/>
      <c r="RQB1363" s="23"/>
      <c r="RQC1363" s="23"/>
      <c r="RQD1363" s="23"/>
      <c r="RQE1363" s="23"/>
      <c r="RQF1363" s="23"/>
      <c r="RQG1363" s="23"/>
      <c r="RQH1363" s="23"/>
      <c r="RQI1363" s="23"/>
      <c r="RQJ1363" s="23"/>
      <c r="RQK1363" s="23"/>
      <c r="RQL1363" s="23"/>
      <c r="RQM1363" s="23"/>
      <c r="RQN1363" s="23"/>
      <c r="RQO1363" s="23"/>
      <c r="RQP1363" s="23"/>
      <c r="RQQ1363" s="23"/>
      <c r="RQR1363" s="23"/>
      <c r="RQS1363" s="23"/>
      <c r="RQT1363" s="23"/>
      <c r="RQU1363" s="23"/>
      <c r="RQV1363" s="23"/>
      <c r="RQW1363" s="23"/>
      <c r="RQX1363" s="23"/>
      <c r="RQY1363" s="23"/>
      <c r="RQZ1363" s="23"/>
      <c r="RRA1363" s="23"/>
      <c r="RRB1363" s="23"/>
      <c r="RRC1363" s="23"/>
      <c r="RRD1363" s="23"/>
      <c r="RRE1363" s="23"/>
      <c r="RRF1363" s="23"/>
      <c r="RRG1363" s="23"/>
      <c r="RRH1363" s="23"/>
      <c r="RRI1363" s="23"/>
      <c r="RRJ1363" s="23"/>
      <c r="RRK1363" s="23"/>
      <c r="RRL1363" s="23"/>
      <c r="RRM1363" s="23"/>
      <c r="RRN1363" s="23"/>
      <c r="RRO1363" s="23"/>
      <c r="RRP1363" s="23"/>
      <c r="RRQ1363" s="23"/>
      <c r="RRR1363" s="23"/>
      <c r="RRS1363" s="23"/>
      <c r="RRT1363" s="23"/>
      <c r="RRU1363" s="23"/>
      <c r="RRV1363" s="23"/>
      <c r="RRW1363" s="23"/>
      <c r="RRX1363" s="23"/>
      <c r="RRY1363" s="23"/>
      <c r="RRZ1363" s="23"/>
      <c r="RSA1363" s="23"/>
      <c r="RSB1363" s="23"/>
      <c r="RSC1363" s="23"/>
      <c r="RSD1363" s="23"/>
      <c r="RSE1363" s="23"/>
      <c r="RSF1363" s="23"/>
      <c r="RSG1363" s="23"/>
      <c r="RSH1363" s="23"/>
      <c r="RSI1363" s="23"/>
      <c r="RSJ1363" s="23"/>
      <c r="RSK1363" s="23"/>
      <c r="RSL1363" s="23"/>
      <c r="RSM1363" s="23"/>
      <c r="RSN1363" s="23"/>
      <c r="RSO1363" s="23"/>
      <c r="RSP1363" s="23"/>
      <c r="RSQ1363" s="23"/>
      <c r="RSR1363" s="23"/>
      <c r="RSS1363" s="23"/>
      <c r="RST1363" s="23"/>
      <c r="RSU1363" s="23"/>
      <c r="RSV1363" s="23"/>
      <c r="RSW1363" s="23"/>
      <c r="RSX1363" s="23"/>
      <c r="RSY1363" s="23"/>
      <c r="RSZ1363" s="23"/>
      <c r="RTA1363" s="23"/>
      <c r="RTB1363" s="23"/>
      <c r="RTC1363" s="23"/>
      <c r="RTD1363" s="23"/>
      <c r="RTE1363" s="23"/>
      <c r="RTF1363" s="23"/>
      <c r="RTG1363" s="23"/>
      <c r="RTH1363" s="23"/>
      <c r="RTI1363" s="23"/>
      <c r="RTJ1363" s="23"/>
      <c r="RTK1363" s="23"/>
      <c r="RTL1363" s="23"/>
      <c r="RTM1363" s="23"/>
      <c r="RTN1363" s="23"/>
      <c r="RTO1363" s="23"/>
      <c r="RTP1363" s="23"/>
      <c r="RTQ1363" s="23"/>
      <c r="RTR1363" s="23"/>
      <c r="RTS1363" s="23"/>
      <c r="RTT1363" s="23"/>
      <c r="RTU1363" s="23"/>
      <c r="RTV1363" s="23"/>
      <c r="RTW1363" s="23"/>
      <c r="RTX1363" s="23"/>
      <c r="RTY1363" s="23"/>
      <c r="RTZ1363" s="23"/>
      <c r="RUA1363" s="23"/>
      <c r="RUB1363" s="23"/>
      <c r="RUC1363" s="23"/>
      <c r="RUD1363" s="23"/>
      <c r="RUE1363" s="23"/>
      <c r="RUF1363" s="23"/>
      <c r="RUG1363" s="23"/>
      <c r="RUH1363" s="23"/>
      <c r="RUI1363" s="23"/>
      <c r="RUJ1363" s="23"/>
      <c r="RUK1363" s="23"/>
      <c r="RUL1363" s="23"/>
      <c r="RUM1363" s="23"/>
      <c r="RUN1363" s="23"/>
      <c r="RUO1363" s="23"/>
      <c r="RUP1363" s="23"/>
      <c r="RUQ1363" s="23"/>
      <c r="RUR1363" s="23"/>
      <c r="RUS1363" s="23"/>
      <c r="RUT1363" s="23"/>
      <c r="RUU1363" s="23"/>
      <c r="RUV1363" s="23"/>
      <c r="RUW1363" s="23"/>
      <c r="RUX1363" s="23"/>
      <c r="RUY1363" s="23"/>
      <c r="RUZ1363" s="23"/>
      <c r="RVA1363" s="23"/>
      <c r="RVB1363" s="23"/>
      <c r="RVC1363" s="23"/>
      <c r="RVD1363" s="23"/>
      <c r="RVE1363" s="23"/>
      <c r="RVF1363" s="23"/>
      <c r="RVG1363" s="23"/>
      <c r="RVH1363" s="23"/>
      <c r="RVI1363" s="23"/>
      <c r="RVJ1363" s="23"/>
      <c r="RVK1363" s="23"/>
      <c r="RVL1363" s="23"/>
      <c r="RVM1363" s="23"/>
      <c r="RVN1363" s="23"/>
      <c r="RVO1363" s="23"/>
      <c r="RVP1363" s="23"/>
      <c r="RVQ1363" s="23"/>
      <c r="RVR1363" s="23"/>
      <c r="RVS1363" s="23"/>
      <c r="RVT1363" s="23"/>
      <c r="RVU1363" s="23"/>
      <c r="RVV1363" s="23"/>
      <c r="RVW1363" s="23"/>
      <c r="RVX1363" s="23"/>
      <c r="RVY1363" s="23"/>
      <c r="RVZ1363" s="23"/>
      <c r="RWA1363" s="23"/>
      <c r="RWB1363" s="23"/>
      <c r="RWC1363" s="23"/>
      <c r="RWD1363" s="23"/>
      <c r="RWE1363" s="23"/>
      <c r="RWF1363" s="23"/>
      <c r="RWG1363" s="23"/>
      <c r="RWH1363" s="23"/>
      <c r="RWI1363" s="23"/>
      <c r="RWJ1363" s="23"/>
      <c r="RWK1363" s="23"/>
      <c r="RWL1363" s="23"/>
      <c r="RWM1363" s="23"/>
      <c r="RWN1363" s="23"/>
      <c r="RWO1363" s="23"/>
      <c r="RWP1363" s="23"/>
      <c r="RWQ1363" s="23"/>
      <c r="RWR1363" s="23"/>
      <c r="RWS1363" s="23"/>
      <c r="RWT1363" s="23"/>
      <c r="RWU1363" s="23"/>
      <c r="RWV1363" s="23"/>
      <c r="RWW1363" s="23"/>
      <c r="RWX1363" s="23"/>
      <c r="RWY1363" s="23"/>
      <c r="RWZ1363" s="23"/>
      <c r="RXA1363" s="23"/>
      <c r="RXB1363" s="23"/>
      <c r="RXC1363" s="23"/>
      <c r="RXD1363" s="23"/>
      <c r="RXE1363" s="23"/>
      <c r="RXF1363" s="23"/>
      <c r="RXG1363" s="23"/>
      <c r="RXH1363" s="23"/>
      <c r="RXI1363" s="23"/>
      <c r="RXJ1363" s="23"/>
      <c r="RXK1363" s="23"/>
      <c r="RXL1363" s="23"/>
      <c r="RXM1363" s="23"/>
      <c r="RXN1363" s="23"/>
      <c r="RXO1363" s="23"/>
      <c r="RXP1363" s="23"/>
      <c r="RXQ1363" s="23"/>
      <c r="RXR1363" s="23"/>
      <c r="RXS1363" s="23"/>
      <c r="RXT1363" s="23"/>
      <c r="RXU1363" s="23"/>
      <c r="RXV1363" s="23"/>
      <c r="RXW1363" s="23"/>
      <c r="RXX1363" s="23"/>
      <c r="RXY1363" s="23"/>
      <c r="RXZ1363" s="23"/>
      <c r="RYA1363" s="23"/>
      <c r="RYB1363" s="23"/>
      <c r="RYC1363" s="23"/>
      <c r="RYD1363" s="23"/>
      <c r="RYE1363" s="23"/>
      <c r="RYF1363" s="23"/>
      <c r="RYG1363" s="23"/>
      <c r="RYH1363" s="23"/>
      <c r="RYI1363" s="23"/>
      <c r="RYJ1363" s="23"/>
      <c r="RYK1363" s="23"/>
      <c r="RYL1363" s="23"/>
      <c r="RYM1363" s="23"/>
      <c r="RYN1363" s="23"/>
      <c r="RYO1363" s="23"/>
      <c r="RYP1363" s="23"/>
      <c r="RYQ1363" s="23"/>
      <c r="RYR1363" s="23"/>
      <c r="RYS1363" s="23"/>
      <c r="RYT1363" s="23"/>
      <c r="RYU1363" s="23"/>
      <c r="RYV1363" s="23"/>
      <c r="RYW1363" s="23"/>
      <c r="RYX1363" s="23"/>
      <c r="RYY1363" s="23"/>
      <c r="RYZ1363" s="23"/>
      <c r="RZA1363" s="23"/>
      <c r="RZB1363" s="23"/>
      <c r="RZC1363" s="23"/>
      <c r="RZD1363" s="23"/>
      <c r="RZE1363" s="23"/>
      <c r="RZF1363" s="23"/>
      <c r="RZG1363" s="23"/>
      <c r="RZH1363" s="23"/>
      <c r="RZI1363" s="23"/>
      <c r="RZJ1363" s="23"/>
      <c r="RZK1363" s="23"/>
      <c r="RZL1363" s="23"/>
      <c r="RZM1363" s="23"/>
      <c r="RZN1363" s="23"/>
      <c r="RZO1363" s="23"/>
      <c r="RZP1363" s="23"/>
      <c r="RZQ1363" s="23"/>
      <c r="RZR1363" s="23"/>
      <c r="RZS1363" s="23"/>
      <c r="RZT1363" s="23"/>
      <c r="RZU1363" s="23"/>
      <c r="RZV1363" s="23"/>
      <c r="RZW1363" s="23"/>
      <c r="RZX1363" s="23"/>
      <c r="RZY1363" s="23"/>
      <c r="RZZ1363" s="23"/>
      <c r="SAA1363" s="23"/>
      <c r="SAB1363" s="23"/>
      <c r="SAC1363" s="23"/>
      <c r="SAD1363" s="23"/>
      <c r="SAE1363" s="23"/>
      <c r="SAF1363" s="23"/>
      <c r="SAG1363" s="23"/>
      <c r="SAH1363" s="23"/>
      <c r="SAI1363" s="23"/>
      <c r="SAJ1363" s="23"/>
      <c r="SAK1363" s="23"/>
      <c r="SAL1363" s="23"/>
      <c r="SAM1363" s="23"/>
      <c r="SAN1363" s="23"/>
      <c r="SAO1363" s="23"/>
      <c r="SAP1363" s="23"/>
      <c r="SAQ1363" s="23"/>
      <c r="SAR1363" s="23"/>
      <c r="SAS1363" s="23"/>
      <c r="SAT1363" s="23"/>
      <c r="SAU1363" s="23"/>
      <c r="SAV1363" s="23"/>
      <c r="SAW1363" s="23"/>
      <c r="SAX1363" s="23"/>
      <c r="SAY1363" s="23"/>
      <c r="SAZ1363" s="23"/>
      <c r="SBA1363" s="23"/>
      <c r="SBB1363" s="23"/>
      <c r="SBC1363" s="23"/>
      <c r="SBD1363" s="23"/>
      <c r="SBE1363" s="23"/>
      <c r="SBF1363" s="23"/>
      <c r="SBG1363" s="23"/>
      <c r="SBH1363" s="23"/>
      <c r="SBI1363" s="23"/>
      <c r="SBJ1363" s="23"/>
      <c r="SBK1363" s="23"/>
      <c r="SBL1363" s="23"/>
      <c r="SBM1363" s="23"/>
      <c r="SBN1363" s="23"/>
      <c r="SBO1363" s="23"/>
      <c r="SBP1363" s="23"/>
      <c r="SBQ1363" s="23"/>
      <c r="SBR1363" s="23"/>
      <c r="SBS1363" s="23"/>
      <c r="SBT1363" s="23"/>
      <c r="SBU1363" s="23"/>
      <c r="SBV1363" s="23"/>
      <c r="SBW1363" s="23"/>
      <c r="SBX1363" s="23"/>
      <c r="SBY1363" s="23"/>
      <c r="SBZ1363" s="23"/>
      <c r="SCA1363" s="23"/>
      <c r="SCB1363" s="23"/>
      <c r="SCC1363" s="23"/>
      <c r="SCD1363" s="23"/>
      <c r="SCE1363" s="23"/>
      <c r="SCF1363" s="23"/>
      <c r="SCG1363" s="23"/>
      <c r="SCH1363" s="23"/>
      <c r="SCI1363" s="23"/>
      <c r="SCJ1363" s="23"/>
      <c r="SCK1363" s="23"/>
      <c r="SCL1363" s="23"/>
      <c r="SCM1363" s="23"/>
      <c r="SCN1363" s="23"/>
      <c r="SCO1363" s="23"/>
      <c r="SCP1363" s="23"/>
      <c r="SCQ1363" s="23"/>
      <c r="SCR1363" s="23"/>
      <c r="SCS1363" s="23"/>
      <c r="SCT1363" s="23"/>
      <c r="SCU1363" s="23"/>
      <c r="SCV1363" s="23"/>
      <c r="SCW1363" s="23"/>
      <c r="SCX1363" s="23"/>
      <c r="SCY1363" s="23"/>
      <c r="SCZ1363" s="23"/>
      <c r="SDA1363" s="23"/>
      <c r="SDB1363" s="23"/>
      <c r="SDC1363" s="23"/>
      <c r="SDD1363" s="23"/>
      <c r="SDE1363" s="23"/>
      <c r="SDF1363" s="23"/>
      <c r="SDG1363" s="23"/>
      <c r="SDH1363" s="23"/>
      <c r="SDI1363" s="23"/>
      <c r="SDJ1363" s="23"/>
      <c r="SDK1363" s="23"/>
      <c r="SDL1363" s="23"/>
      <c r="SDM1363" s="23"/>
      <c r="SDN1363" s="23"/>
      <c r="SDO1363" s="23"/>
      <c r="SDP1363" s="23"/>
      <c r="SDQ1363" s="23"/>
      <c r="SDR1363" s="23"/>
      <c r="SDS1363" s="23"/>
      <c r="SDT1363" s="23"/>
      <c r="SDU1363" s="23"/>
      <c r="SDV1363" s="23"/>
      <c r="SDW1363" s="23"/>
      <c r="SDX1363" s="23"/>
      <c r="SDY1363" s="23"/>
      <c r="SDZ1363" s="23"/>
      <c r="SEA1363" s="23"/>
      <c r="SEB1363" s="23"/>
      <c r="SEC1363" s="23"/>
      <c r="SED1363" s="23"/>
      <c r="SEE1363" s="23"/>
      <c r="SEF1363" s="23"/>
      <c r="SEG1363" s="23"/>
      <c r="SEH1363" s="23"/>
      <c r="SEI1363" s="23"/>
      <c r="SEJ1363" s="23"/>
      <c r="SEK1363" s="23"/>
      <c r="SEL1363" s="23"/>
      <c r="SEM1363" s="23"/>
      <c r="SEN1363" s="23"/>
      <c r="SEO1363" s="23"/>
      <c r="SEP1363" s="23"/>
      <c r="SEQ1363" s="23"/>
      <c r="SER1363" s="23"/>
      <c r="SES1363" s="23"/>
      <c r="SET1363" s="23"/>
      <c r="SEU1363" s="23"/>
      <c r="SEV1363" s="23"/>
      <c r="SEW1363" s="23"/>
      <c r="SEX1363" s="23"/>
      <c r="SEY1363" s="23"/>
      <c r="SEZ1363" s="23"/>
      <c r="SFA1363" s="23"/>
      <c r="SFB1363" s="23"/>
      <c r="SFC1363" s="23"/>
      <c r="SFD1363" s="23"/>
      <c r="SFE1363" s="23"/>
      <c r="SFF1363" s="23"/>
      <c r="SFG1363" s="23"/>
      <c r="SFH1363" s="23"/>
      <c r="SFI1363" s="23"/>
      <c r="SFJ1363" s="23"/>
      <c r="SFK1363" s="23"/>
      <c r="SFL1363" s="23"/>
      <c r="SFM1363" s="23"/>
      <c r="SFN1363" s="23"/>
      <c r="SFO1363" s="23"/>
      <c r="SFP1363" s="23"/>
      <c r="SFQ1363" s="23"/>
      <c r="SFR1363" s="23"/>
      <c r="SFS1363" s="23"/>
      <c r="SFT1363" s="23"/>
      <c r="SFU1363" s="23"/>
      <c r="SFV1363" s="23"/>
      <c r="SFW1363" s="23"/>
      <c r="SFX1363" s="23"/>
      <c r="SFY1363" s="23"/>
      <c r="SFZ1363" s="23"/>
      <c r="SGA1363" s="23"/>
      <c r="SGB1363" s="23"/>
      <c r="SGC1363" s="23"/>
      <c r="SGD1363" s="23"/>
      <c r="SGE1363" s="23"/>
      <c r="SGF1363" s="23"/>
      <c r="SGG1363" s="23"/>
      <c r="SGH1363" s="23"/>
      <c r="SGI1363" s="23"/>
      <c r="SGJ1363" s="23"/>
      <c r="SGK1363" s="23"/>
      <c r="SGL1363" s="23"/>
      <c r="SGM1363" s="23"/>
      <c r="SGN1363" s="23"/>
      <c r="SGO1363" s="23"/>
      <c r="SGP1363" s="23"/>
      <c r="SGQ1363" s="23"/>
      <c r="SGR1363" s="23"/>
      <c r="SGS1363" s="23"/>
      <c r="SGT1363" s="23"/>
      <c r="SGU1363" s="23"/>
      <c r="SGV1363" s="23"/>
      <c r="SGW1363" s="23"/>
      <c r="SGX1363" s="23"/>
      <c r="SGY1363" s="23"/>
      <c r="SGZ1363" s="23"/>
      <c r="SHA1363" s="23"/>
      <c r="SHB1363" s="23"/>
      <c r="SHC1363" s="23"/>
      <c r="SHD1363" s="23"/>
      <c r="SHE1363" s="23"/>
      <c r="SHF1363" s="23"/>
      <c r="SHG1363" s="23"/>
      <c r="SHH1363" s="23"/>
      <c r="SHI1363" s="23"/>
      <c r="SHJ1363" s="23"/>
      <c r="SHK1363" s="23"/>
      <c r="SHL1363" s="23"/>
      <c r="SHM1363" s="23"/>
      <c r="SHN1363" s="23"/>
      <c r="SHO1363" s="23"/>
      <c r="SHP1363" s="23"/>
      <c r="SHQ1363" s="23"/>
      <c r="SHR1363" s="23"/>
      <c r="SHS1363" s="23"/>
      <c r="SHT1363" s="23"/>
      <c r="SHU1363" s="23"/>
      <c r="SHV1363" s="23"/>
      <c r="SHW1363" s="23"/>
      <c r="SHX1363" s="23"/>
      <c r="SHY1363" s="23"/>
      <c r="SHZ1363" s="23"/>
      <c r="SIA1363" s="23"/>
      <c r="SIB1363" s="23"/>
      <c r="SIC1363" s="23"/>
      <c r="SID1363" s="23"/>
      <c r="SIE1363" s="23"/>
      <c r="SIF1363" s="23"/>
      <c r="SIG1363" s="23"/>
      <c r="SIH1363" s="23"/>
      <c r="SII1363" s="23"/>
      <c r="SIJ1363" s="23"/>
      <c r="SIK1363" s="23"/>
      <c r="SIL1363" s="23"/>
      <c r="SIM1363" s="23"/>
      <c r="SIN1363" s="23"/>
      <c r="SIO1363" s="23"/>
      <c r="SIP1363" s="23"/>
      <c r="SIQ1363" s="23"/>
      <c r="SIR1363" s="23"/>
      <c r="SIS1363" s="23"/>
      <c r="SIT1363" s="23"/>
      <c r="SIU1363" s="23"/>
      <c r="SIV1363" s="23"/>
      <c r="SIW1363" s="23"/>
      <c r="SIX1363" s="23"/>
      <c r="SIY1363" s="23"/>
      <c r="SIZ1363" s="23"/>
      <c r="SJA1363" s="23"/>
      <c r="SJB1363" s="23"/>
      <c r="SJC1363" s="23"/>
      <c r="SJD1363" s="23"/>
      <c r="SJE1363" s="23"/>
      <c r="SJF1363" s="23"/>
      <c r="SJG1363" s="23"/>
      <c r="SJH1363" s="23"/>
      <c r="SJI1363" s="23"/>
      <c r="SJJ1363" s="23"/>
      <c r="SJK1363" s="23"/>
      <c r="SJL1363" s="23"/>
      <c r="SJM1363" s="23"/>
      <c r="SJN1363" s="23"/>
      <c r="SJO1363" s="23"/>
      <c r="SJP1363" s="23"/>
      <c r="SJQ1363" s="23"/>
      <c r="SJR1363" s="23"/>
      <c r="SJS1363" s="23"/>
      <c r="SJT1363" s="23"/>
      <c r="SJU1363" s="23"/>
      <c r="SJV1363" s="23"/>
      <c r="SJW1363" s="23"/>
      <c r="SJX1363" s="23"/>
      <c r="SJY1363" s="23"/>
      <c r="SJZ1363" s="23"/>
      <c r="SKA1363" s="23"/>
      <c r="SKB1363" s="23"/>
      <c r="SKC1363" s="23"/>
      <c r="SKD1363" s="23"/>
      <c r="SKE1363" s="23"/>
      <c r="SKF1363" s="23"/>
      <c r="SKG1363" s="23"/>
      <c r="SKH1363" s="23"/>
      <c r="SKI1363" s="23"/>
      <c r="SKJ1363" s="23"/>
      <c r="SKK1363" s="23"/>
      <c r="SKL1363" s="23"/>
      <c r="SKM1363" s="23"/>
      <c r="SKN1363" s="23"/>
      <c r="SKO1363" s="23"/>
      <c r="SKP1363" s="23"/>
      <c r="SKQ1363" s="23"/>
      <c r="SKR1363" s="23"/>
      <c r="SKS1363" s="23"/>
      <c r="SKT1363" s="23"/>
      <c r="SKU1363" s="23"/>
      <c r="SKV1363" s="23"/>
      <c r="SKW1363" s="23"/>
      <c r="SKX1363" s="23"/>
      <c r="SKY1363" s="23"/>
      <c r="SKZ1363" s="23"/>
      <c r="SLA1363" s="23"/>
      <c r="SLB1363" s="23"/>
      <c r="SLC1363" s="23"/>
      <c r="SLD1363" s="23"/>
      <c r="SLE1363" s="23"/>
      <c r="SLF1363" s="23"/>
      <c r="SLG1363" s="23"/>
      <c r="SLH1363" s="23"/>
      <c r="SLI1363" s="23"/>
      <c r="SLJ1363" s="23"/>
      <c r="SLK1363" s="23"/>
      <c r="SLL1363" s="23"/>
      <c r="SLM1363" s="23"/>
      <c r="SLN1363" s="23"/>
      <c r="SLO1363" s="23"/>
      <c r="SLP1363" s="23"/>
      <c r="SLQ1363" s="23"/>
      <c r="SLR1363" s="23"/>
      <c r="SLS1363" s="23"/>
      <c r="SLT1363" s="23"/>
      <c r="SLU1363" s="23"/>
      <c r="SLV1363" s="23"/>
      <c r="SLW1363" s="23"/>
      <c r="SLX1363" s="23"/>
      <c r="SLY1363" s="23"/>
      <c r="SLZ1363" s="23"/>
      <c r="SMA1363" s="23"/>
      <c r="SMB1363" s="23"/>
      <c r="SMC1363" s="23"/>
      <c r="SMD1363" s="23"/>
      <c r="SME1363" s="23"/>
      <c r="SMF1363" s="23"/>
      <c r="SMG1363" s="23"/>
      <c r="SMH1363" s="23"/>
      <c r="SMI1363" s="23"/>
      <c r="SMJ1363" s="23"/>
      <c r="SMK1363" s="23"/>
      <c r="SML1363" s="23"/>
      <c r="SMM1363" s="23"/>
      <c r="SMN1363" s="23"/>
      <c r="SMO1363" s="23"/>
      <c r="SMP1363" s="23"/>
      <c r="SMQ1363" s="23"/>
      <c r="SMR1363" s="23"/>
      <c r="SMS1363" s="23"/>
      <c r="SMT1363" s="23"/>
      <c r="SMU1363" s="23"/>
      <c r="SMV1363" s="23"/>
      <c r="SMW1363" s="23"/>
      <c r="SMX1363" s="23"/>
      <c r="SMY1363" s="23"/>
      <c r="SMZ1363" s="23"/>
      <c r="SNA1363" s="23"/>
      <c r="SNB1363" s="23"/>
      <c r="SNC1363" s="23"/>
      <c r="SND1363" s="23"/>
      <c r="SNE1363" s="23"/>
      <c r="SNF1363" s="23"/>
      <c r="SNG1363" s="23"/>
      <c r="SNH1363" s="23"/>
      <c r="SNI1363" s="23"/>
      <c r="SNJ1363" s="23"/>
      <c r="SNK1363" s="23"/>
      <c r="SNL1363" s="23"/>
      <c r="SNM1363" s="23"/>
      <c r="SNN1363" s="23"/>
      <c r="SNO1363" s="23"/>
      <c r="SNP1363" s="23"/>
      <c r="SNQ1363" s="23"/>
      <c r="SNR1363" s="23"/>
      <c r="SNS1363" s="23"/>
      <c r="SNT1363" s="23"/>
      <c r="SNU1363" s="23"/>
      <c r="SNV1363" s="23"/>
      <c r="SNW1363" s="23"/>
      <c r="SNX1363" s="23"/>
      <c r="SNY1363" s="23"/>
      <c r="SNZ1363" s="23"/>
      <c r="SOA1363" s="23"/>
      <c r="SOB1363" s="23"/>
      <c r="SOC1363" s="23"/>
      <c r="SOD1363" s="23"/>
      <c r="SOE1363" s="23"/>
      <c r="SOF1363" s="23"/>
      <c r="SOG1363" s="23"/>
      <c r="SOH1363" s="23"/>
      <c r="SOI1363" s="23"/>
      <c r="SOJ1363" s="23"/>
      <c r="SOK1363" s="23"/>
      <c r="SOL1363" s="23"/>
      <c r="SOM1363" s="23"/>
      <c r="SON1363" s="23"/>
      <c r="SOO1363" s="23"/>
      <c r="SOP1363" s="23"/>
      <c r="SOQ1363" s="23"/>
      <c r="SOR1363" s="23"/>
      <c r="SOS1363" s="23"/>
      <c r="SOT1363" s="23"/>
      <c r="SOU1363" s="23"/>
      <c r="SOV1363" s="23"/>
      <c r="SOW1363" s="23"/>
      <c r="SOX1363" s="23"/>
      <c r="SOY1363" s="23"/>
      <c r="SOZ1363" s="23"/>
      <c r="SPA1363" s="23"/>
      <c r="SPB1363" s="23"/>
      <c r="SPC1363" s="23"/>
      <c r="SPD1363" s="23"/>
      <c r="SPE1363" s="23"/>
      <c r="SPF1363" s="23"/>
      <c r="SPG1363" s="23"/>
      <c r="SPH1363" s="23"/>
      <c r="SPI1363" s="23"/>
      <c r="SPJ1363" s="23"/>
      <c r="SPK1363" s="23"/>
      <c r="SPL1363" s="23"/>
      <c r="SPM1363" s="23"/>
      <c r="SPN1363" s="23"/>
      <c r="SPO1363" s="23"/>
      <c r="SPP1363" s="23"/>
      <c r="SPQ1363" s="23"/>
      <c r="SPR1363" s="23"/>
      <c r="SPS1363" s="23"/>
      <c r="SPT1363" s="23"/>
      <c r="SPU1363" s="23"/>
      <c r="SPV1363" s="23"/>
      <c r="SPW1363" s="23"/>
      <c r="SPX1363" s="23"/>
      <c r="SPY1363" s="23"/>
      <c r="SPZ1363" s="23"/>
      <c r="SQA1363" s="23"/>
      <c r="SQB1363" s="23"/>
      <c r="SQC1363" s="23"/>
      <c r="SQD1363" s="23"/>
      <c r="SQE1363" s="23"/>
      <c r="SQF1363" s="23"/>
      <c r="SQG1363" s="23"/>
      <c r="SQH1363" s="23"/>
      <c r="SQI1363" s="23"/>
      <c r="SQJ1363" s="23"/>
      <c r="SQK1363" s="23"/>
      <c r="SQL1363" s="23"/>
      <c r="SQM1363" s="23"/>
      <c r="SQN1363" s="23"/>
      <c r="SQO1363" s="23"/>
      <c r="SQP1363" s="23"/>
      <c r="SQQ1363" s="23"/>
      <c r="SQR1363" s="23"/>
      <c r="SQS1363" s="23"/>
      <c r="SQT1363" s="23"/>
      <c r="SQU1363" s="23"/>
      <c r="SQV1363" s="23"/>
      <c r="SQW1363" s="23"/>
      <c r="SQX1363" s="23"/>
      <c r="SQY1363" s="23"/>
      <c r="SQZ1363" s="23"/>
      <c r="SRA1363" s="23"/>
      <c r="SRB1363" s="23"/>
      <c r="SRC1363" s="23"/>
      <c r="SRD1363" s="23"/>
      <c r="SRE1363" s="23"/>
      <c r="SRF1363" s="23"/>
      <c r="SRG1363" s="23"/>
      <c r="SRH1363" s="23"/>
      <c r="SRI1363" s="23"/>
      <c r="SRJ1363" s="23"/>
      <c r="SRK1363" s="23"/>
      <c r="SRL1363" s="23"/>
      <c r="SRM1363" s="23"/>
      <c r="SRN1363" s="23"/>
      <c r="SRO1363" s="23"/>
      <c r="SRP1363" s="23"/>
      <c r="SRQ1363" s="23"/>
      <c r="SRR1363" s="23"/>
      <c r="SRS1363" s="23"/>
      <c r="SRT1363" s="23"/>
      <c r="SRU1363" s="23"/>
      <c r="SRV1363" s="23"/>
      <c r="SRW1363" s="23"/>
      <c r="SRX1363" s="23"/>
      <c r="SRY1363" s="23"/>
      <c r="SRZ1363" s="23"/>
      <c r="SSA1363" s="23"/>
      <c r="SSB1363" s="23"/>
      <c r="SSC1363" s="23"/>
      <c r="SSD1363" s="23"/>
      <c r="SSE1363" s="23"/>
      <c r="SSF1363" s="23"/>
      <c r="SSG1363" s="23"/>
      <c r="SSH1363" s="23"/>
      <c r="SSI1363" s="23"/>
      <c r="SSJ1363" s="23"/>
      <c r="SSK1363" s="23"/>
      <c r="SSL1363" s="23"/>
      <c r="SSM1363" s="23"/>
      <c r="SSN1363" s="23"/>
      <c r="SSO1363" s="23"/>
      <c r="SSP1363" s="23"/>
      <c r="SSQ1363" s="23"/>
      <c r="SSR1363" s="23"/>
      <c r="SSS1363" s="23"/>
      <c r="SST1363" s="23"/>
      <c r="SSU1363" s="23"/>
      <c r="SSV1363" s="23"/>
      <c r="SSW1363" s="23"/>
      <c r="SSX1363" s="23"/>
      <c r="SSY1363" s="23"/>
      <c r="SSZ1363" s="23"/>
      <c r="STA1363" s="23"/>
      <c r="STB1363" s="23"/>
      <c r="STC1363" s="23"/>
      <c r="STD1363" s="23"/>
      <c r="STE1363" s="23"/>
      <c r="STF1363" s="23"/>
      <c r="STG1363" s="23"/>
      <c r="STH1363" s="23"/>
      <c r="STI1363" s="23"/>
      <c r="STJ1363" s="23"/>
      <c r="STK1363" s="23"/>
      <c r="STL1363" s="23"/>
      <c r="STM1363" s="23"/>
      <c r="STN1363" s="23"/>
      <c r="STO1363" s="23"/>
      <c r="STP1363" s="23"/>
      <c r="STQ1363" s="23"/>
      <c r="STR1363" s="23"/>
      <c r="STS1363" s="23"/>
      <c r="STT1363" s="23"/>
      <c r="STU1363" s="23"/>
      <c r="STV1363" s="23"/>
      <c r="STW1363" s="23"/>
      <c r="STX1363" s="23"/>
      <c r="STY1363" s="23"/>
      <c r="STZ1363" s="23"/>
      <c r="SUA1363" s="23"/>
      <c r="SUB1363" s="23"/>
      <c r="SUC1363" s="23"/>
      <c r="SUD1363" s="23"/>
      <c r="SUE1363" s="23"/>
      <c r="SUF1363" s="23"/>
      <c r="SUG1363" s="23"/>
      <c r="SUH1363" s="23"/>
      <c r="SUI1363" s="23"/>
      <c r="SUJ1363" s="23"/>
      <c r="SUK1363" s="23"/>
      <c r="SUL1363" s="23"/>
      <c r="SUM1363" s="23"/>
      <c r="SUN1363" s="23"/>
      <c r="SUO1363" s="23"/>
      <c r="SUP1363" s="23"/>
      <c r="SUQ1363" s="23"/>
      <c r="SUR1363" s="23"/>
      <c r="SUS1363" s="23"/>
      <c r="SUT1363" s="23"/>
      <c r="SUU1363" s="23"/>
      <c r="SUV1363" s="23"/>
      <c r="SUW1363" s="23"/>
      <c r="SUX1363" s="23"/>
      <c r="SUY1363" s="23"/>
      <c r="SUZ1363" s="23"/>
      <c r="SVA1363" s="23"/>
      <c r="SVB1363" s="23"/>
      <c r="SVC1363" s="23"/>
      <c r="SVD1363" s="23"/>
      <c r="SVE1363" s="23"/>
      <c r="SVF1363" s="23"/>
      <c r="SVG1363" s="23"/>
      <c r="SVH1363" s="23"/>
      <c r="SVI1363" s="23"/>
      <c r="SVJ1363" s="23"/>
      <c r="SVK1363" s="23"/>
      <c r="SVL1363" s="23"/>
      <c r="SVM1363" s="23"/>
      <c r="SVN1363" s="23"/>
      <c r="SVO1363" s="23"/>
      <c r="SVP1363" s="23"/>
      <c r="SVQ1363" s="23"/>
      <c r="SVR1363" s="23"/>
      <c r="SVS1363" s="23"/>
      <c r="SVT1363" s="23"/>
      <c r="SVU1363" s="23"/>
      <c r="SVV1363" s="23"/>
      <c r="SVW1363" s="23"/>
      <c r="SVX1363" s="23"/>
      <c r="SVY1363" s="23"/>
      <c r="SVZ1363" s="23"/>
      <c r="SWA1363" s="23"/>
      <c r="SWB1363" s="23"/>
      <c r="SWC1363" s="23"/>
      <c r="SWD1363" s="23"/>
      <c r="SWE1363" s="23"/>
      <c r="SWF1363" s="23"/>
      <c r="SWG1363" s="23"/>
      <c r="SWH1363" s="23"/>
      <c r="SWI1363" s="23"/>
      <c r="SWJ1363" s="23"/>
      <c r="SWK1363" s="23"/>
      <c r="SWL1363" s="23"/>
      <c r="SWM1363" s="23"/>
      <c r="SWN1363" s="23"/>
      <c r="SWO1363" s="23"/>
      <c r="SWP1363" s="23"/>
      <c r="SWQ1363" s="23"/>
      <c r="SWR1363" s="23"/>
      <c r="SWS1363" s="23"/>
      <c r="SWT1363" s="23"/>
      <c r="SWU1363" s="23"/>
      <c r="SWV1363" s="23"/>
      <c r="SWW1363" s="23"/>
      <c r="SWX1363" s="23"/>
      <c r="SWY1363" s="23"/>
      <c r="SWZ1363" s="23"/>
      <c r="SXA1363" s="23"/>
      <c r="SXB1363" s="23"/>
      <c r="SXC1363" s="23"/>
      <c r="SXD1363" s="23"/>
      <c r="SXE1363" s="23"/>
      <c r="SXF1363" s="23"/>
      <c r="SXG1363" s="23"/>
      <c r="SXH1363" s="23"/>
      <c r="SXI1363" s="23"/>
      <c r="SXJ1363" s="23"/>
      <c r="SXK1363" s="23"/>
      <c r="SXL1363" s="23"/>
      <c r="SXM1363" s="23"/>
      <c r="SXN1363" s="23"/>
      <c r="SXO1363" s="23"/>
      <c r="SXP1363" s="23"/>
      <c r="SXQ1363" s="23"/>
      <c r="SXR1363" s="23"/>
      <c r="SXS1363" s="23"/>
      <c r="SXT1363" s="23"/>
      <c r="SXU1363" s="23"/>
      <c r="SXV1363" s="23"/>
      <c r="SXW1363" s="23"/>
      <c r="SXX1363" s="23"/>
      <c r="SXY1363" s="23"/>
      <c r="SXZ1363" s="23"/>
      <c r="SYA1363" s="23"/>
      <c r="SYB1363" s="23"/>
      <c r="SYC1363" s="23"/>
      <c r="SYD1363" s="23"/>
      <c r="SYE1363" s="23"/>
      <c r="SYF1363" s="23"/>
      <c r="SYG1363" s="23"/>
      <c r="SYH1363" s="23"/>
      <c r="SYI1363" s="23"/>
      <c r="SYJ1363" s="23"/>
      <c r="SYK1363" s="23"/>
      <c r="SYL1363" s="23"/>
      <c r="SYM1363" s="23"/>
      <c r="SYN1363" s="23"/>
      <c r="SYO1363" s="23"/>
      <c r="SYP1363" s="23"/>
      <c r="SYQ1363" s="23"/>
      <c r="SYR1363" s="23"/>
      <c r="SYS1363" s="23"/>
      <c r="SYT1363" s="23"/>
      <c r="SYU1363" s="23"/>
      <c r="SYV1363" s="23"/>
      <c r="SYW1363" s="23"/>
      <c r="SYX1363" s="23"/>
      <c r="SYY1363" s="23"/>
      <c r="SYZ1363" s="23"/>
      <c r="SZA1363" s="23"/>
      <c r="SZB1363" s="23"/>
      <c r="SZC1363" s="23"/>
      <c r="SZD1363" s="23"/>
      <c r="SZE1363" s="23"/>
      <c r="SZF1363" s="23"/>
      <c r="SZG1363" s="23"/>
      <c r="SZH1363" s="23"/>
      <c r="SZI1363" s="23"/>
      <c r="SZJ1363" s="23"/>
      <c r="SZK1363" s="23"/>
      <c r="SZL1363" s="23"/>
      <c r="SZM1363" s="23"/>
      <c r="SZN1363" s="23"/>
      <c r="SZO1363" s="23"/>
      <c r="SZP1363" s="23"/>
      <c r="SZQ1363" s="23"/>
      <c r="SZR1363" s="23"/>
      <c r="SZS1363" s="23"/>
      <c r="SZT1363" s="23"/>
      <c r="SZU1363" s="23"/>
      <c r="SZV1363" s="23"/>
      <c r="SZW1363" s="23"/>
      <c r="SZX1363" s="23"/>
      <c r="SZY1363" s="23"/>
      <c r="SZZ1363" s="23"/>
      <c r="TAA1363" s="23"/>
      <c r="TAB1363" s="23"/>
      <c r="TAC1363" s="23"/>
      <c r="TAD1363" s="23"/>
      <c r="TAE1363" s="23"/>
      <c r="TAF1363" s="23"/>
      <c r="TAG1363" s="23"/>
      <c r="TAH1363" s="23"/>
      <c r="TAI1363" s="23"/>
      <c r="TAJ1363" s="23"/>
      <c r="TAK1363" s="23"/>
      <c r="TAL1363" s="23"/>
      <c r="TAM1363" s="23"/>
      <c r="TAN1363" s="23"/>
      <c r="TAO1363" s="23"/>
      <c r="TAP1363" s="23"/>
      <c r="TAQ1363" s="23"/>
      <c r="TAR1363" s="23"/>
      <c r="TAS1363" s="23"/>
      <c r="TAT1363" s="23"/>
      <c r="TAU1363" s="23"/>
      <c r="TAV1363" s="23"/>
      <c r="TAW1363" s="23"/>
      <c r="TAX1363" s="23"/>
      <c r="TAY1363" s="23"/>
      <c r="TAZ1363" s="23"/>
      <c r="TBA1363" s="23"/>
      <c r="TBB1363" s="23"/>
      <c r="TBC1363" s="23"/>
      <c r="TBD1363" s="23"/>
      <c r="TBE1363" s="23"/>
      <c r="TBF1363" s="23"/>
      <c r="TBG1363" s="23"/>
      <c r="TBH1363" s="23"/>
      <c r="TBI1363" s="23"/>
      <c r="TBJ1363" s="23"/>
      <c r="TBK1363" s="23"/>
      <c r="TBL1363" s="23"/>
      <c r="TBM1363" s="23"/>
      <c r="TBN1363" s="23"/>
      <c r="TBO1363" s="23"/>
      <c r="TBP1363" s="23"/>
      <c r="TBQ1363" s="23"/>
      <c r="TBR1363" s="23"/>
      <c r="TBS1363" s="23"/>
      <c r="TBT1363" s="23"/>
      <c r="TBU1363" s="23"/>
      <c r="TBV1363" s="23"/>
      <c r="TBW1363" s="23"/>
      <c r="TBX1363" s="23"/>
      <c r="TBY1363" s="23"/>
      <c r="TBZ1363" s="23"/>
      <c r="TCA1363" s="23"/>
      <c r="TCB1363" s="23"/>
      <c r="TCC1363" s="23"/>
      <c r="TCD1363" s="23"/>
      <c r="TCE1363" s="23"/>
      <c r="TCF1363" s="23"/>
      <c r="TCG1363" s="23"/>
      <c r="TCH1363" s="23"/>
      <c r="TCI1363" s="23"/>
      <c r="TCJ1363" s="23"/>
      <c r="TCK1363" s="23"/>
      <c r="TCL1363" s="23"/>
      <c r="TCM1363" s="23"/>
      <c r="TCN1363" s="23"/>
      <c r="TCO1363" s="23"/>
      <c r="TCP1363" s="23"/>
      <c r="TCQ1363" s="23"/>
      <c r="TCR1363" s="23"/>
      <c r="TCS1363" s="23"/>
      <c r="TCT1363" s="23"/>
      <c r="TCU1363" s="23"/>
      <c r="TCV1363" s="23"/>
      <c r="TCW1363" s="23"/>
      <c r="TCX1363" s="23"/>
      <c r="TCY1363" s="23"/>
      <c r="TCZ1363" s="23"/>
      <c r="TDA1363" s="23"/>
      <c r="TDB1363" s="23"/>
      <c r="TDC1363" s="23"/>
      <c r="TDD1363" s="23"/>
      <c r="TDE1363" s="23"/>
      <c r="TDF1363" s="23"/>
      <c r="TDG1363" s="23"/>
      <c r="TDH1363" s="23"/>
      <c r="TDI1363" s="23"/>
      <c r="TDJ1363" s="23"/>
      <c r="TDK1363" s="23"/>
      <c r="TDL1363" s="23"/>
      <c r="TDM1363" s="23"/>
      <c r="TDN1363" s="23"/>
      <c r="TDO1363" s="23"/>
      <c r="TDP1363" s="23"/>
      <c r="TDQ1363" s="23"/>
      <c r="TDR1363" s="23"/>
      <c r="TDS1363" s="23"/>
      <c r="TDT1363" s="23"/>
      <c r="TDU1363" s="23"/>
      <c r="TDV1363" s="23"/>
      <c r="TDW1363" s="23"/>
      <c r="TDX1363" s="23"/>
      <c r="TDY1363" s="23"/>
      <c r="TDZ1363" s="23"/>
      <c r="TEA1363" s="23"/>
      <c r="TEB1363" s="23"/>
      <c r="TEC1363" s="23"/>
      <c r="TED1363" s="23"/>
      <c r="TEE1363" s="23"/>
      <c r="TEF1363" s="23"/>
      <c r="TEG1363" s="23"/>
      <c r="TEH1363" s="23"/>
      <c r="TEI1363" s="23"/>
      <c r="TEJ1363" s="23"/>
      <c r="TEK1363" s="23"/>
      <c r="TEL1363" s="23"/>
      <c r="TEM1363" s="23"/>
      <c r="TEN1363" s="23"/>
      <c r="TEO1363" s="23"/>
      <c r="TEP1363" s="23"/>
      <c r="TEQ1363" s="23"/>
      <c r="TER1363" s="23"/>
      <c r="TES1363" s="23"/>
      <c r="TET1363" s="23"/>
      <c r="TEU1363" s="23"/>
      <c r="TEV1363" s="23"/>
      <c r="TEW1363" s="23"/>
      <c r="TEX1363" s="23"/>
      <c r="TEY1363" s="23"/>
      <c r="TEZ1363" s="23"/>
      <c r="TFA1363" s="23"/>
      <c r="TFB1363" s="23"/>
      <c r="TFC1363" s="23"/>
      <c r="TFD1363" s="23"/>
      <c r="TFE1363" s="23"/>
      <c r="TFF1363" s="23"/>
      <c r="TFG1363" s="23"/>
      <c r="TFH1363" s="23"/>
      <c r="TFI1363" s="23"/>
      <c r="TFJ1363" s="23"/>
      <c r="TFK1363" s="23"/>
      <c r="TFL1363" s="23"/>
      <c r="TFM1363" s="23"/>
      <c r="TFN1363" s="23"/>
      <c r="TFO1363" s="23"/>
      <c r="TFP1363" s="23"/>
      <c r="TFQ1363" s="23"/>
      <c r="TFR1363" s="23"/>
      <c r="TFS1363" s="23"/>
      <c r="TFT1363" s="23"/>
      <c r="TFU1363" s="23"/>
      <c r="TFV1363" s="23"/>
      <c r="TFW1363" s="23"/>
      <c r="TFX1363" s="23"/>
      <c r="TFY1363" s="23"/>
      <c r="TFZ1363" s="23"/>
      <c r="TGA1363" s="23"/>
      <c r="TGB1363" s="23"/>
      <c r="TGC1363" s="23"/>
      <c r="TGD1363" s="23"/>
      <c r="TGE1363" s="23"/>
      <c r="TGF1363" s="23"/>
      <c r="TGG1363" s="23"/>
      <c r="TGH1363" s="23"/>
      <c r="TGI1363" s="23"/>
      <c r="TGJ1363" s="23"/>
      <c r="TGK1363" s="23"/>
      <c r="TGL1363" s="23"/>
      <c r="TGM1363" s="23"/>
      <c r="TGN1363" s="23"/>
      <c r="TGO1363" s="23"/>
      <c r="TGP1363" s="23"/>
      <c r="TGQ1363" s="23"/>
      <c r="TGR1363" s="23"/>
      <c r="TGS1363" s="23"/>
      <c r="TGT1363" s="23"/>
      <c r="TGU1363" s="23"/>
      <c r="TGV1363" s="23"/>
      <c r="TGW1363" s="23"/>
      <c r="TGX1363" s="23"/>
      <c r="TGY1363" s="23"/>
      <c r="TGZ1363" s="23"/>
      <c r="THA1363" s="23"/>
      <c r="THB1363" s="23"/>
      <c r="THC1363" s="23"/>
      <c r="THD1363" s="23"/>
      <c r="THE1363" s="23"/>
      <c r="THF1363" s="23"/>
      <c r="THG1363" s="23"/>
      <c r="THH1363" s="23"/>
      <c r="THI1363" s="23"/>
      <c r="THJ1363" s="23"/>
      <c r="THK1363" s="23"/>
      <c r="THL1363" s="23"/>
      <c r="THM1363" s="23"/>
      <c r="THN1363" s="23"/>
      <c r="THO1363" s="23"/>
      <c r="THP1363" s="23"/>
      <c r="THQ1363" s="23"/>
      <c r="THR1363" s="23"/>
      <c r="THS1363" s="23"/>
      <c r="THT1363" s="23"/>
      <c r="THU1363" s="23"/>
      <c r="THV1363" s="23"/>
      <c r="THW1363" s="23"/>
      <c r="THX1363" s="23"/>
      <c r="THY1363" s="23"/>
      <c r="THZ1363" s="23"/>
      <c r="TIA1363" s="23"/>
      <c r="TIB1363" s="23"/>
      <c r="TIC1363" s="23"/>
      <c r="TID1363" s="23"/>
      <c r="TIE1363" s="23"/>
      <c r="TIF1363" s="23"/>
      <c r="TIG1363" s="23"/>
      <c r="TIH1363" s="23"/>
      <c r="TII1363" s="23"/>
      <c r="TIJ1363" s="23"/>
      <c r="TIK1363" s="23"/>
      <c r="TIL1363" s="23"/>
      <c r="TIM1363" s="23"/>
      <c r="TIN1363" s="23"/>
      <c r="TIO1363" s="23"/>
      <c r="TIP1363" s="23"/>
      <c r="TIQ1363" s="23"/>
      <c r="TIR1363" s="23"/>
      <c r="TIS1363" s="23"/>
      <c r="TIT1363" s="23"/>
      <c r="TIU1363" s="23"/>
      <c r="TIV1363" s="23"/>
      <c r="TIW1363" s="23"/>
      <c r="TIX1363" s="23"/>
      <c r="TIY1363" s="23"/>
      <c r="TIZ1363" s="23"/>
      <c r="TJA1363" s="23"/>
      <c r="TJB1363" s="23"/>
      <c r="TJC1363" s="23"/>
      <c r="TJD1363" s="23"/>
      <c r="TJE1363" s="23"/>
      <c r="TJF1363" s="23"/>
      <c r="TJG1363" s="23"/>
      <c r="TJH1363" s="23"/>
      <c r="TJI1363" s="23"/>
      <c r="TJJ1363" s="23"/>
      <c r="TJK1363" s="23"/>
      <c r="TJL1363" s="23"/>
      <c r="TJM1363" s="23"/>
      <c r="TJN1363" s="23"/>
      <c r="TJO1363" s="23"/>
      <c r="TJP1363" s="23"/>
      <c r="TJQ1363" s="23"/>
      <c r="TJR1363" s="23"/>
      <c r="TJS1363" s="23"/>
      <c r="TJT1363" s="23"/>
      <c r="TJU1363" s="23"/>
      <c r="TJV1363" s="23"/>
      <c r="TJW1363" s="23"/>
      <c r="TJX1363" s="23"/>
      <c r="TJY1363" s="23"/>
      <c r="TJZ1363" s="23"/>
      <c r="TKA1363" s="23"/>
      <c r="TKB1363" s="23"/>
      <c r="TKC1363" s="23"/>
      <c r="TKD1363" s="23"/>
      <c r="TKE1363" s="23"/>
      <c r="TKF1363" s="23"/>
      <c r="TKG1363" s="23"/>
      <c r="TKH1363" s="23"/>
      <c r="TKI1363" s="23"/>
      <c r="TKJ1363" s="23"/>
      <c r="TKK1363" s="23"/>
      <c r="TKL1363" s="23"/>
      <c r="TKM1363" s="23"/>
      <c r="TKN1363" s="23"/>
      <c r="TKO1363" s="23"/>
      <c r="TKP1363" s="23"/>
      <c r="TKQ1363" s="23"/>
      <c r="TKR1363" s="23"/>
      <c r="TKS1363" s="23"/>
      <c r="TKT1363" s="23"/>
      <c r="TKU1363" s="23"/>
      <c r="TKV1363" s="23"/>
      <c r="TKW1363" s="23"/>
      <c r="TKX1363" s="23"/>
      <c r="TKY1363" s="23"/>
      <c r="TKZ1363" s="23"/>
      <c r="TLA1363" s="23"/>
      <c r="TLB1363" s="23"/>
      <c r="TLC1363" s="23"/>
      <c r="TLD1363" s="23"/>
      <c r="TLE1363" s="23"/>
      <c r="TLF1363" s="23"/>
      <c r="TLG1363" s="23"/>
      <c r="TLH1363" s="23"/>
      <c r="TLI1363" s="23"/>
      <c r="TLJ1363" s="23"/>
      <c r="TLK1363" s="23"/>
      <c r="TLL1363" s="23"/>
      <c r="TLM1363" s="23"/>
      <c r="TLN1363" s="23"/>
      <c r="TLO1363" s="23"/>
      <c r="TLP1363" s="23"/>
      <c r="TLQ1363" s="23"/>
      <c r="TLR1363" s="23"/>
      <c r="TLS1363" s="23"/>
      <c r="TLT1363" s="23"/>
      <c r="TLU1363" s="23"/>
      <c r="TLV1363" s="23"/>
      <c r="TLW1363" s="23"/>
      <c r="TLX1363" s="23"/>
      <c r="TLY1363" s="23"/>
      <c r="TLZ1363" s="23"/>
      <c r="TMA1363" s="23"/>
      <c r="TMB1363" s="23"/>
      <c r="TMC1363" s="23"/>
      <c r="TMD1363" s="23"/>
      <c r="TME1363" s="23"/>
      <c r="TMF1363" s="23"/>
      <c r="TMG1363" s="23"/>
      <c r="TMH1363" s="23"/>
      <c r="TMI1363" s="23"/>
      <c r="TMJ1363" s="23"/>
      <c r="TMK1363" s="23"/>
      <c r="TML1363" s="23"/>
      <c r="TMM1363" s="23"/>
      <c r="TMN1363" s="23"/>
      <c r="TMO1363" s="23"/>
      <c r="TMP1363" s="23"/>
      <c r="TMQ1363" s="23"/>
      <c r="TMR1363" s="23"/>
      <c r="TMS1363" s="23"/>
      <c r="TMT1363" s="23"/>
      <c r="TMU1363" s="23"/>
      <c r="TMV1363" s="23"/>
      <c r="TMW1363" s="23"/>
      <c r="TMX1363" s="23"/>
      <c r="TMY1363" s="23"/>
      <c r="TMZ1363" s="23"/>
      <c r="TNA1363" s="23"/>
      <c r="TNB1363" s="23"/>
      <c r="TNC1363" s="23"/>
      <c r="TND1363" s="23"/>
      <c r="TNE1363" s="23"/>
      <c r="TNF1363" s="23"/>
      <c r="TNG1363" s="23"/>
      <c r="TNH1363" s="23"/>
      <c r="TNI1363" s="23"/>
      <c r="TNJ1363" s="23"/>
      <c r="TNK1363" s="23"/>
      <c r="TNL1363" s="23"/>
      <c r="TNM1363" s="23"/>
      <c r="TNN1363" s="23"/>
      <c r="TNO1363" s="23"/>
      <c r="TNP1363" s="23"/>
      <c r="TNQ1363" s="23"/>
      <c r="TNR1363" s="23"/>
      <c r="TNS1363" s="23"/>
      <c r="TNT1363" s="23"/>
      <c r="TNU1363" s="23"/>
      <c r="TNV1363" s="23"/>
      <c r="TNW1363" s="23"/>
      <c r="TNX1363" s="23"/>
      <c r="TNY1363" s="23"/>
      <c r="TNZ1363" s="23"/>
      <c r="TOA1363" s="23"/>
      <c r="TOB1363" s="23"/>
      <c r="TOC1363" s="23"/>
      <c r="TOD1363" s="23"/>
      <c r="TOE1363" s="23"/>
      <c r="TOF1363" s="23"/>
      <c r="TOG1363" s="23"/>
      <c r="TOH1363" s="23"/>
      <c r="TOI1363" s="23"/>
      <c r="TOJ1363" s="23"/>
      <c r="TOK1363" s="23"/>
      <c r="TOL1363" s="23"/>
      <c r="TOM1363" s="23"/>
      <c r="TON1363" s="23"/>
      <c r="TOO1363" s="23"/>
      <c r="TOP1363" s="23"/>
      <c r="TOQ1363" s="23"/>
      <c r="TOR1363" s="23"/>
      <c r="TOS1363" s="23"/>
      <c r="TOT1363" s="23"/>
      <c r="TOU1363" s="23"/>
      <c r="TOV1363" s="23"/>
      <c r="TOW1363" s="23"/>
      <c r="TOX1363" s="23"/>
      <c r="TOY1363" s="23"/>
      <c r="TOZ1363" s="23"/>
      <c r="TPA1363" s="23"/>
      <c r="TPB1363" s="23"/>
      <c r="TPC1363" s="23"/>
      <c r="TPD1363" s="23"/>
      <c r="TPE1363" s="23"/>
      <c r="TPF1363" s="23"/>
      <c r="TPG1363" s="23"/>
      <c r="TPH1363" s="23"/>
      <c r="TPI1363" s="23"/>
      <c r="TPJ1363" s="23"/>
      <c r="TPK1363" s="23"/>
      <c r="TPL1363" s="23"/>
      <c r="TPM1363" s="23"/>
      <c r="TPN1363" s="23"/>
      <c r="TPO1363" s="23"/>
      <c r="TPP1363" s="23"/>
      <c r="TPQ1363" s="23"/>
      <c r="TPR1363" s="23"/>
      <c r="TPS1363" s="23"/>
      <c r="TPT1363" s="23"/>
      <c r="TPU1363" s="23"/>
      <c r="TPV1363" s="23"/>
      <c r="TPW1363" s="23"/>
      <c r="TPX1363" s="23"/>
      <c r="TPY1363" s="23"/>
      <c r="TPZ1363" s="23"/>
      <c r="TQA1363" s="23"/>
      <c r="TQB1363" s="23"/>
      <c r="TQC1363" s="23"/>
      <c r="TQD1363" s="23"/>
      <c r="TQE1363" s="23"/>
      <c r="TQF1363" s="23"/>
      <c r="TQG1363" s="23"/>
      <c r="TQH1363" s="23"/>
      <c r="TQI1363" s="23"/>
      <c r="TQJ1363" s="23"/>
      <c r="TQK1363" s="23"/>
      <c r="TQL1363" s="23"/>
      <c r="TQM1363" s="23"/>
      <c r="TQN1363" s="23"/>
      <c r="TQO1363" s="23"/>
      <c r="TQP1363" s="23"/>
      <c r="TQQ1363" s="23"/>
      <c r="TQR1363" s="23"/>
      <c r="TQS1363" s="23"/>
      <c r="TQT1363" s="23"/>
      <c r="TQU1363" s="23"/>
      <c r="TQV1363" s="23"/>
      <c r="TQW1363" s="23"/>
      <c r="TQX1363" s="23"/>
      <c r="TQY1363" s="23"/>
      <c r="TQZ1363" s="23"/>
      <c r="TRA1363" s="23"/>
      <c r="TRB1363" s="23"/>
      <c r="TRC1363" s="23"/>
      <c r="TRD1363" s="23"/>
      <c r="TRE1363" s="23"/>
      <c r="TRF1363" s="23"/>
      <c r="TRG1363" s="23"/>
      <c r="TRH1363" s="23"/>
      <c r="TRI1363" s="23"/>
      <c r="TRJ1363" s="23"/>
      <c r="TRK1363" s="23"/>
      <c r="TRL1363" s="23"/>
      <c r="TRM1363" s="23"/>
      <c r="TRN1363" s="23"/>
      <c r="TRO1363" s="23"/>
      <c r="TRP1363" s="23"/>
      <c r="TRQ1363" s="23"/>
      <c r="TRR1363" s="23"/>
      <c r="TRS1363" s="23"/>
      <c r="TRT1363" s="23"/>
      <c r="TRU1363" s="23"/>
      <c r="TRV1363" s="23"/>
      <c r="TRW1363" s="23"/>
      <c r="TRX1363" s="23"/>
      <c r="TRY1363" s="23"/>
      <c r="TRZ1363" s="23"/>
      <c r="TSA1363" s="23"/>
      <c r="TSB1363" s="23"/>
      <c r="TSC1363" s="23"/>
      <c r="TSD1363" s="23"/>
      <c r="TSE1363" s="23"/>
      <c r="TSF1363" s="23"/>
      <c r="TSG1363" s="23"/>
      <c r="TSH1363" s="23"/>
      <c r="TSI1363" s="23"/>
      <c r="TSJ1363" s="23"/>
      <c r="TSK1363" s="23"/>
      <c r="TSL1363" s="23"/>
      <c r="TSM1363" s="23"/>
      <c r="TSN1363" s="23"/>
      <c r="TSO1363" s="23"/>
      <c r="TSP1363" s="23"/>
      <c r="TSQ1363" s="23"/>
      <c r="TSR1363" s="23"/>
      <c r="TSS1363" s="23"/>
      <c r="TST1363" s="23"/>
      <c r="TSU1363" s="23"/>
      <c r="TSV1363" s="23"/>
      <c r="TSW1363" s="23"/>
      <c r="TSX1363" s="23"/>
      <c r="TSY1363" s="23"/>
      <c r="TSZ1363" s="23"/>
      <c r="TTA1363" s="23"/>
      <c r="TTB1363" s="23"/>
      <c r="TTC1363" s="23"/>
      <c r="TTD1363" s="23"/>
      <c r="TTE1363" s="23"/>
      <c r="TTF1363" s="23"/>
      <c r="TTG1363" s="23"/>
      <c r="TTH1363" s="23"/>
      <c r="TTI1363" s="23"/>
      <c r="TTJ1363" s="23"/>
      <c r="TTK1363" s="23"/>
      <c r="TTL1363" s="23"/>
      <c r="TTM1363" s="23"/>
      <c r="TTN1363" s="23"/>
      <c r="TTO1363" s="23"/>
      <c r="TTP1363" s="23"/>
      <c r="TTQ1363" s="23"/>
      <c r="TTR1363" s="23"/>
      <c r="TTS1363" s="23"/>
      <c r="TTT1363" s="23"/>
      <c r="TTU1363" s="23"/>
      <c r="TTV1363" s="23"/>
      <c r="TTW1363" s="23"/>
      <c r="TTX1363" s="23"/>
      <c r="TTY1363" s="23"/>
      <c r="TTZ1363" s="23"/>
      <c r="TUA1363" s="23"/>
      <c r="TUB1363" s="23"/>
      <c r="TUC1363" s="23"/>
      <c r="TUD1363" s="23"/>
      <c r="TUE1363" s="23"/>
      <c r="TUF1363" s="23"/>
      <c r="TUG1363" s="23"/>
      <c r="TUH1363" s="23"/>
      <c r="TUI1363" s="23"/>
      <c r="TUJ1363" s="23"/>
      <c r="TUK1363" s="23"/>
      <c r="TUL1363" s="23"/>
      <c r="TUM1363" s="23"/>
      <c r="TUN1363" s="23"/>
      <c r="TUO1363" s="23"/>
      <c r="TUP1363" s="23"/>
      <c r="TUQ1363" s="23"/>
      <c r="TUR1363" s="23"/>
      <c r="TUS1363" s="23"/>
      <c r="TUT1363" s="23"/>
      <c r="TUU1363" s="23"/>
      <c r="TUV1363" s="23"/>
      <c r="TUW1363" s="23"/>
      <c r="TUX1363" s="23"/>
      <c r="TUY1363" s="23"/>
      <c r="TUZ1363" s="23"/>
      <c r="TVA1363" s="23"/>
      <c r="TVB1363" s="23"/>
      <c r="TVC1363" s="23"/>
      <c r="TVD1363" s="23"/>
      <c r="TVE1363" s="23"/>
      <c r="TVF1363" s="23"/>
      <c r="TVG1363" s="23"/>
      <c r="TVH1363" s="23"/>
      <c r="TVI1363" s="23"/>
      <c r="TVJ1363" s="23"/>
      <c r="TVK1363" s="23"/>
      <c r="TVL1363" s="23"/>
      <c r="TVM1363" s="23"/>
      <c r="TVN1363" s="23"/>
      <c r="TVO1363" s="23"/>
      <c r="TVP1363" s="23"/>
      <c r="TVQ1363" s="23"/>
      <c r="TVR1363" s="23"/>
      <c r="TVS1363" s="23"/>
      <c r="TVT1363" s="23"/>
      <c r="TVU1363" s="23"/>
      <c r="TVV1363" s="23"/>
      <c r="TVW1363" s="23"/>
      <c r="TVX1363" s="23"/>
      <c r="TVY1363" s="23"/>
      <c r="TVZ1363" s="23"/>
      <c r="TWA1363" s="23"/>
      <c r="TWB1363" s="23"/>
      <c r="TWC1363" s="23"/>
      <c r="TWD1363" s="23"/>
      <c r="TWE1363" s="23"/>
      <c r="TWF1363" s="23"/>
      <c r="TWG1363" s="23"/>
      <c r="TWH1363" s="23"/>
      <c r="TWI1363" s="23"/>
      <c r="TWJ1363" s="23"/>
      <c r="TWK1363" s="23"/>
      <c r="TWL1363" s="23"/>
      <c r="TWM1363" s="23"/>
      <c r="TWN1363" s="23"/>
      <c r="TWO1363" s="23"/>
      <c r="TWP1363" s="23"/>
      <c r="TWQ1363" s="23"/>
      <c r="TWR1363" s="23"/>
      <c r="TWS1363" s="23"/>
      <c r="TWT1363" s="23"/>
      <c r="TWU1363" s="23"/>
      <c r="TWV1363" s="23"/>
      <c r="TWW1363" s="23"/>
      <c r="TWX1363" s="23"/>
      <c r="TWY1363" s="23"/>
      <c r="TWZ1363" s="23"/>
      <c r="TXA1363" s="23"/>
      <c r="TXB1363" s="23"/>
      <c r="TXC1363" s="23"/>
      <c r="TXD1363" s="23"/>
      <c r="TXE1363" s="23"/>
      <c r="TXF1363" s="23"/>
      <c r="TXG1363" s="23"/>
      <c r="TXH1363" s="23"/>
      <c r="TXI1363" s="23"/>
      <c r="TXJ1363" s="23"/>
      <c r="TXK1363" s="23"/>
      <c r="TXL1363" s="23"/>
      <c r="TXM1363" s="23"/>
      <c r="TXN1363" s="23"/>
      <c r="TXO1363" s="23"/>
      <c r="TXP1363" s="23"/>
      <c r="TXQ1363" s="23"/>
      <c r="TXR1363" s="23"/>
      <c r="TXS1363" s="23"/>
      <c r="TXT1363" s="23"/>
      <c r="TXU1363" s="23"/>
      <c r="TXV1363" s="23"/>
      <c r="TXW1363" s="23"/>
      <c r="TXX1363" s="23"/>
      <c r="TXY1363" s="23"/>
      <c r="TXZ1363" s="23"/>
      <c r="TYA1363" s="23"/>
      <c r="TYB1363" s="23"/>
      <c r="TYC1363" s="23"/>
      <c r="TYD1363" s="23"/>
      <c r="TYE1363" s="23"/>
      <c r="TYF1363" s="23"/>
      <c r="TYG1363" s="23"/>
      <c r="TYH1363" s="23"/>
      <c r="TYI1363" s="23"/>
      <c r="TYJ1363" s="23"/>
      <c r="TYK1363" s="23"/>
      <c r="TYL1363" s="23"/>
      <c r="TYM1363" s="23"/>
      <c r="TYN1363" s="23"/>
      <c r="TYO1363" s="23"/>
      <c r="TYP1363" s="23"/>
      <c r="TYQ1363" s="23"/>
      <c r="TYR1363" s="23"/>
      <c r="TYS1363" s="23"/>
      <c r="TYT1363" s="23"/>
      <c r="TYU1363" s="23"/>
      <c r="TYV1363" s="23"/>
      <c r="TYW1363" s="23"/>
      <c r="TYX1363" s="23"/>
      <c r="TYY1363" s="23"/>
      <c r="TYZ1363" s="23"/>
      <c r="TZA1363" s="23"/>
      <c r="TZB1363" s="23"/>
      <c r="TZC1363" s="23"/>
      <c r="TZD1363" s="23"/>
      <c r="TZE1363" s="23"/>
      <c r="TZF1363" s="23"/>
      <c r="TZG1363" s="23"/>
      <c r="TZH1363" s="23"/>
      <c r="TZI1363" s="23"/>
      <c r="TZJ1363" s="23"/>
      <c r="TZK1363" s="23"/>
      <c r="TZL1363" s="23"/>
      <c r="TZM1363" s="23"/>
      <c r="TZN1363" s="23"/>
      <c r="TZO1363" s="23"/>
      <c r="TZP1363" s="23"/>
      <c r="TZQ1363" s="23"/>
      <c r="TZR1363" s="23"/>
      <c r="TZS1363" s="23"/>
      <c r="TZT1363" s="23"/>
      <c r="TZU1363" s="23"/>
      <c r="TZV1363" s="23"/>
      <c r="TZW1363" s="23"/>
      <c r="TZX1363" s="23"/>
      <c r="TZY1363" s="23"/>
      <c r="TZZ1363" s="23"/>
      <c r="UAA1363" s="23"/>
      <c r="UAB1363" s="23"/>
      <c r="UAC1363" s="23"/>
      <c r="UAD1363" s="23"/>
      <c r="UAE1363" s="23"/>
      <c r="UAF1363" s="23"/>
      <c r="UAG1363" s="23"/>
      <c r="UAH1363" s="23"/>
      <c r="UAI1363" s="23"/>
      <c r="UAJ1363" s="23"/>
      <c r="UAK1363" s="23"/>
      <c r="UAL1363" s="23"/>
      <c r="UAM1363" s="23"/>
      <c r="UAN1363" s="23"/>
      <c r="UAO1363" s="23"/>
      <c r="UAP1363" s="23"/>
      <c r="UAQ1363" s="23"/>
      <c r="UAR1363" s="23"/>
      <c r="UAS1363" s="23"/>
      <c r="UAT1363" s="23"/>
      <c r="UAU1363" s="23"/>
      <c r="UAV1363" s="23"/>
      <c r="UAW1363" s="23"/>
      <c r="UAX1363" s="23"/>
      <c r="UAY1363" s="23"/>
      <c r="UAZ1363" s="23"/>
      <c r="UBA1363" s="23"/>
      <c r="UBB1363" s="23"/>
      <c r="UBC1363" s="23"/>
      <c r="UBD1363" s="23"/>
      <c r="UBE1363" s="23"/>
      <c r="UBF1363" s="23"/>
      <c r="UBG1363" s="23"/>
      <c r="UBH1363" s="23"/>
      <c r="UBI1363" s="23"/>
      <c r="UBJ1363" s="23"/>
      <c r="UBK1363" s="23"/>
      <c r="UBL1363" s="23"/>
      <c r="UBM1363" s="23"/>
      <c r="UBN1363" s="23"/>
      <c r="UBO1363" s="23"/>
      <c r="UBP1363" s="23"/>
      <c r="UBQ1363" s="23"/>
      <c r="UBR1363" s="23"/>
      <c r="UBS1363" s="23"/>
      <c r="UBT1363" s="23"/>
      <c r="UBU1363" s="23"/>
      <c r="UBV1363" s="23"/>
      <c r="UBW1363" s="23"/>
      <c r="UBX1363" s="23"/>
      <c r="UBY1363" s="23"/>
      <c r="UBZ1363" s="23"/>
      <c r="UCA1363" s="23"/>
      <c r="UCB1363" s="23"/>
      <c r="UCC1363" s="23"/>
      <c r="UCD1363" s="23"/>
      <c r="UCE1363" s="23"/>
      <c r="UCF1363" s="23"/>
      <c r="UCG1363" s="23"/>
      <c r="UCH1363" s="23"/>
      <c r="UCI1363" s="23"/>
      <c r="UCJ1363" s="23"/>
      <c r="UCK1363" s="23"/>
      <c r="UCL1363" s="23"/>
      <c r="UCM1363" s="23"/>
      <c r="UCN1363" s="23"/>
      <c r="UCO1363" s="23"/>
      <c r="UCP1363" s="23"/>
      <c r="UCQ1363" s="23"/>
      <c r="UCR1363" s="23"/>
      <c r="UCS1363" s="23"/>
      <c r="UCT1363" s="23"/>
      <c r="UCU1363" s="23"/>
      <c r="UCV1363" s="23"/>
      <c r="UCW1363" s="23"/>
      <c r="UCX1363" s="23"/>
      <c r="UCY1363" s="23"/>
      <c r="UCZ1363" s="23"/>
      <c r="UDA1363" s="23"/>
      <c r="UDB1363" s="23"/>
      <c r="UDC1363" s="23"/>
      <c r="UDD1363" s="23"/>
      <c r="UDE1363" s="23"/>
      <c r="UDF1363" s="23"/>
      <c r="UDG1363" s="23"/>
      <c r="UDH1363" s="23"/>
      <c r="UDI1363" s="23"/>
      <c r="UDJ1363" s="23"/>
      <c r="UDK1363" s="23"/>
      <c r="UDL1363" s="23"/>
      <c r="UDM1363" s="23"/>
      <c r="UDN1363" s="23"/>
      <c r="UDO1363" s="23"/>
      <c r="UDP1363" s="23"/>
      <c r="UDQ1363" s="23"/>
      <c r="UDR1363" s="23"/>
      <c r="UDS1363" s="23"/>
      <c r="UDT1363" s="23"/>
      <c r="UDU1363" s="23"/>
      <c r="UDV1363" s="23"/>
      <c r="UDW1363" s="23"/>
      <c r="UDX1363" s="23"/>
      <c r="UDY1363" s="23"/>
      <c r="UDZ1363" s="23"/>
      <c r="UEA1363" s="23"/>
      <c r="UEB1363" s="23"/>
      <c r="UEC1363" s="23"/>
      <c r="UED1363" s="23"/>
      <c r="UEE1363" s="23"/>
      <c r="UEF1363" s="23"/>
      <c r="UEG1363" s="23"/>
      <c r="UEH1363" s="23"/>
      <c r="UEI1363" s="23"/>
      <c r="UEJ1363" s="23"/>
      <c r="UEK1363" s="23"/>
      <c r="UEL1363" s="23"/>
      <c r="UEM1363" s="23"/>
      <c r="UEN1363" s="23"/>
      <c r="UEO1363" s="23"/>
      <c r="UEP1363" s="23"/>
      <c r="UEQ1363" s="23"/>
      <c r="UER1363" s="23"/>
      <c r="UES1363" s="23"/>
      <c r="UET1363" s="23"/>
      <c r="UEU1363" s="23"/>
      <c r="UEV1363" s="23"/>
      <c r="UEW1363" s="23"/>
      <c r="UEX1363" s="23"/>
      <c r="UEY1363" s="23"/>
      <c r="UEZ1363" s="23"/>
      <c r="UFA1363" s="23"/>
      <c r="UFB1363" s="23"/>
      <c r="UFC1363" s="23"/>
      <c r="UFD1363" s="23"/>
      <c r="UFE1363" s="23"/>
      <c r="UFF1363" s="23"/>
      <c r="UFG1363" s="23"/>
      <c r="UFH1363" s="23"/>
      <c r="UFI1363" s="23"/>
      <c r="UFJ1363" s="23"/>
      <c r="UFK1363" s="23"/>
      <c r="UFL1363" s="23"/>
      <c r="UFM1363" s="23"/>
      <c r="UFN1363" s="23"/>
      <c r="UFO1363" s="23"/>
      <c r="UFP1363" s="23"/>
      <c r="UFQ1363" s="23"/>
      <c r="UFR1363" s="23"/>
      <c r="UFS1363" s="23"/>
      <c r="UFT1363" s="23"/>
      <c r="UFU1363" s="23"/>
      <c r="UFV1363" s="23"/>
      <c r="UFW1363" s="23"/>
      <c r="UFX1363" s="23"/>
      <c r="UFY1363" s="23"/>
      <c r="UFZ1363" s="23"/>
      <c r="UGA1363" s="23"/>
      <c r="UGB1363" s="23"/>
      <c r="UGC1363" s="23"/>
      <c r="UGD1363" s="23"/>
      <c r="UGE1363" s="23"/>
      <c r="UGF1363" s="23"/>
      <c r="UGG1363" s="23"/>
      <c r="UGH1363" s="23"/>
      <c r="UGI1363" s="23"/>
      <c r="UGJ1363" s="23"/>
      <c r="UGK1363" s="23"/>
      <c r="UGL1363" s="23"/>
      <c r="UGM1363" s="23"/>
      <c r="UGN1363" s="23"/>
      <c r="UGO1363" s="23"/>
      <c r="UGP1363" s="23"/>
      <c r="UGQ1363" s="23"/>
      <c r="UGR1363" s="23"/>
      <c r="UGS1363" s="23"/>
      <c r="UGT1363" s="23"/>
      <c r="UGU1363" s="23"/>
      <c r="UGV1363" s="23"/>
      <c r="UGW1363" s="23"/>
      <c r="UGX1363" s="23"/>
      <c r="UGY1363" s="23"/>
      <c r="UGZ1363" s="23"/>
      <c r="UHA1363" s="23"/>
      <c r="UHB1363" s="23"/>
      <c r="UHC1363" s="23"/>
      <c r="UHD1363" s="23"/>
      <c r="UHE1363" s="23"/>
      <c r="UHF1363" s="23"/>
      <c r="UHG1363" s="23"/>
      <c r="UHH1363" s="23"/>
      <c r="UHI1363" s="23"/>
      <c r="UHJ1363" s="23"/>
      <c r="UHK1363" s="23"/>
      <c r="UHL1363" s="23"/>
      <c r="UHM1363" s="23"/>
      <c r="UHN1363" s="23"/>
      <c r="UHO1363" s="23"/>
      <c r="UHP1363" s="23"/>
      <c r="UHQ1363" s="23"/>
      <c r="UHR1363" s="23"/>
      <c r="UHS1363" s="23"/>
      <c r="UHT1363" s="23"/>
      <c r="UHU1363" s="23"/>
      <c r="UHV1363" s="23"/>
      <c r="UHW1363" s="23"/>
      <c r="UHX1363" s="23"/>
      <c r="UHY1363" s="23"/>
      <c r="UHZ1363" s="23"/>
      <c r="UIA1363" s="23"/>
      <c r="UIB1363" s="23"/>
      <c r="UIC1363" s="23"/>
      <c r="UID1363" s="23"/>
      <c r="UIE1363" s="23"/>
      <c r="UIF1363" s="23"/>
      <c r="UIG1363" s="23"/>
      <c r="UIH1363" s="23"/>
      <c r="UII1363" s="23"/>
      <c r="UIJ1363" s="23"/>
      <c r="UIK1363" s="23"/>
      <c r="UIL1363" s="23"/>
      <c r="UIM1363" s="23"/>
      <c r="UIN1363" s="23"/>
      <c r="UIO1363" s="23"/>
      <c r="UIP1363" s="23"/>
      <c r="UIQ1363" s="23"/>
      <c r="UIR1363" s="23"/>
      <c r="UIS1363" s="23"/>
      <c r="UIT1363" s="23"/>
      <c r="UIU1363" s="23"/>
      <c r="UIV1363" s="23"/>
      <c r="UIW1363" s="23"/>
      <c r="UIX1363" s="23"/>
      <c r="UIY1363" s="23"/>
      <c r="UIZ1363" s="23"/>
      <c r="UJA1363" s="23"/>
      <c r="UJB1363" s="23"/>
      <c r="UJC1363" s="23"/>
      <c r="UJD1363" s="23"/>
      <c r="UJE1363" s="23"/>
      <c r="UJF1363" s="23"/>
      <c r="UJG1363" s="23"/>
      <c r="UJH1363" s="23"/>
      <c r="UJI1363" s="23"/>
      <c r="UJJ1363" s="23"/>
      <c r="UJK1363" s="23"/>
      <c r="UJL1363" s="23"/>
      <c r="UJM1363" s="23"/>
      <c r="UJN1363" s="23"/>
      <c r="UJO1363" s="23"/>
      <c r="UJP1363" s="23"/>
      <c r="UJQ1363" s="23"/>
      <c r="UJR1363" s="23"/>
      <c r="UJS1363" s="23"/>
      <c r="UJT1363" s="23"/>
      <c r="UJU1363" s="23"/>
      <c r="UJV1363" s="23"/>
      <c r="UJW1363" s="23"/>
      <c r="UJX1363" s="23"/>
      <c r="UJY1363" s="23"/>
      <c r="UJZ1363" s="23"/>
      <c r="UKA1363" s="23"/>
      <c r="UKB1363" s="23"/>
      <c r="UKC1363" s="23"/>
      <c r="UKD1363" s="23"/>
      <c r="UKE1363" s="23"/>
      <c r="UKF1363" s="23"/>
      <c r="UKG1363" s="23"/>
      <c r="UKH1363" s="23"/>
      <c r="UKI1363" s="23"/>
      <c r="UKJ1363" s="23"/>
      <c r="UKK1363" s="23"/>
      <c r="UKL1363" s="23"/>
      <c r="UKM1363" s="23"/>
      <c r="UKN1363" s="23"/>
      <c r="UKO1363" s="23"/>
      <c r="UKP1363" s="23"/>
      <c r="UKQ1363" s="23"/>
      <c r="UKR1363" s="23"/>
      <c r="UKS1363" s="23"/>
      <c r="UKT1363" s="23"/>
      <c r="UKU1363" s="23"/>
      <c r="UKV1363" s="23"/>
      <c r="UKW1363" s="23"/>
      <c r="UKX1363" s="23"/>
      <c r="UKY1363" s="23"/>
      <c r="UKZ1363" s="23"/>
      <c r="ULA1363" s="23"/>
      <c r="ULB1363" s="23"/>
      <c r="ULC1363" s="23"/>
      <c r="ULD1363" s="23"/>
      <c r="ULE1363" s="23"/>
      <c r="ULF1363" s="23"/>
      <c r="ULG1363" s="23"/>
      <c r="ULH1363" s="23"/>
      <c r="ULI1363" s="23"/>
      <c r="ULJ1363" s="23"/>
      <c r="ULK1363" s="23"/>
      <c r="ULL1363" s="23"/>
      <c r="ULM1363" s="23"/>
      <c r="ULN1363" s="23"/>
      <c r="ULO1363" s="23"/>
      <c r="ULP1363" s="23"/>
      <c r="ULQ1363" s="23"/>
      <c r="ULR1363" s="23"/>
      <c r="ULS1363" s="23"/>
      <c r="ULT1363" s="23"/>
      <c r="ULU1363" s="23"/>
      <c r="ULV1363" s="23"/>
      <c r="ULW1363" s="23"/>
      <c r="ULX1363" s="23"/>
      <c r="ULY1363" s="23"/>
      <c r="ULZ1363" s="23"/>
      <c r="UMA1363" s="23"/>
      <c r="UMB1363" s="23"/>
      <c r="UMC1363" s="23"/>
      <c r="UMD1363" s="23"/>
      <c r="UME1363" s="23"/>
      <c r="UMF1363" s="23"/>
      <c r="UMG1363" s="23"/>
      <c r="UMH1363" s="23"/>
      <c r="UMI1363" s="23"/>
      <c r="UMJ1363" s="23"/>
      <c r="UMK1363" s="23"/>
      <c r="UML1363" s="23"/>
      <c r="UMM1363" s="23"/>
      <c r="UMN1363" s="23"/>
      <c r="UMO1363" s="23"/>
      <c r="UMP1363" s="23"/>
      <c r="UMQ1363" s="23"/>
      <c r="UMR1363" s="23"/>
      <c r="UMS1363" s="23"/>
      <c r="UMT1363" s="23"/>
      <c r="UMU1363" s="23"/>
      <c r="UMV1363" s="23"/>
      <c r="UMW1363" s="23"/>
      <c r="UMX1363" s="23"/>
      <c r="UMY1363" s="23"/>
      <c r="UMZ1363" s="23"/>
      <c r="UNA1363" s="23"/>
      <c r="UNB1363" s="23"/>
      <c r="UNC1363" s="23"/>
      <c r="UND1363" s="23"/>
      <c r="UNE1363" s="23"/>
      <c r="UNF1363" s="23"/>
      <c r="UNG1363" s="23"/>
      <c r="UNH1363" s="23"/>
      <c r="UNI1363" s="23"/>
      <c r="UNJ1363" s="23"/>
      <c r="UNK1363" s="23"/>
      <c r="UNL1363" s="23"/>
      <c r="UNM1363" s="23"/>
      <c r="UNN1363" s="23"/>
      <c r="UNO1363" s="23"/>
      <c r="UNP1363" s="23"/>
      <c r="UNQ1363" s="23"/>
      <c r="UNR1363" s="23"/>
      <c r="UNS1363" s="23"/>
      <c r="UNT1363" s="23"/>
      <c r="UNU1363" s="23"/>
      <c r="UNV1363" s="23"/>
      <c r="UNW1363" s="23"/>
      <c r="UNX1363" s="23"/>
      <c r="UNY1363" s="23"/>
      <c r="UNZ1363" s="23"/>
      <c r="UOA1363" s="23"/>
      <c r="UOB1363" s="23"/>
      <c r="UOC1363" s="23"/>
      <c r="UOD1363" s="23"/>
      <c r="UOE1363" s="23"/>
      <c r="UOF1363" s="23"/>
      <c r="UOG1363" s="23"/>
      <c r="UOH1363" s="23"/>
      <c r="UOI1363" s="23"/>
      <c r="UOJ1363" s="23"/>
      <c r="UOK1363" s="23"/>
      <c r="UOL1363" s="23"/>
      <c r="UOM1363" s="23"/>
      <c r="UON1363" s="23"/>
      <c r="UOO1363" s="23"/>
      <c r="UOP1363" s="23"/>
      <c r="UOQ1363" s="23"/>
      <c r="UOR1363" s="23"/>
      <c r="UOS1363" s="23"/>
      <c r="UOT1363" s="23"/>
      <c r="UOU1363" s="23"/>
      <c r="UOV1363" s="23"/>
      <c r="UOW1363" s="23"/>
      <c r="UOX1363" s="23"/>
      <c r="UOY1363" s="23"/>
      <c r="UOZ1363" s="23"/>
      <c r="UPA1363" s="23"/>
      <c r="UPB1363" s="23"/>
      <c r="UPC1363" s="23"/>
      <c r="UPD1363" s="23"/>
      <c r="UPE1363" s="23"/>
      <c r="UPF1363" s="23"/>
      <c r="UPG1363" s="23"/>
      <c r="UPH1363" s="23"/>
      <c r="UPI1363" s="23"/>
      <c r="UPJ1363" s="23"/>
      <c r="UPK1363" s="23"/>
      <c r="UPL1363" s="23"/>
      <c r="UPM1363" s="23"/>
      <c r="UPN1363" s="23"/>
      <c r="UPO1363" s="23"/>
      <c r="UPP1363" s="23"/>
      <c r="UPQ1363" s="23"/>
      <c r="UPR1363" s="23"/>
      <c r="UPS1363" s="23"/>
      <c r="UPT1363" s="23"/>
      <c r="UPU1363" s="23"/>
      <c r="UPV1363" s="23"/>
      <c r="UPW1363" s="23"/>
      <c r="UPX1363" s="23"/>
      <c r="UPY1363" s="23"/>
      <c r="UPZ1363" s="23"/>
      <c r="UQA1363" s="23"/>
      <c r="UQB1363" s="23"/>
      <c r="UQC1363" s="23"/>
      <c r="UQD1363" s="23"/>
      <c r="UQE1363" s="23"/>
      <c r="UQF1363" s="23"/>
      <c r="UQG1363" s="23"/>
      <c r="UQH1363" s="23"/>
      <c r="UQI1363" s="23"/>
      <c r="UQJ1363" s="23"/>
      <c r="UQK1363" s="23"/>
      <c r="UQL1363" s="23"/>
      <c r="UQM1363" s="23"/>
      <c r="UQN1363" s="23"/>
      <c r="UQO1363" s="23"/>
      <c r="UQP1363" s="23"/>
      <c r="UQQ1363" s="23"/>
      <c r="UQR1363" s="23"/>
      <c r="UQS1363" s="23"/>
      <c r="UQT1363" s="23"/>
      <c r="UQU1363" s="23"/>
      <c r="UQV1363" s="23"/>
      <c r="UQW1363" s="23"/>
      <c r="UQX1363" s="23"/>
      <c r="UQY1363" s="23"/>
      <c r="UQZ1363" s="23"/>
      <c r="URA1363" s="23"/>
      <c r="URB1363" s="23"/>
      <c r="URC1363" s="23"/>
      <c r="URD1363" s="23"/>
      <c r="URE1363" s="23"/>
      <c r="URF1363" s="23"/>
      <c r="URG1363" s="23"/>
      <c r="URH1363" s="23"/>
      <c r="URI1363" s="23"/>
      <c r="URJ1363" s="23"/>
      <c r="URK1363" s="23"/>
      <c r="URL1363" s="23"/>
      <c r="URM1363" s="23"/>
      <c r="URN1363" s="23"/>
      <c r="URO1363" s="23"/>
      <c r="URP1363" s="23"/>
      <c r="URQ1363" s="23"/>
      <c r="URR1363" s="23"/>
      <c r="URS1363" s="23"/>
      <c r="URT1363" s="23"/>
      <c r="URU1363" s="23"/>
      <c r="URV1363" s="23"/>
      <c r="URW1363" s="23"/>
      <c r="URX1363" s="23"/>
      <c r="URY1363" s="23"/>
      <c r="URZ1363" s="23"/>
      <c r="USA1363" s="23"/>
      <c r="USB1363" s="23"/>
      <c r="USC1363" s="23"/>
      <c r="USD1363" s="23"/>
      <c r="USE1363" s="23"/>
      <c r="USF1363" s="23"/>
      <c r="USG1363" s="23"/>
      <c r="USH1363" s="23"/>
      <c r="USI1363" s="23"/>
      <c r="USJ1363" s="23"/>
      <c r="USK1363" s="23"/>
      <c r="USL1363" s="23"/>
      <c r="USM1363" s="23"/>
      <c r="USN1363" s="23"/>
      <c r="USO1363" s="23"/>
      <c r="USP1363" s="23"/>
      <c r="USQ1363" s="23"/>
      <c r="USR1363" s="23"/>
      <c r="USS1363" s="23"/>
      <c r="UST1363" s="23"/>
      <c r="USU1363" s="23"/>
      <c r="USV1363" s="23"/>
      <c r="USW1363" s="23"/>
      <c r="USX1363" s="23"/>
      <c r="USY1363" s="23"/>
      <c r="USZ1363" s="23"/>
      <c r="UTA1363" s="23"/>
      <c r="UTB1363" s="23"/>
      <c r="UTC1363" s="23"/>
      <c r="UTD1363" s="23"/>
      <c r="UTE1363" s="23"/>
      <c r="UTF1363" s="23"/>
      <c r="UTG1363" s="23"/>
      <c r="UTH1363" s="23"/>
      <c r="UTI1363" s="23"/>
      <c r="UTJ1363" s="23"/>
      <c r="UTK1363" s="23"/>
      <c r="UTL1363" s="23"/>
      <c r="UTM1363" s="23"/>
      <c r="UTN1363" s="23"/>
      <c r="UTO1363" s="23"/>
      <c r="UTP1363" s="23"/>
      <c r="UTQ1363" s="23"/>
      <c r="UTR1363" s="23"/>
      <c r="UTS1363" s="23"/>
      <c r="UTT1363" s="23"/>
      <c r="UTU1363" s="23"/>
      <c r="UTV1363" s="23"/>
      <c r="UTW1363" s="23"/>
      <c r="UTX1363" s="23"/>
      <c r="UTY1363" s="23"/>
      <c r="UTZ1363" s="23"/>
      <c r="UUA1363" s="23"/>
      <c r="UUB1363" s="23"/>
      <c r="UUC1363" s="23"/>
      <c r="UUD1363" s="23"/>
      <c r="UUE1363" s="23"/>
      <c r="UUF1363" s="23"/>
      <c r="UUG1363" s="23"/>
      <c r="UUH1363" s="23"/>
      <c r="UUI1363" s="23"/>
      <c r="UUJ1363" s="23"/>
      <c r="UUK1363" s="23"/>
      <c r="UUL1363" s="23"/>
      <c r="UUM1363" s="23"/>
      <c r="UUN1363" s="23"/>
      <c r="UUO1363" s="23"/>
      <c r="UUP1363" s="23"/>
      <c r="UUQ1363" s="23"/>
      <c r="UUR1363" s="23"/>
      <c r="UUS1363" s="23"/>
      <c r="UUT1363" s="23"/>
      <c r="UUU1363" s="23"/>
      <c r="UUV1363" s="23"/>
      <c r="UUW1363" s="23"/>
      <c r="UUX1363" s="23"/>
      <c r="UUY1363" s="23"/>
      <c r="UUZ1363" s="23"/>
      <c r="UVA1363" s="23"/>
      <c r="UVB1363" s="23"/>
      <c r="UVC1363" s="23"/>
      <c r="UVD1363" s="23"/>
      <c r="UVE1363" s="23"/>
      <c r="UVF1363" s="23"/>
      <c r="UVG1363" s="23"/>
      <c r="UVH1363" s="23"/>
      <c r="UVI1363" s="23"/>
      <c r="UVJ1363" s="23"/>
      <c r="UVK1363" s="23"/>
      <c r="UVL1363" s="23"/>
      <c r="UVM1363" s="23"/>
      <c r="UVN1363" s="23"/>
      <c r="UVO1363" s="23"/>
      <c r="UVP1363" s="23"/>
      <c r="UVQ1363" s="23"/>
      <c r="UVR1363" s="23"/>
      <c r="UVS1363" s="23"/>
      <c r="UVT1363" s="23"/>
      <c r="UVU1363" s="23"/>
      <c r="UVV1363" s="23"/>
      <c r="UVW1363" s="23"/>
      <c r="UVX1363" s="23"/>
      <c r="UVY1363" s="23"/>
      <c r="UVZ1363" s="23"/>
      <c r="UWA1363" s="23"/>
      <c r="UWB1363" s="23"/>
      <c r="UWC1363" s="23"/>
      <c r="UWD1363" s="23"/>
      <c r="UWE1363" s="23"/>
      <c r="UWF1363" s="23"/>
      <c r="UWG1363" s="23"/>
      <c r="UWH1363" s="23"/>
      <c r="UWI1363" s="23"/>
      <c r="UWJ1363" s="23"/>
      <c r="UWK1363" s="23"/>
      <c r="UWL1363" s="23"/>
      <c r="UWM1363" s="23"/>
      <c r="UWN1363" s="23"/>
      <c r="UWO1363" s="23"/>
      <c r="UWP1363" s="23"/>
      <c r="UWQ1363" s="23"/>
      <c r="UWR1363" s="23"/>
      <c r="UWS1363" s="23"/>
      <c r="UWT1363" s="23"/>
      <c r="UWU1363" s="23"/>
      <c r="UWV1363" s="23"/>
      <c r="UWW1363" s="23"/>
      <c r="UWX1363" s="23"/>
      <c r="UWY1363" s="23"/>
      <c r="UWZ1363" s="23"/>
      <c r="UXA1363" s="23"/>
      <c r="UXB1363" s="23"/>
      <c r="UXC1363" s="23"/>
      <c r="UXD1363" s="23"/>
      <c r="UXE1363" s="23"/>
      <c r="UXF1363" s="23"/>
      <c r="UXG1363" s="23"/>
      <c r="UXH1363" s="23"/>
      <c r="UXI1363" s="23"/>
      <c r="UXJ1363" s="23"/>
      <c r="UXK1363" s="23"/>
      <c r="UXL1363" s="23"/>
      <c r="UXM1363" s="23"/>
      <c r="UXN1363" s="23"/>
      <c r="UXO1363" s="23"/>
      <c r="UXP1363" s="23"/>
      <c r="UXQ1363" s="23"/>
      <c r="UXR1363" s="23"/>
      <c r="UXS1363" s="23"/>
      <c r="UXT1363" s="23"/>
      <c r="UXU1363" s="23"/>
      <c r="UXV1363" s="23"/>
      <c r="UXW1363" s="23"/>
      <c r="UXX1363" s="23"/>
      <c r="UXY1363" s="23"/>
      <c r="UXZ1363" s="23"/>
      <c r="UYA1363" s="23"/>
      <c r="UYB1363" s="23"/>
      <c r="UYC1363" s="23"/>
      <c r="UYD1363" s="23"/>
      <c r="UYE1363" s="23"/>
      <c r="UYF1363" s="23"/>
      <c r="UYG1363" s="23"/>
      <c r="UYH1363" s="23"/>
      <c r="UYI1363" s="23"/>
      <c r="UYJ1363" s="23"/>
      <c r="UYK1363" s="23"/>
      <c r="UYL1363" s="23"/>
      <c r="UYM1363" s="23"/>
      <c r="UYN1363" s="23"/>
      <c r="UYO1363" s="23"/>
      <c r="UYP1363" s="23"/>
      <c r="UYQ1363" s="23"/>
      <c r="UYR1363" s="23"/>
      <c r="UYS1363" s="23"/>
      <c r="UYT1363" s="23"/>
      <c r="UYU1363" s="23"/>
      <c r="UYV1363" s="23"/>
      <c r="UYW1363" s="23"/>
      <c r="UYX1363" s="23"/>
      <c r="UYY1363" s="23"/>
      <c r="UYZ1363" s="23"/>
      <c r="UZA1363" s="23"/>
      <c r="UZB1363" s="23"/>
      <c r="UZC1363" s="23"/>
      <c r="UZD1363" s="23"/>
      <c r="UZE1363" s="23"/>
      <c r="UZF1363" s="23"/>
      <c r="UZG1363" s="23"/>
      <c r="UZH1363" s="23"/>
      <c r="UZI1363" s="23"/>
      <c r="UZJ1363" s="23"/>
      <c r="UZK1363" s="23"/>
      <c r="UZL1363" s="23"/>
      <c r="UZM1363" s="23"/>
      <c r="UZN1363" s="23"/>
      <c r="UZO1363" s="23"/>
      <c r="UZP1363" s="23"/>
      <c r="UZQ1363" s="23"/>
      <c r="UZR1363" s="23"/>
      <c r="UZS1363" s="23"/>
      <c r="UZT1363" s="23"/>
      <c r="UZU1363" s="23"/>
      <c r="UZV1363" s="23"/>
      <c r="UZW1363" s="23"/>
      <c r="UZX1363" s="23"/>
      <c r="UZY1363" s="23"/>
      <c r="UZZ1363" s="23"/>
      <c r="VAA1363" s="23"/>
      <c r="VAB1363" s="23"/>
      <c r="VAC1363" s="23"/>
      <c r="VAD1363" s="23"/>
      <c r="VAE1363" s="23"/>
      <c r="VAF1363" s="23"/>
      <c r="VAG1363" s="23"/>
      <c r="VAH1363" s="23"/>
      <c r="VAI1363" s="23"/>
      <c r="VAJ1363" s="23"/>
      <c r="VAK1363" s="23"/>
      <c r="VAL1363" s="23"/>
      <c r="VAM1363" s="23"/>
      <c r="VAN1363" s="23"/>
      <c r="VAO1363" s="23"/>
      <c r="VAP1363" s="23"/>
      <c r="VAQ1363" s="23"/>
      <c r="VAR1363" s="23"/>
      <c r="VAS1363" s="23"/>
      <c r="VAT1363" s="23"/>
      <c r="VAU1363" s="23"/>
      <c r="VAV1363" s="23"/>
      <c r="VAW1363" s="23"/>
      <c r="VAX1363" s="23"/>
      <c r="VAY1363" s="23"/>
      <c r="VAZ1363" s="23"/>
      <c r="VBA1363" s="23"/>
      <c r="VBB1363" s="23"/>
      <c r="VBC1363" s="23"/>
      <c r="VBD1363" s="23"/>
      <c r="VBE1363" s="23"/>
      <c r="VBF1363" s="23"/>
      <c r="VBG1363" s="23"/>
      <c r="VBH1363" s="23"/>
      <c r="VBI1363" s="23"/>
      <c r="VBJ1363" s="23"/>
      <c r="VBK1363" s="23"/>
      <c r="VBL1363" s="23"/>
      <c r="VBM1363" s="23"/>
      <c r="VBN1363" s="23"/>
      <c r="VBO1363" s="23"/>
      <c r="VBP1363" s="23"/>
      <c r="VBQ1363" s="23"/>
      <c r="VBR1363" s="23"/>
      <c r="VBS1363" s="23"/>
      <c r="VBT1363" s="23"/>
      <c r="VBU1363" s="23"/>
      <c r="VBV1363" s="23"/>
      <c r="VBW1363" s="23"/>
      <c r="VBX1363" s="23"/>
      <c r="VBY1363" s="23"/>
      <c r="VBZ1363" s="23"/>
      <c r="VCA1363" s="23"/>
      <c r="VCB1363" s="23"/>
      <c r="VCC1363" s="23"/>
      <c r="VCD1363" s="23"/>
      <c r="VCE1363" s="23"/>
      <c r="VCF1363" s="23"/>
      <c r="VCG1363" s="23"/>
      <c r="VCH1363" s="23"/>
      <c r="VCI1363" s="23"/>
      <c r="VCJ1363" s="23"/>
      <c r="VCK1363" s="23"/>
      <c r="VCL1363" s="23"/>
      <c r="VCM1363" s="23"/>
      <c r="VCN1363" s="23"/>
      <c r="VCO1363" s="23"/>
      <c r="VCP1363" s="23"/>
      <c r="VCQ1363" s="23"/>
      <c r="VCR1363" s="23"/>
      <c r="VCS1363" s="23"/>
      <c r="VCT1363" s="23"/>
      <c r="VCU1363" s="23"/>
      <c r="VCV1363" s="23"/>
      <c r="VCW1363" s="23"/>
      <c r="VCX1363" s="23"/>
      <c r="VCY1363" s="23"/>
      <c r="VCZ1363" s="23"/>
      <c r="VDA1363" s="23"/>
      <c r="VDB1363" s="23"/>
      <c r="VDC1363" s="23"/>
      <c r="VDD1363" s="23"/>
      <c r="VDE1363" s="23"/>
      <c r="VDF1363" s="23"/>
      <c r="VDG1363" s="23"/>
      <c r="VDH1363" s="23"/>
      <c r="VDI1363" s="23"/>
      <c r="VDJ1363" s="23"/>
      <c r="VDK1363" s="23"/>
      <c r="VDL1363" s="23"/>
      <c r="VDM1363" s="23"/>
      <c r="VDN1363" s="23"/>
      <c r="VDO1363" s="23"/>
      <c r="VDP1363" s="23"/>
      <c r="VDQ1363" s="23"/>
      <c r="VDR1363" s="23"/>
      <c r="VDS1363" s="23"/>
      <c r="VDT1363" s="23"/>
      <c r="VDU1363" s="23"/>
      <c r="VDV1363" s="23"/>
      <c r="VDW1363" s="23"/>
      <c r="VDX1363" s="23"/>
      <c r="VDY1363" s="23"/>
      <c r="VDZ1363" s="23"/>
      <c r="VEA1363" s="23"/>
      <c r="VEB1363" s="23"/>
      <c r="VEC1363" s="23"/>
      <c r="VED1363" s="23"/>
      <c r="VEE1363" s="23"/>
      <c r="VEF1363" s="23"/>
      <c r="VEG1363" s="23"/>
      <c r="VEH1363" s="23"/>
      <c r="VEI1363" s="23"/>
      <c r="VEJ1363" s="23"/>
      <c r="VEK1363" s="23"/>
      <c r="VEL1363" s="23"/>
      <c r="VEM1363" s="23"/>
      <c r="VEN1363" s="23"/>
      <c r="VEO1363" s="23"/>
      <c r="VEP1363" s="23"/>
      <c r="VEQ1363" s="23"/>
      <c r="VER1363" s="23"/>
      <c r="VES1363" s="23"/>
      <c r="VET1363" s="23"/>
      <c r="VEU1363" s="23"/>
      <c r="VEV1363" s="23"/>
      <c r="VEW1363" s="23"/>
      <c r="VEX1363" s="23"/>
      <c r="VEY1363" s="23"/>
      <c r="VEZ1363" s="23"/>
      <c r="VFA1363" s="23"/>
      <c r="VFB1363" s="23"/>
      <c r="VFC1363" s="23"/>
      <c r="VFD1363" s="23"/>
      <c r="VFE1363" s="23"/>
      <c r="VFF1363" s="23"/>
      <c r="VFG1363" s="23"/>
      <c r="VFH1363" s="23"/>
      <c r="VFI1363" s="23"/>
      <c r="VFJ1363" s="23"/>
      <c r="VFK1363" s="23"/>
      <c r="VFL1363" s="23"/>
      <c r="VFM1363" s="23"/>
      <c r="VFN1363" s="23"/>
      <c r="VFO1363" s="23"/>
      <c r="VFP1363" s="23"/>
      <c r="VFQ1363" s="23"/>
      <c r="VFR1363" s="23"/>
      <c r="VFS1363" s="23"/>
      <c r="VFT1363" s="23"/>
      <c r="VFU1363" s="23"/>
      <c r="VFV1363" s="23"/>
      <c r="VFW1363" s="23"/>
      <c r="VFX1363" s="23"/>
      <c r="VFY1363" s="23"/>
      <c r="VFZ1363" s="23"/>
      <c r="VGA1363" s="23"/>
      <c r="VGB1363" s="23"/>
      <c r="VGC1363" s="23"/>
      <c r="VGD1363" s="23"/>
      <c r="VGE1363" s="23"/>
      <c r="VGF1363" s="23"/>
      <c r="VGG1363" s="23"/>
      <c r="VGH1363" s="23"/>
      <c r="VGI1363" s="23"/>
      <c r="VGJ1363" s="23"/>
      <c r="VGK1363" s="23"/>
      <c r="VGL1363" s="23"/>
      <c r="VGM1363" s="23"/>
      <c r="VGN1363" s="23"/>
      <c r="VGO1363" s="23"/>
      <c r="VGP1363" s="23"/>
      <c r="VGQ1363" s="23"/>
      <c r="VGR1363" s="23"/>
      <c r="VGS1363" s="23"/>
      <c r="VGT1363" s="23"/>
      <c r="VGU1363" s="23"/>
      <c r="VGV1363" s="23"/>
      <c r="VGW1363" s="23"/>
      <c r="VGX1363" s="23"/>
      <c r="VGY1363" s="23"/>
      <c r="VGZ1363" s="23"/>
      <c r="VHA1363" s="23"/>
      <c r="VHB1363" s="23"/>
      <c r="VHC1363" s="23"/>
      <c r="VHD1363" s="23"/>
      <c r="VHE1363" s="23"/>
      <c r="VHF1363" s="23"/>
      <c r="VHG1363" s="23"/>
      <c r="VHH1363" s="23"/>
      <c r="VHI1363" s="23"/>
      <c r="VHJ1363" s="23"/>
      <c r="VHK1363" s="23"/>
      <c r="VHL1363" s="23"/>
      <c r="VHM1363" s="23"/>
      <c r="VHN1363" s="23"/>
      <c r="VHO1363" s="23"/>
      <c r="VHP1363" s="23"/>
      <c r="VHQ1363" s="23"/>
      <c r="VHR1363" s="23"/>
      <c r="VHS1363" s="23"/>
      <c r="VHT1363" s="23"/>
      <c r="VHU1363" s="23"/>
      <c r="VHV1363" s="23"/>
      <c r="VHW1363" s="23"/>
      <c r="VHX1363" s="23"/>
      <c r="VHY1363" s="23"/>
      <c r="VHZ1363" s="23"/>
      <c r="VIA1363" s="23"/>
      <c r="VIB1363" s="23"/>
      <c r="VIC1363" s="23"/>
      <c r="VID1363" s="23"/>
      <c r="VIE1363" s="23"/>
      <c r="VIF1363" s="23"/>
      <c r="VIG1363" s="23"/>
      <c r="VIH1363" s="23"/>
      <c r="VII1363" s="23"/>
      <c r="VIJ1363" s="23"/>
      <c r="VIK1363" s="23"/>
      <c r="VIL1363" s="23"/>
      <c r="VIM1363" s="23"/>
      <c r="VIN1363" s="23"/>
      <c r="VIO1363" s="23"/>
      <c r="VIP1363" s="23"/>
      <c r="VIQ1363" s="23"/>
      <c r="VIR1363" s="23"/>
      <c r="VIS1363" s="23"/>
      <c r="VIT1363" s="23"/>
      <c r="VIU1363" s="23"/>
      <c r="VIV1363" s="23"/>
      <c r="VIW1363" s="23"/>
      <c r="VIX1363" s="23"/>
      <c r="VIY1363" s="23"/>
      <c r="VIZ1363" s="23"/>
      <c r="VJA1363" s="23"/>
      <c r="VJB1363" s="23"/>
      <c r="VJC1363" s="23"/>
      <c r="VJD1363" s="23"/>
      <c r="VJE1363" s="23"/>
      <c r="VJF1363" s="23"/>
      <c r="VJG1363" s="23"/>
      <c r="VJH1363" s="23"/>
      <c r="VJI1363" s="23"/>
      <c r="VJJ1363" s="23"/>
      <c r="VJK1363" s="23"/>
      <c r="VJL1363" s="23"/>
      <c r="VJM1363" s="23"/>
      <c r="VJN1363" s="23"/>
      <c r="VJO1363" s="23"/>
      <c r="VJP1363" s="23"/>
      <c r="VJQ1363" s="23"/>
      <c r="VJR1363" s="23"/>
      <c r="VJS1363" s="23"/>
      <c r="VJT1363" s="23"/>
      <c r="VJU1363" s="23"/>
      <c r="VJV1363" s="23"/>
      <c r="VJW1363" s="23"/>
      <c r="VJX1363" s="23"/>
      <c r="VJY1363" s="23"/>
      <c r="VJZ1363" s="23"/>
      <c r="VKA1363" s="23"/>
      <c r="VKB1363" s="23"/>
      <c r="VKC1363" s="23"/>
      <c r="VKD1363" s="23"/>
      <c r="VKE1363" s="23"/>
      <c r="VKF1363" s="23"/>
      <c r="VKG1363" s="23"/>
      <c r="VKH1363" s="23"/>
      <c r="VKI1363" s="23"/>
      <c r="VKJ1363" s="23"/>
      <c r="VKK1363" s="23"/>
      <c r="VKL1363" s="23"/>
      <c r="VKM1363" s="23"/>
      <c r="VKN1363" s="23"/>
      <c r="VKO1363" s="23"/>
      <c r="VKP1363" s="23"/>
      <c r="VKQ1363" s="23"/>
      <c r="VKR1363" s="23"/>
      <c r="VKS1363" s="23"/>
      <c r="VKT1363" s="23"/>
      <c r="VKU1363" s="23"/>
      <c r="VKV1363" s="23"/>
      <c r="VKW1363" s="23"/>
      <c r="VKX1363" s="23"/>
      <c r="VKY1363" s="23"/>
      <c r="VKZ1363" s="23"/>
      <c r="VLA1363" s="23"/>
      <c r="VLB1363" s="23"/>
      <c r="VLC1363" s="23"/>
      <c r="VLD1363" s="23"/>
      <c r="VLE1363" s="23"/>
      <c r="VLF1363" s="23"/>
      <c r="VLG1363" s="23"/>
      <c r="VLH1363" s="23"/>
      <c r="VLI1363" s="23"/>
      <c r="VLJ1363" s="23"/>
      <c r="VLK1363" s="23"/>
      <c r="VLL1363" s="23"/>
      <c r="VLM1363" s="23"/>
      <c r="VLN1363" s="23"/>
      <c r="VLO1363" s="23"/>
      <c r="VLP1363" s="23"/>
      <c r="VLQ1363" s="23"/>
      <c r="VLR1363" s="23"/>
      <c r="VLS1363" s="23"/>
      <c r="VLT1363" s="23"/>
      <c r="VLU1363" s="23"/>
      <c r="VLV1363" s="23"/>
      <c r="VLW1363" s="23"/>
      <c r="VLX1363" s="23"/>
      <c r="VLY1363" s="23"/>
      <c r="VLZ1363" s="23"/>
      <c r="VMA1363" s="23"/>
      <c r="VMB1363" s="23"/>
      <c r="VMC1363" s="23"/>
      <c r="VMD1363" s="23"/>
      <c r="VME1363" s="23"/>
      <c r="VMF1363" s="23"/>
      <c r="VMG1363" s="23"/>
      <c r="VMH1363" s="23"/>
      <c r="VMI1363" s="23"/>
      <c r="VMJ1363" s="23"/>
      <c r="VMK1363" s="23"/>
      <c r="VML1363" s="23"/>
      <c r="VMM1363" s="23"/>
      <c r="VMN1363" s="23"/>
      <c r="VMO1363" s="23"/>
      <c r="VMP1363" s="23"/>
      <c r="VMQ1363" s="23"/>
      <c r="VMR1363" s="23"/>
      <c r="VMS1363" s="23"/>
      <c r="VMT1363" s="23"/>
      <c r="VMU1363" s="23"/>
      <c r="VMV1363" s="23"/>
      <c r="VMW1363" s="23"/>
      <c r="VMX1363" s="23"/>
      <c r="VMY1363" s="23"/>
      <c r="VMZ1363" s="23"/>
      <c r="VNA1363" s="23"/>
      <c r="VNB1363" s="23"/>
      <c r="VNC1363" s="23"/>
      <c r="VND1363" s="23"/>
      <c r="VNE1363" s="23"/>
      <c r="VNF1363" s="23"/>
      <c r="VNG1363" s="23"/>
      <c r="VNH1363" s="23"/>
      <c r="VNI1363" s="23"/>
      <c r="VNJ1363" s="23"/>
      <c r="VNK1363" s="23"/>
      <c r="VNL1363" s="23"/>
      <c r="VNM1363" s="23"/>
      <c r="VNN1363" s="23"/>
      <c r="VNO1363" s="23"/>
      <c r="VNP1363" s="23"/>
      <c r="VNQ1363" s="23"/>
      <c r="VNR1363" s="23"/>
      <c r="VNS1363" s="23"/>
      <c r="VNT1363" s="23"/>
      <c r="VNU1363" s="23"/>
      <c r="VNV1363" s="23"/>
      <c r="VNW1363" s="23"/>
      <c r="VNX1363" s="23"/>
      <c r="VNY1363" s="23"/>
      <c r="VNZ1363" s="23"/>
      <c r="VOA1363" s="23"/>
      <c r="VOB1363" s="23"/>
      <c r="VOC1363" s="23"/>
      <c r="VOD1363" s="23"/>
      <c r="VOE1363" s="23"/>
      <c r="VOF1363" s="23"/>
      <c r="VOG1363" s="23"/>
      <c r="VOH1363" s="23"/>
      <c r="VOI1363" s="23"/>
      <c r="VOJ1363" s="23"/>
      <c r="VOK1363" s="23"/>
      <c r="VOL1363" s="23"/>
      <c r="VOM1363" s="23"/>
      <c r="VON1363" s="23"/>
      <c r="VOO1363" s="23"/>
      <c r="VOP1363" s="23"/>
      <c r="VOQ1363" s="23"/>
      <c r="VOR1363" s="23"/>
      <c r="VOS1363" s="23"/>
      <c r="VOT1363" s="23"/>
      <c r="VOU1363" s="23"/>
      <c r="VOV1363" s="23"/>
      <c r="VOW1363" s="23"/>
      <c r="VOX1363" s="23"/>
      <c r="VOY1363" s="23"/>
      <c r="VOZ1363" s="23"/>
      <c r="VPA1363" s="23"/>
      <c r="VPB1363" s="23"/>
      <c r="VPC1363" s="23"/>
      <c r="VPD1363" s="23"/>
      <c r="VPE1363" s="23"/>
      <c r="VPF1363" s="23"/>
      <c r="VPG1363" s="23"/>
      <c r="VPH1363" s="23"/>
      <c r="VPI1363" s="23"/>
      <c r="VPJ1363" s="23"/>
      <c r="VPK1363" s="23"/>
      <c r="VPL1363" s="23"/>
      <c r="VPM1363" s="23"/>
      <c r="VPN1363" s="23"/>
      <c r="VPO1363" s="23"/>
      <c r="VPP1363" s="23"/>
      <c r="VPQ1363" s="23"/>
      <c r="VPR1363" s="23"/>
      <c r="VPS1363" s="23"/>
      <c r="VPT1363" s="23"/>
      <c r="VPU1363" s="23"/>
      <c r="VPV1363" s="23"/>
      <c r="VPW1363" s="23"/>
      <c r="VPX1363" s="23"/>
      <c r="VPY1363" s="23"/>
      <c r="VPZ1363" s="23"/>
      <c r="VQA1363" s="23"/>
      <c r="VQB1363" s="23"/>
      <c r="VQC1363" s="23"/>
      <c r="VQD1363" s="23"/>
      <c r="VQE1363" s="23"/>
      <c r="VQF1363" s="23"/>
      <c r="VQG1363" s="23"/>
      <c r="VQH1363" s="23"/>
      <c r="VQI1363" s="23"/>
      <c r="VQJ1363" s="23"/>
      <c r="VQK1363" s="23"/>
      <c r="VQL1363" s="23"/>
      <c r="VQM1363" s="23"/>
      <c r="VQN1363" s="23"/>
      <c r="VQO1363" s="23"/>
      <c r="VQP1363" s="23"/>
      <c r="VQQ1363" s="23"/>
      <c r="VQR1363" s="23"/>
      <c r="VQS1363" s="23"/>
      <c r="VQT1363" s="23"/>
      <c r="VQU1363" s="23"/>
      <c r="VQV1363" s="23"/>
      <c r="VQW1363" s="23"/>
      <c r="VQX1363" s="23"/>
      <c r="VQY1363" s="23"/>
      <c r="VQZ1363" s="23"/>
      <c r="VRA1363" s="23"/>
      <c r="VRB1363" s="23"/>
      <c r="VRC1363" s="23"/>
      <c r="VRD1363" s="23"/>
      <c r="VRE1363" s="23"/>
      <c r="VRF1363" s="23"/>
      <c r="VRG1363" s="23"/>
      <c r="VRH1363" s="23"/>
      <c r="VRI1363" s="23"/>
      <c r="VRJ1363" s="23"/>
      <c r="VRK1363" s="23"/>
      <c r="VRL1363" s="23"/>
      <c r="VRM1363" s="23"/>
      <c r="VRN1363" s="23"/>
      <c r="VRO1363" s="23"/>
      <c r="VRP1363" s="23"/>
      <c r="VRQ1363" s="23"/>
      <c r="VRR1363" s="23"/>
      <c r="VRS1363" s="23"/>
      <c r="VRT1363" s="23"/>
      <c r="VRU1363" s="23"/>
      <c r="VRV1363" s="23"/>
      <c r="VRW1363" s="23"/>
      <c r="VRX1363" s="23"/>
      <c r="VRY1363" s="23"/>
      <c r="VRZ1363" s="23"/>
      <c r="VSA1363" s="23"/>
      <c r="VSB1363" s="23"/>
      <c r="VSC1363" s="23"/>
      <c r="VSD1363" s="23"/>
      <c r="VSE1363" s="23"/>
      <c r="VSF1363" s="23"/>
      <c r="VSG1363" s="23"/>
      <c r="VSH1363" s="23"/>
      <c r="VSI1363" s="23"/>
      <c r="VSJ1363" s="23"/>
      <c r="VSK1363" s="23"/>
      <c r="VSL1363" s="23"/>
      <c r="VSM1363" s="23"/>
      <c r="VSN1363" s="23"/>
      <c r="VSO1363" s="23"/>
      <c r="VSP1363" s="23"/>
      <c r="VSQ1363" s="23"/>
      <c r="VSR1363" s="23"/>
      <c r="VSS1363" s="23"/>
      <c r="VST1363" s="23"/>
      <c r="VSU1363" s="23"/>
      <c r="VSV1363" s="23"/>
      <c r="VSW1363" s="23"/>
      <c r="VSX1363" s="23"/>
      <c r="VSY1363" s="23"/>
      <c r="VSZ1363" s="23"/>
      <c r="VTA1363" s="23"/>
      <c r="VTB1363" s="23"/>
      <c r="VTC1363" s="23"/>
      <c r="VTD1363" s="23"/>
      <c r="VTE1363" s="23"/>
      <c r="VTF1363" s="23"/>
      <c r="VTG1363" s="23"/>
      <c r="VTH1363" s="23"/>
      <c r="VTI1363" s="23"/>
      <c r="VTJ1363" s="23"/>
      <c r="VTK1363" s="23"/>
      <c r="VTL1363" s="23"/>
      <c r="VTM1363" s="23"/>
      <c r="VTN1363" s="23"/>
      <c r="VTO1363" s="23"/>
      <c r="VTP1363" s="23"/>
      <c r="VTQ1363" s="23"/>
      <c r="VTR1363" s="23"/>
      <c r="VTS1363" s="23"/>
      <c r="VTT1363" s="23"/>
      <c r="VTU1363" s="23"/>
      <c r="VTV1363" s="23"/>
      <c r="VTW1363" s="23"/>
      <c r="VTX1363" s="23"/>
      <c r="VTY1363" s="23"/>
      <c r="VTZ1363" s="23"/>
      <c r="VUA1363" s="23"/>
      <c r="VUB1363" s="23"/>
      <c r="VUC1363" s="23"/>
      <c r="VUD1363" s="23"/>
      <c r="VUE1363" s="23"/>
      <c r="VUF1363" s="23"/>
      <c r="VUG1363" s="23"/>
      <c r="VUH1363" s="23"/>
      <c r="VUI1363" s="23"/>
      <c r="VUJ1363" s="23"/>
      <c r="VUK1363" s="23"/>
      <c r="VUL1363" s="23"/>
      <c r="VUM1363" s="23"/>
      <c r="VUN1363" s="23"/>
      <c r="VUO1363" s="23"/>
      <c r="VUP1363" s="23"/>
      <c r="VUQ1363" s="23"/>
      <c r="VUR1363" s="23"/>
      <c r="VUS1363" s="23"/>
      <c r="VUT1363" s="23"/>
      <c r="VUU1363" s="23"/>
      <c r="VUV1363" s="23"/>
      <c r="VUW1363" s="23"/>
      <c r="VUX1363" s="23"/>
      <c r="VUY1363" s="23"/>
      <c r="VUZ1363" s="23"/>
      <c r="VVA1363" s="23"/>
      <c r="VVB1363" s="23"/>
      <c r="VVC1363" s="23"/>
      <c r="VVD1363" s="23"/>
      <c r="VVE1363" s="23"/>
      <c r="VVF1363" s="23"/>
      <c r="VVG1363" s="23"/>
      <c r="VVH1363" s="23"/>
      <c r="VVI1363" s="23"/>
      <c r="VVJ1363" s="23"/>
      <c r="VVK1363" s="23"/>
      <c r="VVL1363" s="23"/>
      <c r="VVM1363" s="23"/>
      <c r="VVN1363" s="23"/>
      <c r="VVO1363" s="23"/>
      <c r="VVP1363" s="23"/>
      <c r="VVQ1363" s="23"/>
      <c r="VVR1363" s="23"/>
      <c r="VVS1363" s="23"/>
      <c r="VVT1363" s="23"/>
      <c r="VVU1363" s="23"/>
      <c r="VVV1363" s="23"/>
      <c r="VVW1363" s="23"/>
      <c r="VVX1363" s="23"/>
      <c r="VVY1363" s="23"/>
      <c r="VVZ1363" s="23"/>
      <c r="VWA1363" s="23"/>
      <c r="VWB1363" s="23"/>
      <c r="VWC1363" s="23"/>
      <c r="VWD1363" s="23"/>
      <c r="VWE1363" s="23"/>
      <c r="VWF1363" s="23"/>
      <c r="VWG1363" s="23"/>
      <c r="VWH1363" s="23"/>
      <c r="VWI1363" s="23"/>
      <c r="VWJ1363" s="23"/>
      <c r="VWK1363" s="23"/>
      <c r="VWL1363" s="23"/>
      <c r="VWM1363" s="23"/>
      <c r="VWN1363" s="23"/>
      <c r="VWO1363" s="23"/>
      <c r="VWP1363" s="23"/>
      <c r="VWQ1363" s="23"/>
      <c r="VWR1363" s="23"/>
      <c r="VWS1363" s="23"/>
      <c r="VWT1363" s="23"/>
      <c r="VWU1363" s="23"/>
      <c r="VWV1363" s="23"/>
      <c r="VWW1363" s="23"/>
      <c r="VWX1363" s="23"/>
      <c r="VWY1363" s="23"/>
      <c r="VWZ1363" s="23"/>
      <c r="VXA1363" s="23"/>
      <c r="VXB1363" s="23"/>
      <c r="VXC1363" s="23"/>
      <c r="VXD1363" s="23"/>
      <c r="VXE1363" s="23"/>
      <c r="VXF1363" s="23"/>
      <c r="VXG1363" s="23"/>
      <c r="VXH1363" s="23"/>
      <c r="VXI1363" s="23"/>
      <c r="VXJ1363" s="23"/>
      <c r="VXK1363" s="23"/>
      <c r="VXL1363" s="23"/>
      <c r="VXM1363" s="23"/>
      <c r="VXN1363" s="23"/>
      <c r="VXO1363" s="23"/>
      <c r="VXP1363" s="23"/>
      <c r="VXQ1363" s="23"/>
      <c r="VXR1363" s="23"/>
      <c r="VXS1363" s="23"/>
      <c r="VXT1363" s="23"/>
      <c r="VXU1363" s="23"/>
      <c r="VXV1363" s="23"/>
      <c r="VXW1363" s="23"/>
      <c r="VXX1363" s="23"/>
      <c r="VXY1363" s="23"/>
      <c r="VXZ1363" s="23"/>
      <c r="VYA1363" s="23"/>
      <c r="VYB1363" s="23"/>
      <c r="VYC1363" s="23"/>
      <c r="VYD1363" s="23"/>
      <c r="VYE1363" s="23"/>
      <c r="VYF1363" s="23"/>
      <c r="VYG1363" s="23"/>
      <c r="VYH1363" s="23"/>
      <c r="VYI1363" s="23"/>
      <c r="VYJ1363" s="23"/>
      <c r="VYK1363" s="23"/>
      <c r="VYL1363" s="23"/>
      <c r="VYM1363" s="23"/>
      <c r="VYN1363" s="23"/>
      <c r="VYO1363" s="23"/>
      <c r="VYP1363" s="23"/>
      <c r="VYQ1363" s="23"/>
      <c r="VYR1363" s="23"/>
      <c r="VYS1363" s="23"/>
      <c r="VYT1363" s="23"/>
      <c r="VYU1363" s="23"/>
      <c r="VYV1363" s="23"/>
      <c r="VYW1363" s="23"/>
      <c r="VYX1363" s="23"/>
      <c r="VYY1363" s="23"/>
      <c r="VYZ1363" s="23"/>
      <c r="VZA1363" s="23"/>
      <c r="VZB1363" s="23"/>
      <c r="VZC1363" s="23"/>
      <c r="VZD1363" s="23"/>
      <c r="VZE1363" s="23"/>
      <c r="VZF1363" s="23"/>
      <c r="VZG1363" s="23"/>
      <c r="VZH1363" s="23"/>
      <c r="VZI1363" s="23"/>
      <c r="VZJ1363" s="23"/>
      <c r="VZK1363" s="23"/>
      <c r="VZL1363" s="23"/>
      <c r="VZM1363" s="23"/>
      <c r="VZN1363" s="23"/>
      <c r="VZO1363" s="23"/>
      <c r="VZP1363" s="23"/>
      <c r="VZQ1363" s="23"/>
      <c r="VZR1363" s="23"/>
      <c r="VZS1363" s="23"/>
      <c r="VZT1363" s="23"/>
      <c r="VZU1363" s="23"/>
      <c r="VZV1363" s="23"/>
      <c r="VZW1363" s="23"/>
      <c r="VZX1363" s="23"/>
      <c r="VZY1363" s="23"/>
      <c r="VZZ1363" s="23"/>
      <c r="WAA1363" s="23"/>
      <c r="WAB1363" s="23"/>
      <c r="WAC1363" s="23"/>
      <c r="WAD1363" s="23"/>
      <c r="WAE1363" s="23"/>
      <c r="WAF1363" s="23"/>
      <c r="WAG1363" s="23"/>
      <c r="WAH1363" s="23"/>
      <c r="WAI1363" s="23"/>
      <c r="WAJ1363" s="23"/>
      <c r="WAK1363" s="23"/>
      <c r="WAL1363" s="23"/>
      <c r="WAM1363" s="23"/>
      <c r="WAN1363" s="23"/>
      <c r="WAO1363" s="23"/>
      <c r="WAP1363" s="23"/>
      <c r="WAQ1363" s="23"/>
      <c r="WAR1363" s="23"/>
      <c r="WAS1363" s="23"/>
      <c r="WAT1363" s="23"/>
      <c r="WAU1363" s="23"/>
      <c r="WAV1363" s="23"/>
      <c r="WAW1363" s="23"/>
      <c r="WAX1363" s="23"/>
      <c r="WAY1363" s="23"/>
      <c r="WAZ1363" s="23"/>
      <c r="WBA1363" s="23"/>
      <c r="WBB1363" s="23"/>
      <c r="WBC1363" s="23"/>
      <c r="WBD1363" s="23"/>
      <c r="WBE1363" s="23"/>
      <c r="WBF1363" s="23"/>
      <c r="WBG1363" s="23"/>
      <c r="WBH1363" s="23"/>
      <c r="WBI1363" s="23"/>
      <c r="WBJ1363" s="23"/>
      <c r="WBK1363" s="23"/>
      <c r="WBL1363" s="23"/>
      <c r="WBM1363" s="23"/>
      <c r="WBN1363" s="23"/>
      <c r="WBO1363" s="23"/>
      <c r="WBP1363" s="23"/>
      <c r="WBQ1363" s="23"/>
      <c r="WBR1363" s="23"/>
      <c r="WBS1363" s="23"/>
      <c r="WBT1363" s="23"/>
      <c r="WBU1363" s="23"/>
      <c r="WBV1363" s="23"/>
      <c r="WBW1363" s="23"/>
      <c r="WBX1363" s="23"/>
      <c r="WBY1363" s="23"/>
      <c r="WBZ1363" s="23"/>
      <c r="WCA1363" s="23"/>
      <c r="WCB1363" s="23"/>
      <c r="WCC1363" s="23"/>
      <c r="WCD1363" s="23"/>
      <c r="WCE1363" s="23"/>
      <c r="WCF1363" s="23"/>
      <c r="WCG1363" s="23"/>
      <c r="WCH1363" s="23"/>
      <c r="WCI1363" s="23"/>
      <c r="WCJ1363" s="23"/>
      <c r="WCK1363" s="23"/>
      <c r="WCL1363" s="23"/>
      <c r="WCM1363" s="23"/>
      <c r="WCN1363" s="23"/>
      <c r="WCO1363" s="23"/>
      <c r="WCP1363" s="23"/>
      <c r="WCQ1363" s="23"/>
      <c r="WCR1363" s="23"/>
      <c r="WCS1363" s="23"/>
      <c r="WCT1363" s="23"/>
      <c r="WCU1363" s="23"/>
      <c r="WCV1363" s="23"/>
      <c r="WCW1363" s="23"/>
      <c r="WCX1363" s="23"/>
      <c r="WCY1363" s="23"/>
      <c r="WCZ1363" s="23"/>
      <c r="WDA1363" s="23"/>
      <c r="WDB1363" s="23"/>
      <c r="WDC1363" s="23"/>
      <c r="WDD1363" s="23"/>
      <c r="WDE1363" s="23"/>
      <c r="WDF1363" s="23"/>
      <c r="WDG1363" s="23"/>
      <c r="WDH1363" s="23"/>
      <c r="WDI1363" s="23"/>
      <c r="WDJ1363" s="23"/>
      <c r="WDK1363" s="23"/>
      <c r="WDL1363" s="23"/>
      <c r="WDM1363" s="23"/>
      <c r="WDN1363" s="23"/>
      <c r="WDO1363" s="23"/>
      <c r="WDP1363" s="23"/>
      <c r="WDQ1363" s="23"/>
      <c r="WDR1363" s="23"/>
      <c r="WDS1363" s="23"/>
      <c r="WDT1363" s="23"/>
      <c r="WDU1363" s="23"/>
      <c r="WDV1363" s="23"/>
      <c r="WDW1363" s="23"/>
      <c r="WDX1363" s="23"/>
      <c r="WDY1363" s="23"/>
      <c r="WDZ1363" s="23"/>
      <c r="WEA1363" s="23"/>
      <c r="WEB1363" s="23"/>
      <c r="WEC1363" s="23"/>
      <c r="WED1363" s="23"/>
      <c r="WEE1363" s="23"/>
      <c r="WEF1363" s="23"/>
      <c r="WEG1363" s="23"/>
      <c r="WEH1363" s="23"/>
      <c r="WEI1363" s="23"/>
      <c r="WEJ1363" s="23"/>
      <c r="WEK1363" s="23"/>
      <c r="WEL1363" s="23"/>
      <c r="WEM1363" s="23"/>
      <c r="WEN1363" s="23"/>
      <c r="WEO1363" s="23"/>
      <c r="WEP1363" s="23"/>
      <c r="WEQ1363" s="23"/>
      <c r="WER1363" s="23"/>
      <c r="WES1363" s="23"/>
      <c r="WET1363" s="23"/>
      <c r="WEU1363" s="23"/>
      <c r="WEV1363" s="23"/>
      <c r="WEW1363" s="23"/>
      <c r="WEX1363" s="23"/>
      <c r="WEY1363" s="23"/>
      <c r="WEZ1363" s="23"/>
      <c r="WFA1363" s="23"/>
      <c r="WFB1363" s="23"/>
      <c r="WFC1363" s="23"/>
      <c r="WFD1363" s="23"/>
      <c r="WFE1363" s="23"/>
      <c r="WFF1363" s="23"/>
      <c r="WFG1363" s="23"/>
      <c r="WFH1363" s="23"/>
      <c r="WFI1363" s="23"/>
      <c r="WFJ1363" s="23"/>
      <c r="WFK1363" s="23"/>
      <c r="WFL1363" s="23"/>
      <c r="WFM1363" s="23"/>
      <c r="WFN1363" s="23"/>
      <c r="WFO1363" s="23"/>
      <c r="WFP1363" s="23"/>
      <c r="WFQ1363" s="23"/>
      <c r="WFR1363" s="23"/>
      <c r="WFS1363" s="23"/>
      <c r="WFT1363" s="23"/>
      <c r="WFU1363" s="23"/>
      <c r="WFV1363" s="23"/>
      <c r="WFW1363" s="23"/>
      <c r="WFX1363" s="23"/>
      <c r="WFY1363" s="23"/>
      <c r="WFZ1363" s="23"/>
      <c r="WGA1363" s="23"/>
      <c r="WGB1363" s="23"/>
      <c r="WGC1363" s="23"/>
      <c r="WGD1363" s="23"/>
      <c r="WGE1363" s="23"/>
      <c r="WGF1363" s="23"/>
      <c r="WGG1363" s="23"/>
      <c r="WGH1363" s="23"/>
      <c r="WGI1363" s="23"/>
      <c r="WGJ1363" s="23"/>
      <c r="WGK1363" s="23"/>
      <c r="WGL1363" s="23"/>
      <c r="WGM1363" s="23"/>
      <c r="WGN1363" s="23"/>
      <c r="WGO1363" s="23"/>
      <c r="WGP1363" s="23"/>
      <c r="WGQ1363" s="23"/>
      <c r="WGR1363" s="23"/>
      <c r="WGS1363" s="23"/>
      <c r="WGT1363" s="23"/>
      <c r="WGU1363" s="23"/>
      <c r="WGV1363" s="23"/>
      <c r="WGW1363" s="23"/>
      <c r="WGX1363" s="23"/>
      <c r="WGY1363" s="23"/>
      <c r="WGZ1363" s="23"/>
      <c r="WHA1363" s="23"/>
      <c r="WHB1363" s="23"/>
      <c r="WHC1363" s="23"/>
      <c r="WHD1363" s="23"/>
      <c r="WHE1363" s="23"/>
      <c r="WHF1363" s="23"/>
      <c r="WHG1363" s="23"/>
      <c r="WHH1363" s="23"/>
      <c r="WHI1363" s="23"/>
      <c r="WHJ1363" s="23"/>
      <c r="WHK1363" s="23"/>
      <c r="WHL1363" s="23"/>
      <c r="WHM1363" s="23"/>
      <c r="WHN1363" s="23"/>
      <c r="WHO1363" s="23"/>
      <c r="WHP1363" s="23"/>
      <c r="WHQ1363" s="23"/>
      <c r="WHR1363" s="23"/>
      <c r="WHS1363" s="23"/>
      <c r="WHT1363" s="23"/>
      <c r="WHU1363" s="23"/>
      <c r="WHV1363" s="23"/>
      <c r="WHW1363" s="23"/>
      <c r="WHX1363" s="23"/>
      <c r="WHY1363" s="23"/>
      <c r="WHZ1363" s="23"/>
      <c r="WIA1363" s="23"/>
      <c r="WIB1363" s="23"/>
      <c r="WIC1363" s="23"/>
      <c r="WID1363" s="23"/>
      <c r="WIE1363" s="23"/>
      <c r="WIF1363" s="23"/>
      <c r="WIG1363" s="23"/>
      <c r="WIH1363" s="23"/>
      <c r="WII1363" s="23"/>
      <c r="WIJ1363" s="23"/>
      <c r="WIK1363" s="23"/>
      <c r="WIL1363" s="23"/>
      <c r="WIM1363" s="23"/>
      <c r="WIN1363" s="23"/>
      <c r="WIO1363" s="23"/>
      <c r="WIP1363" s="23"/>
      <c r="WIQ1363" s="23"/>
      <c r="WIR1363" s="23"/>
      <c r="WIS1363" s="23"/>
      <c r="WIT1363" s="23"/>
      <c r="WIU1363" s="23"/>
      <c r="WIV1363" s="23"/>
      <c r="WIW1363" s="23"/>
      <c r="WIX1363" s="23"/>
      <c r="WIY1363" s="23"/>
      <c r="WIZ1363" s="23"/>
      <c r="WJA1363" s="23"/>
      <c r="WJB1363" s="23"/>
      <c r="WJC1363" s="23"/>
      <c r="WJD1363" s="23"/>
      <c r="WJE1363" s="23"/>
      <c r="WJF1363" s="23"/>
      <c r="WJG1363" s="23"/>
      <c r="WJH1363" s="23"/>
      <c r="WJI1363" s="23"/>
      <c r="WJJ1363" s="23"/>
      <c r="WJK1363" s="23"/>
      <c r="WJL1363" s="23"/>
      <c r="WJM1363" s="23"/>
      <c r="WJN1363" s="23"/>
      <c r="WJO1363" s="23"/>
      <c r="WJP1363" s="23"/>
      <c r="WJQ1363" s="23"/>
      <c r="WJR1363" s="23"/>
      <c r="WJS1363" s="23"/>
      <c r="WJT1363" s="23"/>
      <c r="WJU1363" s="23"/>
      <c r="WJV1363" s="23"/>
      <c r="WJW1363" s="23"/>
      <c r="WJX1363" s="23"/>
      <c r="WJY1363" s="23"/>
      <c r="WJZ1363" s="23"/>
      <c r="WKA1363" s="23"/>
      <c r="WKB1363" s="23"/>
      <c r="WKC1363" s="23"/>
      <c r="WKD1363" s="23"/>
      <c r="WKE1363" s="23"/>
      <c r="WKF1363" s="23"/>
      <c r="WKG1363" s="23"/>
      <c r="WKH1363" s="23"/>
      <c r="WKI1363" s="23"/>
      <c r="WKJ1363" s="23"/>
      <c r="WKK1363" s="23"/>
      <c r="WKL1363" s="23"/>
      <c r="WKM1363" s="23"/>
      <c r="WKN1363" s="23"/>
      <c r="WKO1363" s="23"/>
      <c r="WKP1363" s="23"/>
      <c r="WKQ1363" s="23"/>
      <c r="WKR1363" s="23"/>
      <c r="WKS1363" s="23"/>
      <c r="WKT1363" s="23"/>
      <c r="WKU1363" s="23"/>
      <c r="WKV1363" s="23"/>
      <c r="WKW1363" s="23"/>
      <c r="WKX1363" s="23"/>
      <c r="WKY1363" s="23"/>
      <c r="WKZ1363" s="23"/>
      <c r="WLA1363" s="23"/>
      <c r="WLB1363" s="23"/>
      <c r="WLC1363" s="23"/>
      <c r="WLD1363" s="23"/>
      <c r="WLE1363" s="23"/>
      <c r="WLF1363" s="23"/>
      <c r="WLG1363" s="23"/>
      <c r="WLH1363" s="23"/>
      <c r="WLI1363" s="23"/>
      <c r="WLJ1363" s="23"/>
      <c r="WLK1363" s="23"/>
      <c r="WLL1363" s="23"/>
      <c r="WLM1363" s="23"/>
      <c r="WLN1363" s="23"/>
      <c r="WLO1363" s="23"/>
      <c r="WLP1363" s="23"/>
      <c r="WLQ1363" s="23"/>
      <c r="WLR1363" s="23"/>
      <c r="WLS1363" s="23"/>
      <c r="WLT1363" s="23"/>
      <c r="WLU1363" s="23"/>
      <c r="WLV1363" s="23"/>
      <c r="WLW1363" s="23"/>
      <c r="WLX1363" s="23"/>
      <c r="WLY1363" s="23"/>
      <c r="WLZ1363" s="23"/>
      <c r="WMA1363" s="23"/>
      <c r="WMB1363" s="23"/>
      <c r="WMC1363" s="23"/>
      <c r="WMD1363" s="23"/>
      <c r="WME1363" s="23"/>
      <c r="WMF1363" s="23"/>
      <c r="WMG1363" s="23"/>
      <c r="WMH1363" s="23"/>
      <c r="WMI1363" s="23"/>
      <c r="WMJ1363" s="23"/>
      <c r="WMK1363" s="23"/>
      <c r="WML1363" s="23"/>
      <c r="WMM1363" s="23"/>
      <c r="WMN1363" s="23"/>
      <c r="WMO1363" s="23"/>
      <c r="WMP1363" s="23"/>
      <c r="WMQ1363" s="23"/>
      <c r="WMR1363" s="23"/>
      <c r="WMS1363" s="23"/>
      <c r="WMT1363" s="23"/>
      <c r="WMU1363" s="23"/>
      <c r="WMV1363" s="23"/>
      <c r="WMW1363" s="23"/>
      <c r="WMX1363" s="23"/>
      <c r="WMY1363" s="23"/>
      <c r="WMZ1363" s="23"/>
      <c r="WNA1363" s="23"/>
      <c r="WNB1363" s="23"/>
      <c r="WNC1363" s="23"/>
      <c r="WND1363" s="23"/>
      <c r="WNE1363" s="23"/>
      <c r="WNF1363" s="23"/>
      <c r="WNG1363" s="23"/>
      <c r="WNH1363" s="23"/>
      <c r="WNI1363" s="23"/>
      <c r="WNJ1363" s="23"/>
      <c r="WNK1363" s="23"/>
      <c r="WNL1363" s="23"/>
      <c r="WNM1363" s="23"/>
      <c r="WNN1363" s="23"/>
      <c r="WNO1363" s="23"/>
      <c r="WNP1363" s="23"/>
      <c r="WNQ1363" s="23"/>
      <c r="WNR1363" s="23"/>
      <c r="WNS1363" s="23"/>
      <c r="WNT1363" s="23"/>
      <c r="WNU1363" s="23"/>
      <c r="WNV1363" s="23"/>
      <c r="WNW1363" s="23"/>
      <c r="WNX1363" s="23"/>
      <c r="WNY1363" s="23"/>
      <c r="WNZ1363" s="23"/>
      <c r="WOA1363" s="23"/>
      <c r="WOB1363" s="23"/>
      <c r="WOC1363" s="23"/>
      <c r="WOD1363" s="23"/>
      <c r="WOE1363" s="23"/>
      <c r="WOF1363" s="23"/>
      <c r="WOG1363" s="23"/>
      <c r="WOH1363" s="23"/>
      <c r="WOI1363" s="23"/>
      <c r="WOJ1363" s="23"/>
      <c r="WOK1363" s="23"/>
      <c r="WOL1363" s="23"/>
      <c r="WOM1363" s="23"/>
      <c r="WON1363" s="23"/>
      <c r="WOO1363" s="23"/>
      <c r="WOP1363" s="23"/>
      <c r="WOQ1363" s="23"/>
      <c r="WOR1363" s="23"/>
      <c r="WOS1363" s="23"/>
      <c r="WOT1363" s="23"/>
      <c r="WOU1363" s="23"/>
      <c r="WOV1363" s="23"/>
      <c r="WOW1363" s="23"/>
      <c r="WOX1363" s="23"/>
      <c r="WOY1363" s="23"/>
      <c r="WOZ1363" s="23"/>
      <c r="WPA1363" s="23"/>
      <c r="WPB1363" s="23"/>
      <c r="WPC1363" s="23"/>
      <c r="WPD1363" s="23"/>
      <c r="WPE1363" s="23"/>
      <c r="WPF1363" s="23"/>
      <c r="WPG1363" s="23"/>
      <c r="WPH1363" s="23"/>
      <c r="WPI1363" s="23"/>
      <c r="WPJ1363" s="23"/>
      <c r="WPK1363" s="23"/>
      <c r="WPL1363" s="23"/>
      <c r="WPM1363" s="23"/>
      <c r="WPN1363" s="23"/>
      <c r="WPO1363" s="23"/>
      <c r="WPP1363" s="23"/>
      <c r="WPQ1363" s="23"/>
      <c r="WPR1363" s="23"/>
      <c r="WPS1363" s="23"/>
      <c r="WPT1363" s="23"/>
      <c r="WPU1363" s="23"/>
      <c r="WPV1363" s="23"/>
      <c r="WPW1363" s="23"/>
      <c r="WPX1363" s="23"/>
      <c r="WPY1363" s="23"/>
      <c r="WPZ1363" s="23"/>
      <c r="WQA1363" s="23"/>
      <c r="WQB1363" s="23"/>
      <c r="WQC1363" s="23"/>
      <c r="WQD1363" s="23"/>
      <c r="WQE1363" s="23"/>
      <c r="WQF1363" s="23"/>
      <c r="WQG1363" s="23"/>
      <c r="WQH1363" s="23"/>
      <c r="WQI1363" s="23"/>
      <c r="WQJ1363" s="23"/>
      <c r="WQK1363" s="23"/>
      <c r="WQL1363" s="23"/>
      <c r="WQM1363" s="23"/>
      <c r="WQN1363" s="23"/>
      <c r="WQO1363" s="23"/>
      <c r="WQP1363" s="23"/>
      <c r="WQQ1363" s="23"/>
      <c r="WQR1363" s="23"/>
      <c r="WQS1363" s="23"/>
      <c r="WQT1363" s="23"/>
      <c r="WQU1363" s="23"/>
      <c r="WQV1363" s="23"/>
      <c r="WQW1363" s="23"/>
      <c r="WQX1363" s="23"/>
      <c r="WQY1363" s="23"/>
      <c r="WQZ1363" s="23"/>
      <c r="WRA1363" s="23"/>
      <c r="WRB1363" s="23"/>
      <c r="WRC1363" s="23"/>
      <c r="WRD1363" s="23"/>
      <c r="WRE1363" s="23"/>
      <c r="WRF1363" s="23"/>
      <c r="WRG1363" s="23"/>
      <c r="WRH1363" s="23"/>
      <c r="WRI1363" s="23"/>
      <c r="WRJ1363" s="23"/>
      <c r="WRK1363" s="23"/>
      <c r="WRL1363" s="23"/>
      <c r="WRM1363" s="23"/>
      <c r="WRN1363" s="23"/>
      <c r="WRO1363" s="23"/>
      <c r="WRP1363" s="23"/>
      <c r="WRQ1363" s="23"/>
      <c r="WRR1363" s="23"/>
      <c r="WRS1363" s="23"/>
      <c r="WRT1363" s="23"/>
      <c r="WRU1363" s="23"/>
      <c r="WRV1363" s="23"/>
      <c r="WRW1363" s="23"/>
      <c r="WRX1363" s="23"/>
      <c r="WRY1363" s="23"/>
      <c r="WRZ1363" s="23"/>
      <c r="WSA1363" s="23"/>
      <c r="WSB1363" s="23"/>
      <c r="WSC1363" s="23"/>
      <c r="WSD1363" s="23"/>
      <c r="WSE1363" s="23"/>
      <c r="WSF1363" s="23"/>
      <c r="WSG1363" s="23"/>
      <c r="WSH1363" s="23"/>
      <c r="WSI1363" s="23"/>
      <c r="WSJ1363" s="23"/>
      <c r="WSK1363" s="23"/>
      <c r="WSL1363" s="23"/>
      <c r="WSM1363" s="23"/>
      <c r="WSN1363" s="23"/>
      <c r="WSO1363" s="23"/>
      <c r="WSP1363" s="23"/>
      <c r="WSQ1363" s="23"/>
      <c r="WSR1363" s="23"/>
      <c r="WSS1363" s="23"/>
      <c r="WST1363" s="23"/>
      <c r="WSU1363" s="23"/>
      <c r="WSV1363" s="23"/>
      <c r="WSW1363" s="23"/>
      <c r="WSX1363" s="23"/>
      <c r="WSY1363" s="23"/>
      <c r="WSZ1363" s="23"/>
      <c r="WTA1363" s="23"/>
      <c r="WTB1363" s="23"/>
      <c r="WTC1363" s="23"/>
      <c r="WTD1363" s="23"/>
      <c r="WTE1363" s="23"/>
      <c r="WTF1363" s="23"/>
      <c r="WTG1363" s="23"/>
      <c r="WTH1363" s="23"/>
      <c r="WTI1363" s="23"/>
      <c r="WTJ1363" s="23"/>
      <c r="WTK1363" s="23"/>
      <c r="WTL1363" s="23"/>
      <c r="WTM1363" s="23"/>
      <c r="WTN1363" s="23"/>
      <c r="WTO1363" s="23"/>
      <c r="WTP1363" s="23"/>
      <c r="WTQ1363" s="23"/>
      <c r="WTR1363" s="23"/>
      <c r="WTS1363" s="23"/>
      <c r="WTT1363" s="23"/>
      <c r="WTU1363" s="23"/>
      <c r="WTV1363" s="23"/>
      <c r="WTW1363" s="23"/>
      <c r="WTX1363" s="23"/>
      <c r="WTY1363" s="23"/>
      <c r="WTZ1363" s="23"/>
      <c r="WUA1363" s="23"/>
      <c r="WUB1363" s="23"/>
      <c r="WUC1363" s="23"/>
      <c r="WUD1363" s="23"/>
      <c r="WUE1363" s="23"/>
      <c r="WUF1363" s="23"/>
      <c r="WUG1363" s="23"/>
      <c r="WUH1363" s="23"/>
      <c r="WUI1363" s="23"/>
      <c r="WUJ1363" s="23"/>
      <c r="WUK1363" s="23"/>
      <c r="WUL1363" s="23"/>
      <c r="WUM1363" s="23"/>
      <c r="WUN1363" s="23"/>
      <c r="WUO1363" s="23"/>
      <c r="WUP1363" s="23"/>
      <c r="WUQ1363" s="23"/>
      <c r="WUR1363" s="23"/>
      <c r="WUS1363" s="23"/>
      <c r="WUT1363" s="23"/>
      <c r="WUU1363" s="23"/>
      <c r="WUV1363" s="23"/>
      <c r="WUW1363" s="23"/>
      <c r="WUX1363" s="23"/>
      <c r="WUY1363" s="23"/>
      <c r="WUZ1363" s="23"/>
      <c r="WVA1363" s="23"/>
      <c r="WVB1363" s="23"/>
      <c r="WVC1363" s="23"/>
      <c r="WVD1363" s="23"/>
      <c r="WVE1363" s="23"/>
      <c r="WVF1363" s="23"/>
      <c r="WVG1363" s="23"/>
      <c r="WVH1363" s="23"/>
      <c r="WVI1363" s="23"/>
      <c r="WVJ1363" s="23"/>
      <c r="WVK1363" s="23"/>
      <c r="WVL1363" s="23"/>
      <c r="WVM1363" s="23"/>
      <c r="WVN1363" s="23"/>
      <c r="WVO1363" s="23"/>
      <c r="WVP1363" s="23"/>
      <c r="WVQ1363" s="23"/>
      <c r="WVR1363" s="23"/>
      <c r="WVS1363" s="23"/>
      <c r="WVT1363" s="23"/>
      <c r="WVU1363" s="23"/>
      <c r="WVV1363" s="23"/>
      <c r="WVW1363" s="23"/>
      <c r="WVX1363" s="23"/>
      <c r="WVY1363" s="23"/>
      <c r="WVZ1363" s="23"/>
      <c r="WWA1363" s="23"/>
      <c r="WWB1363" s="23"/>
      <c r="WWC1363" s="23"/>
      <c r="WWD1363" s="23"/>
      <c r="WWE1363" s="23"/>
      <c r="WWF1363" s="23"/>
      <c r="WWG1363" s="23"/>
      <c r="WWH1363" s="23"/>
      <c r="WWI1363" s="23"/>
      <c r="WWJ1363" s="23"/>
      <c r="WWK1363" s="23"/>
      <c r="WWL1363" s="23"/>
      <c r="WWM1363" s="23"/>
      <c r="WWN1363" s="23"/>
      <c r="WWO1363" s="23"/>
      <c r="WWP1363" s="23"/>
      <c r="WWQ1363" s="23"/>
      <c r="WWR1363" s="23"/>
      <c r="WWS1363" s="23"/>
      <c r="WWT1363" s="23"/>
      <c r="WWU1363" s="23"/>
      <c r="WWV1363" s="23"/>
      <c r="WWW1363" s="23"/>
      <c r="WWX1363" s="23"/>
      <c r="WWY1363" s="23"/>
      <c r="WWZ1363" s="23"/>
      <c r="WXA1363" s="23"/>
      <c r="WXB1363" s="23"/>
      <c r="WXC1363" s="23"/>
      <c r="WXD1363" s="23"/>
      <c r="WXE1363" s="23"/>
      <c r="WXF1363" s="23"/>
      <c r="WXG1363" s="23"/>
      <c r="WXH1363" s="23"/>
      <c r="WXI1363" s="23"/>
      <c r="WXJ1363" s="23"/>
      <c r="WXK1363" s="23"/>
      <c r="WXL1363" s="23"/>
      <c r="WXM1363" s="23"/>
      <c r="WXN1363" s="23"/>
      <c r="WXO1363" s="23"/>
      <c r="WXP1363" s="23"/>
      <c r="WXQ1363" s="23"/>
      <c r="WXR1363" s="23"/>
      <c r="WXS1363" s="23"/>
      <c r="WXT1363" s="23"/>
      <c r="WXU1363" s="23"/>
      <c r="WXV1363" s="23"/>
      <c r="WXW1363" s="23"/>
      <c r="WXX1363" s="23"/>
      <c r="WXY1363" s="23"/>
      <c r="WXZ1363" s="23"/>
      <c r="WYA1363" s="23"/>
    </row>
    <row r="1364" spans="1:16199" ht="61.5" x14ac:dyDescent="0.85">
      <c r="B1364" s="160" t="s">
        <v>780</v>
      </c>
      <c r="C1364" s="160"/>
      <c r="D1364" s="177">
        <f>SUM(D1365:D1368)</f>
        <v>5519889.7699999996</v>
      </c>
      <c r="E1364" s="60">
        <f t="shared" ref="E1364:AE1364" si="255">SUM(E1365:E1368)</f>
        <v>0</v>
      </c>
      <c r="F1364" s="60">
        <f t="shared" si="255"/>
        <v>0</v>
      </c>
      <c r="G1364" s="60">
        <f t="shared" si="255"/>
        <v>0</v>
      </c>
      <c r="H1364" s="60">
        <f t="shared" si="255"/>
        <v>0</v>
      </c>
      <c r="I1364" s="60">
        <f t="shared" si="255"/>
        <v>0</v>
      </c>
      <c r="J1364" s="60">
        <f t="shared" si="255"/>
        <v>0</v>
      </c>
      <c r="K1364" s="168">
        <f t="shared" si="255"/>
        <v>0</v>
      </c>
      <c r="L1364" s="60">
        <f t="shared" si="255"/>
        <v>0</v>
      </c>
      <c r="M1364" s="60">
        <f t="shared" si="255"/>
        <v>0</v>
      </c>
      <c r="N1364" s="60">
        <f t="shared" si="255"/>
        <v>0</v>
      </c>
      <c r="O1364" s="60">
        <f t="shared" si="255"/>
        <v>0</v>
      </c>
      <c r="P1364" s="60">
        <f t="shared" si="255"/>
        <v>0</v>
      </c>
      <c r="Q1364" s="60">
        <f t="shared" si="255"/>
        <v>994.4</v>
      </c>
      <c r="R1364" s="60">
        <f t="shared" si="255"/>
        <v>5285219</v>
      </c>
      <c r="S1364" s="60">
        <f t="shared" si="255"/>
        <v>0</v>
      </c>
      <c r="T1364" s="60">
        <f t="shared" si="255"/>
        <v>0</v>
      </c>
      <c r="U1364" s="60">
        <f t="shared" si="255"/>
        <v>0</v>
      </c>
      <c r="V1364" s="60">
        <f t="shared" si="255"/>
        <v>0</v>
      </c>
      <c r="W1364" s="60">
        <f t="shared" si="255"/>
        <v>0</v>
      </c>
      <c r="X1364" s="60">
        <f t="shared" si="255"/>
        <v>0</v>
      </c>
      <c r="Y1364" s="60">
        <f t="shared" si="255"/>
        <v>0</v>
      </c>
      <c r="Z1364" s="60">
        <f t="shared" si="255"/>
        <v>0</v>
      </c>
      <c r="AA1364" s="60">
        <f t="shared" si="255"/>
        <v>0</v>
      </c>
      <c r="AB1364" s="60">
        <f t="shared" si="255"/>
        <v>0</v>
      </c>
      <c r="AC1364" s="60">
        <f t="shared" si="255"/>
        <v>69654.040000000008</v>
      </c>
      <c r="AD1364" s="60">
        <f t="shared" si="255"/>
        <v>165016.73000000001</v>
      </c>
      <c r="AE1364" s="60">
        <f t="shared" si="255"/>
        <v>0</v>
      </c>
      <c r="AF1364" s="202" t="s">
        <v>701</v>
      </c>
      <c r="AG1364" s="202" t="s">
        <v>701</v>
      </c>
      <c r="AH1364" s="207" t="s">
        <v>701</v>
      </c>
    </row>
    <row r="1365" spans="1:16199" ht="61.5" x14ac:dyDescent="0.85">
      <c r="A1365" s="7">
        <v>1</v>
      </c>
      <c r="B1365" s="59">
        <f>SUBTOTAL(103,$A$1032:A1365)</f>
        <v>300</v>
      </c>
      <c r="C1365" s="186" t="s">
        <v>1587</v>
      </c>
      <c r="D1365" s="60">
        <f>E1365+F1365+G1365+H1365+I1365+J1365+L1365+N1365+P1365+R1365+T1365+U1365+V1365+W1365+X1365+Y1365+Z1365+AA1365+AB1365+AC1365+AD1365+AE1365</f>
        <v>41487.11</v>
      </c>
      <c r="E1365" s="60">
        <v>0</v>
      </c>
      <c r="F1365" s="60">
        <v>0</v>
      </c>
      <c r="G1365" s="60">
        <v>0</v>
      </c>
      <c r="H1365" s="60">
        <v>0</v>
      </c>
      <c r="I1365" s="60">
        <v>0</v>
      </c>
      <c r="J1365" s="60">
        <v>0</v>
      </c>
      <c r="K1365" s="168">
        <v>0</v>
      </c>
      <c r="L1365" s="60">
        <v>0</v>
      </c>
      <c r="M1365" s="60">
        <v>0</v>
      </c>
      <c r="N1365" s="60">
        <v>0</v>
      </c>
      <c r="O1365" s="60">
        <v>0</v>
      </c>
      <c r="P1365" s="60">
        <v>0</v>
      </c>
      <c r="Q1365" s="60">
        <v>0</v>
      </c>
      <c r="R1365" s="60">
        <v>0</v>
      </c>
      <c r="S1365" s="60">
        <v>0</v>
      </c>
      <c r="T1365" s="60">
        <v>0</v>
      </c>
      <c r="U1365" s="60">
        <v>0</v>
      </c>
      <c r="V1365" s="60">
        <v>0</v>
      </c>
      <c r="W1365" s="60">
        <v>0</v>
      </c>
      <c r="X1365" s="60">
        <v>0</v>
      </c>
      <c r="Y1365" s="60">
        <v>0</v>
      </c>
      <c r="Z1365" s="60">
        <v>0</v>
      </c>
      <c r="AA1365" s="60">
        <v>0</v>
      </c>
      <c r="AB1365" s="60">
        <v>0</v>
      </c>
      <c r="AC1365" s="60">
        <f t="shared" ref="AC1365" si="256">ROUND(N1365*1.0593%,2)+ROUND(E1365*1.0593%,2)+ROUND(F1365*1.0593%,2)+ROUND(G1365*1.0593%,2)+ROUND(H1365*1.0593%,2)+ROUND(I1365*1.0593%,2)+ROUND(J1365*1.0593%,2)+ROUND(L1365*1.0593%,2)+ROUND(P1365*1.0593%,2)+ROUND(R1365*1.0593%,2)+ROUND(T1365*1.0593%,2)+ROUND(U1365*1.0593%,2)+ROUND(V1365*1.0593%,2)+ROUND(W1365*1.0593%,2)+ROUND(X1365*1.0593%,2)+ROUND(Y1365*1.0593%,2)+ROUND(Z1365*1.0593%,2)+ROUND(AA1365*1.0593%,2)+ROUND(AB1365*1.0593%,2)</f>
        <v>0</v>
      </c>
      <c r="AD1365" s="60">
        <v>41487.11</v>
      </c>
      <c r="AE1365" s="60">
        <v>0</v>
      </c>
      <c r="AF1365" s="170">
        <v>2022</v>
      </c>
      <c r="AG1365" s="170" t="s">
        <v>257</v>
      </c>
      <c r="AH1365" s="63" t="s">
        <v>257</v>
      </c>
    </row>
    <row r="1366" spans="1:16199" ht="61.5" x14ac:dyDescent="0.85">
      <c r="A1366" s="7">
        <v>1</v>
      </c>
      <c r="B1366" s="59">
        <f>SUBTOTAL(103,$A$1032:A1366)</f>
        <v>301</v>
      </c>
      <c r="C1366" s="160" t="s">
        <v>168</v>
      </c>
      <c r="D1366" s="60">
        <f>E1366+F1366+G1366+H1366+I1366+J1366+L1366+N1366+P1366+R1366+T1366+U1366+V1366+W1366+X1366+Y1366+Z1366+AA1366+AB1366+AC1366+AD1366+AE1366</f>
        <v>2688596.23</v>
      </c>
      <c r="E1366" s="60">
        <v>0</v>
      </c>
      <c r="F1366" s="60">
        <v>0</v>
      </c>
      <c r="G1366" s="60">
        <v>0</v>
      </c>
      <c r="H1366" s="60">
        <v>0</v>
      </c>
      <c r="I1366" s="60">
        <v>0</v>
      </c>
      <c r="J1366" s="60">
        <v>0</v>
      </c>
      <c r="K1366" s="168">
        <v>0</v>
      </c>
      <c r="L1366" s="60">
        <v>0</v>
      </c>
      <c r="M1366" s="60">
        <v>0</v>
      </c>
      <c r="N1366" s="60">
        <v>0</v>
      </c>
      <c r="O1366" s="60">
        <v>0</v>
      </c>
      <c r="P1366" s="60">
        <v>0</v>
      </c>
      <c r="Q1366" s="60">
        <v>502.25</v>
      </c>
      <c r="R1366" s="60">
        <v>2591742</v>
      </c>
      <c r="S1366" s="60">
        <v>0</v>
      </c>
      <c r="T1366" s="60">
        <v>0</v>
      </c>
      <c r="U1366" s="60">
        <v>0</v>
      </c>
      <c r="V1366" s="60">
        <v>0</v>
      </c>
      <c r="W1366" s="60">
        <v>0</v>
      </c>
      <c r="X1366" s="60">
        <v>0</v>
      </c>
      <c r="Y1366" s="60">
        <v>0</v>
      </c>
      <c r="Z1366" s="60">
        <v>0</v>
      </c>
      <c r="AA1366" s="60">
        <v>0</v>
      </c>
      <c r="AB1366" s="60">
        <v>0</v>
      </c>
      <c r="AC1366" s="60">
        <v>34016.61</v>
      </c>
      <c r="AD1366" s="60">
        <v>62837.62</v>
      </c>
      <c r="AE1366" s="188">
        <v>0</v>
      </c>
      <c r="AF1366" s="190">
        <v>2022</v>
      </c>
      <c r="AG1366" s="190">
        <v>2022</v>
      </c>
      <c r="AH1366" s="200">
        <v>2022</v>
      </c>
    </row>
    <row r="1367" spans="1:16199" ht="61.5" x14ac:dyDescent="0.85">
      <c r="A1367" s="7">
        <v>1</v>
      </c>
      <c r="B1367" s="59">
        <f>SUBTOTAL(103,$A$1032:A1367)</f>
        <v>302</v>
      </c>
      <c r="C1367" s="160" t="s">
        <v>169</v>
      </c>
      <c r="D1367" s="60">
        <f>E1367+F1367+G1367+H1367+I1367+J1367+L1367+N1367+P1367+R1367+T1367+U1367+V1367+W1367+X1367+Y1367+Z1367+AA1367+AB1367+AC1367+AD1367+AE1367</f>
        <v>2729114.43</v>
      </c>
      <c r="E1367" s="60">
        <v>0</v>
      </c>
      <c r="F1367" s="60">
        <v>0</v>
      </c>
      <c r="G1367" s="60">
        <v>0</v>
      </c>
      <c r="H1367" s="60">
        <v>0</v>
      </c>
      <c r="I1367" s="60">
        <v>0</v>
      </c>
      <c r="J1367" s="60">
        <v>0</v>
      </c>
      <c r="K1367" s="168">
        <v>0</v>
      </c>
      <c r="L1367" s="60">
        <v>0</v>
      </c>
      <c r="M1367" s="60">
        <v>0</v>
      </c>
      <c r="N1367" s="60">
        <v>0</v>
      </c>
      <c r="O1367" s="60">
        <v>0</v>
      </c>
      <c r="P1367" s="60">
        <v>0</v>
      </c>
      <c r="Q1367" s="60">
        <v>492.15</v>
      </c>
      <c r="R1367" s="60">
        <f>2715233-21756</f>
        <v>2693477</v>
      </c>
      <c r="S1367" s="60">
        <v>0</v>
      </c>
      <c r="T1367" s="60">
        <v>0</v>
      </c>
      <c r="U1367" s="60">
        <v>0</v>
      </c>
      <c r="V1367" s="60">
        <v>0</v>
      </c>
      <c r="W1367" s="60">
        <v>0</v>
      </c>
      <c r="X1367" s="60">
        <v>0</v>
      </c>
      <c r="Y1367" s="60">
        <v>0</v>
      </c>
      <c r="Z1367" s="60">
        <v>0</v>
      </c>
      <c r="AA1367" s="60">
        <v>0</v>
      </c>
      <c r="AB1367" s="60">
        <v>0</v>
      </c>
      <c r="AC1367" s="60">
        <v>35637.43</v>
      </c>
      <c r="AD1367" s="188">
        <v>0</v>
      </c>
      <c r="AE1367" s="188">
        <v>0</v>
      </c>
      <c r="AF1367" s="190" t="s">
        <v>257</v>
      </c>
      <c r="AG1367" s="190">
        <v>2022</v>
      </c>
      <c r="AH1367" s="200">
        <v>2022</v>
      </c>
    </row>
    <row r="1368" spans="1:16199" ht="61.5" x14ac:dyDescent="0.85">
      <c r="A1368" s="7">
        <v>1</v>
      </c>
      <c r="B1368" s="59">
        <f>SUBTOTAL(103,$A$1032:A1368)</f>
        <v>303</v>
      </c>
      <c r="C1368" s="160" t="s">
        <v>171</v>
      </c>
      <c r="D1368" s="60">
        <f>E1368+F1368+G1368+H1368+I1368+J1368+L1368+N1368+P1368+R1368+T1368+U1368+V1368+W1368+X1368+Y1368+Z1368+AA1368+AB1368+AC1368+AD1368+AE1368</f>
        <v>60692</v>
      </c>
      <c r="E1368" s="60">
        <v>0</v>
      </c>
      <c r="F1368" s="60">
        <v>0</v>
      </c>
      <c r="G1368" s="60">
        <v>0</v>
      </c>
      <c r="H1368" s="60">
        <v>0</v>
      </c>
      <c r="I1368" s="60">
        <v>0</v>
      </c>
      <c r="J1368" s="60">
        <v>0</v>
      </c>
      <c r="K1368" s="168">
        <v>0</v>
      </c>
      <c r="L1368" s="60">
        <v>0</v>
      </c>
      <c r="M1368" s="60">
        <v>0</v>
      </c>
      <c r="N1368" s="60">
        <v>0</v>
      </c>
      <c r="O1368" s="60">
        <v>0</v>
      </c>
      <c r="P1368" s="60">
        <v>0</v>
      </c>
      <c r="Q1368" s="60">
        <v>0</v>
      </c>
      <c r="R1368" s="60">
        <v>0</v>
      </c>
      <c r="S1368" s="60">
        <v>0</v>
      </c>
      <c r="T1368" s="60">
        <v>0</v>
      </c>
      <c r="U1368" s="60">
        <v>0</v>
      </c>
      <c r="V1368" s="60">
        <v>0</v>
      </c>
      <c r="W1368" s="60">
        <v>0</v>
      </c>
      <c r="X1368" s="60">
        <v>0</v>
      </c>
      <c r="Y1368" s="60">
        <v>0</v>
      </c>
      <c r="Z1368" s="60">
        <v>0</v>
      </c>
      <c r="AA1368" s="60">
        <v>0</v>
      </c>
      <c r="AB1368" s="60">
        <v>0</v>
      </c>
      <c r="AC1368" s="60">
        <v>0</v>
      </c>
      <c r="AD1368" s="60">
        <v>60692</v>
      </c>
      <c r="AE1368" s="60">
        <v>0</v>
      </c>
      <c r="AF1368" s="190">
        <v>2022</v>
      </c>
      <c r="AG1368" s="170" t="s">
        <v>257</v>
      </c>
      <c r="AH1368" s="63" t="s">
        <v>257</v>
      </c>
    </row>
    <row r="1369" spans="1:16199" ht="61.5" x14ac:dyDescent="0.85">
      <c r="B1369" s="160" t="s">
        <v>781</v>
      </c>
      <c r="C1369" s="160"/>
      <c r="D1369" s="177">
        <f t="shared" ref="D1369:AE1369" si="257">SUM(D1370:D1370)</f>
        <v>4951746.71</v>
      </c>
      <c r="E1369" s="60">
        <f t="shared" si="257"/>
        <v>0</v>
      </c>
      <c r="F1369" s="60">
        <f t="shared" si="257"/>
        <v>0</v>
      </c>
      <c r="G1369" s="60">
        <f t="shared" si="257"/>
        <v>0</v>
      </c>
      <c r="H1369" s="60">
        <f t="shared" si="257"/>
        <v>0</v>
      </c>
      <c r="I1369" s="60">
        <f t="shared" si="257"/>
        <v>0</v>
      </c>
      <c r="J1369" s="60">
        <f t="shared" si="257"/>
        <v>0</v>
      </c>
      <c r="K1369" s="168">
        <f t="shared" si="257"/>
        <v>0</v>
      </c>
      <c r="L1369" s="60">
        <f t="shared" si="257"/>
        <v>0</v>
      </c>
      <c r="M1369" s="60">
        <f t="shared" si="257"/>
        <v>631.79999999999995</v>
      </c>
      <c r="N1369" s="60">
        <f t="shared" si="257"/>
        <v>4887597</v>
      </c>
      <c r="O1369" s="60">
        <f t="shared" si="257"/>
        <v>0</v>
      </c>
      <c r="P1369" s="60">
        <f t="shared" si="257"/>
        <v>0</v>
      </c>
      <c r="Q1369" s="60">
        <f t="shared" si="257"/>
        <v>0</v>
      </c>
      <c r="R1369" s="60">
        <f t="shared" si="257"/>
        <v>0</v>
      </c>
      <c r="S1369" s="60">
        <f t="shared" si="257"/>
        <v>0</v>
      </c>
      <c r="T1369" s="60">
        <f t="shared" si="257"/>
        <v>0</v>
      </c>
      <c r="U1369" s="60">
        <f t="shared" si="257"/>
        <v>0</v>
      </c>
      <c r="V1369" s="60">
        <f t="shared" si="257"/>
        <v>0</v>
      </c>
      <c r="W1369" s="60">
        <f t="shared" si="257"/>
        <v>0</v>
      </c>
      <c r="X1369" s="60">
        <f t="shared" si="257"/>
        <v>0</v>
      </c>
      <c r="Y1369" s="60">
        <f t="shared" si="257"/>
        <v>0</v>
      </c>
      <c r="Z1369" s="60">
        <f t="shared" si="257"/>
        <v>0</v>
      </c>
      <c r="AA1369" s="60">
        <f t="shared" si="257"/>
        <v>0</v>
      </c>
      <c r="AB1369" s="60">
        <f t="shared" si="257"/>
        <v>0</v>
      </c>
      <c r="AC1369" s="60">
        <f t="shared" si="257"/>
        <v>64149.71</v>
      </c>
      <c r="AD1369" s="60">
        <f t="shared" si="257"/>
        <v>0</v>
      </c>
      <c r="AE1369" s="60">
        <f t="shared" si="257"/>
        <v>0</v>
      </c>
      <c r="AF1369" s="202" t="s">
        <v>701</v>
      </c>
      <c r="AG1369" s="202" t="s">
        <v>701</v>
      </c>
      <c r="AH1369" s="207" t="s">
        <v>701</v>
      </c>
    </row>
    <row r="1370" spans="1:16199" ht="61.5" x14ac:dyDescent="0.85">
      <c r="A1370" s="7">
        <v>1</v>
      </c>
      <c r="B1370" s="59">
        <f>SUBTOTAL(103,$A$1032:A1370)</f>
        <v>304</v>
      </c>
      <c r="C1370" s="160" t="s">
        <v>170</v>
      </c>
      <c r="D1370" s="60">
        <f>E1370+F1370+G1370+H1370+I1370+J1370+L1370+N1370+P1370+R1370+T1370+U1370+V1370+W1370+X1370+Y1370+Z1370+AA1370+AB1370+AC1370+AD1370+AE1370</f>
        <v>4951746.71</v>
      </c>
      <c r="E1370" s="60">
        <v>0</v>
      </c>
      <c r="F1370" s="60">
        <v>0</v>
      </c>
      <c r="G1370" s="60">
        <v>0</v>
      </c>
      <c r="H1370" s="60">
        <v>0</v>
      </c>
      <c r="I1370" s="60">
        <v>0</v>
      </c>
      <c r="J1370" s="60">
        <v>0</v>
      </c>
      <c r="K1370" s="168">
        <v>0</v>
      </c>
      <c r="L1370" s="60">
        <v>0</v>
      </c>
      <c r="M1370" s="60">
        <v>631.79999999999995</v>
      </c>
      <c r="N1370" s="60">
        <v>4887597</v>
      </c>
      <c r="O1370" s="60">
        <v>0</v>
      </c>
      <c r="P1370" s="60">
        <v>0</v>
      </c>
      <c r="Q1370" s="60">
        <v>0</v>
      </c>
      <c r="R1370" s="60">
        <v>0</v>
      </c>
      <c r="S1370" s="60">
        <v>0</v>
      </c>
      <c r="T1370" s="60">
        <v>0</v>
      </c>
      <c r="U1370" s="60">
        <v>0</v>
      </c>
      <c r="V1370" s="60">
        <v>0</v>
      </c>
      <c r="W1370" s="60">
        <v>0</v>
      </c>
      <c r="X1370" s="60">
        <v>0</v>
      </c>
      <c r="Y1370" s="60">
        <v>0</v>
      </c>
      <c r="Z1370" s="60">
        <v>0</v>
      </c>
      <c r="AA1370" s="60">
        <v>0</v>
      </c>
      <c r="AB1370" s="60">
        <v>0</v>
      </c>
      <c r="AC1370" s="60">
        <v>64149.71</v>
      </c>
      <c r="AD1370" s="188">
        <v>0</v>
      </c>
      <c r="AE1370" s="188">
        <v>0</v>
      </c>
      <c r="AF1370" s="190" t="s">
        <v>257</v>
      </c>
      <c r="AG1370" s="190">
        <v>2022</v>
      </c>
      <c r="AH1370" s="200">
        <v>2022</v>
      </c>
    </row>
    <row r="1371" spans="1:16199" ht="61.5" x14ac:dyDescent="0.85">
      <c r="B1371" s="160" t="s">
        <v>783</v>
      </c>
      <c r="C1371" s="176"/>
      <c r="D1371" s="177">
        <f>SUM(D1372:D1377)</f>
        <v>55283563.039999999</v>
      </c>
      <c r="E1371" s="60">
        <f t="shared" ref="E1371:AE1371" si="258">SUM(E1372:E1377)</f>
        <v>0</v>
      </c>
      <c r="F1371" s="60">
        <f t="shared" si="258"/>
        <v>0</v>
      </c>
      <c r="G1371" s="60">
        <f t="shared" si="258"/>
        <v>0</v>
      </c>
      <c r="H1371" s="60">
        <f t="shared" si="258"/>
        <v>0</v>
      </c>
      <c r="I1371" s="60">
        <f t="shared" si="258"/>
        <v>0</v>
      </c>
      <c r="J1371" s="60">
        <f t="shared" si="258"/>
        <v>0</v>
      </c>
      <c r="K1371" s="168">
        <f t="shared" si="258"/>
        <v>0</v>
      </c>
      <c r="L1371" s="60">
        <f t="shared" si="258"/>
        <v>0</v>
      </c>
      <c r="M1371" s="60">
        <f t="shared" si="258"/>
        <v>2030.5</v>
      </c>
      <c r="N1371" s="60">
        <f t="shared" si="258"/>
        <v>17670030.300000001</v>
      </c>
      <c r="O1371" s="60">
        <f t="shared" si="258"/>
        <v>0</v>
      </c>
      <c r="P1371" s="60">
        <f t="shared" si="258"/>
        <v>0</v>
      </c>
      <c r="Q1371" s="60">
        <f t="shared" si="258"/>
        <v>4524.5</v>
      </c>
      <c r="R1371" s="60">
        <f t="shared" si="258"/>
        <v>29786186.68</v>
      </c>
      <c r="S1371" s="60">
        <f t="shared" si="258"/>
        <v>0</v>
      </c>
      <c r="T1371" s="60">
        <f t="shared" si="258"/>
        <v>0</v>
      </c>
      <c r="U1371" s="60">
        <f t="shared" si="258"/>
        <v>0</v>
      </c>
      <c r="V1371" s="60">
        <f t="shared" si="258"/>
        <v>0</v>
      </c>
      <c r="W1371" s="60">
        <f t="shared" si="258"/>
        <v>0</v>
      </c>
      <c r="X1371" s="60">
        <f t="shared" si="258"/>
        <v>0</v>
      </c>
      <c r="Y1371" s="60">
        <f t="shared" si="258"/>
        <v>0</v>
      </c>
      <c r="Z1371" s="60">
        <f t="shared" si="258"/>
        <v>0</v>
      </c>
      <c r="AA1371" s="60">
        <f t="shared" si="258"/>
        <v>0</v>
      </c>
      <c r="AB1371" s="60">
        <f t="shared" si="258"/>
        <v>5354408.1099999994</v>
      </c>
      <c r="AC1371" s="60">
        <f t="shared" si="258"/>
        <v>1127080.6000000001</v>
      </c>
      <c r="AD1371" s="60">
        <f t="shared" si="258"/>
        <v>1345857.35</v>
      </c>
      <c r="AE1371" s="60">
        <f t="shared" si="258"/>
        <v>0</v>
      </c>
      <c r="AF1371" s="202" t="s">
        <v>701</v>
      </c>
      <c r="AG1371" s="202" t="s">
        <v>701</v>
      </c>
      <c r="AH1371" s="207" t="s">
        <v>701</v>
      </c>
    </row>
    <row r="1372" spans="1:16199" ht="61.5" x14ac:dyDescent="0.85">
      <c r="A1372" s="7">
        <v>1</v>
      </c>
      <c r="B1372" s="59">
        <f>SUBTOTAL(103,$A$1032:A1372)</f>
        <v>305</v>
      </c>
      <c r="C1372" s="186" t="s">
        <v>83</v>
      </c>
      <c r="D1372" s="60">
        <f>E1372+F1372+G1372+H1372+I1372+J1372+L1372+N1372+P1372+R1372+T1372+U1372+V1372+W1372+X1372+Y1372+Z1372+AA1372+AB1372+AC1372+AD1372+AE1372</f>
        <v>4954929.54</v>
      </c>
      <c r="E1372" s="60">
        <v>0</v>
      </c>
      <c r="F1372" s="60">
        <v>0</v>
      </c>
      <c r="G1372" s="60">
        <v>0</v>
      </c>
      <c r="H1372" s="60">
        <v>0</v>
      </c>
      <c r="I1372" s="60">
        <v>0</v>
      </c>
      <c r="J1372" s="60">
        <v>0</v>
      </c>
      <c r="K1372" s="168">
        <v>0</v>
      </c>
      <c r="L1372" s="60">
        <v>0</v>
      </c>
      <c r="M1372" s="60">
        <v>626</v>
      </c>
      <c r="N1372" s="60">
        <v>4776922</v>
      </c>
      <c r="O1372" s="60">
        <v>0</v>
      </c>
      <c r="P1372" s="60">
        <v>0</v>
      </c>
      <c r="Q1372" s="60">
        <v>0</v>
      </c>
      <c r="R1372" s="60">
        <v>0</v>
      </c>
      <c r="S1372" s="60">
        <v>0</v>
      </c>
      <c r="T1372" s="60">
        <v>0</v>
      </c>
      <c r="U1372" s="60">
        <v>0</v>
      </c>
      <c r="V1372" s="60">
        <v>0</v>
      </c>
      <c r="W1372" s="60">
        <v>0</v>
      </c>
      <c r="X1372" s="60">
        <v>0</v>
      </c>
      <c r="Y1372" s="60">
        <v>0</v>
      </c>
      <c r="Z1372" s="60">
        <v>0</v>
      </c>
      <c r="AA1372" s="60">
        <v>0</v>
      </c>
      <c r="AB1372" s="60">
        <v>0</v>
      </c>
      <c r="AC1372" s="188">
        <v>99159.35</v>
      </c>
      <c r="AD1372" s="60">
        <v>78848.19</v>
      </c>
      <c r="AE1372" s="60">
        <v>0</v>
      </c>
      <c r="AF1372" s="170">
        <v>2022</v>
      </c>
      <c r="AG1372" s="170">
        <v>2022</v>
      </c>
      <c r="AH1372" s="63">
        <v>2022</v>
      </c>
    </row>
    <row r="1373" spans="1:16199" ht="61.5" x14ac:dyDescent="0.85">
      <c r="A1373" s="7">
        <v>1</v>
      </c>
      <c r="B1373" s="59">
        <f>SUBTOTAL(103,$A$1032:A1373)</f>
        <v>306</v>
      </c>
      <c r="C1373" s="186" t="s">
        <v>84</v>
      </c>
      <c r="D1373" s="60">
        <f>E1373+F1373+G1373+H1373+I1373+J1373+L1373+N1373+P1373+R1373+T1373+U1373+V1373+W1373+X1373+Y1373+Z1373+AA1373+AB1373+AC1373+AD1373+AE1373</f>
        <v>5041280.8500000006</v>
      </c>
      <c r="E1373" s="60">
        <v>0</v>
      </c>
      <c r="F1373" s="60">
        <v>0</v>
      </c>
      <c r="G1373" s="60">
        <v>0</v>
      </c>
      <c r="H1373" s="60">
        <v>0</v>
      </c>
      <c r="I1373" s="60">
        <v>0</v>
      </c>
      <c r="J1373" s="60">
        <v>0</v>
      </c>
      <c r="K1373" s="168">
        <v>0</v>
      </c>
      <c r="L1373" s="60">
        <v>0</v>
      </c>
      <c r="M1373" s="60">
        <v>553</v>
      </c>
      <c r="N1373" s="60">
        <v>4864517</v>
      </c>
      <c r="O1373" s="60">
        <v>0</v>
      </c>
      <c r="P1373" s="60">
        <v>0</v>
      </c>
      <c r="Q1373" s="60">
        <v>0</v>
      </c>
      <c r="R1373" s="60">
        <v>0</v>
      </c>
      <c r="S1373" s="60">
        <v>0</v>
      </c>
      <c r="T1373" s="60">
        <v>0</v>
      </c>
      <c r="U1373" s="60">
        <v>0</v>
      </c>
      <c r="V1373" s="60">
        <v>0</v>
      </c>
      <c r="W1373" s="60">
        <v>0</v>
      </c>
      <c r="X1373" s="60">
        <v>0</v>
      </c>
      <c r="Y1373" s="60">
        <v>0</v>
      </c>
      <c r="Z1373" s="60">
        <v>0</v>
      </c>
      <c r="AA1373" s="60">
        <v>0</v>
      </c>
      <c r="AB1373" s="60">
        <v>0</v>
      </c>
      <c r="AC1373" s="188">
        <f t="shared" ref="AC1373:AC1377" si="259">ROUND(N1373*2.14%,2)+ROUND(E1373*2.14%,2)+ROUND(F1373*2.14%,2)+ROUND(G1373*2.14%,2)+ROUND(H1373*2.14%,2)+ROUND(I1373*2.14%,2)+ROUND(J1373*2.14%,2)+ROUND(L1373*2.14%,2)+ROUND(P1373*2.14%,2)+ROUND(R1373*2.14%,2)+ROUND(T1373*2.14%,2)+ROUND(U1373*2.14%,2)+ROUND(V1373*2.14%,2)+ROUND(W1373*2.14%,2)+ROUND(X1373*2.14%,2)+ROUND(Y1373*2.14%,2)+ROUND(Z1373*2.14%,2)+ROUND(AA1373*2.14%,2)+ROUND(AB1373*2.14%,2)</f>
        <v>104100.66</v>
      </c>
      <c r="AD1373" s="60">
        <v>72663.19</v>
      </c>
      <c r="AE1373" s="60">
        <v>0</v>
      </c>
      <c r="AF1373" s="170">
        <v>2022</v>
      </c>
      <c r="AG1373" s="170">
        <v>2022</v>
      </c>
      <c r="AH1373" s="63">
        <v>2022</v>
      </c>
    </row>
    <row r="1374" spans="1:16199" ht="61.5" x14ac:dyDescent="0.85">
      <c r="A1374" s="7">
        <v>1</v>
      </c>
      <c r="B1374" s="59">
        <f>SUBTOTAL(103,$A$1032:A1374)</f>
        <v>307</v>
      </c>
      <c r="C1374" s="186" t="s">
        <v>82</v>
      </c>
      <c r="D1374" s="60">
        <f>E1374+F1374+G1374+H1374+I1374+J1374+L1374+N1374+P1374+R1374+T1374+U1374+V1374+W1374+X1374+Y1374+Z1374+AA1374+AB1374+AC1374+AD1374+AE1374</f>
        <v>3806417.43</v>
      </c>
      <c r="E1374" s="60">
        <v>0</v>
      </c>
      <c r="F1374" s="60">
        <v>0</v>
      </c>
      <c r="G1374" s="60">
        <v>0</v>
      </c>
      <c r="H1374" s="60">
        <v>0</v>
      </c>
      <c r="I1374" s="60">
        <v>0</v>
      </c>
      <c r="J1374" s="60">
        <v>0</v>
      </c>
      <c r="K1374" s="168">
        <v>0</v>
      </c>
      <c r="L1374" s="60">
        <v>0</v>
      </c>
      <c r="M1374" s="60">
        <v>373.3</v>
      </c>
      <c r="N1374" s="60">
        <v>3670578</v>
      </c>
      <c r="O1374" s="60">
        <v>0</v>
      </c>
      <c r="P1374" s="60">
        <v>0</v>
      </c>
      <c r="Q1374" s="60">
        <v>0</v>
      </c>
      <c r="R1374" s="60">
        <v>0</v>
      </c>
      <c r="S1374" s="60">
        <v>0</v>
      </c>
      <c r="T1374" s="60">
        <v>0</v>
      </c>
      <c r="U1374" s="60">
        <v>0</v>
      </c>
      <c r="V1374" s="60">
        <v>0</v>
      </c>
      <c r="W1374" s="60">
        <v>0</v>
      </c>
      <c r="X1374" s="60">
        <v>0</v>
      </c>
      <c r="Y1374" s="60">
        <v>0</v>
      </c>
      <c r="Z1374" s="60">
        <v>0</v>
      </c>
      <c r="AA1374" s="60">
        <v>0</v>
      </c>
      <c r="AB1374" s="60">
        <v>0</v>
      </c>
      <c r="AC1374" s="188">
        <f t="shared" si="259"/>
        <v>78550.37</v>
      </c>
      <c r="AD1374" s="60">
        <f>58308.71-1019.65</f>
        <v>57289.06</v>
      </c>
      <c r="AE1374" s="60">
        <v>0</v>
      </c>
      <c r="AF1374" s="170">
        <v>2022</v>
      </c>
      <c r="AG1374" s="170">
        <v>2022</v>
      </c>
      <c r="AH1374" s="63">
        <v>2022</v>
      </c>
    </row>
    <row r="1375" spans="1:16199" ht="61.5" x14ac:dyDescent="0.85">
      <c r="A1375" s="7">
        <v>1</v>
      </c>
      <c r="B1375" s="59">
        <f>SUBTOTAL(103,$A$1032:A1375)</f>
        <v>308</v>
      </c>
      <c r="C1375" s="160" t="s">
        <v>3227</v>
      </c>
      <c r="D1375" s="60">
        <f t="shared" ref="D1375:D1377" si="260">E1375+F1375+G1375+H1375+I1375+J1375+L1375+N1375+P1375+R1375+T1375+U1375+V1375+W1375+X1375+Y1375+Z1375+AA1375+AB1375+AC1375+AD1375+AE1375</f>
        <v>14947606.249999998</v>
      </c>
      <c r="E1375" s="60">
        <v>0</v>
      </c>
      <c r="F1375" s="60">
        <v>0</v>
      </c>
      <c r="G1375" s="60">
        <v>0</v>
      </c>
      <c r="H1375" s="60">
        <v>0</v>
      </c>
      <c r="I1375" s="60">
        <v>0</v>
      </c>
      <c r="J1375" s="60">
        <v>0</v>
      </c>
      <c r="K1375" s="168">
        <v>0</v>
      </c>
      <c r="L1375" s="60">
        <v>0</v>
      </c>
      <c r="M1375" s="60">
        <v>478.2</v>
      </c>
      <c r="N1375" s="60">
        <v>4358013.3</v>
      </c>
      <c r="O1375" s="60">
        <v>0</v>
      </c>
      <c r="P1375" s="60">
        <v>0</v>
      </c>
      <c r="Q1375" s="60">
        <v>1186</v>
      </c>
      <c r="R1375" s="62">
        <v>8135874.8499999996</v>
      </c>
      <c r="S1375" s="60">
        <v>0</v>
      </c>
      <c r="T1375" s="60">
        <v>0</v>
      </c>
      <c r="U1375" s="60">
        <v>0</v>
      </c>
      <c r="V1375" s="60">
        <v>0</v>
      </c>
      <c r="W1375" s="60">
        <v>0</v>
      </c>
      <c r="X1375" s="60">
        <v>0</v>
      </c>
      <c r="Y1375" s="60">
        <v>0</v>
      </c>
      <c r="Z1375" s="60">
        <v>0</v>
      </c>
      <c r="AA1375" s="60">
        <v>0</v>
      </c>
      <c r="AB1375" s="60">
        <v>1812889.31</v>
      </c>
      <c r="AC1375" s="60">
        <f t="shared" si="259"/>
        <v>306165.03000000003</v>
      </c>
      <c r="AD1375" s="60">
        <v>334663.76</v>
      </c>
      <c r="AE1375" s="60">
        <v>0</v>
      </c>
      <c r="AF1375" s="170">
        <v>2022</v>
      </c>
      <c r="AG1375" s="170">
        <v>2022</v>
      </c>
      <c r="AH1375" s="63">
        <v>2022</v>
      </c>
    </row>
    <row r="1376" spans="1:16199" ht="61.5" x14ac:dyDescent="0.85">
      <c r="A1376" s="7">
        <v>1</v>
      </c>
      <c r="B1376" s="59">
        <f>SUBTOTAL(103,$A$1032:A1376)</f>
        <v>309</v>
      </c>
      <c r="C1376" s="160" t="s">
        <v>3228</v>
      </c>
      <c r="D1376" s="60">
        <f t="shared" si="260"/>
        <v>10471507</v>
      </c>
      <c r="E1376" s="60">
        <v>0</v>
      </c>
      <c r="F1376" s="60">
        <v>0</v>
      </c>
      <c r="G1376" s="60">
        <v>0</v>
      </c>
      <c r="H1376" s="60">
        <v>0</v>
      </c>
      <c r="I1376" s="60">
        <v>0</v>
      </c>
      <c r="J1376" s="60">
        <v>0</v>
      </c>
      <c r="K1376" s="168">
        <v>0</v>
      </c>
      <c r="L1376" s="60">
        <v>0</v>
      </c>
      <c r="M1376" s="60">
        <v>0</v>
      </c>
      <c r="N1376" s="60">
        <v>0</v>
      </c>
      <c r="O1376" s="60">
        <v>0</v>
      </c>
      <c r="P1376" s="60">
        <v>0</v>
      </c>
      <c r="Q1376" s="60">
        <v>1238.5</v>
      </c>
      <c r="R1376" s="60">
        <v>8265039.9699999997</v>
      </c>
      <c r="S1376" s="60">
        <v>0</v>
      </c>
      <c r="T1376" s="60">
        <v>0</v>
      </c>
      <c r="U1376" s="60">
        <v>0</v>
      </c>
      <c r="V1376" s="60">
        <v>0</v>
      </c>
      <c r="W1376" s="60">
        <v>0</v>
      </c>
      <c r="X1376" s="60">
        <v>0</v>
      </c>
      <c r="Y1376" s="60">
        <v>0</v>
      </c>
      <c r="Z1376" s="60">
        <v>0</v>
      </c>
      <c r="AA1376" s="60">
        <v>0</v>
      </c>
      <c r="AB1376" s="60">
        <v>1630688.11</v>
      </c>
      <c r="AC1376" s="60">
        <f t="shared" si="259"/>
        <v>211768.59</v>
      </c>
      <c r="AD1376" s="60">
        <v>364010.33</v>
      </c>
      <c r="AE1376" s="60">
        <v>0</v>
      </c>
      <c r="AF1376" s="170">
        <v>2022</v>
      </c>
      <c r="AG1376" s="170">
        <v>2022</v>
      </c>
      <c r="AH1376" s="63">
        <v>2022</v>
      </c>
    </row>
    <row r="1377" spans="1:16199" ht="61.5" x14ac:dyDescent="0.85">
      <c r="A1377" s="7">
        <v>1</v>
      </c>
      <c r="B1377" s="59">
        <f>SUBTOTAL(103,$A$1032:A1377)</f>
        <v>310</v>
      </c>
      <c r="C1377" s="160" t="s">
        <v>2669</v>
      </c>
      <c r="D1377" s="60">
        <f t="shared" si="260"/>
        <v>16061821.969999999</v>
      </c>
      <c r="E1377" s="60">
        <v>0</v>
      </c>
      <c r="F1377" s="60">
        <v>0</v>
      </c>
      <c r="G1377" s="60">
        <v>0</v>
      </c>
      <c r="H1377" s="60">
        <v>0</v>
      </c>
      <c r="I1377" s="60">
        <v>0</v>
      </c>
      <c r="J1377" s="60">
        <v>0</v>
      </c>
      <c r="K1377" s="168">
        <v>0</v>
      </c>
      <c r="L1377" s="60">
        <v>0</v>
      </c>
      <c r="M1377" s="60">
        <v>0</v>
      </c>
      <c r="N1377" s="60">
        <v>0</v>
      </c>
      <c r="O1377" s="60">
        <v>0</v>
      </c>
      <c r="P1377" s="60">
        <v>0</v>
      </c>
      <c r="Q1377" s="60">
        <v>2100</v>
      </c>
      <c r="R1377" s="60">
        <v>13385271.859999999</v>
      </c>
      <c r="S1377" s="60">
        <v>0</v>
      </c>
      <c r="T1377" s="60">
        <v>0</v>
      </c>
      <c r="U1377" s="60">
        <v>0</v>
      </c>
      <c r="V1377" s="60">
        <v>0</v>
      </c>
      <c r="W1377" s="60">
        <v>0</v>
      </c>
      <c r="X1377" s="60">
        <v>0</v>
      </c>
      <c r="Y1377" s="60">
        <v>0</v>
      </c>
      <c r="Z1377" s="60">
        <v>0</v>
      </c>
      <c r="AA1377" s="60">
        <v>0</v>
      </c>
      <c r="AB1377" s="60">
        <v>1910830.69</v>
      </c>
      <c r="AC1377" s="60">
        <f t="shared" si="259"/>
        <v>327336.59999999998</v>
      </c>
      <c r="AD1377" s="60">
        <v>438382.81999999995</v>
      </c>
      <c r="AE1377" s="60">
        <v>0</v>
      </c>
      <c r="AF1377" s="170">
        <v>2022</v>
      </c>
      <c r="AG1377" s="170">
        <v>2022</v>
      </c>
      <c r="AH1377" s="63">
        <v>2022</v>
      </c>
    </row>
    <row r="1378" spans="1:16199" ht="61.5" x14ac:dyDescent="0.85">
      <c r="B1378" s="160" t="s">
        <v>784</v>
      </c>
      <c r="C1378" s="160"/>
      <c r="D1378" s="177">
        <f>D1379</f>
        <v>5382331.3300000001</v>
      </c>
      <c r="E1378" s="60">
        <f t="shared" ref="E1378:AE1378" si="261">E1379</f>
        <v>0</v>
      </c>
      <c r="F1378" s="60">
        <f t="shared" si="261"/>
        <v>0</v>
      </c>
      <c r="G1378" s="60">
        <f t="shared" si="261"/>
        <v>0</v>
      </c>
      <c r="H1378" s="60">
        <f t="shared" si="261"/>
        <v>0</v>
      </c>
      <c r="I1378" s="60">
        <f t="shared" si="261"/>
        <v>0</v>
      </c>
      <c r="J1378" s="60">
        <f t="shared" si="261"/>
        <v>0</v>
      </c>
      <c r="K1378" s="168">
        <f t="shared" si="261"/>
        <v>0</v>
      </c>
      <c r="L1378" s="60">
        <f t="shared" si="261"/>
        <v>0</v>
      </c>
      <c r="M1378" s="60">
        <f t="shared" si="261"/>
        <v>556.5</v>
      </c>
      <c r="N1378" s="60">
        <f t="shared" si="261"/>
        <v>5198238</v>
      </c>
      <c r="O1378" s="60">
        <f t="shared" si="261"/>
        <v>0</v>
      </c>
      <c r="P1378" s="60">
        <f t="shared" si="261"/>
        <v>0</v>
      </c>
      <c r="Q1378" s="60">
        <f t="shared" si="261"/>
        <v>0</v>
      </c>
      <c r="R1378" s="60">
        <f t="shared" si="261"/>
        <v>0</v>
      </c>
      <c r="S1378" s="60">
        <f t="shared" si="261"/>
        <v>0</v>
      </c>
      <c r="T1378" s="60">
        <f t="shared" si="261"/>
        <v>0</v>
      </c>
      <c r="U1378" s="60">
        <f t="shared" si="261"/>
        <v>0</v>
      </c>
      <c r="V1378" s="60">
        <f t="shared" si="261"/>
        <v>0</v>
      </c>
      <c r="W1378" s="60">
        <f t="shared" si="261"/>
        <v>0</v>
      </c>
      <c r="X1378" s="60">
        <f t="shared" si="261"/>
        <v>0</v>
      </c>
      <c r="Y1378" s="60">
        <f t="shared" si="261"/>
        <v>0</v>
      </c>
      <c r="Z1378" s="60">
        <f t="shared" si="261"/>
        <v>0</v>
      </c>
      <c r="AA1378" s="60">
        <f t="shared" si="261"/>
        <v>0</v>
      </c>
      <c r="AB1378" s="60">
        <f t="shared" si="261"/>
        <v>0</v>
      </c>
      <c r="AC1378" s="60">
        <f t="shared" si="261"/>
        <v>111242.29</v>
      </c>
      <c r="AD1378" s="60">
        <f t="shared" si="261"/>
        <v>72851.039999999994</v>
      </c>
      <c r="AE1378" s="60">
        <f t="shared" si="261"/>
        <v>0</v>
      </c>
      <c r="AF1378" s="202" t="s">
        <v>701</v>
      </c>
      <c r="AG1378" s="202" t="s">
        <v>701</v>
      </c>
      <c r="AH1378" s="207" t="s">
        <v>701</v>
      </c>
    </row>
    <row r="1379" spans="1:16199" ht="61.5" x14ac:dyDescent="0.85">
      <c r="A1379" s="7">
        <v>1</v>
      </c>
      <c r="B1379" s="59">
        <f>SUBTOTAL(103,$A$1032:A1379)</f>
        <v>311</v>
      </c>
      <c r="C1379" s="186" t="s">
        <v>86</v>
      </c>
      <c r="D1379" s="60">
        <f>E1379+F1379+G1379+H1379+I1379+J1379+L1379+N1379+P1379+R1379+T1379+U1379+V1379+W1379+X1379+Y1379+Z1379+AA1379+AB1379+AC1379+AD1379+AE1379</f>
        <v>5382331.3300000001</v>
      </c>
      <c r="E1379" s="60">
        <v>0</v>
      </c>
      <c r="F1379" s="60">
        <v>0</v>
      </c>
      <c r="G1379" s="60">
        <v>0</v>
      </c>
      <c r="H1379" s="60">
        <v>0</v>
      </c>
      <c r="I1379" s="60">
        <v>0</v>
      </c>
      <c r="J1379" s="60">
        <v>0</v>
      </c>
      <c r="K1379" s="168">
        <v>0</v>
      </c>
      <c r="L1379" s="60">
        <v>0</v>
      </c>
      <c r="M1379" s="60">
        <v>556.5</v>
      </c>
      <c r="N1379" s="60">
        <v>5198238</v>
      </c>
      <c r="O1379" s="60">
        <v>0</v>
      </c>
      <c r="P1379" s="60">
        <v>0</v>
      </c>
      <c r="Q1379" s="60">
        <v>0</v>
      </c>
      <c r="R1379" s="60">
        <v>0</v>
      </c>
      <c r="S1379" s="60">
        <v>0</v>
      </c>
      <c r="T1379" s="60">
        <v>0</v>
      </c>
      <c r="U1379" s="60">
        <v>0</v>
      </c>
      <c r="V1379" s="60">
        <v>0</v>
      </c>
      <c r="W1379" s="60">
        <v>0</v>
      </c>
      <c r="X1379" s="60">
        <v>0</v>
      </c>
      <c r="Y1379" s="60">
        <v>0</v>
      </c>
      <c r="Z1379" s="60">
        <v>0</v>
      </c>
      <c r="AA1379" s="60">
        <v>0</v>
      </c>
      <c r="AB1379" s="60">
        <v>0</v>
      </c>
      <c r="AC1379" s="188">
        <f>ROUND(N1379*2.14%,2)+ROUND(E1379*2.14%,2)+ROUND(F1379*2.14%,2)+ROUND(G1379*2.14%,2)+ROUND(H1379*2.14%,2)+ROUND(I1379*2.14%,2)+ROUND(J1379*2.14%,2)+ROUND(L1379*2.14%,2)+ROUND(P1379*2.14%,2)+ROUND(R1379*2.14%,2)+ROUND(T1379*2.14%,2)+ROUND(U1379*2.14%,2)+ROUND(V1379*2.14%,2)+ROUND(W1379*2.14%,2)+ROUND(X1379*2.14%,2)+ROUND(Y1379*2.14%,2)+ROUND(Z1379*2.14%,2)+ROUND(AA1379*2.14%,2)+ROUND(AB1379*2.14%,2)</f>
        <v>111242.29</v>
      </c>
      <c r="AD1379" s="60">
        <f>73953.11-1102.07</f>
        <v>72851.039999999994</v>
      </c>
      <c r="AE1379" s="60">
        <v>0</v>
      </c>
      <c r="AF1379" s="170">
        <v>2022</v>
      </c>
      <c r="AG1379" s="170">
        <v>2022</v>
      </c>
      <c r="AH1379" s="63">
        <v>2022</v>
      </c>
    </row>
    <row r="1380" spans="1:16199" ht="61.5" x14ac:dyDescent="0.85">
      <c r="B1380" s="160" t="s">
        <v>833</v>
      </c>
      <c r="C1380" s="160"/>
      <c r="D1380" s="177">
        <f>D1381</f>
        <v>4171786.63</v>
      </c>
      <c r="E1380" s="60">
        <f t="shared" ref="E1380:AE1380" si="262">E1381</f>
        <v>0</v>
      </c>
      <c r="F1380" s="60">
        <f t="shared" si="262"/>
        <v>0</v>
      </c>
      <c r="G1380" s="60">
        <f t="shared" si="262"/>
        <v>0</v>
      </c>
      <c r="H1380" s="60">
        <f t="shared" si="262"/>
        <v>0</v>
      </c>
      <c r="I1380" s="60">
        <f t="shared" si="262"/>
        <v>0</v>
      </c>
      <c r="J1380" s="60">
        <f t="shared" si="262"/>
        <v>0</v>
      </c>
      <c r="K1380" s="168">
        <f t="shared" si="262"/>
        <v>0</v>
      </c>
      <c r="L1380" s="60">
        <f t="shared" si="262"/>
        <v>0</v>
      </c>
      <c r="M1380" s="60">
        <f t="shared" si="262"/>
        <v>495.6</v>
      </c>
      <c r="N1380" s="60">
        <f t="shared" si="262"/>
        <v>4003511</v>
      </c>
      <c r="O1380" s="60">
        <f t="shared" si="262"/>
        <v>0</v>
      </c>
      <c r="P1380" s="60">
        <f t="shared" si="262"/>
        <v>0</v>
      </c>
      <c r="Q1380" s="60">
        <f t="shared" si="262"/>
        <v>0</v>
      </c>
      <c r="R1380" s="60">
        <f t="shared" si="262"/>
        <v>0</v>
      </c>
      <c r="S1380" s="60">
        <f t="shared" si="262"/>
        <v>0</v>
      </c>
      <c r="T1380" s="60">
        <f t="shared" si="262"/>
        <v>0</v>
      </c>
      <c r="U1380" s="60">
        <f t="shared" si="262"/>
        <v>0</v>
      </c>
      <c r="V1380" s="60">
        <f t="shared" si="262"/>
        <v>0</v>
      </c>
      <c r="W1380" s="60">
        <f t="shared" si="262"/>
        <v>0</v>
      </c>
      <c r="X1380" s="60">
        <f t="shared" si="262"/>
        <v>0</v>
      </c>
      <c r="Y1380" s="60">
        <f t="shared" si="262"/>
        <v>0</v>
      </c>
      <c r="Z1380" s="60">
        <f t="shared" si="262"/>
        <v>0</v>
      </c>
      <c r="AA1380" s="60">
        <f t="shared" si="262"/>
        <v>0</v>
      </c>
      <c r="AB1380" s="60">
        <f t="shared" si="262"/>
        <v>0</v>
      </c>
      <c r="AC1380" s="60">
        <f t="shared" si="262"/>
        <v>83104.88</v>
      </c>
      <c r="AD1380" s="60">
        <f t="shared" si="262"/>
        <v>85170.75</v>
      </c>
      <c r="AE1380" s="60">
        <f t="shared" si="262"/>
        <v>0</v>
      </c>
      <c r="AF1380" s="202" t="s">
        <v>701</v>
      </c>
      <c r="AG1380" s="202" t="s">
        <v>701</v>
      </c>
      <c r="AH1380" s="207" t="s">
        <v>701</v>
      </c>
    </row>
    <row r="1381" spans="1:16199" ht="61.5" x14ac:dyDescent="0.85">
      <c r="A1381" s="7">
        <v>1</v>
      </c>
      <c r="B1381" s="59">
        <f>SUBTOTAL(103,$A$1032:A1381)</f>
        <v>312</v>
      </c>
      <c r="C1381" s="186" t="s">
        <v>85</v>
      </c>
      <c r="D1381" s="60">
        <f>E1381+F1381+G1381+H1381+I1381+J1381+L1381+N1381+P1381+R1381+T1381+U1381+V1381+W1381+X1381+Y1381+Z1381+AA1381+AB1381+AC1381+AD1381+AE1381</f>
        <v>4171786.63</v>
      </c>
      <c r="E1381" s="60">
        <v>0</v>
      </c>
      <c r="F1381" s="60">
        <v>0</v>
      </c>
      <c r="G1381" s="60">
        <v>0</v>
      </c>
      <c r="H1381" s="60">
        <v>0</v>
      </c>
      <c r="I1381" s="60">
        <v>0</v>
      </c>
      <c r="J1381" s="60">
        <v>0</v>
      </c>
      <c r="K1381" s="168">
        <v>0</v>
      </c>
      <c r="L1381" s="60">
        <v>0</v>
      </c>
      <c r="M1381" s="60">
        <v>495.6</v>
      </c>
      <c r="N1381" s="60">
        <v>4003511</v>
      </c>
      <c r="O1381" s="60">
        <v>0</v>
      </c>
      <c r="P1381" s="60">
        <v>0</v>
      </c>
      <c r="Q1381" s="60">
        <v>0</v>
      </c>
      <c r="R1381" s="60">
        <v>0</v>
      </c>
      <c r="S1381" s="60">
        <v>0</v>
      </c>
      <c r="T1381" s="60">
        <v>0</v>
      </c>
      <c r="U1381" s="60">
        <v>0</v>
      </c>
      <c r="V1381" s="60">
        <v>0</v>
      </c>
      <c r="W1381" s="60">
        <v>0</v>
      </c>
      <c r="X1381" s="60">
        <v>0</v>
      </c>
      <c r="Y1381" s="60">
        <v>0</v>
      </c>
      <c r="Z1381" s="60">
        <v>0</v>
      </c>
      <c r="AA1381" s="60">
        <v>0</v>
      </c>
      <c r="AB1381" s="60">
        <v>0</v>
      </c>
      <c r="AC1381" s="188">
        <v>83104.88</v>
      </c>
      <c r="AD1381" s="60">
        <v>85170.75</v>
      </c>
      <c r="AE1381" s="60">
        <v>0</v>
      </c>
      <c r="AF1381" s="170">
        <v>2022</v>
      </c>
      <c r="AG1381" s="170">
        <v>2022</v>
      </c>
      <c r="AH1381" s="63">
        <v>2022</v>
      </c>
    </row>
    <row r="1382" spans="1:16199" ht="61.5" x14ac:dyDescent="0.85">
      <c r="B1382" s="160" t="s">
        <v>785</v>
      </c>
      <c r="C1382" s="176"/>
      <c r="D1382" s="177">
        <f t="shared" ref="D1382:AE1382" si="263">SUM(D1383:D1385)</f>
        <v>8833581.9100000001</v>
      </c>
      <c r="E1382" s="60">
        <f t="shared" si="263"/>
        <v>0</v>
      </c>
      <c r="F1382" s="60">
        <f t="shared" si="263"/>
        <v>0</v>
      </c>
      <c r="G1382" s="60">
        <f t="shared" si="263"/>
        <v>0</v>
      </c>
      <c r="H1382" s="60">
        <f t="shared" si="263"/>
        <v>0</v>
      </c>
      <c r="I1382" s="60">
        <f t="shared" si="263"/>
        <v>0</v>
      </c>
      <c r="J1382" s="60">
        <f t="shared" si="263"/>
        <v>0</v>
      </c>
      <c r="K1382" s="168">
        <f t="shared" si="263"/>
        <v>0</v>
      </c>
      <c r="L1382" s="60">
        <f t="shared" si="263"/>
        <v>0</v>
      </c>
      <c r="M1382" s="60">
        <f t="shared" si="263"/>
        <v>1412.4</v>
      </c>
      <c r="N1382" s="60">
        <f t="shared" si="263"/>
        <v>8678647</v>
      </c>
      <c r="O1382" s="60">
        <f t="shared" si="263"/>
        <v>0</v>
      </c>
      <c r="P1382" s="60">
        <f t="shared" si="263"/>
        <v>0</v>
      </c>
      <c r="Q1382" s="60">
        <f t="shared" si="263"/>
        <v>0</v>
      </c>
      <c r="R1382" s="60">
        <f t="shared" si="263"/>
        <v>0</v>
      </c>
      <c r="S1382" s="60">
        <f t="shared" si="263"/>
        <v>0</v>
      </c>
      <c r="T1382" s="60">
        <f t="shared" si="263"/>
        <v>0</v>
      </c>
      <c r="U1382" s="60">
        <f t="shared" si="263"/>
        <v>0</v>
      </c>
      <c r="V1382" s="60">
        <f t="shared" si="263"/>
        <v>0</v>
      </c>
      <c r="W1382" s="60">
        <f t="shared" si="263"/>
        <v>0</v>
      </c>
      <c r="X1382" s="60">
        <f t="shared" si="263"/>
        <v>0</v>
      </c>
      <c r="Y1382" s="60">
        <f t="shared" si="263"/>
        <v>0</v>
      </c>
      <c r="Z1382" s="60">
        <f t="shared" si="263"/>
        <v>0</v>
      </c>
      <c r="AA1382" s="60">
        <f t="shared" si="263"/>
        <v>0</v>
      </c>
      <c r="AB1382" s="60">
        <f t="shared" si="263"/>
        <v>0</v>
      </c>
      <c r="AC1382" s="60">
        <f t="shared" si="263"/>
        <v>89824</v>
      </c>
      <c r="AD1382" s="60">
        <f t="shared" si="263"/>
        <v>65110.91</v>
      </c>
      <c r="AE1382" s="60">
        <f t="shared" si="263"/>
        <v>0</v>
      </c>
      <c r="AF1382" s="202" t="s">
        <v>701</v>
      </c>
      <c r="AG1382" s="202" t="s">
        <v>701</v>
      </c>
      <c r="AH1382" s="207" t="s">
        <v>701</v>
      </c>
    </row>
    <row r="1383" spans="1:16199" ht="61.5" x14ac:dyDescent="0.85">
      <c r="A1383" s="7">
        <v>1</v>
      </c>
      <c r="B1383" s="59">
        <f>SUBTOTAL(103,$A$1032:A1383)</f>
        <v>313</v>
      </c>
      <c r="C1383" s="186" t="s">
        <v>106</v>
      </c>
      <c r="D1383" s="60">
        <f>E1383+F1383+G1383+H1383+I1383+J1383+L1383+N1383+P1383+R1383+T1383+U1383+V1383+W1383+X1383+Y1383+Z1383+AA1383+AB1383+AC1383+AD1383+AE1383</f>
        <v>65110.91</v>
      </c>
      <c r="E1383" s="60">
        <v>0</v>
      </c>
      <c r="F1383" s="60">
        <v>0</v>
      </c>
      <c r="G1383" s="60">
        <v>0</v>
      </c>
      <c r="H1383" s="60">
        <v>0</v>
      </c>
      <c r="I1383" s="60">
        <v>0</v>
      </c>
      <c r="J1383" s="60">
        <v>0</v>
      </c>
      <c r="K1383" s="168">
        <v>0</v>
      </c>
      <c r="L1383" s="60">
        <v>0</v>
      </c>
      <c r="M1383" s="60">
        <v>0</v>
      </c>
      <c r="N1383" s="60">
        <v>0</v>
      </c>
      <c r="O1383" s="60">
        <v>0</v>
      </c>
      <c r="P1383" s="60">
        <v>0</v>
      </c>
      <c r="Q1383" s="60">
        <v>0</v>
      </c>
      <c r="R1383" s="60">
        <v>0</v>
      </c>
      <c r="S1383" s="60">
        <v>0</v>
      </c>
      <c r="T1383" s="60">
        <v>0</v>
      </c>
      <c r="U1383" s="60">
        <v>0</v>
      </c>
      <c r="V1383" s="60">
        <v>0</v>
      </c>
      <c r="W1383" s="60">
        <v>0</v>
      </c>
      <c r="X1383" s="60">
        <v>0</v>
      </c>
      <c r="Y1383" s="60">
        <v>0</v>
      </c>
      <c r="Z1383" s="60">
        <v>0</v>
      </c>
      <c r="AA1383" s="60">
        <v>0</v>
      </c>
      <c r="AB1383" s="60">
        <v>0</v>
      </c>
      <c r="AC1383" s="60">
        <f>ROUND(N1383*1.0593%,2)+ROUND(E1383*1.0593%,2)+ROUND(F1383*1.0593%,2)+ROUND(G1383*1.0593%,2)+ROUND(H1383*1.0593%,2)+ROUND(I1383*1.0593%,2)+ROUND(J1383*1.0593%,2)+ROUND(L1383*1.0593%,2)+ROUND(P1383*1.0593%,2)+ROUND(R1383*1.0593%,2)+ROUND(T1383*1.0593%,2)+ROUND(U1383*1.0593%,2)+ROUND(V1383*1.0593%,2)+ROUND(W1383*1.0593%,2)+ROUND(X1383*1.0593%,2)+ROUND(Y1383*1.0593%,2)+ROUND(Z1383*1.0593%,2)+ROUND(AA1383*1.0593%,2)+ROUND(AB1383*1.0593%,2)</f>
        <v>0</v>
      </c>
      <c r="AD1383" s="62">
        <v>65110.91</v>
      </c>
      <c r="AE1383" s="60">
        <v>0</v>
      </c>
      <c r="AF1383" s="170">
        <v>2022</v>
      </c>
      <c r="AG1383" s="170" t="s">
        <v>257</v>
      </c>
      <c r="AH1383" s="63" t="s">
        <v>257</v>
      </c>
    </row>
    <row r="1384" spans="1:16199" customFormat="1" ht="61.5" x14ac:dyDescent="0.85">
      <c r="A1384" s="7">
        <v>1</v>
      </c>
      <c r="B1384" s="59">
        <f>SUBTOTAL(103,$A$1032:A1384)</f>
        <v>314</v>
      </c>
      <c r="C1384" s="160" t="s">
        <v>2168</v>
      </c>
      <c r="D1384" s="60">
        <f>E1384+F1384+G1384+H1384+I1384+J1384+L1384+N1384+P1384+R1384+T1384+U1384+V1384+W1384+X1384+Y1384+Z1384+AA1384+AB1384+AC1384+AD1384+AE1384</f>
        <v>4828319.18</v>
      </c>
      <c r="E1384" s="180">
        <v>0</v>
      </c>
      <c r="F1384" s="180">
        <v>0</v>
      </c>
      <c r="G1384" s="180">
        <v>0</v>
      </c>
      <c r="H1384" s="180">
        <v>0</v>
      </c>
      <c r="I1384" s="180">
        <v>0</v>
      </c>
      <c r="J1384" s="180">
        <v>0</v>
      </c>
      <c r="K1384" s="168">
        <v>0</v>
      </c>
      <c r="L1384" s="60">
        <v>0</v>
      </c>
      <c r="M1384" s="60">
        <v>779.4</v>
      </c>
      <c r="N1384" s="60">
        <v>4778858</v>
      </c>
      <c r="O1384" s="60">
        <v>0</v>
      </c>
      <c r="P1384" s="60">
        <v>0</v>
      </c>
      <c r="Q1384" s="60">
        <v>0</v>
      </c>
      <c r="R1384" s="60">
        <v>0</v>
      </c>
      <c r="S1384" s="60">
        <v>0</v>
      </c>
      <c r="T1384" s="60">
        <v>0</v>
      </c>
      <c r="U1384" s="60">
        <v>0</v>
      </c>
      <c r="V1384" s="60">
        <v>0</v>
      </c>
      <c r="W1384" s="60">
        <v>0</v>
      </c>
      <c r="X1384" s="60">
        <v>0</v>
      </c>
      <c r="Y1384" s="60">
        <v>0</v>
      </c>
      <c r="Z1384" s="60">
        <v>0</v>
      </c>
      <c r="AA1384" s="60">
        <v>0</v>
      </c>
      <c r="AB1384" s="60">
        <v>0</v>
      </c>
      <c r="AC1384" s="188">
        <v>49461.18</v>
      </c>
      <c r="AD1384" s="60">
        <v>0</v>
      </c>
      <c r="AE1384" s="60">
        <v>0</v>
      </c>
      <c r="AF1384" s="170" t="s">
        <v>257</v>
      </c>
      <c r="AG1384" s="170">
        <v>2022</v>
      </c>
      <c r="AH1384" s="63">
        <v>2022</v>
      </c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  <c r="BZ1384" s="7"/>
      <c r="CA1384" s="7"/>
      <c r="CB1384" s="7"/>
      <c r="CC1384" s="7"/>
      <c r="CD1384" s="7"/>
      <c r="CE1384" s="7"/>
      <c r="CF1384" s="7"/>
      <c r="CG1384" s="7"/>
      <c r="CH1384" s="7"/>
      <c r="CI1384" s="7"/>
      <c r="CJ1384" s="7"/>
      <c r="CK1384" s="7"/>
      <c r="CL1384" s="7"/>
      <c r="CM1384" s="7"/>
      <c r="CN1384" s="7"/>
      <c r="CO1384" s="7"/>
      <c r="CP1384" s="7"/>
      <c r="CQ1384" s="7"/>
      <c r="CR1384" s="7"/>
      <c r="CS1384" s="7"/>
      <c r="CT1384" s="7"/>
      <c r="CU1384" s="7"/>
      <c r="CV1384" s="7"/>
      <c r="CW1384" s="7"/>
      <c r="CX1384" s="7"/>
      <c r="CY1384" s="7"/>
      <c r="CZ1384" s="7"/>
      <c r="DA1384" s="7"/>
      <c r="DB1384" s="7"/>
      <c r="DC1384" s="7"/>
      <c r="DD1384" s="7"/>
      <c r="DE1384" s="7"/>
      <c r="DF1384" s="7"/>
      <c r="DG1384" s="7"/>
      <c r="DH1384" s="7"/>
      <c r="DI1384" s="7"/>
      <c r="DJ1384" s="7"/>
      <c r="DK1384" s="7"/>
      <c r="DL1384" s="7"/>
      <c r="DM1384" s="7"/>
      <c r="DN1384" s="7"/>
      <c r="DO1384" s="7"/>
      <c r="DP1384" s="7"/>
      <c r="DQ1384" s="7"/>
      <c r="DR1384" s="7"/>
      <c r="DS1384" s="7"/>
      <c r="DT1384" s="7"/>
      <c r="DU1384" s="7"/>
      <c r="DV1384" s="7"/>
      <c r="DW1384" s="7"/>
      <c r="DX1384" s="7"/>
      <c r="DY1384" s="7"/>
      <c r="DZ1384" s="7"/>
      <c r="EA1384" s="7"/>
      <c r="EB1384" s="7"/>
      <c r="EC1384" s="7"/>
      <c r="ED1384" s="7"/>
      <c r="EE1384" s="7"/>
      <c r="EF1384" s="7"/>
      <c r="EG1384" s="7"/>
      <c r="EH1384" s="7"/>
      <c r="EI1384" s="7"/>
      <c r="EJ1384" s="7"/>
      <c r="EK1384" s="7"/>
      <c r="EL1384" s="7"/>
      <c r="EM1384" s="7"/>
      <c r="EN1384" s="7"/>
      <c r="EO1384" s="7"/>
      <c r="EP1384" s="7"/>
      <c r="EQ1384" s="7"/>
      <c r="ER1384" s="7"/>
      <c r="ES1384" s="7"/>
      <c r="ET1384" s="7"/>
      <c r="EU1384" s="7"/>
      <c r="EV1384" s="7"/>
      <c r="EW1384" s="7"/>
      <c r="EX1384" s="7"/>
      <c r="EY1384" s="7"/>
      <c r="EZ1384" s="7"/>
      <c r="FA1384" s="7"/>
      <c r="FB1384" s="7"/>
      <c r="FC1384" s="7"/>
      <c r="FD1384" s="7"/>
      <c r="FE1384" s="7"/>
      <c r="FF1384" s="7"/>
      <c r="FG1384" s="7"/>
      <c r="FH1384" s="7"/>
      <c r="FI1384" s="7"/>
      <c r="FJ1384" s="7"/>
      <c r="FK1384" s="7"/>
      <c r="FL1384" s="7"/>
      <c r="FM1384" s="7"/>
      <c r="FN1384" s="7"/>
      <c r="FO1384" s="7"/>
      <c r="FP1384" s="7"/>
      <c r="FQ1384" s="7"/>
      <c r="FR1384" s="7"/>
      <c r="FS1384" s="7"/>
      <c r="FT1384" s="7"/>
      <c r="FU1384" s="7"/>
      <c r="FV1384" s="7"/>
      <c r="FW1384" s="7"/>
      <c r="FX1384" s="7"/>
      <c r="FY1384" s="7"/>
      <c r="FZ1384" s="7"/>
      <c r="GA1384" s="7"/>
      <c r="GB1384" s="7"/>
      <c r="GC1384" s="7"/>
      <c r="GD1384" s="7"/>
      <c r="GE1384" s="7"/>
      <c r="GF1384" s="7"/>
      <c r="GG1384" s="7"/>
      <c r="GH1384" s="7"/>
      <c r="GI1384" s="7"/>
      <c r="GJ1384" s="7"/>
      <c r="GK1384" s="7"/>
      <c r="GL1384" s="7"/>
      <c r="GM1384" s="7"/>
      <c r="GN1384" s="7"/>
      <c r="GO1384" s="7"/>
      <c r="GP1384" s="7"/>
      <c r="GQ1384" s="7"/>
      <c r="GR1384" s="7"/>
      <c r="GS1384" s="7"/>
      <c r="GT1384" s="7"/>
      <c r="GU1384" s="7"/>
      <c r="GV1384" s="7"/>
      <c r="GW1384" s="7"/>
      <c r="GX1384" s="7"/>
      <c r="GY1384" s="7"/>
      <c r="GZ1384" s="7"/>
      <c r="HA1384" s="7"/>
      <c r="HB1384" s="7"/>
      <c r="HC1384" s="7"/>
      <c r="HD1384" s="7"/>
      <c r="HE1384" s="7"/>
      <c r="HF1384" s="7"/>
      <c r="HG1384" s="7"/>
      <c r="HH1384" s="7"/>
      <c r="HI1384" s="7"/>
      <c r="HJ1384" s="7"/>
      <c r="HK1384" s="7"/>
      <c r="HL1384" s="7"/>
      <c r="HM1384" s="7"/>
      <c r="HN1384" s="7"/>
      <c r="HO1384" s="7"/>
      <c r="HP1384" s="7"/>
      <c r="HQ1384" s="7"/>
      <c r="HR1384" s="7"/>
      <c r="HS1384" s="7"/>
      <c r="HT1384" s="7"/>
      <c r="HU1384" s="7"/>
      <c r="HV1384" s="7"/>
      <c r="HW1384" s="7"/>
      <c r="HX1384" s="7"/>
      <c r="HY1384" s="7"/>
      <c r="HZ1384" s="7"/>
      <c r="IA1384" s="7"/>
      <c r="IB1384" s="7"/>
      <c r="IC1384" s="7"/>
      <c r="ID1384" s="7"/>
      <c r="IE1384" s="7"/>
      <c r="IF1384" s="7"/>
      <c r="IG1384" s="7"/>
      <c r="IH1384" s="7"/>
      <c r="II1384" s="7"/>
      <c r="IJ1384" s="7"/>
      <c r="IK1384" s="7"/>
      <c r="IL1384" s="7"/>
      <c r="IM1384" s="7"/>
      <c r="IN1384" s="7"/>
      <c r="IO1384" s="7"/>
      <c r="IP1384" s="7"/>
      <c r="IQ1384" s="7"/>
      <c r="IR1384" s="7"/>
      <c r="IS1384" s="7"/>
      <c r="IT1384" s="7"/>
      <c r="IU1384" s="7"/>
      <c r="IV1384" s="7"/>
      <c r="IW1384" s="7"/>
      <c r="IX1384" s="7"/>
      <c r="IY1384" s="7"/>
      <c r="IZ1384" s="7"/>
      <c r="JA1384" s="7"/>
      <c r="JB1384" s="7"/>
      <c r="JC1384" s="7"/>
      <c r="JD1384" s="7"/>
      <c r="JE1384" s="7"/>
      <c r="JF1384" s="7"/>
      <c r="JG1384" s="7"/>
      <c r="JH1384" s="7"/>
      <c r="JI1384" s="7"/>
      <c r="JJ1384" s="7"/>
      <c r="JK1384" s="7"/>
      <c r="JL1384" s="7"/>
      <c r="JM1384" s="7"/>
      <c r="JN1384" s="7"/>
      <c r="JO1384" s="7"/>
      <c r="JP1384" s="7"/>
      <c r="JQ1384" s="7"/>
      <c r="JR1384" s="7"/>
      <c r="JS1384" s="7"/>
      <c r="JT1384" s="7"/>
      <c r="JU1384" s="7"/>
      <c r="JV1384" s="7"/>
      <c r="JW1384" s="7"/>
      <c r="JX1384" s="7"/>
      <c r="JY1384" s="7"/>
      <c r="JZ1384" s="7"/>
      <c r="KA1384" s="7"/>
      <c r="KB1384" s="7"/>
      <c r="KC1384" s="7"/>
      <c r="KD1384" s="7"/>
      <c r="KE1384" s="7"/>
      <c r="KF1384" s="7"/>
      <c r="KG1384" s="7"/>
      <c r="KH1384" s="7"/>
      <c r="KI1384" s="7"/>
      <c r="KJ1384" s="7"/>
      <c r="KK1384" s="7"/>
      <c r="KL1384" s="7"/>
      <c r="KM1384" s="7"/>
      <c r="KN1384" s="7"/>
      <c r="KO1384" s="7"/>
      <c r="KP1384" s="7"/>
      <c r="KQ1384" s="7"/>
      <c r="KR1384" s="7"/>
      <c r="KS1384" s="7"/>
      <c r="KT1384" s="7"/>
      <c r="KU1384" s="7"/>
      <c r="KV1384" s="7"/>
      <c r="KW1384" s="7"/>
      <c r="KX1384" s="7"/>
      <c r="KY1384" s="7"/>
      <c r="KZ1384" s="7"/>
      <c r="LA1384" s="7"/>
      <c r="LB1384" s="7"/>
      <c r="LC1384" s="7"/>
      <c r="LD1384" s="7"/>
      <c r="LE1384" s="7"/>
      <c r="LF1384" s="7"/>
      <c r="LG1384" s="7"/>
      <c r="LH1384" s="7"/>
      <c r="LI1384" s="7"/>
      <c r="LJ1384" s="7"/>
      <c r="LK1384" s="7"/>
      <c r="LL1384" s="7"/>
      <c r="LM1384" s="7"/>
      <c r="LN1384" s="7"/>
      <c r="LO1384" s="7"/>
      <c r="LP1384" s="7"/>
      <c r="LQ1384" s="7"/>
      <c r="LR1384" s="7"/>
      <c r="LS1384" s="7"/>
      <c r="LT1384" s="7"/>
      <c r="LU1384" s="7"/>
      <c r="LV1384" s="7"/>
      <c r="LW1384" s="7"/>
      <c r="LX1384" s="7"/>
      <c r="LY1384" s="7"/>
      <c r="LZ1384" s="7"/>
      <c r="MA1384" s="7"/>
      <c r="MB1384" s="7"/>
      <c r="MC1384" s="7"/>
      <c r="MD1384" s="7"/>
      <c r="ME1384" s="7"/>
      <c r="MF1384" s="7"/>
      <c r="MG1384" s="7"/>
      <c r="MH1384" s="7"/>
      <c r="MI1384" s="7"/>
      <c r="MJ1384" s="7"/>
      <c r="MK1384" s="7"/>
      <c r="ML1384" s="7"/>
      <c r="MM1384" s="7"/>
      <c r="MN1384" s="7"/>
      <c r="MO1384" s="7"/>
      <c r="MP1384" s="7"/>
      <c r="MQ1384" s="7"/>
      <c r="MR1384" s="7"/>
      <c r="MS1384" s="7"/>
      <c r="MT1384" s="7"/>
      <c r="MU1384" s="7"/>
      <c r="MV1384" s="7"/>
      <c r="MW1384" s="7"/>
      <c r="MX1384" s="7"/>
      <c r="MY1384" s="7"/>
      <c r="MZ1384" s="7"/>
      <c r="NA1384" s="7"/>
      <c r="NB1384" s="7"/>
      <c r="NC1384" s="7"/>
      <c r="ND1384" s="7"/>
      <c r="NE1384" s="7"/>
      <c r="NF1384" s="7"/>
      <c r="NG1384" s="7"/>
      <c r="NH1384" s="7"/>
      <c r="NI1384" s="7"/>
      <c r="NJ1384" s="7"/>
      <c r="NK1384" s="7"/>
      <c r="NL1384" s="7"/>
      <c r="NM1384" s="7"/>
      <c r="NN1384" s="7"/>
      <c r="NO1384" s="7"/>
      <c r="NP1384" s="7"/>
      <c r="NQ1384" s="7"/>
      <c r="NR1384" s="7"/>
      <c r="NS1384" s="7"/>
      <c r="NT1384" s="7"/>
      <c r="NU1384" s="7"/>
      <c r="NV1384" s="7"/>
      <c r="NW1384" s="7"/>
      <c r="NX1384" s="7"/>
      <c r="NY1384" s="7"/>
      <c r="NZ1384" s="7"/>
      <c r="OA1384" s="7"/>
      <c r="OB1384" s="7"/>
      <c r="OC1384" s="7"/>
      <c r="OD1384" s="7"/>
      <c r="OE1384" s="7"/>
      <c r="OF1384" s="7"/>
      <c r="OG1384" s="7"/>
      <c r="OH1384" s="7"/>
      <c r="OI1384" s="7"/>
      <c r="OJ1384" s="7"/>
      <c r="OK1384" s="7"/>
      <c r="OL1384" s="7"/>
      <c r="OM1384" s="7"/>
      <c r="ON1384" s="7"/>
      <c r="OO1384" s="7"/>
      <c r="OP1384" s="7"/>
      <c r="OQ1384" s="7"/>
      <c r="OR1384" s="7"/>
      <c r="OS1384" s="7"/>
      <c r="OT1384" s="7"/>
      <c r="OU1384" s="7"/>
      <c r="OV1384" s="7"/>
      <c r="OW1384" s="7"/>
      <c r="OX1384" s="7"/>
      <c r="OY1384" s="7"/>
      <c r="OZ1384" s="7"/>
      <c r="PA1384" s="7"/>
      <c r="PB1384" s="7"/>
      <c r="PC1384" s="7"/>
      <c r="PD1384" s="7"/>
      <c r="PE1384" s="7"/>
      <c r="PF1384" s="7"/>
      <c r="PG1384" s="7"/>
      <c r="PH1384" s="7"/>
      <c r="PI1384" s="7"/>
      <c r="PJ1384" s="7"/>
      <c r="PK1384" s="7"/>
      <c r="PL1384" s="7"/>
      <c r="PM1384" s="7"/>
      <c r="PN1384" s="7"/>
      <c r="PO1384" s="7"/>
      <c r="PP1384" s="7"/>
      <c r="PQ1384" s="7"/>
      <c r="PR1384" s="7"/>
      <c r="PS1384" s="7"/>
      <c r="PT1384" s="7"/>
      <c r="PU1384" s="7"/>
      <c r="PV1384" s="7"/>
      <c r="PW1384" s="7"/>
      <c r="PX1384" s="7"/>
      <c r="PY1384" s="7"/>
      <c r="PZ1384" s="7"/>
      <c r="QA1384" s="7"/>
      <c r="QB1384" s="7"/>
      <c r="QC1384" s="7"/>
      <c r="QD1384" s="7"/>
      <c r="QE1384" s="7"/>
      <c r="QF1384" s="7"/>
      <c r="QG1384" s="7"/>
      <c r="QH1384" s="7"/>
      <c r="QI1384" s="7"/>
      <c r="QJ1384" s="7"/>
      <c r="QK1384" s="7"/>
      <c r="QL1384" s="7"/>
      <c r="QM1384" s="7"/>
      <c r="QN1384" s="7"/>
      <c r="QO1384" s="7"/>
      <c r="QP1384" s="7"/>
      <c r="QQ1384" s="7"/>
      <c r="QR1384" s="7"/>
      <c r="QS1384" s="7"/>
      <c r="QT1384" s="7"/>
      <c r="QU1384" s="7"/>
      <c r="QV1384" s="7"/>
      <c r="QW1384" s="7"/>
      <c r="QX1384" s="7"/>
      <c r="QY1384" s="7"/>
      <c r="QZ1384" s="7"/>
      <c r="RA1384" s="7"/>
      <c r="RB1384" s="7"/>
      <c r="RC1384" s="7"/>
      <c r="RD1384" s="7"/>
      <c r="RE1384" s="7"/>
      <c r="RF1384" s="7"/>
      <c r="RG1384" s="7"/>
      <c r="RH1384" s="7"/>
      <c r="RI1384" s="7"/>
      <c r="RJ1384" s="7"/>
      <c r="RK1384" s="7"/>
      <c r="RL1384" s="7"/>
      <c r="RM1384" s="7"/>
      <c r="RN1384" s="7"/>
      <c r="RO1384" s="7"/>
      <c r="RP1384" s="7"/>
      <c r="RQ1384" s="7"/>
      <c r="RR1384" s="7"/>
      <c r="RS1384" s="7"/>
      <c r="RT1384" s="7"/>
      <c r="RU1384" s="7"/>
      <c r="RV1384" s="7"/>
      <c r="RW1384" s="7"/>
      <c r="RX1384" s="7"/>
      <c r="RY1384" s="7"/>
      <c r="RZ1384" s="7"/>
      <c r="SA1384" s="7"/>
      <c r="SB1384" s="7"/>
      <c r="SC1384" s="7"/>
      <c r="SD1384" s="7"/>
      <c r="SE1384" s="7"/>
      <c r="SF1384" s="7"/>
      <c r="SG1384" s="7"/>
      <c r="SH1384" s="7"/>
      <c r="SI1384" s="7"/>
      <c r="SJ1384" s="7"/>
      <c r="SK1384" s="7"/>
      <c r="SL1384" s="7"/>
      <c r="SM1384" s="7"/>
      <c r="SN1384" s="7"/>
      <c r="SO1384" s="7"/>
      <c r="SP1384" s="7"/>
      <c r="SQ1384" s="7"/>
      <c r="SR1384" s="7"/>
      <c r="SS1384" s="7"/>
      <c r="ST1384" s="7"/>
      <c r="SU1384" s="7"/>
      <c r="SV1384" s="7"/>
      <c r="SW1384" s="7"/>
      <c r="SX1384" s="7"/>
      <c r="SY1384" s="7"/>
      <c r="SZ1384" s="7"/>
      <c r="TA1384" s="7"/>
      <c r="TB1384" s="7"/>
      <c r="TC1384" s="7"/>
      <c r="TD1384" s="7"/>
      <c r="TE1384" s="7"/>
      <c r="TF1384" s="7"/>
      <c r="TG1384" s="7"/>
      <c r="TH1384" s="7"/>
      <c r="TI1384" s="7"/>
      <c r="TJ1384" s="7"/>
      <c r="TK1384" s="7"/>
      <c r="TL1384" s="7"/>
      <c r="TM1384" s="7"/>
      <c r="TN1384" s="7"/>
      <c r="TO1384" s="7"/>
      <c r="TP1384" s="7"/>
      <c r="TQ1384" s="7"/>
      <c r="TR1384" s="7"/>
      <c r="TS1384" s="7"/>
      <c r="TT1384" s="7"/>
      <c r="TU1384" s="7"/>
      <c r="TV1384" s="7"/>
      <c r="TW1384" s="7"/>
      <c r="TX1384" s="7"/>
      <c r="TY1384" s="7"/>
      <c r="TZ1384" s="7"/>
      <c r="UA1384" s="7"/>
      <c r="UB1384" s="7"/>
      <c r="UC1384" s="7"/>
      <c r="UD1384" s="7"/>
      <c r="UE1384" s="7"/>
      <c r="UF1384" s="7"/>
      <c r="UG1384" s="7"/>
      <c r="UH1384" s="7"/>
      <c r="UI1384" s="7"/>
      <c r="UJ1384" s="7"/>
      <c r="UK1384" s="7"/>
      <c r="UL1384" s="7"/>
      <c r="UM1384" s="7"/>
      <c r="UN1384" s="7"/>
      <c r="UO1384" s="7"/>
      <c r="UP1384" s="7"/>
      <c r="UQ1384" s="7"/>
      <c r="UR1384" s="7"/>
      <c r="US1384" s="7"/>
      <c r="UT1384" s="7"/>
      <c r="UU1384" s="7"/>
      <c r="UV1384" s="7"/>
      <c r="UW1384" s="7"/>
      <c r="UX1384" s="7"/>
      <c r="UY1384" s="7"/>
      <c r="UZ1384" s="7"/>
      <c r="VA1384" s="7"/>
      <c r="VB1384" s="7"/>
      <c r="VC1384" s="7"/>
      <c r="VD1384" s="7"/>
      <c r="VE1384" s="7"/>
      <c r="VF1384" s="7"/>
      <c r="VG1384" s="7"/>
      <c r="VH1384" s="7"/>
      <c r="VI1384" s="7"/>
      <c r="VJ1384" s="7"/>
      <c r="VK1384" s="7"/>
      <c r="VL1384" s="7"/>
      <c r="VM1384" s="7"/>
      <c r="VN1384" s="7"/>
      <c r="VO1384" s="7"/>
      <c r="VP1384" s="7"/>
      <c r="VQ1384" s="7"/>
      <c r="VR1384" s="7"/>
      <c r="VS1384" s="7"/>
      <c r="VT1384" s="7"/>
      <c r="VU1384" s="7"/>
      <c r="VV1384" s="7"/>
      <c r="VW1384" s="7"/>
      <c r="VX1384" s="7"/>
      <c r="VY1384" s="7"/>
      <c r="VZ1384" s="7"/>
      <c r="WA1384" s="7"/>
      <c r="WB1384" s="7"/>
      <c r="WC1384" s="7"/>
      <c r="WD1384" s="7"/>
      <c r="WE1384" s="7"/>
      <c r="WF1384" s="7"/>
      <c r="WG1384" s="7"/>
      <c r="WH1384" s="7"/>
      <c r="WI1384" s="7"/>
      <c r="WJ1384" s="7"/>
      <c r="WK1384" s="7"/>
      <c r="WL1384" s="7"/>
      <c r="WM1384" s="7"/>
      <c r="WN1384" s="7"/>
      <c r="WO1384" s="7"/>
      <c r="WP1384" s="7"/>
      <c r="WQ1384" s="7"/>
      <c r="WR1384" s="7"/>
      <c r="WS1384" s="7"/>
      <c r="WT1384" s="7"/>
      <c r="WU1384" s="7"/>
      <c r="WV1384" s="7"/>
      <c r="WW1384" s="7"/>
      <c r="WX1384" s="7"/>
      <c r="WY1384" s="7"/>
      <c r="WZ1384" s="7"/>
      <c r="XA1384" s="7"/>
      <c r="XB1384" s="7"/>
      <c r="XC1384" s="7"/>
      <c r="XD1384" s="7"/>
      <c r="XE1384" s="7"/>
      <c r="XF1384" s="7"/>
      <c r="XG1384" s="7"/>
      <c r="XH1384" s="7"/>
      <c r="XI1384" s="7"/>
      <c r="XJ1384" s="7"/>
      <c r="XK1384" s="7"/>
      <c r="XL1384" s="7"/>
      <c r="XM1384" s="7"/>
      <c r="XN1384" s="7"/>
      <c r="XO1384" s="7"/>
      <c r="XP1384" s="7"/>
      <c r="XQ1384" s="7"/>
      <c r="XR1384" s="7"/>
      <c r="XS1384" s="7"/>
      <c r="XT1384" s="7"/>
      <c r="XU1384" s="7"/>
      <c r="XV1384" s="7"/>
      <c r="XW1384" s="7"/>
      <c r="XX1384" s="7"/>
      <c r="XY1384" s="7"/>
      <c r="XZ1384" s="7"/>
      <c r="YA1384" s="7"/>
      <c r="YB1384" s="7"/>
      <c r="YC1384" s="7"/>
      <c r="YD1384" s="7"/>
      <c r="YE1384" s="7"/>
      <c r="YF1384" s="7"/>
      <c r="YG1384" s="7"/>
      <c r="YH1384" s="7"/>
      <c r="YI1384" s="7"/>
      <c r="YJ1384" s="7"/>
      <c r="YK1384" s="7"/>
      <c r="YL1384" s="7"/>
      <c r="YM1384" s="7"/>
      <c r="YN1384" s="7"/>
      <c r="YO1384" s="7"/>
      <c r="YP1384" s="7"/>
      <c r="YQ1384" s="7"/>
      <c r="YR1384" s="7"/>
      <c r="YS1384" s="7"/>
      <c r="YT1384" s="7"/>
      <c r="YU1384" s="7"/>
      <c r="YV1384" s="7"/>
      <c r="YW1384" s="7"/>
      <c r="YX1384" s="7"/>
      <c r="YY1384" s="7"/>
      <c r="YZ1384" s="7"/>
      <c r="ZA1384" s="7"/>
      <c r="ZB1384" s="7"/>
      <c r="ZC1384" s="7"/>
      <c r="ZD1384" s="7"/>
      <c r="ZE1384" s="7"/>
      <c r="ZF1384" s="7"/>
      <c r="ZG1384" s="7"/>
      <c r="ZH1384" s="7"/>
      <c r="ZI1384" s="7"/>
      <c r="ZJ1384" s="7"/>
      <c r="ZK1384" s="7"/>
      <c r="ZL1384" s="7"/>
      <c r="ZM1384" s="7"/>
      <c r="ZN1384" s="7"/>
      <c r="ZO1384" s="7"/>
      <c r="ZP1384" s="7"/>
      <c r="ZQ1384" s="7"/>
      <c r="ZR1384" s="7"/>
      <c r="ZS1384" s="7"/>
      <c r="ZT1384" s="7"/>
      <c r="ZU1384" s="7"/>
      <c r="ZV1384" s="7"/>
      <c r="ZW1384" s="7"/>
      <c r="ZX1384" s="7"/>
      <c r="ZY1384" s="7"/>
      <c r="ZZ1384" s="7"/>
      <c r="AAA1384" s="7"/>
      <c r="AAB1384" s="7"/>
      <c r="AAC1384" s="7"/>
      <c r="AAD1384" s="7"/>
      <c r="AAE1384" s="7"/>
      <c r="AAF1384" s="7"/>
      <c r="AAG1384" s="7"/>
      <c r="AAH1384" s="7"/>
      <c r="AAI1384" s="7"/>
      <c r="AAJ1384" s="7"/>
      <c r="AAK1384" s="7"/>
      <c r="AAL1384" s="7"/>
      <c r="AAM1384" s="7"/>
      <c r="AAN1384" s="7"/>
      <c r="AAO1384" s="7"/>
      <c r="AAP1384" s="7"/>
      <c r="AAQ1384" s="7"/>
      <c r="AAR1384" s="7"/>
      <c r="AAS1384" s="7"/>
      <c r="AAT1384" s="7"/>
      <c r="AAU1384" s="7"/>
      <c r="AAV1384" s="7"/>
      <c r="AAW1384" s="7"/>
      <c r="AAX1384" s="7"/>
      <c r="AAY1384" s="7"/>
      <c r="AAZ1384" s="7"/>
      <c r="ABA1384" s="7"/>
      <c r="ABB1384" s="7"/>
      <c r="ABC1384" s="7"/>
      <c r="ABD1384" s="7"/>
      <c r="ABE1384" s="7"/>
      <c r="ABF1384" s="7"/>
      <c r="ABG1384" s="7"/>
      <c r="ABH1384" s="7"/>
      <c r="ABI1384" s="7"/>
      <c r="ABJ1384" s="7"/>
      <c r="ABK1384" s="7"/>
      <c r="ABL1384" s="7"/>
      <c r="ABM1384" s="7"/>
      <c r="ABN1384" s="7"/>
      <c r="ABO1384" s="7"/>
      <c r="ABP1384" s="7"/>
      <c r="ABQ1384" s="7"/>
      <c r="ABR1384" s="7"/>
      <c r="ABS1384" s="7"/>
      <c r="ABT1384" s="7"/>
      <c r="ABU1384" s="7"/>
      <c r="ABV1384" s="7"/>
      <c r="ABW1384" s="7"/>
      <c r="ABX1384" s="7"/>
      <c r="ABY1384" s="7"/>
      <c r="ABZ1384" s="7"/>
      <c r="ACA1384" s="7"/>
      <c r="ACB1384" s="7"/>
      <c r="ACC1384" s="7"/>
      <c r="ACD1384" s="7"/>
      <c r="ACE1384" s="7"/>
      <c r="ACF1384" s="7"/>
      <c r="ACG1384" s="7"/>
      <c r="ACH1384" s="7"/>
      <c r="ACI1384" s="7"/>
      <c r="ACJ1384" s="7"/>
      <c r="ACK1384" s="7"/>
      <c r="ACL1384" s="7"/>
      <c r="ACM1384" s="7"/>
      <c r="ACN1384" s="7"/>
      <c r="ACO1384" s="7"/>
      <c r="ACP1384" s="7"/>
      <c r="ACQ1384" s="7"/>
      <c r="ACR1384" s="7"/>
      <c r="ACS1384" s="7"/>
      <c r="ACT1384" s="7"/>
      <c r="ACU1384" s="7"/>
      <c r="ACV1384" s="7"/>
      <c r="ACW1384" s="7"/>
      <c r="ACX1384" s="7"/>
      <c r="ACY1384" s="7"/>
      <c r="ACZ1384" s="7"/>
      <c r="ADA1384" s="7"/>
      <c r="ADB1384" s="7"/>
      <c r="ADC1384" s="7"/>
      <c r="ADD1384" s="7"/>
      <c r="ADE1384" s="7"/>
      <c r="ADF1384" s="7"/>
      <c r="ADG1384" s="7"/>
      <c r="ADH1384" s="7"/>
      <c r="ADI1384" s="7"/>
      <c r="ADJ1384" s="7"/>
      <c r="ADK1384" s="7"/>
      <c r="ADL1384" s="7"/>
      <c r="ADM1384" s="7"/>
      <c r="ADN1384" s="7"/>
      <c r="ADO1384" s="7"/>
      <c r="ADP1384" s="7"/>
      <c r="ADQ1384" s="7"/>
      <c r="ADR1384" s="7"/>
      <c r="ADS1384" s="7"/>
      <c r="ADT1384" s="7"/>
      <c r="ADU1384" s="7"/>
      <c r="ADV1384" s="7"/>
      <c r="ADW1384" s="7"/>
      <c r="ADX1384" s="7"/>
      <c r="ADY1384" s="7"/>
      <c r="ADZ1384" s="7"/>
      <c r="AEA1384" s="7"/>
      <c r="AEB1384" s="7"/>
      <c r="AEC1384" s="7"/>
      <c r="AED1384" s="7"/>
      <c r="AEE1384" s="7"/>
      <c r="AEF1384" s="7"/>
      <c r="AEG1384" s="7"/>
      <c r="AEH1384" s="7"/>
      <c r="AEI1384" s="7"/>
      <c r="AEJ1384" s="7"/>
      <c r="AEK1384" s="7"/>
      <c r="AEL1384" s="7"/>
      <c r="AEM1384" s="7"/>
      <c r="AEN1384" s="7"/>
      <c r="AEO1384" s="7"/>
      <c r="AEP1384" s="7"/>
      <c r="AEQ1384" s="7"/>
      <c r="AER1384" s="7"/>
      <c r="AES1384" s="7"/>
      <c r="AET1384" s="7"/>
      <c r="AEU1384" s="7"/>
      <c r="AEV1384" s="7"/>
      <c r="AEW1384" s="7"/>
      <c r="AEX1384" s="7"/>
      <c r="AEY1384" s="7"/>
      <c r="AEZ1384" s="7"/>
      <c r="AFA1384" s="7"/>
      <c r="AFB1384" s="7"/>
      <c r="AFC1384" s="7"/>
      <c r="AFD1384" s="7"/>
      <c r="AFE1384" s="7"/>
      <c r="AFF1384" s="7"/>
      <c r="AFG1384" s="7"/>
      <c r="AFH1384" s="7"/>
      <c r="AFI1384" s="7"/>
      <c r="AFJ1384" s="7"/>
      <c r="AFK1384" s="7"/>
      <c r="AFL1384" s="7"/>
      <c r="AFM1384" s="7"/>
      <c r="AFN1384" s="7"/>
      <c r="AFO1384" s="7"/>
      <c r="AFP1384" s="7"/>
      <c r="AFQ1384" s="7"/>
      <c r="AFR1384" s="7"/>
      <c r="AFS1384" s="7"/>
      <c r="AFT1384" s="7"/>
      <c r="AFU1384" s="7"/>
      <c r="AFV1384" s="7"/>
      <c r="AFW1384" s="7"/>
      <c r="AFX1384" s="7"/>
      <c r="AFY1384" s="7"/>
      <c r="AFZ1384" s="7"/>
      <c r="AGA1384" s="7"/>
      <c r="AGB1384" s="7"/>
      <c r="AGC1384" s="7"/>
      <c r="AGD1384" s="7"/>
      <c r="AGE1384" s="7"/>
      <c r="AGF1384" s="7"/>
      <c r="AGG1384" s="7"/>
      <c r="AGH1384" s="7"/>
      <c r="AGI1384" s="7"/>
      <c r="AGJ1384" s="7"/>
      <c r="AGK1384" s="7"/>
      <c r="AGL1384" s="7"/>
      <c r="AGM1384" s="7"/>
      <c r="AGN1384" s="7"/>
      <c r="AGO1384" s="7"/>
      <c r="AGP1384" s="7"/>
      <c r="AGQ1384" s="7"/>
      <c r="AGR1384" s="7"/>
      <c r="AGS1384" s="7"/>
      <c r="AGT1384" s="7"/>
      <c r="AGU1384" s="7"/>
      <c r="AGV1384" s="7"/>
      <c r="AGW1384" s="7"/>
      <c r="AGX1384" s="7"/>
      <c r="AGY1384" s="7"/>
      <c r="AGZ1384" s="7"/>
      <c r="AHA1384" s="7"/>
      <c r="AHB1384" s="7"/>
      <c r="AHC1384" s="7"/>
      <c r="AHD1384" s="7"/>
      <c r="AHE1384" s="7"/>
      <c r="AHF1384" s="7"/>
      <c r="AHG1384" s="7"/>
      <c r="AHH1384" s="7"/>
      <c r="AHI1384" s="7"/>
      <c r="AHJ1384" s="7"/>
      <c r="AHK1384" s="7"/>
      <c r="AHL1384" s="7"/>
      <c r="AHM1384" s="7"/>
      <c r="AHN1384" s="7"/>
      <c r="AHO1384" s="7"/>
      <c r="AHP1384" s="7"/>
      <c r="AHQ1384" s="7"/>
      <c r="AHR1384" s="7"/>
      <c r="AHS1384" s="7"/>
      <c r="AHT1384" s="7"/>
      <c r="AHU1384" s="7"/>
      <c r="AHV1384" s="7"/>
      <c r="AHW1384" s="7"/>
      <c r="AHX1384" s="7"/>
      <c r="AHY1384" s="7"/>
      <c r="AHZ1384" s="7"/>
      <c r="AIA1384" s="7"/>
      <c r="AIB1384" s="7"/>
      <c r="AIC1384" s="7"/>
      <c r="AID1384" s="7"/>
      <c r="AIE1384" s="7"/>
      <c r="AIF1384" s="7"/>
      <c r="AIG1384" s="7"/>
      <c r="AIH1384" s="7"/>
      <c r="AII1384" s="7"/>
      <c r="AIJ1384" s="7"/>
      <c r="AIK1384" s="7"/>
      <c r="AIL1384" s="7"/>
      <c r="AIM1384" s="7"/>
      <c r="AIN1384" s="7"/>
      <c r="AIO1384" s="7"/>
      <c r="AIP1384" s="7"/>
      <c r="AIQ1384" s="7"/>
      <c r="AIR1384" s="7"/>
      <c r="AIS1384" s="7"/>
      <c r="AIT1384" s="7"/>
      <c r="AIU1384" s="7"/>
      <c r="AIV1384" s="7"/>
      <c r="AIW1384" s="7"/>
      <c r="AIX1384" s="7"/>
      <c r="AIY1384" s="7"/>
      <c r="AIZ1384" s="7"/>
      <c r="AJA1384" s="7"/>
      <c r="AJB1384" s="7"/>
      <c r="AJC1384" s="7"/>
      <c r="AJD1384" s="7"/>
      <c r="AJE1384" s="7"/>
      <c r="AJF1384" s="7"/>
      <c r="AJG1384" s="7"/>
      <c r="AJH1384" s="7"/>
      <c r="AJI1384" s="7"/>
      <c r="AJJ1384" s="7"/>
      <c r="AJK1384" s="7"/>
      <c r="AJL1384" s="7"/>
      <c r="AJM1384" s="7"/>
      <c r="AJN1384" s="7"/>
      <c r="AJO1384" s="7"/>
      <c r="AJP1384" s="7"/>
      <c r="AJQ1384" s="7"/>
      <c r="AJR1384" s="7"/>
      <c r="AJS1384" s="7"/>
      <c r="AJT1384" s="7"/>
      <c r="AJU1384" s="7"/>
      <c r="AJV1384" s="7"/>
      <c r="AJW1384" s="7"/>
      <c r="AJX1384" s="7"/>
      <c r="AJY1384" s="7"/>
      <c r="AJZ1384" s="7"/>
      <c r="AKA1384" s="7"/>
      <c r="AKB1384" s="7"/>
      <c r="AKC1384" s="7"/>
      <c r="AKD1384" s="7"/>
      <c r="AKE1384" s="7"/>
      <c r="AKF1384" s="7"/>
      <c r="AKG1384" s="7"/>
      <c r="AKH1384" s="7"/>
      <c r="AKI1384" s="7"/>
      <c r="AKJ1384" s="7"/>
      <c r="AKK1384" s="7"/>
      <c r="AKL1384" s="7"/>
      <c r="AKM1384" s="7"/>
      <c r="AKN1384" s="7"/>
      <c r="AKO1384" s="7"/>
      <c r="AKP1384" s="7"/>
      <c r="AKQ1384" s="7"/>
      <c r="AKR1384" s="7"/>
      <c r="AKS1384" s="7"/>
      <c r="AKT1384" s="7"/>
      <c r="AKU1384" s="7"/>
      <c r="AKV1384" s="7"/>
      <c r="AKW1384" s="7"/>
      <c r="AKX1384" s="7"/>
      <c r="AKY1384" s="7"/>
      <c r="AKZ1384" s="7"/>
      <c r="ALA1384" s="7"/>
      <c r="ALB1384" s="7"/>
      <c r="ALC1384" s="7"/>
      <c r="ALD1384" s="7"/>
      <c r="ALE1384" s="7"/>
      <c r="ALF1384" s="7"/>
      <c r="ALG1384" s="7"/>
      <c r="ALH1384" s="7"/>
      <c r="ALI1384" s="7"/>
      <c r="ALJ1384" s="7"/>
      <c r="ALK1384" s="7"/>
      <c r="ALL1384" s="7"/>
      <c r="ALM1384" s="7"/>
      <c r="ALN1384" s="7"/>
      <c r="ALO1384" s="7"/>
      <c r="ALP1384" s="7"/>
      <c r="ALQ1384" s="7"/>
      <c r="ALR1384" s="7"/>
      <c r="ALS1384" s="7"/>
      <c r="ALT1384" s="7"/>
      <c r="ALU1384" s="7"/>
      <c r="ALV1384" s="7"/>
      <c r="ALW1384" s="7"/>
      <c r="ALX1384" s="7"/>
      <c r="ALY1384" s="7"/>
      <c r="ALZ1384" s="7"/>
      <c r="AMA1384" s="7"/>
      <c r="AMB1384" s="7"/>
      <c r="AMC1384" s="7"/>
      <c r="AMD1384" s="7"/>
      <c r="AME1384" s="7"/>
      <c r="AMF1384" s="7"/>
      <c r="AMG1384" s="7"/>
      <c r="AMH1384" s="7"/>
      <c r="AMI1384" s="7"/>
      <c r="AMJ1384" s="7"/>
      <c r="AMK1384" s="7"/>
      <c r="AML1384" s="7"/>
      <c r="AMM1384" s="7"/>
      <c r="AMN1384" s="7"/>
      <c r="AMO1384" s="7"/>
      <c r="AMP1384" s="7"/>
      <c r="AMQ1384" s="7"/>
      <c r="AMR1384" s="7"/>
      <c r="AMS1384" s="7"/>
      <c r="AMT1384" s="7"/>
      <c r="AMU1384" s="7"/>
      <c r="AMV1384" s="7"/>
      <c r="AMW1384" s="7"/>
      <c r="AMX1384" s="7"/>
      <c r="AMY1384" s="7"/>
      <c r="AMZ1384" s="7"/>
      <c r="ANA1384" s="7"/>
      <c r="ANB1384" s="7"/>
      <c r="ANC1384" s="7"/>
      <c r="AND1384" s="7"/>
      <c r="ANE1384" s="7"/>
      <c r="ANF1384" s="7"/>
      <c r="ANG1384" s="7"/>
      <c r="ANH1384" s="7"/>
      <c r="ANI1384" s="7"/>
      <c r="ANJ1384" s="7"/>
      <c r="ANK1384" s="7"/>
      <c r="ANL1384" s="7"/>
      <c r="ANM1384" s="7"/>
      <c r="ANN1384" s="7"/>
      <c r="ANO1384" s="7"/>
      <c r="ANP1384" s="7"/>
      <c r="ANQ1384" s="7"/>
      <c r="ANR1384" s="7"/>
      <c r="ANS1384" s="7"/>
      <c r="ANT1384" s="7"/>
      <c r="ANU1384" s="7"/>
      <c r="ANV1384" s="7"/>
      <c r="ANW1384" s="7"/>
      <c r="ANX1384" s="7"/>
      <c r="ANY1384" s="7"/>
      <c r="ANZ1384" s="7"/>
      <c r="AOA1384" s="7"/>
      <c r="AOB1384" s="7"/>
      <c r="AOC1384" s="7"/>
      <c r="AOD1384" s="7"/>
      <c r="AOE1384" s="7"/>
      <c r="AOF1384" s="7"/>
      <c r="AOG1384" s="7"/>
      <c r="AOH1384" s="7"/>
      <c r="AOI1384" s="7"/>
      <c r="AOJ1384" s="7"/>
      <c r="AOK1384" s="7"/>
      <c r="AOL1384" s="7"/>
      <c r="AOM1384" s="7"/>
      <c r="AON1384" s="7"/>
      <c r="AOO1384" s="7"/>
      <c r="AOP1384" s="7"/>
      <c r="AOQ1384" s="7"/>
      <c r="AOR1384" s="7"/>
      <c r="AOS1384" s="7"/>
      <c r="AOT1384" s="7"/>
      <c r="AOU1384" s="7"/>
      <c r="AOV1384" s="7"/>
      <c r="AOW1384" s="7"/>
      <c r="AOX1384" s="7"/>
      <c r="AOY1384" s="7"/>
      <c r="AOZ1384" s="7"/>
      <c r="APA1384" s="7"/>
      <c r="APB1384" s="7"/>
      <c r="APC1384" s="7"/>
      <c r="APD1384" s="7"/>
      <c r="APE1384" s="7"/>
      <c r="APF1384" s="7"/>
      <c r="APG1384" s="7"/>
      <c r="APH1384" s="7"/>
      <c r="API1384" s="7"/>
      <c r="APJ1384" s="7"/>
      <c r="APK1384" s="7"/>
      <c r="APL1384" s="7"/>
      <c r="APM1384" s="7"/>
      <c r="APN1384" s="7"/>
      <c r="APO1384" s="7"/>
      <c r="APP1384" s="7"/>
      <c r="APQ1384" s="7"/>
      <c r="APR1384" s="7"/>
      <c r="APS1384" s="7"/>
      <c r="APT1384" s="7"/>
      <c r="APU1384" s="7"/>
      <c r="APV1384" s="7"/>
      <c r="APW1384" s="7"/>
      <c r="APX1384" s="7"/>
      <c r="APY1384" s="7"/>
      <c r="APZ1384" s="7"/>
      <c r="AQA1384" s="7"/>
      <c r="AQB1384" s="7"/>
      <c r="AQC1384" s="7"/>
      <c r="AQD1384" s="7"/>
      <c r="AQE1384" s="7"/>
      <c r="AQF1384" s="7"/>
      <c r="AQG1384" s="7"/>
      <c r="AQH1384" s="7"/>
      <c r="AQI1384" s="7"/>
      <c r="AQJ1384" s="7"/>
      <c r="AQK1384" s="7"/>
      <c r="AQL1384" s="7"/>
      <c r="AQM1384" s="7"/>
      <c r="AQN1384" s="7"/>
      <c r="AQO1384" s="7"/>
      <c r="AQP1384" s="7"/>
      <c r="AQQ1384" s="7"/>
      <c r="AQR1384" s="7"/>
      <c r="AQS1384" s="7"/>
      <c r="AQT1384" s="7"/>
      <c r="AQU1384" s="7"/>
      <c r="AQV1384" s="7"/>
      <c r="AQW1384" s="7"/>
      <c r="AQX1384" s="7"/>
      <c r="AQY1384" s="7"/>
      <c r="AQZ1384" s="7"/>
      <c r="ARA1384" s="7"/>
      <c r="ARB1384" s="7"/>
      <c r="ARC1384" s="7"/>
      <c r="ARD1384" s="7"/>
      <c r="ARE1384" s="7"/>
      <c r="ARF1384" s="7"/>
      <c r="ARG1384" s="7"/>
      <c r="ARH1384" s="7"/>
      <c r="ARI1384" s="7"/>
      <c r="ARJ1384" s="7"/>
      <c r="ARK1384" s="7"/>
      <c r="ARL1384" s="7"/>
      <c r="ARM1384" s="7"/>
      <c r="ARN1384" s="7"/>
      <c r="ARO1384" s="7"/>
      <c r="ARP1384" s="7"/>
      <c r="ARQ1384" s="7"/>
      <c r="ARR1384" s="7"/>
      <c r="ARS1384" s="7"/>
      <c r="ART1384" s="7"/>
      <c r="ARU1384" s="7"/>
      <c r="ARV1384" s="7"/>
      <c r="ARW1384" s="7"/>
      <c r="ARX1384" s="7"/>
      <c r="ARY1384" s="7"/>
      <c r="ARZ1384" s="7"/>
      <c r="ASA1384" s="7"/>
      <c r="ASB1384" s="7"/>
      <c r="ASC1384" s="7"/>
      <c r="ASD1384" s="7"/>
      <c r="ASE1384" s="7"/>
      <c r="ASF1384" s="7"/>
      <c r="ASG1384" s="7"/>
      <c r="ASH1384" s="7"/>
      <c r="ASI1384" s="7"/>
      <c r="ASJ1384" s="7"/>
      <c r="ASK1384" s="7"/>
      <c r="ASL1384" s="7"/>
      <c r="ASM1384" s="7"/>
      <c r="ASN1384" s="7"/>
      <c r="ASO1384" s="7"/>
      <c r="ASP1384" s="7"/>
      <c r="ASQ1384" s="7"/>
      <c r="ASR1384" s="7"/>
      <c r="ASS1384" s="7"/>
      <c r="AST1384" s="7"/>
      <c r="ASU1384" s="7"/>
      <c r="ASV1384" s="7"/>
      <c r="ASW1384" s="7"/>
      <c r="ASX1384" s="7"/>
      <c r="ASY1384" s="7"/>
      <c r="ASZ1384" s="7"/>
      <c r="ATA1384" s="7"/>
      <c r="ATB1384" s="7"/>
      <c r="ATC1384" s="7"/>
      <c r="ATD1384" s="7"/>
      <c r="ATE1384" s="7"/>
      <c r="ATF1384" s="7"/>
      <c r="ATG1384" s="7"/>
      <c r="ATH1384" s="7"/>
      <c r="ATI1384" s="7"/>
      <c r="ATJ1384" s="7"/>
      <c r="ATK1384" s="7"/>
      <c r="ATL1384" s="7"/>
      <c r="ATM1384" s="7"/>
      <c r="ATN1384" s="7"/>
      <c r="ATO1384" s="7"/>
      <c r="ATP1384" s="7"/>
      <c r="ATQ1384" s="7"/>
      <c r="ATR1384" s="7"/>
      <c r="ATS1384" s="7"/>
      <c r="ATT1384" s="7"/>
      <c r="ATU1384" s="7"/>
      <c r="ATV1384" s="7"/>
      <c r="ATW1384" s="7"/>
      <c r="ATX1384" s="7"/>
      <c r="ATY1384" s="7"/>
      <c r="ATZ1384" s="7"/>
      <c r="AUA1384" s="7"/>
      <c r="AUB1384" s="7"/>
      <c r="AUC1384" s="7"/>
      <c r="AUD1384" s="7"/>
      <c r="AUE1384" s="7"/>
      <c r="AUF1384" s="7"/>
      <c r="AUG1384" s="7"/>
      <c r="AUH1384" s="7"/>
      <c r="AUI1384" s="7"/>
      <c r="AUJ1384" s="7"/>
      <c r="AUK1384" s="7"/>
      <c r="AUL1384" s="7"/>
      <c r="AUM1384" s="7"/>
      <c r="AUN1384" s="7"/>
      <c r="AUO1384" s="7"/>
      <c r="AUP1384" s="7"/>
      <c r="AUQ1384" s="7"/>
      <c r="AUR1384" s="7"/>
      <c r="AUS1384" s="7"/>
      <c r="AUT1384" s="7"/>
      <c r="AUU1384" s="7"/>
      <c r="AUV1384" s="7"/>
      <c r="AUW1384" s="7"/>
      <c r="AUX1384" s="7"/>
      <c r="AUY1384" s="7"/>
      <c r="AUZ1384" s="7"/>
      <c r="AVA1384" s="7"/>
      <c r="AVB1384" s="7"/>
      <c r="AVC1384" s="7"/>
      <c r="AVD1384" s="7"/>
      <c r="AVE1384" s="7"/>
      <c r="AVF1384" s="7"/>
      <c r="AVG1384" s="7"/>
      <c r="AVH1384" s="7"/>
      <c r="AVI1384" s="7"/>
      <c r="AVJ1384" s="7"/>
      <c r="AVK1384" s="7"/>
      <c r="AVL1384" s="7"/>
      <c r="AVM1384" s="7"/>
      <c r="AVN1384" s="7"/>
      <c r="AVO1384" s="7"/>
      <c r="AVP1384" s="7"/>
      <c r="AVQ1384" s="7"/>
      <c r="AVR1384" s="7"/>
      <c r="AVS1384" s="7"/>
      <c r="AVT1384" s="7"/>
      <c r="AVU1384" s="7"/>
      <c r="AVV1384" s="7"/>
      <c r="AVW1384" s="7"/>
      <c r="AVX1384" s="7"/>
      <c r="AVY1384" s="7"/>
      <c r="AVZ1384" s="7"/>
      <c r="AWA1384" s="7"/>
      <c r="AWB1384" s="7"/>
      <c r="AWC1384" s="7"/>
      <c r="AWD1384" s="7"/>
      <c r="AWE1384" s="7"/>
      <c r="AWF1384" s="7"/>
      <c r="AWG1384" s="7"/>
      <c r="AWH1384" s="7"/>
      <c r="AWI1384" s="7"/>
      <c r="AWJ1384" s="7"/>
      <c r="AWK1384" s="7"/>
      <c r="AWL1384" s="7"/>
      <c r="AWM1384" s="7"/>
      <c r="AWN1384" s="7"/>
      <c r="AWO1384" s="7"/>
      <c r="AWP1384" s="7"/>
      <c r="AWQ1384" s="7"/>
      <c r="AWR1384" s="7"/>
      <c r="AWS1384" s="7"/>
      <c r="AWT1384" s="7"/>
      <c r="AWU1384" s="7"/>
      <c r="AWV1384" s="7"/>
      <c r="AWW1384" s="7"/>
      <c r="AWX1384" s="7"/>
      <c r="AWY1384" s="7"/>
      <c r="AWZ1384" s="7"/>
      <c r="AXA1384" s="7"/>
      <c r="AXB1384" s="7"/>
      <c r="AXC1384" s="7"/>
      <c r="AXD1384" s="7"/>
      <c r="AXE1384" s="7"/>
      <c r="AXF1384" s="7"/>
      <c r="AXG1384" s="7"/>
      <c r="AXH1384" s="7"/>
      <c r="AXI1384" s="7"/>
      <c r="AXJ1384" s="7"/>
      <c r="AXK1384" s="7"/>
      <c r="AXL1384" s="7"/>
      <c r="AXM1384" s="7"/>
      <c r="AXN1384" s="7"/>
      <c r="AXO1384" s="7"/>
      <c r="AXP1384" s="7"/>
      <c r="AXQ1384" s="7"/>
      <c r="AXR1384" s="7"/>
      <c r="AXS1384" s="7"/>
      <c r="AXT1384" s="7"/>
      <c r="AXU1384" s="7"/>
      <c r="AXV1384" s="7"/>
      <c r="AXW1384" s="7"/>
      <c r="AXX1384" s="7"/>
      <c r="AXY1384" s="7"/>
      <c r="AXZ1384" s="7"/>
      <c r="AYA1384" s="7"/>
      <c r="AYB1384" s="7"/>
      <c r="AYC1384" s="7"/>
      <c r="AYD1384" s="7"/>
      <c r="AYE1384" s="7"/>
      <c r="AYF1384" s="7"/>
      <c r="AYG1384" s="7"/>
      <c r="AYH1384" s="7"/>
      <c r="AYI1384" s="7"/>
      <c r="AYJ1384" s="7"/>
      <c r="AYK1384" s="7"/>
      <c r="AYL1384" s="7"/>
      <c r="AYM1384" s="7"/>
      <c r="AYN1384" s="7"/>
      <c r="AYO1384" s="7"/>
      <c r="AYP1384" s="7"/>
      <c r="AYQ1384" s="7"/>
      <c r="AYR1384" s="7"/>
      <c r="AYS1384" s="7"/>
      <c r="AYT1384" s="7"/>
      <c r="AYU1384" s="7"/>
      <c r="AYV1384" s="7"/>
      <c r="AYW1384" s="7"/>
      <c r="AYX1384" s="7"/>
      <c r="AYY1384" s="7"/>
      <c r="AYZ1384" s="7"/>
      <c r="AZA1384" s="7"/>
      <c r="AZB1384" s="7"/>
      <c r="AZC1384" s="7"/>
      <c r="AZD1384" s="7"/>
      <c r="AZE1384" s="7"/>
      <c r="AZF1384" s="7"/>
      <c r="AZG1384" s="7"/>
      <c r="AZH1384" s="7"/>
      <c r="AZI1384" s="7"/>
      <c r="AZJ1384" s="7"/>
      <c r="AZK1384" s="7"/>
      <c r="AZL1384" s="7"/>
      <c r="AZM1384" s="7"/>
      <c r="AZN1384" s="7"/>
      <c r="AZO1384" s="7"/>
      <c r="AZP1384" s="7"/>
      <c r="AZQ1384" s="7"/>
      <c r="AZR1384" s="7"/>
      <c r="AZS1384" s="7"/>
      <c r="AZT1384" s="7"/>
      <c r="AZU1384" s="7"/>
      <c r="AZV1384" s="7"/>
      <c r="AZW1384" s="7"/>
      <c r="AZX1384" s="7"/>
      <c r="AZY1384" s="7"/>
      <c r="AZZ1384" s="7"/>
      <c r="BAA1384" s="7"/>
      <c r="BAB1384" s="7"/>
      <c r="BAC1384" s="7"/>
      <c r="BAD1384" s="7"/>
      <c r="BAE1384" s="7"/>
      <c r="BAF1384" s="7"/>
      <c r="BAG1384" s="7"/>
      <c r="BAH1384" s="7"/>
      <c r="BAI1384" s="7"/>
      <c r="BAJ1384" s="7"/>
      <c r="BAK1384" s="7"/>
      <c r="BAL1384" s="7"/>
      <c r="BAM1384" s="7"/>
      <c r="BAN1384" s="7"/>
      <c r="BAO1384" s="7"/>
      <c r="BAP1384" s="7"/>
      <c r="BAQ1384" s="7"/>
      <c r="BAR1384" s="7"/>
      <c r="BAS1384" s="7"/>
      <c r="BAT1384" s="7"/>
      <c r="BAU1384" s="7"/>
      <c r="BAV1384" s="7"/>
      <c r="BAW1384" s="7"/>
      <c r="BAX1384" s="7"/>
      <c r="BAY1384" s="7"/>
      <c r="BAZ1384" s="7"/>
      <c r="BBA1384" s="7"/>
      <c r="BBB1384" s="7"/>
      <c r="BBC1384" s="7"/>
      <c r="BBD1384" s="7"/>
      <c r="BBE1384" s="7"/>
      <c r="BBF1384" s="7"/>
      <c r="BBG1384" s="7"/>
      <c r="BBH1384" s="7"/>
      <c r="BBI1384" s="7"/>
      <c r="BBJ1384" s="7"/>
      <c r="BBK1384" s="7"/>
      <c r="BBL1384" s="7"/>
      <c r="BBM1384" s="7"/>
      <c r="BBN1384" s="7"/>
      <c r="BBO1384" s="7"/>
      <c r="BBP1384" s="7"/>
      <c r="BBQ1384" s="7"/>
      <c r="BBR1384" s="7"/>
      <c r="BBS1384" s="7"/>
      <c r="BBT1384" s="7"/>
      <c r="BBU1384" s="7"/>
      <c r="BBV1384" s="7"/>
      <c r="BBW1384" s="7"/>
      <c r="BBX1384" s="7"/>
      <c r="BBY1384" s="7"/>
      <c r="BBZ1384" s="7"/>
      <c r="BCA1384" s="7"/>
      <c r="BCB1384" s="7"/>
      <c r="BCC1384" s="7"/>
      <c r="BCD1384" s="7"/>
      <c r="BCE1384" s="7"/>
      <c r="BCF1384" s="7"/>
      <c r="BCG1384" s="7"/>
      <c r="BCH1384" s="7"/>
      <c r="BCI1384" s="7"/>
      <c r="BCJ1384" s="7"/>
      <c r="BCK1384" s="7"/>
      <c r="BCL1384" s="7"/>
      <c r="BCM1384" s="7"/>
      <c r="BCN1384" s="7"/>
      <c r="BCO1384" s="7"/>
      <c r="BCP1384" s="7"/>
      <c r="BCQ1384" s="7"/>
      <c r="BCR1384" s="7"/>
      <c r="BCS1384" s="7"/>
      <c r="BCT1384" s="7"/>
      <c r="BCU1384" s="7"/>
      <c r="BCV1384" s="7"/>
      <c r="BCW1384" s="7"/>
      <c r="BCX1384" s="7"/>
      <c r="BCY1384" s="7"/>
      <c r="BCZ1384" s="7"/>
      <c r="BDA1384" s="7"/>
      <c r="BDB1384" s="7"/>
      <c r="BDC1384" s="7"/>
      <c r="BDD1384" s="7"/>
      <c r="BDE1384" s="7"/>
      <c r="BDF1384" s="7"/>
      <c r="BDG1384" s="7"/>
      <c r="BDH1384" s="7"/>
      <c r="BDI1384" s="7"/>
      <c r="BDJ1384" s="7"/>
      <c r="BDK1384" s="7"/>
      <c r="BDL1384" s="7"/>
      <c r="BDM1384" s="7"/>
      <c r="BDN1384" s="7"/>
      <c r="BDO1384" s="7"/>
      <c r="BDP1384" s="7"/>
      <c r="BDQ1384" s="7"/>
      <c r="BDR1384" s="7"/>
      <c r="BDS1384" s="7"/>
      <c r="BDT1384" s="7"/>
      <c r="BDU1384" s="7"/>
      <c r="BDV1384" s="7"/>
      <c r="BDW1384" s="7"/>
      <c r="BDX1384" s="7"/>
      <c r="BDY1384" s="7"/>
      <c r="BDZ1384" s="7"/>
      <c r="BEA1384" s="7"/>
      <c r="BEB1384" s="7"/>
      <c r="BEC1384" s="7"/>
      <c r="BED1384" s="7"/>
      <c r="BEE1384" s="7"/>
      <c r="BEF1384" s="7"/>
      <c r="BEG1384" s="7"/>
      <c r="BEH1384" s="7"/>
      <c r="BEI1384" s="7"/>
      <c r="BEJ1384" s="7"/>
      <c r="BEK1384" s="7"/>
      <c r="BEL1384" s="7"/>
      <c r="BEM1384" s="7"/>
      <c r="BEN1384" s="7"/>
      <c r="BEO1384" s="7"/>
      <c r="BEP1384" s="7"/>
      <c r="BEQ1384" s="7"/>
      <c r="BER1384" s="7"/>
      <c r="BES1384" s="7"/>
      <c r="BET1384" s="7"/>
      <c r="BEU1384" s="7"/>
      <c r="BEV1384" s="7"/>
      <c r="BEW1384" s="7"/>
      <c r="BEX1384" s="7"/>
      <c r="BEY1384" s="7"/>
      <c r="BEZ1384" s="7"/>
      <c r="BFA1384" s="7"/>
      <c r="BFB1384" s="7"/>
      <c r="BFC1384" s="7"/>
      <c r="BFD1384" s="7"/>
      <c r="BFE1384" s="7"/>
      <c r="BFF1384" s="7"/>
      <c r="BFG1384" s="7"/>
      <c r="BFH1384" s="7"/>
      <c r="BFI1384" s="7"/>
      <c r="BFJ1384" s="7"/>
      <c r="BFK1384" s="7"/>
      <c r="BFL1384" s="7"/>
      <c r="BFM1384" s="7"/>
      <c r="BFN1384" s="7"/>
      <c r="BFO1384" s="7"/>
      <c r="BFP1384" s="7"/>
      <c r="BFQ1384" s="7"/>
      <c r="BFR1384" s="7"/>
      <c r="BFS1384" s="7"/>
      <c r="BFT1384" s="7"/>
      <c r="BFU1384" s="7"/>
      <c r="BFV1384" s="7"/>
      <c r="BFW1384" s="7"/>
      <c r="BFX1384" s="7"/>
      <c r="BFY1384" s="7"/>
      <c r="BFZ1384" s="7"/>
      <c r="BGA1384" s="7"/>
      <c r="BGB1384" s="7"/>
      <c r="BGC1384" s="7"/>
      <c r="BGD1384" s="7"/>
      <c r="BGE1384" s="7"/>
      <c r="BGF1384" s="7"/>
      <c r="BGG1384" s="7"/>
      <c r="BGH1384" s="7"/>
      <c r="BGI1384" s="7"/>
      <c r="BGJ1384" s="7"/>
      <c r="BGK1384" s="7"/>
      <c r="BGL1384" s="7"/>
      <c r="BGM1384" s="7"/>
      <c r="BGN1384" s="7"/>
      <c r="BGO1384" s="7"/>
      <c r="BGP1384" s="7"/>
      <c r="BGQ1384" s="7"/>
      <c r="BGR1384" s="7"/>
      <c r="BGS1384" s="7"/>
      <c r="BGT1384" s="7"/>
      <c r="BGU1384" s="7"/>
      <c r="BGV1384" s="7"/>
      <c r="BGW1384" s="7"/>
      <c r="BGX1384" s="7"/>
      <c r="BGY1384" s="7"/>
      <c r="BGZ1384" s="7"/>
      <c r="BHA1384" s="7"/>
      <c r="BHB1384" s="7"/>
      <c r="BHC1384" s="7"/>
      <c r="BHD1384" s="7"/>
      <c r="BHE1384" s="7"/>
      <c r="BHF1384" s="7"/>
      <c r="BHG1384" s="7"/>
      <c r="BHH1384" s="7"/>
      <c r="BHI1384" s="7"/>
      <c r="BHJ1384" s="7"/>
      <c r="BHK1384" s="7"/>
      <c r="BHL1384" s="7"/>
      <c r="BHM1384" s="7"/>
      <c r="BHN1384" s="7"/>
      <c r="BHO1384" s="7"/>
      <c r="BHP1384" s="7"/>
      <c r="BHQ1384" s="7"/>
      <c r="BHR1384" s="7"/>
      <c r="BHS1384" s="7"/>
      <c r="BHT1384" s="7"/>
      <c r="BHU1384" s="7"/>
      <c r="BHV1384" s="7"/>
      <c r="BHW1384" s="7"/>
      <c r="BHX1384" s="7"/>
      <c r="BHY1384" s="7"/>
      <c r="BHZ1384" s="7"/>
      <c r="BIA1384" s="7"/>
      <c r="BIB1384" s="7"/>
      <c r="BIC1384" s="7"/>
      <c r="BID1384" s="7"/>
      <c r="BIE1384" s="7"/>
      <c r="BIF1384" s="7"/>
      <c r="BIG1384" s="7"/>
      <c r="BIH1384" s="7"/>
      <c r="BII1384" s="7"/>
      <c r="BIJ1384" s="7"/>
      <c r="BIK1384" s="7"/>
      <c r="BIL1384" s="7"/>
      <c r="BIM1384" s="7"/>
      <c r="BIN1384" s="7"/>
      <c r="BIO1384" s="7"/>
      <c r="BIP1384" s="7"/>
      <c r="BIQ1384" s="7"/>
      <c r="BIR1384" s="7"/>
      <c r="BIS1384" s="7"/>
      <c r="BIT1384" s="7"/>
      <c r="BIU1384" s="7"/>
      <c r="BIV1384" s="7"/>
      <c r="BIW1384" s="7"/>
      <c r="BIX1384" s="7"/>
      <c r="BIY1384" s="7"/>
      <c r="BIZ1384" s="7"/>
      <c r="BJA1384" s="7"/>
      <c r="BJB1384" s="7"/>
      <c r="BJC1384" s="7"/>
      <c r="BJD1384" s="7"/>
      <c r="BJE1384" s="7"/>
      <c r="BJF1384" s="7"/>
      <c r="BJG1384" s="7"/>
      <c r="BJH1384" s="7"/>
      <c r="BJI1384" s="7"/>
      <c r="BJJ1384" s="7"/>
      <c r="BJK1384" s="7"/>
      <c r="BJL1384" s="7"/>
      <c r="BJM1384" s="7"/>
      <c r="BJN1384" s="7"/>
      <c r="BJO1384" s="7"/>
      <c r="BJP1384" s="7"/>
      <c r="BJQ1384" s="7"/>
      <c r="BJR1384" s="7"/>
      <c r="BJS1384" s="7"/>
      <c r="BJT1384" s="7"/>
      <c r="BJU1384" s="7"/>
      <c r="BJV1384" s="7"/>
      <c r="BJW1384" s="7"/>
      <c r="BJX1384" s="7"/>
      <c r="BJY1384" s="7"/>
      <c r="BJZ1384" s="7"/>
      <c r="BKA1384" s="7"/>
      <c r="BKB1384" s="7"/>
      <c r="BKC1384" s="7"/>
      <c r="BKD1384" s="7"/>
      <c r="BKE1384" s="7"/>
      <c r="BKF1384" s="7"/>
      <c r="BKG1384" s="7"/>
      <c r="BKH1384" s="7"/>
      <c r="BKI1384" s="7"/>
      <c r="BKJ1384" s="7"/>
      <c r="BKK1384" s="7"/>
      <c r="BKL1384" s="7"/>
      <c r="BKM1384" s="7"/>
      <c r="BKN1384" s="7"/>
      <c r="BKO1384" s="7"/>
      <c r="BKP1384" s="7"/>
      <c r="BKQ1384" s="7"/>
      <c r="BKR1384" s="7"/>
      <c r="BKS1384" s="7"/>
      <c r="BKT1384" s="7"/>
      <c r="BKU1384" s="7"/>
      <c r="BKV1384" s="7"/>
      <c r="BKW1384" s="7"/>
      <c r="BKX1384" s="7"/>
      <c r="BKY1384" s="7"/>
      <c r="BKZ1384" s="7"/>
      <c r="BLA1384" s="7"/>
      <c r="BLB1384" s="7"/>
      <c r="BLC1384" s="7"/>
      <c r="BLD1384" s="7"/>
      <c r="BLE1384" s="7"/>
      <c r="BLF1384" s="7"/>
      <c r="BLG1384" s="7"/>
      <c r="BLH1384" s="7"/>
      <c r="BLI1384" s="7"/>
      <c r="BLJ1384" s="7"/>
      <c r="BLK1384" s="7"/>
      <c r="BLL1384" s="7"/>
      <c r="BLM1384" s="7"/>
      <c r="BLN1384" s="7"/>
      <c r="BLO1384" s="7"/>
      <c r="BLP1384" s="7"/>
      <c r="BLQ1384" s="7"/>
      <c r="BLR1384" s="7"/>
      <c r="BLS1384" s="7"/>
      <c r="BLT1384" s="7"/>
      <c r="BLU1384" s="7"/>
      <c r="BLV1384" s="7"/>
      <c r="BLW1384" s="7"/>
      <c r="BLX1384" s="7"/>
      <c r="BLY1384" s="7"/>
      <c r="BLZ1384" s="7"/>
      <c r="BMA1384" s="7"/>
      <c r="BMB1384" s="7"/>
      <c r="BMC1384" s="7"/>
      <c r="BMD1384" s="7"/>
      <c r="BME1384" s="7"/>
      <c r="BMF1384" s="7"/>
      <c r="BMG1384" s="7"/>
      <c r="BMH1384" s="7"/>
      <c r="BMI1384" s="7"/>
      <c r="BMJ1384" s="7"/>
      <c r="BMK1384" s="7"/>
      <c r="BML1384" s="7"/>
      <c r="BMM1384" s="7"/>
      <c r="BMN1384" s="7"/>
      <c r="BMO1384" s="7"/>
      <c r="BMP1384" s="7"/>
      <c r="BMQ1384" s="7"/>
      <c r="BMR1384" s="7"/>
      <c r="BMS1384" s="7"/>
      <c r="BMT1384" s="7"/>
      <c r="BMU1384" s="7"/>
      <c r="BMV1384" s="7"/>
      <c r="BMW1384" s="7"/>
      <c r="BMX1384" s="7"/>
      <c r="BMY1384" s="7"/>
      <c r="BMZ1384" s="7"/>
      <c r="BNA1384" s="7"/>
      <c r="BNB1384" s="7"/>
      <c r="BNC1384" s="7"/>
      <c r="BND1384" s="7"/>
      <c r="BNE1384" s="7"/>
      <c r="BNF1384" s="7"/>
      <c r="BNG1384" s="7"/>
      <c r="BNH1384" s="7"/>
      <c r="BNI1384" s="7"/>
      <c r="BNJ1384" s="7"/>
      <c r="BNK1384" s="7"/>
      <c r="BNL1384" s="7"/>
      <c r="BNM1384" s="7"/>
      <c r="BNN1384" s="7"/>
      <c r="BNO1384" s="7"/>
      <c r="BNP1384" s="7"/>
      <c r="BNQ1384" s="7"/>
      <c r="BNR1384" s="7"/>
      <c r="BNS1384" s="7"/>
      <c r="BNT1384" s="7"/>
      <c r="BNU1384" s="7"/>
      <c r="BNV1384" s="7"/>
      <c r="BNW1384" s="7"/>
      <c r="BNX1384" s="7"/>
      <c r="BNY1384" s="7"/>
      <c r="BNZ1384" s="7"/>
      <c r="BOA1384" s="7"/>
      <c r="BOB1384" s="7"/>
      <c r="BOC1384" s="7"/>
      <c r="BOD1384" s="7"/>
      <c r="BOE1384" s="7"/>
      <c r="BOF1384" s="7"/>
      <c r="BOG1384" s="7"/>
      <c r="BOH1384" s="7"/>
      <c r="BOI1384" s="7"/>
      <c r="BOJ1384" s="7"/>
      <c r="BOK1384" s="7"/>
      <c r="BOL1384" s="7"/>
      <c r="BOM1384" s="7"/>
      <c r="BON1384" s="7"/>
      <c r="BOO1384" s="7"/>
      <c r="BOP1384" s="7"/>
      <c r="BOQ1384" s="7"/>
      <c r="BOR1384" s="7"/>
      <c r="BOS1384" s="7"/>
      <c r="BOT1384" s="7"/>
      <c r="BOU1384" s="7"/>
      <c r="BOV1384" s="7"/>
      <c r="BOW1384" s="7"/>
      <c r="BOX1384" s="7"/>
      <c r="BOY1384" s="7"/>
      <c r="BOZ1384" s="7"/>
      <c r="BPA1384" s="7"/>
      <c r="BPB1384" s="7"/>
      <c r="BPC1384" s="7"/>
      <c r="BPD1384" s="7"/>
      <c r="BPE1384" s="7"/>
      <c r="BPF1384" s="7"/>
      <c r="BPG1384" s="7"/>
      <c r="BPH1384" s="7"/>
      <c r="BPI1384" s="7"/>
      <c r="BPJ1384" s="7"/>
      <c r="BPK1384" s="7"/>
      <c r="BPL1384" s="7"/>
      <c r="BPM1384" s="7"/>
      <c r="BPN1384" s="7"/>
      <c r="BPO1384" s="7"/>
      <c r="BPP1384" s="7"/>
      <c r="BPQ1384" s="7"/>
      <c r="BPR1384" s="7"/>
      <c r="BPS1384" s="7"/>
      <c r="BPT1384" s="7"/>
      <c r="BPU1384" s="7"/>
      <c r="BPV1384" s="7"/>
      <c r="BPW1384" s="7"/>
      <c r="BPX1384" s="7"/>
      <c r="BPY1384" s="7"/>
      <c r="BPZ1384" s="7"/>
      <c r="BQA1384" s="7"/>
      <c r="BQB1384" s="7"/>
      <c r="BQC1384" s="7"/>
      <c r="BQD1384" s="7"/>
      <c r="BQE1384" s="7"/>
      <c r="BQF1384" s="7"/>
      <c r="BQG1384" s="7"/>
      <c r="BQH1384" s="7"/>
      <c r="BQI1384" s="7"/>
      <c r="BQJ1384" s="7"/>
      <c r="BQK1384" s="7"/>
      <c r="BQL1384" s="7"/>
      <c r="BQM1384" s="7"/>
      <c r="BQN1384" s="7"/>
      <c r="BQO1384" s="7"/>
      <c r="BQP1384" s="7"/>
      <c r="BQQ1384" s="7"/>
      <c r="BQR1384" s="7"/>
      <c r="BQS1384" s="7"/>
      <c r="BQT1384" s="7"/>
      <c r="BQU1384" s="7"/>
      <c r="BQV1384" s="7"/>
      <c r="BQW1384" s="7"/>
      <c r="BQX1384" s="7"/>
      <c r="BQY1384" s="7"/>
      <c r="BQZ1384" s="7"/>
      <c r="BRA1384" s="7"/>
      <c r="BRB1384" s="7"/>
      <c r="BRC1384" s="7"/>
      <c r="BRD1384" s="7"/>
      <c r="BRE1384" s="7"/>
      <c r="BRF1384" s="7"/>
      <c r="BRG1384" s="7"/>
      <c r="BRH1384" s="7"/>
      <c r="BRI1384" s="7"/>
      <c r="BRJ1384" s="7"/>
      <c r="BRK1384" s="7"/>
      <c r="BRL1384" s="7"/>
      <c r="BRM1384" s="7"/>
      <c r="BRN1384" s="7"/>
      <c r="BRO1384" s="7"/>
      <c r="BRP1384" s="7"/>
      <c r="BRQ1384" s="7"/>
      <c r="BRR1384" s="7"/>
      <c r="BRS1384" s="7"/>
      <c r="BRT1384" s="7"/>
      <c r="BRU1384" s="7"/>
      <c r="BRV1384" s="7"/>
      <c r="BRW1384" s="7"/>
      <c r="BRX1384" s="7"/>
      <c r="BRY1384" s="7"/>
      <c r="BRZ1384" s="7"/>
      <c r="BSA1384" s="7"/>
      <c r="BSB1384" s="7"/>
      <c r="BSC1384" s="7"/>
      <c r="BSD1384" s="7"/>
      <c r="BSE1384" s="7"/>
      <c r="BSF1384" s="7"/>
      <c r="BSG1384" s="7"/>
      <c r="BSH1384" s="7"/>
      <c r="BSI1384" s="7"/>
      <c r="BSJ1384" s="7"/>
      <c r="BSK1384" s="7"/>
      <c r="BSL1384" s="7"/>
      <c r="BSM1384" s="7"/>
      <c r="BSN1384" s="7"/>
      <c r="BSO1384" s="7"/>
      <c r="BSP1384" s="7"/>
      <c r="BSQ1384" s="7"/>
      <c r="BSR1384" s="7"/>
      <c r="BSS1384" s="7"/>
      <c r="BST1384" s="7"/>
      <c r="BSU1384" s="7"/>
      <c r="BSV1384" s="7"/>
      <c r="BSW1384" s="7"/>
      <c r="BSX1384" s="7"/>
      <c r="BSY1384" s="7"/>
      <c r="BSZ1384" s="7"/>
      <c r="BTA1384" s="7"/>
      <c r="BTB1384" s="7"/>
      <c r="BTC1384" s="7"/>
      <c r="BTD1384" s="7"/>
      <c r="BTE1384" s="7"/>
      <c r="BTF1384" s="7"/>
      <c r="BTG1384" s="7"/>
      <c r="BTH1384" s="7"/>
      <c r="BTI1384" s="7"/>
      <c r="BTJ1384" s="7"/>
      <c r="BTK1384" s="7"/>
      <c r="BTL1384" s="7"/>
      <c r="BTM1384" s="7"/>
      <c r="BTN1384" s="7"/>
      <c r="BTO1384" s="7"/>
      <c r="BTP1384" s="7"/>
      <c r="BTQ1384" s="7"/>
      <c r="BTR1384" s="7"/>
      <c r="BTS1384" s="7"/>
      <c r="BTT1384" s="7"/>
      <c r="BTU1384" s="7"/>
      <c r="BTV1384" s="7"/>
      <c r="BTW1384" s="7"/>
      <c r="BTX1384" s="7"/>
      <c r="BTY1384" s="7"/>
      <c r="BTZ1384" s="7"/>
      <c r="BUA1384" s="7"/>
      <c r="BUB1384" s="7"/>
      <c r="BUC1384" s="7"/>
      <c r="BUD1384" s="7"/>
      <c r="BUE1384" s="7"/>
      <c r="BUF1384" s="7"/>
      <c r="BUG1384" s="7"/>
      <c r="BUH1384" s="7"/>
      <c r="BUI1384" s="7"/>
      <c r="BUJ1384" s="7"/>
      <c r="BUK1384" s="7"/>
      <c r="BUL1384" s="7"/>
      <c r="BUM1384" s="7"/>
      <c r="BUN1384" s="7"/>
      <c r="BUO1384" s="7"/>
      <c r="BUP1384" s="7"/>
      <c r="BUQ1384" s="7"/>
      <c r="BUR1384" s="7"/>
      <c r="BUS1384" s="7"/>
      <c r="BUT1384" s="7"/>
      <c r="BUU1384" s="7"/>
      <c r="BUV1384" s="7"/>
      <c r="BUW1384" s="7"/>
      <c r="BUX1384" s="7"/>
      <c r="BUY1384" s="7"/>
      <c r="BUZ1384" s="7"/>
      <c r="BVA1384" s="7"/>
      <c r="BVB1384" s="7"/>
      <c r="BVC1384" s="7"/>
      <c r="BVD1384" s="7"/>
      <c r="BVE1384" s="7"/>
      <c r="BVF1384" s="7"/>
      <c r="BVG1384" s="7"/>
      <c r="BVH1384" s="7"/>
      <c r="BVI1384" s="7"/>
      <c r="BVJ1384" s="7"/>
      <c r="BVK1384" s="7"/>
      <c r="BVL1384" s="7"/>
      <c r="BVM1384" s="7"/>
      <c r="BVN1384" s="7"/>
      <c r="BVO1384" s="7"/>
      <c r="BVP1384" s="7"/>
      <c r="BVQ1384" s="7"/>
      <c r="BVR1384" s="7"/>
      <c r="BVS1384" s="7"/>
      <c r="BVT1384" s="7"/>
      <c r="BVU1384" s="7"/>
      <c r="BVV1384" s="7"/>
      <c r="BVW1384" s="7"/>
      <c r="BVX1384" s="7"/>
      <c r="BVY1384" s="7"/>
      <c r="BVZ1384" s="7"/>
      <c r="BWA1384" s="7"/>
      <c r="BWB1384" s="7"/>
      <c r="BWC1384" s="7"/>
      <c r="BWD1384" s="7"/>
      <c r="BWE1384" s="7"/>
      <c r="BWF1384" s="7"/>
      <c r="BWG1384" s="7"/>
      <c r="BWH1384" s="7"/>
      <c r="BWI1384" s="7"/>
      <c r="BWJ1384" s="7"/>
      <c r="BWK1384" s="7"/>
      <c r="BWL1384" s="7"/>
      <c r="BWM1384" s="7"/>
      <c r="BWN1384" s="7"/>
      <c r="BWO1384" s="7"/>
      <c r="BWP1384" s="7"/>
      <c r="BWQ1384" s="7"/>
      <c r="BWR1384" s="7"/>
      <c r="BWS1384" s="7"/>
      <c r="BWT1384" s="7"/>
      <c r="BWU1384" s="7"/>
      <c r="BWV1384" s="7"/>
      <c r="BWW1384" s="7"/>
      <c r="BWX1384" s="7"/>
      <c r="BWY1384" s="7"/>
      <c r="BWZ1384" s="7"/>
      <c r="BXA1384" s="7"/>
      <c r="BXB1384" s="7"/>
      <c r="BXC1384" s="7"/>
      <c r="BXD1384" s="7"/>
      <c r="BXE1384" s="7"/>
      <c r="BXF1384" s="7"/>
      <c r="BXG1384" s="7"/>
      <c r="BXH1384" s="7"/>
      <c r="BXI1384" s="7"/>
      <c r="BXJ1384" s="7"/>
      <c r="BXK1384" s="7"/>
      <c r="BXL1384" s="7"/>
      <c r="BXM1384" s="7"/>
      <c r="BXN1384" s="7"/>
      <c r="BXO1384" s="7"/>
      <c r="BXP1384" s="7"/>
      <c r="BXQ1384" s="7"/>
      <c r="BXR1384" s="7"/>
      <c r="BXS1384" s="7"/>
      <c r="BXT1384" s="7"/>
      <c r="BXU1384" s="7"/>
      <c r="BXV1384" s="7"/>
      <c r="BXW1384" s="7"/>
      <c r="BXX1384" s="7"/>
      <c r="BXY1384" s="7"/>
      <c r="BXZ1384" s="7"/>
      <c r="BYA1384" s="7"/>
      <c r="BYB1384" s="7"/>
      <c r="BYC1384" s="7"/>
      <c r="BYD1384" s="7"/>
      <c r="BYE1384" s="7"/>
      <c r="BYF1384" s="7"/>
      <c r="BYG1384" s="7"/>
      <c r="BYH1384" s="7"/>
      <c r="BYI1384" s="7"/>
      <c r="BYJ1384" s="7"/>
      <c r="BYK1384" s="7"/>
      <c r="BYL1384" s="7"/>
      <c r="BYM1384" s="7"/>
      <c r="BYN1384" s="7"/>
      <c r="BYO1384" s="7"/>
      <c r="BYP1384" s="7"/>
      <c r="BYQ1384" s="7"/>
      <c r="BYR1384" s="7"/>
      <c r="BYS1384" s="7"/>
      <c r="BYT1384" s="7"/>
      <c r="BYU1384" s="7"/>
      <c r="BYV1384" s="7"/>
      <c r="BYW1384" s="7"/>
      <c r="BYX1384" s="7"/>
      <c r="BYY1384" s="7"/>
      <c r="BYZ1384" s="7"/>
      <c r="BZA1384" s="7"/>
      <c r="BZB1384" s="7"/>
      <c r="BZC1384" s="7"/>
      <c r="BZD1384" s="7"/>
      <c r="BZE1384" s="7"/>
      <c r="BZF1384" s="7"/>
      <c r="BZG1384" s="7"/>
      <c r="BZH1384" s="7"/>
      <c r="BZI1384" s="7"/>
      <c r="BZJ1384" s="7"/>
      <c r="BZK1384" s="7"/>
      <c r="BZL1384" s="7"/>
      <c r="BZM1384" s="7"/>
      <c r="BZN1384" s="7"/>
      <c r="BZO1384" s="7"/>
      <c r="BZP1384" s="7"/>
      <c r="BZQ1384" s="7"/>
      <c r="BZR1384" s="7"/>
      <c r="BZS1384" s="7"/>
      <c r="BZT1384" s="7"/>
      <c r="BZU1384" s="7"/>
      <c r="BZV1384" s="7"/>
      <c r="BZW1384" s="7"/>
      <c r="BZX1384" s="7"/>
      <c r="BZY1384" s="7"/>
      <c r="BZZ1384" s="7"/>
      <c r="CAA1384" s="7"/>
      <c r="CAB1384" s="7"/>
      <c r="CAC1384" s="7"/>
      <c r="CAD1384" s="7"/>
      <c r="CAE1384" s="7"/>
      <c r="CAF1384" s="7"/>
      <c r="CAG1384" s="7"/>
      <c r="CAH1384" s="7"/>
      <c r="CAI1384" s="7"/>
      <c r="CAJ1384" s="7"/>
      <c r="CAK1384" s="7"/>
      <c r="CAL1384" s="7"/>
      <c r="CAM1384" s="7"/>
      <c r="CAN1384" s="7"/>
      <c r="CAO1384" s="7"/>
      <c r="CAP1384" s="7"/>
      <c r="CAQ1384" s="7"/>
      <c r="CAR1384" s="7"/>
      <c r="CAS1384" s="7"/>
      <c r="CAT1384" s="7"/>
      <c r="CAU1384" s="7"/>
      <c r="CAV1384" s="7"/>
      <c r="CAW1384" s="7"/>
      <c r="CAX1384" s="7"/>
      <c r="CAY1384" s="7"/>
      <c r="CAZ1384" s="7"/>
      <c r="CBA1384" s="7"/>
      <c r="CBB1384" s="7"/>
      <c r="CBC1384" s="7"/>
      <c r="CBD1384" s="7"/>
      <c r="CBE1384" s="7"/>
      <c r="CBF1384" s="7"/>
      <c r="CBG1384" s="7"/>
      <c r="CBH1384" s="7"/>
      <c r="CBI1384" s="7"/>
      <c r="CBJ1384" s="7"/>
      <c r="CBK1384" s="7"/>
      <c r="CBL1384" s="7"/>
      <c r="CBM1384" s="7"/>
      <c r="CBN1384" s="7"/>
      <c r="CBO1384" s="7"/>
      <c r="CBP1384" s="7"/>
      <c r="CBQ1384" s="7"/>
      <c r="CBR1384" s="7"/>
      <c r="CBS1384" s="7"/>
      <c r="CBT1384" s="7"/>
      <c r="CBU1384" s="7"/>
      <c r="CBV1384" s="7"/>
      <c r="CBW1384" s="7"/>
      <c r="CBX1384" s="7"/>
      <c r="CBY1384" s="7"/>
      <c r="CBZ1384" s="7"/>
      <c r="CCA1384" s="7"/>
      <c r="CCB1384" s="7"/>
      <c r="CCC1384" s="7"/>
      <c r="CCD1384" s="7"/>
      <c r="CCE1384" s="7"/>
      <c r="CCF1384" s="7"/>
      <c r="CCG1384" s="7"/>
      <c r="CCH1384" s="7"/>
      <c r="CCI1384" s="7"/>
      <c r="CCJ1384" s="7"/>
      <c r="CCK1384" s="7"/>
      <c r="CCL1384" s="7"/>
      <c r="CCM1384" s="7"/>
      <c r="CCN1384" s="7"/>
      <c r="CCO1384" s="7"/>
      <c r="CCP1384" s="7"/>
      <c r="CCQ1384" s="7"/>
      <c r="CCR1384" s="7"/>
      <c r="CCS1384" s="7"/>
      <c r="CCT1384" s="7"/>
      <c r="CCU1384" s="7"/>
      <c r="CCV1384" s="7"/>
      <c r="CCW1384" s="7"/>
      <c r="CCX1384" s="7"/>
      <c r="CCY1384" s="7"/>
      <c r="CCZ1384" s="7"/>
      <c r="CDA1384" s="7"/>
      <c r="CDB1384" s="7"/>
      <c r="CDC1384" s="7"/>
      <c r="CDD1384" s="7"/>
      <c r="CDE1384" s="7"/>
      <c r="CDF1384" s="7"/>
      <c r="CDG1384" s="7"/>
      <c r="CDH1384" s="7"/>
      <c r="CDI1384" s="7"/>
      <c r="CDJ1384" s="7"/>
      <c r="CDK1384" s="7"/>
      <c r="CDL1384" s="7"/>
      <c r="CDM1384" s="7"/>
      <c r="CDN1384" s="7"/>
      <c r="CDO1384" s="7"/>
      <c r="CDP1384" s="7"/>
      <c r="CDQ1384" s="7"/>
      <c r="CDR1384" s="7"/>
      <c r="CDS1384" s="7"/>
      <c r="CDT1384" s="7"/>
      <c r="CDU1384" s="7"/>
      <c r="CDV1384" s="7"/>
      <c r="CDW1384" s="7"/>
      <c r="CDX1384" s="7"/>
      <c r="CDY1384" s="7"/>
      <c r="CDZ1384" s="7"/>
      <c r="CEA1384" s="7"/>
      <c r="CEB1384" s="7"/>
      <c r="CEC1384" s="7"/>
      <c r="CED1384" s="7"/>
      <c r="CEE1384" s="7"/>
      <c r="CEF1384" s="7"/>
      <c r="CEG1384" s="7"/>
      <c r="CEH1384" s="7"/>
      <c r="CEI1384" s="7"/>
      <c r="CEJ1384" s="7"/>
      <c r="CEK1384" s="7"/>
      <c r="CEL1384" s="7"/>
      <c r="CEM1384" s="7"/>
      <c r="CEN1384" s="7"/>
      <c r="CEO1384" s="7"/>
      <c r="CEP1384" s="7"/>
      <c r="CEQ1384" s="7"/>
      <c r="CER1384" s="7"/>
      <c r="CES1384" s="7"/>
      <c r="CET1384" s="7"/>
      <c r="CEU1384" s="7"/>
      <c r="CEV1384" s="7"/>
      <c r="CEW1384" s="7"/>
      <c r="CEX1384" s="7"/>
      <c r="CEY1384" s="7"/>
      <c r="CEZ1384" s="7"/>
      <c r="CFA1384" s="7"/>
      <c r="CFB1384" s="7"/>
      <c r="CFC1384" s="7"/>
      <c r="CFD1384" s="7"/>
      <c r="CFE1384" s="7"/>
      <c r="CFF1384" s="7"/>
      <c r="CFG1384" s="7"/>
      <c r="CFH1384" s="7"/>
      <c r="CFI1384" s="7"/>
      <c r="CFJ1384" s="7"/>
      <c r="CFK1384" s="7"/>
      <c r="CFL1384" s="7"/>
      <c r="CFM1384" s="7"/>
      <c r="CFN1384" s="7"/>
      <c r="CFO1384" s="7"/>
      <c r="CFP1384" s="7"/>
      <c r="CFQ1384" s="7"/>
      <c r="CFR1384" s="7"/>
      <c r="CFS1384" s="7"/>
      <c r="CFT1384" s="7"/>
      <c r="CFU1384" s="7"/>
      <c r="CFV1384" s="7"/>
      <c r="CFW1384" s="7"/>
      <c r="CFX1384" s="7"/>
      <c r="CFY1384" s="7"/>
      <c r="CFZ1384" s="7"/>
      <c r="CGA1384" s="7"/>
      <c r="CGB1384" s="7"/>
      <c r="CGC1384" s="7"/>
      <c r="CGD1384" s="7"/>
      <c r="CGE1384" s="7"/>
      <c r="CGF1384" s="7"/>
      <c r="CGG1384" s="7"/>
      <c r="CGH1384" s="7"/>
      <c r="CGI1384" s="7"/>
      <c r="CGJ1384" s="7"/>
      <c r="CGK1384" s="7"/>
      <c r="CGL1384" s="7"/>
      <c r="CGM1384" s="7"/>
      <c r="CGN1384" s="7"/>
      <c r="CGO1384" s="7"/>
      <c r="CGP1384" s="7"/>
      <c r="CGQ1384" s="7"/>
      <c r="CGR1384" s="7"/>
      <c r="CGS1384" s="7"/>
      <c r="CGT1384" s="7"/>
      <c r="CGU1384" s="7"/>
      <c r="CGV1384" s="7"/>
      <c r="CGW1384" s="7"/>
      <c r="CGX1384" s="7"/>
      <c r="CGY1384" s="7"/>
      <c r="CGZ1384" s="7"/>
      <c r="CHA1384" s="7"/>
      <c r="CHB1384" s="7"/>
      <c r="CHC1384" s="7"/>
      <c r="CHD1384" s="7"/>
      <c r="CHE1384" s="7"/>
      <c r="CHF1384" s="7"/>
      <c r="CHG1384" s="7"/>
      <c r="CHH1384" s="7"/>
      <c r="CHI1384" s="7"/>
      <c r="CHJ1384" s="7"/>
      <c r="CHK1384" s="7"/>
      <c r="CHL1384" s="7"/>
      <c r="CHM1384" s="7"/>
      <c r="CHN1384" s="7"/>
      <c r="CHO1384" s="7"/>
      <c r="CHP1384" s="7"/>
      <c r="CHQ1384" s="7"/>
      <c r="CHR1384" s="7"/>
      <c r="CHS1384" s="7"/>
      <c r="CHT1384" s="7"/>
      <c r="CHU1384" s="7"/>
      <c r="CHV1384" s="7"/>
      <c r="CHW1384" s="7"/>
      <c r="CHX1384" s="7"/>
      <c r="CHY1384" s="7"/>
      <c r="CHZ1384" s="7"/>
      <c r="CIA1384" s="7"/>
      <c r="CIB1384" s="7"/>
      <c r="CIC1384" s="7"/>
      <c r="CID1384" s="7"/>
      <c r="CIE1384" s="7"/>
      <c r="CIF1384" s="7"/>
      <c r="CIG1384" s="7"/>
      <c r="CIH1384" s="7"/>
      <c r="CII1384" s="7"/>
      <c r="CIJ1384" s="7"/>
      <c r="CIK1384" s="7"/>
      <c r="CIL1384" s="7"/>
      <c r="CIM1384" s="7"/>
      <c r="CIN1384" s="7"/>
      <c r="CIO1384" s="7"/>
      <c r="CIP1384" s="7"/>
      <c r="CIQ1384" s="7"/>
      <c r="CIR1384" s="7"/>
      <c r="CIS1384" s="7"/>
      <c r="CIT1384" s="7"/>
      <c r="CIU1384" s="7"/>
      <c r="CIV1384" s="7"/>
      <c r="CIW1384" s="7"/>
      <c r="CIX1384" s="7"/>
      <c r="CIY1384" s="7"/>
      <c r="CIZ1384" s="7"/>
      <c r="CJA1384" s="7"/>
      <c r="CJB1384" s="7"/>
      <c r="CJC1384" s="7"/>
      <c r="CJD1384" s="7"/>
      <c r="CJE1384" s="7"/>
      <c r="CJF1384" s="7"/>
      <c r="CJG1384" s="7"/>
      <c r="CJH1384" s="7"/>
      <c r="CJI1384" s="7"/>
      <c r="CJJ1384" s="7"/>
      <c r="CJK1384" s="7"/>
      <c r="CJL1384" s="7"/>
      <c r="CJM1384" s="7"/>
      <c r="CJN1384" s="7"/>
      <c r="CJO1384" s="7"/>
      <c r="CJP1384" s="7"/>
      <c r="CJQ1384" s="7"/>
      <c r="CJR1384" s="7"/>
      <c r="CJS1384" s="7"/>
      <c r="CJT1384" s="7"/>
      <c r="CJU1384" s="7"/>
      <c r="CJV1384" s="7"/>
      <c r="CJW1384" s="7"/>
      <c r="CJX1384" s="7"/>
      <c r="CJY1384" s="7"/>
      <c r="CJZ1384" s="7"/>
      <c r="CKA1384" s="7"/>
      <c r="CKB1384" s="7"/>
      <c r="CKC1384" s="7"/>
      <c r="CKD1384" s="7"/>
      <c r="CKE1384" s="7"/>
      <c r="CKF1384" s="7"/>
      <c r="CKG1384" s="7"/>
      <c r="CKH1384" s="7"/>
      <c r="CKI1384" s="7"/>
      <c r="CKJ1384" s="7"/>
      <c r="CKK1384" s="7"/>
      <c r="CKL1384" s="7"/>
      <c r="CKM1384" s="7"/>
      <c r="CKN1384" s="7"/>
      <c r="CKO1384" s="7"/>
      <c r="CKP1384" s="7"/>
      <c r="CKQ1384" s="7"/>
      <c r="CKR1384" s="7"/>
      <c r="CKS1384" s="7"/>
      <c r="CKT1384" s="7"/>
      <c r="CKU1384" s="7"/>
      <c r="CKV1384" s="7"/>
      <c r="CKW1384" s="7"/>
      <c r="CKX1384" s="7"/>
      <c r="CKY1384" s="7"/>
      <c r="CKZ1384" s="7"/>
      <c r="CLA1384" s="7"/>
      <c r="CLB1384" s="7"/>
      <c r="CLC1384" s="7"/>
      <c r="CLD1384" s="7"/>
      <c r="CLE1384" s="7"/>
      <c r="CLF1384" s="7"/>
      <c r="CLG1384" s="7"/>
      <c r="CLH1384" s="7"/>
      <c r="CLI1384" s="7"/>
      <c r="CLJ1384" s="7"/>
      <c r="CLK1384" s="7"/>
      <c r="CLL1384" s="7"/>
      <c r="CLM1384" s="7"/>
      <c r="CLN1384" s="7"/>
      <c r="CLO1384" s="7"/>
      <c r="CLP1384" s="7"/>
      <c r="CLQ1384" s="7"/>
      <c r="CLR1384" s="7"/>
      <c r="CLS1384" s="7"/>
      <c r="CLT1384" s="7"/>
      <c r="CLU1384" s="7"/>
      <c r="CLV1384" s="7"/>
      <c r="CLW1384" s="7"/>
      <c r="CLX1384" s="7"/>
      <c r="CLY1384" s="7"/>
      <c r="CLZ1384" s="7"/>
      <c r="CMA1384" s="7"/>
      <c r="CMB1384" s="7"/>
      <c r="CMC1384" s="7"/>
      <c r="CMD1384" s="7"/>
      <c r="CME1384" s="7"/>
      <c r="CMF1384" s="7"/>
      <c r="CMG1384" s="7"/>
      <c r="CMH1384" s="7"/>
      <c r="CMI1384" s="7"/>
      <c r="CMJ1384" s="7"/>
      <c r="CMK1384" s="7"/>
      <c r="CML1384" s="7"/>
      <c r="CMM1384" s="7"/>
      <c r="CMN1384" s="7"/>
      <c r="CMO1384" s="7"/>
      <c r="CMP1384" s="7"/>
      <c r="CMQ1384" s="7"/>
      <c r="CMR1384" s="7"/>
      <c r="CMS1384" s="7"/>
      <c r="CMT1384" s="7"/>
      <c r="CMU1384" s="7"/>
      <c r="CMV1384" s="7"/>
      <c r="CMW1384" s="7"/>
      <c r="CMX1384" s="7"/>
      <c r="CMY1384" s="7"/>
      <c r="CMZ1384" s="7"/>
      <c r="CNA1384" s="7"/>
      <c r="CNB1384" s="7"/>
      <c r="CNC1384" s="7"/>
      <c r="CND1384" s="7"/>
      <c r="CNE1384" s="7"/>
      <c r="CNF1384" s="7"/>
      <c r="CNG1384" s="7"/>
      <c r="CNH1384" s="7"/>
      <c r="CNI1384" s="7"/>
      <c r="CNJ1384" s="7"/>
      <c r="CNK1384" s="7"/>
      <c r="CNL1384" s="7"/>
      <c r="CNM1384" s="7"/>
      <c r="CNN1384" s="7"/>
      <c r="CNO1384" s="7"/>
      <c r="CNP1384" s="7"/>
      <c r="CNQ1384" s="7"/>
      <c r="CNR1384" s="7"/>
      <c r="CNS1384" s="7"/>
      <c r="CNT1384" s="7"/>
      <c r="CNU1384" s="7"/>
      <c r="CNV1384" s="7"/>
      <c r="CNW1384" s="7"/>
      <c r="CNX1384" s="7"/>
      <c r="CNY1384" s="7"/>
      <c r="CNZ1384" s="7"/>
      <c r="COA1384" s="7"/>
      <c r="COB1384" s="7"/>
      <c r="COC1384" s="7"/>
      <c r="COD1384" s="7"/>
      <c r="COE1384" s="7"/>
      <c r="COF1384" s="7"/>
      <c r="COG1384" s="7"/>
      <c r="COH1384" s="7"/>
      <c r="COI1384" s="7"/>
      <c r="COJ1384" s="7"/>
      <c r="COK1384" s="7"/>
      <c r="COL1384" s="7"/>
      <c r="COM1384" s="7"/>
      <c r="CON1384" s="7"/>
      <c r="COO1384" s="7"/>
      <c r="COP1384" s="7"/>
      <c r="COQ1384" s="7"/>
      <c r="COR1384" s="7"/>
      <c r="COS1384" s="7"/>
      <c r="COT1384" s="7"/>
      <c r="COU1384" s="7"/>
      <c r="COV1384" s="7"/>
      <c r="COW1384" s="7"/>
      <c r="COX1384" s="7"/>
      <c r="COY1384" s="7"/>
      <c r="COZ1384" s="7"/>
      <c r="CPA1384" s="7"/>
      <c r="CPB1384" s="7"/>
      <c r="CPC1384" s="7"/>
      <c r="CPD1384" s="7"/>
      <c r="CPE1384" s="7"/>
      <c r="CPF1384" s="7"/>
      <c r="CPG1384" s="7"/>
      <c r="CPH1384" s="7"/>
      <c r="CPI1384" s="7"/>
      <c r="CPJ1384" s="7"/>
      <c r="CPK1384" s="7"/>
      <c r="CPL1384" s="7"/>
      <c r="CPM1384" s="7"/>
      <c r="CPN1384" s="7"/>
      <c r="CPO1384" s="7"/>
      <c r="CPP1384" s="7"/>
      <c r="CPQ1384" s="7"/>
      <c r="CPR1384" s="7"/>
      <c r="CPS1384" s="7"/>
      <c r="CPT1384" s="7"/>
      <c r="CPU1384" s="7"/>
      <c r="CPV1384" s="7"/>
      <c r="CPW1384" s="7"/>
      <c r="CPX1384" s="7"/>
      <c r="CPY1384" s="7"/>
      <c r="CPZ1384" s="7"/>
      <c r="CQA1384" s="7"/>
      <c r="CQB1384" s="7"/>
      <c r="CQC1384" s="7"/>
      <c r="CQD1384" s="7"/>
      <c r="CQE1384" s="7"/>
      <c r="CQF1384" s="7"/>
      <c r="CQG1384" s="7"/>
      <c r="CQH1384" s="7"/>
      <c r="CQI1384" s="7"/>
      <c r="CQJ1384" s="7"/>
      <c r="CQK1384" s="7"/>
      <c r="CQL1384" s="7"/>
      <c r="CQM1384" s="7"/>
      <c r="CQN1384" s="7"/>
      <c r="CQO1384" s="7"/>
      <c r="CQP1384" s="7"/>
      <c r="CQQ1384" s="7"/>
      <c r="CQR1384" s="7"/>
      <c r="CQS1384" s="7"/>
      <c r="CQT1384" s="7"/>
      <c r="CQU1384" s="7"/>
      <c r="CQV1384" s="7"/>
      <c r="CQW1384" s="7"/>
      <c r="CQX1384" s="7"/>
      <c r="CQY1384" s="7"/>
      <c r="CQZ1384" s="7"/>
      <c r="CRA1384" s="7"/>
      <c r="CRB1384" s="7"/>
      <c r="CRC1384" s="7"/>
      <c r="CRD1384" s="7"/>
      <c r="CRE1384" s="7"/>
      <c r="CRF1384" s="7"/>
      <c r="CRG1384" s="7"/>
      <c r="CRH1384" s="7"/>
      <c r="CRI1384" s="7"/>
      <c r="CRJ1384" s="7"/>
      <c r="CRK1384" s="7"/>
      <c r="CRL1384" s="7"/>
      <c r="CRM1384" s="7"/>
      <c r="CRN1384" s="7"/>
      <c r="CRO1384" s="7"/>
      <c r="CRP1384" s="7"/>
      <c r="CRQ1384" s="7"/>
      <c r="CRR1384" s="7"/>
      <c r="CRS1384" s="7"/>
      <c r="CRT1384" s="7"/>
      <c r="CRU1384" s="7"/>
      <c r="CRV1384" s="7"/>
      <c r="CRW1384" s="7"/>
      <c r="CRX1384" s="7"/>
      <c r="CRY1384" s="7"/>
      <c r="CRZ1384" s="7"/>
      <c r="CSA1384" s="7"/>
      <c r="CSB1384" s="7"/>
      <c r="CSC1384" s="7"/>
      <c r="CSD1384" s="7"/>
      <c r="CSE1384" s="7"/>
      <c r="CSF1384" s="7"/>
      <c r="CSG1384" s="7"/>
      <c r="CSH1384" s="7"/>
      <c r="CSI1384" s="7"/>
      <c r="CSJ1384" s="7"/>
      <c r="CSK1384" s="7"/>
      <c r="CSL1384" s="7"/>
      <c r="CSM1384" s="7"/>
      <c r="CSN1384" s="7"/>
      <c r="CSO1384" s="7"/>
      <c r="CSP1384" s="7"/>
      <c r="CSQ1384" s="7"/>
      <c r="CSR1384" s="7"/>
      <c r="CSS1384" s="7"/>
      <c r="CST1384" s="7"/>
      <c r="CSU1384" s="7"/>
      <c r="CSV1384" s="7"/>
      <c r="CSW1384" s="7"/>
      <c r="CSX1384" s="7"/>
      <c r="CSY1384" s="7"/>
      <c r="CSZ1384" s="7"/>
      <c r="CTA1384" s="7"/>
      <c r="CTB1384" s="7"/>
      <c r="CTC1384" s="7"/>
      <c r="CTD1384" s="7"/>
      <c r="CTE1384" s="7"/>
      <c r="CTF1384" s="7"/>
      <c r="CTG1384" s="7"/>
      <c r="CTH1384" s="7"/>
      <c r="CTI1384" s="7"/>
      <c r="CTJ1384" s="7"/>
      <c r="CTK1384" s="7"/>
      <c r="CTL1384" s="7"/>
      <c r="CTM1384" s="7"/>
      <c r="CTN1384" s="7"/>
      <c r="CTO1384" s="7"/>
      <c r="CTP1384" s="7"/>
      <c r="CTQ1384" s="7"/>
      <c r="CTR1384" s="7"/>
      <c r="CTS1384" s="7"/>
      <c r="CTT1384" s="7"/>
      <c r="CTU1384" s="7"/>
      <c r="CTV1384" s="7"/>
      <c r="CTW1384" s="7"/>
      <c r="CTX1384" s="7"/>
      <c r="CTY1384" s="7"/>
      <c r="CTZ1384" s="7"/>
      <c r="CUA1384" s="7"/>
      <c r="CUB1384" s="7"/>
      <c r="CUC1384" s="7"/>
      <c r="CUD1384" s="7"/>
      <c r="CUE1384" s="7"/>
      <c r="CUF1384" s="7"/>
      <c r="CUG1384" s="7"/>
      <c r="CUH1384" s="7"/>
      <c r="CUI1384" s="7"/>
      <c r="CUJ1384" s="7"/>
      <c r="CUK1384" s="7"/>
      <c r="CUL1384" s="7"/>
      <c r="CUM1384" s="7"/>
      <c r="CUN1384" s="7"/>
      <c r="CUO1384" s="7"/>
      <c r="CUP1384" s="7"/>
      <c r="CUQ1384" s="7"/>
      <c r="CUR1384" s="7"/>
      <c r="CUS1384" s="7"/>
      <c r="CUT1384" s="7"/>
      <c r="CUU1384" s="7"/>
      <c r="CUV1384" s="7"/>
      <c r="CUW1384" s="7"/>
      <c r="CUX1384" s="7"/>
      <c r="CUY1384" s="7"/>
      <c r="CUZ1384" s="7"/>
      <c r="CVA1384" s="7"/>
      <c r="CVB1384" s="7"/>
      <c r="CVC1384" s="7"/>
      <c r="CVD1384" s="7"/>
      <c r="CVE1384" s="7"/>
      <c r="CVF1384" s="7"/>
      <c r="CVG1384" s="7"/>
      <c r="CVH1384" s="7"/>
      <c r="CVI1384" s="7"/>
      <c r="CVJ1384" s="7"/>
      <c r="CVK1384" s="7"/>
      <c r="CVL1384" s="7"/>
      <c r="CVM1384" s="7"/>
      <c r="CVN1384" s="7"/>
      <c r="CVO1384" s="7"/>
      <c r="CVP1384" s="7"/>
      <c r="CVQ1384" s="7"/>
      <c r="CVR1384" s="7"/>
      <c r="CVS1384" s="7"/>
      <c r="CVT1384" s="7"/>
      <c r="CVU1384" s="7"/>
      <c r="CVV1384" s="7"/>
      <c r="CVW1384" s="7"/>
      <c r="CVX1384" s="7"/>
      <c r="CVY1384" s="7"/>
      <c r="CVZ1384" s="7"/>
      <c r="CWA1384" s="7"/>
      <c r="CWB1384" s="7"/>
      <c r="CWC1384" s="7"/>
      <c r="CWD1384" s="7"/>
      <c r="CWE1384" s="7"/>
      <c r="CWF1384" s="7"/>
      <c r="CWG1384" s="7"/>
      <c r="CWH1384" s="7"/>
      <c r="CWI1384" s="7"/>
      <c r="CWJ1384" s="7"/>
      <c r="CWK1384" s="7"/>
      <c r="CWL1384" s="7"/>
      <c r="CWM1384" s="7"/>
      <c r="CWN1384" s="7"/>
      <c r="CWO1384" s="7"/>
      <c r="CWP1384" s="7"/>
      <c r="CWQ1384" s="7"/>
      <c r="CWR1384" s="7"/>
      <c r="CWS1384" s="7"/>
      <c r="CWT1384" s="7"/>
      <c r="CWU1384" s="7"/>
      <c r="CWV1384" s="7"/>
      <c r="CWW1384" s="7"/>
      <c r="CWX1384" s="7"/>
      <c r="CWY1384" s="7"/>
      <c r="CWZ1384" s="7"/>
      <c r="CXA1384" s="7"/>
      <c r="CXB1384" s="7"/>
      <c r="CXC1384" s="7"/>
      <c r="CXD1384" s="7"/>
      <c r="CXE1384" s="7"/>
      <c r="CXF1384" s="7"/>
      <c r="CXG1384" s="7"/>
      <c r="CXH1384" s="7"/>
      <c r="CXI1384" s="7"/>
      <c r="CXJ1384" s="7"/>
      <c r="CXK1384" s="7"/>
      <c r="CXL1384" s="7"/>
      <c r="CXM1384" s="7"/>
      <c r="CXN1384" s="7"/>
      <c r="CXO1384" s="7"/>
      <c r="CXP1384" s="7"/>
      <c r="CXQ1384" s="7"/>
      <c r="CXR1384" s="7"/>
      <c r="CXS1384" s="7"/>
      <c r="CXT1384" s="7"/>
      <c r="CXU1384" s="7"/>
      <c r="CXV1384" s="7"/>
      <c r="CXW1384" s="7"/>
      <c r="CXX1384" s="7"/>
      <c r="CXY1384" s="7"/>
      <c r="CXZ1384" s="7"/>
      <c r="CYA1384" s="7"/>
      <c r="CYB1384" s="7"/>
      <c r="CYC1384" s="7"/>
      <c r="CYD1384" s="7"/>
      <c r="CYE1384" s="7"/>
      <c r="CYF1384" s="7"/>
      <c r="CYG1384" s="7"/>
      <c r="CYH1384" s="7"/>
      <c r="CYI1384" s="7"/>
      <c r="CYJ1384" s="7"/>
      <c r="CYK1384" s="7"/>
      <c r="CYL1384" s="7"/>
      <c r="CYM1384" s="7"/>
      <c r="CYN1384" s="7"/>
      <c r="CYO1384" s="7"/>
      <c r="CYP1384" s="7"/>
      <c r="CYQ1384" s="7"/>
      <c r="CYR1384" s="7"/>
      <c r="CYS1384" s="7"/>
      <c r="CYT1384" s="7"/>
      <c r="CYU1384" s="7"/>
      <c r="CYV1384" s="7"/>
      <c r="CYW1384" s="7"/>
      <c r="CYX1384" s="7"/>
      <c r="CYY1384" s="7"/>
      <c r="CYZ1384" s="7"/>
      <c r="CZA1384" s="7"/>
      <c r="CZB1384" s="7"/>
      <c r="CZC1384" s="7"/>
      <c r="CZD1384" s="7"/>
      <c r="CZE1384" s="7"/>
      <c r="CZF1384" s="7"/>
      <c r="CZG1384" s="7"/>
      <c r="CZH1384" s="7"/>
      <c r="CZI1384" s="7"/>
      <c r="CZJ1384" s="7"/>
      <c r="CZK1384" s="7"/>
      <c r="CZL1384" s="7"/>
      <c r="CZM1384" s="7"/>
      <c r="CZN1384" s="7"/>
      <c r="CZO1384" s="7"/>
      <c r="CZP1384" s="7"/>
      <c r="CZQ1384" s="7"/>
      <c r="CZR1384" s="7"/>
      <c r="CZS1384" s="7"/>
      <c r="CZT1384" s="7"/>
      <c r="CZU1384" s="7"/>
      <c r="CZV1384" s="7"/>
      <c r="CZW1384" s="7"/>
      <c r="CZX1384" s="7"/>
      <c r="CZY1384" s="7"/>
      <c r="CZZ1384" s="7"/>
      <c r="DAA1384" s="7"/>
      <c r="DAB1384" s="7"/>
      <c r="DAC1384" s="7"/>
      <c r="DAD1384" s="7"/>
      <c r="DAE1384" s="7"/>
      <c r="DAF1384" s="7"/>
      <c r="DAG1384" s="7"/>
      <c r="DAH1384" s="7"/>
      <c r="DAI1384" s="7"/>
      <c r="DAJ1384" s="7"/>
      <c r="DAK1384" s="7"/>
      <c r="DAL1384" s="7"/>
      <c r="DAM1384" s="7"/>
      <c r="DAN1384" s="7"/>
      <c r="DAO1384" s="7"/>
      <c r="DAP1384" s="7"/>
      <c r="DAQ1384" s="7"/>
      <c r="DAR1384" s="7"/>
      <c r="DAS1384" s="7"/>
      <c r="DAT1384" s="7"/>
      <c r="DAU1384" s="7"/>
      <c r="DAV1384" s="7"/>
      <c r="DAW1384" s="7"/>
      <c r="DAX1384" s="7"/>
      <c r="DAY1384" s="7"/>
      <c r="DAZ1384" s="7"/>
      <c r="DBA1384" s="7"/>
      <c r="DBB1384" s="7"/>
      <c r="DBC1384" s="7"/>
      <c r="DBD1384" s="7"/>
      <c r="DBE1384" s="7"/>
      <c r="DBF1384" s="7"/>
      <c r="DBG1384" s="7"/>
      <c r="DBH1384" s="7"/>
      <c r="DBI1384" s="7"/>
      <c r="DBJ1384" s="7"/>
      <c r="DBK1384" s="7"/>
      <c r="DBL1384" s="7"/>
      <c r="DBM1384" s="7"/>
      <c r="DBN1384" s="7"/>
      <c r="DBO1384" s="7"/>
      <c r="DBP1384" s="7"/>
      <c r="DBQ1384" s="7"/>
      <c r="DBR1384" s="7"/>
      <c r="DBS1384" s="7"/>
      <c r="DBT1384" s="7"/>
      <c r="DBU1384" s="7"/>
      <c r="DBV1384" s="7"/>
      <c r="DBW1384" s="7"/>
      <c r="DBX1384" s="7"/>
      <c r="DBY1384" s="7"/>
      <c r="DBZ1384" s="7"/>
      <c r="DCA1384" s="7"/>
      <c r="DCB1384" s="7"/>
      <c r="DCC1384" s="7"/>
      <c r="DCD1384" s="7"/>
      <c r="DCE1384" s="7"/>
      <c r="DCF1384" s="7"/>
      <c r="DCG1384" s="7"/>
      <c r="DCH1384" s="7"/>
      <c r="DCI1384" s="7"/>
      <c r="DCJ1384" s="7"/>
      <c r="DCK1384" s="7"/>
      <c r="DCL1384" s="7"/>
      <c r="DCM1384" s="7"/>
      <c r="DCN1384" s="7"/>
      <c r="DCO1384" s="7"/>
      <c r="DCP1384" s="7"/>
      <c r="DCQ1384" s="7"/>
      <c r="DCR1384" s="7"/>
      <c r="DCS1384" s="7"/>
      <c r="DCT1384" s="7"/>
      <c r="DCU1384" s="7"/>
      <c r="DCV1384" s="7"/>
      <c r="DCW1384" s="7"/>
      <c r="DCX1384" s="7"/>
      <c r="DCY1384" s="7"/>
      <c r="DCZ1384" s="7"/>
      <c r="DDA1384" s="7"/>
      <c r="DDB1384" s="7"/>
      <c r="DDC1384" s="7"/>
      <c r="DDD1384" s="7"/>
      <c r="DDE1384" s="7"/>
      <c r="DDF1384" s="7"/>
      <c r="DDG1384" s="7"/>
      <c r="DDH1384" s="7"/>
      <c r="DDI1384" s="7"/>
      <c r="DDJ1384" s="7"/>
      <c r="DDK1384" s="7"/>
      <c r="DDL1384" s="7"/>
      <c r="DDM1384" s="7"/>
      <c r="DDN1384" s="7"/>
      <c r="DDO1384" s="7"/>
      <c r="DDP1384" s="7"/>
      <c r="DDQ1384" s="7"/>
      <c r="DDR1384" s="7"/>
      <c r="DDS1384" s="7"/>
      <c r="DDT1384" s="7"/>
      <c r="DDU1384" s="7"/>
      <c r="DDV1384" s="7"/>
      <c r="DDW1384" s="7"/>
      <c r="DDX1384" s="7"/>
      <c r="DDY1384" s="7"/>
      <c r="DDZ1384" s="7"/>
      <c r="DEA1384" s="7"/>
      <c r="DEB1384" s="7"/>
      <c r="DEC1384" s="7"/>
      <c r="DED1384" s="7"/>
      <c r="DEE1384" s="7"/>
      <c r="DEF1384" s="7"/>
      <c r="DEG1384" s="7"/>
      <c r="DEH1384" s="7"/>
      <c r="DEI1384" s="7"/>
      <c r="DEJ1384" s="7"/>
      <c r="DEK1384" s="7"/>
      <c r="DEL1384" s="7"/>
      <c r="DEM1384" s="7"/>
      <c r="DEN1384" s="7"/>
      <c r="DEO1384" s="7"/>
      <c r="DEP1384" s="7"/>
      <c r="DEQ1384" s="7"/>
      <c r="DER1384" s="7"/>
      <c r="DES1384" s="7"/>
      <c r="DET1384" s="7"/>
      <c r="DEU1384" s="7"/>
      <c r="DEV1384" s="7"/>
      <c r="DEW1384" s="7"/>
      <c r="DEX1384" s="7"/>
      <c r="DEY1384" s="7"/>
      <c r="DEZ1384" s="7"/>
      <c r="DFA1384" s="7"/>
      <c r="DFB1384" s="7"/>
      <c r="DFC1384" s="7"/>
      <c r="DFD1384" s="7"/>
      <c r="DFE1384" s="7"/>
      <c r="DFF1384" s="7"/>
      <c r="DFG1384" s="7"/>
      <c r="DFH1384" s="7"/>
      <c r="DFI1384" s="7"/>
      <c r="DFJ1384" s="7"/>
      <c r="DFK1384" s="7"/>
      <c r="DFL1384" s="7"/>
      <c r="DFM1384" s="7"/>
      <c r="DFN1384" s="7"/>
      <c r="DFO1384" s="7"/>
      <c r="DFP1384" s="7"/>
      <c r="DFQ1384" s="7"/>
      <c r="DFR1384" s="7"/>
      <c r="DFS1384" s="7"/>
      <c r="DFT1384" s="7"/>
      <c r="DFU1384" s="7"/>
      <c r="DFV1384" s="7"/>
      <c r="DFW1384" s="7"/>
      <c r="DFX1384" s="7"/>
      <c r="DFY1384" s="7"/>
      <c r="DFZ1384" s="7"/>
      <c r="DGA1384" s="7"/>
      <c r="DGB1384" s="7"/>
      <c r="DGC1384" s="7"/>
      <c r="DGD1384" s="7"/>
      <c r="DGE1384" s="7"/>
      <c r="DGF1384" s="7"/>
      <c r="DGG1384" s="7"/>
      <c r="DGH1384" s="7"/>
      <c r="DGI1384" s="7"/>
      <c r="DGJ1384" s="7"/>
      <c r="DGK1384" s="7"/>
      <c r="DGL1384" s="7"/>
      <c r="DGM1384" s="7"/>
      <c r="DGN1384" s="7"/>
      <c r="DGO1384" s="7"/>
      <c r="DGP1384" s="7"/>
      <c r="DGQ1384" s="7"/>
      <c r="DGR1384" s="7"/>
      <c r="DGS1384" s="7"/>
      <c r="DGT1384" s="7"/>
      <c r="DGU1384" s="7"/>
      <c r="DGV1384" s="7"/>
      <c r="DGW1384" s="7"/>
      <c r="DGX1384" s="7"/>
      <c r="DGY1384" s="7"/>
      <c r="DGZ1384" s="7"/>
      <c r="DHA1384" s="7"/>
      <c r="DHB1384" s="7"/>
      <c r="DHC1384" s="7"/>
      <c r="DHD1384" s="7"/>
      <c r="DHE1384" s="7"/>
      <c r="DHF1384" s="7"/>
      <c r="DHG1384" s="7"/>
      <c r="DHH1384" s="7"/>
      <c r="DHI1384" s="7"/>
      <c r="DHJ1384" s="7"/>
      <c r="DHK1384" s="7"/>
      <c r="DHL1384" s="7"/>
      <c r="DHM1384" s="7"/>
      <c r="DHN1384" s="7"/>
      <c r="DHO1384" s="7"/>
      <c r="DHP1384" s="7"/>
      <c r="DHQ1384" s="7"/>
      <c r="DHR1384" s="7"/>
      <c r="DHS1384" s="7"/>
      <c r="DHT1384" s="7"/>
      <c r="DHU1384" s="7"/>
      <c r="DHV1384" s="7"/>
      <c r="DHW1384" s="7"/>
      <c r="DHX1384" s="7"/>
      <c r="DHY1384" s="7"/>
      <c r="DHZ1384" s="7"/>
      <c r="DIA1384" s="7"/>
      <c r="DIB1384" s="7"/>
      <c r="DIC1384" s="7"/>
      <c r="DID1384" s="7"/>
      <c r="DIE1384" s="7"/>
      <c r="DIF1384" s="7"/>
      <c r="DIG1384" s="7"/>
      <c r="DIH1384" s="7"/>
      <c r="DII1384" s="7"/>
      <c r="DIJ1384" s="7"/>
      <c r="DIK1384" s="7"/>
      <c r="DIL1384" s="7"/>
      <c r="DIM1384" s="7"/>
      <c r="DIN1384" s="7"/>
      <c r="DIO1384" s="7"/>
      <c r="DIP1384" s="7"/>
      <c r="DIQ1384" s="7"/>
      <c r="DIR1384" s="7"/>
      <c r="DIS1384" s="7"/>
      <c r="DIT1384" s="7"/>
      <c r="DIU1384" s="7"/>
      <c r="DIV1384" s="7"/>
      <c r="DIW1384" s="7"/>
      <c r="DIX1384" s="7"/>
      <c r="DIY1384" s="7"/>
      <c r="DIZ1384" s="7"/>
      <c r="DJA1384" s="7"/>
      <c r="DJB1384" s="7"/>
      <c r="DJC1384" s="7"/>
      <c r="DJD1384" s="7"/>
      <c r="DJE1384" s="7"/>
      <c r="DJF1384" s="7"/>
      <c r="DJG1384" s="7"/>
      <c r="DJH1384" s="7"/>
      <c r="DJI1384" s="7"/>
      <c r="DJJ1384" s="7"/>
      <c r="DJK1384" s="7"/>
      <c r="DJL1384" s="7"/>
      <c r="DJM1384" s="7"/>
      <c r="DJN1384" s="7"/>
      <c r="DJO1384" s="7"/>
      <c r="DJP1384" s="7"/>
      <c r="DJQ1384" s="7"/>
      <c r="DJR1384" s="7"/>
      <c r="DJS1384" s="7"/>
      <c r="DJT1384" s="7"/>
      <c r="DJU1384" s="7"/>
      <c r="DJV1384" s="7"/>
      <c r="DJW1384" s="7"/>
      <c r="DJX1384" s="7"/>
      <c r="DJY1384" s="7"/>
      <c r="DJZ1384" s="7"/>
      <c r="DKA1384" s="7"/>
      <c r="DKB1384" s="7"/>
      <c r="DKC1384" s="7"/>
      <c r="DKD1384" s="7"/>
      <c r="DKE1384" s="7"/>
      <c r="DKF1384" s="7"/>
      <c r="DKG1384" s="7"/>
      <c r="DKH1384" s="7"/>
      <c r="DKI1384" s="7"/>
      <c r="DKJ1384" s="7"/>
      <c r="DKK1384" s="7"/>
      <c r="DKL1384" s="7"/>
      <c r="DKM1384" s="7"/>
      <c r="DKN1384" s="7"/>
      <c r="DKO1384" s="7"/>
      <c r="DKP1384" s="7"/>
      <c r="DKQ1384" s="7"/>
      <c r="DKR1384" s="7"/>
      <c r="DKS1384" s="7"/>
      <c r="DKT1384" s="7"/>
      <c r="DKU1384" s="7"/>
      <c r="DKV1384" s="7"/>
      <c r="DKW1384" s="7"/>
      <c r="DKX1384" s="7"/>
      <c r="DKY1384" s="7"/>
      <c r="DKZ1384" s="7"/>
      <c r="DLA1384" s="7"/>
      <c r="DLB1384" s="7"/>
      <c r="DLC1384" s="7"/>
      <c r="DLD1384" s="7"/>
      <c r="DLE1384" s="7"/>
      <c r="DLF1384" s="7"/>
      <c r="DLG1384" s="7"/>
      <c r="DLH1384" s="7"/>
      <c r="DLI1384" s="7"/>
      <c r="DLJ1384" s="7"/>
      <c r="DLK1384" s="7"/>
      <c r="DLL1384" s="7"/>
      <c r="DLM1384" s="7"/>
      <c r="DLN1384" s="7"/>
      <c r="DLO1384" s="7"/>
      <c r="DLP1384" s="7"/>
      <c r="DLQ1384" s="7"/>
      <c r="DLR1384" s="7"/>
      <c r="DLS1384" s="7"/>
      <c r="DLT1384" s="7"/>
      <c r="DLU1384" s="7"/>
      <c r="DLV1384" s="7"/>
      <c r="DLW1384" s="7"/>
      <c r="DLX1384" s="7"/>
      <c r="DLY1384" s="7"/>
      <c r="DLZ1384" s="7"/>
      <c r="DMA1384" s="7"/>
      <c r="DMB1384" s="7"/>
      <c r="DMC1384" s="7"/>
      <c r="DMD1384" s="7"/>
      <c r="DME1384" s="7"/>
      <c r="DMF1384" s="7"/>
      <c r="DMG1384" s="7"/>
      <c r="DMH1384" s="7"/>
      <c r="DMI1384" s="7"/>
      <c r="DMJ1384" s="7"/>
      <c r="DMK1384" s="7"/>
      <c r="DML1384" s="7"/>
      <c r="DMM1384" s="7"/>
      <c r="DMN1384" s="7"/>
      <c r="DMO1384" s="7"/>
      <c r="DMP1384" s="7"/>
      <c r="DMQ1384" s="7"/>
      <c r="DMR1384" s="7"/>
      <c r="DMS1384" s="7"/>
      <c r="DMT1384" s="7"/>
      <c r="DMU1384" s="7"/>
      <c r="DMV1384" s="7"/>
      <c r="DMW1384" s="7"/>
      <c r="DMX1384" s="7"/>
      <c r="DMY1384" s="7"/>
      <c r="DMZ1384" s="7"/>
      <c r="DNA1384" s="7"/>
      <c r="DNB1384" s="7"/>
      <c r="DNC1384" s="7"/>
      <c r="DND1384" s="7"/>
      <c r="DNE1384" s="7"/>
      <c r="DNF1384" s="7"/>
      <c r="DNG1384" s="7"/>
      <c r="DNH1384" s="7"/>
      <c r="DNI1384" s="7"/>
      <c r="DNJ1384" s="7"/>
      <c r="DNK1384" s="7"/>
      <c r="DNL1384" s="7"/>
      <c r="DNM1384" s="7"/>
      <c r="DNN1384" s="7"/>
      <c r="DNO1384" s="7"/>
      <c r="DNP1384" s="7"/>
      <c r="DNQ1384" s="7"/>
      <c r="DNR1384" s="7"/>
      <c r="DNS1384" s="7"/>
      <c r="DNT1384" s="7"/>
      <c r="DNU1384" s="7"/>
      <c r="DNV1384" s="7"/>
      <c r="DNW1384" s="7"/>
      <c r="DNX1384" s="7"/>
      <c r="DNY1384" s="7"/>
      <c r="DNZ1384" s="7"/>
      <c r="DOA1384" s="7"/>
      <c r="DOB1384" s="7"/>
      <c r="DOC1384" s="7"/>
      <c r="DOD1384" s="7"/>
      <c r="DOE1384" s="7"/>
      <c r="DOF1384" s="7"/>
      <c r="DOG1384" s="7"/>
      <c r="DOH1384" s="7"/>
      <c r="DOI1384" s="7"/>
      <c r="DOJ1384" s="7"/>
      <c r="DOK1384" s="7"/>
      <c r="DOL1384" s="7"/>
      <c r="DOM1384" s="7"/>
      <c r="DON1384" s="7"/>
      <c r="DOO1384" s="7"/>
      <c r="DOP1384" s="7"/>
      <c r="DOQ1384" s="7"/>
      <c r="DOR1384" s="7"/>
      <c r="DOS1384" s="7"/>
      <c r="DOT1384" s="7"/>
      <c r="DOU1384" s="7"/>
      <c r="DOV1384" s="7"/>
      <c r="DOW1384" s="7"/>
      <c r="DOX1384" s="7"/>
      <c r="DOY1384" s="7"/>
      <c r="DOZ1384" s="7"/>
      <c r="DPA1384" s="7"/>
      <c r="DPB1384" s="7"/>
      <c r="DPC1384" s="7"/>
      <c r="DPD1384" s="7"/>
      <c r="DPE1384" s="7"/>
      <c r="DPF1384" s="7"/>
      <c r="DPG1384" s="7"/>
      <c r="DPH1384" s="7"/>
      <c r="DPI1384" s="7"/>
      <c r="DPJ1384" s="7"/>
      <c r="DPK1384" s="7"/>
      <c r="DPL1384" s="7"/>
      <c r="DPM1384" s="7"/>
      <c r="DPN1384" s="7"/>
      <c r="DPO1384" s="7"/>
      <c r="DPP1384" s="7"/>
      <c r="DPQ1384" s="7"/>
      <c r="DPR1384" s="7"/>
      <c r="DPS1384" s="7"/>
      <c r="DPT1384" s="7"/>
      <c r="DPU1384" s="7"/>
      <c r="DPV1384" s="7"/>
      <c r="DPW1384" s="7"/>
      <c r="DPX1384" s="7"/>
      <c r="DPY1384" s="7"/>
      <c r="DPZ1384" s="7"/>
      <c r="DQA1384" s="7"/>
      <c r="DQB1384" s="7"/>
      <c r="DQC1384" s="7"/>
      <c r="DQD1384" s="7"/>
      <c r="DQE1384" s="7"/>
      <c r="DQF1384" s="7"/>
      <c r="DQG1384" s="7"/>
      <c r="DQH1384" s="7"/>
      <c r="DQI1384" s="7"/>
      <c r="DQJ1384" s="7"/>
      <c r="DQK1384" s="7"/>
      <c r="DQL1384" s="7"/>
      <c r="DQM1384" s="7"/>
      <c r="DQN1384" s="7"/>
      <c r="DQO1384" s="7"/>
      <c r="DQP1384" s="7"/>
      <c r="DQQ1384" s="7"/>
      <c r="DQR1384" s="7"/>
      <c r="DQS1384" s="7"/>
      <c r="DQT1384" s="7"/>
      <c r="DQU1384" s="7"/>
      <c r="DQV1384" s="7"/>
      <c r="DQW1384" s="7"/>
      <c r="DQX1384" s="7"/>
      <c r="DQY1384" s="7"/>
      <c r="DQZ1384" s="7"/>
      <c r="DRA1384" s="7"/>
      <c r="DRB1384" s="7"/>
      <c r="DRC1384" s="7"/>
      <c r="DRD1384" s="7"/>
      <c r="DRE1384" s="7"/>
      <c r="DRF1384" s="7"/>
      <c r="DRG1384" s="7"/>
      <c r="DRH1384" s="7"/>
      <c r="DRI1384" s="7"/>
      <c r="DRJ1384" s="7"/>
      <c r="DRK1384" s="7"/>
      <c r="DRL1384" s="7"/>
      <c r="DRM1384" s="7"/>
      <c r="DRN1384" s="7"/>
      <c r="DRO1384" s="7"/>
      <c r="DRP1384" s="7"/>
      <c r="DRQ1384" s="7"/>
      <c r="DRR1384" s="7"/>
      <c r="DRS1384" s="7"/>
      <c r="DRT1384" s="7"/>
      <c r="DRU1384" s="7"/>
      <c r="DRV1384" s="7"/>
      <c r="DRW1384" s="7"/>
      <c r="DRX1384" s="7"/>
      <c r="DRY1384" s="7"/>
      <c r="DRZ1384" s="7"/>
      <c r="DSA1384" s="7"/>
      <c r="DSB1384" s="7"/>
      <c r="DSC1384" s="7"/>
      <c r="DSD1384" s="7"/>
      <c r="DSE1384" s="7"/>
      <c r="DSF1384" s="7"/>
      <c r="DSG1384" s="7"/>
      <c r="DSH1384" s="7"/>
      <c r="DSI1384" s="7"/>
      <c r="DSJ1384" s="7"/>
      <c r="DSK1384" s="7"/>
      <c r="DSL1384" s="7"/>
      <c r="DSM1384" s="7"/>
      <c r="DSN1384" s="7"/>
      <c r="DSO1384" s="7"/>
      <c r="DSP1384" s="7"/>
      <c r="DSQ1384" s="7"/>
      <c r="DSR1384" s="7"/>
      <c r="DSS1384" s="7"/>
      <c r="DST1384" s="7"/>
      <c r="DSU1384" s="7"/>
      <c r="DSV1384" s="7"/>
      <c r="DSW1384" s="7"/>
      <c r="DSX1384" s="7"/>
      <c r="DSY1384" s="7"/>
      <c r="DSZ1384" s="7"/>
      <c r="DTA1384" s="7"/>
      <c r="DTB1384" s="7"/>
      <c r="DTC1384" s="7"/>
      <c r="DTD1384" s="7"/>
      <c r="DTE1384" s="7"/>
      <c r="DTF1384" s="7"/>
      <c r="DTG1384" s="7"/>
      <c r="DTH1384" s="7"/>
      <c r="DTI1384" s="7"/>
      <c r="DTJ1384" s="7"/>
      <c r="DTK1384" s="7"/>
      <c r="DTL1384" s="7"/>
      <c r="DTM1384" s="7"/>
      <c r="DTN1384" s="7"/>
      <c r="DTO1384" s="7"/>
      <c r="DTP1384" s="7"/>
      <c r="DTQ1384" s="7"/>
      <c r="DTR1384" s="7"/>
      <c r="DTS1384" s="7"/>
      <c r="DTT1384" s="7"/>
      <c r="DTU1384" s="7"/>
      <c r="DTV1384" s="7"/>
      <c r="DTW1384" s="7"/>
      <c r="DTX1384" s="7"/>
      <c r="DTY1384" s="7"/>
      <c r="DTZ1384" s="7"/>
      <c r="DUA1384" s="7"/>
      <c r="DUB1384" s="7"/>
      <c r="DUC1384" s="7"/>
      <c r="DUD1384" s="7"/>
      <c r="DUE1384" s="7"/>
      <c r="DUF1384" s="7"/>
      <c r="DUG1384" s="7"/>
      <c r="DUH1384" s="7"/>
      <c r="DUI1384" s="7"/>
      <c r="DUJ1384" s="7"/>
      <c r="DUK1384" s="7"/>
      <c r="DUL1384" s="7"/>
      <c r="DUM1384" s="7"/>
      <c r="DUN1384" s="7"/>
      <c r="DUO1384" s="7"/>
      <c r="DUP1384" s="7"/>
      <c r="DUQ1384" s="7"/>
      <c r="DUR1384" s="7"/>
      <c r="DUS1384" s="7"/>
      <c r="DUT1384" s="7"/>
      <c r="DUU1384" s="7"/>
      <c r="DUV1384" s="7"/>
      <c r="DUW1384" s="7"/>
      <c r="DUX1384" s="7"/>
      <c r="DUY1384" s="7"/>
      <c r="DUZ1384" s="7"/>
      <c r="DVA1384" s="7"/>
      <c r="DVB1384" s="7"/>
      <c r="DVC1384" s="7"/>
      <c r="DVD1384" s="7"/>
      <c r="DVE1384" s="7"/>
      <c r="DVF1384" s="7"/>
      <c r="DVG1384" s="7"/>
      <c r="DVH1384" s="7"/>
      <c r="DVI1384" s="7"/>
      <c r="DVJ1384" s="7"/>
      <c r="DVK1384" s="7"/>
      <c r="DVL1384" s="7"/>
      <c r="DVM1384" s="7"/>
      <c r="DVN1384" s="7"/>
      <c r="DVO1384" s="7"/>
      <c r="DVP1384" s="7"/>
      <c r="DVQ1384" s="7"/>
      <c r="DVR1384" s="7"/>
      <c r="DVS1384" s="7"/>
      <c r="DVT1384" s="7"/>
      <c r="DVU1384" s="7"/>
      <c r="DVV1384" s="7"/>
      <c r="DVW1384" s="7"/>
      <c r="DVX1384" s="7"/>
      <c r="DVY1384" s="7"/>
      <c r="DVZ1384" s="7"/>
      <c r="DWA1384" s="7"/>
      <c r="DWB1384" s="7"/>
      <c r="DWC1384" s="7"/>
      <c r="DWD1384" s="7"/>
      <c r="DWE1384" s="7"/>
      <c r="DWF1384" s="7"/>
      <c r="DWG1384" s="7"/>
      <c r="DWH1384" s="7"/>
      <c r="DWI1384" s="7"/>
      <c r="DWJ1384" s="7"/>
      <c r="DWK1384" s="7"/>
      <c r="DWL1384" s="7"/>
      <c r="DWM1384" s="7"/>
      <c r="DWN1384" s="7"/>
      <c r="DWO1384" s="7"/>
      <c r="DWP1384" s="7"/>
      <c r="DWQ1384" s="7"/>
      <c r="DWR1384" s="7"/>
      <c r="DWS1384" s="7"/>
      <c r="DWT1384" s="7"/>
      <c r="DWU1384" s="7"/>
      <c r="DWV1384" s="7"/>
      <c r="DWW1384" s="7"/>
      <c r="DWX1384" s="7"/>
      <c r="DWY1384" s="7"/>
      <c r="DWZ1384" s="7"/>
      <c r="DXA1384" s="7"/>
      <c r="DXB1384" s="7"/>
      <c r="DXC1384" s="7"/>
      <c r="DXD1384" s="7"/>
      <c r="DXE1384" s="7"/>
      <c r="DXF1384" s="7"/>
      <c r="DXG1384" s="7"/>
      <c r="DXH1384" s="7"/>
      <c r="DXI1384" s="7"/>
      <c r="DXJ1384" s="7"/>
      <c r="DXK1384" s="7"/>
      <c r="DXL1384" s="7"/>
      <c r="DXM1384" s="7"/>
      <c r="DXN1384" s="7"/>
      <c r="DXO1384" s="7"/>
      <c r="DXP1384" s="7"/>
      <c r="DXQ1384" s="7"/>
      <c r="DXR1384" s="7"/>
      <c r="DXS1384" s="7"/>
      <c r="DXT1384" s="7"/>
      <c r="DXU1384" s="7"/>
      <c r="DXV1384" s="7"/>
      <c r="DXW1384" s="7"/>
      <c r="DXX1384" s="7"/>
      <c r="DXY1384" s="7"/>
      <c r="DXZ1384" s="7"/>
      <c r="DYA1384" s="7"/>
      <c r="DYB1384" s="7"/>
      <c r="DYC1384" s="7"/>
      <c r="DYD1384" s="7"/>
      <c r="DYE1384" s="7"/>
      <c r="DYF1384" s="7"/>
      <c r="DYG1384" s="7"/>
      <c r="DYH1384" s="7"/>
      <c r="DYI1384" s="7"/>
      <c r="DYJ1384" s="7"/>
      <c r="DYK1384" s="7"/>
      <c r="DYL1384" s="7"/>
      <c r="DYM1384" s="7"/>
      <c r="DYN1384" s="7"/>
      <c r="DYO1384" s="7"/>
      <c r="DYP1384" s="7"/>
      <c r="DYQ1384" s="7"/>
      <c r="DYR1384" s="7"/>
      <c r="DYS1384" s="7"/>
      <c r="DYT1384" s="7"/>
      <c r="DYU1384" s="7"/>
      <c r="DYV1384" s="7"/>
      <c r="DYW1384" s="7"/>
      <c r="DYX1384" s="7"/>
      <c r="DYY1384" s="7"/>
      <c r="DYZ1384" s="7"/>
      <c r="DZA1384" s="7"/>
      <c r="DZB1384" s="7"/>
      <c r="DZC1384" s="7"/>
      <c r="DZD1384" s="7"/>
      <c r="DZE1384" s="7"/>
      <c r="DZF1384" s="7"/>
      <c r="DZG1384" s="7"/>
      <c r="DZH1384" s="7"/>
      <c r="DZI1384" s="7"/>
      <c r="DZJ1384" s="7"/>
      <c r="DZK1384" s="7"/>
      <c r="DZL1384" s="7"/>
      <c r="DZM1384" s="7"/>
      <c r="DZN1384" s="7"/>
      <c r="DZO1384" s="7"/>
      <c r="DZP1384" s="7"/>
      <c r="DZQ1384" s="7"/>
      <c r="DZR1384" s="7"/>
      <c r="DZS1384" s="7"/>
      <c r="DZT1384" s="7"/>
      <c r="DZU1384" s="7"/>
      <c r="DZV1384" s="7"/>
      <c r="DZW1384" s="7"/>
      <c r="DZX1384" s="7"/>
      <c r="DZY1384" s="7"/>
      <c r="DZZ1384" s="7"/>
      <c r="EAA1384" s="7"/>
      <c r="EAB1384" s="7"/>
      <c r="EAC1384" s="7"/>
      <c r="EAD1384" s="7"/>
      <c r="EAE1384" s="7"/>
      <c r="EAF1384" s="7"/>
      <c r="EAG1384" s="7"/>
      <c r="EAH1384" s="7"/>
      <c r="EAI1384" s="7"/>
      <c r="EAJ1384" s="7"/>
      <c r="EAK1384" s="7"/>
      <c r="EAL1384" s="7"/>
      <c r="EAM1384" s="7"/>
      <c r="EAN1384" s="7"/>
      <c r="EAO1384" s="7"/>
      <c r="EAP1384" s="7"/>
      <c r="EAQ1384" s="7"/>
      <c r="EAR1384" s="7"/>
      <c r="EAS1384" s="7"/>
      <c r="EAT1384" s="7"/>
      <c r="EAU1384" s="7"/>
      <c r="EAV1384" s="7"/>
      <c r="EAW1384" s="7"/>
      <c r="EAX1384" s="7"/>
      <c r="EAY1384" s="7"/>
      <c r="EAZ1384" s="7"/>
      <c r="EBA1384" s="7"/>
      <c r="EBB1384" s="7"/>
      <c r="EBC1384" s="7"/>
      <c r="EBD1384" s="7"/>
      <c r="EBE1384" s="7"/>
      <c r="EBF1384" s="7"/>
      <c r="EBG1384" s="7"/>
      <c r="EBH1384" s="7"/>
      <c r="EBI1384" s="7"/>
      <c r="EBJ1384" s="7"/>
      <c r="EBK1384" s="7"/>
      <c r="EBL1384" s="7"/>
      <c r="EBM1384" s="7"/>
      <c r="EBN1384" s="7"/>
      <c r="EBO1384" s="7"/>
      <c r="EBP1384" s="7"/>
      <c r="EBQ1384" s="7"/>
      <c r="EBR1384" s="7"/>
      <c r="EBS1384" s="7"/>
      <c r="EBT1384" s="7"/>
      <c r="EBU1384" s="7"/>
      <c r="EBV1384" s="7"/>
      <c r="EBW1384" s="7"/>
      <c r="EBX1384" s="7"/>
      <c r="EBY1384" s="7"/>
      <c r="EBZ1384" s="7"/>
      <c r="ECA1384" s="7"/>
      <c r="ECB1384" s="7"/>
      <c r="ECC1384" s="7"/>
      <c r="ECD1384" s="7"/>
      <c r="ECE1384" s="7"/>
      <c r="ECF1384" s="7"/>
      <c r="ECG1384" s="7"/>
      <c r="ECH1384" s="7"/>
      <c r="ECI1384" s="7"/>
      <c r="ECJ1384" s="7"/>
      <c r="ECK1384" s="7"/>
      <c r="ECL1384" s="7"/>
      <c r="ECM1384" s="7"/>
      <c r="ECN1384" s="7"/>
      <c r="ECO1384" s="7"/>
      <c r="ECP1384" s="7"/>
      <c r="ECQ1384" s="7"/>
      <c r="ECR1384" s="7"/>
      <c r="ECS1384" s="7"/>
      <c r="ECT1384" s="7"/>
      <c r="ECU1384" s="7"/>
      <c r="ECV1384" s="7"/>
      <c r="ECW1384" s="7"/>
      <c r="ECX1384" s="7"/>
      <c r="ECY1384" s="7"/>
      <c r="ECZ1384" s="7"/>
      <c r="EDA1384" s="7"/>
      <c r="EDB1384" s="7"/>
      <c r="EDC1384" s="7"/>
      <c r="EDD1384" s="7"/>
      <c r="EDE1384" s="7"/>
      <c r="EDF1384" s="7"/>
      <c r="EDG1384" s="7"/>
      <c r="EDH1384" s="7"/>
      <c r="EDI1384" s="7"/>
      <c r="EDJ1384" s="7"/>
      <c r="EDK1384" s="7"/>
      <c r="EDL1384" s="7"/>
      <c r="EDM1384" s="7"/>
      <c r="EDN1384" s="7"/>
      <c r="EDO1384" s="7"/>
      <c r="EDP1384" s="7"/>
      <c r="EDQ1384" s="7"/>
      <c r="EDR1384" s="7"/>
      <c r="EDS1384" s="7"/>
      <c r="EDT1384" s="7"/>
      <c r="EDU1384" s="7"/>
      <c r="EDV1384" s="7"/>
      <c r="EDW1384" s="7"/>
      <c r="EDX1384" s="7"/>
      <c r="EDY1384" s="7"/>
      <c r="EDZ1384" s="7"/>
      <c r="EEA1384" s="7"/>
      <c r="EEB1384" s="7"/>
      <c r="EEC1384" s="7"/>
      <c r="EED1384" s="7"/>
      <c r="EEE1384" s="7"/>
      <c r="EEF1384" s="7"/>
      <c r="EEG1384" s="7"/>
      <c r="EEH1384" s="7"/>
      <c r="EEI1384" s="7"/>
      <c r="EEJ1384" s="7"/>
      <c r="EEK1384" s="7"/>
      <c r="EEL1384" s="7"/>
      <c r="EEM1384" s="7"/>
      <c r="EEN1384" s="7"/>
      <c r="EEO1384" s="7"/>
      <c r="EEP1384" s="7"/>
      <c r="EEQ1384" s="7"/>
      <c r="EER1384" s="7"/>
      <c r="EES1384" s="7"/>
      <c r="EET1384" s="7"/>
      <c r="EEU1384" s="7"/>
      <c r="EEV1384" s="7"/>
      <c r="EEW1384" s="7"/>
      <c r="EEX1384" s="7"/>
      <c r="EEY1384" s="7"/>
      <c r="EEZ1384" s="7"/>
      <c r="EFA1384" s="7"/>
      <c r="EFB1384" s="7"/>
      <c r="EFC1384" s="7"/>
      <c r="EFD1384" s="7"/>
      <c r="EFE1384" s="7"/>
      <c r="EFF1384" s="7"/>
      <c r="EFG1384" s="7"/>
      <c r="EFH1384" s="7"/>
      <c r="EFI1384" s="7"/>
      <c r="EFJ1384" s="7"/>
      <c r="EFK1384" s="7"/>
      <c r="EFL1384" s="7"/>
      <c r="EFM1384" s="7"/>
      <c r="EFN1384" s="7"/>
      <c r="EFO1384" s="7"/>
      <c r="EFP1384" s="7"/>
      <c r="EFQ1384" s="7"/>
      <c r="EFR1384" s="7"/>
      <c r="EFS1384" s="7"/>
      <c r="EFT1384" s="7"/>
      <c r="EFU1384" s="7"/>
      <c r="EFV1384" s="7"/>
      <c r="EFW1384" s="7"/>
      <c r="EFX1384" s="7"/>
      <c r="EFY1384" s="7"/>
      <c r="EFZ1384" s="7"/>
      <c r="EGA1384" s="7"/>
      <c r="EGB1384" s="7"/>
      <c r="EGC1384" s="7"/>
      <c r="EGD1384" s="7"/>
      <c r="EGE1384" s="7"/>
      <c r="EGF1384" s="7"/>
      <c r="EGG1384" s="7"/>
      <c r="EGH1384" s="7"/>
      <c r="EGI1384" s="7"/>
      <c r="EGJ1384" s="7"/>
      <c r="EGK1384" s="7"/>
      <c r="EGL1384" s="7"/>
      <c r="EGM1384" s="7"/>
      <c r="EGN1384" s="7"/>
      <c r="EGO1384" s="7"/>
      <c r="EGP1384" s="7"/>
      <c r="EGQ1384" s="7"/>
      <c r="EGR1384" s="7"/>
      <c r="EGS1384" s="7"/>
      <c r="EGT1384" s="7"/>
      <c r="EGU1384" s="7"/>
      <c r="EGV1384" s="7"/>
      <c r="EGW1384" s="7"/>
      <c r="EGX1384" s="7"/>
      <c r="EGY1384" s="7"/>
      <c r="EGZ1384" s="7"/>
      <c r="EHA1384" s="7"/>
      <c r="EHB1384" s="7"/>
      <c r="EHC1384" s="7"/>
      <c r="EHD1384" s="7"/>
      <c r="EHE1384" s="7"/>
      <c r="EHF1384" s="7"/>
      <c r="EHG1384" s="7"/>
      <c r="EHH1384" s="7"/>
      <c r="EHI1384" s="7"/>
      <c r="EHJ1384" s="7"/>
      <c r="EHK1384" s="7"/>
      <c r="EHL1384" s="7"/>
      <c r="EHM1384" s="7"/>
      <c r="EHN1384" s="7"/>
      <c r="EHO1384" s="7"/>
      <c r="EHP1384" s="7"/>
      <c r="EHQ1384" s="7"/>
      <c r="EHR1384" s="7"/>
      <c r="EHS1384" s="7"/>
      <c r="EHT1384" s="7"/>
      <c r="EHU1384" s="7"/>
      <c r="EHV1384" s="7"/>
      <c r="EHW1384" s="7"/>
      <c r="EHX1384" s="7"/>
      <c r="EHY1384" s="7"/>
      <c r="EHZ1384" s="7"/>
      <c r="EIA1384" s="7"/>
      <c r="EIB1384" s="7"/>
      <c r="EIC1384" s="7"/>
      <c r="EID1384" s="7"/>
      <c r="EIE1384" s="7"/>
      <c r="EIF1384" s="7"/>
      <c r="EIG1384" s="7"/>
      <c r="EIH1384" s="7"/>
      <c r="EII1384" s="7"/>
      <c r="EIJ1384" s="7"/>
      <c r="EIK1384" s="7"/>
      <c r="EIL1384" s="7"/>
      <c r="EIM1384" s="7"/>
      <c r="EIN1384" s="7"/>
      <c r="EIO1384" s="7"/>
      <c r="EIP1384" s="7"/>
      <c r="EIQ1384" s="7"/>
      <c r="EIR1384" s="7"/>
      <c r="EIS1384" s="7"/>
      <c r="EIT1384" s="7"/>
      <c r="EIU1384" s="7"/>
      <c r="EIV1384" s="7"/>
      <c r="EIW1384" s="7"/>
      <c r="EIX1384" s="7"/>
      <c r="EIY1384" s="7"/>
      <c r="EIZ1384" s="7"/>
      <c r="EJA1384" s="7"/>
      <c r="EJB1384" s="7"/>
      <c r="EJC1384" s="7"/>
      <c r="EJD1384" s="7"/>
      <c r="EJE1384" s="7"/>
      <c r="EJF1384" s="7"/>
      <c r="EJG1384" s="7"/>
      <c r="EJH1384" s="7"/>
      <c r="EJI1384" s="7"/>
      <c r="EJJ1384" s="7"/>
      <c r="EJK1384" s="7"/>
      <c r="EJL1384" s="7"/>
      <c r="EJM1384" s="7"/>
      <c r="EJN1384" s="7"/>
      <c r="EJO1384" s="7"/>
      <c r="EJP1384" s="7"/>
      <c r="EJQ1384" s="7"/>
      <c r="EJR1384" s="7"/>
      <c r="EJS1384" s="7"/>
      <c r="EJT1384" s="7"/>
      <c r="EJU1384" s="7"/>
      <c r="EJV1384" s="7"/>
      <c r="EJW1384" s="7"/>
      <c r="EJX1384" s="7"/>
      <c r="EJY1384" s="7"/>
      <c r="EJZ1384" s="7"/>
      <c r="EKA1384" s="7"/>
      <c r="EKB1384" s="7"/>
      <c r="EKC1384" s="7"/>
      <c r="EKD1384" s="7"/>
      <c r="EKE1384" s="7"/>
      <c r="EKF1384" s="7"/>
      <c r="EKG1384" s="7"/>
      <c r="EKH1384" s="7"/>
      <c r="EKI1384" s="7"/>
      <c r="EKJ1384" s="7"/>
      <c r="EKK1384" s="7"/>
      <c r="EKL1384" s="7"/>
      <c r="EKM1384" s="7"/>
      <c r="EKN1384" s="7"/>
      <c r="EKO1384" s="7"/>
      <c r="EKP1384" s="7"/>
      <c r="EKQ1384" s="7"/>
      <c r="EKR1384" s="7"/>
      <c r="EKS1384" s="7"/>
      <c r="EKT1384" s="7"/>
      <c r="EKU1384" s="7"/>
      <c r="EKV1384" s="7"/>
      <c r="EKW1384" s="7"/>
      <c r="EKX1384" s="7"/>
      <c r="EKY1384" s="7"/>
      <c r="EKZ1384" s="7"/>
      <c r="ELA1384" s="7"/>
      <c r="ELB1384" s="7"/>
      <c r="ELC1384" s="7"/>
      <c r="ELD1384" s="7"/>
      <c r="ELE1384" s="7"/>
      <c r="ELF1384" s="7"/>
      <c r="ELG1384" s="7"/>
      <c r="ELH1384" s="7"/>
      <c r="ELI1384" s="7"/>
      <c r="ELJ1384" s="7"/>
      <c r="ELK1384" s="7"/>
      <c r="ELL1384" s="7"/>
      <c r="ELM1384" s="7"/>
      <c r="ELN1384" s="7"/>
      <c r="ELO1384" s="7"/>
      <c r="ELP1384" s="7"/>
      <c r="ELQ1384" s="7"/>
      <c r="ELR1384" s="7"/>
      <c r="ELS1384" s="7"/>
      <c r="ELT1384" s="7"/>
      <c r="ELU1384" s="7"/>
      <c r="ELV1384" s="7"/>
      <c r="ELW1384" s="7"/>
      <c r="ELX1384" s="7"/>
      <c r="ELY1384" s="7"/>
      <c r="ELZ1384" s="7"/>
      <c r="EMA1384" s="7"/>
      <c r="EMB1384" s="7"/>
      <c r="EMC1384" s="7"/>
      <c r="EMD1384" s="7"/>
      <c r="EME1384" s="7"/>
      <c r="EMF1384" s="7"/>
      <c r="EMG1384" s="7"/>
      <c r="EMH1384" s="7"/>
      <c r="EMI1384" s="7"/>
      <c r="EMJ1384" s="7"/>
      <c r="EMK1384" s="7"/>
      <c r="EML1384" s="7"/>
      <c r="EMM1384" s="7"/>
      <c r="EMN1384" s="7"/>
      <c r="EMO1384" s="7"/>
      <c r="EMP1384" s="7"/>
      <c r="EMQ1384" s="7"/>
      <c r="EMR1384" s="7"/>
      <c r="EMS1384" s="7"/>
      <c r="EMT1384" s="7"/>
      <c r="EMU1384" s="7"/>
      <c r="EMV1384" s="7"/>
      <c r="EMW1384" s="7"/>
      <c r="EMX1384" s="7"/>
      <c r="EMY1384" s="7"/>
      <c r="EMZ1384" s="7"/>
      <c r="ENA1384" s="7"/>
      <c r="ENB1384" s="7"/>
      <c r="ENC1384" s="7"/>
      <c r="END1384" s="7"/>
      <c r="ENE1384" s="7"/>
      <c r="ENF1384" s="7"/>
      <c r="ENG1384" s="7"/>
      <c r="ENH1384" s="7"/>
      <c r="ENI1384" s="7"/>
      <c r="ENJ1384" s="7"/>
      <c r="ENK1384" s="7"/>
      <c r="ENL1384" s="7"/>
      <c r="ENM1384" s="7"/>
      <c r="ENN1384" s="7"/>
      <c r="ENO1384" s="7"/>
      <c r="ENP1384" s="7"/>
      <c r="ENQ1384" s="7"/>
      <c r="ENR1384" s="7"/>
      <c r="ENS1384" s="7"/>
      <c r="ENT1384" s="7"/>
      <c r="ENU1384" s="7"/>
      <c r="ENV1384" s="7"/>
      <c r="ENW1384" s="7"/>
      <c r="ENX1384" s="7"/>
      <c r="ENY1384" s="7"/>
      <c r="ENZ1384" s="7"/>
      <c r="EOA1384" s="7"/>
      <c r="EOB1384" s="7"/>
      <c r="EOC1384" s="7"/>
      <c r="EOD1384" s="7"/>
      <c r="EOE1384" s="7"/>
      <c r="EOF1384" s="7"/>
      <c r="EOG1384" s="7"/>
      <c r="EOH1384" s="7"/>
      <c r="EOI1384" s="7"/>
      <c r="EOJ1384" s="7"/>
      <c r="EOK1384" s="7"/>
      <c r="EOL1384" s="7"/>
      <c r="EOM1384" s="7"/>
      <c r="EON1384" s="7"/>
      <c r="EOO1384" s="7"/>
      <c r="EOP1384" s="7"/>
      <c r="EOQ1384" s="7"/>
      <c r="EOR1384" s="7"/>
      <c r="EOS1384" s="7"/>
      <c r="EOT1384" s="7"/>
      <c r="EOU1384" s="7"/>
      <c r="EOV1384" s="7"/>
      <c r="EOW1384" s="7"/>
      <c r="EOX1384" s="7"/>
      <c r="EOY1384" s="7"/>
      <c r="EOZ1384" s="7"/>
      <c r="EPA1384" s="7"/>
      <c r="EPB1384" s="7"/>
      <c r="EPC1384" s="7"/>
      <c r="EPD1384" s="7"/>
      <c r="EPE1384" s="7"/>
      <c r="EPF1384" s="7"/>
      <c r="EPG1384" s="7"/>
      <c r="EPH1384" s="7"/>
      <c r="EPI1384" s="7"/>
      <c r="EPJ1384" s="7"/>
      <c r="EPK1384" s="7"/>
      <c r="EPL1384" s="7"/>
      <c r="EPM1384" s="7"/>
      <c r="EPN1384" s="7"/>
      <c r="EPO1384" s="7"/>
      <c r="EPP1384" s="7"/>
      <c r="EPQ1384" s="7"/>
      <c r="EPR1384" s="7"/>
      <c r="EPS1384" s="7"/>
      <c r="EPT1384" s="7"/>
      <c r="EPU1384" s="7"/>
      <c r="EPV1384" s="7"/>
      <c r="EPW1384" s="7"/>
      <c r="EPX1384" s="7"/>
      <c r="EPY1384" s="7"/>
      <c r="EPZ1384" s="7"/>
      <c r="EQA1384" s="7"/>
      <c r="EQB1384" s="7"/>
      <c r="EQC1384" s="7"/>
      <c r="EQD1384" s="7"/>
      <c r="EQE1384" s="7"/>
      <c r="EQF1384" s="7"/>
      <c r="EQG1384" s="7"/>
      <c r="EQH1384" s="7"/>
      <c r="EQI1384" s="7"/>
      <c r="EQJ1384" s="7"/>
      <c r="EQK1384" s="7"/>
      <c r="EQL1384" s="7"/>
      <c r="EQM1384" s="7"/>
      <c r="EQN1384" s="7"/>
      <c r="EQO1384" s="7"/>
      <c r="EQP1384" s="7"/>
      <c r="EQQ1384" s="7"/>
      <c r="EQR1384" s="7"/>
      <c r="EQS1384" s="7"/>
      <c r="EQT1384" s="7"/>
      <c r="EQU1384" s="7"/>
      <c r="EQV1384" s="7"/>
      <c r="EQW1384" s="7"/>
      <c r="EQX1384" s="7"/>
      <c r="EQY1384" s="7"/>
      <c r="EQZ1384" s="7"/>
      <c r="ERA1384" s="7"/>
      <c r="ERB1384" s="7"/>
      <c r="ERC1384" s="7"/>
      <c r="ERD1384" s="7"/>
      <c r="ERE1384" s="7"/>
      <c r="ERF1384" s="7"/>
      <c r="ERG1384" s="7"/>
      <c r="ERH1384" s="7"/>
      <c r="ERI1384" s="7"/>
      <c r="ERJ1384" s="7"/>
      <c r="ERK1384" s="7"/>
      <c r="ERL1384" s="7"/>
      <c r="ERM1384" s="7"/>
      <c r="ERN1384" s="7"/>
      <c r="ERO1384" s="7"/>
      <c r="ERP1384" s="7"/>
      <c r="ERQ1384" s="7"/>
      <c r="ERR1384" s="7"/>
      <c r="ERS1384" s="7"/>
      <c r="ERT1384" s="7"/>
      <c r="ERU1384" s="7"/>
      <c r="ERV1384" s="7"/>
      <c r="ERW1384" s="7"/>
      <c r="ERX1384" s="7"/>
      <c r="ERY1384" s="7"/>
      <c r="ERZ1384" s="7"/>
      <c r="ESA1384" s="7"/>
      <c r="ESB1384" s="7"/>
      <c r="ESC1384" s="7"/>
      <c r="ESD1384" s="7"/>
      <c r="ESE1384" s="7"/>
      <c r="ESF1384" s="7"/>
      <c r="ESG1384" s="7"/>
      <c r="ESH1384" s="7"/>
      <c r="ESI1384" s="7"/>
      <c r="ESJ1384" s="7"/>
      <c r="ESK1384" s="7"/>
      <c r="ESL1384" s="7"/>
      <c r="ESM1384" s="7"/>
      <c r="ESN1384" s="7"/>
      <c r="ESO1384" s="7"/>
      <c r="ESP1384" s="7"/>
      <c r="ESQ1384" s="7"/>
      <c r="ESR1384" s="7"/>
      <c r="ESS1384" s="7"/>
      <c r="EST1384" s="7"/>
      <c r="ESU1384" s="7"/>
      <c r="ESV1384" s="7"/>
      <c r="ESW1384" s="7"/>
      <c r="ESX1384" s="7"/>
      <c r="ESY1384" s="7"/>
      <c r="ESZ1384" s="7"/>
      <c r="ETA1384" s="7"/>
      <c r="ETB1384" s="7"/>
      <c r="ETC1384" s="7"/>
      <c r="ETD1384" s="7"/>
      <c r="ETE1384" s="7"/>
      <c r="ETF1384" s="7"/>
      <c r="ETG1384" s="7"/>
      <c r="ETH1384" s="7"/>
      <c r="ETI1384" s="7"/>
      <c r="ETJ1384" s="7"/>
      <c r="ETK1384" s="7"/>
      <c r="ETL1384" s="7"/>
      <c r="ETM1384" s="7"/>
      <c r="ETN1384" s="7"/>
      <c r="ETO1384" s="7"/>
      <c r="ETP1384" s="7"/>
      <c r="ETQ1384" s="7"/>
      <c r="ETR1384" s="7"/>
      <c r="ETS1384" s="7"/>
      <c r="ETT1384" s="7"/>
      <c r="ETU1384" s="7"/>
      <c r="ETV1384" s="7"/>
      <c r="ETW1384" s="7"/>
      <c r="ETX1384" s="7"/>
      <c r="ETY1384" s="7"/>
      <c r="ETZ1384" s="7"/>
      <c r="EUA1384" s="7"/>
      <c r="EUB1384" s="7"/>
      <c r="EUC1384" s="7"/>
      <c r="EUD1384" s="7"/>
      <c r="EUE1384" s="7"/>
      <c r="EUF1384" s="7"/>
      <c r="EUG1384" s="7"/>
      <c r="EUH1384" s="7"/>
      <c r="EUI1384" s="7"/>
      <c r="EUJ1384" s="7"/>
      <c r="EUK1384" s="7"/>
      <c r="EUL1384" s="7"/>
      <c r="EUM1384" s="7"/>
      <c r="EUN1384" s="7"/>
      <c r="EUO1384" s="7"/>
      <c r="EUP1384" s="7"/>
      <c r="EUQ1384" s="7"/>
      <c r="EUR1384" s="7"/>
      <c r="EUS1384" s="7"/>
      <c r="EUT1384" s="7"/>
      <c r="EUU1384" s="7"/>
      <c r="EUV1384" s="7"/>
      <c r="EUW1384" s="7"/>
      <c r="EUX1384" s="7"/>
      <c r="EUY1384" s="7"/>
      <c r="EUZ1384" s="7"/>
      <c r="EVA1384" s="7"/>
      <c r="EVB1384" s="7"/>
      <c r="EVC1384" s="7"/>
      <c r="EVD1384" s="7"/>
      <c r="EVE1384" s="7"/>
      <c r="EVF1384" s="7"/>
      <c r="EVG1384" s="7"/>
      <c r="EVH1384" s="7"/>
      <c r="EVI1384" s="7"/>
      <c r="EVJ1384" s="7"/>
      <c r="EVK1384" s="7"/>
      <c r="EVL1384" s="7"/>
      <c r="EVM1384" s="7"/>
      <c r="EVN1384" s="7"/>
      <c r="EVO1384" s="7"/>
      <c r="EVP1384" s="7"/>
      <c r="EVQ1384" s="7"/>
      <c r="EVR1384" s="7"/>
      <c r="EVS1384" s="7"/>
      <c r="EVT1384" s="7"/>
      <c r="EVU1384" s="7"/>
      <c r="EVV1384" s="7"/>
      <c r="EVW1384" s="7"/>
      <c r="EVX1384" s="7"/>
      <c r="EVY1384" s="7"/>
      <c r="EVZ1384" s="7"/>
      <c r="EWA1384" s="7"/>
      <c r="EWB1384" s="7"/>
      <c r="EWC1384" s="7"/>
      <c r="EWD1384" s="7"/>
      <c r="EWE1384" s="7"/>
      <c r="EWF1384" s="7"/>
      <c r="EWG1384" s="7"/>
      <c r="EWH1384" s="7"/>
      <c r="EWI1384" s="7"/>
      <c r="EWJ1384" s="7"/>
      <c r="EWK1384" s="7"/>
      <c r="EWL1384" s="7"/>
      <c r="EWM1384" s="7"/>
      <c r="EWN1384" s="7"/>
      <c r="EWO1384" s="7"/>
      <c r="EWP1384" s="7"/>
      <c r="EWQ1384" s="7"/>
      <c r="EWR1384" s="7"/>
      <c r="EWS1384" s="7"/>
      <c r="EWT1384" s="7"/>
      <c r="EWU1384" s="7"/>
      <c r="EWV1384" s="7"/>
      <c r="EWW1384" s="7"/>
      <c r="EWX1384" s="7"/>
      <c r="EWY1384" s="7"/>
      <c r="EWZ1384" s="7"/>
      <c r="EXA1384" s="7"/>
      <c r="EXB1384" s="7"/>
      <c r="EXC1384" s="7"/>
      <c r="EXD1384" s="7"/>
      <c r="EXE1384" s="7"/>
      <c r="EXF1384" s="7"/>
      <c r="EXG1384" s="7"/>
      <c r="EXH1384" s="7"/>
      <c r="EXI1384" s="7"/>
      <c r="EXJ1384" s="7"/>
      <c r="EXK1384" s="7"/>
      <c r="EXL1384" s="7"/>
      <c r="EXM1384" s="7"/>
      <c r="EXN1384" s="7"/>
      <c r="EXO1384" s="7"/>
      <c r="EXP1384" s="7"/>
      <c r="EXQ1384" s="7"/>
      <c r="EXR1384" s="7"/>
      <c r="EXS1384" s="7"/>
      <c r="EXT1384" s="7"/>
      <c r="EXU1384" s="7"/>
      <c r="EXV1384" s="7"/>
      <c r="EXW1384" s="7"/>
      <c r="EXX1384" s="7"/>
      <c r="EXY1384" s="7"/>
      <c r="EXZ1384" s="7"/>
      <c r="EYA1384" s="7"/>
      <c r="EYB1384" s="7"/>
      <c r="EYC1384" s="7"/>
      <c r="EYD1384" s="7"/>
      <c r="EYE1384" s="7"/>
      <c r="EYF1384" s="7"/>
      <c r="EYG1384" s="7"/>
      <c r="EYH1384" s="7"/>
      <c r="EYI1384" s="7"/>
      <c r="EYJ1384" s="7"/>
      <c r="EYK1384" s="7"/>
      <c r="EYL1384" s="7"/>
      <c r="EYM1384" s="7"/>
      <c r="EYN1384" s="7"/>
      <c r="EYO1384" s="7"/>
      <c r="EYP1384" s="7"/>
      <c r="EYQ1384" s="7"/>
      <c r="EYR1384" s="7"/>
      <c r="EYS1384" s="7"/>
      <c r="EYT1384" s="7"/>
      <c r="EYU1384" s="7"/>
      <c r="EYV1384" s="7"/>
      <c r="EYW1384" s="7"/>
      <c r="EYX1384" s="7"/>
      <c r="EYY1384" s="7"/>
      <c r="EYZ1384" s="7"/>
      <c r="EZA1384" s="7"/>
      <c r="EZB1384" s="7"/>
      <c r="EZC1384" s="7"/>
      <c r="EZD1384" s="7"/>
      <c r="EZE1384" s="7"/>
      <c r="EZF1384" s="7"/>
      <c r="EZG1384" s="7"/>
      <c r="EZH1384" s="7"/>
      <c r="EZI1384" s="7"/>
      <c r="EZJ1384" s="7"/>
      <c r="EZK1384" s="7"/>
      <c r="EZL1384" s="7"/>
      <c r="EZM1384" s="7"/>
      <c r="EZN1384" s="7"/>
      <c r="EZO1384" s="7"/>
      <c r="EZP1384" s="7"/>
      <c r="EZQ1384" s="7"/>
      <c r="EZR1384" s="7"/>
      <c r="EZS1384" s="7"/>
      <c r="EZT1384" s="7"/>
      <c r="EZU1384" s="7"/>
      <c r="EZV1384" s="7"/>
      <c r="EZW1384" s="7"/>
      <c r="EZX1384" s="7"/>
      <c r="EZY1384" s="7"/>
      <c r="EZZ1384" s="7"/>
      <c r="FAA1384" s="7"/>
      <c r="FAB1384" s="7"/>
      <c r="FAC1384" s="7"/>
      <c r="FAD1384" s="7"/>
      <c r="FAE1384" s="7"/>
      <c r="FAF1384" s="7"/>
      <c r="FAG1384" s="7"/>
      <c r="FAH1384" s="7"/>
      <c r="FAI1384" s="7"/>
      <c r="FAJ1384" s="7"/>
      <c r="FAK1384" s="7"/>
      <c r="FAL1384" s="7"/>
      <c r="FAM1384" s="7"/>
      <c r="FAN1384" s="7"/>
      <c r="FAO1384" s="7"/>
      <c r="FAP1384" s="7"/>
      <c r="FAQ1384" s="7"/>
      <c r="FAR1384" s="7"/>
      <c r="FAS1384" s="7"/>
      <c r="FAT1384" s="7"/>
      <c r="FAU1384" s="7"/>
      <c r="FAV1384" s="7"/>
      <c r="FAW1384" s="7"/>
      <c r="FAX1384" s="7"/>
      <c r="FAY1384" s="7"/>
      <c r="FAZ1384" s="7"/>
      <c r="FBA1384" s="7"/>
      <c r="FBB1384" s="7"/>
      <c r="FBC1384" s="7"/>
      <c r="FBD1384" s="7"/>
      <c r="FBE1384" s="7"/>
      <c r="FBF1384" s="7"/>
      <c r="FBG1384" s="7"/>
      <c r="FBH1384" s="7"/>
      <c r="FBI1384" s="7"/>
      <c r="FBJ1384" s="7"/>
      <c r="FBK1384" s="7"/>
      <c r="FBL1384" s="7"/>
      <c r="FBM1384" s="7"/>
      <c r="FBN1384" s="7"/>
      <c r="FBO1384" s="7"/>
      <c r="FBP1384" s="7"/>
      <c r="FBQ1384" s="7"/>
      <c r="FBR1384" s="7"/>
      <c r="FBS1384" s="7"/>
      <c r="FBT1384" s="7"/>
      <c r="FBU1384" s="7"/>
      <c r="FBV1384" s="7"/>
      <c r="FBW1384" s="7"/>
      <c r="FBX1384" s="7"/>
      <c r="FBY1384" s="7"/>
      <c r="FBZ1384" s="7"/>
      <c r="FCA1384" s="7"/>
      <c r="FCB1384" s="7"/>
      <c r="FCC1384" s="7"/>
      <c r="FCD1384" s="7"/>
      <c r="FCE1384" s="7"/>
      <c r="FCF1384" s="7"/>
      <c r="FCG1384" s="7"/>
      <c r="FCH1384" s="7"/>
      <c r="FCI1384" s="7"/>
      <c r="FCJ1384" s="7"/>
      <c r="FCK1384" s="7"/>
      <c r="FCL1384" s="7"/>
      <c r="FCM1384" s="7"/>
      <c r="FCN1384" s="7"/>
      <c r="FCO1384" s="7"/>
      <c r="FCP1384" s="7"/>
      <c r="FCQ1384" s="7"/>
      <c r="FCR1384" s="7"/>
      <c r="FCS1384" s="7"/>
      <c r="FCT1384" s="7"/>
      <c r="FCU1384" s="7"/>
      <c r="FCV1384" s="7"/>
      <c r="FCW1384" s="7"/>
      <c r="FCX1384" s="7"/>
      <c r="FCY1384" s="7"/>
      <c r="FCZ1384" s="7"/>
      <c r="FDA1384" s="7"/>
      <c r="FDB1384" s="7"/>
      <c r="FDC1384" s="7"/>
      <c r="FDD1384" s="7"/>
      <c r="FDE1384" s="7"/>
      <c r="FDF1384" s="7"/>
      <c r="FDG1384" s="7"/>
      <c r="FDH1384" s="7"/>
      <c r="FDI1384" s="7"/>
      <c r="FDJ1384" s="7"/>
      <c r="FDK1384" s="7"/>
      <c r="FDL1384" s="7"/>
      <c r="FDM1384" s="7"/>
      <c r="FDN1384" s="7"/>
      <c r="FDO1384" s="7"/>
      <c r="FDP1384" s="7"/>
      <c r="FDQ1384" s="7"/>
      <c r="FDR1384" s="7"/>
      <c r="FDS1384" s="7"/>
      <c r="FDT1384" s="7"/>
      <c r="FDU1384" s="7"/>
      <c r="FDV1384" s="7"/>
      <c r="FDW1384" s="7"/>
      <c r="FDX1384" s="7"/>
      <c r="FDY1384" s="7"/>
      <c r="FDZ1384" s="7"/>
      <c r="FEA1384" s="7"/>
      <c r="FEB1384" s="7"/>
      <c r="FEC1384" s="7"/>
      <c r="FED1384" s="7"/>
      <c r="FEE1384" s="7"/>
      <c r="FEF1384" s="7"/>
      <c r="FEG1384" s="7"/>
      <c r="FEH1384" s="7"/>
      <c r="FEI1384" s="7"/>
      <c r="FEJ1384" s="7"/>
      <c r="FEK1384" s="7"/>
      <c r="FEL1384" s="7"/>
      <c r="FEM1384" s="7"/>
      <c r="FEN1384" s="7"/>
      <c r="FEO1384" s="7"/>
      <c r="FEP1384" s="7"/>
      <c r="FEQ1384" s="7"/>
      <c r="FER1384" s="7"/>
      <c r="FES1384" s="7"/>
      <c r="FET1384" s="7"/>
      <c r="FEU1384" s="7"/>
      <c r="FEV1384" s="7"/>
      <c r="FEW1384" s="7"/>
      <c r="FEX1384" s="7"/>
      <c r="FEY1384" s="7"/>
      <c r="FEZ1384" s="7"/>
      <c r="FFA1384" s="7"/>
      <c r="FFB1384" s="7"/>
      <c r="FFC1384" s="7"/>
      <c r="FFD1384" s="7"/>
      <c r="FFE1384" s="7"/>
      <c r="FFF1384" s="7"/>
      <c r="FFG1384" s="7"/>
      <c r="FFH1384" s="7"/>
      <c r="FFI1384" s="7"/>
      <c r="FFJ1384" s="7"/>
      <c r="FFK1384" s="7"/>
      <c r="FFL1384" s="7"/>
      <c r="FFM1384" s="7"/>
      <c r="FFN1384" s="7"/>
      <c r="FFO1384" s="7"/>
      <c r="FFP1384" s="7"/>
      <c r="FFQ1384" s="7"/>
      <c r="FFR1384" s="7"/>
      <c r="FFS1384" s="7"/>
      <c r="FFT1384" s="7"/>
      <c r="FFU1384" s="7"/>
      <c r="FFV1384" s="7"/>
      <c r="FFW1384" s="7"/>
      <c r="FFX1384" s="7"/>
      <c r="FFY1384" s="7"/>
      <c r="FFZ1384" s="7"/>
      <c r="FGA1384" s="7"/>
      <c r="FGB1384" s="7"/>
      <c r="FGC1384" s="7"/>
      <c r="FGD1384" s="7"/>
      <c r="FGE1384" s="7"/>
      <c r="FGF1384" s="7"/>
      <c r="FGG1384" s="7"/>
      <c r="FGH1384" s="7"/>
      <c r="FGI1384" s="7"/>
      <c r="FGJ1384" s="7"/>
      <c r="FGK1384" s="7"/>
      <c r="FGL1384" s="7"/>
      <c r="FGM1384" s="7"/>
      <c r="FGN1384" s="7"/>
      <c r="FGO1384" s="7"/>
      <c r="FGP1384" s="7"/>
      <c r="FGQ1384" s="7"/>
      <c r="FGR1384" s="7"/>
      <c r="FGS1384" s="7"/>
      <c r="FGT1384" s="7"/>
      <c r="FGU1384" s="7"/>
      <c r="FGV1384" s="7"/>
      <c r="FGW1384" s="7"/>
      <c r="FGX1384" s="7"/>
      <c r="FGY1384" s="7"/>
      <c r="FGZ1384" s="7"/>
      <c r="FHA1384" s="7"/>
      <c r="FHB1384" s="7"/>
      <c r="FHC1384" s="7"/>
      <c r="FHD1384" s="7"/>
      <c r="FHE1384" s="7"/>
      <c r="FHF1384" s="7"/>
      <c r="FHG1384" s="7"/>
      <c r="FHH1384" s="7"/>
      <c r="FHI1384" s="7"/>
      <c r="FHJ1384" s="7"/>
      <c r="FHK1384" s="7"/>
      <c r="FHL1384" s="7"/>
      <c r="FHM1384" s="7"/>
      <c r="FHN1384" s="7"/>
      <c r="FHO1384" s="7"/>
      <c r="FHP1384" s="7"/>
      <c r="FHQ1384" s="7"/>
      <c r="FHR1384" s="7"/>
      <c r="FHS1384" s="7"/>
      <c r="FHT1384" s="7"/>
      <c r="FHU1384" s="7"/>
      <c r="FHV1384" s="7"/>
      <c r="FHW1384" s="7"/>
      <c r="FHX1384" s="7"/>
      <c r="FHY1384" s="7"/>
      <c r="FHZ1384" s="7"/>
      <c r="FIA1384" s="7"/>
      <c r="FIB1384" s="7"/>
      <c r="FIC1384" s="7"/>
      <c r="FID1384" s="7"/>
      <c r="FIE1384" s="7"/>
      <c r="FIF1384" s="7"/>
      <c r="FIG1384" s="7"/>
      <c r="FIH1384" s="7"/>
      <c r="FII1384" s="7"/>
      <c r="FIJ1384" s="7"/>
      <c r="FIK1384" s="7"/>
      <c r="FIL1384" s="7"/>
      <c r="FIM1384" s="7"/>
      <c r="FIN1384" s="7"/>
      <c r="FIO1384" s="7"/>
      <c r="FIP1384" s="7"/>
      <c r="FIQ1384" s="7"/>
      <c r="FIR1384" s="7"/>
      <c r="FIS1384" s="7"/>
      <c r="FIT1384" s="7"/>
      <c r="FIU1384" s="7"/>
      <c r="FIV1384" s="7"/>
      <c r="FIW1384" s="7"/>
      <c r="FIX1384" s="7"/>
      <c r="FIY1384" s="7"/>
      <c r="FIZ1384" s="7"/>
      <c r="FJA1384" s="7"/>
      <c r="FJB1384" s="7"/>
      <c r="FJC1384" s="7"/>
      <c r="FJD1384" s="7"/>
      <c r="FJE1384" s="7"/>
      <c r="FJF1384" s="7"/>
      <c r="FJG1384" s="7"/>
      <c r="FJH1384" s="7"/>
      <c r="FJI1384" s="7"/>
      <c r="FJJ1384" s="7"/>
      <c r="FJK1384" s="7"/>
      <c r="FJL1384" s="7"/>
      <c r="FJM1384" s="7"/>
      <c r="FJN1384" s="7"/>
      <c r="FJO1384" s="7"/>
      <c r="FJP1384" s="7"/>
      <c r="FJQ1384" s="7"/>
      <c r="FJR1384" s="7"/>
      <c r="FJS1384" s="7"/>
      <c r="FJT1384" s="7"/>
      <c r="FJU1384" s="7"/>
      <c r="FJV1384" s="7"/>
      <c r="FJW1384" s="7"/>
      <c r="FJX1384" s="7"/>
      <c r="FJY1384" s="7"/>
      <c r="FJZ1384" s="7"/>
      <c r="FKA1384" s="7"/>
      <c r="FKB1384" s="7"/>
      <c r="FKC1384" s="7"/>
      <c r="FKD1384" s="7"/>
      <c r="FKE1384" s="7"/>
      <c r="FKF1384" s="7"/>
      <c r="FKG1384" s="7"/>
      <c r="FKH1384" s="7"/>
      <c r="FKI1384" s="7"/>
      <c r="FKJ1384" s="7"/>
      <c r="FKK1384" s="7"/>
      <c r="FKL1384" s="7"/>
      <c r="FKM1384" s="7"/>
      <c r="FKN1384" s="7"/>
      <c r="FKO1384" s="7"/>
      <c r="FKP1384" s="7"/>
      <c r="FKQ1384" s="7"/>
      <c r="FKR1384" s="7"/>
      <c r="FKS1384" s="7"/>
      <c r="FKT1384" s="7"/>
      <c r="FKU1384" s="7"/>
      <c r="FKV1384" s="7"/>
      <c r="FKW1384" s="7"/>
      <c r="FKX1384" s="7"/>
      <c r="FKY1384" s="7"/>
      <c r="FKZ1384" s="7"/>
      <c r="FLA1384" s="7"/>
      <c r="FLB1384" s="7"/>
      <c r="FLC1384" s="7"/>
      <c r="FLD1384" s="7"/>
      <c r="FLE1384" s="7"/>
      <c r="FLF1384" s="7"/>
      <c r="FLG1384" s="7"/>
      <c r="FLH1384" s="7"/>
      <c r="FLI1384" s="7"/>
      <c r="FLJ1384" s="7"/>
      <c r="FLK1384" s="7"/>
      <c r="FLL1384" s="7"/>
      <c r="FLM1384" s="7"/>
      <c r="FLN1384" s="7"/>
      <c r="FLO1384" s="7"/>
      <c r="FLP1384" s="7"/>
      <c r="FLQ1384" s="7"/>
      <c r="FLR1384" s="7"/>
      <c r="FLS1384" s="7"/>
      <c r="FLT1384" s="7"/>
      <c r="FLU1384" s="7"/>
      <c r="FLV1384" s="7"/>
      <c r="FLW1384" s="7"/>
      <c r="FLX1384" s="7"/>
      <c r="FLY1384" s="7"/>
      <c r="FLZ1384" s="7"/>
      <c r="FMA1384" s="7"/>
      <c r="FMB1384" s="7"/>
      <c r="FMC1384" s="7"/>
      <c r="FMD1384" s="7"/>
      <c r="FME1384" s="7"/>
      <c r="FMF1384" s="7"/>
      <c r="FMG1384" s="7"/>
      <c r="FMH1384" s="7"/>
      <c r="FMI1384" s="7"/>
      <c r="FMJ1384" s="7"/>
      <c r="FMK1384" s="7"/>
      <c r="FML1384" s="7"/>
      <c r="FMM1384" s="7"/>
      <c r="FMN1384" s="7"/>
      <c r="FMO1384" s="7"/>
      <c r="FMP1384" s="7"/>
      <c r="FMQ1384" s="7"/>
      <c r="FMR1384" s="7"/>
      <c r="FMS1384" s="7"/>
      <c r="FMT1384" s="7"/>
      <c r="FMU1384" s="7"/>
      <c r="FMV1384" s="7"/>
      <c r="FMW1384" s="7"/>
      <c r="FMX1384" s="7"/>
      <c r="FMY1384" s="7"/>
      <c r="FMZ1384" s="7"/>
      <c r="FNA1384" s="7"/>
      <c r="FNB1384" s="7"/>
      <c r="FNC1384" s="7"/>
      <c r="FND1384" s="7"/>
      <c r="FNE1384" s="7"/>
      <c r="FNF1384" s="7"/>
      <c r="FNG1384" s="7"/>
      <c r="FNH1384" s="7"/>
      <c r="FNI1384" s="7"/>
      <c r="FNJ1384" s="7"/>
      <c r="FNK1384" s="7"/>
      <c r="FNL1384" s="7"/>
      <c r="FNM1384" s="7"/>
      <c r="FNN1384" s="7"/>
      <c r="FNO1384" s="7"/>
      <c r="FNP1384" s="7"/>
      <c r="FNQ1384" s="7"/>
      <c r="FNR1384" s="7"/>
      <c r="FNS1384" s="7"/>
      <c r="FNT1384" s="7"/>
      <c r="FNU1384" s="7"/>
      <c r="FNV1384" s="7"/>
      <c r="FNW1384" s="7"/>
      <c r="FNX1384" s="7"/>
      <c r="FNY1384" s="7"/>
      <c r="FNZ1384" s="7"/>
      <c r="FOA1384" s="7"/>
      <c r="FOB1384" s="7"/>
      <c r="FOC1384" s="7"/>
      <c r="FOD1384" s="7"/>
      <c r="FOE1384" s="7"/>
      <c r="FOF1384" s="7"/>
      <c r="FOG1384" s="7"/>
      <c r="FOH1384" s="7"/>
      <c r="FOI1384" s="7"/>
      <c r="FOJ1384" s="7"/>
      <c r="FOK1384" s="7"/>
      <c r="FOL1384" s="7"/>
      <c r="FOM1384" s="7"/>
      <c r="FON1384" s="7"/>
      <c r="FOO1384" s="7"/>
      <c r="FOP1384" s="7"/>
      <c r="FOQ1384" s="7"/>
      <c r="FOR1384" s="7"/>
      <c r="FOS1384" s="7"/>
      <c r="FOT1384" s="7"/>
      <c r="FOU1384" s="7"/>
      <c r="FOV1384" s="7"/>
      <c r="FOW1384" s="7"/>
      <c r="FOX1384" s="7"/>
      <c r="FOY1384" s="7"/>
      <c r="FOZ1384" s="7"/>
      <c r="FPA1384" s="7"/>
      <c r="FPB1384" s="7"/>
      <c r="FPC1384" s="7"/>
      <c r="FPD1384" s="7"/>
      <c r="FPE1384" s="7"/>
      <c r="FPF1384" s="7"/>
      <c r="FPG1384" s="7"/>
      <c r="FPH1384" s="7"/>
      <c r="FPI1384" s="7"/>
      <c r="FPJ1384" s="7"/>
      <c r="FPK1384" s="7"/>
      <c r="FPL1384" s="7"/>
      <c r="FPM1384" s="7"/>
      <c r="FPN1384" s="7"/>
      <c r="FPO1384" s="7"/>
      <c r="FPP1384" s="7"/>
      <c r="FPQ1384" s="7"/>
      <c r="FPR1384" s="7"/>
      <c r="FPS1384" s="7"/>
      <c r="FPT1384" s="7"/>
      <c r="FPU1384" s="7"/>
      <c r="FPV1384" s="7"/>
      <c r="FPW1384" s="7"/>
      <c r="FPX1384" s="7"/>
      <c r="FPY1384" s="7"/>
      <c r="FPZ1384" s="7"/>
      <c r="FQA1384" s="7"/>
      <c r="FQB1384" s="7"/>
      <c r="FQC1384" s="7"/>
      <c r="FQD1384" s="7"/>
      <c r="FQE1384" s="7"/>
      <c r="FQF1384" s="7"/>
      <c r="FQG1384" s="7"/>
      <c r="FQH1384" s="7"/>
      <c r="FQI1384" s="7"/>
      <c r="FQJ1384" s="7"/>
      <c r="FQK1384" s="7"/>
      <c r="FQL1384" s="7"/>
      <c r="FQM1384" s="7"/>
      <c r="FQN1384" s="7"/>
      <c r="FQO1384" s="7"/>
      <c r="FQP1384" s="7"/>
      <c r="FQQ1384" s="7"/>
      <c r="FQR1384" s="7"/>
      <c r="FQS1384" s="7"/>
      <c r="FQT1384" s="7"/>
      <c r="FQU1384" s="7"/>
      <c r="FQV1384" s="7"/>
      <c r="FQW1384" s="7"/>
      <c r="FQX1384" s="7"/>
      <c r="FQY1384" s="7"/>
      <c r="FQZ1384" s="7"/>
      <c r="FRA1384" s="7"/>
      <c r="FRB1384" s="7"/>
      <c r="FRC1384" s="7"/>
      <c r="FRD1384" s="7"/>
      <c r="FRE1384" s="7"/>
      <c r="FRF1384" s="7"/>
      <c r="FRG1384" s="7"/>
      <c r="FRH1384" s="7"/>
      <c r="FRI1384" s="7"/>
      <c r="FRJ1384" s="7"/>
      <c r="FRK1384" s="7"/>
      <c r="FRL1384" s="7"/>
      <c r="FRM1384" s="7"/>
      <c r="FRN1384" s="7"/>
      <c r="FRO1384" s="7"/>
      <c r="FRP1384" s="7"/>
      <c r="FRQ1384" s="7"/>
      <c r="FRR1384" s="7"/>
      <c r="FRS1384" s="7"/>
      <c r="FRT1384" s="7"/>
      <c r="FRU1384" s="7"/>
      <c r="FRV1384" s="7"/>
      <c r="FRW1384" s="7"/>
      <c r="FRX1384" s="7"/>
      <c r="FRY1384" s="7"/>
      <c r="FRZ1384" s="7"/>
      <c r="FSA1384" s="7"/>
      <c r="FSB1384" s="7"/>
      <c r="FSC1384" s="7"/>
      <c r="FSD1384" s="7"/>
      <c r="FSE1384" s="7"/>
      <c r="FSF1384" s="7"/>
      <c r="FSG1384" s="7"/>
      <c r="FSH1384" s="7"/>
      <c r="FSI1384" s="7"/>
      <c r="FSJ1384" s="7"/>
      <c r="FSK1384" s="7"/>
      <c r="FSL1384" s="7"/>
      <c r="FSM1384" s="7"/>
      <c r="FSN1384" s="7"/>
      <c r="FSO1384" s="7"/>
      <c r="FSP1384" s="7"/>
      <c r="FSQ1384" s="7"/>
      <c r="FSR1384" s="7"/>
      <c r="FSS1384" s="7"/>
      <c r="FST1384" s="7"/>
      <c r="FSU1384" s="7"/>
      <c r="FSV1384" s="7"/>
      <c r="FSW1384" s="7"/>
      <c r="FSX1384" s="7"/>
      <c r="FSY1384" s="7"/>
      <c r="FSZ1384" s="7"/>
      <c r="FTA1384" s="7"/>
      <c r="FTB1384" s="7"/>
      <c r="FTC1384" s="7"/>
      <c r="FTD1384" s="7"/>
      <c r="FTE1384" s="7"/>
      <c r="FTF1384" s="7"/>
      <c r="FTG1384" s="7"/>
      <c r="FTH1384" s="7"/>
      <c r="FTI1384" s="7"/>
      <c r="FTJ1384" s="7"/>
      <c r="FTK1384" s="7"/>
      <c r="FTL1384" s="7"/>
      <c r="FTM1384" s="7"/>
      <c r="FTN1384" s="7"/>
      <c r="FTO1384" s="7"/>
      <c r="FTP1384" s="7"/>
      <c r="FTQ1384" s="7"/>
      <c r="FTR1384" s="7"/>
      <c r="FTS1384" s="7"/>
      <c r="FTT1384" s="7"/>
      <c r="FTU1384" s="7"/>
      <c r="FTV1384" s="7"/>
      <c r="FTW1384" s="7"/>
      <c r="FTX1384" s="7"/>
      <c r="FTY1384" s="7"/>
      <c r="FTZ1384" s="7"/>
      <c r="FUA1384" s="7"/>
      <c r="FUB1384" s="7"/>
      <c r="FUC1384" s="7"/>
      <c r="FUD1384" s="7"/>
      <c r="FUE1384" s="7"/>
      <c r="FUF1384" s="7"/>
      <c r="FUG1384" s="7"/>
      <c r="FUH1384" s="7"/>
      <c r="FUI1384" s="7"/>
      <c r="FUJ1384" s="7"/>
      <c r="FUK1384" s="7"/>
      <c r="FUL1384" s="7"/>
      <c r="FUM1384" s="7"/>
      <c r="FUN1384" s="7"/>
      <c r="FUO1384" s="7"/>
      <c r="FUP1384" s="7"/>
      <c r="FUQ1384" s="7"/>
      <c r="FUR1384" s="7"/>
      <c r="FUS1384" s="7"/>
      <c r="FUT1384" s="7"/>
      <c r="FUU1384" s="7"/>
      <c r="FUV1384" s="7"/>
      <c r="FUW1384" s="7"/>
      <c r="FUX1384" s="7"/>
      <c r="FUY1384" s="7"/>
      <c r="FUZ1384" s="7"/>
      <c r="FVA1384" s="7"/>
      <c r="FVB1384" s="7"/>
      <c r="FVC1384" s="7"/>
      <c r="FVD1384" s="7"/>
      <c r="FVE1384" s="7"/>
      <c r="FVF1384" s="7"/>
      <c r="FVG1384" s="7"/>
      <c r="FVH1384" s="7"/>
      <c r="FVI1384" s="7"/>
      <c r="FVJ1384" s="7"/>
      <c r="FVK1384" s="7"/>
      <c r="FVL1384" s="7"/>
      <c r="FVM1384" s="7"/>
      <c r="FVN1384" s="7"/>
      <c r="FVO1384" s="7"/>
      <c r="FVP1384" s="7"/>
      <c r="FVQ1384" s="7"/>
      <c r="FVR1384" s="7"/>
      <c r="FVS1384" s="7"/>
      <c r="FVT1384" s="7"/>
      <c r="FVU1384" s="7"/>
      <c r="FVV1384" s="7"/>
      <c r="FVW1384" s="7"/>
      <c r="FVX1384" s="7"/>
      <c r="FVY1384" s="7"/>
      <c r="FVZ1384" s="7"/>
      <c r="FWA1384" s="7"/>
      <c r="FWB1384" s="7"/>
      <c r="FWC1384" s="7"/>
      <c r="FWD1384" s="7"/>
      <c r="FWE1384" s="7"/>
      <c r="FWF1384" s="7"/>
      <c r="FWG1384" s="7"/>
      <c r="FWH1384" s="7"/>
      <c r="FWI1384" s="7"/>
      <c r="FWJ1384" s="7"/>
      <c r="FWK1384" s="7"/>
      <c r="FWL1384" s="7"/>
      <c r="FWM1384" s="7"/>
      <c r="FWN1384" s="7"/>
      <c r="FWO1384" s="7"/>
      <c r="FWP1384" s="7"/>
      <c r="FWQ1384" s="7"/>
      <c r="FWR1384" s="7"/>
      <c r="FWS1384" s="7"/>
      <c r="FWT1384" s="7"/>
      <c r="FWU1384" s="7"/>
      <c r="FWV1384" s="7"/>
      <c r="FWW1384" s="7"/>
      <c r="FWX1384" s="7"/>
      <c r="FWY1384" s="7"/>
      <c r="FWZ1384" s="7"/>
      <c r="FXA1384" s="7"/>
      <c r="FXB1384" s="7"/>
      <c r="FXC1384" s="7"/>
      <c r="FXD1384" s="7"/>
      <c r="FXE1384" s="7"/>
      <c r="FXF1384" s="7"/>
      <c r="FXG1384" s="7"/>
      <c r="FXH1384" s="7"/>
      <c r="FXI1384" s="7"/>
      <c r="FXJ1384" s="7"/>
      <c r="FXK1384" s="7"/>
      <c r="FXL1384" s="7"/>
      <c r="FXM1384" s="7"/>
      <c r="FXN1384" s="7"/>
      <c r="FXO1384" s="7"/>
      <c r="FXP1384" s="7"/>
      <c r="FXQ1384" s="7"/>
      <c r="FXR1384" s="7"/>
      <c r="FXS1384" s="7"/>
      <c r="FXT1384" s="7"/>
      <c r="FXU1384" s="7"/>
      <c r="FXV1384" s="7"/>
      <c r="FXW1384" s="7"/>
      <c r="FXX1384" s="7"/>
      <c r="FXY1384" s="7"/>
      <c r="FXZ1384" s="7"/>
      <c r="FYA1384" s="7"/>
      <c r="FYB1384" s="7"/>
      <c r="FYC1384" s="7"/>
      <c r="FYD1384" s="7"/>
      <c r="FYE1384" s="7"/>
      <c r="FYF1384" s="7"/>
      <c r="FYG1384" s="7"/>
      <c r="FYH1384" s="7"/>
      <c r="FYI1384" s="7"/>
      <c r="FYJ1384" s="7"/>
      <c r="FYK1384" s="7"/>
      <c r="FYL1384" s="7"/>
      <c r="FYM1384" s="7"/>
      <c r="FYN1384" s="7"/>
      <c r="FYO1384" s="7"/>
      <c r="FYP1384" s="7"/>
      <c r="FYQ1384" s="7"/>
      <c r="FYR1384" s="7"/>
      <c r="FYS1384" s="7"/>
      <c r="FYT1384" s="7"/>
      <c r="FYU1384" s="7"/>
      <c r="FYV1384" s="7"/>
      <c r="FYW1384" s="7"/>
      <c r="FYX1384" s="7"/>
      <c r="FYY1384" s="7"/>
      <c r="FYZ1384" s="7"/>
      <c r="FZA1384" s="7"/>
      <c r="FZB1384" s="7"/>
      <c r="FZC1384" s="7"/>
      <c r="FZD1384" s="7"/>
      <c r="FZE1384" s="7"/>
      <c r="FZF1384" s="7"/>
      <c r="FZG1384" s="7"/>
      <c r="FZH1384" s="7"/>
      <c r="FZI1384" s="7"/>
      <c r="FZJ1384" s="7"/>
      <c r="FZK1384" s="7"/>
      <c r="FZL1384" s="7"/>
      <c r="FZM1384" s="7"/>
      <c r="FZN1384" s="7"/>
      <c r="FZO1384" s="7"/>
      <c r="FZP1384" s="7"/>
      <c r="FZQ1384" s="7"/>
      <c r="FZR1384" s="7"/>
      <c r="FZS1384" s="7"/>
      <c r="FZT1384" s="7"/>
      <c r="FZU1384" s="7"/>
      <c r="FZV1384" s="7"/>
      <c r="FZW1384" s="7"/>
      <c r="FZX1384" s="7"/>
      <c r="FZY1384" s="7"/>
      <c r="FZZ1384" s="7"/>
      <c r="GAA1384" s="7"/>
      <c r="GAB1384" s="7"/>
      <c r="GAC1384" s="7"/>
      <c r="GAD1384" s="7"/>
      <c r="GAE1384" s="7"/>
      <c r="GAF1384" s="7"/>
      <c r="GAG1384" s="7"/>
      <c r="GAH1384" s="7"/>
      <c r="GAI1384" s="7"/>
      <c r="GAJ1384" s="7"/>
      <c r="GAK1384" s="7"/>
      <c r="GAL1384" s="7"/>
      <c r="GAM1384" s="7"/>
      <c r="GAN1384" s="7"/>
      <c r="GAO1384" s="7"/>
      <c r="GAP1384" s="7"/>
      <c r="GAQ1384" s="7"/>
      <c r="GAR1384" s="7"/>
      <c r="GAS1384" s="7"/>
      <c r="GAT1384" s="7"/>
      <c r="GAU1384" s="7"/>
      <c r="GAV1384" s="7"/>
      <c r="GAW1384" s="7"/>
      <c r="GAX1384" s="7"/>
      <c r="GAY1384" s="7"/>
      <c r="GAZ1384" s="7"/>
      <c r="GBA1384" s="7"/>
      <c r="GBB1384" s="7"/>
      <c r="GBC1384" s="7"/>
      <c r="GBD1384" s="7"/>
      <c r="GBE1384" s="7"/>
      <c r="GBF1384" s="7"/>
      <c r="GBG1384" s="7"/>
      <c r="GBH1384" s="7"/>
      <c r="GBI1384" s="7"/>
      <c r="GBJ1384" s="7"/>
      <c r="GBK1384" s="7"/>
      <c r="GBL1384" s="7"/>
      <c r="GBM1384" s="7"/>
      <c r="GBN1384" s="7"/>
      <c r="GBO1384" s="7"/>
      <c r="GBP1384" s="7"/>
      <c r="GBQ1384" s="7"/>
      <c r="GBR1384" s="7"/>
      <c r="GBS1384" s="7"/>
      <c r="GBT1384" s="7"/>
      <c r="GBU1384" s="7"/>
      <c r="GBV1384" s="7"/>
      <c r="GBW1384" s="7"/>
      <c r="GBX1384" s="7"/>
      <c r="GBY1384" s="7"/>
      <c r="GBZ1384" s="7"/>
      <c r="GCA1384" s="7"/>
      <c r="GCB1384" s="7"/>
      <c r="GCC1384" s="7"/>
      <c r="GCD1384" s="7"/>
      <c r="GCE1384" s="7"/>
      <c r="GCF1384" s="7"/>
      <c r="GCG1384" s="7"/>
      <c r="GCH1384" s="7"/>
      <c r="GCI1384" s="7"/>
      <c r="GCJ1384" s="7"/>
      <c r="GCK1384" s="7"/>
      <c r="GCL1384" s="7"/>
      <c r="GCM1384" s="7"/>
      <c r="GCN1384" s="7"/>
      <c r="GCO1384" s="7"/>
      <c r="GCP1384" s="7"/>
      <c r="GCQ1384" s="7"/>
      <c r="GCR1384" s="7"/>
      <c r="GCS1384" s="7"/>
      <c r="GCT1384" s="7"/>
      <c r="GCU1384" s="7"/>
      <c r="GCV1384" s="7"/>
      <c r="GCW1384" s="7"/>
      <c r="GCX1384" s="7"/>
      <c r="GCY1384" s="7"/>
      <c r="GCZ1384" s="7"/>
      <c r="GDA1384" s="7"/>
      <c r="GDB1384" s="7"/>
      <c r="GDC1384" s="7"/>
      <c r="GDD1384" s="7"/>
      <c r="GDE1384" s="7"/>
      <c r="GDF1384" s="7"/>
      <c r="GDG1384" s="7"/>
      <c r="GDH1384" s="7"/>
      <c r="GDI1384" s="7"/>
      <c r="GDJ1384" s="7"/>
      <c r="GDK1384" s="7"/>
      <c r="GDL1384" s="7"/>
      <c r="GDM1384" s="7"/>
      <c r="GDN1384" s="7"/>
      <c r="GDO1384" s="7"/>
      <c r="GDP1384" s="7"/>
      <c r="GDQ1384" s="7"/>
      <c r="GDR1384" s="7"/>
      <c r="GDS1384" s="7"/>
      <c r="GDT1384" s="7"/>
      <c r="GDU1384" s="7"/>
      <c r="GDV1384" s="7"/>
      <c r="GDW1384" s="7"/>
      <c r="GDX1384" s="7"/>
      <c r="GDY1384" s="7"/>
      <c r="GDZ1384" s="7"/>
      <c r="GEA1384" s="7"/>
      <c r="GEB1384" s="7"/>
      <c r="GEC1384" s="7"/>
      <c r="GED1384" s="7"/>
      <c r="GEE1384" s="7"/>
      <c r="GEF1384" s="7"/>
      <c r="GEG1384" s="7"/>
      <c r="GEH1384" s="7"/>
      <c r="GEI1384" s="7"/>
      <c r="GEJ1384" s="7"/>
      <c r="GEK1384" s="7"/>
      <c r="GEL1384" s="7"/>
      <c r="GEM1384" s="7"/>
      <c r="GEN1384" s="7"/>
      <c r="GEO1384" s="7"/>
      <c r="GEP1384" s="7"/>
      <c r="GEQ1384" s="7"/>
      <c r="GER1384" s="7"/>
      <c r="GES1384" s="7"/>
      <c r="GET1384" s="7"/>
      <c r="GEU1384" s="7"/>
      <c r="GEV1384" s="7"/>
      <c r="GEW1384" s="7"/>
      <c r="GEX1384" s="7"/>
      <c r="GEY1384" s="7"/>
      <c r="GEZ1384" s="7"/>
      <c r="GFA1384" s="7"/>
      <c r="GFB1384" s="7"/>
      <c r="GFC1384" s="7"/>
      <c r="GFD1384" s="7"/>
      <c r="GFE1384" s="7"/>
      <c r="GFF1384" s="7"/>
      <c r="GFG1384" s="7"/>
      <c r="GFH1384" s="7"/>
      <c r="GFI1384" s="7"/>
      <c r="GFJ1384" s="7"/>
      <c r="GFK1384" s="7"/>
      <c r="GFL1384" s="7"/>
      <c r="GFM1384" s="7"/>
      <c r="GFN1384" s="7"/>
      <c r="GFO1384" s="7"/>
      <c r="GFP1384" s="7"/>
      <c r="GFQ1384" s="7"/>
      <c r="GFR1384" s="7"/>
      <c r="GFS1384" s="7"/>
      <c r="GFT1384" s="7"/>
      <c r="GFU1384" s="7"/>
      <c r="GFV1384" s="7"/>
      <c r="GFW1384" s="7"/>
      <c r="GFX1384" s="7"/>
      <c r="GFY1384" s="7"/>
      <c r="GFZ1384" s="7"/>
      <c r="GGA1384" s="7"/>
      <c r="GGB1384" s="7"/>
      <c r="GGC1384" s="7"/>
      <c r="GGD1384" s="7"/>
      <c r="GGE1384" s="7"/>
      <c r="GGF1384" s="7"/>
      <c r="GGG1384" s="7"/>
      <c r="GGH1384" s="7"/>
      <c r="GGI1384" s="7"/>
      <c r="GGJ1384" s="7"/>
      <c r="GGK1384" s="7"/>
      <c r="GGL1384" s="7"/>
      <c r="GGM1384" s="7"/>
      <c r="GGN1384" s="7"/>
      <c r="GGO1384" s="7"/>
      <c r="GGP1384" s="7"/>
      <c r="GGQ1384" s="7"/>
      <c r="GGR1384" s="7"/>
      <c r="GGS1384" s="7"/>
      <c r="GGT1384" s="7"/>
      <c r="GGU1384" s="7"/>
      <c r="GGV1384" s="7"/>
      <c r="GGW1384" s="7"/>
      <c r="GGX1384" s="7"/>
      <c r="GGY1384" s="7"/>
      <c r="GGZ1384" s="7"/>
      <c r="GHA1384" s="7"/>
      <c r="GHB1384" s="7"/>
      <c r="GHC1384" s="7"/>
      <c r="GHD1384" s="7"/>
      <c r="GHE1384" s="7"/>
      <c r="GHF1384" s="7"/>
      <c r="GHG1384" s="7"/>
      <c r="GHH1384" s="7"/>
      <c r="GHI1384" s="7"/>
      <c r="GHJ1384" s="7"/>
      <c r="GHK1384" s="7"/>
      <c r="GHL1384" s="7"/>
      <c r="GHM1384" s="7"/>
      <c r="GHN1384" s="7"/>
      <c r="GHO1384" s="7"/>
      <c r="GHP1384" s="7"/>
      <c r="GHQ1384" s="7"/>
      <c r="GHR1384" s="7"/>
      <c r="GHS1384" s="7"/>
      <c r="GHT1384" s="7"/>
      <c r="GHU1384" s="7"/>
      <c r="GHV1384" s="7"/>
      <c r="GHW1384" s="7"/>
      <c r="GHX1384" s="7"/>
      <c r="GHY1384" s="7"/>
      <c r="GHZ1384" s="7"/>
      <c r="GIA1384" s="7"/>
      <c r="GIB1384" s="7"/>
      <c r="GIC1384" s="7"/>
      <c r="GID1384" s="7"/>
      <c r="GIE1384" s="7"/>
      <c r="GIF1384" s="7"/>
      <c r="GIG1384" s="7"/>
      <c r="GIH1384" s="7"/>
      <c r="GII1384" s="7"/>
      <c r="GIJ1384" s="7"/>
      <c r="GIK1384" s="7"/>
      <c r="GIL1384" s="7"/>
      <c r="GIM1384" s="7"/>
      <c r="GIN1384" s="7"/>
      <c r="GIO1384" s="7"/>
      <c r="GIP1384" s="7"/>
      <c r="GIQ1384" s="7"/>
      <c r="GIR1384" s="7"/>
      <c r="GIS1384" s="7"/>
      <c r="GIT1384" s="7"/>
      <c r="GIU1384" s="7"/>
      <c r="GIV1384" s="7"/>
      <c r="GIW1384" s="7"/>
      <c r="GIX1384" s="7"/>
      <c r="GIY1384" s="7"/>
      <c r="GIZ1384" s="7"/>
      <c r="GJA1384" s="7"/>
      <c r="GJB1384" s="7"/>
      <c r="GJC1384" s="7"/>
      <c r="GJD1384" s="7"/>
      <c r="GJE1384" s="7"/>
      <c r="GJF1384" s="7"/>
      <c r="GJG1384" s="7"/>
      <c r="GJH1384" s="7"/>
      <c r="GJI1384" s="7"/>
      <c r="GJJ1384" s="7"/>
      <c r="GJK1384" s="7"/>
      <c r="GJL1384" s="7"/>
      <c r="GJM1384" s="7"/>
      <c r="GJN1384" s="7"/>
      <c r="GJO1384" s="7"/>
      <c r="GJP1384" s="7"/>
      <c r="GJQ1384" s="7"/>
      <c r="GJR1384" s="7"/>
      <c r="GJS1384" s="7"/>
      <c r="GJT1384" s="7"/>
      <c r="GJU1384" s="7"/>
      <c r="GJV1384" s="7"/>
      <c r="GJW1384" s="7"/>
      <c r="GJX1384" s="7"/>
      <c r="GJY1384" s="7"/>
      <c r="GJZ1384" s="7"/>
      <c r="GKA1384" s="7"/>
      <c r="GKB1384" s="7"/>
      <c r="GKC1384" s="7"/>
      <c r="GKD1384" s="7"/>
      <c r="GKE1384" s="7"/>
      <c r="GKF1384" s="7"/>
      <c r="GKG1384" s="7"/>
      <c r="GKH1384" s="7"/>
      <c r="GKI1384" s="7"/>
      <c r="GKJ1384" s="7"/>
      <c r="GKK1384" s="7"/>
      <c r="GKL1384" s="7"/>
      <c r="GKM1384" s="7"/>
      <c r="GKN1384" s="7"/>
      <c r="GKO1384" s="7"/>
      <c r="GKP1384" s="7"/>
      <c r="GKQ1384" s="7"/>
      <c r="GKR1384" s="7"/>
      <c r="GKS1384" s="7"/>
      <c r="GKT1384" s="7"/>
      <c r="GKU1384" s="7"/>
      <c r="GKV1384" s="7"/>
      <c r="GKW1384" s="7"/>
      <c r="GKX1384" s="7"/>
      <c r="GKY1384" s="7"/>
      <c r="GKZ1384" s="7"/>
      <c r="GLA1384" s="7"/>
      <c r="GLB1384" s="7"/>
      <c r="GLC1384" s="7"/>
      <c r="GLD1384" s="7"/>
      <c r="GLE1384" s="7"/>
      <c r="GLF1384" s="7"/>
      <c r="GLG1384" s="7"/>
      <c r="GLH1384" s="7"/>
      <c r="GLI1384" s="7"/>
      <c r="GLJ1384" s="7"/>
      <c r="GLK1384" s="7"/>
      <c r="GLL1384" s="7"/>
      <c r="GLM1384" s="7"/>
      <c r="GLN1384" s="7"/>
      <c r="GLO1384" s="7"/>
      <c r="GLP1384" s="7"/>
      <c r="GLQ1384" s="7"/>
      <c r="GLR1384" s="7"/>
      <c r="GLS1384" s="7"/>
      <c r="GLT1384" s="7"/>
      <c r="GLU1384" s="7"/>
      <c r="GLV1384" s="7"/>
      <c r="GLW1384" s="7"/>
      <c r="GLX1384" s="7"/>
      <c r="GLY1384" s="7"/>
      <c r="GLZ1384" s="7"/>
      <c r="GMA1384" s="7"/>
      <c r="GMB1384" s="7"/>
      <c r="GMC1384" s="7"/>
      <c r="GMD1384" s="7"/>
      <c r="GME1384" s="7"/>
      <c r="GMF1384" s="7"/>
      <c r="GMG1384" s="7"/>
      <c r="GMH1384" s="7"/>
      <c r="GMI1384" s="7"/>
      <c r="GMJ1384" s="7"/>
      <c r="GMK1384" s="7"/>
      <c r="GML1384" s="7"/>
      <c r="GMM1384" s="7"/>
      <c r="GMN1384" s="7"/>
      <c r="GMO1384" s="7"/>
      <c r="GMP1384" s="7"/>
      <c r="GMQ1384" s="7"/>
      <c r="GMR1384" s="7"/>
      <c r="GMS1384" s="7"/>
      <c r="GMT1384" s="7"/>
      <c r="GMU1384" s="7"/>
      <c r="GMV1384" s="7"/>
      <c r="GMW1384" s="7"/>
      <c r="GMX1384" s="7"/>
      <c r="GMY1384" s="7"/>
      <c r="GMZ1384" s="7"/>
      <c r="GNA1384" s="7"/>
      <c r="GNB1384" s="7"/>
      <c r="GNC1384" s="7"/>
      <c r="GND1384" s="7"/>
      <c r="GNE1384" s="7"/>
      <c r="GNF1384" s="7"/>
      <c r="GNG1384" s="7"/>
      <c r="GNH1384" s="7"/>
      <c r="GNI1384" s="7"/>
      <c r="GNJ1384" s="7"/>
      <c r="GNK1384" s="7"/>
      <c r="GNL1384" s="7"/>
      <c r="GNM1384" s="7"/>
      <c r="GNN1384" s="7"/>
      <c r="GNO1384" s="7"/>
      <c r="GNP1384" s="7"/>
      <c r="GNQ1384" s="7"/>
      <c r="GNR1384" s="7"/>
      <c r="GNS1384" s="7"/>
      <c r="GNT1384" s="7"/>
      <c r="GNU1384" s="7"/>
      <c r="GNV1384" s="7"/>
      <c r="GNW1384" s="7"/>
      <c r="GNX1384" s="7"/>
      <c r="GNY1384" s="7"/>
      <c r="GNZ1384" s="7"/>
      <c r="GOA1384" s="7"/>
      <c r="GOB1384" s="7"/>
      <c r="GOC1384" s="7"/>
      <c r="GOD1384" s="7"/>
      <c r="GOE1384" s="7"/>
      <c r="GOF1384" s="7"/>
      <c r="GOG1384" s="7"/>
      <c r="GOH1384" s="7"/>
      <c r="GOI1384" s="7"/>
      <c r="GOJ1384" s="7"/>
      <c r="GOK1384" s="7"/>
      <c r="GOL1384" s="7"/>
      <c r="GOM1384" s="7"/>
      <c r="GON1384" s="7"/>
      <c r="GOO1384" s="7"/>
      <c r="GOP1384" s="7"/>
      <c r="GOQ1384" s="7"/>
      <c r="GOR1384" s="7"/>
      <c r="GOS1384" s="7"/>
      <c r="GOT1384" s="7"/>
      <c r="GOU1384" s="7"/>
      <c r="GOV1384" s="7"/>
      <c r="GOW1384" s="7"/>
      <c r="GOX1384" s="7"/>
      <c r="GOY1384" s="7"/>
      <c r="GOZ1384" s="7"/>
      <c r="GPA1384" s="7"/>
      <c r="GPB1384" s="7"/>
      <c r="GPC1384" s="7"/>
      <c r="GPD1384" s="7"/>
      <c r="GPE1384" s="7"/>
      <c r="GPF1384" s="7"/>
      <c r="GPG1384" s="7"/>
      <c r="GPH1384" s="7"/>
      <c r="GPI1384" s="7"/>
      <c r="GPJ1384" s="7"/>
      <c r="GPK1384" s="7"/>
      <c r="GPL1384" s="7"/>
      <c r="GPM1384" s="7"/>
      <c r="GPN1384" s="7"/>
      <c r="GPO1384" s="7"/>
      <c r="GPP1384" s="7"/>
      <c r="GPQ1384" s="7"/>
      <c r="GPR1384" s="7"/>
      <c r="GPS1384" s="7"/>
      <c r="GPT1384" s="7"/>
      <c r="GPU1384" s="7"/>
      <c r="GPV1384" s="7"/>
      <c r="GPW1384" s="7"/>
      <c r="GPX1384" s="7"/>
      <c r="GPY1384" s="7"/>
      <c r="GPZ1384" s="7"/>
      <c r="GQA1384" s="7"/>
      <c r="GQB1384" s="7"/>
      <c r="GQC1384" s="7"/>
      <c r="GQD1384" s="7"/>
      <c r="GQE1384" s="7"/>
      <c r="GQF1384" s="7"/>
      <c r="GQG1384" s="7"/>
      <c r="GQH1384" s="7"/>
      <c r="GQI1384" s="7"/>
      <c r="GQJ1384" s="7"/>
      <c r="GQK1384" s="7"/>
      <c r="GQL1384" s="7"/>
      <c r="GQM1384" s="7"/>
      <c r="GQN1384" s="7"/>
      <c r="GQO1384" s="7"/>
      <c r="GQP1384" s="7"/>
      <c r="GQQ1384" s="7"/>
      <c r="GQR1384" s="7"/>
      <c r="GQS1384" s="7"/>
      <c r="GQT1384" s="7"/>
      <c r="GQU1384" s="7"/>
      <c r="GQV1384" s="7"/>
      <c r="GQW1384" s="7"/>
      <c r="GQX1384" s="7"/>
      <c r="GQY1384" s="7"/>
      <c r="GQZ1384" s="7"/>
      <c r="GRA1384" s="7"/>
      <c r="GRB1384" s="7"/>
      <c r="GRC1384" s="7"/>
      <c r="GRD1384" s="7"/>
      <c r="GRE1384" s="7"/>
      <c r="GRF1384" s="7"/>
      <c r="GRG1384" s="7"/>
      <c r="GRH1384" s="7"/>
      <c r="GRI1384" s="7"/>
      <c r="GRJ1384" s="7"/>
      <c r="GRK1384" s="7"/>
      <c r="GRL1384" s="7"/>
      <c r="GRM1384" s="7"/>
      <c r="GRN1384" s="7"/>
      <c r="GRO1384" s="7"/>
      <c r="GRP1384" s="7"/>
      <c r="GRQ1384" s="7"/>
      <c r="GRR1384" s="7"/>
      <c r="GRS1384" s="7"/>
      <c r="GRT1384" s="7"/>
      <c r="GRU1384" s="7"/>
      <c r="GRV1384" s="7"/>
      <c r="GRW1384" s="7"/>
      <c r="GRX1384" s="7"/>
      <c r="GRY1384" s="7"/>
      <c r="GRZ1384" s="7"/>
      <c r="GSA1384" s="7"/>
      <c r="GSB1384" s="7"/>
      <c r="GSC1384" s="7"/>
      <c r="GSD1384" s="7"/>
      <c r="GSE1384" s="7"/>
      <c r="GSF1384" s="7"/>
      <c r="GSG1384" s="7"/>
      <c r="GSH1384" s="7"/>
      <c r="GSI1384" s="7"/>
      <c r="GSJ1384" s="7"/>
      <c r="GSK1384" s="7"/>
      <c r="GSL1384" s="7"/>
      <c r="GSM1384" s="7"/>
      <c r="GSN1384" s="7"/>
      <c r="GSO1384" s="7"/>
      <c r="GSP1384" s="7"/>
      <c r="GSQ1384" s="7"/>
      <c r="GSR1384" s="7"/>
      <c r="GSS1384" s="7"/>
      <c r="GST1384" s="7"/>
      <c r="GSU1384" s="7"/>
      <c r="GSV1384" s="7"/>
      <c r="GSW1384" s="7"/>
      <c r="GSX1384" s="7"/>
      <c r="GSY1384" s="7"/>
      <c r="GSZ1384" s="7"/>
      <c r="GTA1384" s="7"/>
      <c r="GTB1384" s="7"/>
      <c r="GTC1384" s="7"/>
      <c r="GTD1384" s="7"/>
      <c r="GTE1384" s="7"/>
      <c r="GTF1384" s="7"/>
      <c r="GTG1384" s="7"/>
      <c r="GTH1384" s="7"/>
      <c r="GTI1384" s="7"/>
      <c r="GTJ1384" s="7"/>
      <c r="GTK1384" s="7"/>
      <c r="GTL1384" s="7"/>
      <c r="GTM1384" s="7"/>
      <c r="GTN1384" s="7"/>
      <c r="GTO1384" s="7"/>
      <c r="GTP1384" s="7"/>
      <c r="GTQ1384" s="7"/>
      <c r="GTR1384" s="7"/>
      <c r="GTS1384" s="7"/>
      <c r="GTT1384" s="7"/>
      <c r="GTU1384" s="7"/>
      <c r="GTV1384" s="7"/>
      <c r="GTW1384" s="7"/>
      <c r="GTX1384" s="7"/>
      <c r="GTY1384" s="7"/>
      <c r="GTZ1384" s="7"/>
      <c r="GUA1384" s="7"/>
      <c r="GUB1384" s="7"/>
      <c r="GUC1384" s="7"/>
      <c r="GUD1384" s="7"/>
      <c r="GUE1384" s="7"/>
      <c r="GUF1384" s="7"/>
      <c r="GUG1384" s="7"/>
      <c r="GUH1384" s="7"/>
      <c r="GUI1384" s="7"/>
      <c r="GUJ1384" s="7"/>
      <c r="GUK1384" s="7"/>
      <c r="GUL1384" s="7"/>
      <c r="GUM1384" s="7"/>
      <c r="GUN1384" s="7"/>
      <c r="GUO1384" s="7"/>
      <c r="GUP1384" s="7"/>
      <c r="GUQ1384" s="7"/>
      <c r="GUR1384" s="7"/>
      <c r="GUS1384" s="7"/>
      <c r="GUT1384" s="7"/>
      <c r="GUU1384" s="7"/>
      <c r="GUV1384" s="7"/>
      <c r="GUW1384" s="7"/>
      <c r="GUX1384" s="7"/>
      <c r="GUY1384" s="7"/>
      <c r="GUZ1384" s="7"/>
      <c r="GVA1384" s="7"/>
      <c r="GVB1384" s="7"/>
      <c r="GVC1384" s="7"/>
      <c r="GVD1384" s="7"/>
      <c r="GVE1384" s="7"/>
      <c r="GVF1384" s="7"/>
      <c r="GVG1384" s="7"/>
      <c r="GVH1384" s="7"/>
      <c r="GVI1384" s="7"/>
      <c r="GVJ1384" s="7"/>
      <c r="GVK1384" s="7"/>
      <c r="GVL1384" s="7"/>
      <c r="GVM1384" s="7"/>
      <c r="GVN1384" s="7"/>
      <c r="GVO1384" s="7"/>
      <c r="GVP1384" s="7"/>
      <c r="GVQ1384" s="7"/>
      <c r="GVR1384" s="7"/>
      <c r="GVS1384" s="7"/>
      <c r="GVT1384" s="7"/>
      <c r="GVU1384" s="7"/>
      <c r="GVV1384" s="7"/>
      <c r="GVW1384" s="7"/>
      <c r="GVX1384" s="7"/>
      <c r="GVY1384" s="7"/>
      <c r="GVZ1384" s="7"/>
      <c r="GWA1384" s="7"/>
      <c r="GWB1384" s="7"/>
      <c r="GWC1384" s="7"/>
      <c r="GWD1384" s="7"/>
      <c r="GWE1384" s="7"/>
      <c r="GWF1384" s="7"/>
      <c r="GWG1384" s="7"/>
      <c r="GWH1384" s="7"/>
      <c r="GWI1384" s="7"/>
      <c r="GWJ1384" s="7"/>
      <c r="GWK1384" s="7"/>
      <c r="GWL1384" s="7"/>
      <c r="GWM1384" s="7"/>
      <c r="GWN1384" s="7"/>
      <c r="GWO1384" s="7"/>
      <c r="GWP1384" s="7"/>
      <c r="GWQ1384" s="7"/>
      <c r="GWR1384" s="7"/>
      <c r="GWS1384" s="7"/>
      <c r="GWT1384" s="7"/>
      <c r="GWU1384" s="7"/>
      <c r="GWV1384" s="7"/>
      <c r="GWW1384" s="7"/>
      <c r="GWX1384" s="7"/>
      <c r="GWY1384" s="7"/>
      <c r="GWZ1384" s="7"/>
      <c r="GXA1384" s="7"/>
      <c r="GXB1384" s="7"/>
      <c r="GXC1384" s="7"/>
      <c r="GXD1384" s="7"/>
      <c r="GXE1384" s="7"/>
      <c r="GXF1384" s="7"/>
      <c r="GXG1384" s="7"/>
      <c r="GXH1384" s="7"/>
      <c r="GXI1384" s="7"/>
      <c r="GXJ1384" s="7"/>
      <c r="GXK1384" s="7"/>
      <c r="GXL1384" s="7"/>
      <c r="GXM1384" s="7"/>
      <c r="GXN1384" s="7"/>
      <c r="GXO1384" s="7"/>
      <c r="GXP1384" s="7"/>
      <c r="GXQ1384" s="7"/>
      <c r="GXR1384" s="7"/>
      <c r="GXS1384" s="7"/>
      <c r="GXT1384" s="7"/>
      <c r="GXU1384" s="7"/>
      <c r="GXV1384" s="7"/>
      <c r="GXW1384" s="7"/>
      <c r="GXX1384" s="7"/>
      <c r="GXY1384" s="7"/>
      <c r="GXZ1384" s="7"/>
      <c r="GYA1384" s="7"/>
      <c r="GYB1384" s="7"/>
      <c r="GYC1384" s="7"/>
      <c r="GYD1384" s="7"/>
      <c r="GYE1384" s="7"/>
      <c r="GYF1384" s="7"/>
      <c r="GYG1384" s="7"/>
      <c r="GYH1384" s="7"/>
      <c r="GYI1384" s="7"/>
      <c r="GYJ1384" s="7"/>
      <c r="GYK1384" s="7"/>
      <c r="GYL1384" s="7"/>
      <c r="GYM1384" s="7"/>
      <c r="GYN1384" s="7"/>
      <c r="GYO1384" s="7"/>
      <c r="GYP1384" s="7"/>
      <c r="GYQ1384" s="7"/>
      <c r="GYR1384" s="7"/>
      <c r="GYS1384" s="7"/>
      <c r="GYT1384" s="7"/>
      <c r="GYU1384" s="7"/>
      <c r="GYV1384" s="7"/>
      <c r="GYW1384" s="7"/>
      <c r="GYX1384" s="7"/>
      <c r="GYY1384" s="7"/>
      <c r="GYZ1384" s="7"/>
      <c r="GZA1384" s="7"/>
      <c r="GZB1384" s="7"/>
      <c r="GZC1384" s="7"/>
      <c r="GZD1384" s="7"/>
      <c r="GZE1384" s="7"/>
      <c r="GZF1384" s="7"/>
      <c r="GZG1384" s="7"/>
      <c r="GZH1384" s="7"/>
      <c r="GZI1384" s="7"/>
      <c r="GZJ1384" s="7"/>
      <c r="GZK1384" s="7"/>
      <c r="GZL1384" s="7"/>
      <c r="GZM1384" s="7"/>
      <c r="GZN1384" s="7"/>
      <c r="GZO1384" s="7"/>
      <c r="GZP1384" s="7"/>
      <c r="GZQ1384" s="7"/>
      <c r="GZR1384" s="7"/>
      <c r="GZS1384" s="7"/>
      <c r="GZT1384" s="7"/>
      <c r="GZU1384" s="7"/>
      <c r="GZV1384" s="7"/>
      <c r="GZW1384" s="7"/>
      <c r="GZX1384" s="7"/>
      <c r="GZY1384" s="7"/>
      <c r="GZZ1384" s="7"/>
      <c r="HAA1384" s="7"/>
      <c r="HAB1384" s="7"/>
      <c r="HAC1384" s="7"/>
      <c r="HAD1384" s="7"/>
      <c r="HAE1384" s="7"/>
      <c r="HAF1384" s="7"/>
      <c r="HAG1384" s="7"/>
      <c r="HAH1384" s="7"/>
      <c r="HAI1384" s="7"/>
      <c r="HAJ1384" s="7"/>
      <c r="HAK1384" s="7"/>
      <c r="HAL1384" s="7"/>
      <c r="HAM1384" s="7"/>
      <c r="HAN1384" s="7"/>
      <c r="HAO1384" s="7"/>
      <c r="HAP1384" s="7"/>
      <c r="HAQ1384" s="7"/>
      <c r="HAR1384" s="7"/>
      <c r="HAS1384" s="7"/>
      <c r="HAT1384" s="7"/>
      <c r="HAU1384" s="7"/>
      <c r="HAV1384" s="7"/>
      <c r="HAW1384" s="7"/>
      <c r="HAX1384" s="7"/>
      <c r="HAY1384" s="7"/>
      <c r="HAZ1384" s="7"/>
      <c r="HBA1384" s="7"/>
      <c r="HBB1384" s="7"/>
      <c r="HBC1384" s="7"/>
      <c r="HBD1384" s="7"/>
      <c r="HBE1384" s="7"/>
      <c r="HBF1384" s="7"/>
      <c r="HBG1384" s="7"/>
      <c r="HBH1384" s="7"/>
      <c r="HBI1384" s="7"/>
      <c r="HBJ1384" s="7"/>
      <c r="HBK1384" s="7"/>
      <c r="HBL1384" s="7"/>
      <c r="HBM1384" s="7"/>
      <c r="HBN1384" s="7"/>
      <c r="HBO1384" s="7"/>
      <c r="HBP1384" s="7"/>
      <c r="HBQ1384" s="7"/>
      <c r="HBR1384" s="7"/>
      <c r="HBS1384" s="7"/>
      <c r="HBT1384" s="7"/>
      <c r="HBU1384" s="7"/>
      <c r="HBV1384" s="7"/>
      <c r="HBW1384" s="7"/>
      <c r="HBX1384" s="7"/>
      <c r="HBY1384" s="7"/>
      <c r="HBZ1384" s="7"/>
      <c r="HCA1384" s="7"/>
      <c r="HCB1384" s="7"/>
      <c r="HCC1384" s="7"/>
      <c r="HCD1384" s="7"/>
      <c r="HCE1384" s="7"/>
      <c r="HCF1384" s="7"/>
      <c r="HCG1384" s="7"/>
      <c r="HCH1384" s="7"/>
      <c r="HCI1384" s="7"/>
      <c r="HCJ1384" s="7"/>
      <c r="HCK1384" s="7"/>
      <c r="HCL1384" s="7"/>
      <c r="HCM1384" s="7"/>
      <c r="HCN1384" s="7"/>
      <c r="HCO1384" s="7"/>
      <c r="HCP1384" s="7"/>
      <c r="HCQ1384" s="7"/>
      <c r="HCR1384" s="7"/>
      <c r="HCS1384" s="7"/>
      <c r="HCT1384" s="7"/>
      <c r="HCU1384" s="7"/>
      <c r="HCV1384" s="7"/>
      <c r="HCW1384" s="7"/>
      <c r="HCX1384" s="7"/>
      <c r="HCY1384" s="7"/>
      <c r="HCZ1384" s="7"/>
      <c r="HDA1384" s="7"/>
      <c r="HDB1384" s="7"/>
      <c r="HDC1384" s="7"/>
      <c r="HDD1384" s="7"/>
      <c r="HDE1384" s="7"/>
      <c r="HDF1384" s="7"/>
      <c r="HDG1384" s="7"/>
      <c r="HDH1384" s="7"/>
      <c r="HDI1384" s="7"/>
      <c r="HDJ1384" s="7"/>
      <c r="HDK1384" s="7"/>
      <c r="HDL1384" s="7"/>
      <c r="HDM1384" s="7"/>
      <c r="HDN1384" s="7"/>
      <c r="HDO1384" s="7"/>
      <c r="HDP1384" s="7"/>
      <c r="HDQ1384" s="7"/>
      <c r="HDR1384" s="7"/>
      <c r="HDS1384" s="7"/>
      <c r="HDT1384" s="7"/>
      <c r="HDU1384" s="7"/>
      <c r="HDV1384" s="7"/>
      <c r="HDW1384" s="7"/>
      <c r="HDX1384" s="7"/>
      <c r="HDY1384" s="7"/>
      <c r="HDZ1384" s="7"/>
      <c r="HEA1384" s="7"/>
      <c r="HEB1384" s="7"/>
      <c r="HEC1384" s="7"/>
      <c r="HED1384" s="7"/>
      <c r="HEE1384" s="7"/>
      <c r="HEF1384" s="7"/>
      <c r="HEG1384" s="7"/>
      <c r="HEH1384" s="7"/>
      <c r="HEI1384" s="7"/>
      <c r="HEJ1384" s="7"/>
      <c r="HEK1384" s="7"/>
      <c r="HEL1384" s="7"/>
      <c r="HEM1384" s="7"/>
      <c r="HEN1384" s="7"/>
      <c r="HEO1384" s="7"/>
      <c r="HEP1384" s="7"/>
      <c r="HEQ1384" s="7"/>
      <c r="HER1384" s="7"/>
      <c r="HES1384" s="7"/>
      <c r="HET1384" s="7"/>
      <c r="HEU1384" s="7"/>
      <c r="HEV1384" s="7"/>
      <c r="HEW1384" s="7"/>
      <c r="HEX1384" s="7"/>
      <c r="HEY1384" s="7"/>
      <c r="HEZ1384" s="7"/>
      <c r="HFA1384" s="7"/>
      <c r="HFB1384" s="7"/>
      <c r="HFC1384" s="7"/>
      <c r="HFD1384" s="7"/>
      <c r="HFE1384" s="7"/>
      <c r="HFF1384" s="7"/>
      <c r="HFG1384" s="7"/>
      <c r="HFH1384" s="7"/>
      <c r="HFI1384" s="7"/>
      <c r="HFJ1384" s="7"/>
      <c r="HFK1384" s="7"/>
      <c r="HFL1384" s="7"/>
      <c r="HFM1384" s="7"/>
      <c r="HFN1384" s="7"/>
      <c r="HFO1384" s="7"/>
      <c r="HFP1384" s="7"/>
      <c r="HFQ1384" s="7"/>
      <c r="HFR1384" s="7"/>
      <c r="HFS1384" s="7"/>
      <c r="HFT1384" s="7"/>
      <c r="HFU1384" s="7"/>
      <c r="HFV1384" s="7"/>
      <c r="HFW1384" s="7"/>
      <c r="HFX1384" s="7"/>
      <c r="HFY1384" s="7"/>
      <c r="HFZ1384" s="7"/>
      <c r="HGA1384" s="7"/>
      <c r="HGB1384" s="7"/>
      <c r="HGC1384" s="7"/>
      <c r="HGD1384" s="7"/>
      <c r="HGE1384" s="7"/>
      <c r="HGF1384" s="7"/>
      <c r="HGG1384" s="7"/>
      <c r="HGH1384" s="7"/>
      <c r="HGI1384" s="7"/>
      <c r="HGJ1384" s="7"/>
      <c r="HGK1384" s="7"/>
      <c r="HGL1384" s="7"/>
      <c r="HGM1384" s="7"/>
      <c r="HGN1384" s="7"/>
      <c r="HGO1384" s="7"/>
      <c r="HGP1384" s="7"/>
      <c r="HGQ1384" s="7"/>
      <c r="HGR1384" s="7"/>
      <c r="HGS1384" s="7"/>
      <c r="HGT1384" s="7"/>
      <c r="HGU1384" s="7"/>
      <c r="HGV1384" s="7"/>
      <c r="HGW1384" s="7"/>
      <c r="HGX1384" s="7"/>
      <c r="HGY1384" s="7"/>
      <c r="HGZ1384" s="7"/>
      <c r="HHA1384" s="7"/>
      <c r="HHB1384" s="7"/>
      <c r="HHC1384" s="7"/>
      <c r="HHD1384" s="7"/>
      <c r="HHE1384" s="7"/>
      <c r="HHF1384" s="7"/>
      <c r="HHG1384" s="7"/>
      <c r="HHH1384" s="7"/>
      <c r="HHI1384" s="7"/>
      <c r="HHJ1384" s="7"/>
      <c r="HHK1384" s="7"/>
      <c r="HHL1384" s="7"/>
      <c r="HHM1384" s="7"/>
      <c r="HHN1384" s="7"/>
      <c r="HHO1384" s="7"/>
      <c r="HHP1384" s="7"/>
      <c r="HHQ1384" s="7"/>
      <c r="HHR1384" s="7"/>
      <c r="HHS1384" s="7"/>
      <c r="HHT1384" s="7"/>
      <c r="HHU1384" s="7"/>
      <c r="HHV1384" s="7"/>
      <c r="HHW1384" s="7"/>
      <c r="HHX1384" s="7"/>
      <c r="HHY1384" s="7"/>
      <c r="HHZ1384" s="7"/>
      <c r="HIA1384" s="7"/>
      <c r="HIB1384" s="7"/>
      <c r="HIC1384" s="7"/>
      <c r="HID1384" s="7"/>
      <c r="HIE1384" s="7"/>
      <c r="HIF1384" s="7"/>
      <c r="HIG1384" s="7"/>
      <c r="HIH1384" s="7"/>
      <c r="HII1384" s="7"/>
      <c r="HIJ1384" s="7"/>
      <c r="HIK1384" s="7"/>
      <c r="HIL1384" s="7"/>
      <c r="HIM1384" s="7"/>
      <c r="HIN1384" s="7"/>
      <c r="HIO1384" s="7"/>
      <c r="HIP1384" s="7"/>
      <c r="HIQ1384" s="7"/>
      <c r="HIR1384" s="7"/>
      <c r="HIS1384" s="7"/>
      <c r="HIT1384" s="7"/>
      <c r="HIU1384" s="7"/>
      <c r="HIV1384" s="7"/>
      <c r="HIW1384" s="7"/>
      <c r="HIX1384" s="7"/>
      <c r="HIY1384" s="7"/>
      <c r="HIZ1384" s="7"/>
      <c r="HJA1384" s="7"/>
      <c r="HJB1384" s="7"/>
      <c r="HJC1384" s="7"/>
      <c r="HJD1384" s="7"/>
      <c r="HJE1384" s="7"/>
      <c r="HJF1384" s="7"/>
      <c r="HJG1384" s="7"/>
      <c r="HJH1384" s="7"/>
      <c r="HJI1384" s="7"/>
      <c r="HJJ1384" s="7"/>
      <c r="HJK1384" s="7"/>
      <c r="HJL1384" s="7"/>
      <c r="HJM1384" s="7"/>
      <c r="HJN1384" s="7"/>
      <c r="HJO1384" s="7"/>
      <c r="HJP1384" s="7"/>
      <c r="HJQ1384" s="7"/>
      <c r="HJR1384" s="7"/>
      <c r="HJS1384" s="7"/>
      <c r="HJT1384" s="7"/>
      <c r="HJU1384" s="7"/>
      <c r="HJV1384" s="7"/>
      <c r="HJW1384" s="7"/>
      <c r="HJX1384" s="7"/>
      <c r="HJY1384" s="7"/>
      <c r="HJZ1384" s="7"/>
      <c r="HKA1384" s="7"/>
      <c r="HKB1384" s="7"/>
      <c r="HKC1384" s="7"/>
      <c r="HKD1384" s="7"/>
      <c r="HKE1384" s="7"/>
      <c r="HKF1384" s="7"/>
      <c r="HKG1384" s="7"/>
      <c r="HKH1384" s="7"/>
      <c r="HKI1384" s="7"/>
      <c r="HKJ1384" s="7"/>
      <c r="HKK1384" s="7"/>
      <c r="HKL1384" s="7"/>
      <c r="HKM1384" s="7"/>
      <c r="HKN1384" s="7"/>
      <c r="HKO1384" s="7"/>
      <c r="HKP1384" s="7"/>
      <c r="HKQ1384" s="7"/>
      <c r="HKR1384" s="7"/>
      <c r="HKS1384" s="7"/>
      <c r="HKT1384" s="7"/>
      <c r="HKU1384" s="7"/>
      <c r="HKV1384" s="7"/>
      <c r="HKW1384" s="7"/>
      <c r="HKX1384" s="7"/>
      <c r="HKY1384" s="7"/>
      <c r="HKZ1384" s="7"/>
      <c r="HLA1384" s="7"/>
      <c r="HLB1384" s="7"/>
      <c r="HLC1384" s="7"/>
      <c r="HLD1384" s="7"/>
      <c r="HLE1384" s="7"/>
      <c r="HLF1384" s="7"/>
      <c r="HLG1384" s="7"/>
      <c r="HLH1384" s="7"/>
      <c r="HLI1384" s="7"/>
      <c r="HLJ1384" s="7"/>
      <c r="HLK1384" s="7"/>
      <c r="HLL1384" s="7"/>
      <c r="HLM1384" s="7"/>
      <c r="HLN1384" s="7"/>
      <c r="HLO1384" s="7"/>
      <c r="HLP1384" s="7"/>
      <c r="HLQ1384" s="7"/>
      <c r="HLR1384" s="7"/>
      <c r="HLS1384" s="7"/>
      <c r="HLT1384" s="7"/>
      <c r="HLU1384" s="7"/>
      <c r="HLV1384" s="7"/>
      <c r="HLW1384" s="7"/>
      <c r="HLX1384" s="7"/>
      <c r="HLY1384" s="7"/>
      <c r="HLZ1384" s="7"/>
      <c r="HMA1384" s="7"/>
      <c r="HMB1384" s="7"/>
      <c r="HMC1384" s="7"/>
      <c r="HMD1384" s="7"/>
      <c r="HME1384" s="7"/>
      <c r="HMF1384" s="7"/>
      <c r="HMG1384" s="7"/>
      <c r="HMH1384" s="7"/>
      <c r="HMI1384" s="7"/>
      <c r="HMJ1384" s="7"/>
      <c r="HMK1384" s="7"/>
      <c r="HML1384" s="7"/>
      <c r="HMM1384" s="7"/>
      <c r="HMN1384" s="7"/>
      <c r="HMO1384" s="7"/>
      <c r="HMP1384" s="7"/>
      <c r="HMQ1384" s="7"/>
      <c r="HMR1384" s="7"/>
      <c r="HMS1384" s="7"/>
      <c r="HMT1384" s="7"/>
      <c r="HMU1384" s="7"/>
      <c r="HMV1384" s="7"/>
      <c r="HMW1384" s="7"/>
      <c r="HMX1384" s="7"/>
      <c r="HMY1384" s="7"/>
      <c r="HMZ1384" s="7"/>
      <c r="HNA1384" s="7"/>
      <c r="HNB1384" s="7"/>
      <c r="HNC1384" s="7"/>
      <c r="HND1384" s="7"/>
      <c r="HNE1384" s="7"/>
      <c r="HNF1384" s="7"/>
      <c r="HNG1384" s="7"/>
      <c r="HNH1384" s="7"/>
      <c r="HNI1384" s="7"/>
      <c r="HNJ1384" s="7"/>
      <c r="HNK1384" s="7"/>
      <c r="HNL1384" s="7"/>
      <c r="HNM1384" s="7"/>
      <c r="HNN1384" s="7"/>
      <c r="HNO1384" s="7"/>
      <c r="HNP1384" s="7"/>
      <c r="HNQ1384" s="7"/>
      <c r="HNR1384" s="7"/>
      <c r="HNS1384" s="7"/>
      <c r="HNT1384" s="7"/>
      <c r="HNU1384" s="7"/>
      <c r="HNV1384" s="7"/>
      <c r="HNW1384" s="7"/>
      <c r="HNX1384" s="7"/>
      <c r="HNY1384" s="7"/>
      <c r="HNZ1384" s="7"/>
      <c r="HOA1384" s="7"/>
      <c r="HOB1384" s="7"/>
      <c r="HOC1384" s="7"/>
      <c r="HOD1384" s="7"/>
      <c r="HOE1384" s="7"/>
      <c r="HOF1384" s="7"/>
      <c r="HOG1384" s="7"/>
      <c r="HOH1384" s="7"/>
      <c r="HOI1384" s="7"/>
      <c r="HOJ1384" s="7"/>
      <c r="HOK1384" s="7"/>
      <c r="HOL1384" s="7"/>
      <c r="HOM1384" s="7"/>
      <c r="HON1384" s="7"/>
      <c r="HOO1384" s="7"/>
      <c r="HOP1384" s="7"/>
      <c r="HOQ1384" s="7"/>
      <c r="HOR1384" s="7"/>
      <c r="HOS1384" s="7"/>
      <c r="HOT1384" s="7"/>
      <c r="HOU1384" s="7"/>
      <c r="HOV1384" s="7"/>
      <c r="HOW1384" s="7"/>
      <c r="HOX1384" s="7"/>
      <c r="HOY1384" s="7"/>
      <c r="HOZ1384" s="7"/>
      <c r="HPA1384" s="7"/>
      <c r="HPB1384" s="7"/>
      <c r="HPC1384" s="7"/>
      <c r="HPD1384" s="7"/>
      <c r="HPE1384" s="7"/>
      <c r="HPF1384" s="7"/>
      <c r="HPG1384" s="7"/>
      <c r="HPH1384" s="7"/>
      <c r="HPI1384" s="7"/>
      <c r="HPJ1384" s="7"/>
      <c r="HPK1384" s="7"/>
      <c r="HPL1384" s="7"/>
      <c r="HPM1384" s="7"/>
      <c r="HPN1384" s="7"/>
      <c r="HPO1384" s="7"/>
      <c r="HPP1384" s="7"/>
      <c r="HPQ1384" s="7"/>
      <c r="HPR1384" s="7"/>
      <c r="HPS1384" s="7"/>
      <c r="HPT1384" s="7"/>
      <c r="HPU1384" s="7"/>
      <c r="HPV1384" s="7"/>
      <c r="HPW1384" s="7"/>
      <c r="HPX1384" s="7"/>
      <c r="HPY1384" s="7"/>
      <c r="HPZ1384" s="7"/>
      <c r="HQA1384" s="7"/>
      <c r="HQB1384" s="7"/>
      <c r="HQC1384" s="7"/>
      <c r="HQD1384" s="7"/>
      <c r="HQE1384" s="7"/>
      <c r="HQF1384" s="7"/>
      <c r="HQG1384" s="7"/>
      <c r="HQH1384" s="7"/>
      <c r="HQI1384" s="7"/>
      <c r="HQJ1384" s="7"/>
      <c r="HQK1384" s="7"/>
      <c r="HQL1384" s="7"/>
      <c r="HQM1384" s="7"/>
      <c r="HQN1384" s="7"/>
      <c r="HQO1384" s="7"/>
      <c r="HQP1384" s="7"/>
      <c r="HQQ1384" s="7"/>
      <c r="HQR1384" s="7"/>
      <c r="HQS1384" s="7"/>
      <c r="HQT1384" s="7"/>
      <c r="HQU1384" s="7"/>
      <c r="HQV1384" s="7"/>
      <c r="HQW1384" s="7"/>
      <c r="HQX1384" s="7"/>
      <c r="HQY1384" s="7"/>
      <c r="HQZ1384" s="7"/>
      <c r="HRA1384" s="7"/>
      <c r="HRB1384" s="7"/>
      <c r="HRC1384" s="7"/>
      <c r="HRD1384" s="7"/>
      <c r="HRE1384" s="7"/>
      <c r="HRF1384" s="7"/>
      <c r="HRG1384" s="7"/>
      <c r="HRH1384" s="7"/>
      <c r="HRI1384" s="7"/>
      <c r="HRJ1384" s="7"/>
      <c r="HRK1384" s="7"/>
      <c r="HRL1384" s="7"/>
      <c r="HRM1384" s="7"/>
      <c r="HRN1384" s="7"/>
      <c r="HRO1384" s="7"/>
      <c r="HRP1384" s="7"/>
      <c r="HRQ1384" s="7"/>
      <c r="HRR1384" s="7"/>
      <c r="HRS1384" s="7"/>
      <c r="HRT1384" s="7"/>
      <c r="HRU1384" s="7"/>
      <c r="HRV1384" s="7"/>
      <c r="HRW1384" s="7"/>
      <c r="HRX1384" s="7"/>
      <c r="HRY1384" s="7"/>
      <c r="HRZ1384" s="7"/>
      <c r="HSA1384" s="7"/>
      <c r="HSB1384" s="7"/>
      <c r="HSC1384" s="7"/>
      <c r="HSD1384" s="7"/>
      <c r="HSE1384" s="7"/>
      <c r="HSF1384" s="7"/>
      <c r="HSG1384" s="7"/>
      <c r="HSH1384" s="7"/>
      <c r="HSI1384" s="7"/>
      <c r="HSJ1384" s="7"/>
      <c r="HSK1384" s="7"/>
      <c r="HSL1384" s="7"/>
      <c r="HSM1384" s="7"/>
      <c r="HSN1384" s="7"/>
      <c r="HSO1384" s="7"/>
      <c r="HSP1384" s="7"/>
      <c r="HSQ1384" s="7"/>
      <c r="HSR1384" s="7"/>
      <c r="HSS1384" s="7"/>
      <c r="HST1384" s="7"/>
      <c r="HSU1384" s="7"/>
      <c r="HSV1384" s="7"/>
      <c r="HSW1384" s="7"/>
      <c r="HSX1384" s="7"/>
      <c r="HSY1384" s="7"/>
      <c r="HSZ1384" s="7"/>
      <c r="HTA1384" s="7"/>
      <c r="HTB1384" s="7"/>
      <c r="HTC1384" s="7"/>
      <c r="HTD1384" s="7"/>
      <c r="HTE1384" s="7"/>
      <c r="HTF1384" s="7"/>
      <c r="HTG1384" s="7"/>
      <c r="HTH1384" s="7"/>
      <c r="HTI1384" s="7"/>
      <c r="HTJ1384" s="7"/>
      <c r="HTK1384" s="7"/>
      <c r="HTL1384" s="7"/>
      <c r="HTM1384" s="7"/>
      <c r="HTN1384" s="7"/>
      <c r="HTO1384" s="7"/>
      <c r="HTP1384" s="7"/>
      <c r="HTQ1384" s="7"/>
      <c r="HTR1384" s="7"/>
      <c r="HTS1384" s="7"/>
      <c r="HTT1384" s="7"/>
      <c r="HTU1384" s="7"/>
      <c r="HTV1384" s="7"/>
      <c r="HTW1384" s="7"/>
      <c r="HTX1384" s="7"/>
      <c r="HTY1384" s="7"/>
      <c r="HTZ1384" s="7"/>
      <c r="HUA1384" s="7"/>
      <c r="HUB1384" s="7"/>
      <c r="HUC1384" s="7"/>
      <c r="HUD1384" s="7"/>
      <c r="HUE1384" s="7"/>
      <c r="HUF1384" s="7"/>
      <c r="HUG1384" s="7"/>
      <c r="HUH1384" s="7"/>
      <c r="HUI1384" s="7"/>
      <c r="HUJ1384" s="7"/>
      <c r="HUK1384" s="7"/>
      <c r="HUL1384" s="7"/>
      <c r="HUM1384" s="7"/>
      <c r="HUN1384" s="7"/>
      <c r="HUO1384" s="7"/>
      <c r="HUP1384" s="7"/>
      <c r="HUQ1384" s="7"/>
      <c r="HUR1384" s="7"/>
      <c r="HUS1384" s="7"/>
      <c r="HUT1384" s="7"/>
      <c r="HUU1384" s="7"/>
      <c r="HUV1384" s="7"/>
      <c r="HUW1384" s="7"/>
      <c r="HUX1384" s="7"/>
      <c r="HUY1384" s="7"/>
      <c r="HUZ1384" s="7"/>
      <c r="HVA1384" s="7"/>
      <c r="HVB1384" s="7"/>
      <c r="HVC1384" s="7"/>
      <c r="HVD1384" s="7"/>
      <c r="HVE1384" s="7"/>
      <c r="HVF1384" s="7"/>
      <c r="HVG1384" s="7"/>
      <c r="HVH1384" s="7"/>
      <c r="HVI1384" s="7"/>
      <c r="HVJ1384" s="7"/>
      <c r="HVK1384" s="7"/>
      <c r="HVL1384" s="7"/>
      <c r="HVM1384" s="7"/>
      <c r="HVN1384" s="7"/>
      <c r="HVO1384" s="7"/>
      <c r="HVP1384" s="7"/>
      <c r="HVQ1384" s="7"/>
      <c r="HVR1384" s="7"/>
      <c r="HVS1384" s="7"/>
      <c r="HVT1384" s="7"/>
      <c r="HVU1384" s="7"/>
      <c r="HVV1384" s="7"/>
      <c r="HVW1384" s="7"/>
      <c r="HVX1384" s="7"/>
      <c r="HVY1384" s="7"/>
      <c r="HVZ1384" s="7"/>
      <c r="HWA1384" s="7"/>
      <c r="HWB1384" s="7"/>
      <c r="HWC1384" s="7"/>
      <c r="HWD1384" s="7"/>
      <c r="HWE1384" s="7"/>
      <c r="HWF1384" s="7"/>
      <c r="HWG1384" s="7"/>
      <c r="HWH1384" s="7"/>
      <c r="HWI1384" s="7"/>
      <c r="HWJ1384" s="7"/>
      <c r="HWK1384" s="7"/>
      <c r="HWL1384" s="7"/>
      <c r="HWM1384" s="7"/>
      <c r="HWN1384" s="7"/>
      <c r="HWO1384" s="7"/>
      <c r="HWP1384" s="7"/>
      <c r="HWQ1384" s="7"/>
      <c r="HWR1384" s="7"/>
      <c r="HWS1384" s="7"/>
      <c r="HWT1384" s="7"/>
      <c r="HWU1384" s="7"/>
      <c r="HWV1384" s="7"/>
      <c r="HWW1384" s="7"/>
      <c r="HWX1384" s="7"/>
      <c r="HWY1384" s="7"/>
      <c r="HWZ1384" s="7"/>
      <c r="HXA1384" s="7"/>
      <c r="HXB1384" s="7"/>
      <c r="HXC1384" s="7"/>
      <c r="HXD1384" s="7"/>
      <c r="HXE1384" s="7"/>
      <c r="HXF1384" s="7"/>
      <c r="HXG1384" s="7"/>
      <c r="HXH1384" s="7"/>
      <c r="HXI1384" s="7"/>
      <c r="HXJ1384" s="7"/>
      <c r="HXK1384" s="7"/>
      <c r="HXL1384" s="7"/>
      <c r="HXM1384" s="7"/>
      <c r="HXN1384" s="7"/>
      <c r="HXO1384" s="7"/>
      <c r="HXP1384" s="7"/>
      <c r="HXQ1384" s="7"/>
      <c r="HXR1384" s="7"/>
      <c r="HXS1384" s="7"/>
      <c r="HXT1384" s="7"/>
      <c r="HXU1384" s="7"/>
      <c r="HXV1384" s="7"/>
      <c r="HXW1384" s="7"/>
      <c r="HXX1384" s="7"/>
      <c r="HXY1384" s="7"/>
      <c r="HXZ1384" s="7"/>
      <c r="HYA1384" s="7"/>
      <c r="HYB1384" s="7"/>
      <c r="HYC1384" s="7"/>
      <c r="HYD1384" s="7"/>
      <c r="HYE1384" s="7"/>
      <c r="HYF1384" s="7"/>
      <c r="HYG1384" s="7"/>
      <c r="HYH1384" s="7"/>
      <c r="HYI1384" s="7"/>
      <c r="HYJ1384" s="7"/>
      <c r="HYK1384" s="7"/>
      <c r="HYL1384" s="7"/>
      <c r="HYM1384" s="7"/>
      <c r="HYN1384" s="7"/>
      <c r="HYO1384" s="7"/>
      <c r="HYP1384" s="7"/>
      <c r="HYQ1384" s="7"/>
      <c r="HYR1384" s="7"/>
      <c r="HYS1384" s="7"/>
      <c r="HYT1384" s="7"/>
      <c r="HYU1384" s="7"/>
      <c r="HYV1384" s="7"/>
      <c r="HYW1384" s="7"/>
      <c r="HYX1384" s="7"/>
      <c r="HYY1384" s="7"/>
      <c r="HYZ1384" s="7"/>
      <c r="HZA1384" s="7"/>
      <c r="HZB1384" s="7"/>
      <c r="HZC1384" s="7"/>
      <c r="HZD1384" s="7"/>
      <c r="HZE1384" s="7"/>
      <c r="HZF1384" s="7"/>
      <c r="HZG1384" s="7"/>
      <c r="HZH1384" s="7"/>
      <c r="HZI1384" s="7"/>
      <c r="HZJ1384" s="7"/>
      <c r="HZK1384" s="7"/>
      <c r="HZL1384" s="7"/>
      <c r="HZM1384" s="7"/>
      <c r="HZN1384" s="7"/>
      <c r="HZO1384" s="7"/>
      <c r="HZP1384" s="7"/>
      <c r="HZQ1384" s="7"/>
      <c r="HZR1384" s="7"/>
      <c r="HZS1384" s="7"/>
      <c r="HZT1384" s="7"/>
      <c r="HZU1384" s="7"/>
      <c r="HZV1384" s="7"/>
      <c r="HZW1384" s="7"/>
      <c r="HZX1384" s="7"/>
      <c r="HZY1384" s="7"/>
      <c r="HZZ1384" s="7"/>
      <c r="IAA1384" s="7"/>
      <c r="IAB1384" s="7"/>
      <c r="IAC1384" s="7"/>
      <c r="IAD1384" s="7"/>
      <c r="IAE1384" s="7"/>
      <c r="IAF1384" s="7"/>
      <c r="IAG1384" s="7"/>
      <c r="IAH1384" s="7"/>
      <c r="IAI1384" s="7"/>
      <c r="IAJ1384" s="7"/>
      <c r="IAK1384" s="7"/>
      <c r="IAL1384" s="7"/>
      <c r="IAM1384" s="7"/>
      <c r="IAN1384" s="7"/>
      <c r="IAO1384" s="7"/>
      <c r="IAP1384" s="7"/>
      <c r="IAQ1384" s="7"/>
      <c r="IAR1384" s="7"/>
      <c r="IAS1384" s="7"/>
      <c r="IAT1384" s="7"/>
      <c r="IAU1384" s="7"/>
      <c r="IAV1384" s="7"/>
      <c r="IAW1384" s="7"/>
      <c r="IAX1384" s="7"/>
      <c r="IAY1384" s="7"/>
      <c r="IAZ1384" s="7"/>
      <c r="IBA1384" s="7"/>
      <c r="IBB1384" s="7"/>
      <c r="IBC1384" s="7"/>
      <c r="IBD1384" s="7"/>
      <c r="IBE1384" s="7"/>
      <c r="IBF1384" s="7"/>
      <c r="IBG1384" s="7"/>
      <c r="IBH1384" s="7"/>
      <c r="IBI1384" s="7"/>
      <c r="IBJ1384" s="7"/>
      <c r="IBK1384" s="7"/>
      <c r="IBL1384" s="7"/>
      <c r="IBM1384" s="7"/>
      <c r="IBN1384" s="7"/>
      <c r="IBO1384" s="7"/>
      <c r="IBP1384" s="7"/>
      <c r="IBQ1384" s="7"/>
      <c r="IBR1384" s="7"/>
      <c r="IBS1384" s="7"/>
      <c r="IBT1384" s="7"/>
      <c r="IBU1384" s="7"/>
      <c r="IBV1384" s="7"/>
      <c r="IBW1384" s="7"/>
      <c r="IBX1384" s="7"/>
      <c r="IBY1384" s="7"/>
      <c r="IBZ1384" s="7"/>
      <c r="ICA1384" s="7"/>
      <c r="ICB1384" s="7"/>
      <c r="ICC1384" s="7"/>
      <c r="ICD1384" s="7"/>
      <c r="ICE1384" s="7"/>
      <c r="ICF1384" s="7"/>
      <c r="ICG1384" s="7"/>
      <c r="ICH1384" s="7"/>
      <c r="ICI1384" s="7"/>
      <c r="ICJ1384" s="7"/>
      <c r="ICK1384" s="7"/>
      <c r="ICL1384" s="7"/>
      <c r="ICM1384" s="7"/>
      <c r="ICN1384" s="7"/>
      <c r="ICO1384" s="7"/>
      <c r="ICP1384" s="7"/>
      <c r="ICQ1384" s="7"/>
      <c r="ICR1384" s="7"/>
      <c r="ICS1384" s="7"/>
      <c r="ICT1384" s="7"/>
      <c r="ICU1384" s="7"/>
      <c r="ICV1384" s="7"/>
      <c r="ICW1384" s="7"/>
      <c r="ICX1384" s="7"/>
      <c r="ICY1384" s="7"/>
      <c r="ICZ1384" s="7"/>
      <c r="IDA1384" s="7"/>
      <c r="IDB1384" s="7"/>
      <c r="IDC1384" s="7"/>
      <c r="IDD1384" s="7"/>
      <c r="IDE1384" s="7"/>
      <c r="IDF1384" s="7"/>
      <c r="IDG1384" s="7"/>
      <c r="IDH1384" s="7"/>
      <c r="IDI1384" s="7"/>
      <c r="IDJ1384" s="7"/>
      <c r="IDK1384" s="7"/>
      <c r="IDL1384" s="7"/>
      <c r="IDM1384" s="7"/>
      <c r="IDN1384" s="7"/>
      <c r="IDO1384" s="7"/>
      <c r="IDP1384" s="7"/>
      <c r="IDQ1384" s="7"/>
      <c r="IDR1384" s="7"/>
      <c r="IDS1384" s="7"/>
      <c r="IDT1384" s="7"/>
      <c r="IDU1384" s="7"/>
      <c r="IDV1384" s="7"/>
      <c r="IDW1384" s="7"/>
      <c r="IDX1384" s="7"/>
      <c r="IDY1384" s="7"/>
      <c r="IDZ1384" s="7"/>
      <c r="IEA1384" s="7"/>
      <c r="IEB1384" s="7"/>
      <c r="IEC1384" s="7"/>
      <c r="IED1384" s="7"/>
      <c r="IEE1384" s="7"/>
      <c r="IEF1384" s="7"/>
      <c r="IEG1384" s="7"/>
      <c r="IEH1384" s="7"/>
      <c r="IEI1384" s="7"/>
      <c r="IEJ1384" s="7"/>
      <c r="IEK1384" s="7"/>
      <c r="IEL1384" s="7"/>
      <c r="IEM1384" s="7"/>
      <c r="IEN1384" s="7"/>
      <c r="IEO1384" s="7"/>
      <c r="IEP1384" s="7"/>
      <c r="IEQ1384" s="7"/>
      <c r="IER1384" s="7"/>
      <c r="IES1384" s="7"/>
      <c r="IET1384" s="7"/>
      <c r="IEU1384" s="7"/>
      <c r="IEV1384" s="7"/>
      <c r="IEW1384" s="7"/>
      <c r="IEX1384" s="7"/>
      <c r="IEY1384" s="7"/>
      <c r="IEZ1384" s="7"/>
      <c r="IFA1384" s="7"/>
      <c r="IFB1384" s="7"/>
      <c r="IFC1384" s="7"/>
      <c r="IFD1384" s="7"/>
      <c r="IFE1384" s="7"/>
      <c r="IFF1384" s="7"/>
      <c r="IFG1384" s="7"/>
      <c r="IFH1384" s="7"/>
      <c r="IFI1384" s="7"/>
      <c r="IFJ1384" s="7"/>
      <c r="IFK1384" s="7"/>
      <c r="IFL1384" s="7"/>
      <c r="IFM1384" s="7"/>
      <c r="IFN1384" s="7"/>
      <c r="IFO1384" s="7"/>
      <c r="IFP1384" s="7"/>
      <c r="IFQ1384" s="7"/>
      <c r="IFR1384" s="7"/>
      <c r="IFS1384" s="7"/>
      <c r="IFT1384" s="7"/>
      <c r="IFU1384" s="7"/>
      <c r="IFV1384" s="7"/>
      <c r="IFW1384" s="7"/>
      <c r="IFX1384" s="7"/>
      <c r="IFY1384" s="7"/>
      <c r="IFZ1384" s="7"/>
      <c r="IGA1384" s="7"/>
      <c r="IGB1384" s="7"/>
      <c r="IGC1384" s="7"/>
      <c r="IGD1384" s="7"/>
      <c r="IGE1384" s="7"/>
      <c r="IGF1384" s="7"/>
      <c r="IGG1384" s="7"/>
      <c r="IGH1384" s="7"/>
      <c r="IGI1384" s="7"/>
      <c r="IGJ1384" s="7"/>
      <c r="IGK1384" s="7"/>
      <c r="IGL1384" s="7"/>
      <c r="IGM1384" s="7"/>
      <c r="IGN1384" s="7"/>
      <c r="IGO1384" s="7"/>
      <c r="IGP1384" s="7"/>
      <c r="IGQ1384" s="7"/>
      <c r="IGR1384" s="7"/>
      <c r="IGS1384" s="7"/>
      <c r="IGT1384" s="7"/>
      <c r="IGU1384" s="7"/>
      <c r="IGV1384" s="7"/>
      <c r="IGW1384" s="7"/>
      <c r="IGX1384" s="7"/>
      <c r="IGY1384" s="7"/>
      <c r="IGZ1384" s="7"/>
      <c r="IHA1384" s="7"/>
      <c r="IHB1384" s="7"/>
      <c r="IHC1384" s="7"/>
      <c r="IHD1384" s="7"/>
      <c r="IHE1384" s="7"/>
      <c r="IHF1384" s="7"/>
      <c r="IHG1384" s="7"/>
      <c r="IHH1384" s="7"/>
      <c r="IHI1384" s="7"/>
      <c r="IHJ1384" s="7"/>
      <c r="IHK1384" s="7"/>
      <c r="IHL1384" s="7"/>
      <c r="IHM1384" s="7"/>
      <c r="IHN1384" s="7"/>
      <c r="IHO1384" s="7"/>
      <c r="IHP1384" s="7"/>
      <c r="IHQ1384" s="7"/>
      <c r="IHR1384" s="7"/>
      <c r="IHS1384" s="7"/>
      <c r="IHT1384" s="7"/>
      <c r="IHU1384" s="7"/>
      <c r="IHV1384" s="7"/>
      <c r="IHW1384" s="7"/>
      <c r="IHX1384" s="7"/>
      <c r="IHY1384" s="7"/>
      <c r="IHZ1384" s="7"/>
      <c r="IIA1384" s="7"/>
      <c r="IIB1384" s="7"/>
      <c r="IIC1384" s="7"/>
      <c r="IID1384" s="7"/>
      <c r="IIE1384" s="7"/>
      <c r="IIF1384" s="7"/>
      <c r="IIG1384" s="7"/>
      <c r="IIH1384" s="7"/>
      <c r="III1384" s="7"/>
      <c r="IIJ1384" s="7"/>
      <c r="IIK1384" s="7"/>
      <c r="IIL1384" s="7"/>
      <c r="IIM1384" s="7"/>
      <c r="IIN1384" s="7"/>
      <c r="IIO1384" s="7"/>
      <c r="IIP1384" s="7"/>
      <c r="IIQ1384" s="7"/>
      <c r="IIR1384" s="7"/>
      <c r="IIS1384" s="7"/>
      <c r="IIT1384" s="7"/>
      <c r="IIU1384" s="7"/>
      <c r="IIV1384" s="7"/>
      <c r="IIW1384" s="7"/>
      <c r="IIX1384" s="7"/>
      <c r="IIY1384" s="7"/>
      <c r="IIZ1384" s="7"/>
      <c r="IJA1384" s="7"/>
      <c r="IJB1384" s="7"/>
      <c r="IJC1384" s="7"/>
      <c r="IJD1384" s="7"/>
      <c r="IJE1384" s="7"/>
      <c r="IJF1384" s="7"/>
      <c r="IJG1384" s="7"/>
      <c r="IJH1384" s="7"/>
      <c r="IJI1384" s="7"/>
      <c r="IJJ1384" s="7"/>
      <c r="IJK1384" s="7"/>
      <c r="IJL1384" s="7"/>
      <c r="IJM1384" s="7"/>
      <c r="IJN1384" s="7"/>
      <c r="IJO1384" s="7"/>
      <c r="IJP1384" s="7"/>
      <c r="IJQ1384" s="7"/>
      <c r="IJR1384" s="7"/>
      <c r="IJS1384" s="7"/>
      <c r="IJT1384" s="7"/>
      <c r="IJU1384" s="7"/>
      <c r="IJV1384" s="7"/>
      <c r="IJW1384" s="7"/>
      <c r="IJX1384" s="7"/>
      <c r="IJY1384" s="7"/>
      <c r="IJZ1384" s="7"/>
      <c r="IKA1384" s="7"/>
      <c r="IKB1384" s="7"/>
      <c r="IKC1384" s="7"/>
      <c r="IKD1384" s="7"/>
      <c r="IKE1384" s="7"/>
      <c r="IKF1384" s="7"/>
      <c r="IKG1384" s="7"/>
      <c r="IKH1384" s="7"/>
      <c r="IKI1384" s="7"/>
      <c r="IKJ1384" s="7"/>
      <c r="IKK1384" s="7"/>
      <c r="IKL1384" s="7"/>
      <c r="IKM1384" s="7"/>
      <c r="IKN1384" s="7"/>
      <c r="IKO1384" s="7"/>
      <c r="IKP1384" s="7"/>
      <c r="IKQ1384" s="7"/>
      <c r="IKR1384" s="7"/>
      <c r="IKS1384" s="7"/>
      <c r="IKT1384" s="7"/>
      <c r="IKU1384" s="7"/>
      <c r="IKV1384" s="7"/>
      <c r="IKW1384" s="7"/>
      <c r="IKX1384" s="7"/>
      <c r="IKY1384" s="7"/>
      <c r="IKZ1384" s="7"/>
      <c r="ILA1384" s="7"/>
      <c r="ILB1384" s="7"/>
      <c r="ILC1384" s="7"/>
      <c r="ILD1384" s="7"/>
      <c r="ILE1384" s="7"/>
      <c r="ILF1384" s="7"/>
      <c r="ILG1384" s="7"/>
      <c r="ILH1384" s="7"/>
      <c r="ILI1384" s="7"/>
      <c r="ILJ1384" s="7"/>
      <c r="ILK1384" s="7"/>
      <c r="ILL1384" s="7"/>
      <c r="ILM1384" s="7"/>
      <c r="ILN1384" s="7"/>
      <c r="ILO1384" s="7"/>
      <c r="ILP1384" s="7"/>
      <c r="ILQ1384" s="7"/>
      <c r="ILR1384" s="7"/>
      <c r="ILS1384" s="7"/>
      <c r="ILT1384" s="7"/>
      <c r="ILU1384" s="7"/>
      <c r="ILV1384" s="7"/>
      <c r="ILW1384" s="7"/>
      <c r="ILX1384" s="7"/>
      <c r="ILY1384" s="7"/>
      <c r="ILZ1384" s="7"/>
      <c r="IMA1384" s="7"/>
      <c r="IMB1384" s="7"/>
      <c r="IMC1384" s="7"/>
      <c r="IMD1384" s="7"/>
      <c r="IME1384" s="7"/>
      <c r="IMF1384" s="7"/>
      <c r="IMG1384" s="7"/>
      <c r="IMH1384" s="7"/>
      <c r="IMI1384" s="7"/>
      <c r="IMJ1384" s="7"/>
      <c r="IMK1384" s="7"/>
      <c r="IML1384" s="7"/>
      <c r="IMM1384" s="7"/>
      <c r="IMN1384" s="7"/>
      <c r="IMO1384" s="7"/>
      <c r="IMP1384" s="7"/>
      <c r="IMQ1384" s="7"/>
      <c r="IMR1384" s="7"/>
      <c r="IMS1384" s="7"/>
      <c r="IMT1384" s="7"/>
      <c r="IMU1384" s="7"/>
      <c r="IMV1384" s="7"/>
      <c r="IMW1384" s="7"/>
      <c r="IMX1384" s="7"/>
      <c r="IMY1384" s="7"/>
      <c r="IMZ1384" s="7"/>
      <c r="INA1384" s="7"/>
      <c r="INB1384" s="7"/>
      <c r="INC1384" s="7"/>
      <c r="IND1384" s="7"/>
      <c r="INE1384" s="7"/>
      <c r="INF1384" s="7"/>
      <c r="ING1384" s="7"/>
      <c r="INH1384" s="7"/>
      <c r="INI1384" s="7"/>
      <c r="INJ1384" s="7"/>
      <c r="INK1384" s="7"/>
      <c r="INL1384" s="7"/>
      <c r="INM1384" s="7"/>
      <c r="INN1384" s="7"/>
      <c r="INO1384" s="7"/>
      <c r="INP1384" s="7"/>
      <c r="INQ1384" s="7"/>
      <c r="INR1384" s="7"/>
      <c r="INS1384" s="7"/>
      <c r="INT1384" s="7"/>
      <c r="INU1384" s="7"/>
      <c r="INV1384" s="7"/>
      <c r="INW1384" s="7"/>
      <c r="INX1384" s="7"/>
      <c r="INY1384" s="7"/>
      <c r="INZ1384" s="7"/>
      <c r="IOA1384" s="7"/>
      <c r="IOB1384" s="7"/>
      <c r="IOC1384" s="7"/>
      <c r="IOD1384" s="7"/>
      <c r="IOE1384" s="7"/>
      <c r="IOF1384" s="7"/>
      <c r="IOG1384" s="7"/>
      <c r="IOH1384" s="7"/>
      <c r="IOI1384" s="7"/>
      <c r="IOJ1384" s="7"/>
      <c r="IOK1384" s="7"/>
      <c r="IOL1384" s="7"/>
      <c r="IOM1384" s="7"/>
      <c r="ION1384" s="7"/>
      <c r="IOO1384" s="7"/>
      <c r="IOP1384" s="7"/>
      <c r="IOQ1384" s="7"/>
      <c r="IOR1384" s="7"/>
      <c r="IOS1384" s="7"/>
      <c r="IOT1384" s="7"/>
      <c r="IOU1384" s="7"/>
      <c r="IOV1384" s="7"/>
      <c r="IOW1384" s="7"/>
      <c r="IOX1384" s="7"/>
      <c r="IOY1384" s="7"/>
      <c r="IOZ1384" s="7"/>
      <c r="IPA1384" s="7"/>
      <c r="IPB1384" s="7"/>
      <c r="IPC1384" s="7"/>
      <c r="IPD1384" s="7"/>
      <c r="IPE1384" s="7"/>
      <c r="IPF1384" s="7"/>
      <c r="IPG1384" s="7"/>
      <c r="IPH1384" s="7"/>
      <c r="IPI1384" s="7"/>
      <c r="IPJ1384" s="7"/>
      <c r="IPK1384" s="7"/>
      <c r="IPL1384" s="7"/>
      <c r="IPM1384" s="7"/>
      <c r="IPN1384" s="7"/>
      <c r="IPO1384" s="7"/>
      <c r="IPP1384" s="7"/>
      <c r="IPQ1384" s="7"/>
      <c r="IPR1384" s="7"/>
      <c r="IPS1384" s="7"/>
      <c r="IPT1384" s="7"/>
      <c r="IPU1384" s="7"/>
      <c r="IPV1384" s="7"/>
      <c r="IPW1384" s="7"/>
      <c r="IPX1384" s="7"/>
      <c r="IPY1384" s="7"/>
      <c r="IPZ1384" s="7"/>
      <c r="IQA1384" s="7"/>
      <c r="IQB1384" s="7"/>
      <c r="IQC1384" s="7"/>
      <c r="IQD1384" s="7"/>
      <c r="IQE1384" s="7"/>
      <c r="IQF1384" s="7"/>
      <c r="IQG1384" s="7"/>
      <c r="IQH1384" s="7"/>
      <c r="IQI1384" s="7"/>
      <c r="IQJ1384" s="7"/>
      <c r="IQK1384" s="7"/>
      <c r="IQL1384" s="7"/>
      <c r="IQM1384" s="7"/>
      <c r="IQN1384" s="7"/>
      <c r="IQO1384" s="7"/>
      <c r="IQP1384" s="7"/>
      <c r="IQQ1384" s="7"/>
      <c r="IQR1384" s="7"/>
      <c r="IQS1384" s="7"/>
      <c r="IQT1384" s="7"/>
      <c r="IQU1384" s="7"/>
      <c r="IQV1384" s="7"/>
      <c r="IQW1384" s="7"/>
      <c r="IQX1384" s="7"/>
      <c r="IQY1384" s="7"/>
      <c r="IQZ1384" s="7"/>
      <c r="IRA1384" s="7"/>
      <c r="IRB1384" s="7"/>
      <c r="IRC1384" s="7"/>
      <c r="IRD1384" s="7"/>
      <c r="IRE1384" s="7"/>
      <c r="IRF1384" s="7"/>
      <c r="IRG1384" s="7"/>
      <c r="IRH1384" s="7"/>
      <c r="IRI1384" s="7"/>
      <c r="IRJ1384" s="7"/>
      <c r="IRK1384" s="7"/>
      <c r="IRL1384" s="7"/>
      <c r="IRM1384" s="7"/>
      <c r="IRN1384" s="7"/>
      <c r="IRO1384" s="7"/>
      <c r="IRP1384" s="7"/>
      <c r="IRQ1384" s="7"/>
      <c r="IRR1384" s="7"/>
      <c r="IRS1384" s="7"/>
      <c r="IRT1384" s="7"/>
      <c r="IRU1384" s="7"/>
      <c r="IRV1384" s="7"/>
      <c r="IRW1384" s="7"/>
      <c r="IRX1384" s="7"/>
      <c r="IRY1384" s="7"/>
      <c r="IRZ1384" s="7"/>
      <c r="ISA1384" s="7"/>
      <c r="ISB1384" s="7"/>
      <c r="ISC1384" s="7"/>
      <c r="ISD1384" s="7"/>
      <c r="ISE1384" s="7"/>
      <c r="ISF1384" s="7"/>
      <c r="ISG1384" s="7"/>
      <c r="ISH1384" s="7"/>
      <c r="ISI1384" s="7"/>
      <c r="ISJ1384" s="7"/>
      <c r="ISK1384" s="7"/>
      <c r="ISL1384" s="7"/>
      <c r="ISM1384" s="7"/>
      <c r="ISN1384" s="7"/>
      <c r="ISO1384" s="7"/>
      <c r="ISP1384" s="7"/>
      <c r="ISQ1384" s="7"/>
      <c r="ISR1384" s="7"/>
      <c r="ISS1384" s="7"/>
      <c r="IST1384" s="7"/>
      <c r="ISU1384" s="7"/>
      <c r="ISV1384" s="7"/>
      <c r="ISW1384" s="7"/>
      <c r="ISX1384" s="7"/>
      <c r="ISY1384" s="7"/>
      <c r="ISZ1384" s="7"/>
      <c r="ITA1384" s="7"/>
      <c r="ITB1384" s="7"/>
      <c r="ITC1384" s="7"/>
      <c r="ITD1384" s="7"/>
      <c r="ITE1384" s="7"/>
      <c r="ITF1384" s="7"/>
      <c r="ITG1384" s="7"/>
      <c r="ITH1384" s="7"/>
      <c r="ITI1384" s="7"/>
      <c r="ITJ1384" s="7"/>
      <c r="ITK1384" s="7"/>
      <c r="ITL1384" s="7"/>
      <c r="ITM1384" s="7"/>
      <c r="ITN1384" s="7"/>
      <c r="ITO1384" s="7"/>
      <c r="ITP1384" s="7"/>
      <c r="ITQ1384" s="7"/>
      <c r="ITR1384" s="7"/>
      <c r="ITS1384" s="7"/>
      <c r="ITT1384" s="7"/>
      <c r="ITU1384" s="7"/>
      <c r="ITV1384" s="7"/>
      <c r="ITW1384" s="7"/>
      <c r="ITX1384" s="7"/>
      <c r="ITY1384" s="7"/>
      <c r="ITZ1384" s="7"/>
      <c r="IUA1384" s="7"/>
      <c r="IUB1384" s="7"/>
      <c r="IUC1384" s="7"/>
      <c r="IUD1384" s="7"/>
      <c r="IUE1384" s="7"/>
      <c r="IUF1384" s="7"/>
      <c r="IUG1384" s="7"/>
      <c r="IUH1384" s="7"/>
      <c r="IUI1384" s="7"/>
      <c r="IUJ1384" s="7"/>
      <c r="IUK1384" s="7"/>
      <c r="IUL1384" s="7"/>
      <c r="IUM1384" s="7"/>
      <c r="IUN1384" s="7"/>
      <c r="IUO1384" s="7"/>
      <c r="IUP1384" s="7"/>
      <c r="IUQ1384" s="7"/>
      <c r="IUR1384" s="7"/>
      <c r="IUS1384" s="7"/>
      <c r="IUT1384" s="7"/>
      <c r="IUU1384" s="7"/>
      <c r="IUV1384" s="7"/>
      <c r="IUW1384" s="7"/>
      <c r="IUX1384" s="7"/>
      <c r="IUY1384" s="7"/>
      <c r="IUZ1384" s="7"/>
      <c r="IVA1384" s="7"/>
      <c r="IVB1384" s="7"/>
      <c r="IVC1384" s="7"/>
      <c r="IVD1384" s="7"/>
      <c r="IVE1384" s="7"/>
      <c r="IVF1384" s="7"/>
      <c r="IVG1384" s="7"/>
      <c r="IVH1384" s="7"/>
      <c r="IVI1384" s="7"/>
      <c r="IVJ1384" s="7"/>
      <c r="IVK1384" s="7"/>
      <c r="IVL1384" s="7"/>
      <c r="IVM1384" s="7"/>
      <c r="IVN1384" s="7"/>
      <c r="IVO1384" s="7"/>
      <c r="IVP1384" s="7"/>
      <c r="IVQ1384" s="7"/>
      <c r="IVR1384" s="7"/>
      <c r="IVS1384" s="7"/>
      <c r="IVT1384" s="7"/>
      <c r="IVU1384" s="7"/>
      <c r="IVV1384" s="7"/>
      <c r="IVW1384" s="7"/>
      <c r="IVX1384" s="7"/>
      <c r="IVY1384" s="7"/>
      <c r="IVZ1384" s="7"/>
      <c r="IWA1384" s="7"/>
      <c r="IWB1384" s="7"/>
      <c r="IWC1384" s="7"/>
      <c r="IWD1384" s="7"/>
      <c r="IWE1384" s="7"/>
      <c r="IWF1384" s="7"/>
      <c r="IWG1384" s="7"/>
      <c r="IWH1384" s="7"/>
      <c r="IWI1384" s="7"/>
      <c r="IWJ1384" s="7"/>
      <c r="IWK1384" s="7"/>
      <c r="IWL1384" s="7"/>
      <c r="IWM1384" s="7"/>
      <c r="IWN1384" s="7"/>
      <c r="IWO1384" s="7"/>
      <c r="IWP1384" s="7"/>
      <c r="IWQ1384" s="7"/>
      <c r="IWR1384" s="7"/>
      <c r="IWS1384" s="7"/>
      <c r="IWT1384" s="7"/>
      <c r="IWU1384" s="7"/>
      <c r="IWV1384" s="7"/>
      <c r="IWW1384" s="7"/>
      <c r="IWX1384" s="7"/>
      <c r="IWY1384" s="7"/>
      <c r="IWZ1384" s="7"/>
      <c r="IXA1384" s="7"/>
      <c r="IXB1384" s="7"/>
      <c r="IXC1384" s="7"/>
      <c r="IXD1384" s="7"/>
      <c r="IXE1384" s="7"/>
      <c r="IXF1384" s="7"/>
      <c r="IXG1384" s="7"/>
      <c r="IXH1384" s="7"/>
      <c r="IXI1384" s="7"/>
      <c r="IXJ1384" s="7"/>
      <c r="IXK1384" s="7"/>
      <c r="IXL1384" s="7"/>
      <c r="IXM1384" s="7"/>
      <c r="IXN1384" s="7"/>
      <c r="IXO1384" s="7"/>
      <c r="IXP1384" s="7"/>
      <c r="IXQ1384" s="7"/>
      <c r="IXR1384" s="7"/>
      <c r="IXS1384" s="7"/>
      <c r="IXT1384" s="7"/>
      <c r="IXU1384" s="7"/>
      <c r="IXV1384" s="7"/>
      <c r="IXW1384" s="7"/>
      <c r="IXX1384" s="7"/>
      <c r="IXY1384" s="7"/>
      <c r="IXZ1384" s="7"/>
      <c r="IYA1384" s="7"/>
      <c r="IYB1384" s="7"/>
      <c r="IYC1384" s="7"/>
      <c r="IYD1384" s="7"/>
      <c r="IYE1384" s="7"/>
      <c r="IYF1384" s="7"/>
      <c r="IYG1384" s="7"/>
      <c r="IYH1384" s="7"/>
      <c r="IYI1384" s="7"/>
      <c r="IYJ1384" s="7"/>
      <c r="IYK1384" s="7"/>
      <c r="IYL1384" s="7"/>
      <c r="IYM1384" s="7"/>
      <c r="IYN1384" s="7"/>
      <c r="IYO1384" s="7"/>
      <c r="IYP1384" s="7"/>
      <c r="IYQ1384" s="7"/>
      <c r="IYR1384" s="7"/>
      <c r="IYS1384" s="7"/>
      <c r="IYT1384" s="7"/>
      <c r="IYU1384" s="7"/>
      <c r="IYV1384" s="7"/>
      <c r="IYW1384" s="7"/>
      <c r="IYX1384" s="7"/>
      <c r="IYY1384" s="7"/>
      <c r="IYZ1384" s="7"/>
      <c r="IZA1384" s="7"/>
      <c r="IZB1384" s="7"/>
      <c r="IZC1384" s="7"/>
      <c r="IZD1384" s="7"/>
      <c r="IZE1384" s="7"/>
      <c r="IZF1384" s="7"/>
      <c r="IZG1384" s="7"/>
      <c r="IZH1384" s="7"/>
      <c r="IZI1384" s="7"/>
      <c r="IZJ1384" s="7"/>
      <c r="IZK1384" s="7"/>
      <c r="IZL1384" s="7"/>
      <c r="IZM1384" s="7"/>
      <c r="IZN1384" s="7"/>
      <c r="IZO1384" s="7"/>
      <c r="IZP1384" s="7"/>
      <c r="IZQ1384" s="7"/>
      <c r="IZR1384" s="7"/>
      <c r="IZS1384" s="7"/>
      <c r="IZT1384" s="7"/>
      <c r="IZU1384" s="7"/>
      <c r="IZV1384" s="7"/>
      <c r="IZW1384" s="7"/>
      <c r="IZX1384" s="7"/>
      <c r="IZY1384" s="7"/>
      <c r="IZZ1384" s="7"/>
      <c r="JAA1384" s="7"/>
      <c r="JAB1384" s="7"/>
      <c r="JAC1384" s="7"/>
      <c r="JAD1384" s="7"/>
      <c r="JAE1384" s="7"/>
      <c r="JAF1384" s="7"/>
      <c r="JAG1384" s="7"/>
      <c r="JAH1384" s="7"/>
      <c r="JAI1384" s="7"/>
      <c r="JAJ1384" s="7"/>
      <c r="JAK1384" s="7"/>
      <c r="JAL1384" s="7"/>
      <c r="JAM1384" s="7"/>
      <c r="JAN1384" s="7"/>
      <c r="JAO1384" s="7"/>
      <c r="JAP1384" s="7"/>
      <c r="JAQ1384" s="7"/>
      <c r="JAR1384" s="7"/>
      <c r="JAS1384" s="7"/>
      <c r="JAT1384" s="7"/>
      <c r="JAU1384" s="7"/>
      <c r="JAV1384" s="7"/>
      <c r="JAW1384" s="7"/>
      <c r="JAX1384" s="7"/>
      <c r="JAY1384" s="7"/>
      <c r="JAZ1384" s="7"/>
      <c r="JBA1384" s="7"/>
      <c r="JBB1384" s="7"/>
      <c r="JBC1384" s="7"/>
      <c r="JBD1384" s="7"/>
      <c r="JBE1384" s="7"/>
      <c r="JBF1384" s="7"/>
      <c r="JBG1384" s="7"/>
      <c r="JBH1384" s="7"/>
      <c r="JBI1384" s="7"/>
      <c r="JBJ1384" s="7"/>
      <c r="JBK1384" s="7"/>
      <c r="JBL1384" s="7"/>
      <c r="JBM1384" s="7"/>
      <c r="JBN1384" s="7"/>
      <c r="JBO1384" s="7"/>
      <c r="JBP1384" s="7"/>
      <c r="JBQ1384" s="7"/>
      <c r="JBR1384" s="7"/>
      <c r="JBS1384" s="7"/>
      <c r="JBT1384" s="7"/>
      <c r="JBU1384" s="7"/>
      <c r="JBV1384" s="7"/>
      <c r="JBW1384" s="7"/>
      <c r="JBX1384" s="7"/>
      <c r="JBY1384" s="7"/>
      <c r="JBZ1384" s="7"/>
      <c r="JCA1384" s="7"/>
      <c r="JCB1384" s="7"/>
      <c r="JCC1384" s="7"/>
      <c r="JCD1384" s="7"/>
      <c r="JCE1384" s="7"/>
      <c r="JCF1384" s="7"/>
      <c r="JCG1384" s="7"/>
      <c r="JCH1384" s="7"/>
      <c r="JCI1384" s="7"/>
      <c r="JCJ1384" s="7"/>
      <c r="JCK1384" s="7"/>
      <c r="JCL1384" s="7"/>
      <c r="JCM1384" s="7"/>
      <c r="JCN1384" s="7"/>
      <c r="JCO1384" s="7"/>
      <c r="JCP1384" s="7"/>
      <c r="JCQ1384" s="7"/>
      <c r="JCR1384" s="7"/>
      <c r="JCS1384" s="7"/>
      <c r="JCT1384" s="7"/>
      <c r="JCU1384" s="7"/>
      <c r="JCV1384" s="7"/>
      <c r="JCW1384" s="7"/>
      <c r="JCX1384" s="7"/>
      <c r="JCY1384" s="7"/>
      <c r="JCZ1384" s="7"/>
      <c r="JDA1384" s="7"/>
      <c r="JDB1384" s="7"/>
      <c r="JDC1384" s="7"/>
      <c r="JDD1384" s="7"/>
      <c r="JDE1384" s="7"/>
      <c r="JDF1384" s="7"/>
      <c r="JDG1384" s="7"/>
      <c r="JDH1384" s="7"/>
      <c r="JDI1384" s="7"/>
      <c r="JDJ1384" s="7"/>
      <c r="JDK1384" s="7"/>
      <c r="JDL1384" s="7"/>
      <c r="JDM1384" s="7"/>
      <c r="JDN1384" s="7"/>
      <c r="JDO1384" s="7"/>
      <c r="JDP1384" s="7"/>
      <c r="JDQ1384" s="7"/>
      <c r="JDR1384" s="7"/>
      <c r="JDS1384" s="7"/>
      <c r="JDT1384" s="7"/>
      <c r="JDU1384" s="7"/>
      <c r="JDV1384" s="7"/>
      <c r="JDW1384" s="7"/>
      <c r="JDX1384" s="7"/>
      <c r="JDY1384" s="7"/>
      <c r="JDZ1384" s="7"/>
      <c r="JEA1384" s="7"/>
      <c r="JEB1384" s="7"/>
      <c r="JEC1384" s="7"/>
      <c r="JED1384" s="7"/>
      <c r="JEE1384" s="7"/>
      <c r="JEF1384" s="7"/>
      <c r="JEG1384" s="7"/>
      <c r="JEH1384" s="7"/>
      <c r="JEI1384" s="7"/>
      <c r="JEJ1384" s="7"/>
      <c r="JEK1384" s="7"/>
      <c r="JEL1384" s="7"/>
      <c r="JEM1384" s="7"/>
      <c r="JEN1384" s="7"/>
      <c r="JEO1384" s="7"/>
      <c r="JEP1384" s="7"/>
      <c r="JEQ1384" s="7"/>
      <c r="JER1384" s="7"/>
      <c r="JES1384" s="7"/>
      <c r="JET1384" s="7"/>
      <c r="JEU1384" s="7"/>
      <c r="JEV1384" s="7"/>
      <c r="JEW1384" s="7"/>
      <c r="JEX1384" s="7"/>
      <c r="JEY1384" s="7"/>
      <c r="JEZ1384" s="7"/>
      <c r="JFA1384" s="7"/>
      <c r="JFB1384" s="7"/>
      <c r="JFC1384" s="7"/>
      <c r="JFD1384" s="7"/>
      <c r="JFE1384" s="7"/>
      <c r="JFF1384" s="7"/>
      <c r="JFG1384" s="7"/>
      <c r="JFH1384" s="7"/>
      <c r="JFI1384" s="7"/>
      <c r="JFJ1384" s="7"/>
      <c r="JFK1384" s="7"/>
      <c r="JFL1384" s="7"/>
      <c r="JFM1384" s="7"/>
      <c r="JFN1384" s="7"/>
      <c r="JFO1384" s="7"/>
      <c r="JFP1384" s="7"/>
      <c r="JFQ1384" s="7"/>
      <c r="JFR1384" s="7"/>
      <c r="JFS1384" s="7"/>
      <c r="JFT1384" s="7"/>
      <c r="JFU1384" s="7"/>
      <c r="JFV1384" s="7"/>
      <c r="JFW1384" s="7"/>
      <c r="JFX1384" s="7"/>
      <c r="JFY1384" s="7"/>
      <c r="JFZ1384" s="7"/>
      <c r="JGA1384" s="7"/>
      <c r="JGB1384" s="7"/>
      <c r="JGC1384" s="7"/>
      <c r="JGD1384" s="7"/>
      <c r="JGE1384" s="7"/>
      <c r="JGF1384" s="7"/>
      <c r="JGG1384" s="7"/>
      <c r="JGH1384" s="7"/>
      <c r="JGI1384" s="7"/>
      <c r="JGJ1384" s="7"/>
      <c r="JGK1384" s="7"/>
      <c r="JGL1384" s="7"/>
      <c r="JGM1384" s="7"/>
      <c r="JGN1384" s="7"/>
      <c r="JGO1384" s="7"/>
      <c r="JGP1384" s="7"/>
      <c r="JGQ1384" s="7"/>
      <c r="JGR1384" s="7"/>
      <c r="JGS1384" s="7"/>
      <c r="JGT1384" s="7"/>
      <c r="JGU1384" s="7"/>
      <c r="JGV1384" s="7"/>
      <c r="JGW1384" s="7"/>
      <c r="JGX1384" s="7"/>
      <c r="JGY1384" s="7"/>
      <c r="JGZ1384" s="7"/>
      <c r="JHA1384" s="7"/>
      <c r="JHB1384" s="7"/>
      <c r="JHC1384" s="7"/>
      <c r="JHD1384" s="7"/>
      <c r="JHE1384" s="7"/>
      <c r="JHF1384" s="7"/>
      <c r="JHG1384" s="7"/>
      <c r="JHH1384" s="7"/>
      <c r="JHI1384" s="7"/>
      <c r="JHJ1384" s="7"/>
      <c r="JHK1384" s="7"/>
      <c r="JHL1384" s="7"/>
      <c r="JHM1384" s="7"/>
      <c r="JHN1384" s="7"/>
      <c r="JHO1384" s="7"/>
      <c r="JHP1384" s="7"/>
      <c r="JHQ1384" s="7"/>
      <c r="JHR1384" s="7"/>
      <c r="JHS1384" s="7"/>
      <c r="JHT1384" s="7"/>
      <c r="JHU1384" s="7"/>
      <c r="JHV1384" s="7"/>
      <c r="JHW1384" s="7"/>
      <c r="JHX1384" s="7"/>
      <c r="JHY1384" s="7"/>
      <c r="JHZ1384" s="7"/>
      <c r="JIA1384" s="7"/>
      <c r="JIB1384" s="7"/>
      <c r="JIC1384" s="7"/>
      <c r="JID1384" s="7"/>
      <c r="JIE1384" s="7"/>
      <c r="JIF1384" s="7"/>
      <c r="JIG1384" s="7"/>
      <c r="JIH1384" s="7"/>
      <c r="JII1384" s="7"/>
      <c r="JIJ1384" s="7"/>
      <c r="JIK1384" s="7"/>
      <c r="JIL1384" s="7"/>
      <c r="JIM1384" s="7"/>
      <c r="JIN1384" s="7"/>
      <c r="JIO1384" s="7"/>
      <c r="JIP1384" s="7"/>
      <c r="JIQ1384" s="7"/>
      <c r="JIR1384" s="7"/>
      <c r="JIS1384" s="7"/>
      <c r="JIT1384" s="7"/>
      <c r="JIU1384" s="7"/>
      <c r="JIV1384" s="7"/>
      <c r="JIW1384" s="7"/>
      <c r="JIX1384" s="7"/>
      <c r="JIY1384" s="7"/>
      <c r="JIZ1384" s="7"/>
      <c r="JJA1384" s="7"/>
      <c r="JJB1384" s="7"/>
      <c r="JJC1384" s="7"/>
      <c r="JJD1384" s="7"/>
      <c r="JJE1384" s="7"/>
      <c r="JJF1384" s="7"/>
      <c r="JJG1384" s="7"/>
      <c r="JJH1384" s="7"/>
      <c r="JJI1384" s="7"/>
      <c r="JJJ1384" s="7"/>
      <c r="JJK1384" s="7"/>
      <c r="JJL1384" s="7"/>
      <c r="JJM1384" s="7"/>
      <c r="JJN1384" s="7"/>
      <c r="JJO1384" s="7"/>
      <c r="JJP1384" s="7"/>
      <c r="JJQ1384" s="7"/>
      <c r="JJR1384" s="7"/>
      <c r="JJS1384" s="7"/>
      <c r="JJT1384" s="7"/>
      <c r="JJU1384" s="7"/>
      <c r="JJV1384" s="7"/>
      <c r="JJW1384" s="7"/>
      <c r="JJX1384" s="7"/>
      <c r="JJY1384" s="7"/>
      <c r="JJZ1384" s="7"/>
      <c r="JKA1384" s="7"/>
      <c r="JKB1384" s="7"/>
      <c r="JKC1384" s="7"/>
      <c r="JKD1384" s="7"/>
      <c r="JKE1384" s="7"/>
      <c r="JKF1384" s="7"/>
      <c r="JKG1384" s="7"/>
      <c r="JKH1384" s="7"/>
      <c r="JKI1384" s="7"/>
      <c r="JKJ1384" s="7"/>
      <c r="JKK1384" s="7"/>
      <c r="JKL1384" s="7"/>
      <c r="JKM1384" s="7"/>
      <c r="JKN1384" s="7"/>
      <c r="JKO1384" s="7"/>
      <c r="JKP1384" s="7"/>
      <c r="JKQ1384" s="7"/>
      <c r="JKR1384" s="7"/>
      <c r="JKS1384" s="7"/>
      <c r="JKT1384" s="7"/>
      <c r="JKU1384" s="7"/>
      <c r="JKV1384" s="7"/>
      <c r="JKW1384" s="7"/>
      <c r="JKX1384" s="7"/>
      <c r="JKY1384" s="7"/>
      <c r="JKZ1384" s="7"/>
      <c r="JLA1384" s="7"/>
      <c r="JLB1384" s="7"/>
      <c r="JLC1384" s="7"/>
      <c r="JLD1384" s="7"/>
      <c r="JLE1384" s="7"/>
      <c r="JLF1384" s="7"/>
      <c r="JLG1384" s="7"/>
      <c r="JLH1384" s="7"/>
      <c r="JLI1384" s="7"/>
      <c r="JLJ1384" s="7"/>
      <c r="JLK1384" s="7"/>
      <c r="JLL1384" s="7"/>
      <c r="JLM1384" s="7"/>
      <c r="JLN1384" s="7"/>
      <c r="JLO1384" s="7"/>
      <c r="JLP1384" s="7"/>
      <c r="JLQ1384" s="7"/>
      <c r="JLR1384" s="7"/>
      <c r="JLS1384" s="7"/>
      <c r="JLT1384" s="7"/>
      <c r="JLU1384" s="7"/>
      <c r="JLV1384" s="7"/>
      <c r="JLW1384" s="7"/>
      <c r="JLX1384" s="7"/>
      <c r="JLY1384" s="7"/>
      <c r="JLZ1384" s="7"/>
      <c r="JMA1384" s="7"/>
      <c r="JMB1384" s="7"/>
      <c r="JMC1384" s="7"/>
      <c r="JMD1384" s="7"/>
      <c r="JME1384" s="7"/>
      <c r="JMF1384" s="7"/>
      <c r="JMG1384" s="7"/>
      <c r="JMH1384" s="7"/>
      <c r="JMI1384" s="7"/>
      <c r="JMJ1384" s="7"/>
      <c r="JMK1384" s="7"/>
      <c r="JML1384" s="7"/>
      <c r="JMM1384" s="7"/>
      <c r="JMN1384" s="7"/>
      <c r="JMO1384" s="7"/>
      <c r="JMP1384" s="7"/>
      <c r="JMQ1384" s="7"/>
      <c r="JMR1384" s="7"/>
      <c r="JMS1384" s="7"/>
      <c r="JMT1384" s="7"/>
      <c r="JMU1384" s="7"/>
      <c r="JMV1384" s="7"/>
      <c r="JMW1384" s="7"/>
      <c r="JMX1384" s="7"/>
      <c r="JMY1384" s="7"/>
      <c r="JMZ1384" s="7"/>
      <c r="JNA1384" s="7"/>
      <c r="JNB1384" s="7"/>
      <c r="JNC1384" s="7"/>
      <c r="JND1384" s="7"/>
      <c r="JNE1384" s="7"/>
      <c r="JNF1384" s="7"/>
      <c r="JNG1384" s="7"/>
      <c r="JNH1384" s="7"/>
      <c r="JNI1384" s="7"/>
      <c r="JNJ1384" s="7"/>
      <c r="JNK1384" s="7"/>
      <c r="JNL1384" s="7"/>
      <c r="JNM1384" s="7"/>
      <c r="JNN1384" s="7"/>
      <c r="JNO1384" s="7"/>
      <c r="JNP1384" s="7"/>
      <c r="JNQ1384" s="7"/>
      <c r="JNR1384" s="7"/>
      <c r="JNS1384" s="7"/>
      <c r="JNT1384" s="7"/>
      <c r="JNU1384" s="7"/>
      <c r="JNV1384" s="7"/>
      <c r="JNW1384" s="7"/>
      <c r="JNX1384" s="7"/>
      <c r="JNY1384" s="7"/>
      <c r="JNZ1384" s="7"/>
      <c r="JOA1384" s="7"/>
      <c r="JOB1384" s="7"/>
      <c r="JOC1384" s="7"/>
      <c r="JOD1384" s="7"/>
      <c r="JOE1384" s="7"/>
      <c r="JOF1384" s="7"/>
      <c r="JOG1384" s="7"/>
      <c r="JOH1384" s="7"/>
      <c r="JOI1384" s="7"/>
      <c r="JOJ1384" s="7"/>
      <c r="JOK1384" s="7"/>
      <c r="JOL1384" s="7"/>
      <c r="JOM1384" s="7"/>
      <c r="JON1384" s="7"/>
      <c r="JOO1384" s="7"/>
      <c r="JOP1384" s="7"/>
      <c r="JOQ1384" s="7"/>
      <c r="JOR1384" s="7"/>
      <c r="JOS1384" s="7"/>
      <c r="JOT1384" s="7"/>
      <c r="JOU1384" s="7"/>
      <c r="JOV1384" s="7"/>
      <c r="JOW1384" s="7"/>
      <c r="JOX1384" s="7"/>
      <c r="JOY1384" s="7"/>
      <c r="JOZ1384" s="7"/>
      <c r="JPA1384" s="7"/>
      <c r="JPB1384" s="7"/>
      <c r="JPC1384" s="7"/>
      <c r="JPD1384" s="7"/>
      <c r="JPE1384" s="7"/>
      <c r="JPF1384" s="7"/>
      <c r="JPG1384" s="7"/>
      <c r="JPH1384" s="7"/>
      <c r="JPI1384" s="7"/>
      <c r="JPJ1384" s="7"/>
      <c r="JPK1384" s="7"/>
      <c r="JPL1384" s="7"/>
      <c r="JPM1384" s="7"/>
      <c r="JPN1384" s="7"/>
      <c r="JPO1384" s="7"/>
      <c r="JPP1384" s="7"/>
      <c r="JPQ1384" s="7"/>
      <c r="JPR1384" s="7"/>
      <c r="JPS1384" s="7"/>
      <c r="JPT1384" s="7"/>
      <c r="JPU1384" s="7"/>
      <c r="JPV1384" s="7"/>
      <c r="JPW1384" s="7"/>
      <c r="JPX1384" s="7"/>
      <c r="JPY1384" s="7"/>
      <c r="JPZ1384" s="7"/>
      <c r="JQA1384" s="7"/>
      <c r="JQB1384" s="7"/>
      <c r="JQC1384" s="7"/>
      <c r="JQD1384" s="7"/>
      <c r="JQE1384" s="7"/>
      <c r="JQF1384" s="7"/>
      <c r="JQG1384" s="7"/>
      <c r="JQH1384" s="7"/>
      <c r="JQI1384" s="7"/>
      <c r="JQJ1384" s="7"/>
      <c r="JQK1384" s="7"/>
      <c r="JQL1384" s="7"/>
      <c r="JQM1384" s="7"/>
      <c r="JQN1384" s="7"/>
      <c r="JQO1384" s="7"/>
      <c r="JQP1384" s="7"/>
      <c r="JQQ1384" s="7"/>
      <c r="JQR1384" s="7"/>
      <c r="JQS1384" s="7"/>
      <c r="JQT1384" s="7"/>
      <c r="JQU1384" s="7"/>
      <c r="JQV1384" s="7"/>
      <c r="JQW1384" s="7"/>
      <c r="JQX1384" s="7"/>
      <c r="JQY1384" s="7"/>
      <c r="JQZ1384" s="7"/>
      <c r="JRA1384" s="7"/>
      <c r="JRB1384" s="7"/>
      <c r="JRC1384" s="7"/>
      <c r="JRD1384" s="7"/>
      <c r="JRE1384" s="7"/>
      <c r="JRF1384" s="7"/>
      <c r="JRG1384" s="7"/>
      <c r="JRH1384" s="7"/>
      <c r="JRI1384" s="7"/>
      <c r="JRJ1384" s="7"/>
      <c r="JRK1384" s="7"/>
      <c r="JRL1384" s="7"/>
      <c r="JRM1384" s="7"/>
      <c r="JRN1384" s="7"/>
      <c r="JRO1384" s="7"/>
      <c r="JRP1384" s="7"/>
      <c r="JRQ1384" s="7"/>
      <c r="JRR1384" s="7"/>
      <c r="JRS1384" s="7"/>
      <c r="JRT1384" s="7"/>
      <c r="JRU1384" s="7"/>
      <c r="JRV1384" s="7"/>
      <c r="JRW1384" s="7"/>
      <c r="JRX1384" s="7"/>
      <c r="JRY1384" s="7"/>
      <c r="JRZ1384" s="7"/>
      <c r="JSA1384" s="7"/>
      <c r="JSB1384" s="7"/>
      <c r="JSC1384" s="7"/>
      <c r="JSD1384" s="7"/>
      <c r="JSE1384" s="7"/>
      <c r="JSF1384" s="7"/>
      <c r="JSG1384" s="7"/>
      <c r="JSH1384" s="7"/>
      <c r="JSI1384" s="7"/>
      <c r="JSJ1384" s="7"/>
      <c r="JSK1384" s="7"/>
      <c r="JSL1384" s="7"/>
      <c r="JSM1384" s="7"/>
      <c r="JSN1384" s="7"/>
      <c r="JSO1384" s="7"/>
      <c r="JSP1384" s="7"/>
      <c r="JSQ1384" s="7"/>
      <c r="JSR1384" s="7"/>
      <c r="JSS1384" s="7"/>
      <c r="JST1384" s="7"/>
      <c r="JSU1384" s="7"/>
      <c r="JSV1384" s="7"/>
      <c r="JSW1384" s="7"/>
      <c r="JSX1384" s="7"/>
      <c r="JSY1384" s="7"/>
      <c r="JSZ1384" s="7"/>
      <c r="JTA1384" s="7"/>
      <c r="JTB1384" s="7"/>
      <c r="JTC1384" s="7"/>
      <c r="JTD1384" s="7"/>
      <c r="JTE1384" s="7"/>
      <c r="JTF1384" s="7"/>
      <c r="JTG1384" s="7"/>
      <c r="JTH1384" s="7"/>
      <c r="JTI1384" s="7"/>
      <c r="JTJ1384" s="7"/>
      <c r="JTK1384" s="7"/>
      <c r="JTL1384" s="7"/>
      <c r="JTM1384" s="7"/>
      <c r="JTN1384" s="7"/>
      <c r="JTO1384" s="7"/>
      <c r="JTP1384" s="7"/>
      <c r="JTQ1384" s="7"/>
      <c r="JTR1384" s="7"/>
      <c r="JTS1384" s="7"/>
      <c r="JTT1384" s="7"/>
      <c r="JTU1384" s="7"/>
      <c r="JTV1384" s="7"/>
      <c r="JTW1384" s="7"/>
      <c r="JTX1384" s="7"/>
      <c r="JTY1384" s="7"/>
      <c r="JTZ1384" s="7"/>
      <c r="JUA1384" s="7"/>
      <c r="JUB1384" s="7"/>
      <c r="JUC1384" s="7"/>
      <c r="JUD1384" s="7"/>
      <c r="JUE1384" s="7"/>
      <c r="JUF1384" s="7"/>
      <c r="JUG1384" s="7"/>
      <c r="JUH1384" s="7"/>
      <c r="JUI1384" s="7"/>
      <c r="JUJ1384" s="7"/>
      <c r="JUK1384" s="7"/>
      <c r="JUL1384" s="7"/>
      <c r="JUM1384" s="7"/>
      <c r="JUN1384" s="7"/>
      <c r="JUO1384" s="7"/>
      <c r="JUP1384" s="7"/>
      <c r="JUQ1384" s="7"/>
      <c r="JUR1384" s="7"/>
      <c r="JUS1384" s="7"/>
      <c r="JUT1384" s="7"/>
      <c r="JUU1384" s="7"/>
      <c r="JUV1384" s="7"/>
      <c r="JUW1384" s="7"/>
      <c r="JUX1384" s="7"/>
      <c r="JUY1384" s="7"/>
      <c r="JUZ1384" s="7"/>
      <c r="JVA1384" s="7"/>
      <c r="JVB1384" s="7"/>
      <c r="JVC1384" s="7"/>
      <c r="JVD1384" s="7"/>
      <c r="JVE1384" s="7"/>
      <c r="JVF1384" s="7"/>
      <c r="JVG1384" s="7"/>
      <c r="JVH1384" s="7"/>
      <c r="JVI1384" s="7"/>
      <c r="JVJ1384" s="7"/>
      <c r="JVK1384" s="7"/>
      <c r="JVL1384" s="7"/>
      <c r="JVM1384" s="7"/>
      <c r="JVN1384" s="7"/>
      <c r="JVO1384" s="7"/>
      <c r="JVP1384" s="7"/>
      <c r="JVQ1384" s="7"/>
      <c r="JVR1384" s="7"/>
      <c r="JVS1384" s="7"/>
      <c r="JVT1384" s="7"/>
      <c r="JVU1384" s="7"/>
      <c r="JVV1384" s="7"/>
      <c r="JVW1384" s="7"/>
      <c r="JVX1384" s="7"/>
      <c r="JVY1384" s="7"/>
      <c r="JVZ1384" s="7"/>
      <c r="JWA1384" s="7"/>
      <c r="JWB1384" s="7"/>
      <c r="JWC1384" s="7"/>
      <c r="JWD1384" s="7"/>
      <c r="JWE1384" s="7"/>
      <c r="JWF1384" s="7"/>
      <c r="JWG1384" s="7"/>
      <c r="JWH1384" s="7"/>
      <c r="JWI1384" s="7"/>
      <c r="JWJ1384" s="7"/>
      <c r="JWK1384" s="7"/>
      <c r="JWL1384" s="7"/>
      <c r="JWM1384" s="7"/>
      <c r="JWN1384" s="7"/>
      <c r="JWO1384" s="7"/>
      <c r="JWP1384" s="7"/>
      <c r="JWQ1384" s="7"/>
      <c r="JWR1384" s="7"/>
      <c r="JWS1384" s="7"/>
      <c r="JWT1384" s="7"/>
      <c r="JWU1384" s="7"/>
      <c r="JWV1384" s="7"/>
      <c r="JWW1384" s="7"/>
      <c r="JWX1384" s="7"/>
      <c r="JWY1384" s="7"/>
      <c r="JWZ1384" s="7"/>
      <c r="JXA1384" s="7"/>
      <c r="JXB1384" s="7"/>
      <c r="JXC1384" s="7"/>
      <c r="JXD1384" s="7"/>
      <c r="JXE1384" s="7"/>
      <c r="JXF1384" s="7"/>
      <c r="JXG1384" s="7"/>
      <c r="JXH1384" s="7"/>
      <c r="JXI1384" s="7"/>
      <c r="JXJ1384" s="7"/>
      <c r="JXK1384" s="7"/>
      <c r="JXL1384" s="7"/>
      <c r="JXM1384" s="7"/>
      <c r="JXN1384" s="7"/>
      <c r="JXO1384" s="7"/>
      <c r="JXP1384" s="7"/>
      <c r="JXQ1384" s="7"/>
      <c r="JXR1384" s="7"/>
      <c r="JXS1384" s="7"/>
      <c r="JXT1384" s="7"/>
      <c r="JXU1384" s="7"/>
      <c r="JXV1384" s="7"/>
      <c r="JXW1384" s="7"/>
      <c r="JXX1384" s="7"/>
      <c r="JXY1384" s="7"/>
      <c r="JXZ1384" s="7"/>
      <c r="JYA1384" s="7"/>
      <c r="JYB1384" s="7"/>
      <c r="JYC1384" s="7"/>
      <c r="JYD1384" s="7"/>
      <c r="JYE1384" s="7"/>
      <c r="JYF1384" s="7"/>
      <c r="JYG1384" s="7"/>
      <c r="JYH1384" s="7"/>
      <c r="JYI1384" s="7"/>
      <c r="JYJ1384" s="7"/>
      <c r="JYK1384" s="7"/>
      <c r="JYL1384" s="7"/>
      <c r="JYM1384" s="7"/>
      <c r="JYN1384" s="7"/>
      <c r="JYO1384" s="7"/>
      <c r="JYP1384" s="7"/>
      <c r="JYQ1384" s="7"/>
      <c r="JYR1384" s="7"/>
      <c r="JYS1384" s="7"/>
      <c r="JYT1384" s="7"/>
      <c r="JYU1384" s="7"/>
      <c r="JYV1384" s="7"/>
      <c r="JYW1384" s="7"/>
      <c r="JYX1384" s="7"/>
      <c r="JYY1384" s="7"/>
      <c r="JYZ1384" s="7"/>
      <c r="JZA1384" s="7"/>
      <c r="JZB1384" s="7"/>
      <c r="JZC1384" s="7"/>
      <c r="JZD1384" s="7"/>
      <c r="JZE1384" s="7"/>
      <c r="JZF1384" s="7"/>
      <c r="JZG1384" s="7"/>
      <c r="JZH1384" s="7"/>
      <c r="JZI1384" s="7"/>
      <c r="JZJ1384" s="7"/>
      <c r="JZK1384" s="7"/>
      <c r="JZL1384" s="7"/>
      <c r="JZM1384" s="7"/>
      <c r="JZN1384" s="7"/>
      <c r="JZO1384" s="7"/>
      <c r="JZP1384" s="7"/>
      <c r="JZQ1384" s="7"/>
      <c r="JZR1384" s="7"/>
      <c r="JZS1384" s="7"/>
      <c r="JZT1384" s="7"/>
      <c r="JZU1384" s="7"/>
      <c r="JZV1384" s="7"/>
      <c r="JZW1384" s="7"/>
      <c r="JZX1384" s="7"/>
      <c r="JZY1384" s="7"/>
      <c r="JZZ1384" s="7"/>
      <c r="KAA1384" s="7"/>
      <c r="KAB1384" s="7"/>
      <c r="KAC1384" s="7"/>
      <c r="KAD1384" s="7"/>
      <c r="KAE1384" s="7"/>
      <c r="KAF1384" s="7"/>
      <c r="KAG1384" s="7"/>
      <c r="KAH1384" s="7"/>
      <c r="KAI1384" s="7"/>
      <c r="KAJ1384" s="7"/>
      <c r="KAK1384" s="7"/>
      <c r="KAL1384" s="7"/>
      <c r="KAM1384" s="7"/>
      <c r="KAN1384" s="7"/>
      <c r="KAO1384" s="7"/>
      <c r="KAP1384" s="7"/>
      <c r="KAQ1384" s="7"/>
      <c r="KAR1384" s="7"/>
      <c r="KAS1384" s="7"/>
      <c r="KAT1384" s="7"/>
      <c r="KAU1384" s="7"/>
      <c r="KAV1384" s="7"/>
      <c r="KAW1384" s="7"/>
      <c r="KAX1384" s="7"/>
      <c r="KAY1384" s="7"/>
      <c r="KAZ1384" s="7"/>
      <c r="KBA1384" s="7"/>
      <c r="KBB1384" s="7"/>
      <c r="KBC1384" s="7"/>
      <c r="KBD1384" s="7"/>
      <c r="KBE1384" s="7"/>
      <c r="KBF1384" s="7"/>
      <c r="KBG1384" s="7"/>
      <c r="KBH1384" s="7"/>
      <c r="KBI1384" s="7"/>
      <c r="KBJ1384" s="7"/>
      <c r="KBK1384" s="7"/>
      <c r="KBL1384" s="7"/>
      <c r="KBM1384" s="7"/>
      <c r="KBN1384" s="7"/>
      <c r="KBO1384" s="7"/>
      <c r="KBP1384" s="7"/>
      <c r="KBQ1384" s="7"/>
      <c r="KBR1384" s="7"/>
      <c r="KBS1384" s="7"/>
      <c r="KBT1384" s="7"/>
      <c r="KBU1384" s="7"/>
      <c r="KBV1384" s="7"/>
      <c r="KBW1384" s="7"/>
      <c r="KBX1384" s="7"/>
      <c r="KBY1384" s="7"/>
      <c r="KBZ1384" s="7"/>
      <c r="KCA1384" s="7"/>
      <c r="KCB1384" s="7"/>
      <c r="KCC1384" s="7"/>
      <c r="KCD1384" s="7"/>
      <c r="KCE1384" s="7"/>
      <c r="KCF1384" s="7"/>
      <c r="KCG1384" s="7"/>
      <c r="KCH1384" s="7"/>
      <c r="KCI1384" s="7"/>
      <c r="KCJ1384" s="7"/>
      <c r="KCK1384" s="7"/>
      <c r="KCL1384" s="7"/>
      <c r="KCM1384" s="7"/>
      <c r="KCN1384" s="7"/>
      <c r="KCO1384" s="7"/>
      <c r="KCP1384" s="7"/>
      <c r="KCQ1384" s="7"/>
      <c r="KCR1384" s="7"/>
      <c r="KCS1384" s="7"/>
      <c r="KCT1384" s="7"/>
      <c r="KCU1384" s="7"/>
      <c r="KCV1384" s="7"/>
      <c r="KCW1384" s="7"/>
      <c r="KCX1384" s="7"/>
      <c r="KCY1384" s="7"/>
      <c r="KCZ1384" s="7"/>
      <c r="KDA1384" s="7"/>
      <c r="KDB1384" s="7"/>
      <c r="KDC1384" s="7"/>
      <c r="KDD1384" s="7"/>
      <c r="KDE1384" s="7"/>
      <c r="KDF1384" s="7"/>
      <c r="KDG1384" s="7"/>
      <c r="KDH1384" s="7"/>
      <c r="KDI1384" s="7"/>
      <c r="KDJ1384" s="7"/>
      <c r="KDK1384" s="7"/>
      <c r="KDL1384" s="7"/>
      <c r="KDM1384" s="7"/>
      <c r="KDN1384" s="7"/>
      <c r="KDO1384" s="7"/>
      <c r="KDP1384" s="7"/>
      <c r="KDQ1384" s="7"/>
      <c r="KDR1384" s="7"/>
      <c r="KDS1384" s="7"/>
      <c r="KDT1384" s="7"/>
      <c r="KDU1384" s="7"/>
      <c r="KDV1384" s="7"/>
      <c r="KDW1384" s="7"/>
      <c r="KDX1384" s="7"/>
      <c r="KDY1384" s="7"/>
      <c r="KDZ1384" s="7"/>
      <c r="KEA1384" s="7"/>
      <c r="KEB1384" s="7"/>
      <c r="KEC1384" s="7"/>
      <c r="KED1384" s="7"/>
      <c r="KEE1384" s="7"/>
      <c r="KEF1384" s="7"/>
      <c r="KEG1384" s="7"/>
      <c r="KEH1384" s="7"/>
      <c r="KEI1384" s="7"/>
      <c r="KEJ1384" s="7"/>
      <c r="KEK1384" s="7"/>
      <c r="KEL1384" s="7"/>
      <c r="KEM1384" s="7"/>
      <c r="KEN1384" s="7"/>
      <c r="KEO1384" s="7"/>
      <c r="KEP1384" s="7"/>
      <c r="KEQ1384" s="7"/>
      <c r="KER1384" s="7"/>
      <c r="KES1384" s="7"/>
      <c r="KET1384" s="7"/>
      <c r="KEU1384" s="7"/>
      <c r="KEV1384" s="7"/>
      <c r="KEW1384" s="7"/>
      <c r="KEX1384" s="7"/>
      <c r="KEY1384" s="7"/>
      <c r="KEZ1384" s="7"/>
      <c r="KFA1384" s="7"/>
      <c r="KFB1384" s="7"/>
      <c r="KFC1384" s="7"/>
      <c r="KFD1384" s="7"/>
      <c r="KFE1384" s="7"/>
      <c r="KFF1384" s="7"/>
      <c r="KFG1384" s="7"/>
      <c r="KFH1384" s="7"/>
      <c r="KFI1384" s="7"/>
      <c r="KFJ1384" s="7"/>
      <c r="KFK1384" s="7"/>
      <c r="KFL1384" s="7"/>
      <c r="KFM1384" s="7"/>
      <c r="KFN1384" s="7"/>
      <c r="KFO1384" s="7"/>
      <c r="KFP1384" s="7"/>
      <c r="KFQ1384" s="7"/>
      <c r="KFR1384" s="7"/>
      <c r="KFS1384" s="7"/>
      <c r="KFT1384" s="7"/>
      <c r="KFU1384" s="7"/>
      <c r="KFV1384" s="7"/>
      <c r="KFW1384" s="7"/>
      <c r="KFX1384" s="7"/>
      <c r="KFY1384" s="7"/>
      <c r="KFZ1384" s="7"/>
      <c r="KGA1384" s="7"/>
      <c r="KGB1384" s="7"/>
      <c r="KGC1384" s="7"/>
      <c r="KGD1384" s="7"/>
      <c r="KGE1384" s="7"/>
      <c r="KGF1384" s="7"/>
      <c r="KGG1384" s="7"/>
      <c r="KGH1384" s="7"/>
      <c r="KGI1384" s="7"/>
      <c r="KGJ1384" s="7"/>
      <c r="KGK1384" s="7"/>
      <c r="KGL1384" s="7"/>
      <c r="KGM1384" s="7"/>
      <c r="KGN1384" s="7"/>
      <c r="KGO1384" s="7"/>
      <c r="KGP1384" s="7"/>
      <c r="KGQ1384" s="7"/>
      <c r="KGR1384" s="7"/>
      <c r="KGS1384" s="7"/>
      <c r="KGT1384" s="7"/>
      <c r="KGU1384" s="7"/>
      <c r="KGV1384" s="7"/>
      <c r="KGW1384" s="7"/>
      <c r="KGX1384" s="7"/>
      <c r="KGY1384" s="7"/>
      <c r="KGZ1384" s="7"/>
      <c r="KHA1384" s="7"/>
      <c r="KHB1384" s="7"/>
      <c r="KHC1384" s="7"/>
      <c r="KHD1384" s="7"/>
      <c r="KHE1384" s="7"/>
      <c r="KHF1384" s="7"/>
      <c r="KHG1384" s="7"/>
      <c r="KHH1384" s="7"/>
      <c r="KHI1384" s="7"/>
      <c r="KHJ1384" s="7"/>
      <c r="KHK1384" s="7"/>
      <c r="KHL1384" s="7"/>
      <c r="KHM1384" s="7"/>
      <c r="KHN1384" s="7"/>
      <c r="KHO1384" s="7"/>
      <c r="KHP1384" s="7"/>
      <c r="KHQ1384" s="7"/>
      <c r="KHR1384" s="7"/>
      <c r="KHS1384" s="7"/>
      <c r="KHT1384" s="7"/>
      <c r="KHU1384" s="7"/>
      <c r="KHV1384" s="7"/>
      <c r="KHW1384" s="7"/>
      <c r="KHX1384" s="7"/>
      <c r="KHY1384" s="7"/>
      <c r="KHZ1384" s="7"/>
      <c r="KIA1384" s="7"/>
      <c r="KIB1384" s="7"/>
      <c r="KIC1384" s="7"/>
      <c r="KID1384" s="7"/>
      <c r="KIE1384" s="7"/>
      <c r="KIF1384" s="7"/>
      <c r="KIG1384" s="7"/>
      <c r="KIH1384" s="7"/>
      <c r="KII1384" s="7"/>
      <c r="KIJ1384" s="7"/>
      <c r="KIK1384" s="7"/>
      <c r="KIL1384" s="7"/>
      <c r="KIM1384" s="7"/>
      <c r="KIN1384" s="7"/>
      <c r="KIO1384" s="7"/>
      <c r="KIP1384" s="7"/>
      <c r="KIQ1384" s="7"/>
      <c r="KIR1384" s="7"/>
      <c r="KIS1384" s="7"/>
      <c r="KIT1384" s="7"/>
      <c r="KIU1384" s="7"/>
      <c r="KIV1384" s="7"/>
      <c r="KIW1384" s="7"/>
      <c r="KIX1384" s="7"/>
      <c r="KIY1384" s="7"/>
      <c r="KIZ1384" s="7"/>
      <c r="KJA1384" s="7"/>
      <c r="KJB1384" s="7"/>
      <c r="KJC1384" s="7"/>
      <c r="KJD1384" s="7"/>
      <c r="KJE1384" s="7"/>
      <c r="KJF1384" s="7"/>
      <c r="KJG1384" s="7"/>
      <c r="KJH1384" s="7"/>
      <c r="KJI1384" s="7"/>
      <c r="KJJ1384" s="7"/>
      <c r="KJK1384" s="7"/>
      <c r="KJL1384" s="7"/>
      <c r="KJM1384" s="7"/>
      <c r="KJN1384" s="7"/>
      <c r="KJO1384" s="7"/>
      <c r="KJP1384" s="7"/>
      <c r="KJQ1384" s="7"/>
      <c r="KJR1384" s="7"/>
      <c r="KJS1384" s="7"/>
      <c r="KJT1384" s="7"/>
      <c r="KJU1384" s="7"/>
      <c r="KJV1384" s="7"/>
      <c r="KJW1384" s="7"/>
      <c r="KJX1384" s="7"/>
      <c r="KJY1384" s="7"/>
      <c r="KJZ1384" s="7"/>
      <c r="KKA1384" s="7"/>
      <c r="KKB1384" s="7"/>
      <c r="KKC1384" s="7"/>
      <c r="KKD1384" s="7"/>
      <c r="KKE1384" s="7"/>
      <c r="KKF1384" s="7"/>
      <c r="KKG1384" s="7"/>
      <c r="KKH1384" s="7"/>
      <c r="KKI1384" s="7"/>
      <c r="KKJ1384" s="7"/>
      <c r="KKK1384" s="7"/>
      <c r="KKL1384" s="7"/>
      <c r="KKM1384" s="7"/>
      <c r="KKN1384" s="7"/>
      <c r="KKO1384" s="7"/>
      <c r="KKP1384" s="7"/>
      <c r="KKQ1384" s="7"/>
      <c r="KKR1384" s="7"/>
      <c r="KKS1384" s="7"/>
      <c r="KKT1384" s="7"/>
      <c r="KKU1384" s="7"/>
      <c r="KKV1384" s="7"/>
      <c r="KKW1384" s="7"/>
      <c r="KKX1384" s="7"/>
      <c r="KKY1384" s="7"/>
      <c r="KKZ1384" s="7"/>
      <c r="KLA1384" s="7"/>
      <c r="KLB1384" s="7"/>
      <c r="KLC1384" s="7"/>
      <c r="KLD1384" s="7"/>
      <c r="KLE1384" s="7"/>
      <c r="KLF1384" s="7"/>
      <c r="KLG1384" s="7"/>
      <c r="KLH1384" s="7"/>
      <c r="KLI1384" s="7"/>
      <c r="KLJ1384" s="7"/>
      <c r="KLK1384" s="7"/>
      <c r="KLL1384" s="7"/>
      <c r="KLM1384" s="7"/>
      <c r="KLN1384" s="7"/>
      <c r="KLO1384" s="7"/>
      <c r="KLP1384" s="7"/>
      <c r="KLQ1384" s="7"/>
      <c r="KLR1384" s="7"/>
      <c r="KLS1384" s="7"/>
      <c r="KLT1384" s="7"/>
      <c r="KLU1384" s="7"/>
      <c r="KLV1384" s="7"/>
      <c r="KLW1384" s="7"/>
      <c r="KLX1384" s="7"/>
      <c r="KLY1384" s="7"/>
      <c r="KLZ1384" s="7"/>
      <c r="KMA1384" s="7"/>
      <c r="KMB1384" s="7"/>
      <c r="KMC1384" s="7"/>
      <c r="KMD1384" s="7"/>
      <c r="KME1384" s="7"/>
      <c r="KMF1384" s="7"/>
      <c r="KMG1384" s="7"/>
      <c r="KMH1384" s="7"/>
      <c r="KMI1384" s="7"/>
      <c r="KMJ1384" s="7"/>
      <c r="KMK1384" s="7"/>
      <c r="KML1384" s="7"/>
      <c r="KMM1384" s="7"/>
      <c r="KMN1384" s="7"/>
      <c r="KMO1384" s="7"/>
      <c r="KMP1384" s="7"/>
      <c r="KMQ1384" s="7"/>
      <c r="KMR1384" s="7"/>
      <c r="KMS1384" s="7"/>
      <c r="KMT1384" s="7"/>
      <c r="KMU1384" s="7"/>
      <c r="KMV1384" s="7"/>
      <c r="KMW1384" s="7"/>
      <c r="KMX1384" s="7"/>
      <c r="KMY1384" s="7"/>
      <c r="KMZ1384" s="7"/>
      <c r="KNA1384" s="7"/>
      <c r="KNB1384" s="7"/>
      <c r="KNC1384" s="7"/>
      <c r="KND1384" s="7"/>
      <c r="KNE1384" s="7"/>
      <c r="KNF1384" s="7"/>
      <c r="KNG1384" s="7"/>
      <c r="KNH1384" s="7"/>
      <c r="KNI1384" s="7"/>
      <c r="KNJ1384" s="7"/>
      <c r="KNK1384" s="7"/>
      <c r="KNL1384" s="7"/>
      <c r="KNM1384" s="7"/>
      <c r="KNN1384" s="7"/>
      <c r="KNO1384" s="7"/>
      <c r="KNP1384" s="7"/>
      <c r="KNQ1384" s="7"/>
      <c r="KNR1384" s="7"/>
      <c r="KNS1384" s="7"/>
      <c r="KNT1384" s="7"/>
      <c r="KNU1384" s="7"/>
      <c r="KNV1384" s="7"/>
      <c r="KNW1384" s="7"/>
      <c r="KNX1384" s="7"/>
      <c r="KNY1384" s="7"/>
      <c r="KNZ1384" s="7"/>
      <c r="KOA1384" s="7"/>
      <c r="KOB1384" s="7"/>
      <c r="KOC1384" s="7"/>
      <c r="KOD1384" s="7"/>
      <c r="KOE1384" s="7"/>
      <c r="KOF1384" s="7"/>
      <c r="KOG1384" s="7"/>
      <c r="KOH1384" s="7"/>
      <c r="KOI1384" s="7"/>
      <c r="KOJ1384" s="7"/>
      <c r="KOK1384" s="7"/>
      <c r="KOL1384" s="7"/>
      <c r="KOM1384" s="7"/>
      <c r="KON1384" s="7"/>
      <c r="KOO1384" s="7"/>
      <c r="KOP1384" s="7"/>
      <c r="KOQ1384" s="7"/>
      <c r="KOR1384" s="7"/>
      <c r="KOS1384" s="7"/>
      <c r="KOT1384" s="7"/>
      <c r="KOU1384" s="7"/>
      <c r="KOV1384" s="7"/>
      <c r="KOW1384" s="7"/>
      <c r="KOX1384" s="7"/>
      <c r="KOY1384" s="7"/>
      <c r="KOZ1384" s="7"/>
      <c r="KPA1384" s="7"/>
      <c r="KPB1384" s="7"/>
      <c r="KPC1384" s="7"/>
      <c r="KPD1384" s="7"/>
      <c r="KPE1384" s="7"/>
      <c r="KPF1384" s="7"/>
      <c r="KPG1384" s="7"/>
      <c r="KPH1384" s="7"/>
      <c r="KPI1384" s="7"/>
      <c r="KPJ1384" s="7"/>
      <c r="KPK1384" s="7"/>
      <c r="KPL1384" s="7"/>
      <c r="KPM1384" s="7"/>
      <c r="KPN1384" s="7"/>
      <c r="KPO1384" s="7"/>
      <c r="KPP1384" s="7"/>
      <c r="KPQ1384" s="7"/>
      <c r="KPR1384" s="7"/>
      <c r="KPS1384" s="7"/>
      <c r="KPT1384" s="7"/>
      <c r="KPU1384" s="7"/>
      <c r="KPV1384" s="7"/>
      <c r="KPW1384" s="7"/>
      <c r="KPX1384" s="7"/>
      <c r="KPY1384" s="7"/>
      <c r="KPZ1384" s="7"/>
      <c r="KQA1384" s="7"/>
      <c r="KQB1384" s="7"/>
      <c r="KQC1384" s="7"/>
      <c r="KQD1384" s="7"/>
      <c r="KQE1384" s="7"/>
      <c r="KQF1384" s="7"/>
      <c r="KQG1384" s="7"/>
      <c r="KQH1384" s="7"/>
      <c r="KQI1384" s="7"/>
      <c r="KQJ1384" s="7"/>
      <c r="KQK1384" s="7"/>
      <c r="KQL1384" s="7"/>
      <c r="KQM1384" s="7"/>
      <c r="KQN1384" s="7"/>
      <c r="KQO1384" s="7"/>
      <c r="KQP1384" s="7"/>
      <c r="KQQ1384" s="7"/>
      <c r="KQR1384" s="7"/>
      <c r="KQS1384" s="7"/>
      <c r="KQT1384" s="7"/>
      <c r="KQU1384" s="7"/>
      <c r="KQV1384" s="7"/>
      <c r="KQW1384" s="7"/>
      <c r="KQX1384" s="7"/>
      <c r="KQY1384" s="7"/>
      <c r="KQZ1384" s="7"/>
      <c r="KRA1384" s="7"/>
      <c r="KRB1384" s="7"/>
      <c r="KRC1384" s="7"/>
      <c r="KRD1384" s="7"/>
      <c r="KRE1384" s="7"/>
      <c r="KRF1384" s="7"/>
      <c r="KRG1384" s="7"/>
      <c r="KRH1384" s="7"/>
      <c r="KRI1384" s="7"/>
      <c r="KRJ1384" s="7"/>
      <c r="KRK1384" s="7"/>
      <c r="KRL1384" s="7"/>
      <c r="KRM1384" s="7"/>
      <c r="KRN1384" s="7"/>
      <c r="KRO1384" s="7"/>
      <c r="KRP1384" s="7"/>
      <c r="KRQ1384" s="7"/>
      <c r="KRR1384" s="7"/>
      <c r="KRS1384" s="7"/>
      <c r="KRT1384" s="7"/>
      <c r="KRU1384" s="7"/>
      <c r="KRV1384" s="7"/>
      <c r="KRW1384" s="7"/>
      <c r="KRX1384" s="7"/>
      <c r="KRY1384" s="7"/>
      <c r="KRZ1384" s="7"/>
      <c r="KSA1384" s="7"/>
      <c r="KSB1384" s="7"/>
      <c r="KSC1384" s="7"/>
      <c r="KSD1384" s="7"/>
      <c r="KSE1384" s="7"/>
      <c r="KSF1384" s="7"/>
      <c r="KSG1384" s="7"/>
      <c r="KSH1384" s="7"/>
      <c r="KSI1384" s="7"/>
      <c r="KSJ1384" s="7"/>
      <c r="KSK1384" s="7"/>
      <c r="KSL1384" s="7"/>
      <c r="KSM1384" s="7"/>
      <c r="KSN1384" s="7"/>
      <c r="KSO1384" s="7"/>
      <c r="KSP1384" s="7"/>
      <c r="KSQ1384" s="7"/>
      <c r="KSR1384" s="7"/>
      <c r="KSS1384" s="7"/>
      <c r="KST1384" s="7"/>
      <c r="KSU1384" s="7"/>
      <c r="KSV1384" s="7"/>
      <c r="KSW1384" s="7"/>
      <c r="KSX1384" s="7"/>
      <c r="KSY1384" s="7"/>
      <c r="KSZ1384" s="7"/>
      <c r="KTA1384" s="7"/>
      <c r="KTB1384" s="7"/>
      <c r="KTC1384" s="7"/>
      <c r="KTD1384" s="7"/>
      <c r="KTE1384" s="7"/>
      <c r="KTF1384" s="7"/>
      <c r="KTG1384" s="7"/>
      <c r="KTH1384" s="7"/>
      <c r="KTI1384" s="7"/>
      <c r="KTJ1384" s="7"/>
      <c r="KTK1384" s="7"/>
      <c r="KTL1384" s="7"/>
      <c r="KTM1384" s="7"/>
      <c r="KTN1384" s="7"/>
      <c r="KTO1384" s="7"/>
      <c r="KTP1384" s="7"/>
      <c r="KTQ1384" s="7"/>
      <c r="KTR1384" s="7"/>
      <c r="KTS1384" s="7"/>
      <c r="KTT1384" s="7"/>
      <c r="KTU1384" s="7"/>
      <c r="KTV1384" s="7"/>
      <c r="KTW1384" s="7"/>
      <c r="KTX1384" s="7"/>
      <c r="KTY1384" s="7"/>
      <c r="KTZ1384" s="7"/>
      <c r="KUA1384" s="7"/>
      <c r="KUB1384" s="7"/>
      <c r="KUC1384" s="7"/>
      <c r="KUD1384" s="7"/>
      <c r="KUE1384" s="7"/>
      <c r="KUF1384" s="7"/>
      <c r="KUG1384" s="7"/>
      <c r="KUH1384" s="7"/>
      <c r="KUI1384" s="7"/>
      <c r="KUJ1384" s="7"/>
      <c r="KUK1384" s="7"/>
      <c r="KUL1384" s="7"/>
      <c r="KUM1384" s="7"/>
      <c r="KUN1384" s="7"/>
      <c r="KUO1384" s="7"/>
      <c r="KUP1384" s="7"/>
      <c r="KUQ1384" s="7"/>
      <c r="KUR1384" s="7"/>
      <c r="KUS1384" s="7"/>
      <c r="KUT1384" s="7"/>
      <c r="KUU1384" s="7"/>
      <c r="KUV1384" s="7"/>
      <c r="KUW1384" s="7"/>
      <c r="KUX1384" s="7"/>
      <c r="KUY1384" s="7"/>
      <c r="KUZ1384" s="7"/>
      <c r="KVA1384" s="7"/>
      <c r="KVB1384" s="7"/>
      <c r="KVC1384" s="7"/>
      <c r="KVD1384" s="7"/>
      <c r="KVE1384" s="7"/>
      <c r="KVF1384" s="7"/>
      <c r="KVG1384" s="7"/>
      <c r="KVH1384" s="7"/>
      <c r="KVI1384" s="7"/>
      <c r="KVJ1384" s="7"/>
      <c r="KVK1384" s="7"/>
      <c r="KVL1384" s="7"/>
      <c r="KVM1384" s="7"/>
      <c r="KVN1384" s="7"/>
      <c r="KVO1384" s="7"/>
      <c r="KVP1384" s="7"/>
      <c r="KVQ1384" s="7"/>
      <c r="KVR1384" s="7"/>
      <c r="KVS1384" s="7"/>
      <c r="KVT1384" s="7"/>
      <c r="KVU1384" s="7"/>
      <c r="KVV1384" s="7"/>
      <c r="KVW1384" s="7"/>
      <c r="KVX1384" s="7"/>
      <c r="KVY1384" s="7"/>
      <c r="KVZ1384" s="7"/>
      <c r="KWA1384" s="7"/>
      <c r="KWB1384" s="7"/>
      <c r="KWC1384" s="7"/>
      <c r="KWD1384" s="7"/>
      <c r="KWE1384" s="7"/>
      <c r="KWF1384" s="7"/>
      <c r="KWG1384" s="7"/>
      <c r="KWH1384" s="7"/>
      <c r="KWI1384" s="7"/>
      <c r="KWJ1384" s="7"/>
      <c r="KWK1384" s="7"/>
      <c r="KWL1384" s="7"/>
      <c r="KWM1384" s="7"/>
      <c r="KWN1384" s="7"/>
      <c r="KWO1384" s="7"/>
      <c r="KWP1384" s="7"/>
      <c r="KWQ1384" s="7"/>
      <c r="KWR1384" s="7"/>
      <c r="KWS1384" s="7"/>
      <c r="KWT1384" s="7"/>
      <c r="KWU1384" s="7"/>
      <c r="KWV1384" s="7"/>
      <c r="KWW1384" s="7"/>
      <c r="KWX1384" s="7"/>
      <c r="KWY1384" s="7"/>
      <c r="KWZ1384" s="7"/>
      <c r="KXA1384" s="7"/>
      <c r="KXB1384" s="7"/>
      <c r="KXC1384" s="7"/>
      <c r="KXD1384" s="7"/>
      <c r="KXE1384" s="7"/>
      <c r="KXF1384" s="7"/>
      <c r="KXG1384" s="7"/>
      <c r="KXH1384" s="7"/>
      <c r="KXI1384" s="7"/>
      <c r="KXJ1384" s="7"/>
      <c r="KXK1384" s="7"/>
      <c r="KXL1384" s="7"/>
      <c r="KXM1384" s="7"/>
      <c r="KXN1384" s="7"/>
      <c r="KXO1384" s="7"/>
      <c r="KXP1384" s="7"/>
      <c r="KXQ1384" s="7"/>
      <c r="KXR1384" s="7"/>
      <c r="KXS1384" s="7"/>
      <c r="KXT1384" s="7"/>
      <c r="KXU1384" s="7"/>
      <c r="KXV1384" s="7"/>
      <c r="KXW1384" s="7"/>
      <c r="KXX1384" s="7"/>
      <c r="KXY1384" s="7"/>
      <c r="KXZ1384" s="7"/>
      <c r="KYA1384" s="7"/>
      <c r="KYB1384" s="7"/>
      <c r="KYC1384" s="7"/>
      <c r="KYD1384" s="7"/>
      <c r="KYE1384" s="7"/>
      <c r="KYF1384" s="7"/>
      <c r="KYG1384" s="7"/>
      <c r="KYH1384" s="7"/>
      <c r="KYI1384" s="7"/>
      <c r="KYJ1384" s="7"/>
      <c r="KYK1384" s="7"/>
      <c r="KYL1384" s="7"/>
      <c r="KYM1384" s="7"/>
      <c r="KYN1384" s="7"/>
      <c r="KYO1384" s="7"/>
      <c r="KYP1384" s="7"/>
      <c r="KYQ1384" s="7"/>
      <c r="KYR1384" s="7"/>
      <c r="KYS1384" s="7"/>
      <c r="KYT1384" s="7"/>
      <c r="KYU1384" s="7"/>
      <c r="KYV1384" s="7"/>
      <c r="KYW1384" s="7"/>
      <c r="KYX1384" s="7"/>
      <c r="KYY1384" s="7"/>
      <c r="KYZ1384" s="7"/>
      <c r="KZA1384" s="7"/>
      <c r="KZB1384" s="7"/>
      <c r="KZC1384" s="7"/>
      <c r="KZD1384" s="7"/>
      <c r="KZE1384" s="7"/>
      <c r="KZF1384" s="7"/>
      <c r="KZG1384" s="7"/>
      <c r="KZH1384" s="7"/>
      <c r="KZI1384" s="7"/>
      <c r="KZJ1384" s="7"/>
      <c r="KZK1384" s="7"/>
      <c r="KZL1384" s="7"/>
      <c r="KZM1384" s="7"/>
      <c r="KZN1384" s="7"/>
      <c r="KZO1384" s="7"/>
      <c r="KZP1384" s="7"/>
      <c r="KZQ1384" s="7"/>
      <c r="KZR1384" s="7"/>
      <c r="KZS1384" s="7"/>
      <c r="KZT1384" s="7"/>
      <c r="KZU1384" s="7"/>
      <c r="KZV1384" s="7"/>
      <c r="KZW1384" s="7"/>
      <c r="KZX1384" s="7"/>
      <c r="KZY1384" s="7"/>
      <c r="KZZ1384" s="7"/>
      <c r="LAA1384" s="7"/>
      <c r="LAB1384" s="7"/>
      <c r="LAC1384" s="7"/>
      <c r="LAD1384" s="7"/>
      <c r="LAE1384" s="7"/>
      <c r="LAF1384" s="7"/>
      <c r="LAG1384" s="7"/>
      <c r="LAH1384" s="7"/>
      <c r="LAI1384" s="7"/>
      <c r="LAJ1384" s="7"/>
      <c r="LAK1384" s="7"/>
      <c r="LAL1384" s="7"/>
      <c r="LAM1384" s="7"/>
      <c r="LAN1384" s="7"/>
      <c r="LAO1384" s="7"/>
      <c r="LAP1384" s="7"/>
      <c r="LAQ1384" s="7"/>
      <c r="LAR1384" s="7"/>
      <c r="LAS1384" s="7"/>
      <c r="LAT1384" s="7"/>
      <c r="LAU1384" s="7"/>
      <c r="LAV1384" s="7"/>
      <c r="LAW1384" s="7"/>
      <c r="LAX1384" s="7"/>
      <c r="LAY1384" s="7"/>
      <c r="LAZ1384" s="7"/>
      <c r="LBA1384" s="7"/>
      <c r="LBB1384" s="7"/>
      <c r="LBC1384" s="7"/>
      <c r="LBD1384" s="7"/>
      <c r="LBE1384" s="7"/>
      <c r="LBF1384" s="7"/>
      <c r="LBG1384" s="7"/>
      <c r="LBH1384" s="7"/>
      <c r="LBI1384" s="7"/>
      <c r="LBJ1384" s="7"/>
      <c r="LBK1384" s="7"/>
      <c r="LBL1384" s="7"/>
      <c r="LBM1384" s="7"/>
      <c r="LBN1384" s="7"/>
      <c r="LBO1384" s="7"/>
      <c r="LBP1384" s="7"/>
      <c r="LBQ1384" s="7"/>
      <c r="LBR1384" s="7"/>
      <c r="LBS1384" s="7"/>
      <c r="LBT1384" s="7"/>
      <c r="LBU1384" s="7"/>
      <c r="LBV1384" s="7"/>
      <c r="LBW1384" s="7"/>
      <c r="LBX1384" s="7"/>
      <c r="LBY1384" s="7"/>
      <c r="LBZ1384" s="7"/>
      <c r="LCA1384" s="7"/>
      <c r="LCB1384" s="7"/>
      <c r="LCC1384" s="7"/>
      <c r="LCD1384" s="7"/>
      <c r="LCE1384" s="7"/>
      <c r="LCF1384" s="7"/>
      <c r="LCG1384" s="7"/>
      <c r="LCH1384" s="7"/>
      <c r="LCI1384" s="7"/>
      <c r="LCJ1384" s="7"/>
      <c r="LCK1384" s="7"/>
      <c r="LCL1384" s="7"/>
      <c r="LCM1384" s="7"/>
      <c r="LCN1384" s="7"/>
      <c r="LCO1384" s="7"/>
      <c r="LCP1384" s="7"/>
      <c r="LCQ1384" s="7"/>
      <c r="LCR1384" s="7"/>
      <c r="LCS1384" s="7"/>
      <c r="LCT1384" s="7"/>
      <c r="LCU1384" s="7"/>
      <c r="LCV1384" s="7"/>
      <c r="LCW1384" s="7"/>
      <c r="LCX1384" s="7"/>
      <c r="LCY1384" s="7"/>
      <c r="LCZ1384" s="7"/>
      <c r="LDA1384" s="7"/>
      <c r="LDB1384" s="7"/>
      <c r="LDC1384" s="7"/>
      <c r="LDD1384" s="7"/>
      <c r="LDE1384" s="7"/>
      <c r="LDF1384" s="7"/>
      <c r="LDG1384" s="7"/>
      <c r="LDH1384" s="7"/>
      <c r="LDI1384" s="7"/>
      <c r="LDJ1384" s="7"/>
      <c r="LDK1384" s="7"/>
      <c r="LDL1384" s="7"/>
      <c r="LDM1384" s="7"/>
      <c r="LDN1384" s="7"/>
      <c r="LDO1384" s="7"/>
      <c r="LDP1384" s="7"/>
      <c r="LDQ1384" s="7"/>
      <c r="LDR1384" s="7"/>
      <c r="LDS1384" s="7"/>
      <c r="LDT1384" s="7"/>
      <c r="LDU1384" s="7"/>
      <c r="LDV1384" s="7"/>
      <c r="LDW1384" s="7"/>
      <c r="LDX1384" s="7"/>
      <c r="LDY1384" s="7"/>
      <c r="LDZ1384" s="7"/>
      <c r="LEA1384" s="7"/>
      <c r="LEB1384" s="7"/>
      <c r="LEC1384" s="7"/>
      <c r="LED1384" s="7"/>
      <c r="LEE1384" s="7"/>
      <c r="LEF1384" s="7"/>
      <c r="LEG1384" s="7"/>
      <c r="LEH1384" s="7"/>
      <c r="LEI1384" s="7"/>
      <c r="LEJ1384" s="7"/>
      <c r="LEK1384" s="7"/>
      <c r="LEL1384" s="7"/>
      <c r="LEM1384" s="7"/>
      <c r="LEN1384" s="7"/>
      <c r="LEO1384" s="7"/>
      <c r="LEP1384" s="7"/>
      <c r="LEQ1384" s="7"/>
      <c r="LER1384" s="7"/>
      <c r="LES1384" s="7"/>
      <c r="LET1384" s="7"/>
      <c r="LEU1384" s="7"/>
      <c r="LEV1384" s="7"/>
      <c r="LEW1384" s="7"/>
      <c r="LEX1384" s="7"/>
      <c r="LEY1384" s="7"/>
      <c r="LEZ1384" s="7"/>
      <c r="LFA1384" s="7"/>
      <c r="LFB1384" s="7"/>
      <c r="LFC1384" s="7"/>
      <c r="LFD1384" s="7"/>
      <c r="LFE1384" s="7"/>
      <c r="LFF1384" s="7"/>
      <c r="LFG1384" s="7"/>
      <c r="LFH1384" s="7"/>
      <c r="LFI1384" s="7"/>
      <c r="LFJ1384" s="7"/>
      <c r="LFK1384" s="7"/>
      <c r="LFL1384" s="7"/>
      <c r="LFM1384" s="7"/>
      <c r="LFN1384" s="7"/>
      <c r="LFO1384" s="7"/>
      <c r="LFP1384" s="7"/>
      <c r="LFQ1384" s="7"/>
      <c r="LFR1384" s="7"/>
      <c r="LFS1384" s="7"/>
      <c r="LFT1384" s="7"/>
      <c r="LFU1384" s="7"/>
      <c r="LFV1384" s="7"/>
      <c r="LFW1384" s="7"/>
      <c r="LFX1384" s="7"/>
      <c r="LFY1384" s="7"/>
      <c r="LFZ1384" s="7"/>
      <c r="LGA1384" s="7"/>
      <c r="LGB1384" s="7"/>
      <c r="LGC1384" s="7"/>
      <c r="LGD1384" s="7"/>
      <c r="LGE1384" s="7"/>
      <c r="LGF1384" s="7"/>
      <c r="LGG1384" s="7"/>
      <c r="LGH1384" s="7"/>
      <c r="LGI1384" s="7"/>
      <c r="LGJ1384" s="7"/>
      <c r="LGK1384" s="7"/>
      <c r="LGL1384" s="7"/>
      <c r="LGM1384" s="7"/>
      <c r="LGN1384" s="7"/>
      <c r="LGO1384" s="7"/>
      <c r="LGP1384" s="7"/>
      <c r="LGQ1384" s="7"/>
      <c r="LGR1384" s="7"/>
      <c r="LGS1384" s="7"/>
      <c r="LGT1384" s="7"/>
      <c r="LGU1384" s="7"/>
      <c r="LGV1384" s="7"/>
      <c r="LGW1384" s="7"/>
      <c r="LGX1384" s="7"/>
      <c r="LGY1384" s="7"/>
      <c r="LGZ1384" s="7"/>
      <c r="LHA1384" s="7"/>
      <c r="LHB1384" s="7"/>
      <c r="LHC1384" s="7"/>
      <c r="LHD1384" s="7"/>
      <c r="LHE1384" s="7"/>
      <c r="LHF1384" s="7"/>
      <c r="LHG1384" s="7"/>
      <c r="LHH1384" s="7"/>
      <c r="LHI1384" s="7"/>
      <c r="LHJ1384" s="7"/>
      <c r="LHK1384" s="7"/>
      <c r="LHL1384" s="7"/>
      <c r="LHM1384" s="7"/>
      <c r="LHN1384" s="7"/>
      <c r="LHO1384" s="7"/>
      <c r="LHP1384" s="7"/>
      <c r="LHQ1384" s="7"/>
      <c r="LHR1384" s="7"/>
      <c r="LHS1384" s="7"/>
      <c r="LHT1384" s="7"/>
      <c r="LHU1384" s="7"/>
      <c r="LHV1384" s="7"/>
      <c r="LHW1384" s="7"/>
      <c r="LHX1384" s="7"/>
      <c r="LHY1384" s="7"/>
      <c r="LHZ1384" s="7"/>
      <c r="LIA1384" s="7"/>
      <c r="LIB1384" s="7"/>
      <c r="LIC1384" s="7"/>
      <c r="LID1384" s="7"/>
      <c r="LIE1384" s="7"/>
      <c r="LIF1384" s="7"/>
      <c r="LIG1384" s="7"/>
      <c r="LIH1384" s="7"/>
      <c r="LII1384" s="7"/>
      <c r="LIJ1384" s="7"/>
      <c r="LIK1384" s="7"/>
      <c r="LIL1384" s="7"/>
      <c r="LIM1384" s="7"/>
      <c r="LIN1384" s="7"/>
      <c r="LIO1384" s="7"/>
      <c r="LIP1384" s="7"/>
      <c r="LIQ1384" s="7"/>
      <c r="LIR1384" s="7"/>
      <c r="LIS1384" s="7"/>
      <c r="LIT1384" s="7"/>
      <c r="LIU1384" s="7"/>
      <c r="LIV1384" s="7"/>
      <c r="LIW1384" s="7"/>
      <c r="LIX1384" s="7"/>
      <c r="LIY1384" s="7"/>
      <c r="LIZ1384" s="7"/>
      <c r="LJA1384" s="7"/>
      <c r="LJB1384" s="7"/>
      <c r="LJC1384" s="7"/>
      <c r="LJD1384" s="7"/>
      <c r="LJE1384" s="7"/>
      <c r="LJF1384" s="7"/>
      <c r="LJG1384" s="7"/>
      <c r="LJH1384" s="7"/>
      <c r="LJI1384" s="7"/>
      <c r="LJJ1384" s="7"/>
      <c r="LJK1384" s="7"/>
      <c r="LJL1384" s="7"/>
      <c r="LJM1384" s="7"/>
      <c r="LJN1384" s="7"/>
      <c r="LJO1384" s="7"/>
      <c r="LJP1384" s="7"/>
      <c r="LJQ1384" s="7"/>
      <c r="LJR1384" s="7"/>
      <c r="LJS1384" s="7"/>
      <c r="LJT1384" s="7"/>
      <c r="LJU1384" s="7"/>
      <c r="LJV1384" s="7"/>
      <c r="LJW1384" s="7"/>
      <c r="LJX1384" s="7"/>
      <c r="LJY1384" s="7"/>
      <c r="LJZ1384" s="7"/>
      <c r="LKA1384" s="7"/>
      <c r="LKB1384" s="7"/>
      <c r="LKC1384" s="7"/>
      <c r="LKD1384" s="7"/>
      <c r="LKE1384" s="7"/>
      <c r="LKF1384" s="7"/>
      <c r="LKG1384" s="7"/>
      <c r="LKH1384" s="7"/>
      <c r="LKI1384" s="7"/>
      <c r="LKJ1384" s="7"/>
      <c r="LKK1384" s="7"/>
      <c r="LKL1384" s="7"/>
      <c r="LKM1384" s="7"/>
      <c r="LKN1384" s="7"/>
      <c r="LKO1384" s="7"/>
      <c r="LKP1384" s="7"/>
      <c r="LKQ1384" s="7"/>
      <c r="LKR1384" s="7"/>
      <c r="LKS1384" s="7"/>
      <c r="LKT1384" s="7"/>
      <c r="LKU1384" s="7"/>
      <c r="LKV1384" s="7"/>
      <c r="LKW1384" s="7"/>
      <c r="LKX1384" s="7"/>
      <c r="LKY1384" s="7"/>
      <c r="LKZ1384" s="7"/>
      <c r="LLA1384" s="7"/>
      <c r="LLB1384" s="7"/>
      <c r="LLC1384" s="7"/>
      <c r="LLD1384" s="7"/>
      <c r="LLE1384" s="7"/>
      <c r="LLF1384" s="7"/>
      <c r="LLG1384" s="7"/>
      <c r="LLH1384" s="7"/>
      <c r="LLI1384" s="7"/>
      <c r="LLJ1384" s="7"/>
      <c r="LLK1384" s="7"/>
      <c r="LLL1384" s="7"/>
      <c r="LLM1384" s="7"/>
      <c r="LLN1384" s="7"/>
      <c r="LLO1384" s="7"/>
      <c r="LLP1384" s="7"/>
      <c r="LLQ1384" s="7"/>
      <c r="LLR1384" s="7"/>
      <c r="LLS1384" s="7"/>
      <c r="LLT1384" s="7"/>
      <c r="LLU1384" s="7"/>
      <c r="LLV1384" s="7"/>
      <c r="LLW1384" s="7"/>
      <c r="LLX1384" s="7"/>
      <c r="LLY1384" s="7"/>
      <c r="LLZ1384" s="7"/>
      <c r="LMA1384" s="7"/>
      <c r="LMB1384" s="7"/>
      <c r="LMC1384" s="7"/>
      <c r="LMD1384" s="7"/>
      <c r="LME1384" s="7"/>
      <c r="LMF1384" s="7"/>
      <c r="LMG1384" s="7"/>
      <c r="LMH1384" s="7"/>
      <c r="LMI1384" s="7"/>
      <c r="LMJ1384" s="7"/>
      <c r="LMK1384" s="7"/>
      <c r="LML1384" s="7"/>
      <c r="LMM1384" s="7"/>
      <c r="LMN1384" s="7"/>
      <c r="LMO1384" s="7"/>
      <c r="LMP1384" s="7"/>
      <c r="LMQ1384" s="7"/>
      <c r="LMR1384" s="7"/>
      <c r="LMS1384" s="7"/>
      <c r="LMT1384" s="7"/>
      <c r="LMU1384" s="7"/>
      <c r="LMV1384" s="7"/>
      <c r="LMW1384" s="7"/>
      <c r="LMX1384" s="7"/>
      <c r="LMY1384" s="7"/>
      <c r="LMZ1384" s="7"/>
      <c r="LNA1384" s="7"/>
      <c r="LNB1384" s="7"/>
      <c r="LNC1384" s="7"/>
      <c r="LND1384" s="7"/>
      <c r="LNE1384" s="7"/>
      <c r="LNF1384" s="7"/>
      <c r="LNG1384" s="7"/>
      <c r="LNH1384" s="7"/>
      <c r="LNI1384" s="7"/>
      <c r="LNJ1384" s="7"/>
      <c r="LNK1384" s="7"/>
      <c r="LNL1384" s="7"/>
      <c r="LNM1384" s="7"/>
      <c r="LNN1384" s="7"/>
      <c r="LNO1384" s="7"/>
      <c r="LNP1384" s="7"/>
      <c r="LNQ1384" s="7"/>
      <c r="LNR1384" s="7"/>
      <c r="LNS1384" s="7"/>
      <c r="LNT1384" s="7"/>
      <c r="LNU1384" s="7"/>
      <c r="LNV1384" s="7"/>
      <c r="LNW1384" s="7"/>
      <c r="LNX1384" s="7"/>
      <c r="LNY1384" s="7"/>
      <c r="LNZ1384" s="7"/>
      <c r="LOA1384" s="7"/>
      <c r="LOB1384" s="7"/>
      <c r="LOC1384" s="7"/>
      <c r="LOD1384" s="7"/>
      <c r="LOE1384" s="7"/>
      <c r="LOF1384" s="7"/>
      <c r="LOG1384" s="7"/>
      <c r="LOH1384" s="7"/>
      <c r="LOI1384" s="7"/>
      <c r="LOJ1384" s="7"/>
      <c r="LOK1384" s="7"/>
      <c r="LOL1384" s="7"/>
      <c r="LOM1384" s="7"/>
      <c r="LON1384" s="7"/>
      <c r="LOO1384" s="7"/>
      <c r="LOP1384" s="7"/>
      <c r="LOQ1384" s="7"/>
      <c r="LOR1384" s="7"/>
      <c r="LOS1384" s="7"/>
      <c r="LOT1384" s="7"/>
      <c r="LOU1384" s="7"/>
      <c r="LOV1384" s="7"/>
      <c r="LOW1384" s="7"/>
      <c r="LOX1384" s="7"/>
      <c r="LOY1384" s="7"/>
      <c r="LOZ1384" s="7"/>
      <c r="LPA1384" s="7"/>
      <c r="LPB1384" s="7"/>
      <c r="LPC1384" s="7"/>
      <c r="LPD1384" s="7"/>
      <c r="LPE1384" s="7"/>
      <c r="LPF1384" s="7"/>
      <c r="LPG1384" s="7"/>
      <c r="LPH1384" s="7"/>
      <c r="LPI1384" s="7"/>
      <c r="LPJ1384" s="7"/>
      <c r="LPK1384" s="7"/>
      <c r="LPL1384" s="7"/>
      <c r="LPM1384" s="7"/>
      <c r="LPN1384" s="7"/>
      <c r="LPO1384" s="7"/>
      <c r="LPP1384" s="7"/>
      <c r="LPQ1384" s="7"/>
      <c r="LPR1384" s="7"/>
      <c r="LPS1384" s="7"/>
      <c r="LPT1384" s="7"/>
      <c r="LPU1384" s="7"/>
      <c r="LPV1384" s="7"/>
      <c r="LPW1384" s="7"/>
      <c r="LPX1384" s="7"/>
      <c r="LPY1384" s="7"/>
      <c r="LPZ1384" s="7"/>
      <c r="LQA1384" s="7"/>
      <c r="LQB1384" s="7"/>
      <c r="LQC1384" s="7"/>
      <c r="LQD1384" s="7"/>
      <c r="LQE1384" s="7"/>
      <c r="LQF1384" s="7"/>
      <c r="LQG1384" s="7"/>
      <c r="LQH1384" s="7"/>
      <c r="LQI1384" s="7"/>
      <c r="LQJ1384" s="7"/>
      <c r="LQK1384" s="7"/>
      <c r="LQL1384" s="7"/>
      <c r="LQM1384" s="7"/>
      <c r="LQN1384" s="7"/>
      <c r="LQO1384" s="7"/>
      <c r="LQP1384" s="7"/>
      <c r="LQQ1384" s="7"/>
      <c r="LQR1384" s="7"/>
      <c r="LQS1384" s="7"/>
      <c r="LQT1384" s="7"/>
      <c r="LQU1384" s="7"/>
      <c r="LQV1384" s="7"/>
      <c r="LQW1384" s="7"/>
      <c r="LQX1384" s="7"/>
      <c r="LQY1384" s="7"/>
      <c r="LQZ1384" s="7"/>
      <c r="LRA1384" s="7"/>
      <c r="LRB1384" s="7"/>
      <c r="LRC1384" s="7"/>
      <c r="LRD1384" s="7"/>
      <c r="LRE1384" s="7"/>
      <c r="LRF1384" s="7"/>
      <c r="LRG1384" s="7"/>
      <c r="LRH1384" s="7"/>
      <c r="LRI1384" s="7"/>
      <c r="LRJ1384" s="7"/>
      <c r="LRK1384" s="7"/>
      <c r="LRL1384" s="7"/>
      <c r="LRM1384" s="7"/>
      <c r="LRN1384" s="7"/>
      <c r="LRO1384" s="7"/>
      <c r="LRP1384" s="7"/>
      <c r="LRQ1384" s="7"/>
      <c r="LRR1384" s="7"/>
      <c r="LRS1384" s="7"/>
      <c r="LRT1384" s="7"/>
      <c r="LRU1384" s="7"/>
      <c r="LRV1384" s="7"/>
      <c r="LRW1384" s="7"/>
      <c r="LRX1384" s="7"/>
      <c r="LRY1384" s="7"/>
      <c r="LRZ1384" s="7"/>
      <c r="LSA1384" s="7"/>
      <c r="LSB1384" s="7"/>
      <c r="LSC1384" s="7"/>
      <c r="LSD1384" s="7"/>
      <c r="LSE1384" s="7"/>
      <c r="LSF1384" s="7"/>
      <c r="LSG1384" s="7"/>
      <c r="LSH1384" s="7"/>
      <c r="LSI1384" s="7"/>
      <c r="LSJ1384" s="7"/>
      <c r="LSK1384" s="7"/>
      <c r="LSL1384" s="7"/>
      <c r="LSM1384" s="7"/>
      <c r="LSN1384" s="7"/>
      <c r="LSO1384" s="7"/>
      <c r="LSP1384" s="7"/>
      <c r="LSQ1384" s="7"/>
      <c r="LSR1384" s="7"/>
      <c r="LSS1384" s="7"/>
      <c r="LST1384" s="7"/>
      <c r="LSU1384" s="7"/>
      <c r="LSV1384" s="7"/>
      <c r="LSW1384" s="7"/>
      <c r="LSX1384" s="7"/>
      <c r="LSY1384" s="7"/>
      <c r="LSZ1384" s="7"/>
      <c r="LTA1384" s="7"/>
      <c r="LTB1384" s="7"/>
      <c r="LTC1384" s="7"/>
      <c r="LTD1384" s="7"/>
      <c r="LTE1384" s="7"/>
      <c r="LTF1384" s="7"/>
      <c r="LTG1384" s="7"/>
      <c r="LTH1384" s="7"/>
      <c r="LTI1384" s="7"/>
      <c r="LTJ1384" s="7"/>
      <c r="LTK1384" s="7"/>
      <c r="LTL1384" s="7"/>
      <c r="LTM1384" s="7"/>
      <c r="LTN1384" s="7"/>
      <c r="LTO1384" s="7"/>
      <c r="LTP1384" s="7"/>
      <c r="LTQ1384" s="7"/>
      <c r="LTR1384" s="7"/>
      <c r="LTS1384" s="7"/>
      <c r="LTT1384" s="7"/>
      <c r="LTU1384" s="7"/>
      <c r="LTV1384" s="7"/>
      <c r="LTW1384" s="7"/>
      <c r="LTX1384" s="7"/>
      <c r="LTY1384" s="7"/>
      <c r="LTZ1384" s="7"/>
      <c r="LUA1384" s="7"/>
      <c r="LUB1384" s="7"/>
      <c r="LUC1384" s="7"/>
      <c r="LUD1384" s="7"/>
      <c r="LUE1384" s="7"/>
      <c r="LUF1384" s="7"/>
      <c r="LUG1384" s="7"/>
      <c r="LUH1384" s="7"/>
      <c r="LUI1384" s="7"/>
      <c r="LUJ1384" s="7"/>
      <c r="LUK1384" s="7"/>
      <c r="LUL1384" s="7"/>
      <c r="LUM1384" s="7"/>
      <c r="LUN1384" s="7"/>
      <c r="LUO1384" s="7"/>
      <c r="LUP1384" s="7"/>
      <c r="LUQ1384" s="7"/>
      <c r="LUR1384" s="7"/>
      <c r="LUS1384" s="7"/>
      <c r="LUT1384" s="7"/>
      <c r="LUU1384" s="7"/>
      <c r="LUV1384" s="7"/>
      <c r="LUW1384" s="7"/>
      <c r="LUX1384" s="7"/>
      <c r="LUY1384" s="7"/>
      <c r="LUZ1384" s="7"/>
      <c r="LVA1384" s="7"/>
      <c r="LVB1384" s="7"/>
      <c r="LVC1384" s="7"/>
      <c r="LVD1384" s="7"/>
      <c r="LVE1384" s="7"/>
      <c r="LVF1384" s="7"/>
      <c r="LVG1384" s="7"/>
      <c r="LVH1384" s="7"/>
      <c r="LVI1384" s="7"/>
      <c r="LVJ1384" s="7"/>
      <c r="LVK1384" s="7"/>
      <c r="LVL1384" s="7"/>
      <c r="LVM1384" s="7"/>
      <c r="LVN1384" s="7"/>
      <c r="LVO1384" s="7"/>
      <c r="LVP1384" s="7"/>
      <c r="LVQ1384" s="7"/>
      <c r="LVR1384" s="7"/>
      <c r="LVS1384" s="7"/>
      <c r="LVT1384" s="7"/>
      <c r="LVU1384" s="7"/>
      <c r="LVV1384" s="7"/>
      <c r="LVW1384" s="7"/>
      <c r="LVX1384" s="7"/>
      <c r="LVY1384" s="7"/>
      <c r="LVZ1384" s="7"/>
      <c r="LWA1384" s="7"/>
      <c r="LWB1384" s="7"/>
      <c r="LWC1384" s="7"/>
      <c r="LWD1384" s="7"/>
      <c r="LWE1384" s="7"/>
      <c r="LWF1384" s="7"/>
      <c r="LWG1384" s="7"/>
      <c r="LWH1384" s="7"/>
      <c r="LWI1384" s="7"/>
      <c r="LWJ1384" s="7"/>
      <c r="LWK1384" s="7"/>
      <c r="LWL1384" s="7"/>
      <c r="LWM1384" s="7"/>
      <c r="LWN1384" s="7"/>
      <c r="LWO1384" s="7"/>
      <c r="LWP1384" s="7"/>
      <c r="LWQ1384" s="7"/>
      <c r="LWR1384" s="7"/>
      <c r="LWS1384" s="7"/>
      <c r="LWT1384" s="7"/>
      <c r="LWU1384" s="7"/>
      <c r="LWV1384" s="7"/>
      <c r="LWW1384" s="7"/>
      <c r="LWX1384" s="7"/>
      <c r="LWY1384" s="7"/>
      <c r="LWZ1384" s="7"/>
      <c r="LXA1384" s="7"/>
      <c r="LXB1384" s="7"/>
      <c r="LXC1384" s="7"/>
      <c r="LXD1384" s="7"/>
      <c r="LXE1384" s="7"/>
      <c r="LXF1384" s="7"/>
      <c r="LXG1384" s="7"/>
      <c r="LXH1384" s="7"/>
      <c r="LXI1384" s="7"/>
      <c r="LXJ1384" s="7"/>
      <c r="LXK1384" s="7"/>
      <c r="LXL1384" s="7"/>
      <c r="LXM1384" s="7"/>
      <c r="LXN1384" s="7"/>
      <c r="LXO1384" s="7"/>
      <c r="LXP1384" s="7"/>
      <c r="LXQ1384" s="7"/>
      <c r="LXR1384" s="7"/>
      <c r="LXS1384" s="7"/>
      <c r="LXT1384" s="7"/>
      <c r="LXU1384" s="7"/>
      <c r="LXV1384" s="7"/>
      <c r="LXW1384" s="7"/>
      <c r="LXX1384" s="7"/>
      <c r="LXY1384" s="7"/>
      <c r="LXZ1384" s="7"/>
      <c r="LYA1384" s="7"/>
      <c r="LYB1384" s="7"/>
      <c r="LYC1384" s="7"/>
      <c r="LYD1384" s="7"/>
      <c r="LYE1384" s="7"/>
      <c r="LYF1384" s="7"/>
      <c r="LYG1384" s="7"/>
      <c r="LYH1384" s="7"/>
      <c r="LYI1384" s="7"/>
      <c r="LYJ1384" s="7"/>
      <c r="LYK1384" s="7"/>
      <c r="LYL1384" s="7"/>
      <c r="LYM1384" s="7"/>
      <c r="LYN1384" s="7"/>
      <c r="LYO1384" s="7"/>
      <c r="LYP1384" s="7"/>
      <c r="LYQ1384" s="7"/>
      <c r="LYR1384" s="7"/>
      <c r="LYS1384" s="7"/>
      <c r="LYT1384" s="7"/>
      <c r="LYU1384" s="7"/>
      <c r="LYV1384" s="7"/>
      <c r="LYW1384" s="7"/>
      <c r="LYX1384" s="7"/>
      <c r="LYY1384" s="7"/>
      <c r="LYZ1384" s="7"/>
      <c r="LZA1384" s="7"/>
      <c r="LZB1384" s="7"/>
      <c r="LZC1384" s="7"/>
      <c r="LZD1384" s="7"/>
      <c r="LZE1384" s="7"/>
      <c r="LZF1384" s="7"/>
      <c r="LZG1384" s="7"/>
      <c r="LZH1384" s="7"/>
      <c r="LZI1384" s="7"/>
      <c r="LZJ1384" s="7"/>
      <c r="LZK1384" s="7"/>
      <c r="LZL1384" s="7"/>
      <c r="LZM1384" s="7"/>
      <c r="LZN1384" s="7"/>
      <c r="LZO1384" s="7"/>
      <c r="LZP1384" s="7"/>
      <c r="LZQ1384" s="7"/>
      <c r="LZR1384" s="7"/>
      <c r="LZS1384" s="7"/>
      <c r="LZT1384" s="7"/>
      <c r="LZU1384" s="7"/>
      <c r="LZV1384" s="7"/>
      <c r="LZW1384" s="7"/>
      <c r="LZX1384" s="7"/>
      <c r="LZY1384" s="7"/>
      <c r="LZZ1384" s="7"/>
      <c r="MAA1384" s="7"/>
      <c r="MAB1384" s="7"/>
      <c r="MAC1384" s="7"/>
      <c r="MAD1384" s="7"/>
      <c r="MAE1384" s="7"/>
      <c r="MAF1384" s="7"/>
      <c r="MAG1384" s="7"/>
      <c r="MAH1384" s="7"/>
      <c r="MAI1384" s="7"/>
      <c r="MAJ1384" s="7"/>
      <c r="MAK1384" s="7"/>
      <c r="MAL1384" s="7"/>
      <c r="MAM1384" s="7"/>
      <c r="MAN1384" s="7"/>
      <c r="MAO1384" s="7"/>
      <c r="MAP1384" s="7"/>
      <c r="MAQ1384" s="7"/>
      <c r="MAR1384" s="7"/>
      <c r="MAS1384" s="7"/>
      <c r="MAT1384" s="7"/>
      <c r="MAU1384" s="7"/>
      <c r="MAV1384" s="7"/>
      <c r="MAW1384" s="7"/>
      <c r="MAX1384" s="7"/>
      <c r="MAY1384" s="7"/>
      <c r="MAZ1384" s="7"/>
      <c r="MBA1384" s="7"/>
      <c r="MBB1384" s="7"/>
      <c r="MBC1384" s="7"/>
      <c r="MBD1384" s="7"/>
      <c r="MBE1384" s="7"/>
      <c r="MBF1384" s="7"/>
      <c r="MBG1384" s="7"/>
      <c r="MBH1384" s="7"/>
      <c r="MBI1384" s="7"/>
      <c r="MBJ1384" s="7"/>
      <c r="MBK1384" s="7"/>
      <c r="MBL1384" s="7"/>
      <c r="MBM1384" s="7"/>
      <c r="MBN1384" s="7"/>
      <c r="MBO1384" s="7"/>
      <c r="MBP1384" s="7"/>
      <c r="MBQ1384" s="7"/>
      <c r="MBR1384" s="7"/>
      <c r="MBS1384" s="7"/>
      <c r="MBT1384" s="7"/>
      <c r="MBU1384" s="7"/>
      <c r="MBV1384" s="7"/>
      <c r="MBW1384" s="7"/>
      <c r="MBX1384" s="7"/>
      <c r="MBY1384" s="7"/>
      <c r="MBZ1384" s="7"/>
      <c r="MCA1384" s="7"/>
      <c r="MCB1384" s="7"/>
      <c r="MCC1384" s="7"/>
      <c r="MCD1384" s="7"/>
      <c r="MCE1384" s="7"/>
      <c r="MCF1384" s="7"/>
      <c r="MCG1384" s="7"/>
      <c r="MCH1384" s="7"/>
      <c r="MCI1384" s="7"/>
      <c r="MCJ1384" s="7"/>
      <c r="MCK1384" s="7"/>
      <c r="MCL1384" s="7"/>
      <c r="MCM1384" s="7"/>
      <c r="MCN1384" s="7"/>
      <c r="MCO1384" s="7"/>
      <c r="MCP1384" s="7"/>
      <c r="MCQ1384" s="7"/>
      <c r="MCR1384" s="7"/>
      <c r="MCS1384" s="7"/>
      <c r="MCT1384" s="7"/>
      <c r="MCU1384" s="7"/>
      <c r="MCV1384" s="7"/>
      <c r="MCW1384" s="7"/>
      <c r="MCX1384" s="7"/>
      <c r="MCY1384" s="7"/>
      <c r="MCZ1384" s="7"/>
      <c r="MDA1384" s="7"/>
      <c r="MDB1384" s="7"/>
      <c r="MDC1384" s="7"/>
      <c r="MDD1384" s="7"/>
      <c r="MDE1384" s="7"/>
      <c r="MDF1384" s="7"/>
      <c r="MDG1384" s="7"/>
      <c r="MDH1384" s="7"/>
      <c r="MDI1384" s="7"/>
      <c r="MDJ1384" s="7"/>
      <c r="MDK1384" s="7"/>
      <c r="MDL1384" s="7"/>
      <c r="MDM1384" s="7"/>
      <c r="MDN1384" s="7"/>
      <c r="MDO1384" s="7"/>
      <c r="MDP1384" s="7"/>
      <c r="MDQ1384" s="7"/>
      <c r="MDR1384" s="7"/>
      <c r="MDS1384" s="7"/>
      <c r="MDT1384" s="7"/>
      <c r="MDU1384" s="7"/>
      <c r="MDV1384" s="7"/>
      <c r="MDW1384" s="7"/>
      <c r="MDX1384" s="7"/>
      <c r="MDY1384" s="7"/>
      <c r="MDZ1384" s="7"/>
      <c r="MEA1384" s="7"/>
      <c r="MEB1384" s="7"/>
      <c r="MEC1384" s="7"/>
      <c r="MED1384" s="7"/>
      <c r="MEE1384" s="7"/>
      <c r="MEF1384" s="7"/>
      <c r="MEG1384" s="7"/>
      <c r="MEH1384" s="7"/>
      <c r="MEI1384" s="7"/>
      <c r="MEJ1384" s="7"/>
      <c r="MEK1384" s="7"/>
      <c r="MEL1384" s="7"/>
      <c r="MEM1384" s="7"/>
      <c r="MEN1384" s="7"/>
      <c r="MEO1384" s="7"/>
      <c r="MEP1384" s="7"/>
      <c r="MEQ1384" s="7"/>
      <c r="MER1384" s="7"/>
      <c r="MES1384" s="7"/>
      <c r="MET1384" s="7"/>
      <c r="MEU1384" s="7"/>
      <c r="MEV1384" s="7"/>
      <c r="MEW1384" s="7"/>
      <c r="MEX1384" s="7"/>
      <c r="MEY1384" s="7"/>
      <c r="MEZ1384" s="7"/>
      <c r="MFA1384" s="7"/>
      <c r="MFB1384" s="7"/>
      <c r="MFC1384" s="7"/>
      <c r="MFD1384" s="7"/>
      <c r="MFE1384" s="7"/>
      <c r="MFF1384" s="7"/>
      <c r="MFG1384" s="7"/>
      <c r="MFH1384" s="7"/>
      <c r="MFI1384" s="7"/>
      <c r="MFJ1384" s="7"/>
      <c r="MFK1384" s="7"/>
      <c r="MFL1384" s="7"/>
      <c r="MFM1384" s="7"/>
      <c r="MFN1384" s="7"/>
      <c r="MFO1384" s="7"/>
      <c r="MFP1384" s="7"/>
      <c r="MFQ1384" s="7"/>
      <c r="MFR1384" s="7"/>
      <c r="MFS1384" s="7"/>
      <c r="MFT1384" s="7"/>
      <c r="MFU1384" s="7"/>
      <c r="MFV1384" s="7"/>
      <c r="MFW1384" s="7"/>
      <c r="MFX1384" s="7"/>
      <c r="MFY1384" s="7"/>
      <c r="MFZ1384" s="7"/>
      <c r="MGA1384" s="7"/>
      <c r="MGB1384" s="7"/>
      <c r="MGC1384" s="7"/>
      <c r="MGD1384" s="7"/>
      <c r="MGE1384" s="7"/>
      <c r="MGF1384" s="7"/>
      <c r="MGG1384" s="7"/>
      <c r="MGH1384" s="7"/>
      <c r="MGI1384" s="7"/>
      <c r="MGJ1384" s="7"/>
      <c r="MGK1384" s="7"/>
      <c r="MGL1384" s="7"/>
      <c r="MGM1384" s="7"/>
      <c r="MGN1384" s="7"/>
      <c r="MGO1384" s="7"/>
      <c r="MGP1384" s="7"/>
      <c r="MGQ1384" s="7"/>
      <c r="MGR1384" s="7"/>
      <c r="MGS1384" s="7"/>
      <c r="MGT1384" s="7"/>
      <c r="MGU1384" s="7"/>
      <c r="MGV1384" s="7"/>
      <c r="MGW1384" s="7"/>
      <c r="MGX1384" s="7"/>
      <c r="MGY1384" s="7"/>
      <c r="MGZ1384" s="7"/>
      <c r="MHA1384" s="7"/>
      <c r="MHB1384" s="7"/>
      <c r="MHC1384" s="7"/>
      <c r="MHD1384" s="7"/>
      <c r="MHE1384" s="7"/>
      <c r="MHF1384" s="7"/>
      <c r="MHG1384" s="7"/>
      <c r="MHH1384" s="7"/>
      <c r="MHI1384" s="7"/>
      <c r="MHJ1384" s="7"/>
      <c r="MHK1384" s="7"/>
      <c r="MHL1384" s="7"/>
      <c r="MHM1384" s="7"/>
      <c r="MHN1384" s="7"/>
      <c r="MHO1384" s="7"/>
      <c r="MHP1384" s="7"/>
      <c r="MHQ1384" s="7"/>
      <c r="MHR1384" s="7"/>
      <c r="MHS1384" s="7"/>
      <c r="MHT1384" s="7"/>
      <c r="MHU1384" s="7"/>
      <c r="MHV1384" s="7"/>
      <c r="MHW1384" s="7"/>
      <c r="MHX1384" s="7"/>
      <c r="MHY1384" s="7"/>
      <c r="MHZ1384" s="7"/>
      <c r="MIA1384" s="7"/>
      <c r="MIB1384" s="7"/>
      <c r="MIC1384" s="7"/>
      <c r="MID1384" s="7"/>
      <c r="MIE1384" s="7"/>
      <c r="MIF1384" s="7"/>
      <c r="MIG1384" s="7"/>
      <c r="MIH1384" s="7"/>
      <c r="MII1384" s="7"/>
      <c r="MIJ1384" s="7"/>
      <c r="MIK1384" s="7"/>
      <c r="MIL1384" s="7"/>
      <c r="MIM1384" s="7"/>
      <c r="MIN1384" s="7"/>
      <c r="MIO1384" s="7"/>
      <c r="MIP1384" s="7"/>
      <c r="MIQ1384" s="7"/>
      <c r="MIR1384" s="7"/>
      <c r="MIS1384" s="7"/>
      <c r="MIT1384" s="7"/>
      <c r="MIU1384" s="7"/>
      <c r="MIV1384" s="7"/>
      <c r="MIW1384" s="7"/>
      <c r="MIX1384" s="7"/>
      <c r="MIY1384" s="7"/>
      <c r="MIZ1384" s="7"/>
      <c r="MJA1384" s="7"/>
      <c r="MJB1384" s="7"/>
      <c r="MJC1384" s="7"/>
      <c r="MJD1384" s="7"/>
      <c r="MJE1384" s="7"/>
      <c r="MJF1384" s="7"/>
      <c r="MJG1384" s="7"/>
      <c r="MJH1384" s="7"/>
      <c r="MJI1384" s="7"/>
      <c r="MJJ1384" s="7"/>
      <c r="MJK1384" s="7"/>
      <c r="MJL1384" s="7"/>
      <c r="MJM1384" s="7"/>
      <c r="MJN1384" s="7"/>
      <c r="MJO1384" s="7"/>
      <c r="MJP1384" s="7"/>
      <c r="MJQ1384" s="7"/>
      <c r="MJR1384" s="7"/>
      <c r="MJS1384" s="7"/>
      <c r="MJT1384" s="7"/>
      <c r="MJU1384" s="7"/>
      <c r="MJV1384" s="7"/>
      <c r="MJW1384" s="7"/>
      <c r="MJX1384" s="7"/>
      <c r="MJY1384" s="7"/>
      <c r="MJZ1384" s="7"/>
      <c r="MKA1384" s="7"/>
      <c r="MKB1384" s="7"/>
      <c r="MKC1384" s="7"/>
      <c r="MKD1384" s="7"/>
      <c r="MKE1384" s="7"/>
      <c r="MKF1384" s="7"/>
      <c r="MKG1384" s="7"/>
      <c r="MKH1384" s="7"/>
      <c r="MKI1384" s="7"/>
      <c r="MKJ1384" s="7"/>
      <c r="MKK1384" s="7"/>
      <c r="MKL1384" s="7"/>
      <c r="MKM1384" s="7"/>
      <c r="MKN1384" s="7"/>
      <c r="MKO1384" s="7"/>
      <c r="MKP1384" s="7"/>
      <c r="MKQ1384" s="7"/>
      <c r="MKR1384" s="7"/>
      <c r="MKS1384" s="7"/>
      <c r="MKT1384" s="7"/>
      <c r="MKU1384" s="7"/>
      <c r="MKV1384" s="7"/>
      <c r="MKW1384" s="7"/>
      <c r="MKX1384" s="7"/>
      <c r="MKY1384" s="7"/>
      <c r="MKZ1384" s="7"/>
      <c r="MLA1384" s="7"/>
      <c r="MLB1384" s="7"/>
      <c r="MLC1384" s="7"/>
      <c r="MLD1384" s="7"/>
      <c r="MLE1384" s="7"/>
      <c r="MLF1384" s="7"/>
      <c r="MLG1384" s="7"/>
      <c r="MLH1384" s="7"/>
      <c r="MLI1384" s="7"/>
      <c r="MLJ1384" s="7"/>
      <c r="MLK1384" s="7"/>
      <c r="MLL1384" s="7"/>
      <c r="MLM1384" s="7"/>
      <c r="MLN1384" s="7"/>
      <c r="MLO1384" s="7"/>
      <c r="MLP1384" s="7"/>
      <c r="MLQ1384" s="7"/>
      <c r="MLR1384" s="7"/>
      <c r="MLS1384" s="7"/>
      <c r="MLT1384" s="7"/>
      <c r="MLU1384" s="7"/>
      <c r="MLV1384" s="7"/>
      <c r="MLW1384" s="7"/>
      <c r="MLX1384" s="7"/>
      <c r="MLY1384" s="7"/>
      <c r="MLZ1384" s="7"/>
      <c r="MMA1384" s="7"/>
      <c r="MMB1384" s="7"/>
      <c r="MMC1384" s="7"/>
      <c r="MMD1384" s="7"/>
      <c r="MME1384" s="7"/>
      <c r="MMF1384" s="7"/>
      <c r="MMG1384" s="7"/>
      <c r="MMH1384" s="7"/>
      <c r="MMI1384" s="7"/>
      <c r="MMJ1384" s="7"/>
      <c r="MMK1384" s="7"/>
      <c r="MML1384" s="7"/>
      <c r="MMM1384" s="7"/>
      <c r="MMN1384" s="7"/>
      <c r="MMO1384" s="7"/>
      <c r="MMP1384" s="7"/>
      <c r="MMQ1384" s="7"/>
      <c r="MMR1384" s="7"/>
      <c r="MMS1384" s="7"/>
      <c r="MMT1384" s="7"/>
      <c r="MMU1384" s="7"/>
      <c r="MMV1384" s="7"/>
      <c r="MMW1384" s="7"/>
      <c r="MMX1384" s="7"/>
      <c r="MMY1384" s="7"/>
      <c r="MMZ1384" s="7"/>
      <c r="MNA1384" s="7"/>
      <c r="MNB1384" s="7"/>
      <c r="MNC1384" s="7"/>
      <c r="MND1384" s="7"/>
      <c r="MNE1384" s="7"/>
      <c r="MNF1384" s="7"/>
      <c r="MNG1384" s="7"/>
      <c r="MNH1384" s="7"/>
      <c r="MNI1384" s="7"/>
      <c r="MNJ1384" s="7"/>
      <c r="MNK1384" s="7"/>
      <c r="MNL1384" s="7"/>
      <c r="MNM1384" s="7"/>
      <c r="MNN1384" s="7"/>
      <c r="MNO1384" s="7"/>
      <c r="MNP1384" s="7"/>
      <c r="MNQ1384" s="7"/>
      <c r="MNR1384" s="7"/>
      <c r="MNS1384" s="7"/>
      <c r="MNT1384" s="7"/>
      <c r="MNU1384" s="7"/>
      <c r="MNV1384" s="7"/>
      <c r="MNW1384" s="7"/>
      <c r="MNX1384" s="7"/>
      <c r="MNY1384" s="7"/>
      <c r="MNZ1384" s="7"/>
      <c r="MOA1384" s="7"/>
      <c r="MOB1384" s="7"/>
      <c r="MOC1384" s="7"/>
      <c r="MOD1384" s="7"/>
      <c r="MOE1384" s="7"/>
      <c r="MOF1384" s="7"/>
      <c r="MOG1384" s="7"/>
      <c r="MOH1384" s="7"/>
      <c r="MOI1384" s="7"/>
      <c r="MOJ1384" s="7"/>
      <c r="MOK1384" s="7"/>
      <c r="MOL1384" s="7"/>
      <c r="MOM1384" s="7"/>
      <c r="MON1384" s="7"/>
      <c r="MOO1384" s="7"/>
      <c r="MOP1384" s="7"/>
      <c r="MOQ1384" s="7"/>
      <c r="MOR1384" s="7"/>
      <c r="MOS1384" s="7"/>
      <c r="MOT1384" s="7"/>
      <c r="MOU1384" s="7"/>
      <c r="MOV1384" s="7"/>
      <c r="MOW1384" s="7"/>
      <c r="MOX1384" s="7"/>
      <c r="MOY1384" s="7"/>
      <c r="MOZ1384" s="7"/>
      <c r="MPA1384" s="7"/>
      <c r="MPB1384" s="7"/>
      <c r="MPC1384" s="7"/>
      <c r="MPD1384" s="7"/>
      <c r="MPE1384" s="7"/>
      <c r="MPF1384" s="7"/>
      <c r="MPG1384" s="7"/>
      <c r="MPH1384" s="7"/>
      <c r="MPI1384" s="7"/>
      <c r="MPJ1384" s="7"/>
      <c r="MPK1384" s="7"/>
      <c r="MPL1384" s="7"/>
      <c r="MPM1384" s="7"/>
      <c r="MPN1384" s="7"/>
      <c r="MPO1384" s="7"/>
      <c r="MPP1384" s="7"/>
      <c r="MPQ1384" s="7"/>
      <c r="MPR1384" s="7"/>
      <c r="MPS1384" s="7"/>
      <c r="MPT1384" s="7"/>
      <c r="MPU1384" s="7"/>
      <c r="MPV1384" s="7"/>
      <c r="MPW1384" s="7"/>
      <c r="MPX1384" s="7"/>
      <c r="MPY1384" s="7"/>
      <c r="MPZ1384" s="7"/>
      <c r="MQA1384" s="7"/>
      <c r="MQB1384" s="7"/>
      <c r="MQC1384" s="7"/>
      <c r="MQD1384" s="7"/>
      <c r="MQE1384" s="7"/>
      <c r="MQF1384" s="7"/>
      <c r="MQG1384" s="7"/>
      <c r="MQH1384" s="7"/>
      <c r="MQI1384" s="7"/>
      <c r="MQJ1384" s="7"/>
      <c r="MQK1384" s="7"/>
      <c r="MQL1384" s="7"/>
      <c r="MQM1384" s="7"/>
      <c r="MQN1384" s="7"/>
      <c r="MQO1384" s="7"/>
      <c r="MQP1384" s="7"/>
      <c r="MQQ1384" s="7"/>
      <c r="MQR1384" s="7"/>
      <c r="MQS1384" s="7"/>
      <c r="MQT1384" s="7"/>
      <c r="MQU1384" s="7"/>
      <c r="MQV1384" s="7"/>
      <c r="MQW1384" s="7"/>
      <c r="MQX1384" s="7"/>
      <c r="MQY1384" s="7"/>
      <c r="MQZ1384" s="7"/>
      <c r="MRA1384" s="7"/>
      <c r="MRB1384" s="7"/>
      <c r="MRC1384" s="7"/>
      <c r="MRD1384" s="7"/>
      <c r="MRE1384" s="7"/>
      <c r="MRF1384" s="7"/>
      <c r="MRG1384" s="7"/>
      <c r="MRH1384" s="7"/>
      <c r="MRI1384" s="7"/>
      <c r="MRJ1384" s="7"/>
      <c r="MRK1384" s="7"/>
      <c r="MRL1384" s="7"/>
      <c r="MRM1384" s="7"/>
      <c r="MRN1384" s="7"/>
      <c r="MRO1384" s="7"/>
      <c r="MRP1384" s="7"/>
      <c r="MRQ1384" s="7"/>
      <c r="MRR1384" s="7"/>
      <c r="MRS1384" s="7"/>
      <c r="MRT1384" s="7"/>
      <c r="MRU1384" s="7"/>
      <c r="MRV1384" s="7"/>
      <c r="MRW1384" s="7"/>
      <c r="MRX1384" s="7"/>
      <c r="MRY1384" s="7"/>
      <c r="MRZ1384" s="7"/>
      <c r="MSA1384" s="7"/>
      <c r="MSB1384" s="7"/>
      <c r="MSC1384" s="7"/>
      <c r="MSD1384" s="7"/>
      <c r="MSE1384" s="7"/>
      <c r="MSF1384" s="7"/>
      <c r="MSG1384" s="7"/>
      <c r="MSH1384" s="7"/>
      <c r="MSI1384" s="7"/>
      <c r="MSJ1384" s="7"/>
      <c r="MSK1384" s="7"/>
      <c r="MSL1384" s="7"/>
      <c r="MSM1384" s="7"/>
      <c r="MSN1384" s="7"/>
      <c r="MSO1384" s="7"/>
      <c r="MSP1384" s="7"/>
      <c r="MSQ1384" s="7"/>
      <c r="MSR1384" s="7"/>
      <c r="MSS1384" s="7"/>
      <c r="MST1384" s="7"/>
      <c r="MSU1384" s="7"/>
      <c r="MSV1384" s="7"/>
      <c r="MSW1384" s="7"/>
      <c r="MSX1384" s="7"/>
      <c r="MSY1384" s="7"/>
      <c r="MSZ1384" s="7"/>
      <c r="MTA1384" s="7"/>
      <c r="MTB1384" s="7"/>
      <c r="MTC1384" s="7"/>
      <c r="MTD1384" s="7"/>
      <c r="MTE1384" s="7"/>
      <c r="MTF1384" s="7"/>
      <c r="MTG1384" s="7"/>
      <c r="MTH1384" s="7"/>
      <c r="MTI1384" s="7"/>
      <c r="MTJ1384" s="7"/>
      <c r="MTK1384" s="7"/>
      <c r="MTL1384" s="7"/>
      <c r="MTM1384" s="7"/>
      <c r="MTN1384" s="7"/>
      <c r="MTO1384" s="7"/>
      <c r="MTP1384" s="7"/>
      <c r="MTQ1384" s="7"/>
      <c r="MTR1384" s="7"/>
      <c r="MTS1384" s="7"/>
      <c r="MTT1384" s="7"/>
      <c r="MTU1384" s="7"/>
      <c r="MTV1384" s="7"/>
      <c r="MTW1384" s="7"/>
      <c r="MTX1384" s="7"/>
      <c r="MTY1384" s="7"/>
      <c r="MTZ1384" s="7"/>
      <c r="MUA1384" s="7"/>
      <c r="MUB1384" s="7"/>
      <c r="MUC1384" s="7"/>
      <c r="MUD1384" s="7"/>
      <c r="MUE1384" s="7"/>
      <c r="MUF1384" s="7"/>
      <c r="MUG1384" s="7"/>
      <c r="MUH1384" s="7"/>
      <c r="MUI1384" s="7"/>
      <c r="MUJ1384" s="7"/>
      <c r="MUK1384" s="7"/>
      <c r="MUL1384" s="7"/>
      <c r="MUM1384" s="7"/>
      <c r="MUN1384" s="7"/>
      <c r="MUO1384" s="7"/>
      <c r="MUP1384" s="7"/>
      <c r="MUQ1384" s="7"/>
      <c r="MUR1384" s="7"/>
      <c r="MUS1384" s="7"/>
      <c r="MUT1384" s="7"/>
      <c r="MUU1384" s="7"/>
      <c r="MUV1384" s="7"/>
      <c r="MUW1384" s="7"/>
      <c r="MUX1384" s="7"/>
      <c r="MUY1384" s="7"/>
      <c r="MUZ1384" s="7"/>
      <c r="MVA1384" s="7"/>
      <c r="MVB1384" s="7"/>
      <c r="MVC1384" s="7"/>
      <c r="MVD1384" s="7"/>
      <c r="MVE1384" s="7"/>
      <c r="MVF1384" s="7"/>
      <c r="MVG1384" s="7"/>
      <c r="MVH1384" s="7"/>
      <c r="MVI1384" s="7"/>
      <c r="MVJ1384" s="7"/>
      <c r="MVK1384" s="7"/>
      <c r="MVL1384" s="7"/>
      <c r="MVM1384" s="7"/>
      <c r="MVN1384" s="7"/>
      <c r="MVO1384" s="7"/>
      <c r="MVP1384" s="7"/>
      <c r="MVQ1384" s="7"/>
      <c r="MVR1384" s="7"/>
      <c r="MVS1384" s="7"/>
      <c r="MVT1384" s="7"/>
      <c r="MVU1384" s="7"/>
      <c r="MVV1384" s="7"/>
      <c r="MVW1384" s="7"/>
      <c r="MVX1384" s="7"/>
      <c r="MVY1384" s="7"/>
      <c r="MVZ1384" s="7"/>
      <c r="MWA1384" s="7"/>
      <c r="MWB1384" s="7"/>
      <c r="MWC1384" s="7"/>
      <c r="MWD1384" s="7"/>
      <c r="MWE1384" s="7"/>
      <c r="MWF1384" s="7"/>
      <c r="MWG1384" s="7"/>
      <c r="MWH1384" s="7"/>
      <c r="MWI1384" s="7"/>
      <c r="MWJ1384" s="7"/>
      <c r="MWK1384" s="7"/>
      <c r="MWL1384" s="7"/>
      <c r="MWM1384" s="7"/>
      <c r="MWN1384" s="7"/>
      <c r="MWO1384" s="7"/>
      <c r="MWP1384" s="7"/>
      <c r="MWQ1384" s="7"/>
      <c r="MWR1384" s="7"/>
      <c r="MWS1384" s="7"/>
      <c r="MWT1384" s="7"/>
      <c r="MWU1384" s="7"/>
      <c r="MWV1384" s="7"/>
      <c r="MWW1384" s="7"/>
      <c r="MWX1384" s="7"/>
      <c r="MWY1384" s="7"/>
      <c r="MWZ1384" s="7"/>
      <c r="MXA1384" s="7"/>
      <c r="MXB1384" s="7"/>
      <c r="MXC1384" s="7"/>
      <c r="MXD1384" s="7"/>
      <c r="MXE1384" s="7"/>
      <c r="MXF1384" s="7"/>
      <c r="MXG1384" s="7"/>
      <c r="MXH1384" s="7"/>
      <c r="MXI1384" s="7"/>
      <c r="MXJ1384" s="7"/>
      <c r="MXK1384" s="7"/>
      <c r="MXL1384" s="7"/>
      <c r="MXM1384" s="7"/>
      <c r="MXN1384" s="7"/>
      <c r="MXO1384" s="7"/>
      <c r="MXP1384" s="7"/>
      <c r="MXQ1384" s="7"/>
      <c r="MXR1384" s="7"/>
      <c r="MXS1384" s="7"/>
      <c r="MXT1384" s="7"/>
      <c r="MXU1384" s="7"/>
      <c r="MXV1384" s="7"/>
      <c r="MXW1384" s="7"/>
      <c r="MXX1384" s="7"/>
      <c r="MXY1384" s="7"/>
      <c r="MXZ1384" s="7"/>
      <c r="MYA1384" s="7"/>
      <c r="MYB1384" s="7"/>
      <c r="MYC1384" s="7"/>
      <c r="MYD1384" s="7"/>
      <c r="MYE1384" s="7"/>
      <c r="MYF1384" s="7"/>
      <c r="MYG1384" s="7"/>
      <c r="MYH1384" s="7"/>
      <c r="MYI1384" s="7"/>
      <c r="MYJ1384" s="7"/>
      <c r="MYK1384" s="7"/>
      <c r="MYL1384" s="7"/>
      <c r="MYM1384" s="7"/>
      <c r="MYN1384" s="7"/>
      <c r="MYO1384" s="7"/>
      <c r="MYP1384" s="7"/>
      <c r="MYQ1384" s="7"/>
      <c r="MYR1384" s="7"/>
      <c r="MYS1384" s="7"/>
      <c r="MYT1384" s="7"/>
      <c r="MYU1384" s="7"/>
      <c r="MYV1384" s="7"/>
      <c r="MYW1384" s="7"/>
      <c r="MYX1384" s="7"/>
      <c r="MYY1384" s="7"/>
      <c r="MYZ1384" s="7"/>
      <c r="MZA1384" s="7"/>
      <c r="MZB1384" s="7"/>
      <c r="MZC1384" s="7"/>
      <c r="MZD1384" s="7"/>
      <c r="MZE1384" s="7"/>
      <c r="MZF1384" s="7"/>
      <c r="MZG1384" s="7"/>
      <c r="MZH1384" s="7"/>
      <c r="MZI1384" s="7"/>
      <c r="MZJ1384" s="7"/>
      <c r="MZK1384" s="7"/>
      <c r="MZL1384" s="7"/>
      <c r="MZM1384" s="7"/>
      <c r="MZN1384" s="7"/>
      <c r="MZO1384" s="7"/>
      <c r="MZP1384" s="7"/>
      <c r="MZQ1384" s="7"/>
      <c r="MZR1384" s="7"/>
      <c r="MZS1384" s="7"/>
      <c r="MZT1384" s="7"/>
      <c r="MZU1384" s="7"/>
      <c r="MZV1384" s="7"/>
      <c r="MZW1384" s="7"/>
      <c r="MZX1384" s="7"/>
      <c r="MZY1384" s="7"/>
      <c r="MZZ1384" s="7"/>
      <c r="NAA1384" s="7"/>
      <c r="NAB1384" s="7"/>
      <c r="NAC1384" s="7"/>
      <c r="NAD1384" s="7"/>
      <c r="NAE1384" s="7"/>
      <c r="NAF1384" s="7"/>
      <c r="NAG1384" s="7"/>
      <c r="NAH1384" s="7"/>
      <c r="NAI1384" s="7"/>
      <c r="NAJ1384" s="7"/>
      <c r="NAK1384" s="7"/>
      <c r="NAL1384" s="7"/>
      <c r="NAM1384" s="7"/>
      <c r="NAN1384" s="7"/>
      <c r="NAO1384" s="7"/>
      <c r="NAP1384" s="7"/>
      <c r="NAQ1384" s="7"/>
      <c r="NAR1384" s="7"/>
      <c r="NAS1384" s="7"/>
      <c r="NAT1384" s="7"/>
      <c r="NAU1384" s="7"/>
      <c r="NAV1384" s="7"/>
      <c r="NAW1384" s="7"/>
      <c r="NAX1384" s="7"/>
      <c r="NAY1384" s="7"/>
      <c r="NAZ1384" s="7"/>
      <c r="NBA1384" s="7"/>
      <c r="NBB1384" s="7"/>
      <c r="NBC1384" s="7"/>
      <c r="NBD1384" s="7"/>
      <c r="NBE1384" s="7"/>
      <c r="NBF1384" s="7"/>
      <c r="NBG1384" s="7"/>
      <c r="NBH1384" s="7"/>
      <c r="NBI1384" s="7"/>
      <c r="NBJ1384" s="7"/>
      <c r="NBK1384" s="7"/>
      <c r="NBL1384" s="7"/>
      <c r="NBM1384" s="7"/>
      <c r="NBN1384" s="7"/>
      <c r="NBO1384" s="7"/>
      <c r="NBP1384" s="7"/>
      <c r="NBQ1384" s="7"/>
      <c r="NBR1384" s="7"/>
      <c r="NBS1384" s="7"/>
      <c r="NBT1384" s="7"/>
      <c r="NBU1384" s="7"/>
      <c r="NBV1384" s="7"/>
      <c r="NBW1384" s="7"/>
      <c r="NBX1384" s="7"/>
      <c r="NBY1384" s="7"/>
      <c r="NBZ1384" s="7"/>
      <c r="NCA1384" s="7"/>
      <c r="NCB1384" s="7"/>
      <c r="NCC1384" s="7"/>
      <c r="NCD1384" s="7"/>
      <c r="NCE1384" s="7"/>
      <c r="NCF1384" s="7"/>
      <c r="NCG1384" s="7"/>
      <c r="NCH1384" s="7"/>
      <c r="NCI1384" s="7"/>
      <c r="NCJ1384" s="7"/>
      <c r="NCK1384" s="7"/>
      <c r="NCL1384" s="7"/>
      <c r="NCM1384" s="7"/>
      <c r="NCN1384" s="7"/>
      <c r="NCO1384" s="7"/>
      <c r="NCP1384" s="7"/>
      <c r="NCQ1384" s="7"/>
      <c r="NCR1384" s="7"/>
      <c r="NCS1384" s="7"/>
      <c r="NCT1384" s="7"/>
      <c r="NCU1384" s="7"/>
      <c r="NCV1384" s="7"/>
      <c r="NCW1384" s="7"/>
      <c r="NCX1384" s="7"/>
      <c r="NCY1384" s="7"/>
      <c r="NCZ1384" s="7"/>
      <c r="NDA1384" s="7"/>
      <c r="NDB1384" s="7"/>
      <c r="NDC1384" s="7"/>
      <c r="NDD1384" s="7"/>
      <c r="NDE1384" s="7"/>
      <c r="NDF1384" s="7"/>
      <c r="NDG1384" s="7"/>
      <c r="NDH1384" s="7"/>
      <c r="NDI1384" s="7"/>
      <c r="NDJ1384" s="7"/>
      <c r="NDK1384" s="7"/>
      <c r="NDL1384" s="7"/>
      <c r="NDM1384" s="7"/>
      <c r="NDN1384" s="7"/>
      <c r="NDO1384" s="7"/>
      <c r="NDP1384" s="7"/>
      <c r="NDQ1384" s="7"/>
      <c r="NDR1384" s="7"/>
      <c r="NDS1384" s="7"/>
      <c r="NDT1384" s="7"/>
      <c r="NDU1384" s="7"/>
      <c r="NDV1384" s="7"/>
      <c r="NDW1384" s="7"/>
      <c r="NDX1384" s="7"/>
      <c r="NDY1384" s="7"/>
      <c r="NDZ1384" s="7"/>
      <c r="NEA1384" s="7"/>
      <c r="NEB1384" s="7"/>
      <c r="NEC1384" s="7"/>
      <c r="NED1384" s="7"/>
      <c r="NEE1384" s="7"/>
      <c r="NEF1384" s="7"/>
      <c r="NEG1384" s="7"/>
      <c r="NEH1384" s="7"/>
      <c r="NEI1384" s="7"/>
      <c r="NEJ1384" s="7"/>
      <c r="NEK1384" s="7"/>
      <c r="NEL1384" s="7"/>
      <c r="NEM1384" s="7"/>
      <c r="NEN1384" s="7"/>
      <c r="NEO1384" s="7"/>
      <c r="NEP1384" s="7"/>
      <c r="NEQ1384" s="7"/>
      <c r="NER1384" s="7"/>
      <c r="NES1384" s="7"/>
      <c r="NET1384" s="7"/>
      <c r="NEU1384" s="7"/>
      <c r="NEV1384" s="7"/>
      <c r="NEW1384" s="7"/>
      <c r="NEX1384" s="7"/>
      <c r="NEY1384" s="7"/>
      <c r="NEZ1384" s="7"/>
      <c r="NFA1384" s="7"/>
      <c r="NFB1384" s="7"/>
      <c r="NFC1384" s="7"/>
      <c r="NFD1384" s="7"/>
      <c r="NFE1384" s="7"/>
      <c r="NFF1384" s="7"/>
      <c r="NFG1384" s="7"/>
      <c r="NFH1384" s="7"/>
      <c r="NFI1384" s="7"/>
      <c r="NFJ1384" s="7"/>
      <c r="NFK1384" s="7"/>
      <c r="NFL1384" s="7"/>
      <c r="NFM1384" s="7"/>
      <c r="NFN1384" s="7"/>
      <c r="NFO1384" s="7"/>
      <c r="NFP1384" s="7"/>
      <c r="NFQ1384" s="7"/>
      <c r="NFR1384" s="7"/>
      <c r="NFS1384" s="7"/>
      <c r="NFT1384" s="7"/>
      <c r="NFU1384" s="7"/>
      <c r="NFV1384" s="7"/>
      <c r="NFW1384" s="7"/>
      <c r="NFX1384" s="7"/>
      <c r="NFY1384" s="7"/>
      <c r="NFZ1384" s="7"/>
      <c r="NGA1384" s="7"/>
      <c r="NGB1384" s="7"/>
      <c r="NGC1384" s="7"/>
      <c r="NGD1384" s="7"/>
      <c r="NGE1384" s="7"/>
      <c r="NGF1384" s="7"/>
      <c r="NGG1384" s="7"/>
      <c r="NGH1384" s="7"/>
      <c r="NGI1384" s="7"/>
      <c r="NGJ1384" s="7"/>
      <c r="NGK1384" s="7"/>
      <c r="NGL1384" s="7"/>
      <c r="NGM1384" s="7"/>
      <c r="NGN1384" s="7"/>
      <c r="NGO1384" s="7"/>
      <c r="NGP1384" s="7"/>
      <c r="NGQ1384" s="7"/>
      <c r="NGR1384" s="7"/>
      <c r="NGS1384" s="7"/>
      <c r="NGT1384" s="7"/>
      <c r="NGU1384" s="7"/>
      <c r="NGV1384" s="7"/>
      <c r="NGW1384" s="7"/>
      <c r="NGX1384" s="7"/>
      <c r="NGY1384" s="7"/>
      <c r="NGZ1384" s="7"/>
      <c r="NHA1384" s="7"/>
      <c r="NHB1384" s="7"/>
      <c r="NHC1384" s="7"/>
      <c r="NHD1384" s="7"/>
      <c r="NHE1384" s="7"/>
      <c r="NHF1384" s="7"/>
      <c r="NHG1384" s="7"/>
      <c r="NHH1384" s="7"/>
      <c r="NHI1384" s="7"/>
      <c r="NHJ1384" s="7"/>
      <c r="NHK1384" s="7"/>
      <c r="NHL1384" s="7"/>
      <c r="NHM1384" s="7"/>
      <c r="NHN1384" s="7"/>
      <c r="NHO1384" s="7"/>
      <c r="NHP1384" s="7"/>
      <c r="NHQ1384" s="7"/>
      <c r="NHR1384" s="7"/>
      <c r="NHS1384" s="7"/>
      <c r="NHT1384" s="7"/>
      <c r="NHU1384" s="7"/>
      <c r="NHV1384" s="7"/>
      <c r="NHW1384" s="7"/>
      <c r="NHX1384" s="7"/>
      <c r="NHY1384" s="7"/>
      <c r="NHZ1384" s="7"/>
      <c r="NIA1384" s="7"/>
      <c r="NIB1384" s="7"/>
      <c r="NIC1384" s="7"/>
      <c r="NID1384" s="7"/>
      <c r="NIE1384" s="7"/>
      <c r="NIF1384" s="7"/>
      <c r="NIG1384" s="7"/>
      <c r="NIH1384" s="7"/>
      <c r="NII1384" s="7"/>
      <c r="NIJ1384" s="7"/>
      <c r="NIK1384" s="7"/>
      <c r="NIL1384" s="7"/>
      <c r="NIM1384" s="7"/>
      <c r="NIN1384" s="7"/>
      <c r="NIO1384" s="7"/>
      <c r="NIP1384" s="7"/>
      <c r="NIQ1384" s="7"/>
      <c r="NIR1384" s="7"/>
      <c r="NIS1384" s="7"/>
      <c r="NIT1384" s="7"/>
      <c r="NIU1384" s="7"/>
      <c r="NIV1384" s="7"/>
      <c r="NIW1384" s="7"/>
      <c r="NIX1384" s="7"/>
      <c r="NIY1384" s="7"/>
      <c r="NIZ1384" s="7"/>
      <c r="NJA1384" s="7"/>
      <c r="NJB1384" s="7"/>
      <c r="NJC1384" s="7"/>
      <c r="NJD1384" s="7"/>
      <c r="NJE1384" s="7"/>
      <c r="NJF1384" s="7"/>
      <c r="NJG1384" s="7"/>
      <c r="NJH1384" s="7"/>
      <c r="NJI1384" s="7"/>
      <c r="NJJ1384" s="7"/>
      <c r="NJK1384" s="7"/>
      <c r="NJL1384" s="7"/>
      <c r="NJM1384" s="7"/>
      <c r="NJN1384" s="7"/>
      <c r="NJO1384" s="7"/>
      <c r="NJP1384" s="7"/>
      <c r="NJQ1384" s="7"/>
      <c r="NJR1384" s="7"/>
      <c r="NJS1384" s="7"/>
      <c r="NJT1384" s="7"/>
      <c r="NJU1384" s="7"/>
      <c r="NJV1384" s="7"/>
      <c r="NJW1384" s="7"/>
      <c r="NJX1384" s="7"/>
      <c r="NJY1384" s="7"/>
      <c r="NJZ1384" s="7"/>
      <c r="NKA1384" s="7"/>
      <c r="NKB1384" s="7"/>
      <c r="NKC1384" s="7"/>
      <c r="NKD1384" s="7"/>
      <c r="NKE1384" s="7"/>
      <c r="NKF1384" s="7"/>
      <c r="NKG1384" s="7"/>
      <c r="NKH1384" s="7"/>
      <c r="NKI1384" s="7"/>
      <c r="NKJ1384" s="7"/>
      <c r="NKK1384" s="7"/>
      <c r="NKL1384" s="7"/>
      <c r="NKM1384" s="7"/>
      <c r="NKN1384" s="7"/>
      <c r="NKO1384" s="7"/>
      <c r="NKP1384" s="7"/>
      <c r="NKQ1384" s="7"/>
      <c r="NKR1384" s="7"/>
      <c r="NKS1384" s="7"/>
      <c r="NKT1384" s="7"/>
      <c r="NKU1384" s="7"/>
      <c r="NKV1384" s="7"/>
      <c r="NKW1384" s="7"/>
      <c r="NKX1384" s="7"/>
      <c r="NKY1384" s="7"/>
      <c r="NKZ1384" s="7"/>
      <c r="NLA1384" s="7"/>
      <c r="NLB1384" s="7"/>
      <c r="NLC1384" s="7"/>
      <c r="NLD1384" s="7"/>
      <c r="NLE1384" s="7"/>
      <c r="NLF1384" s="7"/>
      <c r="NLG1384" s="7"/>
      <c r="NLH1384" s="7"/>
      <c r="NLI1384" s="7"/>
      <c r="NLJ1384" s="7"/>
      <c r="NLK1384" s="7"/>
      <c r="NLL1384" s="7"/>
      <c r="NLM1384" s="7"/>
      <c r="NLN1384" s="7"/>
      <c r="NLO1384" s="7"/>
      <c r="NLP1384" s="7"/>
      <c r="NLQ1384" s="7"/>
      <c r="NLR1384" s="7"/>
      <c r="NLS1384" s="7"/>
      <c r="NLT1384" s="7"/>
      <c r="NLU1384" s="7"/>
      <c r="NLV1384" s="7"/>
      <c r="NLW1384" s="7"/>
      <c r="NLX1384" s="7"/>
      <c r="NLY1384" s="7"/>
      <c r="NLZ1384" s="7"/>
      <c r="NMA1384" s="7"/>
      <c r="NMB1384" s="7"/>
      <c r="NMC1384" s="7"/>
      <c r="NMD1384" s="7"/>
      <c r="NME1384" s="7"/>
      <c r="NMF1384" s="7"/>
      <c r="NMG1384" s="7"/>
      <c r="NMH1384" s="7"/>
      <c r="NMI1384" s="7"/>
      <c r="NMJ1384" s="7"/>
      <c r="NMK1384" s="7"/>
      <c r="NML1384" s="7"/>
      <c r="NMM1384" s="7"/>
      <c r="NMN1384" s="7"/>
      <c r="NMO1384" s="7"/>
      <c r="NMP1384" s="7"/>
      <c r="NMQ1384" s="7"/>
      <c r="NMR1384" s="7"/>
      <c r="NMS1384" s="7"/>
      <c r="NMT1384" s="7"/>
      <c r="NMU1384" s="7"/>
      <c r="NMV1384" s="7"/>
      <c r="NMW1384" s="7"/>
      <c r="NMX1384" s="7"/>
      <c r="NMY1384" s="7"/>
      <c r="NMZ1384" s="7"/>
      <c r="NNA1384" s="7"/>
      <c r="NNB1384" s="7"/>
      <c r="NNC1384" s="7"/>
      <c r="NND1384" s="7"/>
      <c r="NNE1384" s="7"/>
      <c r="NNF1384" s="7"/>
      <c r="NNG1384" s="7"/>
      <c r="NNH1384" s="7"/>
      <c r="NNI1384" s="7"/>
      <c r="NNJ1384" s="7"/>
      <c r="NNK1384" s="7"/>
      <c r="NNL1384" s="7"/>
      <c r="NNM1384" s="7"/>
      <c r="NNN1384" s="7"/>
      <c r="NNO1384" s="7"/>
      <c r="NNP1384" s="7"/>
      <c r="NNQ1384" s="7"/>
      <c r="NNR1384" s="7"/>
      <c r="NNS1384" s="7"/>
      <c r="NNT1384" s="7"/>
      <c r="NNU1384" s="7"/>
      <c r="NNV1384" s="7"/>
      <c r="NNW1384" s="7"/>
      <c r="NNX1384" s="7"/>
      <c r="NNY1384" s="7"/>
      <c r="NNZ1384" s="7"/>
      <c r="NOA1384" s="7"/>
      <c r="NOB1384" s="7"/>
      <c r="NOC1384" s="7"/>
      <c r="NOD1384" s="7"/>
      <c r="NOE1384" s="7"/>
      <c r="NOF1384" s="7"/>
      <c r="NOG1384" s="7"/>
      <c r="NOH1384" s="7"/>
      <c r="NOI1384" s="7"/>
      <c r="NOJ1384" s="7"/>
      <c r="NOK1384" s="7"/>
      <c r="NOL1384" s="7"/>
      <c r="NOM1384" s="7"/>
      <c r="NON1384" s="7"/>
      <c r="NOO1384" s="7"/>
      <c r="NOP1384" s="7"/>
      <c r="NOQ1384" s="7"/>
      <c r="NOR1384" s="7"/>
      <c r="NOS1384" s="7"/>
      <c r="NOT1384" s="7"/>
      <c r="NOU1384" s="7"/>
      <c r="NOV1384" s="7"/>
      <c r="NOW1384" s="7"/>
      <c r="NOX1384" s="7"/>
      <c r="NOY1384" s="7"/>
      <c r="NOZ1384" s="7"/>
      <c r="NPA1384" s="7"/>
      <c r="NPB1384" s="7"/>
      <c r="NPC1384" s="7"/>
      <c r="NPD1384" s="7"/>
      <c r="NPE1384" s="7"/>
      <c r="NPF1384" s="7"/>
      <c r="NPG1384" s="7"/>
      <c r="NPH1384" s="7"/>
      <c r="NPI1384" s="7"/>
      <c r="NPJ1384" s="7"/>
      <c r="NPK1384" s="7"/>
      <c r="NPL1384" s="7"/>
      <c r="NPM1384" s="7"/>
      <c r="NPN1384" s="7"/>
      <c r="NPO1384" s="7"/>
      <c r="NPP1384" s="7"/>
      <c r="NPQ1384" s="7"/>
      <c r="NPR1384" s="7"/>
      <c r="NPS1384" s="7"/>
      <c r="NPT1384" s="7"/>
      <c r="NPU1384" s="7"/>
      <c r="NPV1384" s="7"/>
      <c r="NPW1384" s="7"/>
      <c r="NPX1384" s="7"/>
      <c r="NPY1384" s="7"/>
      <c r="NPZ1384" s="7"/>
      <c r="NQA1384" s="7"/>
      <c r="NQB1384" s="7"/>
      <c r="NQC1384" s="7"/>
      <c r="NQD1384" s="7"/>
      <c r="NQE1384" s="7"/>
      <c r="NQF1384" s="7"/>
      <c r="NQG1384" s="7"/>
      <c r="NQH1384" s="7"/>
      <c r="NQI1384" s="7"/>
      <c r="NQJ1384" s="7"/>
      <c r="NQK1384" s="7"/>
      <c r="NQL1384" s="7"/>
      <c r="NQM1384" s="7"/>
      <c r="NQN1384" s="7"/>
      <c r="NQO1384" s="7"/>
      <c r="NQP1384" s="7"/>
      <c r="NQQ1384" s="7"/>
      <c r="NQR1384" s="7"/>
      <c r="NQS1384" s="7"/>
      <c r="NQT1384" s="7"/>
      <c r="NQU1384" s="7"/>
      <c r="NQV1384" s="7"/>
      <c r="NQW1384" s="7"/>
      <c r="NQX1384" s="7"/>
      <c r="NQY1384" s="7"/>
      <c r="NQZ1384" s="7"/>
      <c r="NRA1384" s="7"/>
      <c r="NRB1384" s="7"/>
      <c r="NRC1384" s="7"/>
      <c r="NRD1384" s="7"/>
      <c r="NRE1384" s="7"/>
      <c r="NRF1384" s="7"/>
      <c r="NRG1384" s="7"/>
      <c r="NRH1384" s="7"/>
      <c r="NRI1384" s="7"/>
      <c r="NRJ1384" s="7"/>
      <c r="NRK1384" s="7"/>
      <c r="NRL1384" s="7"/>
      <c r="NRM1384" s="7"/>
      <c r="NRN1384" s="7"/>
      <c r="NRO1384" s="7"/>
      <c r="NRP1384" s="7"/>
      <c r="NRQ1384" s="7"/>
      <c r="NRR1384" s="7"/>
      <c r="NRS1384" s="7"/>
      <c r="NRT1384" s="7"/>
      <c r="NRU1384" s="7"/>
      <c r="NRV1384" s="7"/>
      <c r="NRW1384" s="7"/>
      <c r="NRX1384" s="7"/>
      <c r="NRY1384" s="7"/>
      <c r="NRZ1384" s="7"/>
      <c r="NSA1384" s="7"/>
      <c r="NSB1384" s="7"/>
      <c r="NSC1384" s="7"/>
      <c r="NSD1384" s="7"/>
      <c r="NSE1384" s="7"/>
      <c r="NSF1384" s="7"/>
      <c r="NSG1384" s="7"/>
      <c r="NSH1384" s="7"/>
      <c r="NSI1384" s="7"/>
      <c r="NSJ1384" s="7"/>
      <c r="NSK1384" s="7"/>
      <c r="NSL1384" s="7"/>
      <c r="NSM1384" s="7"/>
      <c r="NSN1384" s="7"/>
      <c r="NSO1384" s="7"/>
      <c r="NSP1384" s="7"/>
      <c r="NSQ1384" s="7"/>
      <c r="NSR1384" s="7"/>
      <c r="NSS1384" s="7"/>
      <c r="NST1384" s="7"/>
      <c r="NSU1384" s="7"/>
      <c r="NSV1384" s="7"/>
      <c r="NSW1384" s="7"/>
      <c r="NSX1384" s="7"/>
      <c r="NSY1384" s="7"/>
      <c r="NSZ1384" s="7"/>
      <c r="NTA1384" s="7"/>
      <c r="NTB1384" s="7"/>
      <c r="NTC1384" s="7"/>
      <c r="NTD1384" s="7"/>
      <c r="NTE1384" s="7"/>
      <c r="NTF1384" s="7"/>
      <c r="NTG1384" s="7"/>
      <c r="NTH1384" s="7"/>
      <c r="NTI1384" s="7"/>
      <c r="NTJ1384" s="7"/>
      <c r="NTK1384" s="7"/>
      <c r="NTL1384" s="7"/>
      <c r="NTM1384" s="7"/>
      <c r="NTN1384" s="7"/>
      <c r="NTO1384" s="7"/>
      <c r="NTP1384" s="7"/>
      <c r="NTQ1384" s="7"/>
      <c r="NTR1384" s="7"/>
      <c r="NTS1384" s="7"/>
      <c r="NTT1384" s="7"/>
      <c r="NTU1384" s="7"/>
      <c r="NTV1384" s="7"/>
      <c r="NTW1384" s="7"/>
      <c r="NTX1384" s="7"/>
      <c r="NTY1384" s="7"/>
      <c r="NTZ1384" s="7"/>
      <c r="NUA1384" s="7"/>
      <c r="NUB1384" s="7"/>
      <c r="NUC1384" s="7"/>
      <c r="NUD1384" s="7"/>
      <c r="NUE1384" s="7"/>
      <c r="NUF1384" s="7"/>
      <c r="NUG1384" s="7"/>
      <c r="NUH1384" s="7"/>
      <c r="NUI1384" s="7"/>
      <c r="NUJ1384" s="7"/>
      <c r="NUK1384" s="7"/>
      <c r="NUL1384" s="7"/>
      <c r="NUM1384" s="7"/>
      <c r="NUN1384" s="7"/>
      <c r="NUO1384" s="7"/>
      <c r="NUP1384" s="7"/>
      <c r="NUQ1384" s="7"/>
      <c r="NUR1384" s="7"/>
      <c r="NUS1384" s="7"/>
      <c r="NUT1384" s="7"/>
      <c r="NUU1384" s="7"/>
      <c r="NUV1384" s="7"/>
      <c r="NUW1384" s="7"/>
      <c r="NUX1384" s="7"/>
      <c r="NUY1384" s="7"/>
      <c r="NUZ1384" s="7"/>
      <c r="NVA1384" s="7"/>
      <c r="NVB1384" s="7"/>
      <c r="NVC1384" s="7"/>
      <c r="NVD1384" s="7"/>
      <c r="NVE1384" s="7"/>
      <c r="NVF1384" s="7"/>
      <c r="NVG1384" s="7"/>
      <c r="NVH1384" s="7"/>
      <c r="NVI1384" s="7"/>
      <c r="NVJ1384" s="7"/>
      <c r="NVK1384" s="7"/>
      <c r="NVL1384" s="7"/>
      <c r="NVM1384" s="7"/>
      <c r="NVN1384" s="7"/>
      <c r="NVO1384" s="7"/>
      <c r="NVP1384" s="7"/>
      <c r="NVQ1384" s="7"/>
      <c r="NVR1384" s="7"/>
      <c r="NVS1384" s="7"/>
      <c r="NVT1384" s="7"/>
      <c r="NVU1384" s="7"/>
      <c r="NVV1384" s="7"/>
      <c r="NVW1384" s="7"/>
      <c r="NVX1384" s="7"/>
      <c r="NVY1384" s="7"/>
      <c r="NVZ1384" s="7"/>
      <c r="NWA1384" s="7"/>
      <c r="NWB1384" s="7"/>
      <c r="NWC1384" s="7"/>
      <c r="NWD1384" s="7"/>
      <c r="NWE1384" s="7"/>
      <c r="NWF1384" s="7"/>
      <c r="NWG1384" s="7"/>
      <c r="NWH1384" s="7"/>
      <c r="NWI1384" s="7"/>
      <c r="NWJ1384" s="7"/>
      <c r="NWK1384" s="7"/>
      <c r="NWL1384" s="7"/>
      <c r="NWM1384" s="7"/>
      <c r="NWN1384" s="7"/>
      <c r="NWO1384" s="7"/>
      <c r="NWP1384" s="7"/>
      <c r="NWQ1384" s="7"/>
      <c r="NWR1384" s="7"/>
      <c r="NWS1384" s="7"/>
      <c r="NWT1384" s="7"/>
      <c r="NWU1384" s="7"/>
      <c r="NWV1384" s="7"/>
      <c r="NWW1384" s="7"/>
      <c r="NWX1384" s="7"/>
      <c r="NWY1384" s="7"/>
      <c r="NWZ1384" s="7"/>
      <c r="NXA1384" s="7"/>
      <c r="NXB1384" s="7"/>
      <c r="NXC1384" s="7"/>
      <c r="NXD1384" s="7"/>
      <c r="NXE1384" s="7"/>
      <c r="NXF1384" s="7"/>
      <c r="NXG1384" s="7"/>
      <c r="NXH1384" s="7"/>
      <c r="NXI1384" s="7"/>
      <c r="NXJ1384" s="7"/>
      <c r="NXK1384" s="7"/>
      <c r="NXL1384" s="7"/>
      <c r="NXM1384" s="7"/>
      <c r="NXN1384" s="7"/>
      <c r="NXO1384" s="7"/>
      <c r="NXP1384" s="7"/>
      <c r="NXQ1384" s="7"/>
      <c r="NXR1384" s="7"/>
      <c r="NXS1384" s="7"/>
      <c r="NXT1384" s="7"/>
      <c r="NXU1384" s="7"/>
      <c r="NXV1384" s="7"/>
      <c r="NXW1384" s="7"/>
      <c r="NXX1384" s="7"/>
      <c r="NXY1384" s="7"/>
      <c r="NXZ1384" s="7"/>
      <c r="NYA1384" s="7"/>
      <c r="NYB1384" s="7"/>
      <c r="NYC1384" s="7"/>
      <c r="NYD1384" s="7"/>
      <c r="NYE1384" s="7"/>
      <c r="NYF1384" s="7"/>
      <c r="NYG1384" s="7"/>
      <c r="NYH1384" s="7"/>
      <c r="NYI1384" s="7"/>
      <c r="NYJ1384" s="7"/>
      <c r="NYK1384" s="7"/>
      <c r="NYL1384" s="7"/>
      <c r="NYM1384" s="7"/>
      <c r="NYN1384" s="7"/>
      <c r="NYO1384" s="7"/>
      <c r="NYP1384" s="7"/>
      <c r="NYQ1384" s="7"/>
      <c r="NYR1384" s="7"/>
      <c r="NYS1384" s="7"/>
      <c r="NYT1384" s="7"/>
      <c r="NYU1384" s="7"/>
      <c r="NYV1384" s="7"/>
      <c r="NYW1384" s="7"/>
      <c r="NYX1384" s="7"/>
      <c r="NYY1384" s="7"/>
      <c r="NYZ1384" s="7"/>
      <c r="NZA1384" s="7"/>
      <c r="NZB1384" s="7"/>
      <c r="NZC1384" s="7"/>
      <c r="NZD1384" s="7"/>
      <c r="NZE1384" s="7"/>
      <c r="NZF1384" s="7"/>
      <c r="NZG1384" s="7"/>
      <c r="NZH1384" s="7"/>
      <c r="NZI1384" s="7"/>
      <c r="NZJ1384" s="7"/>
      <c r="NZK1384" s="7"/>
      <c r="NZL1384" s="7"/>
      <c r="NZM1384" s="7"/>
      <c r="NZN1384" s="7"/>
      <c r="NZO1384" s="7"/>
      <c r="NZP1384" s="7"/>
      <c r="NZQ1384" s="7"/>
      <c r="NZR1384" s="7"/>
      <c r="NZS1384" s="7"/>
      <c r="NZT1384" s="7"/>
      <c r="NZU1384" s="7"/>
      <c r="NZV1384" s="7"/>
      <c r="NZW1384" s="7"/>
      <c r="NZX1384" s="7"/>
      <c r="NZY1384" s="7"/>
      <c r="NZZ1384" s="7"/>
      <c r="OAA1384" s="7"/>
      <c r="OAB1384" s="7"/>
      <c r="OAC1384" s="7"/>
      <c r="OAD1384" s="7"/>
      <c r="OAE1384" s="7"/>
      <c r="OAF1384" s="7"/>
      <c r="OAG1384" s="7"/>
      <c r="OAH1384" s="7"/>
      <c r="OAI1384" s="7"/>
      <c r="OAJ1384" s="7"/>
      <c r="OAK1384" s="7"/>
      <c r="OAL1384" s="7"/>
      <c r="OAM1384" s="7"/>
      <c r="OAN1384" s="7"/>
      <c r="OAO1384" s="7"/>
      <c r="OAP1384" s="7"/>
      <c r="OAQ1384" s="7"/>
      <c r="OAR1384" s="7"/>
      <c r="OAS1384" s="7"/>
      <c r="OAT1384" s="7"/>
      <c r="OAU1384" s="7"/>
      <c r="OAV1384" s="7"/>
      <c r="OAW1384" s="7"/>
      <c r="OAX1384" s="7"/>
      <c r="OAY1384" s="7"/>
      <c r="OAZ1384" s="7"/>
      <c r="OBA1384" s="7"/>
      <c r="OBB1384" s="7"/>
      <c r="OBC1384" s="7"/>
      <c r="OBD1384" s="7"/>
      <c r="OBE1384" s="7"/>
      <c r="OBF1384" s="7"/>
      <c r="OBG1384" s="7"/>
      <c r="OBH1384" s="7"/>
      <c r="OBI1384" s="7"/>
      <c r="OBJ1384" s="7"/>
      <c r="OBK1384" s="7"/>
      <c r="OBL1384" s="7"/>
      <c r="OBM1384" s="7"/>
      <c r="OBN1384" s="7"/>
      <c r="OBO1384" s="7"/>
      <c r="OBP1384" s="7"/>
      <c r="OBQ1384" s="7"/>
      <c r="OBR1384" s="7"/>
      <c r="OBS1384" s="7"/>
      <c r="OBT1384" s="7"/>
      <c r="OBU1384" s="7"/>
      <c r="OBV1384" s="7"/>
      <c r="OBW1384" s="7"/>
      <c r="OBX1384" s="7"/>
      <c r="OBY1384" s="7"/>
      <c r="OBZ1384" s="7"/>
      <c r="OCA1384" s="7"/>
      <c r="OCB1384" s="7"/>
      <c r="OCC1384" s="7"/>
      <c r="OCD1384" s="7"/>
      <c r="OCE1384" s="7"/>
      <c r="OCF1384" s="7"/>
      <c r="OCG1384" s="7"/>
      <c r="OCH1384" s="7"/>
      <c r="OCI1384" s="7"/>
      <c r="OCJ1384" s="7"/>
      <c r="OCK1384" s="7"/>
      <c r="OCL1384" s="7"/>
      <c r="OCM1384" s="7"/>
      <c r="OCN1384" s="7"/>
      <c r="OCO1384" s="7"/>
      <c r="OCP1384" s="7"/>
      <c r="OCQ1384" s="7"/>
      <c r="OCR1384" s="7"/>
      <c r="OCS1384" s="7"/>
      <c r="OCT1384" s="7"/>
      <c r="OCU1384" s="7"/>
      <c r="OCV1384" s="7"/>
      <c r="OCW1384" s="7"/>
      <c r="OCX1384" s="7"/>
      <c r="OCY1384" s="7"/>
      <c r="OCZ1384" s="7"/>
      <c r="ODA1384" s="7"/>
      <c r="ODB1384" s="7"/>
      <c r="ODC1384" s="7"/>
      <c r="ODD1384" s="7"/>
      <c r="ODE1384" s="7"/>
      <c r="ODF1384" s="7"/>
      <c r="ODG1384" s="7"/>
      <c r="ODH1384" s="7"/>
      <c r="ODI1384" s="7"/>
      <c r="ODJ1384" s="7"/>
      <c r="ODK1384" s="7"/>
      <c r="ODL1384" s="7"/>
      <c r="ODM1384" s="7"/>
      <c r="ODN1384" s="7"/>
      <c r="ODO1384" s="7"/>
      <c r="ODP1384" s="7"/>
      <c r="ODQ1384" s="7"/>
      <c r="ODR1384" s="7"/>
      <c r="ODS1384" s="7"/>
      <c r="ODT1384" s="7"/>
      <c r="ODU1384" s="7"/>
      <c r="ODV1384" s="7"/>
      <c r="ODW1384" s="7"/>
      <c r="ODX1384" s="7"/>
      <c r="ODY1384" s="7"/>
      <c r="ODZ1384" s="7"/>
      <c r="OEA1384" s="7"/>
      <c r="OEB1384" s="7"/>
      <c r="OEC1384" s="7"/>
      <c r="OED1384" s="7"/>
      <c r="OEE1384" s="7"/>
      <c r="OEF1384" s="7"/>
      <c r="OEG1384" s="7"/>
      <c r="OEH1384" s="7"/>
      <c r="OEI1384" s="7"/>
      <c r="OEJ1384" s="7"/>
      <c r="OEK1384" s="7"/>
      <c r="OEL1384" s="7"/>
      <c r="OEM1384" s="7"/>
      <c r="OEN1384" s="7"/>
      <c r="OEO1384" s="7"/>
      <c r="OEP1384" s="7"/>
      <c r="OEQ1384" s="7"/>
      <c r="OER1384" s="7"/>
      <c r="OES1384" s="7"/>
      <c r="OET1384" s="7"/>
      <c r="OEU1384" s="7"/>
      <c r="OEV1384" s="7"/>
      <c r="OEW1384" s="7"/>
      <c r="OEX1384" s="7"/>
      <c r="OEY1384" s="7"/>
      <c r="OEZ1384" s="7"/>
      <c r="OFA1384" s="7"/>
      <c r="OFB1384" s="7"/>
      <c r="OFC1384" s="7"/>
      <c r="OFD1384" s="7"/>
      <c r="OFE1384" s="7"/>
      <c r="OFF1384" s="7"/>
      <c r="OFG1384" s="7"/>
      <c r="OFH1384" s="7"/>
      <c r="OFI1384" s="7"/>
      <c r="OFJ1384" s="7"/>
      <c r="OFK1384" s="7"/>
      <c r="OFL1384" s="7"/>
      <c r="OFM1384" s="7"/>
      <c r="OFN1384" s="7"/>
      <c r="OFO1384" s="7"/>
      <c r="OFP1384" s="7"/>
      <c r="OFQ1384" s="7"/>
      <c r="OFR1384" s="7"/>
      <c r="OFS1384" s="7"/>
      <c r="OFT1384" s="7"/>
      <c r="OFU1384" s="7"/>
      <c r="OFV1384" s="7"/>
      <c r="OFW1384" s="7"/>
      <c r="OFX1384" s="7"/>
      <c r="OFY1384" s="7"/>
      <c r="OFZ1384" s="7"/>
      <c r="OGA1384" s="7"/>
      <c r="OGB1384" s="7"/>
      <c r="OGC1384" s="7"/>
      <c r="OGD1384" s="7"/>
      <c r="OGE1384" s="7"/>
      <c r="OGF1384" s="7"/>
      <c r="OGG1384" s="7"/>
      <c r="OGH1384" s="7"/>
      <c r="OGI1384" s="7"/>
      <c r="OGJ1384" s="7"/>
      <c r="OGK1384" s="7"/>
      <c r="OGL1384" s="7"/>
      <c r="OGM1384" s="7"/>
      <c r="OGN1384" s="7"/>
      <c r="OGO1384" s="7"/>
      <c r="OGP1384" s="7"/>
      <c r="OGQ1384" s="7"/>
      <c r="OGR1384" s="7"/>
      <c r="OGS1384" s="7"/>
      <c r="OGT1384" s="7"/>
      <c r="OGU1384" s="7"/>
      <c r="OGV1384" s="7"/>
      <c r="OGW1384" s="7"/>
      <c r="OGX1384" s="7"/>
      <c r="OGY1384" s="7"/>
      <c r="OGZ1384" s="7"/>
      <c r="OHA1384" s="7"/>
      <c r="OHB1384" s="7"/>
      <c r="OHC1384" s="7"/>
      <c r="OHD1384" s="7"/>
      <c r="OHE1384" s="7"/>
      <c r="OHF1384" s="7"/>
      <c r="OHG1384" s="7"/>
      <c r="OHH1384" s="7"/>
      <c r="OHI1384" s="7"/>
      <c r="OHJ1384" s="7"/>
      <c r="OHK1384" s="7"/>
      <c r="OHL1384" s="7"/>
      <c r="OHM1384" s="7"/>
      <c r="OHN1384" s="7"/>
      <c r="OHO1384" s="7"/>
      <c r="OHP1384" s="7"/>
      <c r="OHQ1384" s="7"/>
      <c r="OHR1384" s="7"/>
      <c r="OHS1384" s="7"/>
      <c r="OHT1384" s="7"/>
      <c r="OHU1384" s="7"/>
      <c r="OHV1384" s="7"/>
      <c r="OHW1384" s="7"/>
      <c r="OHX1384" s="7"/>
      <c r="OHY1384" s="7"/>
      <c r="OHZ1384" s="7"/>
      <c r="OIA1384" s="7"/>
      <c r="OIB1384" s="7"/>
      <c r="OIC1384" s="7"/>
      <c r="OID1384" s="7"/>
      <c r="OIE1384" s="7"/>
      <c r="OIF1384" s="7"/>
      <c r="OIG1384" s="7"/>
      <c r="OIH1384" s="7"/>
      <c r="OII1384" s="7"/>
      <c r="OIJ1384" s="7"/>
      <c r="OIK1384" s="7"/>
      <c r="OIL1384" s="7"/>
      <c r="OIM1384" s="7"/>
      <c r="OIN1384" s="7"/>
      <c r="OIO1384" s="7"/>
      <c r="OIP1384" s="7"/>
      <c r="OIQ1384" s="7"/>
      <c r="OIR1384" s="7"/>
      <c r="OIS1384" s="7"/>
      <c r="OIT1384" s="7"/>
      <c r="OIU1384" s="7"/>
      <c r="OIV1384" s="7"/>
      <c r="OIW1384" s="7"/>
      <c r="OIX1384" s="7"/>
      <c r="OIY1384" s="7"/>
      <c r="OIZ1384" s="7"/>
      <c r="OJA1384" s="7"/>
      <c r="OJB1384" s="7"/>
      <c r="OJC1384" s="7"/>
      <c r="OJD1384" s="7"/>
      <c r="OJE1384" s="7"/>
      <c r="OJF1384" s="7"/>
      <c r="OJG1384" s="7"/>
      <c r="OJH1384" s="7"/>
      <c r="OJI1384" s="7"/>
      <c r="OJJ1384" s="7"/>
      <c r="OJK1384" s="7"/>
      <c r="OJL1384" s="7"/>
      <c r="OJM1384" s="7"/>
      <c r="OJN1384" s="7"/>
      <c r="OJO1384" s="7"/>
      <c r="OJP1384" s="7"/>
      <c r="OJQ1384" s="7"/>
      <c r="OJR1384" s="7"/>
      <c r="OJS1384" s="7"/>
      <c r="OJT1384" s="7"/>
      <c r="OJU1384" s="7"/>
      <c r="OJV1384" s="7"/>
      <c r="OJW1384" s="7"/>
      <c r="OJX1384" s="7"/>
      <c r="OJY1384" s="7"/>
      <c r="OJZ1384" s="7"/>
      <c r="OKA1384" s="7"/>
      <c r="OKB1384" s="7"/>
      <c r="OKC1384" s="7"/>
      <c r="OKD1384" s="7"/>
      <c r="OKE1384" s="7"/>
      <c r="OKF1384" s="7"/>
      <c r="OKG1384" s="7"/>
      <c r="OKH1384" s="7"/>
      <c r="OKI1384" s="7"/>
      <c r="OKJ1384" s="7"/>
      <c r="OKK1384" s="7"/>
      <c r="OKL1384" s="7"/>
      <c r="OKM1384" s="7"/>
      <c r="OKN1384" s="7"/>
      <c r="OKO1384" s="7"/>
      <c r="OKP1384" s="7"/>
      <c r="OKQ1384" s="7"/>
      <c r="OKR1384" s="7"/>
      <c r="OKS1384" s="7"/>
      <c r="OKT1384" s="7"/>
      <c r="OKU1384" s="7"/>
      <c r="OKV1384" s="7"/>
      <c r="OKW1384" s="7"/>
      <c r="OKX1384" s="7"/>
      <c r="OKY1384" s="7"/>
      <c r="OKZ1384" s="7"/>
      <c r="OLA1384" s="7"/>
      <c r="OLB1384" s="7"/>
      <c r="OLC1384" s="7"/>
      <c r="OLD1384" s="7"/>
      <c r="OLE1384" s="7"/>
      <c r="OLF1384" s="7"/>
      <c r="OLG1384" s="7"/>
      <c r="OLH1384" s="7"/>
      <c r="OLI1384" s="7"/>
      <c r="OLJ1384" s="7"/>
      <c r="OLK1384" s="7"/>
      <c r="OLL1384" s="7"/>
      <c r="OLM1384" s="7"/>
      <c r="OLN1384" s="7"/>
      <c r="OLO1384" s="7"/>
      <c r="OLP1384" s="7"/>
      <c r="OLQ1384" s="7"/>
      <c r="OLR1384" s="7"/>
      <c r="OLS1384" s="7"/>
      <c r="OLT1384" s="7"/>
      <c r="OLU1384" s="7"/>
      <c r="OLV1384" s="7"/>
      <c r="OLW1384" s="7"/>
      <c r="OLX1384" s="7"/>
      <c r="OLY1384" s="7"/>
      <c r="OLZ1384" s="7"/>
      <c r="OMA1384" s="7"/>
      <c r="OMB1384" s="7"/>
      <c r="OMC1384" s="7"/>
      <c r="OMD1384" s="7"/>
      <c r="OME1384" s="7"/>
      <c r="OMF1384" s="7"/>
      <c r="OMG1384" s="7"/>
      <c r="OMH1384" s="7"/>
      <c r="OMI1384" s="7"/>
      <c r="OMJ1384" s="7"/>
      <c r="OMK1384" s="7"/>
      <c r="OML1384" s="7"/>
      <c r="OMM1384" s="7"/>
      <c r="OMN1384" s="7"/>
      <c r="OMO1384" s="7"/>
      <c r="OMP1384" s="7"/>
      <c r="OMQ1384" s="7"/>
      <c r="OMR1384" s="7"/>
      <c r="OMS1384" s="7"/>
      <c r="OMT1384" s="7"/>
      <c r="OMU1384" s="7"/>
      <c r="OMV1384" s="7"/>
      <c r="OMW1384" s="7"/>
      <c r="OMX1384" s="7"/>
      <c r="OMY1384" s="7"/>
      <c r="OMZ1384" s="7"/>
      <c r="ONA1384" s="7"/>
      <c r="ONB1384" s="7"/>
      <c r="ONC1384" s="7"/>
      <c r="OND1384" s="7"/>
      <c r="ONE1384" s="7"/>
      <c r="ONF1384" s="7"/>
      <c r="ONG1384" s="7"/>
      <c r="ONH1384" s="7"/>
      <c r="ONI1384" s="7"/>
      <c r="ONJ1384" s="7"/>
      <c r="ONK1384" s="7"/>
      <c r="ONL1384" s="7"/>
      <c r="ONM1384" s="7"/>
      <c r="ONN1384" s="7"/>
      <c r="ONO1384" s="7"/>
      <c r="ONP1384" s="7"/>
      <c r="ONQ1384" s="7"/>
      <c r="ONR1384" s="7"/>
      <c r="ONS1384" s="7"/>
      <c r="ONT1384" s="7"/>
      <c r="ONU1384" s="7"/>
      <c r="ONV1384" s="7"/>
      <c r="ONW1384" s="7"/>
      <c r="ONX1384" s="7"/>
      <c r="ONY1384" s="7"/>
      <c r="ONZ1384" s="7"/>
      <c r="OOA1384" s="7"/>
      <c r="OOB1384" s="7"/>
      <c r="OOC1384" s="7"/>
      <c r="OOD1384" s="7"/>
      <c r="OOE1384" s="7"/>
      <c r="OOF1384" s="7"/>
      <c r="OOG1384" s="7"/>
      <c r="OOH1384" s="7"/>
      <c r="OOI1384" s="7"/>
      <c r="OOJ1384" s="7"/>
      <c r="OOK1384" s="7"/>
      <c r="OOL1384" s="7"/>
      <c r="OOM1384" s="7"/>
      <c r="OON1384" s="7"/>
      <c r="OOO1384" s="7"/>
      <c r="OOP1384" s="7"/>
      <c r="OOQ1384" s="7"/>
      <c r="OOR1384" s="7"/>
      <c r="OOS1384" s="7"/>
      <c r="OOT1384" s="7"/>
      <c r="OOU1384" s="7"/>
      <c r="OOV1384" s="7"/>
      <c r="OOW1384" s="7"/>
      <c r="OOX1384" s="7"/>
      <c r="OOY1384" s="7"/>
      <c r="OOZ1384" s="7"/>
      <c r="OPA1384" s="7"/>
      <c r="OPB1384" s="7"/>
      <c r="OPC1384" s="7"/>
      <c r="OPD1384" s="7"/>
      <c r="OPE1384" s="7"/>
      <c r="OPF1384" s="7"/>
      <c r="OPG1384" s="7"/>
      <c r="OPH1384" s="7"/>
      <c r="OPI1384" s="7"/>
      <c r="OPJ1384" s="7"/>
      <c r="OPK1384" s="7"/>
      <c r="OPL1384" s="7"/>
      <c r="OPM1384" s="7"/>
      <c r="OPN1384" s="7"/>
      <c r="OPO1384" s="7"/>
      <c r="OPP1384" s="7"/>
      <c r="OPQ1384" s="7"/>
      <c r="OPR1384" s="7"/>
      <c r="OPS1384" s="7"/>
      <c r="OPT1384" s="7"/>
      <c r="OPU1384" s="7"/>
      <c r="OPV1384" s="7"/>
      <c r="OPW1384" s="7"/>
      <c r="OPX1384" s="7"/>
      <c r="OPY1384" s="7"/>
      <c r="OPZ1384" s="7"/>
      <c r="OQA1384" s="7"/>
      <c r="OQB1384" s="7"/>
      <c r="OQC1384" s="7"/>
      <c r="OQD1384" s="7"/>
      <c r="OQE1384" s="7"/>
      <c r="OQF1384" s="7"/>
      <c r="OQG1384" s="7"/>
      <c r="OQH1384" s="7"/>
      <c r="OQI1384" s="7"/>
      <c r="OQJ1384" s="7"/>
      <c r="OQK1384" s="7"/>
      <c r="OQL1384" s="7"/>
      <c r="OQM1384" s="7"/>
      <c r="OQN1384" s="7"/>
      <c r="OQO1384" s="7"/>
      <c r="OQP1384" s="7"/>
      <c r="OQQ1384" s="7"/>
      <c r="OQR1384" s="7"/>
      <c r="OQS1384" s="7"/>
      <c r="OQT1384" s="7"/>
      <c r="OQU1384" s="7"/>
      <c r="OQV1384" s="7"/>
      <c r="OQW1384" s="7"/>
      <c r="OQX1384" s="7"/>
      <c r="OQY1384" s="7"/>
      <c r="OQZ1384" s="7"/>
      <c r="ORA1384" s="7"/>
      <c r="ORB1384" s="7"/>
      <c r="ORC1384" s="7"/>
      <c r="ORD1384" s="7"/>
      <c r="ORE1384" s="7"/>
      <c r="ORF1384" s="7"/>
      <c r="ORG1384" s="7"/>
      <c r="ORH1384" s="7"/>
      <c r="ORI1384" s="7"/>
      <c r="ORJ1384" s="7"/>
      <c r="ORK1384" s="7"/>
      <c r="ORL1384" s="7"/>
      <c r="ORM1384" s="7"/>
      <c r="ORN1384" s="7"/>
      <c r="ORO1384" s="7"/>
      <c r="ORP1384" s="7"/>
      <c r="ORQ1384" s="7"/>
      <c r="ORR1384" s="7"/>
      <c r="ORS1384" s="7"/>
      <c r="ORT1384" s="7"/>
      <c r="ORU1384" s="7"/>
      <c r="ORV1384" s="7"/>
      <c r="ORW1384" s="7"/>
      <c r="ORX1384" s="7"/>
      <c r="ORY1384" s="7"/>
      <c r="ORZ1384" s="7"/>
      <c r="OSA1384" s="7"/>
      <c r="OSB1384" s="7"/>
      <c r="OSC1384" s="7"/>
      <c r="OSD1384" s="7"/>
      <c r="OSE1384" s="7"/>
      <c r="OSF1384" s="7"/>
      <c r="OSG1384" s="7"/>
      <c r="OSH1384" s="7"/>
      <c r="OSI1384" s="7"/>
      <c r="OSJ1384" s="7"/>
      <c r="OSK1384" s="7"/>
      <c r="OSL1384" s="7"/>
      <c r="OSM1384" s="7"/>
      <c r="OSN1384" s="7"/>
      <c r="OSO1384" s="7"/>
      <c r="OSP1384" s="7"/>
      <c r="OSQ1384" s="7"/>
      <c r="OSR1384" s="7"/>
      <c r="OSS1384" s="7"/>
      <c r="OST1384" s="7"/>
      <c r="OSU1384" s="7"/>
      <c r="OSV1384" s="7"/>
      <c r="OSW1384" s="7"/>
      <c r="OSX1384" s="7"/>
      <c r="OSY1384" s="7"/>
      <c r="OSZ1384" s="7"/>
      <c r="OTA1384" s="7"/>
      <c r="OTB1384" s="7"/>
      <c r="OTC1384" s="7"/>
      <c r="OTD1384" s="7"/>
      <c r="OTE1384" s="7"/>
      <c r="OTF1384" s="7"/>
      <c r="OTG1384" s="7"/>
      <c r="OTH1384" s="7"/>
      <c r="OTI1384" s="7"/>
      <c r="OTJ1384" s="7"/>
      <c r="OTK1384" s="7"/>
      <c r="OTL1384" s="7"/>
      <c r="OTM1384" s="7"/>
      <c r="OTN1384" s="7"/>
      <c r="OTO1384" s="7"/>
      <c r="OTP1384" s="7"/>
      <c r="OTQ1384" s="7"/>
      <c r="OTR1384" s="7"/>
      <c r="OTS1384" s="7"/>
      <c r="OTT1384" s="7"/>
      <c r="OTU1384" s="7"/>
      <c r="OTV1384" s="7"/>
      <c r="OTW1384" s="7"/>
      <c r="OTX1384" s="7"/>
      <c r="OTY1384" s="7"/>
      <c r="OTZ1384" s="7"/>
      <c r="OUA1384" s="7"/>
      <c r="OUB1384" s="7"/>
      <c r="OUC1384" s="7"/>
      <c r="OUD1384" s="7"/>
      <c r="OUE1384" s="7"/>
      <c r="OUF1384" s="7"/>
      <c r="OUG1384" s="7"/>
      <c r="OUH1384" s="7"/>
      <c r="OUI1384" s="7"/>
      <c r="OUJ1384" s="7"/>
      <c r="OUK1384" s="7"/>
      <c r="OUL1384" s="7"/>
      <c r="OUM1384" s="7"/>
      <c r="OUN1384" s="7"/>
      <c r="OUO1384" s="7"/>
      <c r="OUP1384" s="7"/>
      <c r="OUQ1384" s="7"/>
      <c r="OUR1384" s="7"/>
      <c r="OUS1384" s="7"/>
      <c r="OUT1384" s="7"/>
      <c r="OUU1384" s="7"/>
      <c r="OUV1384" s="7"/>
      <c r="OUW1384" s="7"/>
      <c r="OUX1384" s="7"/>
      <c r="OUY1384" s="7"/>
      <c r="OUZ1384" s="7"/>
      <c r="OVA1384" s="7"/>
      <c r="OVB1384" s="7"/>
      <c r="OVC1384" s="7"/>
      <c r="OVD1384" s="7"/>
      <c r="OVE1384" s="7"/>
      <c r="OVF1384" s="7"/>
      <c r="OVG1384" s="7"/>
      <c r="OVH1384" s="7"/>
      <c r="OVI1384" s="7"/>
      <c r="OVJ1384" s="7"/>
      <c r="OVK1384" s="7"/>
      <c r="OVL1384" s="7"/>
      <c r="OVM1384" s="7"/>
      <c r="OVN1384" s="7"/>
      <c r="OVO1384" s="7"/>
      <c r="OVP1384" s="7"/>
      <c r="OVQ1384" s="7"/>
      <c r="OVR1384" s="7"/>
      <c r="OVS1384" s="7"/>
      <c r="OVT1384" s="7"/>
      <c r="OVU1384" s="7"/>
      <c r="OVV1384" s="7"/>
      <c r="OVW1384" s="7"/>
      <c r="OVX1384" s="7"/>
      <c r="OVY1384" s="7"/>
      <c r="OVZ1384" s="7"/>
      <c r="OWA1384" s="7"/>
      <c r="OWB1384" s="7"/>
      <c r="OWC1384" s="7"/>
      <c r="OWD1384" s="7"/>
      <c r="OWE1384" s="7"/>
      <c r="OWF1384" s="7"/>
      <c r="OWG1384" s="7"/>
      <c r="OWH1384" s="7"/>
      <c r="OWI1384" s="7"/>
      <c r="OWJ1384" s="7"/>
      <c r="OWK1384" s="7"/>
      <c r="OWL1384" s="7"/>
      <c r="OWM1384" s="7"/>
      <c r="OWN1384" s="7"/>
      <c r="OWO1384" s="7"/>
      <c r="OWP1384" s="7"/>
      <c r="OWQ1384" s="7"/>
      <c r="OWR1384" s="7"/>
      <c r="OWS1384" s="7"/>
      <c r="OWT1384" s="7"/>
      <c r="OWU1384" s="7"/>
      <c r="OWV1384" s="7"/>
      <c r="OWW1384" s="7"/>
      <c r="OWX1384" s="7"/>
      <c r="OWY1384" s="7"/>
      <c r="OWZ1384" s="7"/>
      <c r="OXA1384" s="7"/>
      <c r="OXB1384" s="7"/>
      <c r="OXC1384" s="7"/>
      <c r="OXD1384" s="7"/>
      <c r="OXE1384" s="7"/>
      <c r="OXF1384" s="7"/>
      <c r="OXG1384" s="7"/>
      <c r="OXH1384" s="7"/>
      <c r="OXI1384" s="7"/>
      <c r="OXJ1384" s="7"/>
      <c r="OXK1384" s="7"/>
      <c r="OXL1384" s="7"/>
      <c r="OXM1384" s="7"/>
      <c r="OXN1384" s="7"/>
      <c r="OXO1384" s="7"/>
      <c r="OXP1384" s="7"/>
      <c r="OXQ1384" s="7"/>
      <c r="OXR1384" s="7"/>
      <c r="OXS1384" s="7"/>
      <c r="OXT1384" s="7"/>
      <c r="OXU1384" s="7"/>
      <c r="OXV1384" s="7"/>
      <c r="OXW1384" s="7"/>
      <c r="OXX1384" s="7"/>
      <c r="OXY1384" s="7"/>
      <c r="OXZ1384" s="7"/>
      <c r="OYA1384" s="7"/>
      <c r="OYB1384" s="7"/>
      <c r="OYC1384" s="7"/>
      <c r="OYD1384" s="7"/>
      <c r="OYE1384" s="7"/>
      <c r="OYF1384" s="7"/>
      <c r="OYG1384" s="7"/>
      <c r="OYH1384" s="7"/>
      <c r="OYI1384" s="7"/>
      <c r="OYJ1384" s="7"/>
      <c r="OYK1384" s="7"/>
      <c r="OYL1384" s="7"/>
      <c r="OYM1384" s="7"/>
      <c r="OYN1384" s="7"/>
      <c r="OYO1384" s="7"/>
      <c r="OYP1384" s="7"/>
      <c r="OYQ1384" s="7"/>
      <c r="OYR1384" s="7"/>
      <c r="OYS1384" s="7"/>
      <c r="OYT1384" s="7"/>
      <c r="OYU1384" s="7"/>
      <c r="OYV1384" s="7"/>
      <c r="OYW1384" s="7"/>
      <c r="OYX1384" s="7"/>
      <c r="OYY1384" s="7"/>
      <c r="OYZ1384" s="7"/>
      <c r="OZA1384" s="7"/>
      <c r="OZB1384" s="7"/>
      <c r="OZC1384" s="7"/>
      <c r="OZD1384" s="7"/>
      <c r="OZE1384" s="7"/>
      <c r="OZF1384" s="7"/>
      <c r="OZG1384" s="7"/>
      <c r="OZH1384" s="7"/>
      <c r="OZI1384" s="7"/>
      <c r="OZJ1384" s="7"/>
      <c r="OZK1384" s="7"/>
      <c r="OZL1384" s="7"/>
      <c r="OZM1384" s="7"/>
      <c r="OZN1384" s="7"/>
      <c r="OZO1384" s="7"/>
      <c r="OZP1384" s="7"/>
      <c r="OZQ1384" s="7"/>
      <c r="OZR1384" s="7"/>
      <c r="OZS1384" s="7"/>
      <c r="OZT1384" s="7"/>
      <c r="OZU1384" s="7"/>
      <c r="OZV1384" s="7"/>
      <c r="OZW1384" s="7"/>
      <c r="OZX1384" s="7"/>
      <c r="OZY1384" s="7"/>
      <c r="OZZ1384" s="7"/>
      <c r="PAA1384" s="7"/>
      <c r="PAB1384" s="7"/>
      <c r="PAC1384" s="7"/>
      <c r="PAD1384" s="7"/>
      <c r="PAE1384" s="7"/>
      <c r="PAF1384" s="7"/>
      <c r="PAG1384" s="7"/>
      <c r="PAH1384" s="7"/>
      <c r="PAI1384" s="7"/>
      <c r="PAJ1384" s="7"/>
      <c r="PAK1384" s="7"/>
      <c r="PAL1384" s="7"/>
      <c r="PAM1384" s="7"/>
      <c r="PAN1384" s="7"/>
      <c r="PAO1384" s="7"/>
      <c r="PAP1384" s="7"/>
      <c r="PAQ1384" s="7"/>
      <c r="PAR1384" s="7"/>
      <c r="PAS1384" s="7"/>
      <c r="PAT1384" s="7"/>
      <c r="PAU1384" s="7"/>
      <c r="PAV1384" s="7"/>
      <c r="PAW1384" s="7"/>
      <c r="PAX1384" s="7"/>
      <c r="PAY1384" s="7"/>
      <c r="PAZ1384" s="7"/>
      <c r="PBA1384" s="7"/>
      <c r="PBB1384" s="7"/>
      <c r="PBC1384" s="7"/>
      <c r="PBD1384" s="7"/>
      <c r="PBE1384" s="7"/>
      <c r="PBF1384" s="7"/>
      <c r="PBG1384" s="7"/>
      <c r="PBH1384" s="7"/>
      <c r="PBI1384" s="7"/>
      <c r="PBJ1384" s="7"/>
      <c r="PBK1384" s="7"/>
      <c r="PBL1384" s="7"/>
      <c r="PBM1384" s="7"/>
      <c r="PBN1384" s="7"/>
      <c r="PBO1384" s="7"/>
      <c r="PBP1384" s="7"/>
      <c r="PBQ1384" s="7"/>
      <c r="PBR1384" s="7"/>
      <c r="PBS1384" s="7"/>
      <c r="PBT1384" s="7"/>
      <c r="PBU1384" s="7"/>
      <c r="PBV1384" s="7"/>
      <c r="PBW1384" s="7"/>
      <c r="PBX1384" s="7"/>
      <c r="PBY1384" s="7"/>
      <c r="PBZ1384" s="7"/>
      <c r="PCA1384" s="7"/>
      <c r="PCB1384" s="7"/>
      <c r="PCC1384" s="7"/>
      <c r="PCD1384" s="7"/>
      <c r="PCE1384" s="7"/>
      <c r="PCF1384" s="7"/>
      <c r="PCG1384" s="7"/>
      <c r="PCH1384" s="7"/>
      <c r="PCI1384" s="7"/>
      <c r="PCJ1384" s="7"/>
      <c r="PCK1384" s="7"/>
      <c r="PCL1384" s="7"/>
      <c r="PCM1384" s="7"/>
      <c r="PCN1384" s="7"/>
      <c r="PCO1384" s="7"/>
      <c r="PCP1384" s="7"/>
      <c r="PCQ1384" s="7"/>
      <c r="PCR1384" s="7"/>
      <c r="PCS1384" s="7"/>
      <c r="PCT1384" s="7"/>
      <c r="PCU1384" s="7"/>
      <c r="PCV1384" s="7"/>
      <c r="PCW1384" s="7"/>
      <c r="PCX1384" s="7"/>
      <c r="PCY1384" s="7"/>
      <c r="PCZ1384" s="7"/>
      <c r="PDA1384" s="7"/>
      <c r="PDB1384" s="7"/>
      <c r="PDC1384" s="7"/>
      <c r="PDD1384" s="7"/>
      <c r="PDE1384" s="7"/>
      <c r="PDF1384" s="7"/>
      <c r="PDG1384" s="7"/>
      <c r="PDH1384" s="7"/>
      <c r="PDI1384" s="7"/>
      <c r="PDJ1384" s="7"/>
      <c r="PDK1384" s="7"/>
      <c r="PDL1384" s="7"/>
      <c r="PDM1384" s="7"/>
      <c r="PDN1384" s="7"/>
      <c r="PDO1384" s="7"/>
      <c r="PDP1384" s="7"/>
      <c r="PDQ1384" s="7"/>
      <c r="PDR1384" s="7"/>
      <c r="PDS1384" s="7"/>
      <c r="PDT1384" s="7"/>
      <c r="PDU1384" s="7"/>
      <c r="PDV1384" s="7"/>
      <c r="PDW1384" s="7"/>
      <c r="PDX1384" s="7"/>
      <c r="PDY1384" s="7"/>
      <c r="PDZ1384" s="7"/>
      <c r="PEA1384" s="7"/>
      <c r="PEB1384" s="7"/>
      <c r="PEC1384" s="7"/>
      <c r="PED1384" s="7"/>
      <c r="PEE1384" s="7"/>
      <c r="PEF1384" s="7"/>
      <c r="PEG1384" s="7"/>
      <c r="PEH1384" s="7"/>
      <c r="PEI1384" s="7"/>
      <c r="PEJ1384" s="7"/>
      <c r="PEK1384" s="7"/>
      <c r="PEL1384" s="7"/>
      <c r="PEM1384" s="7"/>
      <c r="PEN1384" s="7"/>
      <c r="PEO1384" s="7"/>
      <c r="PEP1384" s="7"/>
      <c r="PEQ1384" s="7"/>
      <c r="PER1384" s="7"/>
      <c r="PES1384" s="7"/>
      <c r="PET1384" s="7"/>
      <c r="PEU1384" s="7"/>
      <c r="PEV1384" s="7"/>
      <c r="PEW1384" s="7"/>
      <c r="PEX1384" s="7"/>
      <c r="PEY1384" s="7"/>
      <c r="PEZ1384" s="7"/>
      <c r="PFA1384" s="7"/>
      <c r="PFB1384" s="7"/>
      <c r="PFC1384" s="7"/>
      <c r="PFD1384" s="7"/>
      <c r="PFE1384" s="7"/>
      <c r="PFF1384" s="7"/>
      <c r="PFG1384" s="7"/>
      <c r="PFH1384" s="7"/>
      <c r="PFI1384" s="7"/>
      <c r="PFJ1384" s="7"/>
      <c r="PFK1384" s="7"/>
      <c r="PFL1384" s="7"/>
      <c r="PFM1384" s="7"/>
      <c r="PFN1384" s="7"/>
      <c r="PFO1384" s="7"/>
      <c r="PFP1384" s="7"/>
      <c r="PFQ1384" s="7"/>
      <c r="PFR1384" s="7"/>
      <c r="PFS1384" s="7"/>
      <c r="PFT1384" s="7"/>
      <c r="PFU1384" s="7"/>
      <c r="PFV1384" s="7"/>
      <c r="PFW1384" s="7"/>
      <c r="PFX1384" s="7"/>
      <c r="PFY1384" s="7"/>
      <c r="PFZ1384" s="7"/>
      <c r="PGA1384" s="7"/>
      <c r="PGB1384" s="7"/>
      <c r="PGC1384" s="7"/>
      <c r="PGD1384" s="7"/>
      <c r="PGE1384" s="7"/>
      <c r="PGF1384" s="7"/>
      <c r="PGG1384" s="7"/>
      <c r="PGH1384" s="7"/>
      <c r="PGI1384" s="7"/>
      <c r="PGJ1384" s="7"/>
      <c r="PGK1384" s="7"/>
      <c r="PGL1384" s="7"/>
      <c r="PGM1384" s="7"/>
      <c r="PGN1384" s="7"/>
      <c r="PGO1384" s="7"/>
      <c r="PGP1384" s="7"/>
      <c r="PGQ1384" s="7"/>
      <c r="PGR1384" s="7"/>
      <c r="PGS1384" s="7"/>
      <c r="PGT1384" s="7"/>
      <c r="PGU1384" s="7"/>
      <c r="PGV1384" s="7"/>
      <c r="PGW1384" s="7"/>
      <c r="PGX1384" s="7"/>
      <c r="PGY1384" s="7"/>
      <c r="PGZ1384" s="7"/>
      <c r="PHA1384" s="7"/>
      <c r="PHB1384" s="7"/>
      <c r="PHC1384" s="7"/>
      <c r="PHD1384" s="7"/>
      <c r="PHE1384" s="7"/>
      <c r="PHF1384" s="7"/>
      <c r="PHG1384" s="7"/>
      <c r="PHH1384" s="7"/>
      <c r="PHI1384" s="7"/>
      <c r="PHJ1384" s="7"/>
      <c r="PHK1384" s="7"/>
      <c r="PHL1384" s="7"/>
      <c r="PHM1384" s="7"/>
      <c r="PHN1384" s="7"/>
      <c r="PHO1384" s="7"/>
      <c r="PHP1384" s="7"/>
      <c r="PHQ1384" s="7"/>
      <c r="PHR1384" s="7"/>
      <c r="PHS1384" s="7"/>
      <c r="PHT1384" s="7"/>
      <c r="PHU1384" s="7"/>
      <c r="PHV1384" s="7"/>
      <c r="PHW1384" s="7"/>
      <c r="PHX1384" s="7"/>
      <c r="PHY1384" s="7"/>
      <c r="PHZ1384" s="7"/>
      <c r="PIA1384" s="7"/>
      <c r="PIB1384" s="7"/>
      <c r="PIC1384" s="7"/>
      <c r="PID1384" s="7"/>
      <c r="PIE1384" s="7"/>
      <c r="PIF1384" s="7"/>
      <c r="PIG1384" s="7"/>
      <c r="PIH1384" s="7"/>
      <c r="PII1384" s="7"/>
      <c r="PIJ1384" s="7"/>
      <c r="PIK1384" s="7"/>
      <c r="PIL1384" s="7"/>
      <c r="PIM1384" s="7"/>
      <c r="PIN1384" s="7"/>
      <c r="PIO1384" s="7"/>
      <c r="PIP1384" s="7"/>
      <c r="PIQ1384" s="7"/>
      <c r="PIR1384" s="7"/>
      <c r="PIS1384" s="7"/>
      <c r="PIT1384" s="7"/>
      <c r="PIU1384" s="7"/>
      <c r="PIV1384" s="7"/>
      <c r="PIW1384" s="7"/>
      <c r="PIX1384" s="7"/>
      <c r="PIY1384" s="7"/>
      <c r="PIZ1384" s="7"/>
      <c r="PJA1384" s="7"/>
      <c r="PJB1384" s="7"/>
      <c r="PJC1384" s="7"/>
      <c r="PJD1384" s="7"/>
      <c r="PJE1384" s="7"/>
      <c r="PJF1384" s="7"/>
      <c r="PJG1384" s="7"/>
      <c r="PJH1384" s="7"/>
      <c r="PJI1384" s="7"/>
      <c r="PJJ1384" s="7"/>
      <c r="PJK1384" s="7"/>
      <c r="PJL1384" s="7"/>
      <c r="PJM1384" s="7"/>
      <c r="PJN1384" s="7"/>
      <c r="PJO1384" s="7"/>
      <c r="PJP1384" s="7"/>
      <c r="PJQ1384" s="7"/>
      <c r="PJR1384" s="7"/>
      <c r="PJS1384" s="7"/>
      <c r="PJT1384" s="7"/>
      <c r="PJU1384" s="7"/>
      <c r="PJV1384" s="7"/>
      <c r="PJW1384" s="7"/>
      <c r="PJX1384" s="7"/>
      <c r="PJY1384" s="7"/>
      <c r="PJZ1384" s="7"/>
      <c r="PKA1384" s="7"/>
      <c r="PKB1384" s="7"/>
      <c r="PKC1384" s="7"/>
      <c r="PKD1384" s="7"/>
      <c r="PKE1384" s="7"/>
      <c r="PKF1384" s="7"/>
      <c r="PKG1384" s="7"/>
      <c r="PKH1384" s="7"/>
      <c r="PKI1384" s="7"/>
      <c r="PKJ1384" s="7"/>
      <c r="PKK1384" s="7"/>
      <c r="PKL1384" s="7"/>
      <c r="PKM1384" s="7"/>
      <c r="PKN1384" s="7"/>
      <c r="PKO1384" s="7"/>
      <c r="PKP1384" s="7"/>
      <c r="PKQ1384" s="7"/>
      <c r="PKR1384" s="7"/>
      <c r="PKS1384" s="7"/>
      <c r="PKT1384" s="7"/>
      <c r="PKU1384" s="7"/>
      <c r="PKV1384" s="7"/>
      <c r="PKW1384" s="7"/>
      <c r="PKX1384" s="7"/>
      <c r="PKY1384" s="7"/>
      <c r="PKZ1384" s="7"/>
      <c r="PLA1384" s="7"/>
      <c r="PLB1384" s="7"/>
      <c r="PLC1384" s="7"/>
      <c r="PLD1384" s="7"/>
      <c r="PLE1384" s="7"/>
      <c r="PLF1384" s="7"/>
      <c r="PLG1384" s="7"/>
      <c r="PLH1384" s="7"/>
      <c r="PLI1384" s="7"/>
      <c r="PLJ1384" s="7"/>
      <c r="PLK1384" s="7"/>
      <c r="PLL1384" s="7"/>
      <c r="PLM1384" s="7"/>
      <c r="PLN1384" s="7"/>
      <c r="PLO1384" s="7"/>
      <c r="PLP1384" s="7"/>
      <c r="PLQ1384" s="7"/>
      <c r="PLR1384" s="7"/>
      <c r="PLS1384" s="7"/>
      <c r="PLT1384" s="7"/>
      <c r="PLU1384" s="7"/>
      <c r="PLV1384" s="7"/>
      <c r="PLW1384" s="7"/>
      <c r="PLX1384" s="7"/>
      <c r="PLY1384" s="7"/>
      <c r="PLZ1384" s="7"/>
      <c r="PMA1384" s="7"/>
      <c r="PMB1384" s="7"/>
      <c r="PMC1384" s="7"/>
      <c r="PMD1384" s="7"/>
      <c r="PME1384" s="7"/>
      <c r="PMF1384" s="7"/>
      <c r="PMG1384" s="7"/>
      <c r="PMH1384" s="7"/>
      <c r="PMI1384" s="7"/>
      <c r="PMJ1384" s="7"/>
      <c r="PMK1384" s="7"/>
      <c r="PML1384" s="7"/>
      <c r="PMM1384" s="7"/>
      <c r="PMN1384" s="7"/>
      <c r="PMO1384" s="7"/>
      <c r="PMP1384" s="7"/>
      <c r="PMQ1384" s="7"/>
      <c r="PMR1384" s="7"/>
      <c r="PMS1384" s="7"/>
      <c r="PMT1384" s="7"/>
      <c r="PMU1384" s="7"/>
      <c r="PMV1384" s="7"/>
      <c r="PMW1384" s="7"/>
      <c r="PMX1384" s="7"/>
      <c r="PMY1384" s="7"/>
      <c r="PMZ1384" s="7"/>
      <c r="PNA1384" s="7"/>
      <c r="PNB1384" s="7"/>
      <c r="PNC1384" s="7"/>
      <c r="PND1384" s="7"/>
      <c r="PNE1384" s="7"/>
      <c r="PNF1384" s="7"/>
      <c r="PNG1384" s="7"/>
      <c r="PNH1384" s="7"/>
      <c r="PNI1384" s="7"/>
      <c r="PNJ1384" s="7"/>
      <c r="PNK1384" s="7"/>
      <c r="PNL1384" s="7"/>
      <c r="PNM1384" s="7"/>
      <c r="PNN1384" s="7"/>
      <c r="PNO1384" s="7"/>
      <c r="PNP1384" s="7"/>
      <c r="PNQ1384" s="7"/>
      <c r="PNR1384" s="7"/>
      <c r="PNS1384" s="7"/>
      <c r="PNT1384" s="7"/>
      <c r="PNU1384" s="7"/>
      <c r="PNV1384" s="7"/>
      <c r="PNW1384" s="7"/>
      <c r="PNX1384" s="7"/>
      <c r="PNY1384" s="7"/>
      <c r="PNZ1384" s="7"/>
      <c r="POA1384" s="7"/>
      <c r="POB1384" s="7"/>
      <c r="POC1384" s="7"/>
      <c r="POD1384" s="7"/>
      <c r="POE1384" s="7"/>
      <c r="POF1384" s="7"/>
      <c r="POG1384" s="7"/>
      <c r="POH1384" s="7"/>
      <c r="POI1384" s="7"/>
      <c r="POJ1384" s="7"/>
      <c r="POK1384" s="7"/>
      <c r="POL1384" s="7"/>
      <c r="POM1384" s="7"/>
      <c r="PON1384" s="7"/>
      <c r="POO1384" s="7"/>
      <c r="POP1384" s="7"/>
      <c r="POQ1384" s="7"/>
      <c r="POR1384" s="7"/>
      <c r="POS1384" s="7"/>
      <c r="POT1384" s="7"/>
      <c r="POU1384" s="7"/>
      <c r="POV1384" s="7"/>
      <c r="POW1384" s="7"/>
      <c r="POX1384" s="7"/>
      <c r="POY1384" s="7"/>
      <c r="POZ1384" s="7"/>
      <c r="PPA1384" s="7"/>
      <c r="PPB1384" s="7"/>
      <c r="PPC1384" s="7"/>
      <c r="PPD1384" s="7"/>
      <c r="PPE1384" s="7"/>
      <c r="PPF1384" s="7"/>
      <c r="PPG1384" s="7"/>
      <c r="PPH1384" s="7"/>
      <c r="PPI1384" s="7"/>
      <c r="PPJ1384" s="7"/>
      <c r="PPK1384" s="7"/>
      <c r="PPL1384" s="7"/>
      <c r="PPM1384" s="7"/>
      <c r="PPN1384" s="7"/>
      <c r="PPO1384" s="7"/>
      <c r="PPP1384" s="7"/>
      <c r="PPQ1384" s="7"/>
      <c r="PPR1384" s="7"/>
      <c r="PPS1384" s="7"/>
      <c r="PPT1384" s="7"/>
      <c r="PPU1384" s="7"/>
      <c r="PPV1384" s="7"/>
      <c r="PPW1384" s="7"/>
      <c r="PPX1384" s="7"/>
      <c r="PPY1384" s="7"/>
      <c r="PPZ1384" s="7"/>
      <c r="PQA1384" s="7"/>
      <c r="PQB1384" s="7"/>
      <c r="PQC1384" s="7"/>
      <c r="PQD1384" s="7"/>
      <c r="PQE1384" s="7"/>
      <c r="PQF1384" s="7"/>
      <c r="PQG1384" s="7"/>
      <c r="PQH1384" s="7"/>
      <c r="PQI1384" s="7"/>
      <c r="PQJ1384" s="7"/>
      <c r="PQK1384" s="7"/>
      <c r="PQL1384" s="7"/>
      <c r="PQM1384" s="7"/>
      <c r="PQN1384" s="7"/>
      <c r="PQO1384" s="7"/>
      <c r="PQP1384" s="7"/>
      <c r="PQQ1384" s="7"/>
      <c r="PQR1384" s="7"/>
      <c r="PQS1384" s="7"/>
      <c r="PQT1384" s="7"/>
      <c r="PQU1384" s="7"/>
      <c r="PQV1384" s="7"/>
      <c r="PQW1384" s="7"/>
      <c r="PQX1384" s="7"/>
      <c r="PQY1384" s="7"/>
      <c r="PQZ1384" s="7"/>
      <c r="PRA1384" s="7"/>
      <c r="PRB1384" s="7"/>
      <c r="PRC1384" s="7"/>
      <c r="PRD1384" s="7"/>
      <c r="PRE1384" s="7"/>
      <c r="PRF1384" s="7"/>
      <c r="PRG1384" s="7"/>
      <c r="PRH1384" s="7"/>
      <c r="PRI1384" s="7"/>
      <c r="PRJ1384" s="7"/>
      <c r="PRK1384" s="7"/>
      <c r="PRL1384" s="7"/>
      <c r="PRM1384" s="7"/>
      <c r="PRN1384" s="7"/>
      <c r="PRO1384" s="7"/>
      <c r="PRP1384" s="7"/>
      <c r="PRQ1384" s="7"/>
      <c r="PRR1384" s="7"/>
      <c r="PRS1384" s="7"/>
      <c r="PRT1384" s="7"/>
      <c r="PRU1384" s="7"/>
      <c r="PRV1384" s="7"/>
      <c r="PRW1384" s="7"/>
      <c r="PRX1384" s="7"/>
      <c r="PRY1384" s="7"/>
      <c r="PRZ1384" s="7"/>
      <c r="PSA1384" s="7"/>
      <c r="PSB1384" s="7"/>
      <c r="PSC1384" s="7"/>
      <c r="PSD1384" s="7"/>
      <c r="PSE1384" s="7"/>
      <c r="PSF1384" s="7"/>
      <c r="PSG1384" s="7"/>
      <c r="PSH1384" s="7"/>
      <c r="PSI1384" s="7"/>
      <c r="PSJ1384" s="7"/>
      <c r="PSK1384" s="7"/>
      <c r="PSL1384" s="7"/>
      <c r="PSM1384" s="7"/>
      <c r="PSN1384" s="7"/>
      <c r="PSO1384" s="7"/>
      <c r="PSP1384" s="7"/>
      <c r="PSQ1384" s="7"/>
      <c r="PSR1384" s="7"/>
      <c r="PSS1384" s="7"/>
      <c r="PST1384" s="7"/>
      <c r="PSU1384" s="7"/>
      <c r="PSV1384" s="7"/>
      <c r="PSW1384" s="7"/>
      <c r="PSX1384" s="7"/>
      <c r="PSY1384" s="7"/>
      <c r="PSZ1384" s="7"/>
      <c r="PTA1384" s="7"/>
      <c r="PTB1384" s="7"/>
      <c r="PTC1384" s="7"/>
      <c r="PTD1384" s="7"/>
      <c r="PTE1384" s="7"/>
      <c r="PTF1384" s="7"/>
      <c r="PTG1384" s="7"/>
      <c r="PTH1384" s="7"/>
      <c r="PTI1384" s="7"/>
      <c r="PTJ1384" s="7"/>
      <c r="PTK1384" s="7"/>
      <c r="PTL1384" s="7"/>
      <c r="PTM1384" s="7"/>
      <c r="PTN1384" s="7"/>
      <c r="PTO1384" s="7"/>
      <c r="PTP1384" s="7"/>
      <c r="PTQ1384" s="7"/>
      <c r="PTR1384" s="7"/>
      <c r="PTS1384" s="7"/>
      <c r="PTT1384" s="7"/>
      <c r="PTU1384" s="7"/>
      <c r="PTV1384" s="7"/>
      <c r="PTW1384" s="7"/>
      <c r="PTX1384" s="7"/>
      <c r="PTY1384" s="7"/>
      <c r="PTZ1384" s="7"/>
      <c r="PUA1384" s="7"/>
      <c r="PUB1384" s="7"/>
      <c r="PUC1384" s="7"/>
      <c r="PUD1384" s="7"/>
      <c r="PUE1384" s="7"/>
      <c r="PUF1384" s="7"/>
      <c r="PUG1384" s="7"/>
      <c r="PUH1384" s="7"/>
      <c r="PUI1384" s="7"/>
      <c r="PUJ1384" s="7"/>
      <c r="PUK1384" s="7"/>
      <c r="PUL1384" s="7"/>
      <c r="PUM1384" s="7"/>
      <c r="PUN1384" s="7"/>
      <c r="PUO1384" s="7"/>
      <c r="PUP1384" s="7"/>
      <c r="PUQ1384" s="7"/>
      <c r="PUR1384" s="7"/>
      <c r="PUS1384" s="7"/>
      <c r="PUT1384" s="7"/>
      <c r="PUU1384" s="7"/>
      <c r="PUV1384" s="7"/>
      <c r="PUW1384" s="7"/>
      <c r="PUX1384" s="7"/>
      <c r="PUY1384" s="7"/>
      <c r="PUZ1384" s="7"/>
      <c r="PVA1384" s="7"/>
      <c r="PVB1384" s="7"/>
      <c r="PVC1384" s="7"/>
      <c r="PVD1384" s="7"/>
      <c r="PVE1384" s="7"/>
      <c r="PVF1384" s="7"/>
      <c r="PVG1384" s="7"/>
      <c r="PVH1384" s="7"/>
      <c r="PVI1384" s="7"/>
      <c r="PVJ1384" s="7"/>
      <c r="PVK1384" s="7"/>
      <c r="PVL1384" s="7"/>
      <c r="PVM1384" s="7"/>
      <c r="PVN1384" s="7"/>
      <c r="PVO1384" s="7"/>
      <c r="PVP1384" s="7"/>
      <c r="PVQ1384" s="7"/>
      <c r="PVR1384" s="7"/>
      <c r="PVS1384" s="7"/>
      <c r="PVT1384" s="7"/>
      <c r="PVU1384" s="7"/>
      <c r="PVV1384" s="7"/>
      <c r="PVW1384" s="7"/>
      <c r="PVX1384" s="7"/>
      <c r="PVY1384" s="7"/>
      <c r="PVZ1384" s="7"/>
      <c r="PWA1384" s="7"/>
      <c r="PWB1384" s="7"/>
      <c r="PWC1384" s="7"/>
      <c r="PWD1384" s="7"/>
      <c r="PWE1384" s="7"/>
      <c r="PWF1384" s="7"/>
      <c r="PWG1384" s="7"/>
      <c r="PWH1384" s="7"/>
      <c r="PWI1384" s="7"/>
      <c r="PWJ1384" s="7"/>
      <c r="PWK1384" s="7"/>
      <c r="PWL1384" s="7"/>
      <c r="PWM1384" s="7"/>
      <c r="PWN1384" s="7"/>
      <c r="PWO1384" s="7"/>
      <c r="PWP1384" s="7"/>
      <c r="PWQ1384" s="7"/>
      <c r="PWR1384" s="7"/>
      <c r="PWS1384" s="7"/>
      <c r="PWT1384" s="7"/>
      <c r="PWU1384" s="7"/>
      <c r="PWV1384" s="7"/>
      <c r="PWW1384" s="7"/>
      <c r="PWX1384" s="7"/>
      <c r="PWY1384" s="7"/>
      <c r="PWZ1384" s="7"/>
      <c r="PXA1384" s="7"/>
      <c r="PXB1384" s="7"/>
      <c r="PXC1384" s="7"/>
      <c r="PXD1384" s="7"/>
      <c r="PXE1384" s="7"/>
      <c r="PXF1384" s="7"/>
      <c r="PXG1384" s="7"/>
      <c r="PXH1384" s="7"/>
      <c r="PXI1384" s="7"/>
      <c r="PXJ1384" s="7"/>
      <c r="PXK1384" s="7"/>
      <c r="PXL1384" s="7"/>
      <c r="PXM1384" s="7"/>
      <c r="PXN1384" s="7"/>
      <c r="PXO1384" s="7"/>
      <c r="PXP1384" s="7"/>
      <c r="PXQ1384" s="7"/>
      <c r="PXR1384" s="7"/>
      <c r="PXS1384" s="7"/>
      <c r="PXT1384" s="7"/>
      <c r="PXU1384" s="7"/>
      <c r="PXV1384" s="7"/>
      <c r="PXW1384" s="7"/>
      <c r="PXX1384" s="7"/>
      <c r="PXY1384" s="7"/>
      <c r="PXZ1384" s="7"/>
      <c r="PYA1384" s="7"/>
      <c r="PYB1384" s="7"/>
      <c r="PYC1384" s="7"/>
      <c r="PYD1384" s="7"/>
      <c r="PYE1384" s="7"/>
      <c r="PYF1384" s="7"/>
      <c r="PYG1384" s="7"/>
      <c r="PYH1384" s="7"/>
      <c r="PYI1384" s="7"/>
      <c r="PYJ1384" s="7"/>
      <c r="PYK1384" s="7"/>
      <c r="PYL1384" s="7"/>
      <c r="PYM1384" s="7"/>
      <c r="PYN1384" s="7"/>
      <c r="PYO1384" s="7"/>
      <c r="PYP1384" s="7"/>
      <c r="PYQ1384" s="7"/>
      <c r="PYR1384" s="7"/>
      <c r="PYS1384" s="7"/>
      <c r="PYT1384" s="7"/>
      <c r="PYU1384" s="7"/>
      <c r="PYV1384" s="7"/>
      <c r="PYW1384" s="7"/>
      <c r="PYX1384" s="7"/>
      <c r="PYY1384" s="7"/>
      <c r="PYZ1384" s="7"/>
      <c r="PZA1384" s="7"/>
      <c r="PZB1384" s="7"/>
      <c r="PZC1384" s="7"/>
      <c r="PZD1384" s="7"/>
      <c r="PZE1384" s="7"/>
      <c r="PZF1384" s="7"/>
      <c r="PZG1384" s="7"/>
      <c r="PZH1384" s="7"/>
      <c r="PZI1384" s="7"/>
      <c r="PZJ1384" s="7"/>
      <c r="PZK1384" s="7"/>
      <c r="PZL1384" s="7"/>
      <c r="PZM1384" s="7"/>
      <c r="PZN1384" s="7"/>
      <c r="PZO1384" s="7"/>
      <c r="PZP1384" s="7"/>
      <c r="PZQ1384" s="7"/>
      <c r="PZR1384" s="7"/>
      <c r="PZS1384" s="7"/>
      <c r="PZT1384" s="7"/>
      <c r="PZU1384" s="7"/>
      <c r="PZV1384" s="7"/>
      <c r="PZW1384" s="7"/>
      <c r="PZX1384" s="7"/>
      <c r="PZY1384" s="7"/>
      <c r="PZZ1384" s="7"/>
      <c r="QAA1384" s="7"/>
      <c r="QAB1384" s="7"/>
      <c r="QAC1384" s="7"/>
      <c r="QAD1384" s="7"/>
      <c r="QAE1384" s="7"/>
      <c r="QAF1384" s="7"/>
      <c r="QAG1384" s="7"/>
      <c r="QAH1384" s="7"/>
      <c r="QAI1384" s="7"/>
      <c r="QAJ1384" s="7"/>
      <c r="QAK1384" s="7"/>
      <c r="QAL1384" s="7"/>
      <c r="QAM1384" s="7"/>
      <c r="QAN1384" s="7"/>
      <c r="QAO1384" s="7"/>
      <c r="QAP1384" s="7"/>
      <c r="QAQ1384" s="7"/>
      <c r="QAR1384" s="7"/>
      <c r="QAS1384" s="7"/>
      <c r="QAT1384" s="7"/>
      <c r="QAU1384" s="7"/>
      <c r="QAV1384" s="7"/>
      <c r="QAW1384" s="7"/>
      <c r="QAX1384" s="7"/>
      <c r="QAY1384" s="7"/>
      <c r="QAZ1384" s="7"/>
      <c r="QBA1384" s="7"/>
      <c r="QBB1384" s="7"/>
      <c r="QBC1384" s="7"/>
      <c r="QBD1384" s="7"/>
      <c r="QBE1384" s="7"/>
      <c r="QBF1384" s="7"/>
      <c r="QBG1384" s="7"/>
      <c r="QBH1384" s="7"/>
      <c r="QBI1384" s="7"/>
      <c r="QBJ1384" s="7"/>
      <c r="QBK1384" s="7"/>
      <c r="QBL1384" s="7"/>
      <c r="QBM1384" s="7"/>
      <c r="QBN1384" s="7"/>
      <c r="QBO1384" s="7"/>
      <c r="QBP1384" s="7"/>
      <c r="QBQ1384" s="7"/>
      <c r="QBR1384" s="7"/>
      <c r="QBS1384" s="7"/>
      <c r="QBT1384" s="7"/>
      <c r="QBU1384" s="7"/>
      <c r="QBV1384" s="7"/>
      <c r="QBW1384" s="7"/>
      <c r="QBX1384" s="7"/>
      <c r="QBY1384" s="7"/>
      <c r="QBZ1384" s="7"/>
      <c r="QCA1384" s="7"/>
      <c r="QCB1384" s="7"/>
      <c r="QCC1384" s="7"/>
      <c r="QCD1384" s="7"/>
      <c r="QCE1384" s="7"/>
      <c r="QCF1384" s="7"/>
      <c r="QCG1384" s="7"/>
      <c r="QCH1384" s="7"/>
      <c r="QCI1384" s="7"/>
      <c r="QCJ1384" s="7"/>
      <c r="QCK1384" s="7"/>
      <c r="QCL1384" s="7"/>
      <c r="QCM1384" s="7"/>
      <c r="QCN1384" s="7"/>
      <c r="QCO1384" s="7"/>
      <c r="QCP1384" s="7"/>
      <c r="QCQ1384" s="7"/>
      <c r="QCR1384" s="7"/>
      <c r="QCS1384" s="7"/>
      <c r="QCT1384" s="7"/>
      <c r="QCU1384" s="7"/>
      <c r="QCV1384" s="7"/>
      <c r="QCW1384" s="7"/>
      <c r="QCX1384" s="7"/>
      <c r="QCY1384" s="7"/>
      <c r="QCZ1384" s="7"/>
      <c r="QDA1384" s="7"/>
      <c r="QDB1384" s="7"/>
      <c r="QDC1384" s="7"/>
      <c r="QDD1384" s="7"/>
      <c r="QDE1384" s="7"/>
      <c r="QDF1384" s="7"/>
      <c r="QDG1384" s="7"/>
      <c r="QDH1384" s="7"/>
      <c r="QDI1384" s="7"/>
      <c r="QDJ1384" s="7"/>
      <c r="QDK1384" s="7"/>
      <c r="QDL1384" s="7"/>
      <c r="QDM1384" s="7"/>
      <c r="QDN1384" s="7"/>
      <c r="QDO1384" s="7"/>
      <c r="QDP1384" s="7"/>
      <c r="QDQ1384" s="7"/>
      <c r="QDR1384" s="7"/>
      <c r="QDS1384" s="7"/>
      <c r="QDT1384" s="7"/>
      <c r="QDU1384" s="7"/>
      <c r="QDV1384" s="7"/>
      <c r="QDW1384" s="7"/>
      <c r="QDX1384" s="7"/>
      <c r="QDY1384" s="7"/>
      <c r="QDZ1384" s="7"/>
      <c r="QEA1384" s="7"/>
      <c r="QEB1384" s="7"/>
      <c r="QEC1384" s="7"/>
      <c r="QED1384" s="7"/>
      <c r="QEE1384" s="7"/>
      <c r="QEF1384" s="7"/>
      <c r="QEG1384" s="7"/>
      <c r="QEH1384" s="7"/>
      <c r="QEI1384" s="7"/>
      <c r="QEJ1384" s="7"/>
      <c r="QEK1384" s="7"/>
      <c r="QEL1384" s="7"/>
      <c r="QEM1384" s="7"/>
      <c r="QEN1384" s="7"/>
      <c r="QEO1384" s="7"/>
      <c r="QEP1384" s="7"/>
      <c r="QEQ1384" s="7"/>
      <c r="QER1384" s="7"/>
      <c r="QES1384" s="7"/>
      <c r="QET1384" s="7"/>
      <c r="QEU1384" s="7"/>
      <c r="QEV1384" s="7"/>
      <c r="QEW1384" s="7"/>
      <c r="QEX1384" s="7"/>
      <c r="QEY1384" s="7"/>
      <c r="QEZ1384" s="7"/>
      <c r="QFA1384" s="7"/>
      <c r="QFB1384" s="7"/>
      <c r="QFC1384" s="7"/>
      <c r="QFD1384" s="7"/>
      <c r="QFE1384" s="7"/>
      <c r="QFF1384" s="7"/>
      <c r="QFG1384" s="7"/>
      <c r="QFH1384" s="7"/>
      <c r="QFI1384" s="7"/>
      <c r="QFJ1384" s="7"/>
      <c r="QFK1384" s="7"/>
      <c r="QFL1384" s="7"/>
      <c r="QFM1384" s="7"/>
      <c r="QFN1384" s="7"/>
      <c r="QFO1384" s="7"/>
      <c r="QFP1384" s="7"/>
      <c r="QFQ1384" s="7"/>
      <c r="QFR1384" s="7"/>
      <c r="QFS1384" s="7"/>
      <c r="QFT1384" s="7"/>
      <c r="QFU1384" s="7"/>
      <c r="QFV1384" s="7"/>
      <c r="QFW1384" s="7"/>
      <c r="QFX1384" s="7"/>
      <c r="QFY1384" s="7"/>
      <c r="QFZ1384" s="7"/>
      <c r="QGA1384" s="7"/>
      <c r="QGB1384" s="7"/>
      <c r="QGC1384" s="7"/>
      <c r="QGD1384" s="7"/>
      <c r="QGE1384" s="7"/>
      <c r="QGF1384" s="7"/>
      <c r="QGG1384" s="7"/>
      <c r="QGH1384" s="7"/>
      <c r="QGI1384" s="7"/>
      <c r="QGJ1384" s="7"/>
      <c r="QGK1384" s="7"/>
      <c r="QGL1384" s="7"/>
      <c r="QGM1384" s="7"/>
      <c r="QGN1384" s="7"/>
      <c r="QGO1384" s="7"/>
      <c r="QGP1384" s="7"/>
      <c r="QGQ1384" s="7"/>
      <c r="QGR1384" s="7"/>
      <c r="QGS1384" s="7"/>
      <c r="QGT1384" s="7"/>
      <c r="QGU1384" s="7"/>
      <c r="QGV1384" s="7"/>
      <c r="QGW1384" s="7"/>
      <c r="QGX1384" s="7"/>
      <c r="QGY1384" s="7"/>
      <c r="QGZ1384" s="7"/>
      <c r="QHA1384" s="7"/>
      <c r="QHB1384" s="7"/>
      <c r="QHC1384" s="7"/>
      <c r="QHD1384" s="7"/>
      <c r="QHE1384" s="7"/>
      <c r="QHF1384" s="7"/>
      <c r="QHG1384" s="7"/>
      <c r="QHH1384" s="7"/>
      <c r="QHI1384" s="7"/>
      <c r="QHJ1384" s="7"/>
      <c r="QHK1384" s="7"/>
      <c r="QHL1384" s="7"/>
      <c r="QHM1384" s="7"/>
      <c r="QHN1384" s="7"/>
      <c r="QHO1384" s="7"/>
      <c r="QHP1384" s="7"/>
      <c r="QHQ1384" s="7"/>
      <c r="QHR1384" s="7"/>
      <c r="QHS1384" s="7"/>
      <c r="QHT1384" s="7"/>
      <c r="QHU1384" s="7"/>
      <c r="QHV1384" s="7"/>
      <c r="QHW1384" s="7"/>
      <c r="QHX1384" s="7"/>
      <c r="QHY1384" s="7"/>
      <c r="QHZ1384" s="7"/>
      <c r="QIA1384" s="7"/>
      <c r="QIB1384" s="7"/>
      <c r="QIC1384" s="7"/>
      <c r="QID1384" s="7"/>
      <c r="QIE1384" s="7"/>
      <c r="QIF1384" s="7"/>
      <c r="QIG1384" s="7"/>
      <c r="QIH1384" s="7"/>
      <c r="QII1384" s="7"/>
      <c r="QIJ1384" s="7"/>
      <c r="QIK1384" s="7"/>
      <c r="QIL1384" s="7"/>
      <c r="QIM1384" s="7"/>
      <c r="QIN1384" s="7"/>
      <c r="QIO1384" s="7"/>
      <c r="QIP1384" s="7"/>
      <c r="QIQ1384" s="7"/>
      <c r="QIR1384" s="7"/>
      <c r="QIS1384" s="7"/>
      <c r="QIT1384" s="7"/>
      <c r="QIU1384" s="7"/>
      <c r="QIV1384" s="7"/>
      <c r="QIW1384" s="7"/>
      <c r="QIX1384" s="7"/>
      <c r="QIY1384" s="7"/>
      <c r="QIZ1384" s="7"/>
      <c r="QJA1384" s="7"/>
      <c r="QJB1384" s="7"/>
      <c r="QJC1384" s="7"/>
      <c r="QJD1384" s="7"/>
      <c r="QJE1384" s="7"/>
      <c r="QJF1384" s="7"/>
      <c r="QJG1384" s="7"/>
      <c r="QJH1384" s="7"/>
      <c r="QJI1384" s="7"/>
      <c r="QJJ1384" s="7"/>
      <c r="QJK1384" s="7"/>
      <c r="QJL1384" s="7"/>
      <c r="QJM1384" s="7"/>
      <c r="QJN1384" s="7"/>
      <c r="QJO1384" s="7"/>
      <c r="QJP1384" s="7"/>
      <c r="QJQ1384" s="7"/>
      <c r="QJR1384" s="7"/>
      <c r="QJS1384" s="7"/>
      <c r="QJT1384" s="7"/>
      <c r="QJU1384" s="7"/>
      <c r="QJV1384" s="7"/>
      <c r="QJW1384" s="7"/>
      <c r="QJX1384" s="7"/>
      <c r="QJY1384" s="7"/>
      <c r="QJZ1384" s="7"/>
      <c r="QKA1384" s="7"/>
      <c r="QKB1384" s="7"/>
      <c r="QKC1384" s="7"/>
      <c r="QKD1384" s="7"/>
      <c r="QKE1384" s="7"/>
      <c r="QKF1384" s="7"/>
      <c r="QKG1384" s="7"/>
      <c r="QKH1384" s="7"/>
      <c r="QKI1384" s="7"/>
      <c r="QKJ1384" s="7"/>
      <c r="QKK1384" s="7"/>
      <c r="QKL1384" s="7"/>
      <c r="QKM1384" s="7"/>
      <c r="QKN1384" s="7"/>
      <c r="QKO1384" s="7"/>
      <c r="QKP1384" s="7"/>
      <c r="QKQ1384" s="7"/>
      <c r="QKR1384" s="7"/>
      <c r="QKS1384" s="7"/>
      <c r="QKT1384" s="7"/>
      <c r="QKU1384" s="7"/>
      <c r="QKV1384" s="7"/>
      <c r="QKW1384" s="7"/>
      <c r="QKX1384" s="7"/>
      <c r="QKY1384" s="7"/>
      <c r="QKZ1384" s="7"/>
      <c r="QLA1384" s="7"/>
      <c r="QLB1384" s="7"/>
      <c r="QLC1384" s="7"/>
      <c r="QLD1384" s="7"/>
      <c r="QLE1384" s="7"/>
      <c r="QLF1384" s="7"/>
      <c r="QLG1384" s="7"/>
      <c r="QLH1384" s="7"/>
      <c r="QLI1384" s="7"/>
      <c r="QLJ1384" s="7"/>
      <c r="QLK1384" s="7"/>
      <c r="QLL1384" s="7"/>
      <c r="QLM1384" s="7"/>
      <c r="QLN1384" s="7"/>
      <c r="QLO1384" s="7"/>
      <c r="QLP1384" s="7"/>
      <c r="QLQ1384" s="7"/>
      <c r="QLR1384" s="7"/>
      <c r="QLS1384" s="7"/>
      <c r="QLT1384" s="7"/>
      <c r="QLU1384" s="7"/>
      <c r="QLV1384" s="7"/>
      <c r="QLW1384" s="7"/>
      <c r="QLX1384" s="7"/>
      <c r="QLY1384" s="7"/>
      <c r="QLZ1384" s="7"/>
      <c r="QMA1384" s="7"/>
      <c r="QMB1384" s="7"/>
      <c r="QMC1384" s="7"/>
      <c r="QMD1384" s="7"/>
      <c r="QME1384" s="7"/>
      <c r="QMF1384" s="7"/>
      <c r="QMG1384" s="7"/>
      <c r="QMH1384" s="7"/>
      <c r="QMI1384" s="7"/>
      <c r="QMJ1384" s="7"/>
      <c r="QMK1384" s="7"/>
      <c r="QML1384" s="7"/>
      <c r="QMM1384" s="7"/>
      <c r="QMN1384" s="7"/>
      <c r="QMO1384" s="7"/>
      <c r="QMP1384" s="7"/>
      <c r="QMQ1384" s="7"/>
      <c r="QMR1384" s="7"/>
      <c r="QMS1384" s="7"/>
      <c r="QMT1384" s="7"/>
      <c r="QMU1384" s="7"/>
      <c r="QMV1384" s="7"/>
      <c r="QMW1384" s="7"/>
      <c r="QMX1384" s="7"/>
      <c r="QMY1384" s="7"/>
      <c r="QMZ1384" s="7"/>
      <c r="QNA1384" s="7"/>
      <c r="QNB1384" s="7"/>
      <c r="QNC1384" s="7"/>
      <c r="QND1384" s="7"/>
      <c r="QNE1384" s="7"/>
      <c r="QNF1384" s="7"/>
      <c r="QNG1384" s="7"/>
      <c r="QNH1384" s="7"/>
      <c r="QNI1384" s="7"/>
      <c r="QNJ1384" s="7"/>
      <c r="QNK1384" s="7"/>
      <c r="QNL1384" s="7"/>
      <c r="QNM1384" s="7"/>
      <c r="QNN1384" s="7"/>
      <c r="QNO1384" s="7"/>
      <c r="QNP1384" s="7"/>
      <c r="QNQ1384" s="7"/>
      <c r="QNR1384" s="7"/>
      <c r="QNS1384" s="7"/>
      <c r="QNT1384" s="7"/>
      <c r="QNU1384" s="7"/>
      <c r="QNV1384" s="7"/>
      <c r="QNW1384" s="7"/>
      <c r="QNX1384" s="7"/>
      <c r="QNY1384" s="7"/>
      <c r="QNZ1384" s="7"/>
      <c r="QOA1384" s="7"/>
      <c r="QOB1384" s="7"/>
      <c r="QOC1384" s="7"/>
      <c r="QOD1384" s="7"/>
      <c r="QOE1384" s="7"/>
      <c r="QOF1384" s="7"/>
      <c r="QOG1384" s="7"/>
      <c r="QOH1384" s="7"/>
      <c r="QOI1384" s="7"/>
      <c r="QOJ1384" s="7"/>
      <c r="QOK1384" s="7"/>
      <c r="QOL1384" s="7"/>
      <c r="QOM1384" s="7"/>
      <c r="QON1384" s="7"/>
      <c r="QOO1384" s="7"/>
      <c r="QOP1384" s="7"/>
      <c r="QOQ1384" s="7"/>
      <c r="QOR1384" s="7"/>
      <c r="QOS1384" s="7"/>
      <c r="QOT1384" s="7"/>
      <c r="QOU1384" s="7"/>
      <c r="QOV1384" s="7"/>
      <c r="QOW1384" s="7"/>
      <c r="QOX1384" s="7"/>
      <c r="QOY1384" s="7"/>
      <c r="QOZ1384" s="7"/>
      <c r="QPA1384" s="7"/>
      <c r="QPB1384" s="7"/>
      <c r="QPC1384" s="7"/>
      <c r="QPD1384" s="7"/>
      <c r="QPE1384" s="7"/>
      <c r="QPF1384" s="7"/>
      <c r="QPG1384" s="7"/>
      <c r="QPH1384" s="7"/>
      <c r="QPI1384" s="7"/>
      <c r="QPJ1384" s="7"/>
      <c r="QPK1384" s="7"/>
      <c r="QPL1384" s="7"/>
      <c r="QPM1384" s="7"/>
      <c r="QPN1384" s="7"/>
      <c r="QPO1384" s="7"/>
      <c r="QPP1384" s="7"/>
      <c r="QPQ1384" s="7"/>
      <c r="QPR1384" s="7"/>
      <c r="QPS1384" s="7"/>
      <c r="QPT1384" s="7"/>
      <c r="QPU1384" s="7"/>
      <c r="QPV1384" s="7"/>
      <c r="QPW1384" s="7"/>
      <c r="QPX1384" s="7"/>
      <c r="QPY1384" s="7"/>
      <c r="QPZ1384" s="7"/>
      <c r="QQA1384" s="7"/>
      <c r="QQB1384" s="7"/>
      <c r="QQC1384" s="7"/>
      <c r="QQD1384" s="7"/>
      <c r="QQE1384" s="7"/>
      <c r="QQF1384" s="7"/>
      <c r="QQG1384" s="7"/>
      <c r="QQH1384" s="7"/>
      <c r="QQI1384" s="7"/>
      <c r="QQJ1384" s="7"/>
      <c r="QQK1384" s="7"/>
      <c r="QQL1384" s="7"/>
      <c r="QQM1384" s="7"/>
      <c r="QQN1384" s="7"/>
      <c r="QQO1384" s="7"/>
      <c r="QQP1384" s="7"/>
      <c r="QQQ1384" s="7"/>
      <c r="QQR1384" s="7"/>
      <c r="QQS1384" s="7"/>
      <c r="QQT1384" s="7"/>
      <c r="QQU1384" s="7"/>
      <c r="QQV1384" s="7"/>
      <c r="QQW1384" s="7"/>
      <c r="QQX1384" s="7"/>
      <c r="QQY1384" s="7"/>
      <c r="QQZ1384" s="7"/>
      <c r="QRA1384" s="7"/>
      <c r="QRB1384" s="7"/>
      <c r="QRC1384" s="7"/>
      <c r="QRD1384" s="7"/>
      <c r="QRE1384" s="7"/>
      <c r="QRF1384" s="7"/>
      <c r="QRG1384" s="7"/>
      <c r="QRH1384" s="7"/>
      <c r="QRI1384" s="7"/>
      <c r="QRJ1384" s="7"/>
      <c r="QRK1384" s="7"/>
      <c r="QRL1384" s="7"/>
      <c r="QRM1384" s="7"/>
      <c r="QRN1384" s="7"/>
      <c r="QRO1384" s="7"/>
      <c r="QRP1384" s="7"/>
      <c r="QRQ1384" s="7"/>
      <c r="QRR1384" s="7"/>
      <c r="QRS1384" s="7"/>
      <c r="QRT1384" s="7"/>
      <c r="QRU1384" s="7"/>
      <c r="QRV1384" s="7"/>
      <c r="QRW1384" s="7"/>
      <c r="QRX1384" s="7"/>
      <c r="QRY1384" s="7"/>
      <c r="QRZ1384" s="7"/>
      <c r="QSA1384" s="7"/>
      <c r="QSB1384" s="7"/>
      <c r="QSC1384" s="7"/>
      <c r="QSD1384" s="7"/>
      <c r="QSE1384" s="7"/>
      <c r="QSF1384" s="7"/>
      <c r="QSG1384" s="7"/>
      <c r="QSH1384" s="7"/>
      <c r="QSI1384" s="7"/>
      <c r="QSJ1384" s="7"/>
      <c r="QSK1384" s="7"/>
      <c r="QSL1384" s="7"/>
      <c r="QSM1384" s="7"/>
      <c r="QSN1384" s="7"/>
      <c r="QSO1384" s="7"/>
      <c r="QSP1384" s="7"/>
      <c r="QSQ1384" s="7"/>
      <c r="QSR1384" s="7"/>
      <c r="QSS1384" s="7"/>
      <c r="QST1384" s="7"/>
      <c r="QSU1384" s="7"/>
      <c r="QSV1384" s="7"/>
      <c r="QSW1384" s="7"/>
      <c r="QSX1384" s="7"/>
      <c r="QSY1384" s="7"/>
      <c r="QSZ1384" s="7"/>
      <c r="QTA1384" s="7"/>
      <c r="QTB1384" s="7"/>
      <c r="QTC1384" s="7"/>
      <c r="QTD1384" s="7"/>
      <c r="QTE1384" s="7"/>
      <c r="QTF1384" s="7"/>
      <c r="QTG1384" s="7"/>
      <c r="QTH1384" s="7"/>
      <c r="QTI1384" s="7"/>
      <c r="QTJ1384" s="7"/>
      <c r="QTK1384" s="7"/>
      <c r="QTL1384" s="7"/>
      <c r="QTM1384" s="7"/>
      <c r="QTN1384" s="7"/>
      <c r="QTO1384" s="7"/>
      <c r="QTP1384" s="7"/>
      <c r="QTQ1384" s="7"/>
      <c r="QTR1384" s="7"/>
      <c r="QTS1384" s="7"/>
      <c r="QTT1384" s="7"/>
      <c r="QTU1384" s="7"/>
      <c r="QTV1384" s="7"/>
      <c r="QTW1384" s="7"/>
      <c r="QTX1384" s="7"/>
      <c r="QTY1384" s="7"/>
      <c r="QTZ1384" s="7"/>
      <c r="QUA1384" s="7"/>
      <c r="QUB1384" s="7"/>
      <c r="QUC1384" s="7"/>
      <c r="QUD1384" s="7"/>
      <c r="QUE1384" s="7"/>
      <c r="QUF1384" s="7"/>
      <c r="QUG1384" s="7"/>
      <c r="QUH1384" s="7"/>
      <c r="QUI1384" s="7"/>
      <c r="QUJ1384" s="7"/>
      <c r="QUK1384" s="7"/>
      <c r="QUL1384" s="7"/>
      <c r="QUM1384" s="7"/>
      <c r="QUN1384" s="7"/>
      <c r="QUO1384" s="7"/>
      <c r="QUP1384" s="7"/>
      <c r="QUQ1384" s="7"/>
      <c r="QUR1384" s="7"/>
      <c r="QUS1384" s="7"/>
      <c r="QUT1384" s="7"/>
      <c r="QUU1384" s="7"/>
      <c r="QUV1384" s="7"/>
      <c r="QUW1384" s="7"/>
      <c r="QUX1384" s="7"/>
      <c r="QUY1384" s="7"/>
      <c r="QUZ1384" s="7"/>
      <c r="QVA1384" s="7"/>
      <c r="QVB1384" s="7"/>
      <c r="QVC1384" s="7"/>
      <c r="QVD1384" s="7"/>
      <c r="QVE1384" s="7"/>
      <c r="QVF1384" s="7"/>
      <c r="QVG1384" s="7"/>
      <c r="QVH1384" s="7"/>
      <c r="QVI1384" s="7"/>
      <c r="QVJ1384" s="7"/>
      <c r="QVK1384" s="7"/>
      <c r="QVL1384" s="7"/>
      <c r="QVM1384" s="7"/>
      <c r="QVN1384" s="7"/>
      <c r="QVO1384" s="7"/>
      <c r="QVP1384" s="7"/>
      <c r="QVQ1384" s="7"/>
      <c r="QVR1384" s="7"/>
      <c r="QVS1384" s="7"/>
      <c r="QVT1384" s="7"/>
      <c r="QVU1384" s="7"/>
      <c r="QVV1384" s="7"/>
      <c r="QVW1384" s="7"/>
      <c r="QVX1384" s="7"/>
      <c r="QVY1384" s="7"/>
      <c r="QVZ1384" s="7"/>
      <c r="QWA1384" s="7"/>
      <c r="QWB1384" s="7"/>
      <c r="QWC1384" s="7"/>
      <c r="QWD1384" s="7"/>
      <c r="QWE1384" s="7"/>
      <c r="QWF1384" s="7"/>
      <c r="QWG1384" s="7"/>
      <c r="QWH1384" s="7"/>
      <c r="QWI1384" s="7"/>
      <c r="QWJ1384" s="7"/>
      <c r="QWK1384" s="7"/>
      <c r="QWL1384" s="7"/>
      <c r="QWM1384" s="7"/>
      <c r="QWN1384" s="7"/>
      <c r="QWO1384" s="7"/>
      <c r="QWP1384" s="7"/>
      <c r="QWQ1384" s="7"/>
      <c r="QWR1384" s="7"/>
      <c r="QWS1384" s="7"/>
      <c r="QWT1384" s="7"/>
      <c r="QWU1384" s="7"/>
      <c r="QWV1384" s="7"/>
      <c r="QWW1384" s="7"/>
      <c r="QWX1384" s="7"/>
      <c r="QWY1384" s="7"/>
      <c r="QWZ1384" s="7"/>
      <c r="QXA1384" s="7"/>
      <c r="QXB1384" s="7"/>
      <c r="QXC1384" s="7"/>
      <c r="QXD1384" s="7"/>
      <c r="QXE1384" s="7"/>
      <c r="QXF1384" s="7"/>
      <c r="QXG1384" s="7"/>
      <c r="QXH1384" s="7"/>
      <c r="QXI1384" s="7"/>
      <c r="QXJ1384" s="7"/>
      <c r="QXK1384" s="7"/>
      <c r="QXL1384" s="7"/>
      <c r="QXM1384" s="7"/>
      <c r="QXN1384" s="7"/>
      <c r="QXO1384" s="7"/>
      <c r="QXP1384" s="7"/>
      <c r="QXQ1384" s="7"/>
      <c r="QXR1384" s="7"/>
      <c r="QXS1384" s="7"/>
      <c r="QXT1384" s="7"/>
      <c r="QXU1384" s="7"/>
      <c r="QXV1384" s="7"/>
      <c r="QXW1384" s="7"/>
      <c r="QXX1384" s="7"/>
      <c r="QXY1384" s="7"/>
      <c r="QXZ1384" s="7"/>
      <c r="QYA1384" s="7"/>
      <c r="QYB1384" s="7"/>
      <c r="QYC1384" s="7"/>
      <c r="QYD1384" s="7"/>
      <c r="QYE1384" s="7"/>
      <c r="QYF1384" s="7"/>
      <c r="QYG1384" s="7"/>
      <c r="QYH1384" s="7"/>
      <c r="QYI1384" s="7"/>
      <c r="QYJ1384" s="7"/>
      <c r="QYK1384" s="7"/>
      <c r="QYL1384" s="7"/>
      <c r="QYM1384" s="7"/>
      <c r="QYN1384" s="7"/>
      <c r="QYO1384" s="7"/>
      <c r="QYP1384" s="7"/>
      <c r="QYQ1384" s="7"/>
      <c r="QYR1384" s="7"/>
      <c r="QYS1384" s="7"/>
      <c r="QYT1384" s="7"/>
      <c r="QYU1384" s="7"/>
      <c r="QYV1384" s="7"/>
      <c r="QYW1384" s="7"/>
      <c r="QYX1384" s="7"/>
      <c r="QYY1384" s="7"/>
      <c r="QYZ1384" s="7"/>
      <c r="QZA1384" s="7"/>
      <c r="QZB1384" s="7"/>
      <c r="QZC1384" s="7"/>
      <c r="QZD1384" s="7"/>
      <c r="QZE1384" s="7"/>
      <c r="QZF1384" s="7"/>
      <c r="QZG1384" s="7"/>
      <c r="QZH1384" s="7"/>
      <c r="QZI1384" s="7"/>
      <c r="QZJ1384" s="7"/>
      <c r="QZK1384" s="7"/>
      <c r="QZL1384" s="7"/>
      <c r="QZM1384" s="7"/>
      <c r="QZN1384" s="7"/>
      <c r="QZO1384" s="7"/>
      <c r="QZP1384" s="7"/>
      <c r="QZQ1384" s="7"/>
      <c r="QZR1384" s="7"/>
      <c r="QZS1384" s="7"/>
      <c r="QZT1384" s="7"/>
      <c r="QZU1384" s="7"/>
      <c r="QZV1384" s="7"/>
      <c r="QZW1384" s="7"/>
      <c r="QZX1384" s="7"/>
      <c r="QZY1384" s="7"/>
      <c r="QZZ1384" s="7"/>
      <c r="RAA1384" s="7"/>
      <c r="RAB1384" s="7"/>
      <c r="RAC1384" s="7"/>
      <c r="RAD1384" s="7"/>
      <c r="RAE1384" s="7"/>
      <c r="RAF1384" s="7"/>
      <c r="RAG1384" s="7"/>
      <c r="RAH1384" s="7"/>
      <c r="RAI1384" s="7"/>
      <c r="RAJ1384" s="7"/>
      <c r="RAK1384" s="7"/>
      <c r="RAL1384" s="7"/>
      <c r="RAM1384" s="7"/>
      <c r="RAN1384" s="7"/>
      <c r="RAO1384" s="7"/>
      <c r="RAP1384" s="7"/>
      <c r="RAQ1384" s="7"/>
      <c r="RAR1384" s="7"/>
      <c r="RAS1384" s="7"/>
      <c r="RAT1384" s="7"/>
      <c r="RAU1384" s="7"/>
      <c r="RAV1384" s="7"/>
      <c r="RAW1384" s="7"/>
      <c r="RAX1384" s="7"/>
      <c r="RAY1384" s="7"/>
      <c r="RAZ1384" s="7"/>
      <c r="RBA1384" s="7"/>
      <c r="RBB1384" s="7"/>
      <c r="RBC1384" s="7"/>
      <c r="RBD1384" s="7"/>
      <c r="RBE1384" s="7"/>
      <c r="RBF1384" s="7"/>
      <c r="RBG1384" s="7"/>
      <c r="RBH1384" s="7"/>
      <c r="RBI1384" s="7"/>
      <c r="RBJ1384" s="7"/>
      <c r="RBK1384" s="7"/>
      <c r="RBL1384" s="7"/>
      <c r="RBM1384" s="7"/>
      <c r="RBN1384" s="7"/>
      <c r="RBO1384" s="7"/>
      <c r="RBP1384" s="7"/>
      <c r="RBQ1384" s="7"/>
      <c r="RBR1384" s="7"/>
      <c r="RBS1384" s="7"/>
      <c r="RBT1384" s="7"/>
      <c r="RBU1384" s="7"/>
      <c r="RBV1384" s="7"/>
      <c r="RBW1384" s="7"/>
      <c r="RBX1384" s="7"/>
      <c r="RBY1384" s="7"/>
      <c r="RBZ1384" s="7"/>
      <c r="RCA1384" s="7"/>
      <c r="RCB1384" s="7"/>
      <c r="RCC1384" s="7"/>
      <c r="RCD1384" s="7"/>
      <c r="RCE1384" s="7"/>
      <c r="RCF1384" s="7"/>
      <c r="RCG1384" s="7"/>
      <c r="RCH1384" s="7"/>
      <c r="RCI1384" s="7"/>
      <c r="RCJ1384" s="7"/>
      <c r="RCK1384" s="7"/>
      <c r="RCL1384" s="7"/>
      <c r="RCM1384" s="7"/>
      <c r="RCN1384" s="7"/>
      <c r="RCO1384" s="7"/>
      <c r="RCP1384" s="7"/>
      <c r="RCQ1384" s="7"/>
      <c r="RCR1384" s="7"/>
      <c r="RCS1384" s="7"/>
      <c r="RCT1384" s="7"/>
      <c r="RCU1384" s="7"/>
      <c r="RCV1384" s="7"/>
      <c r="RCW1384" s="7"/>
      <c r="RCX1384" s="7"/>
      <c r="RCY1384" s="7"/>
      <c r="RCZ1384" s="7"/>
      <c r="RDA1384" s="7"/>
      <c r="RDB1384" s="7"/>
      <c r="RDC1384" s="7"/>
      <c r="RDD1384" s="7"/>
      <c r="RDE1384" s="7"/>
      <c r="RDF1384" s="7"/>
      <c r="RDG1384" s="7"/>
      <c r="RDH1384" s="7"/>
      <c r="RDI1384" s="7"/>
      <c r="RDJ1384" s="7"/>
      <c r="RDK1384" s="7"/>
      <c r="RDL1384" s="7"/>
      <c r="RDM1384" s="7"/>
      <c r="RDN1384" s="7"/>
      <c r="RDO1384" s="7"/>
      <c r="RDP1384" s="7"/>
      <c r="RDQ1384" s="7"/>
      <c r="RDR1384" s="7"/>
      <c r="RDS1384" s="7"/>
      <c r="RDT1384" s="7"/>
      <c r="RDU1384" s="7"/>
      <c r="RDV1384" s="7"/>
      <c r="RDW1384" s="7"/>
      <c r="RDX1384" s="7"/>
      <c r="RDY1384" s="7"/>
      <c r="RDZ1384" s="7"/>
      <c r="REA1384" s="7"/>
      <c r="REB1384" s="7"/>
      <c r="REC1384" s="7"/>
      <c r="RED1384" s="7"/>
      <c r="REE1384" s="7"/>
      <c r="REF1384" s="7"/>
      <c r="REG1384" s="7"/>
      <c r="REH1384" s="7"/>
      <c r="REI1384" s="7"/>
      <c r="REJ1384" s="7"/>
      <c r="REK1384" s="7"/>
      <c r="REL1384" s="7"/>
      <c r="REM1384" s="7"/>
      <c r="REN1384" s="7"/>
      <c r="REO1384" s="7"/>
      <c r="REP1384" s="7"/>
      <c r="REQ1384" s="7"/>
      <c r="RER1384" s="7"/>
      <c r="RES1384" s="7"/>
      <c r="RET1384" s="7"/>
      <c r="REU1384" s="7"/>
      <c r="REV1384" s="7"/>
      <c r="REW1384" s="7"/>
      <c r="REX1384" s="7"/>
      <c r="REY1384" s="7"/>
      <c r="REZ1384" s="7"/>
      <c r="RFA1384" s="7"/>
      <c r="RFB1384" s="7"/>
      <c r="RFC1384" s="7"/>
      <c r="RFD1384" s="7"/>
      <c r="RFE1384" s="7"/>
      <c r="RFF1384" s="7"/>
      <c r="RFG1384" s="7"/>
      <c r="RFH1384" s="7"/>
      <c r="RFI1384" s="7"/>
      <c r="RFJ1384" s="7"/>
      <c r="RFK1384" s="7"/>
      <c r="RFL1384" s="7"/>
      <c r="RFM1384" s="7"/>
      <c r="RFN1384" s="7"/>
      <c r="RFO1384" s="7"/>
      <c r="RFP1384" s="7"/>
      <c r="RFQ1384" s="7"/>
      <c r="RFR1384" s="7"/>
      <c r="RFS1384" s="7"/>
      <c r="RFT1384" s="7"/>
      <c r="RFU1384" s="7"/>
      <c r="RFV1384" s="7"/>
      <c r="RFW1384" s="7"/>
      <c r="RFX1384" s="7"/>
      <c r="RFY1384" s="7"/>
      <c r="RFZ1384" s="7"/>
      <c r="RGA1384" s="7"/>
      <c r="RGB1384" s="7"/>
      <c r="RGC1384" s="7"/>
      <c r="RGD1384" s="7"/>
      <c r="RGE1384" s="7"/>
      <c r="RGF1384" s="7"/>
      <c r="RGG1384" s="7"/>
      <c r="RGH1384" s="7"/>
      <c r="RGI1384" s="7"/>
      <c r="RGJ1384" s="7"/>
      <c r="RGK1384" s="7"/>
      <c r="RGL1384" s="7"/>
      <c r="RGM1384" s="7"/>
      <c r="RGN1384" s="7"/>
      <c r="RGO1384" s="7"/>
      <c r="RGP1384" s="7"/>
      <c r="RGQ1384" s="7"/>
      <c r="RGR1384" s="7"/>
      <c r="RGS1384" s="7"/>
      <c r="RGT1384" s="7"/>
      <c r="RGU1384" s="7"/>
      <c r="RGV1384" s="7"/>
      <c r="RGW1384" s="7"/>
      <c r="RGX1384" s="7"/>
      <c r="RGY1384" s="7"/>
      <c r="RGZ1384" s="7"/>
      <c r="RHA1384" s="7"/>
      <c r="RHB1384" s="7"/>
      <c r="RHC1384" s="7"/>
      <c r="RHD1384" s="7"/>
      <c r="RHE1384" s="7"/>
      <c r="RHF1384" s="7"/>
      <c r="RHG1384" s="7"/>
      <c r="RHH1384" s="7"/>
      <c r="RHI1384" s="7"/>
      <c r="RHJ1384" s="7"/>
      <c r="RHK1384" s="7"/>
      <c r="RHL1384" s="7"/>
      <c r="RHM1384" s="7"/>
      <c r="RHN1384" s="7"/>
      <c r="RHO1384" s="7"/>
      <c r="RHP1384" s="7"/>
      <c r="RHQ1384" s="7"/>
      <c r="RHR1384" s="7"/>
      <c r="RHS1384" s="7"/>
      <c r="RHT1384" s="7"/>
      <c r="RHU1384" s="7"/>
      <c r="RHV1384" s="7"/>
      <c r="RHW1384" s="7"/>
      <c r="RHX1384" s="7"/>
      <c r="RHY1384" s="7"/>
      <c r="RHZ1384" s="7"/>
      <c r="RIA1384" s="7"/>
      <c r="RIB1384" s="7"/>
      <c r="RIC1384" s="7"/>
      <c r="RID1384" s="7"/>
      <c r="RIE1384" s="7"/>
      <c r="RIF1384" s="7"/>
      <c r="RIG1384" s="7"/>
      <c r="RIH1384" s="7"/>
      <c r="RII1384" s="7"/>
      <c r="RIJ1384" s="7"/>
      <c r="RIK1384" s="7"/>
      <c r="RIL1384" s="7"/>
      <c r="RIM1384" s="7"/>
      <c r="RIN1384" s="7"/>
      <c r="RIO1384" s="7"/>
      <c r="RIP1384" s="7"/>
      <c r="RIQ1384" s="7"/>
      <c r="RIR1384" s="7"/>
      <c r="RIS1384" s="7"/>
      <c r="RIT1384" s="7"/>
      <c r="RIU1384" s="7"/>
      <c r="RIV1384" s="7"/>
      <c r="RIW1384" s="7"/>
      <c r="RIX1384" s="7"/>
      <c r="RIY1384" s="7"/>
      <c r="RIZ1384" s="7"/>
      <c r="RJA1384" s="7"/>
      <c r="RJB1384" s="7"/>
      <c r="RJC1384" s="7"/>
      <c r="RJD1384" s="7"/>
      <c r="RJE1384" s="7"/>
      <c r="RJF1384" s="7"/>
      <c r="RJG1384" s="7"/>
      <c r="RJH1384" s="7"/>
      <c r="RJI1384" s="7"/>
      <c r="RJJ1384" s="7"/>
      <c r="RJK1384" s="7"/>
      <c r="RJL1384" s="7"/>
      <c r="RJM1384" s="7"/>
      <c r="RJN1384" s="7"/>
      <c r="RJO1384" s="7"/>
      <c r="RJP1384" s="7"/>
      <c r="RJQ1384" s="7"/>
      <c r="RJR1384" s="7"/>
      <c r="RJS1384" s="7"/>
      <c r="RJT1384" s="7"/>
      <c r="RJU1384" s="7"/>
      <c r="RJV1384" s="7"/>
      <c r="RJW1384" s="7"/>
      <c r="RJX1384" s="7"/>
      <c r="RJY1384" s="7"/>
      <c r="RJZ1384" s="7"/>
      <c r="RKA1384" s="7"/>
      <c r="RKB1384" s="7"/>
      <c r="RKC1384" s="7"/>
      <c r="RKD1384" s="7"/>
      <c r="RKE1384" s="7"/>
      <c r="RKF1384" s="7"/>
      <c r="RKG1384" s="7"/>
      <c r="RKH1384" s="7"/>
      <c r="RKI1384" s="7"/>
      <c r="RKJ1384" s="7"/>
      <c r="RKK1384" s="7"/>
      <c r="RKL1384" s="7"/>
      <c r="RKM1384" s="7"/>
      <c r="RKN1384" s="7"/>
      <c r="RKO1384" s="7"/>
      <c r="RKP1384" s="7"/>
      <c r="RKQ1384" s="7"/>
      <c r="RKR1384" s="7"/>
      <c r="RKS1384" s="7"/>
      <c r="RKT1384" s="7"/>
      <c r="RKU1384" s="7"/>
      <c r="RKV1384" s="7"/>
      <c r="RKW1384" s="7"/>
      <c r="RKX1384" s="7"/>
      <c r="RKY1384" s="7"/>
      <c r="RKZ1384" s="7"/>
      <c r="RLA1384" s="7"/>
      <c r="RLB1384" s="7"/>
      <c r="RLC1384" s="7"/>
      <c r="RLD1384" s="7"/>
      <c r="RLE1384" s="7"/>
      <c r="RLF1384" s="7"/>
      <c r="RLG1384" s="7"/>
      <c r="RLH1384" s="7"/>
      <c r="RLI1384" s="7"/>
      <c r="RLJ1384" s="7"/>
      <c r="RLK1384" s="7"/>
      <c r="RLL1384" s="7"/>
      <c r="RLM1384" s="7"/>
      <c r="RLN1384" s="7"/>
      <c r="RLO1384" s="7"/>
      <c r="RLP1384" s="7"/>
      <c r="RLQ1384" s="7"/>
      <c r="RLR1384" s="7"/>
      <c r="RLS1384" s="7"/>
      <c r="RLT1384" s="7"/>
      <c r="RLU1384" s="7"/>
      <c r="RLV1384" s="7"/>
      <c r="RLW1384" s="7"/>
      <c r="RLX1384" s="7"/>
      <c r="RLY1384" s="7"/>
      <c r="RLZ1384" s="7"/>
      <c r="RMA1384" s="7"/>
      <c r="RMB1384" s="7"/>
      <c r="RMC1384" s="7"/>
      <c r="RMD1384" s="7"/>
      <c r="RME1384" s="7"/>
      <c r="RMF1384" s="7"/>
      <c r="RMG1384" s="7"/>
      <c r="RMH1384" s="7"/>
      <c r="RMI1384" s="7"/>
      <c r="RMJ1384" s="7"/>
      <c r="RMK1384" s="7"/>
      <c r="RML1384" s="7"/>
      <c r="RMM1384" s="7"/>
      <c r="RMN1384" s="7"/>
      <c r="RMO1384" s="7"/>
      <c r="RMP1384" s="7"/>
      <c r="RMQ1384" s="7"/>
      <c r="RMR1384" s="7"/>
      <c r="RMS1384" s="7"/>
      <c r="RMT1384" s="7"/>
      <c r="RMU1384" s="7"/>
      <c r="RMV1384" s="7"/>
      <c r="RMW1384" s="7"/>
      <c r="RMX1384" s="7"/>
      <c r="RMY1384" s="7"/>
      <c r="RMZ1384" s="7"/>
      <c r="RNA1384" s="7"/>
      <c r="RNB1384" s="7"/>
      <c r="RNC1384" s="7"/>
      <c r="RND1384" s="7"/>
      <c r="RNE1384" s="7"/>
      <c r="RNF1384" s="7"/>
      <c r="RNG1384" s="7"/>
      <c r="RNH1384" s="7"/>
      <c r="RNI1384" s="7"/>
      <c r="RNJ1384" s="7"/>
      <c r="RNK1384" s="7"/>
      <c r="RNL1384" s="7"/>
      <c r="RNM1384" s="7"/>
      <c r="RNN1384" s="7"/>
      <c r="RNO1384" s="7"/>
      <c r="RNP1384" s="7"/>
      <c r="RNQ1384" s="7"/>
      <c r="RNR1384" s="7"/>
      <c r="RNS1384" s="7"/>
      <c r="RNT1384" s="7"/>
      <c r="RNU1384" s="7"/>
      <c r="RNV1384" s="7"/>
      <c r="RNW1384" s="7"/>
      <c r="RNX1384" s="7"/>
      <c r="RNY1384" s="7"/>
      <c r="RNZ1384" s="7"/>
      <c r="ROA1384" s="7"/>
      <c r="ROB1384" s="7"/>
      <c r="ROC1384" s="7"/>
      <c r="ROD1384" s="7"/>
      <c r="ROE1384" s="7"/>
      <c r="ROF1384" s="7"/>
      <c r="ROG1384" s="7"/>
      <c r="ROH1384" s="7"/>
      <c r="ROI1384" s="7"/>
      <c r="ROJ1384" s="7"/>
      <c r="ROK1384" s="7"/>
      <c r="ROL1384" s="7"/>
      <c r="ROM1384" s="7"/>
      <c r="RON1384" s="7"/>
      <c r="ROO1384" s="7"/>
      <c r="ROP1384" s="7"/>
      <c r="ROQ1384" s="7"/>
      <c r="ROR1384" s="7"/>
      <c r="ROS1384" s="7"/>
      <c r="ROT1384" s="7"/>
      <c r="ROU1384" s="7"/>
      <c r="ROV1384" s="7"/>
      <c r="ROW1384" s="7"/>
      <c r="ROX1384" s="7"/>
      <c r="ROY1384" s="7"/>
      <c r="ROZ1384" s="7"/>
      <c r="RPA1384" s="7"/>
      <c r="RPB1384" s="7"/>
      <c r="RPC1384" s="7"/>
      <c r="RPD1384" s="7"/>
      <c r="RPE1384" s="7"/>
      <c r="RPF1384" s="7"/>
      <c r="RPG1384" s="7"/>
      <c r="RPH1384" s="7"/>
      <c r="RPI1384" s="7"/>
      <c r="RPJ1384" s="7"/>
      <c r="RPK1384" s="7"/>
      <c r="RPL1384" s="7"/>
      <c r="RPM1384" s="7"/>
      <c r="RPN1384" s="7"/>
      <c r="RPO1384" s="7"/>
      <c r="RPP1384" s="7"/>
      <c r="RPQ1384" s="7"/>
      <c r="RPR1384" s="7"/>
      <c r="RPS1384" s="7"/>
      <c r="RPT1384" s="7"/>
      <c r="RPU1384" s="7"/>
      <c r="RPV1384" s="7"/>
      <c r="RPW1384" s="7"/>
      <c r="RPX1384" s="7"/>
      <c r="RPY1384" s="7"/>
      <c r="RPZ1384" s="7"/>
      <c r="RQA1384" s="7"/>
      <c r="RQB1384" s="7"/>
      <c r="RQC1384" s="7"/>
      <c r="RQD1384" s="7"/>
      <c r="RQE1384" s="7"/>
      <c r="RQF1384" s="7"/>
      <c r="RQG1384" s="7"/>
      <c r="RQH1384" s="7"/>
      <c r="RQI1384" s="7"/>
      <c r="RQJ1384" s="7"/>
      <c r="RQK1384" s="7"/>
      <c r="RQL1384" s="7"/>
      <c r="RQM1384" s="7"/>
      <c r="RQN1384" s="7"/>
      <c r="RQO1384" s="7"/>
      <c r="RQP1384" s="7"/>
      <c r="RQQ1384" s="7"/>
      <c r="RQR1384" s="7"/>
      <c r="RQS1384" s="7"/>
      <c r="RQT1384" s="7"/>
      <c r="RQU1384" s="7"/>
      <c r="RQV1384" s="7"/>
      <c r="RQW1384" s="7"/>
      <c r="RQX1384" s="7"/>
      <c r="RQY1384" s="7"/>
      <c r="RQZ1384" s="7"/>
      <c r="RRA1384" s="7"/>
      <c r="RRB1384" s="7"/>
      <c r="RRC1384" s="7"/>
      <c r="RRD1384" s="7"/>
      <c r="RRE1384" s="7"/>
      <c r="RRF1384" s="7"/>
      <c r="RRG1384" s="7"/>
      <c r="RRH1384" s="7"/>
      <c r="RRI1384" s="7"/>
      <c r="RRJ1384" s="7"/>
      <c r="RRK1384" s="7"/>
      <c r="RRL1384" s="7"/>
      <c r="RRM1384" s="7"/>
      <c r="RRN1384" s="7"/>
      <c r="RRO1384" s="7"/>
      <c r="RRP1384" s="7"/>
      <c r="RRQ1384" s="7"/>
      <c r="RRR1384" s="7"/>
      <c r="RRS1384" s="7"/>
      <c r="RRT1384" s="7"/>
      <c r="RRU1384" s="7"/>
      <c r="RRV1384" s="7"/>
      <c r="RRW1384" s="7"/>
      <c r="RRX1384" s="7"/>
      <c r="RRY1384" s="7"/>
      <c r="RRZ1384" s="7"/>
      <c r="RSA1384" s="7"/>
      <c r="RSB1384" s="7"/>
      <c r="RSC1384" s="7"/>
      <c r="RSD1384" s="7"/>
      <c r="RSE1384" s="7"/>
      <c r="RSF1384" s="7"/>
      <c r="RSG1384" s="7"/>
      <c r="RSH1384" s="7"/>
      <c r="RSI1384" s="7"/>
      <c r="RSJ1384" s="7"/>
      <c r="RSK1384" s="7"/>
      <c r="RSL1384" s="7"/>
      <c r="RSM1384" s="7"/>
      <c r="RSN1384" s="7"/>
      <c r="RSO1384" s="7"/>
      <c r="RSP1384" s="7"/>
      <c r="RSQ1384" s="7"/>
      <c r="RSR1384" s="7"/>
      <c r="RSS1384" s="7"/>
      <c r="RST1384" s="7"/>
      <c r="RSU1384" s="7"/>
      <c r="RSV1384" s="7"/>
      <c r="RSW1384" s="7"/>
      <c r="RSX1384" s="7"/>
      <c r="RSY1384" s="7"/>
      <c r="RSZ1384" s="7"/>
      <c r="RTA1384" s="7"/>
      <c r="RTB1384" s="7"/>
      <c r="RTC1384" s="7"/>
      <c r="RTD1384" s="7"/>
      <c r="RTE1384" s="7"/>
      <c r="RTF1384" s="7"/>
      <c r="RTG1384" s="7"/>
      <c r="RTH1384" s="7"/>
      <c r="RTI1384" s="7"/>
      <c r="RTJ1384" s="7"/>
      <c r="RTK1384" s="7"/>
      <c r="RTL1384" s="7"/>
      <c r="RTM1384" s="7"/>
      <c r="RTN1384" s="7"/>
      <c r="RTO1384" s="7"/>
      <c r="RTP1384" s="7"/>
      <c r="RTQ1384" s="7"/>
      <c r="RTR1384" s="7"/>
      <c r="RTS1384" s="7"/>
      <c r="RTT1384" s="7"/>
      <c r="RTU1384" s="7"/>
      <c r="RTV1384" s="7"/>
      <c r="RTW1384" s="7"/>
      <c r="RTX1384" s="7"/>
      <c r="RTY1384" s="7"/>
      <c r="RTZ1384" s="7"/>
      <c r="RUA1384" s="7"/>
      <c r="RUB1384" s="7"/>
      <c r="RUC1384" s="7"/>
      <c r="RUD1384" s="7"/>
      <c r="RUE1384" s="7"/>
      <c r="RUF1384" s="7"/>
      <c r="RUG1384" s="7"/>
      <c r="RUH1384" s="7"/>
      <c r="RUI1384" s="7"/>
      <c r="RUJ1384" s="7"/>
      <c r="RUK1384" s="7"/>
      <c r="RUL1384" s="7"/>
      <c r="RUM1384" s="7"/>
      <c r="RUN1384" s="7"/>
      <c r="RUO1384" s="7"/>
      <c r="RUP1384" s="7"/>
      <c r="RUQ1384" s="7"/>
      <c r="RUR1384" s="7"/>
      <c r="RUS1384" s="7"/>
      <c r="RUT1384" s="7"/>
      <c r="RUU1384" s="7"/>
      <c r="RUV1384" s="7"/>
      <c r="RUW1384" s="7"/>
      <c r="RUX1384" s="7"/>
      <c r="RUY1384" s="7"/>
      <c r="RUZ1384" s="7"/>
      <c r="RVA1384" s="7"/>
      <c r="RVB1384" s="7"/>
      <c r="RVC1384" s="7"/>
      <c r="RVD1384" s="7"/>
      <c r="RVE1384" s="7"/>
      <c r="RVF1384" s="7"/>
      <c r="RVG1384" s="7"/>
      <c r="RVH1384" s="7"/>
      <c r="RVI1384" s="7"/>
      <c r="RVJ1384" s="7"/>
      <c r="RVK1384" s="7"/>
      <c r="RVL1384" s="7"/>
      <c r="RVM1384" s="7"/>
      <c r="RVN1384" s="7"/>
      <c r="RVO1384" s="7"/>
      <c r="RVP1384" s="7"/>
      <c r="RVQ1384" s="7"/>
      <c r="RVR1384" s="7"/>
      <c r="RVS1384" s="7"/>
      <c r="RVT1384" s="7"/>
      <c r="RVU1384" s="7"/>
      <c r="RVV1384" s="7"/>
      <c r="RVW1384" s="7"/>
      <c r="RVX1384" s="7"/>
      <c r="RVY1384" s="7"/>
      <c r="RVZ1384" s="7"/>
      <c r="RWA1384" s="7"/>
      <c r="RWB1384" s="7"/>
      <c r="RWC1384" s="7"/>
      <c r="RWD1384" s="7"/>
      <c r="RWE1384" s="7"/>
      <c r="RWF1384" s="7"/>
      <c r="RWG1384" s="7"/>
      <c r="RWH1384" s="7"/>
      <c r="RWI1384" s="7"/>
      <c r="RWJ1384" s="7"/>
      <c r="RWK1384" s="7"/>
      <c r="RWL1384" s="7"/>
      <c r="RWM1384" s="7"/>
      <c r="RWN1384" s="7"/>
      <c r="RWO1384" s="7"/>
      <c r="RWP1384" s="7"/>
      <c r="RWQ1384" s="7"/>
      <c r="RWR1384" s="7"/>
      <c r="RWS1384" s="7"/>
      <c r="RWT1384" s="7"/>
      <c r="RWU1384" s="7"/>
      <c r="RWV1384" s="7"/>
      <c r="RWW1384" s="7"/>
      <c r="RWX1384" s="7"/>
      <c r="RWY1384" s="7"/>
      <c r="RWZ1384" s="7"/>
      <c r="RXA1384" s="7"/>
      <c r="RXB1384" s="7"/>
      <c r="RXC1384" s="7"/>
      <c r="RXD1384" s="7"/>
      <c r="RXE1384" s="7"/>
      <c r="RXF1384" s="7"/>
      <c r="RXG1384" s="7"/>
      <c r="RXH1384" s="7"/>
      <c r="RXI1384" s="7"/>
      <c r="RXJ1384" s="7"/>
      <c r="RXK1384" s="7"/>
      <c r="RXL1384" s="7"/>
      <c r="RXM1384" s="7"/>
      <c r="RXN1384" s="7"/>
      <c r="RXO1384" s="7"/>
      <c r="RXP1384" s="7"/>
      <c r="RXQ1384" s="7"/>
      <c r="RXR1384" s="7"/>
      <c r="RXS1384" s="7"/>
      <c r="RXT1384" s="7"/>
      <c r="RXU1384" s="7"/>
      <c r="RXV1384" s="7"/>
      <c r="RXW1384" s="7"/>
      <c r="RXX1384" s="7"/>
      <c r="RXY1384" s="7"/>
      <c r="RXZ1384" s="7"/>
      <c r="RYA1384" s="7"/>
      <c r="RYB1384" s="7"/>
      <c r="RYC1384" s="7"/>
      <c r="RYD1384" s="7"/>
      <c r="RYE1384" s="7"/>
      <c r="RYF1384" s="7"/>
      <c r="RYG1384" s="7"/>
      <c r="RYH1384" s="7"/>
      <c r="RYI1384" s="7"/>
      <c r="RYJ1384" s="7"/>
      <c r="RYK1384" s="7"/>
      <c r="RYL1384" s="7"/>
      <c r="RYM1384" s="7"/>
      <c r="RYN1384" s="7"/>
      <c r="RYO1384" s="7"/>
      <c r="RYP1384" s="7"/>
      <c r="RYQ1384" s="7"/>
      <c r="RYR1384" s="7"/>
      <c r="RYS1384" s="7"/>
      <c r="RYT1384" s="7"/>
      <c r="RYU1384" s="7"/>
      <c r="RYV1384" s="7"/>
      <c r="RYW1384" s="7"/>
      <c r="RYX1384" s="7"/>
      <c r="RYY1384" s="7"/>
      <c r="RYZ1384" s="7"/>
      <c r="RZA1384" s="7"/>
      <c r="RZB1384" s="7"/>
      <c r="RZC1384" s="7"/>
      <c r="RZD1384" s="7"/>
      <c r="RZE1384" s="7"/>
      <c r="RZF1384" s="7"/>
      <c r="RZG1384" s="7"/>
      <c r="RZH1384" s="7"/>
      <c r="RZI1384" s="7"/>
      <c r="RZJ1384" s="7"/>
      <c r="RZK1384" s="7"/>
      <c r="RZL1384" s="7"/>
      <c r="RZM1384" s="7"/>
      <c r="RZN1384" s="7"/>
      <c r="RZO1384" s="7"/>
      <c r="RZP1384" s="7"/>
      <c r="RZQ1384" s="7"/>
      <c r="RZR1384" s="7"/>
      <c r="RZS1384" s="7"/>
      <c r="RZT1384" s="7"/>
      <c r="RZU1384" s="7"/>
      <c r="RZV1384" s="7"/>
      <c r="RZW1384" s="7"/>
      <c r="RZX1384" s="7"/>
      <c r="RZY1384" s="7"/>
      <c r="RZZ1384" s="7"/>
      <c r="SAA1384" s="7"/>
      <c r="SAB1384" s="7"/>
      <c r="SAC1384" s="7"/>
      <c r="SAD1384" s="7"/>
      <c r="SAE1384" s="7"/>
      <c r="SAF1384" s="7"/>
      <c r="SAG1384" s="7"/>
      <c r="SAH1384" s="7"/>
      <c r="SAI1384" s="7"/>
      <c r="SAJ1384" s="7"/>
      <c r="SAK1384" s="7"/>
      <c r="SAL1384" s="7"/>
      <c r="SAM1384" s="7"/>
      <c r="SAN1384" s="7"/>
      <c r="SAO1384" s="7"/>
      <c r="SAP1384" s="7"/>
      <c r="SAQ1384" s="7"/>
      <c r="SAR1384" s="7"/>
      <c r="SAS1384" s="7"/>
      <c r="SAT1384" s="7"/>
      <c r="SAU1384" s="7"/>
      <c r="SAV1384" s="7"/>
      <c r="SAW1384" s="7"/>
      <c r="SAX1384" s="7"/>
      <c r="SAY1384" s="7"/>
      <c r="SAZ1384" s="7"/>
      <c r="SBA1384" s="7"/>
      <c r="SBB1384" s="7"/>
      <c r="SBC1384" s="7"/>
      <c r="SBD1384" s="7"/>
      <c r="SBE1384" s="7"/>
      <c r="SBF1384" s="7"/>
      <c r="SBG1384" s="7"/>
      <c r="SBH1384" s="7"/>
      <c r="SBI1384" s="7"/>
      <c r="SBJ1384" s="7"/>
      <c r="SBK1384" s="7"/>
      <c r="SBL1384" s="7"/>
      <c r="SBM1384" s="7"/>
      <c r="SBN1384" s="7"/>
      <c r="SBO1384" s="7"/>
      <c r="SBP1384" s="7"/>
      <c r="SBQ1384" s="7"/>
      <c r="SBR1384" s="7"/>
      <c r="SBS1384" s="7"/>
      <c r="SBT1384" s="7"/>
      <c r="SBU1384" s="7"/>
      <c r="SBV1384" s="7"/>
      <c r="SBW1384" s="7"/>
      <c r="SBX1384" s="7"/>
      <c r="SBY1384" s="7"/>
      <c r="SBZ1384" s="7"/>
      <c r="SCA1384" s="7"/>
      <c r="SCB1384" s="7"/>
      <c r="SCC1384" s="7"/>
      <c r="SCD1384" s="7"/>
      <c r="SCE1384" s="7"/>
      <c r="SCF1384" s="7"/>
      <c r="SCG1384" s="7"/>
      <c r="SCH1384" s="7"/>
      <c r="SCI1384" s="7"/>
      <c r="SCJ1384" s="7"/>
      <c r="SCK1384" s="7"/>
      <c r="SCL1384" s="7"/>
      <c r="SCM1384" s="7"/>
      <c r="SCN1384" s="7"/>
      <c r="SCO1384" s="7"/>
      <c r="SCP1384" s="7"/>
      <c r="SCQ1384" s="7"/>
      <c r="SCR1384" s="7"/>
      <c r="SCS1384" s="7"/>
      <c r="SCT1384" s="7"/>
      <c r="SCU1384" s="7"/>
      <c r="SCV1384" s="7"/>
      <c r="SCW1384" s="7"/>
      <c r="SCX1384" s="7"/>
      <c r="SCY1384" s="7"/>
      <c r="SCZ1384" s="7"/>
      <c r="SDA1384" s="7"/>
      <c r="SDB1384" s="7"/>
      <c r="SDC1384" s="7"/>
      <c r="SDD1384" s="7"/>
      <c r="SDE1384" s="7"/>
      <c r="SDF1384" s="7"/>
      <c r="SDG1384" s="7"/>
      <c r="SDH1384" s="7"/>
      <c r="SDI1384" s="7"/>
      <c r="SDJ1384" s="7"/>
      <c r="SDK1384" s="7"/>
      <c r="SDL1384" s="7"/>
      <c r="SDM1384" s="7"/>
      <c r="SDN1384" s="7"/>
      <c r="SDO1384" s="7"/>
      <c r="SDP1384" s="7"/>
      <c r="SDQ1384" s="7"/>
      <c r="SDR1384" s="7"/>
      <c r="SDS1384" s="7"/>
      <c r="SDT1384" s="7"/>
      <c r="SDU1384" s="7"/>
      <c r="SDV1384" s="7"/>
      <c r="SDW1384" s="7"/>
      <c r="SDX1384" s="7"/>
      <c r="SDY1384" s="7"/>
      <c r="SDZ1384" s="7"/>
      <c r="SEA1384" s="7"/>
      <c r="SEB1384" s="7"/>
      <c r="SEC1384" s="7"/>
      <c r="SED1384" s="7"/>
      <c r="SEE1384" s="7"/>
      <c r="SEF1384" s="7"/>
      <c r="SEG1384" s="7"/>
      <c r="SEH1384" s="7"/>
      <c r="SEI1384" s="7"/>
      <c r="SEJ1384" s="7"/>
      <c r="SEK1384" s="7"/>
      <c r="SEL1384" s="7"/>
      <c r="SEM1384" s="7"/>
      <c r="SEN1384" s="7"/>
      <c r="SEO1384" s="7"/>
      <c r="SEP1384" s="7"/>
      <c r="SEQ1384" s="7"/>
      <c r="SER1384" s="7"/>
      <c r="SES1384" s="7"/>
      <c r="SET1384" s="7"/>
      <c r="SEU1384" s="7"/>
      <c r="SEV1384" s="7"/>
      <c r="SEW1384" s="7"/>
      <c r="SEX1384" s="7"/>
      <c r="SEY1384" s="7"/>
      <c r="SEZ1384" s="7"/>
      <c r="SFA1384" s="7"/>
      <c r="SFB1384" s="7"/>
      <c r="SFC1384" s="7"/>
      <c r="SFD1384" s="7"/>
      <c r="SFE1384" s="7"/>
      <c r="SFF1384" s="7"/>
      <c r="SFG1384" s="7"/>
      <c r="SFH1384" s="7"/>
      <c r="SFI1384" s="7"/>
      <c r="SFJ1384" s="7"/>
      <c r="SFK1384" s="7"/>
      <c r="SFL1384" s="7"/>
      <c r="SFM1384" s="7"/>
      <c r="SFN1384" s="7"/>
      <c r="SFO1384" s="7"/>
      <c r="SFP1384" s="7"/>
      <c r="SFQ1384" s="7"/>
      <c r="SFR1384" s="7"/>
      <c r="SFS1384" s="7"/>
      <c r="SFT1384" s="7"/>
      <c r="SFU1384" s="7"/>
      <c r="SFV1384" s="7"/>
      <c r="SFW1384" s="7"/>
      <c r="SFX1384" s="7"/>
      <c r="SFY1384" s="7"/>
      <c r="SFZ1384" s="7"/>
      <c r="SGA1384" s="7"/>
      <c r="SGB1384" s="7"/>
      <c r="SGC1384" s="7"/>
      <c r="SGD1384" s="7"/>
      <c r="SGE1384" s="7"/>
      <c r="SGF1384" s="7"/>
      <c r="SGG1384" s="7"/>
      <c r="SGH1384" s="7"/>
      <c r="SGI1384" s="7"/>
      <c r="SGJ1384" s="7"/>
      <c r="SGK1384" s="7"/>
      <c r="SGL1384" s="7"/>
      <c r="SGM1384" s="7"/>
      <c r="SGN1384" s="7"/>
      <c r="SGO1384" s="7"/>
      <c r="SGP1384" s="7"/>
      <c r="SGQ1384" s="7"/>
      <c r="SGR1384" s="7"/>
      <c r="SGS1384" s="7"/>
      <c r="SGT1384" s="7"/>
      <c r="SGU1384" s="7"/>
      <c r="SGV1384" s="7"/>
      <c r="SGW1384" s="7"/>
      <c r="SGX1384" s="7"/>
      <c r="SGY1384" s="7"/>
      <c r="SGZ1384" s="7"/>
      <c r="SHA1384" s="7"/>
      <c r="SHB1384" s="7"/>
      <c r="SHC1384" s="7"/>
      <c r="SHD1384" s="7"/>
      <c r="SHE1384" s="7"/>
      <c r="SHF1384" s="7"/>
      <c r="SHG1384" s="7"/>
      <c r="SHH1384" s="7"/>
      <c r="SHI1384" s="7"/>
      <c r="SHJ1384" s="7"/>
      <c r="SHK1384" s="7"/>
      <c r="SHL1384" s="7"/>
      <c r="SHM1384" s="7"/>
      <c r="SHN1384" s="7"/>
      <c r="SHO1384" s="7"/>
      <c r="SHP1384" s="7"/>
      <c r="SHQ1384" s="7"/>
      <c r="SHR1384" s="7"/>
      <c r="SHS1384" s="7"/>
      <c r="SHT1384" s="7"/>
      <c r="SHU1384" s="7"/>
      <c r="SHV1384" s="7"/>
      <c r="SHW1384" s="7"/>
      <c r="SHX1384" s="7"/>
      <c r="SHY1384" s="7"/>
      <c r="SHZ1384" s="7"/>
      <c r="SIA1384" s="7"/>
      <c r="SIB1384" s="7"/>
      <c r="SIC1384" s="7"/>
      <c r="SID1384" s="7"/>
      <c r="SIE1384" s="7"/>
      <c r="SIF1384" s="7"/>
      <c r="SIG1384" s="7"/>
      <c r="SIH1384" s="7"/>
      <c r="SII1384" s="7"/>
      <c r="SIJ1384" s="7"/>
      <c r="SIK1384" s="7"/>
      <c r="SIL1384" s="7"/>
      <c r="SIM1384" s="7"/>
      <c r="SIN1384" s="7"/>
      <c r="SIO1384" s="7"/>
      <c r="SIP1384" s="7"/>
      <c r="SIQ1384" s="7"/>
      <c r="SIR1384" s="7"/>
      <c r="SIS1384" s="7"/>
      <c r="SIT1384" s="7"/>
      <c r="SIU1384" s="7"/>
      <c r="SIV1384" s="7"/>
      <c r="SIW1384" s="7"/>
      <c r="SIX1384" s="7"/>
      <c r="SIY1384" s="7"/>
      <c r="SIZ1384" s="7"/>
      <c r="SJA1384" s="7"/>
      <c r="SJB1384" s="7"/>
      <c r="SJC1384" s="7"/>
      <c r="SJD1384" s="7"/>
      <c r="SJE1384" s="7"/>
      <c r="SJF1384" s="7"/>
      <c r="SJG1384" s="7"/>
      <c r="SJH1384" s="7"/>
      <c r="SJI1384" s="7"/>
      <c r="SJJ1384" s="7"/>
      <c r="SJK1384" s="7"/>
      <c r="SJL1384" s="7"/>
      <c r="SJM1384" s="7"/>
      <c r="SJN1384" s="7"/>
      <c r="SJO1384" s="7"/>
      <c r="SJP1384" s="7"/>
      <c r="SJQ1384" s="7"/>
      <c r="SJR1384" s="7"/>
      <c r="SJS1384" s="7"/>
      <c r="SJT1384" s="7"/>
      <c r="SJU1384" s="7"/>
      <c r="SJV1384" s="7"/>
      <c r="SJW1384" s="7"/>
      <c r="SJX1384" s="7"/>
      <c r="SJY1384" s="7"/>
      <c r="SJZ1384" s="7"/>
      <c r="SKA1384" s="7"/>
      <c r="SKB1384" s="7"/>
      <c r="SKC1384" s="7"/>
      <c r="SKD1384" s="7"/>
      <c r="SKE1384" s="7"/>
      <c r="SKF1384" s="7"/>
      <c r="SKG1384" s="7"/>
      <c r="SKH1384" s="7"/>
      <c r="SKI1384" s="7"/>
      <c r="SKJ1384" s="7"/>
      <c r="SKK1384" s="7"/>
      <c r="SKL1384" s="7"/>
      <c r="SKM1384" s="7"/>
      <c r="SKN1384" s="7"/>
      <c r="SKO1384" s="7"/>
      <c r="SKP1384" s="7"/>
      <c r="SKQ1384" s="7"/>
      <c r="SKR1384" s="7"/>
      <c r="SKS1384" s="7"/>
      <c r="SKT1384" s="7"/>
      <c r="SKU1384" s="7"/>
      <c r="SKV1384" s="7"/>
      <c r="SKW1384" s="7"/>
      <c r="SKX1384" s="7"/>
      <c r="SKY1384" s="7"/>
      <c r="SKZ1384" s="7"/>
      <c r="SLA1384" s="7"/>
      <c r="SLB1384" s="7"/>
      <c r="SLC1384" s="7"/>
      <c r="SLD1384" s="7"/>
      <c r="SLE1384" s="7"/>
      <c r="SLF1384" s="7"/>
      <c r="SLG1384" s="7"/>
      <c r="SLH1384" s="7"/>
      <c r="SLI1384" s="7"/>
      <c r="SLJ1384" s="7"/>
      <c r="SLK1384" s="7"/>
      <c r="SLL1384" s="7"/>
      <c r="SLM1384" s="7"/>
      <c r="SLN1384" s="7"/>
      <c r="SLO1384" s="7"/>
      <c r="SLP1384" s="7"/>
      <c r="SLQ1384" s="7"/>
      <c r="SLR1384" s="7"/>
      <c r="SLS1384" s="7"/>
      <c r="SLT1384" s="7"/>
      <c r="SLU1384" s="7"/>
      <c r="SLV1384" s="7"/>
      <c r="SLW1384" s="7"/>
      <c r="SLX1384" s="7"/>
      <c r="SLY1384" s="7"/>
      <c r="SLZ1384" s="7"/>
      <c r="SMA1384" s="7"/>
      <c r="SMB1384" s="7"/>
      <c r="SMC1384" s="7"/>
      <c r="SMD1384" s="7"/>
      <c r="SME1384" s="7"/>
      <c r="SMF1384" s="7"/>
      <c r="SMG1384" s="7"/>
      <c r="SMH1384" s="7"/>
      <c r="SMI1384" s="7"/>
      <c r="SMJ1384" s="7"/>
      <c r="SMK1384" s="7"/>
      <c r="SML1384" s="7"/>
      <c r="SMM1384" s="7"/>
      <c r="SMN1384" s="7"/>
      <c r="SMO1384" s="7"/>
      <c r="SMP1384" s="7"/>
      <c r="SMQ1384" s="7"/>
      <c r="SMR1384" s="7"/>
      <c r="SMS1384" s="7"/>
      <c r="SMT1384" s="7"/>
      <c r="SMU1384" s="7"/>
      <c r="SMV1384" s="7"/>
      <c r="SMW1384" s="7"/>
      <c r="SMX1384" s="7"/>
      <c r="SMY1384" s="7"/>
      <c r="SMZ1384" s="7"/>
      <c r="SNA1384" s="7"/>
      <c r="SNB1384" s="7"/>
      <c r="SNC1384" s="7"/>
      <c r="SND1384" s="7"/>
      <c r="SNE1384" s="7"/>
      <c r="SNF1384" s="7"/>
      <c r="SNG1384" s="7"/>
      <c r="SNH1384" s="7"/>
      <c r="SNI1384" s="7"/>
      <c r="SNJ1384" s="7"/>
      <c r="SNK1384" s="7"/>
      <c r="SNL1384" s="7"/>
      <c r="SNM1384" s="7"/>
      <c r="SNN1384" s="7"/>
      <c r="SNO1384" s="7"/>
      <c r="SNP1384" s="7"/>
      <c r="SNQ1384" s="7"/>
      <c r="SNR1384" s="7"/>
      <c r="SNS1384" s="7"/>
      <c r="SNT1384" s="7"/>
      <c r="SNU1384" s="7"/>
      <c r="SNV1384" s="7"/>
      <c r="SNW1384" s="7"/>
      <c r="SNX1384" s="7"/>
      <c r="SNY1384" s="7"/>
      <c r="SNZ1384" s="7"/>
      <c r="SOA1384" s="7"/>
      <c r="SOB1384" s="7"/>
      <c r="SOC1384" s="7"/>
      <c r="SOD1384" s="7"/>
      <c r="SOE1384" s="7"/>
      <c r="SOF1384" s="7"/>
      <c r="SOG1384" s="7"/>
      <c r="SOH1384" s="7"/>
      <c r="SOI1384" s="7"/>
      <c r="SOJ1384" s="7"/>
      <c r="SOK1384" s="7"/>
      <c r="SOL1384" s="7"/>
      <c r="SOM1384" s="7"/>
      <c r="SON1384" s="7"/>
      <c r="SOO1384" s="7"/>
      <c r="SOP1384" s="7"/>
      <c r="SOQ1384" s="7"/>
      <c r="SOR1384" s="7"/>
      <c r="SOS1384" s="7"/>
      <c r="SOT1384" s="7"/>
      <c r="SOU1384" s="7"/>
      <c r="SOV1384" s="7"/>
      <c r="SOW1384" s="7"/>
      <c r="SOX1384" s="7"/>
      <c r="SOY1384" s="7"/>
      <c r="SOZ1384" s="7"/>
      <c r="SPA1384" s="7"/>
      <c r="SPB1384" s="7"/>
      <c r="SPC1384" s="7"/>
      <c r="SPD1384" s="7"/>
      <c r="SPE1384" s="7"/>
      <c r="SPF1384" s="7"/>
      <c r="SPG1384" s="7"/>
      <c r="SPH1384" s="7"/>
      <c r="SPI1384" s="7"/>
      <c r="SPJ1384" s="7"/>
      <c r="SPK1384" s="7"/>
      <c r="SPL1384" s="7"/>
      <c r="SPM1384" s="7"/>
      <c r="SPN1384" s="7"/>
      <c r="SPO1384" s="7"/>
      <c r="SPP1384" s="7"/>
      <c r="SPQ1384" s="7"/>
      <c r="SPR1384" s="7"/>
      <c r="SPS1384" s="7"/>
      <c r="SPT1384" s="7"/>
      <c r="SPU1384" s="7"/>
      <c r="SPV1384" s="7"/>
      <c r="SPW1384" s="7"/>
      <c r="SPX1384" s="7"/>
      <c r="SPY1384" s="7"/>
      <c r="SPZ1384" s="7"/>
      <c r="SQA1384" s="7"/>
      <c r="SQB1384" s="7"/>
      <c r="SQC1384" s="7"/>
      <c r="SQD1384" s="7"/>
      <c r="SQE1384" s="7"/>
      <c r="SQF1384" s="7"/>
      <c r="SQG1384" s="7"/>
      <c r="SQH1384" s="7"/>
      <c r="SQI1384" s="7"/>
      <c r="SQJ1384" s="7"/>
      <c r="SQK1384" s="7"/>
      <c r="SQL1384" s="7"/>
      <c r="SQM1384" s="7"/>
      <c r="SQN1384" s="7"/>
      <c r="SQO1384" s="7"/>
      <c r="SQP1384" s="7"/>
      <c r="SQQ1384" s="7"/>
      <c r="SQR1384" s="7"/>
      <c r="SQS1384" s="7"/>
      <c r="SQT1384" s="7"/>
      <c r="SQU1384" s="7"/>
      <c r="SQV1384" s="7"/>
      <c r="SQW1384" s="7"/>
      <c r="SQX1384" s="7"/>
      <c r="SQY1384" s="7"/>
      <c r="SQZ1384" s="7"/>
      <c r="SRA1384" s="7"/>
      <c r="SRB1384" s="7"/>
      <c r="SRC1384" s="7"/>
      <c r="SRD1384" s="7"/>
      <c r="SRE1384" s="7"/>
      <c r="SRF1384" s="7"/>
      <c r="SRG1384" s="7"/>
      <c r="SRH1384" s="7"/>
      <c r="SRI1384" s="7"/>
      <c r="SRJ1384" s="7"/>
      <c r="SRK1384" s="7"/>
      <c r="SRL1384" s="7"/>
      <c r="SRM1384" s="7"/>
      <c r="SRN1384" s="7"/>
      <c r="SRO1384" s="7"/>
      <c r="SRP1384" s="7"/>
      <c r="SRQ1384" s="7"/>
      <c r="SRR1384" s="7"/>
      <c r="SRS1384" s="7"/>
      <c r="SRT1384" s="7"/>
      <c r="SRU1384" s="7"/>
      <c r="SRV1384" s="7"/>
      <c r="SRW1384" s="7"/>
      <c r="SRX1384" s="7"/>
      <c r="SRY1384" s="7"/>
      <c r="SRZ1384" s="7"/>
      <c r="SSA1384" s="7"/>
      <c r="SSB1384" s="7"/>
      <c r="SSC1384" s="7"/>
      <c r="SSD1384" s="7"/>
      <c r="SSE1384" s="7"/>
      <c r="SSF1384" s="7"/>
      <c r="SSG1384" s="7"/>
      <c r="SSH1384" s="7"/>
      <c r="SSI1384" s="7"/>
      <c r="SSJ1384" s="7"/>
      <c r="SSK1384" s="7"/>
      <c r="SSL1384" s="7"/>
      <c r="SSM1384" s="7"/>
      <c r="SSN1384" s="7"/>
      <c r="SSO1384" s="7"/>
      <c r="SSP1384" s="7"/>
      <c r="SSQ1384" s="7"/>
      <c r="SSR1384" s="7"/>
      <c r="SSS1384" s="7"/>
      <c r="SST1384" s="7"/>
      <c r="SSU1384" s="7"/>
      <c r="SSV1384" s="7"/>
      <c r="SSW1384" s="7"/>
      <c r="SSX1384" s="7"/>
      <c r="SSY1384" s="7"/>
      <c r="SSZ1384" s="7"/>
      <c r="STA1384" s="7"/>
      <c r="STB1384" s="7"/>
      <c r="STC1384" s="7"/>
      <c r="STD1384" s="7"/>
      <c r="STE1384" s="7"/>
      <c r="STF1384" s="7"/>
      <c r="STG1384" s="7"/>
      <c r="STH1384" s="7"/>
      <c r="STI1384" s="7"/>
      <c r="STJ1384" s="7"/>
      <c r="STK1384" s="7"/>
      <c r="STL1384" s="7"/>
      <c r="STM1384" s="7"/>
      <c r="STN1384" s="7"/>
      <c r="STO1384" s="7"/>
      <c r="STP1384" s="7"/>
      <c r="STQ1384" s="7"/>
      <c r="STR1384" s="7"/>
      <c r="STS1384" s="7"/>
      <c r="STT1384" s="7"/>
      <c r="STU1384" s="7"/>
      <c r="STV1384" s="7"/>
      <c r="STW1384" s="7"/>
      <c r="STX1384" s="7"/>
      <c r="STY1384" s="7"/>
      <c r="STZ1384" s="7"/>
      <c r="SUA1384" s="7"/>
      <c r="SUB1384" s="7"/>
      <c r="SUC1384" s="7"/>
      <c r="SUD1384" s="7"/>
      <c r="SUE1384" s="7"/>
      <c r="SUF1384" s="7"/>
      <c r="SUG1384" s="7"/>
      <c r="SUH1384" s="7"/>
      <c r="SUI1384" s="7"/>
      <c r="SUJ1384" s="7"/>
      <c r="SUK1384" s="7"/>
      <c r="SUL1384" s="7"/>
      <c r="SUM1384" s="7"/>
      <c r="SUN1384" s="7"/>
      <c r="SUO1384" s="7"/>
      <c r="SUP1384" s="7"/>
      <c r="SUQ1384" s="7"/>
      <c r="SUR1384" s="7"/>
      <c r="SUS1384" s="7"/>
      <c r="SUT1384" s="7"/>
      <c r="SUU1384" s="7"/>
      <c r="SUV1384" s="7"/>
      <c r="SUW1384" s="7"/>
      <c r="SUX1384" s="7"/>
      <c r="SUY1384" s="7"/>
      <c r="SUZ1384" s="7"/>
      <c r="SVA1384" s="7"/>
      <c r="SVB1384" s="7"/>
      <c r="SVC1384" s="7"/>
      <c r="SVD1384" s="7"/>
      <c r="SVE1384" s="7"/>
      <c r="SVF1384" s="7"/>
      <c r="SVG1384" s="7"/>
      <c r="SVH1384" s="7"/>
      <c r="SVI1384" s="7"/>
      <c r="SVJ1384" s="7"/>
      <c r="SVK1384" s="7"/>
      <c r="SVL1384" s="7"/>
      <c r="SVM1384" s="7"/>
      <c r="SVN1384" s="7"/>
      <c r="SVO1384" s="7"/>
      <c r="SVP1384" s="7"/>
      <c r="SVQ1384" s="7"/>
      <c r="SVR1384" s="7"/>
      <c r="SVS1384" s="7"/>
      <c r="SVT1384" s="7"/>
      <c r="SVU1384" s="7"/>
      <c r="SVV1384" s="7"/>
      <c r="SVW1384" s="7"/>
      <c r="SVX1384" s="7"/>
      <c r="SVY1384" s="7"/>
      <c r="SVZ1384" s="7"/>
      <c r="SWA1384" s="7"/>
      <c r="SWB1384" s="7"/>
      <c r="SWC1384" s="7"/>
      <c r="SWD1384" s="7"/>
      <c r="SWE1384" s="7"/>
      <c r="SWF1384" s="7"/>
      <c r="SWG1384" s="7"/>
      <c r="SWH1384" s="7"/>
      <c r="SWI1384" s="7"/>
      <c r="SWJ1384" s="7"/>
      <c r="SWK1384" s="7"/>
      <c r="SWL1384" s="7"/>
      <c r="SWM1384" s="7"/>
      <c r="SWN1384" s="7"/>
      <c r="SWO1384" s="7"/>
      <c r="SWP1384" s="7"/>
      <c r="SWQ1384" s="7"/>
      <c r="SWR1384" s="7"/>
      <c r="SWS1384" s="7"/>
      <c r="SWT1384" s="7"/>
      <c r="SWU1384" s="7"/>
      <c r="SWV1384" s="7"/>
      <c r="SWW1384" s="7"/>
      <c r="SWX1384" s="7"/>
      <c r="SWY1384" s="7"/>
      <c r="SWZ1384" s="7"/>
      <c r="SXA1384" s="7"/>
      <c r="SXB1384" s="7"/>
      <c r="SXC1384" s="7"/>
      <c r="SXD1384" s="7"/>
      <c r="SXE1384" s="7"/>
      <c r="SXF1384" s="7"/>
      <c r="SXG1384" s="7"/>
      <c r="SXH1384" s="7"/>
      <c r="SXI1384" s="7"/>
      <c r="SXJ1384" s="7"/>
      <c r="SXK1384" s="7"/>
      <c r="SXL1384" s="7"/>
      <c r="SXM1384" s="7"/>
      <c r="SXN1384" s="7"/>
      <c r="SXO1384" s="7"/>
      <c r="SXP1384" s="7"/>
      <c r="SXQ1384" s="7"/>
      <c r="SXR1384" s="7"/>
      <c r="SXS1384" s="7"/>
      <c r="SXT1384" s="7"/>
      <c r="SXU1384" s="7"/>
      <c r="SXV1384" s="7"/>
      <c r="SXW1384" s="7"/>
      <c r="SXX1384" s="7"/>
      <c r="SXY1384" s="7"/>
      <c r="SXZ1384" s="7"/>
      <c r="SYA1384" s="7"/>
      <c r="SYB1384" s="7"/>
      <c r="SYC1384" s="7"/>
      <c r="SYD1384" s="7"/>
      <c r="SYE1384" s="7"/>
      <c r="SYF1384" s="7"/>
      <c r="SYG1384" s="7"/>
      <c r="SYH1384" s="7"/>
      <c r="SYI1384" s="7"/>
      <c r="SYJ1384" s="7"/>
      <c r="SYK1384" s="7"/>
      <c r="SYL1384" s="7"/>
      <c r="SYM1384" s="7"/>
      <c r="SYN1384" s="7"/>
      <c r="SYO1384" s="7"/>
      <c r="SYP1384" s="7"/>
      <c r="SYQ1384" s="7"/>
      <c r="SYR1384" s="7"/>
      <c r="SYS1384" s="7"/>
      <c r="SYT1384" s="7"/>
      <c r="SYU1384" s="7"/>
      <c r="SYV1384" s="7"/>
      <c r="SYW1384" s="7"/>
      <c r="SYX1384" s="7"/>
      <c r="SYY1384" s="7"/>
      <c r="SYZ1384" s="7"/>
      <c r="SZA1384" s="7"/>
      <c r="SZB1384" s="7"/>
      <c r="SZC1384" s="7"/>
      <c r="SZD1384" s="7"/>
      <c r="SZE1384" s="7"/>
      <c r="SZF1384" s="7"/>
      <c r="SZG1384" s="7"/>
      <c r="SZH1384" s="7"/>
      <c r="SZI1384" s="7"/>
      <c r="SZJ1384" s="7"/>
      <c r="SZK1384" s="7"/>
      <c r="SZL1384" s="7"/>
      <c r="SZM1384" s="7"/>
      <c r="SZN1384" s="7"/>
      <c r="SZO1384" s="7"/>
      <c r="SZP1384" s="7"/>
      <c r="SZQ1384" s="7"/>
      <c r="SZR1384" s="7"/>
      <c r="SZS1384" s="7"/>
      <c r="SZT1384" s="7"/>
      <c r="SZU1384" s="7"/>
      <c r="SZV1384" s="7"/>
      <c r="SZW1384" s="7"/>
      <c r="SZX1384" s="7"/>
      <c r="SZY1384" s="7"/>
      <c r="SZZ1384" s="7"/>
      <c r="TAA1384" s="7"/>
      <c r="TAB1384" s="7"/>
      <c r="TAC1384" s="7"/>
      <c r="TAD1384" s="7"/>
      <c r="TAE1384" s="7"/>
      <c r="TAF1384" s="7"/>
      <c r="TAG1384" s="7"/>
      <c r="TAH1384" s="7"/>
      <c r="TAI1384" s="7"/>
      <c r="TAJ1384" s="7"/>
      <c r="TAK1384" s="7"/>
      <c r="TAL1384" s="7"/>
      <c r="TAM1384" s="7"/>
      <c r="TAN1384" s="7"/>
      <c r="TAO1384" s="7"/>
      <c r="TAP1384" s="7"/>
      <c r="TAQ1384" s="7"/>
      <c r="TAR1384" s="7"/>
      <c r="TAS1384" s="7"/>
      <c r="TAT1384" s="7"/>
      <c r="TAU1384" s="7"/>
      <c r="TAV1384" s="7"/>
      <c r="TAW1384" s="7"/>
      <c r="TAX1384" s="7"/>
      <c r="TAY1384" s="7"/>
      <c r="TAZ1384" s="7"/>
      <c r="TBA1384" s="7"/>
      <c r="TBB1384" s="7"/>
      <c r="TBC1384" s="7"/>
      <c r="TBD1384" s="7"/>
      <c r="TBE1384" s="7"/>
      <c r="TBF1384" s="7"/>
      <c r="TBG1384" s="7"/>
      <c r="TBH1384" s="7"/>
      <c r="TBI1384" s="7"/>
      <c r="TBJ1384" s="7"/>
      <c r="TBK1384" s="7"/>
      <c r="TBL1384" s="7"/>
      <c r="TBM1384" s="7"/>
      <c r="TBN1384" s="7"/>
      <c r="TBO1384" s="7"/>
      <c r="TBP1384" s="7"/>
      <c r="TBQ1384" s="7"/>
      <c r="TBR1384" s="7"/>
      <c r="TBS1384" s="7"/>
      <c r="TBT1384" s="7"/>
      <c r="TBU1384" s="7"/>
      <c r="TBV1384" s="7"/>
      <c r="TBW1384" s="7"/>
      <c r="TBX1384" s="7"/>
      <c r="TBY1384" s="7"/>
      <c r="TBZ1384" s="7"/>
      <c r="TCA1384" s="7"/>
      <c r="TCB1384" s="7"/>
      <c r="TCC1384" s="7"/>
      <c r="TCD1384" s="7"/>
      <c r="TCE1384" s="7"/>
      <c r="TCF1384" s="7"/>
      <c r="TCG1384" s="7"/>
      <c r="TCH1384" s="7"/>
      <c r="TCI1384" s="7"/>
      <c r="TCJ1384" s="7"/>
      <c r="TCK1384" s="7"/>
      <c r="TCL1384" s="7"/>
      <c r="TCM1384" s="7"/>
      <c r="TCN1384" s="7"/>
      <c r="TCO1384" s="7"/>
      <c r="TCP1384" s="7"/>
      <c r="TCQ1384" s="7"/>
      <c r="TCR1384" s="7"/>
      <c r="TCS1384" s="7"/>
      <c r="TCT1384" s="7"/>
      <c r="TCU1384" s="7"/>
      <c r="TCV1384" s="7"/>
      <c r="TCW1384" s="7"/>
      <c r="TCX1384" s="7"/>
      <c r="TCY1384" s="7"/>
      <c r="TCZ1384" s="7"/>
      <c r="TDA1384" s="7"/>
      <c r="TDB1384" s="7"/>
      <c r="TDC1384" s="7"/>
      <c r="TDD1384" s="7"/>
      <c r="TDE1384" s="7"/>
      <c r="TDF1384" s="7"/>
      <c r="TDG1384" s="7"/>
      <c r="TDH1384" s="7"/>
      <c r="TDI1384" s="7"/>
      <c r="TDJ1384" s="7"/>
      <c r="TDK1384" s="7"/>
      <c r="TDL1384" s="7"/>
      <c r="TDM1384" s="7"/>
      <c r="TDN1384" s="7"/>
      <c r="TDO1384" s="7"/>
      <c r="TDP1384" s="7"/>
      <c r="TDQ1384" s="7"/>
      <c r="TDR1384" s="7"/>
      <c r="TDS1384" s="7"/>
      <c r="TDT1384" s="7"/>
      <c r="TDU1384" s="7"/>
      <c r="TDV1384" s="7"/>
      <c r="TDW1384" s="7"/>
      <c r="TDX1384" s="7"/>
      <c r="TDY1384" s="7"/>
      <c r="TDZ1384" s="7"/>
      <c r="TEA1384" s="7"/>
      <c r="TEB1384" s="7"/>
      <c r="TEC1384" s="7"/>
      <c r="TED1384" s="7"/>
      <c r="TEE1384" s="7"/>
      <c r="TEF1384" s="7"/>
      <c r="TEG1384" s="7"/>
      <c r="TEH1384" s="7"/>
      <c r="TEI1384" s="7"/>
      <c r="TEJ1384" s="7"/>
      <c r="TEK1384" s="7"/>
      <c r="TEL1384" s="7"/>
      <c r="TEM1384" s="7"/>
      <c r="TEN1384" s="7"/>
      <c r="TEO1384" s="7"/>
      <c r="TEP1384" s="7"/>
      <c r="TEQ1384" s="7"/>
      <c r="TER1384" s="7"/>
      <c r="TES1384" s="7"/>
      <c r="TET1384" s="7"/>
      <c r="TEU1384" s="7"/>
      <c r="TEV1384" s="7"/>
      <c r="TEW1384" s="7"/>
      <c r="TEX1384" s="7"/>
      <c r="TEY1384" s="7"/>
      <c r="TEZ1384" s="7"/>
      <c r="TFA1384" s="7"/>
      <c r="TFB1384" s="7"/>
      <c r="TFC1384" s="7"/>
      <c r="TFD1384" s="7"/>
      <c r="TFE1384" s="7"/>
      <c r="TFF1384" s="7"/>
      <c r="TFG1384" s="7"/>
      <c r="TFH1384" s="7"/>
      <c r="TFI1384" s="7"/>
      <c r="TFJ1384" s="7"/>
      <c r="TFK1384" s="7"/>
      <c r="TFL1384" s="7"/>
      <c r="TFM1384" s="7"/>
      <c r="TFN1384" s="7"/>
      <c r="TFO1384" s="7"/>
      <c r="TFP1384" s="7"/>
      <c r="TFQ1384" s="7"/>
      <c r="TFR1384" s="7"/>
      <c r="TFS1384" s="7"/>
      <c r="TFT1384" s="7"/>
      <c r="TFU1384" s="7"/>
      <c r="TFV1384" s="7"/>
      <c r="TFW1384" s="7"/>
      <c r="TFX1384" s="7"/>
      <c r="TFY1384" s="7"/>
      <c r="TFZ1384" s="7"/>
      <c r="TGA1384" s="7"/>
      <c r="TGB1384" s="7"/>
      <c r="TGC1384" s="7"/>
      <c r="TGD1384" s="7"/>
      <c r="TGE1384" s="7"/>
      <c r="TGF1384" s="7"/>
      <c r="TGG1384" s="7"/>
      <c r="TGH1384" s="7"/>
      <c r="TGI1384" s="7"/>
      <c r="TGJ1384" s="7"/>
      <c r="TGK1384" s="7"/>
      <c r="TGL1384" s="7"/>
      <c r="TGM1384" s="7"/>
      <c r="TGN1384" s="7"/>
      <c r="TGO1384" s="7"/>
      <c r="TGP1384" s="7"/>
      <c r="TGQ1384" s="7"/>
      <c r="TGR1384" s="7"/>
      <c r="TGS1384" s="7"/>
      <c r="TGT1384" s="7"/>
      <c r="TGU1384" s="7"/>
      <c r="TGV1384" s="7"/>
      <c r="TGW1384" s="7"/>
      <c r="TGX1384" s="7"/>
      <c r="TGY1384" s="7"/>
      <c r="TGZ1384" s="7"/>
      <c r="THA1384" s="7"/>
      <c r="THB1384" s="7"/>
      <c r="THC1384" s="7"/>
      <c r="THD1384" s="7"/>
      <c r="THE1384" s="7"/>
      <c r="THF1384" s="7"/>
      <c r="THG1384" s="7"/>
      <c r="THH1384" s="7"/>
      <c r="THI1384" s="7"/>
      <c r="THJ1384" s="7"/>
      <c r="THK1384" s="7"/>
      <c r="THL1384" s="7"/>
      <c r="THM1384" s="7"/>
      <c r="THN1384" s="7"/>
      <c r="THO1384" s="7"/>
      <c r="THP1384" s="7"/>
      <c r="THQ1384" s="7"/>
      <c r="THR1384" s="7"/>
      <c r="THS1384" s="7"/>
      <c r="THT1384" s="7"/>
      <c r="THU1384" s="7"/>
      <c r="THV1384" s="7"/>
      <c r="THW1384" s="7"/>
      <c r="THX1384" s="7"/>
      <c r="THY1384" s="7"/>
      <c r="THZ1384" s="7"/>
      <c r="TIA1384" s="7"/>
      <c r="TIB1384" s="7"/>
      <c r="TIC1384" s="7"/>
      <c r="TID1384" s="7"/>
      <c r="TIE1384" s="7"/>
      <c r="TIF1384" s="7"/>
      <c r="TIG1384" s="7"/>
      <c r="TIH1384" s="7"/>
      <c r="TII1384" s="7"/>
      <c r="TIJ1384" s="7"/>
      <c r="TIK1384" s="7"/>
      <c r="TIL1384" s="7"/>
      <c r="TIM1384" s="7"/>
      <c r="TIN1384" s="7"/>
      <c r="TIO1384" s="7"/>
      <c r="TIP1384" s="7"/>
      <c r="TIQ1384" s="7"/>
      <c r="TIR1384" s="7"/>
      <c r="TIS1384" s="7"/>
      <c r="TIT1384" s="7"/>
      <c r="TIU1384" s="7"/>
      <c r="TIV1384" s="7"/>
      <c r="TIW1384" s="7"/>
      <c r="TIX1384" s="7"/>
      <c r="TIY1384" s="7"/>
      <c r="TIZ1384" s="7"/>
      <c r="TJA1384" s="7"/>
      <c r="TJB1384" s="7"/>
      <c r="TJC1384" s="7"/>
      <c r="TJD1384" s="7"/>
      <c r="TJE1384" s="7"/>
      <c r="TJF1384" s="7"/>
      <c r="TJG1384" s="7"/>
      <c r="TJH1384" s="7"/>
      <c r="TJI1384" s="7"/>
      <c r="TJJ1384" s="7"/>
      <c r="TJK1384" s="7"/>
      <c r="TJL1384" s="7"/>
      <c r="TJM1384" s="7"/>
      <c r="TJN1384" s="7"/>
      <c r="TJO1384" s="7"/>
      <c r="TJP1384" s="7"/>
      <c r="TJQ1384" s="7"/>
      <c r="TJR1384" s="7"/>
      <c r="TJS1384" s="7"/>
      <c r="TJT1384" s="7"/>
      <c r="TJU1384" s="7"/>
      <c r="TJV1384" s="7"/>
      <c r="TJW1384" s="7"/>
      <c r="TJX1384" s="7"/>
      <c r="TJY1384" s="7"/>
      <c r="TJZ1384" s="7"/>
      <c r="TKA1384" s="7"/>
      <c r="TKB1384" s="7"/>
      <c r="TKC1384" s="7"/>
      <c r="TKD1384" s="7"/>
      <c r="TKE1384" s="7"/>
      <c r="TKF1384" s="7"/>
      <c r="TKG1384" s="7"/>
      <c r="TKH1384" s="7"/>
      <c r="TKI1384" s="7"/>
      <c r="TKJ1384" s="7"/>
      <c r="TKK1384" s="7"/>
      <c r="TKL1384" s="7"/>
      <c r="TKM1384" s="7"/>
      <c r="TKN1384" s="7"/>
      <c r="TKO1384" s="7"/>
      <c r="TKP1384" s="7"/>
      <c r="TKQ1384" s="7"/>
      <c r="TKR1384" s="7"/>
      <c r="TKS1384" s="7"/>
      <c r="TKT1384" s="7"/>
      <c r="TKU1384" s="7"/>
      <c r="TKV1384" s="7"/>
      <c r="TKW1384" s="7"/>
      <c r="TKX1384" s="7"/>
      <c r="TKY1384" s="7"/>
      <c r="TKZ1384" s="7"/>
      <c r="TLA1384" s="7"/>
      <c r="TLB1384" s="7"/>
      <c r="TLC1384" s="7"/>
      <c r="TLD1384" s="7"/>
      <c r="TLE1384" s="7"/>
      <c r="TLF1384" s="7"/>
      <c r="TLG1384" s="7"/>
      <c r="TLH1384" s="7"/>
      <c r="TLI1384" s="7"/>
      <c r="TLJ1384" s="7"/>
      <c r="TLK1384" s="7"/>
      <c r="TLL1384" s="7"/>
      <c r="TLM1384" s="7"/>
      <c r="TLN1384" s="7"/>
      <c r="TLO1384" s="7"/>
      <c r="TLP1384" s="7"/>
      <c r="TLQ1384" s="7"/>
      <c r="TLR1384" s="7"/>
      <c r="TLS1384" s="7"/>
      <c r="TLT1384" s="7"/>
      <c r="TLU1384" s="7"/>
      <c r="TLV1384" s="7"/>
      <c r="TLW1384" s="7"/>
      <c r="TLX1384" s="7"/>
      <c r="TLY1384" s="7"/>
      <c r="TLZ1384" s="7"/>
      <c r="TMA1384" s="7"/>
      <c r="TMB1384" s="7"/>
      <c r="TMC1384" s="7"/>
      <c r="TMD1384" s="7"/>
      <c r="TME1384" s="7"/>
      <c r="TMF1384" s="7"/>
      <c r="TMG1384" s="7"/>
      <c r="TMH1384" s="7"/>
      <c r="TMI1384" s="7"/>
      <c r="TMJ1384" s="7"/>
      <c r="TMK1384" s="7"/>
      <c r="TML1384" s="7"/>
      <c r="TMM1384" s="7"/>
      <c r="TMN1384" s="7"/>
      <c r="TMO1384" s="7"/>
      <c r="TMP1384" s="7"/>
      <c r="TMQ1384" s="7"/>
      <c r="TMR1384" s="7"/>
      <c r="TMS1384" s="7"/>
      <c r="TMT1384" s="7"/>
      <c r="TMU1384" s="7"/>
      <c r="TMV1384" s="7"/>
      <c r="TMW1384" s="7"/>
      <c r="TMX1384" s="7"/>
      <c r="TMY1384" s="7"/>
      <c r="TMZ1384" s="7"/>
      <c r="TNA1384" s="7"/>
      <c r="TNB1384" s="7"/>
      <c r="TNC1384" s="7"/>
      <c r="TND1384" s="7"/>
      <c r="TNE1384" s="7"/>
      <c r="TNF1384" s="7"/>
      <c r="TNG1384" s="7"/>
      <c r="TNH1384" s="7"/>
      <c r="TNI1384" s="7"/>
      <c r="TNJ1384" s="7"/>
      <c r="TNK1384" s="7"/>
      <c r="TNL1384" s="7"/>
      <c r="TNM1384" s="7"/>
      <c r="TNN1384" s="7"/>
      <c r="TNO1384" s="7"/>
      <c r="TNP1384" s="7"/>
      <c r="TNQ1384" s="7"/>
      <c r="TNR1384" s="7"/>
      <c r="TNS1384" s="7"/>
      <c r="TNT1384" s="7"/>
      <c r="TNU1384" s="7"/>
      <c r="TNV1384" s="7"/>
      <c r="TNW1384" s="7"/>
      <c r="TNX1384" s="7"/>
      <c r="TNY1384" s="7"/>
      <c r="TNZ1384" s="7"/>
      <c r="TOA1384" s="7"/>
      <c r="TOB1384" s="7"/>
      <c r="TOC1384" s="7"/>
      <c r="TOD1384" s="7"/>
      <c r="TOE1384" s="7"/>
      <c r="TOF1384" s="7"/>
      <c r="TOG1384" s="7"/>
      <c r="TOH1384" s="7"/>
      <c r="TOI1384" s="7"/>
      <c r="TOJ1384" s="7"/>
      <c r="TOK1384" s="7"/>
      <c r="TOL1384" s="7"/>
      <c r="TOM1384" s="7"/>
      <c r="TON1384" s="7"/>
      <c r="TOO1384" s="7"/>
      <c r="TOP1384" s="7"/>
      <c r="TOQ1384" s="7"/>
      <c r="TOR1384" s="7"/>
      <c r="TOS1384" s="7"/>
      <c r="TOT1384" s="7"/>
      <c r="TOU1384" s="7"/>
      <c r="TOV1384" s="7"/>
      <c r="TOW1384" s="7"/>
      <c r="TOX1384" s="7"/>
      <c r="TOY1384" s="7"/>
      <c r="TOZ1384" s="7"/>
      <c r="TPA1384" s="7"/>
      <c r="TPB1384" s="7"/>
      <c r="TPC1384" s="7"/>
      <c r="TPD1384" s="7"/>
      <c r="TPE1384" s="7"/>
      <c r="TPF1384" s="7"/>
      <c r="TPG1384" s="7"/>
      <c r="TPH1384" s="7"/>
      <c r="TPI1384" s="7"/>
      <c r="TPJ1384" s="7"/>
      <c r="TPK1384" s="7"/>
      <c r="TPL1384" s="7"/>
      <c r="TPM1384" s="7"/>
      <c r="TPN1384" s="7"/>
      <c r="TPO1384" s="7"/>
      <c r="TPP1384" s="7"/>
      <c r="TPQ1384" s="7"/>
      <c r="TPR1384" s="7"/>
      <c r="TPS1384" s="7"/>
      <c r="TPT1384" s="7"/>
      <c r="TPU1384" s="7"/>
      <c r="TPV1384" s="7"/>
      <c r="TPW1384" s="7"/>
      <c r="TPX1384" s="7"/>
      <c r="TPY1384" s="7"/>
      <c r="TPZ1384" s="7"/>
      <c r="TQA1384" s="7"/>
      <c r="TQB1384" s="7"/>
      <c r="TQC1384" s="7"/>
      <c r="TQD1384" s="7"/>
      <c r="TQE1384" s="7"/>
      <c r="TQF1384" s="7"/>
      <c r="TQG1384" s="7"/>
      <c r="TQH1384" s="7"/>
      <c r="TQI1384" s="7"/>
      <c r="TQJ1384" s="7"/>
      <c r="TQK1384" s="7"/>
      <c r="TQL1384" s="7"/>
      <c r="TQM1384" s="7"/>
      <c r="TQN1384" s="7"/>
      <c r="TQO1384" s="7"/>
      <c r="TQP1384" s="7"/>
      <c r="TQQ1384" s="7"/>
      <c r="TQR1384" s="7"/>
      <c r="TQS1384" s="7"/>
      <c r="TQT1384" s="7"/>
      <c r="TQU1384" s="7"/>
      <c r="TQV1384" s="7"/>
      <c r="TQW1384" s="7"/>
      <c r="TQX1384" s="7"/>
      <c r="TQY1384" s="7"/>
      <c r="TQZ1384" s="7"/>
      <c r="TRA1384" s="7"/>
      <c r="TRB1384" s="7"/>
      <c r="TRC1384" s="7"/>
      <c r="TRD1384" s="7"/>
      <c r="TRE1384" s="7"/>
      <c r="TRF1384" s="7"/>
      <c r="TRG1384" s="7"/>
      <c r="TRH1384" s="7"/>
      <c r="TRI1384" s="7"/>
      <c r="TRJ1384" s="7"/>
      <c r="TRK1384" s="7"/>
      <c r="TRL1384" s="7"/>
      <c r="TRM1384" s="7"/>
      <c r="TRN1384" s="7"/>
      <c r="TRO1384" s="7"/>
      <c r="TRP1384" s="7"/>
      <c r="TRQ1384" s="7"/>
      <c r="TRR1384" s="7"/>
      <c r="TRS1384" s="7"/>
      <c r="TRT1384" s="7"/>
      <c r="TRU1384" s="7"/>
      <c r="TRV1384" s="7"/>
      <c r="TRW1384" s="7"/>
      <c r="TRX1384" s="7"/>
      <c r="TRY1384" s="7"/>
      <c r="TRZ1384" s="7"/>
      <c r="TSA1384" s="7"/>
      <c r="TSB1384" s="7"/>
      <c r="TSC1384" s="7"/>
      <c r="TSD1384" s="7"/>
      <c r="TSE1384" s="7"/>
      <c r="TSF1384" s="7"/>
      <c r="TSG1384" s="7"/>
      <c r="TSH1384" s="7"/>
      <c r="TSI1384" s="7"/>
      <c r="TSJ1384" s="7"/>
      <c r="TSK1384" s="7"/>
      <c r="TSL1384" s="7"/>
      <c r="TSM1384" s="7"/>
      <c r="TSN1384" s="7"/>
      <c r="TSO1384" s="7"/>
      <c r="TSP1384" s="7"/>
      <c r="TSQ1384" s="7"/>
      <c r="TSR1384" s="7"/>
      <c r="TSS1384" s="7"/>
      <c r="TST1384" s="7"/>
      <c r="TSU1384" s="7"/>
      <c r="TSV1384" s="7"/>
      <c r="TSW1384" s="7"/>
      <c r="TSX1384" s="7"/>
      <c r="TSY1384" s="7"/>
      <c r="TSZ1384" s="7"/>
      <c r="TTA1384" s="7"/>
      <c r="TTB1384" s="7"/>
      <c r="TTC1384" s="7"/>
      <c r="TTD1384" s="7"/>
      <c r="TTE1384" s="7"/>
      <c r="TTF1384" s="7"/>
      <c r="TTG1384" s="7"/>
      <c r="TTH1384" s="7"/>
      <c r="TTI1384" s="7"/>
      <c r="TTJ1384" s="7"/>
      <c r="TTK1384" s="7"/>
      <c r="TTL1384" s="7"/>
      <c r="TTM1384" s="7"/>
      <c r="TTN1384" s="7"/>
      <c r="TTO1384" s="7"/>
      <c r="TTP1384" s="7"/>
      <c r="TTQ1384" s="7"/>
      <c r="TTR1384" s="7"/>
      <c r="TTS1384" s="7"/>
      <c r="TTT1384" s="7"/>
      <c r="TTU1384" s="7"/>
      <c r="TTV1384" s="7"/>
      <c r="TTW1384" s="7"/>
      <c r="TTX1384" s="7"/>
      <c r="TTY1384" s="7"/>
      <c r="TTZ1384" s="7"/>
      <c r="TUA1384" s="7"/>
      <c r="TUB1384" s="7"/>
      <c r="TUC1384" s="7"/>
      <c r="TUD1384" s="7"/>
      <c r="TUE1384" s="7"/>
      <c r="TUF1384" s="7"/>
      <c r="TUG1384" s="7"/>
      <c r="TUH1384" s="7"/>
      <c r="TUI1384" s="7"/>
      <c r="TUJ1384" s="7"/>
      <c r="TUK1384" s="7"/>
      <c r="TUL1384" s="7"/>
      <c r="TUM1384" s="7"/>
      <c r="TUN1384" s="7"/>
      <c r="TUO1384" s="7"/>
      <c r="TUP1384" s="7"/>
      <c r="TUQ1384" s="7"/>
      <c r="TUR1384" s="7"/>
      <c r="TUS1384" s="7"/>
      <c r="TUT1384" s="7"/>
      <c r="TUU1384" s="7"/>
      <c r="TUV1384" s="7"/>
      <c r="TUW1384" s="7"/>
      <c r="TUX1384" s="7"/>
      <c r="TUY1384" s="7"/>
      <c r="TUZ1384" s="7"/>
      <c r="TVA1384" s="7"/>
      <c r="TVB1384" s="7"/>
      <c r="TVC1384" s="7"/>
      <c r="TVD1384" s="7"/>
      <c r="TVE1384" s="7"/>
      <c r="TVF1384" s="7"/>
      <c r="TVG1384" s="7"/>
      <c r="TVH1384" s="7"/>
      <c r="TVI1384" s="7"/>
      <c r="TVJ1384" s="7"/>
      <c r="TVK1384" s="7"/>
      <c r="TVL1384" s="7"/>
      <c r="TVM1384" s="7"/>
      <c r="TVN1384" s="7"/>
      <c r="TVO1384" s="7"/>
      <c r="TVP1384" s="7"/>
      <c r="TVQ1384" s="7"/>
      <c r="TVR1384" s="7"/>
      <c r="TVS1384" s="7"/>
      <c r="TVT1384" s="7"/>
      <c r="TVU1384" s="7"/>
      <c r="TVV1384" s="7"/>
      <c r="TVW1384" s="7"/>
      <c r="TVX1384" s="7"/>
      <c r="TVY1384" s="7"/>
      <c r="TVZ1384" s="7"/>
      <c r="TWA1384" s="7"/>
      <c r="TWB1384" s="7"/>
      <c r="TWC1384" s="7"/>
      <c r="TWD1384" s="7"/>
      <c r="TWE1384" s="7"/>
      <c r="TWF1384" s="7"/>
      <c r="TWG1384" s="7"/>
      <c r="TWH1384" s="7"/>
      <c r="TWI1384" s="7"/>
      <c r="TWJ1384" s="7"/>
      <c r="TWK1384" s="7"/>
      <c r="TWL1384" s="7"/>
      <c r="TWM1384" s="7"/>
      <c r="TWN1384" s="7"/>
      <c r="TWO1384" s="7"/>
      <c r="TWP1384" s="7"/>
      <c r="TWQ1384" s="7"/>
      <c r="TWR1384" s="7"/>
      <c r="TWS1384" s="7"/>
      <c r="TWT1384" s="7"/>
      <c r="TWU1384" s="7"/>
      <c r="TWV1384" s="7"/>
      <c r="TWW1384" s="7"/>
      <c r="TWX1384" s="7"/>
      <c r="TWY1384" s="7"/>
      <c r="TWZ1384" s="7"/>
      <c r="TXA1384" s="7"/>
      <c r="TXB1384" s="7"/>
      <c r="TXC1384" s="7"/>
      <c r="TXD1384" s="7"/>
      <c r="TXE1384" s="7"/>
      <c r="TXF1384" s="7"/>
      <c r="TXG1384" s="7"/>
      <c r="TXH1384" s="7"/>
      <c r="TXI1384" s="7"/>
      <c r="TXJ1384" s="7"/>
      <c r="TXK1384" s="7"/>
      <c r="TXL1384" s="7"/>
      <c r="TXM1384" s="7"/>
      <c r="TXN1384" s="7"/>
      <c r="TXO1384" s="7"/>
      <c r="TXP1384" s="7"/>
      <c r="TXQ1384" s="7"/>
      <c r="TXR1384" s="7"/>
      <c r="TXS1384" s="7"/>
      <c r="TXT1384" s="7"/>
      <c r="TXU1384" s="7"/>
      <c r="TXV1384" s="7"/>
      <c r="TXW1384" s="7"/>
      <c r="TXX1384" s="7"/>
      <c r="TXY1384" s="7"/>
      <c r="TXZ1384" s="7"/>
      <c r="TYA1384" s="7"/>
      <c r="TYB1384" s="7"/>
      <c r="TYC1384" s="7"/>
      <c r="TYD1384" s="7"/>
      <c r="TYE1384" s="7"/>
      <c r="TYF1384" s="7"/>
      <c r="TYG1384" s="7"/>
      <c r="TYH1384" s="7"/>
      <c r="TYI1384" s="7"/>
      <c r="TYJ1384" s="7"/>
      <c r="TYK1384" s="7"/>
      <c r="TYL1384" s="7"/>
      <c r="TYM1384" s="7"/>
      <c r="TYN1384" s="7"/>
      <c r="TYO1384" s="7"/>
      <c r="TYP1384" s="7"/>
      <c r="TYQ1384" s="7"/>
      <c r="TYR1384" s="7"/>
      <c r="TYS1384" s="7"/>
      <c r="TYT1384" s="7"/>
      <c r="TYU1384" s="7"/>
      <c r="TYV1384" s="7"/>
      <c r="TYW1384" s="7"/>
      <c r="TYX1384" s="7"/>
      <c r="TYY1384" s="7"/>
      <c r="TYZ1384" s="7"/>
      <c r="TZA1384" s="7"/>
      <c r="TZB1384" s="7"/>
      <c r="TZC1384" s="7"/>
      <c r="TZD1384" s="7"/>
      <c r="TZE1384" s="7"/>
      <c r="TZF1384" s="7"/>
      <c r="TZG1384" s="7"/>
      <c r="TZH1384" s="7"/>
      <c r="TZI1384" s="7"/>
      <c r="TZJ1384" s="7"/>
      <c r="TZK1384" s="7"/>
      <c r="TZL1384" s="7"/>
      <c r="TZM1384" s="7"/>
      <c r="TZN1384" s="7"/>
      <c r="TZO1384" s="7"/>
      <c r="TZP1384" s="7"/>
      <c r="TZQ1384" s="7"/>
      <c r="TZR1384" s="7"/>
      <c r="TZS1384" s="7"/>
      <c r="TZT1384" s="7"/>
      <c r="TZU1384" s="7"/>
      <c r="TZV1384" s="7"/>
      <c r="TZW1384" s="7"/>
      <c r="TZX1384" s="7"/>
      <c r="TZY1384" s="7"/>
      <c r="TZZ1384" s="7"/>
      <c r="UAA1384" s="7"/>
      <c r="UAB1384" s="7"/>
      <c r="UAC1384" s="7"/>
      <c r="UAD1384" s="7"/>
      <c r="UAE1384" s="7"/>
      <c r="UAF1384" s="7"/>
      <c r="UAG1384" s="7"/>
      <c r="UAH1384" s="7"/>
      <c r="UAI1384" s="7"/>
      <c r="UAJ1384" s="7"/>
      <c r="UAK1384" s="7"/>
      <c r="UAL1384" s="7"/>
      <c r="UAM1384" s="7"/>
      <c r="UAN1384" s="7"/>
      <c r="UAO1384" s="7"/>
      <c r="UAP1384" s="7"/>
      <c r="UAQ1384" s="7"/>
      <c r="UAR1384" s="7"/>
      <c r="UAS1384" s="7"/>
      <c r="UAT1384" s="7"/>
      <c r="UAU1384" s="7"/>
      <c r="UAV1384" s="7"/>
      <c r="UAW1384" s="7"/>
      <c r="UAX1384" s="7"/>
      <c r="UAY1384" s="7"/>
      <c r="UAZ1384" s="7"/>
      <c r="UBA1384" s="7"/>
      <c r="UBB1384" s="7"/>
      <c r="UBC1384" s="7"/>
      <c r="UBD1384" s="7"/>
      <c r="UBE1384" s="7"/>
      <c r="UBF1384" s="7"/>
      <c r="UBG1384" s="7"/>
      <c r="UBH1384" s="7"/>
      <c r="UBI1384" s="7"/>
      <c r="UBJ1384" s="7"/>
      <c r="UBK1384" s="7"/>
      <c r="UBL1384" s="7"/>
      <c r="UBM1384" s="7"/>
      <c r="UBN1384" s="7"/>
      <c r="UBO1384" s="7"/>
      <c r="UBP1384" s="7"/>
      <c r="UBQ1384" s="7"/>
      <c r="UBR1384" s="7"/>
      <c r="UBS1384" s="7"/>
      <c r="UBT1384" s="7"/>
      <c r="UBU1384" s="7"/>
      <c r="UBV1384" s="7"/>
      <c r="UBW1384" s="7"/>
      <c r="UBX1384" s="7"/>
      <c r="UBY1384" s="7"/>
      <c r="UBZ1384" s="7"/>
      <c r="UCA1384" s="7"/>
      <c r="UCB1384" s="7"/>
      <c r="UCC1384" s="7"/>
      <c r="UCD1384" s="7"/>
      <c r="UCE1384" s="7"/>
      <c r="UCF1384" s="7"/>
      <c r="UCG1384" s="7"/>
      <c r="UCH1384" s="7"/>
      <c r="UCI1384" s="7"/>
      <c r="UCJ1384" s="7"/>
      <c r="UCK1384" s="7"/>
      <c r="UCL1384" s="7"/>
      <c r="UCM1384" s="7"/>
      <c r="UCN1384" s="7"/>
      <c r="UCO1384" s="7"/>
      <c r="UCP1384" s="7"/>
      <c r="UCQ1384" s="7"/>
      <c r="UCR1384" s="7"/>
      <c r="UCS1384" s="7"/>
      <c r="UCT1384" s="7"/>
      <c r="UCU1384" s="7"/>
      <c r="UCV1384" s="7"/>
      <c r="UCW1384" s="7"/>
      <c r="UCX1384" s="7"/>
      <c r="UCY1384" s="7"/>
      <c r="UCZ1384" s="7"/>
      <c r="UDA1384" s="7"/>
      <c r="UDB1384" s="7"/>
      <c r="UDC1384" s="7"/>
      <c r="UDD1384" s="7"/>
      <c r="UDE1384" s="7"/>
      <c r="UDF1384" s="7"/>
      <c r="UDG1384" s="7"/>
      <c r="UDH1384" s="7"/>
      <c r="UDI1384" s="7"/>
      <c r="UDJ1384" s="7"/>
      <c r="UDK1384" s="7"/>
      <c r="UDL1384" s="7"/>
      <c r="UDM1384" s="7"/>
      <c r="UDN1384" s="7"/>
      <c r="UDO1384" s="7"/>
      <c r="UDP1384" s="7"/>
      <c r="UDQ1384" s="7"/>
      <c r="UDR1384" s="7"/>
      <c r="UDS1384" s="7"/>
      <c r="UDT1384" s="7"/>
      <c r="UDU1384" s="7"/>
      <c r="UDV1384" s="7"/>
      <c r="UDW1384" s="7"/>
      <c r="UDX1384" s="7"/>
      <c r="UDY1384" s="7"/>
      <c r="UDZ1384" s="7"/>
      <c r="UEA1384" s="7"/>
      <c r="UEB1384" s="7"/>
      <c r="UEC1384" s="7"/>
      <c r="UED1384" s="7"/>
      <c r="UEE1384" s="7"/>
      <c r="UEF1384" s="7"/>
      <c r="UEG1384" s="7"/>
      <c r="UEH1384" s="7"/>
      <c r="UEI1384" s="7"/>
      <c r="UEJ1384" s="7"/>
      <c r="UEK1384" s="7"/>
      <c r="UEL1384" s="7"/>
      <c r="UEM1384" s="7"/>
      <c r="UEN1384" s="7"/>
      <c r="UEO1384" s="7"/>
      <c r="UEP1384" s="7"/>
      <c r="UEQ1384" s="7"/>
      <c r="UER1384" s="7"/>
      <c r="UES1384" s="7"/>
      <c r="UET1384" s="7"/>
      <c r="UEU1384" s="7"/>
      <c r="UEV1384" s="7"/>
      <c r="UEW1384" s="7"/>
      <c r="UEX1384" s="7"/>
      <c r="UEY1384" s="7"/>
      <c r="UEZ1384" s="7"/>
      <c r="UFA1384" s="7"/>
      <c r="UFB1384" s="7"/>
      <c r="UFC1384" s="7"/>
      <c r="UFD1384" s="7"/>
      <c r="UFE1384" s="7"/>
      <c r="UFF1384" s="7"/>
      <c r="UFG1384" s="7"/>
      <c r="UFH1384" s="7"/>
      <c r="UFI1384" s="7"/>
      <c r="UFJ1384" s="7"/>
      <c r="UFK1384" s="7"/>
      <c r="UFL1384" s="7"/>
      <c r="UFM1384" s="7"/>
      <c r="UFN1384" s="7"/>
      <c r="UFO1384" s="7"/>
      <c r="UFP1384" s="7"/>
      <c r="UFQ1384" s="7"/>
      <c r="UFR1384" s="7"/>
      <c r="UFS1384" s="7"/>
      <c r="UFT1384" s="7"/>
      <c r="UFU1384" s="7"/>
      <c r="UFV1384" s="7"/>
      <c r="UFW1384" s="7"/>
      <c r="UFX1384" s="7"/>
      <c r="UFY1384" s="7"/>
      <c r="UFZ1384" s="7"/>
      <c r="UGA1384" s="7"/>
      <c r="UGB1384" s="7"/>
      <c r="UGC1384" s="7"/>
      <c r="UGD1384" s="7"/>
      <c r="UGE1384" s="7"/>
      <c r="UGF1384" s="7"/>
      <c r="UGG1384" s="7"/>
      <c r="UGH1384" s="7"/>
      <c r="UGI1384" s="7"/>
      <c r="UGJ1384" s="7"/>
      <c r="UGK1384" s="7"/>
      <c r="UGL1384" s="7"/>
      <c r="UGM1384" s="7"/>
      <c r="UGN1384" s="7"/>
      <c r="UGO1384" s="7"/>
      <c r="UGP1384" s="7"/>
      <c r="UGQ1384" s="7"/>
      <c r="UGR1384" s="7"/>
      <c r="UGS1384" s="7"/>
      <c r="UGT1384" s="7"/>
      <c r="UGU1384" s="7"/>
      <c r="UGV1384" s="7"/>
      <c r="UGW1384" s="7"/>
      <c r="UGX1384" s="7"/>
      <c r="UGY1384" s="7"/>
      <c r="UGZ1384" s="7"/>
      <c r="UHA1384" s="7"/>
      <c r="UHB1384" s="7"/>
      <c r="UHC1384" s="7"/>
      <c r="UHD1384" s="7"/>
      <c r="UHE1384" s="7"/>
      <c r="UHF1384" s="7"/>
      <c r="UHG1384" s="7"/>
      <c r="UHH1384" s="7"/>
      <c r="UHI1384" s="7"/>
      <c r="UHJ1384" s="7"/>
      <c r="UHK1384" s="7"/>
      <c r="UHL1384" s="7"/>
      <c r="UHM1384" s="7"/>
      <c r="UHN1384" s="7"/>
      <c r="UHO1384" s="7"/>
      <c r="UHP1384" s="7"/>
      <c r="UHQ1384" s="7"/>
      <c r="UHR1384" s="7"/>
      <c r="UHS1384" s="7"/>
      <c r="UHT1384" s="7"/>
      <c r="UHU1384" s="7"/>
      <c r="UHV1384" s="7"/>
      <c r="UHW1384" s="7"/>
      <c r="UHX1384" s="7"/>
      <c r="UHY1384" s="7"/>
      <c r="UHZ1384" s="7"/>
      <c r="UIA1384" s="7"/>
      <c r="UIB1384" s="7"/>
      <c r="UIC1384" s="7"/>
      <c r="UID1384" s="7"/>
      <c r="UIE1384" s="7"/>
      <c r="UIF1384" s="7"/>
      <c r="UIG1384" s="7"/>
      <c r="UIH1384" s="7"/>
      <c r="UII1384" s="7"/>
      <c r="UIJ1384" s="7"/>
      <c r="UIK1384" s="7"/>
      <c r="UIL1384" s="7"/>
      <c r="UIM1384" s="7"/>
      <c r="UIN1384" s="7"/>
      <c r="UIO1384" s="7"/>
      <c r="UIP1384" s="7"/>
      <c r="UIQ1384" s="7"/>
      <c r="UIR1384" s="7"/>
      <c r="UIS1384" s="7"/>
      <c r="UIT1384" s="7"/>
      <c r="UIU1384" s="7"/>
      <c r="UIV1384" s="7"/>
      <c r="UIW1384" s="7"/>
      <c r="UIX1384" s="7"/>
      <c r="UIY1384" s="7"/>
      <c r="UIZ1384" s="7"/>
      <c r="UJA1384" s="7"/>
      <c r="UJB1384" s="7"/>
      <c r="UJC1384" s="7"/>
      <c r="UJD1384" s="7"/>
      <c r="UJE1384" s="7"/>
      <c r="UJF1384" s="7"/>
      <c r="UJG1384" s="7"/>
      <c r="UJH1384" s="7"/>
      <c r="UJI1384" s="7"/>
      <c r="UJJ1384" s="7"/>
      <c r="UJK1384" s="7"/>
      <c r="UJL1384" s="7"/>
      <c r="UJM1384" s="7"/>
      <c r="UJN1384" s="7"/>
      <c r="UJO1384" s="7"/>
      <c r="UJP1384" s="7"/>
      <c r="UJQ1384" s="7"/>
      <c r="UJR1384" s="7"/>
      <c r="UJS1384" s="7"/>
      <c r="UJT1384" s="7"/>
      <c r="UJU1384" s="7"/>
      <c r="UJV1384" s="7"/>
      <c r="UJW1384" s="7"/>
      <c r="UJX1384" s="7"/>
      <c r="UJY1384" s="7"/>
      <c r="UJZ1384" s="7"/>
      <c r="UKA1384" s="7"/>
      <c r="UKB1384" s="7"/>
      <c r="UKC1384" s="7"/>
      <c r="UKD1384" s="7"/>
      <c r="UKE1384" s="7"/>
      <c r="UKF1384" s="7"/>
      <c r="UKG1384" s="7"/>
      <c r="UKH1384" s="7"/>
      <c r="UKI1384" s="7"/>
      <c r="UKJ1384" s="7"/>
      <c r="UKK1384" s="7"/>
      <c r="UKL1384" s="7"/>
      <c r="UKM1384" s="7"/>
      <c r="UKN1384" s="7"/>
      <c r="UKO1384" s="7"/>
      <c r="UKP1384" s="7"/>
      <c r="UKQ1384" s="7"/>
      <c r="UKR1384" s="7"/>
      <c r="UKS1384" s="7"/>
      <c r="UKT1384" s="7"/>
      <c r="UKU1384" s="7"/>
      <c r="UKV1384" s="7"/>
      <c r="UKW1384" s="7"/>
      <c r="UKX1384" s="7"/>
      <c r="UKY1384" s="7"/>
      <c r="UKZ1384" s="7"/>
      <c r="ULA1384" s="7"/>
      <c r="ULB1384" s="7"/>
      <c r="ULC1384" s="7"/>
      <c r="ULD1384" s="7"/>
      <c r="ULE1384" s="7"/>
      <c r="ULF1384" s="7"/>
      <c r="ULG1384" s="7"/>
      <c r="ULH1384" s="7"/>
      <c r="ULI1384" s="7"/>
      <c r="ULJ1384" s="7"/>
      <c r="ULK1384" s="7"/>
      <c r="ULL1384" s="7"/>
      <c r="ULM1384" s="7"/>
      <c r="ULN1384" s="7"/>
      <c r="ULO1384" s="7"/>
      <c r="ULP1384" s="7"/>
      <c r="ULQ1384" s="7"/>
      <c r="ULR1384" s="7"/>
      <c r="ULS1384" s="7"/>
      <c r="ULT1384" s="7"/>
      <c r="ULU1384" s="7"/>
      <c r="ULV1384" s="7"/>
      <c r="ULW1384" s="7"/>
      <c r="ULX1384" s="7"/>
      <c r="ULY1384" s="7"/>
      <c r="ULZ1384" s="7"/>
      <c r="UMA1384" s="7"/>
      <c r="UMB1384" s="7"/>
      <c r="UMC1384" s="7"/>
      <c r="UMD1384" s="7"/>
      <c r="UME1384" s="7"/>
      <c r="UMF1384" s="7"/>
      <c r="UMG1384" s="7"/>
      <c r="UMH1384" s="7"/>
      <c r="UMI1384" s="7"/>
      <c r="UMJ1384" s="7"/>
      <c r="UMK1384" s="7"/>
      <c r="UML1384" s="7"/>
      <c r="UMM1384" s="7"/>
      <c r="UMN1384" s="7"/>
      <c r="UMO1384" s="7"/>
      <c r="UMP1384" s="7"/>
      <c r="UMQ1384" s="7"/>
      <c r="UMR1384" s="7"/>
      <c r="UMS1384" s="7"/>
      <c r="UMT1384" s="7"/>
      <c r="UMU1384" s="7"/>
      <c r="UMV1384" s="7"/>
      <c r="UMW1384" s="7"/>
      <c r="UMX1384" s="7"/>
      <c r="UMY1384" s="7"/>
      <c r="UMZ1384" s="7"/>
      <c r="UNA1384" s="7"/>
      <c r="UNB1384" s="7"/>
      <c r="UNC1384" s="7"/>
      <c r="UND1384" s="7"/>
      <c r="UNE1384" s="7"/>
      <c r="UNF1384" s="7"/>
      <c r="UNG1384" s="7"/>
      <c r="UNH1384" s="7"/>
      <c r="UNI1384" s="7"/>
      <c r="UNJ1384" s="7"/>
      <c r="UNK1384" s="7"/>
      <c r="UNL1384" s="7"/>
      <c r="UNM1384" s="7"/>
      <c r="UNN1384" s="7"/>
      <c r="UNO1384" s="7"/>
      <c r="UNP1384" s="7"/>
      <c r="UNQ1384" s="7"/>
      <c r="UNR1384" s="7"/>
      <c r="UNS1384" s="7"/>
      <c r="UNT1384" s="7"/>
      <c r="UNU1384" s="7"/>
      <c r="UNV1384" s="7"/>
      <c r="UNW1384" s="7"/>
      <c r="UNX1384" s="7"/>
      <c r="UNY1384" s="7"/>
      <c r="UNZ1384" s="7"/>
      <c r="UOA1384" s="7"/>
      <c r="UOB1384" s="7"/>
      <c r="UOC1384" s="7"/>
      <c r="UOD1384" s="7"/>
      <c r="UOE1384" s="7"/>
      <c r="UOF1384" s="7"/>
      <c r="UOG1384" s="7"/>
      <c r="UOH1384" s="7"/>
      <c r="UOI1384" s="7"/>
      <c r="UOJ1384" s="7"/>
      <c r="UOK1384" s="7"/>
      <c r="UOL1384" s="7"/>
      <c r="UOM1384" s="7"/>
      <c r="UON1384" s="7"/>
      <c r="UOO1384" s="7"/>
      <c r="UOP1384" s="7"/>
      <c r="UOQ1384" s="7"/>
      <c r="UOR1384" s="7"/>
      <c r="UOS1384" s="7"/>
      <c r="UOT1384" s="7"/>
      <c r="UOU1384" s="7"/>
      <c r="UOV1384" s="7"/>
      <c r="UOW1384" s="7"/>
      <c r="UOX1384" s="7"/>
      <c r="UOY1384" s="7"/>
      <c r="UOZ1384" s="7"/>
      <c r="UPA1384" s="7"/>
      <c r="UPB1384" s="7"/>
      <c r="UPC1384" s="7"/>
      <c r="UPD1384" s="7"/>
      <c r="UPE1384" s="7"/>
      <c r="UPF1384" s="7"/>
      <c r="UPG1384" s="7"/>
      <c r="UPH1384" s="7"/>
      <c r="UPI1384" s="7"/>
      <c r="UPJ1384" s="7"/>
      <c r="UPK1384" s="7"/>
      <c r="UPL1384" s="7"/>
      <c r="UPM1384" s="7"/>
      <c r="UPN1384" s="7"/>
      <c r="UPO1384" s="7"/>
      <c r="UPP1384" s="7"/>
      <c r="UPQ1384" s="7"/>
      <c r="UPR1384" s="7"/>
      <c r="UPS1384" s="7"/>
      <c r="UPT1384" s="7"/>
      <c r="UPU1384" s="7"/>
      <c r="UPV1384" s="7"/>
      <c r="UPW1384" s="7"/>
      <c r="UPX1384" s="7"/>
      <c r="UPY1384" s="7"/>
      <c r="UPZ1384" s="7"/>
      <c r="UQA1384" s="7"/>
      <c r="UQB1384" s="7"/>
      <c r="UQC1384" s="7"/>
      <c r="UQD1384" s="7"/>
      <c r="UQE1384" s="7"/>
      <c r="UQF1384" s="7"/>
      <c r="UQG1384" s="7"/>
      <c r="UQH1384" s="7"/>
      <c r="UQI1384" s="7"/>
      <c r="UQJ1384" s="7"/>
      <c r="UQK1384" s="7"/>
      <c r="UQL1384" s="7"/>
      <c r="UQM1384" s="7"/>
      <c r="UQN1384" s="7"/>
      <c r="UQO1384" s="7"/>
      <c r="UQP1384" s="7"/>
      <c r="UQQ1384" s="7"/>
      <c r="UQR1384" s="7"/>
      <c r="UQS1384" s="7"/>
      <c r="UQT1384" s="7"/>
      <c r="UQU1384" s="7"/>
      <c r="UQV1384" s="7"/>
      <c r="UQW1384" s="7"/>
      <c r="UQX1384" s="7"/>
      <c r="UQY1384" s="7"/>
      <c r="UQZ1384" s="7"/>
      <c r="URA1384" s="7"/>
      <c r="URB1384" s="7"/>
      <c r="URC1384" s="7"/>
      <c r="URD1384" s="7"/>
      <c r="URE1384" s="7"/>
      <c r="URF1384" s="7"/>
      <c r="URG1384" s="7"/>
      <c r="URH1384" s="7"/>
      <c r="URI1384" s="7"/>
      <c r="URJ1384" s="7"/>
      <c r="URK1384" s="7"/>
      <c r="URL1384" s="7"/>
      <c r="URM1384" s="7"/>
      <c r="URN1384" s="7"/>
      <c r="URO1384" s="7"/>
      <c r="URP1384" s="7"/>
      <c r="URQ1384" s="7"/>
      <c r="URR1384" s="7"/>
      <c r="URS1384" s="7"/>
      <c r="URT1384" s="7"/>
      <c r="URU1384" s="7"/>
      <c r="URV1384" s="7"/>
      <c r="URW1384" s="7"/>
      <c r="URX1384" s="7"/>
      <c r="URY1384" s="7"/>
      <c r="URZ1384" s="7"/>
      <c r="USA1384" s="7"/>
      <c r="USB1384" s="7"/>
      <c r="USC1384" s="7"/>
      <c r="USD1384" s="7"/>
      <c r="USE1384" s="7"/>
      <c r="USF1384" s="7"/>
      <c r="USG1384" s="7"/>
      <c r="USH1384" s="7"/>
      <c r="USI1384" s="7"/>
      <c r="USJ1384" s="7"/>
      <c r="USK1384" s="7"/>
      <c r="USL1384" s="7"/>
      <c r="USM1384" s="7"/>
      <c r="USN1384" s="7"/>
      <c r="USO1384" s="7"/>
      <c r="USP1384" s="7"/>
      <c r="USQ1384" s="7"/>
      <c r="USR1384" s="7"/>
      <c r="USS1384" s="7"/>
      <c r="UST1384" s="7"/>
      <c r="USU1384" s="7"/>
      <c r="USV1384" s="7"/>
      <c r="USW1384" s="7"/>
      <c r="USX1384" s="7"/>
      <c r="USY1384" s="7"/>
      <c r="USZ1384" s="7"/>
      <c r="UTA1384" s="7"/>
      <c r="UTB1384" s="7"/>
      <c r="UTC1384" s="7"/>
      <c r="UTD1384" s="7"/>
      <c r="UTE1384" s="7"/>
      <c r="UTF1384" s="7"/>
      <c r="UTG1384" s="7"/>
      <c r="UTH1384" s="7"/>
      <c r="UTI1384" s="7"/>
      <c r="UTJ1384" s="7"/>
      <c r="UTK1384" s="7"/>
      <c r="UTL1384" s="7"/>
      <c r="UTM1384" s="7"/>
      <c r="UTN1384" s="7"/>
      <c r="UTO1384" s="7"/>
      <c r="UTP1384" s="7"/>
      <c r="UTQ1384" s="7"/>
      <c r="UTR1384" s="7"/>
      <c r="UTS1384" s="7"/>
      <c r="UTT1384" s="7"/>
      <c r="UTU1384" s="7"/>
      <c r="UTV1384" s="7"/>
      <c r="UTW1384" s="7"/>
      <c r="UTX1384" s="7"/>
      <c r="UTY1384" s="7"/>
      <c r="UTZ1384" s="7"/>
      <c r="UUA1384" s="7"/>
      <c r="UUB1384" s="7"/>
      <c r="UUC1384" s="7"/>
      <c r="UUD1384" s="7"/>
      <c r="UUE1384" s="7"/>
      <c r="UUF1384" s="7"/>
      <c r="UUG1384" s="7"/>
      <c r="UUH1384" s="7"/>
      <c r="UUI1384" s="7"/>
      <c r="UUJ1384" s="7"/>
      <c r="UUK1384" s="7"/>
      <c r="UUL1384" s="7"/>
      <c r="UUM1384" s="7"/>
      <c r="UUN1384" s="7"/>
      <c r="UUO1384" s="7"/>
      <c r="UUP1384" s="7"/>
      <c r="UUQ1384" s="7"/>
      <c r="UUR1384" s="7"/>
      <c r="UUS1384" s="7"/>
      <c r="UUT1384" s="7"/>
      <c r="UUU1384" s="7"/>
      <c r="UUV1384" s="7"/>
      <c r="UUW1384" s="7"/>
      <c r="UUX1384" s="7"/>
      <c r="UUY1384" s="7"/>
      <c r="UUZ1384" s="7"/>
      <c r="UVA1384" s="7"/>
      <c r="UVB1384" s="7"/>
      <c r="UVC1384" s="7"/>
      <c r="UVD1384" s="7"/>
      <c r="UVE1384" s="7"/>
      <c r="UVF1384" s="7"/>
      <c r="UVG1384" s="7"/>
      <c r="UVH1384" s="7"/>
      <c r="UVI1384" s="7"/>
      <c r="UVJ1384" s="7"/>
      <c r="UVK1384" s="7"/>
      <c r="UVL1384" s="7"/>
      <c r="UVM1384" s="7"/>
      <c r="UVN1384" s="7"/>
      <c r="UVO1384" s="7"/>
      <c r="UVP1384" s="7"/>
      <c r="UVQ1384" s="7"/>
      <c r="UVR1384" s="7"/>
      <c r="UVS1384" s="7"/>
      <c r="UVT1384" s="7"/>
      <c r="UVU1384" s="7"/>
      <c r="UVV1384" s="7"/>
      <c r="UVW1384" s="7"/>
      <c r="UVX1384" s="7"/>
      <c r="UVY1384" s="7"/>
      <c r="UVZ1384" s="7"/>
      <c r="UWA1384" s="7"/>
      <c r="UWB1384" s="7"/>
      <c r="UWC1384" s="7"/>
      <c r="UWD1384" s="7"/>
      <c r="UWE1384" s="7"/>
      <c r="UWF1384" s="7"/>
      <c r="UWG1384" s="7"/>
      <c r="UWH1384" s="7"/>
      <c r="UWI1384" s="7"/>
      <c r="UWJ1384" s="7"/>
      <c r="UWK1384" s="7"/>
      <c r="UWL1384" s="7"/>
      <c r="UWM1384" s="7"/>
      <c r="UWN1384" s="7"/>
      <c r="UWO1384" s="7"/>
      <c r="UWP1384" s="7"/>
      <c r="UWQ1384" s="7"/>
      <c r="UWR1384" s="7"/>
      <c r="UWS1384" s="7"/>
      <c r="UWT1384" s="7"/>
      <c r="UWU1384" s="7"/>
      <c r="UWV1384" s="7"/>
      <c r="UWW1384" s="7"/>
      <c r="UWX1384" s="7"/>
      <c r="UWY1384" s="7"/>
      <c r="UWZ1384" s="7"/>
      <c r="UXA1384" s="7"/>
      <c r="UXB1384" s="7"/>
      <c r="UXC1384" s="7"/>
      <c r="UXD1384" s="7"/>
      <c r="UXE1384" s="7"/>
      <c r="UXF1384" s="7"/>
      <c r="UXG1384" s="7"/>
      <c r="UXH1384" s="7"/>
      <c r="UXI1384" s="7"/>
      <c r="UXJ1384" s="7"/>
      <c r="UXK1384" s="7"/>
      <c r="UXL1384" s="7"/>
      <c r="UXM1384" s="7"/>
      <c r="UXN1384" s="7"/>
      <c r="UXO1384" s="7"/>
      <c r="UXP1384" s="7"/>
      <c r="UXQ1384" s="7"/>
      <c r="UXR1384" s="7"/>
      <c r="UXS1384" s="7"/>
      <c r="UXT1384" s="7"/>
      <c r="UXU1384" s="7"/>
      <c r="UXV1384" s="7"/>
      <c r="UXW1384" s="7"/>
      <c r="UXX1384" s="7"/>
      <c r="UXY1384" s="7"/>
      <c r="UXZ1384" s="7"/>
      <c r="UYA1384" s="7"/>
      <c r="UYB1384" s="7"/>
      <c r="UYC1384" s="7"/>
      <c r="UYD1384" s="7"/>
      <c r="UYE1384" s="7"/>
      <c r="UYF1384" s="7"/>
      <c r="UYG1384" s="7"/>
      <c r="UYH1384" s="7"/>
      <c r="UYI1384" s="7"/>
      <c r="UYJ1384" s="7"/>
      <c r="UYK1384" s="7"/>
      <c r="UYL1384" s="7"/>
      <c r="UYM1384" s="7"/>
      <c r="UYN1384" s="7"/>
      <c r="UYO1384" s="7"/>
      <c r="UYP1384" s="7"/>
      <c r="UYQ1384" s="7"/>
      <c r="UYR1384" s="7"/>
      <c r="UYS1384" s="7"/>
      <c r="UYT1384" s="7"/>
      <c r="UYU1384" s="7"/>
      <c r="UYV1384" s="7"/>
      <c r="UYW1384" s="7"/>
      <c r="UYX1384" s="7"/>
      <c r="UYY1384" s="7"/>
      <c r="UYZ1384" s="7"/>
      <c r="UZA1384" s="7"/>
      <c r="UZB1384" s="7"/>
      <c r="UZC1384" s="7"/>
      <c r="UZD1384" s="7"/>
      <c r="UZE1384" s="7"/>
      <c r="UZF1384" s="7"/>
      <c r="UZG1384" s="7"/>
      <c r="UZH1384" s="7"/>
      <c r="UZI1384" s="7"/>
      <c r="UZJ1384" s="7"/>
      <c r="UZK1384" s="7"/>
      <c r="UZL1384" s="7"/>
      <c r="UZM1384" s="7"/>
      <c r="UZN1384" s="7"/>
      <c r="UZO1384" s="7"/>
      <c r="UZP1384" s="7"/>
      <c r="UZQ1384" s="7"/>
      <c r="UZR1384" s="7"/>
      <c r="UZS1384" s="7"/>
      <c r="UZT1384" s="7"/>
      <c r="UZU1384" s="7"/>
      <c r="UZV1384" s="7"/>
      <c r="UZW1384" s="7"/>
      <c r="UZX1384" s="7"/>
      <c r="UZY1384" s="7"/>
      <c r="UZZ1384" s="7"/>
      <c r="VAA1384" s="7"/>
      <c r="VAB1384" s="7"/>
      <c r="VAC1384" s="7"/>
      <c r="VAD1384" s="7"/>
      <c r="VAE1384" s="7"/>
      <c r="VAF1384" s="7"/>
      <c r="VAG1384" s="7"/>
      <c r="VAH1384" s="7"/>
      <c r="VAI1384" s="7"/>
      <c r="VAJ1384" s="7"/>
      <c r="VAK1384" s="7"/>
      <c r="VAL1384" s="7"/>
      <c r="VAM1384" s="7"/>
      <c r="VAN1384" s="7"/>
      <c r="VAO1384" s="7"/>
      <c r="VAP1384" s="7"/>
      <c r="VAQ1384" s="7"/>
      <c r="VAR1384" s="7"/>
      <c r="VAS1384" s="7"/>
      <c r="VAT1384" s="7"/>
      <c r="VAU1384" s="7"/>
      <c r="VAV1384" s="7"/>
      <c r="VAW1384" s="7"/>
      <c r="VAX1384" s="7"/>
      <c r="VAY1384" s="7"/>
      <c r="VAZ1384" s="7"/>
      <c r="VBA1384" s="7"/>
      <c r="VBB1384" s="7"/>
      <c r="VBC1384" s="7"/>
      <c r="VBD1384" s="7"/>
      <c r="VBE1384" s="7"/>
      <c r="VBF1384" s="7"/>
      <c r="VBG1384" s="7"/>
      <c r="VBH1384" s="7"/>
      <c r="VBI1384" s="7"/>
      <c r="VBJ1384" s="7"/>
      <c r="VBK1384" s="7"/>
      <c r="VBL1384" s="7"/>
      <c r="VBM1384" s="7"/>
      <c r="VBN1384" s="7"/>
      <c r="VBO1384" s="7"/>
      <c r="VBP1384" s="7"/>
      <c r="VBQ1384" s="7"/>
      <c r="VBR1384" s="7"/>
      <c r="VBS1384" s="7"/>
      <c r="VBT1384" s="7"/>
      <c r="VBU1384" s="7"/>
      <c r="VBV1384" s="7"/>
      <c r="VBW1384" s="7"/>
      <c r="VBX1384" s="7"/>
      <c r="VBY1384" s="7"/>
      <c r="VBZ1384" s="7"/>
      <c r="VCA1384" s="7"/>
      <c r="VCB1384" s="7"/>
      <c r="VCC1384" s="7"/>
      <c r="VCD1384" s="7"/>
      <c r="VCE1384" s="7"/>
      <c r="VCF1384" s="7"/>
      <c r="VCG1384" s="7"/>
      <c r="VCH1384" s="7"/>
      <c r="VCI1384" s="7"/>
      <c r="VCJ1384" s="7"/>
      <c r="VCK1384" s="7"/>
      <c r="VCL1384" s="7"/>
      <c r="VCM1384" s="7"/>
      <c r="VCN1384" s="7"/>
      <c r="VCO1384" s="7"/>
      <c r="VCP1384" s="7"/>
      <c r="VCQ1384" s="7"/>
      <c r="VCR1384" s="7"/>
      <c r="VCS1384" s="7"/>
      <c r="VCT1384" s="7"/>
      <c r="VCU1384" s="7"/>
      <c r="VCV1384" s="7"/>
      <c r="VCW1384" s="7"/>
      <c r="VCX1384" s="7"/>
      <c r="VCY1384" s="7"/>
      <c r="VCZ1384" s="7"/>
      <c r="VDA1384" s="7"/>
      <c r="VDB1384" s="7"/>
      <c r="VDC1384" s="7"/>
      <c r="VDD1384" s="7"/>
      <c r="VDE1384" s="7"/>
      <c r="VDF1384" s="7"/>
      <c r="VDG1384" s="7"/>
      <c r="VDH1384" s="7"/>
      <c r="VDI1384" s="7"/>
      <c r="VDJ1384" s="7"/>
      <c r="VDK1384" s="7"/>
      <c r="VDL1384" s="7"/>
      <c r="VDM1384" s="7"/>
      <c r="VDN1384" s="7"/>
      <c r="VDO1384" s="7"/>
      <c r="VDP1384" s="7"/>
      <c r="VDQ1384" s="7"/>
      <c r="VDR1384" s="7"/>
      <c r="VDS1384" s="7"/>
      <c r="VDT1384" s="7"/>
      <c r="VDU1384" s="7"/>
      <c r="VDV1384" s="7"/>
      <c r="VDW1384" s="7"/>
      <c r="VDX1384" s="7"/>
      <c r="VDY1384" s="7"/>
      <c r="VDZ1384" s="7"/>
      <c r="VEA1384" s="7"/>
      <c r="VEB1384" s="7"/>
      <c r="VEC1384" s="7"/>
      <c r="VED1384" s="7"/>
      <c r="VEE1384" s="7"/>
      <c r="VEF1384" s="7"/>
      <c r="VEG1384" s="7"/>
      <c r="VEH1384" s="7"/>
      <c r="VEI1384" s="7"/>
      <c r="VEJ1384" s="7"/>
      <c r="VEK1384" s="7"/>
      <c r="VEL1384" s="7"/>
      <c r="VEM1384" s="7"/>
      <c r="VEN1384" s="7"/>
      <c r="VEO1384" s="7"/>
      <c r="VEP1384" s="7"/>
      <c r="VEQ1384" s="7"/>
      <c r="VER1384" s="7"/>
      <c r="VES1384" s="7"/>
      <c r="VET1384" s="7"/>
      <c r="VEU1384" s="7"/>
      <c r="VEV1384" s="7"/>
      <c r="VEW1384" s="7"/>
      <c r="VEX1384" s="7"/>
      <c r="VEY1384" s="7"/>
      <c r="VEZ1384" s="7"/>
      <c r="VFA1384" s="7"/>
      <c r="VFB1384" s="7"/>
      <c r="VFC1384" s="7"/>
      <c r="VFD1384" s="7"/>
      <c r="VFE1384" s="7"/>
      <c r="VFF1384" s="7"/>
      <c r="VFG1384" s="7"/>
      <c r="VFH1384" s="7"/>
      <c r="VFI1384" s="7"/>
      <c r="VFJ1384" s="7"/>
      <c r="VFK1384" s="7"/>
      <c r="VFL1384" s="7"/>
      <c r="VFM1384" s="7"/>
      <c r="VFN1384" s="7"/>
      <c r="VFO1384" s="7"/>
      <c r="VFP1384" s="7"/>
      <c r="VFQ1384" s="7"/>
      <c r="VFR1384" s="7"/>
      <c r="VFS1384" s="7"/>
      <c r="VFT1384" s="7"/>
      <c r="VFU1384" s="7"/>
      <c r="VFV1384" s="7"/>
      <c r="VFW1384" s="7"/>
      <c r="VFX1384" s="7"/>
      <c r="VFY1384" s="7"/>
      <c r="VFZ1384" s="7"/>
      <c r="VGA1384" s="7"/>
      <c r="VGB1384" s="7"/>
      <c r="VGC1384" s="7"/>
      <c r="VGD1384" s="7"/>
      <c r="VGE1384" s="7"/>
      <c r="VGF1384" s="7"/>
      <c r="VGG1384" s="7"/>
      <c r="VGH1384" s="7"/>
      <c r="VGI1384" s="7"/>
      <c r="VGJ1384" s="7"/>
      <c r="VGK1384" s="7"/>
      <c r="VGL1384" s="7"/>
      <c r="VGM1384" s="7"/>
      <c r="VGN1384" s="7"/>
      <c r="VGO1384" s="7"/>
      <c r="VGP1384" s="7"/>
      <c r="VGQ1384" s="7"/>
      <c r="VGR1384" s="7"/>
      <c r="VGS1384" s="7"/>
      <c r="VGT1384" s="7"/>
      <c r="VGU1384" s="7"/>
      <c r="VGV1384" s="7"/>
      <c r="VGW1384" s="7"/>
      <c r="VGX1384" s="7"/>
      <c r="VGY1384" s="7"/>
      <c r="VGZ1384" s="7"/>
      <c r="VHA1384" s="7"/>
      <c r="VHB1384" s="7"/>
      <c r="VHC1384" s="7"/>
      <c r="VHD1384" s="7"/>
      <c r="VHE1384" s="7"/>
      <c r="VHF1384" s="7"/>
      <c r="VHG1384" s="7"/>
      <c r="VHH1384" s="7"/>
      <c r="VHI1384" s="7"/>
      <c r="VHJ1384" s="7"/>
      <c r="VHK1384" s="7"/>
      <c r="VHL1384" s="7"/>
      <c r="VHM1384" s="7"/>
      <c r="VHN1384" s="7"/>
      <c r="VHO1384" s="7"/>
      <c r="VHP1384" s="7"/>
      <c r="VHQ1384" s="7"/>
      <c r="VHR1384" s="7"/>
      <c r="VHS1384" s="7"/>
      <c r="VHT1384" s="7"/>
      <c r="VHU1384" s="7"/>
      <c r="VHV1384" s="7"/>
      <c r="VHW1384" s="7"/>
      <c r="VHX1384" s="7"/>
      <c r="VHY1384" s="7"/>
      <c r="VHZ1384" s="7"/>
      <c r="VIA1384" s="7"/>
      <c r="VIB1384" s="7"/>
      <c r="VIC1384" s="7"/>
      <c r="VID1384" s="7"/>
      <c r="VIE1384" s="7"/>
      <c r="VIF1384" s="7"/>
      <c r="VIG1384" s="7"/>
      <c r="VIH1384" s="7"/>
      <c r="VII1384" s="7"/>
      <c r="VIJ1384" s="7"/>
      <c r="VIK1384" s="7"/>
      <c r="VIL1384" s="7"/>
      <c r="VIM1384" s="7"/>
      <c r="VIN1384" s="7"/>
      <c r="VIO1384" s="7"/>
      <c r="VIP1384" s="7"/>
      <c r="VIQ1384" s="7"/>
      <c r="VIR1384" s="7"/>
      <c r="VIS1384" s="7"/>
      <c r="VIT1384" s="7"/>
      <c r="VIU1384" s="7"/>
      <c r="VIV1384" s="7"/>
      <c r="VIW1384" s="7"/>
      <c r="VIX1384" s="7"/>
      <c r="VIY1384" s="7"/>
      <c r="VIZ1384" s="7"/>
      <c r="VJA1384" s="7"/>
      <c r="VJB1384" s="7"/>
      <c r="VJC1384" s="7"/>
      <c r="VJD1384" s="7"/>
      <c r="VJE1384" s="7"/>
      <c r="VJF1384" s="7"/>
      <c r="VJG1384" s="7"/>
      <c r="VJH1384" s="7"/>
      <c r="VJI1384" s="7"/>
      <c r="VJJ1384" s="7"/>
      <c r="VJK1384" s="7"/>
      <c r="VJL1384" s="7"/>
      <c r="VJM1384" s="7"/>
      <c r="VJN1384" s="7"/>
      <c r="VJO1384" s="7"/>
      <c r="VJP1384" s="7"/>
      <c r="VJQ1384" s="7"/>
      <c r="VJR1384" s="7"/>
      <c r="VJS1384" s="7"/>
      <c r="VJT1384" s="7"/>
      <c r="VJU1384" s="7"/>
      <c r="VJV1384" s="7"/>
      <c r="VJW1384" s="7"/>
      <c r="VJX1384" s="7"/>
      <c r="VJY1384" s="7"/>
      <c r="VJZ1384" s="7"/>
      <c r="VKA1384" s="7"/>
      <c r="VKB1384" s="7"/>
      <c r="VKC1384" s="7"/>
      <c r="VKD1384" s="7"/>
      <c r="VKE1384" s="7"/>
      <c r="VKF1384" s="7"/>
      <c r="VKG1384" s="7"/>
      <c r="VKH1384" s="7"/>
      <c r="VKI1384" s="7"/>
      <c r="VKJ1384" s="7"/>
      <c r="VKK1384" s="7"/>
      <c r="VKL1384" s="7"/>
      <c r="VKM1384" s="7"/>
      <c r="VKN1384" s="7"/>
      <c r="VKO1384" s="7"/>
      <c r="VKP1384" s="7"/>
      <c r="VKQ1384" s="7"/>
      <c r="VKR1384" s="7"/>
      <c r="VKS1384" s="7"/>
      <c r="VKT1384" s="7"/>
      <c r="VKU1384" s="7"/>
      <c r="VKV1384" s="7"/>
      <c r="VKW1384" s="7"/>
      <c r="VKX1384" s="7"/>
      <c r="VKY1384" s="7"/>
      <c r="VKZ1384" s="7"/>
      <c r="VLA1384" s="7"/>
      <c r="VLB1384" s="7"/>
      <c r="VLC1384" s="7"/>
      <c r="VLD1384" s="7"/>
      <c r="VLE1384" s="7"/>
      <c r="VLF1384" s="7"/>
      <c r="VLG1384" s="7"/>
      <c r="VLH1384" s="7"/>
      <c r="VLI1384" s="7"/>
      <c r="VLJ1384" s="7"/>
      <c r="VLK1384" s="7"/>
      <c r="VLL1384" s="7"/>
      <c r="VLM1384" s="7"/>
      <c r="VLN1384" s="7"/>
      <c r="VLO1384" s="7"/>
      <c r="VLP1384" s="7"/>
      <c r="VLQ1384" s="7"/>
      <c r="VLR1384" s="7"/>
      <c r="VLS1384" s="7"/>
      <c r="VLT1384" s="7"/>
      <c r="VLU1384" s="7"/>
      <c r="VLV1384" s="7"/>
      <c r="VLW1384" s="7"/>
      <c r="VLX1384" s="7"/>
      <c r="VLY1384" s="7"/>
      <c r="VLZ1384" s="7"/>
      <c r="VMA1384" s="7"/>
      <c r="VMB1384" s="7"/>
      <c r="VMC1384" s="7"/>
      <c r="VMD1384" s="7"/>
      <c r="VME1384" s="7"/>
      <c r="VMF1384" s="7"/>
      <c r="VMG1384" s="7"/>
      <c r="VMH1384" s="7"/>
      <c r="VMI1384" s="7"/>
      <c r="VMJ1384" s="7"/>
      <c r="VMK1384" s="7"/>
      <c r="VML1384" s="7"/>
      <c r="VMM1384" s="7"/>
      <c r="VMN1384" s="7"/>
      <c r="VMO1384" s="7"/>
      <c r="VMP1384" s="7"/>
      <c r="VMQ1384" s="7"/>
      <c r="VMR1384" s="7"/>
      <c r="VMS1384" s="7"/>
      <c r="VMT1384" s="7"/>
      <c r="VMU1384" s="7"/>
      <c r="VMV1384" s="7"/>
      <c r="VMW1384" s="7"/>
      <c r="VMX1384" s="7"/>
      <c r="VMY1384" s="7"/>
      <c r="VMZ1384" s="7"/>
      <c r="VNA1384" s="7"/>
      <c r="VNB1384" s="7"/>
      <c r="VNC1384" s="7"/>
      <c r="VND1384" s="7"/>
      <c r="VNE1384" s="7"/>
      <c r="VNF1384" s="7"/>
      <c r="VNG1384" s="7"/>
      <c r="VNH1384" s="7"/>
      <c r="VNI1384" s="7"/>
      <c r="VNJ1384" s="7"/>
      <c r="VNK1384" s="7"/>
      <c r="VNL1384" s="7"/>
      <c r="VNM1384" s="7"/>
      <c r="VNN1384" s="7"/>
      <c r="VNO1384" s="7"/>
      <c r="VNP1384" s="7"/>
      <c r="VNQ1384" s="7"/>
      <c r="VNR1384" s="7"/>
      <c r="VNS1384" s="7"/>
      <c r="VNT1384" s="7"/>
      <c r="VNU1384" s="7"/>
      <c r="VNV1384" s="7"/>
      <c r="VNW1384" s="7"/>
      <c r="VNX1384" s="7"/>
      <c r="VNY1384" s="7"/>
      <c r="VNZ1384" s="7"/>
      <c r="VOA1384" s="7"/>
      <c r="VOB1384" s="7"/>
      <c r="VOC1384" s="7"/>
      <c r="VOD1384" s="7"/>
      <c r="VOE1384" s="7"/>
      <c r="VOF1384" s="7"/>
      <c r="VOG1384" s="7"/>
      <c r="VOH1384" s="7"/>
      <c r="VOI1384" s="7"/>
      <c r="VOJ1384" s="7"/>
      <c r="VOK1384" s="7"/>
      <c r="VOL1384" s="7"/>
      <c r="VOM1384" s="7"/>
      <c r="VON1384" s="7"/>
      <c r="VOO1384" s="7"/>
      <c r="VOP1384" s="7"/>
      <c r="VOQ1384" s="7"/>
      <c r="VOR1384" s="7"/>
      <c r="VOS1384" s="7"/>
      <c r="VOT1384" s="7"/>
      <c r="VOU1384" s="7"/>
      <c r="VOV1384" s="7"/>
      <c r="VOW1384" s="7"/>
      <c r="VOX1384" s="7"/>
      <c r="VOY1384" s="7"/>
      <c r="VOZ1384" s="7"/>
      <c r="VPA1384" s="7"/>
      <c r="VPB1384" s="7"/>
      <c r="VPC1384" s="7"/>
      <c r="VPD1384" s="7"/>
      <c r="VPE1384" s="7"/>
      <c r="VPF1384" s="7"/>
      <c r="VPG1384" s="7"/>
      <c r="VPH1384" s="7"/>
      <c r="VPI1384" s="7"/>
      <c r="VPJ1384" s="7"/>
      <c r="VPK1384" s="7"/>
      <c r="VPL1384" s="7"/>
      <c r="VPM1384" s="7"/>
      <c r="VPN1384" s="7"/>
      <c r="VPO1384" s="7"/>
      <c r="VPP1384" s="7"/>
      <c r="VPQ1384" s="7"/>
      <c r="VPR1384" s="7"/>
      <c r="VPS1384" s="7"/>
      <c r="VPT1384" s="7"/>
      <c r="VPU1384" s="7"/>
      <c r="VPV1384" s="7"/>
      <c r="VPW1384" s="7"/>
      <c r="VPX1384" s="7"/>
      <c r="VPY1384" s="7"/>
      <c r="VPZ1384" s="7"/>
      <c r="VQA1384" s="7"/>
      <c r="VQB1384" s="7"/>
      <c r="VQC1384" s="7"/>
      <c r="VQD1384" s="7"/>
      <c r="VQE1384" s="7"/>
      <c r="VQF1384" s="7"/>
      <c r="VQG1384" s="7"/>
      <c r="VQH1384" s="7"/>
      <c r="VQI1384" s="7"/>
      <c r="VQJ1384" s="7"/>
      <c r="VQK1384" s="7"/>
      <c r="VQL1384" s="7"/>
      <c r="VQM1384" s="7"/>
      <c r="VQN1384" s="7"/>
      <c r="VQO1384" s="7"/>
      <c r="VQP1384" s="7"/>
      <c r="VQQ1384" s="7"/>
      <c r="VQR1384" s="7"/>
      <c r="VQS1384" s="7"/>
      <c r="VQT1384" s="7"/>
      <c r="VQU1384" s="7"/>
      <c r="VQV1384" s="7"/>
      <c r="VQW1384" s="7"/>
      <c r="VQX1384" s="7"/>
      <c r="VQY1384" s="7"/>
      <c r="VQZ1384" s="7"/>
      <c r="VRA1384" s="7"/>
      <c r="VRB1384" s="7"/>
      <c r="VRC1384" s="7"/>
      <c r="VRD1384" s="7"/>
      <c r="VRE1384" s="7"/>
      <c r="VRF1384" s="7"/>
      <c r="VRG1384" s="7"/>
      <c r="VRH1384" s="7"/>
      <c r="VRI1384" s="7"/>
      <c r="VRJ1384" s="7"/>
      <c r="VRK1384" s="7"/>
      <c r="VRL1384" s="7"/>
      <c r="VRM1384" s="7"/>
      <c r="VRN1384" s="7"/>
      <c r="VRO1384" s="7"/>
      <c r="VRP1384" s="7"/>
      <c r="VRQ1384" s="7"/>
      <c r="VRR1384" s="7"/>
      <c r="VRS1384" s="7"/>
      <c r="VRT1384" s="7"/>
      <c r="VRU1384" s="7"/>
      <c r="VRV1384" s="7"/>
      <c r="VRW1384" s="7"/>
      <c r="VRX1384" s="7"/>
      <c r="VRY1384" s="7"/>
      <c r="VRZ1384" s="7"/>
      <c r="VSA1384" s="7"/>
      <c r="VSB1384" s="7"/>
      <c r="VSC1384" s="7"/>
      <c r="VSD1384" s="7"/>
      <c r="VSE1384" s="7"/>
      <c r="VSF1384" s="7"/>
      <c r="VSG1384" s="7"/>
      <c r="VSH1384" s="7"/>
      <c r="VSI1384" s="7"/>
      <c r="VSJ1384" s="7"/>
      <c r="VSK1384" s="7"/>
      <c r="VSL1384" s="7"/>
      <c r="VSM1384" s="7"/>
      <c r="VSN1384" s="7"/>
      <c r="VSO1384" s="7"/>
      <c r="VSP1384" s="7"/>
      <c r="VSQ1384" s="7"/>
      <c r="VSR1384" s="7"/>
      <c r="VSS1384" s="7"/>
      <c r="VST1384" s="7"/>
      <c r="VSU1384" s="7"/>
      <c r="VSV1384" s="7"/>
      <c r="VSW1384" s="7"/>
      <c r="VSX1384" s="7"/>
      <c r="VSY1384" s="7"/>
      <c r="VSZ1384" s="7"/>
      <c r="VTA1384" s="7"/>
      <c r="VTB1384" s="7"/>
      <c r="VTC1384" s="7"/>
      <c r="VTD1384" s="7"/>
      <c r="VTE1384" s="7"/>
      <c r="VTF1384" s="7"/>
      <c r="VTG1384" s="7"/>
      <c r="VTH1384" s="7"/>
      <c r="VTI1384" s="7"/>
      <c r="VTJ1384" s="7"/>
      <c r="VTK1384" s="7"/>
      <c r="VTL1384" s="7"/>
      <c r="VTM1384" s="7"/>
      <c r="VTN1384" s="7"/>
      <c r="VTO1384" s="7"/>
      <c r="VTP1384" s="7"/>
      <c r="VTQ1384" s="7"/>
      <c r="VTR1384" s="7"/>
      <c r="VTS1384" s="7"/>
      <c r="VTT1384" s="7"/>
      <c r="VTU1384" s="7"/>
      <c r="VTV1384" s="7"/>
      <c r="VTW1384" s="7"/>
      <c r="VTX1384" s="7"/>
      <c r="VTY1384" s="7"/>
      <c r="VTZ1384" s="7"/>
      <c r="VUA1384" s="7"/>
      <c r="VUB1384" s="7"/>
      <c r="VUC1384" s="7"/>
      <c r="VUD1384" s="7"/>
      <c r="VUE1384" s="7"/>
      <c r="VUF1384" s="7"/>
      <c r="VUG1384" s="7"/>
      <c r="VUH1384" s="7"/>
      <c r="VUI1384" s="7"/>
      <c r="VUJ1384" s="7"/>
      <c r="VUK1384" s="7"/>
      <c r="VUL1384" s="7"/>
      <c r="VUM1384" s="7"/>
      <c r="VUN1384" s="7"/>
      <c r="VUO1384" s="7"/>
      <c r="VUP1384" s="7"/>
      <c r="VUQ1384" s="7"/>
      <c r="VUR1384" s="7"/>
      <c r="VUS1384" s="7"/>
      <c r="VUT1384" s="7"/>
      <c r="VUU1384" s="7"/>
      <c r="VUV1384" s="7"/>
      <c r="VUW1384" s="7"/>
      <c r="VUX1384" s="7"/>
      <c r="VUY1384" s="7"/>
      <c r="VUZ1384" s="7"/>
      <c r="VVA1384" s="7"/>
      <c r="VVB1384" s="7"/>
      <c r="VVC1384" s="7"/>
      <c r="VVD1384" s="7"/>
      <c r="VVE1384" s="7"/>
      <c r="VVF1384" s="7"/>
      <c r="VVG1384" s="7"/>
      <c r="VVH1384" s="7"/>
      <c r="VVI1384" s="7"/>
      <c r="VVJ1384" s="7"/>
      <c r="VVK1384" s="7"/>
      <c r="VVL1384" s="7"/>
      <c r="VVM1384" s="7"/>
      <c r="VVN1384" s="7"/>
      <c r="VVO1384" s="7"/>
      <c r="VVP1384" s="7"/>
      <c r="VVQ1384" s="7"/>
      <c r="VVR1384" s="7"/>
      <c r="VVS1384" s="7"/>
      <c r="VVT1384" s="7"/>
      <c r="VVU1384" s="7"/>
      <c r="VVV1384" s="7"/>
      <c r="VVW1384" s="7"/>
      <c r="VVX1384" s="7"/>
      <c r="VVY1384" s="7"/>
      <c r="VVZ1384" s="7"/>
      <c r="VWA1384" s="7"/>
      <c r="VWB1384" s="7"/>
      <c r="VWC1384" s="7"/>
      <c r="VWD1384" s="7"/>
      <c r="VWE1384" s="7"/>
      <c r="VWF1384" s="7"/>
      <c r="VWG1384" s="7"/>
      <c r="VWH1384" s="7"/>
      <c r="VWI1384" s="7"/>
      <c r="VWJ1384" s="7"/>
      <c r="VWK1384" s="7"/>
      <c r="VWL1384" s="7"/>
      <c r="VWM1384" s="7"/>
      <c r="VWN1384" s="7"/>
      <c r="VWO1384" s="7"/>
      <c r="VWP1384" s="7"/>
      <c r="VWQ1384" s="7"/>
      <c r="VWR1384" s="7"/>
      <c r="VWS1384" s="7"/>
      <c r="VWT1384" s="7"/>
      <c r="VWU1384" s="7"/>
      <c r="VWV1384" s="7"/>
      <c r="VWW1384" s="7"/>
      <c r="VWX1384" s="7"/>
      <c r="VWY1384" s="7"/>
      <c r="VWZ1384" s="7"/>
      <c r="VXA1384" s="7"/>
      <c r="VXB1384" s="7"/>
      <c r="VXC1384" s="7"/>
      <c r="VXD1384" s="7"/>
      <c r="VXE1384" s="7"/>
      <c r="VXF1384" s="7"/>
      <c r="VXG1384" s="7"/>
      <c r="VXH1384" s="7"/>
      <c r="VXI1384" s="7"/>
      <c r="VXJ1384" s="7"/>
      <c r="VXK1384" s="7"/>
      <c r="VXL1384" s="7"/>
      <c r="VXM1384" s="7"/>
      <c r="VXN1384" s="7"/>
      <c r="VXO1384" s="7"/>
      <c r="VXP1384" s="7"/>
      <c r="VXQ1384" s="7"/>
      <c r="VXR1384" s="7"/>
      <c r="VXS1384" s="7"/>
      <c r="VXT1384" s="7"/>
      <c r="VXU1384" s="7"/>
      <c r="VXV1384" s="7"/>
      <c r="VXW1384" s="7"/>
      <c r="VXX1384" s="7"/>
      <c r="VXY1384" s="7"/>
      <c r="VXZ1384" s="7"/>
      <c r="VYA1384" s="7"/>
      <c r="VYB1384" s="7"/>
      <c r="VYC1384" s="7"/>
      <c r="VYD1384" s="7"/>
      <c r="VYE1384" s="7"/>
      <c r="VYF1384" s="7"/>
      <c r="VYG1384" s="7"/>
      <c r="VYH1384" s="7"/>
      <c r="VYI1384" s="7"/>
      <c r="VYJ1384" s="7"/>
      <c r="VYK1384" s="7"/>
      <c r="VYL1384" s="7"/>
      <c r="VYM1384" s="7"/>
      <c r="VYN1384" s="7"/>
      <c r="VYO1384" s="7"/>
      <c r="VYP1384" s="7"/>
      <c r="VYQ1384" s="7"/>
      <c r="VYR1384" s="7"/>
      <c r="VYS1384" s="7"/>
      <c r="VYT1384" s="7"/>
      <c r="VYU1384" s="7"/>
      <c r="VYV1384" s="7"/>
      <c r="VYW1384" s="7"/>
      <c r="VYX1384" s="7"/>
      <c r="VYY1384" s="7"/>
      <c r="VYZ1384" s="7"/>
      <c r="VZA1384" s="7"/>
      <c r="VZB1384" s="7"/>
      <c r="VZC1384" s="7"/>
      <c r="VZD1384" s="7"/>
      <c r="VZE1384" s="7"/>
      <c r="VZF1384" s="7"/>
      <c r="VZG1384" s="7"/>
      <c r="VZH1384" s="7"/>
      <c r="VZI1384" s="7"/>
      <c r="VZJ1384" s="7"/>
      <c r="VZK1384" s="7"/>
      <c r="VZL1384" s="7"/>
      <c r="VZM1384" s="7"/>
      <c r="VZN1384" s="7"/>
      <c r="VZO1384" s="7"/>
      <c r="VZP1384" s="7"/>
      <c r="VZQ1384" s="7"/>
      <c r="VZR1384" s="7"/>
      <c r="VZS1384" s="7"/>
      <c r="VZT1384" s="7"/>
      <c r="VZU1384" s="7"/>
      <c r="VZV1384" s="7"/>
      <c r="VZW1384" s="7"/>
      <c r="VZX1384" s="7"/>
      <c r="VZY1384" s="7"/>
      <c r="VZZ1384" s="7"/>
      <c r="WAA1384" s="7"/>
      <c r="WAB1384" s="7"/>
      <c r="WAC1384" s="7"/>
      <c r="WAD1384" s="7"/>
      <c r="WAE1384" s="7"/>
      <c r="WAF1384" s="7"/>
      <c r="WAG1384" s="7"/>
      <c r="WAH1384" s="7"/>
      <c r="WAI1384" s="7"/>
      <c r="WAJ1384" s="7"/>
      <c r="WAK1384" s="7"/>
      <c r="WAL1384" s="7"/>
      <c r="WAM1384" s="7"/>
      <c r="WAN1384" s="7"/>
      <c r="WAO1384" s="7"/>
      <c r="WAP1384" s="7"/>
      <c r="WAQ1384" s="7"/>
      <c r="WAR1384" s="7"/>
      <c r="WAS1384" s="7"/>
      <c r="WAT1384" s="7"/>
      <c r="WAU1384" s="7"/>
      <c r="WAV1384" s="7"/>
      <c r="WAW1384" s="7"/>
      <c r="WAX1384" s="7"/>
      <c r="WAY1384" s="7"/>
      <c r="WAZ1384" s="7"/>
      <c r="WBA1384" s="7"/>
      <c r="WBB1384" s="7"/>
      <c r="WBC1384" s="7"/>
      <c r="WBD1384" s="7"/>
      <c r="WBE1384" s="7"/>
      <c r="WBF1384" s="7"/>
      <c r="WBG1384" s="7"/>
      <c r="WBH1384" s="7"/>
      <c r="WBI1384" s="7"/>
      <c r="WBJ1384" s="7"/>
      <c r="WBK1384" s="7"/>
      <c r="WBL1384" s="7"/>
      <c r="WBM1384" s="7"/>
      <c r="WBN1384" s="7"/>
      <c r="WBO1384" s="7"/>
      <c r="WBP1384" s="7"/>
      <c r="WBQ1384" s="7"/>
      <c r="WBR1384" s="7"/>
      <c r="WBS1384" s="7"/>
      <c r="WBT1384" s="7"/>
      <c r="WBU1384" s="7"/>
      <c r="WBV1384" s="7"/>
      <c r="WBW1384" s="7"/>
      <c r="WBX1384" s="7"/>
      <c r="WBY1384" s="7"/>
      <c r="WBZ1384" s="7"/>
      <c r="WCA1384" s="7"/>
      <c r="WCB1384" s="7"/>
      <c r="WCC1384" s="7"/>
      <c r="WCD1384" s="7"/>
      <c r="WCE1384" s="7"/>
      <c r="WCF1384" s="7"/>
      <c r="WCG1384" s="7"/>
      <c r="WCH1384" s="7"/>
      <c r="WCI1384" s="7"/>
      <c r="WCJ1384" s="7"/>
      <c r="WCK1384" s="7"/>
      <c r="WCL1384" s="7"/>
      <c r="WCM1384" s="7"/>
      <c r="WCN1384" s="7"/>
      <c r="WCO1384" s="7"/>
      <c r="WCP1384" s="7"/>
      <c r="WCQ1384" s="7"/>
      <c r="WCR1384" s="7"/>
      <c r="WCS1384" s="7"/>
      <c r="WCT1384" s="7"/>
      <c r="WCU1384" s="7"/>
      <c r="WCV1384" s="7"/>
      <c r="WCW1384" s="7"/>
      <c r="WCX1384" s="7"/>
      <c r="WCY1384" s="7"/>
      <c r="WCZ1384" s="7"/>
      <c r="WDA1384" s="7"/>
      <c r="WDB1384" s="7"/>
      <c r="WDC1384" s="7"/>
      <c r="WDD1384" s="7"/>
      <c r="WDE1384" s="7"/>
      <c r="WDF1384" s="7"/>
      <c r="WDG1384" s="7"/>
      <c r="WDH1384" s="7"/>
      <c r="WDI1384" s="7"/>
      <c r="WDJ1384" s="7"/>
      <c r="WDK1384" s="7"/>
      <c r="WDL1384" s="7"/>
      <c r="WDM1384" s="7"/>
      <c r="WDN1384" s="7"/>
      <c r="WDO1384" s="7"/>
      <c r="WDP1384" s="7"/>
      <c r="WDQ1384" s="7"/>
      <c r="WDR1384" s="7"/>
      <c r="WDS1384" s="7"/>
      <c r="WDT1384" s="7"/>
      <c r="WDU1384" s="7"/>
      <c r="WDV1384" s="7"/>
      <c r="WDW1384" s="7"/>
      <c r="WDX1384" s="7"/>
      <c r="WDY1384" s="7"/>
      <c r="WDZ1384" s="7"/>
      <c r="WEA1384" s="7"/>
      <c r="WEB1384" s="7"/>
      <c r="WEC1384" s="7"/>
      <c r="WED1384" s="7"/>
      <c r="WEE1384" s="7"/>
      <c r="WEF1384" s="7"/>
      <c r="WEG1384" s="7"/>
      <c r="WEH1384" s="7"/>
      <c r="WEI1384" s="7"/>
      <c r="WEJ1384" s="7"/>
      <c r="WEK1384" s="7"/>
      <c r="WEL1384" s="7"/>
      <c r="WEM1384" s="7"/>
      <c r="WEN1384" s="7"/>
      <c r="WEO1384" s="7"/>
      <c r="WEP1384" s="7"/>
      <c r="WEQ1384" s="7"/>
      <c r="WER1384" s="7"/>
      <c r="WES1384" s="7"/>
      <c r="WET1384" s="7"/>
      <c r="WEU1384" s="7"/>
      <c r="WEV1384" s="7"/>
      <c r="WEW1384" s="7"/>
      <c r="WEX1384" s="7"/>
      <c r="WEY1384" s="7"/>
      <c r="WEZ1384" s="7"/>
      <c r="WFA1384" s="7"/>
      <c r="WFB1384" s="7"/>
      <c r="WFC1384" s="7"/>
      <c r="WFD1384" s="7"/>
      <c r="WFE1384" s="7"/>
      <c r="WFF1384" s="7"/>
      <c r="WFG1384" s="7"/>
      <c r="WFH1384" s="7"/>
      <c r="WFI1384" s="7"/>
      <c r="WFJ1384" s="7"/>
      <c r="WFK1384" s="7"/>
      <c r="WFL1384" s="7"/>
      <c r="WFM1384" s="7"/>
      <c r="WFN1384" s="7"/>
      <c r="WFO1384" s="7"/>
      <c r="WFP1384" s="7"/>
      <c r="WFQ1384" s="7"/>
      <c r="WFR1384" s="7"/>
      <c r="WFS1384" s="7"/>
      <c r="WFT1384" s="7"/>
      <c r="WFU1384" s="7"/>
      <c r="WFV1384" s="7"/>
      <c r="WFW1384" s="7"/>
      <c r="WFX1384" s="7"/>
      <c r="WFY1384" s="7"/>
      <c r="WFZ1384" s="7"/>
      <c r="WGA1384" s="7"/>
      <c r="WGB1384" s="7"/>
      <c r="WGC1384" s="7"/>
      <c r="WGD1384" s="7"/>
      <c r="WGE1384" s="7"/>
      <c r="WGF1384" s="7"/>
      <c r="WGG1384" s="7"/>
      <c r="WGH1384" s="7"/>
      <c r="WGI1384" s="7"/>
      <c r="WGJ1384" s="7"/>
      <c r="WGK1384" s="7"/>
      <c r="WGL1384" s="7"/>
      <c r="WGM1384" s="7"/>
      <c r="WGN1384" s="7"/>
      <c r="WGO1384" s="7"/>
      <c r="WGP1384" s="7"/>
      <c r="WGQ1384" s="7"/>
      <c r="WGR1384" s="7"/>
      <c r="WGS1384" s="7"/>
      <c r="WGT1384" s="7"/>
      <c r="WGU1384" s="7"/>
      <c r="WGV1384" s="7"/>
      <c r="WGW1384" s="7"/>
      <c r="WGX1384" s="7"/>
      <c r="WGY1384" s="7"/>
      <c r="WGZ1384" s="7"/>
      <c r="WHA1384" s="7"/>
      <c r="WHB1384" s="7"/>
      <c r="WHC1384" s="7"/>
      <c r="WHD1384" s="7"/>
      <c r="WHE1384" s="7"/>
      <c r="WHF1384" s="7"/>
      <c r="WHG1384" s="7"/>
      <c r="WHH1384" s="7"/>
      <c r="WHI1384" s="7"/>
      <c r="WHJ1384" s="7"/>
      <c r="WHK1384" s="7"/>
      <c r="WHL1384" s="7"/>
      <c r="WHM1384" s="7"/>
      <c r="WHN1384" s="7"/>
      <c r="WHO1384" s="7"/>
      <c r="WHP1384" s="7"/>
      <c r="WHQ1384" s="7"/>
      <c r="WHR1384" s="7"/>
      <c r="WHS1384" s="7"/>
      <c r="WHT1384" s="7"/>
      <c r="WHU1384" s="7"/>
      <c r="WHV1384" s="7"/>
      <c r="WHW1384" s="7"/>
      <c r="WHX1384" s="7"/>
      <c r="WHY1384" s="7"/>
      <c r="WHZ1384" s="7"/>
      <c r="WIA1384" s="7"/>
      <c r="WIB1384" s="7"/>
      <c r="WIC1384" s="7"/>
      <c r="WID1384" s="7"/>
      <c r="WIE1384" s="7"/>
      <c r="WIF1384" s="7"/>
      <c r="WIG1384" s="7"/>
      <c r="WIH1384" s="7"/>
      <c r="WII1384" s="7"/>
      <c r="WIJ1384" s="7"/>
      <c r="WIK1384" s="7"/>
      <c r="WIL1384" s="7"/>
      <c r="WIM1384" s="7"/>
      <c r="WIN1384" s="7"/>
      <c r="WIO1384" s="7"/>
      <c r="WIP1384" s="7"/>
      <c r="WIQ1384" s="7"/>
      <c r="WIR1384" s="7"/>
      <c r="WIS1384" s="7"/>
      <c r="WIT1384" s="7"/>
      <c r="WIU1384" s="7"/>
      <c r="WIV1384" s="7"/>
      <c r="WIW1384" s="7"/>
      <c r="WIX1384" s="7"/>
      <c r="WIY1384" s="7"/>
      <c r="WIZ1384" s="7"/>
      <c r="WJA1384" s="7"/>
      <c r="WJB1384" s="7"/>
      <c r="WJC1384" s="7"/>
      <c r="WJD1384" s="7"/>
      <c r="WJE1384" s="7"/>
      <c r="WJF1384" s="7"/>
      <c r="WJG1384" s="7"/>
      <c r="WJH1384" s="7"/>
      <c r="WJI1384" s="7"/>
      <c r="WJJ1384" s="7"/>
      <c r="WJK1384" s="7"/>
      <c r="WJL1384" s="7"/>
      <c r="WJM1384" s="7"/>
      <c r="WJN1384" s="7"/>
      <c r="WJO1384" s="7"/>
      <c r="WJP1384" s="7"/>
      <c r="WJQ1384" s="7"/>
      <c r="WJR1384" s="7"/>
      <c r="WJS1384" s="7"/>
      <c r="WJT1384" s="7"/>
      <c r="WJU1384" s="7"/>
      <c r="WJV1384" s="7"/>
      <c r="WJW1384" s="7"/>
      <c r="WJX1384" s="7"/>
      <c r="WJY1384" s="7"/>
      <c r="WJZ1384" s="7"/>
      <c r="WKA1384" s="7"/>
      <c r="WKB1384" s="7"/>
      <c r="WKC1384" s="7"/>
      <c r="WKD1384" s="7"/>
      <c r="WKE1384" s="7"/>
      <c r="WKF1384" s="7"/>
      <c r="WKG1384" s="7"/>
      <c r="WKH1384" s="7"/>
      <c r="WKI1384" s="7"/>
      <c r="WKJ1384" s="7"/>
      <c r="WKK1384" s="7"/>
      <c r="WKL1384" s="7"/>
      <c r="WKM1384" s="7"/>
      <c r="WKN1384" s="7"/>
      <c r="WKO1384" s="7"/>
      <c r="WKP1384" s="7"/>
      <c r="WKQ1384" s="7"/>
      <c r="WKR1384" s="7"/>
      <c r="WKS1384" s="7"/>
      <c r="WKT1384" s="7"/>
      <c r="WKU1384" s="7"/>
      <c r="WKV1384" s="7"/>
      <c r="WKW1384" s="7"/>
      <c r="WKX1384" s="7"/>
      <c r="WKY1384" s="7"/>
      <c r="WKZ1384" s="7"/>
      <c r="WLA1384" s="7"/>
      <c r="WLB1384" s="7"/>
      <c r="WLC1384" s="7"/>
      <c r="WLD1384" s="7"/>
      <c r="WLE1384" s="7"/>
      <c r="WLF1384" s="7"/>
      <c r="WLG1384" s="7"/>
      <c r="WLH1384" s="7"/>
      <c r="WLI1384" s="7"/>
      <c r="WLJ1384" s="7"/>
      <c r="WLK1384" s="7"/>
      <c r="WLL1384" s="7"/>
      <c r="WLM1384" s="7"/>
      <c r="WLN1384" s="7"/>
      <c r="WLO1384" s="7"/>
      <c r="WLP1384" s="7"/>
      <c r="WLQ1384" s="7"/>
      <c r="WLR1384" s="7"/>
      <c r="WLS1384" s="7"/>
      <c r="WLT1384" s="7"/>
      <c r="WLU1384" s="7"/>
      <c r="WLV1384" s="7"/>
      <c r="WLW1384" s="7"/>
      <c r="WLX1384" s="7"/>
      <c r="WLY1384" s="7"/>
      <c r="WLZ1384" s="7"/>
      <c r="WMA1384" s="7"/>
      <c r="WMB1384" s="7"/>
      <c r="WMC1384" s="7"/>
      <c r="WMD1384" s="7"/>
      <c r="WME1384" s="7"/>
      <c r="WMF1384" s="7"/>
      <c r="WMG1384" s="7"/>
      <c r="WMH1384" s="7"/>
      <c r="WMI1384" s="7"/>
      <c r="WMJ1384" s="7"/>
      <c r="WMK1384" s="7"/>
      <c r="WML1384" s="7"/>
      <c r="WMM1384" s="7"/>
      <c r="WMN1384" s="7"/>
      <c r="WMO1384" s="7"/>
      <c r="WMP1384" s="7"/>
      <c r="WMQ1384" s="7"/>
      <c r="WMR1384" s="7"/>
      <c r="WMS1384" s="7"/>
      <c r="WMT1384" s="7"/>
      <c r="WMU1384" s="7"/>
      <c r="WMV1384" s="7"/>
      <c r="WMW1384" s="7"/>
      <c r="WMX1384" s="7"/>
      <c r="WMY1384" s="7"/>
      <c r="WMZ1384" s="7"/>
      <c r="WNA1384" s="7"/>
      <c r="WNB1384" s="7"/>
      <c r="WNC1384" s="7"/>
      <c r="WND1384" s="7"/>
      <c r="WNE1384" s="7"/>
      <c r="WNF1384" s="7"/>
      <c r="WNG1384" s="7"/>
      <c r="WNH1384" s="7"/>
      <c r="WNI1384" s="7"/>
      <c r="WNJ1384" s="7"/>
      <c r="WNK1384" s="7"/>
      <c r="WNL1384" s="7"/>
      <c r="WNM1384" s="7"/>
      <c r="WNN1384" s="7"/>
      <c r="WNO1384" s="7"/>
      <c r="WNP1384" s="7"/>
      <c r="WNQ1384" s="7"/>
      <c r="WNR1384" s="7"/>
      <c r="WNS1384" s="7"/>
      <c r="WNT1384" s="7"/>
      <c r="WNU1384" s="7"/>
      <c r="WNV1384" s="7"/>
      <c r="WNW1384" s="7"/>
      <c r="WNX1384" s="7"/>
      <c r="WNY1384" s="7"/>
      <c r="WNZ1384" s="7"/>
      <c r="WOA1384" s="7"/>
      <c r="WOB1384" s="7"/>
      <c r="WOC1384" s="7"/>
      <c r="WOD1384" s="7"/>
      <c r="WOE1384" s="7"/>
      <c r="WOF1384" s="7"/>
      <c r="WOG1384" s="7"/>
      <c r="WOH1384" s="7"/>
      <c r="WOI1384" s="7"/>
      <c r="WOJ1384" s="7"/>
      <c r="WOK1384" s="7"/>
      <c r="WOL1384" s="7"/>
      <c r="WOM1384" s="7"/>
      <c r="WON1384" s="7"/>
      <c r="WOO1384" s="7"/>
      <c r="WOP1384" s="7"/>
      <c r="WOQ1384" s="7"/>
      <c r="WOR1384" s="7"/>
      <c r="WOS1384" s="7"/>
      <c r="WOT1384" s="7"/>
      <c r="WOU1384" s="7"/>
      <c r="WOV1384" s="7"/>
      <c r="WOW1384" s="7"/>
      <c r="WOX1384" s="7"/>
      <c r="WOY1384" s="7"/>
      <c r="WOZ1384" s="7"/>
      <c r="WPA1384" s="7"/>
      <c r="WPB1384" s="7"/>
      <c r="WPC1384" s="7"/>
      <c r="WPD1384" s="7"/>
      <c r="WPE1384" s="7"/>
      <c r="WPF1384" s="7"/>
      <c r="WPG1384" s="7"/>
      <c r="WPH1384" s="7"/>
      <c r="WPI1384" s="7"/>
      <c r="WPJ1384" s="7"/>
      <c r="WPK1384" s="7"/>
      <c r="WPL1384" s="7"/>
      <c r="WPM1384" s="7"/>
      <c r="WPN1384" s="7"/>
      <c r="WPO1384" s="7"/>
      <c r="WPP1384" s="7"/>
      <c r="WPQ1384" s="7"/>
      <c r="WPR1384" s="7"/>
      <c r="WPS1384" s="7"/>
      <c r="WPT1384" s="7"/>
      <c r="WPU1384" s="7"/>
      <c r="WPV1384" s="7"/>
      <c r="WPW1384" s="7"/>
      <c r="WPX1384" s="7"/>
      <c r="WPY1384" s="7"/>
      <c r="WPZ1384" s="7"/>
      <c r="WQA1384" s="7"/>
      <c r="WQB1384" s="7"/>
      <c r="WQC1384" s="7"/>
      <c r="WQD1384" s="7"/>
      <c r="WQE1384" s="7"/>
      <c r="WQF1384" s="7"/>
      <c r="WQG1384" s="7"/>
      <c r="WQH1384" s="7"/>
      <c r="WQI1384" s="7"/>
      <c r="WQJ1384" s="7"/>
      <c r="WQK1384" s="7"/>
      <c r="WQL1384" s="7"/>
      <c r="WQM1384" s="7"/>
      <c r="WQN1384" s="7"/>
      <c r="WQO1384" s="7"/>
      <c r="WQP1384" s="7"/>
      <c r="WQQ1384" s="7"/>
      <c r="WQR1384" s="7"/>
      <c r="WQS1384" s="7"/>
      <c r="WQT1384" s="7"/>
      <c r="WQU1384" s="7"/>
      <c r="WQV1384" s="7"/>
      <c r="WQW1384" s="7"/>
      <c r="WQX1384" s="7"/>
      <c r="WQY1384" s="7"/>
      <c r="WQZ1384" s="7"/>
      <c r="WRA1384" s="7"/>
      <c r="WRB1384" s="7"/>
      <c r="WRC1384" s="7"/>
      <c r="WRD1384" s="7"/>
      <c r="WRE1384" s="7"/>
      <c r="WRF1384" s="7"/>
      <c r="WRG1384" s="7"/>
      <c r="WRH1384" s="7"/>
      <c r="WRI1384" s="7"/>
      <c r="WRJ1384" s="7"/>
      <c r="WRK1384" s="7"/>
      <c r="WRL1384" s="7"/>
      <c r="WRM1384" s="7"/>
      <c r="WRN1384" s="7"/>
      <c r="WRO1384" s="7"/>
      <c r="WRP1384" s="7"/>
      <c r="WRQ1384" s="7"/>
      <c r="WRR1384" s="7"/>
      <c r="WRS1384" s="7"/>
      <c r="WRT1384" s="7"/>
      <c r="WRU1384" s="7"/>
      <c r="WRV1384" s="7"/>
      <c r="WRW1384" s="7"/>
      <c r="WRX1384" s="7"/>
      <c r="WRY1384" s="7"/>
      <c r="WRZ1384" s="7"/>
      <c r="WSA1384" s="7"/>
      <c r="WSB1384" s="7"/>
      <c r="WSC1384" s="7"/>
      <c r="WSD1384" s="7"/>
      <c r="WSE1384" s="7"/>
      <c r="WSF1384" s="7"/>
      <c r="WSG1384" s="7"/>
      <c r="WSH1384" s="7"/>
      <c r="WSI1384" s="7"/>
      <c r="WSJ1384" s="7"/>
      <c r="WSK1384" s="7"/>
      <c r="WSL1384" s="7"/>
      <c r="WSM1384" s="7"/>
      <c r="WSN1384" s="7"/>
      <c r="WSO1384" s="7"/>
      <c r="WSP1384" s="7"/>
      <c r="WSQ1384" s="7"/>
      <c r="WSR1384" s="7"/>
      <c r="WSS1384" s="7"/>
      <c r="WST1384" s="7"/>
      <c r="WSU1384" s="7"/>
      <c r="WSV1384" s="7"/>
      <c r="WSW1384" s="7"/>
      <c r="WSX1384" s="7"/>
      <c r="WSY1384" s="7"/>
      <c r="WSZ1384" s="7"/>
      <c r="WTA1384" s="7"/>
      <c r="WTB1384" s="7"/>
      <c r="WTC1384" s="7"/>
      <c r="WTD1384" s="7"/>
      <c r="WTE1384" s="7"/>
      <c r="WTF1384" s="7"/>
      <c r="WTG1384" s="7"/>
      <c r="WTH1384" s="7"/>
      <c r="WTI1384" s="7"/>
      <c r="WTJ1384" s="7"/>
      <c r="WTK1384" s="7"/>
      <c r="WTL1384" s="7"/>
      <c r="WTM1384" s="7"/>
      <c r="WTN1384" s="7"/>
      <c r="WTO1384" s="7"/>
      <c r="WTP1384" s="7"/>
      <c r="WTQ1384" s="7"/>
      <c r="WTR1384" s="7"/>
      <c r="WTS1384" s="7"/>
      <c r="WTT1384" s="7"/>
      <c r="WTU1384" s="7"/>
      <c r="WTV1384" s="7"/>
      <c r="WTW1384" s="7"/>
      <c r="WTX1384" s="7"/>
      <c r="WTY1384" s="7"/>
      <c r="WTZ1384" s="7"/>
      <c r="WUA1384" s="7"/>
      <c r="WUB1384" s="7"/>
      <c r="WUC1384" s="7"/>
      <c r="WUD1384" s="7"/>
      <c r="WUE1384" s="7"/>
      <c r="WUF1384" s="7"/>
      <c r="WUG1384" s="7"/>
      <c r="WUH1384" s="7"/>
      <c r="WUI1384" s="7"/>
      <c r="WUJ1384" s="7"/>
      <c r="WUK1384" s="7"/>
      <c r="WUL1384" s="7"/>
      <c r="WUM1384" s="7"/>
      <c r="WUN1384" s="7"/>
      <c r="WUO1384" s="7"/>
      <c r="WUP1384" s="7"/>
      <c r="WUQ1384" s="7"/>
      <c r="WUR1384" s="7"/>
      <c r="WUS1384" s="7"/>
      <c r="WUT1384" s="7"/>
      <c r="WUU1384" s="7"/>
      <c r="WUV1384" s="7"/>
      <c r="WUW1384" s="7"/>
      <c r="WUX1384" s="7"/>
      <c r="WUY1384" s="7"/>
      <c r="WUZ1384" s="7"/>
      <c r="WVA1384" s="7"/>
      <c r="WVB1384" s="7"/>
      <c r="WVC1384" s="7"/>
      <c r="WVD1384" s="7"/>
      <c r="WVE1384" s="7"/>
      <c r="WVF1384" s="7"/>
      <c r="WVG1384" s="7"/>
      <c r="WVH1384" s="7"/>
      <c r="WVI1384" s="7"/>
      <c r="WVJ1384" s="7"/>
      <c r="WVK1384" s="7"/>
      <c r="WVL1384" s="7"/>
      <c r="WVM1384" s="7"/>
      <c r="WVN1384" s="7"/>
      <c r="WVO1384" s="7"/>
      <c r="WVP1384" s="7"/>
      <c r="WVQ1384" s="7"/>
      <c r="WVR1384" s="7"/>
      <c r="WVS1384" s="7"/>
      <c r="WVT1384" s="7"/>
      <c r="WVU1384" s="7"/>
      <c r="WVV1384" s="7"/>
      <c r="WVW1384" s="7"/>
      <c r="WVX1384" s="7"/>
      <c r="WVY1384" s="7"/>
      <c r="WVZ1384" s="7"/>
      <c r="WWA1384" s="7"/>
      <c r="WWB1384" s="7"/>
      <c r="WWC1384" s="7"/>
      <c r="WWD1384" s="7"/>
      <c r="WWE1384" s="7"/>
      <c r="WWF1384" s="7"/>
      <c r="WWG1384" s="7"/>
      <c r="WWH1384" s="7"/>
      <c r="WWI1384" s="7"/>
      <c r="WWJ1384" s="7"/>
      <c r="WWK1384" s="7"/>
      <c r="WWL1384" s="7"/>
      <c r="WWM1384" s="7"/>
      <c r="WWN1384" s="7"/>
      <c r="WWO1384" s="7"/>
      <c r="WWP1384" s="7"/>
      <c r="WWQ1384" s="7"/>
      <c r="WWR1384" s="7"/>
      <c r="WWS1384" s="7"/>
      <c r="WWT1384" s="7"/>
      <c r="WWU1384" s="7"/>
      <c r="WWV1384" s="7"/>
      <c r="WWW1384" s="7"/>
      <c r="WWX1384" s="7"/>
      <c r="WWY1384" s="7"/>
      <c r="WWZ1384" s="7"/>
      <c r="WXA1384" s="7"/>
      <c r="WXB1384" s="7"/>
      <c r="WXC1384" s="7"/>
      <c r="WXD1384" s="7"/>
      <c r="WXE1384" s="7"/>
      <c r="WXF1384" s="7"/>
      <c r="WXG1384" s="7"/>
      <c r="WXH1384" s="7"/>
      <c r="WXI1384" s="7"/>
      <c r="WXJ1384" s="7"/>
      <c r="WXK1384" s="7"/>
      <c r="WXL1384" s="7"/>
      <c r="WXM1384" s="7"/>
      <c r="WXN1384" s="7"/>
      <c r="WXO1384" s="7"/>
      <c r="WXP1384" s="7"/>
      <c r="WXQ1384" s="7"/>
      <c r="WXR1384" s="7"/>
      <c r="WXS1384" s="7"/>
      <c r="WXT1384" s="7"/>
      <c r="WXU1384" s="7"/>
      <c r="WXV1384" s="7"/>
      <c r="WXW1384" s="7"/>
      <c r="WXX1384" s="7"/>
      <c r="WXY1384" s="7"/>
      <c r="WXZ1384" s="7"/>
      <c r="WYA1384" s="7"/>
    </row>
    <row r="1385" spans="1:16199" ht="61.5" x14ac:dyDescent="0.85">
      <c r="A1385" s="7">
        <v>1</v>
      </c>
      <c r="B1385" s="59">
        <f>SUBTOTAL(103,$A$1032:A1385)</f>
        <v>315</v>
      </c>
      <c r="C1385" s="160" t="s">
        <v>104</v>
      </c>
      <c r="D1385" s="60">
        <f>E1385+F1385+G1385+H1385+I1385+J1385+L1385+N1385+P1385+R1385+T1385+U1385+V1385+W1385+X1385+Y1385+Z1385+AA1385+AB1385+AC1385+AD1385+AE1385</f>
        <v>3940151.82</v>
      </c>
      <c r="E1385" s="60">
        <v>0</v>
      </c>
      <c r="F1385" s="60">
        <v>0</v>
      </c>
      <c r="G1385" s="60">
        <v>0</v>
      </c>
      <c r="H1385" s="60">
        <v>0</v>
      </c>
      <c r="I1385" s="60">
        <v>0</v>
      </c>
      <c r="J1385" s="60">
        <v>0</v>
      </c>
      <c r="K1385" s="168">
        <v>0</v>
      </c>
      <c r="L1385" s="60">
        <v>0</v>
      </c>
      <c r="M1385" s="60">
        <v>633</v>
      </c>
      <c r="N1385" s="60">
        <v>3899789</v>
      </c>
      <c r="O1385" s="60">
        <v>0</v>
      </c>
      <c r="P1385" s="60">
        <v>0</v>
      </c>
      <c r="Q1385" s="60">
        <v>0</v>
      </c>
      <c r="R1385" s="60">
        <v>0</v>
      </c>
      <c r="S1385" s="60">
        <v>0</v>
      </c>
      <c r="T1385" s="60">
        <v>0</v>
      </c>
      <c r="U1385" s="60">
        <v>0</v>
      </c>
      <c r="V1385" s="60">
        <v>0</v>
      </c>
      <c r="W1385" s="60">
        <v>0</v>
      </c>
      <c r="X1385" s="60">
        <v>0</v>
      </c>
      <c r="Y1385" s="60">
        <v>0</v>
      </c>
      <c r="Z1385" s="60">
        <v>0</v>
      </c>
      <c r="AA1385" s="60">
        <v>0</v>
      </c>
      <c r="AB1385" s="60">
        <v>0</v>
      </c>
      <c r="AC1385" s="188">
        <v>40362.82</v>
      </c>
      <c r="AD1385" s="60">
        <v>0</v>
      </c>
      <c r="AE1385" s="60">
        <v>0</v>
      </c>
      <c r="AF1385" s="170" t="s">
        <v>257</v>
      </c>
      <c r="AG1385" s="170">
        <v>2022</v>
      </c>
      <c r="AH1385" s="63">
        <v>2022</v>
      </c>
    </row>
    <row r="1386" spans="1:16199" ht="61.5" x14ac:dyDescent="0.85">
      <c r="B1386" s="160" t="s">
        <v>820</v>
      </c>
      <c r="C1386" s="160"/>
      <c r="D1386" s="177">
        <f>D1387</f>
        <v>73606.8</v>
      </c>
      <c r="E1386" s="60">
        <f t="shared" ref="E1386:AE1386" si="264">E1387</f>
        <v>0</v>
      </c>
      <c r="F1386" s="60">
        <f t="shared" si="264"/>
        <v>0</v>
      </c>
      <c r="G1386" s="60">
        <f t="shared" si="264"/>
        <v>0</v>
      </c>
      <c r="H1386" s="60">
        <f t="shared" si="264"/>
        <v>0</v>
      </c>
      <c r="I1386" s="60">
        <f t="shared" si="264"/>
        <v>0</v>
      </c>
      <c r="J1386" s="60">
        <f t="shared" si="264"/>
        <v>0</v>
      </c>
      <c r="K1386" s="168">
        <f t="shared" si="264"/>
        <v>0</v>
      </c>
      <c r="L1386" s="60">
        <f t="shared" si="264"/>
        <v>0</v>
      </c>
      <c r="M1386" s="60">
        <f t="shared" si="264"/>
        <v>0</v>
      </c>
      <c r="N1386" s="60">
        <f t="shared" si="264"/>
        <v>0</v>
      </c>
      <c r="O1386" s="60">
        <f t="shared" si="264"/>
        <v>0</v>
      </c>
      <c r="P1386" s="60">
        <f t="shared" si="264"/>
        <v>0</v>
      </c>
      <c r="Q1386" s="60">
        <f t="shared" si="264"/>
        <v>0</v>
      </c>
      <c r="R1386" s="60">
        <f t="shared" si="264"/>
        <v>0</v>
      </c>
      <c r="S1386" s="60">
        <f t="shared" si="264"/>
        <v>0</v>
      </c>
      <c r="T1386" s="60">
        <f t="shared" si="264"/>
        <v>0</v>
      </c>
      <c r="U1386" s="60">
        <f t="shared" si="264"/>
        <v>0</v>
      </c>
      <c r="V1386" s="60">
        <f t="shared" si="264"/>
        <v>0</v>
      </c>
      <c r="W1386" s="60">
        <f t="shared" si="264"/>
        <v>0</v>
      </c>
      <c r="X1386" s="60">
        <f t="shared" si="264"/>
        <v>0</v>
      </c>
      <c r="Y1386" s="60">
        <f t="shared" si="264"/>
        <v>0</v>
      </c>
      <c r="Z1386" s="60">
        <f t="shared" si="264"/>
        <v>0</v>
      </c>
      <c r="AA1386" s="60">
        <f t="shared" si="264"/>
        <v>0</v>
      </c>
      <c r="AB1386" s="60">
        <f t="shared" si="264"/>
        <v>0</v>
      </c>
      <c r="AC1386" s="60">
        <f t="shared" si="264"/>
        <v>0</v>
      </c>
      <c r="AD1386" s="60">
        <f t="shared" si="264"/>
        <v>73606.8</v>
      </c>
      <c r="AE1386" s="60">
        <f t="shared" si="264"/>
        <v>0</v>
      </c>
      <c r="AF1386" s="202" t="s">
        <v>701</v>
      </c>
      <c r="AG1386" s="202" t="s">
        <v>701</v>
      </c>
      <c r="AH1386" s="207" t="s">
        <v>701</v>
      </c>
    </row>
    <row r="1387" spans="1:16199" ht="61.5" x14ac:dyDescent="0.85">
      <c r="A1387" s="7">
        <v>1</v>
      </c>
      <c r="B1387" s="59">
        <f>SUBTOTAL(103,$A$1032:A1387)</f>
        <v>316</v>
      </c>
      <c r="C1387" s="186" t="s">
        <v>108</v>
      </c>
      <c r="D1387" s="60">
        <f>E1387+F1387+G1387+H1387+I1387+J1387+L1387+N1387+P1387+R1387+T1387+U1387+V1387+W1387+X1387+Y1387+Z1387+AA1387+AB1387+AC1387+AD1387+AE1387</f>
        <v>73606.8</v>
      </c>
      <c r="E1387" s="60">
        <v>0</v>
      </c>
      <c r="F1387" s="60">
        <v>0</v>
      </c>
      <c r="G1387" s="60">
        <v>0</v>
      </c>
      <c r="H1387" s="60">
        <v>0</v>
      </c>
      <c r="I1387" s="60">
        <v>0</v>
      </c>
      <c r="J1387" s="60">
        <v>0</v>
      </c>
      <c r="K1387" s="168">
        <v>0</v>
      </c>
      <c r="L1387" s="60">
        <v>0</v>
      </c>
      <c r="M1387" s="60">
        <v>0</v>
      </c>
      <c r="N1387" s="60">
        <v>0</v>
      </c>
      <c r="O1387" s="60">
        <v>0</v>
      </c>
      <c r="P1387" s="60">
        <v>0</v>
      </c>
      <c r="Q1387" s="60">
        <v>0</v>
      </c>
      <c r="R1387" s="60">
        <v>0</v>
      </c>
      <c r="S1387" s="60">
        <v>0</v>
      </c>
      <c r="T1387" s="60">
        <v>0</v>
      </c>
      <c r="U1387" s="60">
        <v>0</v>
      </c>
      <c r="V1387" s="60">
        <v>0</v>
      </c>
      <c r="W1387" s="60">
        <v>0</v>
      </c>
      <c r="X1387" s="60">
        <v>0</v>
      </c>
      <c r="Y1387" s="60">
        <v>0</v>
      </c>
      <c r="Z1387" s="60">
        <v>0</v>
      </c>
      <c r="AA1387" s="60">
        <v>0</v>
      </c>
      <c r="AB1387" s="60">
        <v>0</v>
      </c>
      <c r="AC1387" s="60">
        <f>ROUND(N1387*1.0593%,2)+ROUND(E1387*1.0593%,2)+ROUND(F1387*1.0593%,2)+ROUND(G1387*1.0593%,2)+ROUND(H1387*1.0593%,2)+ROUND(I1387*1.0593%,2)+ROUND(J1387*1.0593%,2)+ROUND(L1387*1.0593%,2)+ROUND(P1387*1.0593%,2)+ROUND(R1387*1.0593%,2)+ROUND(T1387*1.0593%,2)+ROUND(U1387*1.0593%,2)+ROUND(V1387*1.0593%,2)+ROUND(W1387*1.0593%,2)+ROUND(X1387*1.0593%,2)+ROUND(Y1387*1.0593%,2)+ROUND(Z1387*1.0593%,2)+ROUND(AA1387*1.0593%,2)+ROUND(AB1387*1.0593%,2)</f>
        <v>0</v>
      </c>
      <c r="AD1387" s="60">
        <v>73606.8</v>
      </c>
      <c r="AE1387" s="60">
        <v>0</v>
      </c>
      <c r="AF1387" s="170">
        <v>2022</v>
      </c>
      <c r="AG1387" s="170" t="s">
        <v>257</v>
      </c>
      <c r="AH1387" s="63" t="s">
        <v>257</v>
      </c>
    </row>
    <row r="1388" spans="1:16199" ht="61.5" x14ac:dyDescent="0.85">
      <c r="B1388" s="160" t="s">
        <v>834</v>
      </c>
      <c r="C1388" s="176"/>
      <c r="D1388" s="177">
        <f>D1389</f>
        <v>5356928.37</v>
      </c>
      <c r="E1388" s="60">
        <f t="shared" ref="E1388:AE1388" si="265">E1389</f>
        <v>0</v>
      </c>
      <c r="F1388" s="60">
        <f t="shared" si="265"/>
        <v>0</v>
      </c>
      <c r="G1388" s="60">
        <f t="shared" si="265"/>
        <v>0</v>
      </c>
      <c r="H1388" s="60">
        <f t="shared" si="265"/>
        <v>0</v>
      </c>
      <c r="I1388" s="60">
        <f t="shared" si="265"/>
        <v>0</v>
      </c>
      <c r="J1388" s="60">
        <f t="shared" si="265"/>
        <v>0</v>
      </c>
      <c r="K1388" s="168">
        <f t="shared" si="265"/>
        <v>0</v>
      </c>
      <c r="L1388" s="60">
        <f t="shared" si="265"/>
        <v>0</v>
      </c>
      <c r="M1388" s="60">
        <f t="shared" si="265"/>
        <v>672</v>
      </c>
      <c r="N1388" s="60">
        <f t="shared" si="265"/>
        <v>5219210</v>
      </c>
      <c r="O1388" s="60">
        <f t="shared" si="265"/>
        <v>0</v>
      </c>
      <c r="P1388" s="60">
        <f t="shared" si="265"/>
        <v>0</v>
      </c>
      <c r="Q1388" s="60">
        <f t="shared" si="265"/>
        <v>0</v>
      </c>
      <c r="R1388" s="60">
        <f t="shared" si="265"/>
        <v>0</v>
      </c>
      <c r="S1388" s="60">
        <f t="shared" si="265"/>
        <v>0</v>
      </c>
      <c r="T1388" s="60">
        <f t="shared" si="265"/>
        <v>0</v>
      </c>
      <c r="U1388" s="60">
        <f t="shared" si="265"/>
        <v>0</v>
      </c>
      <c r="V1388" s="60">
        <f t="shared" si="265"/>
        <v>0</v>
      </c>
      <c r="W1388" s="60">
        <f t="shared" si="265"/>
        <v>0</v>
      </c>
      <c r="X1388" s="60">
        <f t="shared" si="265"/>
        <v>0</v>
      </c>
      <c r="Y1388" s="60">
        <f t="shared" si="265"/>
        <v>0</v>
      </c>
      <c r="Z1388" s="60">
        <f t="shared" si="265"/>
        <v>0</v>
      </c>
      <c r="AA1388" s="60">
        <f t="shared" si="265"/>
        <v>0</v>
      </c>
      <c r="AB1388" s="60">
        <f t="shared" si="265"/>
        <v>0</v>
      </c>
      <c r="AC1388" s="60">
        <f t="shared" si="265"/>
        <v>55287.09</v>
      </c>
      <c r="AD1388" s="60">
        <f t="shared" si="265"/>
        <v>82431.28</v>
      </c>
      <c r="AE1388" s="60">
        <f t="shared" si="265"/>
        <v>0</v>
      </c>
      <c r="AF1388" s="202" t="s">
        <v>701</v>
      </c>
      <c r="AG1388" s="202" t="s">
        <v>701</v>
      </c>
      <c r="AH1388" s="207" t="s">
        <v>701</v>
      </c>
    </row>
    <row r="1389" spans="1:16199" ht="61.5" x14ac:dyDescent="0.85">
      <c r="A1389" s="7">
        <v>1</v>
      </c>
      <c r="B1389" s="59">
        <f>SUBTOTAL(103,$A$1032:A1389)</f>
        <v>317</v>
      </c>
      <c r="C1389" s="186" t="s">
        <v>199</v>
      </c>
      <c r="D1389" s="60">
        <f>E1389+F1389+G1389+H1389+I1389+J1389+L1389+N1389+P1389+R1389+T1389+U1389+V1389+W1389+X1389+Y1389+Z1389+AA1389+AB1389+AC1389+AD1389+AE1389</f>
        <v>5356928.37</v>
      </c>
      <c r="E1389" s="60">
        <v>0</v>
      </c>
      <c r="F1389" s="60">
        <v>0</v>
      </c>
      <c r="G1389" s="60">
        <v>0</v>
      </c>
      <c r="H1389" s="60">
        <v>0</v>
      </c>
      <c r="I1389" s="60">
        <v>0</v>
      </c>
      <c r="J1389" s="60">
        <v>0</v>
      </c>
      <c r="K1389" s="168">
        <v>0</v>
      </c>
      <c r="L1389" s="60">
        <v>0</v>
      </c>
      <c r="M1389" s="60">
        <v>672</v>
      </c>
      <c r="N1389" s="60">
        <v>5219210</v>
      </c>
      <c r="O1389" s="60">
        <v>0</v>
      </c>
      <c r="P1389" s="60">
        <v>0</v>
      </c>
      <c r="Q1389" s="60">
        <v>0</v>
      </c>
      <c r="R1389" s="60">
        <v>0</v>
      </c>
      <c r="S1389" s="60">
        <v>0</v>
      </c>
      <c r="T1389" s="60">
        <v>0</v>
      </c>
      <c r="U1389" s="60">
        <v>0</v>
      </c>
      <c r="V1389" s="60">
        <v>0</v>
      </c>
      <c r="W1389" s="60">
        <v>0</v>
      </c>
      <c r="X1389" s="60">
        <v>0</v>
      </c>
      <c r="Y1389" s="60">
        <v>0</v>
      </c>
      <c r="Z1389" s="60">
        <v>0</v>
      </c>
      <c r="AA1389" s="60">
        <v>0</v>
      </c>
      <c r="AB1389" s="60">
        <v>0</v>
      </c>
      <c r="AC1389" s="60">
        <f>ROUND(N1389*1.0593%,2)+ROUND(E1389*1.0593%,2)+ROUND(F1389*1.0593%,2)+ROUND(G1389*1.0593%,2)+ROUND(H1389*1.0593%,2)+ROUND(I1389*1.0593%,2)+ROUND(J1389*1.0593%,2)+ROUND(L1389*1.0593%,2)+ROUND(P1389*1.0593%,2)+ROUND(R1389*1.0593%,2)+ROUND(T1389*1.0593%,2)+ROUND(U1389*1.0593%,2)+ROUND(V1389*1.0593%,2)+ROUND(W1389*1.0593%,2)+ROUND(X1389*1.0593%,2)+ROUND(Y1389*1.0593%,2)+ROUND(Z1389*1.0593%,2)+ROUND(AA1389*1.0593%,2)+ROUND(AB1389*1.0593%,2)</f>
        <v>55287.09</v>
      </c>
      <c r="AD1389" s="60">
        <v>82431.28</v>
      </c>
      <c r="AE1389" s="60">
        <v>0</v>
      </c>
      <c r="AF1389" s="170">
        <v>2022</v>
      </c>
      <c r="AG1389" s="170">
        <v>2022</v>
      </c>
      <c r="AH1389" s="63">
        <v>2022</v>
      </c>
    </row>
    <row r="1390" spans="1:16199" ht="61.5" x14ac:dyDescent="0.85">
      <c r="B1390" s="160" t="s">
        <v>786</v>
      </c>
      <c r="C1390" s="176"/>
      <c r="D1390" s="177">
        <f t="shared" ref="D1390:AE1390" si="266">SUM(D1391:D1391)</f>
        <v>6410579.2999999998</v>
      </c>
      <c r="E1390" s="60">
        <f t="shared" si="266"/>
        <v>0</v>
      </c>
      <c r="F1390" s="60">
        <f t="shared" si="266"/>
        <v>0</v>
      </c>
      <c r="G1390" s="60">
        <f t="shared" si="266"/>
        <v>0</v>
      </c>
      <c r="H1390" s="60">
        <f t="shared" si="266"/>
        <v>0</v>
      </c>
      <c r="I1390" s="60">
        <f t="shared" si="266"/>
        <v>0</v>
      </c>
      <c r="J1390" s="60">
        <f t="shared" si="266"/>
        <v>0</v>
      </c>
      <c r="K1390" s="168">
        <f t="shared" si="266"/>
        <v>0</v>
      </c>
      <c r="L1390" s="60">
        <f t="shared" si="266"/>
        <v>0</v>
      </c>
      <c r="M1390" s="60">
        <f t="shared" si="266"/>
        <v>852</v>
      </c>
      <c r="N1390" s="60">
        <f t="shared" si="266"/>
        <v>6353871</v>
      </c>
      <c r="O1390" s="60">
        <f t="shared" si="266"/>
        <v>0</v>
      </c>
      <c r="P1390" s="60">
        <f t="shared" si="266"/>
        <v>0</v>
      </c>
      <c r="Q1390" s="60">
        <f t="shared" si="266"/>
        <v>0</v>
      </c>
      <c r="R1390" s="60">
        <f t="shared" si="266"/>
        <v>0</v>
      </c>
      <c r="S1390" s="60">
        <f t="shared" si="266"/>
        <v>0</v>
      </c>
      <c r="T1390" s="60">
        <f t="shared" si="266"/>
        <v>0</v>
      </c>
      <c r="U1390" s="60">
        <f t="shared" si="266"/>
        <v>0</v>
      </c>
      <c r="V1390" s="60">
        <f t="shared" si="266"/>
        <v>0</v>
      </c>
      <c r="W1390" s="60">
        <f t="shared" si="266"/>
        <v>0</v>
      </c>
      <c r="X1390" s="60">
        <f t="shared" si="266"/>
        <v>0</v>
      </c>
      <c r="Y1390" s="60">
        <f t="shared" si="266"/>
        <v>0</v>
      </c>
      <c r="Z1390" s="60">
        <f t="shared" si="266"/>
        <v>0</v>
      </c>
      <c r="AA1390" s="60">
        <f t="shared" si="266"/>
        <v>0</v>
      </c>
      <c r="AB1390" s="60">
        <f t="shared" si="266"/>
        <v>0</v>
      </c>
      <c r="AC1390" s="60">
        <f t="shared" si="266"/>
        <v>56708.3</v>
      </c>
      <c r="AD1390" s="60">
        <f t="shared" si="266"/>
        <v>0</v>
      </c>
      <c r="AE1390" s="60">
        <f t="shared" si="266"/>
        <v>0</v>
      </c>
      <c r="AF1390" s="202" t="s">
        <v>701</v>
      </c>
      <c r="AG1390" s="202" t="s">
        <v>701</v>
      </c>
      <c r="AH1390" s="207" t="s">
        <v>701</v>
      </c>
    </row>
    <row r="1391" spans="1:16199" ht="61.5" x14ac:dyDescent="0.85">
      <c r="A1391" s="7">
        <v>1</v>
      </c>
      <c r="B1391" s="59">
        <f>SUBTOTAL(103,$A$1032:A1391)</f>
        <v>318</v>
      </c>
      <c r="C1391" s="160" t="s">
        <v>57</v>
      </c>
      <c r="D1391" s="60">
        <f>E1391+F1391+G1391+H1391+I1391+J1391+L1391+N1391+P1391+R1391+T1391+U1391+V1391+W1391+X1391+Y1391+Z1391+AA1391+AB1391+AC1391+AD1391+AE1391</f>
        <v>6410579.2999999998</v>
      </c>
      <c r="E1391" s="60">
        <v>0</v>
      </c>
      <c r="F1391" s="60">
        <v>0</v>
      </c>
      <c r="G1391" s="60">
        <v>0</v>
      </c>
      <c r="H1391" s="60">
        <v>0</v>
      </c>
      <c r="I1391" s="60">
        <v>0</v>
      </c>
      <c r="J1391" s="60">
        <v>0</v>
      </c>
      <c r="K1391" s="168">
        <v>0</v>
      </c>
      <c r="L1391" s="60">
        <v>0</v>
      </c>
      <c r="M1391" s="60">
        <v>852</v>
      </c>
      <c r="N1391" s="60">
        <v>6353871</v>
      </c>
      <c r="O1391" s="60">
        <v>0</v>
      </c>
      <c r="P1391" s="60">
        <v>0</v>
      </c>
      <c r="Q1391" s="60">
        <v>0</v>
      </c>
      <c r="R1391" s="60">
        <v>0</v>
      </c>
      <c r="S1391" s="60">
        <v>0</v>
      </c>
      <c r="T1391" s="60">
        <v>0</v>
      </c>
      <c r="U1391" s="60">
        <v>0</v>
      </c>
      <c r="V1391" s="60">
        <v>0</v>
      </c>
      <c r="W1391" s="60">
        <v>0</v>
      </c>
      <c r="X1391" s="60">
        <v>0</v>
      </c>
      <c r="Y1391" s="60">
        <v>0</v>
      </c>
      <c r="Z1391" s="60">
        <v>0</v>
      </c>
      <c r="AA1391" s="60">
        <v>0</v>
      </c>
      <c r="AB1391" s="60">
        <v>0</v>
      </c>
      <c r="AC1391" s="60">
        <v>56708.3</v>
      </c>
      <c r="AD1391" s="60">
        <v>0</v>
      </c>
      <c r="AE1391" s="60">
        <v>0</v>
      </c>
      <c r="AF1391" s="170" t="s">
        <v>257</v>
      </c>
      <c r="AG1391" s="170">
        <v>2022</v>
      </c>
      <c r="AH1391" s="63">
        <v>2022</v>
      </c>
    </row>
    <row r="1392" spans="1:16199" ht="61.5" x14ac:dyDescent="0.85">
      <c r="B1392" s="160" t="s">
        <v>788</v>
      </c>
      <c r="C1392" s="160"/>
      <c r="D1392" s="177">
        <f t="shared" ref="D1392:AE1392" si="267">SUM(D1393:D1395)</f>
        <v>15713847.800000001</v>
      </c>
      <c r="E1392" s="60">
        <f t="shared" si="267"/>
        <v>0</v>
      </c>
      <c r="F1392" s="60">
        <f t="shared" si="267"/>
        <v>0</v>
      </c>
      <c r="G1392" s="60">
        <f t="shared" si="267"/>
        <v>0</v>
      </c>
      <c r="H1392" s="60">
        <f t="shared" si="267"/>
        <v>0</v>
      </c>
      <c r="I1392" s="60">
        <f t="shared" si="267"/>
        <v>0</v>
      </c>
      <c r="J1392" s="60">
        <f t="shared" si="267"/>
        <v>0</v>
      </c>
      <c r="K1392" s="168">
        <f t="shared" si="267"/>
        <v>0</v>
      </c>
      <c r="L1392" s="60">
        <f t="shared" si="267"/>
        <v>0</v>
      </c>
      <c r="M1392" s="60">
        <f t="shared" si="267"/>
        <v>1942.26</v>
      </c>
      <c r="N1392" s="60">
        <f t="shared" si="267"/>
        <v>14940346.25</v>
      </c>
      <c r="O1392" s="60">
        <f t="shared" si="267"/>
        <v>0</v>
      </c>
      <c r="P1392" s="60">
        <f t="shared" si="267"/>
        <v>0</v>
      </c>
      <c r="Q1392" s="60">
        <f t="shared" si="267"/>
        <v>0</v>
      </c>
      <c r="R1392" s="60">
        <f t="shared" si="267"/>
        <v>0</v>
      </c>
      <c r="S1392" s="60">
        <f t="shared" si="267"/>
        <v>0</v>
      </c>
      <c r="T1392" s="60">
        <f t="shared" si="267"/>
        <v>0</v>
      </c>
      <c r="U1392" s="60">
        <f t="shared" si="267"/>
        <v>0</v>
      </c>
      <c r="V1392" s="60">
        <f t="shared" si="267"/>
        <v>0</v>
      </c>
      <c r="W1392" s="60">
        <f t="shared" si="267"/>
        <v>0</v>
      </c>
      <c r="X1392" s="60">
        <f t="shared" si="267"/>
        <v>0</v>
      </c>
      <c r="Y1392" s="60">
        <f t="shared" si="267"/>
        <v>0</v>
      </c>
      <c r="Z1392" s="60">
        <f t="shared" si="267"/>
        <v>0</v>
      </c>
      <c r="AA1392" s="60">
        <f t="shared" si="267"/>
        <v>0</v>
      </c>
      <c r="AB1392" s="60">
        <f t="shared" si="267"/>
        <v>0</v>
      </c>
      <c r="AC1392" s="60">
        <f t="shared" si="267"/>
        <v>319723.41000000003</v>
      </c>
      <c r="AD1392" s="60">
        <f t="shared" si="267"/>
        <v>453778.14</v>
      </c>
      <c r="AE1392" s="60">
        <f t="shared" si="267"/>
        <v>0</v>
      </c>
      <c r="AF1392" s="202" t="s">
        <v>701</v>
      </c>
      <c r="AG1392" s="202" t="s">
        <v>701</v>
      </c>
      <c r="AH1392" s="207" t="s">
        <v>701</v>
      </c>
    </row>
    <row r="1393" spans="1:34" ht="61.5" x14ac:dyDescent="0.85">
      <c r="A1393" s="7">
        <v>1</v>
      </c>
      <c r="B1393" s="59">
        <f>SUBTOTAL(103,$A$1032:A1393)</f>
        <v>319</v>
      </c>
      <c r="C1393" s="186" t="s">
        <v>2477</v>
      </c>
      <c r="D1393" s="60">
        <f>E1393+F1393+G1393+H1393+I1393+J1393+L1393+N1393+P1393+R1393+T1393+U1393+V1393+W1393+X1393+Y1393+Z1393+AA1393+AB1393+AC1393+AD1393+AE1393</f>
        <v>4685364.78</v>
      </c>
      <c r="E1393" s="60">
        <v>0</v>
      </c>
      <c r="F1393" s="60">
        <v>0</v>
      </c>
      <c r="G1393" s="60">
        <v>0</v>
      </c>
      <c r="H1393" s="60">
        <v>0</v>
      </c>
      <c r="I1393" s="60">
        <v>0</v>
      </c>
      <c r="J1393" s="60">
        <v>0</v>
      </c>
      <c r="K1393" s="168">
        <v>0</v>
      </c>
      <c r="L1393" s="60">
        <v>0</v>
      </c>
      <c r="M1393" s="60">
        <v>830.46</v>
      </c>
      <c r="N1393" s="60">
        <v>4464067</v>
      </c>
      <c r="O1393" s="60">
        <v>0</v>
      </c>
      <c r="P1393" s="60">
        <v>0</v>
      </c>
      <c r="Q1393" s="60">
        <v>0</v>
      </c>
      <c r="R1393" s="60">
        <v>0</v>
      </c>
      <c r="S1393" s="60">
        <v>0</v>
      </c>
      <c r="T1393" s="60">
        <v>0</v>
      </c>
      <c r="U1393" s="60">
        <v>0</v>
      </c>
      <c r="V1393" s="60">
        <v>0</v>
      </c>
      <c r="W1393" s="60">
        <v>0</v>
      </c>
      <c r="X1393" s="60">
        <v>0</v>
      </c>
      <c r="Y1393" s="60">
        <v>0</v>
      </c>
      <c r="Z1393" s="60">
        <v>0</v>
      </c>
      <c r="AA1393" s="60">
        <v>0</v>
      </c>
      <c r="AB1393" s="60">
        <v>0</v>
      </c>
      <c r="AC1393" s="188">
        <f>ROUND(N1393*2.14%,2)+ROUND(E1393*2.14%,2)+ROUND(F1393*2.14%,2)+ROUND(G1393*2.14%,2)+ROUND(H1393*2.14%,2)+ROUND(I1393*2.14%,2)+ROUND(J1393*2.14%,2)+ROUND(L1393*2.14%,2)+ROUND(P1393*2.14%,2)+ROUND(R1393*2.14%,2)+ROUND(T1393*2.14%,2)+ROUND(U1393*2.14%,2)+ROUND(V1393*2.14%,2)+ROUND(W1393*2.14%,2)+ROUND(X1393*2.14%,2)+ROUND(Y1393*2.14%,2)+ROUND(Z1393*2.14%,2)+ROUND(AA1393*2.14%,2)+ROUND(AB1393*2.14%,2)</f>
        <v>95531.03</v>
      </c>
      <c r="AD1393" s="60">
        <v>125766.75</v>
      </c>
      <c r="AE1393" s="60">
        <v>0</v>
      </c>
      <c r="AF1393" s="170">
        <v>2022</v>
      </c>
      <c r="AG1393" s="170">
        <v>2022</v>
      </c>
      <c r="AH1393" s="63">
        <v>2022</v>
      </c>
    </row>
    <row r="1394" spans="1:34" ht="61.5" x14ac:dyDescent="0.85">
      <c r="A1394" s="7">
        <v>1</v>
      </c>
      <c r="B1394" s="59">
        <f>SUBTOTAL(103,$A$1032:A1394)</f>
        <v>320</v>
      </c>
      <c r="C1394" s="186" t="s">
        <v>68</v>
      </c>
      <c r="D1394" s="60">
        <f t="shared" ref="D1394:D1395" si="268">E1394+F1394+G1394+H1394+I1394+J1394+L1394+N1394+P1394+R1394+T1394+U1394+V1394+W1394+X1394+Y1394+Z1394+AA1394+AB1394+AC1394+AD1394+AE1394</f>
        <v>169400.76</v>
      </c>
      <c r="E1394" s="60">
        <v>0</v>
      </c>
      <c r="F1394" s="60">
        <v>0</v>
      </c>
      <c r="G1394" s="60">
        <v>0</v>
      </c>
      <c r="H1394" s="60">
        <v>0</v>
      </c>
      <c r="I1394" s="60">
        <v>0</v>
      </c>
      <c r="J1394" s="60">
        <v>0</v>
      </c>
      <c r="K1394" s="168">
        <v>0</v>
      </c>
      <c r="L1394" s="60">
        <v>0</v>
      </c>
      <c r="M1394" s="60">
        <v>0</v>
      </c>
      <c r="N1394" s="60">
        <v>0</v>
      </c>
      <c r="O1394" s="60">
        <v>0</v>
      </c>
      <c r="P1394" s="60">
        <v>0</v>
      </c>
      <c r="Q1394" s="60">
        <v>0</v>
      </c>
      <c r="R1394" s="60">
        <v>0</v>
      </c>
      <c r="S1394" s="60">
        <v>0</v>
      </c>
      <c r="T1394" s="60">
        <v>0</v>
      </c>
      <c r="U1394" s="60">
        <v>0</v>
      </c>
      <c r="V1394" s="60">
        <v>0</v>
      </c>
      <c r="W1394" s="60">
        <v>0</v>
      </c>
      <c r="X1394" s="60">
        <v>0</v>
      </c>
      <c r="Y1394" s="60">
        <v>0</v>
      </c>
      <c r="Z1394" s="60">
        <v>0</v>
      </c>
      <c r="AA1394" s="60">
        <v>0</v>
      </c>
      <c r="AB1394" s="60">
        <v>0</v>
      </c>
      <c r="AC1394" s="60">
        <v>0</v>
      </c>
      <c r="AD1394" s="60">
        <v>169400.76</v>
      </c>
      <c r="AE1394" s="60">
        <v>0</v>
      </c>
      <c r="AF1394" s="170">
        <v>2022</v>
      </c>
      <c r="AG1394" s="170" t="s">
        <v>257</v>
      </c>
      <c r="AH1394" s="63" t="s">
        <v>257</v>
      </c>
    </row>
    <row r="1395" spans="1:34" ht="61.5" x14ac:dyDescent="0.85">
      <c r="A1395" s="7">
        <v>1</v>
      </c>
      <c r="B1395" s="59">
        <f>SUBTOTAL(103,$A$1032:A1395)</f>
        <v>321</v>
      </c>
      <c r="C1395" s="186" t="s">
        <v>67</v>
      </c>
      <c r="D1395" s="60">
        <f t="shared" si="268"/>
        <v>10859082.260000002</v>
      </c>
      <c r="E1395" s="60">
        <v>0</v>
      </c>
      <c r="F1395" s="60">
        <v>0</v>
      </c>
      <c r="G1395" s="60">
        <v>0</v>
      </c>
      <c r="H1395" s="60">
        <v>0</v>
      </c>
      <c r="I1395" s="60">
        <v>0</v>
      </c>
      <c r="J1395" s="60">
        <v>0</v>
      </c>
      <c r="K1395" s="168">
        <v>0</v>
      </c>
      <c r="L1395" s="60">
        <v>0</v>
      </c>
      <c r="M1395" s="60">
        <v>1111.8</v>
      </c>
      <c r="N1395" s="60">
        <v>10476279.25</v>
      </c>
      <c r="O1395" s="60">
        <v>0</v>
      </c>
      <c r="P1395" s="60">
        <v>0</v>
      </c>
      <c r="Q1395" s="60">
        <v>0</v>
      </c>
      <c r="R1395" s="60">
        <v>0</v>
      </c>
      <c r="S1395" s="60">
        <v>0</v>
      </c>
      <c r="T1395" s="60">
        <v>0</v>
      </c>
      <c r="U1395" s="60">
        <v>0</v>
      </c>
      <c r="V1395" s="60">
        <v>0</v>
      </c>
      <c r="W1395" s="60">
        <v>0</v>
      </c>
      <c r="X1395" s="60">
        <v>0</v>
      </c>
      <c r="Y1395" s="60">
        <v>0</v>
      </c>
      <c r="Z1395" s="60">
        <v>0</v>
      </c>
      <c r="AA1395" s="60">
        <v>0</v>
      </c>
      <c r="AB1395" s="60">
        <v>0</v>
      </c>
      <c r="AC1395" s="60">
        <f>ROUND(N1395*2.14%,2)+ROUND(E1395*2.14%,2)+ROUND(F1395*2.14%,2)+ROUND(G1395*2.14%,2)+ROUND(H1395*2.14%,2)+ROUND(I1395*2.14%,2)+ROUND(J1395*2.14%,2)+ROUND(L1395*2.14%,2)+ROUND(P1395*2.14%,2)+ROUND(R1395*2.14%,2)+ROUND(T1395*2.14%,2)+ROUND(U1395*2.14%,2)+ROUND(V1395*2.14%,2)+ROUND(W1395*2.14%,2)+ROUND(X1395*2.14%,2)+ROUND(Y1395*2.14%,2)+ROUND(Z1395*2.14%,2)+ROUND(AA1395*2.14%,2)+ROUND(AB1395*2.14%,2)</f>
        <v>224192.38</v>
      </c>
      <c r="AD1395" s="60">
        <v>158610.63</v>
      </c>
      <c r="AE1395" s="60">
        <v>0</v>
      </c>
      <c r="AF1395" s="170">
        <v>2022</v>
      </c>
      <c r="AG1395" s="170">
        <v>2022</v>
      </c>
      <c r="AH1395" s="63">
        <v>2022</v>
      </c>
    </row>
    <row r="1396" spans="1:34" ht="61.5" x14ac:dyDescent="0.85">
      <c r="B1396" s="160" t="s">
        <v>789</v>
      </c>
      <c r="C1396" s="160"/>
      <c r="D1396" s="177">
        <f t="shared" ref="D1396:AE1396" si="269">SUM(D1397:D1398)</f>
        <v>20129505.800000001</v>
      </c>
      <c r="E1396" s="60">
        <f t="shared" si="269"/>
        <v>0</v>
      </c>
      <c r="F1396" s="60">
        <f t="shared" si="269"/>
        <v>0</v>
      </c>
      <c r="G1396" s="60">
        <f t="shared" si="269"/>
        <v>0</v>
      </c>
      <c r="H1396" s="60">
        <f t="shared" si="269"/>
        <v>0</v>
      </c>
      <c r="I1396" s="60">
        <f t="shared" si="269"/>
        <v>0</v>
      </c>
      <c r="J1396" s="60">
        <f t="shared" si="269"/>
        <v>0</v>
      </c>
      <c r="K1396" s="168">
        <f t="shared" si="269"/>
        <v>0</v>
      </c>
      <c r="L1396" s="60">
        <f t="shared" si="269"/>
        <v>0</v>
      </c>
      <c r="M1396" s="60">
        <f t="shared" si="269"/>
        <v>2549.33</v>
      </c>
      <c r="N1396" s="60">
        <f t="shared" si="269"/>
        <v>19737136</v>
      </c>
      <c r="O1396" s="60">
        <f t="shared" si="269"/>
        <v>0</v>
      </c>
      <c r="P1396" s="60">
        <f t="shared" si="269"/>
        <v>0</v>
      </c>
      <c r="Q1396" s="60">
        <f t="shared" si="269"/>
        <v>0</v>
      </c>
      <c r="R1396" s="60">
        <f t="shared" si="269"/>
        <v>0</v>
      </c>
      <c r="S1396" s="60">
        <f t="shared" si="269"/>
        <v>0</v>
      </c>
      <c r="T1396" s="60">
        <f t="shared" si="269"/>
        <v>0</v>
      </c>
      <c r="U1396" s="60">
        <f t="shared" si="269"/>
        <v>0</v>
      </c>
      <c r="V1396" s="60">
        <f t="shared" si="269"/>
        <v>0</v>
      </c>
      <c r="W1396" s="60">
        <f t="shared" si="269"/>
        <v>0</v>
      </c>
      <c r="X1396" s="60">
        <f t="shared" si="269"/>
        <v>0</v>
      </c>
      <c r="Y1396" s="60">
        <f t="shared" si="269"/>
        <v>0</v>
      </c>
      <c r="Z1396" s="60">
        <f t="shared" si="269"/>
        <v>0</v>
      </c>
      <c r="AA1396" s="60">
        <f t="shared" si="269"/>
        <v>0</v>
      </c>
      <c r="AB1396" s="60">
        <f t="shared" si="269"/>
        <v>0</v>
      </c>
      <c r="AC1396" s="60">
        <f t="shared" si="269"/>
        <v>266079.51</v>
      </c>
      <c r="AD1396" s="60">
        <f t="shared" si="269"/>
        <v>126290.29</v>
      </c>
      <c r="AE1396" s="60">
        <f t="shared" si="269"/>
        <v>0</v>
      </c>
      <c r="AF1396" s="202" t="s">
        <v>701</v>
      </c>
      <c r="AG1396" s="202" t="s">
        <v>701</v>
      </c>
      <c r="AH1396" s="207" t="s">
        <v>701</v>
      </c>
    </row>
    <row r="1397" spans="1:34" ht="61.5" x14ac:dyDescent="0.85">
      <c r="A1397" s="7">
        <v>1</v>
      </c>
      <c r="B1397" s="59">
        <f>SUBTOTAL(103,$A$1032:A1397)</f>
        <v>322</v>
      </c>
      <c r="C1397" s="186" t="s">
        <v>65</v>
      </c>
      <c r="D1397" s="60">
        <f>E1397+F1397+G1397+H1397+I1397+J1397+L1397+N1397+P1397+R1397+T1397+U1397+V1397+W1397+X1397+Y1397+Z1397+AA1397+AB1397+AC1397+AD1397+AE1397</f>
        <v>7489013.3799999999</v>
      </c>
      <c r="E1397" s="60">
        <v>0</v>
      </c>
      <c r="F1397" s="60">
        <v>0</v>
      </c>
      <c r="G1397" s="60">
        <v>0</v>
      </c>
      <c r="H1397" s="60">
        <v>0</v>
      </c>
      <c r="I1397" s="60">
        <v>0</v>
      </c>
      <c r="J1397" s="60">
        <v>0</v>
      </c>
      <c r="K1397" s="168">
        <v>0</v>
      </c>
      <c r="L1397" s="60">
        <v>0</v>
      </c>
      <c r="M1397" s="60">
        <v>826.83</v>
      </c>
      <c r="N1397" s="60">
        <v>7208462</v>
      </c>
      <c r="O1397" s="60">
        <v>0</v>
      </c>
      <c r="P1397" s="60">
        <v>0</v>
      </c>
      <c r="Q1397" s="60">
        <v>0</v>
      </c>
      <c r="R1397" s="60">
        <v>0</v>
      </c>
      <c r="S1397" s="60">
        <v>0</v>
      </c>
      <c r="T1397" s="60">
        <v>0</v>
      </c>
      <c r="U1397" s="60">
        <v>0</v>
      </c>
      <c r="V1397" s="60">
        <v>0</v>
      </c>
      <c r="W1397" s="60">
        <v>0</v>
      </c>
      <c r="X1397" s="60">
        <v>0</v>
      </c>
      <c r="Y1397" s="60">
        <v>0</v>
      </c>
      <c r="Z1397" s="60">
        <v>0</v>
      </c>
      <c r="AA1397" s="60">
        <v>0</v>
      </c>
      <c r="AB1397" s="60">
        <v>0</v>
      </c>
      <c r="AC1397" s="188">
        <f>ROUND(N1397*2.14%,2)+ROUND(E1397*2.14%,2)+ROUND(F1397*2.14%,2)+ROUND(G1397*2.14%,2)+ROUND(H1397*2.14%,2)+ROUND(I1397*2.14%,2)+ROUND(J1397*2.14%,2)+ROUND(L1397*2.14%,2)+ROUND(P1397*2.14%,2)+ROUND(R1397*2.14%,2)+ROUND(T1397*2.14%,2)+ROUND(U1397*2.14%,2)+ROUND(V1397*2.14%,2)+ROUND(W1397*2.14%,2)+ROUND(X1397*2.14%,2)+ROUND(Y1397*2.14%,2)+ROUND(Z1397*2.14%,2)+ROUND(AA1397*2.14%,2)+ROUND(AB1397*2.14%,2)</f>
        <v>154261.09</v>
      </c>
      <c r="AD1397" s="60">
        <v>126290.29</v>
      </c>
      <c r="AE1397" s="60">
        <v>0</v>
      </c>
      <c r="AF1397" s="170">
        <v>2022</v>
      </c>
      <c r="AG1397" s="170">
        <v>2022</v>
      </c>
      <c r="AH1397" s="63">
        <v>2022</v>
      </c>
    </row>
    <row r="1398" spans="1:34" ht="61.5" x14ac:dyDescent="0.85">
      <c r="A1398" s="7">
        <v>1</v>
      </c>
      <c r="B1398" s="59">
        <f>SUBTOTAL(103,$A$1032:A1398)</f>
        <v>323</v>
      </c>
      <c r="C1398" s="160" t="s">
        <v>54</v>
      </c>
      <c r="D1398" s="60">
        <f>E1398+F1398+G1398+H1398+I1398+J1398+L1398+N1398+P1398+R1398+T1398+U1398+V1398+W1398+X1398+Y1398+Z1398+AA1398+AB1398+AC1398+AD1398+AE1398</f>
        <v>12640492.42</v>
      </c>
      <c r="E1398" s="60">
        <v>0</v>
      </c>
      <c r="F1398" s="60">
        <v>0</v>
      </c>
      <c r="G1398" s="60">
        <v>0</v>
      </c>
      <c r="H1398" s="60">
        <v>0</v>
      </c>
      <c r="I1398" s="60">
        <v>0</v>
      </c>
      <c r="J1398" s="60">
        <v>0</v>
      </c>
      <c r="K1398" s="168">
        <v>0</v>
      </c>
      <c r="L1398" s="60">
        <v>0</v>
      </c>
      <c r="M1398" s="60">
        <v>1722.5</v>
      </c>
      <c r="N1398" s="60">
        <v>12528674</v>
      </c>
      <c r="O1398" s="60">
        <v>0</v>
      </c>
      <c r="P1398" s="60">
        <v>0</v>
      </c>
      <c r="Q1398" s="60">
        <v>0</v>
      </c>
      <c r="R1398" s="60">
        <v>0</v>
      </c>
      <c r="S1398" s="60">
        <v>0</v>
      </c>
      <c r="T1398" s="60">
        <v>0</v>
      </c>
      <c r="U1398" s="60">
        <v>0</v>
      </c>
      <c r="V1398" s="60">
        <v>0</v>
      </c>
      <c r="W1398" s="60">
        <v>0</v>
      </c>
      <c r="X1398" s="60">
        <v>0</v>
      </c>
      <c r="Y1398" s="60">
        <v>0</v>
      </c>
      <c r="Z1398" s="60">
        <v>0</v>
      </c>
      <c r="AA1398" s="60">
        <v>0</v>
      </c>
      <c r="AB1398" s="60">
        <v>0</v>
      </c>
      <c r="AC1398" s="188">
        <v>111818.42</v>
      </c>
      <c r="AD1398" s="60">
        <v>0</v>
      </c>
      <c r="AE1398" s="60">
        <v>0</v>
      </c>
      <c r="AF1398" s="170" t="s">
        <v>257</v>
      </c>
      <c r="AG1398" s="170">
        <v>2022</v>
      </c>
      <c r="AH1398" s="63">
        <v>2022</v>
      </c>
    </row>
    <row r="1399" spans="1:34" ht="61.5" x14ac:dyDescent="0.85">
      <c r="B1399" s="160" t="s">
        <v>790</v>
      </c>
      <c r="C1399" s="160"/>
      <c r="D1399" s="177">
        <f>D1400</f>
        <v>97949.35</v>
      </c>
      <c r="E1399" s="60">
        <f t="shared" ref="E1399:AE1399" si="270">E1400</f>
        <v>0</v>
      </c>
      <c r="F1399" s="60">
        <f t="shared" si="270"/>
        <v>0</v>
      </c>
      <c r="G1399" s="60">
        <f t="shared" si="270"/>
        <v>0</v>
      </c>
      <c r="H1399" s="60">
        <f t="shared" si="270"/>
        <v>0</v>
      </c>
      <c r="I1399" s="60">
        <f t="shared" si="270"/>
        <v>0</v>
      </c>
      <c r="J1399" s="60">
        <f t="shared" si="270"/>
        <v>0</v>
      </c>
      <c r="K1399" s="168">
        <f t="shared" si="270"/>
        <v>0</v>
      </c>
      <c r="L1399" s="60">
        <f t="shared" si="270"/>
        <v>0</v>
      </c>
      <c r="M1399" s="60">
        <f t="shared" si="270"/>
        <v>0</v>
      </c>
      <c r="N1399" s="60">
        <f t="shared" si="270"/>
        <v>0</v>
      </c>
      <c r="O1399" s="60">
        <f t="shared" si="270"/>
        <v>0</v>
      </c>
      <c r="P1399" s="60">
        <f t="shared" si="270"/>
        <v>0</v>
      </c>
      <c r="Q1399" s="60">
        <f t="shared" si="270"/>
        <v>0</v>
      </c>
      <c r="R1399" s="60">
        <f t="shared" si="270"/>
        <v>0</v>
      </c>
      <c r="S1399" s="60">
        <f t="shared" si="270"/>
        <v>0</v>
      </c>
      <c r="T1399" s="60">
        <f t="shared" si="270"/>
        <v>0</v>
      </c>
      <c r="U1399" s="60">
        <f t="shared" si="270"/>
        <v>0</v>
      </c>
      <c r="V1399" s="60">
        <f t="shared" si="270"/>
        <v>0</v>
      </c>
      <c r="W1399" s="60">
        <f t="shared" si="270"/>
        <v>0</v>
      </c>
      <c r="X1399" s="60">
        <f t="shared" si="270"/>
        <v>0</v>
      </c>
      <c r="Y1399" s="60">
        <f t="shared" si="270"/>
        <v>0</v>
      </c>
      <c r="Z1399" s="60">
        <f t="shared" si="270"/>
        <v>0</v>
      </c>
      <c r="AA1399" s="60">
        <f t="shared" si="270"/>
        <v>0</v>
      </c>
      <c r="AB1399" s="60">
        <f t="shared" si="270"/>
        <v>0</v>
      </c>
      <c r="AC1399" s="60">
        <f t="shared" si="270"/>
        <v>0</v>
      </c>
      <c r="AD1399" s="60">
        <f t="shared" si="270"/>
        <v>97949.35</v>
      </c>
      <c r="AE1399" s="60">
        <f t="shared" si="270"/>
        <v>0</v>
      </c>
      <c r="AF1399" s="202" t="s">
        <v>701</v>
      </c>
      <c r="AG1399" s="202" t="s">
        <v>701</v>
      </c>
      <c r="AH1399" s="207" t="s">
        <v>701</v>
      </c>
    </row>
    <row r="1400" spans="1:34" ht="61.5" x14ac:dyDescent="0.85">
      <c r="A1400" s="7">
        <v>1</v>
      </c>
      <c r="B1400" s="59">
        <f>SUBTOTAL(103,$A$1032:A1400)</f>
        <v>324</v>
      </c>
      <c r="C1400" s="186" t="s">
        <v>64</v>
      </c>
      <c r="D1400" s="60">
        <f>E1400+F1400+G1400+H1400+I1400+J1400+L1400+N1400+P1400+R1400+T1400+U1400+V1400+W1400+X1400+Y1400+Z1400+AA1400+AB1400+AC1400+AD1400+AE1400</f>
        <v>97949.35</v>
      </c>
      <c r="E1400" s="60">
        <v>0</v>
      </c>
      <c r="F1400" s="60">
        <v>0</v>
      </c>
      <c r="G1400" s="60">
        <v>0</v>
      </c>
      <c r="H1400" s="60">
        <v>0</v>
      </c>
      <c r="I1400" s="60">
        <v>0</v>
      </c>
      <c r="J1400" s="60">
        <v>0</v>
      </c>
      <c r="K1400" s="168">
        <v>0</v>
      </c>
      <c r="L1400" s="60">
        <v>0</v>
      </c>
      <c r="M1400" s="60">
        <v>0</v>
      </c>
      <c r="N1400" s="60">
        <v>0</v>
      </c>
      <c r="O1400" s="60">
        <v>0</v>
      </c>
      <c r="P1400" s="60">
        <v>0</v>
      </c>
      <c r="Q1400" s="60">
        <v>0</v>
      </c>
      <c r="R1400" s="60">
        <v>0</v>
      </c>
      <c r="S1400" s="60">
        <v>0</v>
      </c>
      <c r="T1400" s="60">
        <v>0</v>
      </c>
      <c r="U1400" s="60">
        <v>0</v>
      </c>
      <c r="V1400" s="60">
        <v>0</v>
      </c>
      <c r="W1400" s="60">
        <v>0</v>
      </c>
      <c r="X1400" s="60">
        <v>0</v>
      </c>
      <c r="Y1400" s="60">
        <v>0</v>
      </c>
      <c r="Z1400" s="60">
        <v>0</v>
      </c>
      <c r="AA1400" s="60">
        <v>0</v>
      </c>
      <c r="AB1400" s="60">
        <v>0</v>
      </c>
      <c r="AC1400" s="188">
        <v>0</v>
      </c>
      <c r="AD1400" s="60">
        <v>97949.35</v>
      </c>
      <c r="AE1400" s="60">
        <v>0</v>
      </c>
      <c r="AF1400" s="170">
        <v>2022</v>
      </c>
      <c r="AG1400" s="170" t="s">
        <v>257</v>
      </c>
      <c r="AH1400" s="63" t="s">
        <v>257</v>
      </c>
    </row>
    <row r="1401" spans="1:34" ht="61.5" x14ac:dyDescent="0.85">
      <c r="B1401" s="160" t="s">
        <v>821</v>
      </c>
      <c r="C1401" s="160"/>
      <c r="D1401" s="177">
        <f t="shared" ref="D1401:AE1401" si="271">SUM(D1402:D1402)</f>
        <v>4419668.6100000003</v>
      </c>
      <c r="E1401" s="60">
        <f t="shared" si="271"/>
        <v>0</v>
      </c>
      <c r="F1401" s="60">
        <f t="shared" si="271"/>
        <v>0</v>
      </c>
      <c r="G1401" s="60">
        <f t="shared" si="271"/>
        <v>0</v>
      </c>
      <c r="H1401" s="60">
        <f t="shared" si="271"/>
        <v>0</v>
      </c>
      <c r="I1401" s="60">
        <f t="shared" si="271"/>
        <v>0</v>
      </c>
      <c r="J1401" s="60">
        <f t="shared" si="271"/>
        <v>0</v>
      </c>
      <c r="K1401" s="168">
        <f t="shared" si="271"/>
        <v>0</v>
      </c>
      <c r="L1401" s="60">
        <f t="shared" si="271"/>
        <v>0</v>
      </c>
      <c r="M1401" s="60">
        <f t="shared" si="271"/>
        <v>603.65</v>
      </c>
      <c r="N1401" s="60">
        <f t="shared" si="271"/>
        <v>4380572</v>
      </c>
      <c r="O1401" s="60">
        <f t="shared" si="271"/>
        <v>0</v>
      </c>
      <c r="P1401" s="60">
        <f t="shared" si="271"/>
        <v>0</v>
      </c>
      <c r="Q1401" s="60">
        <f t="shared" si="271"/>
        <v>0</v>
      </c>
      <c r="R1401" s="60">
        <f t="shared" si="271"/>
        <v>0</v>
      </c>
      <c r="S1401" s="60">
        <f t="shared" si="271"/>
        <v>0</v>
      </c>
      <c r="T1401" s="60">
        <f t="shared" si="271"/>
        <v>0</v>
      </c>
      <c r="U1401" s="60">
        <f t="shared" si="271"/>
        <v>0</v>
      </c>
      <c r="V1401" s="60">
        <f t="shared" si="271"/>
        <v>0</v>
      </c>
      <c r="W1401" s="60">
        <f t="shared" si="271"/>
        <v>0</v>
      </c>
      <c r="X1401" s="60">
        <f t="shared" si="271"/>
        <v>0</v>
      </c>
      <c r="Y1401" s="60">
        <f t="shared" si="271"/>
        <v>0</v>
      </c>
      <c r="Z1401" s="60">
        <f t="shared" si="271"/>
        <v>0</v>
      </c>
      <c r="AA1401" s="60">
        <f t="shared" si="271"/>
        <v>0</v>
      </c>
      <c r="AB1401" s="60">
        <f t="shared" si="271"/>
        <v>0</v>
      </c>
      <c r="AC1401" s="60">
        <f t="shared" si="271"/>
        <v>39096.61</v>
      </c>
      <c r="AD1401" s="60">
        <f t="shared" si="271"/>
        <v>0</v>
      </c>
      <c r="AE1401" s="60">
        <f t="shared" si="271"/>
        <v>0</v>
      </c>
      <c r="AF1401" s="202" t="s">
        <v>701</v>
      </c>
      <c r="AG1401" s="202" t="s">
        <v>701</v>
      </c>
      <c r="AH1401" s="207" t="s">
        <v>701</v>
      </c>
    </row>
    <row r="1402" spans="1:34" ht="61.5" x14ac:dyDescent="0.85">
      <c r="A1402" s="7">
        <v>1</v>
      </c>
      <c r="B1402" s="59">
        <f>SUBTOTAL(103,$A$1032:A1402)</f>
        <v>325</v>
      </c>
      <c r="C1402" s="160" t="s">
        <v>55</v>
      </c>
      <c r="D1402" s="60">
        <f>E1402+F1402+G1402+H1402+I1402+J1402+L1402+N1402+P1402+R1402+T1402+U1402+V1402+W1402+X1402+Y1402+Z1402+AA1402+AB1402+AC1402+AD1402+AE1402</f>
        <v>4419668.6100000003</v>
      </c>
      <c r="E1402" s="60">
        <v>0</v>
      </c>
      <c r="F1402" s="60">
        <v>0</v>
      </c>
      <c r="G1402" s="60">
        <v>0</v>
      </c>
      <c r="H1402" s="60">
        <v>0</v>
      </c>
      <c r="I1402" s="60">
        <v>0</v>
      </c>
      <c r="J1402" s="60">
        <v>0</v>
      </c>
      <c r="K1402" s="168">
        <v>0</v>
      </c>
      <c r="L1402" s="60">
        <v>0</v>
      </c>
      <c r="M1402" s="60">
        <v>603.65</v>
      </c>
      <c r="N1402" s="60">
        <v>4380572</v>
      </c>
      <c r="O1402" s="60">
        <v>0</v>
      </c>
      <c r="P1402" s="60">
        <v>0</v>
      </c>
      <c r="Q1402" s="60">
        <v>0</v>
      </c>
      <c r="R1402" s="60">
        <v>0</v>
      </c>
      <c r="S1402" s="60">
        <v>0</v>
      </c>
      <c r="T1402" s="60">
        <v>0</v>
      </c>
      <c r="U1402" s="60">
        <v>0</v>
      </c>
      <c r="V1402" s="60">
        <v>0</v>
      </c>
      <c r="W1402" s="60">
        <v>0</v>
      </c>
      <c r="X1402" s="60">
        <v>0</v>
      </c>
      <c r="Y1402" s="60">
        <v>0</v>
      </c>
      <c r="Z1402" s="60">
        <v>0</v>
      </c>
      <c r="AA1402" s="60">
        <v>0</v>
      </c>
      <c r="AB1402" s="60">
        <v>0</v>
      </c>
      <c r="AC1402" s="60">
        <v>39096.61</v>
      </c>
      <c r="AD1402" s="60">
        <v>0</v>
      </c>
      <c r="AE1402" s="60">
        <v>0</v>
      </c>
      <c r="AF1402" s="170" t="s">
        <v>257</v>
      </c>
      <c r="AG1402" s="170">
        <v>2022</v>
      </c>
      <c r="AH1402" s="63">
        <v>2022</v>
      </c>
    </row>
    <row r="1403" spans="1:34" ht="61.5" x14ac:dyDescent="0.85">
      <c r="B1403" s="160" t="s">
        <v>791</v>
      </c>
      <c r="C1403" s="160"/>
      <c r="D1403" s="177">
        <f t="shared" ref="D1403:AE1403" si="272">SUM(D1404:D1407)</f>
        <v>21711068.34</v>
      </c>
      <c r="E1403" s="60">
        <f t="shared" si="272"/>
        <v>0</v>
      </c>
      <c r="F1403" s="60">
        <f t="shared" si="272"/>
        <v>0</v>
      </c>
      <c r="G1403" s="60">
        <f t="shared" si="272"/>
        <v>0</v>
      </c>
      <c r="H1403" s="60">
        <f t="shared" si="272"/>
        <v>0</v>
      </c>
      <c r="I1403" s="60">
        <f t="shared" si="272"/>
        <v>0</v>
      </c>
      <c r="J1403" s="60">
        <f t="shared" si="272"/>
        <v>0</v>
      </c>
      <c r="K1403" s="168">
        <f t="shared" si="272"/>
        <v>0</v>
      </c>
      <c r="L1403" s="60">
        <f t="shared" si="272"/>
        <v>0</v>
      </c>
      <c r="M1403" s="60">
        <f t="shared" si="272"/>
        <v>2701.66</v>
      </c>
      <c r="N1403" s="60">
        <f t="shared" si="272"/>
        <v>20877079</v>
      </c>
      <c r="O1403" s="60">
        <f t="shared" si="272"/>
        <v>0</v>
      </c>
      <c r="P1403" s="60">
        <f t="shared" si="272"/>
        <v>0</v>
      </c>
      <c r="Q1403" s="60">
        <f t="shared" si="272"/>
        <v>0</v>
      </c>
      <c r="R1403" s="60">
        <f t="shared" si="272"/>
        <v>0</v>
      </c>
      <c r="S1403" s="60">
        <f t="shared" si="272"/>
        <v>0</v>
      </c>
      <c r="T1403" s="60">
        <f t="shared" si="272"/>
        <v>0</v>
      </c>
      <c r="U1403" s="60">
        <f t="shared" si="272"/>
        <v>0</v>
      </c>
      <c r="V1403" s="60">
        <f t="shared" si="272"/>
        <v>0</v>
      </c>
      <c r="W1403" s="60">
        <f t="shared" si="272"/>
        <v>0</v>
      </c>
      <c r="X1403" s="60">
        <f t="shared" si="272"/>
        <v>0</v>
      </c>
      <c r="Y1403" s="60">
        <f t="shared" si="272"/>
        <v>0</v>
      </c>
      <c r="Z1403" s="60">
        <f t="shared" si="272"/>
        <v>0</v>
      </c>
      <c r="AA1403" s="60">
        <f t="shared" si="272"/>
        <v>0</v>
      </c>
      <c r="AB1403" s="60">
        <f t="shared" si="272"/>
        <v>0</v>
      </c>
      <c r="AC1403" s="60">
        <f t="shared" si="272"/>
        <v>438573.86</v>
      </c>
      <c r="AD1403" s="60">
        <f t="shared" si="272"/>
        <v>395415.48</v>
      </c>
      <c r="AE1403" s="60">
        <f t="shared" si="272"/>
        <v>0</v>
      </c>
      <c r="AF1403" s="202" t="s">
        <v>701</v>
      </c>
      <c r="AG1403" s="202" t="s">
        <v>701</v>
      </c>
      <c r="AH1403" s="207" t="s">
        <v>701</v>
      </c>
    </row>
    <row r="1404" spans="1:34" ht="61.5" x14ac:dyDescent="0.85">
      <c r="A1404" s="7">
        <v>1</v>
      </c>
      <c r="B1404" s="59">
        <f>SUBTOTAL(103,$A$1032:A1404)</f>
        <v>326</v>
      </c>
      <c r="C1404" s="186" t="s">
        <v>69</v>
      </c>
      <c r="D1404" s="60">
        <f>E1404+F1404+G1404+H1404+I1404+J1404+L1404+N1404+P1404+R1404+T1404+U1404+V1404+W1404+X1404+Y1404+Z1404+AA1404+AB1404+AC1404+AD1404+AE1404</f>
        <v>3925055.15</v>
      </c>
      <c r="E1404" s="60">
        <v>0</v>
      </c>
      <c r="F1404" s="60">
        <v>0</v>
      </c>
      <c r="G1404" s="60">
        <v>0</v>
      </c>
      <c r="H1404" s="60">
        <v>0</v>
      </c>
      <c r="I1404" s="60">
        <v>0</v>
      </c>
      <c r="J1404" s="60">
        <v>0</v>
      </c>
      <c r="K1404" s="168">
        <v>0</v>
      </c>
      <c r="L1404" s="60">
        <v>0</v>
      </c>
      <c r="M1404" s="60">
        <v>526.16</v>
      </c>
      <c r="N1404" s="60">
        <v>3742652</v>
      </c>
      <c r="O1404" s="60">
        <v>0</v>
      </c>
      <c r="P1404" s="60">
        <v>0</v>
      </c>
      <c r="Q1404" s="60">
        <v>0</v>
      </c>
      <c r="R1404" s="60">
        <v>0</v>
      </c>
      <c r="S1404" s="60">
        <v>0</v>
      </c>
      <c r="T1404" s="60">
        <v>0</v>
      </c>
      <c r="U1404" s="60">
        <v>0</v>
      </c>
      <c r="V1404" s="60">
        <v>0</v>
      </c>
      <c r="W1404" s="60">
        <v>0</v>
      </c>
      <c r="X1404" s="60">
        <v>0</v>
      </c>
      <c r="Y1404" s="60">
        <v>0</v>
      </c>
      <c r="Z1404" s="60">
        <v>0</v>
      </c>
      <c r="AA1404" s="60">
        <v>0</v>
      </c>
      <c r="AB1404" s="60">
        <v>0</v>
      </c>
      <c r="AC1404" s="188">
        <f>ROUND(N1404*2.14%,2)+ROUND(E1404*2.14%,2)+ROUND(F1404*2.14%,2)+ROUND(G1404*2.14%,2)+ROUND(H1404*2.14%,2)+ROUND(I1404*2.14%,2)+ROUND(J1404*2.14%,2)+ROUND(L1404*2.14%,2)+ROUND(P1404*2.14%,2)+ROUND(R1404*2.14%,2)+ROUND(T1404*2.14%,2)+ROUND(U1404*2.14%,2)+ROUND(V1404*2.14%,2)+ROUND(W1404*2.14%,2)+ROUND(X1404*2.14%,2)+ROUND(Y1404*2.14%,2)+ROUND(Z1404*2.14%,2)+ROUND(AA1404*2.14%,2)+ROUND(AB1404*2.14%,2)</f>
        <v>80092.75</v>
      </c>
      <c r="AD1404" s="60">
        <v>102310.39999999999</v>
      </c>
      <c r="AE1404" s="60">
        <v>0</v>
      </c>
      <c r="AF1404" s="170">
        <v>2022</v>
      </c>
      <c r="AG1404" s="170">
        <v>2022</v>
      </c>
      <c r="AH1404" s="63">
        <v>2022</v>
      </c>
    </row>
    <row r="1405" spans="1:34" ht="61.5" x14ac:dyDescent="0.85">
      <c r="A1405" s="7">
        <v>1</v>
      </c>
      <c r="B1405" s="59">
        <f>SUBTOTAL(103,$A$1032:A1405)</f>
        <v>327</v>
      </c>
      <c r="C1405" s="186" t="s">
        <v>70</v>
      </c>
      <c r="D1405" s="60">
        <f>E1405+F1405+G1405+H1405+I1405+J1405+L1405+N1405+P1405+R1405+T1405+U1405+V1405+W1405+X1405+Y1405+Z1405+AA1405+AB1405+AC1405+AD1405+AE1405</f>
        <v>8015688.3400000008</v>
      </c>
      <c r="E1405" s="60">
        <v>0</v>
      </c>
      <c r="F1405" s="60">
        <v>0</v>
      </c>
      <c r="G1405" s="60">
        <v>0</v>
      </c>
      <c r="H1405" s="60">
        <v>0</v>
      </c>
      <c r="I1405" s="60">
        <v>0</v>
      </c>
      <c r="J1405" s="60">
        <v>0</v>
      </c>
      <c r="K1405" s="168">
        <v>0</v>
      </c>
      <c r="L1405" s="60">
        <v>0</v>
      </c>
      <c r="M1405" s="60">
        <v>899</v>
      </c>
      <c r="N1405" s="60">
        <v>7724019</v>
      </c>
      <c r="O1405" s="60">
        <v>0</v>
      </c>
      <c r="P1405" s="60">
        <v>0</v>
      </c>
      <c r="Q1405" s="60">
        <v>0</v>
      </c>
      <c r="R1405" s="60">
        <v>0</v>
      </c>
      <c r="S1405" s="60">
        <v>0</v>
      </c>
      <c r="T1405" s="60">
        <v>0</v>
      </c>
      <c r="U1405" s="60">
        <v>0</v>
      </c>
      <c r="V1405" s="60">
        <v>0</v>
      </c>
      <c r="W1405" s="60">
        <v>0</v>
      </c>
      <c r="X1405" s="60">
        <v>0</v>
      </c>
      <c r="Y1405" s="60">
        <v>0</v>
      </c>
      <c r="Z1405" s="60">
        <v>0</v>
      </c>
      <c r="AA1405" s="60">
        <v>0</v>
      </c>
      <c r="AB1405" s="60">
        <v>0</v>
      </c>
      <c r="AC1405" s="188">
        <v>160335.19</v>
      </c>
      <c r="AD1405" s="60">
        <v>131334.15</v>
      </c>
      <c r="AE1405" s="60">
        <v>0</v>
      </c>
      <c r="AF1405" s="170">
        <v>2022</v>
      </c>
      <c r="AG1405" s="170">
        <v>2022</v>
      </c>
      <c r="AH1405" s="63">
        <v>2022</v>
      </c>
    </row>
    <row r="1406" spans="1:34" ht="61.5" x14ac:dyDescent="0.85">
      <c r="A1406" s="7">
        <v>1</v>
      </c>
      <c r="B1406" s="59">
        <f>SUBTOTAL(103,$A$1032:A1406)</f>
        <v>328</v>
      </c>
      <c r="C1406" s="186" t="s">
        <v>71</v>
      </c>
      <c r="D1406" s="60">
        <f>E1406+F1406+G1406+H1406+I1406+J1406+L1406+N1406+P1406+R1406+T1406+U1406+V1406+W1406+X1406+Y1406+Z1406+AA1406+AB1406+AC1406+AD1406+AE1406</f>
        <v>5226630.33</v>
      </c>
      <c r="E1406" s="60">
        <v>0</v>
      </c>
      <c r="F1406" s="60">
        <v>0</v>
      </c>
      <c r="G1406" s="60">
        <v>0</v>
      </c>
      <c r="H1406" s="60">
        <v>0</v>
      </c>
      <c r="I1406" s="60">
        <v>0</v>
      </c>
      <c r="J1406" s="60">
        <v>0</v>
      </c>
      <c r="K1406" s="168">
        <v>0</v>
      </c>
      <c r="L1406" s="60">
        <v>0</v>
      </c>
      <c r="M1406" s="60">
        <v>645.79999999999995</v>
      </c>
      <c r="N1406" s="60">
        <v>5041755</v>
      </c>
      <c r="O1406" s="60">
        <v>0</v>
      </c>
      <c r="P1406" s="60">
        <v>0</v>
      </c>
      <c r="Q1406" s="60">
        <v>0</v>
      </c>
      <c r="R1406" s="60">
        <v>0</v>
      </c>
      <c r="S1406" s="60">
        <v>0</v>
      </c>
      <c r="T1406" s="60">
        <v>0</v>
      </c>
      <c r="U1406" s="60">
        <v>0</v>
      </c>
      <c r="V1406" s="60">
        <v>0</v>
      </c>
      <c r="W1406" s="60">
        <v>0</v>
      </c>
      <c r="X1406" s="60">
        <v>0</v>
      </c>
      <c r="Y1406" s="60">
        <v>0</v>
      </c>
      <c r="Z1406" s="60">
        <v>0</v>
      </c>
      <c r="AA1406" s="60">
        <v>0</v>
      </c>
      <c r="AB1406" s="60">
        <v>0</v>
      </c>
      <c r="AC1406" s="60">
        <v>104656.75</v>
      </c>
      <c r="AD1406" s="60">
        <v>80218.58</v>
      </c>
      <c r="AE1406" s="60">
        <v>0</v>
      </c>
      <c r="AF1406" s="170">
        <v>2022</v>
      </c>
      <c r="AG1406" s="170">
        <v>2022</v>
      </c>
      <c r="AH1406" s="63">
        <v>2022</v>
      </c>
    </row>
    <row r="1407" spans="1:34" ht="61.5" x14ac:dyDescent="0.85">
      <c r="A1407" s="7">
        <v>1</v>
      </c>
      <c r="B1407" s="59">
        <f>SUBTOTAL(103,$A$1032:A1407)</f>
        <v>329</v>
      </c>
      <c r="C1407" s="160" t="s">
        <v>2157</v>
      </c>
      <c r="D1407" s="60">
        <f>E1407+F1407+G1407+H1407+I1407+J1407+L1407+N1407+P1407+R1407+T1407+U1407+V1407+W1407+X1407+Y1407+Z1407+AA1407+AB1407+AC1407+AD1407+AE1407</f>
        <v>4543694.5199999996</v>
      </c>
      <c r="E1407" s="60">
        <v>0</v>
      </c>
      <c r="F1407" s="60">
        <v>0</v>
      </c>
      <c r="G1407" s="60">
        <v>0</v>
      </c>
      <c r="H1407" s="60">
        <v>0</v>
      </c>
      <c r="I1407" s="60">
        <v>0</v>
      </c>
      <c r="J1407" s="60">
        <v>0</v>
      </c>
      <c r="K1407" s="168">
        <v>0</v>
      </c>
      <c r="L1407" s="60">
        <v>0</v>
      </c>
      <c r="M1407" s="60">
        <v>630.70000000000005</v>
      </c>
      <c r="N1407" s="62">
        <v>4368653</v>
      </c>
      <c r="O1407" s="60">
        <v>0</v>
      </c>
      <c r="P1407" s="60">
        <v>0</v>
      </c>
      <c r="Q1407" s="60">
        <v>0</v>
      </c>
      <c r="R1407" s="60">
        <v>0</v>
      </c>
      <c r="S1407" s="60">
        <v>0</v>
      </c>
      <c r="T1407" s="60">
        <v>0</v>
      </c>
      <c r="U1407" s="60">
        <v>0</v>
      </c>
      <c r="V1407" s="60">
        <v>0</v>
      </c>
      <c r="W1407" s="60">
        <v>0</v>
      </c>
      <c r="X1407" s="60">
        <v>0</v>
      </c>
      <c r="Y1407" s="60">
        <v>0</v>
      </c>
      <c r="Z1407" s="60">
        <v>0</v>
      </c>
      <c r="AA1407" s="60">
        <v>0</v>
      </c>
      <c r="AB1407" s="60">
        <v>0</v>
      </c>
      <c r="AC1407" s="188">
        <f>ROUND(N1407*2.14%,2)+ROUND(E1407*2.14%,2)+ROUND(F1407*2.14%,2)+ROUND(G1407*2.14%,2)+ROUND(H1407*2.14%,2)+ROUND(I1407*2.14%,2)+ROUND(J1407*2.14%,2)+ROUND(L1407*2.14%,2)+ROUND(P1407*2.14%,2)+ROUND(R1407*2.14%,2)+ROUND(T1407*2.14%,2)+ROUND(U1407*2.14%,2)+ROUND(V1407*2.14%,2)+ROUND(W1407*2.14%,2)+ROUND(X1407*2.14%,2)+ROUND(Y1407*2.14%,2)+ROUND(Z1407*2.14%,2)+ROUND(AA1407*2.14%,2)+ROUND(AB1407*2.14%,2)</f>
        <v>93489.17</v>
      </c>
      <c r="AD1407" s="60">
        <v>81552.350000000006</v>
      </c>
      <c r="AE1407" s="60">
        <v>0</v>
      </c>
      <c r="AF1407" s="170">
        <v>2022</v>
      </c>
      <c r="AG1407" s="170">
        <v>2022</v>
      </c>
      <c r="AH1407" s="63">
        <v>2022</v>
      </c>
    </row>
    <row r="1408" spans="1:34" ht="61.5" x14ac:dyDescent="0.85">
      <c r="B1408" s="160" t="s">
        <v>787</v>
      </c>
      <c r="C1408" s="160"/>
      <c r="D1408" s="177">
        <f>SUM(D1409:D1410)</f>
        <v>10299372.709999999</v>
      </c>
      <c r="E1408" s="60">
        <f>SUM(E1409:E1410)</f>
        <v>0</v>
      </c>
      <c r="F1408" s="60">
        <f t="shared" ref="F1408:AE1408" si="273">SUM(F1409:F1410)</f>
        <v>0</v>
      </c>
      <c r="G1408" s="60">
        <f t="shared" si="273"/>
        <v>0</v>
      </c>
      <c r="H1408" s="60">
        <f t="shared" si="273"/>
        <v>0</v>
      </c>
      <c r="I1408" s="60">
        <f t="shared" si="273"/>
        <v>0</v>
      </c>
      <c r="J1408" s="60">
        <f t="shared" si="273"/>
        <v>0</v>
      </c>
      <c r="K1408" s="168">
        <f t="shared" si="273"/>
        <v>0</v>
      </c>
      <c r="L1408" s="60">
        <f t="shared" si="273"/>
        <v>0</v>
      </c>
      <c r="M1408" s="60">
        <f t="shared" si="273"/>
        <v>1407</v>
      </c>
      <c r="N1408" s="60">
        <f t="shared" si="273"/>
        <v>10059042</v>
      </c>
      <c r="O1408" s="60">
        <f t="shared" si="273"/>
        <v>0</v>
      </c>
      <c r="P1408" s="60">
        <f t="shared" si="273"/>
        <v>0</v>
      </c>
      <c r="Q1408" s="60">
        <f t="shared" si="273"/>
        <v>0</v>
      </c>
      <c r="R1408" s="60">
        <f t="shared" si="273"/>
        <v>0</v>
      </c>
      <c r="S1408" s="60">
        <f t="shared" si="273"/>
        <v>0</v>
      </c>
      <c r="T1408" s="60">
        <f t="shared" si="273"/>
        <v>0</v>
      </c>
      <c r="U1408" s="60">
        <f t="shared" si="273"/>
        <v>0</v>
      </c>
      <c r="V1408" s="60">
        <f t="shared" si="273"/>
        <v>0</v>
      </c>
      <c r="W1408" s="60">
        <f t="shared" si="273"/>
        <v>0</v>
      </c>
      <c r="X1408" s="60">
        <f t="shared" si="273"/>
        <v>0</v>
      </c>
      <c r="Y1408" s="60">
        <f t="shared" si="273"/>
        <v>0</v>
      </c>
      <c r="Z1408" s="60">
        <f t="shared" si="273"/>
        <v>0</v>
      </c>
      <c r="AA1408" s="60">
        <f t="shared" si="273"/>
        <v>0</v>
      </c>
      <c r="AB1408" s="60">
        <f t="shared" si="273"/>
        <v>0</v>
      </c>
      <c r="AC1408" s="60">
        <f t="shared" si="273"/>
        <v>89776.95</v>
      </c>
      <c r="AD1408" s="60">
        <f t="shared" si="273"/>
        <v>150553.76</v>
      </c>
      <c r="AE1408" s="60">
        <f t="shared" si="273"/>
        <v>0</v>
      </c>
      <c r="AF1408" s="202" t="s">
        <v>701</v>
      </c>
      <c r="AG1408" s="202" t="s">
        <v>701</v>
      </c>
      <c r="AH1408" s="207" t="s">
        <v>701</v>
      </c>
    </row>
    <row r="1409" spans="1:34" ht="61.5" x14ac:dyDescent="0.85">
      <c r="A1409" s="7">
        <v>1</v>
      </c>
      <c r="B1409" s="59">
        <f>SUBTOTAL(103,$A$1032:A1409)</f>
        <v>330</v>
      </c>
      <c r="C1409" s="160" t="s">
        <v>41</v>
      </c>
      <c r="D1409" s="60">
        <f>E1409+F1409+G1409+H1409+I1409+J1409+L1409+N1409+P1409+R1409+T1409+U1409+V1409+W1409+X1409+Y1409+Z1409+AA1409+AB1409+AC1409+AD1409+AE1409</f>
        <v>10148818.949999999</v>
      </c>
      <c r="E1409" s="60">
        <v>0</v>
      </c>
      <c r="F1409" s="60">
        <v>0</v>
      </c>
      <c r="G1409" s="60">
        <v>0</v>
      </c>
      <c r="H1409" s="60">
        <v>0</v>
      </c>
      <c r="I1409" s="60">
        <v>0</v>
      </c>
      <c r="J1409" s="60">
        <v>0</v>
      </c>
      <c r="K1409" s="168">
        <v>0</v>
      </c>
      <c r="L1409" s="60">
        <v>0</v>
      </c>
      <c r="M1409" s="60">
        <v>1407</v>
      </c>
      <c r="N1409" s="60">
        <v>10059042</v>
      </c>
      <c r="O1409" s="60">
        <v>0</v>
      </c>
      <c r="P1409" s="60">
        <v>0</v>
      </c>
      <c r="Q1409" s="60">
        <v>0</v>
      </c>
      <c r="R1409" s="60">
        <v>0</v>
      </c>
      <c r="S1409" s="60">
        <v>0</v>
      </c>
      <c r="T1409" s="60">
        <v>0</v>
      </c>
      <c r="U1409" s="60">
        <v>0</v>
      </c>
      <c r="V1409" s="60">
        <v>0</v>
      </c>
      <c r="W1409" s="60">
        <v>0</v>
      </c>
      <c r="X1409" s="60">
        <v>0</v>
      </c>
      <c r="Y1409" s="60">
        <v>0</v>
      </c>
      <c r="Z1409" s="60">
        <v>0</v>
      </c>
      <c r="AA1409" s="60">
        <v>0</v>
      </c>
      <c r="AB1409" s="60">
        <v>0</v>
      </c>
      <c r="AC1409" s="60">
        <v>89776.95</v>
      </c>
      <c r="AD1409" s="60">
        <v>0</v>
      </c>
      <c r="AE1409" s="60">
        <v>0</v>
      </c>
      <c r="AF1409" s="170" t="s">
        <v>257</v>
      </c>
      <c r="AG1409" s="170">
        <v>2022</v>
      </c>
      <c r="AH1409" s="63">
        <v>2022</v>
      </c>
    </row>
    <row r="1410" spans="1:34" ht="61.5" x14ac:dyDescent="0.85">
      <c r="A1410" s="7">
        <v>1</v>
      </c>
      <c r="B1410" s="59">
        <f>SUBTOTAL(103,$A$1032:A1410)</f>
        <v>331</v>
      </c>
      <c r="C1410" s="160" t="s">
        <v>3298</v>
      </c>
      <c r="D1410" s="60">
        <f>E1410+F1410+G1410+H1410+I1410+J1410+L1410+N1410+P1410+R1410+T1410+U1410+V1410+W1410+X1410+Y1410+Z1410+AA1410+AB1410+AC1410+AD1410+AE1410</f>
        <v>150553.76</v>
      </c>
      <c r="E1410" s="60">
        <v>0</v>
      </c>
      <c r="F1410" s="60">
        <v>0</v>
      </c>
      <c r="G1410" s="60">
        <v>0</v>
      </c>
      <c r="H1410" s="60">
        <v>0</v>
      </c>
      <c r="I1410" s="60">
        <v>0</v>
      </c>
      <c r="J1410" s="60">
        <v>0</v>
      </c>
      <c r="K1410" s="168">
        <v>0</v>
      </c>
      <c r="L1410" s="60">
        <v>0</v>
      </c>
      <c r="M1410" s="60">
        <v>0</v>
      </c>
      <c r="N1410" s="60">
        <v>0</v>
      </c>
      <c r="O1410" s="60">
        <v>0</v>
      </c>
      <c r="P1410" s="60">
        <v>0</v>
      </c>
      <c r="Q1410" s="60">
        <v>0</v>
      </c>
      <c r="R1410" s="60">
        <v>0</v>
      </c>
      <c r="S1410" s="60">
        <v>0</v>
      </c>
      <c r="T1410" s="60">
        <v>0</v>
      </c>
      <c r="U1410" s="60">
        <v>0</v>
      </c>
      <c r="V1410" s="60">
        <v>0</v>
      </c>
      <c r="W1410" s="60">
        <v>0</v>
      </c>
      <c r="X1410" s="60">
        <v>0</v>
      </c>
      <c r="Y1410" s="60">
        <v>0</v>
      </c>
      <c r="Z1410" s="60">
        <v>0</v>
      </c>
      <c r="AA1410" s="60">
        <v>0</v>
      </c>
      <c r="AB1410" s="60">
        <v>0</v>
      </c>
      <c r="AC1410" s="60">
        <v>0</v>
      </c>
      <c r="AD1410" s="60">
        <v>150553.76</v>
      </c>
      <c r="AE1410" s="60">
        <v>0</v>
      </c>
      <c r="AF1410" s="170">
        <v>2022</v>
      </c>
      <c r="AG1410" s="170" t="s">
        <v>257</v>
      </c>
      <c r="AH1410" s="63" t="s">
        <v>257</v>
      </c>
    </row>
    <row r="1411" spans="1:34" ht="61.5" x14ac:dyDescent="0.85">
      <c r="B1411" s="160" t="s">
        <v>792</v>
      </c>
      <c r="C1411" s="176"/>
      <c r="D1411" s="177">
        <f t="shared" ref="D1411:AE1411" si="274">SUM(D1412:D1412)</f>
        <v>6289893.4800000004</v>
      </c>
      <c r="E1411" s="60">
        <f t="shared" si="274"/>
        <v>0</v>
      </c>
      <c r="F1411" s="60">
        <f t="shared" si="274"/>
        <v>0</v>
      </c>
      <c r="G1411" s="60">
        <f t="shared" si="274"/>
        <v>0</v>
      </c>
      <c r="H1411" s="60">
        <f t="shared" si="274"/>
        <v>0</v>
      </c>
      <c r="I1411" s="60">
        <f t="shared" si="274"/>
        <v>0</v>
      </c>
      <c r="J1411" s="60">
        <f t="shared" si="274"/>
        <v>0</v>
      </c>
      <c r="K1411" s="168">
        <f t="shared" si="274"/>
        <v>0</v>
      </c>
      <c r="L1411" s="60">
        <f t="shared" si="274"/>
        <v>0</v>
      </c>
      <c r="M1411" s="60">
        <f t="shared" si="274"/>
        <v>842</v>
      </c>
      <c r="N1411" s="60">
        <f t="shared" si="274"/>
        <v>6129204.4000000004</v>
      </c>
      <c r="O1411" s="60">
        <f t="shared" si="274"/>
        <v>0</v>
      </c>
      <c r="P1411" s="60">
        <f t="shared" si="274"/>
        <v>0</v>
      </c>
      <c r="Q1411" s="60">
        <f t="shared" si="274"/>
        <v>0</v>
      </c>
      <c r="R1411" s="60">
        <f t="shared" si="274"/>
        <v>0</v>
      </c>
      <c r="S1411" s="60">
        <f t="shared" si="274"/>
        <v>0</v>
      </c>
      <c r="T1411" s="60">
        <f t="shared" si="274"/>
        <v>0</v>
      </c>
      <c r="U1411" s="60">
        <f t="shared" si="274"/>
        <v>0</v>
      </c>
      <c r="V1411" s="60">
        <f t="shared" si="274"/>
        <v>0</v>
      </c>
      <c r="W1411" s="60">
        <f t="shared" si="274"/>
        <v>0</v>
      </c>
      <c r="X1411" s="60">
        <f t="shared" si="274"/>
        <v>0</v>
      </c>
      <c r="Y1411" s="60">
        <f t="shared" si="274"/>
        <v>0</v>
      </c>
      <c r="Z1411" s="60">
        <f t="shared" si="274"/>
        <v>0</v>
      </c>
      <c r="AA1411" s="60">
        <f t="shared" si="274"/>
        <v>0</v>
      </c>
      <c r="AB1411" s="60">
        <f t="shared" si="274"/>
        <v>0</v>
      </c>
      <c r="AC1411" s="60">
        <f t="shared" si="274"/>
        <v>64926.66</v>
      </c>
      <c r="AD1411" s="60">
        <f t="shared" si="274"/>
        <v>95762.42</v>
      </c>
      <c r="AE1411" s="60">
        <f t="shared" si="274"/>
        <v>0</v>
      </c>
      <c r="AF1411" s="202" t="s">
        <v>701</v>
      </c>
      <c r="AG1411" s="202" t="s">
        <v>701</v>
      </c>
      <c r="AH1411" s="207" t="s">
        <v>701</v>
      </c>
    </row>
    <row r="1412" spans="1:34" ht="61.5" x14ac:dyDescent="0.85">
      <c r="A1412" s="7">
        <v>1</v>
      </c>
      <c r="B1412" s="59">
        <f>SUBTOTAL(103,$A$1032:A1412)</f>
        <v>332</v>
      </c>
      <c r="C1412" s="186" t="s">
        <v>215</v>
      </c>
      <c r="D1412" s="60">
        <f>E1412+F1412+G1412+H1412+I1412+J1412+L1412+N1412+P1412+R1412+T1412+U1412+V1412+W1412+X1412+Y1412+Z1412+AA1412+AB1412+AC1412+AD1412+AE1412</f>
        <v>6289893.4800000004</v>
      </c>
      <c r="E1412" s="60">
        <v>0</v>
      </c>
      <c r="F1412" s="60">
        <v>0</v>
      </c>
      <c r="G1412" s="60">
        <v>0</v>
      </c>
      <c r="H1412" s="60">
        <v>0</v>
      </c>
      <c r="I1412" s="60">
        <v>0</v>
      </c>
      <c r="J1412" s="60">
        <v>0</v>
      </c>
      <c r="K1412" s="168">
        <v>0</v>
      </c>
      <c r="L1412" s="60">
        <v>0</v>
      </c>
      <c r="M1412" s="60">
        <v>842</v>
      </c>
      <c r="N1412" s="60">
        <v>6129204.4000000004</v>
      </c>
      <c r="O1412" s="60">
        <v>0</v>
      </c>
      <c r="P1412" s="60">
        <v>0</v>
      </c>
      <c r="Q1412" s="60">
        <v>0</v>
      </c>
      <c r="R1412" s="60">
        <v>0</v>
      </c>
      <c r="S1412" s="60">
        <v>0</v>
      </c>
      <c r="T1412" s="60">
        <v>0</v>
      </c>
      <c r="U1412" s="60">
        <v>0</v>
      </c>
      <c r="V1412" s="60">
        <v>0</v>
      </c>
      <c r="W1412" s="60">
        <v>0</v>
      </c>
      <c r="X1412" s="60">
        <v>0</v>
      </c>
      <c r="Y1412" s="60">
        <v>0</v>
      </c>
      <c r="Z1412" s="60">
        <v>0</v>
      </c>
      <c r="AA1412" s="60">
        <v>0</v>
      </c>
      <c r="AB1412" s="60">
        <v>0</v>
      </c>
      <c r="AC1412" s="60">
        <f t="shared" ref="AC1412" si="275">ROUND(N1412*1.0593%,2)+ROUND(E1412*1.0593%,2)+ROUND(F1412*1.0593%,2)+ROUND(G1412*1.0593%,2)+ROUND(H1412*1.0593%,2)+ROUND(I1412*1.0593%,2)+ROUND(J1412*1.0593%,2)+ROUND(L1412*1.0593%,2)+ROUND(P1412*1.0593%,2)+ROUND(R1412*1.0593%,2)+ROUND(T1412*1.0593%,2)+ROUND(U1412*1.0593%,2)+ROUND(V1412*1.0593%,2)+ROUND(W1412*1.0593%,2)+ROUND(X1412*1.0593%,2)+ROUND(Y1412*1.0593%,2)+ROUND(Z1412*1.0593%,2)+ROUND(AA1412*1.0593%,2)+ROUND(AB1412*1.0593%,2)</f>
        <v>64926.66</v>
      </c>
      <c r="AD1412" s="60">
        <v>95762.42</v>
      </c>
      <c r="AE1412" s="60">
        <v>0</v>
      </c>
      <c r="AF1412" s="170">
        <v>2022</v>
      </c>
      <c r="AG1412" s="170">
        <v>2022</v>
      </c>
      <c r="AH1412" s="63">
        <v>2022</v>
      </c>
    </row>
    <row r="1413" spans="1:34" ht="61.5" x14ac:dyDescent="0.85">
      <c r="B1413" s="160" t="s">
        <v>794</v>
      </c>
      <c r="C1413" s="176"/>
      <c r="D1413" s="177">
        <f t="shared" ref="D1413:AE1413" si="276">SUM(D1414:D1414)</f>
        <v>1969154.2</v>
      </c>
      <c r="E1413" s="60">
        <f t="shared" si="276"/>
        <v>0</v>
      </c>
      <c r="F1413" s="60">
        <f t="shared" si="276"/>
        <v>0</v>
      </c>
      <c r="G1413" s="60">
        <f t="shared" si="276"/>
        <v>0</v>
      </c>
      <c r="H1413" s="60">
        <f t="shared" si="276"/>
        <v>0</v>
      </c>
      <c r="I1413" s="60">
        <f t="shared" si="276"/>
        <v>0</v>
      </c>
      <c r="J1413" s="60">
        <f t="shared" si="276"/>
        <v>0</v>
      </c>
      <c r="K1413" s="168">
        <f t="shared" si="276"/>
        <v>0</v>
      </c>
      <c r="L1413" s="60">
        <f t="shared" si="276"/>
        <v>0</v>
      </c>
      <c r="M1413" s="60">
        <f t="shared" si="276"/>
        <v>297.24</v>
      </c>
      <c r="N1413" s="60">
        <f t="shared" si="276"/>
        <v>1846754</v>
      </c>
      <c r="O1413" s="60">
        <f t="shared" si="276"/>
        <v>0</v>
      </c>
      <c r="P1413" s="60">
        <f t="shared" si="276"/>
        <v>0</v>
      </c>
      <c r="Q1413" s="60">
        <f t="shared" si="276"/>
        <v>0</v>
      </c>
      <c r="R1413" s="60">
        <f t="shared" si="276"/>
        <v>0</v>
      </c>
      <c r="S1413" s="60">
        <f t="shared" si="276"/>
        <v>0</v>
      </c>
      <c r="T1413" s="60">
        <f t="shared" si="276"/>
        <v>0</v>
      </c>
      <c r="U1413" s="60">
        <f t="shared" si="276"/>
        <v>0</v>
      </c>
      <c r="V1413" s="60">
        <f t="shared" si="276"/>
        <v>0</v>
      </c>
      <c r="W1413" s="60">
        <f t="shared" si="276"/>
        <v>0</v>
      </c>
      <c r="X1413" s="60">
        <f t="shared" si="276"/>
        <v>0</v>
      </c>
      <c r="Y1413" s="60">
        <f t="shared" si="276"/>
        <v>0</v>
      </c>
      <c r="Z1413" s="60">
        <f t="shared" si="276"/>
        <v>0</v>
      </c>
      <c r="AA1413" s="60">
        <f t="shared" si="276"/>
        <v>0</v>
      </c>
      <c r="AB1413" s="60">
        <f t="shared" si="276"/>
        <v>0</v>
      </c>
      <c r="AC1413" s="60">
        <f t="shared" si="276"/>
        <v>39520.54</v>
      </c>
      <c r="AD1413" s="60">
        <f t="shared" si="276"/>
        <v>82879.66</v>
      </c>
      <c r="AE1413" s="60">
        <f t="shared" si="276"/>
        <v>0</v>
      </c>
      <c r="AF1413" s="54" t="s">
        <v>701</v>
      </c>
      <c r="AG1413" s="54" t="s">
        <v>701</v>
      </c>
      <c r="AH1413" s="55" t="s">
        <v>701</v>
      </c>
    </row>
    <row r="1414" spans="1:34" ht="61.5" x14ac:dyDescent="0.85">
      <c r="A1414" s="7">
        <v>1</v>
      </c>
      <c r="B1414" s="59">
        <f>SUBTOTAL(103,$A$1032:A1414)</f>
        <v>333</v>
      </c>
      <c r="C1414" s="160" t="s">
        <v>145</v>
      </c>
      <c r="D1414" s="60">
        <f>E1414+F1414+G1414+H1414+I1414+J1414+L1414+N1414+P1414+R1414+T1414+U1414+V1414+W1414+X1414+Y1414+Z1414+AA1414+AB1414+AC1414+AD1414+AE1414</f>
        <v>1969154.2</v>
      </c>
      <c r="E1414" s="60">
        <v>0</v>
      </c>
      <c r="F1414" s="60">
        <v>0</v>
      </c>
      <c r="G1414" s="60">
        <v>0</v>
      </c>
      <c r="H1414" s="60">
        <v>0</v>
      </c>
      <c r="I1414" s="60">
        <v>0</v>
      </c>
      <c r="J1414" s="60">
        <v>0</v>
      </c>
      <c r="K1414" s="168">
        <v>0</v>
      </c>
      <c r="L1414" s="60">
        <v>0</v>
      </c>
      <c r="M1414" s="60">
        <v>297.24</v>
      </c>
      <c r="N1414" s="60">
        <v>1846754</v>
      </c>
      <c r="O1414" s="60">
        <v>0</v>
      </c>
      <c r="P1414" s="60">
        <v>0</v>
      </c>
      <c r="Q1414" s="60">
        <v>0</v>
      </c>
      <c r="R1414" s="60">
        <v>0</v>
      </c>
      <c r="S1414" s="60">
        <v>0</v>
      </c>
      <c r="T1414" s="60">
        <v>0</v>
      </c>
      <c r="U1414" s="60">
        <v>0</v>
      </c>
      <c r="V1414" s="60">
        <v>0</v>
      </c>
      <c r="W1414" s="60">
        <v>0</v>
      </c>
      <c r="X1414" s="60">
        <v>0</v>
      </c>
      <c r="Y1414" s="60">
        <v>0</v>
      </c>
      <c r="Z1414" s="60">
        <v>0</v>
      </c>
      <c r="AA1414" s="60">
        <v>0</v>
      </c>
      <c r="AB1414" s="60">
        <v>0</v>
      </c>
      <c r="AC1414" s="188">
        <f t="shared" ref="AC1414" si="277">ROUND(N1414*2.14%,2)+ROUND(E1414*2.14%,2)+ROUND(F1414*2.14%,2)+ROUND(G1414*2.14%,2)+ROUND(H1414*2.14%,2)+ROUND(I1414*2.14%,2)+ROUND(J1414*2.14%,2)+ROUND(L1414*2.14%,2)+ROUND(P1414*2.14%,2)+ROUND(R1414*2.14%,2)+ROUND(T1414*2.14%,2)+ROUND(U1414*2.14%,2)+ROUND(V1414*2.14%,2)+ROUND(W1414*2.14%,2)+ROUND(X1414*2.14%,2)+ROUND(Y1414*2.14%,2)+ROUND(Z1414*2.14%,2)+ROUND(AA1414*2.14%,2)+ROUND(AB1414*2.14%,2)</f>
        <v>39520.54</v>
      </c>
      <c r="AD1414" s="60">
        <v>82879.66</v>
      </c>
      <c r="AE1414" s="60">
        <v>0</v>
      </c>
      <c r="AF1414" s="170">
        <v>2022</v>
      </c>
      <c r="AG1414" s="170">
        <v>2022</v>
      </c>
      <c r="AH1414" s="63">
        <v>2022</v>
      </c>
    </row>
    <row r="1415" spans="1:34" ht="61.5" x14ac:dyDescent="0.85">
      <c r="B1415" s="160" t="s">
        <v>823</v>
      </c>
      <c r="C1415" s="160"/>
      <c r="D1415" s="177">
        <f>SUM(D1416:D1418)</f>
        <v>7685799.1900000004</v>
      </c>
      <c r="E1415" s="60">
        <f t="shared" ref="E1415:AE1415" si="278">SUM(E1416:E1418)</f>
        <v>0</v>
      </c>
      <c r="F1415" s="60">
        <f t="shared" si="278"/>
        <v>0</v>
      </c>
      <c r="G1415" s="60">
        <f t="shared" si="278"/>
        <v>0</v>
      </c>
      <c r="H1415" s="60">
        <f t="shared" si="278"/>
        <v>0</v>
      </c>
      <c r="I1415" s="60">
        <f t="shared" si="278"/>
        <v>0</v>
      </c>
      <c r="J1415" s="60">
        <f t="shared" si="278"/>
        <v>0</v>
      </c>
      <c r="K1415" s="168">
        <f t="shared" si="278"/>
        <v>0</v>
      </c>
      <c r="L1415" s="60">
        <f t="shared" si="278"/>
        <v>0</v>
      </c>
      <c r="M1415" s="60">
        <f t="shared" si="278"/>
        <v>562.33000000000004</v>
      </c>
      <c r="N1415" s="60">
        <f t="shared" si="278"/>
        <v>3846213</v>
      </c>
      <c r="O1415" s="60">
        <f t="shared" si="278"/>
        <v>0</v>
      </c>
      <c r="P1415" s="60">
        <f t="shared" si="278"/>
        <v>0</v>
      </c>
      <c r="Q1415" s="60">
        <f t="shared" si="278"/>
        <v>704.44</v>
      </c>
      <c r="R1415" s="60">
        <f t="shared" si="278"/>
        <v>3634641.6</v>
      </c>
      <c r="S1415" s="60">
        <f t="shared" si="278"/>
        <v>0</v>
      </c>
      <c r="T1415" s="60">
        <f t="shared" si="278"/>
        <v>0</v>
      </c>
      <c r="U1415" s="60">
        <f t="shared" si="278"/>
        <v>0</v>
      </c>
      <c r="V1415" s="60">
        <f t="shared" si="278"/>
        <v>0</v>
      </c>
      <c r="W1415" s="60">
        <f t="shared" si="278"/>
        <v>0</v>
      </c>
      <c r="X1415" s="60">
        <f t="shared" si="278"/>
        <v>0</v>
      </c>
      <c r="Y1415" s="60">
        <f t="shared" si="278"/>
        <v>0</v>
      </c>
      <c r="Z1415" s="60">
        <f t="shared" si="278"/>
        <v>0</v>
      </c>
      <c r="AA1415" s="60">
        <f t="shared" si="278"/>
        <v>0</v>
      </c>
      <c r="AB1415" s="60">
        <f t="shared" si="278"/>
        <v>0</v>
      </c>
      <c r="AC1415" s="60">
        <f t="shared" si="278"/>
        <v>109775.34</v>
      </c>
      <c r="AD1415" s="60">
        <f t="shared" si="278"/>
        <v>95169.25</v>
      </c>
      <c r="AE1415" s="60">
        <f t="shared" si="278"/>
        <v>0</v>
      </c>
      <c r="AF1415" s="202" t="s">
        <v>701</v>
      </c>
      <c r="AG1415" s="202" t="s">
        <v>701</v>
      </c>
      <c r="AH1415" s="207" t="s">
        <v>701</v>
      </c>
    </row>
    <row r="1416" spans="1:34" ht="61.5" x14ac:dyDescent="0.85">
      <c r="A1416" s="7">
        <v>1</v>
      </c>
      <c r="B1416" s="59">
        <f>SUBTOTAL(103,$A$1032:A1416)</f>
        <v>334</v>
      </c>
      <c r="C1416" s="186" t="s">
        <v>158</v>
      </c>
      <c r="D1416" s="60">
        <f>E1416+F1416+G1416+H1416+I1416+J1416+L1416+N1416+P1416+R1416+T1416+U1416+V1416+W1416+X1416+Y1416+Z1416+AA1416+AB1416+AC1416+AD1416+AE1416</f>
        <v>3710089.49</v>
      </c>
      <c r="E1416" s="60">
        <v>0</v>
      </c>
      <c r="F1416" s="60">
        <v>0</v>
      </c>
      <c r="G1416" s="60">
        <v>0</v>
      </c>
      <c r="H1416" s="60">
        <v>0</v>
      </c>
      <c r="I1416" s="60">
        <v>0</v>
      </c>
      <c r="J1416" s="60">
        <v>0</v>
      </c>
      <c r="K1416" s="168">
        <v>0</v>
      </c>
      <c r="L1416" s="60">
        <v>0</v>
      </c>
      <c r="M1416" s="60">
        <v>0</v>
      </c>
      <c r="N1416" s="60">
        <v>0</v>
      </c>
      <c r="O1416" s="60">
        <v>0</v>
      </c>
      <c r="P1416" s="60">
        <v>0</v>
      </c>
      <c r="Q1416" s="60">
        <v>704.44</v>
      </c>
      <c r="R1416" s="60">
        <v>3634641.6</v>
      </c>
      <c r="S1416" s="60">
        <v>0</v>
      </c>
      <c r="T1416" s="60">
        <v>0</v>
      </c>
      <c r="U1416" s="60">
        <v>0</v>
      </c>
      <c r="V1416" s="60">
        <v>0</v>
      </c>
      <c r="W1416" s="60">
        <v>0</v>
      </c>
      <c r="X1416" s="60">
        <v>0</v>
      </c>
      <c r="Y1416" s="60">
        <v>0</v>
      </c>
      <c r="Z1416" s="60">
        <v>0</v>
      </c>
      <c r="AA1416" s="60">
        <v>0</v>
      </c>
      <c r="AB1416" s="60">
        <v>0</v>
      </c>
      <c r="AC1416" s="188">
        <v>75447.89</v>
      </c>
      <c r="AD1416" s="60">
        <v>0</v>
      </c>
      <c r="AE1416" s="60">
        <v>0</v>
      </c>
      <c r="AF1416" s="170" t="s">
        <v>257</v>
      </c>
      <c r="AG1416" s="170">
        <v>2022</v>
      </c>
      <c r="AH1416" s="63">
        <v>2022</v>
      </c>
    </row>
    <row r="1417" spans="1:34" ht="61.5" x14ac:dyDescent="0.85">
      <c r="A1417" s="7">
        <v>1</v>
      </c>
      <c r="B1417" s="59">
        <f>SUBTOTAL(103,$A$1032:A1417)</f>
        <v>335</v>
      </c>
      <c r="C1417" s="186" t="s">
        <v>159</v>
      </c>
      <c r="D1417" s="60">
        <f>E1417+F1417+G1417+H1417+I1417+J1417+L1417+N1417+P1417+R1417+T1417+U1417+V1417+W1417+X1417+Y1417+Z1417+AA1417+AB1417+AC1417+AD1417+AE1417</f>
        <v>95169.25</v>
      </c>
      <c r="E1417" s="60">
        <v>0</v>
      </c>
      <c r="F1417" s="60">
        <v>0</v>
      </c>
      <c r="G1417" s="60">
        <v>0</v>
      </c>
      <c r="H1417" s="60">
        <v>0</v>
      </c>
      <c r="I1417" s="60">
        <v>0</v>
      </c>
      <c r="J1417" s="60">
        <v>0</v>
      </c>
      <c r="K1417" s="168">
        <v>0</v>
      </c>
      <c r="L1417" s="60">
        <v>0</v>
      </c>
      <c r="M1417" s="60">
        <v>0</v>
      </c>
      <c r="N1417" s="60">
        <v>0</v>
      </c>
      <c r="O1417" s="60">
        <v>0</v>
      </c>
      <c r="P1417" s="60">
        <v>0</v>
      </c>
      <c r="Q1417" s="60">
        <v>0</v>
      </c>
      <c r="R1417" s="60">
        <v>0</v>
      </c>
      <c r="S1417" s="60">
        <v>0</v>
      </c>
      <c r="T1417" s="60">
        <v>0</v>
      </c>
      <c r="U1417" s="60">
        <v>0</v>
      </c>
      <c r="V1417" s="60">
        <v>0</v>
      </c>
      <c r="W1417" s="60">
        <v>0</v>
      </c>
      <c r="X1417" s="60">
        <v>0</v>
      </c>
      <c r="Y1417" s="60">
        <v>0</v>
      </c>
      <c r="Z1417" s="60">
        <v>0</v>
      </c>
      <c r="AA1417" s="60">
        <v>0</v>
      </c>
      <c r="AB1417" s="60">
        <v>0</v>
      </c>
      <c r="AC1417" s="188">
        <f>ROUND(N1417*2.14%,2)+ROUND(E1417*2.14%,2)+ROUND(F1417*2.14%,2)+ROUND(G1417*2.14%,2)+ROUND(H1417*2.14%,2)+ROUND(I1417*2.14%,2)+ROUND(J1417*2.14%,2)+ROUND(L1417*2.14%,2)+ROUND(P1417*2.14%,2)+ROUND(R1417*2.14%,2)+ROUND(T1417*2.14%,2)+ROUND(U1417*2.14%,2)+ROUND(V1417*2.14%,2)+ROUND(W1417*2.14%,2)+ROUND(X1417*2.14%,2)+ROUND(Y1417*2.14%,2)+ROUND(Z1417*2.14%,2)+ROUND(AA1417*2.14%,2)+ROUND(AB1417*2.14%,2)</f>
        <v>0</v>
      </c>
      <c r="AD1417" s="60">
        <v>95169.25</v>
      </c>
      <c r="AE1417" s="60">
        <v>0</v>
      </c>
      <c r="AF1417" s="170">
        <v>2022</v>
      </c>
      <c r="AG1417" s="170" t="s">
        <v>257</v>
      </c>
      <c r="AH1417" s="63" t="s">
        <v>257</v>
      </c>
    </row>
    <row r="1418" spans="1:34" ht="61.5" x14ac:dyDescent="0.85">
      <c r="A1418" s="7">
        <v>1</v>
      </c>
      <c r="B1418" s="59">
        <f>SUBTOTAL(103,$A$1032:A1418)</f>
        <v>336</v>
      </c>
      <c r="C1418" s="160" t="s">
        <v>151</v>
      </c>
      <c r="D1418" s="60">
        <f>E1418+F1418+G1418+H1418+I1418+J1418+L1418+N1418+P1418+R1418+T1418+U1418+V1418+W1418+X1418+Y1418+Z1418+AA1418+AB1418+AC1418+AD1418+AE1418</f>
        <v>3880540.45</v>
      </c>
      <c r="E1418" s="60">
        <v>0</v>
      </c>
      <c r="F1418" s="60">
        <v>0</v>
      </c>
      <c r="G1418" s="60">
        <v>0</v>
      </c>
      <c r="H1418" s="60">
        <v>0</v>
      </c>
      <c r="I1418" s="60">
        <v>0</v>
      </c>
      <c r="J1418" s="60">
        <v>0</v>
      </c>
      <c r="K1418" s="168">
        <v>0</v>
      </c>
      <c r="L1418" s="60">
        <v>0</v>
      </c>
      <c r="M1418" s="60">
        <v>562.33000000000004</v>
      </c>
      <c r="N1418" s="60">
        <v>3846213</v>
      </c>
      <c r="O1418" s="60">
        <v>0</v>
      </c>
      <c r="P1418" s="60">
        <v>0</v>
      </c>
      <c r="Q1418" s="60">
        <v>0</v>
      </c>
      <c r="R1418" s="60">
        <v>0</v>
      </c>
      <c r="S1418" s="60">
        <v>0</v>
      </c>
      <c r="T1418" s="60">
        <v>0</v>
      </c>
      <c r="U1418" s="60">
        <v>0</v>
      </c>
      <c r="V1418" s="60">
        <v>0</v>
      </c>
      <c r="W1418" s="60">
        <v>0</v>
      </c>
      <c r="X1418" s="60">
        <v>0</v>
      </c>
      <c r="Y1418" s="60">
        <v>0</v>
      </c>
      <c r="Z1418" s="60">
        <v>0</v>
      </c>
      <c r="AA1418" s="60">
        <v>0</v>
      </c>
      <c r="AB1418" s="60">
        <v>0</v>
      </c>
      <c r="AC1418" s="188">
        <v>34327.449999999997</v>
      </c>
      <c r="AD1418" s="60">
        <v>0</v>
      </c>
      <c r="AE1418" s="60">
        <v>0</v>
      </c>
      <c r="AF1418" s="170" t="s">
        <v>257</v>
      </c>
      <c r="AG1418" s="170">
        <v>2022</v>
      </c>
      <c r="AH1418" s="170">
        <v>2022</v>
      </c>
    </row>
    <row r="1419" spans="1:34" ht="61.5" x14ac:dyDescent="0.85">
      <c r="B1419" s="160" t="s">
        <v>796</v>
      </c>
      <c r="C1419" s="160"/>
      <c r="D1419" s="177">
        <f t="shared" ref="D1419:AE1419" si="279">SUM(D1420:D1423)</f>
        <v>11392883.550000001</v>
      </c>
      <c r="E1419" s="60">
        <f t="shared" si="279"/>
        <v>0</v>
      </c>
      <c r="F1419" s="60">
        <f t="shared" si="279"/>
        <v>0</v>
      </c>
      <c r="G1419" s="60">
        <f t="shared" si="279"/>
        <v>0</v>
      </c>
      <c r="H1419" s="60">
        <f t="shared" si="279"/>
        <v>0</v>
      </c>
      <c r="I1419" s="60">
        <f t="shared" si="279"/>
        <v>0</v>
      </c>
      <c r="J1419" s="60">
        <f t="shared" si="279"/>
        <v>0</v>
      </c>
      <c r="K1419" s="168">
        <f t="shared" si="279"/>
        <v>0</v>
      </c>
      <c r="L1419" s="60">
        <f t="shared" si="279"/>
        <v>0</v>
      </c>
      <c r="M1419" s="60">
        <f t="shared" si="279"/>
        <v>1052.24</v>
      </c>
      <c r="N1419" s="60">
        <f t="shared" si="279"/>
        <v>6642954.96</v>
      </c>
      <c r="O1419" s="60">
        <f t="shared" si="279"/>
        <v>0</v>
      </c>
      <c r="P1419" s="60">
        <f t="shared" si="279"/>
        <v>0</v>
      </c>
      <c r="Q1419" s="60">
        <f t="shared" si="279"/>
        <v>0</v>
      </c>
      <c r="R1419" s="60">
        <f t="shared" si="279"/>
        <v>0</v>
      </c>
      <c r="S1419" s="60">
        <f t="shared" si="279"/>
        <v>0</v>
      </c>
      <c r="T1419" s="60">
        <f t="shared" si="279"/>
        <v>0</v>
      </c>
      <c r="U1419" s="60">
        <f t="shared" si="279"/>
        <v>4401079.18</v>
      </c>
      <c r="V1419" s="60">
        <f t="shared" si="279"/>
        <v>0</v>
      </c>
      <c r="W1419" s="60">
        <f t="shared" si="279"/>
        <v>0</v>
      </c>
      <c r="X1419" s="60">
        <f t="shared" si="279"/>
        <v>0</v>
      </c>
      <c r="Y1419" s="60">
        <f t="shared" si="279"/>
        <v>0</v>
      </c>
      <c r="Z1419" s="60">
        <f t="shared" si="279"/>
        <v>0</v>
      </c>
      <c r="AA1419" s="60">
        <f t="shared" si="279"/>
        <v>0</v>
      </c>
      <c r="AB1419" s="60">
        <f t="shared" si="279"/>
        <v>0</v>
      </c>
      <c r="AC1419" s="60">
        <f t="shared" si="279"/>
        <v>199619.60000000003</v>
      </c>
      <c r="AD1419" s="60">
        <f t="shared" si="279"/>
        <v>149229.81</v>
      </c>
      <c r="AE1419" s="60">
        <f t="shared" si="279"/>
        <v>0</v>
      </c>
      <c r="AF1419" s="202" t="s">
        <v>701</v>
      </c>
      <c r="AG1419" s="202" t="s">
        <v>701</v>
      </c>
      <c r="AH1419" s="207" t="s">
        <v>701</v>
      </c>
    </row>
    <row r="1420" spans="1:34" ht="61.5" x14ac:dyDescent="0.85">
      <c r="A1420" s="7">
        <v>1</v>
      </c>
      <c r="B1420" s="59">
        <f>SUBTOTAL(103,$A$1032:A1420)</f>
        <v>337</v>
      </c>
      <c r="C1420" s="186" t="s">
        <v>1813</v>
      </c>
      <c r="D1420" s="60">
        <f>E1420+F1420+G1420+H1420+I1420+J1420+L1420+N1420+P1420+R1420+T1420+U1420+V1420+W1420+X1420+Y1420+Z1420+AA1420+AB1420+AC1420+AD1420+AE1420</f>
        <v>4229345.41</v>
      </c>
      <c r="E1420" s="60">
        <v>0</v>
      </c>
      <c r="F1420" s="60">
        <v>0</v>
      </c>
      <c r="G1420" s="60">
        <v>0</v>
      </c>
      <c r="H1420" s="60">
        <v>0</v>
      </c>
      <c r="I1420" s="60">
        <v>0</v>
      </c>
      <c r="J1420" s="60">
        <v>0</v>
      </c>
      <c r="K1420" s="168">
        <v>0</v>
      </c>
      <c r="L1420" s="60">
        <v>0</v>
      </c>
      <c r="M1420" s="60">
        <v>777.76</v>
      </c>
      <c r="N1420" s="60">
        <v>4143338</v>
      </c>
      <c r="O1420" s="60">
        <v>0</v>
      </c>
      <c r="P1420" s="60">
        <v>0</v>
      </c>
      <c r="Q1420" s="60">
        <v>0</v>
      </c>
      <c r="R1420" s="60">
        <v>0</v>
      </c>
      <c r="S1420" s="60">
        <v>0</v>
      </c>
      <c r="T1420" s="60">
        <v>0</v>
      </c>
      <c r="U1420" s="60">
        <v>0</v>
      </c>
      <c r="V1420" s="60">
        <v>0</v>
      </c>
      <c r="W1420" s="60">
        <v>0</v>
      </c>
      <c r="X1420" s="60">
        <v>0</v>
      </c>
      <c r="Y1420" s="60">
        <v>0</v>
      </c>
      <c r="Z1420" s="60">
        <v>0</v>
      </c>
      <c r="AA1420" s="60">
        <v>0</v>
      </c>
      <c r="AB1420" s="60">
        <v>0</v>
      </c>
      <c r="AC1420" s="188">
        <v>86007.41</v>
      </c>
      <c r="AD1420" s="60">
        <v>0</v>
      </c>
      <c r="AE1420" s="60">
        <v>0</v>
      </c>
      <c r="AF1420" s="170" t="s">
        <v>257</v>
      </c>
      <c r="AG1420" s="170">
        <v>2022</v>
      </c>
      <c r="AH1420" s="63">
        <v>2022</v>
      </c>
    </row>
    <row r="1421" spans="1:34" ht="61.5" x14ac:dyDescent="0.85">
      <c r="A1421" s="7">
        <v>1</v>
      </c>
      <c r="B1421" s="59">
        <f>SUBTOTAL(103,$A$1032:A1421)</f>
        <v>338</v>
      </c>
      <c r="C1421" s="186" t="s">
        <v>1820</v>
      </c>
      <c r="D1421" s="60">
        <f>E1421+F1421+G1421+H1421+I1421+J1421+L1421+N1421+P1421+R1421+T1421+U1421+V1421+W1421+X1421+Y1421+Z1421+AA1421+AB1421+AC1421+AD1421+AE1421</f>
        <v>99444.33</v>
      </c>
      <c r="E1421" s="60">
        <v>0</v>
      </c>
      <c r="F1421" s="60">
        <v>0</v>
      </c>
      <c r="G1421" s="60">
        <v>0</v>
      </c>
      <c r="H1421" s="60">
        <v>0</v>
      </c>
      <c r="I1421" s="60">
        <v>0</v>
      </c>
      <c r="J1421" s="60">
        <v>0</v>
      </c>
      <c r="K1421" s="168">
        <v>0</v>
      </c>
      <c r="L1421" s="60">
        <v>0</v>
      </c>
      <c r="M1421" s="60">
        <v>0</v>
      </c>
      <c r="N1421" s="60">
        <v>0</v>
      </c>
      <c r="O1421" s="60">
        <v>0</v>
      </c>
      <c r="P1421" s="60">
        <v>0</v>
      </c>
      <c r="Q1421" s="60">
        <v>0</v>
      </c>
      <c r="R1421" s="60">
        <v>0</v>
      </c>
      <c r="S1421" s="60">
        <v>0</v>
      </c>
      <c r="T1421" s="60">
        <v>0</v>
      </c>
      <c r="U1421" s="60">
        <v>0</v>
      </c>
      <c r="V1421" s="60">
        <v>0</v>
      </c>
      <c r="W1421" s="60">
        <v>0</v>
      </c>
      <c r="X1421" s="60">
        <v>0</v>
      </c>
      <c r="Y1421" s="60">
        <v>0</v>
      </c>
      <c r="Z1421" s="60">
        <v>0</v>
      </c>
      <c r="AA1421" s="60">
        <v>0</v>
      </c>
      <c r="AB1421" s="60">
        <v>0</v>
      </c>
      <c r="AC1421" s="188">
        <f>ROUND(N1421*2.14%,2)+ROUND(E1421*2.14%,2)+ROUND(F1421*2.14%,2)+ROUND(G1421*2.14%,2)+ROUND(H1421*2.14%,2)+ROUND(I1421*2.14%,2)+ROUND(J1421*2.14%,2)+ROUND(L1421*2.14%,2)+ROUND(P1421*2.14%,2)+ROUND(R1421*2.14%,2)+ROUND(T1421*2.14%,2)+ROUND(U1421*2.14%,2)+ROUND(V1421*2.14%,2)+ROUND(W1421*2.14%,2)+ROUND(X1421*2.14%,2)+ROUND(Y1421*2.14%,2)+ROUND(Z1421*2.14%,2)+ROUND(AA1421*2.14%,2)+ROUND(AB1421*2.14%,2)</f>
        <v>0</v>
      </c>
      <c r="AD1421" s="60">
        <v>99444.33</v>
      </c>
      <c r="AE1421" s="60">
        <v>0</v>
      </c>
      <c r="AF1421" s="170">
        <v>2022</v>
      </c>
      <c r="AG1421" s="170" t="s">
        <v>257</v>
      </c>
      <c r="AH1421" s="63" t="s">
        <v>257</v>
      </c>
    </row>
    <row r="1422" spans="1:34" ht="61.5" x14ac:dyDescent="0.85">
      <c r="A1422" s="7">
        <v>1</v>
      </c>
      <c r="B1422" s="59">
        <f>SUBTOTAL(103,$A$1032:A1422)</f>
        <v>339</v>
      </c>
      <c r="C1422" s="186" t="s">
        <v>157</v>
      </c>
      <c r="D1422" s="60">
        <f>E1422+F1422+G1422+H1422+I1422+J1422+L1422+N1422+P1422+R1422+T1422+U1422+V1422+W1422+X1422+Y1422+Z1422+AA1422+AB1422+AC1422+AD1422+AE1422</f>
        <v>2601289.4899999998</v>
      </c>
      <c r="E1422" s="60">
        <v>0</v>
      </c>
      <c r="F1422" s="60">
        <v>0</v>
      </c>
      <c r="G1422" s="60">
        <v>0</v>
      </c>
      <c r="H1422" s="60">
        <v>0</v>
      </c>
      <c r="I1422" s="60">
        <v>0</v>
      </c>
      <c r="J1422" s="60">
        <v>0</v>
      </c>
      <c r="K1422" s="168">
        <v>0</v>
      </c>
      <c r="L1422" s="60">
        <v>0</v>
      </c>
      <c r="M1422" s="60">
        <v>274.48</v>
      </c>
      <c r="N1422" s="60">
        <v>2499616.96</v>
      </c>
      <c r="O1422" s="60">
        <v>0</v>
      </c>
      <c r="P1422" s="60">
        <v>0</v>
      </c>
      <c r="Q1422" s="60">
        <v>0</v>
      </c>
      <c r="R1422" s="60">
        <v>0</v>
      </c>
      <c r="S1422" s="60">
        <v>0</v>
      </c>
      <c r="T1422" s="60">
        <v>0</v>
      </c>
      <c r="U1422" s="60">
        <v>0</v>
      </c>
      <c r="V1422" s="60">
        <v>0</v>
      </c>
      <c r="W1422" s="60">
        <v>0</v>
      </c>
      <c r="X1422" s="60">
        <v>0</v>
      </c>
      <c r="Y1422" s="60">
        <v>0</v>
      </c>
      <c r="Z1422" s="60">
        <v>0</v>
      </c>
      <c r="AA1422" s="60">
        <v>0</v>
      </c>
      <c r="AB1422" s="60">
        <v>0</v>
      </c>
      <c r="AC1422" s="188">
        <v>51887.05</v>
      </c>
      <c r="AD1422" s="60">
        <v>49785.48</v>
      </c>
      <c r="AE1422" s="60">
        <v>0</v>
      </c>
      <c r="AF1422" s="170">
        <v>2022</v>
      </c>
      <c r="AG1422" s="170">
        <v>2022</v>
      </c>
      <c r="AH1422" s="63">
        <v>2022</v>
      </c>
    </row>
    <row r="1423" spans="1:34" ht="61.5" x14ac:dyDescent="0.85">
      <c r="A1423" s="7">
        <v>1</v>
      </c>
      <c r="B1423" s="59">
        <f>SUBTOTAL(103,$A$1032:A1423)</f>
        <v>340</v>
      </c>
      <c r="C1423" s="160" t="s">
        <v>138</v>
      </c>
      <c r="D1423" s="60">
        <f>E1423+F1423+G1423+H1423+I1423+J1423+L1423+N1423+P1423+R1423+T1423+U1423+V1423+W1423+X1423+Y1423+Z1423+AA1423+AB1423+AC1423+AD1423+AE1423</f>
        <v>4462804.3199999994</v>
      </c>
      <c r="E1423" s="60">
        <v>0</v>
      </c>
      <c r="F1423" s="60">
        <v>0</v>
      </c>
      <c r="G1423" s="60">
        <v>0</v>
      </c>
      <c r="H1423" s="60">
        <v>0</v>
      </c>
      <c r="I1423" s="60">
        <v>0</v>
      </c>
      <c r="J1423" s="60">
        <v>0</v>
      </c>
      <c r="K1423" s="168">
        <v>0</v>
      </c>
      <c r="L1423" s="60">
        <v>0</v>
      </c>
      <c r="M1423" s="60">
        <v>0</v>
      </c>
      <c r="N1423" s="60">
        <v>0</v>
      </c>
      <c r="O1423" s="60">
        <v>0</v>
      </c>
      <c r="P1423" s="60">
        <v>0</v>
      </c>
      <c r="Q1423" s="60">
        <v>0</v>
      </c>
      <c r="R1423" s="60">
        <v>0</v>
      </c>
      <c r="S1423" s="60">
        <v>0</v>
      </c>
      <c r="T1423" s="60">
        <v>0</v>
      </c>
      <c r="U1423" s="62">
        <v>4401079.18</v>
      </c>
      <c r="V1423" s="60">
        <v>0</v>
      </c>
      <c r="W1423" s="60">
        <v>0</v>
      </c>
      <c r="X1423" s="60">
        <v>0</v>
      </c>
      <c r="Y1423" s="60">
        <v>0</v>
      </c>
      <c r="Z1423" s="60">
        <v>0</v>
      </c>
      <c r="AA1423" s="60">
        <v>0</v>
      </c>
      <c r="AB1423" s="60">
        <v>0</v>
      </c>
      <c r="AC1423" s="60">
        <v>61725.14</v>
      </c>
      <c r="AD1423" s="60">
        <v>0</v>
      </c>
      <c r="AE1423" s="60">
        <v>0</v>
      </c>
      <c r="AF1423" s="170" t="s">
        <v>257</v>
      </c>
      <c r="AG1423" s="170">
        <v>2022</v>
      </c>
      <c r="AH1423" s="170">
        <v>2022</v>
      </c>
    </row>
    <row r="1424" spans="1:34" ht="61.5" x14ac:dyDescent="0.85">
      <c r="B1424" s="160" t="s">
        <v>797</v>
      </c>
      <c r="C1424" s="160"/>
      <c r="D1424" s="177">
        <f t="shared" ref="D1424:AE1424" si="280">SUM(D1425:D1427)</f>
        <v>16786703.300000001</v>
      </c>
      <c r="E1424" s="60">
        <f t="shared" si="280"/>
        <v>0</v>
      </c>
      <c r="F1424" s="60">
        <f t="shared" si="280"/>
        <v>0</v>
      </c>
      <c r="G1424" s="60">
        <f t="shared" si="280"/>
        <v>0</v>
      </c>
      <c r="H1424" s="60">
        <f t="shared" si="280"/>
        <v>0</v>
      </c>
      <c r="I1424" s="60">
        <f t="shared" si="280"/>
        <v>0</v>
      </c>
      <c r="J1424" s="60">
        <f t="shared" si="280"/>
        <v>0</v>
      </c>
      <c r="K1424" s="168">
        <f t="shared" si="280"/>
        <v>0</v>
      </c>
      <c r="L1424" s="60">
        <f t="shared" si="280"/>
        <v>0</v>
      </c>
      <c r="M1424" s="60">
        <f t="shared" si="280"/>
        <v>2472.7600000000002</v>
      </c>
      <c r="N1424" s="60">
        <f t="shared" si="280"/>
        <v>16131100</v>
      </c>
      <c r="O1424" s="60">
        <f t="shared" si="280"/>
        <v>0</v>
      </c>
      <c r="P1424" s="60">
        <f t="shared" si="280"/>
        <v>0</v>
      </c>
      <c r="Q1424" s="60">
        <f t="shared" si="280"/>
        <v>0</v>
      </c>
      <c r="R1424" s="60">
        <f t="shared" si="280"/>
        <v>0</v>
      </c>
      <c r="S1424" s="60">
        <f t="shared" si="280"/>
        <v>0</v>
      </c>
      <c r="T1424" s="60">
        <f t="shared" si="280"/>
        <v>0</v>
      </c>
      <c r="U1424" s="60">
        <f t="shared" si="280"/>
        <v>0</v>
      </c>
      <c r="V1424" s="60">
        <f t="shared" si="280"/>
        <v>0</v>
      </c>
      <c r="W1424" s="60">
        <f t="shared" si="280"/>
        <v>0</v>
      </c>
      <c r="X1424" s="60">
        <f t="shared" si="280"/>
        <v>0</v>
      </c>
      <c r="Y1424" s="60">
        <f t="shared" si="280"/>
        <v>0</v>
      </c>
      <c r="Z1424" s="60">
        <f t="shared" si="280"/>
        <v>0</v>
      </c>
      <c r="AA1424" s="60">
        <f t="shared" si="280"/>
        <v>0</v>
      </c>
      <c r="AB1424" s="60">
        <f t="shared" si="280"/>
        <v>0</v>
      </c>
      <c r="AC1424" s="60">
        <f t="shared" si="280"/>
        <v>340968.33999999997</v>
      </c>
      <c r="AD1424" s="60">
        <f t="shared" si="280"/>
        <v>314634.96000000002</v>
      </c>
      <c r="AE1424" s="60">
        <f t="shared" si="280"/>
        <v>0</v>
      </c>
      <c r="AF1424" s="202" t="s">
        <v>701</v>
      </c>
      <c r="AG1424" s="202" t="s">
        <v>701</v>
      </c>
      <c r="AH1424" s="207" t="s">
        <v>701</v>
      </c>
    </row>
    <row r="1425" spans="1:34" ht="61.5" x14ac:dyDescent="0.85">
      <c r="A1425" s="7">
        <v>1</v>
      </c>
      <c r="B1425" s="59">
        <f>SUBTOTAL(103,$A$1032:A1425)</f>
        <v>341</v>
      </c>
      <c r="C1425" s="186" t="s">
        <v>155</v>
      </c>
      <c r="D1425" s="60">
        <f>E1425+F1425+G1425+H1425+I1425+J1425+L1425+N1425+P1425+R1425+T1425+U1425+V1425+W1425+X1425+Y1425+Z1425+AA1425+AB1425+AC1425+AD1425+AE1425</f>
        <v>6737004.8399999999</v>
      </c>
      <c r="E1425" s="60">
        <v>0</v>
      </c>
      <c r="F1425" s="60">
        <v>0</v>
      </c>
      <c r="G1425" s="60">
        <v>0</v>
      </c>
      <c r="H1425" s="60">
        <v>0</v>
      </c>
      <c r="I1425" s="60">
        <v>0</v>
      </c>
      <c r="J1425" s="60">
        <v>0</v>
      </c>
      <c r="K1425" s="168">
        <v>0</v>
      </c>
      <c r="L1425" s="60">
        <v>0</v>
      </c>
      <c r="M1425" s="60">
        <v>1324.6</v>
      </c>
      <c r="N1425" s="60">
        <v>6600002</v>
      </c>
      <c r="O1425" s="60">
        <v>0</v>
      </c>
      <c r="P1425" s="60">
        <v>0</v>
      </c>
      <c r="Q1425" s="60">
        <v>0</v>
      </c>
      <c r="R1425" s="60">
        <v>0</v>
      </c>
      <c r="S1425" s="60">
        <v>0</v>
      </c>
      <c r="T1425" s="60">
        <v>0</v>
      </c>
      <c r="U1425" s="60">
        <v>0</v>
      </c>
      <c r="V1425" s="60">
        <v>0</v>
      </c>
      <c r="W1425" s="60">
        <v>0</v>
      </c>
      <c r="X1425" s="60">
        <v>0</v>
      </c>
      <c r="Y1425" s="60">
        <v>0</v>
      </c>
      <c r="Z1425" s="60">
        <v>0</v>
      </c>
      <c r="AA1425" s="60">
        <v>0</v>
      </c>
      <c r="AB1425" s="60">
        <v>0</v>
      </c>
      <c r="AC1425" s="188">
        <v>137002.84</v>
      </c>
      <c r="AD1425" s="60">
        <v>0</v>
      </c>
      <c r="AE1425" s="60">
        <v>0</v>
      </c>
      <c r="AF1425" s="170" t="s">
        <v>257</v>
      </c>
      <c r="AG1425" s="170">
        <v>2022</v>
      </c>
      <c r="AH1425" s="63">
        <v>2022</v>
      </c>
    </row>
    <row r="1426" spans="1:34" ht="61.5" x14ac:dyDescent="0.85">
      <c r="A1426" s="7">
        <v>1</v>
      </c>
      <c r="B1426" s="59">
        <f>SUBTOTAL(103,$A$1032:A1426)</f>
        <v>342</v>
      </c>
      <c r="C1426" s="186" t="s">
        <v>2967</v>
      </c>
      <c r="D1426" s="60">
        <f>E1426+F1426+G1426+H1426+I1426+J1426+L1426+N1426+P1426+R1426+T1426+U1426+V1426+W1426+X1426+Y1426+Z1426+AA1426+AB1426+AC1426+AD1426+AE1426</f>
        <v>138635.48000000001</v>
      </c>
      <c r="E1426" s="60">
        <v>0</v>
      </c>
      <c r="F1426" s="60">
        <v>0</v>
      </c>
      <c r="G1426" s="60">
        <v>0</v>
      </c>
      <c r="H1426" s="60">
        <v>0</v>
      </c>
      <c r="I1426" s="60">
        <v>0</v>
      </c>
      <c r="J1426" s="60">
        <v>0</v>
      </c>
      <c r="K1426" s="168">
        <v>0</v>
      </c>
      <c r="L1426" s="60">
        <v>0</v>
      </c>
      <c r="M1426" s="60">
        <v>0</v>
      </c>
      <c r="N1426" s="60">
        <v>0</v>
      </c>
      <c r="O1426" s="60">
        <v>0</v>
      </c>
      <c r="P1426" s="60">
        <v>0</v>
      </c>
      <c r="Q1426" s="60">
        <v>0</v>
      </c>
      <c r="R1426" s="60">
        <v>0</v>
      </c>
      <c r="S1426" s="60">
        <v>0</v>
      </c>
      <c r="T1426" s="60">
        <v>0</v>
      </c>
      <c r="U1426" s="60">
        <v>0</v>
      </c>
      <c r="V1426" s="60">
        <v>0</v>
      </c>
      <c r="W1426" s="60">
        <v>0</v>
      </c>
      <c r="X1426" s="60">
        <v>0</v>
      </c>
      <c r="Y1426" s="60">
        <v>0</v>
      </c>
      <c r="Z1426" s="60">
        <v>0</v>
      </c>
      <c r="AA1426" s="60">
        <v>0</v>
      </c>
      <c r="AB1426" s="60">
        <v>0</v>
      </c>
      <c r="AC1426" s="188">
        <f>ROUND(N1426*2.14%,2)+ROUND(E1426*2.14%,2)+ROUND(F1426*2.14%,2)+ROUND(G1426*2.14%,2)+ROUND(H1426*2.14%,2)+ROUND(I1426*2.14%,2)+ROUND(J1426*2.14%,2)+ROUND(L1426*2.14%,2)+ROUND(P1426*2.14%,2)+ROUND(R1426*2.14%,2)+ROUND(T1426*2.14%,2)+ROUND(U1426*2.14%,2)+ROUND(V1426*2.14%,2)+ROUND(W1426*2.14%,2)+ROUND(X1426*2.14%,2)+ROUND(Y1426*2.14%,2)+ROUND(Z1426*2.14%,2)+ROUND(AA1426*2.14%,2)+ROUND(AB1426*2.14%,2)</f>
        <v>0</v>
      </c>
      <c r="AD1426" s="60">
        <v>138635.48000000001</v>
      </c>
      <c r="AE1426" s="60">
        <v>0</v>
      </c>
      <c r="AF1426" s="170">
        <v>2022</v>
      </c>
      <c r="AG1426" s="170" t="s">
        <v>257</v>
      </c>
      <c r="AH1426" s="63" t="s">
        <v>257</v>
      </c>
    </row>
    <row r="1427" spans="1:34" ht="61.5" x14ac:dyDescent="0.85">
      <c r="A1427" s="7">
        <v>1</v>
      </c>
      <c r="B1427" s="59">
        <f>SUBTOTAL(103,$A$1032:A1427)</f>
        <v>343</v>
      </c>
      <c r="C1427" s="160" t="s">
        <v>1809</v>
      </c>
      <c r="D1427" s="60">
        <f>E1427+F1427+G1427+H1427+I1427+J1427+L1427+N1427+P1427+R1427+T1427+U1427+V1427+W1427+X1427+Y1427+Z1427+AA1427+AB1427+AC1427+AD1427+AE1427</f>
        <v>9911062.9800000004</v>
      </c>
      <c r="E1427" s="60">
        <v>0</v>
      </c>
      <c r="F1427" s="60">
        <v>0</v>
      </c>
      <c r="G1427" s="60">
        <v>0</v>
      </c>
      <c r="H1427" s="60">
        <v>0</v>
      </c>
      <c r="I1427" s="60">
        <v>0</v>
      </c>
      <c r="J1427" s="60">
        <v>0</v>
      </c>
      <c r="K1427" s="168">
        <v>0</v>
      </c>
      <c r="L1427" s="60">
        <v>0</v>
      </c>
      <c r="M1427" s="60">
        <v>1148.1600000000001</v>
      </c>
      <c r="N1427" s="60">
        <v>9531098</v>
      </c>
      <c r="O1427" s="60">
        <v>0</v>
      </c>
      <c r="P1427" s="60">
        <v>0</v>
      </c>
      <c r="Q1427" s="60">
        <v>0</v>
      </c>
      <c r="R1427" s="60">
        <v>0</v>
      </c>
      <c r="S1427" s="60">
        <v>0</v>
      </c>
      <c r="T1427" s="60">
        <v>0</v>
      </c>
      <c r="U1427" s="60">
        <v>0</v>
      </c>
      <c r="V1427" s="60">
        <v>0</v>
      </c>
      <c r="W1427" s="60">
        <v>0</v>
      </c>
      <c r="X1427" s="60">
        <v>0</v>
      </c>
      <c r="Y1427" s="60">
        <v>0</v>
      </c>
      <c r="Z1427" s="60">
        <v>0</v>
      </c>
      <c r="AA1427" s="60">
        <v>0</v>
      </c>
      <c r="AB1427" s="60">
        <v>0</v>
      </c>
      <c r="AC1427" s="188">
        <f>ROUND(N1427*2.14%,2)+ROUND(E1427*2.14%,2)+ROUND(F1427*2.14%,2)+ROUND(G1427*2.14%,2)+ROUND(H1427*2.14%,2)+ROUND(I1427*2.14%,2)+ROUND(J1427*2.14%,2)+ROUND(L1427*2.14%,2)+ROUND(P1427*2.14%,2)+ROUND(R1427*2.14%,2)+ROUND(T1427*2.14%,2)+ROUND(U1427*2.14%,2)+ROUND(V1427*2.14%,2)+ROUND(W1427*2.14%,2)+ROUND(X1427*2.14%,2)+ROUND(Y1427*2.14%,2)+ROUND(Z1427*2.14%,2)+ROUND(AA1427*2.14%,2)+ROUND(AB1427*2.14%,2)</f>
        <v>203965.5</v>
      </c>
      <c r="AD1427" s="60">
        <v>175999.48</v>
      </c>
      <c r="AE1427" s="60">
        <v>0</v>
      </c>
      <c r="AF1427" s="170">
        <v>2022</v>
      </c>
      <c r="AG1427" s="170">
        <v>2022</v>
      </c>
      <c r="AH1427" s="63">
        <v>2022</v>
      </c>
    </row>
    <row r="1428" spans="1:34" ht="61.5" x14ac:dyDescent="0.85">
      <c r="B1428" s="160" t="s">
        <v>798</v>
      </c>
      <c r="C1428" s="160"/>
      <c r="D1428" s="177">
        <f t="shared" ref="D1428:AE1428" si="281">SUM(D1429:D1430)</f>
        <v>8615110.0099999998</v>
      </c>
      <c r="E1428" s="60">
        <f t="shared" si="281"/>
        <v>0</v>
      </c>
      <c r="F1428" s="60">
        <f t="shared" si="281"/>
        <v>0</v>
      </c>
      <c r="G1428" s="60">
        <f t="shared" si="281"/>
        <v>0</v>
      </c>
      <c r="H1428" s="60">
        <f t="shared" si="281"/>
        <v>0</v>
      </c>
      <c r="I1428" s="60">
        <f t="shared" si="281"/>
        <v>0</v>
      </c>
      <c r="J1428" s="60">
        <f t="shared" si="281"/>
        <v>0</v>
      </c>
      <c r="K1428" s="168">
        <f t="shared" si="281"/>
        <v>0</v>
      </c>
      <c r="L1428" s="60">
        <f t="shared" si="281"/>
        <v>0</v>
      </c>
      <c r="M1428" s="60">
        <f t="shared" si="281"/>
        <v>1027.58</v>
      </c>
      <c r="N1428" s="60">
        <f t="shared" si="281"/>
        <v>8438854.5800000001</v>
      </c>
      <c r="O1428" s="60">
        <f t="shared" si="281"/>
        <v>0</v>
      </c>
      <c r="P1428" s="60">
        <f t="shared" si="281"/>
        <v>0</v>
      </c>
      <c r="Q1428" s="60">
        <f t="shared" si="281"/>
        <v>0</v>
      </c>
      <c r="R1428" s="60">
        <f t="shared" si="281"/>
        <v>0</v>
      </c>
      <c r="S1428" s="60">
        <f t="shared" si="281"/>
        <v>0</v>
      </c>
      <c r="T1428" s="60">
        <f t="shared" si="281"/>
        <v>0</v>
      </c>
      <c r="U1428" s="60">
        <f t="shared" si="281"/>
        <v>0</v>
      </c>
      <c r="V1428" s="60">
        <f t="shared" si="281"/>
        <v>0</v>
      </c>
      <c r="W1428" s="60">
        <f t="shared" si="281"/>
        <v>0</v>
      </c>
      <c r="X1428" s="60">
        <f t="shared" si="281"/>
        <v>0</v>
      </c>
      <c r="Y1428" s="60">
        <f t="shared" si="281"/>
        <v>0</v>
      </c>
      <c r="Z1428" s="60">
        <f t="shared" si="281"/>
        <v>0</v>
      </c>
      <c r="AA1428" s="60">
        <f t="shared" si="281"/>
        <v>0</v>
      </c>
      <c r="AB1428" s="60">
        <f t="shared" si="281"/>
        <v>0</v>
      </c>
      <c r="AC1428" s="60">
        <f t="shared" si="281"/>
        <v>116532.52</v>
      </c>
      <c r="AD1428" s="60">
        <f t="shared" si="281"/>
        <v>59722.91</v>
      </c>
      <c r="AE1428" s="60">
        <f t="shared" si="281"/>
        <v>0</v>
      </c>
      <c r="AF1428" s="202" t="s">
        <v>701</v>
      </c>
      <c r="AG1428" s="202" t="s">
        <v>701</v>
      </c>
      <c r="AH1428" s="207" t="s">
        <v>701</v>
      </c>
    </row>
    <row r="1429" spans="1:34" ht="61.5" x14ac:dyDescent="0.85">
      <c r="A1429" s="7">
        <v>1</v>
      </c>
      <c r="B1429" s="59">
        <f>SUBTOTAL(103,$A$1032:A1429)</f>
        <v>344</v>
      </c>
      <c r="C1429" s="186" t="s">
        <v>2152</v>
      </c>
      <c r="D1429" s="60">
        <f>E1429+F1429+G1429+H1429+I1429+J1429+L1429+N1429+P1429+R1429+T1429+U1429+V1429+W1429+X1429+Y1429+Z1429+AA1429+AB1429+AC1429+AD1429+AE1429</f>
        <v>3615143.88</v>
      </c>
      <c r="E1429" s="60">
        <v>0</v>
      </c>
      <c r="F1429" s="60">
        <v>0</v>
      </c>
      <c r="G1429" s="60">
        <v>0</v>
      </c>
      <c r="H1429" s="60">
        <v>0</v>
      </c>
      <c r="I1429" s="60">
        <v>0</v>
      </c>
      <c r="J1429" s="60">
        <v>0</v>
      </c>
      <c r="K1429" s="168">
        <v>0</v>
      </c>
      <c r="L1429" s="60">
        <v>0</v>
      </c>
      <c r="M1429" s="60">
        <v>405.28</v>
      </c>
      <c r="N1429" s="60">
        <v>3483118.4</v>
      </c>
      <c r="O1429" s="60">
        <v>0</v>
      </c>
      <c r="P1429" s="60">
        <v>0</v>
      </c>
      <c r="Q1429" s="60">
        <v>0</v>
      </c>
      <c r="R1429" s="60">
        <v>0</v>
      </c>
      <c r="S1429" s="60">
        <v>0</v>
      </c>
      <c r="T1429" s="60">
        <v>0</v>
      </c>
      <c r="U1429" s="60">
        <v>0</v>
      </c>
      <c r="V1429" s="60">
        <v>0</v>
      </c>
      <c r="W1429" s="60">
        <v>0</v>
      </c>
      <c r="X1429" s="60">
        <v>0</v>
      </c>
      <c r="Y1429" s="60">
        <v>0</v>
      </c>
      <c r="Z1429" s="60">
        <v>0</v>
      </c>
      <c r="AA1429" s="60">
        <v>0</v>
      </c>
      <c r="AB1429" s="60">
        <v>0</v>
      </c>
      <c r="AC1429" s="188">
        <v>72302.570000000007</v>
      </c>
      <c r="AD1429" s="60">
        <v>59722.91</v>
      </c>
      <c r="AE1429" s="60">
        <v>0</v>
      </c>
      <c r="AF1429" s="170">
        <v>2022</v>
      </c>
      <c r="AG1429" s="170">
        <v>2022</v>
      </c>
      <c r="AH1429" s="63">
        <v>2022</v>
      </c>
    </row>
    <row r="1430" spans="1:34" ht="61.5" x14ac:dyDescent="0.85">
      <c r="A1430" s="7">
        <v>1</v>
      </c>
      <c r="B1430" s="59">
        <f>SUBTOTAL(103,$A$1032:A1430)</f>
        <v>345</v>
      </c>
      <c r="C1430" s="160" t="s">
        <v>2164</v>
      </c>
      <c r="D1430" s="60">
        <f>E1430+F1430+G1430+H1430+I1430+J1430+L1430+N1430+P1430+R1430+T1430+U1430+V1430+W1430+X1430+Y1430+Z1430+AA1430+AB1430+AC1430+AD1430+AE1430</f>
        <v>4999966.13</v>
      </c>
      <c r="E1430" s="180">
        <v>0</v>
      </c>
      <c r="F1430" s="180">
        <v>0</v>
      </c>
      <c r="G1430" s="180">
        <v>0</v>
      </c>
      <c r="H1430" s="180">
        <v>0</v>
      </c>
      <c r="I1430" s="180">
        <v>0</v>
      </c>
      <c r="J1430" s="180">
        <v>0</v>
      </c>
      <c r="K1430" s="168">
        <v>0</v>
      </c>
      <c r="L1430" s="60">
        <v>0</v>
      </c>
      <c r="M1430" s="60">
        <v>622.29999999999995</v>
      </c>
      <c r="N1430" s="60">
        <v>4955736.18</v>
      </c>
      <c r="O1430" s="60">
        <v>0</v>
      </c>
      <c r="P1430" s="60">
        <v>0</v>
      </c>
      <c r="Q1430" s="60">
        <v>0</v>
      </c>
      <c r="R1430" s="60">
        <v>0</v>
      </c>
      <c r="S1430" s="60">
        <v>0</v>
      </c>
      <c r="T1430" s="60">
        <v>0</v>
      </c>
      <c r="U1430" s="60">
        <v>0</v>
      </c>
      <c r="V1430" s="60">
        <v>0</v>
      </c>
      <c r="W1430" s="60">
        <v>0</v>
      </c>
      <c r="X1430" s="60">
        <v>0</v>
      </c>
      <c r="Y1430" s="60">
        <v>0</v>
      </c>
      <c r="Z1430" s="60">
        <v>0</v>
      </c>
      <c r="AA1430" s="60">
        <v>0</v>
      </c>
      <c r="AB1430" s="60">
        <v>0</v>
      </c>
      <c r="AC1430" s="188">
        <v>44229.95</v>
      </c>
      <c r="AD1430" s="60">
        <v>0</v>
      </c>
      <c r="AE1430" s="60">
        <v>0</v>
      </c>
      <c r="AF1430" s="170" t="s">
        <v>257</v>
      </c>
      <c r="AG1430" s="170">
        <v>2022</v>
      </c>
      <c r="AH1430" s="63">
        <v>2022</v>
      </c>
    </row>
    <row r="1431" spans="1:34" ht="61.5" x14ac:dyDescent="0.85">
      <c r="B1431" s="160" t="s">
        <v>799</v>
      </c>
      <c r="C1431" s="176"/>
      <c r="D1431" s="177">
        <f t="shared" ref="D1431:AE1431" si="282">SUM(D1432:D1433)</f>
        <v>8079201.3499999996</v>
      </c>
      <c r="E1431" s="60">
        <f t="shared" si="282"/>
        <v>0</v>
      </c>
      <c r="F1431" s="60">
        <f t="shared" si="282"/>
        <v>0</v>
      </c>
      <c r="G1431" s="60">
        <f t="shared" si="282"/>
        <v>0</v>
      </c>
      <c r="H1431" s="60">
        <f t="shared" si="282"/>
        <v>0</v>
      </c>
      <c r="I1431" s="60">
        <f t="shared" si="282"/>
        <v>0</v>
      </c>
      <c r="J1431" s="60">
        <f t="shared" si="282"/>
        <v>0</v>
      </c>
      <c r="K1431" s="168">
        <f t="shared" si="282"/>
        <v>0</v>
      </c>
      <c r="L1431" s="60">
        <f t="shared" si="282"/>
        <v>0</v>
      </c>
      <c r="M1431" s="60">
        <f t="shared" si="282"/>
        <v>876.12</v>
      </c>
      <c r="N1431" s="60">
        <f t="shared" si="282"/>
        <v>7733996</v>
      </c>
      <c r="O1431" s="60">
        <f t="shared" si="282"/>
        <v>0</v>
      </c>
      <c r="P1431" s="60">
        <f t="shared" si="282"/>
        <v>0</v>
      </c>
      <c r="Q1431" s="60">
        <f t="shared" si="282"/>
        <v>0</v>
      </c>
      <c r="R1431" s="60">
        <f t="shared" si="282"/>
        <v>0</v>
      </c>
      <c r="S1431" s="60">
        <f t="shared" si="282"/>
        <v>0</v>
      </c>
      <c r="T1431" s="60">
        <f t="shared" si="282"/>
        <v>0</v>
      </c>
      <c r="U1431" s="60">
        <f t="shared" si="282"/>
        <v>0</v>
      </c>
      <c r="V1431" s="60">
        <f t="shared" si="282"/>
        <v>0</v>
      </c>
      <c r="W1431" s="60">
        <f t="shared" si="282"/>
        <v>0</v>
      </c>
      <c r="X1431" s="60">
        <f t="shared" si="282"/>
        <v>0</v>
      </c>
      <c r="Y1431" s="60">
        <f t="shared" si="282"/>
        <v>0</v>
      </c>
      <c r="Z1431" s="60">
        <f t="shared" si="282"/>
        <v>0</v>
      </c>
      <c r="AA1431" s="60">
        <f t="shared" si="282"/>
        <v>0</v>
      </c>
      <c r="AB1431" s="60">
        <f t="shared" si="282"/>
        <v>0</v>
      </c>
      <c r="AC1431" s="60">
        <f t="shared" si="282"/>
        <v>81926.22</v>
      </c>
      <c r="AD1431" s="60">
        <f t="shared" si="282"/>
        <v>263279.13</v>
      </c>
      <c r="AE1431" s="60">
        <f t="shared" si="282"/>
        <v>0</v>
      </c>
      <c r="AF1431" s="202" t="s">
        <v>701</v>
      </c>
      <c r="AG1431" s="202" t="s">
        <v>701</v>
      </c>
      <c r="AH1431" s="207" t="s">
        <v>701</v>
      </c>
    </row>
    <row r="1432" spans="1:34" ht="61.5" x14ac:dyDescent="0.85">
      <c r="A1432" s="7">
        <v>1</v>
      </c>
      <c r="B1432" s="59">
        <f>SUBTOTAL(103,$A$1032:A1432)</f>
        <v>346</v>
      </c>
      <c r="C1432" s="186" t="s">
        <v>98</v>
      </c>
      <c r="D1432" s="60">
        <f>E1432+F1432+G1432+H1432+I1432+J1432+L1432+N1432+P1432+R1432+T1432+U1432+V1432+W1432+X1432+Y1432+Z1432+AA1432+AB1432+AC1432+AD1432+AE1432</f>
        <v>7948338.0699999994</v>
      </c>
      <c r="E1432" s="60">
        <v>0</v>
      </c>
      <c r="F1432" s="60">
        <v>0</v>
      </c>
      <c r="G1432" s="60">
        <v>0</v>
      </c>
      <c r="H1432" s="60">
        <v>0</v>
      </c>
      <c r="I1432" s="60">
        <v>0</v>
      </c>
      <c r="J1432" s="60">
        <v>0</v>
      </c>
      <c r="K1432" s="168">
        <v>0</v>
      </c>
      <c r="L1432" s="60">
        <v>0</v>
      </c>
      <c r="M1432" s="60">
        <v>876.12</v>
      </c>
      <c r="N1432" s="60">
        <v>7733996</v>
      </c>
      <c r="O1432" s="60">
        <v>0</v>
      </c>
      <c r="P1432" s="60">
        <v>0</v>
      </c>
      <c r="Q1432" s="60">
        <v>0</v>
      </c>
      <c r="R1432" s="60">
        <v>0</v>
      </c>
      <c r="S1432" s="60">
        <v>0</v>
      </c>
      <c r="T1432" s="60">
        <v>0</v>
      </c>
      <c r="U1432" s="60">
        <v>0</v>
      </c>
      <c r="V1432" s="60">
        <v>0</v>
      </c>
      <c r="W1432" s="60">
        <v>0</v>
      </c>
      <c r="X1432" s="60">
        <v>0</v>
      </c>
      <c r="Y1432" s="60">
        <v>0</v>
      </c>
      <c r="Z1432" s="60">
        <v>0</v>
      </c>
      <c r="AA1432" s="60">
        <v>0</v>
      </c>
      <c r="AB1432" s="60">
        <v>0</v>
      </c>
      <c r="AC1432" s="60">
        <f t="shared" ref="AC1432:AC1433" si="283">ROUND(N1432*1.0593%,2)+ROUND(E1432*1.0593%,2)+ROUND(F1432*1.0593%,2)+ROUND(G1432*1.0593%,2)+ROUND(H1432*1.0593%,2)+ROUND(I1432*1.0593%,2)+ROUND(J1432*1.0593%,2)+ROUND(L1432*1.0593%,2)+ROUND(P1432*1.0593%,2)+ROUND(R1432*1.0593%,2)+ROUND(T1432*1.0593%,2)+ROUND(U1432*1.0593%,2)+ROUND(V1432*1.0593%,2)+ROUND(W1432*1.0593%,2)+ROUND(X1432*1.0593%,2)+ROUND(Y1432*1.0593%,2)+ROUND(Z1432*1.0593%,2)+ROUND(AA1432*1.0593%,2)+ROUND(AB1432*1.0593%,2)</f>
        <v>81926.22</v>
      </c>
      <c r="AD1432" s="60">
        <v>132415.85</v>
      </c>
      <c r="AE1432" s="60">
        <v>0</v>
      </c>
      <c r="AF1432" s="170">
        <v>2022</v>
      </c>
      <c r="AG1432" s="170">
        <v>2022</v>
      </c>
      <c r="AH1432" s="63">
        <v>2022</v>
      </c>
    </row>
    <row r="1433" spans="1:34" ht="61.5" x14ac:dyDescent="0.85">
      <c r="A1433" s="7">
        <v>1</v>
      </c>
      <c r="B1433" s="59">
        <f>SUBTOTAL(103,$A$1032:A1433)</f>
        <v>347</v>
      </c>
      <c r="C1433" s="186" t="s">
        <v>99</v>
      </c>
      <c r="D1433" s="60">
        <f>E1433+F1433+G1433+H1433+I1433+J1433+L1433+N1433+P1433+R1433+T1433+U1433+V1433+W1433+X1433+Y1433+Z1433+AA1433+AB1433+AC1433+AD1433+AE1433</f>
        <v>130863.28</v>
      </c>
      <c r="E1433" s="60">
        <v>0</v>
      </c>
      <c r="F1433" s="60">
        <v>0</v>
      </c>
      <c r="G1433" s="60">
        <v>0</v>
      </c>
      <c r="H1433" s="60">
        <v>0</v>
      </c>
      <c r="I1433" s="60">
        <v>0</v>
      </c>
      <c r="J1433" s="60">
        <v>0</v>
      </c>
      <c r="K1433" s="168">
        <v>0</v>
      </c>
      <c r="L1433" s="60">
        <v>0</v>
      </c>
      <c r="M1433" s="60">
        <v>0</v>
      </c>
      <c r="N1433" s="60">
        <v>0</v>
      </c>
      <c r="O1433" s="60">
        <v>0</v>
      </c>
      <c r="P1433" s="60">
        <v>0</v>
      </c>
      <c r="Q1433" s="60">
        <v>0</v>
      </c>
      <c r="R1433" s="60">
        <v>0</v>
      </c>
      <c r="S1433" s="60">
        <v>0</v>
      </c>
      <c r="T1433" s="60">
        <v>0</v>
      </c>
      <c r="U1433" s="60">
        <v>0</v>
      </c>
      <c r="V1433" s="60">
        <v>0</v>
      </c>
      <c r="W1433" s="60">
        <v>0</v>
      </c>
      <c r="X1433" s="60">
        <v>0</v>
      </c>
      <c r="Y1433" s="60">
        <v>0</v>
      </c>
      <c r="Z1433" s="60">
        <v>0</v>
      </c>
      <c r="AA1433" s="60">
        <v>0</v>
      </c>
      <c r="AB1433" s="60">
        <v>0</v>
      </c>
      <c r="AC1433" s="60">
        <f t="shared" si="283"/>
        <v>0</v>
      </c>
      <c r="AD1433" s="60">
        <v>130863.28</v>
      </c>
      <c r="AE1433" s="60">
        <v>0</v>
      </c>
      <c r="AF1433" s="170">
        <v>2022</v>
      </c>
      <c r="AG1433" s="170" t="s">
        <v>257</v>
      </c>
      <c r="AH1433" s="63" t="s">
        <v>257</v>
      </c>
    </row>
    <row r="1434" spans="1:34" ht="61.5" x14ac:dyDescent="0.85">
      <c r="B1434" s="160" t="s">
        <v>826</v>
      </c>
      <c r="C1434" s="160"/>
      <c r="D1434" s="177">
        <f>D1435</f>
        <v>5421765.7599999998</v>
      </c>
      <c r="E1434" s="60">
        <f t="shared" ref="E1434:AE1434" si="284">E1435</f>
        <v>0</v>
      </c>
      <c r="F1434" s="60">
        <f t="shared" si="284"/>
        <v>0</v>
      </c>
      <c r="G1434" s="60">
        <f t="shared" si="284"/>
        <v>0</v>
      </c>
      <c r="H1434" s="60">
        <f t="shared" si="284"/>
        <v>0</v>
      </c>
      <c r="I1434" s="60">
        <f t="shared" si="284"/>
        <v>0</v>
      </c>
      <c r="J1434" s="60">
        <f t="shared" si="284"/>
        <v>0</v>
      </c>
      <c r="K1434" s="168">
        <f t="shared" si="284"/>
        <v>0</v>
      </c>
      <c r="L1434" s="60">
        <f t="shared" si="284"/>
        <v>0</v>
      </c>
      <c r="M1434" s="60">
        <f t="shared" si="284"/>
        <v>643.20000000000005</v>
      </c>
      <c r="N1434" s="60">
        <f t="shared" si="284"/>
        <v>5364935</v>
      </c>
      <c r="O1434" s="60">
        <f t="shared" si="284"/>
        <v>0</v>
      </c>
      <c r="P1434" s="60">
        <f t="shared" si="284"/>
        <v>0</v>
      </c>
      <c r="Q1434" s="60">
        <f t="shared" si="284"/>
        <v>0</v>
      </c>
      <c r="R1434" s="60">
        <f t="shared" si="284"/>
        <v>0</v>
      </c>
      <c r="S1434" s="60">
        <f t="shared" si="284"/>
        <v>0</v>
      </c>
      <c r="T1434" s="60">
        <f t="shared" si="284"/>
        <v>0</v>
      </c>
      <c r="U1434" s="60">
        <f t="shared" si="284"/>
        <v>0</v>
      </c>
      <c r="V1434" s="60">
        <f t="shared" si="284"/>
        <v>0</v>
      </c>
      <c r="W1434" s="60">
        <f t="shared" si="284"/>
        <v>0</v>
      </c>
      <c r="X1434" s="60">
        <f t="shared" si="284"/>
        <v>0</v>
      </c>
      <c r="Y1434" s="60">
        <f t="shared" si="284"/>
        <v>0</v>
      </c>
      <c r="Z1434" s="60">
        <f t="shared" si="284"/>
        <v>0</v>
      </c>
      <c r="AA1434" s="60">
        <f t="shared" si="284"/>
        <v>0</v>
      </c>
      <c r="AB1434" s="60">
        <f t="shared" si="284"/>
        <v>0</v>
      </c>
      <c r="AC1434" s="60">
        <f t="shared" si="284"/>
        <v>56830.76</v>
      </c>
      <c r="AD1434" s="60">
        <f t="shared" si="284"/>
        <v>0</v>
      </c>
      <c r="AE1434" s="60">
        <f t="shared" si="284"/>
        <v>0</v>
      </c>
      <c r="AF1434" s="202" t="s">
        <v>701</v>
      </c>
      <c r="AG1434" s="202" t="s">
        <v>701</v>
      </c>
      <c r="AH1434" s="207" t="s">
        <v>701</v>
      </c>
    </row>
    <row r="1435" spans="1:34" ht="61.5" x14ac:dyDescent="0.85">
      <c r="A1435" s="7">
        <v>1</v>
      </c>
      <c r="B1435" s="59">
        <f>SUBTOTAL(103,$A$1032:A1435)</f>
        <v>348</v>
      </c>
      <c r="C1435" s="186" t="s">
        <v>103</v>
      </c>
      <c r="D1435" s="60">
        <f>E1435+F1435+G1435+H1435+I1435+J1435+L1435+N1435+P1435+R1435+T1435+U1435+V1435+W1435+X1435+Y1435+Z1435+AA1435+AB1435+AC1435+AD1435+AE1435</f>
        <v>5421765.7599999998</v>
      </c>
      <c r="E1435" s="60">
        <v>0</v>
      </c>
      <c r="F1435" s="60">
        <v>0</v>
      </c>
      <c r="G1435" s="60">
        <v>0</v>
      </c>
      <c r="H1435" s="60">
        <v>0</v>
      </c>
      <c r="I1435" s="60">
        <v>0</v>
      </c>
      <c r="J1435" s="60">
        <v>0</v>
      </c>
      <c r="K1435" s="168">
        <v>0</v>
      </c>
      <c r="L1435" s="60">
        <v>0</v>
      </c>
      <c r="M1435" s="60">
        <v>643.20000000000005</v>
      </c>
      <c r="N1435" s="60">
        <v>5364935</v>
      </c>
      <c r="O1435" s="60">
        <v>0</v>
      </c>
      <c r="P1435" s="60">
        <v>0</v>
      </c>
      <c r="Q1435" s="60">
        <v>0</v>
      </c>
      <c r="R1435" s="60">
        <v>0</v>
      </c>
      <c r="S1435" s="60">
        <v>0</v>
      </c>
      <c r="T1435" s="60">
        <v>0</v>
      </c>
      <c r="U1435" s="60">
        <v>0</v>
      </c>
      <c r="V1435" s="60">
        <v>0</v>
      </c>
      <c r="W1435" s="60">
        <v>0</v>
      </c>
      <c r="X1435" s="60">
        <v>0</v>
      </c>
      <c r="Y1435" s="60">
        <v>0</v>
      </c>
      <c r="Z1435" s="60">
        <v>0</v>
      </c>
      <c r="AA1435" s="60">
        <v>0</v>
      </c>
      <c r="AB1435" s="60">
        <v>0</v>
      </c>
      <c r="AC1435" s="60">
        <f>ROUND(N1435*1.0593%,2)+ROUND(E1435*1.0593%,2)+ROUND(F1435*1.0593%,2)+ROUND(G1435*1.0593%,2)+ROUND(H1435*1.0593%,2)+ROUND(I1435*1.0593%,2)+ROUND(J1435*1.0593%,2)+ROUND(L1435*1.0593%,2)+ROUND(P1435*1.0593%,2)+ROUND(R1435*1.0593%,2)+ROUND(T1435*1.0593%,2)+ROUND(U1435*1.0593%,2)+ROUND(V1435*1.0593%,2)+ROUND(W1435*1.0593%,2)+ROUND(X1435*1.0593%,2)+ROUND(Y1435*1.0593%,2)+ROUND(Z1435*1.0593%,2)+ROUND(AA1435*1.0593%,2)+ROUND(AB1435*1.0593%,2)</f>
        <v>56830.76</v>
      </c>
      <c r="AD1435" s="60">
        <v>0</v>
      </c>
      <c r="AE1435" s="60">
        <v>0</v>
      </c>
      <c r="AF1435" s="170" t="s">
        <v>257</v>
      </c>
      <c r="AG1435" s="170">
        <v>2022</v>
      </c>
      <c r="AH1435" s="63">
        <v>2022</v>
      </c>
    </row>
    <row r="1436" spans="1:34" ht="61.5" x14ac:dyDescent="0.85">
      <c r="B1436" s="160" t="s">
        <v>800</v>
      </c>
      <c r="C1436" s="160"/>
      <c r="D1436" s="177">
        <f>D1437</f>
        <v>4541696.47</v>
      </c>
      <c r="E1436" s="60">
        <f t="shared" ref="E1436:AE1436" si="285">E1437</f>
        <v>0</v>
      </c>
      <c r="F1436" s="60">
        <f t="shared" si="285"/>
        <v>0</v>
      </c>
      <c r="G1436" s="60">
        <f t="shared" si="285"/>
        <v>0</v>
      </c>
      <c r="H1436" s="60">
        <f t="shared" si="285"/>
        <v>0</v>
      </c>
      <c r="I1436" s="60">
        <f t="shared" si="285"/>
        <v>0</v>
      </c>
      <c r="J1436" s="60">
        <f t="shared" si="285"/>
        <v>0</v>
      </c>
      <c r="K1436" s="168">
        <f t="shared" si="285"/>
        <v>0</v>
      </c>
      <c r="L1436" s="60">
        <f t="shared" si="285"/>
        <v>0</v>
      </c>
      <c r="M1436" s="60">
        <f t="shared" si="285"/>
        <v>619.67999999999995</v>
      </c>
      <c r="N1436" s="60">
        <f t="shared" si="285"/>
        <v>4414437</v>
      </c>
      <c r="O1436" s="60">
        <f t="shared" si="285"/>
        <v>0</v>
      </c>
      <c r="P1436" s="60">
        <f t="shared" si="285"/>
        <v>0</v>
      </c>
      <c r="Q1436" s="60">
        <f t="shared" si="285"/>
        <v>0</v>
      </c>
      <c r="R1436" s="60">
        <f t="shared" si="285"/>
        <v>0</v>
      </c>
      <c r="S1436" s="60">
        <f t="shared" si="285"/>
        <v>0</v>
      </c>
      <c r="T1436" s="60">
        <f t="shared" si="285"/>
        <v>0</v>
      </c>
      <c r="U1436" s="60">
        <f t="shared" si="285"/>
        <v>0</v>
      </c>
      <c r="V1436" s="60">
        <f t="shared" si="285"/>
        <v>0</v>
      </c>
      <c r="W1436" s="60">
        <f t="shared" si="285"/>
        <v>0</v>
      </c>
      <c r="X1436" s="60">
        <f t="shared" si="285"/>
        <v>0</v>
      </c>
      <c r="Y1436" s="60">
        <f t="shared" si="285"/>
        <v>0</v>
      </c>
      <c r="Z1436" s="60">
        <f t="shared" si="285"/>
        <v>0</v>
      </c>
      <c r="AA1436" s="60">
        <f t="shared" si="285"/>
        <v>0</v>
      </c>
      <c r="AB1436" s="60">
        <f t="shared" si="285"/>
        <v>0</v>
      </c>
      <c r="AC1436" s="60">
        <f t="shared" si="285"/>
        <v>46762.13</v>
      </c>
      <c r="AD1436" s="60">
        <f t="shared" si="285"/>
        <v>80497.34</v>
      </c>
      <c r="AE1436" s="60">
        <f t="shared" si="285"/>
        <v>0</v>
      </c>
      <c r="AF1436" s="202" t="s">
        <v>701</v>
      </c>
      <c r="AG1436" s="202" t="s">
        <v>701</v>
      </c>
      <c r="AH1436" s="207" t="s">
        <v>701</v>
      </c>
    </row>
    <row r="1437" spans="1:34" ht="61.5" x14ac:dyDescent="0.85">
      <c r="A1437" s="7">
        <v>1</v>
      </c>
      <c r="B1437" s="59">
        <f>SUBTOTAL(103,$A$1032:A1437)</f>
        <v>349</v>
      </c>
      <c r="C1437" s="186" t="s">
        <v>100</v>
      </c>
      <c r="D1437" s="60">
        <f>E1437+F1437+G1437+H1437+I1437+J1437+L1437+N1437+P1437+R1437+T1437+U1437+V1437+W1437+X1437+Y1437+Z1437+AA1437+AB1437+AC1437+AD1437+AE1437</f>
        <v>4541696.47</v>
      </c>
      <c r="E1437" s="60">
        <v>0</v>
      </c>
      <c r="F1437" s="60">
        <v>0</v>
      </c>
      <c r="G1437" s="60">
        <v>0</v>
      </c>
      <c r="H1437" s="60">
        <v>0</v>
      </c>
      <c r="I1437" s="60">
        <v>0</v>
      </c>
      <c r="J1437" s="60">
        <v>0</v>
      </c>
      <c r="K1437" s="168">
        <v>0</v>
      </c>
      <c r="L1437" s="60">
        <v>0</v>
      </c>
      <c r="M1437" s="60">
        <v>619.67999999999995</v>
      </c>
      <c r="N1437" s="60">
        <v>4414437</v>
      </c>
      <c r="O1437" s="60">
        <v>0</v>
      </c>
      <c r="P1437" s="60">
        <v>0</v>
      </c>
      <c r="Q1437" s="60">
        <v>0</v>
      </c>
      <c r="R1437" s="60">
        <v>0</v>
      </c>
      <c r="S1437" s="60">
        <v>0</v>
      </c>
      <c r="T1437" s="60">
        <v>0</v>
      </c>
      <c r="U1437" s="60">
        <v>0</v>
      </c>
      <c r="V1437" s="60">
        <v>0</v>
      </c>
      <c r="W1437" s="60">
        <v>0</v>
      </c>
      <c r="X1437" s="60">
        <v>0</v>
      </c>
      <c r="Y1437" s="60">
        <v>0</v>
      </c>
      <c r="Z1437" s="60">
        <v>0</v>
      </c>
      <c r="AA1437" s="60">
        <v>0</v>
      </c>
      <c r="AB1437" s="60">
        <v>0</v>
      </c>
      <c r="AC1437" s="60">
        <f>ROUND(N1437*1.0593%,2)+ROUND(E1437*1.0593%,2)+ROUND(F1437*1.0593%,2)+ROUND(G1437*1.0593%,2)+ROUND(H1437*1.0593%,2)+ROUND(I1437*1.0593%,2)+ROUND(J1437*1.0593%,2)+ROUND(L1437*1.0593%,2)+ROUND(P1437*1.0593%,2)+ROUND(R1437*1.0593%,2)+ROUND(T1437*1.0593%,2)+ROUND(U1437*1.0593%,2)+ROUND(V1437*1.0593%,2)+ROUND(W1437*1.0593%,2)+ROUND(X1437*1.0593%,2)+ROUND(Y1437*1.0593%,2)+ROUND(Z1437*1.0593%,2)+ROUND(AA1437*1.0593%,2)+ROUND(AB1437*1.0593%,2)</f>
        <v>46762.13</v>
      </c>
      <c r="AD1437" s="60">
        <v>80497.34</v>
      </c>
      <c r="AE1437" s="60">
        <v>0</v>
      </c>
      <c r="AF1437" s="170">
        <v>2022</v>
      </c>
      <c r="AG1437" s="170">
        <v>2022</v>
      </c>
      <c r="AH1437" s="63">
        <v>2022</v>
      </c>
    </row>
    <row r="1438" spans="1:34" ht="61.5" x14ac:dyDescent="0.85">
      <c r="B1438" s="160" t="s">
        <v>801</v>
      </c>
      <c r="C1438" s="160"/>
      <c r="D1438" s="177">
        <f>D1439+D1440</f>
        <v>4488379.8199999994</v>
      </c>
      <c r="E1438" s="60">
        <f t="shared" ref="E1438:AE1438" si="286">E1439+E1440</f>
        <v>0</v>
      </c>
      <c r="F1438" s="60">
        <f t="shared" si="286"/>
        <v>0</v>
      </c>
      <c r="G1438" s="60">
        <f t="shared" si="286"/>
        <v>0</v>
      </c>
      <c r="H1438" s="60">
        <f t="shared" si="286"/>
        <v>0</v>
      </c>
      <c r="I1438" s="60">
        <f t="shared" si="286"/>
        <v>0</v>
      </c>
      <c r="J1438" s="60">
        <f t="shared" si="286"/>
        <v>0</v>
      </c>
      <c r="K1438" s="168">
        <f t="shared" si="286"/>
        <v>0</v>
      </c>
      <c r="L1438" s="60">
        <f t="shared" si="286"/>
        <v>0</v>
      </c>
      <c r="M1438" s="60">
        <f t="shared" si="286"/>
        <v>607.25</v>
      </c>
      <c r="N1438" s="60">
        <f t="shared" si="286"/>
        <v>4336672</v>
      </c>
      <c r="O1438" s="60">
        <f t="shared" si="286"/>
        <v>0</v>
      </c>
      <c r="P1438" s="60">
        <f t="shared" si="286"/>
        <v>0</v>
      </c>
      <c r="Q1438" s="60">
        <f t="shared" si="286"/>
        <v>0</v>
      </c>
      <c r="R1438" s="60">
        <f t="shared" si="286"/>
        <v>0</v>
      </c>
      <c r="S1438" s="60">
        <f t="shared" si="286"/>
        <v>0</v>
      </c>
      <c r="T1438" s="60">
        <f t="shared" si="286"/>
        <v>0</v>
      </c>
      <c r="U1438" s="60">
        <f t="shared" si="286"/>
        <v>0</v>
      </c>
      <c r="V1438" s="60">
        <f t="shared" si="286"/>
        <v>0</v>
      </c>
      <c r="W1438" s="60">
        <f t="shared" si="286"/>
        <v>0</v>
      </c>
      <c r="X1438" s="60">
        <f t="shared" si="286"/>
        <v>0</v>
      </c>
      <c r="Y1438" s="60">
        <f t="shared" si="286"/>
        <v>0</v>
      </c>
      <c r="Z1438" s="60">
        <f t="shared" si="286"/>
        <v>0</v>
      </c>
      <c r="AA1438" s="60">
        <f t="shared" si="286"/>
        <v>0</v>
      </c>
      <c r="AB1438" s="60">
        <f t="shared" si="286"/>
        <v>0</v>
      </c>
      <c r="AC1438" s="60">
        <f t="shared" si="286"/>
        <v>45938.36</v>
      </c>
      <c r="AD1438" s="60">
        <f t="shared" si="286"/>
        <v>105769.46</v>
      </c>
      <c r="AE1438" s="60">
        <f t="shared" si="286"/>
        <v>0</v>
      </c>
      <c r="AF1438" s="202" t="s">
        <v>701</v>
      </c>
      <c r="AG1438" s="202" t="s">
        <v>701</v>
      </c>
      <c r="AH1438" s="207" t="s">
        <v>701</v>
      </c>
    </row>
    <row r="1439" spans="1:34" ht="61.5" x14ac:dyDescent="0.85">
      <c r="A1439" s="7">
        <v>1</v>
      </c>
      <c r="B1439" s="59">
        <f>SUBTOTAL(103,$A$1032:A1439)</f>
        <v>350</v>
      </c>
      <c r="C1439" s="186" t="s">
        <v>101</v>
      </c>
      <c r="D1439" s="60">
        <f>E1439+F1439+G1439+H1439+I1439+J1439+L1439+N1439+P1439+R1439+T1439+U1439+V1439+W1439+X1439+Y1439+Z1439+AA1439+AB1439+AC1439+AD1439+AE1439</f>
        <v>2038841.14</v>
      </c>
      <c r="E1439" s="60">
        <v>0</v>
      </c>
      <c r="F1439" s="60">
        <v>0</v>
      </c>
      <c r="G1439" s="60">
        <v>0</v>
      </c>
      <c r="H1439" s="60">
        <v>0</v>
      </c>
      <c r="I1439" s="60">
        <v>0</v>
      </c>
      <c r="J1439" s="60">
        <v>0</v>
      </c>
      <c r="K1439" s="168">
        <v>0</v>
      </c>
      <c r="L1439" s="60">
        <v>0</v>
      </c>
      <c r="M1439" s="60">
        <v>311</v>
      </c>
      <c r="N1439" s="60">
        <v>1965282</v>
      </c>
      <c r="O1439" s="60">
        <v>0</v>
      </c>
      <c r="P1439" s="60">
        <v>0</v>
      </c>
      <c r="Q1439" s="60">
        <v>0</v>
      </c>
      <c r="R1439" s="60">
        <v>0</v>
      </c>
      <c r="S1439" s="60">
        <v>0</v>
      </c>
      <c r="T1439" s="60">
        <v>0</v>
      </c>
      <c r="U1439" s="60">
        <v>0</v>
      </c>
      <c r="V1439" s="60">
        <v>0</v>
      </c>
      <c r="W1439" s="60">
        <v>0</v>
      </c>
      <c r="X1439" s="60">
        <v>0</v>
      </c>
      <c r="Y1439" s="60">
        <v>0</v>
      </c>
      <c r="Z1439" s="60">
        <v>0</v>
      </c>
      <c r="AA1439" s="60">
        <v>0</v>
      </c>
      <c r="AB1439" s="60">
        <v>0</v>
      </c>
      <c r="AC1439" s="60">
        <f t="shared" ref="AC1439:AC1440" si="287">ROUND(N1439*1.0593%,2)+ROUND(E1439*1.0593%,2)+ROUND(F1439*1.0593%,2)+ROUND(G1439*1.0593%,2)+ROUND(H1439*1.0593%,2)+ROUND(I1439*1.0593%,2)+ROUND(J1439*1.0593%,2)+ROUND(L1439*1.0593%,2)+ROUND(P1439*1.0593%,2)+ROUND(R1439*1.0593%,2)+ROUND(T1439*1.0593%,2)+ROUND(U1439*1.0593%,2)+ROUND(V1439*1.0593%,2)+ROUND(W1439*1.0593%,2)+ROUND(X1439*1.0593%,2)+ROUND(Y1439*1.0593%,2)+ROUND(Z1439*1.0593%,2)+ROUND(AA1439*1.0593%,2)+ROUND(AB1439*1.0593%,2)</f>
        <v>20818.23</v>
      </c>
      <c r="AD1439" s="60">
        <v>52740.91</v>
      </c>
      <c r="AE1439" s="60">
        <v>0</v>
      </c>
      <c r="AF1439" s="170">
        <v>2022</v>
      </c>
      <c r="AG1439" s="170">
        <v>2022</v>
      </c>
      <c r="AH1439" s="63">
        <v>2022</v>
      </c>
    </row>
    <row r="1440" spans="1:34" ht="61.5" x14ac:dyDescent="0.85">
      <c r="A1440" s="7">
        <v>1</v>
      </c>
      <c r="B1440" s="59">
        <f>SUBTOTAL(103,$A$1032:A1440)</f>
        <v>351</v>
      </c>
      <c r="C1440" s="186" t="s">
        <v>102</v>
      </c>
      <c r="D1440" s="60">
        <f>E1440+F1440+G1440+H1440+I1440+J1440+L1440+N1440+P1440+R1440+T1440+U1440+V1440+W1440+X1440+Y1440+Z1440+AA1440+AB1440+AC1440+AD1440+AE1440</f>
        <v>2449538.6799999997</v>
      </c>
      <c r="E1440" s="60">
        <v>0</v>
      </c>
      <c r="F1440" s="60">
        <v>0</v>
      </c>
      <c r="G1440" s="60">
        <v>0</v>
      </c>
      <c r="H1440" s="60">
        <v>0</v>
      </c>
      <c r="I1440" s="60">
        <v>0</v>
      </c>
      <c r="J1440" s="60">
        <v>0</v>
      </c>
      <c r="K1440" s="168">
        <v>0</v>
      </c>
      <c r="L1440" s="60">
        <v>0</v>
      </c>
      <c r="M1440" s="60">
        <v>296.25</v>
      </c>
      <c r="N1440" s="60">
        <v>2371390</v>
      </c>
      <c r="O1440" s="60">
        <v>0</v>
      </c>
      <c r="P1440" s="60">
        <v>0</v>
      </c>
      <c r="Q1440" s="60">
        <v>0</v>
      </c>
      <c r="R1440" s="60">
        <v>0</v>
      </c>
      <c r="S1440" s="60">
        <v>0</v>
      </c>
      <c r="T1440" s="60">
        <v>0</v>
      </c>
      <c r="U1440" s="60">
        <v>0</v>
      </c>
      <c r="V1440" s="60">
        <v>0</v>
      </c>
      <c r="W1440" s="60">
        <v>0</v>
      </c>
      <c r="X1440" s="60">
        <v>0</v>
      </c>
      <c r="Y1440" s="60">
        <v>0</v>
      </c>
      <c r="Z1440" s="60">
        <v>0</v>
      </c>
      <c r="AA1440" s="60">
        <v>0</v>
      </c>
      <c r="AB1440" s="60">
        <v>0</v>
      </c>
      <c r="AC1440" s="60">
        <f t="shared" si="287"/>
        <v>25120.13</v>
      </c>
      <c r="AD1440" s="60">
        <v>53028.55</v>
      </c>
      <c r="AE1440" s="60">
        <v>0</v>
      </c>
      <c r="AF1440" s="170">
        <v>2022</v>
      </c>
      <c r="AG1440" s="170">
        <v>2022</v>
      </c>
      <c r="AH1440" s="63">
        <v>2022</v>
      </c>
    </row>
    <row r="1441" spans="1:34" ht="61.5" x14ac:dyDescent="0.85">
      <c r="B1441" s="160" t="s">
        <v>803</v>
      </c>
      <c r="C1441" s="176"/>
      <c r="D1441" s="177">
        <f>SUM(D1442:D1445)</f>
        <v>11422652.180000002</v>
      </c>
      <c r="E1441" s="60">
        <f>SUM(E1442:E1445)</f>
        <v>0</v>
      </c>
      <c r="F1441" s="60">
        <f t="shared" ref="F1441:AE1441" si="288">SUM(F1442:F1445)</f>
        <v>0</v>
      </c>
      <c r="G1441" s="60">
        <f t="shared" si="288"/>
        <v>0</v>
      </c>
      <c r="H1441" s="60">
        <f t="shared" si="288"/>
        <v>0</v>
      </c>
      <c r="I1441" s="60">
        <f t="shared" si="288"/>
        <v>0</v>
      </c>
      <c r="J1441" s="60">
        <f t="shared" si="288"/>
        <v>0</v>
      </c>
      <c r="K1441" s="168">
        <f t="shared" si="288"/>
        <v>0</v>
      </c>
      <c r="L1441" s="60">
        <f t="shared" si="288"/>
        <v>0</v>
      </c>
      <c r="M1441" s="60">
        <f t="shared" si="288"/>
        <v>548.5</v>
      </c>
      <c r="N1441" s="60">
        <f t="shared" si="288"/>
        <v>3921326.87</v>
      </c>
      <c r="O1441" s="60">
        <f t="shared" si="288"/>
        <v>0</v>
      </c>
      <c r="P1441" s="60">
        <f t="shared" si="288"/>
        <v>0</v>
      </c>
      <c r="Q1441" s="60">
        <f t="shared" si="288"/>
        <v>1212.5</v>
      </c>
      <c r="R1441" s="60">
        <f t="shared" si="288"/>
        <v>7023418.2599999998</v>
      </c>
      <c r="S1441" s="60">
        <f t="shared" si="288"/>
        <v>0</v>
      </c>
      <c r="T1441" s="60">
        <f t="shared" si="288"/>
        <v>0</v>
      </c>
      <c r="U1441" s="60">
        <f t="shared" si="288"/>
        <v>0</v>
      </c>
      <c r="V1441" s="60">
        <f t="shared" si="288"/>
        <v>0</v>
      </c>
      <c r="W1441" s="60">
        <f t="shared" si="288"/>
        <v>0</v>
      </c>
      <c r="X1441" s="60">
        <f t="shared" si="288"/>
        <v>0</v>
      </c>
      <c r="Y1441" s="60">
        <f t="shared" si="288"/>
        <v>0</v>
      </c>
      <c r="Z1441" s="60">
        <f t="shared" si="288"/>
        <v>0</v>
      </c>
      <c r="AA1441" s="60">
        <f t="shared" si="288"/>
        <v>0</v>
      </c>
      <c r="AB1441" s="60">
        <f t="shared" si="288"/>
        <v>0</v>
      </c>
      <c r="AC1441" s="60">
        <f t="shared" si="288"/>
        <v>227191.01</v>
      </c>
      <c r="AD1441" s="60">
        <f t="shared" si="288"/>
        <v>250716.03999999998</v>
      </c>
      <c r="AE1441" s="60">
        <f t="shared" si="288"/>
        <v>0</v>
      </c>
      <c r="AF1441" s="202" t="s">
        <v>701</v>
      </c>
      <c r="AG1441" s="202" t="s">
        <v>701</v>
      </c>
      <c r="AH1441" s="207" t="s">
        <v>701</v>
      </c>
    </row>
    <row r="1442" spans="1:34" ht="61.5" x14ac:dyDescent="0.85">
      <c r="A1442" s="7">
        <v>1</v>
      </c>
      <c r="B1442" s="59">
        <f>SUBTOTAL(103,$A$1032:A1442)</f>
        <v>352</v>
      </c>
      <c r="C1442" s="186" t="s">
        <v>185</v>
      </c>
      <c r="D1442" s="60">
        <f>E1442+F1442+G1442+H1442+I1442+J1442+L1442+N1442+P1442+R1442+T1442+U1442+V1442+W1442+X1442+Y1442+Z1442+AA1442+AB1442+AC1442+AD1442+AE1442</f>
        <v>4071293.75</v>
      </c>
      <c r="E1442" s="60">
        <v>0</v>
      </c>
      <c r="F1442" s="60">
        <v>0</v>
      </c>
      <c r="G1442" s="60">
        <v>0</v>
      </c>
      <c r="H1442" s="60">
        <v>0</v>
      </c>
      <c r="I1442" s="60">
        <v>0</v>
      </c>
      <c r="J1442" s="60">
        <v>0</v>
      </c>
      <c r="K1442" s="168">
        <v>0</v>
      </c>
      <c r="L1442" s="60">
        <v>0</v>
      </c>
      <c r="M1442" s="60">
        <v>548.5</v>
      </c>
      <c r="N1442" s="60">
        <v>3921326.87</v>
      </c>
      <c r="O1442" s="60">
        <v>0</v>
      </c>
      <c r="P1442" s="60">
        <v>0</v>
      </c>
      <c r="Q1442" s="60">
        <v>0</v>
      </c>
      <c r="R1442" s="60">
        <v>0</v>
      </c>
      <c r="S1442" s="60">
        <v>0</v>
      </c>
      <c r="T1442" s="60">
        <v>0</v>
      </c>
      <c r="U1442" s="60">
        <v>0</v>
      </c>
      <c r="V1442" s="60">
        <v>0</v>
      </c>
      <c r="W1442" s="60">
        <v>0</v>
      </c>
      <c r="X1442" s="60">
        <v>0</v>
      </c>
      <c r="Y1442" s="60">
        <v>0</v>
      </c>
      <c r="Z1442" s="60">
        <v>0</v>
      </c>
      <c r="AA1442" s="60">
        <v>0</v>
      </c>
      <c r="AB1442" s="60">
        <v>0</v>
      </c>
      <c r="AC1442" s="188">
        <v>81398.899999999994</v>
      </c>
      <c r="AD1442" s="60">
        <v>68567.98</v>
      </c>
      <c r="AE1442" s="60">
        <v>0</v>
      </c>
      <c r="AF1442" s="170">
        <v>2022</v>
      </c>
      <c r="AG1442" s="170">
        <v>2022</v>
      </c>
      <c r="AH1442" s="63">
        <v>2022</v>
      </c>
    </row>
    <row r="1443" spans="1:34" ht="61.5" x14ac:dyDescent="0.85">
      <c r="A1443" s="7">
        <v>1</v>
      </c>
      <c r="B1443" s="59">
        <f>SUBTOTAL(103,$A$1032:A1443)</f>
        <v>353</v>
      </c>
      <c r="C1443" s="186" t="s">
        <v>186</v>
      </c>
      <c r="D1443" s="60">
        <f>E1443+F1443+G1443+H1443+I1443+J1443+L1443+N1443+P1443+R1443+T1443+U1443+V1443+W1443+X1443+Y1443+Z1443+AA1443+AB1443+AC1443+AD1443+AE1443</f>
        <v>3565958.0700000003</v>
      </c>
      <c r="E1443" s="60">
        <v>0</v>
      </c>
      <c r="F1443" s="60">
        <v>0</v>
      </c>
      <c r="G1443" s="60">
        <v>0</v>
      </c>
      <c r="H1443" s="60">
        <v>0</v>
      </c>
      <c r="I1443" s="60">
        <v>0</v>
      </c>
      <c r="J1443" s="60">
        <v>0</v>
      </c>
      <c r="K1443" s="168">
        <v>0</v>
      </c>
      <c r="L1443" s="60">
        <v>0</v>
      </c>
      <c r="M1443" s="60">
        <v>0</v>
      </c>
      <c r="N1443" s="60">
        <v>0</v>
      </c>
      <c r="O1443" s="60">
        <v>0</v>
      </c>
      <c r="P1443" s="60">
        <v>0</v>
      </c>
      <c r="Q1443" s="60">
        <v>597</v>
      </c>
      <c r="R1443" s="60">
        <v>3493441.22</v>
      </c>
      <c r="S1443" s="60">
        <v>0</v>
      </c>
      <c r="T1443" s="60">
        <v>0</v>
      </c>
      <c r="U1443" s="60">
        <v>0</v>
      </c>
      <c r="V1443" s="60">
        <v>0</v>
      </c>
      <c r="W1443" s="60">
        <v>0</v>
      </c>
      <c r="X1443" s="60">
        <v>0</v>
      </c>
      <c r="Y1443" s="60">
        <v>0</v>
      </c>
      <c r="Z1443" s="60">
        <v>0</v>
      </c>
      <c r="AA1443" s="60">
        <v>0</v>
      </c>
      <c r="AB1443" s="60">
        <v>0</v>
      </c>
      <c r="AC1443" s="188">
        <v>72516.850000000006</v>
      </c>
      <c r="AD1443" s="60">
        <v>0</v>
      </c>
      <c r="AE1443" s="60">
        <v>0</v>
      </c>
      <c r="AF1443" s="170" t="s">
        <v>257</v>
      </c>
      <c r="AG1443" s="170">
        <v>2022</v>
      </c>
      <c r="AH1443" s="63">
        <v>2022</v>
      </c>
    </row>
    <row r="1444" spans="1:34" ht="61.5" x14ac:dyDescent="0.85">
      <c r="A1444" s="7">
        <v>1</v>
      </c>
      <c r="B1444" s="59">
        <f>SUBTOTAL(103,$A$1032:A1444)</f>
        <v>354</v>
      </c>
      <c r="C1444" s="186" t="s">
        <v>187</v>
      </c>
      <c r="D1444" s="60">
        <f>E1444+F1444+G1444+H1444+I1444+J1444+L1444+N1444+P1444+R1444+T1444+U1444+V1444+W1444+X1444+Y1444+Z1444+AA1444+AB1444+AC1444+AD1444+AE1444</f>
        <v>3603252.3</v>
      </c>
      <c r="E1444" s="60">
        <v>0</v>
      </c>
      <c r="F1444" s="60">
        <v>0</v>
      </c>
      <c r="G1444" s="60">
        <v>0</v>
      </c>
      <c r="H1444" s="60">
        <v>0</v>
      </c>
      <c r="I1444" s="60">
        <v>0</v>
      </c>
      <c r="J1444" s="60">
        <v>0</v>
      </c>
      <c r="K1444" s="168">
        <v>0</v>
      </c>
      <c r="L1444" s="60">
        <v>0</v>
      </c>
      <c r="M1444" s="60">
        <v>0</v>
      </c>
      <c r="N1444" s="60">
        <v>0</v>
      </c>
      <c r="O1444" s="60">
        <v>0</v>
      </c>
      <c r="P1444" s="60">
        <v>0</v>
      </c>
      <c r="Q1444" s="60">
        <v>615.5</v>
      </c>
      <c r="R1444" s="60">
        <v>3529977.04</v>
      </c>
      <c r="S1444" s="60">
        <v>0</v>
      </c>
      <c r="T1444" s="60">
        <v>0</v>
      </c>
      <c r="U1444" s="60">
        <v>0</v>
      </c>
      <c r="V1444" s="60">
        <v>0</v>
      </c>
      <c r="W1444" s="60">
        <v>0</v>
      </c>
      <c r="X1444" s="60">
        <v>0</v>
      </c>
      <c r="Y1444" s="60">
        <v>0</v>
      </c>
      <c r="Z1444" s="60">
        <v>0</v>
      </c>
      <c r="AA1444" s="60">
        <v>0</v>
      </c>
      <c r="AB1444" s="60">
        <v>0</v>
      </c>
      <c r="AC1444" s="188">
        <v>73275.259999999995</v>
      </c>
      <c r="AD1444" s="60">
        <v>0</v>
      </c>
      <c r="AE1444" s="60">
        <v>0</v>
      </c>
      <c r="AF1444" s="170" t="s">
        <v>257</v>
      </c>
      <c r="AG1444" s="170">
        <v>2022</v>
      </c>
      <c r="AH1444" s="63">
        <v>2022</v>
      </c>
    </row>
    <row r="1445" spans="1:34" ht="61.5" x14ac:dyDescent="0.85">
      <c r="A1445" s="7">
        <v>1</v>
      </c>
      <c r="B1445" s="59">
        <f>SUBTOTAL(103,$A$1032:A1445)</f>
        <v>355</v>
      </c>
      <c r="C1445" s="160" t="s">
        <v>181</v>
      </c>
      <c r="D1445" s="60">
        <f>E1445+F1445+G1445+H1445+I1445+J1445+L1445+N1445+P1445+R1445+T1445+U1445+V1445+W1445+X1445+Y1445+Z1445+AA1445+AB1445+AC1445+AD1445+AE1445</f>
        <v>182148.06</v>
      </c>
      <c r="E1445" s="60">
        <v>0</v>
      </c>
      <c r="F1445" s="60">
        <v>0</v>
      </c>
      <c r="G1445" s="60">
        <v>0</v>
      </c>
      <c r="H1445" s="60">
        <v>0</v>
      </c>
      <c r="I1445" s="60">
        <v>0</v>
      </c>
      <c r="J1445" s="60">
        <v>0</v>
      </c>
      <c r="K1445" s="168">
        <v>0</v>
      </c>
      <c r="L1445" s="60">
        <v>0</v>
      </c>
      <c r="M1445" s="60">
        <v>0</v>
      </c>
      <c r="N1445" s="60">
        <v>0</v>
      </c>
      <c r="O1445" s="60">
        <v>0</v>
      </c>
      <c r="P1445" s="60">
        <v>0</v>
      </c>
      <c r="Q1445" s="60">
        <v>0</v>
      </c>
      <c r="R1445" s="60">
        <v>0</v>
      </c>
      <c r="S1445" s="60">
        <v>0</v>
      </c>
      <c r="T1445" s="60">
        <v>0</v>
      </c>
      <c r="U1445" s="60">
        <v>0</v>
      </c>
      <c r="V1445" s="60">
        <v>0</v>
      </c>
      <c r="W1445" s="60">
        <v>0</v>
      </c>
      <c r="X1445" s="60">
        <v>0</v>
      </c>
      <c r="Y1445" s="60">
        <v>0</v>
      </c>
      <c r="Z1445" s="60">
        <v>0</v>
      </c>
      <c r="AA1445" s="60">
        <v>0</v>
      </c>
      <c r="AB1445" s="60">
        <v>0</v>
      </c>
      <c r="AC1445" s="188">
        <f>ROUND(N1445*2.14%,2)+ROUND(E1445*2.14%,2)+ROUND(F1445*2.14%,2)+ROUND(G1445*2.14%,2)+ROUND(H1445*2.14%,2)+ROUND(I1445*2.14%,2)+ROUND(J1445*2.14%,2)+ROUND(L1445*2.14%,2)+ROUND(P1445*2.14%,2)+ROUND(R1445*2.14%,2)+ROUND(T1445*2.14%,2)+ROUND(U1445*2.14%,2)+ROUND(V1445*2.14%,2)+ROUND(W1445*2.14%,2)+ROUND(X1445*2.14%,2)+ROUND(Y1445*2.14%,2)+ROUND(Z1445*2.14%,2)+ROUND(AA1445*2.14%,2)+ROUND(AB1445*2.14%,2)</f>
        <v>0</v>
      </c>
      <c r="AD1445" s="60">
        <v>182148.06</v>
      </c>
      <c r="AE1445" s="60">
        <v>0</v>
      </c>
      <c r="AF1445" s="170">
        <v>2022</v>
      </c>
      <c r="AG1445" s="170" t="s">
        <v>257</v>
      </c>
      <c r="AH1445" s="63" t="s">
        <v>257</v>
      </c>
    </row>
    <row r="1446" spans="1:34" ht="61.5" x14ac:dyDescent="0.85">
      <c r="B1446" s="160" t="s">
        <v>804</v>
      </c>
      <c r="C1446" s="160"/>
      <c r="D1446" s="177">
        <f>SUM(D1447:D1449)</f>
        <v>12049556.799999999</v>
      </c>
      <c r="E1446" s="60">
        <f t="shared" ref="E1446:AE1446" si="289">SUM(E1447:E1449)</f>
        <v>0</v>
      </c>
      <c r="F1446" s="60">
        <f t="shared" si="289"/>
        <v>0</v>
      </c>
      <c r="G1446" s="60">
        <f t="shared" si="289"/>
        <v>0</v>
      </c>
      <c r="H1446" s="60">
        <f t="shared" si="289"/>
        <v>0</v>
      </c>
      <c r="I1446" s="60">
        <f t="shared" si="289"/>
        <v>0</v>
      </c>
      <c r="J1446" s="60">
        <f t="shared" si="289"/>
        <v>0</v>
      </c>
      <c r="K1446" s="168">
        <f t="shared" si="289"/>
        <v>0</v>
      </c>
      <c r="L1446" s="60">
        <f t="shared" si="289"/>
        <v>0</v>
      </c>
      <c r="M1446" s="60">
        <f t="shared" si="289"/>
        <v>1654.42</v>
      </c>
      <c r="N1446" s="60">
        <f t="shared" si="289"/>
        <v>11676147.84</v>
      </c>
      <c r="O1446" s="60">
        <f t="shared" si="289"/>
        <v>0</v>
      </c>
      <c r="P1446" s="60">
        <f t="shared" si="289"/>
        <v>0</v>
      </c>
      <c r="Q1446" s="60">
        <f t="shared" si="289"/>
        <v>0</v>
      </c>
      <c r="R1446" s="60">
        <f t="shared" si="289"/>
        <v>0</v>
      </c>
      <c r="S1446" s="60">
        <f t="shared" si="289"/>
        <v>0</v>
      </c>
      <c r="T1446" s="60">
        <f t="shared" si="289"/>
        <v>0</v>
      </c>
      <c r="U1446" s="60">
        <f t="shared" si="289"/>
        <v>0</v>
      </c>
      <c r="V1446" s="60">
        <f t="shared" si="289"/>
        <v>0</v>
      </c>
      <c r="W1446" s="60">
        <f t="shared" si="289"/>
        <v>0</v>
      </c>
      <c r="X1446" s="60">
        <f t="shared" si="289"/>
        <v>0</v>
      </c>
      <c r="Y1446" s="60">
        <f t="shared" si="289"/>
        <v>0</v>
      </c>
      <c r="Z1446" s="60">
        <f t="shared" si="289"/>
        <v>0</v>
      </c>
      <c r="AA1446" s="60">
        <f t="shared" si="289"/>
        <v>0</v>
      </c>
      <c r="AB1446" s="60">
        <f t="shared" si="289"/>
        <v>0</v>
      </c>
      <c r="AC1446" s="60">
        <f t="shared" si="289"/>
        <v>221138.13</v>
      </c>
      <c r="AD1446" s="60">
        <f t="shared" si="289"/>
        <v>152270.83000000002</v>
      </c>
      <c r="AE1446" s="60">
        <f t="shared" si="289"/>
        <v>0</v>
      </c>
      <c r="AF1446" s="202" t="s">
        <v>701</v>
      </c>
      <c r="AG1446" s="202" t="s">
        <v>701</v>
      </c>
      <c r="AH1446" s="207" t="s">
        <v>701</v>
      </c>
    </row>
    <row r="1447" spans="1:34" ht="61.5" x14ac:dyDescent="0.85">
      <c r="A1447" s="7">
        <v>1</v>
      </c>
      <c r="B1447" s="59">
        <f>SUBTOTAL(103,$A$1032:A1447)</f>
        <v>356</v>
      </c>
      <c r="C1447" s="186" t="s">
        <v>1289</v>
      </c>
      <c r="D1447" s="60">
        <f>E1447+F1447+G1447+H1447+I1447+J1447+L1447+N1447+P1447+R1447+T1447+U1447+V1447+W1447+X1447+Y1447+Z1447+AA1447+AB1447+AC1447+AD1447+AE1447</f>
        <v>6993810.7199999997</v>
      </c>
      <c r="E1447" s="60">
        <v>0</v>
      </c>
      <c r="F1447" s="60">
        <v>0</v>
      </c>
      <c r="G1447" s="60">
        <v>0</v>
      </c>
      <c r="H1447" s="60">
        <v>0</v>
      </c>
      <c r="I1447" s="60">
        <v>0</v>
      </c>
      <c r="J1447" s="60">
        <v>0</v>
      </c>
      <c r="K1447" s="168">
        <v>0</v>
      </c>
      <c r="L1447" s="60">
        <v>0</v>
      </c>
      <c r="M1447" s="60">
        <v>770.6</v>
      </c>
      <c r="N1447" s="60">
        <v>6764487.8399999999</v>
      </c>
      <c r="O1447" s="60">
        <v>0</v>
      </c>
      <c r="P1447" s="60">
        <v>0</v>
      </c>
      <c r="Q1447" s="60">
        <v>0</v>
      </c>
      <c r="R1447" s="60">
        <v>0</v>
      </c>
      <c r="S1447" s="60">
        <v>0</v>
      </c>
      <c r="T1447" s="60">
        <v>0</v>
      </c>
      <c r="U1447" s="60">
        <v>0</v>
      </c>
      <c r="V1447" s="60">
        <v>0</v>
      </c>
      <c r="W1447" s="60">
        <v>0</v>
      </c>
      <c r="X1447" s="60">
        <v>0</v>
      </c>
      <c r="Y1447" s="60">
        <v>0</v>
      </c>
      <c r="Z1447" s="60">
        <v>0</v>
      </c>
      <c r="AA1447" s="60">
        <v>0</v>
      </c>
      <c r="AB1447" s="60">
        <v>0</v>
      </c>
      <c r="AC1447" s="188">
        <v>140417.24</v>
      </c>
      <c r="AD1447" s="60">
        <v>88905.64</v>
      </c>
      <c r="AE1447" s="60">
        <v>0</v>
      </c>
      <c r="AF1447" s="170">
        <v>2022</v>
      </c>
      <c r="AG1447" s="170">
        <v>2022</v>
      </c>
      <c r="AH1447" s="63">
        <v>2022</v>
      </c>
    </row>
    <row r="1448" spans="1:34" ht="61.5" x14ac:dyDescent="0.85">
      <c r="A1448" s="7">
        <v>1</v>
      </c>
      <c r="B1448" s="59">
        <f>SUBTOTAL(103,$A$1032:A1448)</f>
        <v>357</v>
      </c>
      <c r="C1448" s="160" t="s">
        <v>2153</v>
      </c>
      <c r="D1448" s="60">
        <f>E1448+F1448+G1448+H1448+I1448+J1448+L1448+N1448+P1448+R1448+T1448+U1448+V1448+W1448+X1448+Y1448+Z1448+AA1448+AB1448+AC1448+AD1448+AE1448</f>
        <v>2818559.34</v>
      </c>
      <c r="E1448" s="60">
        <v>0</v>
      </c>
      <c r="F1448" s="60">
        <v>0</v>
      </c>
      <c r="G1448" s="60">
        <v>0</v>
      </c>
      <c r="H1448" s="60">
        <v>0</v>
      </c>
      <c r="I1448" s="60">
        <v>0</v>
      </c>
      <c r="J1448" s="60">
        <v>0</v>
      </c>
      <c r="K1448" s="168">
        <v>0</v>
      </c>
      <c r="L1448" s="60">
        <v>0</v>
      </c>
      <c r="M1448" s="60">
        <v>567.95000000000005</v>
      </c>
      <c r="N1448" s="60">
        <v>2782045</v>
      </c>
      <c r="O1448" s="60">
        <v>0</v>
      </c>
      <c r="P1448" s="60">
        <v>0</v>
      </c>
      <c r="Q1448" s="60">
        <v>0</v>
      </c>
      <c r="R1448" s="60">
        <v>0</v>
      </c>
      <c r="S1448" s="60">
        <v>0</v>
      </c>
      <c r="T1448" s="60">
        <v>0</v>
      </c>
      <c r="U1448" s="60">
        <v>0</v>
      </c>
      <c r="V1448" s="60">
        <v>0</v>
      </c>
      <c r="W1448" s="60">
        <v>0</v>
      </c>
      <c r="X1448" s="60">
        <v>0</v>
      </c>
      <c r="Y1448" s="60">
        <v>0</v>
      </c>
      <c r="Z1448" s="60">
        <v>0</v>
      </c>
      <c r="AA1448" s="60">
        <v>0</v>
      </c>
      <c r="AB1448" s="60">
        <v>0</v>
      </c>
      <c r="AC1448" s="60">
        <v>36514.339999999997</v>
      </c>
      <c r="AD1448" s="62">
        <v>0</v>
      </c>
      <c r="AE1448" s="60">
        <v>0</v>
      </c>
      <c r="AF1448" s="170" t="s">
        <v>257</v>
      </c>
      <c r="AG1448" s="170">
        <v>2022</v>
      </c>
      <c r="AH1448" s="63">
        <v>2022</v>
      </c>
    </row>
    <row r="1449" spans="1:34" ht="61.5" x14ac:dyDescent="0.85">
      <c r="A1449" s="7">
        <v>1</v>
      </c>
      <c r="B1449" s="59">
        <f>SUBTOTAL(103,$A$1032:A1449)</f>
        <v>358</v>
      </c>
      <c r="C1449" s="160" t="s">
        <v>2895</v>
      </c>
      <c r="D1449" s="60">
        <f>E1449+F1449+G1449+H1449+I1449+J1449+L1449+N1449+P1449+R1449+T1449+U1449+V1449+W1449+X1449+Y1449+Z1449+AA1449+AB1449+AC1449+AD1449+AE1449</f>
        <v>2237186.7399999998</v>
      </c>
      <c r="E1449" s="60">
        <v>0</v>
      </c>
      <c r="F1449" s="60">
        <v>0</v>
      </c>
      <c r="G1449" s="60">
        <v>0</v>
      </c>
      <c r="H1449" s="60">
        <v>0</v>
      </c>
      <c r="I1449" s="60">
        <v>0</v>
      </c>
      <c r="J1449" s="60">
        <v>0</v>
      </c>
      <c r="K1449" s="168">
        <v>0</v>
      </c>
      <c r="L1449" s="60">
        <v>0</v>
      </c>
      <c r="M1449" s="60">
        <v>315.87</v>
      </c>
      <c r="N1449" s="60">
        <v>2129615</v>
      </c>
      <c r="O1449" s="60">
        <v>0</v>
      </c>
      <c r="P1449" s="60">
        <v>0</v>
      </c>
      <c r="Q1449" s="60">
        <v>0</v>
      </c>
      <c r="R1449" s="60">
        <v>0</v>
      </c>
      <c r="S1449" s="60">
        <v>0</v>
      </c>
      <c r="T1449" s="60">
        <v>0</v>
      </c>
      <c r="U1449" s="60">
        <v>0</v>
      </c>
      <c r="V1449" s="60">
        <v>0</v>
      </c>
      <c r="W1449" s="60">
        <v>0</v>
      </c>
      <c r="X1449" s="60">
        <v>0</v>
      </c>
      <c r="Y1449" s="60">
        <v>0</v>
      </c>
      <c r="Z1449" s="60">
        <v>0</v>
      </c>
      <c r="AA1449" s="60">
        <v>0</v>
      </c>
      <c r="AB1449" s="60">
        <v>0</v>
      </c>
      <c r="AC1449" s="188">
        <v>44206.55</v>
      </c>
      <c r="AD1449" s="60">
        <v>63365.19</v>
      </c>
      <c r="AE1449" s="60">
        <v>0</v>
      </c>
      <c r="AF1449" s="170">
        <v>2022</v>
      </c>
      <c r="AG1449" s="170">
        <v>2022</v>
      </c>
      <c r="AH1449" s="63">
        <v>2022</v>
      </c>
    </row>
    <row r="1450" spans="1:34" ht="61.5" x14ac:dyDescent="0.85">
      <c r="B1450" s="160" t="s">
        <v>806</v>
      </c>
      <c r="C1450" s="160"/>
      <c r="D1450" s="177">
        <f>D1451</f>
        <v>6123513.2999999998</v>
      </c>
      <c r="E1450" s="60">
        <f t="shared" ref="E1450:AE1450" si="290">E1451</f>
        <v>0</v>
      </c>
      <c r="F1450" s="60">
        <f t="shared" si="290"/>
        <v>0</v>
      </c>
      <c r="G1450" s="60">
        <f t="shared" si="290"/>
        <v>0</v>
      </c>
      <c r="H1450" s="60">
        <f t="shared" si="290"/>
        <v>0</v>
      </c>
      <c r="I1450" s="60">
        <f t="shared" si="290"/>
        <v>0</v>
      </c>
      <c r="J1450" s="60">
        <f t="shared" si="290"/>
        <v>0</v>
      </c>
      <c r="K1450" s="168">
        <f t="shared" si="290"/>
        <v>0</v>
      </c>
      <c r="L1450" s="60">
        <f t="shared" si="290"/>
        <v>0</v>
      </c>
      <c r="M1450" s="60">
        <f t="shared" si="290"/>
        <v>801.7</v>
      </c>
      <c r="N1450" s="60">
        <f t="shared" si="290"/>
        <v>5902980.29</v>
      </c>
      <c r="O1450" s="60">
        <f t="shared" si="290"/>
        <v>0</v>
      </c>
      <c r="P1450" s="60">
        <f t="shared" si="290"/>
        <v>0</v>
      </c>
      <c r="Q1450" s="60">
        <f t="shared" si="290"/>
        <v>0</v>
      </c>
      <c r="R1450" s="60">
        <f t="shared" si="290"/>
        <v>0</v>
      </c>
      <c r="S1450" s="60">
        <f t="shared" si="290"/>
        <v>0</v>
      </c>
      <c r="T1450" s="60">
        <f t="shared" si="290"/>
        <v>0</v>
      </c>
      <c r="U1450" s="60">
        <f t="shared" si="290"/>
        <v>0</v>
      </c>
      <c r="V1450" s="60">
        <f t="shared" si="290"/>
        <v>0</v>
      </c>
      <c r="W1450" s="60">
        <f t="shared" si="290"/>
        <v>0</v>
      </c>
      <c r="X1450" s="60">
        <f t="shared" si="290"/>
        <v>0</v>
      </c>
      <c r="Y1450" s="60">
        <f t="shared" si="290"/>
        <v>0</v>
      </c>
      <c r="Z1450" s="60">
        <f t="shared" si="290"/>
        <v>0</v>
      </c>
      <c r="AA1450" s="60">
        <f t="shared" si="290"/>
        <v>0</v>
      </c>
      <c r="AB1450" s="60">
        <f t="shared" si="290"/>
        <v>0</v>
      </c>
      <c r="AC1450" s="60">
        <f t="shared" si="290"/>
        <v>122534.06</v>
      </c>
      <c r="AD1450" s="60">
        <f t="shared" si="290"/>
        <v>97998.95</v>
      </c>
      <c r="AE1450" s="60">
        <f t="shared" si="290"/>
        <v>0</v>
      </c>
      <c r="AF1450" s="202" t="s">
        <v>701</v>
      </c>
      <c r="AG1450" s="202" t="s">
        <v>701</v>
      </c>
      <c r="AH1450" s="207" t="s">
        <v>701</v>
      </c>
    </row>
    <row r="1451" spans="1:34" ht="61.5" x14ac:dyDescent="0.85">
      <c r="A1451" s="7">
        <v>1</v>
      </c>
      <c r="B1451" s="59">
        <f>SUBTOTAL(103,$A$1032:A1451)</f>
        <v>359</v>
      </c>
      <c r="C1451" s="186" t="s">
        <v>2143</v>
      </c>
      <c r="D1451" s="60">
        <f>E1451+F1451+G1451+H1451+I1451+J1451+L1451+N1451+P1451+R1451+T1451+U1451+V1451+W1451+X1451+Y1451+Z1451+AA1451+AB1451+AC1451+AD1451+AE1451</f>
        <v>6123513.2999999998</v>
      </c>
      <c r="E1451" s="60">
        <v>0</v>
      </c>
      <c r="F1451" s="60">
        <v>0</v>
      </c>
      <c r="G1451" s="60">
        <v>0</v>
      </c>
      <c r="H1451" s="60">
        <v>0</v>
      </c>
      <c r="I1451" s="60">
        <v>0</v>
      </c>
      <c r="J1451" s="60">
        <v>0</v>
      </c>
      <c r="K1451" s="168">
        <v>0</v>
      </c>
      <c r="L1451" s="60">
        <v>0</v>
      </c>
      <c r="M1451" s="60">
        <v>801.7</v>
      </c>
      <c r="N1451" s="60">
        <v>5902980.29</v>
      </c>
      <c r="O1451" s="60">
        <v>0</v>
      </c>
      <c r="P1451" s="60">
        <v>0</v>
      </c>
      <c r="Q1451" s="60">
        <v>0</v>
      </c>
      <c r="R1451" s="60">
        <v>0</v>
      </c>
      <c r="S1451" s="60">
        <v>0</v>
      </c>
      <c r="T1451" s="60">
        <v>0</v>
      </c>
      <c r="U1451" s="60">
        <v>0</v>
      </c>
      <c r="V1451" s="60">
        <v>0</v>
      </c>
      <c r="W1451" s="60">
        <v>0</v>
      </c>
      <c r="X1451" s="60">
        <v>0</v>
      </c>
      <c r="Y1451" s="60">
        <v>0</v>
      </c>
      <c r="Z1451" s="60">
        <v>0</v>
      </c>
      <c r="AA1451" s="60">
        <v>0</v>
      </c>
      <c r="AB1451" s="60">
        <v>0</v>
      </c>
      <c r="AC1451" s="188">
        <v>122534.06</v>
      </c>
      <c r="AD1451" s="60">
        <v>97998.95</v>
      </c>
      <c r="AE1451" s="60">
        <v>0</v>
      </c>
      <c r="AF1451" s="170">
        <v>2022</v>
      </c>
      <c r="AG1451" s="170">
        <v>2022</v>
      </c>
      <c r="AH1451" s="63">
        <v>2022</v>
      </c>
    </row>
    <row r="1452" spans="1:34" ht="61.5" x14ac:dyDescent="0.85">
      <c r="B1452" s="160" t="s">
        <v>825</v>
      </c>
      <c r="C1452" s="160"/>
      <c r="D1452" s="177">
        <f>D1453</f>
        <v>5301825.74</v>
      </c>
      <c r="E1452" s="60">
        <f t="shared" ref="E1452:AE1452" si="291">E1453</f>
        <v>0</v>
      </c>
      <c r="F1452" s="60">
        <f t="shared" si="291"/>
        <v>0</v>
      </c>
      <c r="G1452" s="60">
        <f t="shared" si="291"/>
        <v>0</v>
      </c>
      <c r="H1452" s="60">
        <f t="shared" si="291"/>
        <v>0</v>
      </c>
      <c r="I1452" s="60">
        <f t="shared" si="291"/>
        <v>0</v>
      </c>
      <c r="J1452" s="60">
        <f t="shared" si="291"/>
        <v>0</v>
      </c>
      <c r="K1452" s="168">
        <f t="shared" si="291"/>
        <v>0</v>
      </c>
      <c r="L1452" s="60">
        <f t="shared" si="291"/>
        <v>0</v>
      </c>
      <c r="M1452" s="60">
        <f t="shared" si="291"/>
        <v>568.6</v>
      </c>
      <c r="N1452" s="60">
        <f t="shared" si="291"/>
        <v>5101856.2</v>
      </c>
      <c r="O1452" s="60">
        <f t="shared" si="291"/>
        <v>0</v>
      </c>
      <c r="P1452" s="60">
        <f t="shared" si="291"/>
        <v>0</v>
      </c>
      <c r="Q1452" s="60">
        <f t="shared" si="291"/>
        <v>0</v>
      </c>
      <c r="R1452" s="60">
        <f t="shared" si="291"/>
        <v>0</v>
      </c>
      <c r="S1452" s="60">
        <f t="shared" si="291"/>
        <v>0</v>
      </c>
      <c r="T1452" s="60">
        <f t="shared" si="291"/>
        <v>0</v>
      </c>
      <c r="U1452" s="60">
        <f t="shared" si="291"/>
        <v>0</v>
      </c>
      <c r="V1452" s="60">
        <f t="shared" si="291"/>
        <v>0</v>
      </c>
      <c r="W1452" s="60">
        <f t="shared" si="291"/>
        <v>0</v>
      </c>
      <c r="X1452" s="60">
        <f t="shared" si="291"/>
        <v>0</v>
      </c>
      <c r="Y1452" s="60">
        <f t="shared" si="291"/>
        <v>0</v>
      </c>
      <c r="Z1452" s="60">
        <f t="shared" si="291"/>
        <v>0</v>
      </c>
      <c r="AA1452" s="60">
        <f t="shared" si="291"/>
        <v>0</v>
      </c>
      <c r="AB1452" s="60">
        <f t="shared" si="291"/>
        <v>0</v>
      </c>
      <c r="AC1452" s="60">
        <f t="shared" si="291"/>
        <v>105904.33</v>
      </c>
      <c r="AD1452" s="60">
        <f t="shared" si="291"/>
        <v>94065.21</v>
      </c>
      <c r="AE1452" s="60">
        <f t="shared" si="291"/>
        <v>0</v>
      </c>
      <c r="AF1452" s="202" t="s">
        <v>701</v>
      </c>
      <c r="AG1452" s="202" t="s">
        <v>701</v>
      </c>
      <c r="AH1452" s="207" t="s">
        <v>701</v>
      </c>
    </row>
    <row r="1453" spans="1:34" ht="61.5" x14ac:dyDescent="0.85">
      <c r="A1453" s="7">
        <v>1</v>
      </c>
      <c r="B1453" s="59">
        <f>SUBTOTAL(103,$A$1032:A1453)</f>
        <v>360</v>
      </c>
      <c r="C1453" s="186" t="s">
        <v>188</v>
      </c>
      <c r="D1453" s="60">
        <f>E1453+F1453+G1453+H1453+I1453+J1453+L1453+N1453+P1453+R1453+T1453+U1453+V1453+W1453+X1453+Y1453+Z1453+AA1453+AB1453+AC1453+AD1453+AE1453</f>
        <v>5301825.74</v>
      </c>
      <c r="E1453" s="60">
        <v>0</v>
      </c>
      <c r="F1453" s="60">
        <v>0</v>
      </c>
      <c r="G1453" s="60">
        <v>0</v>
      </c>
      <c r="H1453" s="60">
        <v>0</v>
      </c>
      <c r="I1453" s="60">
        <v>0</v>
      </c>
      <c r="J1453" s="60">
        <v>0</v>
      </c>
      <c r="K1453" s="168">
        <v>0</v>
      </c>
      <c r="L1453" s="60">
        <v>0</v>
      </c>
      <c r="M1453" s="60">
        <v>568.6</v>
      </c>
      <c r="N1453" s="60">
        <v>5101856.2</v>
      </c>
      <c r="O1453" s="60">
        <v>0</v>
      </c>
      <c r="P1453" s="60">
        <v>0</v>
      </c>
      <c r="Q1453" s="60">
        <v>0</v>
      </c>
      <c r="R1453" s="60">
        <v>0</v>
      </c>
      <c r="S1453" s="60">
        <v>0</v>
      </c>
      <c r="T1453" s="60">
        <v>0</v>
      </c>
      <c r="U1453" s="60">
        <v>0</v>
      </c>
      <c r="V1453" s="60">
        <v>0</v>
      </c>
      <c r="W1453" s="60">
        <v>0</v>
      </c>
      <c r="X1453" s="60">
        <v>0</v>
      </c>
      <c r="Y1453" s="60">
        <v>0</v>
      </c>
      <c r="Z1453" s="60">
        <v>0</v>
      </c>
      <c r="AA1453" s="60">
        <v>0</v>
      </c>
      <c r="AB1453" s="60">
        <v>0</v>
      </c>
      <c r="AC1453" s="60">
        <v>105904.33</v>
      </c>
      <c r="AD1453" s="60">
        <v>94065.21</v>
      </c>
      <c r="AE1453" s="60">
        <v>0</v>
      </c>
      <c r="AF1453" s="170">
        <v>2022</v>
      </c>
      <c r="AG1453" s="170">
        <v>2022</v>
      </c>
      <c r="AH1453" s="63">
        <v>2022</v>
      </c>
    </row>
    <row r="1454" spans="1:34" ht="61.5" x14ac:dyDescent="0.85">
      <c r="B1454" s="160" t="s">
        <v>807</v>
      </c>
      <c r="C1454" s="176"/>
      <c r="D1454" s="177">
        <f>SUM(D1455:D1459)</f>
        <v>34358625.82</v>
      </c>
      <c r="E1454" s="60">
        <f t="shared" ref="E1454:AE1454" si="292">SUM(E1455:E1459)</f>
        <v>0</v>
      </c>
      <c r="F1454" s="60">
        <f t="shared" si="292"/>
        <v>0</v>
      </c>
      <c r="G1454" s="60">
        <f t="shared" si="292"/>
        <v>0</v>
      </c>
      <c r="H1454" s="60">
        <f t="shared" si="292"/>
        <v>0</v>
      </c>
      <c r="I1454" s="60">
        <f t="shared" si="292"/>
        <v>0</v>
      </c>
      <c r="J1454" s="60">
        <f t="shared" si="292"/>
        <v>0</v>
      </c>
      <c r="K1454" s="168">
        <f t="shared" si="292"/>
        <v>0</v>
      </c>
      <c r="L1454" s="60">
        <f t="shared" si="292"/>
        <v>0</v>
      </c>
      <c r="M1454" s="60">
        <f t="shared" si="292"/>
        <v>4459.1000000000004</v>
      </c>
      <c r="N1454" s="60">
        <f t="shared" si="292"/>
        <v>33406069.559999999</v>
      </c>
      <c r="O1454" s="60">
        <f t="shared" si="292"/>
        <v>0</v>
      </c>
      <c r="P1454" s="60">
        <f t="shared" si="292"/>
        <v>0</v>
      </c>
      <c r="Q1454" s="60">
        <f t="shared" si="292"/>
        <v>0</v>
      </c>
      <c r="R1454" s="60">
        <f t="shared" si="292"/>
        <v>0</v>
      </c>
      <c r="S1454" s="60">
        <f t="shared" si="292"/>
        <v>0</v>
      </c>
      <c r="T1454" s="60">
        <f t="shared" si="292"/>
        <v>0</v>
      </c>
      <c r="U1454" s="60">
        <f t="shared" si="292"/>
        <v>0</v>
      </c>
      <c r="V1454" s="60">
        <f t="shared" si="292"/>
        <v>0</v>
      </c>
      <c r="W1454" s="60">
        <f t="shared" si="292"/>
        <v>0</v>
      </c>
      <c r="X1454" s="60">
        <f t="shared" si="292"/>
        <v>0</v>
      </c>
      <c r="Y1454" s="60">
        <f t="shared" si="292"/>
        <v>0</v>
      </c>
      <c r="Z1454" s="60">
        <f t="shared" si="292"/>
        <v>0</v>
      </c>
      <c r="AA1454" s="60">
        <f t="shared" si="292"/>
        <v>0</v>
      </c>
      <c r="AB1454" s="60">
        <f t="shared" si="292"/>
        <v>0</v>
      </c>
      <c r="AC1454" s="60">
        <f t="shared" si="292"/>
        <v>590879.39</v>
      </c>
      <c r="AD1454" s="60">
        <f t="shared" si="292"/>
        <v>361676.87</v>
      </c>
      <c r="AE1454" s="60">
        <f t="shared" si="292"/>
        <v>0</v>
      </c>
      <c r="AF1454" s="202" t="s">
        <v>701</v>
      </c>
      <c r="AG1454" s="202" t="s">
        <v>701</v>
      </c>
      <c r="AH1454" s="207" t="s">
        <v>701</v>
      </c>
    </row>
    <row r="1455" spans="1:34" ht="61.5" x14ac:dyDescent="0.85">
      <c r="A1455" s="7">
        <v>1</v>
      </c>
      <c r="B1455" s="59">
        <f>SUBTOTAL(103,$A$1032:A1455)</f>
        <v>361</v>
      </c>
      <c r="C1455" s="186" t="s">
        <v>202</v>
      </c>
      <c r="D1455" s="60">
        <f>E1455+F1455+G1455+H1455+I1455+J1455+L1455+N1455+P1455+R1455+T1455+U1455+V1455+W1455+X1455+Y1455+Z1455+AA1455+AB1455+AC1455+AD1455+AE1455</f>
        <v>8548823.0999999996</v>
      </c>
      <c r="E1455" s="60">
        <v>0</v>
      </c>
      <c r="F1455" s="60">
        <v>0</v>
      </c>
      <c r="G1455" s="60">
        <v>0</v>
      </c>
      <c r="H1455" s="60">
        <v>0</v>
      </c>
      <c r="I1455" s="60">
        <v>0</v>
      </c>
      <c r="J1455" s="60">
        <v>0</v>
      </c>
      <c r="K1455" s="168">
        <v>0</v>
      </c>
      <c r="L1455" s="60">
        <v>0</v>
      </c>
      <c r="M1455" s="60">
        <v>1040</v>
      </c>
      <c r="N1455" s="60">
        <v>8249978.4000000004</v>
      </c>
      <c r="O1455" s="60">
        <v>0</v>
      </c>
      <c r="P1455" s="60">
        <v>0</v>
      </c>
      <c r="Q1455" s="60">
        <v>0</v>
      </c>
      <c r="R1455" s="60">
        <v>0</v>
      </c>
      <c r="S1455" s="60">
        <v>0</v>
      </c>
      <c r="T1455" s="60">
        <v>0</v>
      </c>
      <c r="U1455" s="60">
        <v>0</v>
      </c>
      <c r="V1455" s="60">
        <v>0</v>
      </c>
      <c r="W1455" s="60">
        <v>0</v>
      </c>
      <c r="X1455" s="60">
        <v>0</v>
      </c>
      <c r="Y1455" s="60">
        <v>0</v>
      </c>
      <c r="Z1455" s="60">
        <v>0</v>
      </c>
      <c r="AA1455" s="60">
        <v>0</v>
      </c>
      <c r="AB1455" s="60">
        <v>0</v>
      </c>
      <c r="AC1455" s="188">
        <f>ROUND(N1455*2.14%,2)+ROUND(E1455*2.14%,2)+ROUND(F1455*2.14%,2)+ROUND(G1455*2.14%,2)+ROUND(H1455*2.14%,2)+ROUND(I1455*2.14%,2)+ROUND(J1455*2.14%,2)+ROUND(L1455*2.14%,2)+ROUND(P1455*2.14%,2)+ROUND(R1455*2.14%,2)+ROUND(T1455*2.14%,2)+ROUND(U1455*2.14%,2)+ROUND(V1455*2.14%,2)+ROUND(W1455*2.14%,2)+ROUND(X1455*2.14%,2)+ROUND(Y1455*2.14%,2)+ROUND(Z1455*2.14%,2)+ROUND(AA1455*2.14%,2)+ROUND(AB1455*2.14%,2)</f>
        <v>176549.54</v>
      </c>
      <c r="AD1455" s="60">
        <v>122295.16</v>
      </c>
      <c r="AE1455" s="60">
        <v>0</v>
      </c>
      <c r="AF1455" s="170">
        <v>2022</v>
      </c>
      <c r="AG1455" s="170">
        <v>2022</v>
      </c>
      <c r="AH1455" s="63">
        <v>2022</v>
      </c>
    </row>
    <row r="1456" spans="1:34" ht="61.5" x14ac:dyDescent="0.85">
      <c r="A1456" s="7">
        <v>1</v>
      </c>
      <c r="B1456" s="59">
        <f>SUBTOTAL(103,$A$1032:A1456)</f>
        <v>362</v>
      </c>
      <c r="C1456" s="186" t="s">
        <v>203</v>
      </c>
      <c r="D1456" s="60">
        <f>E1456+F1456+G1456+H1456+I1456+J1456+L1456+N1456+P1456+R1456+T1456+U1456+V1456+W1456+X1456+Y1456+Z1456+AA1456+AB1456+AC1456+AD1456+AE1456</f>
        <v>7482088.54</v>
      </c>
      <c r="E1456" s="60">
        <v>0</v>
      </c>
      <c r="F1456" s="60">
        <v>0</v>
      </c>
      <c r="G1456" s="60">
        <v>0</v>
      </c>
      <c r="H1456" s="60">
        <v>0</v>
      </c>
      <c r="I1456" s="60">
        <v>0</v>
      </c>
      <c r="J1456" s="60">
        <v>0</v>
      </c>
      <c r="K1456" s="168">
        <v>0</v>
      </c>
      <c r="L1456" s="60">
        <v>0</v>
      </c>
      <c r="M1456" s="60">
        <v>805.8</v>
      </c>
      <c r="N1456" s="60">
        <v>7211234.4000000004</v>
      </c>
      <c r="O1456" s="60">
        <v>0</v>
      </c>
      <c r="P1456" s="60">
        <v>0</v>
      </c>
      <c r="Q1456" s="60">
        <v>0</v>
      </c>
      <c r="R1456" s="60">
        <v>0</v>
      </c>
      <c r="S1456" s="60">
        <v>0</v>
      </c>
      <c r="T1456" s="60">
        <v>0</v>
      </c>
      <c r="U1456" s="60">
        <v>0</v>
      </c>
      <c r="V1456" s="60">
        <v>0</v>
      </c>
      <c r="W1456" s="60">
        <v>0</v>
      </c>
      <c r="X1456" s="60">
        <v>0</v>
      </c>
      <c r="Y1456" s="60">
        <v>0</v>
      </c>
      <c r="Z1456" s="60">
        <v>0</v>
      </c>
      <c r="AA1456" s="60">
        <v>0</v>
      </c>
      <c r="AB1456" s="60">
        <v>0</v>
      </c>
      <c r="AC1456" s="188">
        <f>ROUND(N1456*2.14%,2)+ROUND(E1456*2.14%,2)+ROUND(F1456*2.14%,2)+ROUND(G1456*2.14%,2)+ROUND(H1456*2.14%,2)+ROUND(I1456*2.14%,2)+ROUND(J1456*2.14%,2)+ROUND(L1456*2.14%,2)+ROUND(P1456*2.14%,2)+ROUND(R1456*2.14%,2)+ROUND(T1456*2.14%,2)+ROUND(U1456*2.14%,2)+ROUND(V1456*2.14%,2)+ROUND(W1456*2.14%,2)+ROUND(X1456*2.14%,2)+ROUND(Y1456*2.14%,2)+ROUND(Z1456*2.14%,2)+ROUND(AA1456*2.14%,2)+ROUND(AB1456*2.14%,2)</f>
        <v>154320.42000000001</v>
      </c>
      <c r="AD1456" s="60">
        <v>116533.72</v>
      </c>
      <c r="AE1456" s="60">
        <v>0</v>
      </c>
      <c r="AF1456" s="170">
        <v>2022</v>
      </c>
      <c r="AG1456" s="170">
        <v>2022</v>
      </c>
      <c r="AH1456" s="63">
        <v>2022</v>
      </c>
    </row>
    <row r="1457" spans="1:94" ht="61.5" x14ac:dyDescent="0.85">
      <c r="A1457" s="7">
        <v>1</v>
      </c>
      <c r="B1457" s="59">
        <f>SUBTOTAL(103,$A$1032:A1457)</f>
        <v>363</v>
      </c>
      <c r="C1457" s="186" t="s">
        <v>204</v>
      </c>
      <c r="D1457" s="60">
        <f>E1457+F1457+G1457+H1457+I1457+J1457+L1457+N1457+P1457+R1457+T1457+U1457+V1457+W1457+X1457+Y1457+Z1457+AA1457+AB1457+AC1457+AD1457+AE1457</f>
        <v>8298272.0899999999</v>
      </c>
      <c r="E1457" s="60">
        <v>0</v>
      </c>
      <c r="F1457" s="60">
        <v>0</v>
      </c>
      <c r="G1457" s="60">
        <v>0</v>
      </c>
      <c r="H1457" s="60">
        <v>0</v>
      </c>
      <c r="I1457" s="60">
        <v>0</v>
      </c>
      <c r="J1457" s="60">
        <v>0</v>
      </c>
      <c r="K1457" s="168">
        <v>0</v>
      </c>
      <c r="L1457" s="60">
        <v>0</v>
      </c>
      <c r="M1457" s="60">
        <v>910.5</v>
      </c>
      <c r="N1457" s="60">
        <v>8004135.5999999996</v>
      </c>
      <c r="O1457" s="60">
        <v>0</v>
      </c>
      <c r="P1457" s="60">
        <v>0</v>
      </c>
      <c r="Q1457" s="60">
        <v>0</v>
      </c>
      <c r="R1457" s="60">
        <v>0</v>
      </c>
      <c r="S1457" s="60">
        <v>0</v>
      </c>
      <c r="T1457" s="60">
        <v>0</v>
      </c>
      <c r="U1457" s="60">
        <v>0</v>
      </c>
      <c r="V1457" s="60">
        <v>0</v>
      </c>
      <c r="W1457" s="60">
        <v>0</v>
      </c>
      <c r="X1457" s="60">
        <v>0</v>
      </c>
      <c r="Y1457" s="60">
        <v>0</v>
      </c>
      <c r="Z1457" s="60">
        <v>0</v>
      </c>
      <c r="AA1457" s="60">
        <v>0</v>
      </c>
      <c r="AB1457" s="60">
        <v>0</v>
      </c>
      <c r="AC1457" s="188">
        <f>ROUND(N1457*2.14%,2)+ROUND(E1457*2.14%,2)+ROUND(F1457*2.14%,2)+ROUND(G1457*2.14%,2)+ROUND(H1457*2.14%,2)+ROUND(I1457*2.14%,2)+ROUND(J1457*2.14%,2)+ROUND(L1457*2.14%,2)+ROUND(P1457*2.14%,2)+ROUND(R1457*2.14%,2)+ROUND(T1457*2.14%,2)+ROUND(U1457*2.14%,2)+ROUND(V1457*2.14%,2)+ROUND(W1457*2.14%,2)+ROUND(X1457*2.14%,2)+ROUND(Y1457*2.14%,2)+ROUND(Z1457*2.14%,2)+ROUND(AA1457*2.14%,2)+ROUND(AB1457*2.14%,2)</f>
        <v>171288.5</v>
      </c>
      <c r="AD1457" s="60">
        <v>122847.99</v>
      </c>
      <c r="AE1457" s="60">
        <v>0</v>
      </c>
      <c r="AF1457" s="170">
        <v>2022</v>
      </c>
      <c r="AG1457" s="170">
        <v>2022</v>
      </c>
      <c r="AH1457" s="63">
        <v>2022</v>
      </c>
    </row>
    <row r="1458" spans="1:94" ht="61.5" x14ac:dyDescent="0.85">
      <c r="A1458" s="7">
        <v>1</v>
      </c>
      <c r="B1458" s="59">
        <f>SUBTOTAL(103,$A$1032:A1458)</f>
        <v>364</v>
      </c>
      <c r="C1458" s="160" t="s">
        <v>200</v>
      </c>
      <c r="D1458" s="60">
        <f>E1458+F1458+G1458+H1458+I1458+J1458+L1458+N1458+P1458+R1458+T1458+U1458+V1458+W1458+X1458+Y1458+Z1458+AA1458+AB1458+AC1458+AD1458+AE1458</f>
        <v>4826376.5200000005</v>
      </c>
      <c r="E1458" s="60">
        <v>0</v>
      </c>
      <c r="F1458" s="60">
        <v>0</v>
      </c>
      <c r="G1458" s="60">
        <v>0</v>
      </c>
      <c r="H1458" s="60">
        <v>0</v>
      </c>
      <c r="I1458" s="60">
        <v>0</v>
      </c>
      <c r="J1458" s="60">
        <v>0</v>
      </c>
      <c r="K1458" s="168">
        <v>0</v>
      </c>
      <c r="L1458" s="60">
        <v>0</v>
      </c>
      <c r="M1458" s="60">
        <v>916.2</v>
      </c>
      <c r="N1458" s="60">
        <v>4783682.16</v>
      </c>
      <c r="O1458" s="60">
        <v>0</v>
      </c>
      <c r="P1458" s="60">
        <v>0</v>
      </c>
      <c r="Q1458" s="60">
        <v>0</v>
      </c>
      <c r="R1458" s="60">
        <v>0</v>
      </c>
      <c r="S1458" s="60">
        <v>0</v>
      </c>
      <c r="T1458" s="60">
        <v>0</v>
      </c>
      <c r="U1458" s="60">
        <v>0</v>
      </c>
      <c r="V1458" s="60">
        <v>0</v>
      </c>
      <c r="W1458" s="60">
        <v>0</v>
      </c>
      <c r="X1458" s="60">
        <v>0</v>
      </c>
      <c r="Y1458" s="60">
        <v>0</v>
      </c>
      <c r="Z1458" s="60">
        <v>0</v>
      </c>
      <c r="AA1458" s="60">
        <v>0</v>
      </c>
      <c r="AB1458" s="60">
        <v>0</v>
      </c>
      <c r="AC1458" s="60">
        <v>42694.36</v>
      </c>
      <c r="AD1458" s="60">
        <v>0</v>
      </c>
      <c r="AE1458" s="60">
        <v>0</v>
      </c>
      <c r="AF1458" s="170" t="s">
        <v>257</v>
      </c>
      <c r="AG1458" s="170">
        <v>2022</v>
      </c>
      <c r="AH1458" s="63">
        <v>2022</v>
      </c>
    </row>
    <row r="1459" spans="1:94" ht="61.5" x14ac:dyDescent="0.85">
      <c r="A1459" s="7">
        <v>1</v>
      </c>
      <c r="B1459" s="59">
        <f>SUBTOTAL(103,$A$1032:A1459)</f>
        <v>365</v>
      </c>
      <c r="C1459" s="160" t="s">
        <v>2301</v>
      </c>
      <c r="D1459" s="60">
        <f>E1459+F1459+G1459+H1459+I1459+J1459+L1459+N1459+P1459+R1459+T1459+U1459+V1459+W1459+X1459+Y1459+Z1459+AA1459+AB1459+AC1459+AD1459+AE1459</f>
        <v>5203065.57</v>
      </c>
      <c r="E1459" s="180">
        <v>0</v>
      </c>
      <c r="F1459" s="180">
        <v>0</v>
      </c>
      <c r="G1459" s="180">
        <v>0</v>
      </c>
      <c r="H1459" s="180">
        <v>0</v>
      </c>
      <c r="I1459" s="180">
        <v>0</v>
      </c>
      <c r="J1459" s="180">
        <v>0</v>
      </c>
      <c r="K1459" s="168">
        <v>0</v>
      </c>
      <c r="L1459" s="60">
        <v>0</v>
      </c>
      <c r="M1459" s="60">
        <v>786.6</v>
      </c>
      <c r="N1459" s="60">
        <v>5157039</v>
      </c>
      <c r="O1459" s="60">
        <v>0</v>
      </c>
      <c r="P1459" s="60">
        <v>0</v>
      </c>
      <c r="Q1459" s="60">
        <v>0</v>
      </c>
      <c r="R1459" s="60">
        <v>0</v>
      </c>
      <c r="S1459" s="60">
        <v>0</v>
      </c>
      <c r="T1459" s="60">
        <v>0</v>
      </c>
      <c r="U1459" s="60">
        <v>0</v>
      </c>
      <c r="V1459" s="60">
        <v>0</v>
      </c>
      <c r="W1459" s="60">
        <v>0</v>
      </c>
      <c r="X1459" s="60">
        <v>0</v>
      </c>
      <c r="Y1459" s="60">
        <v>0</v>
      </c>
      <c r="Z1459" s="60">
        <v>0</v>
      </c>
      <c r="AA1459" s="60">
        <v>0</v>
      </c>
      <c r="AB1459" s="60">
        <v>0</v>
      </c>
      <c r="AC1459" s="60">
        <v>46026.57</v>
      </c>
      <c r="AD1459" s="60">
        <v>0</v>
      </c>
      <c r="AE1459" s="60">
        <v>0</v>
      </c>
      <c r="AF1459" s="170" t="s">
        <v>257</v>
      </c>
      <c r="AG1459" s="170">
        <v>2022</v>
      </c>
      <c r="AH1459" s="63">
        <v>2022</v>
      </c>
    </row>
    <row r="1460" spans="1:94" ht="61.5" x14ac:dyDescent="0.85">
      <c r="B1460" s="160" t="s">
        <v>808</v>
      </c>
      <c r="C1460" s="160"/>
      <c r="D1460" s="177">
        <f>SUM(D1461:D1462)</f>
        <v>6153361.1899999995</v>
      </c>
      <c r="E1460" s="60">
        <f t="shared" ref="E1460:AE1460" si="293">SUM(E1461:E1462)</f>
        <v>0</v>
      </c>
      <c r="F1460" s="60">
        <f t="shared" si="293"/>
        <v>0</v>
      </c>
      <c r="G1460" s="60">
        <f t="shared" si="293"/>
        <v>0</v>
      </c>
      <c r="H1460" s="60">
        <f t="shared" si="293"/>
        <v>0</v>
      </c>
      <c r="I1460" s="60">
        <f t="shared" si="293"/>
        <v>0</v>
      </c>
      <c r="J1460" s="60">
        <f t="shared" si="293"/>
        <v>0</v>
      </c>
      <c r="K1460" s="168">
        <f t="shared" si="293"/>
        <v>0</v>
      </c>
      <c r="L1460" s="60">
        <f t="shared" si="293"/>
        <v>0</v>
      </c>
      <c r="M1460" s="60">
        <f t="shared" si="293"/>
        <v>620.89</v>
      </c>
      <c r="N1460" s="60">
        <f t="shared" si="293"/>
        <v>3676181</v>
      </c>
      <c r="O1460" s="60">
        <f t="shared" si="293"/>
        <v>0</v>
      </c>
      <c r="P1460" s="60">
        <f t="shared" si="293"/>
        <v>0</v>
      </c>
      <c r="Q1460" s="60">
        <f t="shared" si="293"/>
        <v>0</v>
      </c>
      <c r="R1460" s="60">
        <f t="shared" si="293"/>
        <v>0</v>
      </c>
      <c r="S1460" s="60">
        <f t="shared" si="293"/>
        <v>0</v>
      </c>
      <c r="T1460" s="60">
        <f t="shared" si="293"/>
        <v>0</v>
      </c>
      <c r="U1460" s="60">
        <f t="shared" si="293"/>
        <v>2301662</v>
      </c>
      <c r="V1460" s="60">
        <f t="shared" si="293"/>
        <v>0</v>
      </c>
      <c r="W1460" s="60">
        <f t="shared" si="293"/>
        <v>0</v>
      </c>
      <c r="X1460" s="60">
        <f t="shared" si="293"/>
        <v>0</v>
      </c>
      <c r="Y1460" s="60">
        <f t="shared" si="293"/>
        <v>0</v>
      </c>
      <c r="Z1460" s="60">
        <f t="shared" si="293"/>
        <v>0</v>
      </c>
      <c r="AA1460" s="60">
        <f t="shared" si="293"/>
        <v>0</v>
      </c>
      <c r="AB1460" s="60">
        <f t="shared" si="293"/>
        <v>0</v>
      </c>
      <c r="AC1460" s="60">
        <f t="shared" si="293"/>
        <v>108590.98</v>
      </c>
      <c r="AD1460" s="60">
        <f t="shared" si="293"/>
        <v>66927.210000000006</v>
      </c>
      <c r="AE1460" s="60">
        <f t="shared" si="293"/>
        <v>0</v>
      </c>
      <c r="AF1460" s="202" t="s">
        <v>701</v>
      </c>
      <c r="AG1460" s="202" t="s">
        <v>701</v>
      </c>
      <c r="AH1460" s="207" t="s">
        <v>701</v>
      </c>
    </row>
    <row r="1461" spans="1:94" ht="61.5" x14ac:dyDescent="0.85">
      <c r="A1461" s="7">
        <v>1</v>
      </c>
      <c r="B1461" s="59">
        <f>SUBTOTAL(103,$A$1032:A1461)</f>
        <v>366</v>
      </c>
      <c r="C1461" s="186" t="s">
        <v>210</v>
      </c>
      <c r="D1461" s="60">
        <f>E1461+F1461+G1461+H1461+I1461+J1461+L1461+N1461+P1461+R1461+T1461+U1461+V1461+W1461+X1461+Y1461+Z1461+AA1461+AB1461+AC1461+AD1461+AE1461</f>
        <v>3819418.38</v>
      </c>
      <c r="E1461" s="60">
        <v>0</v>
      </c>
      <c r="F1461" s="60">
        <v>0</v>
      </c>
      <c r="G1461" s="60">
        <v>0</v>
      </c>
      <c r="H1461" s="60">
        <v>0</v>
      </c>
      <c r="I1461" s="60">
        <v>0</v>
      </c>
      <c r="J1461" s="60">
        <v>0</v>
      </c>
      <c r="K1461" s="168">
        <v>0</v>
      </c>
      <c r="L1461" s="60">
        <v>0</v>
      </c>
      <c r="M1461" s="60">
        <v>620.89</v>
      </c>
      <c r="N1461" s="60">
        <v>3676181</v>
      </c>
      <c r="O1461" s="60">
        <v>0</v>
      </c>
      <c r="P1461" s="60">
        <v>0</v>
      </c>
      <c r="Q1461" s="60">
        <v>0</v>
      </c>
      <c r="R1461" s="60">
        <v>0</v>
      </c>
      <c r="S1461" s="60">
        <v>0</v>
      </c>
      <c r="T1461" s="60">
        <v>0</v>
      </c>
      <c r="U1461" s="60">
        <v>0</v>
      </c>
      <c r="V1461" s="60">
        <v>0</v>
      </c>
      <c r="W1461" s="60">
        <v>0</v>
      </c>
      <c r="X1461" s="60">
        <v>0</v>
      </c>
      <c r="Y1461" s="60">
        <v>0</v>
      </c>
      <c r="Z1461" s="60">
        <v>0</v>
      </c>
      <c r="AA1461" s="60">
        <v>0</v>
      </c>
      <c r="AB1461" s="60">
        <v>0</v>
      </c>
      <c r="AC1461" s="188">
        <v>76310.17</v>
      </c>
      <c r="AD1461" s="60">
        <v>66927.210000000006</v>
      </c>
      <c r="AE1461" s="60">
        <v>0</v>
      </c>
      <c r="AF1461" s="170">
        <v>2022</v>
      </c>
      <c r="AG1461" s="170">
        <v>2022</v>
      </c>
      <c r="AH1461" s="63">
        <v>2022</v>
      </c>
    </row>
    <row r="1462" spans="1:94" ht="61.5" x14ac:dyDescent="0.85">
      <c r="A1462" s="7">
        <v>1</v>
      </c>
      <c r="B1462" s="59">
        <f>SUBTOTAL(103,$A$1032:A1462)</f>
        <v>367</v>
      </c>
      <c r="C1462" s="160" t="s">
        <v>214</v>
      </c>
      <c r="D1462" s="60">
        <f>E1462+F1462+G1462+H1462+I1462+J1462+L1462+N1462+P1462+R1462+T1462+U1462+V1462+W1462+X1462+Y1462+Z1462+AA1462+AB1462+AC1462+AD1462+AE1462</f>
        <v>2333942.81</v>
      </c>
      <c r="E1462" s="60">
        <v>0</v>
      </c>
      <c r="F1462" s="60">
        <v>0</v>
      </c>
      <c r="G1462" s="60">
        <v>0</v>
      </c>
      <c r="H1462" s="60">
        <v>0</v>
      </c>
      <c r="I1462" s="60">
        <v>0</v>
      </c>
      <c r="J1462" s="60">
        <v>0</v>
      </c>
      <c r="K1462" s="168">
        <v>0</v>
      </c>
      <c r="L1462" s="60">
        <v>0</v>
      </c>
      <c r="M1462" s="60">
        <v>0</v>
      </c>
      <c r="N1462" s="60">
        <v>0</v>
      </c>
      <c r="O1462" s="60">
        <v>0</v>
      </c>
      <c r="P1462" s="60">
        <v>0</v>
      </c>
      <c r="Q1462" s="60">
        <v>0</v>
      </c>
      <c r="R1462" s="60">
        <v>0</v>
      </c>
      <c r="S1462" s="60">
        <v>0</v>
      </c>
      <c r="T1462" s="60">
        <v>0</v>
      </c>
      <c r="U1462" s="62">
        <v>2301662</v>
      </c>
      <c r="V1462" s="60">
        <v>0</v>
      </c>
      <c r="W1462" s="60">
        <v>0</v>
      </c>
      <c r="X1462" s="60">
        <v>0</v>
      </c>
      <c r="Y1462" s="60">
        <v>0</v>
      </c>
      <c r="Z1462" s="60">
        <v>0</v>
      </c>
      <c r="AA1462" s="60">
        <v>0</v>
      </c>
      <c r="AB1462" s="60">
        <v>0</v>
      </c>
      <c r="AC1462" s="60">
        <v>32280.81</v>
      </c>
      <c r="AD1462" s="60">
        <v>0</v>
      </c>
      <c r="AE1462" s="60">
        <v>0</v>
      </c>
      <c r="AF1462" s="170" t="s">
        <v>257</v>
      </c>
      <c r="AG1462" s="170">
        <v>2022</v>
      </c>
      <c r="AH1462" s="63">
        <v>2022</v>
      </c>
    </row>
    <row r="1463" spans="1:94" s="68" customFormat="1" ht="189" customHeight="1" x14ac:dyDescent="0.3">
      <c r="B1463" s="327" t="s">
        <v>1559</v>
      </c>
      <c r="C1463" s="328"/>
      <c r="D1463" s="328"/>
      <c r="E1463" s="328"/>
      <c r="F1463" s="328"/>
      <c r="G1463" s="328"/>
      <c r="H1463" s="328"/>
      <c r="I1463" s="328"/>
      <c r="J1463" s="328"/>
      <c r="K1463" s="328"/>
      <c r="L1463" s="328"/>
      <c r="M1463" s="328"/>
      <c r="N1463" s="328"/>
      <c r="O1463" s="328"/>
      <c r="P1463" s="328"/>
      <c r="Q1463" s="328"/>
      <c r="R1463" s="328"/>
      <c r="S1463" s="328"/>
      <c r="T1463" s="328"/>
      <c r="U1463" s="328"/>
      <c r="V1463" s="328"/>
      <c r="W1463" s="328"/>
      <c r="X1463" s="328"/>
      <c r="Y1463" s="328"/>
      <c r="Z1463" s="328"/>
      <c r="AA1463" s="328"/>
      <c r="AB1463" s="328"/>
      <c r="AC1463" s="328"/>
      <c r="AD1463" s="328"/>
      <c r="AE1463" s="328"/>
      <c r="AF1463" s="328"/>
      <c r="AG1463" s="328"/>
      <c r="AH1463" s="329"/>
      <c r="CO1463" s="68" t="s">
        <v>1554</v>
      </c>
      <c r="CP1463" s="68">
        <v>50864.91</v>
      </c>
    </row>
    <row r="1464" spans="1:94" s="68" customFormat="1" ht="189" customHeight="1" x14ac:dyDescent="0.3">
      <c r="B1464" s="324" t="s">
        <v>1564</v>
      </c>
      <c r="C1464" s="325"/>
      <c r="D1464" s="325"/>
      <c r="E1464" s="325"/>
      <c r="F1464" s="325"/>
      <c r="G1464" s="325"/>
      <c r="H1464" s="325"/>
      <c r="I1464" s="325"/>
      <c r="J1464" s="325"/>
      <c r="K1464" s="325"/>
      <c r="L1464" s="325"/>
      <c r="M1464" s="325"/>
      <c r="N1464" s="325"/>
      <c r="O1464" s="325"/>
      <c r="P1464" s="325"/>
      <c r="Q1464" s="325"/>
      <c r="R1464" s="325"/>
      <c r="S1464" s="325"/>
      <c r="T1464" s="325"/>
      <c r="U1464" s="325"/>
      <c r="V1464" s="325"/>
      <c r="W1464" s="325"/>
      <c r="X1464" s="325"/>
      <c r="Y1464" s="325"/>
      <c r="Z1464" s="325"/>
      <c r="AA1464" s="325"/>
      <c r="AB1464" s="325"/>
      <c r="AC1464" s="325"/>
      <c r="AD1464" s="325"/>
      <c r="AE1464" s="325"/>
      <c r="AF1464" s="325"/>
      <c r="AG1464" s="325"/>
      <c r="AH1464" s="326"/>
      <c r="CO1464" s="68" t="s">
        <v>1555</v>
      </c>
      <c r="CP1464" s="68">
        <v>47587.5</v>
      </c>
    </row>
    <row r="1465" spans="1:94" s="43" customFormat="1" ht="76.5" x14ac:dyDescent="0.25">
      <c r="B1465" s="311" t="s">
        <v>2298</v>
      </c>
      <c r="C1465" s="312"/>
      <c r="D1465" s="208">
        <f>D1466+D1473</f>
        <v>69010531.859999999</v>
      </c>
      <c r="E1465" s="188">
        <f t="shared" ref="E1465:AE1465" si="294">E1466+E1473</f>
        <v>0</v>
      </c>
      <c r="F1465" s="188">
        <f t="shared" si="294"/>
        <v>0</v>
      </c>
      <c r="G1465" s="188">
        <f t="shared" si="294"/>
        <v>0</v>
      </c>
      <c r="H1465" s="188">
        <f t="shared" si="294"/>
        <v>0</v>
      </c>
      <c r="I1465" s="188">
        <f t="shared" si="294"/>
        <v>0</v>
      </c>
      <c r="J1465" s="188">
        <f t="shared" si="294"/>
        <v>0</v>
      </c>
      <c r="K1465" s="209">
        <f t="shared" si="294"/>
        <v>0</v>
      </c>
      <c r="L1465" s="188">
        <f t="shared" si="294"/>
        <v>0</v>
      </c>
      <c r="M1465" s="188">
        <f t="shared" si="294"/>
        <v>10693.859999999999</v>
      </c>
      <c r="N1465" s="188">
        <f t="shared" si="294"/>
        <v>64699101.579999998</v>
      </c>
      <c r="O1465" s="188">
        <f t="shared" si="294"/>
        <v>0</v>
      </c>
      <c r="P1465" s="188">
        <f t="shared" si="294"/>
        <v>0</v>
      </c>
      <c r="Q1465" s="188">
        <f t="shared" si="294"/>
        <v>626.74</v>
      </c>
      <c r="R1465" s="188">
        <f t="shared" si="294"/>
        <v>3474547</v>
      </c>
      <c r="S1465" s="188">
        <f t="shared" si="294"/>
        <v>0</v>
      </c>
      <c r="T1465" s="188">
        <f t="shared" si="294"/>
        <v>0</v>
      </c>
      <c r="U1465" s="188">
        <f t="shared" si="294"/>
        <v>0</v>
      </c>
      <c r="V1465" s="188">
        <f t="shared" si="294"/>
        <v>0</v>
      </c>
      <c r="W1465" s="188">
        <f t="shared" si="294"/>
        <v>0</v>
      </c>
      <c r="X1465" s="188">
        <f t="shared" si="294"/>
        <v>0</v>
      </c>
      <c r="Y1465" s="188">
        <f t="shared" si="294"/>
        <v>0</v>
      </c>
      <c r="Z1465" s="188">
        <f t="shared" si="294"/>
        <v>0</v>
      </c>
      <c r="AA1465" s="188">
        <f t="shared" si="294"/>
        <v>0</v>
      </c>
      <c r="AB1465" s="188">
        <f t="shared" si="294"/>
        <v>0</v>
      </c>
      <c r="AC1465" s="188">
        <f t="shared" si="294"/>
        <v>836883.28</v>
      </c>
      <c r="AD1465" s="188">
        <f t="shared" si="294"/>
        <v>0</v>
      </c>
      <c r="AE1465" s="188">
        <f t="shared" si="294"/>
        <v>0</v>
      </c>
      <c r="AF1465" s="202" t="s">
        <v>701</v>
      </c>
      <c r="AG1465" s="202" t="s">
        <v>701</v>
      </c>
      <c r="AH1465" s="207" t="s">
        <v>701</v>
      </c>
      <c r="CO1465" s="43" t="s">
        <v>1556</v>
      </c>
      <c r="CP1465" s="43">
        <v>53254.36</v>
      </c>
    </row>
    <row r="1466" spans="1:94" s="43" customFormat="1" ht="76.5" x14ac:dyDescent="0.25">
      <c r="B1466" s="311" t="s">
        <v>1560</v>
      </c>
      <c r="C1466" s="312"/>
      <c r="D1466" s="208">
        <f>D1467+D1469+D1471</f>
        <v>7034201.7300000004</v>
      </c>
      <c r="E1466" s="201">
        <f t="shared" ref="E1466:AE1466" si="295">E1467+E1471+E1469</f>
        <v>0</v>
      </c>
      <c r="F1466" s="201">
        <f t="shared" si="295"/>
        <v>0</v>
      </c>
      <c r="G1466" s="201">
        <f t="shared" si="295"/>
        <v>0</v>
      </c>
      <c r="H1466" s="201">
        <f t="shared" si="295"/>
        <v>0</v>
      </c>
      <c r="I1466" s="201">
        <f t="shared" si="295"/>
        <v>0</v>
      </c>
      <c r="J1466" s="201">
        <f t="shared" si="295"/>
        <v>0</v>
      </c>
      <c r="K1466" s="209">
        <f t="shared" si="295"/>
        <v>0</v>
      </c>
      <c r="L1466" s="201">
        <f t="shared" si="295"/>
        <v>0</v>
      </c>
      <c r="M1466" s="201">
        <f t="shared" si="295"/>
        <v>1981.3</v>
      </c>
      <c r="N1466" s="201">
        <f t="shared" si="295"/>
        <v>6992437.3499999996</v>
      </c>
      <c r="O1466" s="201">
        <f t="shared" si="295"/>
        <v>0</v>
      </c>
      <c r="P1466" s="201">
        <f t="shared" si="295"/>
        <v>0</v>
      </c>
      <c r="Q1466" s="201">
        <f t="shared" si="295"/>
        <v>0</v>
      </c>
      <c r="R1466" s="201">
        <f t="shared" si="295"/>
        <v>0</v>
      </c>
      <c r="S1466" s="201">
        <f t="shared" si="295"/>
        <v>0</v>
      </c>
      <c r="T1466" s="201">
        <f t="shared" si="295"/>
        <v>0</v>
      </c>
      <c r="U1466" s="201">
        <f t="shared" si="295"/>
        <v>0</v>
      </c>
      <c r="V1466" s="201">
        <f t="shared" si="295"/>
        <v>0</v>
      </c>
      <c r="W1466" s="201">
        <f t="shared" si="295"/>
        <v>0</v>
      </c>
      <c r="X1466" s="201">
        <f t="shared" si="295"/>
        <v>0</v>
      </c>
      <c r="Y1466" s="201">
        <f t="shared" si="295"/>
        <v>0</v>
      </c>
      <c r="Z1466" s="201">
        <f t="shared" si="295"/>
        <v>0</v>
      </c>
      <c r="AA1466" s="201">
        <f t="shared" si="295"/>
        <v>0</v>
      </c>
      <c r="AB1466" s="201">
        <f t="shared" si="295"/>
        <v>0</v>
      </c>
      <c r="AC1466" s="201">
        <f t="shared" si="295"/>
        <v>41764.380000000005</v>
      </c>
      <c r="AD1466" s="201">
        <f t="shared" si="295"/>
        <v>0</v>
      </c>
      <c r="AE1466" s="201">
        <f t="shared" si="295"/>
        <v>0</v>
      </c>
      <c r="AF1466" s="202" t="s">
        <v>701</v>
      </c>
      <c r="AG1466" s="202" t="s">
        <v>701</v>
      </c>
      <c r="AH1466" s="207" t="s">
        <v>701</v>
      </c>
      <c r="CO1466" s="43" t="s">
        <v>1556</v>
      </c>
      <c r="CP1466" s="43">
        <v>53254.36</v>
      </c>
    </row>
    <row r="1467" spans="1:94" s="43" customFormat="1" ht="61.5" x14ac:dyDescent="0.25">
      <c r="B1467" s="210" t="s">
        <v>807</v>
      </c>
      <c r="C1467" s="185"/>
      <c r="D1467" s="208">
        <f t="shared" ref="D1467:D1472" si="296">E1467+F1467+G1467+H1467+I1467+J1467+L1467+N1467+P1467+R1467+T1467+U1467+V1467+W1467+X1467+Y1467+Z1467+AA1467+AB1467+AC1467+AD1467+AE1467</f>
        <v>1836114.4000000001</v>
      </c>
      <c r="E1467" s="201">
        <f t="shared" ref="E1467:AE1469" si="297">SUM(E1468:E1468)</f>
        <v>0</v>
      </c>
      <c r="F1467" s="201">
        <f t="shared" si="297"/>
        <v>0</v>
      </c>
      <c r="G1467" s="201">
        <f t="shared" si="297"/>
        <v>0</v>
      </c>
      <c r="H1467" s="201">
        <f t="shared" si="297"/>
        <v>0</v>
      </c>
      <c r="I1467" s="201">
        <f t="shared" si="297"/>
        <v>0</v>
      </c>
      <c r="J1467" s="201">
        <f t="shared" si="297"/>
        <v>0</v>
      </c>
      <c r="K1467" s="209">
        <f t="shared" si="297"/>
        <v>0</v>
      </c>
      <c r="L1467" s="201">
        <f t="shared" si="297"/>
        <v>0</v>
      </c>
      <c r="M1467" s="201">
        <f t="shared" si="297"/>
        <v>454</v>
      </c>
      <c r="N1467" s="201">
        <f t="shared" si="297"/>
        <v>1810719.07</v>
      </c>
      <c r="O1467" s="201">
        <f t="shared" si="297"/>
        <v>0</v>
      </c>
      <c r="P1467" s="201">
        <f t="shared" si="297"/>
        <v>0</v>
      </c>
      <c r="Q1467" s="201">
        <f t="shared" si="297"/>
        <v>0</v>
      </c>
      <c r="R1467" s="201">
        <f t="shared" si="297"/>
        <v>0</v>
      </c>
      <c r="S1467" s="201">
        <f t="shared" si="297"/>
        <v>0</v>
      </c>
      <c r="T1467" s="201">
        <f t="shared" si="297"/>
        <v>0</v>
      </c>
      <c r="U1467" s="201">
        <f t="shared" si="297"/>
        <v>0</v>
      </c>
      <c r="V1467" s="201">
        <f t="shared" si="297"/>
        <v>0</v>
      </c>
      <c r="W1467" s="201">
        <f t="shared" si="297"/>
        <v>0</v>
      </c>
      <c r="X1467" s="201">
        <f t="shared" si="297"/>
        <v>0</v>
      </c>
      <c r="Y1467" s="201">
        <f t="shared" si="297"/>
        <v>0</v>
      </c>
      <c r="Z1467" s="201">
        <f t="shared" si="297"/>
        <v>0</v>
      </c>
      <c r="AA1467" s="201">
        <f t="shared" si="297"/>
        <v>0</v>
      </c>
      <c r="AB1467" s="201">
        <f t="shared" si="297"/>
        <v>0</v>
      </c>
      <c r="AC1467" s="201">
        <f t="shared" si="297"/>
        <v>25395.33</v>
      </c>
      <c r="AD1467" s="201">
        <f t="shared" si="297"/>
        <v>0</v>
      </c>
      <c r="AE1467" s="201">
        <f t="shared" si="297"/>
        <v>0</v>
      </c>
      <c r="AF1467" s="202" t="s">
        <v>701</v>
      </c>
      <c r="AG1467" s="202" t="s">
        <v>701</v>
      </c>
      <c r="AH1467" s="207" t="s">
        <v>701</v>
      </c>
      <c r="AI1467" s="65"/>
      <c r="AL1467" s="70"/>
      <c r="AM1467" s="65"/>
      <c r="AV1467" s="69"/>
      <c r="BN1467" s="71"/>
      <c r="BX1467" s="69"/>
      <c r="BZ1467" s="65"/>
      <c r="CB1467" s="69"/>
      <c r="CO1467" s="43" t="s">
        <v>1557</v>
      </c>
      <c r="CP1467" s="43">
        <v>44890.35</v>
      </c>
    </row>
    <row r="1468" spans="1:94" s="43" customFormat="1" ht="61.5" x14ac:dyDescent="0.25">
      <c r="A1468" s="69"/>
      <c r="B1468" s="211">
        <v>1</v>
      </c>
      <c r="C1468" s="185" t="s">
        <v>1561</v>
      </c>
      <c r="D1468" s="188">
        <f t="shared" si="296"/>
        <v>1836114.4000000001</v>
      </c>
      <c r="E1468" s="212">
        <v>0</v>
      </c>
      <c r="F1468" s="188">
        <v>0</v>
      </c>
      <c r="G1468" s="188">
        <v>0</v>
      </c>
      <c r="H1468" s="188">
        <v>0</v>
      </c>
      <c r="I1468" s="188">
        <v>0</v>
      </c>
      <c r="J1468" s="188">
        <v>0</v>
      </c>
      <c r="K1468" s="209">
        <v>0</v>
      </c>
      <c r="L1468" s="188">
        <v>0</v>
      </c>
      <c r="M1468" s="199">
        <v>454</v>
      </c>
      <c r="N1468" s="199">
        <v>1810719.07</v>
      </c>
      <c r="O1468" s="188">
        <v>0</v>
      </c>
      <c r="P1468" s="188">
        <v>0</v>
      </c>
      <c r="Q1468" s="188">
        <v>0</v>
      </c>
      <c r="R1468" s="188">
        <v>0</v>
      </c>
      <c r="S1468" s="188">
        <v>0</v>
      </c>
      <c r="T1468" s="188">
        <v>0</v>
      </c>
      <c r="U1468" s="188">
        <v>0</v>
      </c>
      <c r="V1468" s="188">
        <v>0</v>
      </c>
      <c r="W1468" s="188">
        <v>0</v>
      </c>
      <c r="X1468" s="188">
        <v>0</v>
      </c>
      <c r="Y1468" s="188">
        <v>0</v>
      </c>
      <c r="Z1468" s="188">
        <v>0</v>
      </c>
      <c r="AA1468" s="188">
        <v>0</v>
      </c>
      <c r="AB1468" s="188">
        <v>0</v>
      </c>
      <c r="AC1468" s="199">
        <v>25395.33</v>
      </c>
      <c r="AD1468" s="188">
        <v>0</v>
      </c>
      <c r="AE1468" s="188">
        <v>0</v>
      </c>
      <c r="AF1468" s="213" t="s">
        <v>257</v>
      </c>
      <c r="AG1468" s="213">
        <v>2020</v>
      </c>
      <c r="AH1468" s="213">
        <v>2020</v>
      </c>
      <c r="AI1468" s="65"/>
      <c r="AL1468" s="65"/>
      <c r="AM1468" s="65"/>
      <c r="AV1468" s="69"/>
      <c r="BN1468" s="71"/>
      <c r="BX1468" s="69"/>
      <c r="BZ1468" s="65"/>
      <c r="CO1468" s="43" t="s">
        <v>1558</v>
      </c>
      <c r="CP1468" s="43">
        <v>52429.26</v>
      </c>
    </row>
    <row r="1469" spans="1:94" s="43" customFormat="1" ht="61.5" x14ac:dyDescent="0.25">
      <c r="B1469" s="210" t="s">
        <v>760</v>
      </c>
      <c r="C1469" s="185"/>
      <c r="D1469" s="208">
        <f t="shared" si="296"/>
        <v>2643881</v>
      </c>
      <c r="E1469" s="201">
        <f t="shared" si="297"/>
        <v>0</v>
      </c>
      <c r="F1469" s="201">
        <f t="shared" si="297"/>
        <v>0</v>
      </c>
      <c r="G1469" s="201">
        <f t="shared" si="297"/>
        <v>0</v>
      </c>
      <c r="H1469" s="201">
        <f t="shared" si="297"/>
        <v>0</v>
      </c>
      <c r="I1469" s="201">
        <f t="shared" si="297"/>
        <v>0</v>
      </c>
      <c r="J1469" s="201">
        <f t="shared" si="297"/>
        <v>0</v>
      </c>
      <c r="K1469" s="209">
        <f t="shared" si="297"/>
        <v>0</v>
      </c>
      <c r="L1469" s="201">
        <f t="shared" si="297"/>
        <v>0</v>
      </c>
      <c r="M1469" s="201">
        <f t="shared" si="297"/>
        <v>720</v>
      </c>
      <c r="N1469" s="201">
        <f t="shared" si="297"/>
        <v>2643881</v>
      </c>
      <c r="O1469" s="201">
        <f t="shared" si="297"/>
        <v>0</v>
      </c>
      <c r="P1469" s="201">
        <f t="shared" si="297"/>
        <v>0</v>
      </c>
      <c r="Q1469" s="201">
        <f t="shared" si="297"/>
        <v>0</v>
      </c>
      <c r="R1469" s="201">
        <f t="shared" si="297"/>
        <v>0</v>
      </c>
      <c r="S1469" s="201">
        <f t="shared" si="297"/>
        <v>0</v>
      </c>
      <c r="T1469" s="201">
        <f t="shared" si="297"/>
        <v>0</v>
      </c>
      <c r="U1469" s="201">
        <f t="shared" si="297"/>
        <v>0</v>
      </c>
      <c r="V1469" s="201">
        <f t="shared" si="297"/>
        <v>0</v>
      </c>
      <c r="W1469" s="201">
        <f t="shared" si="297"/>
        <v>0</v>
      </c>
      <c r="X1469" s="201">
        <f t="shared" si="297"/>
        <v>0</v>
      </c>
      <c r="Y1469" s="201">
        <f t="shared" si="297"/>
        <v>0</v>
      </c>
      <c r="Z1469" s="201">
        <f t="shared" si="297"/>
        <v>0</v>
      </c>
      <c r="AA1469" s="201">
        <f t="shared" si="297"/>
        <v>0</v>
      </c>
      <c r="AB1469" s="201">
        <f t="shared" si="297"/>
        <v>0</v>
      </c>
      <c r="AC1469" s="201">
        <f t="shared" si="297"/>
        <v>0</v>
      </c>
      <c r="AD1469" s="201">
        <f t="shared" si="297"/>
        <v>0</v>
      </c>
      <c r="AE1469" s="201">
        <f t="shared" si="297"/>
        <v>0</v>
      </c>
      <c r="AF1469" s="202" t="s">
        <v>701</v>
      </c>
      <c r="AG1469" s="202" t="s">
        <v>701</v>
      </c>
      <c r="AH1469" s="207" t="s">
        <v>701</v>
      </c>
      <c r="AI1469" s="65"/>
      <c r="AL1469" s="70"/>
      <c r="AM1469" s="65"/>
      <c r="AV1469" s="69"/>
      <c r="BN1469" s="71"/>
      <c r="BX1469" s="69"/>
      <c r="BZ1469" s="65"/>
      <c r="CB1469" s="69"/>
      <c r="CO1469" s="43" t="s">
        <v>1557</v>
      </c>
      <c r="CP1469" s="43">
        <v>44890.35</v>
      </c>
    </row>
    <row r="1470" spans="1:94" s="69" customFormat="1" ht="76.5" customHeight="1" x14ac:dyDescent="0.25">
      <c r="B1470" s="211">
        <v>2</v>
      </c>
      <c r="C1470" s="186" t="s">
        <v>1580</v>
      </c>
      <c r="D1470" s="188">
        <f t="shared" si="296"/>
        <v>2643881</v>
      </c>
      <c r="E1470" s="212">
        <v>0</v>
      </c>
      <c r="F1470" s="188">
        <v>0</v>
      </c>
      <c r="G1470" s="188">
        <v>0</v>
      </c>
      <c r="H1470" s="188">
        <v>0</v>
      </c>
      <c r="I1470" s="188">
        <v>0</v>
      </c>
      <c r="J1470" s="188">
        <v>0</v>
      </c>
      <c r="K1470" s="209">
        <v>0</v>
      </c>
      <c r="L1470" s="188">
        <v>0</v>
      </c>
      <c r="M1470" s="199">
        <v>720</v>
      </c>
      <c r="N1470" s="199">
        <v>2643881</v>
      </c>
      <c r="O1470" s="188">
        <v>0</v>
      </c>
      <c r="P1470" s="188">
        <v>0</v>
      </c>
      <c r="Q1470" s="188">
        <v>0</v>
      </c>
      <c r="R1470" s="188">
        <v>0</v>
      </c>
      <c r="S1470" s="188">
        <v>0</v>
      </c>
      <c r="T1470" s="188">
        <v>0</v>
      </c>
      <c r="U1470" s="188">
        <v>0</v>
      </c>
      <c r="V1470" s="188">
        <v>0</v>
      </c>
      <c r="W1470" s="188">
        <v>0</v>
      </c>
      <c r="X1470" s="188">
        <v>0</v>
      </c>
      <c r="Y1470" s="188">
        <v>0</v>
      </c>
      <c r="Z1470" s="188">
        <v>0</v>
      </c>
      <c r="AA1470" s="188">
        <v>0</v>
      </c>
      <c r="AB1470" s="188">
        <v>0</v>
      </c>
      <c r="AC1470" s="188">
        <v>0</v>
      </c>
      <c r="AD1470" s="188">
        <v>0</v>
      </c>
      <c r="AE1470" s="188">
        <v>0</v>
      </c>
      <c r="AF1470" s="213" t="s">
        <v>257</v>
      </c>
      <c r="AG1470" s="213">
        <v>2020</v>
      </c>
      <c r="AH1470" s="213" t="s">
        <v>257</v>
      </c>
      <c r="AI1470" s="65"/>
      <c r="AL1470" s="65"/>
      <c r="AM1470" s="65"/>
      <c r="BN1470" s="71"/>
      <c r="BZ1470" s="65"/>
      <c r="CO1470" s="69" t="s">
        <v>1558</v>
      </c>
      <c r="CP1470" s="69">
        <v>52429.26</v>
      </c>
    </row>
    <row r="1471" spans="1:94" s="43" customFormat="1" ht="61.5" x14ac:dyDescent="0.25">
      <c r="B1471" s="210" t="s">
        <v>831</v>
      </c>
      <c r="C1471" s="185"/>
      <c r="D1471" s="208">
        <f t="shared" si="296"/>
        <v>2554206.3299999996</v>
      </c>
      <c r="E1471" s="201">
        <f t="shared" ref="E1471:AE1471" si="298">SUM(E1472:E1472)</f>
        <v>0</v>
      </c>
      <c r="F1471" s="201">
        <f t="shared" si="298"/>
        <v>0</v>
      </c>
      <c r="G1471" s="201">
        <f t="shared" si="298"/>
        <v>0</v>
      </c>
      <c r="H1471" s="201">
        <f t="shared" si="298"/>
        <v>0</v>
      </c>
      <c r="I1471" s="201">
        <f t="shared" si="298"/>
        <v>0</v>
      </c>
      <c r="J1471" s="201">
        <f t="shared" si="298"/>
        <v>0</v>
      </c>
      <c r="K1471" s="209">
        <f t="shared" si="298"/>
        <v>0</v>
      </c>
      <c r="L1471" s="201">
        <f t="shared" si="298"/>
        <v>0</v>
      </c>
      <c r="M1471" s="201">
        <f t="shared" si="298"/>
        <v>807.3</v>
      </c>
      <c r="N1471" s="201">
        <f t="shared" si="298"/>
        <v>2537837.2799999998</v>
      </c>
      <c r="O1471" s="201">
        <f t="shared" si="298"/>
        <v>0</v>
      </c>
      <c r="P1471" s="201">
        <f t="shared" si="298"/>
        <v>0</v>
      </c>
      <c r="Q1471" s="201">
        <f t="shared" si="298"/>
        <v>0</v>
      </c>
      <c r="R1471" s="201">
        <f t="shared" si="298"/>
        <v>0</v>
      </c>
      <c r="S1471" s="201">
        <f t="shared" si="298"/>
        <v>0</v>
      </c>
      <c r="T1471" s="201">
        <f t="shared" si="298"/>
        <v>0</v>
      </c>
      <c r="U1471" s="201">
        <f t="shared" si="298"/>
        <v>0</v>
      </c>
      <c r="V1471" s="201">
        <f t="shared" si="298"/>
        <v>0</v>
      </c>
      <c r="W1471" s="201">
        <f t="shared" si="298"/>
        <v>0</v>
      </c>
      <c r="X1471" s="201">
        <f t="shared" si="298"/>
        <v>0</v>
      </c>
      <c r="Y1471" s="201">
        <f t="shared" si="298"/>
        <v>0</v>
      </c>
      <c r="Z1471" s="201">
        <f t="shared" si="298"/>
        <v>0</v>
      </c>
      <c r="AA1471" s="201">
        <f t="shared" si="298"/>
        <v>0</v>
      </c>
      <c r="AB1471" s="201">
        <f t="shared" si="298"/>
        <v>0</v>
      </c>
      <c r="AC1471" s="188">
        <f t="shared" si="298"/>
        <v>16369.05</v>
      </c>
      <c r="AD1471" s="201">
        <f t="shared" si="298"/>
        <v>0</v>
      </c>
      <c r="AE1471" s="201">
        <f t="shared" si="298"/>
        <v>0</v>
      </c>
      <c r="AF1471" s="202" t="s">
        <v>701</v>
      </c>
      <c r="AG1471" s="202" t="s">
        <v>701</v>
      </c>
      <c r="AH1471" s="207" t="s">
        <v>701</v>
      </c>
      <c r="AI1471" s="65"/>
      <c r="AL1471" s="70"/>
      <c r="AM1471" s="65"/>
      <c r="AV1471" s="69"/>
      <c r="BN1471" s="71"/>
      <c r="BX1471" s="69"/>
      <c r="BZ1471" s="65"/>
      <c r="CB1471" s="69"/>
      <c r="CO1471" s="43" t="s">
        <v>1557</v>
      </c>
      <c r="CP1471" s="43">
        <v>44890.35</v>
      </c>
    </row>
    <row r="1472" spans="1:94" s="69" customFormat="1" ht="76.5" customHeight="1" x14ac:dyDescent="0.25">
      <c r="B1472" s="211">
        <v>3</v>
      </c>
      <c r="C1472" s="186" t="s">
        <v>3</v>
      </c>
      <c r="D1472" s="188">
        <f t="shared" si="296"/>
        <v>2554206.3299999996</v>
      </c>
      <c r="E1472" s="212">
        <v>0</v>
      </c>
      <c r="F1472" s="188">
        <v>0</v>
      </c>
      <c r="G1472" s="188">
        <v>0</v>
      </c>
      <c r="H1472" s="188">
        <v>0</v>
      </c>
      <c r="I1472" s="188">
        <v>0</v>
      </c>
      <c r="J1472" s="188">
        <v>0</v>
      </c>
      <c r="K1472" s="209">
        <v>0</v>
      </c>
      <c r="L1472" s="188">
        <v>0</v>
      </c>
      <c r="M1472" s="199">
        <v>807.3</v>
      </c>
      <c r="N1472" s="199">
        <v>2537837.2799999998</v>
      </c>
      <c r="O1472" s="188">
        <v>0</v>
      </c>
      <c r="P1472" s="188">
        <v>0</v>
      </c>
      <c r="Q1472" s="188">
        <v>0</v>
      </c>
      <c r="R1472" s="188">
        <v>0</v>
      </c>
      <c r="S1472" s="188">
        <v>0</v>
      </c>
      <c r="T1472" s="188">
        <v>0</v>
      </c>
      <c r="U1472" s="188">
        <v>0</v>
      </c>
      <c r="V1472" s="188">
        <v>0</v>
      </c>
      <c r="W1472" s="188">
        <v>0</v>
      </c>
      <c r="X1472" s="188">
        <v>0</v>
      </c>
      <c r="Y1472" s="188">
        <v>0</v>
      </c>
      <c r="Z1472" s="188">
        <v>0</v>
      </c>
      <c r="AA1472" s="188">
        <v>0</v>
      </c>
      <c r="AB1472" s="188">
        <v>0</v>
      </c>
      <c r="AC1472" s="188">
        <v>16369.05</v>
      </c>
      <c r="AD1472" s="188">
        <v>0</v>
      </c>
      <c r="AE1472" s="188">
        <v>0</v>
      </c>
      <c r="AF1472" s="213" t="s">
        <v>257</v>
      </c>
      <c r="AG1472" s="213">
        <v>2020</v>
      </c>
      <c r="AH1472" s="213">
        <v>2020</v>
      </c>
      <c r="AI1472" s="65"/>
      <c r="AL1472" s="65"/>
      <c r="AM1472" s="65"/>
      <c r="BN1472" s="71"/>
      <c r="BZ1472" s="65"/>
      <c r="CO1472" s="69" t="s">
        <v>1558</v>
      </c>
      <c r="CP1472" s="69">
        <v>52429.26</v>
      </c>
    </row>
    <row r="1473" spans="1:94" s="43" customFormat="1" ht="76.5" x14ac:dyDescent="0.25">
      <c r="B1473" s="311" t="s">
        <v>2968</v>
      </c>
      <c r="C1473" s="312"/>
      <c r="D1473" s="208">
        <f t="shared" ref="D1473:AE1473" si="299">D1474+D1476+D1478+D1480+D1485+D1487+D1489</f>
        <v>61976330.129999995</v>
      </c>
      <c r="E1473" s="188">
        <f t="shared" si="299"/>
        <v>0</v>
      </c>
      <c r="F1473" s="188">
        <f t="shared" si="299"/>
        <v>0</v>
      </c>
      <c r="G1473" s="188">
        <f t="shared" si="299"/>
        <v>0</v>
      </c>
      <c r="H1473" s="188">
        <f t="shared" si="299"/>
        <v>0</v>
      </c>
      <c r="I1473" s="188">
        <f t="shared" si="299"/>
        <v>0</v>
      </c>
      <c r="J1473" s="188">
        <f t="shared" si="299"/>
        <v>0</v>
      </c>
      <c r="K1473" s="209">
        <f t="shared" si="299"/>
        <v>0</v>
      </c>
      <c r="L1473" s="188">
        <f t="shared" si="299"/>
        <v>0</v>
      </c>
      <c r="M1473" s="188">
        <f t="shared" si="299"/>
        <v>8712.56</v>
      </c>
      <c r="N1473" s="188">
        <f t="shared" si="299"/>
        <v>57706664.229999997</v>
      </c>
      <c r="O1473" s="188">
        <f t="shared" si="299"/>
        <v>0</v>
      </c>
      <c r="P1473" s="188">
        <f t="shared" si="299"/>
        <v>0</v>
      </c>
      <c r="Q1473" s="188">
        <f t="shared" si="299"/>
        <v>626.74</v>
      </c>
      <c r="R1473" s="188">
        <f t="shared" si="299"/>
        <v>3474547</v>
      </c>
      <c r="S1473" s="188">
        <f t="shared" si="299"/>
        <v>0</v>
      </c>
      <c r="T1473" s="188">
        <f t="shared" si="299"/>
        <v>0</v>
      </c>
      <c r="U1473" s="188">
        <f t="shared" si="299"/>
        <v>0</v>
      </c>
      <c r="V1473" s="188">
        <f t="shared" si="299"/>
        <v>0</v>
      </c>
      <c r="W1473" s="188">
        <f t="shared" si="299"/>
        <v>0</v>
      </c>
      <c r="X1473" s="188">
        <f t="shared" si="299"/>
        <v>0</v>
      </c>
      <c r="Y1473" s="188">
        <f t="shared" si="299"/>
        <v>0</v>
      </c>
      <c r="Z1473" s="188">
        <f t="shared" si="299"/>
        <v>0</v>
      </c>
      <c r="AA1473" s="188">
        <f t="shared" si="299"/>
        <v>0</v>
      </c>
      <c r="AB1473" s="188">
        <f t="shared" si="299"/>
        <v>0</v>
      </c>
      <c r="AC1473" s="188">
        <f t="shared" si="299"/>
        <v>795118.9</v>
      </c>
      <c r="AD1473" s="188">
        <f t="shared" si="299"/>
        <v>0</v>
      </c>
      <c r="AE1473" s="188">
        <f t="shared" si="299"/>
        <v>0</v>
      </c>
      <c r="AF1473" s="202" t="s">
        <v>701</v>
      </c>
      <c r="AG1473" s="202" t="s">
        <v>701</v>
      </c>
      <c r="AH1473" s="207" t="s">
        <v>701</v>
      </c>
      <c r="CO1473" s="43" t="s">
        <v>1556</v>
      </c>
      <c r="CP1473" s="43">
        <v>53254.36</v>
      </c>
    </row>
    <row r="1474" spans="1:94" s="43" customFormat="1" ht="76.5" x14ac:dyDescent="0.25">
      <c r="B1474" s="210" t="s">
        <v>792</v>
      </c>
      <c r="C1474" s="214"/>
      <c r="D1474" s="208">
        <f>D1475</f>
        <v>4993771.54</v>
      </c>
      <c r="E1474" s="188">
        <f t="shared" ref="E1474:AE1474" si="300">E1475</f>
        <v>0</v>
      </c>
      <c r="F1474" s="188">
        <f t="shared" si="300"/>
        <v>0</v>
      </c>
      <c r="G1474" s="188">
        <f t="shared" si="300"/>
        <v>0</v>
      </c>
      <c r="H1474" s="188">
        <f t="shared" si="300"/>
        <v>0</v>
      </c>
      <c r="I1474" s="188">
        <f t="shared" si="300"/>
        <v>0</v>
      </c>
      <c r="J1474" s="188">
        <f t="shared" si="300"/>
        <v>0</v>
      </c>
      <c r="K1474" s="209">
        <f t="shared" si="300"/>
        <v>0</v>
      </c>
      <c r="L1474" s="188">
        <f t="shared" si="300"/>
        <v>0</v>
      </c>
      <c r="M1474" s="188">
        <f t="shared" si="300"/>
        <v>791.26</v>
      </c>
      <c r="N1474" s="188">
        <f t="shared" si="300"/>
        <v>4941427</v>
      </c>
      <c r="O1474" s="188">
        <f t="shared" si="300"/>
        <v>0</v>
      </c>
      <c r="P1474" s="188">
        <f t="shared" si="300"/>
        <v>0</v>
      </c>
      <c r="Q1474" s="188">
        <f t="shared" si="300"/>
        <v>0</v>
      </c>
      <c r="R1474" s="188">
        <f t="shared" si="300"/>
        <v>0</v>
      </c>
      <c r="S1474" s="188">
        <f t="shared" si="300"/>
        <v>0</v>
      </c>
      <c r="T1474" s="188">
        <f t="shared" si="300"/>
        <v>0</v>
      </c>
      <c r="U1474" s="188">
        <f t="shared" si="300"/>
        <v>0</v>
      </c>
      <c r="V1474" s="188">
        <f t="shared" si="300"/>
        <v>0</v>
      </c>
      <c r="W1474" s="188">
        <f t="shared" si="300"/>
        <v>0</v>
      </c>
      <c r="X1474" s="188">
        <f t="shared" si="300"/>
        <v>0</v>
      </c>
      <c r="Y1474" s="188">
        <f t="shared" si="300"/>
        <v>0</v>
      </c>
      <c r="Z1474" s="188">
        <f t="shared" si="300"/>
        <v>0</v>
      </c>
      <c r="AA1474" s="188">
        <f t="shared" si="300"/>
        <v>0</v>
      </c>
      <c r="AB1474" s="188">
        <f t="shared" si="300"/>
        <v>0</v>
      </c>
      <c r="AC1474" s="188">
        <f t="shared" si="300"/>
        <v>52344.54</v>
      </c>
      <c r="AD1474" s="188">
        <f t="shared" si="300"/>
        <v>0</v>
      </c>
      <c r="AE1474" s="188">
        <f t="shared" si="300"/>
        <v>0</v>
      </c>
      <c r="AF1474" s="215" t="s">
        <v>701</v>
      </c>
      <c r="AG1474" s="215" t="s">
        <v>701</v>
      </c>
      <c r="AH1474" s="215" t="s">
        <v>701</v>
      </c>
    </row>
    <row r="1475" spans="1:94" s="69" customFormat="1" ht="76.5" customHeight="1" x14ac:dyDescent="0.25">
      <c r="B1475" s="211">
        <v>1</v>
      </c>
      <c r="C1475" s="216" t="s">
        <v>3219</v>
      </c>
      <c r="D1475" s="188">
        <f t="shared" ref="D1475:D1490" si="301">E1475+F1475+G1475+H1475+I1475+J1475+L1475+N1475+P1475+R1475+T1475+U1475+V1475+W1475+X1475+Y1475+Z1475+AA1475+AB1475+AC1475+AD1475+AE1475</f>
        <v>4993771.54</v>
      </c>
      <c r="E1475" s="188">
        <v>0</v>
      </c>
      <c r="F1475" s="188">
        <v>0</v>
      </c>
      <c r="G1475" s="188">
        <v>0</v>
      </c>
      <c r="H1475" s="188">
        <v>0</v>
      </c>
      <c r="I1475" s="188">
        <v>0</v>
      </c>
      <c r="J1475" s="188">
        <v>0</v>
      </c>
      <c r="K1475" s="209">
        <v>0</v>
      </c>
      <c r="L1475" s="188">
        <v>0</v>
      </c>
      <c r="M1475" s="199">
        <v>791.26</v>
      </c>
      <c r="N1475" s="199">
        <v>4941427</v>
      </c>
      <c r="O1475" s="188">
        <v>0</v>
      </c>
      <c r="P1475" s="188">
        <v>0</v>
      </c>
      <c r="Q1475" s="188">
        <v>0</v>
      </c>
      <c r="R1475" s="188">
        <v>0</v>
      </c>
      <c r="S1475" s="188">
        <v>0</v>
      </c>
      <c r="T1475" s="188">
        <v>0</v>
      </c>
      <c r="U1475" s="188">
        <v>0</v>
      </c>
      <c r="V1475" s="188">
        <v>0</v>
      </c>
      <c r="W1475" s="188">
        <v>0</v>
      </c>
      <c r="X1475" s="188">
        <v>0</v>
      </c>
      <c r="Y1475" s="188">
        <v>0</v>
      </c>
      <c r="Z1475" s="188">
        <v>0</v>
      </c>
      <c r="AA1475" s="188">
        <v>0</v>
      </c>
      <c r="AB1475" s="188">
        <v>0</v>
      </c>
      <c r="AC1475" s="199">
        <v>52344.54</v>
      </c>
      <c r="AD1475" s="188">
        <v>0</v>
      </c>
      <c r="AE1475" s="188">
        <v>0</v>
      </c>
      <c r="AF1475" s="213" t="s">
        <v>257</v>
      </c>
      <c r="AG1475" s="213">
        <v>2022</v>
      </c>
      <c r="AH1475" s="213">
        <v>2022</v>
      </c>
      <c r="AI1475" s="65"/>
      <c r="AL1475" s="65"/>
      <c r="AM1475" s="65"/>
      <c r="BN1475" s="71"/>
      <c r="BZ1475" s="65"/>
    </row>
    <row r="1476" spans="1:94" s="43" customFormat="1" ht="76.5" x14ac:dyDescent="0.25">
      <c r="B1476" s="210" t="s">
        <v>825</v>
      </c>
      <c r="C1476" s="214"/>
      <c r="D1476" s="208">
        <f>D1477</f>
        <v>3474547</v>
      </c>
      <c r="E1476" s="188">
        <f t="shared" ref="E1476:AE1476" si="302">E1477</f>
        <v>0</v>
      </c>
      <c r="F1476" s="188">
        <f t="shared" si="302"/>
        <v>0</v>
      </c>
      <c r="G1476" s="188">
        <f t="shared" si="302"/>
        <v>0</v>
      </c>
      <c r="H1476" s="188">
        <f t="shared" si="302"/>
        <v>0</v>
      </c>
      <c r="I1476" s="188">
        <f t="shared" si="302"/>
        <v>0</v>
      </c>
      <c r="J1476" s="188">
        <f t="shared" si="302"/>
        <v>0</v>
      </c>
      <c r="K1476" s="209">
        <f t="shared" si="302"/>
        <v>0</v>
      </c>
      <c r="L1476" s="188">
        <f t="shared" si="302"/>
        <v>0</v>
      </c>
      <c r="M1476" s="188">
        <f t="shared" si="302"/>
        <v>0</v>
      </c>
      <c r="N1476" s="188">
        <f t="shared" si="302"/>
        <v>0</v>
      </c>
      <c r="O1476" s="188">
        <f t="shared" si="302"/>
        <v>0</v>
      </c>
      <c r="P1476" s="188">
        <f t="shared" si="302"/>
        <v>0</v>
      </c>
      <c r="Q1476" s="188">
        <f t="shared" si="302"/>
        <v>626.74</v>
      </c>
      <c r="R1476" s="188">
        <f t="shared" si="302"/>
        <v>3474547</v>
      </c>
      <c r="S1476" s="188">
        <f t="shared" si="302"/>
        <v>0</v>
      </c>
      <c r="T1476" s="188">
        <f t="shared" si="302"/>
        <v>0</v>
      </c>
      <c r="U1476" s="188">
        <f t="shared" si="302"/>
        <v>0</v>
      </c>
      <c r="V1476" s="188">
        <f t="shared" si="302"/>
        <v>0</v>
      </c>
      <c r="W1476" s="188">
        <f t="shared" si="302"/>
        <v>0</v>
      </c>
      <c r="X1476" s="188">
        <f t="shared" si="302"/>
        <v>0</v>
      </c>
      <c r="Y1476" s="188">
        <f t="shared" si="302"/>
        <v>0</v>
      </c>
      <c r="Z1476" s="188">
        <f t="shared" si="302"/>
        <v>0</v>
      </c>
      <c r="AA1476" s="188">
        <f t="shared" si="302"/>
        <v>0</v>
      </c>
      <c r="AB1476" s="188">
        <f t="shared" si="302"/>
        <v>0</v>
      </c>
      <c r="AC1476" s="188">
        <f t="shared" si="302"/>
        <v>0</v>
      </c>
      <c r="AD1476" s="188">
        <f t="shared" si="302"/>
        <v>0</v>
      </c>
      <c r="AE1476" s="188">
        <f t="shared" si="302"/>
        <v>0</v>
      </c>
      <c r="AF1476" s="202" t="s">
        <v>701</v>
      </c>
      <c r="AG1476" s="202" t="s">
        <v>701</v>
      </c>
      <c r="AH1476" s="207" t="s">
        <v>701</v>
      </c>
    </row>
    <row r="1477" spans="1:94" s="69" customFormat="1" ht="76.5" customHeight="1" x14ac:dyDescent="0.25">
      <c r="B1477" s="211">
        <v>2</v>
      </c>
      <c r="C1477" s="216" t="s">
        <v>3220</v>
      </c>
      <c r="D1477" s="188">
        <f t="shared" si="301"/>
        <v>3474547</v>
      </c>
      <c r="E1477" s="188">
        <v>0</v>
      </c>
      <c r="F1477" s="188">
        <v>0</v>
      </c>
      <c r="G1477" s="188">
        <v>0</v>
      </c>
      <c r="H1477" s="188">
        <v>0</v>
      </c>
      <c r="I1477" s="188">
        <v>0</v>
      </c>
      <c r="J1477" s="188">
        <v>0</v>
      </c>
      <c r="K1477" s="209">
        <v>0</v>
      </c>
      <c r="L1477" s="188">
        <v>0</v>
      </c>
      <c r="M1477" s="199">
        <v>0</v>
      </c>
      <c r="N1477" s="199">
        <v>0</v>
      </c>
      <c r="O1477" s="188">
        <v>0</v>
      </c>
      <c r="P1477" s="188">
        <v>0</v>
      </c>
      <c r="Q1477" s="199">
        <v>626.74</v>
      </c>
      <c r="R1477" s="199">
        <v>3474547</v>
      </c>
      <c r="S1477" s="188">
        <v>0</v>
      </c>
      <c r="T1477" s="188">
        <v>0</v>
      </c>
      <c r="U1477" s="188">
        <v>0</v>
      </c>
      <c r="V1477" s="188">
        <v>0</v>
      </c>
      <c r="W1477" s="188">
        <v>0</v>
      </c>
      <c r="X1477" s="188">
        <v>0</v>
      </c>
      <c r="Y1477" s="188">
        <v>0</v>
      </c>
      <c r="Z1477" s="188">
        <v>0</v>
      </c>
      <c r="AA1477" s="188">
        <v>0</v>
      </c>
      <c r="AB1477" s="188">
        <v>0</v>
      </c>
      <c r="AC1477" s="188">
        <v>0</v>
      </c>
      <c r="AD1477" s="188">
        <v>0</v>
      </c>
      <c r="AE1477" s="188">
        <v>0</v>
      </c>
      <c r="AF1477" s="213" t="s">
        <v>257</v>
      </c>
      <c r="AG1477" s="213">
        <v>2022</v>
      </c>
      <c r="AH1477" s="213" t="s">
        <v>257</v>
      </c>
      <c r="AI1477" s="65"/>
      <c r="AL1477" s="65"/>
      <c r="AM1477" s="65"/>
      <c r="BN1477" s="71"/>
      <c r="BZ1477" s="65"/>
    </row>
    <row r="1478" spans="1:94" s="43" customFormat="1" ht="76.5" x14ac:dyDescent="0.25">
      <c r="B1478" s="210" t="s">
        <v>785</v>
      </c>
      <c r="C1478" s="214"/>
      <c r="D1478" s="208">
        <f>D1479</f>
        <v>7909707.2699999996</v>
      </c>
      <c r="E1478" s="188">
        <f t="shared" ref="E1478:AE1478" si="303">E1479</f>
        <v>0</v>
      </c>
      <c r="F1478" s="188">
        <f t="shared" si="303"/>
        <v>0</v>
      </c>
      <c r="G1478" s="188">
        <f t="shared" si="303"/>
        <v>0</v>
      </c>
      <c r="H1478" s="188">
        <f t="shared" si="303"/>
        <v>0</v>
      </c>
      <c r="I1478" s="188">
        <f t="shared" si="303"/>
        <v>0</v>
      </c>
      <c r="J1478" s="188">
        <f t="shared" si="303"/>
        <v>0</v>
      </c>
      <c r="K1478" s="209">
        <f t="shared" si="303"/>
        <v>0</v>
      </c>
      <c r="L1478" s="188">
        <f t="shared" si="303"/>
        <v>0</v>
      </c>
      <c r="M1478" s="188">
        <f t="shared" si="303"/>
        <v>1026</v>
      </c>
      <c r="N1478" s="188">
        <f t="shared" si="303"/>
        <v>7826798</v>
      </c>
      <c r="O1478" s="188">
        <f t="shared" si="303"/>
        <v>0</v>
      </c>
      <c r="P1478" s="188">
        <f t="shared" si="303"/>
        <v>0</v>
      </c>
      <c r="Q1478" s="188">
        <f t="shared" si="303"/>
        <v>0</v>
      </c>
      <c r="R1478" s="188">
        <f t="shared" si="303"/>
        <v>0</v>
      </c>
      <c r="S1478" s="188">
        <f t="shared" si="303"/>
        <v>0</v>
      </c>
      <c r="T1478" s="188">
        <f t="shared" si="303"/>
        <v>0</v>
      </c>
      <c r="U1478" s="188">
        <f t="shared" si="303"/>
        <v>0</v>
      </c>
      <c r="V1478" s="188">
        <f t="shared" si="303"/>
        <v>0</v>
      </c>
      <c r="W1478" s="188">
        <f t="shared" si="303"/>
        <v>0</v>
      </c>
      <c r="X1478" s="188">
        <f t="shared" si="303"/>
        <v>0</v>
      </c>
      <c r="Y1478" s="188">
        <f t="shared" si="303"/>
        <v>0</v>
      </c>
      <c r="Z1478" s="188">
        <f t="shared" si="303"/>
        <v>0</v>
      </c>
      <c r="AA1478" s="188">
        <f t="shared" si="303"/>
        <v>0</v>
      </c>
      <c r="AB1478" s="188">
        <f t="shared" si="303"/>
        <v>0</v>
      </c>
      <c r="AC1478" s="188">
        <f t="shared" si="303"/>
        <v>82909.27</v>
      </c>
      <c r="AD1478" s="188">
        <f t="shared" si="303"/>
        <v>0</v>
      </c>
      <c r="AE1478" s="188">
        <f t="shared" si="303"/>
        <v>0</v>
      </c>
      <c r="AF1478" s="202" t="s">
        <v>701</v>
      </c>
      <c r="AG1478" s="202" t="s">
        <v>701</v>
      </c>
      <c r="AH1478" s="207" t="s">
        <v>701</v>
      </c>
    </row>
    <row r="1479" spans="1:94" s="69" customFormat="1" ht="76.5" customHeight="1" x14ac:dyDescent="0.85">
      <c r="B1479" s="211">
        <v>3</v>
      </c>
      <c r="C1479" s="216" t="s">
        <v>3221</v>
      </c>
      <c r="D1479" s="188">
        <f>E1479+F1479+G1479+H1479+I1479+J1479+L1479+N1479+P1479+R1479+T1479+U1479+V1479+W1479+X1479+Y1479+Z1479+AA1479+AB1479+AC1479+AD1479+AE1479</f>
        <v>7909707.2699999996</v>
      </c>
      <c r="E1479" s="188">
        <v>0</v>
      </c>
      <c r="F1479" s="188">
        <v>0</v>
      </c>
      <c r="G1479" s="188">
        <v>0</v>
      </c>
      <c r="H1479" s="188">
        <v>0</v>
      </c>
      <c r="I1479" s="188">
        <v>0</v>
      </c>
      <c r="J1479" s="188">
        <v>0</v>
      </c>
      <c r="K1479" s="209">
        <v>0</v>
      </c>
      <c r="L1479" s="188">
        <v>0</v>
      </c>
      <c r="M1479" s="199">
        <v>1026</v>
      </c>
      <c r="N1479" s="199">
        <v>7826798</v>
      </c>
      <c r="O1479" s="188">
        <v>0</v>
      </c>
      <c r="P1479" s="188">
        <v>0</v>
      </c>
      <c r="Q1479" s="188">
        <v>0</v>
      </c>
      <c r="R1479" s="188">
        <v>0</v>
      </c>
      <c r="S1479" s="188">
        <v>0</v>
      </c>
      <c r="T1479" s="188">
        <v>0</v>
      </c>
      <c r="U1479" s="188">
        <v>0</v>
      </c>
      <c r="V1479" s="188">
        <v>0</v>
      </c>
      <c r="W1479" s="188">
        <v>0</v>
      </c>
      <c r="X1479" s="188">
        <v>0</v>
      </c>
      <c r="Y1479" s="188">
        <v>0</v>
      </c>
      <c r="Z1479" s="188">
        <v>0</v>
      </c>
      <c r="AA1479" s="188">
        <v>0</v>
      </c>
      <c r="AB1479" s="188">
        <v>0</v>
      </c>
      <c r="AC1479" s="217">
        <v>82909.27</v>
      </c>
      <c r="AD1479" s="188">
        <v>0</v>
      </c>
      <c r="AE1479" s="188">
        <v>0</v>
      </c>
      <c r="AF1479" s="213" t="s">
        <v>257</v>
      </c>
      <c r="AG1479" s="213">
        <v>2022</v>
      </c>
      <c r="AH1479" s="213">
        <v>2022</v>
      </c>
      <c r="AI1479" s="65"/>
      <c r="AL1479" s="65"/>
      <c r="AM1479" s="65"/>
      <c r="BN1479" s="71"/>
      <c r="BZ1479" s="65"/>
    </row>
    <row r="1480" spans="1:94" s="43" customFormat="1" ht="76.5" x14ac:dyDescent="0.25">
      <c r="B1480" s="218" t="s">
        <v>1027</v>
      </c>
      <c r="C1480" s="219"/>
      <c r="D1480" s="220">
        <f>D1481+D1482+D1483+D1484</f>
        <v>34327852.479999997</v>
      </c>
      <c r="E1480" s="221">
        <f t="shared" ref="E1480:AE1480" si="304">E1481+E1482+E1483+E1484</f>
        <v>0</v>
      </c>
      <c r="F1480" s="221">
        <f t="shared" si="304"/>
        <v>0</v>
      </c>
      <c r="G1480" s="221">
        <f t="shared" si="304"/>
        <v>0</v>
      </c>
      <c r="H1480" s="221">
        <f t="shared" si="304"/>
        <v>0</v>
      </c>
      <c r="I1480" s="221">
        <f t="shared" si="304"/>
        <v>0</v>
      </c>
      <c r="J1480" s="221">
        <f t="shared" si="304"/>
        <v>0</v>
      </c>
      <c r="K1480" s="209">
        <f t="shared" si="304"/>
        <v>0</v>
      </c>
      <c r="L1480" s="221">
        <f t="shared" si="304"/>
        <v>0</v>
      </c>
      <c r="M1480" s="221">
        <f t="shared" si="304"/>
        <v>4780.42</v>
      </c>
      <c r="N1480" s="221">
        <f t="shared" si="304"/>
        <v>33825581.229999997</v>
      </c>
      <c r="O1480" s="221">
        <f t="shared" si="304"/>
        <v>0</v>
      </c>
      <c r="P1480" s="221">
        <f t="shared" si="304"/>
        <v>0</v>
      </c>
      <c r="Q1480" s="221">
        <f t="shared" si="304"/>
        <v>0</v>
      </c>
      <c r="R1480" s="221">
        <f t="shared" si="304"/>
        <v>0</v>
      </c>
      <c r="S1480" s="221">
        <f t="shared" si="304"/>
        <v>0</v>
      </c>
      <c r="T1480" s="221">
        <f t="shared" si="304"/>
        <v>0</v>
      </c>
      <c r="U1480" s="221">
        <f t="shared" si="304"/>
        <v>0</v>
      </c>
      <c r="V1480" s="221">
        <f t="shared" si="304"/>
        <v>0</v>
      </c>
      <c r="W1480" s="221">
        <f t="shared" si="304"/>
        <v>0</v>
      </c>
      <c r="X1480" s="221">
        <f t="shared" si="304"/>
        <v>0</v>
      </c>
      <c r="Y1480" s="221">
        <f t="shared" si="304"/>
        <v>0</v>
      </c>
      <c r="Z1480" s="221">
        <f t="shared" si="304"/>
        <v>0</v>
      </c>
      <c r="AA1480" s="221">
        <f t="shared" si="304"/>
        <v>0</v>
      </c>
      <c r="AB1480" s="221">
        <f t="shared" si="304"/>
        <v>0</v>
      </c>
      <c r="AC1480" s="221">
        <f t="shared" si="304"/>
        <v>502271.25</v>
      </c>
      <c r="AD1480" s="221">
        <f t="shared" si="304"/>
        <v>0</v>
      </c>
      <c r="AE1480" s="221">
        <f t="shared" si="304"/>
        <v>0</v>
      </c>
      <c r="AF1480" s="202" t="s">
        <v>701</v>
      </c>
      <c r="AG1480" s="202" t="s">
        <v>701</v>
      </c>
      <c r="AH1480" s="207" t="s">
        <v>701</v>
      </c>
    </row>
    <row r="1481" spans="1:94" s="69" customFormat="1" ht="76.5" customHeight="1" x14ac:dyDescent="0.25">
      <c r="A1481" s="72"/>
      <c r="B1481" s="211">
        <v>4</v>
      </c>
      <c r="C1481" s="186" t="s">
        <v>3235</v>
      </c>
      <c r="D1481" s="188">
        <f t="shared" si="301"/>
        <v>17600057.449999999</v>
      </c>
      <c r="E1481" s="188">
        <v>0</v>
      </c>
      <c r="F1481" s="188">
        <v>0</v>
      </c>
      <c r="G1481" s="188">
        <v>0</v>
      </c>
      <c r="H1481" s="188">
        <v>0</v>
      </c>
      <c r="I1481" s="188">
        <v>0</v>
      </c>
      <c r="J1481" s="188">
        <v>0</v>
      </c>
      <c r="K1481" s="209">
        <v>0</v>
      </c>
      <c r="L1481" s="188">
        <v>0</v>
      </c>
      <c r="M1481" s="199">
        <v>2720.56</v>
      </c>
      <c r="N1481" s="199">
        <v>17242145</v>
      </c>
      <c r="O1481" s="188">
        <v>0</v>
      </c>
      <c r="P1481" s="188">
        <v>0</v>
      </c>
      <c r="Q1481" s="188">
        <v>0</v>
      </c>
      <c r="R1481" s="188">
        <v>0</v>
      </c>
      <c r="S1481" s="188">
        <v>0</v>
      </c>
      <c r="T1481" s="188">
        <v>0</v>
      </c>
      <c r="U1481" s="188">
        <v>0</v>
      </c>
      <c r="V1481" s="188">
        <v>0</v>
      </c>
      <c r="W1481" s="188">
        <v>0</v>
      </c>
      <c r="X1481" s="188">
        <v>0</v>
      </c>
      <c r="Y1481" s="188">
        <v>0</v>
      </c>
      <c r="Z1481" s="188">
        <v>0</v>
      </c>
      <c r="AA1481" s="188">
        <v>0</v>
      </c>
      <c r="AB1481" s="188">
        <v>0</v>
      </c>
      <c r="AC1481" s="188">
        <v>357912.45</v>
      </c>
      <c r="AD1481" s="188">
        <v>0</v>
      </c>
      <c r="AE1481" s="188">
        <v>0</v>
      </c>
      <c r="AF1481" s="213" t="s">
        <v>257</v>
      </c>
      <c r="AG1481" s="213">
        <v>2022</v>
      </c>
      <c r="AH1481" s="213">
        <v>2022</v>
      </c>
      <c r="AI1481" s="65"/>
      <c r="AL1481" s="65"/>
      <c r="AM1481" s="65"/>
      <c r="BN1481" s="71"/>
      <c r="BZ1481" s="65"/>
    </row>
    <row r="1482" spans="1:94" s="69" customFormat="1" ht="76.5" customHeight="1" x14ac:dyDescent="0.25">
      <c r="B1482" s="211">
        <v>5</v>
      </c>
      <c r="C1482" s="186" t="s">
        <v>2147</v>
      </c>
      <c r="D1482" s="188">
        <f t="shared" si="301"/>
        <v>6350285.5599999996</v>
      </c>
      <c r="E1482" s="188">
        <v>0</v>
      </c>
      <c r="F1482" s="188">
        <v>0</v>
      </c>
      <c r="G1482" s="188">
        <v>0</v>
      </c>
      <c r="H1482" s="188">
        <v>0</v>
      </c>
      <c r="I1482" s="188">
        <v>0</v>
      </c>
      <c r="J1482" s="188">
        <v>0</v>
      </c>
      <c r="K1482" s="222">
        <v>0</v>
      </c>
      <c r="L1482" s="188">
        <v>0</v>
      </c>
      <c r="M1482" s="199">
        <v>806.43</v>
      </c>
      <c r="N1482" s="199">
        <v>6295483.3799999999</v>
      </c>
      <c r="O1482" s="188">
        <v>0</v>
      </c>
      <c r="P1482" s="188">
        <v>0</v>
      </c>
      <c r="Q1482" s="188">
        <v>0</v>
      </c>
      <c r="R1482" s="188">
        <v>0</v>
      </c>
      <c r="S1482" s="188">
        <v>0</v>
      </c>
      <c r="T1482" s="188">
        <v>0</v>
      </c>
      <c r="U1482" s="188">
        <v>0</v>
      </c>
      <c r="V1482" s="188">
        <v>0</v>
      </c>
      <c r="W1482" s="188">
        <v>0</v>
      </c>
      <c r="X1482" s="188">
        <v>0</v>
      </c>
      <c r="Y1482" s="188">
        <v>0</v>
      </c>
      <c r="Z1482" s="188">
        <v>0</v>
      </c>
      <c r="AA1482" s="188">
        <v>0</v>
      </c>
      <c r="AB1482" s="188">
        <v>0</v>
      </c>
      <c r="AC1482" s="188">
        <v>54802.18</v>
      </c>
      <c r="AD1482" s="188">
        <v>0</v>
      </c>
      <c r="AE1482" s="188">
        <v>0</v>
      </c>
      <c r="AF1482" s="213" t="s">
        <v>257</v>
      </c>
      <c r="AG1482" s="213">
        <v>2022</v>
      </c>
      <c r="AH1482" s="223">
        <v>2022</v>
      </c>
      <c r="AI1482" s="65"/>
      <c r="AL1482" s="65"/>
      <c r="AM1482" s="65"/>
      <c r="BN1482" s="71"/>
      <c r="BZ1482" s="65"/>
    </row>
    <row r="1483" spans="1:94" s="69" customFormat="1" ht="76.5" customHeight="1" x14ac:dyDescent="0.25">
      <c r="B1483" s="211">
        <v>6</v>
      </c>
      <c r="C1483" s="186" t="s">
        <v>3371</v>
      </c>
      <c r="D1483" s="188">
        <f t="shared" si="301"/>
        <v>3371256.02</v>
      </c>
      <c r="E1483" s="188">
        <v>0</v>
      </c>
      <c r="F1483" s="188">
        <v>0</v>
      </c>
      <c r="G1483" s="188">
        <v>0</v>
      </c>
      <c r="H1483" s="188">
        <v>0</v>
      </c>
      <c r="I1483" s="188">
        <v>0</v>
      </c>
      <c r="J1483" s="188">
        <v>0</v>
      </c>
      <c r="K1483" s="222">
        <v>0</v>
      </c>
      <c r="L1483" s="188">
        <v>0</v>
      </c>
      <c r="M1483" s="188">
        <v>456.74</v>
      </c>
      <c r="N1483" s="188">
        <v>3342162.5</v>
      </c>
      <c r="O1483" s="188">
        <v>0</v>
      </c>
      <c r="P1483" s="188">
        <v>0</v>
      </c>
      <c r="Q1483" s="188">
        <v>0</v>
      </c>
      <c r="R1483" s="188">
        <v>0</v>
      </c>
      <c r="S1483" s="188">
        <v>0</v>
      </c>
      <c r="T1483" s="188">
        <v>0</v>
      </c>
      <c r="U1483" s="188">
        <v>0</v>
      </c>
      <c r="V1483" s="188">
        <v>0</v>
      </c>
      <c r="W1483" s="188">
        <v>0</v>
      </c>
      <c r="X1483" s="188">
        <v>0</v>
      </c>
      <c r="Y1483" s="188">
        <v>0</v>
      </c>
      <c r="Z1483" s="188">
        <v>0</v>
      </c>
      <c r="AA1483" s="188">
        <v>0</v>
      </c>
      <c r="AB1483" s="188">
        <v>0</v>
      </c>
      <c r="AC1483" s="188">
        <v>29093.52</v>
      </c>
      <c r="AD1483" s="188">
        <v>0</v>
      </c>
      <c r="AE1483" s="188">
        <v>0</v>
      </c>
      <c r="AF1483" s="213" t="s">
        <v>257</v>
      </c>
      <c r="AG1483" s="213">
        <v>2022</v>
      </c>
      <c r="AH1483" s="223">
        <v>2022</v>
      </c>
      <c r="AI1483" s="65"/>
      <c r="AL1483" s="65"/>
      <c r="AM1483" s="65"/>
      <c r="BN1483" s="71"/>
      <c r="BZ1483" s="65"/>
    </row>
    <row r="1484" spans="1:94" s="69" customFormat="1" ht="76.5" customHeight="1" x14ac:dyDescent="0.25">
      <c r="B1484" s="211">
        <v>7</v>
      </c>
      <c r="C1484" s="186" t="s">
        <v>3372</v>
      </c>
      <c r="D1484" s="188">
        <f t="shared" si="301"/>
        <v>7006253.4499999993</v>
      </c>
      <c r="E1484" s="188">
        <v>0</v>
      </c>
      <c r="F1484" s="188">
        <v>0</v>
      </c>
      <c r="G1484" s="188">
        <v>0</v>
      </c>
      <c r="H1484" s="188">
        <v>0</v>
      </c>
      <c r="I1484" s="188">
        <v>0</v>
      </c>
      <c r="J1484" s="188">
        <v>0</v>
      </c>
      <c r="K1484" s="222">
        <v>0</v>
      </c>
      <c r="L1484" s="188">
        <v>0</v>
      </c>
      <c r="M1484" s="188">
        <v>796.69</v>
      </c>
      <c r="N1484" s="188">
        <v>6945790.3499999996</v>
      </c>
      <c r="O1484" s="188">
        <v>0</v>
      </c>
      <c r="P1484" s="188">
        <v>0</v>
      </c>
      <c r="Q1484" s="188">
        <v>0</v>
      </c>
      <c r="R1484" s="188">
        <v>0</v>
      </c>
      <c r="S1484" s="188">
        <v>0</v>
      </c>
      <c r="T1484" s="188">
        <v>0</v>
      </c>
      <c r="U1484" s="188">
        <v>0</v>
      </c>
      <c r="V1484" s="188">
        <v>0</v>
      </c>
      <c r="W1484" s="188">
        <v>0</v>
      </c>
      <c r="X1484" s="188">
        <v>0</v>
      </c>
      <c r="Y1484" s="188">
        <v>0</v>
      </c>
      <c r="Z1484" s="188">
        <v>0</v>
      </c>
      <c r="AA1484" s="188">
        <v>0</v>
      </c>
      <c r="AB1484" s="188">
        <v>0</v>
      </c>
      <c r="AC1484" s="188">
        <v>60463.1</v>
      </c>
      <c r="AD1484" s="188">
        <v>0</v>
      </c>
      <c r="AE1484" s="188">
        <v>0</v>
      </c>
      <c r="AF1484" s="213" t="s">
        <v>257</v>
      </c>
      <c r="AG1484" s="213">
        <v>2022</v>
      </c>
      <c r="AH1484" s="223">
        <v>2022</v>
      </c>
      <c r="AI1484" s="65"/>
      <c r="AL1484" s="65"/>
      <c r="AM1484" s="65"/>
      <c r="BN1484" s="71"/>
      <c r="BZ1484" s="65"/>
    </row>
    <row r="1485" spans="1:94" s="43" customFormat="1" ht="76.5" x14ac:dyDescent="0.25">
      <c r="B1485" s="210" t="s">
        <v>760</v>
      </c>
      <c r="C1485" s="224"/>
      <c r="D1485" s="208">
        <f>D1486</f>
        <v>4004236.63</v>
      </c>
      <c r="E1485" s="188">
        <f t="shared" ref="E1485:AE1485" si="305">E1486</f>
        <v>0</v>
      </c>
      <c r="F1485" s="188">
        <f t="shared" si="305"/>
        <v>0</v>
      </c>
      <c r="G1485" s="188">
        <f t="shared" si="305"/>
        <v>0</v>
      </c>
      <c r="H1485" s="188">
        <f t="shared" si="305"/>
        <v>0</v>
      </c>
      <c r="I1485" s="188">
        <f t="shared" si="305"/>
        <v>0</v>
      </c>
      <c r="J1485" s="188">
        <f t="shared" si="305"/>
        <v>0</v>
      </c>
      <c r="K1485" s="222">
        <f t="shared" si="305"/>
        <v>0</v>
      </c>
      <c r="L1485" s="188">
        <f t="shared" si="305"/>
        <v>0</v>
      </c>
      <c r="M1485" s="188">
        <f t="shared" si="305"/>
        <v>691.98</v>
      </c>
      <c r="N1485" s="188">
        <f t="shared" si="305"/>
        <v>3922807</v>
      </c>
      <c r="O1485" s="188">
        <f t="shared" si="305"/>
        <v>0</v>
      </c>
      <c r="P1485" s="188">
        <f t="shared" si="305"/>
        <v>0</v>
      </c>
      <c r="Q1485" s="188">
        <f t="shared" si="305"/>
        <v>0</v>
      </c>
      <c r="R1485" s="188">
        <f t="shared" si="305"/>
        <v>0</v>
      </c>
      <c r="S1485" s="188">
        <f t="shared" si="305"/>
        <v>0</v>
      </c>
      <c r="T1485" s="188">
        <f t="shared" si="305"/>
        <v>0</v>
      </c>
      <c r="U1485" s="188">
        <f t="shared" si="305"/>
        <v>0</v>
      </c>
      <c r="V1485" s="188">
        <f t="shared" si="305"/>
        <v>0</v>
      </c>
      <c r="W1485" s="188">
        <f t="shared" si="305"/>
        <v>0</v>
      </c>
      <c r="X1485" s="188">
        <f t="shared" si="305"/>
        <v>0</v>
      </c>
      <c r="Y1485" s="188">
        <f t="shared" si="305"/>
        <v>0</v>
      </c>
      <c r="Z1485" s="188">
        <f t="shared" si="305"/>
        <v>0</v>
      </c>
      <c r="AA1485" s="188">
        <f t="shared" si="305"/>
        <v>0</v>
      </c>
      <c r="AB1485" s="188">
        <f t="shared" si="305"/>
        <v>0</v>
      </c>
      <c r="AC1485" s="188">
        <f t="shared" si="305"/>
        <v>81429.63</v>
      </c>
      <c r="AD1485" s="188">
        <f t="shared" si="305"/>
        <v>0</v>
      </c>
      <c r="AE1485" s="188">
        <f t="shared" si="305"/>
        <v>0</v>
      </c>
      <c r="AF1485" s="202" t="s">
        <v>701</v>
      </c>
      <c r="AG1485" s="202" t="s">
        <v>701</v>
      </c>
      <c r="AH1485" s="207" t="s">
        <v>701</v>
      </c>
    </row>
    <row r="1486" spans="1:94" s="69" customFormat="1" ht="76.5" customHeight="1" x14ac:dyDescent="0.85">
      <c r="B1486" s="211">
        <v>8</v>
      </c>
      <c r="C1486" s="186" t="s">
        <v>3238</v>
      </c>
      <c r="D1486" s="188">
        <f t="shared" si="301"/>
        <v>4004236.63</v>
      </c>
      <c r="E1486" s="188">
        <v>0</v>
      </c>
      <c r="F1486" s="188">
        <v>0</v>
      </c>
      <c r="G1486" s="188">
        <v>0</v>
      </c>
      <c r="H1486" s="188">
        <v>0</v>
      </c>
      <c r="I1486" s="188">
        <v>0</v>
      </c>
      <c r="J1486" s="188">
        <v>0</v>
      </c>
      <c r="K1486" s="209">
        <v>0</v>
      </c>
      <c r="L1486" s="188">
        <v>0</v>
      </c>
      <c r="M1486" s="199">
        <v>691.98</v>
      </c>
      <c r="N1486" s="62">
        <v>3922807</v>
      </c>
      <c r="O1486" s="188">
        <v>0</v>
      </c>
      <c r="P1486" s="188">
        <v>0</v>
      </c>
      <c r="Q1486" s="188">
        <v>0</v>
      </c>
      <c r="R1486" s="188">
        <v>0</v>
      </c>
      <c r="S1486" s="188">
        <v>0</v>
      </c>
      <c r="T1486" s="188">
        <v>0</v>
      </c>
      <c r="U1486" s="188">
        <v>0</v>
      </c>
      <c r="V1486" s="188">
        <v>0</v>
      </c>
      <c r="W1486" s="188">
        <v>0</v>
      </c>
      <c r="X1486" s="188">
        <v>0</v>
      </c>
      <c r="Y1486" s="188">
        <v>0</v>
      </c>
      <c r="Z1486" s="188">
        <v>0</v>
      </c>
      <c r="AA1486" s="188">
        <v>0</v>
      </c>
      <c r="AB1486" s="188">
        <v>0</v>
      </c>
      <c r="AC1486" s="188">
        <v>81429.63</v>
      </c>
      <c r="AD1486" s="188">
        <v>0</v>
      </c>
      <c r="AE1486" s="188">
        <v>0</v>
      </c>
      <c r="AF1486" s="213" t="s">
        <v>257</v>
      </c>
      <c r="AG1486" s="213">
        <v>2022</v>
      </c>
      <c r="AH1486" s="213">
        <v>2022</v>
      </c>
      <c r="AI1486" s="65"/>
      <c r="AL1486" s="65"/>
      <c r="AM1486" s="65"/>
      <c r="BN1486" s="71"/>
      <c r="BZ1486" s="65"/>
    </row>
    <row r="1487" spans="1:94" s="43" customFormat="1" ht="76.5" x14ac:dyDescent="0.25">
      <c r="B1487" s="210" t="s">
        <v>3237</v>
      </c>
      <c r="C1487" s="224"/>
      <c r="D1487" s="208">
        <f>D1488</f>
        <v>3940362.74</v>
      </c>
      <c r="E1487" s="188">
        <f t="shared" ref="E1487:AE1487" si="306">E1488</f>
        <v>0</v>
      </c>
      <c r="F1487" s="188">
        <f t="shared" si="306"/>
        <v>0</v>
      </c>
      <c r="G1487" s="188">
        <f t="shared" si="306"/>
        <v>0</v>
      </c>
      <c r="H1487" s="188">
        <f t="shared" si="306"/>
        <v>0</v>
      </c>
      <c r="I1487" s="188">
        <f t="shared" si="306"/>
        <v>0</v>
      </c>
      <c r="J1487" s="188">
        <f t="shared" si="306"/>
        <v>0</v>
      </c>
      <c r="K1487" s="222">
        <f t="shared" si="306"/>
        <v>0</v>
      </c>
      <c r="L1487" s="188">
        <f t="shared" si="306"/>
        <v>0</v>
      </c>
      <c r="M1487" s="188">
        <f t="shared" si="306"/>
        <v>673.7</v>
      </c>
      <c r="N1487" s="188">
        <f t="shared" si="306"/>
        <v>3899060</v>
      </c>
      <c r="O1487" s="188">
        <f t="shared" si="306"/>
        <v>0</v>
      </c>
      <c r="P1487" s="188">
        <f t="shared" si="306"/>
        <v>0</v>
      </c>
      <c r="Q1487" s="188">
        <f t="shared" si="306"/>
        <v>0</v>
      </c>
      <c r="R1487" s="188">
        <f t="shared" si="306"/>
        <v>0</v>
      </c>
      <c r="S1487" s="188">
        <f t="shared" si="306"/>
        <v>0</v>
      </c>
      <c r="T1487" s="188">
        <f t="shared" si="306"/>
        <v>0</v>
      </c>
      <c r="U1487" s="188">
        <f t="shared" si="306"/>
        <v>0</v>
      </c>
      <c r="V1487" s="188">
        <f t="shared" si="306"/>
        <v>0</v>
      </c>
      <c r="W1487" s="188">
        <f t="shared" si="306"/>
        <v>0</v>
      </c>
      <c r="X1487" s="188">
        <f t="shared" si="306"/>
        <v>0</v>
      </c>
      <c r="Y1487" s="188">
        <f t="shared" si="306"/>
        <v>0</v>
      </c>
      <c r="Z1487" s="188">
        <f t="shared" si="306"/>
        <v>0</v>
      </c>
      <c r="AA1487" s="188">
        <f t="shared" si="306"/>
        <v>0</v>
      </c>
      <c r="AB1487" s="188">
        <f t="shared" si="306"/>
        <v>0</v>
      </c>
      <c r="AC1487" s="188">
        <f t="shared" si="306"/>
        <v>41302.74</v>
      </c>
      <c r="AD1487" s="188">
        <f t="shared" si="306"/>
        <v>0</v>
      </c>
      <c r="AE1487" s="188">
        <f t="shared" si="306"/>
        <v>0</v>
      </c>
      <c r="AF1487" s="202" t="s">
        <v>701</v>
      </c>
      <c r="AG1487" s="202" t="s">
        <v>701</v>
      </c>
      <c r="AH1487" s="207" t="s">
        <v>701</v>
      </c>
    </row>
    <row r="1488" spans="1:94" s="69" customFormat="1" ht="76.5" customHeight="1" x14ac:dyDescent="0.25">
      <c r="B1488" s="211">
        <v>9</v>
      </c>
      <c r="C1488" s="186" t="s">
        <v>3239</v>
      </c>
      <c r="D1488" s="188">
        <f t="shared" si="301"/>
        <v>3940362.74</v>
      </c>
      <c r="E1488" s="188">
        <v>0</v>
      </c>
      <c r="F1488" s="188">
        <v>0</v>
      </c>
      <c r="G1488" s="188">
        <v>0</v>
      </c>
      <c r="H1488" s="188">
        <v>0</v>
      </c>
      <c r="I1488" s="188">
        <v>0</v>
      </c>
      <c r="J1488" s="188">
        <v>0</v>
      </c>
      <c r="K1488" s="209">
        <v>0</v>
      </c>
      <c r="L1488" s="188">
        <v>0</v>
      </c>
      <c r="M1488" s="199">
        <v>673.7</v>
      </c>
      <c r="N1488" s="199">
        <v>3899060</v>
      </c>
      <c r="O1488" s="188">
        <v>0</v>
      </c>
      <c r="P1488" s="188">
        <v>0</v>
      </c>
      <c r="Q1488" s="188">
        <v>0</v>
      </c>
      <c r="R1488" s="188">
        <v>0</v>
      </c>
      <c r="S1488" s="188">
        <v>0</v>
      </c>
      <c r="T1488" s="188">
        <v>0</v>
      </c>
      <c r="U1488" s="188">
        <v>0</v>
      </c>
      <c r="V1488" s="188">
        <v>0</v>
      </c>
      <c r="W1488" s="188">
        <v>0</v>
      </c>
      <c r="X1488" s="188">
        <v>0</v>
      </c>
      <c r="Y1488" s="188">
        <v>0</v>
      </c>
      <c r="Z1488" s="188">
        <v>0</v>
      </c>
      <c r="AA1488" s="188">
        <v>0</v>
      </c>
      <c r="AB1488" s="188">
        <v>0</v>
      </c>
      <c r="AC1488" s="199">
        <v>41302.74</v>
      </c>
      <c r="AD1488" s="188">
        <v>0</v>
      </c>
      <c r="AE1488" s="188">
        <v>0</v>
      </c>
      <c r="AF1488" s="213" t="s">
        <v>257</v>
      </c>
      <c r="AG1488" s="213">
        <v>2022</v>
      </c>
      <c r="AH1488" s="213">
        <v>2022</v>
      </c>
      <c r="AI1488" s="65"/>
      <c r="AL1488" s="65"/>
      <c r="AM1488" s="65"/>
      <c r="BN1488" s="71"/>
      <c r="BZ1488" s="65"/>
    </row>
    <row r="1489" spans="1:94" s="43" customFormat="1" ht="76.5" x14ac:dyDescent="0.25">
      <c r="B1489" s="210" t="s">
        <v>834</v>
      </c>
      <c r="C1489" s="224"/>
      <c r="D1489" s="208">
        <f>D1490</f>
        <v>3325852.47</v>
      </c>
      <c r="E1489" s="188">
        <f t="shared" ref="E1489:AE1489" si="307">E1490</f>
        <v>0</v>
      </c>
      <c r="F1489" s="188">
        <f t="shared" si="307"/>
        <v>0</v>
      </c>
      <c r="G1489" s="188">
        <f t="shared" si="307"/>
        <v>0</v>
      </c>
      <c r="H1489" s="188">
        <f t="shared" si="307"/>
        <v>0</v>
      </c>
      <c r="I1489" s="188">
        <f t="shared" si="307"/>
        <v>0</v>
      </c>
      <c r="J1489" s="188">
        <f t="shared" si="307"/>
        <v>0</v>
      </c>
      <c r="K1489" s="222">
        <f t="shared" si="307"/>
        <v>0</v>
      </c>
      <c r="L1489" s="188">
        <f t="shared" si="307"/>
        <v>0</v>
      </c>
      <c r="M1489" s="188">
        <f t="shared" si="307"/>
        <v>749.2</v>
      </c>
      <c r="N1489" s="188">
        <f t="shared" si="307"/>
        <v>3290991</v>
      </c>
      <c r="O1489" s="188">
        <f t="shared" si="307"/>
        <v>0</v>
      </c>
      <c r="P1489" s="188">
        <f t="shared" si="307"/>
        <v>0</v>
      </c>
      <c r="Q1489" s="188">
        <f t="shared" si="307"/>
        <v>0</v>
      </c>
      <c r="R1489" s="188">
        <f t="shared" si="307"/>
        <v>0</v>
      </c>
      <c r="S1489" s="188">
        <f t="shared" si="307"/>
        <v>0</v>
      </c>
      <c r="T1489" s="188">
        <f t="shared" si="307"/>
        <v>0</v>
      </c>
      <c r="U1489" s="188">
        <f t="shared" si="307"/>
        <v>0</v>
      </c>
      <c r="V1489" s="188">
        <f t="shared" si="307"/>
        <v>0</v>
      </c>
      <c r="W1489" s="188">
        <f t="shared" si="307"/>
        <v>0</v>
      </c>
      <c r="X1489" s="188">
        <f t="shared" si="307"/>
        <v>0</v>
      </c>
      <c r="Y1489" s="188">
        <f t="shared" si="307"/>
        <v>0</v>
      </c>
      <c r="Z1489" s="188">
        <f t="shared" si="307"/>
        <v>0</v>
      </c>
      <c r="AA1489" s="188">
        <f t="shared" si="307"/>
        <v>0</v>
      </c>
      <c r="AB1489" s="188">
        <f t="shared" si="307"/>
        <v>0</v>
      </c>
      <c r="AC1489" s="188">
        <f t="shared" si="307"/>
        <v>34861.47</v>
      </c>
      <c r="AD1489" s="188">
        <f t="shared" si="307"/>
        <v>0</v>
      </c>
      <c r="AE1489" s="188">
        <f t="shared" si="307"/>
        <v>0</v>
      </c>
      <c r="AF1489" s="202" t="s">
        <v>701</v>
      </c>
      <c r="AG1489" s="202" t="s">
        <v>701</v>
      </c>
      <c r="AH1489" s="207" t="s">
        <v>701</v>
      </c>
    </row>
    <row r="1490" spans="1:94" s="69" customFormat="1" ht="76.5" customHeight="1" x14ac:dyDescent="0.85">
      <c r="B1490" s="211">
        <v>10</v>
      </c>
      <c r="C1490" s="186" t="s">
        <v>3240</v>
      </c>
      <c r="D1490" s="188">
        <f t="shared" si="301"/>
        <v>3325852.47</v>
      </c>
      <c r="E1490" s="188">
        <v>0</v>
      </c>
      <c r="F1490" s="188">
        <v>0</v>
      </c>
      <c r="G1490" s="188">
        <v>0</v>
      </c>
      <c r="H1490" s="188">
        <v>0</v>
      </c>
      <c r="I1490" s="188">
        <v>0</v>
      </c>
      <c r="J1490" s="188">
        <v>0</v>
      </c>
      <c r="K1490" s="209">
        <v>0</v>
      </c>
      <c r="L1490" s="188">
        <v>0</v>
      </c>
      <c r="M1490" s="199">
        <v>749.2</v>
      </c>
      <c r="N1490" s="62">
        <v>3290991</v>
      </c>
      <c r="O1490" s="188">
        <v>0</v>
      </c>
      <c r="P1490" s="188">
        <v>0</v>
      </c>
      <c r="Q1490" s="188">
        <v>0</v>
      </c>
      <c r="R1490" s="188">
        <v>0</v>
      </c>
      <c r="S1490" s="188">
        <v>0</v>
      </c>
      <c r="T1490" s="188">
        <v>0</v>
      </c>
      <c r="U1490" s="188">
        <v>0</v>
      </c>
      <c r="V1490" s="188">
        <v>0</v>
      </c>
      <c r="W1490" s="188">
        <v>0</v>
      </c>
      <c r="X1490" s="188">
        <v>0</v>
      </c>
      <c r="Y1490" s="188">
        <v>0</v>
      </c>
      <c r="Z1490" s="188">
        <v>0</v>
      </c>
      <c r="AA1490" s="188">
        <v>0</v>
      </c>
      <c r="AB1490" s="188">
        <v>0</v>
      </c>
      <c r="AC1490" s="62">
        <v>34861.47</v>
      </c>
      <c r="AD1490" s="188">
        <v>0</v>
      </c>
      <c r="AE1490" s="188">
        <v>0</v>
      </c>
      <c r="AF1490" s="213" t="s">
        <v>257</v>
      </c>
      <c r="AG1490" s="213">
        <v>2022</v>
      </c>
      <c r="AH1490" s="213">
        <v>2022</v>
      </c>
      <c r="AI1490" s="65"/>
      <c r="AL1490" s="65"/>
      <c r="AM1490" s="65"/>
      <c r="BN1490" s="71"/>
      <c r="BZ1490" s="65"/>
    </row>
    <row r="1491" spans="1:94" s="68" customFormat="1" ht="189" customHeight="1" x14ac:dyDescent="0.3">
      <c r="B1491" s="330" t="s">
        <v>2693</v>
      </c>
      <c r="C1491" s="331"/>
      <c r="D1491" s="331"/>
      <c r="E1491" s="331"/>
      <c r="F1491" s="331"/>
      <c r="G1491" s="331"/>
      <c r="H1491" s="331"/>
      <c r="I1491" s="331"/>
      <c r="J1491" s="331"/>
      <c r="K1491" s="331"/>
      <c r="L1491" s="331"/>
      <c r="M1491" s="331"/>
      <c r="N1491" s="331"/>
      <c r="O1491" s="331"/>
      <c r="P1491" s="331"/>
      <c r="Q1491" s="331"/>
      <c r="R1491" s="331"/>
      <c r="S1491" s="331"/>
      <c r="T1491" s="331"/>
      <c r="U1491" s="331"/>
      <c r="V1491" s="331"/>
      <c r="W1491" s="331"/>
      <c r="X1491" s="331"/>
      <c r="Y1491" s="331"/>
      <c r="Z1491" s="331"/>
      <c r="AA1491" s="331"/>
      <c r="AB1491" s="331"/>
      <c r="AC1491" s="331"/>
      <c r="AD1491" s="331"/>
      <c r="AE1491" s="331"/>
      <c r="AF1491" s="331"/>
      <c r="AG1491" s="331"/>
      <c r="AH1491" s="332"/>
      <c r="CO1491" s="68" t="s">
        <v>1555</v>
      </c>
      <c r="CP1491" s="68">
        <v>47587.5</v>
      </c>
    </row>
    <row r="1492" spans="1:94" ht="61.5" x14ac:dyDescent="0.85">
      <c r="B1492" s="160" t="s">
        <v>2298</v>
      </c>
      <c r="C1492" s="160"/>
      <c r="D1492" s="177">
        <f>D1493+D1555</f>
        <v>427966106.28000003</v>
      </c>
      <c r="E1492" s="60">
        <f t="shared" ref="E1492:AE1492" si="308">E1493+E1555</f>
        <v>0</v>
      </c>
      <c r="F1492" s="60">
        <f t="shared" si="308"/>
        <v>0</v>
      </c>
      <c r="G1492" s="60">
        <f t="shared" si="308"/>
        <v>0</v>
      </c>
      <c r="H1492" s="60">
        <f t="shared" si="308"/>
        <v>0</v>
      </c>
      <c r="I1492" s="60">
        <f t="shared" si="308"/>
        <v>0</v>
      </c>
      <c r="J1492" s="60">
        <f t="shared" si="308"/>
        <v>0</v>
      </c>
      <c r="K1492" s="61">
        <f t="shared" si="308"/>
        <v>214</v>
      </c>
      <c r="L1492" s="60">
        <f t="shared" si="308"/>
        <v>427966106.28000003</v>
      </c>
      <c r="M1492" s="60">
        <f t="shared" si="308"/>
        <v>0</v>
      </c>
      <c r="N1492" s="60">
        <f t="shared" si="308"/>
        <v>0</v>
      </c>
      <c r="O1492" s="60">
        <f t="shared" si="308"/>
        <v>0</v>
      </c>
      <c r="P1492" s="60">
        <f t="shared" si="308"/>
        <v>0</v>
      </c>
      <c r="Q1492" s="60">
        <f t="shared" si="308"/>
        <v>0</v>
      </c>
      <c r="R1492" s="60">
        <f t="shared" si="308"/>
        <v>0</v>
      </c>
      <c r="S1492" s="60">
        <f t="shared" si="308"/>
        <v>0</v>
      </c>
      <c r="T1492" s="60">
        <f t="shared" si="308"/>
        <v>0</v>
      </c>
      <c r="U1492" s="60">
        <f t="shared" si="308"/>
        <v>0</v>
      </c>
      <c r="V1492" s="60">
        <f t="shared" si="308"/>
        <v>0</v>
      </c>
      <c r="W1492" s="60">
        <f t="shared" si="308"/>
        <v>0</v>
      </c>
      <c r="X1492" s="60">
        <f t="shared" si="308"/>
        <v>0</v>
      </c>
      <c r="Y1492" s="60">
        <f t="shared" si="308"/>
        <v>0</v>
      </c>
      <c r="Z1492" s="60">
        <f t="shared" si="308"/>
        <v>0</v>
      </c>
      <c r="AA1492" s="60">
        <f t="shared" si="308"/>
        <v>0</v>
      </c>
      <c r="AB1492" s="60">
        <f t="shared" si="308"/>
        <v>0</v>
      </c>
      <c r="AC1492" s="60">
        <f t="shared" si="308"/>
        <v>0</v>
      </c>
      <c r="AD1492" s="60">
        <f t="shared" si="308"/>
        <v>0</v>
      </c>
      <c r="AE1492" s="60">
        <f t="shared" si="308"/>
        <v>0</v>
      </c>
      <c r="AF1492" s="202" t="s">
        <v>701</v>
      </c>
      <c r="AG1492" s="202" t="s">
        <v>701</v>
      </c>
      <c r="AH1492" s="207" t="s">
        <v>701</v>
      </c>
      <c r="CO1492" s="7" t="s">
        <v>1556</v>
      </c>
      <c r="CP1492" s="7">
        <v>53254.36</v>
      </c>
    </row>
    <row r="1493" spans="1:94" ht="61.5" x14ac:dyDescent="0.85">
      <c r="B1493" s="160" t="s">
        <v>2292</v>
      </c>
      <c r="C1493" s="160"/>
      <c r="D1493" s="177">
        <f t="shared" ref="D1493:AE1493" si="309">D1494+D1509+D1543+D1548</f>
        <v>361861679.40000004</v>
      </c>
      <c r="E1493" s="60">
        <f t="shared" si="309"/>
        <v>0</v>
      </c>
      <c r="F1493" s="60">
        <f t="shared" si="309"/>
        <v>0</v>
      </c>
      <c r="G1493" s="60">
        <f t="shared" si="309"/>
        <v>0</v>
      </c>
      <c r="H1493" s="60">
        <f t="shared" si="309"/>
        <v>0</v>
      </c>
      <c r="I1493" s="60">
        <f t="shared" si="309"/>
        <v>0</v>
      </c>
      <c r="J1493" s="60">
        <f t="shared" si="309"/>
        <v>0</v>
      </c>
      <c r="K1493" s="61">
        <f t="shared" si="309"/>
        <v>191</v>
      </c>
      <c r="L1493" s="60">
        <f t="shared" si="309"/>
        <v>361861679.40000004</v>
      </c>
      <c r="M1493" s="60">
        <f t="shared" si="309"/>
        <v>0</v>
      </c>
      <c r="N1493" s="60">
        <f t="shared" si="309"/>
        <v>0</v>
      </c>
      <c r="O1493" s="60">
        <f t="shared" si="309"/>
        <v>0</v>
      </c>
      <c r="P1493" s="60">
        <f t="shared" si="309"/>
        <v>0</v>
      </c>
      <c r="Q1493" s="60">
        <f t="shared" si="309"/>
        <v>0</v>
      </c>
      <c r="R1493" s="60">
        <f t="shared" si="309"/>
        <v>0</v>
      </c>
      <c r="S1493" s="60">
        <f t="shared" si="309"/>
        <v>0</v>
      </c>
      <c r="T1493" s="60">
        <f t="shared" si="309"/>
        <v>0</v>
      </c>
      <c r="U1493" s="60">
        <f t="shared" si="309"/>
        <v>0</v>
      </c>
      <c r="V1493" s="60">
        <f t="shared" si="309"/>
        <v>0</v>
      </c>
      <c r="W1493" s="60">
        <f t="shared" si="309"/>
        <v>0</v>
      </c>
      <c r="X1493" s="60">
        <f t="shared" si="309"/>
        <v>0</v>
      </c>
      <c r="Y1493" s="60">
        <f t="shared" si="309"/>
        <v>0</v>
      </c>
      <c r="Z1493" s="60">
        <f t="shared" si="309"/>
        <v>0</v>
      </c>
      <c r="AA1493" s="60">
        <f t="shared" si="309"/>
        <v>0</v>
      </c>
      <c r="AB1493" s="60">
        <f t="shared" si="309"/>
        <v>0</v>
      </c>
      <c r="AC1493" s="60">
        <f t="shared" si="309"/>
        <v>0</v>
      </c>
      <c r="AD1493" s="60">
        <f t="shared" si="309"/>
        <v>0</v>
      </c>
      <c r="AE1493" s="60">
        <f t="shared" si="309"/>
        <v>0</v>
      </c>
      <c r="AF1493" s="202" t="s">
        <v>701</v>
      </c>
      <c r="AG1493" s="202" t="s">
        <v>701</v>
      </c>
      <c r="AH1493" s="207" t="s">
        <v>701</v>
      </c>
      <c r="CO1493" s="7" t="s">
        <v>1556</v>
      </c>
      <c r="CP1493" s="7">
        <v>53254.36</v>
      </c>
    </row>
    <row r="1494" spans="1:94" ht="61.5" x14ac:dyDescent="0.85">
      <c r="B1494" s="160" t="s">
        <v>1027</v>
      </c>
      <c r="C1494" s="160"/>
      <c r="D1494" s="177">
        <f t="shared" ref="D1494:AE1494" si="310">SUM(D1495:D1508)</f>
        <v>97945684.899999991</v>
      </c>
      <c r="E1494" s="60">
        <f t="shared" si="310"/>
        <v>0</v>
      </c>
      <c r="F1494" s="60">
        <f t="shared" si="310"/>
        <v>0</v>
      </c>
      <c r="G1494" s="60">
        <f t="shared" si="310"/>
        <v>0</v>
      </c>
      <c r="H1494" s="60">
        <f t="shared" si="310"/>
        <v>0</v>
      </c>
      <c r="I1494" s="60">
        <f t="shared" si="310"/>
        <v>0</v>
      </c>
      <c r="J1494" s="60">
        <f t="shared" si="310"/>
        <v>0</v>
      </c>
      <c r="K1494" s="61">
        <f t="shared" si="310"/>
        <v>48</v>
      </c>
      <c r="L1494" s="60">
        <f t="shared" si="310"/>
        <v>97945684.899999991</v>
      </c>
      <c r="M1494" s="60">
        <f t="shared" si="310"/>
        <v>0</v>
      </c>
      <c r="N1494" s="60">
        <f t="shared" si="310"/>
        <v>0</v>
      </c>
      <c r="O1494" s="60">
        <f t="shared" si="310"/>
        <v>0</v>
      </c>
      <c r="P1494" s="60">
        <f t="shared" si="310"/>
        <v>0</v>
      </c>
      <c r="Q1494" s="60">
        <f t="shared" si="310"/>
        <v>0</v>
      </c>
      <c r="R1494" s="60">
        <f t="shared" si="310"/>
        <v>0</v>
      </c>
      <c r="S1494" s="60">
        <f t="shared" si="310"/>
        <v>0</v>
      </c>
      <c r="T1494" s="60">
        <f t="shared" si="310"/>
        <v>0</v>
      </c>
      <c r="U1494" s="60">
        <f t="shared" si="310"/>
        <v>0</v>
      </c>
      <c r="V1494" s="60">
        <f t="shared" si="310"/>
        <v>0</v>
      </c>
      <c r="W1494" s="60">
        <f t="shared" si="310"/>
        <v>0</v>
      </c>
      <c r="X1494" s="60">
        <f t="shared" si="310"/>
        <v>0</v>
      </c>
      <c r="Y1494" s="60">
        <f t="shared" si="310"/>
        <v>0</v>
      </c>
      <c r="Z1494" s="60">
        <f t="shared" si="310"/>
        <v>0</v>
      </c>
      <c r="AA1494" s="60">
        <f t="shared" si="310"/>
        <v>0</v>
      </c>
      <c r="AB1494" s="60">
        <f t="shared" si="310"/>
        <v>0</v>
      </c>
      <c r="AC1494" s="60">
        <f t="shared" si="310"/>
        <v>0</v>
      </c>
      <c r="AD1494" s="60">
        <f t="shared" si="310"/>
        <v>0</v>
      </c>
      <c r="AE1494" s="60">
        <f t="shared" si="310"/>
        <v>0</v>
      </c>
      <c r="AF1494" s="202" t="s">
        <v>701</v>
      </c>
      <c r="AG1494" s="202" t="s">
        <v>701</v>
      </c>
      <c r="AH1494" s="207" t="s">
        <v>701</v>
      </c>
    </row>
    <row r="1495" spans="1:94" ht="61.5" x14ac:dyDescent="0.85">
      <c r="A1495" s="7">
        <v>1</v>
      </c>
      <c r="B1495" s="59">
        <f>SUBTOTAL(103,$A$1495:A1495)</f>
        <v>1</v>
      </c>
      <c r="C1495" s="186" t="s">
        <v>1579</v>
      </c>
      <c r="D1495" s="60">
        <f t="shared" ref="D1495:D1508" si="311">E1495+F1495+G1495+H1495+I1495+J1495+L1495+N1495+P1495+R1495+T1495+U1495+V1495+W1495+X1495+Y1495+Z1495+AA1495+AB1495+AC1495+AD1495+AE1495</f>
        <v>2873967.7</v>
      </c>
      <c r="E1495" s="60">
        <v>0</v>
      </c>
      <c r="F1495" s="60">
        <v>0</v>
      </c>
      <c r="G1495" s="60">
        <v>0</v>
      </c>
      <c r="H1495" s="60">
        <v>0</v>
      </c>
      <c r="I1495" s="60">
        <v>0</v>
      </c>
      <c r="J1495" s="60">
        <v>0</v>
      </c>
      <c r="K1495" s="61">
        <v>2</v>
      </c>
      <c r="L1495" s="60">
        <v>2873967.7</v>
      </c>
      <c r="M1495" s="60">
        <v>0</v>
      </c>
      <c r="N1495" s="60">
        <v>0</v>
      </c>
      <c r="O1495" s="60">
        <v>0</v>
      </c>
      <c r="P1495" s="60">
        <v>0</v>
      </c>
      <c r="Q1495" s="60">
        <v>0</v>
      </c>
      <c r="R1495" s="60">
        <v>0</v>
      </c>
      <c r="S1495" s="60">
        <v>0</v>
      </c>
      <c r="T1495" s="60">
        <v>0</v>
      </c>
      <c r="U1495" s="60">
        <v>0</v>
      </c>
      <c r="V1495" s="60">
        <v>0</v>
      </c>
      <c r="W1495" s="60">
        <v>0</v>
      </c>
      <c r="X1495" s="60">
        <v>0</v>
      </c>
      <c r="Y1495" s="60">
        <v>0</v>
      </c>
      <c r="Z1495" s="60">
        <v>0</v>
      </c>
      <c r="AA1495" s="60">
        <v>0</v>
      </c>
      <c r="AB1495" s="60">
        <v>0</v>
      </c>
      <c r="AC1495" s="60">
        <f t="shared" ref="AC1495:AC1508" si="312">ROUND(N1495*1.5%,2)</f>
        <v>0</v>
      </c>
      <c r="AD1495" s="60">
        <v>0</v>
      </c>
      <c r="AE1495" s="60">
        <v>0</v>
      </c>
      <c r="AF1495" s="170" t="s">
        <v>257</v>
      </c>
      <c r="AG1495" s="170">
        <v>2021</v>
      </c>
      <c r="AH1495" s="63" t="s">
        <v>257</v>
      </c>
    </row>
    <row r="1496" spans="1:94" ht="61.5" x14ac:dyDescent="0.85">
      <c r="A1496" s="7">
        <v>1</v>
      </c>
      <c r="B1496" s="59">
        <f>SUBTOTAL(103,$A$1495:A1496)</f>
        <v>2</v>
      </c>
      <c r="C1496" s="186" t="s">
        <v>1591</v>
      </c>
      <c r="D1496" s="60">
        <f t="shared" si="311"/>
        <v>6423566.4000000004</v>
      </c>
      <c r="E1496" s="60">
        <v>0</v>
      </c>
      <c r="F1496" s="60">
        <v>0</v>
      </c>
      <c r="G1496" s="60">
        <v>0</v>
      </c>
      <c r="H1496" s="60">
        <v>0</v>
      </c>
      <c r="I1496" s="60">
        <v>0</v>
      </c>
      <c r="J1496" s="60">
        <v>0</v>
      </c>
      <c r="K1496" s="168">
        <v>4</v>
      </c>
      <c r="L1496" s="60">
        <f>1605891.6*4</f>
        <v>6423566.4000000004</v>
      </c>
      <c r="M1496" s="60">
        <v>0</v>
      </c>
      <c r="N1496" s="60">
        <v>0</v>
      </c>
      <c r="O1496" s="60">
        <v>0</v>
      </c>
      <c r="P1496" s="60">
        <v>0</v>
      </c>
      <c r="Q1496" s="60">
        <v>0</v>
      </c>
      <c r="R1496" s="60">
        <v>0</v>
      </c>
      <c r="S1496" s="60">
        <v>0</v>
      </c>
      <c r="T1496" s="60">
        <v>0</v>
      </c>
      <c r="U1496" s="60">
        <v>0</v>
      </c>
      <c r="V1496" s="60">
        <v>0</v>
      </c>
      <c r="W1496" s="60">
        <v>0</v>
      </c>
      <c r="X1496" s="60">
        <v>0</v>
      </c>
      <c r="Y1496" s="60">
        <v>0</v>
      </c>
      <c r="Z1496" s="60">
        <v>0</v>
      </c>
      <c r="AA1496" s="60">
        <v>0</v>
      </c>
      <c r="AB1496" s="60">
        <v>0</v>
      </c>
      <c r="AC1496" s="60">
        <f t="shared" si="312"/>
        <v>0</v>
      </c>
      <c r="AD1496" s="60">
        <v>0</v>
      </c>
      <c r="AE1496" s="60">
        <v>0</v>
      </c>
      <c r="AF1496" s="170" t="s">
        <v>257</v>
      </c>
      <c r="AG1496" s="170">
        <v>2021</v>
      </c>
      <c r="AH1496" s="63" t="s">
        <v>257</v>
      </c>
    </row>
    <row r="1497" spans="1:94" ht="61.5" x14ac:dyDescent="0.85">
      <c r="A1497" s="7">
        <v>1</v>
      </c>
      <c r="B1497" s="59">
        <f>SUBTOTAL(103,$A$1495:A1497)</f>
        <v>3</v>
      </c>
      <c r="C1497" s="186" t="s">
        <v>2561</v>
      </c>
      <c r="D1497" s="60">
        <f t="shared" si="311"/>
        <v>8274000</v>
      </c>
      <c r="E1497" s="60">
        <v>0</v>
      </c>
      <c r="F1497" s="60">
        <v>0</v>
      </c>
      <c r="G1497" s="60">
        <v>0</v>
      </c>
      <c r="H1497" s="60">
        <v>0</v>
      </c>
      <c r="I1497" s="60">
        <v>0</v>
      </c>
      <c r="J1497" s="60">
        <v>0</v>
      </c>
      <c r="K1497" s="61">
        <v>4</v>
      </c>
      <c r="L1497" s="60">
        <v>8274000</v>
      </c>
      <c r="M1497" s="60">
        <v>0</v>
      </c>
      <c r="N1497" s="60">
        <v>0</v>
      </c>
      <c r="O1497" s="60">
        <v>0</v>
      </c>
      <c r="P1497" s="60">
        <v>0</v>
      </c>
      <c r="Q1497" s="60">
        <v>0</v>
      </c>
      <c r="R1497" s="60">
        <v>0</v>
      </c>
      <c r="S1497" s="60">
        <v>0</v>
      </c>
      <c r="T1497" s="60">
        <v>0</v>
      </c>
      <c r="U1497" s="60">
        <v>0</v>
      </c>
      <c r="V1497" s="60">
        <v>0</v>
      </c>
      <c r="W1497" s="60">
        <v>0</v>
      </c>
      <c r="X1497" s="60">
        <v>0</v>
      </c>
      <c r="Y1497" s="60">
        <v>0</v>
      </c>
      <c r="Z1497" s="60">
        <v>0</v>
      </c>
      <c r="AA1497" s="60">
        <v>0</v>
      </c>
      <c r="AB1497" s="60">
        <v>0</v>
      </c>
      <c r="AC1497" s="60">
        <f t="shared" si="312"/>
        <v>0</v>
      </c>
      <c r="AD1497" s="60">
        <v>0</v>
      </c>
      <c r="AE1497" s="60">
        <v>0</v>
      </c>
      <c r="AF1497" s="170" t="s">
        <v>257</v>
      </c>
      <c r="AG1497" s="170">
        <v>2021</v>
      </c>
      <c r="AH1497" s="63" t="s">
        <v>257</v>
      </c>
    </row>
    <row r="1498" spans="1:94" ht="61.5" x14ac:dyDescent="0.85">
      <c r="A1498" s="7">
        <v>1</v>
      </c>
      <c r="B1498" s="59">
        <f>SUBTOTAL(103,$A$1495:A1498)</f>
        <v>4</v>
      </c>
      <c r="C1498" s="186" t="s">
        <v>2562</v>
      </c>
      <c r="D1498" s="60">
        <f t="shared" si="311"/>
        <v>4137000</v>
      </c>
      <c r="E1498" s="60">
        <v>0</v>
      </c>
      <c r="F1498" s="60">
        <v>0</v>
      </c>
      <c r="G1498" s="60">
        <v>0</v>
      </c>
      <c r="H1498" s="60">
        <v>0</v>
      </c>
      <c r="I1498" s="60">
        <v>0</v>
      </c>
      <c r="J1498" s="60">
        <v>0</v>
      </c>
      <c r="K1498" s="61">
        <v>2</v>
      </c>
      <c r="L1498" s="60">
        <v>4137000</v>
      </c>
      <c r="M1498" s="60">
        <v>0</v>
      </c>
      <c r="N1498" s="60">
        <v>0</v>
      </c>
      <c r="O1498" s="60">
        <v>0</v>
      </c>
      <c r="P1498" s="60">
        <v>0</v>
      </c>
      <c r="Q1498" s="60">
        <v>0</v>
      </c>
      <c r="R1498" s="60">
        <v>0</v>
      </c>
      <c r="S1498" s="60">
        <v>0</v>
      </c>
      <c r="T1498" s="60">
        <v>0</v>
      </c>
      <c r="U1498" s="60">
        <v>0</v>
      </c>
      <c r="V1498" s="60">
        <v>0</v>
      </c>
      <c r="W1498" s="60">
        <v>0</v>
      </c>
      <c r="X1498" s="60">
        <v>0</v>
      </c>
      <c r="Y1498" s="60">
        <v>0</v>
      </c>
      <c r="Z1498" s="60">
        <v>0</v>
      </c>
      <c r="AA1498" s="60">
        <v>0</v>
      </c>
      <c r="AB1498" s="60">
        <v>0</v>
      </c>
      <c r="AC1498" s="60">
        <f t="shared" si="312"/>
        <v>0</v>
      </c>
      <c r="AD1498" s="60">
        <v>0</v>
      </c>
      <c r="AE1498" s="60">
        <v>0</v>
      </c>
      <c r="AF1498" s="170" t="s">
        <v>257</v>
      </c>
      <c r="AG1498" s="170">
        <v>2021</v>
      </c>
      <c r="AH1498" s="63" t="s">
        <v>257</v>
      </c>
    </row>
    <row r="1499" spans="1:94" ht="61.5" x14ac:dyDescent="0.85">
      <c r="A1499" s="7">
        <v>1</v>
      </c>
      <c r="B1499" s="59">
        <f>SUBTOTAL(103,$A$1495:A1499)</f>
        <v>5</v>
      </c>
      <c r="C1499" s="186" t="s">
        <v>2563</v>
      </c>
      <c r="D1499" s="60">
        <f t="shared" si="311"/>
        <v>12411000</v>
      </c>
      <c r="E1499" s="60">
        <v>0</v>
      </c>
      <c r="F1499" s="60">
        <v>0</v>
      </c>
      <c r="G1499" s="60">
        <v>0</v>
      </c>
      <c r="H1499" s="60">
        <v>0</v>
      </c>
      <c r="I1499" s="60">
        <v>0</v>
      </c>
      <c r="J1499" s="60">
        <v>0</v>
      </c>
      <c r="K1499" s="61">
        <v>6</v>
      </c>
      <c r="L1499" s="60">
        <v>12411000</v>
      </c>
      <c r="M1499" s="60">
        <v>0</v>
      </c>
      <c r="N1499" s="60">
        <v>0</v>
      </c>
      <c r="O1499" s="60">
        <v>0</v>
      </c>
      <c r="P1499" s="60">
        <v>0</v>
      </c>
      <c r="Q1499" s="60">
        <v>0</v>
      </c>
      <c r="R1499" s="60">
        <v>0</v>
      </c>
      <c r="S1499" s="60">
        <v>0</v>
      </c>
      <c r="T1499" s="60">
        <v>0</v>
      </c>
      <c r="U1499" s="60">
        <v>0</v>
      </c>
      <c r="V1499" s="60">
        <v>0</v>
      </c>
      <c r="W1499" s="60">
        <v>0</v>
      </c>
      <c r="X1499" s="60">
        <v>0</v>
      </c>
      <c r="Y1499" s="60">
        <v>0</v>
      </c>
      <c r="Z1499" s="60">
        <v>0</v>
      </c>
      <c r="AA1499" s="60">
        <v>0</v>
      </c>
      <c r="AB1499" s="60">
        <v>0</v>
      </c>
      <c r="AC1499" s="60">
        <f t="shared" si="312"/>
        <v>0</v>
      </c>
      <c r="AD1499" s="60">
        <v>0</v>
      </c>
      <c r="AE1499" s="60">
        <v>0</v>
      </c>
      <c r="AF1499" s="170" t="s">
        <v>257</v>
      </c>
      <c r="AG1499" s="170">
        <v>2021</v>
      </c>
      <c r="AH1499" s="63" t="s">
        <v>257</v>
      </c>
    </row>
    <row r="1500" spans="1:94" ht="61.5" x14ac:dyDescent="0.85">
      <c r="A1500" s="7">
        <v>1</v>
      </c>
      <c r="B1500" s="59">
        <f>SUBTOTAL(103,$A$1495:A1500)</f>
        <v>6</v>
      </c>
      <c r="C1500" s="186" t="s">
        <v>2564</v>
      </c>
      <c r="D1500" s="60">
        <f t="shared" si="311"/>
        <v>8274000</v>
      </c>
      <c r="E1500" s="60">
        <v>0</v>
      </c>
      <c r="F1500" s="60">
        <v>0</v>
      </c>
      <c r="G1500" s="60">
        <v>0</v>
      </c>
      <c r="H1500" s="60">
        <v>0</v>
      </c>
      <c r="I1500" s="60">
        <v>0</v>
      </c>
      <c r="J1500" s="60">
        <v>0</v>
      </c>
      <c r="K1500" s="61">
        <v>4</v>
      </c>
      <c r="L1500" s="60">
        <v>8274000</v>
      </c>
      <c r="M1500" s="60">
        <v>0</v>
      </c>
      <c r="N1500" s="60">
        <v>0</v>
      </c>
      <c r="O1500" s="60">
        <v>0</v>
      </c>
      <c r="P1500" s="60">
        <v>0</v>
      </c>
      <c r="Q1500" s="60">
        <v>0</v>
      </c>
      <c r="R1500" s="60">
        <v>0</v>
      </c>
      <c r="S1500" s="60">
        <v>0</v>
      </c>
      <c r="T1500" s="60">
        <v>0</v>
      </c>
      <c r="U1500" s="60">
        <v>0</v>
      </c>
      <c r="V1500" s="60">
        <v>0</v>
      </c>
      <c r="W1500" s="60">
        <v>0</v>
      </c>
      <c r="X1500" s="60">
        <v>0</v>
      </c>
      <c r="Y1500" s="60">
        <v>0</v>
      </c>
      <c r="Z1500" s="60">
        <v>0</v>
      </c>
      <c r="AA1500" s="60">
        <v>0</v>
      </c>
      <c r="AB1500" s="60">
        <v>0</v>
      </c>
      <c r="AC1500" s="60">
        <f t="shared" si="312"/>
        <v>0</v>
      </c>
      <c r="AD1500" s="60">
        <v>0</v>
      </c>
      <c r="AE1500" s="60">
        <v>0</v>
      </c>
      <c r="AF1500" s="170" t="s">
        <v>257</v>
      </c>
      <c r="AG1500" s="170">
        <v>2021</v>
      </c>
      <c r="AH1500" s="63" t="s">
        <v>257</v>
      </c>
    </row>
    <row r="1501" spans="1:94" ht="61.5" x14ac:dyDescent="0.85">
      <c r="A1501" s="7">
        <v>1</v>
      </c>
      <c r="B1501" s="59">
        <f>SUBTOTAL(103,$A$1495:A1501)</f>
        <v>7</v>
      </c>
      <c r="C1501" s="186" t="s">
        <v>2565</v>
      </c>
      <c r="D1501" s="60">
        <f t="shared" si="311"/>
        <v>6205500</v>
      </c>
      <c r="E1501" s="60">
        <v>0</v>
      </c>
      <c r="F1501" s="60">
        <v>0</v>
      </c>
      <c r="G1501" s="60">
        <v>0</v>
      </c>
      <c r="H1501" s="60">
        <v>0</v>
      </c>
      <c r="I1501" s="60">
        <v>0</v>
      </c>
      <c r="J1501" s="60">
        <v>0</v>
      </c>
      <c r="K1501" s="61">
        <v>3</v>
      </c>
      <c r="L1501" s="60">
        <v>6205500</v>
      </c>
      <c r="M1501" s="60">
        <v>0</v>
      </c>
      <c r="N1501" s="60">
        <v>0</v>
      </c>
      <c r="O1501" s="60">
        <v>0</v>
      </c>
      <c r="P1501" s="60">
        <v>0</v>
      </c>
      <c r="Q1501" s="60">
        <v>0</v>
      </c>
      <c r="R1501" s="60">
        <v>0</v>
      </c>
      <c r="S1501" s="60">
        <v>0</v>
      </c>
      <c r="T1501" s="60">
        <v>0</v>
      </c>
      <c r="U1501" s="60">
        <v>0</v>
      </c>
      <c r="V1501" s="60">
        <v>0</v>
      </c>
      <c r="W1501" s="60">
        <v>0</v>
      </c>
      <c r="X1501" s="60">
        <v>0</v>
      </c>
      <c r="Y1501" s="60">
        <v>0</v>
      </c>
      <c r="Z1501" s="60">
        <v>0</v>
      </c>
      <c r="AA1501" s="60">
        <v>0</v>
      </c>
      <c r="AB1501" s="60">
        <v>0</v>
      </c>
      <c r="AC1501" s="60">
        <f t="shared" si="312"/>
        <v>0</v>
      </c>
      <c r="AD1501" s="60">
        <v>0</v>
      </c>
      <c r="AE1501" s="60">
        <v>0</v>
      </c>
      <c r="AF1501" s="170" t="s">
        <v>257</v>
      </c>
      <c r="AG1501" s="170">
        <v>2021</v>
      </c>
      <c r="AH1501" s="63" t="s">
        <v>257</v>
      </c>
    </row>
    <row r="1502" spans="1:94" ht="61.5" x14ac:dyDescent="0.85">
      <c r="A1502" s="7">
        <v>1</v>
      </c>
      <c r="B1502" s="59">
        <f>SUBTOTAL(103,$A$1495:A1502)</f>
        <v>8</v>
      </c>
      <c r="C1502" s="186" t="s">
        <v>2566</v>
      </c>
      <c r="D1502" s="60">
        <f t="shared" si="311"/>
        <v>14479500</v>
      </c>
      <c r="E1502" s="60">
        <v>0</v>
      </c>
      <c r="F1502" s="60">
        <v>0</v>
      </c>
      <c r="G1502" s="60">
        <v>0</v>
      </c>
      <c r="H1502" s="60">
        <v>0</v>
      </c>
      <c r="I1502" s="60">
        <v>0</v>
      </c>
      <c r="J1502" s="60">
        <v>0</v>
      </c>
      <c r="K1502" s="61">
        <v>7</v>
      </c>
      <c r="L1502" s="60">
        <v>14479500</v>
      </c>
      <c r="M1502" s="60">
        <v>0</v>
      </c>
      <c r="N1502" s="60">
        <v>0</v>
      </c>
      <c r="O1502" s="60">
        <v>0</v>
      </c>
      <c r="P1502" s="60">
        <v>0</v>
      </c>
      <c r="Q1502" s="60">
        <v>0</v>
      </c>
      <c r="R1502" s="60">
        <v>0</v>
      </c>
      <c r="S1502" s="60">
        <v>0</v>
      </c>
      <c r="T1502" s="60">
        <v>0</v>
      </c>
      <c r="U1502" s="60">
        <v>0</v>
      </c>
      <c r="V1502" s="60">
        <v>0</v>
      </c>
      <c r="W1502" s="60">
        <v>0</v>
      </c>
      <c r="X1502" s="60">
        <v>0</v>
      </c>
      <c r="Y1502" s="60">
        <v>0</v>
      </c>
      <c r="Z1502" s="60">
        <v>0</v>
      </c>
      <c r="AA1502" s="60">
        <v>0</v>
      </c>
      <c r="AB1502" s="60">
        <v>0</v>
      </c>
      <c r="AC1502" s="60">
        <f t="shared" si="312"/>
        <v>0</v>
      </c>
      <c r="AD1502" s="60">
        <v>0</v>
      </c>
      <c r="AE1502" s="60">
        <v>0</v>
      </c>
      <c r="AF1502" s="170" t="s">
        <v>257</v>
      </c>
      <c r="AG1502" s="170">
        <v>2021</v>
      </c>
      <c r="AH1502" s="63" t="s">
        <v>257</v>
      </c>
    </row>
    <row r="1503" spans="1:94" ht="61.5" x14ac:dyDescent="0.85">
      <c r="A1503" s="7">
        <v>1</v>
      </c>
      <c r="B1503" s="59">
        <f>SUBTOTAL(103,$A$1495:A1503)</f>
        <v>9</v>
      </c>
      <c r="C1503" s="186" t="s">
        <v>2567</v>
      </c>
      <c r="D1503" s="60">
        <f t="shared" si="311"/>
        <v>12411000</v>
      </c>
      <c r="E1503" s="60">
        <v>0</v>
      </c>
      <c r="F1503" s="60">
        <v>0</v>
      </c>
      <c r="G1503" s="60">
        <v>0</v>
      </c>
      <c r="H1503" s="60">
        <v>0</v>
      </c>
      <c r="I1503" s="60">
        <v>0</v>
      </c>
      <c r="J1503" s="60">
        <v>0</v>
      </c>
      <c r="K1503" s="61">
        <v>6</v>
      </c>
      <c r="L1503" s="60">
        <v>12411000</v>
      </c>
      <c r="M1503" s="60">
        <v>0</v>
      </c>
      <c r="N1503" s="60">
        <v>0</v>
      </c>
      <c r="O1503" s="60">
        <v>0</v>
      </c>
      <c r="P1503" s="60">
        <v>0</v>
      </c>
      <c r="Q1503" s="60">
        <v>0</v>
      </c>
      <c r="R1503" s="60">
        <v>0</v>
      </c>
      <c r="S1503" s="60">
        <v>0</v>
      </c>
      <c r="T1503" s="60">
        <v>0</v>
      </c>
      <c r="U1503" s="60">
        <v>0</v>
      </c>
      <c r="V1503" s="60">
        <v>0</v>
      </c>
      <c r="W1503" s="60">
        <v>0</v>
      </c>
      <c r="X1503" s="60">
        <v>0</v>
      </c>
      <c r="Y1503" s="60">
        <v>0</v>
      </c>
      <c r="Z1503" s="60">
        <v>0</v>
      </c>
      <c r="AA1503" s="60">
        <v>0</v>
      </c>
      <c r="AB1503" s="60">
        <v>0</v>
      </c>
      <c r="AC1503" s="60">
        <f t="shared" si="312"/>
        <v>0</v>
      </c>
      <c r="AD1503" s="60">
        <v>0</v>
      </c>
      <c r="AE1503" s="60">
        <v>0</v>
      </c>
      <c r="AF1503" s="170" t="s">
        <v>257</v>
      </c>
      <c r="AG1503" s="170">
        <v>2021</v>
      </c>
      <c r="AH1503" s="63" t="s">
        <v>257</v>
      </c>
    </row>
    <row r="1504" spans="1:94" ht="61.5" x14ac:dyDescent="0.85">
      <c r="A1504" s="7">
        <v>1</v>
      </c>
      <c r="B1504" s="59">
        <f>SUBTOTAL(103,$A$1495:A1504)</f>
        <v>10</v>
      </c>
      <c r="C1504" s="186" t="s">
        <v>2568</v>
      </c>
      <c r="D1504" s="60">
        <f t="shared" si="311"/>
        <v>7041108</v>
      </c>
      <c r="E1504" s="60">
        <v>0</v>
      </c>
      <c r="F1504" s="60">
        <v>0</v>
      </c>
      <c r="G1504" s="60">
        <v>0</v>
      </c>
      <c r="H1504" s="60">
        <v>0</v>
      </c>
      <c r="I1504" s="60">
        <v>0</v>
      </c>
      <c r="J1504" s="60">
        <v>0</v>
      </c>
      <c r="K1504" s="61">
        <v>3</v>
      </c>
      <c r="L1504" s="60">
        <v>7041108</v>
      </c>
      <c r="M1504" s="60">
        <v>0</v>
      </c>
      <c r="N1504" s="60">
        <v>0</v>
      </c>
      <c r="O1504" s="60">
        <v>0</v>
      </c>
      <c r="P1504" s="60">
        <v>0</v>
      </c>
      <c r="Q1504" s="60">
        <v>0</v>
      </c>
      <c r="R1504" s="60">
        <v>0</v>
      </c>
      <c r="S1504" s="60">
        <v>0</v>
      </c>
      <c r="T1504" s="60">
        <v>0</v>
      </c>
      <c r="U1504" s="60">
        <v>0</v>
      </c>
      <c r="V1504" s="60">
        <v>0</v>
      </c>
      <c r="W1504" s="60">
        <v>0</v>
      </c>
      <c r="X1504" s="60">
        <v>0</v>
      </c>
      <c r="Y1504" s="60">
        <v>0</v>
      </c>
      <c r="Z1504" s="60">
        <v>0</v>
      </c>
      <c r="AA1504" s="60">
        <v>0</v>
      </c>
      <c r="AB1504" s="60">
        <v>0</v>
      </c>
      <c r="AC1504" s="60">
        <f t="shared" si="312"/>
        <v>0</v>
      </c>
      <c r="AD1504" s="60">
        <v>0</v>
      </c>
      <c r="AE1504" s="60">
        <v>0</v>
      </c>
      <c r="AF1504" s="170" t="s">
        <v>257</v>
      </c>
      <c r="AG1504" s="170">
        <v>2021</v>
      </c>
      <c r="AH1504" s="63" t="s">
        <v>257</v>
      </c>
    </row>
    <row r="1505" spans="1:34" ht="61.5" x14ac:dyDescent="0.85">
      <c r="A1505" s="7">
        <v>1</v>
      </c>
      <c r="B1505" s="59">
        <f>SUBTOTAL(103,$A$1495:A1505)</f>
        <v>11</v>
      </c>
      <c r="C1505" s="186" t="s">
        <v>2569</v>
      </c>
      <c r="D1505" s="60">
        <f t="shared" si="311"/>
        <v>2315488.7999999998</v>
      </c>
      <c r="E1505" s="60">
        <v>0</v>
      </c>
      <c r="F1505" s="60">
        <v>0</v>
      </c>
      <c r="G1505" s="60">
        <v>0</v>
      </c>
      <c r="H1505" s="60">
        <v>0</v>
      </c>
      <c r="I1505" s="60">
        <v>0</v>
      </c>
      <c r="J1505" s="60">
        <v>0</v>
      </c>
      <c r="K1505" s="61">
        <v>1</v>
      </c>
      <c r="L1505" s="60">
        <v>2315488.7999999998</v>
      </c>
      <c r="M1505" s="60">
        <v>0</v>
      </c>
      <c r="N1505" s="60">
        <v>0</v>
      </c>
      <c r="O1505" s="60">
        <v>0</v>
      </c>
      <c r="P1505" s="60">
        <v>0</v>
      </c>
      <c r="Q1505" s="60">
        <v>0</v>
      </c>
      <c r="R1505" s="60">
        <v>0</v>
      </c>
      <c r="S1505" s="60">
        <v>0</v>
      </c>
      <c r="T1505" s="60">
        <v>0</v>
      </c>
      <c r="U1505" s="60">
        <v>0</v>
      </c>
      <c r="V1505" s="60">
        <v>0</v>
      </c>
      <c r="W1505" s="60">
        <v>0</v>
      </c>
      <c r="X1505" s="60">
        <v>0</v>
      </c>
      <c r="Y1505" s="60">
        <v>0</v>
      </c>
      <c r="Z1505" s="60">
        <v>0</v>
      </c>
      <c r="AA1505" s="60">
        <v>0</v>
      </c>
      <c r="AB1505" s="60">
        <v>0</v>
      </c>
      <c r="AC1505" s="60">
        <f t="shared" si="312"/>
        <v>0</v>
      </c>
      <c r="AD1505" s="60">
        <v>0</v>
      </c>
      <c r="AE1505" s="60">
        <v>0</v>
      </c>
      <c r="AF1505" s="170" t="s">
        <v>257</v>
      </c>
      <c r="AG1505" s="170">
        <v>2021</v>
      </c>
      <c r="AH1505" s="63" t="s">
        <v>257</v>
      </c>
    </row>
    <row r="1506" spans="1:34" ht="61.5" x14ac:dyDescent="0.85">
      <c r="A1506" s="7">
        <v>1</v>
      </c>
      <c r="B1506" s="59">
        <f>SUBTOTAL(103,$A$1495:A1506)</f>
        <v>12</v>
      </c>
      <c r="C1506" s="186" t="s">
        <v>2570</v>
      </c>
      <c r="D1506" s="60">
        <f t="shared" si="311"/>
        <v>4659986.4000000004</v>
      </c>
      <c r="E1506" s="60">
        <v>0</v>
      </c>
      <c r="F1506" s="60">
        <v>0</v>
      </c>
      <c r="G1506" s="60">
        <v>0</v>
      </c>
      <c r="H1506" s="60">
        <v>0</v>
      </c>
      <c r="I1506" s="60">
        <v>0</v>
      </c>
      <c r="J1506" s="60">
        <v>0</v>
      </c>
      <c r="K1506" s="61">
        <v>2</v>
      </c>
      <c r="L1506" s="60">
        <v>4659986.4000000004</v>
      </c>
      <c r="M1506" s="60">
        <v>0</v>
      </c>
      <c r="N1506" s="60">
        <v>0</v>
      </c>
      <c r="O1506" s="60">
        <v>0</v>
      </c>
      <c r="P1506" s="60">
        <v>0</v>
      </c>
      <c r="Q1506" s="60">
        <v>0</v>
      </c>
      <c r="R1506" s="60">
        <v>0</v>
      </c>
      <c r="S1506" s="60">
        <v>0</v>
      </c>
      <c r="T1506" s="60">
        <v>0</v>
      </c>
      <c r="U1506" s="60">
        <v>0</v>
      </c>
      <c r="V1506" s="60">
        <v>0</v>
      </c>
      <c r="W1506" s="60">
        <v>0</v>
      </c>
      <c r="X1506" s="60">
        <v>0</v>
      </c>
      <c r="Y1506" s="60">
        <v>0</v>
      </c>
      <c r="Z1506" s="60">
        <v>0</v>
      </c>
      <c r="AA1506" s="60">
        <v>0</v>
      </c>
      <c r="AB1506" s="60">
        <v>0</v>
      </c>
      <c r="AC1506" s="60">
        <f t="shared" si="312"/>
        <v>0</v>
      </c>
      <c r="AD1506" s="60">
        <v>0</v>
      </c>
      <c r="AE1506" s="60">
        <v>0</v>
      </c>
      <c r="AF1506" s="170" t="s">
        <v>257</v>
      </c>
      <c r="AG1506" s="170">
        <v>2021</v>
      </c>
      <c r="AH1506" s="63" t="s">
        <v>257</v>
      </c>
    </row>
    <row r="1507" spans="1:34" ht="61.5" x14ac:dyDescent="0.85">
      <c r="A1507" s="7">
        <v>1</v>
      </c>
      <c r="B1507" s="59">
        <f>SUBTOTAL(103,$A$1495:A1507)</f>
        <v>13</v>
      </c>
      <c r="C1507" s="186" t="s">
        <v>2586</v>
      </c>
      <c r="D1507" s="60">
        <f t="shared" si="311"/>
        <v>4058612</v>
      </c>
      <c r="E1507" s="60">
        <v>0</v>
      </c>
      <c r="F1507" s="60">
        <v>0</v>
      </c>
      <c r="G1507" s="60">
        <v>0</v>
      </c>
      <c r="H1507" s="60">
        <v>0</v>
      </c>
      <c r="I1507" s="60">
        <v>0</v>
      </c>
      <c r="J1507" s="60">
        <v>0</v>
      </c>
      <c r="K1507" s="61">
        <v>2</v>
      </c>
      <c r="L1507" s="60">
        <v>4058612</v>
      </c>
      <c r="M1507" s="60">
        <v>0</v>
      </c>
      <c r="N1507" s="60">
        <v>0</v>
      </c>
      <c r="O1507" s="60">
        <v>0</v>
      </c>
      <c r="P1507" s="60">
        <v>0</v>
      </c>
      <c r="Q1507" s="60">
        <v>0</v>
      </c>
      <c r="R1507" s="60">
        <v>0</v>
      </c>
      <c r="S1507" s="60">
        <v>0</v>
      </c>
      <c r="T1507" s="60">
        <v>0</v>
      </c>
      <c r="U1507" s="60">
        <v>0</v>
      </c>
      <c r="V1507" s="60">
        <v>0</v>
      </c>
      <c r="W1507" s="60">
        <v>0</v>
      </c>
      <c r="X1507" s="60">
        <v>0</v>
      </c>
      <c r="Y1507" s="60">
        <v>0</v>
      </c>
      <c r="Z1507" s="60">
        <v>0</v>
      </c>
      <c r="AA1507" s="60">
        <v>0</v>
      </c>
      <c r="AB1507" s="60">
        <v>0</v>
      </c>
      <c r="AC1507" s="60">
        <f t="shared" si="312"/>
        <v>0</v>
      </c>
      <c r="AD1507" s="60">
        <v>0</v>
      </c>
      <c r="AE1507" s="60">
        <v>0</v>
      </c>
      <c r="AF1507" s="170" t="s">
        <v>257</v>
      </c>
      <c r="AG1507" s="170">
        <v>2021</v>
      </c>
      <c r="AH1507" s="63" t="s">
        <v>257</v>
      </c>
    </row>
    <row r="1508" spans="1:34" ht="61.5" x14ac:dyDescent="0.85">
      <c r="A1508" s="7">
        <v>1</v>
      </c>
      <c r="B1508" s="59">
        <f>SUBTOTAL(103,$A$1495:A1508)</f>
        <v>14</v>
      </c>
      <c r="C1508" s="186" t="s">
        <v>501</v>
      </c>
      <c r="D1508" s="60">
        <f t="shared" si="311"/>
        <v>4380955.5999999996</v>
      </c>
      <c r="E1508" s="60">
        <v>0</v>
      </c>
      <c r="F1508" s="60">
        <v>0</v>
      </c>
      <c r="G1508" s="60">
        <v>0</v>
      </c>
      <c r="H1508" s="60">
        <v>0</v>
      </c>
      <c r="I1508" s="60">
        <v>0</v>
      </c>
      <c r="J1508" s="60">
        <v>0</v>
      </c>
      <c r="K1508" s="168">
        <v>2</v>
      </c>
      <c r="L1508" s="60">
        <f>2276982+2103973.6</f>
        <v>4380955.5999999996</v>
      </c>
      <c r="M1508" s="60">
        <v>0</v>
      </c>
      <c r="N1508" s="60">
        <v>0</v>
      </c>
      <c r="O1508" s="60">
        <v>0</v>
      </c>
      <c r="P1508" s="60">
        <v>0</v>
      </c>
      <c r="Q1508" s="60">
        <v>0</v>
      </c>
      <c r="R1508" s="60">
        <v>0</v>
      </c>
      <c r="S1508" s="60">
        <v>0</v>
      </c>
      <c r="T1508" s="60">
        <v>0</v>
      </c>
      <c r="U1508" s="60">
        <v>0</v>
      </c>
      <c r="V1508" s="60">
        <v>0</v>
      </c>
      <c r="W1508" s="60">
        <v>0</v>
      </c>
      <c r="X1508" s="60">
        <v>0</v>
      </c>
      <c r="Y1508" s="60">
        <v>0</v>
      </c>
      <c r="Z1508" s="60">
        <v>0</v>
      </c>
      <c r="AA1508" s="60">
        <v>0</v>
      </c>
      <c r="AB1508" s="60">
        <v>0</v>
      </c>
      <c r="AC1508" s="60">
        <f t="shared" si="312"/>
        <v>0</v>
      </c>
      <c r="AD1508" s="60">
        <v>0</v>
      </c>
      <c r="AE1508" s="60">
        <v>0</v>
      </c>
      <c r="AF1508" s="170" t="s">
        <v>257</v>
      </c>
      <c r="AG1508" s="170">
        <v>2021</v>
      </c>
      <c r="AH1508" s="63" t="s">
        <v>257</v>
      </c>
    </row>
    <row r="1509" spans="1:34" ht="61.5" x14ac:dyDescent="0.85">
      <c r="B1509" s="160" t="s">
        <v>730</v>
      </c>
      <c r="C1509" s="160"/>
      <c r="D1509" s="177">
        <f>SUM(D1510:D1542)</f>
        <v>198564072.00000003</v>
      </c>
      <c r="E1509" s="60">
        <f t="shared" ref="E1509:AE1509" si="313">SUM(E1510:E1542)</f>
        <v>0</v>
      </c>
      <c r="F1509" s="60">
        <f t="shared" si="313"/>
        <v>0</v>
      </c>
      <c r="G1509" s="60">
        <f t="shared" si="313"/>
        <v>0</v>
      </c>
      <c r="H1509" s="60">
        <f t="shared" si="313"/>
        <v>0</v>
      </c>
      <c r="I1509" s="60">
        <f t="shared" si="313"/>
        <v>0</v>
      </c>
      <c r="J1509" s="60">
        <f t="shared" si="313"/>
        <v>0</v>
      </c>
      <c r="K1509" s="61">
        <f t="shared" si="313"/>
        <v>112</v>
      </c>
      <c r="L1509" s="60">
        <f t="shared" si="313"/>
        <v>198564072.00000003</v>
      </c>
      <c r="M1509" s="60">
        <f t="shared" si="313"/>
        <v>0</v>
      </c>
      <c r="N1509" s="60">
        <f t="shared" si="313"/>
        <v>0</v>
      </c>
      <c r="O1509" s="60">
        <f t="shared" si="313"/>
        <v>0</v>
      </c>
      <c r="P1509" s="60">
        <f t="shared" si="313"/>
        <v>0</v>
      </c>
      <c r="Q1509" s="60">
        <f t="shared" si="313"/>
        <v>0</v>
      </c>
      <c r="R1509" s="60">
        <f t="shared" si="313"/>
        <v>0</v>
      </c>
      <c r="S1509" s="60">
        <f t="shared" si="313"/>
        <v>0</v>
      </c>
      <c r="T1509" s="60">
        <f t="shared" si="313"/>
        <v>0</v>
      </c>
      <c r="U1509" s="60">
        <f t="shared" si="313"/>
        <v>0</v>
      </c>
      <c r="V1509" s="60">
        <f t="shared" si="313"/>
        <v>0</v>
      </c>
      <c r="W1509" s="60">
        <f t="shared" si="313"/>
        <v>0</v>
      </c>
      <c r="X1509" s="60">
        <f t="shared" si="313"/>
        <v>0</v>
      </c>
      <c r="Y1509" s="60">
        <f t="shared" si="313"/>
        <v>0</v>
      </c>
      <c r="Z1509" s="60">
        <f t="shared" si="313"/>
        <v>0</v>
      </c>
      <c r="AA1509" s="60">
        <f t="shared" si="313"/>
        <v>0</v>
      </c>
      <c r="AB1509" s="60">
        <f t="shared" si="313"/>
        <v>0</v>
      </c>
      <c r="AC1509" s="60">
        <f t="shared" si="313"/>
        <v>0</v>
      </c>
      <c r="AD1509" s="60">
        <f t="shared" si="313"/>
        <v>0</v>
      </c>
      <c r="AE1509" s="60">
        <f t="shared" si="313"/>
        <v>0</v>
      </c>
      <c r="AF1509" s="202" t="s">
        <v>701</v>
      </c>
      <c r="AG1509" s="202" t="s">
        <v>701</v>
      </c>
      <c r="AH1509" s="207" t="s">
        <v>701</v>
      </c>
    </row>
    <row r="1510" spans="1:34" ht="61.5" x14ac:dyDescent="0.85">
      <c r="A1510" s="7">
        <v>1</v>
      </c>
      <c r="B1510" s="59">
        <f>SUBTOTAL(103,$A$1495:A1510)</f>
        <v>15</v>
      </c>
      <c r="C1510" s="186" t="s">
        <v>734</v>
      </c>
      <c r="D1510" s="60">
        <f t="shared" ref="D1510:D1542" si="314">E1510+F1510+G1510+H1510+I1510+J1510+L1510+N1510+P1510+R1510+T1510+U1510+V1510+W1510+X1510+Y1510+Z1510+AA1510+AB1510+AC1510+AD1510+AE1510</f>
        <v>7623859.2000000002</v>
      </c>
      <c r="E1510" s="60">
        <v>0</v>
      </c>
      <c r="F1510" s="60">
        <v>0</v>
      </c>
      <c r="G1510" s="60">
        <v>0</v>
      </c>
      <c r="H1510" s="60">
        <v>0</v>
      </c>
      <c r="I1510" s="60">
        <v>0</v>
      </c>
      <c r="J1510" s="60">
        <v>0</v>
      </c>
      <c r="K1510" s="192">
        <v>4</v>
      </c>
      <c r="L1510" s="169">
        <f>1905964.8*4</f>
        <v>7623859.2000000002</v>
      </c>
      <c r="M1510" s="60">
        <v>0</v>
      </c>
      <c r="N1510" s="60">
        <v>0</v>
      </c>
      <c r="O1510" s="60">
        <v>0</v>
      </c>
      <c r="P1510" s="60">
        <v>0</v>
      </c>
      <c r="Q1510" s="60">
        <v>0</v>
      </c>
      <c r="R1510" s="60">
        <v>0</v>
      </c>
      <c r="S1510" s="60">
        <v>0</v>
      </c>
      <c r="T1510" s="60">
        <v>0</v>
      </c>
      <c r="U1510" s="60">
        <v>0</v>
      </c>
      <c r="V1510" s="60">
        <v>0</v>
      </c>
      <c r="W1510" s="60">
        <v>0</v>
      </c>
      <c r="X1510" s="60">
        <v>0</v>
      </c>
      <c r="Y1510" s="60">
        <v>0</v>
      </c>
      <c r="Z1510" s="60">
        <v>0</v>
      </c>
      <c r="AA1510" s="60">
        <v>0</v>
      </c>
      <c r="AB1510" s="60">
        <v>0</v>
      </c>
      <c r="AC1510" s="60">
        <f t="shared" ref="AC1510:AC1542" si="315">ROUND(N1510*1.5%,2)</f>
        <v>0</v>
      </c>
      <c r="AD1510" s="60">
        <v>0</v>
      </c>
      <c r="AE1510" s="60">
        <v>0</v>
      </c>
      <c r="AF1510" s="170" t="s">
        <v>257</v>
      </c>
      <c r="AG1510" s="170">
        <v>2021</v>
      </c>
      <c r="AH1510" s="63" t="s">
        <v>257</v>
      </c>
    </row>
    <row r="1511" spans="1:34" ht="61.5" x14ac:dyDescent="0.85">
      <c r="A1511" s="7">
        <v>1</v>
      </c>
      <c r="B1511" s="59">
        <f>SUBTOTAL(103,$A$1495:A1511)</f>
        <v>16</v>
      </c>
      <c r="C1511" s="186" t="s">
        <v>1801</v>
      </c>
      <c r="D1511" s="60">
        <f t="shared" si="314"/>
        <v>3354996</v>
      </c>
      <c r="E1511" s="60">
        <v>0</v>
      </c>
      <c r="F1511" s="60">
        <v>0</v>
      </c>
      <c r="G1511" s="60">
        <v>0</v>
      </c>
      <c r="H1511" s="60">
        <v>0</v>
      </c>
      <c r="I1511" s="60">
        <v>0</v>
      </c>
      <c r="J1511" s="60">
        <v>0</v>
      </c>
      <c r="K1511" s="168">
        <v>2</v>
      </c>
      <c r="L1511" s="60">
        <f>1677498*2</f>
        <v>3354996</v>
      </c>
      <c r="M1511" s="60">
        <v>0</v>
      </c>
      <c r="N1511" s="60">
        <v>0</v>
      </c>
      <c r="O1511" s="60">
        <v>0</v>
      </c>
      <c r="P1511" s="60">
        <v>0</v>
      </c>
      <c r="Q1511" s="60">
        <v>0</v>
      </c>
      <c r="R1511" s="60">
        <v>0</v>
      </c>
      <c r="S1511" s="60">
        <v>0</v>
      </c>
      <c r="T1511" s="60">
        <v>0</v>
      </c>
      <c r="U1511" s="60">
        <v>0</v>
      </c>
      <c r="V1511" s="60">
        <v>0</v>
      </c>
      <c r="W1511" s="60">
        <v>0</v>
      </c>
      <c r="X1511" s="60">
        <v>0</v>
      </c>
      <c r="Y1511" s="60">
        <v>0</v>
      </c>
      <c r="Z1511" s="60">
        <v>0</v>
      </c>
      <c r="AA1511" s="60">
        <v>0</v>
      </c>
      <c r="AB1511" s="60">
        <v>0</v>
      </c>
      <c r="AC1511" s="60">
        <f t="shared" si="315"/>
        <v>0</v>
      </c>
      <c r="AD1511" s="60">
        <v>0</v>
      </c>
      <c r="AE1511" s="60">
        <v>0</v>
      </c>
      <c r="AF1511" s="170" t="s">
        <v>257</v>
      </c>
      <c r="AG1511" s="170">
        <v>2021</v>
      </c>
      <c r="AH1511" s="63" t="s">
        <v>257</v>
      </c>
    </row>
    <row r="1512" spans="1:34" ht="61.5" x14ac:dyDescent="0.85">
      <c r="A1512" s="7">
        <v>1</v>
      </c>
      <c r="B1512" s="59">
        <f>SUBTOTAL(103,$A$1495:A1512)</f>
        <v>17</v>
      </c>
      <c r="C1512" s="186" t="s">
        <v>1800</v>
      </c>
      <c r="D1512" s="60">
        <f t="shared" si="314"/>
        <v>3358180.8</v>
      </c>
      <c r="E1512" s="60">
        <v>0</v>
      </c>
      <c r="F1512" s="60">
        <v>0</v>
      </c>
      <c r="G1512" s="60">
        <v>0</v>
      </c>
      <c r="H1512" s="60">
        <v>0</v>
      </c>
      <c r="I1512" s="60">
        <v>0</v>
      </c>
      <c r="J1512" s="60">
        <v>0</v>
      </c>
      <c r="K1512" s="168">
        <v>2</v>
      </c>
      <c r="L1512" s="60">
        <f>1679090.4*2</f>
        <v>3358180.8</v>
      </c>
      <c r="M1512" s="60">
        <v>0</v>
      </c>
      <c r="N1512" s="60">
        <v>0</v>
      </c>
      <c r="O1512" s="60">
        <v>0</v>
      </c>
      <c r="P1512" s="60">
        <v>0</v>
      </c>
      <c r="Q1512" s="60">
        <v>0</v>
      </c>
      <c r="R1512" s="60">
        <v>0</v>
      </c>
      <c r="S1512" s="60">
        <v>0</v>
      </c>
      <c r="T1512" s="60">
        <v>0</v>
      </c>
      <c r="U1512" s="60">
        <v>0</v>
      </c>
      <c r="V1512" s="60">
        <v>0</v>
      </c>
      <c r="W1512" s="60">
        <v>0</v>
      </c>
      <c r="X1512" s="60">
        <v>0</v>
      </c>
      <c r="Y1512" s="60">
        <v>0</v>
      </c>
      <c r="Z1512" s="60">
        <v>0</v>
      </c>
      <c r="AA1512" s="60">
        <v>0</v>
      </c>
      <c r="AB1512" s="60">
        <v>0</v>
      </c>
      <c r="AC1512" s="60">
        <f t="shared" si="315"/>
        <v>0</v>
      </c>
      <c r="AD1512" s="60">
        <v>0</v>
      </c>
      <c r="AE1512" s="60">
        <v>0</v>
      </c>
      <c r="AF1512" s="170" t="s">
        <v>257</v>
      </c>
      <c r="AG1512" s="170">
        <v>2021</v>
      </c>
      <c r="AH1512" s="63" t="s">
        <v>257</v>
      </c>
    </row>
    <row r="1513" spans="1:34" ht="61.5" x14ac:dyDescent="0.85">
      <c r="A1513" s="7">
        <v>1</v>
      </c>
      <c r="B1513" s="59">
        <f>SUBTOTAL(103,$A$1495:A1513)</f>
        <v>18</v>
      </c>
      <c r="C1513" s="186" t="s">
        <v>2478</v>
      </c>
      <c r="D1513" s="60">
        <f t="shared" si="314"/>
        <v>5234436</v>
      </c>
      <c r="E1513" s="60">
        <v>0</v>
      </c>
      <c r="F1513" s="60">
        <v>0</v>
      </c>
      <c r="G1513" s="60">
        <v>0</v>
      </c>
      <c r="H1513" s="60">
        <v>0</v>
      </c>
      <c r="I1513" s="60">
        <v>0</v>
      </c>
      <c r="J1513" s="60">
        <v>0</v>
      </c>
      <c r="K1513" s="61">
        <v>3</v>
      </c>
      <c r="L1513" s="60">
        <v>5234436</v>
      </c>
      <c r="M1513" s="60">
        <v>0</v>
      </c>
      <c r="N1513" s="60">
        <v>0</v>
      </c>
      <c r="O1513" s="60">
        <v>0</v>
      </c>
      <c r="P1513" s="60">
        <v>0</v>
      </c>
      <c r="Q1513" s="60">
        <v>0</v>
      </c>
      <c r="R1513" s="60">
        <v>0</v>
      </c>
      <c r="S1513" s="60">
        <v>0</v>
      </c>
      <c r="T1513" s="60">
        <v>0</v>
      </c>
      <c r="U1513" s="60">
        <v>0</v>
      </c>
      <c r="V1513" s="60">
        <v>0</v>
      </c>
      <c r="W1513" s="60">
        <v>0</v>
      </c>
      <c r="X1513" s="60">
        <v>0</v>
      </c>
      <c r="Y1513" s="60">
        <v>0</v>
      </c>
      <c r="Z1513" s="60">
        <v>0</v>
      </c>
      <c r="AA1513" s="60">
        <v>0</v>
      </c>
      <c r="AB1513" s="60">
        <v>0</v>
      </c>
      <c r="AC1513" s="60">
        <f t="shared" si="315"/>
        <v>0</v>
      </c>
      <c r="AD1513" s="60">
        <v>0</v>
      </c>
      <c r="AE1513" s="60">
        <v>0</v>
      </c>
      <c r="AF1513" s="170" t="s">
        <v>257</v>
      </c>
      <c r="AG1513" s="170">
        <v>2021</v>
      </c>
      <c r="AH1513" s="63" t="s">
        <v>257</v>
      </c>
    </row>
    <row r="1514" spans="1:34" ht="61.5" x14ac:dyDescent="0.85">
      <c r="A1514" s="7">
        <v>1</v>
      </c>
      <c r="B1514" s="59">
        <f>SUBTOTAL(103,$A$1495:A1514)</f>
        <v>19</v>
      </c>
      <c r="C1514" s="186" t="s">
        <v>2479</v>
      </c>
      <c r="D1514" s="60">
        <f t="shared" si="314"/>
        <v>3480376.8</v>
      </c>
      <c r="E1514" s="60">
        <v>0</v>
      </c>
      <c r="F1514" s="60">
        <v>0</v>
      </c>
      <c r="G1514" s="60">
        <v>0</v>
      </c>
      <c r="H1514" s="60">
        <v>0</v>
      </c>
      <c r="I1514" s="60">
        <v>0</v>
      </c>
      <c r="J1514" s="60">
        <v>0</v>
      </c>
      <c r="K1514" s="61">
        <v>2</v>
      </c>
      <c r="L1514" s="60">
        <v>3480376.8</v>
      </c>
      <c r="M1514" s="60">
        <v>0</v>
      </c>
      <c r="N1514" s="60">
        <v>0</v>
      </c>
      <c r="O1514" s="60">
        <v>0</v>
      </c>
      <c r="P1514" s="60">
        <v>0</v>
      </c>
      <c r="Q1514" s="60">
        <v>0</v>
      </c>
      <c r="R1514" s="60">
        <v>0</v>
      </c>
      <c r="S1514" s="60">
        <v>0</v>
      </c>
      <c r="T1514" s="60">
        <v>0</v>
      </c>
      <c r="U1514" s="60">
        <v>0</v>
      </c>
      <c r="V1514" s="60">
        <v>0</v>
      </c>
      <c r="W1514" s="60">
        <v>0</v>
      </c>
      <c r="X1514" s="60">
        <v>0</v>
      </c>
      <c r="Y1514" s="60">
        <v>0</v>
      </c>
      <c r="Z1514" s="60">
        <v>0</v>
      </c>
      <c r="AA1514" s="60">
        <v>0</v>
      </c>
      <c r="AB1514" s="60">
        <v>0</v>
      </c>
      <c r="AC1514" s="60">
        <f t="shared" si="315"/>
        <v>0</v>
      </c>
      <c r="AD1514" s="60">
        <v>0</v>
      </c>
      <c r="AE1514" s="60">
        <v>0</v>
      </c>
      <c r="AF1514" s="170" t="s">
        <v>257</v>
      </c>
      <c r="AG1514" s="170">
        <v>2021</v>
      </c>
      <c r="AH1514" s="63" t="s">
        <v>257</v>
      </c>
    </row>
    <row r="1515" spans="1:34" ht="61.5" x14ac:dyDescent="0.85">
      <c r="A1515" s="7">
        <v>1</v>
      </c>
      <c r="B1515" s="59">
        <f>SUBTOTAL(103,$A$1495:A1515)</f>
        <v>20</v>
      </c>
      <c r="C1515" s="186" t="s">
        <v>2480</v>
      </c>
      <c r="D1515" s="60">
        <f t="shared" si="314"/>
        <v>3480381.6</v>
      </c>
      <c r="E1515" s="60">
        <v>0</v>
      </c>
      <c r="F1515" s="60">
        <v>0</v>
      </c>
      <c r="G1515" s="60">
        <v>0</v>
      </c>
      <c r="H1515" s="60">
        <v>0</v>
      </c>
      <c r="I1515" s="60">
        <v>0</v>
      </c>
      <c r="J1515" s="60">
        <v>0</v>
      </c>
      <c r="K1515" s="61">
        <v>2</v>
      </c>
      <c r="L1515" s="60">
        <v>3480381.6</v>
      </c>
      <c r="M1515" s="60">
        <v>0</v>
      </c>
      <c r="N1515" s="60">
        <v>0</v>
      </c>
      <c r="O1515" s="60">
        <v>0</v>
      </c>
      <c r="P1515" s="60">
        <v>0</v>
      </c>
      <c r="Q1515" s="60">
        <v>0</v>
      </c>
      <c r="R1515" s="60">
        <v>0</v>
      </c>
      <c r="S1515" s="60">
        <v>0</v>
      </c>
      <c r="T1515" s="60">
        <v>0</v>
      </c>
      <c r="U1515" s="60">
        <v>0</v>
      </c>
      <c r="V1515" s="60">
        <v>0</v>
      </c>
      <c r="W1515" s="60">
        <v>0</v>
      </c>
      <c r="X1515" s="60">
        <v>0</v>
      </c>
      <c r="Y1515" s="60">
        <v>0</v>
      </c>
      <c r="Z1515" s="60">
        <v>0</v>
      </c>
      <c r="AA1515" s="60">
        <v>0</v>
      </c>
      <c r="AB1515" s="60">
        <v>0</v>
      </c>
      <c r="AC1515" s="60">
        <f t="shared" si="315"/>
        <v>0</v>
      </c>
      <c r="AD1515" s="60">
        <v>0</v>
      </c>
      <c r="AE1515" s="60">
        <v>0</v>
      </c>
      <c r="AF1515" s="170" t="s">
        <v>257</v>
      </c>
      <c r="AG1515" s="170">
        <v>2021</v>
      </c>
      <c r="AH1515" s="63" t="s">
        <v>257</v>
      </c>
    </row>
    <row r="1516" spans="1:34" ht="61.5" x14ac:dyDescent="0.85">
      <c r="A1516" s="7">
        <v>1</v>
      </c>
      <c r="B1516" s="59">
        <f>SUBTOTAL(103,$A$1495:A1516)</f>
        <v>21</v>
      </c>
      <c r="C1516" s="186" t="s">
        <v>2481</v>
      </c>
      <c r="D1516" s="60">
        <f t="shared" si="314"/>
        <v>15799612.800000001</v>
      </c>
      <c r="E1516" s="60">
        <v>0</v>
      </c>
      <c r="F1516" s="60">
        <v>0</v>
      </c>
      <c r="G1516" s="60">
        <v>0</v>
      </c>
      <c r="H1516" s="60">
        <v>0</v>
      </c>
      <c r="I1516" s="60">
        <v>0</v>
      </c>
      <c r="J1516" s="60">
        <v>0</v>
      </c>
      <c r="K1516" s="61">
        <v>9</v>
      </c>
      <c r="L1516" s="60">
        <v>15799612.800000001</v>
      </c>
      <c r="M1516" s="60">
        <v>0</v>
      </c>
      <c r="N1516" s="60">
        <v>0</v>
      </c>
      <c r="O1516" s="60">
        <v>0</v>
      </c>
      <c r="P1516" s="60">
        <v>0</v>
      </c>
      <c r="Q1516" s="60">
        <v>0</v>
      </c>
      <c r="R1516" s="60">
        <v>0</v>
      </c>
      <c r="S1516" s="60">
        <v>0</v>
      </c>
      <c r="T1516" s="60">
        <v>0</v>
      </c>
      <c r="U1516" s="60">
        <v>0</v>
      </c>
      <c r="V1516" s="60">
        <v>0</v>
      </c>
      <c r="W1516" s="60">
        <v>0</v>
      </c>
      <c r="X1516" s="60">
        <v>0</v>
      </c>
      <c r="Y1516" s="60">
        <v>0</v>
      </c>
      <c r="Z1516" s="60">
        <v>0</v>
      </c>
      <c r="AA1516" s="60">
        <v>0</v>
      </c>
      <c r="AB1516" s="60">
        <v>0</v>
      </c>
      <c r="AC1516" s="60">
        <f t="shared" si="315"/>
        <v>0</v>
      </c>
      <c r="AD1516" s="60">
        <v>0</v>
      </c>
      <c r="AE1516" s="60">
        <v>0</v>
      </c>
      <c r="AF1516" s="170" t="s">
        <v>257</v>
      </c>
      <c r="AG1516" s="170">
        <v>2021</v>
      </c>
      <c r="AH1516" s="63" t="s">
        <v>257</v>
      </c>
    </row>
    <row r="1517" spans="1:34" ht="61.5" x14ac:dyDescent="0.85">
      <c r="A1517" s="7">
        <v>1</v>
      </c>
      <c r="B1517" s="59">
        <f>SUBTOTAL(103,$A$1495:A1517)</f>
        <v>22</v>
      </c>
      <c r="C1517" s="186" t="s">
        <v>2482</v>
      </c>
      <c r="D1517" s="60">
        <f t="shared" si="314"/>
        <v>5236848</v>
      </c>
      <c r="E1517" s="60">
        <v>0</v>
      </c>
      <c r="F1517" s="60">
        <v>0</v>
      </c>
      <c r="G1517" s="60">
        <v>0</v>
      </c>
      <c r="H1517" s="60">
        <v>0</v>
      </c>
      <c r="I1517" s="60">
        <v>0</v>
      </c>
      <c r="J1517" s="60">
        <v>0</v>
      </c>
      <c r="K1517" s="61">
        <v>3</v>
      </c>
      <c r="L1517" s="60">
        <v>5236848</v>
      </c>
      <c r="M1517" s="60">
        <v>0</v>
      </c>
      <c r="N1517" s="60">
        <v>0</v>
      </c>
      <c r="O1517" s="60">
        <v>0</v>
      </c>
      <c r="P1517" s="60">
        <v>0</v>
      </c>
      <c r="Q1517" s="60">
        <v>0</v>
      </c>
      <c r="R1517" s="60">
        <v>0</v>
      </c>
      <c r="S1517" s="60">
        <v>0</v>
      </c>
      <c r="T1517" s="60">
        <v>0</v>
      </c>
      <c r="U1517" s="60">
        <v>0</v>
      </c>
      <c r="V1517" s="60">
        <v>0</v>
      </c>
      <c r="W1517" s="60">
        <v>0</v>
      </c>
      <c r="X1517" s="60">
        <v>0</v>
      </c>
      <c r="Y1517" s="60">
        <v>0</v>
      </c>
      <c r="Z1517" s="60">
        <v>0</v>
      </c>
      <c r="AA1517" s="60">
        <v>0</v>
      </c>
      <c r="AB1517" s="60">
        <v>0</v>
      </c>
      <c r="AC1517" s="60">
        <f t="shared" si="315"/>
        <v>0</v>
      </c>
      <c r="AD1517" s="60">
        <v>0</v>
      </c>
      <c r="AE1517" s="60">
        <v>0</v>
      </c>
      <c r="AF1517" s="170" t="s">
        <v>257</v>
      </c>
      <c r="AG1517" s="170">
        <v>2021</v>
      </c>
      <c r="AH1517" s="63" t="s">
        <v>257</v>
      </c>
    </row>
    <row r="1518" spans="1:34" ht="61.5" x14ac:dyDescent="0.85">
      <c r="A1518" s="7">
        <v>1</v>
      </c>
      <c r="B1518" s="59">
        <f>SUBTOTAL(103,$A$1495:A1518)</f>
        <v>23</v>
      </c>
      <c r="C1518" s="186" t="s">
        <v>2483</v>
      </c>
      <c r="D1518" s="60">
        <f t="shared" si="314"/>
        <v>5372874</v>
      </c>
      <c r="E1518" s="60">
        <v>0</v>
      </c>
      <c r="F1518" s="60">
        <v>0</v>
      </c>
      <c r="G1518" s="60">
        <v>0</v>
      </c>
      <c r="H1518" s="60">
        <v>0</v>
      </c>
      <c r="I1518" s="60">
        <v>0</v>
      </c>
      <c r="J1518" s="60">
        <v>0</v>
      </c>
      <c r="K1518" s="61">
        <v>3</v>
      </c>
      <c r="L1518" s="60">
        <v>5372874</v>
      </c>
      <c r="M1518" s="60">
        <v>0</v>
      </c>
      <c r="N1518" s="60">
        <v>0</v>
      </c>
      <c r="O1518" s="60">
        <v>0</v>
      </c>
      <c r="P1518" s="60">
        <v>0</v>
      </c>
      <c r="Q1518" s="60">
        <v>0</v>
      </c>
      <c r="R1518" s="60">
        <v>0</v>
      </c>
      <c r="S1518" s="60">
        <v>0</v>
      </c>
      <c r="T1518" s="60">
        <v>0</v>
      </c>
      <c r="U1518" s="60">
        <v>0</v>
      </c>
      <c r="V1518" s="60">
        <v>0</v>
      </c>
      <c r="W1518" s="60">
        <v>0</v>
      </c>
      <c r="X1518" s="60">
        <v>0</v>
      </c>
      <c r="Y1518" s="60">
        <v>0</v>
      </c>
      <c r="Z1518" s="60">
        <v>0</v>
      </c>
      <c r="AA1518" s="60">
        <v>0</v>
      </c>
      <c r="AB1518" s="60">
        <v>0</v>
      </c>
      <c r="AC1518" s="60">
        <f t="shared" si="315"/>
        <v>0</v>
      </c>
      <c r="AD1518" s="60">
        <v>0</v>
      </c>
      <c r="AE1518" s="60">
        <v>0</v>
      </c>
      <c r="AF1518" s="170" t="s">
        <v>257</v>
      </c>
      <c r="AG1518" s="170">
        <v>2021</v>
      </c>
      <c r="AH1518" s="63" t="s">
        <v>257</v>
      </c>
    </row>
    <row r="1519" spans="1:34" ht="61.5" x14ac:dyDescent="0.85">
      <c r="A1519" s="7">
        <v>1</v>
      </c>
      <c r="B1519" s="59">
        <f>SUBTOTAL(103,$A$1495:A1519)</f>
        <v>24</v>
      </c>
      <c r="C1519" s="186" t="s">
        <v>2484</v>
      </c>
      <c r="D1519" s="60">
        <f t="shared" si="314"/>
        <v>5421124.8000000007</v>
      </c>
      <c r="E1519" s="60">
        <v>0</v>
      </c>
      <c r="F1519" s="60">
        <v>0</v>
      </c>
      <c r="G1519" s="60">
        <v>0</v>
      </c>
      <c r="H1519" s="60">
        <v>0</v>
      </c>
      <c r="I1519" s="60">
        <v>0</v>
      </c>
      <c r="J1519" s="60">
        <v>0</v>
      </c>
      <c r="K1519" s="61">
        <v>3</v>
      </c>
      <c r="L1519" s="60">
        <v>5421124.8000000007</v>
      </c>
      <c r="M1519" s="60">
        <v>0</v>
      </c>
      <c r="N1519" s="60">
        <v>0</v>
      </c>
      <c r="O1519" s="60">
        <v>0</v>
      </c>
      <c r="P1519" s="60">
        <v>0</v>
      </c>
      <c r="Q1519" s="60">
        <v>0</v>
      </c>
      <c r="R1519" s="60">
        <v>0</v>
      </c>
      <c r="S1519" s="60">
        <v>0</v>
      </c>
      <c r="T1519" s="60">
        <v>0</v>
      </c>
      <c r="U1519" s="60">
        <v>0</v>
      </c>
      <c r="V1519" s="60">
        <v>0</v>
      </c>
      <c r="W1519" s="60">
        <v>0</v>
      </c>
      <c r="X1519" s="60">
        <v>0</v>
      </c>
      <c r="Y1519" s="60">
        <v>0</v>
      </c>
      <c r="Z1519" s="60">
        <v>0</v>
      </c>
      <c r="AA1519" s="60">
        <v>0</v>
      </c>
      <c r="AB1519" s="60">
        <v>0</v>
      </c>
      <c r="AC1519" s="60">
        <f t="shared" si="315"/>
        <v>0</v>
      </c>
      <c r="AD1519" s="60">
        <v>0</v>
      </c>
      <c r="AE1519" s="60">
        <v>0</v>
      </c>
      <c r="AF1519" s="170" t="s">
        <v>257</v>
      </c>
      <c r="AG1519" s="170">
        <v>2021</v>
      </c>
      <c r="AH1519" s="63" t="s">
        <v>257</v>
      </c>
    </row>
    <row r="1520" spans="1:34" ht="61.5" x14ac:dyDescent="0.85">
      <c r="A1520" s="7">
        <v>1</v>
      </c>
      <c r="B1520" s="59">
        <f>SUBTOTAL(103,$A$1495:A1520)</f>
        <v>25</v>
      </c>
      <c r="C1520" s="186" t="s">
        <v>2485</v>
      </c>
      <c r="D1520" s="60">
        <f t="shared" si="314"/>
        <v>7223596.7999999998</v>
      </c>
      <c r="E1520" s="60">
        <v>0</v>
      </c>
      <c r="F1520" s="60">
        <v>0</v>
      </c>
      <c r="G1520" s="60">
        <v>0</v>
      </c>
      <c r="H1520" s="60">
        <v>0</v>
      </c>
      <c r="I1520" s="60">
        <v>0</v>
      </c>
      <c r="J1520" s="60">
        <v>0</v>
      </c>
      <c r="K1520" s="61">
        <v>4</v>
      </c>
      <c r="L1520" s="60">
        <v>7223596.7999999998</v>
      </c>
      <c r="M1520" s="60">
        <v>0</v>
      </c>
      <c r="N1520" s="60">
        <v>0</v>
      </c>
      <c r="O1520" s="60">
        <v>0</v>
      </c>
      <c r="P1520" s="60">
        <v>0</v>
      </c>
      <c r="Q1520" s="60">
        <v>0</v>
      </c>
      <c r="R1520" s="60">
        <v>0</v>
      </c>
      <c r="S1520" s="60">
        <v>0</v>
      </c>
      <c r="T1520" s="60">
        <v>0</v>
      </c>
      <c r="U1520" s="60">
        <v>0</v>
      </c>
      <c r="V1520" s="60">
        <v>0</v>
      </c>
      <c r="W1520" s="60">
        <v>0</v>
      </c>
      <c r="X1520" s="60">
        <v>0</v>
      </c>
      <c r="Y1520" s="60">
        <v>0</v>
      </c>
      <c r="Z1520" s="60">
        <v>0</v>
      </c>
      <c r="AA1520" s="60">
        <v>0</v>
      </c>
      <c r="AB1520" s="60">
        <v>0</v>
      </c>
      <c r="AC1520" s="60">
        <f t="shared" si="315"/>
        <v>0</v>
      </c>
      <c r="AD1520" s="60">
        <v>0</v>
      </c>
      <c r="AE1520" s="60">
        <v>0</v>
      </c>
      <c r="AF1520" s="170" t="s">
        <v>257</v>
      </c>
      <c r="AG1520" s="170">
        <v>2021</v>
      </c>
      <c r="AH1520" s="63" t="s">
        <v>257</v>
      </c>
    </row>
    <row r="1521" spans="1:34" ht="61.5" x14ac:dyDescent="0.85">
      <c r="A1521" s="7">
        <v>1</v>
      </c>
      <c r="B1521" s="59">
        <f>SUBTOTAL(103,$A$1495:A1521)</f>
        <v>26</v>
      </c>
      <c r="C1521" s="186" t="s">
        <v>2486</v>
      </c>
      <c r="D1521" s="60">
        <f t="shared" si="314"/>
        <v>3572692.8</v>
      </c>
      <c r="E1521" s="60">
        <v>0</v>
      </c>
      <c r="F1521" s="60">
        <v>0</v>
      </c>
      <c r="G1521" s="60">
        <v>0</v>
      </c>
      <c r="H1521" s="60">
        <v>0</v>
      </c>
      <c r="I1521" s="60">
        <v>0</v>
      </c>
      <c r="J1521" s="60">
        <v>0</v>
      </c>
      <c r="K1521" s="61">
        <v>2</v>
      </c>
      <c r="L1521" s="60">
        <v>3572692.8</v>
      </c>
      <c r="M1521" s="60">
        <v>0</v>
      </c>
      <c r="N1521" s="60">
        <v>0</v>
      </c>
      <c r="O1521" s="60">
        <v>0</v>
      </c>
      <c r="P1521" s="60">
        <v>0</v>
      </c>
      <c r="Q1521" s="60">
        <v>0</v>
      </c>
      <c r="R1521" s="60">
        <v>0</v>
      </c>
      <c r="S1521" s="60">
        <v>0</v>
      </c>
      <c r="T1521" s="60">
        <v>0</v>
      </c>
      <c r="U1521" s="60">
        <v>0</v>
      </c>
      <c r="V1521" s="60">
        <v>0</v>
      </c>
      <c r="W1521" s="60">
        <v>0</v>
      </c>
      <c r="X1521" s="60">
        <v>0</v>
      </c>
      <c r="Y1521" s="60">
        <v>0</v>
      </c>
      <c r="Z1521" s="60">
        <v>0</v>
      </c>
      <c r="AA1521" s="60">
        <v>0</v>
      </c>
      <c r="AB1521" s="60">
        <v>0</v>
      </c>
      <c r="AC1521" s="60">
        <f t="shared" si="315"/>
        <v>0</v>
      </c>
      <c r="AD1521" s="60">
        <v>0</v>
      </c>
      <c r="AE1521" s="60">
        <v>0</v>
      </c>
      <c r="AF1521" s="170" t="s">
        <v>257</v>
      </c>
      <c r="AG1521" s="170">
        <v>2021</v>
      </c>
      <c r="AH1521" s="63" t="s">
        <v>257</v>
      </c>
    </row>
    <row r="1522" spans="1:34" ht="61.5" x14ac:dyDescent="0.85">
      <c r="A1522" s="7">
        <v>1</v>
      </c>
      <c r="B1522" s="59">
        <f>SUBTOTAL(103,$A$1495:A1522)</f>
        <v>27</v>
      </c>
      <c r="C1522" s="186" t="s">
        <v>2487</v>
      </c>
      <c r="D1522" s="60">
        <f t="shared" si="314"/>
        <v>3622476</v>
      </c>
      <c r="E1522" s="60">
        <v>0</v>
      </c>
      <c r="F1522" s="60">
        <v>0</v>
      </c>
      <c r="G1522" s="60">
        <v>0</v>
      </c>
      <c r="H1522" s="60">
        <v>0</v>
      </c>
      <c r="I1522" s="60">
        <v>0</v>
      </c>
      <c r="J1522" s="60">
        <v>0</v>
      </c>
      <c r="K1522" s="61">
        <v>2</v>
      </c>
      <c r="L1522" s="60">
        <v>3622476</v>
      </c>
      <c r="M1522" s="60">
        <v>0</v>
      </c>
      <c r="N1522" s="60">
        <v>0</v>
      </c>
      <c r="O1522" s="60">
        <v>0</v>
      </c>
      <c r="P1522" s="60">
        <v>0</v>
      </c>
      <c r="Q1522" s="60">
        <v>0</v>
      </c>
      <c r="R1522" s="60">
        <v>0</v>
      </c>
      <c r="S1522" s="60">
        <v>0</v>
      </c>
      <c r="T1522" s="60">
        <v>0</v>
      </c>
      <c r="U1522" s="60">
        <v>0</v>
      </c>
      <c r="V1522" s="60">
        <v>0</v>
      </c>
      <c r="W1522" s="60">
        <v>0</v>
      </c>
      <c r="X1522" s="60">
        <v>0</v>
      </c>
      <c r="Y1522" s="60">
        <v>0</v>
      </c>
      <c r="Z1522" s="60">
        <v>0</v>
      </c>
      <c r="AA1522" s="60">
        <v>0</v>
      </c>
      <c r="AB1522" s="60">
        <v>0</v>
      </c>
      <c r="AC1522" s="60">
        <f t="shared" si="315"/>
        <v>0</v>
      </c>
      <c r="AD1522" s="60">
        <v>0</v>
      </c>
      <c r="AE1522" s="60">
        <v>0</v>
      </c>
      <c r="AF1522" s="170" t="s">
        <v>257</v>
      </c>
      <c r="AG1522" s="170">
        <v>2021</v>
      </c>
      <c r="AH1522" s="63" t="s">
        <v>257</v>
      </c>
    </row>
    <row r="1523" spans="1:34" ht="61.5" x14ac:dyDescent="0.85">
      <c r="A1523" s="7">
        <v>1</v>
      </c>
      <c r="B1523" s="59">
        <f>SUBTOTAL(103,$A$1495:A1523)</f>
        <v>28</v>
      </c>
      <c r="C1523" s="186" t="s">
        <v>1695</v>
      </c>
      <c r="D1523" s="60">
        <f t="shared" si="314"/>
        <v>5435416.8000000007</v>
      </c>
      <c r="E1523" s="60">
        <v>0</v>
      </c>
      <c r="F1523" s="60">
        <v>0</v>
      </c>
      <c r="G1523" s="60">
        <v>0</v>
      </c>
      <c r="H1523" s="60">
        <v>0</v>
      </c>
      <c r="I1523" s="60">
        <v>0</v>
      </c>
      <c r="J1523" s="60">
        <v>0</v>
      </c>
      <c r="K1523" s="61">
        <v>3</v>
      </c>
      <c r="L1523" s="60">
        <v>5435416.8000000007</v>
      </c>
      <c r="M1523" s="60">
        <v>0</v>
      </c>
      <c r="N1523" s="60">
        <v>0</v>
      </c>
      <c r="O1523" s="60">
        <v>0</v>
      </c>
      <c r="P1523" s="60">
        <v>0</v>
      </c>
      <c r="Q1523" s="60">
        <v>0</v>
      </c>
      <c r="R1523" s="60">
        <v>0</v>
      </c>
      <c r="S1523" s="60">
        <v>0</v>
      </c>
      <c r="T1523" s="60">
        <v>0</v>
      </c>
      <c r="U1523" s="60">
        <v>0</v>
      </c>
      <c r="V1523" s="60">
        <v>0</v>
      </c>
      <c r="W1523" s="60">
        <v>0</v>
      </c>
      <c r="X1523" s="60">
        <v>0</v>
      </c>
      <c r="Y1523" s="60">
        <v>0</v>
      </c>
      <c r="Z1523" s="60">
        <v>0</v>
      </c>
      <c r="AA1523" s="60">
        <v>0</v>
      </c>
      <c r="AB1523" s="60">
        <v>0</v>
      </c>
      <c r="AC1523" s="60">
        <f t="shared" si="315"/>
        <v>0</v>
      </c>
      <c r="AD1523" s="60">
        <v>0</v>
      </c>
      <c r="AE1523" s="60">
        <v>0</v>
      </c>
      <c r="AF1523" s="170" t="s">
        <v>257</v>
      </c>
      <c r="AG1523" s="170">
        <v>2021</v>
      </c>
      <c r="AH1523" s="63" t="s">
        <v>257</v>
      </c>
    </row>
    <row r="1524" spans="1:34" ht="61.5" x14ac:dyDescent="0.85">
      <c r="A1524" s="7">
        <v>1</v>
      </c>
      <c r="B1524" s="59">
        <f>SUBTOTAL(103,$A$1495:A1524)</f>
        <v>29</v>
      </c>
      <c r="C1524" s="186" t="s">
        <v>2488</v>
      </c>
      <c r="D1524" s="60">
        <f t="shared" si="314"/>
        <v>7259352</v>
      </c>
      <c r="E1524" s="60">
        <v>0</v>
      </c>
      <c r="F1524" s="60">
        <v>0</v>
      </c>
      <c r="G1524" s="60">
        <v>0</v>
      </c>
      <c r="H1524" s="60">
        <v>0</v>
      </c>
      <c r="I1524" s="60">
        <v>0</v>
      </c>
      <c r="J1524" s="60">
        <v>0</v>
      </c>
      <c r="K1524" s="61">
        <v>4</v>
      </c>
      <c r="L1524" s="60">
        <v>7259352</v>
      </c>
      <c r="M1524" s="60">
        <v>0</v>
      </c>
      <c r="N1524" s="60">
        <v>0</v>
      </c>
      <c r="O1524" s="60">
        <v>0</v>
      </c>
      <c r="P1524" s="60">
        <v>0</v>
      </c>
      <c r="Q1524" s="60">
        <v>0</v>
      </c>
      <c r="R1524" s="60">
        <v>0</v>
      </c>
      <c r="S1524" s="60">
        <v>0</v>
      </c>
      <c r="T1524" s="60">
        <v>0</v>
      </c>
      <c r="U1524" s="60">
        <v>0</v>
      </c>
      <c r="V1524" s="60">
        <v>0</v>
      </c>
      <c r="W1524" s="60">
        <v>0</v>
      </c>
      <c r="X1524" s="60">
        <v>0</v>
      </c>
      <c r="Y1524" s="60">
        <v>0</v>
      </c>
      <c r="Z1524" s="60">
        <v>0</v>
      </c>
      <c r="AA1524" s="60">
        <v>0</v>
      </c>
      <c r="AB1524" s="60">
        <v>0</v>
      </c>
      <c r="AC1524" s="60">
        <f t="shared" si="315"/>
        <v>0</v>
      </c>
      <c r="AD1524" s="60">
        <v>0</v>
      </c>
      <c r="AE1524" s="60">
        <v>0</v>
      </c>
      <c r="AF1524" s="170" t="s">
        <v>257</v>
      </c>
      <c r="AG1524" s="170">
        <v>2021</v>
      </c>
      <c r="AH1524" s="63" t="s">
        <v>257</v>
      </c>
    </row>
    <row r="1525" spans="1:34" ht="61.5" x14ac:dyDescent="0.85">
      <c r="A1525" s="7">
        <v>1</v>
      </c>
      <c r="B1525" s="59">
        <f>SUBTOTAL(103,$A$1495:A1525)</f>
        <v>30</v>
      </c>
      <c r="C1525" s="186" t="s">
        <v>2388</v>
      </c>
      <c r="D1525" s="60">
        <f t="shared" si="314"/>
        <v>5435442</v>
      </c>
      <c r="E1525" s="60">
        <v>0</v>
      </c>
      <c r="F1525" s="60">
        <v>0</v>
      </c>
      <c r="G1525" s="60">
        <v>0</v>
      </c>
      <c r="H1525" s="60">
        <v>0</v>
      </c>
      <c r="I1525" s="60">
        <v>0</v>
      </c>
      <c r="J1525" s="60">
        <v>0</v>
      </c>
      <c r="K1525" s="61">
        <v>3</v>
      </c>
      <c r="L1525" s="60">
        <v>5435442</v>
      </c>
      <c r="M1525" s="60">
        <v>0</v>
      </c>
      <c r="N1525" s="60">
        <v>0</v>
      </c>
      <c r="O1525" s="60">
        <v>0</v>
      </c>
      <c r="P1525" s="60">
        <v>0</v>
      </c>
      <c r="Q1525" s="60">
        <v>0</v>
      </c>
      <c r="R1525" s="60">
        <v>0</v>
      </c>
      <c r="S1525" s="60">
        <v>0</v>
      </c>
      <c r="T1525" s="60">
        <v>0</v>
      </c>
      <c r="U1525" s="60">
        <v>0</v>
      </c>
      <c r="V1525" s="60">
        <v>0</v>
      </c>
      <c r="W1525" s="60">
        <v>0</v>
      </c>
      <c r="X1525" s="60">
        <v>0</v>
      </c>
      <c r="Y1525" s="60">
        <v>0</v>
      </c>
      <c r="Z1525" s="60">
        <v>0</v>
      </c>
      <c r="AA1525" s="60">
        <v>0</v>
      </c>
      <c r="AB1525" s="60">
        <v>0</v>
      </c>
      <c r="AC1525" s="60">
        <f t="shared" si="315"/>
        <v>0</v>
      </c>
      <c r="AD1525" s="60">
        <v>0</v>
      </c>
      <c r="AE1525" s="60">
        <v>0</v>
      </c>
      <c r="AF1525" s="170" t="s">
        <v>257</v>
      </c>
      <c r="AG1525" s="170">
        <v>2021</v>
      </c>
      <c r="AH1525" s="63" t="s">
        <v>257</v>
      </c>
    </row>
    <row r="1526" spans="1:34" ht="61.5" x14ac:dyDescent="0.85">
      <c r="A1526" s="7">
        <v>1</v>
      </c>
      <c r="B1526" s="59">
        <f>SUBTOTAL(103,$A$1495:A1526)</f>
        <v>31</v>
      </c>
      <c r="C1526" s="186" t="s">
        <v>2489</v>
      </c>
      <c r="D1526" s="60">
        <f t="shared" si="314"/>
        <v>8728080</v>
      </c>
      <c r="E1526" s="60">
        <v>0</v>
      </c>
      <c r="F1526" s="60">
        <v>0</v>
      </c>
      <c r="G1526" s="60">
        <v>0</v>
      </c>
      <c r="H1526" s="60">
        <v>0</v>
      </c>
      <c r="I1526" s="60">
        <v>0</v>
      </c>
      <c r="J1526" s="60">
        <v>0</v>
      </c>
      <c r="K1526" s="61">
        <v>5</v>
      </c>
      <c r="L1526" s="60">
        <v>8728080</v>
      </c>
      <c r="M1526" s="60">
        <v>0</v>
      </c>
      <c r="N1526" s="60">
        <v>0</v>
      </c>
      <c r="O1526" s="60">
        <v>0</v>
      </c>
      <c r="P1526" s="60">
        <v>0</v>
      </c>
      <c r="Q1526" s="60">
        <v>0</v>
      </c>
      <c r="R1526" s="60">
        <v>0</v>
      </c>
      <c r="S1526" s="60">
        <v>0</v>
      </c>
      <c r="T1526" s="60">
        <v>0</v>
      </c>
      <c r="U1526" s="60">
        <v>0</v>
      </c>
      <c r="V1526" s="60">
        <v>0</v>
      </c>
      <c r="W1526" s="60">
        <v>0</v>
      </c>
      <c r="X1526" s="60">
        <v>0</v>
      </c>
      <c r="Y1526" s="60">
        <v>0</v>
      </c>
      <c r="Z1526" s="60">
        <v>0</v>
      </c>
      <c r="AA1526" s="60">
        <v>0</v>
      </c>
      <c r="AB1526" s="60">
        <v>0</v>
      </c>
      <c r="AC1526" s="60">
        <f t="shared" si="315"/>
        <v>0</v>
      </c>
      <c r="AD1526" s="60">
        <v>0</v>
      </c>
      <c r="AE1526" s="60">
        <v>0</v>
      </c>
      <c r="AF1526" s="170" t="s">
        <v>257</v>
      </c>
      <c r="AG1526" s="170">
        <v>2021</v>
      </c>
      <c r="AH1526" s="63" t="s">
        <v>257</v>
      </c>
    </row>
    <row r="1527" spans="1:34" ht="61.5" x14ac:dyDescent="0.85">
      <c r="A1527" s="7">
        <v>1</v>
      </c>
      <c r="B1527" s="59">
        <f>SUBTOTAL(103,$A$1495:A1527)</f>
        <v>32</v>
      </c>
      <c r="C1527" s="186" t="s">
        <v>2490</v>
      </c>
      <c r="D1527" s="60">
        <f t="shared" si="314"/>
        <v>6983966.4000000004</v>
      </c>
      <c r="E1527" s="60">
        <v>0</v>
      </c>
      <c r="F1527" s="60">
        <v>0</v>
      </c>
      <c r="G1527" s="60">
        <v>0</v>
      </c>
      <c r="H1527" s="60">
        <v>0</v>
      </c>
      <c r="I1527" s="60">
        <v>0</v>
      </c>
      <c r="J1527" s="60">
        <v>0</v>
      </c>
      <c r="K1527" s="61">
        <v>4</v>
      </c>
      <c r="L1527" s="60">
        <v>6983966.4000000004</v>
      </c>
      <c r="M1527" s="60">
        <v>0</v>
      </c>
      <c r="N1527" s="60">
        <v>0</v>
      </c>
      <c r="O1527" s="60">
        <v>0</v>
      </c>
      <c r="P1527" s="60">
        <v>0</v>
      </c>
      <c r="Q1527" s="60">
        <v>0</v>
      </c>
      <c r="R1527" s="60">
        <v>0</v>
      </c>
      <c r="S1527" s="60">
        <v>0</v>
      </c>
      <c r="T1527" s="60">
        <v>0</v>
      </c>
      <c r="U1527" s="60">
        <v>0</v>
      </c>
      <c r="V1527" s="60">
        <v>0</v>
      </c>
      <c r="W1527" s="60">
        <v>0</v>
      </c>
      <c r="X1527" s="60">
        <v>0</v>
      </c>
      <c r="Y1527" s="60">
        <v>0</v>
      </c>
      <c r="Z1527" s="60">
        <v>0</v>
      </c>
      <c r="AA1527" s="60">
        <v>0</v>
      </c>
      <c r="AB1527" s="60">
        <v>0</v>
      </c>
      <c r="AC1527" s="60">
        <f t="shared" si="315"/>
        <v>0</v>
      </c>
      <c r="AD1527" s="60">
        <v>0</v>
      </c>
      <c r="AE1527" s="60">
        <v>0</v>
      </c>
      <c r="AF1527" s="170" t="s">
        <v>257</v>
      </c>
      <c r="AG1527" s="170">
        <v>2021</v>
      </c>
      <c r="AH1527" s="63" t="s">
        <v>257</v>
      </c>
    </row>
    <row r="1528" spans="1:34" ht="61.5" x14ac:dyDescent="0.85">
      <c r="A1528" s="7">
        <v>1</v>
      </c>
      <c r="B1528" s="59">
        <f>SUBTOTAL(103,$A$1495:A1528)</f>
        <v>33</v>
      </c>
      <c r="C1528" s="186" t="s">
        <v>2491</v>
      </c>
      <c r="D1528" s="60">
        <f t="shared" si="314"/>
        <v>5374782</v>
      </c>
      <c r="E1528" s="60">
        <v>0</v>
      </c>
      <c r="F1528" s="60">
        <v>0</v>
      </c>
      <c r="G1528" s="60">
        <v>0</v>
      </c>
      <c r="H1528" s="60">
        <v>0</v>
      </c>
      <c r="I1528" s="60">
        <v>0</v>
      </c>
      <c r="J1528" s="60">
        <v>0</v>
      </c>
      <c r="K1528" s="61">
        <v>3</v>
      </c>
      <c r="L1528" s="60">
        <v>5374782</v>
      </c>
      <c r="M1528" s="60">
        <v>0</v>
      </c>
      <c r="N1528" s="60">
        <v>0</v>
      </c>
      <c r="O1528" s="60">
        <v>0</v>
      </c>
      <c r="P1528" s="60">
        <v>0</v>
      </c>
      <c r="Q1528" s="60">
        <v>0</v>
      </c>
      <c r="R1528" s="60">
        <v>0</v>
      </c>
      <c r="S1528" s="60">
        <v>0</v>
      </c>
      <c r="T1528" s="60">
        <v>0</v>
      </c>
      <c r="U1528" s="60">
        <v>0</v>
      </c>
      <c r="V1528" s="60">
        <v>0</v>
      </c>
      <c r="W1528" s="60">
        <v>0</v>
      </c>
      <c r="X1528" s="60">
        <v>0</v>
      </c>
      <c r="Y1528" s="60">
        <v>0</v>
      </c>
      <c r="Z1528" s="60">
        <v>0</v>
      </c>
      <c r="AA1528" s="60">
        <v>0</v>
      </c>
      <c r="AB1528" s="60">
        <v>0</v>
      </c>
      <c r="AC1528" s="60">
        <f t="shared" si="315"/>
        <v>0</v>
      </c>
      <c r="AD1528" s="60">
        <v>0</v>
      </c>
      <c r="AE1528" s="60">
        <v>0</v>
      </c>
      <c r="AF1528" s="170" t="s">
        <v>257</v>
      </c>
      <c r="AG1528" s="170">
        <v>2021</v>
      </c>
      <c r="AH1528" s="63" t="s">
        <v>257</v>
      </c>
    </row>
    <row r="1529" spans="1:34" ht="61.5" x14ac:dyDescent="0.85">
      <c r="A1529" s="7">
        <v>1</v>
      </c>
      <c r="B1529" s="59">
        <f>SUBTOTAL(103,$A$1495:A1529)</f>
        <v>34</v>
      </c>
      <c r="C1529" s="186" t="s">
        <v>2492</v>
      </c>
      <c r="D1529" s="60">
        <f t="shared" si="314"/>
        <v>1790612.4</v>
      </c>
      <c r="E1529" s="60">
        <v>0</v>
      </c>
      <c r="F1529" s="60">
        <v>0</v>
      </c>
      <c r="G1529" s="60">
        <v>0</v>
      </c>
      <c r="H1529" s="60">
        <v>0</v>
      </c>
      <c r="I1529" s="60">
        <v>0</v>
      </c>
      <c r="J1529" s="60">
        <v>0</v>
      </c>
      <c r="K1529" s="61">
        <v>1</v>
      </c>
      <c r="L1529" s="60">
        <v>1790612.4</v>
      </c>
      <c r="M1529" s="60">
        <v>0</v>
      </c>
      <c r="N1529" s="60">
        <v>0</v>
      </c>
      <c r="O1529" s="60">
        <v>0</v>
      </c>
      <c r="P1529" s="60">
        <v>0</v>
      </c>
      <c r="Q1529" s="60">
        <v>0</v>
      </c>
      <c r="R1529" s="60">
        <v>0</v>
      </c>
      <c r="S1529" s="60">
        <v>0</v>
      </c>
      <c r="T1529" s="60">
        <v>0</v>
      </c>
      <c r="U1529" s="60">
        <v>0</v>
      </c>
      <c r="V1529" s="60">
        <v>0</v>
      </c>
      <c r="W1529" s="60">
        <v>0</v>
      </c>
      <c r="X1529" s="60">
        <v>0</v>
      </c>
      <c r="Y1529" s="60">
        <v>0</v>
      </c>
      <c r="Z1529" s="60">
        <v>0</v>
      </c>
      <c r="AA1529" s="60">
        <v>0</v>
      </c>
      <c r="AB1529" s="60">
        <v>0</v>
      </c>
      <c r="AC1529" s="60">
        <f t="shared" si="315"/>
        <v>0</v>
      </c>
      <c r="AD1529" s="60">
        <v>0</v>
      </c>
      <c r="AE1529" s="60">
        <v>0</v>
      </c>
      <c r="AF1529" s="170" t="s">
        <v>257</v>
      </c>
      <c r="AG1529" s="170">
        <v>2021</v>
      </c>
      <c r="AH1529" s="63" t="s">
        <v>257</v>
      </c>
    </row>
    <row r="1530" spans="1:34" ht="61.5" x14ac:dyDescent="0.85">
      <c r="A1530" s="7">
        <v>1</v>
      </c>
      <c r="B1530" s="59">
        <f>SUBTOTAL(103,$A$1495:A1530)</f>
        <v>35</v>
      </c>
      <c r="C1530" s="186" t="s">
        <v>2493</v>
      </c>
      <c r="D1530" s="60">
        <f t="shared" si="314"/>
        <v>3486403.2</v>
      </c>
      <c r="E1530" s="60">
        <v>0</v>
      </c>
      <c r="F1530" s="60">
        <v>0</v>
      </c>
      <c r="G1530" s="60">
        <v>0</v>
      </c>
      <c r="H1530" s="60">
        <v>0</v>
      </c>
      <c r="I1530" s="60">
        <v>0</v>
      </c>
      <c r="J1530" s="60">
        <v>0</v>
      </c>
      <c r="K1530" s="61">
        <v>2</v>
      </c>
      <c r="L1530" s="60">
        <v>3486403.2</v>
      </c>
      <c r="M1530" s="60">
        <v>0</v>
      </c>
      <c r="N1530" s="60">
        <v>0</v>
      </c>
      <c r="O1530" s="60">
        <v>0</v>
      </c>
      <c r="P1530" s="60">
        <v>0</v>
      </c>
      <c r="Q1530" s="60">
        <v>0</v>
      </c>
      <c r="R1530" s="60">
        <v>0</v>
      </c>
      <c r="S1530" s="60">
        <v>0</v>
      </c>
      <c r="T1530" s="60">
        <v>0</v>
      </c>
      <c r="U1530" s="60">
        <v>0</v>
      </c>
      <c r="V1530" s="60">
        <v>0</v>
      </c>
      <c r="W1530" s="60">
        <v>0</v>
      </c>
      <c r="X1530" s="60">
        <v>0</v>
      </c>
      <c r="Y1530" s="60">
        <v>0</v>
      </c>
      <c r="Z1530" s="60">
        <v>0</v>
      </c>
      <c r="AA1530" s="60">
        <v>0</v>
      </c>
      <c r="AB1530" s="60">
        <v>0</v>
      </c>
      <c r="AC1530" s="60">
        <f t="shared" si="315"/>
        <v>0</v>
      </c>
      <c r="AD1530" s="60">
        <v>0</v>
      </c>
      <c r="AE1530" s="60">
        <v>0</v>
      </c>
      <c r="AF1530" s="170" t="s">
        <v>257</v>
      </c>
      <c r="AG1530" s="170">
        <v>2021</v>
      </c>
      <c r="AH1530" s="63" t="s">
        <v>257</v>
      </c>
    </row>
    <row r="1531" spans="1:34" ht="61.5" x14ac:dyDescent="0.85">
      <c r="A1531" s="7">
        <v>1</v>
      </c>
      <c r="B1531" s="59">
        <f>SUBTOTAL(103,$A$1495:A1531)</f>
        <v>36</v>
      </c>
      <c r="C1531" s="186" t="s">
        <v>1988</v>
      </c>
      <c r="D1531" s="60">
        <f t="shared" si="314"/>
        <v>7260115.2000000002</v>
      </c>
      <c r="E1531" s="60">
        <v>0</v>
      </c>
      <c r="F1531" s="60">
        <v>0</v>
      </c>
      <c r="G1531" s="60">
        <v>0</v>
      </c>
      <c r="H1531" s="60">
        <v>0</v>
      </c>
      <c r="I1531" s="60">
        <v>0</v>
      </c>
      <c r="J1531" s="60">
        <v>0</v>
      </c>
      <c r="K1531" s="61">
        <v>4</v>
      </c>
      <c r="L1531" s="60">
        <v>7260115.2000000002</v>
      </c>
      <c r="M1531" s="60">
        <v>0</v>
      </c>
      <c r="N1531" s="60">
        <v>0</v>
      </c>
      <c r="O1531" s="60">
        <v>0</v>
      </c>
      <c r="P1531" s="60">
        <v>0</v>
      </c>
      <c r="Q1531" s="60">
        <v>0</v>
      </c>
      <c r="R1531" s="60">
        <v>0</v>
      </c>
      <c r="S1531" s="60">
        <v>0</v>
      </c>
      <c r="T1531" s="60">
        <v>0</v>
      </c>
      <c r="U1531" s="60">
        <v>0</v>
      </c>
      <c r="V1531" s="60">
        <v>0</v>
      </c>
      <c r="W1531" s="60">
        <v>0</v>
      </c>
      <c r="X1531" s="60">
        <v>0</v>
      </c>
      <c r="Y1531" s="60">
        <v>0</v>
      </c>
      <c r="Z1531" s="60">
        <v>0</v>
      </c>
      <c r="AA1531" s="60">
        <v>0</v>
      </c>
      <c r="AB1531" s="60">
        <v>0</v>
      </c>
      <c r="AC1531" s="60">
        <f t="shared" si="315"/>
        <v>0</v>
      </c>
      <c r="AD1531" s="60">
        <v>0</v>
      </c>
      <c r="AE1531" s="60">
        <v>0</v>
      </c>
      <c r="AF1531" s="170" t="s">
        <v>257</v>
      </c>
      <c r="AG1531" s="170">
        <v>2021</v>
      </c>
      <c r="AH1531" s="63" t="s">
        <v>257</v>
      </c>
    </row>
    <row r="1532" spans="1:34" ht="61.5" x14ac:dyDescent="0.85">
      <c r="A1532" s="7">
        <v>1</v>
      </c>
      <c r="B1532" s="59">
        <f>SUBTOTAL(103,$A$1495:A1532)</f>
        <v>37</v>
      </c>
      <c r="C1532" s="186" t="s">
        <v>2394</v>
      </c>
      <c r="D1532" s="60">
        <f t="shared" si="314"/>
        <v>7260115.2000000002</v>
      </c>
      <c r="E1532" s="60">
        <v>0</v>
      </c>
      <c r="F1532" s="60">
        <v>0</v>
      </c>
      <c r="G1532" s="60">
        <v>0</v>
      </c>
      <c r="H1532" s="60">
        <v>0</v>
      </c>
      <c r="I1532" s="60">
        <v>0</v>
      </c>
      <c r="J1532" s="60">
        <v>0</v>
      </c>
      <c r="K1532" s="61">
        <v>4</v>
      </c>
      <c r="L1532" s="60">
        <v>7260115.2000000002</v>
      </c>
      <c r="M1532" s="60">
        <v>0</v>
      </c>
      <c r="N1532" s="60">
        <v>0</v>
      </c>
      <c r="O1532" s="60">
        <v>0</v>
      </c>
      <c r="P1532" s="60">
        <v>0</v>
      </c>
      <c r="Q1532" s="60">
        <v>0</v>
      </c>
      <c r="R1532" s="60">
        <v>0</v>
      </c>
      <c r="S1532" s="60">
        <v>0</v>
      </c>
      <c r="T1532" s="60">
        <v>0</v>
      </c>
      <c r="U1532" s="60">
        <v>0</v>
      </c>
      <c r="V1532" s="60">
        <v>0</v>
      </c>
      <c r="W1532" s="60">
        <v>0</v>
      </c>
      <c r="X1532" s="60">
        <v>0</v>
      </c>
      <c r="Y1532" s="60">
        <v>0</v>
      </c>
      <c r="Z1532" s="60">
        <v>0</v>
      </c>
      <c r="AA1532" s="60">
        <v>0</v>
      </c>
      <c r="AB1532" s="60">
        <v>0</v>
      </c>
      <c r="AC1532" s="60">
        <f t="shared" si="315"/>
        <v>0</v>
      </c>
      <c r="AD1532" s="60">
        <v>0</v>
      </c>
      <c r="AE1532" s="60">
        <v>0</v>
      </c>
      <c r="AF1532" s="170" t="s">
        <v>257</v>
      </c>
      <c r="AG1532" s="170">
        <v>2021</v>
      </c>
      <c r="AH1532" s="63" t="s">
        <v>257</v>
      </c>
    </row>
    <row r="1533" spans="1:34" ht="61.5" x14ac:dyDescent="0.85">
      <c r="A1533" s="7">
        <v>1</v>
      </c>
      <c r="B1533" s="59">
        <f>SUBTOTAL(103,$A$1495:A1533)</f>
        <v>38</v>
      </c>
      <c r="C1533" s="186" t="s">
        <v>1705</v>
      </c>
      <c r="D1533" s="60">
        <f t="shared" si="314"/>
        <v>10461448.800000001</v>
      </c>
      <c r="E1533" s="60">
        <v>0</v>
      </c>
      <c r="F1533" s="60">
        <v>0</v>
      </c>
      <c r="G1533" s="60">
        <v>0</v>
      </c>
      <c r="H1533" s="60">
        <v>0</v>
      </c>
      <c r="I1533" s="60">
        <v>0</v>
      </c>
      <c r="J1533" s="60">
        <v>0</v>
      </c>
      <c r="K1533" s="61">
        <v>6</v>
      </c>
      <c r="L1533" s="60">
        <v>10461448.800000001</v>
      </c>
      <c r="M1533" s="60">
        <v>0</v>
      </c>
      <c r="N1533" s="60">
        <v>0</v>
      </c>
      <c r="O1533" s="60">
        <v>0</v>
      </c>
      <c r="P1533" s="60">
        <v>0</v>
      </c>
      <c r="Q1533" s="60">
        <v>0</v>
      </c>
      <c r="R1533" s="60">
        <v>0</v>
      </c>
      <c r="S1533" s="60">
        <v>0</v>
      </c>
      <c r="T1533" s="60">
        <v>0</v>
      </c>
      <c r="U1533" s="60">
        <v>0</v>
      </c>
      <c r="V1533" s="60">
        <v>0</v>
      </c>
      <c r="W1533" s="60">
        <v>0</v>
      </c>
      <c r="X1533" s="60">
        <v>0</v>
      </c>
      <c r="Y1533" s="60">
        <v>0</v>
      </c>
      <c r="Z1533" s="60">
        <v>0</v>
      </c>
      <c r="AA1533" s="60">
        <v>0</v>
      </c>
      <c r="AB1533" s="60">
        <v>0</v>
      </c>
      <c r="AC1533" s="60">
        <f t="shared" si="315"/>
        <v>0</v>
      </c>
      <c r="AD1533" s="60">
        <v>0</v>
      </c>
      <c r="AE1533" s="60">
        <v>0</v>
      </c>
      <c r="AF1533" s="170" t="s">
        <v>257</v>
      </c>
      <c r="AG1533" s="170">
        <v>2021</v>
      </c>
      <c r="AH1533" s="63" t="s">
        <v>257</v>
      </c>
    </row>
    <row r="1534" spans="1:34" ht="61.5" x14ac:dyDescent="0.85">
      <c r="A1534" s="7">
        <v>1</v>
      </c>
      <c r="B1534" s="59">
        <f>SUBTOTAL(103,$A$1495:A1534)</f>
        <v>39</v>
      </c>
      <c r="C1534" s="186" t="s">
        <v>2494</v>
      </c>
      <c r="D1534" s="60">
        <f t="shared" si="314"/>
        <v>3487149.6</v>
      </c>
      <c r="E1534" s="60">
        <v>0</v>
      </c>
      <c r="F1534" s="60">
        <v>0</v>
      </c>
      <c r="G1534" s="60">
        <v>0</v>
      </c>
      <c r="H1534" s="60">
        <v>0</v>
      </c>
      <c r="I1534" s="60">
        <v>0</v>
      </c>
      <c r="J1534" s="60">
        <v>0</v>
      </c>
      <c r="K1534" s="61">
        <v>2</v>
      </c>
      <c r="L1534" s="60">
        <v>3487149.6</v>
      </c>
      <c r="M1534" s="60">
        <v>0</v>
      </c>
      <c r="N1534" s="60">
        <v>0</v>
      </c>
      <c r="O1534" s="60">
        <v>0</v>
      </c>
      <c r="P1534" s="60">
        <v>0</v>
      </c>
      <c r="Q1534" s="60">
        <v>0</v>
      </c>
      <c r="R1534" s="60">
        <v>0</v>
      </c>
      <c r="S1534" s="60">
        <v>0</v>
      </c>
      <c r="T1534" s="60">
        <v>0</v>
      </c>
      <c r="U1534" s="60">
        <v>0</v>
      </c>
      <c r="V1534" s="60">
        <v>0</v>
      </c>
      <c r="W1534" s="60">
        <v>0</v>
      </c>
      <c r="X1534" s="60">
        <v>0</v>
      </c>
      <c r="Y1534" s="60">
        <v>0</v>
      </c>
      <c r="Z1534" s="60">
        <v>0</v>
      </c>
      <c r="AA1534" s="60">
        <v>0</v>
      </c>
      <c r="AB1534" s="60">
        <v>0</v>
      </c>
      <c r="AC1534" s="60">
        <f t="shared" si="315"/>
        <v>0</v>
      </c>
      <c r="AD1534" s="60">
        <v>0</v>
      </c>
      <c r="AE1534" s="60">
        <v>0</v>
      </c>
      <c r="AF1534" s="170" t="s">
        <v>257</v>
      </c>
      <c r="AG1534" s="170">
        <v>2021</v>
      </c>
      <c r="AH1534" s="63" t="s">
        <v>257</v>
      </c>
    </row>
    <row r="1535" spans="1:34" ht="61.5" x14ac:dyDescent="0.85">
      <c r="A1535" s="7">
        <v>1</v>
      </c>
      <c r="B1535" s="59">
        <f>SUBTOTAL(103,$A$1495:A1535)</f>
        <v>40</v>
      </c>
      <c r="C1535" s="186" t="s">
        <v>2495</v>
      </c>
      <c r="D1535" s="60">
        <f t="shared" si="314"/>
        <v>7260768</v>
      </c>
      <c r="E1535" s="60">
        <v>0</v>
      </c>
      <c r="F1535" s="60">
        <v>0</v>
      </c>
      <c r="G1535" s="60">
        <v>0</v>
      </c>
      <c r="H1535" s="60">
        <v>0</v>
      </c>
      <c r="I1535" s="60">
        <v>0</v>
      </c>
      <c r="J1535" s="60">
        <v>0</v>
      </c>
      <c r="K1535" s="61">
        <v>4</v>
      </c>
      <c r="L1535" s="60">
        <v>7260768</v>
      </c>
      <c r="M1535" s="60">
        <v>0</v>
      </c>
      <c r="N1535" s="60">
        <v>0</v>
      </c>
      <c r="O1535" s="60">
        <v>0</v>
      </c>
      <c r="P1535" s="60">
        <v>0</v>
      </c>
      <c r="Q1535" s="60">
        <v>0</v>
      </c>
      <c r="R1535" s="60">
        <v>0</v>
      </c>
      <c r="S1535" s="60">
        <v>0</v>
      </c>
      <c r="T1535" s="60">
        <v>0</v>
      </c>
      <c r="U1535" s="60">
        <v>0</v>
      </c>
      <c r="V1535" s="60">
        <v>0</v>
      </c>
      <c r="W1535" s="60">
        <v>0</v>
      </c>
      <c r="X1535" s="60">
        <v>0</v>
      </c>
      <c r="Y1535" s="60">
        <v>0</v>
      </c>
      <c r="Z1535" s="60">
        <v>0</v>
      </c>
      <c r="AA1535" s="60">
        <v>0</v>
      </c>
      <c r="AB1535" s="60">
        <v>0</v>
      </c>
      <c r="AC1535" s="60">
        <f t="shared" si="315"/>
        <v>0</v>
      </c>
      <c r="AD1535" s="60">
        <v>0</v>
      </c>
      <c r="AE1535" s="60">
        <v>0</v>
      </c>
      <c r="AF1535" s="170" t="s">
        <v>257</v>
      </c>
      <c r="AG1535" s="170">
        <v>2021</v>
      </c>
      <c r="AH1535" s="63" t="s">
        <v>257</v>
      </c>
    </row>
    <row r="1536" spans="1:34" ht="61.5" x14ac:dyDescent="0.85">
      <c r="A1536" s="7">
        <v>1</v>
      </c>
      <c r="B1536" s="59">
        <f>SUBTOTAL(103,$A$1495:A1536)</f>
        <v>41</v>
      </c>
      <c r="C1536" s="186" t="s">
        <v>2496</v>
      </c>
      <c r="D1536" s="60">
        <f t="shared" si="314"/>
        <v>3488020.8</v>
      </c>
      <c r="E1536" s="60">
        <v>0</v>
      </c>
      <c r="F1536" s="60">
        <v>0</v>
      </c>
      <c r="G1536" s="60">
        <v>0</v>
      </c>
      <c r="H1536" s="60">
        <v>0</v>
      </c>
      <c r="I1536" s="60">
        <v>0</v>
      </c>
      <c r="J1536" s="60">
        <v>0</v>
      </c>
      <c r="K1536" s="61">
        <v>2</v>
      </c>
      <c r="L1536" s="60">
        <v>3488020.8</v>
      </c>
      <c r="M1536" s="60">
        <v>0</v>
      </c>
      <c r="N1536" s="60">
        <v>0</v>
      </c>
      <c r="O1536" s="60">
        <v>0</v>
      </c>
      <c r="P1536" s="60">
        <v>0</v>
      </c>
      <c r="Q1536" s="60">
        <v>0</v>
      </c>
      <c r="R1536" s="60">
        <v>0</v>
      </c>
      <c r="S1536" s="60">
        <v>0</v>
      </c>
      <c r="T1536" s="60">
        <v>0</v>
      </c>
      <c r="U1536" s="60">
        <v>0</v>
      </c>
      <c r="V1536" s="60">
        <v>0</v>
      </c>
      <c r="W1536" s="60">
        <v>0</v>
      </c>
      <c r="X1536" s="60">
        <v>0</v>
      </c>
      <c r="Y1536" s="60">
        <v>0</v>
      </c>
      <c r="Z1536" s="60">
        <v>0</v>
      </c>
      <c r="AA1536" s="60">
        <v>0</v>
      </c>
      <c r="AB1536" s="60">
        <v>0</v>
      </c>
      <c r="AC1536" s="60">
        <f t="shared" si="315"/>
        <v>0</v>
      </c>
      <c r="AD1536" s="60">
        <v>0</v>
      </c>
      <c r="AE1536" s="60">
        <v>0</v>
      </c>
      <c r="AF1536" s="170" t="s">
        <v>257</v>
      </c>
      <c r="AG1536" s="170">
        <v>2021</v>
      </c>
      <c r="AH1536" s="63" t="s">
        <v>257</v>
      </c>
    </row>
    <row r="1537" spans="1:34" ht="61.5" x14ac:dyDescent="0.85">
      <c r="A1537" s="7">
        <v>1</v>
      </c>
      <c r="B1537" s="59">
        <f>SUBTOTAL(103,$A$1495:A1537)</f>
        <v>42</v>
      </c>
      <c r="C1537" s="186" t="s">
        <v>2497</v>
      </c>
      <c r="D1537" s="60">
        <f t="shared" si="314"/>
        <v>7143820.7999999998</v>
      </c>
      <c r="E1537" s="60">
        <v>0</v>
      </c>
      <c r="F1537" s="60">
        <v>0</v>
      </c>
      <c r="G1537" s="60">
        <v>0</v>
      </c>
      <c r="H1537" s="60">
        <v>0</v>
      </c>
      <c r="I1537" s="60">
        <v>0</v>
      </c>
      <c r="J1537" s="60">
        <v>0</v>
      </c>
      <c r="K1537" s="61">
        <v>4</v>
      </c>
      <c r="L1537" s="60">
        <v>7143820.7999999998</v>
      </c>
      <c r="M1537" s="60">
        <v>0</v>
      </c>
      <c r="N1537" s="60">
        <v>0</v>
      </c>
      <c r="O1537" s="60">
        <v>0</v>
      </c>
      <c r="P1537" s="60">
        <v>0</v>
      </c>
      <c r="Q1537" s="60">
        <v>0</v>
      </c>
      <c r="R1537" s="60">
        <v>0</v>
      </c>
      <c r="S1537" s="60">
        <v>0</v>
      </c>
      <c r="T1537" s="60">
        <v>0</v>
      </c>
      <c r="U1537" s="60">
        <v>0</v>
      </c>
      <c r="V1537" s="60">
        <v>0</v>
      </c>
      <c r="W1537" s="60">
        <v>0</v>
      </c>
      <c r="X1537" s="60">
        <v>0</v>
      </c>
      <c r="Y1537" s="60">
        <v>0</v>
      </c>
      <c r="Z1537" s="60">
        <v>0</v>
      </c>
      <c r="AA1537" s="60">
        <v>0</v>
      </c>
      <c r="AB1537" s="60">
        <v>0</v>
      </c>
      <c r="AC1537" s="60">
        <f t="shared" si="315"/>
        <v>0</v>
      </c>
      <c r="AD1537" s="60">
        <v>0</v>
      </c>
      <c r="AE1537" s="60">
        <v>0</v>
      </c>
      <c r="AF1537" s="170" t="s">
        <v>257</v>
      </c>
      <c r="AG1537" s="170">
        <v>2021</v>
      </c>
      <c r="AH1537" s="63" t="s">
        <v>257</v>
      </c>
    </row>
    <row r="1538" spans="1:34" ht="61.5" x14ac:dyDescent="0.85">
      <c r="A1538" s="7">
        <v>1</v>
      </c>
      <c r="B1538" s="59">
        <f>SUBTOTAL(103,$A$1495:A1538)</f>
        <v>43</v>
      </c>
      <c r="C1538" s="186" t="s">
        <v>2498</v>
      </c>
      <c r="D1538" s="60">
        <f t="shared" si="314"/>
        <v>5236740</v>
      </c>
      <c r="E1538" s="60">
        <v>0</v>
      </c>
      <c r="F1538" s="60">
        <v>0</v>
      </c>
      <c r="G1538" s="60">
        <v>0</v>
      </c>
      <c r="H1538" s="60">
        <v>0</v>
      </c>
      <c r="I1538" s="60">
        <v>0</v>
      </c>
      <c r="J1538" s="60">
        <v>0</v>
      </c>
      <c r="K1538" s="61">
        <v>3</v>
      </c>
      <c r="L1538" s="60">
        <v>5236740</v>
      </c>
      <c r="M1538" s="60">
        <v>0</v>
      </c>
      <c r="N1538" s="60">
        <v>0</v>
      </c>
      <c r="O1538" s="60">
        <v>0</v>
      </c>
      <c r="P1538" s="60">
        <v>0</v>
      </c>
      <c r="Q1538" s="60">
        <v>0</v>
      </c>
      <c r="R1538" s="60">
        <v>0</v>
      </c>
      <c r="S1538" s="60">
        <v>0</v>
      </c>
      <c r="T1538" s="60">
        <v>0</v>
      </c>
      <c r="U1538" s="60">
        <v>0</v>
      </c>
      <c r="V1538" s="60">
        <v>0</v>
      </c>
      <c r="W1538" s="60">
        <v>0</v>
      </c>
      <c r="X1538" s="60">
        <v>0</v>
      </c>
      <c r="Y1538" s="60">
        <v>0</v>
      </c>
      <c r="Z1538" s="60">
        <v>0</v>
      </c>
      <c r="AA1538" s="60">
        <v>0</v>
      </c>
      <c r="AB1538" s="60">
        <v>0</v>
      </c>
      <c r="AC1538" s="60">
        <f t="shared" si="315"/>
        <v>0</v>
      </c>
      <c r="AD1538" s="60">
        <v>0</v>
      </c>
      <c r="AE1538" s="60">
        <v>0</v>
      </c>
      <c r="AF1538" s="170" t="s">
        <v>257</v>
      </c>
      <c r="AG1538" s="170">
        <v>2021</v>
      </c>
      <c r="AH1538" s="63" t="s">
        <v>257</v>
      </c>
    </row>
    <row r="1539" spans="1:34" ht="61.5" x14ac:dyDescent="0.85">
      <c r="A1539" s="7">
        <v>1</v>
      </c>
      <c r="B1539" s="59">
        <f>SUBTOTAL(103,$A$1495:A1539)</f>
        <v>44</v>
      </c>
      <c r="C1539" s="186" t="s">
        <v>2499</v>
      </c>
      <c r="D1539" s="60">
        <f t="shared" si="314"/>
        <v>3488659.2</v>
      </c>
      <c r="E1539" s="60">
        <v>0</v>
      </c>
      <c r="F1539" s="60">
        <v>0</v>
      </c>
      <c r="G1539" s="60">
        <v>0</v>
      </c>
      <c r="H1539" s="60">
        <v>0</v>
      </c>
      <c r="I1539" s="60">
        <v>0</v>
      </c>
      <c r="J1539" s="60">
        <v>0</v>
      </c>
      <c r="K1539" s="61">
        <v>2</v>
      </c>
      <c r="L1539" s="60">
        <v>3488659.2</v>
      </c>
      <c r="M1539" s="60">
        <v>0</v>
      </c>
      <c r="N1539" s="60">
        <v>0</v>
      </c>
      <c r="O1539" s="60">
        <v>0</v>
      </c>
      <c r="P1539" s="60">
        <v>0</v>
      </c>
      <c r="Q1539" s="60">
        <v>0</v>
      </c>
      <c r="R1539" s="60">
        <v>0</v>
      </c>
      <c r="S1539" s="60">
        <v>0</v>
      </c>
      <c r="T1539" s="60">
        <v>0</v>
      </c>
      <c r="U1539" s="60">
        <v>0</v>
      </c>
      <c r="V1539" s="60">
        <v>0</v>
      </c>
      <c r="W1539" s="60">
        <v>0</v>
      </c>
      <c r="X1539" s="60">
        <v>0</v>
      </c>
      <c r="Y1539" s="60">
        <v>0</v>
      </c>
      <c r="Z1539" s="60">
        <v>0</v>
      </c>
      <c r="AA1539" s="60">
        <v>0</v>
      </c>
      <c r="AB1539" s="60">
        <v>0</v>
      </c>
      <c r="AC1539" s="60">
        <f t="shared" si="315"/>
        <v>0</v>
      </c>
      <c r="AD1539" s="60">
        <v>0</v>
      </c>
      <c r="AE1539" s="60">
        <v>0</v>
      </c>
      <c r="AF1539" s="170" t="s">
        <v>257</v>
      </c>
      <c r="AG1539" s="170">
        <v>2021</v>
      </c>
      <c r="AH1539" s="63" t="s">
        <v>257</v>
      </c>
    </row>
    <row r="1540" spans="1:34" ht="61.5" x14ac:dyDescent="0.85">
      <c r="A1540" s="7">
        <v>1</v>
      </c>
      <c r="B1540" s="59">
        <f>SUBTOTAL(103,$A$1495:A1540)</f>
        <v>45</v>
      </c>
      <c r="C1540" s="186" t="s">
        <v>2500</v>
      </c>
      <c r="D1540" s="60">
        <f t="shared" si="314"/>
        <v>12231550.799999999</v>
      </c>
      <c r="E1540" s="60">
        <v>0</v>
      </c>
      <c r="F1540" s="60">
        <v>0</v>
      </c>
      <c r="G1540" s="60">
        <v>0</v>
      </c>
      <c r="H1540" s="60">
        <v>0</v>
      </c>
      <c r="I1540" s="60">
        <v>0</v>
      </c>
      <c r="J1540" s="60">
        <v>0</v>
      </c>
      <c r="K1540" s="61">
        <v>7</v>
      </c>
      <c r="L1540" s="60">
        <v>12231550.799999999</v>
      </c>
      <c r="M1540" s="60">
        <v>0</v>
      </c>
      <c r="N1540" s="60">
        <v>0</v>
      </c>
      <c r="O1540" s="60">
        <v>0</v>
      </c>
      <c r="P1540" s="60">
        <v>0</v>
      </c>
      <c r="Q1540" s="60">
        <v>0</v>
      </c>
      <c r="R1540" s="60">
        <v>0</v>
      </c>
      <c r="S1540" s="60">
        <v>0</v>
      </c>
      <c r="T1540" s="60">
        <v>0</v>
      </c>
      <c r="U1540" s="60">
        <v>0</v>
      </c>
      <c r="V1540" s="60">
        <v>0</v>
      </c>
      <c r="W1540" s="60">
        <v>0</v>
      </c>
      <c r="X1540" s="60">
        <v>0</v>
      </c>
      <c r="Y1540" s="60">
        <v>0</v>
      </c>
      <c r="Z1540" s="60">
        <v>0</v>
      </c>
      <c r="AA1540" s="60">
        <v>0</v>
      </c>
      <c r="AB1540" s="60">
        <v>0</v>
      </c>
      <c r="AC1540" s="60">
        <f t="shared" si="315"/>
        <v>0</v>
      </c>
      <c r="AD1540" s="60">
        <v>0</v>
      </c>
      <c r="AE1540" s="60">
        <v>0</v>
      </c>
      <c r="AF1540" s="170" t="s">
        <v>257</v>
      </c>
      <c r="AG1540" s="170">
        <v>2021</v>
      </c>
      <c r="AH1540" s="63" t="s">
        <v>257</v>
      </c>
    </row>
    <row r="1541" spans="1:34" ht="61.5" x14ac:dyDescent="0.85">
      <c r="A1541" s="7">
        <v>1</v>
      </c>
      <c r="B1541" s="59">
        <f>SUBTOTAL(103,$A$1495:A1541)</f>
        <v>46</v>
      </c>
      <c r="C1541" s="186" t="s">
        <v>2501</v>
      </c>
      <c r="D1541" s="60">
        <f t="shared" si="314"/>
        <v>5242093.1999999993</v>
      </c>
      <c r="E1541" s="60">
        <v>0</v>
      </c>
      <c r="F1541" s="60">
        <v>0</v>
      </c>
      <c r="G1541" s="60">
        <v>0</v>
      </c>
      <c r="H1541" s="60">
        <v>0</v>
      </c>
      <c r="I1541" s="60">
        <v>0</v>
      </c>
      <c r="J1541" s="60">
        <v>0</v>
      </c>
      <c r="K1541" s="61">
        <v>3</v>
      </c>
      <c r="L1541" s="60">
        <v>5242093.1999999993</v>
      </c>
      <c r="M1541" s="60">
        <v>0</v>
      </c>
      <c r="N1541" s="60">
        <v>0</v>
      </c>
      <c r="O1541" s="60">
        <v>0</v>
      </c>
      <c r="P1541" s="60">
        <v>0</v>
      </c>
      <c r="Q1541" s="60">
        <v>0</v>
      </c>
      <c r="R1541" s="60">
        <v>0</v>
      </c>
      <c r="S1541" s="60">
        <v>0</v>
      </c>
      <c r="T1541" s="60">
        <v>0</v>
      </c>
      <c r="U1541" s="60">
        <v>0</v>
      </c>
      <c r="V1541" s="60">
        <v>0</v>
      </c>
      <c r="W1541" s="60">
        <v>0</v>
      </c>
      <c r="X1541" s="60">
        <v>0</v>
      </c>
      <c r="Y1541" s="60">
        <v>0</v>
      </c>
      <c r="Z1541" s="60">
        <v>0</v>
      </c>
      <c r="AA1541" s="60">
        <v>0</v>
      </c>
      <c r="AB1541" s="60">
        <v>0</v>
      </c>
      <c r="AC1541" s="60">
        <f t="shared" si="315"/>
        <v>0</v>
      </c>
      <c r="AD1541" s="60">
        <v>0</v>
      </c>
      <c r="AE1541" s="60">
        <v>0</v>
      </c>
      <c r="AF1541" s="170" t="s">
        <v>257</v>
      </c>
      <c r="AG1541" s="170">
        <v>2021</v>
      </c>
      <c r="AH1541" s="63" t="s">
        <v>257</v>
      </c>
    </row>
    <row r="1542" spans="1:34" ht="61.5" x14ac:dyDescent="0.85">
      <c r="A1542" s="7">
        <v>1</v>
      </c>
      <c r="B1542" s="59">
        <f>SUBTOTAL(103,$A$1495:A1542)</f>
        <v>47</v>
      </c>
      <c r="C1542" s="186" t="s">
        <v>2502</v>
      </c>
      <c r="D1542" s="60">
        <f t="shared" si="314"/>
        <v>8728080</v>
      </c>
      <c r="E1542" s="60">
        <v>0</v>
      </c>
      <c r="F1542" s="60">
        <v>0</v>
      </c>
      <c r="G1542" s="60">
        <v>0</v>
      </c>
      <c r="H1542" s="60">
        <v>0</v>
      </c>
      <c r="I1542" s="60">
        <v>0</v>
      </c>
      <c r="J1542" s="60">
        <v>0</v>
      </c>
      <c r="K1542" s="61">
        <v>5</v>
      </c>
      <c r="L1542" s="60">
        <v>8728080</v>
      </c>
      <c r="M1542" s="60">
        <v>0</v>
      </c>
      <c r="N1542" s="60">
        <v>0</v>
      </c>
      <c r="O1542" s="60">
        <v>0</v>
      </c>
      <c r="P1542" s="60">
        <v>0</v>
      </c>
      <c r="Q1542" s="60">
        <v>0</v>
      </c>
      <c r="R1542" s="60">
        <v>0</v>
      </c>
      <c r="S1542" s="60">
        <v>0</v>
      </c>
      <c r="T1542" s="60">
        <v>0</v>
      </c>
      <c r="U1542" s="60">
        <v>0</v>
      </c>
      <c r="V1542" s="60">
        <v>0</v>
      </c>
      <c r="W1542" s="60">
        <v>0</v>
      </c>
      <c r="X1542" s="60">
        <v>0</v>
      </c>
      <c r="Y1542" s="60">
        <v>0</v>
      </c>
      <c r="Z1542" s="60">
        <v>0</v>
      </c>
      <c r="AA1542" s="60">
        <v>0</v>
      </c>
      <c r="AB1542" s="60">
        <v>0</v>
      </c>
      <c r="AC1542" s="60">
        <f t="shared" si="315"/>
        <v>0</v>
      </c>
      <c r="AD1542" s="60">
        <v>0</v>
      </c>
      <c r="AE1542" s="60">
        <v>0</v>
      </c>
      <c r="AF1542" s="170" t="s">
        <v>257</v>
      </c>
      <c r="AG1542" s="170">
        <v>2021</v>
      </c>
      <c r="AH1542" s="63" t="s">
        <v>257</v>
      </c>
    </row>
    <row r="1543" spans="1:34" ht="61.5" x14ac:dyDescent="0.85">
      <c r="B1543" s="160" t="s">
        <v>1324</v>
      </c>
      <c r="C1543" s="160"/>
      <c r="D1543" s="177">
        <f>SUM(D1544:D1547)</f>
        <v>13438704.699999999</v>
      </c>
      <c r="E1543" s="60">
        <f t="shared" ref="E1543:AE1543" si="316">SUM(E1544:E1547)</f>
        <v>0</v>
      </c>
      <c r="F1543" s="60">
        <f t="shared" si="316"/>
        <v>0</v>
      </c>
      <c r="G1543" s="60">
        <f t="shared" si="316"/>
        <v>0</v>
      </c>
      <c r="H1543" s="60">
        <f t="shared" si="316"/>
        <v>0</v>
      </c>
      <c r="I1543" s="60">
        <f t="shared" si="316"/>
        <v>0</v>
      </c>
      <c r="J1543" s="60">
        <f t="shared" si="316"/>
        <v>0</v>
      </c>
      <c r="K1543" s="61">
        <f t="shared" si="316"/>
        <v>8</v>
      </c>
      <c r="L1543" s="60">
        <f t="shared" si="316"/>
        <v>13438704.699999999</v>
      </c>
      <c r="M1543" s="60">
        <f t="shared" si="316"/>
        <v>0</v>
      </c>
      <c r="N1543" s="60">
        <f t="shared" si="316"/>
        <v>0</v>
      </c>
      <c r="O1543" s="60">
        <f t="shared" si="316"/>
        <v>0</v>
      </c>
      <c r="P1543" s="60">
        <f t="shared" si="316"/>
        <v>0</v>
      </c>
      <c r="Q1543" s="60">
        <f t="shared" si="316"/>
        <v>0</v>
      </c>
      <c r="R1543" s="60">
        <f t="shared" si="316"/>
        <v>0</v>
      </c>
      <c r="S1543" s="60">
        <f t="shared" si="316"/>
        <v>0</v>
      </c>
      <c r="T1543" s="60">
        <f t="shared" si="316"/>
        <v>0</v>
      </c>
      <c r="U1543" s="60">
        <f t="shared" si="316"/>
        <v>0</v>
      </c>
      <c r="V1543" s="60">
        <f t="shared" si="316"/>
        <v>0</v>
      </c>
      <c r="W1543" s="60">
        <f t="shared" si="316"/>
        <v>0</v>
      </c>
      <c r="X1543" s="60">
        <f t="shared" si="316"/>
        <v>0</v>
      </c>
      <c r="Y1543" s="60">
        <f t="shared" si="316"/>
        <v>0</v>
      </c>
      <c r="Z1543" s="60">
        <f t="shared" si="316"/>
        <v>0</v>
      </c>
      <c r="AA1543" s="60">
        <f t="shared" si="316"/>
        <v>0</v>
      </c>
      <c r="AB1543" s="60">
        <f t="shared" si="316"/>
        <v>0</v>
      </c>
      <c r="AC1543" s="60">
        <f t="shared" si="316"/>
        <v>0</v>
      </c>
      <c r="AD1543" s="60">
        <f t="shared" si="316"/>
        <v>0</v>
      </c>
      <c r="AE1543" s="60">
        <f t="shared" si="316"/>
        <v>0</v>
      </c>
      <c r="AF1543" s="202" t="s">
        <v>701</v>
      </c>
      <c r="AG1543" s="202" t="s">
        <v>701</v>
      </c>
      <c r="AH1543" s="207" t="s">
        <v>701</v>
      </c>
    </row>
    <row r="1544" spans="1:34" ht="61.5" x14ac:dyDescent="0.85">
      <c r="A1544" s="7">
        <v>1</v>
      </c>
      <c r="B1544" s="59">
        <f>SUBTOTAL(103,$A$1495:A1544)</f>
        <v>48</v>
      </c>
      <c r="C1544" s="186" t="s">
        <v>413</v>
      </c>
      <c r="D1544" s="60">
        <f>E1544+F1544+G1544+H1544+I1544+J1544+L1544+N1544+P1544+R1544+T1544+U1544+V1544+W1544+X1544+Y1544+Z1544+AA1544+AB1544+AC1544+AD1544+AE1544</f>
        <v>2957619.0999999996</v>
      </c>
      <c r="E1544" s="60">
        <v>0</v>
      </c>
      <c r="F1544" s="60">
        <v>0</v>
      </c>
      <c r="G1544" s="60">
        <v>0</v>
      </c>
      <c r="H1544" s="60">
        <v>0</v>
      </c>
      <c r="I1544" s="60">
        <v>0</v>
      </c>
      <c r="J1544" s="60">
        <v>0</v>
      </c>
      <c r="K1544" s="168">
        <v>2</v>
      </c>
      <c r="L1544" s="60">
        <f>1478699.93+1478919.17</f>
        <v>2957619.0999999996</v>
      </c>
      <c r="M1544" s="60">
        <v>0</v>
      </c>
      <c r="N1544" s="60">
        <v>0</v>
      </c>
      <c r="O1544" s="60">
        <v>0</v>
      </c>
      <c r="P1544" s="60">
        <v>0</v>
      </c>
      <c r="Q1544" s="60">
        <v>0</v>
      </c>
      <c r="R1544" s="60">
        <v>0</v>
      </c>
      <c r="S1544" s="60">
        <v>0</v>
      </c>
      <c r="T1544" s="60">
        <v>0</v>
      </c>
      <c r="U1544" s="60">
        <v>0</v>
      </c>
      <c r="V1544" s="60">
        <v>0</v>
      </c>
      <c r="W1544" s="60">
        <v>0</v>
      </c>
      <c r="X1544" s="60">
        <v>0</v>
      </c>
      <c r="Y1544" s="60">
        <v>0</v>
      </c>
      <c r="Z1544" s="60">
        <v>0</v>
      </c>
      <c r="AA1544" s="60">
        <v>0</v>
      </c>
      <c r="AB1544" s="60">
        <v>0</v>
      </c>
      <c r="AC1544" s="60">
        <f>ROUND(N1544*1.5%,2)</f>
        <v>0</v>
      </c>
      <c r="AD1544" s="60">
        <v>0</v>
      </c>
      <c r="AE1544" s="60">
        <v>0</v>
      </c>
      <c r="AF1544" s="170" t="s">
        <v>257</v>
      </c>
      <c r="AG1544" s="170">
        <v>2021</v>
      </c>
      <c r="AH1544" s="63" t="s">
        <v>257</v>
      </c>
    </row>
    <row r="1545" spans="1:34" ht="61.5" x14ac:dyDescent="0.85">
      <c r="A1545" s="7">
        <v>1</v>
      </c>
      <c r="B1545" s="59">
        <f>SUBTOTAL(103,$A$1495:A1545)</f>
        <v>49</v>
      </c>
      <c r="C1545" s="186" t="s">
        <v>2503</v>
      </c>
      <c r="D1545" s="60">
        <f>E1545+F1545+G1545+H1545+I1545+J1545+L1545+N1545+P1545+R1545+T1545+U1545+V1545+W1545+X1545+Y1545+Z1545+AA1545+AB1545+AC1545+AD1545+AE1545</f>
        <v>1751182.8</v>
      </c>
      <c r="E1545" s="60">
        <v>0</v>
      </c>
      <c r="F1545" s="60">
        <v>0</v>
      </c>
      <c r="G1545" s="60">
        <v>0</v>
      </c>
      <c r="H1545" s="60">
        <v>0</v>
      </c>
      <c r="I1545" s="60">
        <v>0</v>
      </c>
      <c r="J1545" s="60">
        <v>0</v>
      </c>
      <c r="K1545" s="168">
        <v>1</v>
      </c>
      <c r="L1545" s="60">
        <v>1751182.8</v>
      </c>
      <c r="M1545" s="60">
        <v>0</v>
      </c>
      <c r="N1545" s="60">
        <v>0</v>
      </c>
      <c r="O1545" s="60">
        <v>0</v>
      </c>
      <c r="P1545" s="60">
        <v>0</v>
      </c>
      <c r="Q1545" s="60">
        <v>0</v>
      </c>
      <c r="R1545" s="60">
        <v>0</v>
      </c>
      <c r="S1545" s="60">
        <v>0</v>
      </c>
      <c r="T1545" s="60">
        <v>0</v>
      </c>
      <c r="U1545" s="60">
        <v>0</v>
      </c>
      <c r="V1545" s="60">
        <v>0</v>
      </c>
      <c r="W1545" s="60">
        <v>0</v>
      </c>
      <c r="X1545" s="60">
        <v>0</v>
      </c>
      <c r="Y1545" s="60">
        <v>0</v>
      </c>
      <c r="Z1545" s="60">
        <v>0</v>
      </c>
      <c r="AA1545" s="60">
        <v>0</v>
      </c>
      <c r="AB1545" s="60">
        <v>0</v>
      </c>
      <c r="AC1545" s="60">
        <f>ROUND(N1545*1.5%,2)</f>
        <v>0</v>
      </c>
      <c r="AD1545" s="60">
        <v>0</v>
      </c>
      <c r="AE1545" s="60">
        <v>0</v>
      </c>
      <c r="AF1545" s="170" t="s">
        <v>257</v>
      </c>
      <c r="AG1545" s="170">
        <v>2021</v>
      </c>
      <c r="AH1545" s="63" t="s">
        <v>257</v>
      </c>
    </row>
    <row r="1546" spans="1:34" ht="61.5" x14ac:dyDescent="0.85">
      <c r="A1546" s="7">
        <v>1</v>
      </c>
      <c r="B1546" s="59">
        <f>SUBTOTAL(103,$A$1495:A1546)</f>
        <v>50</v>
      </c>
      <c r="C1546" s="186" t="s">
        <v>2504</v>
      </c>
      <c r="D1546" s="60">
        <f>E1546+F1546+G1546+H1546+I1546+J1546+L1546+N1546+P1546+R1546+T1546+U1546+V1546+W1546+X1546+Y1546+Z1546+AA1546+AB1546+AC1546+AD1546+AE1546</f>
        <v>3495952.8</v>
      </c>
      <c r="E1546" s="60">
        <v>0</v>
      </c>
      <c r="F1546" s="60">
        <v>0</v>
      </c>
      <c r="G1546" s="60">
        <v>0</v>
      </c>
      <c r="H1546" s="60">
        <v>0</v>
      </c>
      <c r="I1546" s="60">
        <v>0</v>
      </c>
      <c r="J1546" s="60">
        <v>0</v>
      </c>
      <c r="K1546" s="168">
        <v>2</v>
      </c>
      <c r="L1546" s="60">
        <f>1747976.4*2</f>
        <v>3495952.8</v>
      </c>
      <c r="M1546" s="60">
        <v>0</v>
      </c>
      <c r="N1546" s="60">
        <v>0</v>
      </c>
      <c r="O1546" s="60">
        <v>0</v>
      </c>
      <c r="P1546" s="60">
        <v>0</v>
      </c>
      <c r="Q1546" s="60">
        <v>0</v>
      </c>
      <c r="R1546" s="60">
        <v>0</v>
      </c>
      <c r="S1546" s="60">
        <v>0</v>
      </c>
      <c r="T1546" s="60">
        <v>0</v>
      </c>
      <c r="U1546" s="60">
        <v>0</v>
      </c>
      <c r="V1546" s="60">
        <v>0</v>
      </c>
      <c r="W1546" s="60">
        <v>0</v>
      </c>
      <c r="X1546" s="60">
        <v>0</v>
      </c>
      <c r="Y1546" s="60">
        <v>0</v>
      </c>
      <c r="Z1546" s="60">
        <v>0</v>
      </c>
      <c r="AA1546" s="60">
        <v>0</v>
      </c>
      <c r="AB1546" s="60">
        <v>0</v>
      </c>
      <c r="AC1546" s="60">
        <f>ROUND(N1546*1.5%,2)</f>
        <v>0</v>
      </c>
      <c r="AD1546" s="60">
        <v>0</v>
      </c>
      <c r="AE1546" s="60">
        <v>0</v>
      </c>
      <c r="AF1546" s="170" t="s">
        <v>257</v>
      </c>
      <c r="AG1546" s="170">
        <v>2021</v>
      </c>
      <c r="AH1546" s="63" t="s">
        <v>257</v>
      </c>
    </row>
    <row r="1547" spans="1:34" ht="61.5" x14ac:dyDescent="0.85">
      <c r="A1547" s="7">
        <v>1</v>
      </c>
      <c r="B1547" s="59">
        <f>SUBTOTAL(103,$A$1495:A1547)</f>
        <v>51</v>
      </c>
      <c r="C1547" s="186" t="s">
        <v>2505</v>
      </c>
      <c r="D1547" s="60">
        <f>E1547+F1547+G1547+H1547+I1547+J1547+L1547+N1547+P1547+R1547+T1547+U1547+V1547+W1547+X1547+Y1547+Z1547+AA1547+AB1547+AC1547+AD1547+AE1547</f>
        <v>5233950</v>
      </c>
      <c r="E1547" s="60">
        <v>0</v>
      </c>
      <c r="F1547" s="60">
        <v>0</v>
      </c>
      <c r="G1547" s="60">
        <v>0</v>
      </c>
      <c r="H1547" s="60">
        <v>0</v>
      </c>
      <c r="I1547" s="60">
        <v>0</v>
      </c>
      <c r="J1547" s="60">
        <v>0</v>
      </c>
      <c r="K1547" s="168">
        <v>3</v>
      </c>
      <c r="L1547" s="60">
        <f>1744650*3</f>
        <v>5233950</v>
      </c>
      <c r="M1547" s="60">
        <v>0</v>
      </c>
      <c r="N1547" s="60">
        <v>0</v>
      </c>
      <c r="O1547" s="60">
        <v>0</v>
      </c>
      <c r="P1547" s="60">
        <v>0</v>
      </c>
      <c r="Q1547" s="60">
        <v>0</v>
      </c>
      <c r="R1547" s="60">
        <v>0</v>
      </c>
      <c r="S1547" s="60">
        <v>0</v>
      </c>
      <c r="T1547" s="60">
        <v>0</v>
      </c>
      <c r="U1547" s="60">
        <v>0</v>
      </c>
      <c r="V1547" s="60">
        <v>0</v>
      </c>
      <c r="W1547" s="60">
        <v>0</v>
      </c>
      <c r="X1547" s="60">
        <v>0</v>
      </c>
      <c r="Y1547" s="60">
        <v>0</v>
      </c>
      <c r="Z1547" s="60">
        <v>0</v>
      </c>
      <c r="AA1547" s="60">
        <v>0</v>
      </c>
      <c r="AB1547" s="60">
        <v>0</v>
      </c>
      <c r="AC1547" s="60">
        <f>ROUND(N1547*1.5%,2)</f>
        <v>0</v>
      </c>
      <c r="AD1547" s="60">
        <v>0</v>
      </c>
      <c r="AE1547" s="60">
        <v>0</v>
      </c>
      <c r="AF1547" s="170" t="s">
        <v>257</v>
      </c>
      <c r="AG1547" s="170">
        <v>2021</v>
      </c>
      <c r="AH1547" s="63" t="s">
        <v>257</v>
      </c>
    </row>
    <row r="1548" spans="1:34" ht="61.5" x14ac:dyDescent="0.85">
      <c r="B1548" s="160" t="s">
        <v>708</v>
      </c>
      <c r="C1548" s="160"/>
      <c r="D1548" s="177">
        <f>SUM(D1549:D1554)</f>
        <v>51913217.799999997</v>
      </c>
      <c r="E1548" s="60">
        <f t="shared" ref="E1548:AE1548" si="317">SUM(E1549:E1554)</f>
        <v>0</v>
      </c>
      <c r="F1548" s="60">
        <f t="shared" si="317"/>
        <v>0</v>
      </c>
      <c r="G1548" s="60">
        <f t="shared" si="317"/>
        <v>0</v>
      </c>
      <c r="H1548" s="60">
        <f t="shared" si="317"/>
        <v>0</v>
      </c>
      <c r="I1548" s="60">
        <f t="shared" si="317"/>
        <v>0</v>
      </c>
      <c r="J1548" s="60">
        <f t="shared" si="317"/>
        <v>0</v>
      </c>
      <c r="K1548" s="61">
        <f t="shared" si="317"/>
        <v>23</v>
      </c>
      <c r="L1548" s="60">
        <f t="shared" si="317"/>
        <v>51913217.799999997</v>
      </c>
      <c r="M1548" s="60">
        <f t="shared" si="317"/>
        <v>0</v>
      </c>
      <c r="N1548" s="60">
        <f t="shared" si="317"/>
        <v>0</v>
      </c>
      <c r="O1548" s="60">
        <f t="shared" si="317"/>
        <v>0</v>
      </c>
      <c r="P1548" s="60">
        <f t="shared" si="317"/>
        <v>0</v>
      </c>
      <c r="Q1548" s="60">
        <f t="shared" si="317"/>
        <v>0</v>
      </c>
      <c r="R1548" s="60">
        <f t="shared" si="317"/>
        <v>0</v>
      </c>
      <c r="S1548" s="60">
        <f t="shared" si="317"/>
        <v>0</v>
      </c>
      <c r="T1548" s="60">
        <f t="shared" si="317"/>
        <v>0</v>
      </c>
      <c r="U1548" s="60">
        <f t="shared" si="317"/>
        <v>0</v>
      </c>
      <c r="V1548" s="60">
        <f t="shared" si="317"/>
        <v>0</v>
      </c>
      <c r="W1548" s="60">
        <f t="shared" si="317"/>
        <v>0</v>
      </c>
      <c r="X1548" s="60">
        <f t="shared" si="317"/>
        <v>0</v>
      </c>
      <c r="Y1548" s="60">
        <f t="shared" si="317"/>
        <v>0</v>
      </c>
      <c r="Z1548" s="60">
        <f t="shared" si="317"/>
        <v>0</v>
      </c>
      <c r="AA1548" s="60">
        <f t="shared" si="317"/>
        <v>0</v>
      </c>
      <c r="AB1548" s="60">
        <f t="shared" si="317"/>
        <v>0</v>
      </c>
      <c r="AC1548" s="60">
        <f t="shared" si="317"/>
        <v>0</v>
      </c>
      <c r="AD1548" s="60">
        <f t="shared" si="317"/>
        <v>0</v>
      </c>
      <c r="AE1548" s="60">
        <f t="shared" si="317"/>
        <v>0</v>
      </c>
      <c r="AF1548" s="202" t="s">
        <v>701</v>
      </c>
      <c r="AG1548" s="202" t="s">
        <v>701</v>
      </c>
      <c r="AH1548" s="207" t="s">
        <v>701</v>
      </c>
    </row>
    <row r="1549" spans="1:34" ht="61.5" x14ac:dyDescent="0.85">
      <c r="A1549" s="7">
        <v>1</v>
      </c>
      <c r="B1549" s="59">
        <f>SUBTOTAL(103,$A$1495:A1549)</f>
        <v>52</v>
      </c>
      <c r="C1549" s="186" t="s">
        <v>363</v>
      </c>
      <c r="D1549" s="60">
        <f t="shared" ref="D1549:D1554" si="318">E1549+F1549+G1549+H1549+I1549+J1549+L1549+N1549+P1549+R1549+T1549+U1549+V1549+W1549+X1549+Y1549+Z1549+AA1549+AB1549+AC1549+AD1549+AE1549</f>
        <v>6784672.5999999996</v>
      </c>
      <c r="E1549" s="60">
        <v>0</v>
      </c>
      <c r="F1549" s="60">
        <v>0</v>
      </c>
      <c r="G1549" s="60">
        <v>0</v>
      </c>
      <c r="H1549" s="60">
        <v>0</v>
      </c>
      <c r="I1549" s="60">
        <v>0</v>
      </c>
      <c r="J1549" s="60">
        <v>0</v>
      </c>
      <c r="K1549" s="61">
        <v>4</v>
      </c>
      <c r="L1549" s="60">
        <f>L773</f>
        <v>6784672.5999999996</v>
      </c>
      <c r="M1549" s="60">
        <v>0</v>
      </c>
      <c r="N1549" s="60">
        <v>0</v>
      </c>
      <c r="O1549" s="60">
        <v>0</v>
      </c>
      <c r="P1549" s="60">
        <v>0</v>
      </c>
      <c r="Q1549" s="60">
        <v>0</v>
      </c>
      <c r="R1549" s="60">
        <v>0</v>
      </c>
      <c r="S1549" s="60">
        <v>0</v>
      </c>
      <c r="T1549" s="60">
        <v>0</v>
      </c>
      <c r="U1549" s="60">
        <v>0</v>
      </c>
      <c r="V1549" s="60">
        <v>0</v>
      </c>
      <c r="W1549" s="60">
        <v>0</v>
      </c>
      <c r="X1549" s="60">
        <v>0</v>
      </c>
      <c r="Y1549" s="60">
        <v>0</v>
      </c>
      <c r="Z1549" s="60">
        <v>0</v>
      </c>
      <c r="AA1549" s="60">
        <v>0</v>
      </c>
      <c r="AB1549" s="60">
        <v>0</v>
      </c>
      <c r="AC1549" s="60">
        <f t="shared" ref="AC1549:AC1554" si="319">ROUND(N1549*1.5%,2)</f>
        <v>0</v>
      </c>
      <c r="AD1549" s="60">
        <v>0</v>
      </c>
      <c r="AE1549" s="60">
        <v>0</v>
      </c>
      <c r="AF1549" s="170" t="s">
        <v>257</v>
      </c>
      <c r="AG1549" s="170">
        <v>2021</v>
      </c>
      <c r="AH1549" s="63" t="s">
        <v>257</v>
      </c>
    </row>
    <row r="1550" spans="1:34" ht="61.5" x14ac:dyDescent="0.85">
      <c r="A1550" s="7">
        <v>1</v>
      </c>
      <c r="B1550" s="59">
        <f>SUBTOTAL(103,$A$1495:A1550)</f>
        <v>53</v>
      </c>
      <c r="C1550" s="186" t="s">
        <v>2506</v>
      </c>
      <c r="D1550" s="60">
        <f t="shared" si="318"/>
        <v>15527628</v>
      </c>
      <c r="E1550" s="60">
        <v>0</v>
      </c>
      <c r="F1550" s="60">
        <v>0</v>
      </c>
      <c r="G1550" s="60">
        <v>0</v>
      </c>
      <c r="H1550" s="60">
        <v>0</v>
      </c>
      <c r="I1550" s="60">
        <v>0</v>
      </c>
      <c r="J1550" s="60">
        <v>0</v>
      </c>
      <c r="K1550" s="61">
        <v>6</v>
      </c>
      <c r="L1550" s="60">
        <f>(2523421.2+2652454.8)*3</f>
        <v>15527628</v>
      </c>
      <c r="M1550" s="60">
        <v>0</v>
      </c>
      <c r="N1550" s="60">
        <v>0</v>
      </c>
      <c r="O1550" s="60">
        <v>0</v>
      </c>
      <c r="P1550" s="60">
        <v>0</v>
      </c>
      <c r="Q1550" s="60">
        <v>0</v>
      </c>
      <c r="R1550" s="60">
        <v>0</v>
      </c>
      <c r="S1550" s="60">
        <v>0</v>
      </c>
      <c r="T1550" s="60">
        <v>0</v>
      </c>
      <c r="U1550" s="60">
        <v>0</v>
      </c>
      <c r="V1550" s="60">
        <v>0</v>
      </c>
      <c r="W1550" s="60">
        <v>0</v>
      </c>
      <c r="X1550" s="60">
        <v>0</v>
      </c>
      <c r="Y1550" s="60">
        <v>0</v>
      </c>
      <c r="Z1550" s="60">
        <v>0</v>
      </c>
      <c r="AA1550" s="60">
        <v>0</v>
      </c>
      <c r="AB1550" s="60">
        <v>0</v>
      </c>
      <c r="AC1550" s="60">
        <f t="shared" si="319"/>
        <v>0</v>
      </c>
      <c r="AD1550" s="60">
        <v>0</v>
      </c>
      <c r="AE1550" s="60">
        <v>0</v>
      </c>
      <c r="AF1550" s="170" t="s">
        <v>257</v>
      </c>
      <c r="AG1550" s="170">
        <v>2021</v>
      </c>
      <c r="AH1550" s="63" t="s">
        <v>257</v>
      </c>
    </row>
    <row r="1551" spans="1:34" ht="61.5" x14ac:dyDescent="0.85">
      <c r="A1551" s="7">
        <v>1</v>
      </c>
      <c r="B1551" s="59">
        <f>SUBTOTAL(103,$A$1495:A1551)</f>
        <v>54</v>
      </c>
      <c r="C1551" s="186" t="s">
        <v>2507</v>
      </c>
      <c r="D1551" s="60">
        <f t="shared" si="318"/>
        <v>2207168.4</v>
      </c>
      <c r="E1551" s="60">
        <v>0</v>
      </c>
      <c r="F1551" s="60">
        <v>0</v>
      </c>
      <c r="G1551" s="60">
        <v>0</v>
      </c>
      <c r="H1551" s="60">
        <v>0</v>
      </c>
      <c r="I1551" s="60">
        <v>0</v>
      </c>
      <c r="J1551" s="60">
        <v>0</v>
      </c>
      <c r="K1551" s="61">
        <v>1</v>
      </c>
      <c r="L1551" s="60">
        <v>2207168.4</v>
      </c>
      <c r="M1551" s="60">
        <v>0</v>
      </c>
      <c r="N1551" s="60">
        <v>0</v>
      </c>
      <c r="O1551" s="60">
        <v>0</v>
      </c>
      <c r="P1551" s="60">
        <v>0</v>
      </c>
      <c r="Q1551" s="60">
        <v>0</v>
      </c>
      <c r="R1551" s="60">
        <v>0</v>
      </c>
      <c r="S1551" s="60">
        <v>0</v>
      </c>
      <c r="T1551" s="60">
        <v>0</v>
      </c>
      <c r="U1551" s="60">
        <v>0</v>
      </c>
      <c r="V1551" s="60">
        <v>0</v>
      </c>
      <c r="W1551" s="60">
        <v>0</v>
      </c>
      <c r="X1551" s="60">
        <v>0</v>
      </c>
      <c r="Y1551" s="60">
        <v>0</v>
      </c>
      <c r="Z1551" s="60">
        <v>0</v>
      </c>
      <c r="AA1551" s="60">
        <v>0</v>
      </c>
      <c r="AB1551" s="60">
        <v>0</v>
      </c>
      <c r="AC1551" s="60">
        <f t="shared" si="319"/>
        <v>0</v>
      </c>
      <c r="AD1551" s="60">
        <v>0</v>
      </c>
      <c r="AE1551" s="60">
        <v>0</v>
      </c>
      <c r="AF1551" s="170" t="s">
        <v>257</v>
      </c>
      <c r="AG1551" s="170">
        <v>2021</v>
      </c>
      <c r="AH1551" s="63" t="s">
        <v>257</v>
      </c>
    </row>
    <row r="1552" spans="1:34" ht="61.5" x14ac:dyDescent="0.85">
      <c r="A1552" s="7">
        <v>1</v>
      </c>
      <c r="B1552" s="59">
        <f>SUBTOTAL(103,$A$1495:A1552)</f>
        <v>55</v>
      </c>
      <c r="C1552" s="186" t="s">
        <v>2508</v>
      </c>
      <c r="D1552" s="60">
        <f t="shared" si="318"/>
        <v>11432166</v>
      </c>
      <c r="E1552" s="60">
        <v>0</v>
      </c>
      <c r="F1552" s="60">
        <v>0</v>
      </c>
      <c r="G1552" s="60">
        <v>0</v>
      </c>
      <c r="H1552" s="60">
        <v>0</v>
      </c>
      <c r="I1552" s="60">
        <v>0</v>
      </c>
      <c r="J1552" s="60">
        <v>0</v>
      </c>
      <c r="K1552" s="61">
        <v>5</v>
      </c>
      <c r="L1552" s="60">
        <f>2286433.2*5</f>
        <v>11432166</v>
      </c>
      <c r="M1552" s="60">
        <v>0</v>
      </c>
      <c r="N1552" s="60">
        <v>0</v>
      </c>
      <c r="O1552" s="60">
        <v>0</v>
      </c>
      <c r="P1552" s="60">
        <v>0</v>
      </c>
      <c r="Q1552" s="60">
        <v>0</v>
      </c>
      <c r="R1552" s="60">
        <v>0</v>
      </c>
      <c r="S1552" s="60">
        <v>0</v>
      </c>
      <c r="T1552" s="60">
        <v>0</v>
      </c>
      <c r="U1552" s="60">
        <v>0</v>
      </c>
      <c r="V1552" s="60">
        <v>0</v>
      </c>
      <c r="W1552" s="60">
        <v>0</v>
      </c>
      <c r="X1552" s="60">
        <v>0</v>
      </c>
      <c r="Y1552" s="60">
        <v>0</v>
      </c>
      <c r="Z1552" s="60">
        <v>0</v>
      </c>
      <c r="AA1552" s="60">
        <v>0</v>
      </c>
      <c r="AB1552" s="60">
        <v>0</v>
      </c>
      <c r="AC1552" s="60">
        <f t="shared" si="319"/>
        <v>0</v>
      </c>
      <c r="AD1552" s="60">
        <v>0</v>
      </c>
      <c r="AE1552" s="60">
        <v>0</v>
      </c>
      <c r="AF1552" s="170" t="s">
        <v>257</v>
      </c>
      <c r="AG1552" s="170">
        <v>2021</v>
      </c>
      <c r="AH1552" s="63" t="s">
        <v>257</v>
      </c>
    </row>
    <row r="1553" spans="1:34" ht="61.5" x14ac:dyDescent="0.85">
      <c r="A1553" s="7">
        <v>1</v>
      </c>
      <c r="B1553" s="59">
        <f>SUBTOTAL(103,$A$1495:A1553)</f>
        <v>56</v>
      </c>
      <c r="C1553" s="186" t="s">
        <v>2509</v>
      </c>
      <c r="D1553" s="60">
        <f t="shared" si="318"/>
        <v>9134438.4000000004</v>
      </c>
      <c r="E1553" s="60">
        <v>0</v>
      </c>
      <c r="F1553" s="60">
        <v>0</v>
      </c>
      <c r="G1553" s="60">
        <v>0</v>
      </c>
      <c r="H1553" s="60">
        <v>0</v>
      </c>
      <c r="I1553" s="60">
        <v>0</v>
      </c>
      <c r="J1553" s="60">
        <v>0</v>
      </c>
      <c r="K1553" s="61">
        <v>4</v>
      </c>
      <c r="L1553" s="60">
        <f>2283609.6*4</f>
        <v>9134438.4000000004</v>
      </c>
      <c r="M1553" s="60">
        <v>0</v>
      </c>
      <c r="N1553" s="60">
        <v>0</v>
      </c>
      <c r="O1553" s="60">
        <v>0</v>
      </c>
      <c r="P1553" s="60">
        <v>0</v>
      </c>
      <c r="Q1553" s="60">
        <v>0</v>
      </c>
      <c r="R1553" s="60">
        <v>0</v>
      </c>
      <c r="S1553" s="60">
        <v>0</v>
      </c>
      <c r="T1553" s="60">
        <v>0</v>
      </c>
      <c r="U1553" s="60">
        <v>0</v>
      </c>
      <c r="V1553" s="60">
        <v>0</v>
      </c>
      <c r="W1553" s="60">
        <v>0</v>
      </c>
      <c r="X1553" s="60">
        <v>0</v>
      </c>
      <c r="Y1553" s="60">
        <v>0</v>
      </c>
      <c r="Z1553" s="60">
        <v>0</v>
      </c>
      <c r="AA1553" s="60">
        <v>0</v>
      </c>
      <c r="AB1553" s="60">
        <v>0</v>
      </c>
      <c r="AC1553" s="60">
        <f t="shared" si="319"/>
        <v>0</v>
      </c>
      <c r="AD1553" s="60">
        <v>0</v>
      </c>
      <c r="AE1553" s="60">
        <v>0</v>
      </c>
      <c r="AF1553" s="170" t="s">
        <v>257</v>
      </c>
      <c r="AG1553" s="170">
        <v>2021</v>
      </c>
      <c r="AH1553" s="63" t="s">
        <v>257</v>
      </c>
    </row>
    <row r="1554" spans="1:34" ht="61.5" x14ac:dyDescent="0.85">
      <c r="A1554" s="7">
        <v>1</v>
      </c>
      <c r="B1554" s="59">
        <f>SUBTOTAL(103,$A$1495:A1554)</f>
        <v>57</v>
      </c>
      <c r="C1554" s="186" t="s">
        <v>2510</v>
      </c>
      <c r="D1554" s="60">
        <f t="shared" si="318"/>
        <v>6827144.3999999994</v>
      </c>
      <c r="E1554" s="60">
        <v>0</v>
      </c>
      <c r="F1554" s="60">
        <v>0</v>
      </c>
      <c r="G1554" s="60">
        <v>0</v>
      </c>
      <c r="H1554" s="60">
        <v>0</v>
      </c>
      <c r="I1554" s="60">
        <v>0</v>
      </c>
      <c r="J1554" s="60">
        <v>0</v>
      </c>
      <c r="K1554" s="61">
        <v>3</v>
      </c>
      <c r="L1554" s="60">
        <f>2275714.8*3</f>
        <v>6827144.3999999994</v>
      </c>
      <c r="M1554" s="60">
        <v>0</v>
      </c>
      <c r="N1554" s="60">
        <v>0</v>
      </c>
      <c r="O1554" s="60">
        <v>0</v>
      </c>
      <c r="P1554" s="60">
        <v>0</v>
      </c>
      <c r="Q1554" s="60">
        <v>0</v>
      </c>
      <c r="R1554" s="60">
        <v>0</v>
      </c>
      <c r="S1554" s="60">
        <v>0</v>
      </c>
      <c r="T1554" s="60">
        <v>0</v>
      </c>
      <c r="U1554" s="60">
        <v>0</v>
      </c>
      <c r="V1554" s="60">
        <v>0</v>
      </c>
      <c r="W1554" s="60">
        <v>0</v>
      </c>
      <c r="X1554" s="60">
        <v>0</v>
      </c>
      <c r="Y1554" s="60">
        <v>0</v>
      </c>
      <c r="Z1554" s="60">
        <v>0</v>
      </c>
      <c r="AA1554" s="60">
        <v>0</v>
      </c>
      <c r="AB1554" s="60">
        <v>0</v>
      </c>
      <c r="AC1554" s="60">
        <f t="shared" si="319"/>
        <v>0</v>
      </c>
      <c r="AD1554" s="60">
        <v>0</v>
      </c>
      <c r="AE1554" s="60">
        <v>0</v>
      </c>
      <c r="AF1554" s="170" t="s">
        <v>257</v>
      </c>
      <c r="AG1554" s="170">
        <v>2021</v>
      </c>
      <c r="AH1554" s="63" t="s">
        <v>257</v>
      </c>
    </row>
    <row r="1555" spans="1:34" ht="61.5" x14ac:dyDescent="0.85">
      <c r="B1555" s="160" t="s">
        <v>2968</v>
      </c>
      <c r="C1555" s="160"/>
      <c r="D1555" s="177">
        <f>D1556</f>
        <v>66104426.88000001</v>
      </c>
      <c r="E1555" s="60">
        <f t="shared" ref="E1555:AE1555" si="320">E1556</f>
        <v>0</v>
      </c>
      <c r="F1555" s="60">
        <f t="shared" si="320"/>
        <v>0</v>
      </c>
      <c r="G1555" s="60">
        <f t="shared" si="320"/>
        <v>0</v>
      </c>
      <c r="H1555" s="60">
        <f t="shared" si="320"/>
        <v>0</v>
      </c>
      <c r="I1555" s="60">
        <f t="shared" si="320"/>
        <v>0</v>
      </c>
      <c r="J1555" s="60">
        <f t="shared" si="320"/>
        <v>0</v>
      </c>
      <c r="K1555" s="61">
        <f t="shared" si="320"/>
        <v>23</v>
      </c>
      <c r="L1555" s="60">
        <f t="shared" si="320"/>
        <v>66104426.88000001</v>
      </c>
      <c r="M1555" s="60">
        <f t="shared" si="320"/>
        <v>0</v>
      </c>
      <c r="N1555" s="60">
        <f t="shared" si="320"/>
        <v>0</v>
      </c>
      <c r="O1555" s="60">
        <f t="shared" si="320"/>
        <v>0</v>
      </c>
      <c r="P1555" s="60">
        <f t="shared" si="320"/>
        <v>0</v>
      </c>
      <c r="Q1555" s="60">
        <f t="shared" si="320"/>
        <v>0</v>
      </c>
      <c r="R1555" s="60">
        <f t="shared" si="320"/>
        <v>0</v>
      </c>
      <c r="S1555" s="60">
        <f t="shared" si="320"/>
        <v>0</v>
      </c>
      <c r="T1555" s="60">
        <f t="shared" si="320"/>
        <v>0</v>
      </c>
      <c r="U1555" s="60">
        <f t="shared" si="320"/>
        <v>0</v>
      </c>
      <c r="V1555" s="60">
        <f t="shared" si="320"/>
        <v>0</v>
      </c>
      <c r="W1555" s="60">
        <f t="shared" si="320"/>
        <v>0</v>
      </c>
      <c r="X1555" s="60">
        <f t="shared" si="320"/>
        <v>0</v>
      </c>
      <c r="Y1555" s="60">
        <f t="shared" si="320"/>
        <v>0</v>
      </c>
      <c r="Z1555" s="60">
        <f t="shared" si="320"/>
        <v>0</v>
      </c>
      <c r="AA1555" s="60">
        <f t="shared" si="320"/>
        <v>0</v>
      </c>
      <c r="AB1555" s="60">
        <f t="shared" si="320"/>
        <v>0</v>
      </c>
      <c r="AC1555" s="60">
        <f t="shared" si="320"/>
        <v>0</v>
      </c>
      <c r="AD1555" s="60">
        <f t="shared" si="320"/>
        <v>0</v>
      </c>
      <c r="AE1555" s="60">
        <f t="shared" si="320"/>
        <v>0</v>
      </c>
      <c r="AF1555" s="202" t="s">
        <v>701</v>
      </c>
      <c r="AG1555" s="202" t="s">
        <v>701</v>
      </c>
      <c r="AH1555" s="207" t="s">
        <v>701</v>
      </c>
    </row>
    <row r="1556" spans="1:34" ht="61.5" x14ac:dyDescent="0.85">
      <c r="B1556" s="160" t="s">
        <v>1027</v>
      </c>
      <c r="C1556" s="160"/>
      <c r="D1556" s="177">
        <f>SUM(D1557:D1567)</f>
        <v>66104426.88000001</v>
      </c>
      <c r="E1556" s="60">
        <f t="shared" ref="E1556:AE1556" si="321">SUM(E1557:E1567)</f>
        <v>0</v>
      </c>
      <c r="F1556" s="60">
        <f t="shared" si="321"/>
        <v>0</v>
      </c>
      <c r="G1556" s="60">
        <f t="shared" si="321"/>
        <v>0</v>
      </c>
      <c r="H1556" s="60">
        <f t="shared" si="321"/>
        <v>0</v>
      </c>
      <c r="I1556" s="60">
        <f t="shared" si="321"/>
        <v>0</v>
      </c>
      <c r="J1556" s="60">
        <f t="shared" si="321"/>
        <v>0</v>
      </c>
      <c r="K1556" s="61">
        <f t="shared" si="321"/>
        <v>23</v>
      </c>
      <c r="L1556" s="60">
        <f t="shared" si="321"/>
        <v>66104426.88000001</v>
      </c>
      <c r="M1556" s="60">
        <f t="shared" si="321"/>
        <v>0</v>
      </c>
      <c r="N1556" s="60">
        <f t="shared" si="321"/>
        <v>0</v>
      </c>
      <c r="O1556" s="60">
        <f t="shared" si="321"/>
        <v>0</v>
      </c>
      <c r="P1556" s="60">
        <f t="shared" si="321"/>
        <v>0</v>
      </c>
      <c r="Q1556" s="60">
        <f t="shared" si="321"/>
        <v>0</v>
      </c>
      <c r="R1556" s="60">
        <f t="shared" si="321"/>
        <v>0</v>
      </c>
      <c r="S1556" s="60">
        <f t="shared" si="321"/>
        <v>0</v>
      </c>
      <c r="T1556" s="60">
        <f t="shared" si="321"/>
        <v>0</v>
      </c>
      <c r="U1556" s="60">
        <f t="shared" si="321"/>
        <v>0</v>
      </c>
      <c r="V1556" s="60">
        <f t="shared" si="321"/>
        <v>0</v>
      </c>
      <c r="W1556" s="60">
        <f t="shared" si="321"/>
        <v>0</v>
      </c>
      <c r="X1556" s="60">
        <f t="shared" si="321"/>
        <v>0</v>
      </c>
      <c r="Y1556" s="60">
        <f t="shared" si="321"/>
        <v>0</v>
      </c>
      <c r="Z1556" s="60">
        <f t="shared" si="321"/>
        <v>0</v>
      </c>
      <c r="AA1556" s="60">
        <f t="shared" si="321"/>
        <v>0</v>
      </c>
      <c r="AB1556" s="60">
        <f t="shared" si="321"/>
        <v>0</v>
      </c>
      <c r="AC1556" s="60">
        <f t="shared" si="321"/>
        <v>0</v>
      </c>
      <c r="AD1556" s="60">
        <f t="shared" si="321"/>
        <v>0</v>
      </c>
      <c r="AE1556" s="60">
        <f t="shared" si="321"/>
        <v>0</v>
      </c>
      <c r="AF1556" s="202" t="s">
        <v>701</v>
      </c>
      <c r="AG1556" s="202" t="s">
        <v>701</v>
      </c>
      <c r="AH1556" s="207" t="s">
        <v>701</v>
      </c>
    </row>
    <row r="1557" spans="1:34" ht="61.5" x14ac:dyDescent="0.85">
      <c r="B1557" s="59">
        <v>1</v>
      </c>
      <c r="C1557" s="186" t="s">
        <v>2692</v>
      </c>
      <c r="D1557" s="60">
        <f t="shared" ref="D1557:D1567" si="322">E1557+F1557+G1557+H1557+I1557+J1557+L1557+N1557+P1557+R1557+T1557+U1557+V1557+W1557+X1557+Y1557+Z1557+AA1557+AB1557+AC1557+AD1557+AE1557</f>
        <v>2068500</v>
      </c>
      <c r="E1557" s="60">
        <v>0</v>
      </c>
      <c r="F1557" s="60">
        <v>0</v>
      </c>
      <c r="G1557" s="60">
        <v>0</v>
      </c>
      <c r="H1557" s="60">
        <v>0</v>
      </c>
      <c r="I1557" s="60">
        <v>0</v>
      </c>
      <c r="J1557" s="60">
        <v>0</v>
      </c>
      <c r="K1557" s="61">
        <v>1</v>
      </c>
      <c r="L1557" s="60">
        <v>2068500</v>
      </c>
      <c r="M1557" s="60">
        <v>0</v>
      </c>
      <c r="N1557" s="60">
        <v>0</v>
      </c>
      <c r="O1557" s="60">
        <v>0</v>
      </c>
      <c r="P1557" s="60">
        <v>0</v>
      </c>
      <c r="Q1557" s="60">
        <v>0</v>
      </c>
      <c r="R1557" s="60">
        <v>0</v>
      </c>
      <c r="S1557" s="60">
        <v>0</v>
      </c>
      <c r="T1557" s="60">
        <v>0</v>
      </c>
      <c r="U1557" s="60">
        <v>0</v>
      </c>
      <c r="V1557" s="60">
        <v>0</v>
      </c>
      <c r="W1557" s="60">
        <v>0</v>
      </c>
      <c r="X1557" s="60">
        <v>0</v>
      </c>
      <c r="Y1557" s="60">
        <v>0</v>
      </c>
      <c r="Z1557" s="60">
        <v>0</v>
      </c>
      <c r="AA1557" s="60">
        <v>0</v>
      </c>
      <c r="AB1557" s="60">
        <v>0</v>
      </c>
      <c r="AC1557" s="60">
        <v>0</v>
      </c>
      <c r="AD1557" s="60">
        <v>0</v>
      </c>
      <c r="AE1557" s="60">
        <v>0</v>
      </c>
      <c r="AF1557" s="170" t="s">
        <v>257</v>
      </c>
      <c r="AG1557" s="170">
        <v>2022</v>
      </c>
      <c r="AH1557" s="170" t="s">
        <v>257</v>
      </c>
    </row>
    <row r="1558" spans="1:34" ht="61.5" x14ac:dyDescent="0.85">
      <c r="B1558" s="59">
        <v>2</v>
      </c>
      <c r="C1558" s="186" t="s">
        <v>2202</v>
      </c>
      <c r="D1558" s="60">
        <f t="shared" si="322"/>
        <v>4773629.5999999996</v>
      </c>
      <c r="E1558" s="60">
        <v>0</v>
      </c>
      <c r="F1558" s="60">
        <v>0</v>
      </c>
      <c r="G1558" s="60">
        <v>0</v>
      </c>
      <c r="H1558" s="60">
        <v>0</v>
      </c>
      <c r="I1558" s="60">
        <v>0</v>
      </c>
      <c r="J1558" s="60">
        <v>0</v>
      </c>
      <c r="K1558" s="61">
        <v>2</v>
      </c>
      <c r="L1558" s="60">
        <v>4773629.5999999996</v>
      </c>
      <c r="M1558" s="60">
        <v>0</v>
      </c>
      <c r="N1558" s="60">
        <v>0</v>
      </c>
      <c r="O1558" s="60">
        <v>0</v>
      </c>
      <c r="P1558" s="60">
        <v>0</v>
      </c>
      <c r="Q1558" s="60">
        <v>0</v>
      </c>
      <c r="R1558" s="60">
        <v>0</v>
      </c>
      <c r="S1558" s="60">
        <v>0</v>
      </c>
      <c r="T1558" s="60">
        <v>0</v>
      </c>
      <c r="U1558" s="60">
        <v>0</v>
      </c>
      <c r="V1558" s="60">
        <v>0</v>
      </c>
      <c r="W1558" s="60">
        <v>0</v>
      </c>
      <c r="X1558" s="60">
        <v>0</v>
      </c>
      <c r="Y1558" s="60">
        <v>0</v>
      </c>
      <c r="Z1558" s="60">
        <v>0</v>
      </c>
      <c r="AA1558" s="60">
        <v>0</v>
      </c>
      <c r="AB1558" s="60">
        <v>0</v>
      </c>
      <c r="AC1558" s="60">
        <v>0</v>
      </c>
      <c r="AD1558" s="60">
        <v>0</v>
      </c>
      <c r="AE1558" s="60">
        <v>0</v>
      </c>
      <c r="AF1558" s="170" t="s">
        <v>257</v>
      </c>
      <c r="AG1558" s="170">
        <v>2022</v>
      </c>
      <c r="AH1558" s="170" t="s">
        <v>257</v>
      </c>
    </row>
    <row r="1559" spans="1:34" ht="61.5" x14ac:dyDescent="0.85">
      <c r="B1559" s="59">
        <v>3</v>
      </c>
      <c r="C1559" s="186" t="s">
        <v>3211</v>
      </c>
      <c r="D1559" s="60">
        <f t="shared" si="322"/>
        <v>11063982</v>
      </c>
      <c r="E1559" s="60">
        <v>0</v>
      </c>
      <c r="F1559" s="60">
        <v>0</v>
      </c>
      <c r="G1559" s="60">
        <v>0</v>
      </c>
      <c r="H1559" s="60">
        <v>0</v>
      </c>
      <c r="I1559" s="60">
        <v>0</v>
      </c>
      <c r="J1559" s="60">
        <v>0</v>
      </c>
      <c r="K1559" s="61">
        <v>4</v>
      </c>
      <c r="L1559" s="60">
        <v>11063982</v>
      </c>
      <c r="M1559" s="60">
        <v>0</v>
      </c>
      <c r="N1559" s="60">
        <v>0</v>
      </c>
      <c r="O1559" s="60">
        <v>0</v>
      </c>
      <c r="P1559" s="60">
        <v>0</v>
      </c>
      <c r="Q1559" s="60">
        <v>0</v>
      </c>
      <c r="R1559" s="60">
        <v>0</v>
      </c>
      <c r="S1559" s="60">
        <v>0</v>
      </c>
      <c r="T1559" s="60">
        <v>0</v>
      </c>
      <c r="U1559" s="60">
        <v>0</v>
      </c>
      <c r="V1559" s="60">
        <v>0</v>
      </c>
      <c r="W1559" s="60">
        <v>0</v>
      </c>
      <c r="X1559" s="60">
        <v>0</v>
      </c>
      <c r="Y1559" s="60">
        <v>0</v>
      </c>
      <c r="Z1559" s="60">
        <v>0</v>
      </c>
      <c r="AA1559" s="60">
        <v>0</v>
      </c>
      <c r="AB1559" s="60">
        <v>0</v>
      </c>
      <c r="AC1559" s="60">
        <v>0</v>
      </c>
      <c r="AD1559" s="60">
        <v>0</v>
      </c>
      <c r="AE1559" s="60">
        <v>0</v>
      </c>
      <c r="AF1559" s="170" t="s">
        <v>257</v>
      </c>
      <c r="AG1559" s="170">
        <v>2022</v>
      </c>
      <c r="AH1559" s="170" t="s">
        <v>257</v>
      </c>
    </row>
    <row r="1560" spans="1:34" ht="61.5" x14ac:dyDescent="0.85">
      <c r="B1560" s="59">
        <v>4</v>
      </c>
      <c r="C1560" s="186" t="s">
        <v>3278</v>
      </c>
      <c r="D1560" s="60">
        <f t="shared" si="322"/>
        <v>8976711.5999999996</v>
      </c>
      <c r="E1560" s="60">
        <v>0</v>
      </c>
      <c r="F1560" s="60">
        <v>0</v>
      </c>
      <c r="G1560" s="60">
        <v>0</v>
      </c>
      <c r="H1560" s="60">
        <v>0</v>
      </c>
      <c r="I1560" s="60">
        <v>0</v>
      </c>
      <c r="J1560" s="60">
        <v>0</v>
      </c>
      <c r="K1560" s="61">
        <v>3</v>
      </c>
      <c r="L1560" s="60">
        <v>8976711.5999999996</v>
      </c>
      <c r="M1560" s="60">
        <v>0</v>
      </c>
      <c r="N1560" s="60">
        <v>0</v>
      </c>
      <c r="O1560" s="60">
        <v>0</v>
      </c>
      <c r="P1560" s="60">
        <v>0</v>
      </c>
      <c r="Q1560" s="60">
        <v>0</v>
      </c>
      <c r="R1560" s="60">
        <v>0</v>
      </c>
      <c r="S1560" s="60">
        <v>0</v>
      </c>
      <c r="T1560" s="60">
        <v>0</v>
      </c>
      <c r="U1560" s="60">
        <v>0</v>
      </c>
      <c r="V1560" s="60">
        <v>0</v>
      </c>
      <c r="W1560" s="60">
        <v>0</v>
      </c>
      <c r="X1560" s="60">
        <v>0</v>
      </c>
      <c r="Y1560" s="60">
        <v>0</v>
      </c>
      <c r="Z1560" s="60">
        <v>0</v>
      </c>
      <c r="AA1560" s="60">
        <v>0</v>
      </c>
      <c r="AB1560" s="60">
        <v>0</v>
      </c>
      <c r="AC1560" s="60">
        <v>0</v>
      </c>
      <c r="AD1560" s="60">
        <v>0</v>
      </c>
      <c r="AE1560" s="60">
        <v>0</v>
      </c>
      <c r="AF1560" s="170" t="s">
        <v>257</v>
      </c>
      <c r="AG1560" s="170">
        <v>2022</v>
      </c>
      <c r="AH1560" s="170" t="s">
        <v>257</v>
      </c>
    </row>
    <row r="1561" spans="1:34" ht="61.5" x14ac:dyDescent="0.85">
      <c r="B1561" s="59">
        <v>5</v>
      </c>
      <c r="C1561" s="186" t="s">
        <v>3279</v>
      </c>
      <c r="D1561" s="60">
        <f t="shared" si="322"/>
        <v>6049670.4000000004</v>
      </c>
      <c r="E1561" s="60">
        <v>0</v>
      </c>
      <c r="F1561" s="60">
        <v>0</v>
      </c>
      <c r="G1561" s="60">
        <v>0</v>
      </c>
      <c r="H1561" s="60">
        <v>0</v>
      </c>
      <c r="I1561" s="60">
        <v>0</v>
      </c>
      <c r="J1561" s="60">
        <v>0</v>
      </c>
      <c r="K1561" s="61">
        <v>2</v>
      </c>
      <c r="L1561" s="60">
        <v>6049670.4000000004</v>
      </c>
      <c r="M1561" s="60">
        <v>0</v>
      </c>
      <c r="N1561" s="60">
        <v>0</v>
      </c>
      <c r="O1561" s="60">
        <v>0</v>
      </c>
      <c r="P1561" s="60">
        <v>0</v>
      </c>
      <c r="Q1561" s="60">
        <v>0</v>
      </c>
      <c r="R1561" s="60">
        <v>0</v>
      </c>
      <c r="S1561" s="60">
        <v>0</v>
      </c>
      <c r="T1561" s="60">
        <v>0</v>
      </c>
      <c r="U1561" s="60">
        <v>0</v>
      </c>
      <c r="V1561" s="60">
        <v>0</v>
      </c>
      <c r="W1561" s="60">
        <v>0</v>
      </c>
      <c r="X1561" s="60">
        <v>0</v>
      </c>
      <c r="Y1561" s="60">
        <v>0</v>
      </c>
      <c r="Z1561" s="60">
        <v>0</v>
      </c>
      <c r="AA1561" s="60">
        <v>0</v>
      </c>
      <c r="AB1561" s="60">
        <v>0</v>
      </c>
      <c r="AC1561" s="60">
        <v>0</v>
      </c>
      <c r="AD1561" s="60">
        <v>0</v>
      </c>
      <c r="AE1561" s="60">
        <v>0</v>
      </c>
      <c r="AF1561" s="170" t="s">
        <v>257</v>
      </c>
      <c r="AG1561" s="170">
        <v>2022</v>
      </c>
      <c r="AH1561" s="170" t="s">
        <v>257</v>
      </c>
    </row>
    <row r="1562" spans="1:34" ht="61.5" x14ac:dyDescent="0.85">
      <c r="B1562" s="59">
        <v>6</v>
      </c>
      <c r="C1562" s="186" t="s">
        <v>3280</v>
      </c>
      <c r="D1562" s="60">
        <f t="shared" si="322"/>
        <v>3068798.4</v>
      </c>
      <c r="E1562" s="60">
        <v>0</v>
      </c>
      <c r="F1562" s="60">
        <v>0</v>
      </c>
      <c r="G1562" s="60">
        <v>0</v>
      </c>
      <c r="H1562" s="60">
        <v>0</v>
      </c>
      <c r="I1562" s="60">
        <v>0</v>
      </c>
      <c r="J1562" s="60">
        <v>0</v>
      </c>
      <c r="K1562" s="61">
        <v>1</v>
      </c>
      <c r="L1562" s="60">
        <v>3068798.4</v>
      </c>
      <c r="M1562" s="60">
        <v>0</v>
      </c>
      <c r="N1562" s="60">
        <v>0</v>
      </c>
      <c r="O1562" s="60">
        <v>0</v>
      </c>
      <c r="P1562" s="60">
        <v>0</v>
      </c>
      <c r="Q1562" s="60">
        <v>0</v>
      </c>
      <c r="R1562" s="60">
        <v>0</v>
      </c>
      <c r="S1562" s="60">
        <v>0</v>
      </c>
      <c r="T1562" s="60">
        <v>0</v>
      </c>
      <c r="U1562" s="60">
        <v>0</v>
      </c>
      <c r="V1562" s="60">
        <v>0</v>
      </c>
      <c r="W1562" s="60">
        <v>0</v>
      </c>
      <c r="X1562" s="60">
        <v>0</v>
      </c>
      <c r="Y1562" s="60">
        <v>0</v>
      </c>
      <c r="Z1562" s="60">
        <v>0</v>
      </c>
      <c r="AA1562" s="60">
        <v>0</v>
      </c>
      <c r="AB1562" s="60">
        <v>0</v>
      </c>
      <c r="AC1562" s="60">
        <v>0</v>
      </c>
      <c r="AD1562" s="60">
        <v>0</v>
      </c>
      <c r="AE1562" s="60">
        <v>0</v>
      </c>
      <c r="AF1562" s="170" t="s">
        <v>257</v>
      </c>
      <c r="AG1562" s="170">
        <v>2022</v>
      </c>
      <c r="AH1562" s="170" t="s">
        <v>257</v>
      </c>
    </row>
    <row r="1563" spans="1:34" ht="61.5" x14ac:dyDescent="0.85">
      <c r="B1563" s="59">
        <v>7</v>
      </c>
      <c r="C1563" s="186" t="s">
        <v>3281</v>
      </c>
      <c r="D1563" s="60">
        <f t="shared" si="322"/>
        <v>6087081.5999999996</v>
      </c>
      <c r="E1563" s="60">
        <v>0</v>
      </c>
      <c r="F1563" s="60">
        <v>0</v>
      </c>
      <c r="G1563" s="60">
        <v>0</v>
      </c>
      <c r="H1563" s="60">
        <v>0</v>
      </c>
      <c r="I1563" s="60">
        <v>0</v>
      </c>
      <c r="J1563" s="60">
        <v>0</v>
      </c>
      <c r="K1563" s="61">
        <v>2</v>
      </c>
      <c r="L1563" s="60">
        <v>6087081.5999999996</v>
      </c>
      <c r="M1563" s="60">
        <v>0</v>
      </c>
      <c r="N1563" s="60">
        <v>0</v>
      </c>
      <c r="O1563" s="60">
        <v>0</v>
      </c>
      <c r="P1563" s="60">
        <v>0</v>
      </c>
      <c r="Q1563" s="60">
        <v>0</v>
      </c>
      <c r="R1563" s="60">
        <v>0</v>
      </c>
      <c r="S1563" s="60">
        <v>0</v>
      </c>
      <c r="T1563" s="60">
        <v>0</v>
      </c>
      <c r="U1563" s="60">
        <v>0</v>
      </c>
      <c r="V1563" s="60">
        <v>0</v>
      </c>
      <c r="W1563" s="60">
        <v>0</v>
      </c>
      <c r="X1563" s="60">
        <v>0</v>
      </c>
      <c r="Y1563" s="60">
        <v>0</v>
      </c>
      <c r="Z1563" s="60">
        <v>0</v>
      </c>
      <c r="AA1563" s="60">
        <v>0</v>
      </c>
      <c r="AB1563" s="60">
        <v>0</v>
      </c>
      <c r="AC1563" s="60">
        <v>0</v>
      </c>
      <c r="AD1563" s="60">
        <v>0</v>
      </c>
      <c r="AE1563" s="60">
        <v>0</v>
      </c>
      <c r="AF1563" s="170" t="s">
        <v>257</v>
      </c>
      <c r="AG1563" s="170">
        <v>2022</v>
      </c>
      <c r="AH1563" s="170" t="s">
        <v>257</v>
      </c>
    </row>
    <row r="1564" spans="1:34" ht="61.5" x14ac:dyDescent="0.85">
      <c r="B1564" s="59">
        <v>8</v>
      </c>
      <c r="C1564" s="186" t="s">
        <v>3282</v>
      </c>
      <c r="D1564" s="60">
        <f t="shared" si="322"/>
        <v>9156214.8000000007</v>
      </c>
      <c r="E1564" s="60">
        <v>0</v>
      </c>
      <c r="F1564" s="60">
        <v>0</v>
      </c>
      <c r="G1564" s="60">
        <v>0</v>
      </c>
      <c r="H1564" s="60">
        <v>0</v>
      </c>
      <c r="I1564" s="60">
        <v>0</v>
      </c>
      <c r="J1564" s="60">
        <v>0</v>
      </c>
      <c r="K1564" s="61">
        <v>3</v>
      </c>
      <c r="L1564" s="60">
        <v>9156214.8000000007</v>
      </c>
      <c r="M1564" s="60">
        <v>0</v>
      </c>
      <c r="N1564" s="60">
        <v>0</v>
      </c>
      <c r="O1564" s="60">
        <v>0</v>
      </c>
      <c r="P1564" s="60">
        <v>0</v>
      </c>
      <c r="Q1564" s="60">
        <v>0</v>
      </c>
      <c r="R1564" s="60">
        <v>0</v>
      </c>
      <c r="S1564" s="60">
        <v>0</v>
      </c>
      <c r="T1564" s="60">
        <v>0</v>
      </c>
      <c r="U1564" s="60">
        <v>0</v>
      </c>
      <c r="V1564" s="60">
        <v>0</v>
      </c>
      <c r="W1564" s="60">
        <v>0</v>
      </c>
      <c r="X1564" s="60">
        <v>0</v>
      </c>
      <c r="Y1564" s="60">
        <v>0</v>
      </c>
      <c r="Z1564" s="60">
        <v>0</v>
      </c>
      <c r="AA1564" s="60">
        <v>0</v>
      </c>
      <c r="AB1564" s="60">
        <v>0</v>
      </c>
      <c r="AC1564" s="60">
        <v>0</v>
      </c>
      <c r="AD1564" s="60">
        <v>0</v>
      </c>
      <c r="AE1564" s="60">
        <v>0</v>
      </c>
      <c r="AF1564" s="170" t="s">
        <v>257</v>
      </c>
      <c r="AG1564" s="170">
        <v>2022</v>
      </c>
      <c r="AH1564" s="170" t="s">
        <v>257</v>
      </c>
    </row>
    <row r="1565" spans="1:34" ht="61.5" x14ac:dyDescent="0.85">
      <c r="B1565" s="59">
        <v>9</v>
      </c>
      <c r="C1565" s="186" t="s">
        <v>3283</v>
      </c>
      <c r="D1565" s="60">
        <f t="shared" si="322"/>
        <v>6059719.2000000002</v>
      </c>
      <c r="E1565" s="60">
        <v>0</v>
      </c>
      <c r="F1565" s="60">
        <v>0</v>
      </c>
      <c r="G1565" s="60">
        <v>0</v>
      </c>
      <c r="H1565" s="60">
        <v>0</v>
      </c>
      <c r="I1565" s="60">
        <v>0</v>
      </c>
      <c r="J1565" s="60">
        <v>0</v>
      </c>
      <c r="K1565" s="61">
        <v>2</v>
      </c>
      <c r="L1565" s="60">
        <v>6059719.2000000002</v>
      </c>
      <c r="M1565" s="60">
        <v>0</v>
      </c>
      <c r="N1565" s="60">
        <v>0</v>
      </c>
      <c r="O1565" s="60">
        <v>0</v>
      </c>
      <c r="P1565" s="60">
        <v>0</v>
      </c>
      <c r="Q1565" s="60">
        <v>0</v>
      </c>
      <c r="R1565" s="60">
        <v>0</v>
      </c>
      <c r="S1565" s="60">
        <v>0</v>
      </c>
      <c r="T1565" s="60">
        <v>0</v>
      </c>
      <c r="U1565" s="60">
        <v>0</v>
      </c>
      <c r="V1565" s="60">
        <v>0</v>
      </c>
      <c r="W1565" s="60">
        <v>0</v>
      </c>
      <c r="X1565" s="60">
        <v>0</v>
      </c>
      <c r="Y1565" s="60">
        <v>0</v>
      </c>
      <c r="Z1565" s="60">
        <v>0</v>
      </c>
      <c r="AA1565" s="60">
        <v>0</v>
      </c>
      <c r="AB1565" s="60">
        <v>0</v>
      </c>
      <c r="AC1565" s="60">
        <v>0</v>
      </c>
      <c r="AD1565" s="60">
        <v>0</v>
      </c>
      <c r="AE1565" s="60">
        <v>0</v>
      </c>
      <c r="AF1565" s="170" t="s">
        <v>257</v>
      </c>
      <c r="AG1565" s="170">
        <v>2022</v>
      </c>
      <c r="AH1565" s="170" t="s">
        <v>257</v>
      </c>
    </row>
    <row r="1566" spans="1:34" ht="61.5" x14ac:dyDescent="0.85">
      <c r="B1566" s="59">
        <v>10</v>
      </c>
      <c r="C1566" s="186" t="s">
        <v>3284</v>
      </c>
      <c r="D1566" s="60">
        <f t="shared" si="322"/>
        <v>5709189.5999999996</v>
      </c>
      <c r="E1566" s="60">
        <v>0</v>
      </c>
      <c r="F1566" s="60">
        <v>0</v>
      </c>
      <c r="G1566" s="60">
        <v>0</v>
      </c>
      <c r="H1566" s="60">
        <v>0</v>
      </c>
      <c r="I1566" s="60">
        <v>0</v>
      </c>
      <c r="J1566" s="60">
        <v>0</v>
      </c>
      <c r="K1566" s="61">
        <v>2</v>
      </c>
      <c r="L1566" s="60">
        <v>5709189.5999999996</v>
      </c>
      <c r="M1566" s="60">
        <v>0</v>
      </c>
      <c r="N1566" s="60">
        <v>0</v>
      </c>
      <c r="O1566" s="60">
        <v>0</v>
      </c>
      <c r="P1566" s="60">
        <v>0</v>
      </c>
      <c r="Q1566" s="60">
        <v>0</v>
      </c>
      <c r="R1566" s="60">
        <v>0</v>
      </c>
      <c r="S1566" s="60">
        <v>0</v>
      </c>
      <c r="T1566" s="60">
        <v>0</v>
      </c>
      <c r="U1566" s="60">
        <v>0</v>
      </c>
      <c r="V1566" s="60">
        <v>0</v>
      </c>
      <c r="W1566" s="60">
        <v>0</v>
      </c>
      <c r="X1566" s="60">
        <v>0</v>
      </c>
      <c r="Y1566" s="60">
        <v>0</v>
      </c>
      <c r="Z1566" s="60">
        <v>0</v>
      </c>
      <c r="AA1566" s="60">
        <v>0</v>
      </c>
      <c r="AB1566" s="60">
        <v>0</v>
      </c>
      <c r="AC1566" s="60">
        <v>0</v>
      </c>
      <c r="AD1566" s="60">
        <v>0</v>
      </c>
      <c r="AE1566" s="60">
        <v>0</v>
      </c>
      <c r="AF1566" s="170" t="s">
        <v>257</v>
      </c>
      <c r="AG1566" s="170">
        <v>2022</v>
      </c>
      <c r="AH1566" s="170" t="s">
        <v>257</v>
      </c>
    </row>
    <row r="1567" spans="1:34" ht="61.5" x14ac:dyDescent="0.85">
      <c r="B1567" s="59">
        <v>11</v>
      </c>
      <c r="C1567" s="186" t="s">
        <v>3324</v>
      </c>
      <c r="D1567" s="60">
        <f t="shared" si="322"/>
        <v>3090929.68</v>
      </c>
      <c r="E1567" s="60">
        <v>0</v>
      </c>
      <c r="F1567" s="60">
        <v>0</v>
      </c>
      <c r="G1567" s="60">
        <v>0</v>
      </c>
      <c r="H1567" s="60">
        <v>0</v>
      </c>
      <c r="I1567" s="60">
        <v>0</v>
      </c>
      <c r="J1567" s="60">
        <v>0</v>
      </c>
      <c r="K1567" s="61">
        <v>1</v>
      </c>
      <c r="L1567" s="60">
        <v>3090929.68</v>
      </c>
      <c r="M1567" s="60">
        <v>0</v>
      </c>
      <c r="N1567" s="60">
        <v>0</v>
      </c>
      <c r="O1567" s="60">
        <v>0</v>
      </c>
      <c r="P1567" s="60">
        <v>0</v>
      </c>
      <c r="Q1567" s="60">
        <v>0</v>
      </c>
      <c r="R1567" s="60">
        <v>0</v>
      </c>
      <c r="S1567" s="60">
        <v>0</v>
      </c>
      <c r="T1567" s="60">
        <v>0</v>
      </c>
      <c r="U1567" s="60">
        <v>0</v>
      </c>
      <c r="V1567" s="60">
        <v>0</v>
      </c>
      <c r="W1567" s="60">
        <v>0</v>
      </c>
      <c r="X1567" s="60">
        <v>0</v>
      </c>
      <c r="Y1567" s="60">
        <v>0</v>
      </c>
      <c r="Z1567" s="60">
        <v>0</v>
      </c>
      <c r="AA1567" s="60">
        <v>0</v>
      </c>
      <c r="AB1567" s="60">
        <v>0</v>
      </c>
      <c r="AC1567" s="60">
        <v>0</v>
      </c>
      <c r="AD1567" s="60">
        <v>0</v>
      </c>
      <c r="AE1567" s="60">
        <v>0</v>
      </c>
      <c r="AF1567" s="170" t="s">
        <v>257</v>
      </c>
      <c r="AG1567" s="170">
        <v>2022</v>
      </c>
      <c r="AH1567" s="170" t="s">
        <v>257</v>
      </c>
    </row>
    <row r="1568" spans="1:34" s="68" customFormat="1" ht="189" customHeight="1" x14ac:dyDescent="0.3">
      <c r="B1568" s="324" t="s">
        <v>1787</v>
      </c>
      <c r="C1568" s="325"/>
      <c r="D1568" s="325"/>
      <c r="E1568" s="325"/>
      <c r="F1568" s="325"/>
      <c r="G1568" s="325"/>
      <c r="H1568" s="325"/>
      <c r="I1568" s="325"/>
      <c r="J1568" s="325"/>
      <c r="K1568" s="325"/>
      <c r="L1568" s="325"/>
      <c r="M1568" s="325"/>
      <c r="N1568" s="325"/>
      <c r="O1568" s="325"/>
      <c r="P1568" s="325"/>
      <c r="Q1568" s="325"/>
      <c r="R1568" s="325"/>
      <c r="S1568" s="325"/>
      <c r="T1568" s="325"/>
      <c r="U1568" s="325"/>
      <c r="V1568" s="325"/>
      <c r="W1568" s="325"/>
      <c r="X1568" s="325"/>
      <c r="Y1568" s="325"/>
      <c r="Z1568" s="325"/>
      <c r="AA1568" s="325"/>
      <c r="AB1568" s="325"/>
      <c r="AC1568" s="325"/>
      <c r="AD1568" s="325"/>
      <c r="AE1568" s="325"/>
      <c r="AF1568" s="325"/>
      <c r="AG1568" s="325"/>
      <c r="AH1568" s="326"/>
    </row>
    <row r="1569" spans="1:80" s="43" customFormat="1" ht="76.5" x14ac:dyDescent="0.25">
      <c r="B1569" s="311" t="s">
        <v>2298</v>
      </c>
      <c r="C1569" s="312"/>
      <c r="D1569" s="208">
        <f>D1570+D1579+D1596</f>
        <v>71426266.439999998</v>
      </c>
      <c r="E1569" s="188">
        <f t="shared" ref="E1569:AE1569" si="323">E1570+E1579+E1596</f>
        <v>0</v>
      </c>
      <c r="F1569" s="188">
        <f t="shared" si="323"/>
        <v>0</v>
      </c>
      <c r="G1569" s="188">
        <f t="shared" si="323"/>
        <v>1472849</v>
      </c>
      <c r="H1569" s="188">
        <f t="shared" si="323"/>
        <v>0</v>
      </c>
      <c r="I1569" s="188">
        <f t="shared" si="323"/>
        <v>1224682</v>
      </c>
      <c r="J1569" s="188">
        <f t="shared" si="323"/>
        <v>0</v>
      </c>
      <c r="K1569" s="225">
        <f t="shared" si="323"/>
        <v>0</v>
      </c>
      <c r="L1569" s="188">
        <f t="shared" si="323"/>
        <v>0</v>
      </c>
      <c r="M1569" s="188">
        <f t="shared" si="323"/>
        <v>13405.590000000002</v>
      </c>
      <c r="N1569" s="188">
        <f t="shared" si="323"/>
        <v>67680397.699999988</v>
      </c>
      <c r="O1569" s="188">
        <f t="shared" si="323"/>
        <v>0</v>
      </c>
      <c r="P1569" s="188">
        <f t="shared" si="323"/>
        <v>0</v>
      </c>
      <c r="Q1569" s="188">
        <f t="shared" si="323"/>
        <v>0</v>
      </c>
      <c r="R1569" s="188">
        <f t="shared" si="323"/>
        <v>0</v>
      </c>
      <c r="S1569" s="188">
        <f t="shared" si="323"/>
        <v>0</v>
      </c>
      <c r="T1569" s="188">
        <f t="shared" si="323"/>
        <v>0</v>
      </c>
      <c r="U1569" s="188">
        <f t="shared" si="323"/>
        <v>0</v>
      </c>
      <c r="V1569" s="188">
        <f t="shared" si="323"/>
        <v>0</v>
      </c>
      <c r="W1569" s="188">
        <f t="shared" si="323"/>
        <v>0</v>
      </c>
      <c r="X1569" s="188">
        <f t="shared" si="323"/>
        <v>0</v>
      </c>
      <c r="Y1569" s="188">
        <f t="shared" si="323"/>
        <v>0</v>
      </c>
      <c r="Z1569" s="188">
        <f t="shared" si="323"/>
        <v>0</v>
      </c>
      <c r="AA1569" s="188">
        <f t="shared" si="323"/>
        <v>0</v>
      </c>
      <c r="AB1569" s="188">
        <f t="shared" si="323"/>
        <v>0</v>
      </c>
      <c r="AC1569" s="188">
        <f t="shared" si="323"/>
        <v>804805.99</v>
      </c>
      <c r="AD1569" s="188">
        <f t="shared" si="323"/>
        <v>243531.75</v>
      </c>
      <c r="AE1569" s="188">
        <f t="shared" si="323"/>
        <v>0</v>
      </c>
      <c r="AF1569" s="202" t="s">
        <v>701</v>
      </c>
      <c r="AG1569" s="202" t="s">
        <v>701</v>
      </c>
      <c r="AH1569" s="207" t="s">
        <v>701</v>
      </c>
    </row>
    <row r="1570" spans="1:80" s="68" customFormat="1" ht="76.5" x14ac:dyDescent="0.3">
      <c r="B1570" s="311" t="s">
        <v>1560</v>
      </c>
      <c r="C1570" s="312"/>
      <c r="D1570" s="208">
        <f>D1571+D1577+D1575</f>
        <v>17288357.709999997</v>
      </c>
      <c r="E1570" s="201">
        <f t="shared" ref="E1570:AE1570" si="324">E1571+E1577+E1575</f>
        <v>0</v>
      </c>
      <c r="F1570" s="201">
        <f t="shared" si="324"/>
        <v>0</v>
      </c>
      <c r="G1570" s="201">
        <f t="shared" si="324"/>
        <v>994637</v>
      </c>
      <c r="H1570" s="201">
        <f t="shared" si="324"/>
        <v>0</v>
      </c>
      <c r="I1570" s="201">
        <f t="shared" si="324"/>
        <v>1224682</v>
      </c>
      <c r="J1570" s="201">
        <f t="shared" si="324"/>
        <v>0</v>
      </c>
      <c r="K1570" s="225">
        <f t="shared" si="324"/>
        <v>0</v>
      </c>
      <c r="L1570" s="201">
        <f t="shared" si="324"/>
        <v>0</v>
      </c>
      <c r="M1570" s="201">
        <f t="shared" si="324"/>
        <v>4580.72</v>
      </c>
      <c r="N1570" s="201">
        <f t="shared" si="324"/>
        <v>14965296.1</v>
      </c>
      <c r="O1570" s="201">
        <f t="shared" si="324"/>
        <v>0</v>
      </c>
      <c r="P1570" s="201">
        <f t="shared" si="324"/>
        <v>0</v>
      </c>
      <c r="Q1570" s="201">
        <f t="shared" si="324"/>
        <v>0</v>
      </c>
      <c r="R1570" s="201">
        <f t="shared" si="324"/>
        <v>0</v>
      </c>
      <c r="S1570" s="201">
        <f t="shared" si="324"/>
        <v>0</v>
      </c>
      <c r="T1570" s="201">
        <f t="shared" si="324"/>
        <v>0</v>
      </c>
      <c r="U1570" s="201">
        <f t="shared" si="324"/>
        <v>0</v>
      </c>
      <c r="V1570" s="201">
        <f t="shared" si="324"/>
        <v>0</v>
      </c>
      <c r="W1570" s="201">
        <f t="shared" si="324"/>
        <v>0</v>
      </c>
      <c r="X1570" s="201">
        <f t="shared" si="324"/>
        <v>0</v>
      </c>
      <c r="Y1570" s="201">
        <f t="shared" si="324"/>
        <v>0</v>
      </c>
      <c r="Z1570" s="201">
        <f t="shared" si="324"/>
        <v>0</v>
      </c>
      <c r="AA1570" s="201">
        <f t="shared" si="324"/>
        <v>0</v>
      </c>
      <c r="AB1570" s="201">
        <f t="shared" si="324"/>
        <v>0</v>
      </c>
      <c r="AC1570" s="188">
        <f t="shared" si="324"/>
        <v>103742.61</v>
      </c>
      <c r="AD1570" s="201">
        <f t="shared" si="324"/>
        <v>0</v>
      </c>
      <c r="AE1570" s="201">
        <f t="shared" si="324"/>
        <v>0</v>
      </c>
      <c r="AF1570" s="202" t="s">
        <v>701</v>
      </c>
      <c r="AG1570" s="202" t="s">
        <v>701</v>
      </c>
      <c r="AH1570" s="207" t="s">
        <v>701</v>
      </c>
    </row>
    <row r="1571" spans="1:80" s="68" customFormat="1" ht="61.5" x14ac:dyDescent="0.85">
      <c r="B1571" s="210" t="s">
        <v>783</v>
      </c>
      <c r="C1571" s="185"/>
      <c r="D1571" s="208">
        <f>SUM(D1572:D1574)</f>
        <v>13535253.609999999</v>
      </c>
      <c r="E1571" s="201">
        <f t="shared" ref="E1571:AE1571" si="325">SUM(E1572:E1574)</f>
        <v>0</v>
      </c>
      <c r="F1571" s="201">
        <f t="shared" si="325"/>
        <v>0</v>
      </c>
      <c r="G1571" s="201">
        <f t="shared" si="325"/>
        <v>994637</v>
      </c>
      <c r="H1571" s="201">
        <f t="shared" si="325"/>
        <v>0</v>
      </c>
      <c r="I1571" s="201">
        <f t="shared" si="325"/>
        <v>1224682</v>
      </c>
      <c r="J1571" s="201">
        <f t="shared" si="325"/>
        <v>0</v>
      </c>
      <c r="K1571" s="225">
        <f t="shared" si="325"/>
        <v>0</v>
      </c>
      <c r="L1571" s="201">
        <f t="shared" si="325"/>
        <v>0</v>
      </c>
      <c r="M1571" s="201">
        <f t="shared" si="325"/>
        <v>3519.62</v>
      </c>
      <c r="N1571" s="201">
        <f t="shared" si="325"/>
        <v>11212192</v>
      </c>
      <c r="O1571" s="201">
        <f t="shared" si="325"/>
        <v>0</v>
      </c>
      <c r="P1571" s="201">
        <f t="shared" si="325"/>
        <v>0</v>
      </c>
      <c r="Q1571" s="201">
        <f t="shared" si="325"/>
        <v>0</v>
      </c>
      <c r="R1571" s="201">
        <f t="shared" si="325"/>
        <v>0</v>
      </c>
      <c r="S1571" s="201">
        <f t="shared" si="325"/>
        <v>0</v>
      </c>
      <c r="T1571" s="201">
        <f t="shared" si="325"/>
        <v>0</v>
      </c>
      <c r="U1571" s="201">
        <f t="shared" si="325"/>
        <v>0</v>
      </c>
      <c r="V1571" s="201">
        <f t="shared" si="325"/>
        <v>0</v>
      </c>
      <c r="W1571" s="201">
        <f t="shared" si="325"/>
        <v>0</v>
      </c>
      <c r="X1571" s="201">
        <f t="shared" si="325"/>
        <v>0</v>
      </c>
      <c r="Y1571" s="201">
        <f t="shared" si="325"/>
        <v>0</v>
      </c>
      <c r="Z1571" s="201">
        <f t="shared" si="325"/>
        <v>0</v>
      </c>
      <c r="AA1571" s="201">
        <f t="shared" si="325"/>
        <v>0</v>
      </c>
      <c r="AB1571" s="201">
        <f t="shared" si="325"/>
        <v>0</v>
      </c>
      <c r="AC1571" s="188">
        <f t="shared" si="325"/>
        <v>103742.61</v>
      </c>
      <c r="AD1571" s="201">
        <f t="shared" si="325"/>
        <v>0</v>
      </c>
      <c r="AE1571" s="201">
        <f t="shared" si="325"/>
        <v>0</v>
      </c>
      <c r="AF1571" s="202" t="s">
        <v>701</v>
      </c>
      <c r="AG1571" s="202" t="s">
        <v>701</v>
      </c>
      <c r="AH1571" s="207" t="s">
        <v>701</v>
      </c>
      <c r="AI1571" s="57"/>
      <c r="AL1571" s="70"/>
      <c r="AM1571" s="65"/>
      <c r="AV1571" s="69"/>
      <c r="BN1571" s="71"/>
      <c r="BX1571" s="69"/>
      <c r="BZ1571" s="65"/>
      <c r="CB1571" s="69"/>
    </row>
    <row r="1572" spans="1:80" s="68" customFormat="1" ht="61.5" x14ac:dyDescent="0.85">
      <c r="A1572" s="69"/>
      <c r="B1572" s="211">
        <v>1</v>
      </c>
      <c r="C1572" s="185" t="s">
        <v>1759</v>
      </c>
      <c r="D1572" s="188">
        <f>E1572+F1572+G1572+H1572+I1572+J1572+L1572+N1572+P1572+R1572+T1572+U1572+V1572+W1572+X1572+Y1572+Z1572+AA1572+AB1572+AC1572+AD1572+AE1572</f>
        <v>4228150.99</v>
      </c>
      <c r="E1572" s="212">
        <v>0</v>
      </c>
      <c r="F1572" s="188">
        <v>0</v>
      </c>
      <c r="G1572" s="188">
        <v>0</v>
      </c>
      <c r="H1572" s="188">
        <v>0</v>
      </c>
      <c r="I1572" s="188">
        <v>0</v>
      </c>
      <c r="J1572" s="188">
        <v>0</v>
      </c>
      <c r="K1572" s="225">
        <v>0</v>
      </c>
      <c r="L1572" s="188">
        <v>0</v>
      </c>
      <c r="M1572" s="188">
        <v>1122.67</v>
      </c>
      <c r="N1572" s="188">
        <v>4165666</v>
      </c>
      <c r="O1572" s="188">
        <v>0</v>
      </c>
      <c r="P1572" s="188">
        <v>0</v>
      </c>
      <c r="Q1572" s="188">
        <v>0</v>
      </c>
      <c r="R1572" s="188">
        <v>0</v>
      </c>
      <c r="S1572" s="188">
        <v>0</v>
      </c>
      <c r="T1572" s="188">
        <v>0</v>
      </c>
      <c r="U1572" s="188">
        <v>0</v>
      </c>
      <c r="V1572" s="188">
        <v>0</v>
      </c>
      <c r="W1572" s="188">
        <v>0</v>
      </c>
      <c r="X1572" s="188">
        <v>0</v>
      </c>
      <c r="Y1572" s="188">
        <v>0</v>
      </c>
      <c r="Z1572" s="188">
        <v>0</v>
      </c>
      <c r="AA1572" s="188">
        <v>0</v>
      </c>
      <c r="AB1572" s="188">
        <v>0</v>
      </c>
      <c r="AC1572" s="188">
        <v>62484.99</v>
      </c>
      <c r="AD1572" s="188">
        <v>0</v>
      </c>
      <c r="AE1572" s="188">
        <v>0</v>
      </c>
      <c r="AF1572" s="213" t="s">
        <v>257</v>
      </c>
      <c r="AG1572" s="213">
        <v>2020</v>
      </c>
      <c r="AH1572" s="213">
        <v>2020</v>
      </c>
      <c r="AI1572" s="57"/>
      <c r="AL1572" s="65"/>
      <c r="AM1572" s="65"/>
      <c r="AV1572" s="69"/>
      <c r="BN1572" s="71"/>
      <c r="BX1572" s="69"/>
      <c r="BZ1572" s="65"/>
    </row>
    <row r="1573" spans="1:80" s="68" customFormat="1" ht="61.5" x14ac:dyDescent="0.85">
      <c r="A1573" s="69"/>
      <c r="B1573" s="211">
        <v>2</v>
      </c>
      <c r="C1573" s="185" t="s">
        <v>1762</v>
      </c>
      <c r="D1573" s="188">
        <f>E1573+F1573+G1573+H1573+I1573+J1573+L1573+N1573+P1573+R1573+T1573+U1573+V1573+W1573+X1573+Y1573+Z1573+AA1573+AB1573+AC1573+AD1573+AE1573</f>
        <v>2791765.62</v>
      </c>
      <c r="E1573" s="212">
        <v>0</v>
      </c>
      <c r="F1573" s="188">
        <v>0</v>
      </c>
      <c r="G1573" s="188">
        <v>0</v>
      </c>
      <c r="H1573" s="188">
        <v>0</v>
      </c>
      <c r="I1573" s="188">
        <v>0</v>
      </c>
      <c r="J1573" s="188">
        <v>0</v>
      </c>
      <c r="K1573" s="225">
        <v>0</v>
      </c>
      <c r="L1573" s="188">
        <v>0</v>
      </c>
      <c r="M1573" s="188">
        <v>847.2</v>
      </c>
      <c r="N1573" s="188">
        <v>2750508</v>
      </c>
      <c r="O1573" s="188">
        <v>0</v>
      </c>
      <c r="P1573" s="188">
        <v>0</v>
      </c>
      <c r="Q1573" s="188">
        <v>0</v>
      </c>
      <c r="R1573" s="188">
        <v>0</v>
      </c>
      <c r="S1573" s="188">
        <v>0</v>
      </c>
      <c r="T1573" s="188">
        <v>0</v>
      </c>
      <c r="U1573" s="188">
        <v>0</v>
      </c>
      <c r="V1573" s="188">
        <v>0</v>
      </c>
      <c r="W1573" s="188">
        <v>0</v>
      </c>
      <c r="X1573" s="188">
        <v>0</v>
      </c>
      <c r="Y1573" s="188">
        <v>0</v>
      </c>
      <c r="Z1573" s="188">
        <v>0</v>
      </c>
      <c r="AA1573" s="188">
        <v>0</v>
      </c>
      <c r="AB1573" s="188">
        <v>0</v>
      </c>
      <c r="AC1573" s="188">
        <v>41257.620000000003</v>
      </c>
      <c r="AD1573" s="188">
        <v>0</v>
      </c>
      <c r="AE1573" s="188">
        <v>0</v>
      </c>
      <c r="AF1573" s="213" t="s">
        <v>257</v>
      </c>
      <c r="AG1573" s="213">
        <v>2020</v>
      </c>
      <c r="AH1573" s="213">
        <v>2020</v>
      </c>
      <c r="AI1573" s="57"/>
      <c r="AL1573" s="65"/>
      <c r="AM1573" s="65"/>
      <c r="AV1573" s="69"/>
      <c r="BN1573" s="71"/>
      <c r="BX1573" s="69"/>
      <c r="BZ1573" s="65"/>
    </row>
    <row r="1574" spans="1:80" s="68" customFormat="1" ht="61.5" x14ac:dyDescent="0.85">
      <c r="A1574" s="69"/>
      <c r="B1574" s="211">
        <v>3</v>
      </c>
      <c r="C1574" s="185" t="s">
        <v>1763</v>
      </c>
      <c r="D1574" s="188">
        <f>E1574+F1574+G1574+H1574+I1574+J1574+L1574+N1574+P1574+R1574+T1574+U1574+V1574+W1574+X1574+Y1574+Z1574+AA1574+AB1574+AC1574+AD1574+AE1574</f>
        <v>6515337</v>
      </c>
      <c r="E1574" s="212">
        <v>0</v>
      </c>
      <c r="F1574" s="188">
        <v>0</v>
      </c>
      <c r="G1574" s="188">
        <v>994637</v>
      </c>
      <c r="H1574" s="188">
        <v>0</v>
      </c>
      <c r="I1574" s="188">
        <v>1224682</v>
      </c>
      <c r="J1574" s="188">
        <v>0</v>
      </c>
      <c r="K1574" s="225">
        <v>0</v>
      </c>
      <c r="L1574" s="188">
        <v>0</v>
      </c>
      <c r="M1574" s="188">
        <v>1549.75</v>
      </c>
      <c r="N1574" s="188">
        <v>4296018</v>
      </c>
      <c r="O1574" s="188">
        <v>0</v>
      </c>
      <c r="P1574" s="188">
        <v>0</v>
      </c>
      <c r="Q1574" s="188">
        <v>0</v>
      </c>
      <c r="R1574" s="188">
        <v>0</v>
      </c>
      <c r="S1574" s="188">
        <v>0</v>
      </c>
      <c r="T1574" s="188">
        <v>0</v>
      </c>
      <c r="U1574" s="188">
        <v>0</v>
      </c>
      <c r="V1574" s="188">
        <v>0</v>
      </c>
      <c r="W1574" s="188">
        <v>0</v>
      </c>
      <c r="X1574" s="188">
        <v>0</v>
      </c>
      <c r="Y1574" s="188">
        <v>0</v>
      </c>
      <c r="Z1574" s="188">
        <v>0</v>
      </c>
      <c r="AA1574" s="188">
        <v>0</v>
      </c>
      <c r="AB1574" s="188">
        <v>0</v>
      </c>
      <c r="AC1574" s="188">
        <v>0</v>
      </c>
      <c r="AD1574" s="188">
        <v>0</v>
      </c>
      <c r="AE1574" s="188">
        <v>0</v>
      </c>
      <c r="AF1574" s="213" t="s">
        <v>257</v>
      </c>
      <c r="AG1574" s="213">
        <v>2020</v>
      </c>
      <c r="AH1574" s="213" t="s">
        <v>257</v>
      </c>
      <c r="AI1574" s="57"/>
      <c r="AL1574" s="65"/>
      <c r="AM1574" s="65"/>
      <c r="AV1574" s="69"/>
      <c r="BN1574" s="71"/>
      <c r="BX1574" s="69"/>
      <c r="BZ1574" s="65"/>
    </row>
    <row r="1575" spans="1:80" s="68" customFormat="1" ht="61.5" x14ac:dyDescent="0.85">
      <c r="B1575" s="210" t="s">
        <v>782</v>
      </c>
      <c r="C1575" s="185"/>
      <c r="D1575" s="208">
        <f t="shared" ref="D1575:AE1577" si="326">SUM(D1576:D1576)</f>
        <v>1806013.41</v>
      </c>
      <c r="E1575" s="201">
        <f t="shared" si="326"/>
        <v>0</v>
      </c>
      <c r="F1575" s="201">
        <f t="shared" si="326"/>
        <v>0</v>
      </c>
      <c r="G1575" s="201">
        <f t="shared" si="326"/>
        <v>0</v>
      </c>
      <c r="H1575" s="201">
        <f t="shared" si="326"/>
        <v>0</v>
      </c>
      <c r="I1575" s="201">
        <f t="shared" si="326"/>
        <v>0</v>
      </c>
      <c r="J1575" s="201">
        <f t="shared" si="326"/>
        <v>0</v>
      </c>
      <c r="K1575" s="225">
        <f t="shared" si="326"/>
        <v>0</v>
      </c>
      <c r="L1575" s="201">
        <f t="shared" si="326"/>
        <v>0</v>
      </c>
      <c r="M1575" s="201">
        <f t="shared" si="326"/>
        <v>691.1</v>
      </c>
      <c r="N1575" s="201">
        <f t="shared" si="326"/>
        <v>1806013.41</v>
      </c>
      <c r="O1575" s="201">
        <f t="shared" si="326"/>
        <v>0</v>
      </c>
      <c r="P1575" s="201">
        <f t="shared" si="326"/>
        <v>0</v>
      </c>
      <c r="Q1575" s="201">
        <f t="shared" si="326"/>
        <v>0</v>
      </c>
      <c r="R1575" s="201">
        <f t="shared" si="326"/>
        <v>0</v>
      </c>
      <c r="S1575" s="201">
        <f t="shared" si="326"/>
        <v>0</v>
      </c>
      <c r="T1575" s="201">
        <f t="shared" si="326"/>
        <v>0</v>
      </c>
      <c r="U1575" s="201">
        <f t="shared" si="326"/>
        <v>0</v>
      </c>
      <c r="V1575" s="201">
        <f t="shared" si="326"/>
        <v>0</v>
      </c>
      <c r="W1575" s="201">
        <f t="shared" si="326"/>
        <v>0</v>
      </c>
      <c r="X1575" s="201">
        <f t="shared" si="326"/>
        <v>0</v>
      </c>
      <c r="Y1575" s="201">
        <f t="shared" si="326"/>
        <v>0</v>
      </c>
      <c r="Z1575" s="201">
        <f t="shared" si="326"/>
        <v>0</v>
      </c>
      <c r="AA1575" s="201">
        <f t="shared" si="326"/>
        <v>0</v>
      </c>
      <c r="AB1575" s="201">
        <f t="shared" si="326"/>
        <v>0</v>
      </c>
      <c r="AC1575" s="188">
        <f t="shared" si="326"/>
        <v>0</v>
      </c>
      <c r="AD1575" s="201">
        <f t="shared" si="326"/>
        <v>0</v>
      </c>
      <c r="AE1575" s="201">
        <f t="shared" si="326"/>
        <v>0</v>
      </c>
      <c r="AF1575" s="202" t="s">
        <v>701</v>
      </c>
      <c r="AG1575" s="202" t="s">
        <v>701</v>
      </c>
      <c r="AH1575" s="207" t="s">
        <v>701</v>
      </c>
      <c r="AI1575" s="57"/>
      <c r="AL1575" s="70"/>
      <c r="AM1575" s="65"/>
      <c r="AV1575" s="69"/>
      <c r="BN1575" s="71"/>
      <c r="BX1575" s="69"/>
      <c r="BZ1575" s="65"/>
      <c r="CB1575" s="69"/>
    </row>
    <row r="1576" spans="1:80" s="56" customFormat="1" ht="76.5" customHeight="1" x14ac:dyDescent="0.85">
      <c r="A1576" s="69"/>
      <c r="B1576" s="211">
        <v>4</v>
      </c>
      <c r="C1576" s="186" t="s">
        <v>1761</v>
      </c>
      <c r="D1576" s="188">
        <f>E1576+F1576+G1576+H1576+I1576+J1576+L1576+N1576+P1576+R1576+T1576+U1576+V1576+W1576+X1576+Y1576+Z1576+AA1576+AB1576+AC1576+AD1576+AE1576</f>
        <v>1806013.41</v>
      </c>
      <c r="E1576" s="212">
        <v>0</v>
      </c>
      <c r="F1576" s="188">
        <v>0</v>
      </c>
      <c r="G1576" s="188">
        <v>0</v>
      </c>
      <c r="H1576" s="188">
        <v>0</v>
      </c>
      <c r="I1576" s="188">
        <v>0</v>
      </c>
      <c r="J1576" s="188">
        <v>0</v>
      </c>
      <c r="K1576" s="225">
        <v>0</v>
      </c>
      <c r="L1576" s="188">
        <v>0</v>
      </c>
      <c r="M1576" s="188">
        <v>691.1</v>
      </c>
      <c r="N1576" s="188">
        <v>1806013.41</v>
      </c>
      <c r="O1576" s="188">
        <v>0</v>
      </c>
      <c r="P1576" s="188">
        <v>0</v>
      </c>
      <c r="Q1576" s="188">
        <v>0</v>
      </c>
      <c r="R1576" s="188">
        <v>0</v>
      </c>
      <c r="S1576" s="188">
        <v>0</v>
      </c>
      <c r="T1576" s="188">
        <v>0</v>
      </c>
      <c r="U1576" s="188">
        <v>0</v>
      </c>
      <c r="V1576" s="188">
        <v>0</v>
      </c>
      <c r="W1576" s="188">
        <v>0</v>
      </c>
      <c r="X1576" s="188">
        <v>0</v>
      </c>
      <c r="Y1576" s="188">
        <v>0</v>
      </c>
      <c r="Z1576" s="188">
        <v>0</v>
      </c>
      <c r="AA1576" s="188">
        <v>0</v>
      </c>
      <c r="AB1576" s="188">
        <v>0</v>
      </c>
      <c r="AC1576" s="188">
        <v>0</v>
      </c>
      <c r="AD1576" s="188">
        <v>0</v>
      </c>
      <c r="AE1576" s="188">
        <v>0</v>
      </c>
      <c r="AF1576" s="213" t="s">
        <v>257</v>
      </c>
      <c r="AG1576" s="213">
        <v>2020</v>
      </c>
      <c r="AH1576" s="213" t="s">
        <v>257</v>
      </c>
      <c r="AI1576" s="57"/>
      <c r="AL1576" s="65"/>
      <c r="AM1576" s="65"/>
      <c r="AV1576" s="69"/>
      <c r="BN1576" s="71"/>
      <c r="BX1576" s="69"/>
      <c r="BZ1576" s="65"/>
    </row>
    <row r="1577" spans="1:80" s="68" customFormat="1" ht="61.5" x14ac:dyDescent="0.85">
      <c r="B1577" s="210" t="s">
        <v>836</v>
      </c>
      <c r="C1577" s="185"/>
      <c r="D1577" s="208">
        <f t="shared" si="326"/>
        <v>1947090.69</v>
      </c>
      <c r="E1577" s="201">
        <f t="shared" si="326"/>
        <v>0</v>
      </c>
      <c r="F1577" s="201">
        <f t="shared" si="326"/>
        <v>0</v>
      </c>
      <c r="G1577" s="201">
        <f t="shared" si="326"/>
        <v>0</v>
      </c>
      <c r="H1577" s="201">
        <f t="shared" si="326"/>
        <v>0</v>
      </c>
      <c r="I1577" s="201">
        <f t="shared" si="326"/>
        <v>0</v>
      </c>
      <c r="J1577" s="201">
        <f t="shared" si="326"/>
        <v>0</v>
      </c>
      <c r="K1577" s="225">
        <f t="shared" si="326"/>
        <v>0</v>
      </c>
      <c r="L1577" s="201">
        <f t="shared" si="326"/>
        <v>0</v>
      </c>
      <c r="M1577" s="201">
        <f t="shared" si="326"/>
        <v>370</v>
      </c>
      <c r="N1577" s="201">
        <f t="shared" si="326"/>
        <v>1947090.69</v>
      </c>
      <c r="O1577" s="201">
        <f t="shared" si="326"/>
        <v>0</v>
      </c>
      <c r="P1577" s="201">
        <f t="shared" si="326"/>
        <v>0</v>
      </c>
      <c r="Q1577" s="201">
        <f t="shared" si="326"/>
        <v>0</v>
      </c>
      <c r="R1577" s="201">
        <f t="shared" si="326"/>
        <v>0</v>
      </c>
      <c r="S1577" s="201">
        <f t="shared" si="326"/>
        <v>0</v>
      </c>
      <c r="T1577" s="201">
        <f t="shared" si="326"/>
        <v>0</v>
      </c>
      <c r="U1577" s="201">
        <f t="shared" si="326"/>
        <v>0</v>
      </c>
      <c r="V1577" s="201">
        <f t="shared" si="326"/>
        <v>0</v>
      </c>
      <c r="W1577" s="201">
        <f t="shared" si="326"/>
        <v>0</v>
      </c>
      <c r="X1577" s="201">
        <f t="shared" si="326"/>
        <v>0</v>
      </c>
      <c r="Y1577" s="201">
        <f t="shared" si="326"/>
        <v>0</v>
      </c>
      <c r="Z1577" s="201">
        <f t="shared" si="326"/>
        <v>0</v>
      </c>
      <c r="AA1577" s="201">
        <f t="shared" si="326"/>
        <v>0</v>
      </c>
      <c r="AB1577" s="201">
        <f t="shared" si="326"/>
        <v>0</v>
      </c>
      <c r="AC1577" s="188">
        <f t="shared" si="326"/>
        <v>0</v>
      </c>
      <c r="AD1577" s="201">
        <f t="shared" si="326"/>
        <v>0</v>
      </c>
      <c r="AE1577" s="201">
        <f t="shared" si="326"/>
        <v>0</v>
      </c>
      <c r="AF1577" s="202" t="s">
        <v>701</v>
      </c>
      <c r="AG1577" s="202" t="s">
        <v>701</v>
      </c>
      <c r="AH1577" s="207" t="s">
        <v>701</v>
      </c>
      <c r="AI1577" s="57"/>
      <c r="AL1577" s="70"/>
      <c r="AM1577" s="65"/>
      <c r="AV1577" s="69"/>
      <c r="BN1577" s="71"/>
      <c r="BX1577" s="69"/>
      <c r="BZ1577" s="65"/>
      <c r="CB1577" s="69"/>
    </row>
    <row r="1578" spans="1:80" s="56" customFormat="1" ht="76.5" customHeight="1" x14ac:dyDescent="0.85">
      <c r="A1578" s="69"/>
      <c r="B1578" s="211">
        <v>5</v>
      </c>
      <c r="C1578" s="186" t="s">
        <v>1792</v>
      </c>
      <c r="D1578" s="188">
        <f>E1578+F1578+G1578+H1578+I1578+J1578+L1578+N1578+P1578+R1578+T1578+U1578+V1578+W1578+X1578+Y1578+Z1578+AA1578+AB1578+AC1578+AD1578+AE1578</f>
        <v>1947090.69</v>
      </c>
      <c r="E1578" s="212">
        <v>0</v>
      </c>
      <c r="F1578" s="188">
        <v>0</v>
      </c>
      <c r="G1578" s="188">
        <v>0</v>
      </c>
      <c r="H1578" s="188">
        <v>0</v>
      </c>
      <c r="I1578" s="188">
        <v>0</v>
      </c>
      <c r="J1578" s="188">
        <v>0</v>
      </c>
      <c r="K1578" s="225">
        <v>0</v>
      </c>
      <c r="L1578" s="188">
        <v>0</v>
      </c>
      <c r="M1578" s="188">
        <v>370</v>
      </c>
      <c r="N1578" s="188">
        <v>1947090.69</v>
      </c>
      <c r="O1578" s="188">
        <v>0</v>
      </c>
      <c r="P1578" s="188">
        <v>0</v>
      </c>
      <c r="Q1578" s="188">
        <v>0</v>
      </c>
      <c r="R1578" s="188">
        <v>0</v>
      </c>
      <c r="S1578" s="188">
        <v>0</v>
      </c>
      <c r="T1578" s="188">
        <v>0</v>
      </c>
      <c r="U1578" s="188">
        <v>0</v>
      </c>
      <c r="V1578" s="188">
        <v>0</v>
      </c>
      <c r="W1578" s="188">
        <v>0</v>
      </c>
      <c r="X1578" s="188">
        <v>0</v>
      </c>
      <c r="Y1578" s="188">
        <v>0</v>
      </c>
      <c r="Z1578" s="188">
        <v>0</v>
      </c>
      <c r="AA1578" s="188">
        <v>0</v>
      </c>
      <c r="AB1578" s="188">
        <v>0</v>
      </c>
      <c r="AC1578" s="188">
        <v>0</v>
      </c>
      <c r="AD1578" s="188">
        <v>0</v>
      </c>
      <c r="AE1578" s="188">
        <v>0</v>
      </c>
      <c r="AF1578" s="213" t="s">
        <v>257</v>
      </c>
      <c r="AG1578" s="213">
        <v>2020</v>
      </c>
      <c r="AH1578" s="213" t="s">
        <v>257</v>
      </c>
      <c r="AI1578" s="57"/>
      <c r="AL1578" s="65"/>
      <c r="AM1578" s="65"/>
      <c r="AV1578" s="69"/>
      <c r="BN1578" s="71"/>
      <c r="BX1578" s="69"/>
      <c r="BZ1578" s="65"/>
    </row>
    <row r="1579" spans="1:80" s="68" customFormat="1" ht="76.5" x14ac:dyDescent="0.3">
      <c r="B1579" s="311" t="s">
        <v>2292</v>
      </c>
      <c r="C1579" s="312"/>
      <c r="D1579" s="208">
        <f>D1580+D1584+D1586+D1588+D1590+D1592</f>
        <v>47438619.980000004</v>
      </c>
      <c r="E1579" s="201">
        <f t="shared" ref="E1579:AE1579" si="327">E1580+E1584+E1586+E1588+E1590+E1592</f>
        <v>0</v>
      </c>
      <c r="F1579" s="201">
        <f t="shared" si="327"/>
        <v>0</v>
      </c>
      <c r="G1579" s="201">
        <f t="shared" si="327"/>
        <v>478212</v>
      </c>
      <c r="H1579" s="201">
        <f t="shared" si="327"/>
        <v>0</v>
      </c>
      <c r="I1579" s="201">
        <f t="shared" si="327"/>
        <v>0</v>
      </c>
      <c r="J1579" s="201">
        <f t="shared" si="327"/>
        <v>0</v>
      </c>
      <c r="K1579" s="225">
        <f t="shared" si="327"/>
        <v>0</v>
      </c>
      <c r="L1579" s="201">
        <f t="shared" si="327"/>
        <v>0</v>
      </c>
      <c r="M1579" s="201">
        <f t="shared" si="327"/>
        <v>7965.8600000000006</v>
      </c>
      <c r="N1579" s="201">
        <f t="shared" si="327"/>
        <v>46259344.599999994</v>
      </c>
      <c r="O1579" s="201">
        <f t="shared" si="327"/>
        <v>0</v>
      </c>
      <c r="P1579" s="201">
        <f t="shared" si="327"/>
        <v>0</v>
      </c>
      <c r="Q1579" s="201">
        <f t="shared" si="327"/>
        <v>0</v>
      </c>
      <c r="R1579" s="201">
        <f t="shared" si="327"/>
        <v>0</v>
      </c>
      <c r="S1579" s="201">
        <f t="shared" si="327"/>
        <v>0</v>
      </c>
      <c r="T1579" s="201">
        <f t="shared" si="327"/>
        <v>0</v>
      </c>
      <c r="U1579" s="201">
        <f t="shared" si="327"/>
        <v>0</v>
      </c>
      <c r="V1579" s="201">
        <f t="shared" si="327"/>
        <v>0</v>
      </c>
      <c r="W1579" s="201">
        <f t="shared" si="327"/>
        <v>0</v>
      </c>
      <c r="X1579" s="201">
        <f t="shared" si="327"/>
        <v>0</v>
      </c>
      <c r="Y1579" s="201">
        <f t="shared" si="327"/>
        <v>0</v>
      </c>
      <c r="Z1579" s="201">
        <f t="shared" si="327"/>
        <v>0</v>
      </c>
      <c r="AA1579" s="201">
        <f t="shared" si="327"/>
        <v>0</v>
      </c>
      <c r="AB1579" s="201">
        <f t="shared" si="327"/>
        <v>0</v>
      </c>
      <c r="AC1579" s="188">
        <f t="shared" si="327"/>
        <v>701063.38</v>
      </c>
      <c r="AD1579" s="201">
        <f t="shared" si="327"/>
        <v>0</v>
      </c>
      <c r="AE1579" s="201">
        <f t="shared" si="327"/>
        <v>0</v>
      </c>
      <c r="AF1579" s="202" t="s">
        <v>701</v>
      </c>
      <c r="AG1579" s="202" t="s">
        <v>701</v>
      </c>
      <c r="AH1579" s="207" t="s">
        <v>701</v>
      </c>
    </row>
    <row r="1580" spans="1:80" s="68" customFormat="1" ht="61.5" x14ac:dyDescent="0.85">
      <c r="B1580" s="210" t="s">
        <v>769</v>
      </c>
      <c r="C1580" s="185"/>
      <c r="D1580" s="208">
        <f t="shared" ref="D1580:AE1580" si="328">SUM(D1581:D1583)</f>
        <v>10963006.890000001</v>
      </c>
      <c r="E1580" s="201">
        <f t="shared" si="328"/>
        <v>0</v>
      </c>
      <c r="F1580" s="201">
        <f t="shared" si="328"/>
        <v>0</v>
      </c>
      <c r="G1580" s="201">
        <f t="shared" si="328"/>
        <v>0</v>
      </c>
      <c r="H1580" s="201">
        <f t="shared" si="328"/>
        <v>0</v>
      </c>
      <c r="I1580" s="201">
        <f t="shared" si="328"/>
        <v>0</v>
      </c>
      <c r="J1580" s="201">
        <f t="shared" si="328"/>
        <v>0</v>
      </c>
      <c r="K1580" s="225">
        <f t="shared" si="328"/>
        <v>0</v>
      </c>
      <c r="L1580" s="201">
        <f t="shared" si="328"/>
        <v>0</v>
      </c>
      <c r="M1580" s="201">
        <f t="shared" si="328"/>
        <v>2272.5500000000002</v>
      </c>
      <c r="N1580" s="201">
        <f t="shared" si="328"/>
        <v>10800992</v>
      </c>
      <c r="O1580" s="201">
        <f t="shared" si="328"/>
        <v>0</v>
      </c>
      <c r="P1580" s="201">
        <f t="shared" si="328"/>
        <v>0</v>
      </c>
      <c r="Q1580" s="201">
        <f t="shared" si="328"/>
        <v>0</v>
      </c>
      <c r="R1580" s="201">
        <f t="shared" si="328"/>
        <v>0</v>
      </c>
      <c r="S1580" s="201">
        <f t="shared" si="328"/>
        <v>0</v>
      </c>
      <c r="T1580" s="201">
        <f t="shared" si="328"/>
        <v>0</v>
      </c>
      <c r="U1580" s="201">
        <f t="shared" si="328"/>
        <v>0</v>
      </c>
      <c r="V1580" s="201">
        <f t="shared" si="328"/>
        <v>0</v>
      </c>
      <c r="W1580" s="201">
        <f t="shared" si="328"/>
        <v>0</v>
      </c>
      <c r="X1580" s="201">
        <f t="shared" si="328"/>
        <v>0</v>
      </c>
      <c r="Y1580" s="201">
        <f t="shared" si="328"/>
        <v>0</v>
      </c>
      <c r="Z1580" s="201">
        <f t="shared" si="328"/>
        <v>0</v>
      </c>
      <c r="AA1580" s="201">
        <f t="shared" si="328"/>
        <v>0</v>
      </c>
      <c r="AB1580" s="201">
        <f t="shared" si="328"/>
        <v>0</v>
      </c>
      <c r="AC1580" s="188">
        <f t="shared" si="328"/>
        <v>162014.89000000001</v>
      </c>
      <c r="AD1580" s="201">
        <f t="shared" si="328"/>
        <v>0</v>
      </c>
      <c r="AE1580" s="201">
        <f t="shared" si="328"/>
        <v>0</v>
      </c>
      <c r="AF1580" s="202" t="s">
        <v>701</v>
      </c>
      <c r="AG1580" s="202" t="s">
        <v>701</v>
      </c>
      <c r="AH1580" s="207" t="s">
        <v>701</v>
      </c>
      <c r="AI1580" s="57"/>
      <c r="AL1580" s="70"/>
      <c r="AM1580" s="65"/>
      <c r="AV1580" s="69"/>
      <c r="BN1580" s="71"/>
      <c r="BX1580" s="69"/>
      <c r="BZ1580" s="65"/>
      <c r="CB1580" s="69"/>
    </row>
    <row r="1581" spans="1:80" s="68" customFormat="1" ht="61.5" x14ac:dyDescent="0.85">
      <c r="A1581" s="69"/>
      <c r="B1581" s="211">
        <v>1</v>
      </c>
      <c r="C1581" s="185" t="s">
        <v>2571</v>
      </c>
      <c r="D1581" s="188">
        <f>E1581+F1581+G1581+H1581+I1581+J1581+L1581+N1581+P1581+R1581+T1581+U1581+V1581+W1581+X1581+Y1581+Z1581+AA1581+AB1581+AC1581+AD1581+AE1581</f>
        <v>2367058.16</v>
      </c>
      <c r="E1581" s="212">
        <v>0</v>
      </c>
      <c r="F1581" s="188">
        <v>0</v>
      </c>
      <c r="G1581" s="188">
        <v>0</v>
      </c>
      <c r="H1581" s="188">
        <v>0</v>
      </c>
      <c r="I1581" s="188">
        <v>0</v>
      </c>
      <c r="J1581" s="188">
        <v>0</v>
      </c>
      <c r="K1581" s="225">
        <v>0</v>
      </c>
      <c r="L1581" s="188">
        <v>0</v>
      </c>
      <c r="M1581" s="188">
        <v>503.88</v>
      </c>
      <c r="N1581" s="62">
        <v>2332077</v>
      </c>
      <c r="O1581" s="188">
        <v>0</v>
      </c>
      <c r="P1581" s="188">
        <v>0</v>
      </c>
      <c r="Q1581" s="188">
        <v>0</v>
      </c>
      <c r="R1581" s="188">
        <v>0</v>
      </c>
      <c r="S1581" s="188">
        <v>0</v>
      </c>
      <c r="T1581" s="188">
        <v>0</v>
      </c>
      <c r="U1581" s="188">
        <v>0</v>
      </c>
      <c r="V1581" s="188">
        <v>0</v>
      </c>
      <c r="W1581" s="188">
        <v>0</v>
      </c>
      <c r="X1581" s="188">
        <v>0</v>
      </c>
      <c r="Y1581" s="188">
        <v>0</v>
      </c>
      <c r="Z1581" s="188">
        <v>0</v>
      </c>
      <c r="AA1581" s="188">
        <v>0</v>
      </c>
      <c r="AB1581" s="188">
        <v>0</v>
      </c>
      <c r="AC1581" s="62">
        <v>34981.160000000003</v>
      </c>
      <c r="AD1581" s="188">
        <v>0</v>
      </c>
      <c r="AE1581" s="188">
        <v>0</v>
      </c>
      <c r="AF1581" s="213" t="s">
        <v>257</v>
      </c>
      <c r="AG1581" s="213">
        <v>2021</v>
      </c>
      <c r="AH1581" s="213">
        <v>2021</v>
      </c>
      <c r="AI1581" s="57"/>
      <c r="AL1581" s="65"/>
      <c r="AM1581" s="65"/>
      <c r="AV1581" s="69"/>
      <c r="BN1581" s="71"/>
      <c r="BX1581" s="69"/>
      <c r="BZ1581" s="65"/>
    </row>
    <row r="1582" spans="1:80" s="68" customFormat="1" ht="61.5" x14ac:dyDescent="0.85">
      <c r="A1582" s="69"/>
      <c r="B1582" s="211">
        <v>2</v>
      </c>
      <c r="C1582" s="185" t="s">
        <v>2572</v>
      </c>
      <c r="D1582" s="188">
        <f>E1582+F1582+G1582+H1582+I1582+J1582+L1582+N1582+P1582+R1582+T1582+U1582+V1582+W1582+X1582+Y1582+Z1582+AA1582+AB1582+AC1582+AD1582+AE1582</f>
        <v>5380543.4199999999</v>
      </c>
      <c r="E1582" s="212">
        <v>0</v>
      </c>
      <c r="F1582" s="188">
        <v>0</v>
      </c>
      <c r="G1582" s="188">
        <v>0</v>
      </c>
      <c r="H1582" s="188">
        <v>0</v>
      </c>
      <c r="I1582" s="188">
        <v>0</v>
      </c>
      <c r="J1582" s="188">
        <v>0</v>
      </c>
      <c r="K1582" s="225">
        <v>0</v>
      </c>
      <c r="L1582" s="188">
        <v>0</v>
      </c>
      <c r="M1582" s="188">
        <v>1130</v>
      </c>
      <c r="N1582" s="188">
        <v>5301028</v>
      </c>
      <c r="O1582" s="188">
        <v>0</v>
      </c>
      <c r="P1582" s="188">
        <v>0</v>
      </c>
      <c r="Q1582" s="188">
        <v>0</v>
      </c>
      <c r="R1582" s="188">
        <v>0</v>
      </c>
      <c r="S1582" s="188">
        <v>0</v>
      </c>
      <c r="T1582" s="188">
        <v>0</v>
      </c>
      <c r="U1582" s="188">
        <v>0</v>
      </c>
      <c r="V1582" s="188">
        <v>0</v>
      </c>
      <c r="W1582" s="188">
        <v>0</v>
      </c>
      <c r="X1582" s="188">
        <v>0</v>
      </c>
      <c r="Y1582" s="188">
        <v>0</v>
      </c>
      <c r="Z1582" s="188">
        <v>0</v>
      </c>
      <c r="AA1582" s="188">
        <v>0</v>
      </c>
      <c r="AB1582" s="188">
        <v>0</v>
      </c>
      <c r="AC1582" s="188">
        <v>79515.42</v>
      </c>
      <c r="AD1582" s="188">
        <v>0</v>
      </c>
      <c r="AE1582" s="188">
        <v>0</v>
      </c>
      <c r="AF1582" s="213" t="s">
        <v>257</v>
      </c>
      <c r="AG1582" s="213">
        <v>2021</v>
      </c>
      <c r="AH1582" s="213">
        <v>2021</v>
      </c>
      <c r="AI1582" s="57"/>
      <c r="AL1582" s="65"/>
      <c r="AM1582" s="65"/>
      <c r="AV1582" s="69"/>
      <c r="BN1582" s="71"/>
      <c r="BX1582" s="69"/>
      <c r="BZ1582" s="65"/>
    </row>
    <row r="1583" spans="1:80" s="68" customFormat="1" ht="61.5" x14ac:dyDescent="0.85">
      <c r="A1583" s="69"/>
      <c r="B1583" s="211">
        <v>3</v>
      </c>
      <c r="C1583" s="185" t="s">
        <v>2574</v>
      </c>
      <c r="D1583" s="188">
        <f>E1583+F1583+G1583+H1583+I1583+J1583+L1583+N1583+P1583+R1583+T1583+U1583+V1583+W1583+X1583+Y1583+Z1583+AA1583+AB1583+AC1583+AD1583+AE1583</f>
        <v>3215405.31</v>
      </c>
      <c r="E1583" s="212">
        <v>0</v>
      </c>
      <c r="F1583" s="188">
        <v>0</v>
      </c>
      <c r="G1583" s="188">
        <v>0</v>
      </c>
      <c r="H1583" s="188">
        <v>0</v>
      </c>
      <c r="I1583" s="188">
        <v>0</v>
      </c>
      <c r="J1583" s="188">
        <v>0</v>
      </c>
      <c r="K1583" s="225">
        <v>0</v>
      </c>
      <c r="L1583" s="188">
        <v>0</v>
      </c>
      <c r="M1583" s="188">
        <v>638.66999999999996</v>
      </c>
      <c r="N1583" s="62">
        <v>3167887</v>
      </c>
      <c r="O1583" s="188">
        <v>0</v>
      </c>
      <c r="P1583" s="188">
        <v>0</v>
      </c>
      <c r="Q1583" s="188">
        <v>0</v>
      </c>
      <c r="R1583" s="188">
        <v>0</v>
      </c>
      <c r="S1583" s="188">
        <v>0</v>
      </c>
      <c r="T1583" s="188">
        <v>0</v>
      </c>
      <c r="U1583" s="188">
        <v>0</v>
      </c>
      <c r="V1583" s="188">
        <v>0</v>
      </c>
      <c r="W1583" s="188">
        <v>0</v>
      </c>
      <c r="X1583" s="188">
        <v>0</v>
      </c>
      <c r="Y1583" s="188">
        <v>0</v>
      </c>
      <c r="Z1583" s="188">
        <v>0</v>
      </c>
      <c r="AA1583" s="188">
        <v>0</v>
      </c>
      <c r="AB1583" s="188">
        <v>0</v>
      </c>
      <c r="AC1583" s="62">
        <v>47518.31</v>
      </c>
      <c r="AD1583" s="188">
        <v>0</v>
      </c>
      <c r="AE1583" s="188">
        <v>0</v>
      </c>
      <c r="AF1583" s="213" t="s">
        <v>257</v>
      </c>
      <c r="AG1583" s="213">
        <v>2021</v>
      </c>
      <c r="AH1583" s="213">
        <v>2021</v>
      </c>
      <c r="AI1583" s="57"/>
      <c r="AL1583" s="65"/>
      <c r="AM1583" s="65"/>
      <c r="AV1583" s="69"/>
      <c r="BN1583" s="71"/>
      <c r="BX1583" s="69"/>
      <c r="BZ1583" s="65"/>
    </row>
    <row r="1584" spans="1:80" s="68" customFormat="1" ht="61.5" x14ac:dyDescent="0.85">
      <c r="B1584" s="210" t="s">
        <v>770</v>
      </c>
      <c r="C1584" s="185"/>
      <c r="D1584" s="208">
        <f>D1585</f>
        <v>2415350.84</v>
      </c>
      <c r="E1584" s="201">
        <f t="shared" ref="E1584:AE1584" si="329">E1585</f>
        <v>0</v>
      </c>
      <c r="F1584" s="201">
        <f t="shared" si="329"/>
        <v>0</v>
      </c>
      <c r="G1584" s="201">
        <f t="shared" si="329"/>
        <v>0</v>
      </c>
      <c r="H1584" s="201">
        <f t="shared" si="329"/>
        <v>0</v>
      </c>
      <c r="I1584" s="201">
        <f t="shared" si="329"/>
        <v>0</v>
      </c>
      <c r="J1584" s="201">
        <f t="shared" si="329"/>
        <v>0</v>
      </c>
      <c r="K1584" s="225">
        <f t="shared" si="329"/>
        <v>0</v>
      </c>
      <c r="L1584" s="201">
        <f t="shared" si="329"/>
        <v>0</v>
      </c>
      <c r="M1584" s="201">
        <f t="shared" si="329"/>
        <v>485.3</v>
      </c>
      <c r="N1584" s="201">
        <f t="shared" si="329"/>
        <v>2379656</v>
      </c>
      <c r="O1584" s="201">
        <f t="shared" si="329"/>
        <v>0</v>
      </c>
      <c r="P1584" s="201">
        <f t="shared" si="329"/>
        <v>0</v>
      </c>
      <c r="Q1584" s="201">
        <f t="shared" si="329"/>
        <v>0</v>
      </c>
      <c r="R1584" s="201">
        <f t="shared" si="329"/>
        <v>0</v>
      </c>
      <c r="S1584" s="201">
        <f t="shared" si="329"/>
        <v>0</v>
      </c>
      <c r="T1584" s="201">
        <f t="shared" si="329"/>
        <v>0</v>
      </c>
      <c r="U1584" s="201">
        <f t="shared" si="329"/>
        <v>0</v>
      </c>
      <c r="V1584" s="201">
        <f t="shared" si="329"/>
        <v>0</v>
      </c>
      <c r="W1584" s="201">
        <f t="shared" si="329"/>
        <v>0</v>
      </c>
      <c r="X1584" s="201">
        <f t="shared" si="329"/>
        <v>0</v>
      </c>
      <c r="Y1584" s="201">
        <f t="shared" si="329"/>
        <v>0</v>
      </c>
      <c r="Z1584" s="201">
        <f t="shared" si="329"/>
        <v>0</v>
      </c>
      <c r="AA1584" s="201">
        <f t="shared" si="329"/>
        <v>0</v>
      </c>
      <c r="AB1584" s="201">
        <f t="shared" si="329"/>
        <v>0</v>
      </c>
      <c r="AC1584" s="188">
        <f t="shared" si="329"/>
        <v>35694.839999999997</v>
      </c>
      <c r="AD1584" s="201">
        <f t="shared" si="329"/>
        <v>0</v>
      </c>
      <c r="AE1584" s="201">
        <f t="shared" si="329"/>
        <v>0</v>
      </c>
      <c r="AF1584" s="202" t="s">
        <v>701</v>
      </c>
      <c r="AG1584" s="202" t="s">
        <v>701</v>
      </c>
      <c r="AH1584" s="207" t="s">
        <v>701</v>
      </c>
      <c r="AI1584" s="57"/>
      <c r="AL1584" s="70"/>
      <c r="AM1584" s="65"/>
      <c r="AV1584" s="69"/>
      <c r="BN1584" s="71"/>
      <c r="BX1584" s="69"/>
      <c r="BZ1584" s="65"/>
      <c r="CB1584" s="69"/>
    </row>
    <row r="1585" spans="1:80" s="68" customFormat="1" ht="61.5" x14ac:dyDescent="0.85">
      <c r="A1585" s="69"/>
      <c r="B1585" s="211">
        <v>4</v>
      </c>
      <c r="C1585" s="185" t="s">
        <v>2573</v>
      </c>
      <c r="D1585" s="188">
        <f>E1585+F1585+G1585+H1585+I1585+J1585+L1585+N1585+P1585+R1585+T1585+U1585+V1585+W1585+X1585+Y1585+Z1585+AA1585+AB1585+AC1585+AD1585+AE1585</f>
        <v>2415350.84</v>
      </c>
      <c r="E1585" s="212">
        <v>0</v>
      </c>
      <c r="F1585" s="188">
        <v>0</v>
      </c>
      <c r="G1585" s="188">
        <v>0</v>
      </c>
      <c r="H1585" s="188">
        <v>0</v>
      </c>
      <c r="I1585" s="188">
        <v>0</v>
      </c>
      <c r="J1585" s="188">
        <v>0</v>
      </c>
      <c r="K1585" s="225">
        <v>0</v>
      </c>
      <c r="L1585" s="188">
        <v>0</v>
      </c>
      <c r="M1585" s="188">
        <v>485.3</v>
      </c>
      <c r="N1585" s="62">
        <v>2379656</v>
      </c>
      <c r="O1585" s="188">
        <v>0</v>
      </c>
      <c r="P1585" s="188">
        <v>0</v>
      </c>
      <c r="Q1585" s="188">
        <v>0</v>
      </c>
      <c r="R1585" s="188">
        <v>0</v>
      </c>
      <c r="S1585" s="188">
        <v>0</v>
      </c>
      <c r="T1585" s="188">
        <v>0</v>
      </c>
      <c r="U1585" s="188">
        <v>0</v>
      </c>
      <c r="V1585" s="188">
        <v>0</v>
      </c>
      <c r="W1585" s="188">
        <v>0</v>
      </c>
      <c r="X1585" s="188">
        <v>0</v>
      </c>
      <c r="Y1585" s="188">
        <v>0</v>
      </c>
      <c r="Z1585" s="188">
        <v>0</v>
      </c>
      <c r="AA1585" s="188">
        <v>0</v>
      </c>
      <c r="AB1585" s="188">
        <v>0</v>
      </c>
      <c r="AC1585" s="62">
        <v>35694.839999999997</v>
      </c>
      <c r="AD1585" s="188">
        <v>0</v>
      </c>
      <c r="AE1585" s="188">
        <v>0</v>
      </c>
      <c r="AF1585" s="213" t="s">
        <v>257</v>
      </c>
      <c r="AG1585" s="213">
        <v>2021</v>
      </c>
      <c r="AH1585" s="213">
        <v>2021</v>
      </c>
      <c r="AI1585" s="57"/>
      <c r="AL1585" s="65"/>
      <c r="AM1585" s="65"/>
      <c r="AV1585" s="69"/>
      <c r="BN1585" s="71"/>
      <c r="BX1585" s="69"/>
      <c r="BZ1585" s="65"/>
    </row>
    <row r="1586" spans="1:80" s="68" customFormat="1" ht="61.5" x14ac:dyDescent="0.85">
      <c r="B1586" s="210" t="s">
        <v>1324</v>
      </c>
      <c r="C1586" s="185"/>
      <c r="D1586" s="208">
        <f t="shared" ref="D1586:AE1590" si="330">SUM(D1587:D1587)</f>
        <v>2265399.8199999998</v>
      </c>
      <c r="E1586" s="201">
        <f t="shared" si="330"/>
        <v>0</v>
      </c>
      <c r="F1586" s="201">
        <f t="shared" si="330"/>
        <v>0</v>
      </c>
      <c r="G1586" s="201">
        <f t="shared" si="330"/>
        <v>0</v>
      </c>
      <c r="H1586" s="201">
        <f t="shared" si="330"/>
        <v>0</v>
      </c>
      <c r="I1586" s="201">
        <f t="shared" si="330"/>
        <v>0</v>
      </c>
      <c r="J1586" s="201">
        <f t="shared" si="330"/>
        <v>0</v>
      </c>
      <c r="K1586" s="225">
        <f t="shared" si="330"/>
        <v>0</v>
      </c>
      <c r="L1586" s="201">
        <f t="shared" si="330"/>
        <v>0</v>
      </c>
      <c r="M1586" s="201">
        <f t="shared" si="330"/>
        <v>304.3</v>
      </c>
      <c r="N1586" s="201">
        <f t="shared" si="330"/>
        <v>2231921</v>
      </c>
      <c r="O1586" s="201">
        <f t="shared" si="330"/>
        <v>0</v>
      </c>
      <c r="P1586" s="201">
        <f t="shared" si="330"/>
        <v>0</v>
      </c>
      <c r="Q1586" s="201">
        <f t="shared" si="330"/>
        <v>0</v>
      </c>
      <c r="R1586" s="201">
        <f t="shared" si="330"/>
        <v>0</v>
      </c>
      <c r="S1586" s="201">
        <f t="shared" si="330"/>
        <v>0</v>
      </c>
      <c r="T1586" s="201">
        <f t="shared" si="330"/>
        <v>0</v>
      </c>
      <c r="U1586" s="201">
        <f t="shared" si="330"/>
        <v>0</v>
      </c>
      <c r="V1586" s="201">
        <f t="shared" si="330"/>
        <v>0</v>
      </c>
      <c r="W1586" s="201">
        <f t="shared" si="330"/>
        <v>0</v>
      </c>
      <c r="X1586" s="201">
        <f t="shared" si="330"/>
        <v>0</v>
      </c>
      <c r="Y1586" s="201">
        <f t="shared" si="330"/>
        <v>0</v>
      </c>
      <c r="Z1586" s="201">
        <f t="shared" si="330"/>
        <v>0</v>
      </c>
      <c r="AA1586" s="201">
        <f t="shared" si="330"/>
        <v>0</v>
      </c>
      <c r="AB1586" s="201">
        <f t="shared" si="330"/>
        <v>0</v>
      </c>
      <c r="AC1586" s="188">
        <f t="shared" si="330"/>
        <v>33478.82</v>
      </c>
      <c r="AD1586" s="201">
        <f t="shared" si="330"/>
        <v>0</v>
      </c>
      <c r="AE1586" s="201">
        <f t="shared" si="330"/>
        <v>0</v>
      </c>
      <c r="AF1586" s="202" t="s">
        <v>701</v>
      </c>
      <c r="AG1586" s="202" t="s">
        <v>701</v>
      </c>
      <c r="AH1586" s="207" t="s">
        <v>701</v>
      </c>
      <c r="AI1586" s="57"/>
      <c r="AL1586" s="70"/>
      <c r="AM1586" s="65"/>
      <c r="AV1586" s="69"/>
      <c r="BN1586" s="71"/>
      <c r="BX1586" s="69"/>
      <c r="BZ1586" s="65"/>
      <c r="CB1586" s="69"/>
    </row>
    <row r="1587" spans="1:80" s="56" customFormat="1" ht="76.5" customHeight="1" x14ac:dyDescent="0.85">
      <c r="A1587" s="69"/>
      <c r="B1587" s="211">
        <v>5</v>
      </c>
      <c r="C1587" s="186" t="s">
        <v>2575</v>
      </c>
      <c r="D1587" s="188">
        <f>E1587+F1587+G1587+H1587+I1587+J1587+L1587+N1587+P1587+R1587+T1587+U1587+V1587+W1587+X1587+Y1587+Z1587+AA1587+AB1587+AC1587+AD1587+AE1587</f>
        <v>2265399.8199999998</v>
      </c>
      <c r="E1587" s="212">
        <v>0</v>
      </c>
      <c r="F1587" s="188">
        <v>0</v>
      </c>
      <c r="G1587" s="188">
        <v>0</v>
      </c>
      <c r="H1587" s="188">
        <v>0</v>
      </c>
      <c r="I1587" s="188">
        <v>0</v>
      </c>
      <c r="J1587" s="188">
        <v>0</v>
      </c>
      <c r="K1587" s="225">
        <v>0</v>
      </c>
      <c r="L1587" s="188">
        <v>0</v>
      </c>
      <c r="M1587" s="188">
        <v>304.3</v>
      </c>
      <c r="N1587" s="188">
        <v>2231921</v>
      </c>
      <c r="O1587" s="188">
        <v>0</v>
      </c>
      <c r="P1587" s="188">
        <v>0</v>
      </c>
      <c r="Q1587" s="188">
        <v>0</v>
      </c>
      <c r="R1587" s="188">
        <v>0</v>
      </c>
      <c r="S1587" s="188">
        <v>0</v>
      </c>
      <c r="T1587" s="188">
        <v>0</v>
      </c>
      <c r="U1587" s="188">
        <v>0</v>
      </c>
      <c r="V1587" s="188">
        <v>0</v>
      </c>
      <c r="W1587" s="188">
        <v>0</v>
      </c>
      <c r="X1587" s="188">
        <v>0</v>
      </c>
      <c r="Y1587" s="188">
        <v>0</v>
      </c>
      <c r="Z1587" s="188">
        <v>0</v>
      </c>
      <c r="AA1587" s="188">
        <v>0</v>
      </c>
      <c r="AB1587" s="188">
        <v>0</v>
      </c>
      <c r="AC1587" s="188">
        <v>33478.82</v>
      </c>
      <c r="AD1587" s="188">
        <v>0</v>
      </c>
      <c r="AE1587" s="188">
        <v>0</v>
      </c>
      <c r="AF1587" s="213" t="s">
        <v>257</v>
      </c>
      <c r="AG1587" s="213">
        <v>2021</v>
      </c>
      <c r="AH1587" s="213">
        <v>2021</v>
      </c>
      <c r="AI1587" s="57"/>
      <c r="AL1587" s="65"/>
      <c r="AM1587" s="65"/>
      <c r="AV1587" s="69"/>
      <c r="BN1587" s="71"/>
      <c r="BX1587" s="69"/>
      <c r="BZ1587" s="65"/>
    </row>
    <row r="1588" spans="1:80" s="68" customFormat="1" ht="61.5" x14ac:dyDescent="0.85">
      <c r="B1588" s="210" t="s">
        <v>765</v>
      </c>
      <c r="C1588" s="185"/>
      <c r="D1588" s="208">
        <f t="shared" si="330"/>
        <v>2975822.68</v>
      </c>
      <c r="E1588" s="201">
        <f t="shared" si="330"/>
        <v>0</v>
      </c>
      <c r="F1588" s="201">
        <f t="shared" si="330"/>
        <v>0</v>
      </c>
      <c r="G1588" s="201">
        <f t="shared" si="330"/>
        <v>0</v>
      </c>
      <c r="H1588" s="201">
        <f t="shared" si="330"/>
        <v>0</v>
      </c>
      <c r="I1588" s="201">
        <f t="shared" si="330"/>
        <v>0</v>
      </c>
      <c r="J1588" s="201">
        <f t="shared" si="330"/>
        <v>0</v>
      </c>
      <c r="K1588" s="225">
        <f t="shared" si="330"/>
        <v>0</v>
      </c>
      <c r="L1588" s="201">
        <f t="shared" si="330"/>
        <v>0</v>
      </c>
      <c r="M1588" s="201">
        <f t="shared" si="330"/>
        <v>740.45</v>
      </c>
      <c r="N1588" s="201">
        <f t="shared" si="330"/>
        <v>2931845</v>
      </c>
      <c r="O1588" s="201">
        <f t="shared" si="330"/>
        <v>0</v>
      </c>
      <c r="P1588" s="201">
        <f t="shared" si="330"/>
        <v>0</v>
      </c>
      <c r="Q1588" s="201">
        <f t="shared" si="330"/>
        <v>0</v>
      </c>
      <c r="R1588" s="201">
        <f t="shared" si="330"/>
        <v>0</v>
      </c>
      <c r="S1588" s="201">
        <f t="shared" si="330"/>
        <v>0</v>
      </c>
      <c r="T1588" s="201">
        <f t="shared" si="330"/>
        <v>0</v>
      </c>
      <c r="U1588" s="201">
        <f t="shared" si="330"/>
        <v>0</v>
      </c>
      <c r="V1588" s="201">
        <f t="shared" si="330"/>
        <v>0</v>
      </c>
      <c r="W1588" s="201">
        <f t="shared" si="330"/>
        <v>0</v>
      </c>
      <c r="X1588" s="201">
        <f t="shared" si="330"/>
        <v>0</v>
      </c>
      <c r="Y1588" s="201">
        <f t="shared" si="330"/>
        <v>0</v>
      </c>
      <c r="Z1588" s="201">
        <f t="shared" si="330"/>
        <v>0</v>
      </c>
      <c r="AA1588" s="201">
        <f t="shared" si="330"/>
        <v>0</v>
      </c>
      <c r="AB1588" s="201">
        <f t="shared" si="330"/>
        <v>0</v>
      </c>
      <c r="AC1588" s="188">
        <f t="shared" si="330"/>
        <v>43977.68</v>
      </c>
      <c r="AD1588" s="201">
        <f t="shared" si="330"/>
        <v>0</v>
      </c>
      <c r="AE1588" s="201">
        <f t="shared" si="330"/>
        <v>0</v>
      </c>
      <c r="AF1588" s="202" t="s">
        <v>701</v>
      </c>
      <c r="AG1588" s="202" t="s">
        <v>701</v>
      </c>
      <c r="AH1588" s="207" t="s">
        <v>701</v>
      </c>
      <c r="AI1588" s="57"/>
      <c r="AL1588" s="70"/>
      <c r="AM1588" s="65"/>
      <c r="AV1588" s="69"/>
      <c r="BN1588" s="71"/>
      <c r="BX1588" s="69"/>
      <c r="BZ1588" s="65"/>
      <c r="CB1588" s="69"/>
    </row>
    <row r="1589" spans="1:80" s="56" customFormat="1" ht="76.5" customHeight="1" x14ac:dyDescent="0.85">
      <c r="A1589" s="69"/>
      <c r="B1589" s="211">
        <v>6</v>
      </c>
      <c r="C1589" s="186" t="s">
        <v>2578</v>
      </c>
      <c r="D1589" s="188">
        <f>E1589+F1589+G1589+H1589+I1589+J1589+L1589+N1589+P1589+R1589+T1589+U1589+V1589+W1589+X1589+Y1589+Z1589+AA1589+AB1589+AC1589+AD1589+AE1589</f>
        <v>2975822.68</v>
      </c>
      <c r="E1589" s="212">
        <v>0</v>
      </c>
      <c r="F1589" s="188">
        <v>0</v>
      </c>
      <c r="G1589" s="188">
        <v>0</v>
      </c>
      <c r="H1589" s="188">
        <v>0</v>
      </c>
      <c r="I1589" s="188">
        <v>0</v>
      </c>
      <c r="J1589" s="188">
        <v>0</v>
      </c>
      <c r="K1589" s="225">
        <v>0</v>
      </c>
      <c r="L1589" s="188">
        <v>0</v>
      </c>
      <c r="M1589" s="188">
        <v>740.45</v>
      </c>
      <c r="N1589" s="188">
        <v>2931845</v>
      </c>
      <c r="O1589" s="188">
        <v>0</v>
      </c>
      <c r="P1589" s="188">
        <v>0</v>
      </c>
      <c r="Q1589" s="188">
        <v>0</v>
      </c>
      <c r="R1589" s="188">
        <v>0</v>
      </c>
      <c r="S1589" s="188">
        <v>0</v>
      </c>
      <c r="T1589" s="188">
        <v>0</v>
      </c>
      <c r="U1589" s="188">
        <v>0</v>
      </c>
      <c r="V1589" s="188">
        <v>0</v>
      </c>
      <c r="W1589" s="188">
        <v>0</v>
      </c>
      <c r="X1589" s="188">
        <v>0</v>
      </c>
      <c r="Y1589" s="188">
        <v>0</v>
      </c>
      <c r="Z1589" s="188">
        <v>0</v>
      </c>
      <c r="AA1589" s="188">
        <v>0</v>
      </c>
      <c r="AB1589" s="188">
        <v>0</v>
      </c>
      <c r="AC1589" s="188">
        <v>43977.68</v>
      </c>
      <c r="AD1589" s="188">
        <v>0</v>
      </c>
      <c r="AE1589" s="188">
        <v>0</v>
      </c>
      <c r="AF1589" s="213" t="s">
        <v>257</v>
      </c>
      <c r="AG1589" s="213">
        <v>2021</v>
      </c>
      <c r="AH1589" s="213">
        <v>2021</v>
      </c>
      <c r="AI1589" s="57"/>
      <c r="AL1589" s="65"/>
      <c r="AM1589" s="65"/>
      <c r="AV1589" s="69"/>
      <c r="BN1589" s="71"/>
      <c r="BX1589" s="69"/>
      <c r="BZ1589" s="65"/>
    </row>
    <row r="1590" spans="1:80" s="68" customFormat="1" ht="61.5" x14ac:dyDescent="0.85">
      <c r="B1590" s="210" t="s">
        <v>774</v>
      </c>
      <c r="C1590" s="185"/>
      <c r="D1590" s="208">
        <f t="shared" si="330"/>
        <v>14050777.360000001</v>
      </c>
      <c r="E1590" s="201">
        <f t="shared" si="330"/>
        <v>0</v>
      </c>
      <c r="F1590" s="201">
        <f t="shared" si="330"/>
        <v>0</v>
      </c>
      <c r="G1590" s="201">
        <f t="shared" si="330"/>
        <v>478212</v>
      </c>
      <c r="H1590" s="201">
        <f t="shared" si="330"/>
        <v>0</v>
      </c>
      <c r="I1590" s="201">
        <f t="shared" si="330"/>
        <v>0</v>
      </c>
      <c r="J1590" s="201">
        <f t="shared" si="330"/>
        <v>0</v>
      </c>
      <c r="K1590" s="225">
        <f t="shared" si="330"/>
        <v>0</v>
      </c>
      <c r="L1590" s="201">
        <f t="shared" si="330"/>
        <v>0</v>
      </c>
      <c r="M1590" s="201">
        <f t="shared" si="330"/>
        <v>2029.46</v>
      </c>
      <c r="N1590" s="201">
        <f t="shared" si="330"/>
        <v>13364918.4</v>
      </c>
      <c r="O1590" s="201">
        <f t="shared" si="330"/>
        <v>0</v>
      </c>
      <c r="P1590" s="201">
        <f t="shared" si="330"/>
        <v>0</v>
      </c>
      <c r="Q1590" s="201">
        <f t="shared" si="330"/>
        <v>0</v>
      </c>
      <c r="R1590" s="201">
        <f t="shared" si="330"/>
        <v>0</v>
      </c>
      <c r="S1590" s="201">
        <f t="shared" si="330"/>
        <v>0</v>
      </c>
      <c r="T1590" s="201">
        <f t="shared" si="330"/>
        <v>0</v>
      </c>
      <c r="U1590" s="201">
        <f t="shared" si="330"/>
        <v>0</v>
      </c>
      <c r="V1590" s="201">
        <f t="shared" si="330"/>
        <v>0</v>
      </c>
      <c r="W1590" s="201">
        <f t="shared" si="330"/>
        <v>0</v>
      </c>
      <c r="X1590" s="201">
        <f t="shared" si="330"/>
        <v>0</v>
      </c>
      <c r="Y1590" s="201">
        <f t="shared" si="330"/>
        <v>0</v>
      </c>
      <c r="Z1590" s="201">
        <f t="shared" si="330"/>
        <v>0</v>
      </c>
      <c r="AA1590" s="201">
        <f t="shared" si="330"/>
        <v>0</v>
      </c>
      <c r="AB1590" s="201">
        <f t="shared" si="330"/>
        <v>0</v>
      </c>
      <c r="AC1590" s="188">
        <f t="shared" si="330"/>
        <v>207646.96</v>
      </c>
      <c r="AD1590" s="201">
        <f t="shared" si="330"/>
        <v>0</v>
      </c>
      <c r="AE1590" s="201">
        <f t="shared" si="330"/>
        <v>0</v>
      </c>
      <c r="AF1590" s="202" t="s">
        <v>701</v>
      </c>
      <c r="AG1590" s="202" t="s">
        <v>701</v>
      </c>
      <c r="AH1590" s="207" t="s">
        <v>701</v>
      </c>
      <c r="AI1590" s="57"/>
      <c r="AL1590" s="70"/>
      <c r="AM1590" s="65"/>
      <c r="AV1590" s="69"/>
      <c r="BN1590" s="71"/>
      <c r="BX1590" s="69"/>
      <c r="BZ1590" s="65"/>
      <c r="CB1590" s="69"/>
    </row>
    <row r="1591" spans="1:80" s="56" customFormat="1" ht="76.5" customHeight="1" x14ac:dyDescent="0.85">
      <c r="A1591" s="69"/>
      <c r="B1591" s="211">
        <v>7</v>
      </c>
      <c r="C1591" s="186" t="s">
        <v>1145</v>
      </c>
      <c r="D1591" s="188">
        <f>E1591+F1591+G1591+H1591+I1591+J1591+L1591+N1591+P1591+R1591+T1591+U1591+V1591+W1591+X1591+Y1591+Z1591+AA1591+AB1591+AC1591+AD1591+AE1591</f>
        <v>14050777.360000001</v>
      </c>
      <c r="E1591" s="212">
        <v>0</v>
      </c>
      <c r="F1591" s="188">
        <v>0</v>
      </c>
      <c r="G1591" s="188">
        <v>478212</v>
      </c>
      <c r="H1591" s="188">
        <v>0</v>
      </c>
      <c r="I1591" s="188">
        <v>0</v>
      </c>
      <c r="J1591" s="188">
        <v>0</v>
      </c>
      <c r="K1591" s="225">
        <v>0</v>
      </c>
      <c r="L1591" s="188">
        <v>0</v>
      </c>
      <c r="M1591" s="188">
        <v>2029.46</v>
      </c>
      <c r="N1591" s="188">
        <v>13364918.4</v>
      </c>
      <c r="O1591" s="188">
        <v>0</v>
      </c>
      <c r="P1591" s="188">
        <v>0</v>
      </c>
      <c r="Q1591" s="188">
        <v>0</v>
      </c>
      <c r="R1591" s="188">
        <v>0</v>
      </c>
      <c r="S1591" s="188">
        <v>0</v>
      </c>
      <c r="T1591" s="188">
        <v>0</v>
      </c>
      <c r="U1591" s="188">
        <v>0</v>
      </c>
      <c r="V1591" s="188">
        <v>0</v>
      </c>
      <c r="W1591" s="188">
        <v>0</v>
      </c>
      <c r="X1591" s="188">
        <v>0</v>
      </c>
      <c r="Y1591" s="188">
        <v>0</v>
      </c>
      <c r="Z1591" s="188">
        <v>0</v>
      </c>
      <c r="AA1591" s="188">
        <v>0</v>
      </c>
      <c r="AB1591" s="188">
        <v>0</v>
      </c>
      <c r="AC1591" s="188">
        <v>207646.96</v>
      </c>
      <c r="AD1591" s="188">
        <v>0</v>
      </c>
      <c r="AE1591" s="188">
        <v>0</v>
      </c>
      <c r="AF1591" s="213" t="s">
        <v>257</v>
      </c>
      <c r="AG1591" s="213">
        <v>2021</v>
      </c>
      <c r="AH1591" s="213">
        <v>2021</v>
      </c>
      <c r="AI1591" s="57"/>
      <c r="AL1591" s="65"/>
      <c r="AM1591" s="65"/>
      <c r="AV1591" s="69"/>
      <c r="BN1591" s="71"/>
      <c r="BX1591" s="69"/>
      <c r="BZ1591" s="65"/>
    </row>
    <row r="1592" spans="1:80" s="68" customFormat="1" ht="61.5" x14ac:dyDescent="0.85">
      <c r="B1592" s="210" t="s">
        <v>776</v>
      </c>
      <c r="C1592" s="185"/>
      <c r="D1592" s="208">
        <f t="shared" ref="D1592:AE1592" si="331">SUM(D1593:D1595)</f>
        <v>14768262.390000001</v>
      </c>
      <c r="E1592" s="201">
        <f t="shared" si="331"/>
        <v>0</v>
      </c>
      <c r="F1592" s="201">
        <f t="shared" si="331"/>
        <v>0</v>
      </c>
      <c r="G1592" s="201">
        <f t="shared" si="331"/>
        <v>0</v>
      </c>
      <c r="H1592" s="201">
        <f t="shared" si="331"/>
        <v>0</v>
      </c>
      <c r="I1592" s="201">
        <f t="shared" si="331"/>
        <v>0</v>
      </c>
      <c r="J1592" s="201">
        <f t="shared" si="331"/>
        <v>0</v>
      </c>
      <c r="K1592" s="225">
        <f t="shared" si="331"/>
        <v>0</v>
      </c>
      <c r="L1592" s="201">
        <f t="shared" si="331"/>
        <v>0</v>
      </c>
      <c r="M1592" s="201">
        <f t="shared" si="331"/>
        <v>2133.8000000000002</v>
      </c>
      <c r="N1592" s="201">
        <f t="shared" si="331"/>
        <v>14550012.199999999</v>
      </c>
      <c r="O1592" s="201">
        <f t="shared" si="331"/>
        <v>0</v>
      </c>
      <c r="P1592" s="201">
        <f t="shared" si="331"/>
        <v>0</v>
      </c>
      <c r="Q1592" s="201">
        <f t="shared" si="331"/>
        <v>0</v>
      </c>
      <c r="R1592" s="201">
        <f t="shared" si="331"/>
        <v>0</v>
      </c>
      <c r="S1592" s="201">
        <f t="shared" si="331"/>
        <v>0</v>
      </c>
      <c r="T1592" s="201">
        <f t="shared" si="331"/>
        <v>0</v>
      </c>
      <c r="U1592" s="201">
        <f t="shared" si="331"/>
        <v>0</v>
      </c>
      <c r="V1592" s="201">
        <f t="shared" si="331"/>
        <v>0</v>
      </c>
      <c r="W1592" s="201">
        <f t="shared" si="331"/>
        <v>0</v>
      </c>
      <c r="X1592" s="201">
        <f t="shared" si="331"/>
        <v>0</v>
      </c>
      <c r="Y1592" s="201">
        <f t="shared" si="331"/>
        <v>0</v>
      </c>
      <c r="Z1592" s="201">
        <f t="shared" si="331"/>
        <v>0</v>
      </c>
      <c r="AA1592" s="201">
        <f t="shared" si="331"/>
        <v>0</v>
      </c>
      <c r="AB1592" s="201">
        <f t="shared" si="331"/>
        <v>0</v>
      </c>
      <c r="AC1592" s="188">
        <f t="shared" si="331"/>
        <v>218250.18999999997</v>
      </c>
      <c r="AD1592" s="201">
        <f t="shared" si="331"/>
        <v>0</v>
      </c>
      <c r="AE1592" s="201">
        <f t="shared" si="331"/>
        <v>0</v>
      </c>
      <c r="AF1592" s="202" t="s">
        <v>701</v>
      </c>
      <c r="AG1592" s="202" t="s">
        <v>701</v>
      </c>
      <c r="AH1592" s="207" t="s">
        <v>701</v>
      </c>
      <c r="AI1592" s="57"/>
      <c r="AL1592" s="70"/>
      <c r="AM1592" s="65"/>
      <c r="AV1592" s="69"/>
      <c r="BN1592" s="71"/>
      <c r="BX1592" s="69"/>
      <c r="BZ1592" s="65"/>
      <c r="CB1592" s="69"/>
    </row>
    <row r="1593" spans="1:80" s="68" customFormat="1" ht="61.5" x14ac:dyDescent="0.85">
      <c r="A1593" s="69"/>
      <c r="B1593" s="211">
        <v>8</v>
      </c>
      <c r="C1593" s="185" t="s">
        <v>2579</v>
      </c>
      <c r="D1593" s="188">
        <f>E1593+F1593+G1593+H1593+I1593+J1593+L1593+N1593+P1593+R1593+T1593+U1593+V1593+W1593+X1593+Y1593+Z1593+AA1593+AB1593+AC1593+AD1593+AE1593</f>
        <v>5649753.0899999999</v>
      </c>
      <c r="E1593" s="212">
        <v>0</v>
      </c>
      <c r="F1593" s="188">
        <v>0</v>
      </c>
      <c r="G1593" s="188">
        <v>0</v>
      </c>
      <c r="H1593" s="188">
        <v>0</v>
      </c>
      <c r="I1593" s="188">
        <v>0</v>
      </c>
      <c r="J1593" s="188">
        <v>0</v>
      </c>
      <c r="K1593" s="225">
        <v>0</v>
      </c>
      <c r="L1593" s="188">
        <v>0</v>
      </c>
      <c r="M1593" s="188">
        <v>818.4</v>
      </c>
      <c r="N1593" s="188">
        <v>5566259.2000000002</v>
      </c>
      <c r="O1593" s="188">
        <v>0</v>
      </c>
      <c r="P1593" s="188">
        <v>0</v>
      </c>
      <c r="Q1593" s="188">
        <v>0</v>
      </c>
      <c r="R1593" s="188">
        <v>0</v>
      </c>
      <c r="S1593" s="188">
        <v>0</v>
      </c>
      <c r="T1593" s="188">
        <v>0</v>
      </c>
      <c r="U1593" s="188">
        <v>0</v>
      </c>
      <c r="V1593" s="188">
        <v>0</v>
      </c>
      <c r="W1593" s="188">
        <v>0</v>
      </c>
      <c r="X1593" s="188">
        <v>0</v>
      </c>
      <c r="Y1593" s="188">
        <v>0</v>
      </c>
      <c r="Z1593" s="188">
        <v>0</v>
      </c>
      <c r="AA1593" s="188">
        <v>0</v>
      </c>
      <c r="AB1593" s="188">
        <v>0</v>
      </c>
      <c r="AC1593" s="188">
        <v>83493.89</v>
      </c>
      <c r="AD1593" s="188">
        <v>0</v>
      </c>
      <c r="AE1593" s="188">
        <v>0</v>
      </c>
      <c r="AF1593" s="213" t="s">
        <v>257</v>
      </c>
      <c r="AG1593" s="213">
        <v>2021</v>
      </c>
      <c r="AH1593" s="213">
        <v>2021</v>
      </c>
      <c r="AI1593" s="57"/>
      <c r="AL1593" s="65"/>
      <c r="AM1593" s="65"/>
      <c r="AV1593" s="69"/>
      <c r="BN1593" s="71"/>
      <c r="BX1593" s="69"/>
      <c r="BZ1593" s="65"/>
    </row>
    <row r="1594" spans="1:80" s="68" customFormat="1" ht="61.5" x14ac:dyDescent="0.85">
      <c r="A1594" s="69"/>
      <c r="B1594" s="211">
        <v>9</v>
      </c>
      <c r="C1594" s="185" t="s">
        <v>2580</v>
      </c>
      <c r="D1594" s="188">
        <f>E1594+F1594+G1594+H1594+I1594+J1594+L1594+N1594+P1594+R1594+T1594+U1594+V1594+W1594+X1594+Y1594+Z1594+AA1594+AB1594+AC1594+AD1594+AE1594</f>
        <v>4715319.53</v>
      </c>
      <c r="E1594" s="212">
        <v>0</v>
      </c>
      <c r="F1594" s="188">
        <v>0</v>
      </c>
      <c r="G1594" s="188">
        <v>0</v>
      </c>
      <c r="H1594" s="188">
        <v>0</v>
      </c>
      <c r="I1594" s="188">
        <v>0</v>
      </c>
      <c r="J1594" s="188">
        <v>0</v>
      </c>
      <c r="K1594" s="225">
        <v>0</v>
      </c>
      <c r="L1594" s="188">
        <v>0</v>
      </c>
      <c r="M1594" s="188">
        <v>730.4</v>
      </c>
      <c r="N1594" s="188">
        <v>4645635</v>
      </c>
      <c r="O1594" s="188">
        <v>0</v>
      </c>
      <c r="P1594" s="188">
        <v>0</v>
      </c>
      <c r="Q1594" s="188">
        <v>0</v>
      </c>
      <c r="R1594" s="188">
        <v>0</v>
      </c>
      <c r="S1594" s="188">
        <v>0</v>
      </c>
      <c r="T1594" s="188">
        <v>0</v>
      </c>
      <c r="U1594" s="188">
        <v>0</v>
      </c>
      <c r="V1594" s="188">
        <v>0</v>
      </c>
      <c r="W1594" s="188">
        <v>0</v>
      </c>
      <c r="X1594" s="188">
        <v>0</v>
      </c>
      <c r="Y1594" s="188">
        <v>0</v>
      </c>
      <c r="Z1594" s="188">
        <v>0</v>
      </c>
      <c r="AA1594" s="188">
        <v>0</v>
      </c>
      <c r="AB1594" s="188">
        <v>0</v>
      </c>
      <c r="AC1594" s="62">
        <v>69684.53</v>
      </c>
      <c r="AD1594" s="188">
        <v>0</v>
      </c>
      <c r="AE1594" s="188">
        <v>0</v>
      </c>
      <c r="AF1594" s="213" t="s">
        <v>257</v>
      </c>
      <c r="AG1594" s="213">
        <v>2021</v>
      </c>
      <c r="AH1594" s="213">
        <v>2021</v>
      </c>
      <c r="AI1594" s="57"/>
      <c r="AL1594" s="65"/>
      <c r="AM1594" s="65"/>
      <c r="AV1594" s="69"/>
      <c r="BN1594" s="71"/>
      <c r="BX1594" s="69"/>
      <c r="BZ1594" s="65"/>
    </row>
    <row r="1595" spans="1:80" s="68" customFormat="1" ht="61.5" x14ac:dyDescent="0.85">
      <c r="A1595" s="69"/>
      <c r="B1595" s="211">
        <v>10</v>
      </c>
      <c r="C1595" s="185" t="s">
        <v>2581</v>
      </c>
      <c r="D1595" s="188">
        <f>E1595+F1595+G1595+H1595+I1595+J1595+L1595+N1595+P1595+R1595+T1595+U1595+V1595+W1595+X1595+Y1595+Z1595+AA1595+AB1595+AC1595+AD1595+AE1595</f>
        <v>4403189.7699999996</v>
      </c>
      <c r="E1595" s="212">
        <v>0</v>
      </c>
      <c r="F1595" s="188">
        <v>0</v>
      </c>
      <c r="G1595" s="188">
        <v>0</v>
      </c>
      <c r="H1595" s="188">
        <v>0</v>
      </c>
      <c r="I1595" s="188">
        <v>0</v>
      </c>
      <c r="J1595" s="188">
        <v>0</v>
      </c>
      <c r="K1595" s="225">
        <v>0</v>
      </c>
      <c r="L1595" s="188">
        <v>0</v>
      </c>
      <c r="M1595" s="188">
        <v>585</v>
      </c>
      <c r="N1595" s="199">
        <v>4338118</v>
      </c>
      <c r="O1595" s="188">
        <v>0</v>
      </c>
      <c r="P1595" s="188">
        <v>0</v>
      </c>
      <c r="Q1595" s="188">
        <v>0</v>
      </c>
      <c r="R1595" s="188">
        <v>0</v>
      </c>
      <c r="S1595" s="188">
        <v>0</v>
      </c>
      <c r="T1595" s="188">
        <v>0</v>
      </c>
      <c r="U1595" s="188">
        <v>0</v>
      </c>
      <c r="V1595" s="188">
        <v>0</v>
      </c>
      <c r="W1595" s="188">
        <v>0</v>
      </c>
      <c r="X1595" s="188">
        <v>0</v>
      </c>
      <c r="Y1595" s="188">
        <v>0</v>
      </c>
      <c r="Z1595" s="188">
        <v>0</v>
      </c>
      <c r="AA1595" s="188">
        <v>0</v>
      </c>
      <c r="AB1595" s="188">
        <v>0</v>
      </c>
      <c r="AC1595" s="188">
        <v>65071.77</v>
      </c>
      <c r="AD1595" s="188">
        <v>0</v>
      </c>
      <c r="AE1595" s="188">
        <v>0</v>
      </c>
      <c r="AF1595" s="213" t="s">
        <v>257</v>
      </c>
      <c r="AG1595" s="213">
        <v>2021</v>
      </c>
      <c r="AH1595" s="213">
        <v>2021</v>
      </c>
      <c r="AI1595" s="57"/>
      <c r="AL1595" s="65"/>
      <c r="AM1595" s="65"/>
      <c r="AV1595" s="69"/>
      <c r="BN1595" s="71"/>
      <c r="BX1595" s="69"/>
      <c r="BZ1595" s="65"/>
    </row>
    <row r="1596" spans="1:80" s="68" customFormat="1" ht="76.5" x14ac:dyDescent="0.3">
      <c r="B1596" s="311" t="s">
        <v>2968</v>
      </c>
      <c r="C1596" s="312"/>
      <c r="D1596" s="208">
        <f>D1597+D1599</f>
        <v>6699288.75</v>
      </c>
      <c r="E1596" s="188">
        <f t="shared" ref="E1596:AE1596" si="332">E1597+E1599</f>
        <v>0</v>
      </c>
      <c r="F1596" s="188">
        <f t="shared" si="332"/>
        <v>0</v>
      </c>
      <c r="G1596" s="188">
        <f t="shared" si="332"/>
        <v>0</v>
      </c>
      <c r="H1596" s="188">
        <f t="shared" si="332"/>
        <v>0</v>
      </c>
      <c r="I1596" s="188">
        <f t="shared" si="332"/>
        <v>0</v>
      </c>
      <c r="J1596" s="188">
        <f t="shared" si="332"/>
        <v>0</v>
      </c>
      <c r="K1596" s="225">
        <f t="shared" si="332"/>
        <v>0</v>
      </c>
      <c r="L1596" s="188">
        <f t="shared" si="332"/>
        <v>0</v>
      </c>
      <c r="M1596" s="188">
        <f t="shared" si="332"/>
        <v>859.01</v>
      </c>
      <c r="N1596" s="188">
        <f t="shared" si="332"/>
        <v>6455757</v>
      </c>
      <c r="O1596" s="188">
        <f t="shared" si="332"/>
        <v>0</v>
      </c>
      <c r="P1596" s="188">
        <f t="shared" si="332"/>
        <v>0</v>
      </c>
      <c r="Q1596" s="188">
        <f t="shared" si="332"/>
        <v>0</v>
      </c>
      <c r="R1596" s="188">
        <f t="shared" si="332"/>
        <v>0</v>
      </c>
      <c r="S1596" s="188">
        <f t="shared" si="332"/>
        <v>0</v>
      </c>
      <c r="T1596" s="188">
        <f t="shared" si="332"/>
        <v>0</v>
      </c>
      <c r="U1596" s="188">
        <f t="shared" si="332"/>
        <v>0</v>
      </c>
      <c r="V1596" s="188">
        <f t="shared" si="332"/>
        <v>0</v>
      </c>
      <c r="W1596" s="188">
        <f t="shared" si="332"/>
        <v>0</v>
      </c>
      <c r="X1596" s="188">
        <f t="shared" si="332"/>
        <v>0</v>
      </c>
      <c r="Y1596" s="188">
        <f t="shared" si="332"/>
        <v>0</v>
      </c>
      <c r="Z1596" s="188">
        <f t="shared" si="332"/>
        <v>0</v>
      </c>
      <c r="AA1596" s="188">
        <f t="shared" si="332"/>
        <v>0</v>
      </c>
      <c r="AB1596" s="188">
        <f t="shared" si="332"/>
        <v>0</v>
      </c>
      <c r="AC1596" s="188">
        <f t="shared" si="332"/>
        <v>0</v>
      </c>
      <c r="AD1596" s="188">
        <f t="shared" si="332"/>
        <v>243531.75</v>
      </c>
      <c r="AE1596" s="188">
        <f t="shared" si="332"/>
        <v>0</v>
      </c>
      <c r="AF1596" s="202" t="s">
        <v>701</v>
      </c>
      <c r="AG1596" s="202" t="s">
        <v>701</v>
      </c>
      <c r="AH1596" s="207" t="s">
        <v>701</v>
      </c>
    </row>
    <row r="1597" spans="1:80" s="68" customFormat="1" ht="61.5" x14ac:dyDescent="0.85">
      <c r="B1597" s="210" t="s">
        <v>815</v>
      </c>
      <c r="C1597" s="185"/>
      <c r="D1597" s="208">
        <f>D1598</f>
        <v>6455757</v>
      </c>
      <c r="E1597" s="188">
        <f t="shared" ref="E1597:J1597" si="333">E1598</f>
        <v>0</v>
      </c>
      <c r="F1597" s="188">
        <f t="shared" si="333"/>
        <v>0</v>
      </c>
      <c r="G1597" s="188">
        <f t="shared" si="333"/>
        <v>0</v>
      </c>
      <c r="H1597" s="188">
        <f t="shared" si="333"/>
        <v>0</v>
      </c>
      <c r="I1597" s="188">
        <f t="shared" si="333"/>
        <v>0</v>
      </c>
      <c r="J1597" s="188">
        <f t="shared" si="333"/>
        <v>0</v>
      </c>
      <c r="K1597" s="225">
        <f t="shared" ref="K1597" si="334">K1598</f>
        <v>0</v>
      </c>
      <c r="L1597" s="188">
        <f t="shared" ref="L1597" si="335">L1598</f>
        <v>0</v>
      </c>
      <c r="M1597" s="188">
        <f t="shared" ref="M1597" si="336">M1598</f>
        <v>859.01</v>
      </c>
      <c r="N1597" s="188">
        <f t="shared" ref="N1597" si="337">N1598</f>
        <v>6455757</v>
      </c>
      <c r="O1597" s="188">
        <f t="shared" ref="O1597:P1597" si="338">O1598</f>
        <v>0</v>
      </c>
      <c r="P1597" s="188">
        <f t="shared" si="338"/>
        <v>0</v>
      </c>
      <c r="Q1597" s="188">
        <f t="shared" ref="Q1597" si="339">Q1598</f>
        <v>0</v>
      </c>
      <c r="R1597" s="188">
        <f t="shared" ref="R1597" si="340">R1598</f>
        <v>0</v>
      </c>
      <c r="S1597" s="188">
        <f t="shared" ref="S1597" si="341">S1598</f>
        <v>0</v>
      </c>
      <c r="T1597" s="188">
        <f t="shared" ref="T1597" si="342">T1598</f>
        <v>0</v>
      </c>
      <c r="U1597" s="188">
        <f t="shared" ref="U1597:V1597" si="343">U1598</f>
        <v>0</v>
      </c>
      <c r="V1597" s="188">
        <f t="shared" si="343"/>
        <v>0</v>
      </c>
      <c r="W1597" s="188">
        <f t="shared" ref="W1597" si="344">W1598</f>
        <v>0</v>
      </c>
      <c r="X1597" s="188">
        <f t="shared" ref="X1597" si="345">X1598</f>
        <v>0</v>
      </c>
      <c r="Y1597" s="188">
        <f t="shared" ref="Y1597" si="346">Y1598</f>
        <v>0</v>
      </c>
      <c r="Z1597" s="188">
        <f t="shared" ref="Z1597" si="347">Z1598</f>
        <v>0</v>
      </c>
      <c r="AA1597" s="188">
        <f t="shared" ref="AA1597:AB1597" si="348">AA1598</f>
        <v>0</v>
      </c>
      <c r="AB1597" s="188">
        <f t="shared" si="348"/>
        <v>0</v>
      </c>
      <c r="AC1597" s="188">
        <f t="shared" ref="AC1597" si="349">AC1598</f>
        <v>0</v>
      </c>
      <c r="AD1597" s="188">
        <f t="shared" ref="AD1597" si="350">AD1598</f>
        <v>0</v>
      </c>
      <c r="AE1597" s="188">
        <f t="shared" ref="AE1597" si="351">AE1598</f>
        <v>0</v>
      </c>
      <c r="AF1597" s="202" t="s">
        <v>701</v>
      </c>
      <c r="AG1597" s="202" t="s">
        <v>701</v>
      </c>
      <c r="AH1597" s="207" t="s">
        <v>701</v>
      </c>
      <c r="AI1597" s="57"/>
      <c r="AL1597" s="70"/>
      <c r="AM1597" s="65"/>
      <c r="AV1597" s="69"/>
      <c r="BN1597" s="71"/>
      <c r="BX1597" s="69"/>
      <c r="BZ1597" s="65"/>
      <c r="CB1597" s="69"/>
    </row>
    <row r="1598" spans="1:80" s="68" customFormat="1" ht="61.5" x14ac:dyDescent="0.85">
      <c r="A1598" s="69"/>
      <c r="B1598" s="211">
        <v>1</v>
      </c>
      <c r="C1598" s="185" t="s">
        <v>2969</v>
      </c>
      <c r="D1598" s="188">
        <f>E1598+F1598+G1598+H1598+I1598+J1598+L1598+N1598+P1598+R1598+T1598+U1598+V1598+W1598+X1598+Y1598+Z1598+AA1598+AB1598+AC1598+AD1598+AE1598</f>
        <v>6455757</v>
      </c>
      <c r="E1598" s="212">
        <v>0</v>
      </c>
      <c r="F1598" s="188">
        <v>0</v>
      </c>
      <c r="G1598" s="188">
        <v>0</v>
      </c>
      <c r="H1598" s="188">
        <v>0</v>
      </c>
      <c r="I1598" s="188">
        <v>0</v>
      </c>
      <c r="J1598" s="188">
        <v>0</v>
      </c>
      <c r="K1598" s="225">
        <v>0</v>
      </c>
      <c r="L1598" s="188">
        <v>0</v>
      </c>
      <c r="M1598" s="188">
        <v>859.01</v>
      </c>
      <c r="N1598" s="199">
        <v>6455757</v>
      </c>
      <c r="O1598" s="188">
        <v>0</v>
      </c>
      <c r="P1598" s="188">
        <v>0</v>
      </c>
      <c r="Q1598" s="188">
        <v>0</v>
      </c>
      <c r="R1598" s="188">
        <v>0</v>
      </c>
      <c r="S1598" s="188">
        <v>0</v>
      </c>
      <c r="T1598" s="188">
        <v>0</v>
      </c>
      <c r="U1598" s="188">
        <v>0</v>
      </c>
      <c r="V1598" s="188">
        <v>0</v>
      </c>
      <c r="W1598" s="188">
        <v>0</v>
      </c>
      <c r="X1598" s="188">
        <v>0</v>
      </c>
      <c r="Y1598" s="188">
        <v>0</v>
      </c>
      <c r="Z1598" s="188">
        <v>0</v>
      </c>
      <c r="AA1598" s="188">
        <v>0</v>
      </c>
      <c r="AB1598" s="188">
        <v>0</v>
      </c>
      <c r="AC1598" s="188">
        <v>0</v>
      </c>
      <c r="AD1598" s="188">
        <v>0</v>
      </c>
      <c r="AE1598" s="188">
        <v>0</v>
      </c>
      <c r="AF1598" s="213" t="s">
        <v>257</v>
      </c>
      <c r="AG1598" s="213">
        <v>2022</v>
      </c>
      <c r="AH1598" s="213" t="s">
        <v>257</v>
      </c>
      <c r="AI1598" s="57"/>
      <c r="AL1598" s="65"/>
      <c r="AM1598" s="65"/>
      <c r="AV1598" s="69"/>
      <c r="BN1598" s="71"/>
      <c r="BX1598" s="69"/>
      <c r="BZ1598" s="65"/>
    </row>
    <row r="1599" spans="1:80" s="68" customFormat="1" ht="61.5" x14ac:dyDescent="0.85">
      <c r="B1599" s="210" t="s">
        <v>798</v>
      </c>
      <c r="C1599" s="185"/>
      <c r="D1599" s="208">
        <f>D1600</f>
        <v>243531.75</v>
      </c>
      <c r="E1599" s="188">
        <f t="shared" ref="E1599:AE1599" si="352">E1600</f>
        <v>0</v>
      </c>
      <c r="F1599" s="188">
        <f t="shared" si="352"/>
        <v>0</v>
      </c>
      <c r="G1599" s="188">
        <f t="shared" si="352"/>
        <v>0</v>
      </c>
      <c r="H1599" s="188">
        <f t="shared" si="352"/>
        <v>0</v>
      </c>
      <c r="I1599" s="188">
        <f t="shared" si="352"/>
        <v>0</v>
      </c>
      <c r="J1599" s="188">
        <f t="shared" si="352"/>
        <v>0</v>
      </c>
      <c r="K1599" s="225">
        <f t="shared" si="352"/>
        <v>0</v>
      </c>
      <c r="L1599" s="188">
        <f t="shared" si="352"/>
        <v>0</v>
      </c>
      <c r="M1599" s="188">
        <f t="shared" si="352"/>
        <v>0</v>
      </c>
      <c r="N1599" s="188">
        <f t="shared" si="352"/>
        <v>0</v>
      </c>
      <c r="O1599" s="188">
        <f t="shared" si="352"/>
        <v>0</v>
      </c>
      <c r="P1599" s="188">
        <f t="shared" si="352"/>
        <v>0</v>
      </c>
      <c r="Q1599" s="188">
        <f t="shared" si="352"/>
        <v>0</v>
      </c>
      <c r="R1599" s="188">
        <f t="shared" si="352"/>
        <v>0</v>
      </c>
      <c r="S1599" s="188">
        <f t="shared" si="352"/>
        <v>0</v>
      </c>
      <c r="T1599" s="188">
        <f t="shared" si="352"/>
        <v>0</v>
      </c>
      <c r="U1599" s="188">
        <f t="shared" si="352"/>
        <v>0</v>
      </c>
      <c r="V1599" s="188">
        <f t="shared" si="352"/>
        <v>0</v>
      </c>
      <c r="W1599" s="188">
        <f t="shared" si="352"/>
        <v>0</v>
      </c>
      <c r="X1599" s="188">
        <f t="shared" si="352"/>
        <v>0</v>
      </c>
      <c r="Y1599" s="188">
        <f t="shared" si="352"/>
        <v>0</v>
      </c>
      <c r="Z1599" s="188">
        <f t="shared" si="352"/>
        <v>0</v>
      </c>
      <c r="AA1599" s="188">
        <f t="shared" si="352"/>
        <v>0</v>
      </c>
      <c r="AB1599" s="188">
        <f t="shared" si="352"/>
        <v>0</v>
      </c>
      <c r="AC1599" s="188">
        <f t="shared" si="352"/>
        <v>0</v>
      </c>
      <c r="AD1599" s="188">
        <f t="shared" si="352"/>
        <v>243531.75</v>
      </c>
      <c r="AE1599" s="188">
        <f t="shared" si="352"/>
        <v>0</v>
      </c>
      <c r="AF1599" s="202" t="s">
        <v>701</v>
      </c>
      <c r="AG1599" s="202" t="s">
        <v>701</v>
      </c>
      <c r="AH1599" s="207" t="s">
        <v>701</v>
      </c>
      <c r="AI1599" s="57"/>
      <c r="AL1599" s="70"/>
      <c r="AM1599" s="65"/>
      <c r="AV1599" s="69"/>
      <c r="BN1599" s="71"/>
      <c r="BX1599" s="69"/>
      <c r="BZ1599" s="65"/>
      <c r="CB1599" s="69"/>
    </row>
    <row r="1600" spans="1:80" s="68" customFormat="1" ht="61.5" x14ac:dyDescent="0.85">
      <c r="A1600" s="69"/>
      <c r="B1600" s="211">
        <v>2</v>
      </c>
      <c r="C1600" s="185" t="s">
        <v>3244</v>
      </c>
      <c r="D1600" s="188">
        <f>E1600+F1600+G1600+H1600+I1600+J1600+L1600+N1600+P1600+R1600+T1600+U1600+V1600+W1600+X1600+Y1600+Z1600+AA1600+AB1600+AC1600+AD1600+AE1600</f>
        <v>243531.75</v>
      </c>
      <c r="E1600" s="212">
        <v>0</v>
      </c>
      <c r="F1600" s="188">
        <v>0</v>
      </c>
      <c r="G1600" s="188">
        <v>0</v>
      </c>
      <c r="H1600" s="188">
        <v>0</v>
      </c>
      <c r="I1600" s="188">
        <v>0</v>
      </c>
      <c r="J1600" s="188">
        <v>0</v>
      </c>
      <c r="K1600" s="225">
        <v>0</v>
      </c>
      <c r="L1600" s="188">
        <v>0</v>
      </c>
      <c r="M1600" s="188">
        <v>0</v>
      </c>
      <c r="N1600" s="199">
        <v>0</v>
      </c>
      <c r="O1600" s="188">
        <v>0</v>
      </c>
      <c r="P1600" s="188">
        <v>0</v>
      </c>
      <c r="Q1600" s="188">
        <v>0</v>
      </c>
      <c r="R1600" s="188">
        <v>0</v>
      </c>
      <c r="S1600" s="188">
        <v>0</v>
      </c>
      <c r="T1600" s="188">
        <v>0</v>
      </c>
      <c r="U1600" s="188">
        <v>0</v>
      </c>
      <c r="V1600" s="188">
        <v>0</v>
      </c>
      <c r="W1600" s="188">
        <v>0</v>
      </c>
      <c r="X1600" s="188">
        <v>0</v>
      </c>
      <c r="Y1600" s="188">
        <v>0</v>
      </c>
      <c r="Z1600" s="188">
        <v>0</v>
      </c>
      <c r="AA1600" s="188">
        <v>0</v>
      </c>
      <c r="AB1600" s="188">
        <v>0</v>
      </c>
      <c r="AC1600" s="188">
        <f>ROUND(I1600*2.14%,2)</f>
        <v>0</v>
      </c>
      <c r="AD1600" s="188">
        <v>243531.75</v>
      </c>
      <c r="AE1600" s="188">
        <v>0</v>
      </c>
      <c r="AF1600" s="213">
        <v>2022</v>
      </c>
      <c r="AG1600" s="213" t="s">
        <v>257</v>
      </c>
      <c r="AH1600" s="213" t="s">
        <v>257</v>
      </c>
      <c r="AI1600" s="57"/>
      <c r="AL1600" s="65"/>
      <c r="AM1600" s="65"/>
      <c r="AV1600" s="69"/>
      <c r="BN1600" s="71"/>
      <c r="BX1600" s="69"/>
      <c r="BZ1600" s="65"/>
    </row>
    <row r="1646" spans="3:3" x14ac:dyDescent="0.25">
      <c r="C1646" s="52" t="s">
        <v>680</v>
      </c>
    </row>
  </sheetData>
  <mergeCells count="51">
    <mergeCell ref="B1596:C1596"/>
    <mergeCell ref="B1568:AH1568"/>
    <mergeCell ref="AH11:AH17"/>
    <mergeCell ref="B1463:AH1463"/>
    <mergeCell ref="B1464:AH1464"/>
    <mergeCell ref="B1466:C1466"/>
    <mergeCell ref="Z12:Z16"/>
    <mergeCell ref="AA12:AA16"/>
    <mergeCell ref="B1465:C1465"/>
    <mergeCell ref="B1491:AH1491"/>
    <mergeCell ref="B1579:C1579"/>
    <mergeCell ref="D11:D16"/>
    <mergeCell ref="B11:B17"/>
    <mergeCell ref="C11:C17"/>
    <mergeCell ref="B1570:C1570"/>
    <mergeCell ref="B1569:C1569"/>
    <mergeCell ref="B6:AH6"/>
    <mergeCell ref="C7:AH8"/>
    <mergeCell ref="C9:AH9"/>
    <mergeCell ref="AB12:AB16"/>
    <mergeCell ref="AC12:AC16"/>
    <mergeCell ref="E13:E16"/>
    <mergeCell ref="F13:F16"/>
    <mergeCell ref="U11:AE11"/>
    <mergeCell ref="AF11:AF17"/>
    <mergeCell ref="U12:U16"/>
    <mergeCell ref="V12:V16"/>
    <mergeCell ref="W12:W16"/>
    <mergeCell ref="B7:B8"/>
    <mergeCell ref="J13:J16"/>
    <mergeCell ref="W1:AH1"/>
    <mergeCell ref="V2:AH2"/>
    <mergeCell ref="V3:AH3"/>
    <mergeCell ref="B4:AH4"/>
    <mergeCell ref="B5:AH5"/>
    <mergeCell ref="B1473:C1473"/>
    <mergeCell ref="AG11:AG17"/>
    <mergeCell ref="E12:J12"/>
    <mergeCell ref="K12:L16"/>
    <mergeCell ref="M12:N16"/>
    <mergeCell ref="O12:P16"/>
    <mergeCell ref="Q12:R16"/>
    <mergeCell ref="AD12:AD16"/>
    <mergeCell ref="AE12:AE16"/>
    <mergeCell ref="S12:T16"/>
    <mergeCell ref="E11:T11"/>
    <mergeCell ref="G13:G16"/>
    <mergeCell ref="H13:H16"/>
    <mergeCell ref="I13:I16"/>
    <mergeCell ref="X12:X16"/>
    <mergeCell ref="Y12:Y16"/>
  </mergeCells>
  <phoneticPr fontId="39" type="noConversion"/>
  <conditionalFormatting sqref="C1198">
    <cfRule type="duplicateValues" dxfId="42" priority="16"/>
  </conditionalFormatting>
  <conditionalFormatting sqref="C1199:C1202">
    <cfRule type="duplicateValues" dxfId="41" priority="15"/>
  </conditionalFormatting>
  <conditionalFormatting sqref="C1290:C1292">
    <cfRule type="duplicateValues" dxfId="40" priority="14"/>
  </conditionalFormatting>
  <conditionalFormatting sqref="C1152">
    <cfRule type="duplicateValues" dxfId="39" priority="12"/>
  </conditionalFormatting>
  <conditionalFormatting sqref="C1050">
    <cfRule type="duplicateValues" dxfId="38" priority="11"/>
  </conditionalFormatting>
  <conditionalFormatting sqref="C1190">
    <cfRule type="duplicateValues" dxfId="37" priority="8"/>
  </conditionalFormatting>
  <conditionalFormatting sqref="C1153:C1174 C1133:C1151">
    <cfRule type="duplicateValues" dxfId="36" priority="894"/>
  </conditionalFormatting>
  <conditionalFormatting sqref="C1203:C1217">
    <cfRule type="duplicateValues" dxfId="35" priority="1"/>
  </conditionalFormatting>
  <conditionalFormatting sqref="C1175:C1180">
    <cfRule type="duplicateValues" dxfId="34" priority="896"/>
  </conditionalFormatting>
  <conditionalFormatting sqref="C715">
    <cfRule type="duplicateValues" dxfId="33" priority="897"/>
  </conditionalFormatting>
  <conditionalFormatting sqref="C716">
    <cfRule type="duplicateValues" dxfId="32" priority="898"/>
  </conditionalFormatting>
  <conditionalFormatting sqref="C851 C839:C849">
    <cfRule type="duplicateValues" dxfId="31" priority="899"/>
  </conditionalFormatting>
  <conditionalFormatting sqref="C692:C713 C674:C678 C680:C690 C715:C716">
    <cfRule type="duplicateValues" dxfId="30" priority="901"/>
  </conditionalFormatting>
  <conditionalFormatting sqref="C644 C558:C628 C631:C641">
    <cfRule type="duplicateValues" dxfId="29" priority="905"/>
  </conditionalFormatting>
  <conditionalFormatting sqref="C691">
    <cfRule type="duplicateValues" dxfId="28" priority="908"/>
  </conditionalFormatting>
  <conditionalFormatting sqref="C679">
    <cfRule type="duplicateValues" dxfId="27" priority="909"/>
  </conditionalFormatting>
  <conditionalFormatting sqref="C714">
    <cfRule type="duplicateValues" dxfId="26" priority="910"/>
  </conditionalFormatting>
  <conditionalFormatting sqref="C718:C787">
    <cfRule type="duplicateValues" dxfId="25" priority="911"/>
  </conditionalFormatting>
  <pageMargins left="0.23622047244094491" right="0.23622047244094491" top="0.74803149606299213" bottom="0.35433070866141736" header="0.31496062992125984" footer="0.31496062992125984"/>
  <pageSetup paperSize="8" scale="10" fitToHeight="0" orientation="landscape" r:id="rId1"/>
  <headerFooter differentFirst="1">
    <oddHeader>&amp;C&amp;48&amp;P</oddHeader>
  </headerFooter>
  <colBreaks count="1" manualBreakCount="1">
    <brk id="21" max="1048575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18FB-98F3-4114-93BD-0A6DF9DECCB3}">
  <dimension ref="A5:AN38"/>
  <sheetViews>
    <sheetView zoomScale="20" zoomScaleNormal="20" workbookViewId="0">
      <selection activeCell="A38" sqref="A5:XFD38"/>
    </sheetView>
  </sheetViews>
  <sheetFormatPr defaultRowHeight="15" x14ac:dyDescent="0.25"/>
  <cols>
    <col min="3" max="3" width="188.140625" customWidth="1"/>
    <col min="4" max="4" width="21.42578125" customWidth="1"/>
    <col min="5" max="36" width="67" customWidth="1"/>
  </cols>
  <sheetData>
    <row r="5" spans="1:40" ht="62.25" x14ac:dyDescent="0.9">
      <c r="A5">
        <v>1</v>
      </c>
      <c r="B5" s="59">
        <f>SUBTOTAL(103,$A$5:A5)</f>
        <v>1</v>
      </c>
      <c r="C5" s="100" t="s">
        <v>1112</v>
      </c>
      <c r="D5" s="55">
        <v>2020</v>
      </c>
      <c r="E5" s="97">
        <v>0.97050000000000003</v>
      </c>
      <c r="F5" s="60">
        <f t="shared" ref="F5:F19" si="0">G5+H5+I5+J5+K5+L5+N5+P5+R5+T5+V5+W5+X5+Y5+Z5+AA5+AB5+AC5+AD5+AE5+AF5+AG5</f>
        <v>1709981.71</v>
      </c>
      <c r="G5" s="60">
        <v>0</v>
      </c>
      <c r="H5" s="60">
        <v>0</v>
      </c>
      <c r="I5" s="60">
        <v>0</v>
      </c>
      <c r="J5" s="60">
        <v>0</v>
      </c>
      <c r="K5" s="60">
        <v>0</v>
      </c>
      <c r="L5" s="60">
        <v>0</v>
      </c>
      <c r="M5" s="61">
        <v>0</v>
      </c>
      <c r="N5" s="60">
        <v>0</v>
      </c>
      <c r="O5" s="60">
        <v>1913</v>
      </c>
      <c r="P5" s="60">
        <v>1674154.8</v>
      </c>
      <c r="Q5" s="60">
        <v>0</v>
      </c>
      <c r="R5" s="60">
        <v>0</v>
      </c>
      <c r="S5" s="60">
        <v>0</v>
      </c>
      <c r="T5" s="101">
        <v>0</v>
      </c>
      <c r="U5" s="60">
        <v>0</v>
      </c>
      <c r="V5" s="60">
        <v>0</v>
      </c>
      <c r="W5" s="60">
        <v>0</v>
      </c>
      <c r="X5" s="60">
        <v>0</v>
      </c>
      <c r="Y5" s="60">
        <v>0</v>
      </c>
      <c r="Z5" s="60">
        <v>0</v>
      </c>
      <c r="AA5" s="60">
        <v>0</v>
      </c>
      <c r="AB5" s="60">
        <v>0</v>
      </c>
      <c r="AC5" s="60">
        <v>0</v>
      </c>
      <c r="AD5" s="60">
        <v>0</v>
      </c>
      <c r="AE5" s="60">
        <f>ROUND(P5*2.14%,2)</f>
        <v>35826.910000000003</v>
      </c>
      <c r="AF5" s="60">
        <v>0</v>
      </c>
      <c r="AG5" s="60">
        <v>0</v>
      </c>
      <c r="AH5" s="98" t="s">
        <v>257</v>
      </c>
      <c r="AI5" s="63">
        <v>2022</v>
      </c>
      <c r="AJ5" s="63">
        <v>2022</v>
      </c>
      <c r="AK5" s="102"/>
      <c r="AL5" s="102"/>
      <c r="AM5" s="102"/>
      <c r="AN5" s="102"/>
    </row>
    <row r="6" spans="1:40" s="125" customFormat="1" ht="62.25" x14ac:dyDescent="0.9">
      <c r="A6" s="125">
        <v>1</v>
      </c>
      <c r="B6" s="126">
        <f>SUBTOTAL(103,$A6:A$94)</f>
        <v>27</v>
      </c>
      <c r="C6" s="127" t="s">
        <v>1327</v>
      </c>
      <c r="D6" s="128" t="s">
        <v>1766</v>
      </c>
      <c r="E6" s="129">
        <v>0.76770000000000005</v>
      </c>
      <c r="F6" s="130">
        <f t="shared" si="0"/>
        <v>1464359.44</v>
      </c>
      <c r="G6" s="130">
        <v>0</v>
      </c>
      <c r="H6" s="130">
        <v>0</v>
      </c>
      <c r="I6" s="130">
        <v>0</v>
      </c>
      <c r="J6" s="130">
        <v>0</v>
      </c>
      <c r="K6" s="130">
        <v>0</v>
      </c>
      <c r="L6" s="130">
        <v>0</v>
      </c>
      <c r="M6" s="131">
        <v>0</v>
      </c>
      <c r="N6" s="130">
        <v>0</v>
      </c>
      <c r="O6" s="130">
        <v>901.5</v>
      </c>
      <c r="P6" s="130">
        <v>1457135.38</v>
      </c>
      <c r="Q6" s="130">
        <v>0</v>
      </c>
      <c r="R6" s="130">
        <v>0</v>
      </c>
      <c r="S6" s="130">
        <v>0</v>
      </c>
      <c r="T6" s="130">
        <v>0</v>
      </c>
      <c r="U6" s="130">
        <v>0</v>
      </c>
      <c r="V6" s="130">
        <v>0</v>
      </c>
      <c r="W6" s="130">
        <v>0</v>
      </c>
      <c r="X6" s="130">
        <v>0</v>
      </c>
      <c r="Y6" s="130">
        <v>0</v>
      </c>
      <c r="Z6" s="130">
        <v>0</v>
      </c>
      <c r="AA6" s="130">
        <v>0</v>
      </c>
      <c r="AB6" s="130">
        <v>0</v>
      </c>
      <c r="AC6" s="130">
        <v>0</v>
      </c>
      <c r="AD6" s="130">
        <v>0</v>
      </c>
      <c r="AE6" s="130">
        <v>7224.06</v>
      </c>
      <c r="AF6" s="130">
        <v>0</v>
      </c>
      <c r="AG6" s="130">
        <v>0</v>
      </c>
      <c r="AH6" s="133" t="s">
        <v>257</v>
      </c>
      <c r="AI6" s="133">
        <v>2020</v>
      </c>
      <c r="AJ6" s="133">
        <v>2020</v>
      </c>
      <c r="AK6" s="134"/>
      <c r="AL6" s="134"/>
      <c r="AM6" s="134"/>
      <c r="AN6" s="134"/>
    </row>
    <row r="7" spans="1:40" s="125" customFormat="1" ht="62.25" x14ac:dyDescent="0.9">
      <c r="A7" s="125">
        <v>1</v>
      </c>
      <c r="B7" s="126">
        <f>SUBTOTAL(103,$A7:A$94)</f>
        <v>26</v>
      </c>
      <c r="C7" s="127" t="s">
        <v>1331</v>
      </c>
      <c r="D7" s="128" t="s">
        <v>1767</v>
      </c>
      <c r="E7" s="129">
        <v>0.9244</v>
      </c>
      <c r="F7" s="130">
        <f t="shared" si="0"/>
        <v>1162545.21</v>
      </c>
      <c r="G7" s="130">
        <v>0</v>
      </c>
      <c r="H7" s="130">
        <v>0</v>
      </c>
      <c r="I7" s="130">
        <v>0</v>
      </c>
      <c r="J7" s="130">
        <v>0</v>
      </c>
      <c r="K7" s="130">
        <v>0</v>
      </c>
      <c r="L7" s="130">
        <v>0</v>
      </c>
      <c r="M7" s="131">
        <v>0</v>
      </c>
      <c r="N7" s="130">
        <v>0</v>
      </c>
      <c r="O7" s="130">
        <v>1100</v>
      </c>
      <c r="P7" s="130">
        <v>1161349.57</v>
      </c>
      <c r="Q7" s="130">
        <v>0</v>
      </c>
      <c r="R7" s="130">
        <v>0</v>
      </c>
      <c r="S7" s="130">
        <v>0</v>
      </c>
      <c r="T7" s="132">
        <v>0</v>
      </c>
      <c r="U7" s="130">
        <v>0</v>
      </c>
      <c r="V7" s="130">
        <v>0</v>
      </c>
      <c r="W7" s="130">
        <v>0</v>
      </c>
      <c r="X7" s="130">
        <v>0</v>
      </c>
      <c r="Y7" s="130">
        <v>0</v>
      </c>
      <c r="Z7" s="130">
        <v>0</v>
      </c>
      <c r="AA7" s="130">
        <v>0</v>
      </c>
      <c r="AB7" s="130">
        <v>0</v>
      </c>
      <c r="AC7" s="130">
        <v>0</v>
      </c>
      <c r="AD7" s="130">
        <v>0</v>
      </c>
      <c r="AE7" s="130">
        <v>1195.6400000000001</v>
      </c>
      <c r="AF7" s="130">
        <v>0</v>
      </c>
      <c r="AG7" s="130">
        <v>0</v>
      </c>
      <c r="AH7" s="133" t="s">
        <v>257</v>
      </c>
      <c r="AI7" s="136">
        <v>2022</v>
      </c>
      <c r="AJ7" s="136">
        <v>2022</v>
      </c>
      <c r="AK7" s="134"/>
      <c r="AL7" s="134"/>
      <c r="AM7" s="134"/>
      <c r="AN7" s="134"/>
    </row>
    <row r="8" spans="1:40" ht="123.75" x14ac:dyDescent="0.9">
      <c r="A8">
        <v>1</v>
      </c>
      <c r="B8" s="59">
        <f>SUBTOTAL(103,$A$8:A8)</f>
        <v>1</v>
      </c>
      <c r="C8" s="100" t="s">
        <v>1794</v>
      </c>
      <c r="D8" s="54">
        <v>2016</v>
      </c>
      <c r="E8" s="97">
        <v>0.88649999999999995</v>
      </c>
      <c r="F8" s="60">
        <f t="shared" si="0"/>
        <v>418959.01</v>
      </c>
      <c r="G8" s="60">
        <v>0</v>
      </c>
      <c r="H8" s="60">
        <v>0</v>
      </c>
      <c r="I8" s="60">
        <v>0</v>
      </c>
      <c r="J8" s="60">
        <v>0</v>
      </c>
      <c r="K8" s="60">
        <v>0</v>
      </c>
      <c r="L8" s="60">
        <v>0</v>
      </c>
      <c r="M8" s="61">
        <v>0</v>
      </c>
      <c r="N8" s="60">
        <v>0</v>
      </c>
      <c r="O8" s="60">
        <v>819.7</v>
      </c>
      <c r="P8" s="60">
        <v>412767.5</v>
      </c>
      <c r="Q8" s="60">
        <v>0</v>
      </c>
      <c r="R8" s="60">
        <v>0</v>
      </c>
      <c r="S8" s="60">
        <v>0</v>
      </c>
      <c r="T8" s="101">
        <v>0</v>
      </c>
      <c r="U8" s="60">
        <v>0</v>
      </c>
      <c r="V8" s="60">
        <v>0</v>
      </c>
      <c r="W8" s="60">
        <v>0</v>
      </c>
      <c r="X8" s="60">
        <v>0</v>
      </c>
      <c r="Y8" s="60">
        <v>0</v>
      </c>
      <c r="Z8" s="60">
        <v>0</v>
      </c>
      <c r="AA8" s="60">
        <v>0</v>
      </c>
      <c r="AB8" s="60">
        <v>0</v>
      </c>
      <c r="AC8" s="60">
        <v>0</v>
      </c>
      <c r="AD8" s="60">
        <v>0</v>
      </c>
      <c r="AE8" s="60">
        <f>ROUND(P8*1.5%,2)</f>
        <v>6191.51</v>
      </c>
      <c r="AF8" s="60">
        <v>0</v>
      </c>
      <c r="AG8" s="60">
        <v>0</v>
      </c>
      <c r="AH8" s="98" t="s">
        <v>257</v>
      </c>
      <c r="AI8" s="63">
        <v>2022</v>
      </c>
      <c r="AJ8" s="63">
        <v>2022</v>
      </c>
      <c r="AK8" s="102"/>
      <c r="AL8" s="102"/>
      <c r="AM8" s="102"/>
      <c r="AN8" s="102"/>
    </row>
    <row r="9" spans="1:40" ht="62.25" x14ac:dyDescent="0.9">
      <c r="A9">
        <v>1</v>
      </c>
      <c r="B9" s="59">
        <f>SUBTOTAL(103,$A$9:A9)</f>
        <v>1</v>
      </c>
      <c r="C9" s="100" t="s">
        <v>1339</v>
      </c>
      <c r="D9" s="54" t="s">
        <v>1767</v>
      </c>
      <c r="E9" s="97">
        <v>0.90890000000000004</v>
      </c>
      <c r="F9" s="60">
        <f t="shared" si="0"/>
        <v>381944.5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0</v>
      </c>
      <c r="M9" s="61">
        <v>0</v>
      </c>
      <c r="N9" s="60">
        <v>0</v>
      </c>
      <c r="O9" s="60">
        <v>645</v>
      </c>
      <c r="P9" s="60">
        <v>376300</v>
      </c>
      <c r="Q9" s="60">
        <v>0</v>
      </c>
      <c r="R9" s="60">
        <v>0</v>
      </c>
      <c r="S9" s="60">
        <v>0</v>
      </c>
      <c r="T9" s="60">
        <v>0</v>
      </c>
      <c r="U9" s="60">
        <v>0</v>
      </c>
      <c r="V9" s="60">
        <v>0</v>
      </c>
      <c r="W9" s="60">
        <v>0</v>
      </c>
      <c r="X9" s="60">
        <v>0</v>
      </c>
      <c r="Y9" s="60">
        <v>0</v>
      </c>
      <c r="Z9" s="60">
        <v>0</v>
      </c>
      <c r="AA9" s="60">
        <v>0</v>
      </c>
      <c r="AB9" s="60">
        <v>0</v>
      </c>
      <c r="AC9" s="60">
        <v>0</v>
      </c>
      <c r="AD9" s="60">
        <v>0</v>
      </c>
      <c r="AE9" s="60">
        <f>ROUND(P9*1.5%,2)</f>
        <v>5644.5</v>
      </c>
      <c r="AF9" s="60">
        <v>0</v>
      </c>
      <c r="AG9" s="60">
        <v>0</v>
      </c>
      <c r="AH9" s="98" t="s">
        <v>257</v>
      </c>
      <c r="AI9" s="63">
        <v>2022</v>
      </c>
      <c r="AJ9" s="63">
        <v>2022</v>
      </c>
      <c r="AK9" s="102"/>
      <c r="AL9" s="102"/>
      <c r="AM9" s="102"/>
      <c r="AN9" s="102"/>
    </row>
    <row r="10" spans="1:40" ht="62.25" x14ac:dyDescent="0.9">
      <c r="A10">
        <v>1</v>
      </c>
      <c r="B10" s="59">
        <f>SUBTOTAL(103,$A10:A$94)</f>
        <v>23</v>
      </c>
      <c r="C10" s="100" t="s">
        <v>3180</v>
      </c>
      <c r="D10" s="55">
        <v>2015</v>
      </c>
      <c r="E10" s="97">
        <v>0.96460000000000001</v>
      </c>
      <c r="F10" s="60">
        <f t="shared" si="0"/>
        <v>3952729.75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1">
        <v>0</v>
      </c>
      <c r="N10" s="60">
        <v>0</v>
      </c>
      <c r="O10" s="60">
        <v>536</v>
      </c>
      <c r="P10" s="60">
        <v>3869913.6</v>
      </c>
      <c r="Q10" s="60">
        <v>0</v>
      </c>
      <c r="R10" s="60">
        <v>0</v>
      </c>
      <c r="S10" s="60">
        <v>0</v>
      </c>
      <c r="T10" s="101">
        <v>0</v>
      </c>
      <c r="U10" s="60">
        <v>0</v>
      </c>
      <c r="V10" s="60">
        <v>0</v>
      </c>
      <c r="W10" s="60">
        <v>0</v>
      </c>
      <c r="X10" s="60">
        <v>0</v>
      </c>
      <c r="Y10" s="60">
        <v>0</v>
      </c>
      <c r="Z10" s="60">
        <v>0</v>
      </c>
      <c r="AA10" s="60">
        <v>0</v>
      </c>
      <c r="AB10" s="60">
        <v>0</v>
      </c>
      <c r="AC10" s="60">
        <v>0</v>
      </c>
      <c r="AD10" s="60">
        <v>0</v>
      </c>
      <c r="AE10" s="60">
        <f>ROUND(P10*2.14%,2)</f>
        <v>82816.149999999994</v>
      </c>
      <c r="AF10" s="58">
        <v>0</v>
      </c>
      <c r="AG10" s="60">
        <v>0</v>
      </c>
      <c r="AH10" s="98" t="s">
        <v>257</v>
      </c>
      <c r="AI10" s="98">
        <v>2022</v>
      </c>
      <c r="AJ10" s="98">
        <v>2022</v>
      </c>
      <c r="AK10" s="102"/>
      <c r="AL10" s="102"/>
      <c r="AM10" s="102"/>
      <c r="AN10" s="102"/>
    </row>
    <row r="11" spans="1:40" ht="62.25" x14ac:dyDescent="0.9">
      <c r="A11">
        <v>1</v>
      </c>
      <c r="B11" s="59">
        <f>SUBTOTAL(103,$A$11:A11)</f>
        <v>1</v>
      </c>
      <c r="C11" s="100" t="s">
        <v>1353</v>
      </c>
      <c r="D11" s="54" t="s">
        <v>1435</v>
      </c>
      <c r="E11" s="97">
        <v>0.86073469797958557</v>
      </c>
      <c r="F11" s="60">
        <f t="shared" si="0"/>
        <v>7180293.1799999997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1">
        <v>0</v>
      </c>
      <c r="N11" s="60">
        <v>0</v>
      </c>
      <c r="O11" s="60">
        <v>824.88</v>
      </c>
      <c r="P11" s="62">
        <v>7105029.5999999996</v>
      </c>
      <c r="Q11" s="60">
        <v>0</v>
      </c>
      <c r="R11" s="60">
        <v>0</v>
      </c>
      <c r="S11" s="60">
        <v>0</v>
      </c>
      <c r="T11" s="101">
        <v>0</v>
      </c>
      <c r="U11" s="60">
        <v>0</v>
      </c>
      <c r="V11" s="60">
        <v>0</v>
      </c>
      <c r="W11" s="60">
        <v>0</v>
      </c>
      <c r="X11" s="60">
        <v>0</v>
      </c>
      <c r="Y11" s="60">
        <v>0</v>
      </c>
      <c r="Z11" s="60">
        <v>0</v>
      </c>
      <c r="AA11" s="60">
        <v>0</v>
      </c>
      <c r="AB11" s="60">
        <v>0</v>
      </c>
      <c r="AC11" s="60">
        <v>0</v>
      </c>
      <c r="AD11" s="60">
        <v>0</v>
      </c>
      <c r="AE11" s="60">
        <f>ROUND(P11*1.0593%,2)</f>
        <v>75263.58</v>
      </c>
      <c r="AF11" s="60">
        <v>0</v>
      </c>
      <c r="AG11" s="60">
        <v>0</v>
      </c>
      <c r="AH11" s="98" t="s">
        <v>257</v>
      </c>
      <c r="AI11" s="63">
        <v>2022</v>
      </c>
      <c r="AJ11" s="63">
        <v>2022</v>
      </c>
      <c r="AK11" s="102"/>
      <c r="AL11" s="102"/>
      <c r="AM11" s="102"/>
      <c r="AN11" s="102"/>
    </row>
    <row r="12" spans="1:40" ht="62.25" x14ac:dyDescent="0.9">
      <c r="A12">
        <v>1</v>
      </c>
      <c r="B12" s="59">
        <f>SUBTOTAL(103,$A$11:A12)</f>
        <v>2</v>
      </c>
      <c r="C12" s="100" t="s">
        <v>1354</v>
      </c>
      <c r="D12" s="54" t="s">
        <v>1767</v>
      </c>
      <c r="E12" s="97">
        <v>0.94940000000000002</v>
      </c>
      <c r="F12" s="60">
        <f t="shared" si="0"/>
        <v>3359804.15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1">
        <v>0</v>
      </c>
      <c r="N12" s="60">
        <v>0</v>
      </c>
      <c r="O12" s="60">
        <v>477.6</v>
      </c>
      <c r="P12" s="60">
        <v>3324586.8</v>
      </c>
      <c r="Q12" s="60">
        <v>0</v>
      </c>
      <c r="R12" s="60">
        <v>0</v>
      </c>
      <c r="S12" s="60">
        <v>0</v>
      </c>
      <c r="T12" s="101">
        <v>0</v>
      </c>
      <c r="U12" s="60">
        <v>0</v>
      </c>
      <c r="V12" s="60">
        <v>0</v>
      </c>
      <c r="W12" s="60">
        <v>0</v>
      </c>
      <c r="X12" s="60">
        <v>0</v>
      </c>
      <c r="Y12" s="60">
        <v>0</v>
      </c>
      <c r="Z12" s="60">
        <v>0</v>
      </c>
      <c r="AA12" s="60">
        <v>0</v>
      </c>
      <c r="AB12" s="60">
        <v>0</v>
      </c>
      <c r="AC12" s="60">
        <v>0</v>
      </c>
      <c r="AD12" s="60">
        <v>0</v>
      </c>
      <c r="AE12" s="60">
        <f>ROUND(P12*1.0593%,2)</f>
        <v>35217.35</v>
      </c>
      <c r="AF12" s="60">
        <v>0</v>
      </c>
      <c r="AG12" s="60">
        <v>0</v>
      </c>
      <c r="AH12" s="98" t="s">
        <v>257</v>
      </c>
      <c r="AI12" s="63">
        <v>2022</v>
      </c>
      <c r="AJ12" s="63">
        <v>2022</v>
      </c>
      <c r="AK12" s="102"/>
      <c r="AL12" s="102"/>
      <c r="AM12" s="102"/>
      <c r="AN12" s="102"/>
    </row>
    <row r="13" spans="1:40" ht="62.25" x14ac:dyDescent="0.9">
      <c r="A13">
        <v>1</v>
      </c>
      <c r="B13" s="59">
        <f>SUBTOTAL(103,$A$13:A13)</f>
        <v>1</v>
      </c>
      <c r="C13" s="100" t="s">
        <v>1360</v>
      </c>
      <c r="D13" s="54" t="s">
        <v>1766</v>
      </c>
      <c r="E13" s="97">
        <v>0.91920000000000002</v>
      </c>
      <c r="F13" s="60">
        <f t="shared" si="0"/>
        <v>6537045.4800000004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1">
        <v>0</v>
      </c>
      <c r="N13" s="60">
        <v>0</v>
      </c>
      <c r="O13" s="60">
        <v>1107.2</v>
      </c>
      <c r="P13" s="60">
        <v>6468524.4000000004</v>
      </c>
      <c r="Q13" s="60">
        <v>0</v>
      </c>
      <c r="R13" s="60">
        <v>0</v>
      </c>
      <c r="S13" s="60">
        <v>0</v>
      </c>
      <c r="T13" s="101">
        <v>0</v>
      </c>
      <c r="U13" s="60">
        <v>0</v>
      </c>
      <c r="V13" s="60">
        <v>0</v>
      </c>
      <c r="W13" s="60">
        <v>0</v>
      </c>
      <c r="X13" s="60">
        <v>0</v>
      </c>
      <c r="Y13" s="60">
        <v>0</v>
      </c>
      <c r="Z13" s="60">
        <v>0</v>
      </c>
      <c r="AA13" s="60">
        <v>0</v>
      </c>
      <c r="AB13" s="60">
        <v>0</v>
      </c>
      <c r="AC13" s="60">
        <v>0</v>
      </c>
      <c r="AD13" s="60">
        <v>0</v>
      </c>
      <c r="AE13" s="60">
        <f>ROUND(P13*1.0593%,2)</f>
        <v>68521.08</v>
      </c>
      <c r="AF13" s="60">
        <v>0</v>
      </c>
      <c r="AG13" s="60">
        <v>0</v>
      </c>
      <c r="AH13" s="98" t="s">
        <v>257</v>
      </c>
      <c r="AI13" s="63">
        <v>2022</v>
      </c>
      <c r="AJ13" s="63">
        <v>2022</v>
      </c>
      <c r="AK13" s="102"/>
      <c r="AL13" s="102"/>
      <c r="AM13" s="102"/>
      <c r="AN13" s="102"/>
    </row>
    <row r="14" spans="1:40" ht="62.25" x14ac:dyDescent="0.9">
      <c r="A14">
        <v>1</v>
      </c>
      <c r="B14" s="59">
        <f>SUBTOTAL(103,$A14:A$94)</f>
        <v>19</v>
      </c>
      <c r="C14" s="100" t="s">
        <v>1362</v>
      </c>
      <c r="D14" s="54" t="s">
        <v>1767</v>
      </c>
      <c r="E14" s="97">
        <v>0.98829999999999996</v>
      </c>
      <c r="F14" s="60">
        <f t="shared" si="0"/>
        <v>49508.61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1">
        <v>0</v>
      </c>
      <c r="N14" s="60">
        <v>0</v>
      </c>
      <c r="O14" s="60">
        <v>284.39999999999998</v>
      </c>
      <c r="P14" s="60">
        <v>48776.959999999999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60">
        <v>0</v>
      </c>
      <c r="AB14" s="60">
        <v>0</v>
      </c>
      <c r="AC14" s="60">
        <v>0</v>
      </c>
      <c r="AD14" s="60">
        <v>0</v>
      </c>
      <c r="AE14" s="60">
        <f>ROUND(P14*1.5%,2)</f>
        <v>731.65</v>
      </c>
      <c r="AF14" s="60">
        <v>0</v>
      </c>
      <c r="AG14" s="60">
        <v>0</v>
      </c>
      <c r="AH14" s="98" t="s">
        <v>257</v>
      </c>
      <c r="AI14" s="63">
        <v>2022</v>
      </c>
      <c r="AJ14" s="63">
        <v>2022</v>
      </c>
      <c r="AK14" s="102"/>
      <c r="AL14" s="102"/>
      <c r="AM14" s="102"/>
      <c r="AN14" s="102"/>
    </row>
    <row r="15" spans="1:40" ht="62.25" x14ac:dyDescent="0.9">
      <c r="A15">
        <v>1</v>
      </c>
      <c r="B15" s="59">
        <f>SUBTOTAL(103,$A15:A$94)</f>
        <v>18</v>
      </c>
      <c r="C15" s="100" t="s">
        <v>1363</v>
      </c>
      <c r="D15" s="54" t="s">
        <v>1767</v>
      </c>
      <c r="E15" s="97">
        <v>0.86109999999999998</v>
      </c>
      <c r="F15" s="60">
        <f t="shared" si="0"/>
        <v>319940.15999999997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1">
        <v>0</v>
      </c>
      <c r="N15" s="60">
        <v>0</v>
      </c>
      <c r="O15" s="60">
        <v>1539</v>
      </c>
      <c r="P15" s="60">
        <v>316586.56</v>
      </c>
      <c r="Q15" s="60">
        <v>0</v>
      </c>
      <c r="R15" s="60">
        <v>0</v>
      </c>
      <c r="S15" s="60">
        <v>0</v>
      </c>
      <c r="T15" s="101">
        <v>0</v>
      </c>
      <c r="U15" s="60">
        <v>0</v>
      </c>
      <c r="V15" s="60">
        <v>0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0">
        <v>0</v>
      </c>
      <c r="AC15" s="60">
        <v>0</v>
      </c>
      <c r="AD15" s="60">
        <v>0</v>
      </c>
      <c r="AE15" s="60">
        <f>ROUND(P15*1.0593%,2)</f>
        <v>3353.6</v>
      </c>
      <c r="AF15" s="60">
        <v>0</v>
      </c>
      <c r="AG15" s="60">
        <v>0</v>
      </c>
      <c r="AH15" s="98" t="s">
        <v>257</v>
      </c>
      <c r="AI15" s="63">
        <v>2022</v>
      </c>
      <c r="AJ15" s="63">
        <v>2022</v>
      </c>
      <c r="AK15" s="102"/>
      <c r="AL15" s="102"/>
      <c r="AM15" s="102"/>
      <c r="AN15" s="102"/>
    </row>
    <row r="16" spans="1:40" ht="62.25" x14ac:dyDescent="0.9">
      <c r="A16">
        <v>1</v>
      </c>
      <c r="B16" s="59">
        <f>SUBTOTAL(103,$A$16:A16)</f>
        <v>1</v>
      </c>
      <c r="C16" s="100" t="s">
        <v>1366</v>
      </c>
      <c r="D16" s="54" t="s">
        <v>1767</v>
      </c>
      <c r="E16" s="97">
        <v>0.94679999999999997</v>
      </c>
      <c r="F16" s="60">
        <f t="shared" si="0"/>
        <v>1994384.8699999999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1">
        <v>0</v>
      </c>
      <c r="N16" s="60">
        <v>0</v>
      </c>
      <c r="O16" s="60">
        <v>289.66000000000003</v>
      </c>
      <c r="P16" s="60">
        <v>1964911.2</v>
      </c>
      <c r="Q16" s="60">
        <v>0</v>
      </c>
      <c r="R16" s="60">
        <v>0</v>
      </c>
      <c r="S16" s="60">
        <v>0</v>
      </c>
      <c r="T16" s="101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f>ROUND(P16*1.5%,2)</f>
        <v>29473.67</v>
      </c>
      <c r="AF16" s="60">
        <v>0</v>
      </c>
      <c r="AG16" s="60">
        <v>0</v>
      </c>
      <c r="AH16" s="98" t="s">
        <v>257</v>
      </c>
      <c r="AI16" s="63">
        <v>2022</v>
      </c>
      <c r="AJ16" s="63">
        <v>2022</v>
      </c>
      <c r="AK16" s="102"/>
      <c r="AL16" s="102"/>
      <c r="AM16" s="102"/>
      <c r="AN16" s="102"/>
    </row>
    <row r="17" spans="1:40" ht="62.25" x14ac:dyDescent="0.9">
      <c r="A17">
        <v>1</v>
      </c>
      <c r="B17" s="59">
        <f>SUBTOTAL(103,$A$17:A17)</f>
        <v>1</v>
      </c>
      <c r="C17" s="100" t="s">
        <v>1367</v>
      </c>
      <c r="D17" s="55" t="s">
        <v>1435</v>
      </c>
      <c r="E17" s="97">
        <v>0.92569999999999997</v>
      </c>
      <c r="F17" s="60">
        <f t="shared" si="0"/>
        <v>2870921.25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1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3007.6</v>
      </c>
      <c r="T17" s="62">
        <v>2828493.84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0</v>
      </c>
      <c r="AE17" s="60">
        <f>ROUND(T17*1.5%,2)</f>
        <v>42427.41</v>
      </c>
      <c r="AF17" s="60">
        <v>0</v>
      </c>
      <c r="AG17" s="60">
        <v>0</v>
      </c>
      <c r="AH17" s="98" t="s">
        <v>257</v>
      </c>
      <c r="AI17" s="63">
        <v>2022</v>
      </c>
      <c r="AJ17" s="63">
        <v>2022</v>
      </c>
      <c r="AK17" s="102"/>
      <c r="AL17" s="102"/>
      <c r="AM17" s="102"/>
      <c r="AN17" s="102"/>
    </row>
    <row r="18" spans="1:40" ht="62.25" x14ac:dyDescent="0.9">
      <c r="A18">
        <v>1</v>
      </c>
      <c r="B18" s="59">
        <f>SUBTOTAL(103,$A$18:A18)</f>
        <v>1</v>
      </c>
      <c r="C18" s="100" t="s">
        <v>1409</v>
      </c>
      <c r="D18" s="54" t="s">
        <v>1435</v>
      </c>
      <c r="E18" s="97">
        <v>0.76160000000000005</v>
      </c>
      <c r="F18" s="60">
        <f t="shared" si="0"/>
        <v>59400.639999999999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1">
        <v>0</v>
      </c>
      <c r="N18" s="60">
        <v>0</v>
      </c>
      <c r="O18" s="60">
        <v>910</v>
      </c>
      <c r="P18" s="62">
        <v>58522.8</v>
      </c>
      <c r="Q18" s="60">
        <v>0</v>
      </c>
      <c r="R18" s="60">
        <v>0</v>
      </c>
      <c r="S18" s="60">
        <v>0</v>
      </c>
      <c r="T18" s="101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60">
        <f t="shared" ref="AE18:AE23" si="1">ROUND(P18*1.5%,2)</f>
        <v>877.84</v>
      </c>
      <c r="AF18" s="60">
        <v>0</v>
      </c>
      <c r="AG18" s="60">
        <v>0</v>
      </c>
      <c r="AH18" s="98" t="s">
        <v>257</v>
      </c>
      <c r="AI18" s="63">
        <v>2022</v>
      </c>
      <c r="AJ18" s="63">
        <v>2022</v>
      </c>
      <c r="AK18" s="102"/>
      <c r="AL18" s="102"/>
      <c r="AM18" s="102"/>
      <c r="AN18" s="102"/>
    </row>
    <row r="19" spans="1:40" ht="62.25" x14ac:dyDescent="0.9">
      <c r="A19">
        <v>1</v>
      </c>
      <c r="B19" s="59">
        <f>SUBTOTAL(103,$A$19:A19)</f>
        <v>1</v>
      </c>
      <c r="C19" s="100" t="s">
        <v>1566</v>
      </c>
      <c r="D19" s="54" t="s">
        <v>1766</v>
      </c>
      <c r="E19" s="97">
        <v>0.95309999999999995</v>
      </c>
      <c r="F19" s="60">
        <f t="shared" si="0"/>
        <v>16859.560000000001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1">
        <v>0</v>
      </c>
      <c r="N19" s="60">
        <v>0</v>
      </c>
      <c r="O19" s="60">
        <v>900</v>
      </c>
      <c r="P19" s="60">
        <v>16610.400000000001</v>
      </c>
      <c r="Q19" s="60">
        <v>0</v>
      </c>
      <c r="R19" s="60">
        <v>0</v>
      </c>
      <c r="S19" s="60">
        <v>0</v>
      </c>
      <c r="T19" s="101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f t="shared" si="1"/>
        <v>249.16</v>
      </c>
      <c r="AF19" s="60">
        <v>0</v>
      </c>
      <c r="AG19" s="60">
        <v>0</v>
      </c>
      <c r="AH19" s="98" t="s">
        <v>257</v>
      </c>
      <c r="AI19" s="63">
        <v>2022</v>
      </c>
      <c r="AJ19" s="63">
        <v>2022</v>
      </c>
      <c r="AK19" s="102"/>
      <c r="AL19" s="102"/>
      <c r="AM19" s="102"/>
      <c r="AN19" s="102"/>
    </row>
    <row r="20" spans="1:40" ht="62.25" x14ac:dyDescent="0.9">
      <c r="A20">
        <v>1</v>
      </c>
      <c r="B20" s="59">
        <f>SUBTOTAL(103,$A$20:A20)</f>
        <v>1</v>
      </c>
      <c r="C20" s="100" t="s">
        <v>2302</v>
      </c>
      <c r="D20" s="54" t="s">
        <v>1767</v>
      </c>
      <c r="E20" s="97">
        <v>0.78400000000000003</v>
      </c>
      <c r="F20" s="60">
        <f>P20+AE20</f>
        <v>17853.439999999999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1">
        <v>0</v>
      </c>
      <c r="N20" s="60">
        <v>0</v>
      </c>
      <c r="O20" s="60">
        <v>316</v>
      </c>
      <c r="P20" s="62">
        <v>17589.599999999999</v>
      </c>
      <c r="Q20" s="60">
        <v>0</v>
      </c>
      <c r="R20" s="60">
        <v>0</v>
      </c>
      <c r="S20" s="60">
        <v>0</v>
      </c>
      <c r="T20" s="101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60">
        <v>0</v>
      </c>
      <c r="AD20" s="60">
        <v>0</v>
      </c>
      <c r="AE20" s="60">
        <f t="shared" si="1"/>
        <v>263.83999999999997</v>
      </c>
      <c r="AF20" s="60">
        <v>0</v>
      </c>
      <c r="AG20" s="60">
        <v>0</v>
      </c>
      <c r="AH20" s="98" t="s">
        <v>257</v>
      </c>
      <c r="AI20" s="63">
        <v>2022</v>
      </c>
      <c r="AJ20" s="63">
        <v>2022</v>
      </c>
      <c r="AK20" s="102"/>
      <c r="AL20" s="102"/>
      <c r="AM20" s="102"/>
      <c r="AN20" s="102"/>
    </row>
    <row r="21" spans="1:40" ht="62.25" x14ac:dyDescent="0.9">
      <c r="A21">
        <v>1</v>
      </c>
      <c r="B21" s="59">
        <f>SUBTOTAL(103,$A$20:A21)</f>
        <v>2</v>
      </c>
      <c r="C21" s="100" t="s">
        <v>2303</v>
      </c>
      <c r="D21" s="54" t="s">
        <v>1767</v>
      </c>
      <c r="E21" s="97">
        <v>0.78600000000000003</v>
      </c>
      <c r="F21" s="60">
        <f>P21+AE21</f>
        <v>52387.399999999994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1">
        <v>0</v>
      </c>
      <c r="N21" s="60">
        <v>0</v>
      </c>
      <c r="O21" s="60">
        <v>978</v>
      </c>
      <c r="P21" s="60">
        <v>51613.2</v>
      </c>
      <c r="Q21" s="60">
        <v>0</v>
      </c>
      <c r="R21" s="60">
        <v>0</v>
      </c>
      <c r="S21" s="60">
        <v>0</v>
      </c>
      <c r="T21" s="101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  <c r="AC21" s="60">
        <v>0</v>
      </c>
      <c r="AD21" s="60">
        <v>0</v>
      </c>
      <c r="AE21" s="60">
        <f t="shared" si="1"/>
        <v>774.2</v>
      </c>
      <c r="AF21" s="60">
        <v>0</v>
      </c>
      <c r="AG21" s="60">
        <v>0</v>
      </c>
      <c r="AH21" s="98" t="s">
        <v>257</v>
      </c>
      <c r="AI21" s="63">
        <v>2022</v>
      </c>
      <c r="AJ21" s="63">
        <v>2022</v>
      </c>
      <c r="AK21" s="102"/>
      <c r="AL21" s="102"/>
      <c r="AM21" s="102"/>
      <c r="AN21" s="102"/>
    </row>
    <row r="22" spans="1:40" ht="123.75" x14ac:dyDescent="0.9">
      <c r="A22">
        <v>1</v>
      </c>
      <c r="B22" s="59">
        <f>SUBTOTAL(103,$A22:A$94)</f>
        <v>11</v>
      </c>
      <c r="C22" s="100" t="s">
        <v>1390</v>
      </c>
      <c r="D22" s="54" t="s">
        <v>1435</v>
      </c>
      <c r="E22" s="97">
        <v>0.87239999999999995</v>
      </c>
      <c r="F22" s="60">
        <f>G22+H22+I22+J22+K22+L22+N22+P22+R22+T22+V22+W22+X22+Y22+Z22+AA22+AB22+AC22+AD22+AE22+AF22+AG22</f>
        <v>83534.5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1">
        <v>0</v>
      </c>
      <c r="N22" s="60">
        <v>0</v>
      </c>
      <c r="O22" s="60">
        <v>2780.7</v>
      </c>
      <c r="P22" s="60">
        <v>82300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60">
        <v>0</v>
      </c>
      <c r="AD22" s="60">
        <v>0</v>
      </c>
      <c r="AE22" s="60">
        <f t="shared" si="1"/>
        <v>1234.5</v>
      </c>
      <c r="AF22" s="60">
        <v>0</v>
      </c>
      <c r="AG22" s="60">
        <v>0</v>
      </c>
      <c r="AH22" s="98" t="s">
        <v>257</v>
      </c>
      <c r="AI22" s="63">
        <v>2022</v>
      </c>
      <c r="AJ22" s="63">
        <v>2022</v>
      </c>
      <c r="AK22" s="102"/>
      <c r="AL22" s="102"/>
      <c r="AM22" s="102"/>
      <c r="AN22" s="102"/>
    </row>
    <row r="23" spans="1:40" ht="62.25" x14ac:dyDescent="0.9">
      <c r="A23">
        <v>1</v>
      </c>
      <c r="B23" s="59">
        <f>SUBTOTAL(103,$A23:A$94)</f>
        <v>10</v>
      </c>
      <c r="C23" s="100" t="s">
        <v>1392</v>
      </c>
      <c r="D23" s="54" t="s">
        <v>1767</v>
      </c>
      <c r="E23" s="97">
        <v>0.75539999999999996</v>
      </c>
      <c r="F23" s="60">
        <f>G23+H23+I23+J23+K23+L23+N23+P23+R23+T23+V23+W23+X23+Y23+Z23+AA23+AB23+AC23+AD23+AE23+AF23+AG23</f>
        <v>41251.22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1">
        <v>0</v>
      </c>
      <c r="N23" s="60">
        <v>0</v>
      </c>
      <c r="O23" s="60">
        <v>749</v>
      </c>
      <c r="P23" s="60">
        <v>40641.599999999999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  <c r="AC23" s="60">
        <v>0</v>
      </c>
      <c r="AD23" s="60">
        <v>0</v>
      </c>
      <c r="AE23" s="60">
        <f t="shared" si="1"/>
        <v>609.62</v>
      </c>
      <c r="AF23" s="60">
        <v>0</v>
      </c>
      <c r="AG23" s="60">
        <v>0</v>
      </c>
      <c r="AH23" s="98" t="s">
        <v>257</v>
      </c>
      <c r="AI23" s="98" t="s">
        <v>2965</v>
      </c>
      <c r="AJ23" s="98" t="s">
        <v>2965</v>
      </c>
      <c r="AK23" s="102"/>
      <c r="AL23" s="102"/>
      <c r="AM23" s="102"/>
      <c r="AN23" s="102"/>
    </row>
    <row r="24" spans="1:40" ht="62.25" x14ac:dyDescent="0.9">
      <c r="B24" s="103" t="s">
        <v>802</v>
      </c>
      <c r="C24" s="100"/>
      <c r="D24" s="99" t="s">
        <v>835</v>
      </c>
      <c r="E24" s="97">
        <f>E25</f>
        <v>0.95309999999999995</v>
      </c>
      <c r="F24" s="60">
        <f>F25</f>
        <v>39413.129999999997</v>
      </c>
      <c r="G24" s="60">
        <f t="shared" ref="G24:AG24" si="2">G25</f>
        <v>0</v>
      </c>
      <c r="H24" s="60">
        <f t="shared" si="2"/>
        <v>0</v>
      </c>
      <c r="I24" s="60">
        <f t="shared" si="2"/>
        <v>0</v>
      </c>
      <c r="J24" s="60">
        <f t="shared" si="2"/>
        <v>0</v>
      </c>
      <c r="K24" s="60">
        <f t="shared" si="2"/>
        <v>0</v>
      </c>
      <c r="L24" s="60">
        <f t="shared" si="2"/>
        <v>0</v>
      </c>
      <c r="M24" s="61">
        <f t="shared" si="2"/>
        <v>0</v>
      </c>
      <c r="N24" s="60">
        <f t="shared" si="2"/>
        <v>0</v>
      </c>
      <c r="O24" s="60">
        <f t="shared" si="2"/>
        <v>544</v>
      </c>
      <c r="P24" s="60">
        <f t="shared" si="2"/>
        <v>39000</v>
      </c>
      <c r="Q24" s="60">
        <f t="shared" si="2"/>
        <v>0</v>
      </c>
      <c r="R24" s="60">
        <f t="shared" si="2"/>
        <v>0</v>
      </c>
      <c r="S24" s="60">
        <f t="shared" si="2"/>
        <v>0</v>
      </c>
      <c r="T24" s="60">
        <f t="shared" si="2"/>
        <v>0</v>
      </c>
      <c r="U24" s="60">
        <f t="shared" si="2"/>
        <v>0</v>
      </c>
      <c r="V24" s="60">
        <f t="shared" si="2"/>
        <v>0</v>
      </c>
      <c r="W24" s="60">
        <f t="shared" si="2"/>
        <v>0</v>
      </c>
      <c r="X24" s="60">
        <f t="shared" si="2"/>
        <v>0</v>
      </c>
      <c r="Y24" s="60">
        <f t="shared" si="2"/>
        <v>0</v>
      </c>
      <c r="Z24" s="60">
        <f t="shared" si="2"/>
        <v>0</v>
      </c>
      <c r="AA24" s="60">
        <f t="shared" si="2"/>
        <v>0</v>
      </c>
      <c r="AB24" s="60">
        <f t="shared" si="2"/>
        <v>0</v>
      </c>
      <c r="AC24" s="60">
        <f t="shared" si="2"/>
        <v>0</v>
      </c>
      <c r="AD24" s="60">
        <f t="shared" si="2"/>
        <v>0</v>
      </c>
      <c r="AE24" s="60">
        <f t="shared" si="2"/>
        <v>413.13</v>
      </c>
      <c r="AF24" s="60">
        <f t="shared" si="2"/>
        <v>0</v>
      </c>
      <c r="AG24" s="60">
        <f t="shared" si="2"/>
        <v>0</v>
      </c>
      <c r="AH24" s="98" t="s">
        <v>835</v>
      </c>
      <c r="AI24" s="98" t="s">
        <v>835</v>
      </c>
      <c r="AJ24" s="98" t="s">
        <v>835</v>
      </c>
      <c r="AK24" s="102"/>
      <c r="AL24" s="102"/>
      <c r="AM24" s="102"/>
      <c r="AN24" s="102"/>
    </row>
    <row r="25" spans="1:40" ht="62.25" x14ac:dyDescent="0.9">
      <c r="A25">
        <v>1</v>
      </c>
      <c r="B25" s="59">
        <f>SUBTOTAL(103,$A25:A$94)</f>
        <v>9</v>
      </c>
      <c r="C25" s="100" t="s">
        <v>1394</v>
      </c>
      <c r="D25" s="54" t="s">
        <v>1766</v>
      </c>
      <c r="E25" s="97">
        <v>0.95309999999999995</v>
      </c>
      <c r="F25" s="60">
        <f>G25+H25+I25+J25+K25+L25+N25+P25+R25+T25+V25+W25+X25+Y25+Z25+AA25+AB25+AC25+AD25+AE25+AF25+AG25</f>
        <v>39413.129999999997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1">
        <v>0</v>
      </c>
      <c r="N25" s="60">
        <v>0</v>
      </c>
      <c r="O25" s="60">
        <v>544</v>
      </c>
      <c r="P25" s="60">
        <v>39000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C25" s="60">
        <v>0</v>
      </c>
      <c r="AD25" s="60">
        <v>0</v>
      </c>
      <c r="AE25" s="60">
        <f>ROUND(P25*1.0593%,2)</f>
        <v>413.13</v>
      </c>
      <c r="AF25" s="60">
        <v>0</v>
      </c>
      <c r="AG25" s="60">
        <v>0</v>
      </c>
      <c r="AH25" s="98" t="s">
        <v>257</v>
      </c>
      <c r="AI25" s="63">
        <v>2022</v>
      </c>
      <c r="AJ25" s="63">
        <v>2022</v>
      </c>
      <c r="AK25" s="102"/>
      <c r="AL25" s="102"/>
      <c r="AM25" s="102"/>
      <c r="AN25" s="102"/>
    </row>
    <row r="26" spans="1:40" ht="62.25" x14ac:dyDescent="0.9">
      <c r="B26" s="103" t="s">
        <v>770</v>
      </c>
      <c r="C26" s="100"/>
      <c r="D26" s="99" t="s">
        <v>835</v>
      </c>
      <c r="E26" s="97">
        <f>E27</f>
        <v>0.81220000000000003</v>
      </c>
      <c r="F26" s="60">
        <f>F27</f>
        <v>275468.56</v>
      </c>
      <c r="G26" s="60">
        <f t="shared" ref="G26:AG26" si="3">G27</f>
        <v>0</v>
      </c>
      <c r="H26" s="60">
        <f t="shared" si="3"/>
        <v>0</v>
      </c>
      <c r="I26" s="60">
        <f t="shared" si="3"/>
        <v>0</v>
      </c>
      <c r="J26" s="60">
        <f t="shared" si="3"/>
        <v>0</v>
      </c>
      <c r="K26" s="60">
        <f t="shared" si="3"/>
        <v>0</v>
      </c>
      <c r="L26" s="60">
        <f t="shared" si="3"/>
        <v>0</v>
      </c>
      <c r="M26" s="61">
        <f t="shared" si="3"/>
        <v>0</v>
      </c>
      <c r="N26" s="60">
        <f t="shared" si="3"/>
        <v>0</v>
      </c>
      <c r="O26" s="60">
        <f t="shared" si="3"/>
        <v>708</v>
      </c>
      <c r="P26" s="60">
        <f t="shared" si="3"/>
        <v>271397.59999999998</v>
      </c>
      <c r="Q26" s="60">
        <f t="shared" si="3"/>
        <v>0</v>
      </c>
      <c r="R26" s="60">
        <f t="shared" si="3"/>
        <v>0</v>
      </c>
      <c r="S26" s="60">
        <f t="shared" si="3"/>
        <v>0</v>
      </c>
      <c r="T26" s="60">
        <f t="shared" si="3"/>
        <v>0</v>
      </c>
      <c r="U26" s="60">
        <f t="shared" si="3"/>
        <v>0</v>
      </c>
      <c r="V26" s="60">
        <f t="shared" si="3"/>
        <v>0</v>
      </c>
      <c r="W26" s="60">
        <f t="shared" si="3"/>
        <v>0</v>
      </c>
      <c r="X26" s="60">
        <f t="shared" si="3"/>
        <v>0</v>
      </c>
      <c r="Y26" s="60">
        <f t="shared" si="3"/>
        <v>0</v>
      </c>
      <c r="Z26" s="60">
        <f t="shared" si="3"/>
        <v>0</v>
      </c>
      <c r="AA26" s="60">
        <f t="shared" si="3"/>
        <v>0</v>
      </c>
      <c r="AB26" s="60">
        <f t="shared" si="3"/>
        <v>0</v>
      </c>
      <c r="AC26" s="60">
        <f t="shared" si="3"/>
        <v>0</v>
      </c>
      <c r="AD26" s="60">
        <f t="shared" si="3"/>
        <v>0</v>
      </c>
      <c r="AE26" s="60">
        <f t="shared" si="3"/>
        <v>4070.96</v>
      </c>
      <c r="AF26" s="60">
        <f t="shared" si="3"/>
        <v>0</v>
      </c>
      <c r="AG26" s="60">
        <f t="shared" si="3"/>
        <v>0</v>
      </c>
      <c r="AH26" s="98" t="s">
        <v>835</v>
      </c>
      <c r="AI26" s="98" t="s">
        <v>835</v>
      </c>
      <c r="AJ26" s="98" t="s">
        <v>835</v>
      </c>
      <c r="AK26" s="102"/>
    </row>
    <row r="27" spans="1:40" ht="62.25" x14ac:dyDescent="0.9">
      <c r="A27">
        <v>1</v>
      </c>
      <c r="B27" s="59">
        <f>SUBTOTAL(103,$A27:A$94)</f>
        <v>8</v>
      </c>
      <c r="C27" s="100" t="s">
        <v>1395</v>
      </c>
      <c r="D27" s="54" t="s">
        <v>1767</v>
      </c>
      <c r="E27" s="97">
        <v>0.81220000000000003</v>
      </c>
      <c r="F27" s="60">
        <f>G27+H27+I27+J27+K27+L27+N27+P27+R27+T27+V27+W27+X27+Y27+Z27+AA27+AB27+AC27+AD27+AE27+AF27+AG27</f>
        <v>275468.56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1">
        <v>0</v>
      </c>
      <c r="N27" s="60">
        <v>0</v>
      </c>
      <c r="O27" s="60">
        <v>708</v>
      </c>
      <c r="P27" s="60">
        <v>271397.59999999998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C27" s="60">
        <v>0</v>
      </c>
      <c r="AD27" s="60">
        <v>0</v>
      </c>
      <c r="AE27" s="60">
        <f>ROUND(P27*1.5%,2)</f>
        <v>4070.96</v>
      </c>
      <c r="AF27" s="60">
        <v>0</v>
      </c>
      <c r="AG27" s="60">
        <v>0</v>
      </c>
      <c r="AH27" s="98" t="s">
        <v>257</v>
      </c>
      <c r="AI27" s="63">
        <v>2022</v>
      </c>
      <c r="AJ27" s="63">
        <v>2022</v>
      </c>
      <c r="AK27" s="102"/>
    </row>
    <row r="28" spans="1:40" ht="62.25" x14ac:dyDescent="0.9">
      <c r="B28" s="103" t="s">
        <v>812</v>
      </c>
      <c r="C28" s="100"/>
      <c r="D28" s="55" t="s">
        <v>835</v>
      </c>
      <c r="E28" s="97">
        <v>0.82630000000000003</v>
      </c>
      <c r="F28" s="60">
        <f>F29</f>
        <v>8480607.3900000006</v>
      </c>
      <c r="G28" s="60">
        <f t="shared" ref="G28:AG28" si="4">G29</f>
        <v>0</v>
      </c>
      <c r="H28" s="60">
        <f t="shared" si="4"/>
        <v>0</v>
      </c>
      <c r="I28" s="60">
        <f t="shared" si="4"/>
        <v>0</v>
      </c>
      <c r="J28" s="60">
        <f t="shared" si="4"/>
        <v>0</v>
      </c>
      <c r="K28" s="60">
        <f t="shared" si="4"/>
        <v>0</v>
      </c>
      <c r="L28" s="60">
        <f t="shared" si="4"/>
        <v>0</v>
      </c>
      <c r="M28" s="61">
        <f t="shared" si="4"/>
        <v>0</v>
      </c>
      <c r="N28" s="60">
        <f t="shared" si="4"/>
        <v>0</v>
      </c>
      <c r="O28" s="60">
        <f t="shared" si="4"/>
        <v>828</v>
      </c>
      <c r="P28" s="60">
        <f t="shared" si="4"/>
        <v>8302924.7999999998</v>
      </c>
      <c r="Q28" s="60">
        <f t="shared" si="4"/>
        <v>0</v>
      </c>
      <c r="R28" s="60">
        <f t="shared" si="4"/>
        <v>0</v>
      </c>
      <c r="S28" s="60">
        <f t="shared" si="4"/>
        <v>0</v>
      </c>
      <c r="T28" s="60">
        <f t="shared" si="4"/>
        <v>0</v>
      </c>
      <c r="U28" s="60">
        <f t="shared" si="4"/>
        <v>0</v>
      </c>
      <c r="V28" s="60">
        <f t="shared" si="4"/>
        <v>0</v>
      </c>
      <c r="W28" s="60">
        <f t="shared" si="4"/>
        <v>0</v>
      </c>
      <c r="X28" s="60">
        <f t="shared" si="4"/>
        <v>0</v>
      </c>
      <c r="Y28" s="60">
        <f t="shared" si="4"/>
        <v>0</v>
      </c>
      <c r="Z28" s="60">
        <f t="shared" si="4"/>
        <v>0</v>
      </c>
      <c r="AA28" s="60">
        <f t="shared" si="4"/>
        <v>0</v>
      </c>
      <c r="AB28" s="60">
        <f t="shared" si="4"/>
        <v>0</v>
      </c>
      <c r="AC28" s="60">
        <f t="shared" si="4"/>
        <v>0</v>
      </c>
      <c r="AD28" s="60">
        <f t="shared" si="4"/>
        <v>0</v>
      </c>
      <c r="AE28" s="60">
        <f t="shared" si="4"/>
        <v>177682.59</v>
      </c>
      <c r="AF28" s="60">
        <f t="shared" si="4"/>
        <v>0</v>
      </c>
      <c r="AG28" s="60">
        <f t="shared" si="4"/>
        <v>0</v>
      </c>
      <c r="AH28" s="98" t="s">
        <v>835</v>
      </c>
      <c r="AI28" s="98" t="s">
        <v>835</v>
      </c>
      <c r="AJ28" s="98" t="s">
        <v>835</v>
      </c>
      <c r="AK28" s="102"/>
    </row>
    <row r="29" spans="1:40" ht="62.25" x14ac:dyDescent="0.9">
      <c r="A29">
        <v>1</v>
      </c>
      <c r="B29" s="59">
        <f>SUBTOTAL(103,$A29:A$94)</f>
        <v>7</v>
      </c>
      <c r="C29" s="100" t="s">
        <v>1778</v>
      </c>
      <c r="D29" s="54" t="s">
        <v>1766</v>
      </c>
      <c r="E29" s="97">
        <v>0.82630000000000003</v>
      </c>
      <c r="F29" s="60">
        <f>P29+AE29</f>
        <v>8480607.3900000006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1">
        <v>0</v>
      </c>
      <c r="N29" s="60">
        <v>0</v>
      </c>
      <c r="O29" s="60">
        <v>828</v>
      </c>
      <c r="P29" s="60">
        <v>8302924.7999999998</v>
      </c>
      <c r="Q29" s="60">
        <v>0</v>
      </c>
      <c r="R29" s="60">
        <v>0</v>
      </c>
      <c r="S29" s="60">
        <v>0</v>
      </c>
      <c r="T29" s="101">
        <v>0</v>
      </c>
      <c r="U29" s="60">
        <v>0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0">
        <v>0</v>
      </c>
      <c r="AB29" s="60">
        <v>0</v>
      </c>
      <c r="AC29" s="60">
        <v>0</v>
      </c>
      <c r="AD29" s="60">
        <v>0</v>
      </c>
      <c r="AE29" s="60">
        <f>ROUND(P29*2.14%,2)</f>
        <v>177682.59</v>
      </c>
      <c r="AF29" s="60">
        <v>0</v>
      </c>
      <c r="AG29" s="60">
        <v>0</v>
      </c>
      <c r="AH29" s="98" t="s">
        <v>257</v>
      </c>
      <c r="AI29" s="63">
        <v>2022</v>
      </c>
      <c r="AJ29" s="63">
        <v>2022</v>
      </c>
      <c r="AK29" s="102"/>
    </row>
    <row r="30" spans="1:40" s="125" customFormat="1" ht="62.25" x14ac:dyDescent="0.9">
      <c r="A30" s="125">
        <v>1</v>
      </c>
      <c r="B30" s="126">
        <f>SUBTOTAL(103,$A30:A$94)</f>
        <v>6</v>
      </c>
      <c r="C30" s="127" t="s">
        <v>1364</v>
      </c>
      <c r="D30" s="128" t="s">
        <v>1767</v>
      </c>
      <c r="E30" s="129">
        <v>0.85870000000000002</v>
      </c>
      <c r="F30" s="130">
        <f>G30+H30+I30+J30+K30+L30+N30+P30+R30+T30+V30+W30+X30+Y30+Z30+AA30+AB30+AC30+AD30+AE30+AF30+AG30</f>
        <v>6136383.5900000008</v>
      </c>
      <c r="G30" s="130">
        <v>0</v>
      </c>
      <c r="H30" s="130">
        <v>0</v>
      </c>
      <c r="I30" s="130">
        <v>0</v>
      </c>
      <c r="J30" s="130">
        <v>0</v>
      </c>
      <c r="K30" s="130">
        <v>0</v>
      </c>
      <c r="L30" s="130">
        <v>0</v>
      </c>
      <c r="M30" s="131">
        <v>0</v>
      </c>
      <c r="N30" s="130">
        <v>0</v>
      </c>
      <c r="O30" s="130">
        <v>884.59</v>
      </c>
      <c r="P30" s="135">
        <v>6058232.4000000004</v>
      </c>
      <c r="Q30" s="130">
        <v>0</v>
      </c>
      <c r="R30" s="130">
        <v>0</v>
      </c>
      <c r="S30" s="130">
        <v>0</v>
      </c>
      <c r="T30" s="132">
        <v>0</v>
      </c>
      <c r="U30" s="130">
        <v>0</v>
      </c>
      <c r="V30" s="130">
        <v>0</v>
      </c>
      <c r="W30" s="130">
        <v>0</v>
      </c>
      <c r="X30" s="130">
        <v>0</v>
      </c>
      <c r="Y30" s="130">
        <v>0</v>
      </c>
      <c r="Z30" s="130">
        <v>0</v>
      </c>
      <c r="AA30" s="130">
        <v>0</v>
      </c>
      <c r="AB30" s="130">
        <v>0</v>
      </c>
      <c r="AC30" s="130">
        <v>0</v>
      </c>
      <c r="AD30" s="130">
        <v>0</v>
      </c>
      <c r="AE30" s="130">
        <v>78151.19</v>
      </c>
      <c r="AF30" s="130">
        <v>0</v>
      </c>
      <c r="AG30" s="130">
        <v>0</v>
      </c>
      <c r="AH30" s="133" t="s">
        <v>257</v>
      </c>
      <c r="AI30" s="136">
        <v>2022</v>
      </c>
      <c r="AJ30" s="136">
        <v>2022</v>
      </c>
      <c r="AK30" s="134"/>
      <c r="AL30" s="134"/>
      <c r="AM30" s="134"/>
      <c r="AN30" s="134"/>
    </row>
    <row r="31" spans="1:40" ht="62.25" x14ac:dyDescent="0.9">
      <c r="A31">
        <v>1</v>
      </c>
      <c r="B31" s="59">
        <f>SUBTOTAL(103,$A$31:A31)</f>
        <v>1</v>
      </c>
      <c r="C31" s="100" t="s">
        <v>1398</v>
      </c>
      <c r="D31" s="99" t="s">
        <v>1766</v>
      </c>
      <c r="E31" s="97">
        <v>0.85540000000000005</v>
      </c>
      <c r="F31" s="60">
        <f>G31+H31+I31+J31+K31+L31+N31+P31+R31+T31+V31+W31+X31+Y31+Z31+AA31+AB31+AC31+AD31+AE31+AF31+AG31</f>
        <v>178357.44</v>
      </c>
      <c r="G31" s="60">
        <v>0</v>
      </c>
      <c r="H31" s="60">
        <v>0</v>
      </c>
      <c r="I31" s="60">
        <v>175721.62</v>
      </c>
      <c r="J31" s="60">
        <v>0</v>
      </c>
      <c r="K31" s="60">
        <v>0</v>
      </c>
      <c r="L31" s="60">
        <v>0</v>
      </c>
      <c r="M31" s="61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60">
        <v>0</v>
      </c>
      <c r="AB31" s="60">
        <v>0</v>
      </c>
      <c r="AC31" s="60">
        <v>0</v>
      </c>
      <c r="AD31" s="60">
        <v>0</v>
      </c>
      <c r="AE31" s="60">
        <f>ROUND(I31*1.5%,2)</f>
        <v>2635.82</v>
      </c>
      <c r="AF31" s="60">
        <v>0</v>
      </c>
      <c r="AG31" s="60">
        <v>0</v>
      </c>
      <c r="AH31" s="98" t="s">
        <v>257</v>
      </c>
      <c r="AI31" s="63">
        <v>2022</v>
      </c>
      <c r="AJ31" s="63">
        <v>2022</v>
      </c>
      <c r="AK31" s="102"/>
    </row>
    <row r="32" spans="1:40" ht="62.25" x14ac:dyDescent="0.9">
      <c r="A32">
        <v>1</v>
      </c>
      <c r="B32" s="59">
        <f>SUBTOTAL(103,$A32:A$94)</f>
        <v>4</v>
      </c>
      <c r="C32" s="100" t="s">
        <v>2139</v>
      </c>
      <c r="D32" s="99">
        <v>2014</v>
      </c>
      <c r="E32" s="97">
        <v>0.8629</v>
      </c>
      <c r="F32" s="60">
        <f>G32+H32+I32+J32+K32+L32+N32+P32+R32+T32+V32+W32+X32+Y32+Z32+AA32+AB32+AC32+AD32+AE32+AF32+AG32</f>
        <v>13715.57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1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474</v>
      </c>
      <c r="T32" s="60">
        <v>13512.88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0">
        <v>0</v>
      </c>
      <c r="AB32" s="60">
        <v>0</v>
      </c>
      <c r="AC32" s="60">
        <v>0</v>
      </c>
      <c r="AD32" s="60">
        <v>0</v>
      </c>
      <c r="AE32" s="60">
        <f>ROUND(T32*1.5%,2)</f>
        <v>202.69</v>
      </c>
      <c r="AF32" s="60">
        <v>0</v>
      </c>
      <c r="AG32" s="60">
        <v>0</v>
      </c>
      <c r="AH32" s="98" t="s">
        <v>257</v>
      </c>
      <c r="AI32" s="63">
        <v>2022</v>
      </c>
      <c r="AJ32" s="63">
        <v>2022</v>
      </c>
      <c r="AK32" s="102"/>
    </row>
    <row r="33" spans="1:37" ht="62.25" x14ac:dyDescent="0.9">
      <c r="B33" s="103" t="s">
        <v>779</v>
      </c>
      <c r="C33" s="100"/>
      <c r="D33" s="99" t="s">
        <v>835</v>
      </c>
      <c r="E33" s="97">
        <f t="shared" ref="E33:AG33" si="5">E34</f>
        <v>0.98480000000000001</v>
      </c>
      <c r="F33" s="60">
        <f t="shared" si="5"/>
        <v>1045972.2</v>
      </c>
      <c r="G33" s="60">
        <f t="shared" si="5"/>
        <v>0</v>
      </c>
      <c r="H33" s="60">
        <f t="shared" si="5"/>
        <v>0</v>
      </c>
      <c r="I33" s="60">
        <f t="shared" si="5"/>
        <v>0</v>
      </c>
      <c r="J33" s="60">
        <f t="shared" si="5"/>
        <v>0</v>
      </c>
      <c r="K33" s="60">
        <f t="shared" si="5"/>
        <v>0</v>
      </c>
      <c r="L33" s="60">
        <f t="shared" si="5"/>
        <v>0</v>
      </c>
      <c r="M33" s="61">
        <f t="shared" si="5"/>
        <v>0</v>
      </c>
      <c r="N33" s="60">
        <f t="shared" si="5"/>
        <v>0</v>
      </c>
      <c r="O33" s="60">
        <f t="shared" si="5"/>
        <v>1187</v>
      </c>
      <c r="P33" s="60">
        <f t="shared" si="5"/>
        <v>1030514.48</v>
      </c>
      <c r="Q33" s="60">
        <f t="shared" si="5"/>
        <v>0</v>
      </c>
      <c r="R33" s="60">
        <f t="shared" si="5"/>
        <v>0</v>
      </c>
      <c r="S33" s="60">
        <f t="shared" si="5"/>
        <v>0</v>
      </c>
      <c r="T33" s="60">
        <f t="shared" si="5"/>
        <v>0</v>
      </c>
      <c r="U33" s="60">
        <f t="shared" si="5"/>
        <v>0</v>
      </c>
      <c r="V33" s="60">
        <f t="shared" si="5"/>
        <v>0</v>
      </c>
      <c r="W33" s="60">
        <f t="shared" si="5"/>
        <v>0</v>
      </c>
      <c r="X33" s="60">
        <f t="shared" si="5"/>
        <v>0</v>
      </c>
      <c r="Y33" s="60">
        <f t="shared" si="5"/>
        <v>0</v>
      </c>
      <c r="Z33" s="60">
        <f t="shared" si="5"/>
        <v>0</v>
      </c>
      <c r="AA33" s="60">
        <f t="shared" si="5"/>
        <v>0</v>
      </c>
      <c r="AB33" s="60">
        <f t="shared" si="5"/>
        <v>0</v>
      </c>
      <c r="AC33" s="60">
        <f t="shared" si="5"/>
        <v>0</v>
      </c>
      <c r="AD33" s="60">
        <f t="shared" si="5"/>
        <v>0</v>
      </c>
      <c r="AE33" s="60">
        <f t="shared" si="5"/>
        <v>15457.72</v>
      </c>
      <c r="AF33" s="60">
        <f t="shared" si="5"/>
        <v>0</v>
      </c>
      <c r="AG33" s="60">
        <f t="shared" si="5"/>
        <v>0</v>
      </c>
      <c r="AH33" s="98" t="s">
        <v>835</v>
      </c>
      <c r="AI33" s="98" t="s">
        <v>835</v>
      </c>
      <c r="AJ33" s="98" t="s">
        <v>835</v>
      </c>
      <c r="AK33" s="102"/>
    </row>
    <row r="34" spans="1:37" ht="123.75" x14ac:dyDescent="0.9">
      <c r="A34">
        <v>1</v>
      </c>
      <c r="B34" s="59">
        <f>SUBTOTAL(103,$A$33:A34)</f>
        <v>1</v>
      </c>
      <c r="C34" s="100" t="s">
        <v>2137</v>
      </c>
      <c r="D34" s="54">
        <v>2014</v>
      </c>
      <c r="E34" s="97">
        <v>0.98480000000000001</v>
      </c>
      <c r="F34" s="60">
        <f>G34+H34+I34+J34+K34+L34+N34+P34+R34+T34+V34+W34+X34+Y34+Z34+AA34+AB34+AC34+AD34+AE34+AF34+AG34</f>
        <v>1045972.2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  <c r="M34" s="61">
        <v>0</v>
      </c>
      <c r="N34" s="60">
        <v>0</v>
      </c>
      <c r="O34" s="60">
        <v>1187</v>
      </c>
      <c r="P34" s="60">
        <v>1030514.48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60">
        <v>0</v>
      </c>
      <c r="W34" s="60">
        <v>0</v>
      </c>
      <c r="X34" s="60">
        <v>0</v>
      </c>
      <c r="Y34" s="60">
        <v>0</v>
      </c>
      <c r="Z34" s="60">
        <v>0</v>
      </c>
      <c r="AA34" s="60">
        <v>0</v>
      </c>
      <c r="AB34" s="60">
        <v>0</v>
      </c>
      <c r="AC34" s="60">
        <v>0</v>
      </c>
      <c r="AD34" s="60">
        <v>0</v>
      </c>
      <c r="AE34" s="60">
        <f>ROUND(P34*1.5%,2)</f>
        <v>15457.72</v>
      </c>
      <c r="AF34" s="60">
        <v>0</v>
      </c>
      <c r="AG34" s="60">
        <v>0</v>
      </c>
      <c r="AH34" s="98" t="s">
        <v>257</v>
      </c>
      <c r="AI34" s="63">
        <v>2022</v>
      </c>
      <c r="AJ34" s="63">
        <v>2022</v>
      </c>
      <c r="AK34" s="102"/>
    </row>
    <row r="35" spans="1:37" ht="62.25" x14ac:dyDescent="0.9">
      <c r="B35" s="103" t="s">
        <v>798</v>
      </c>
      <c r="C35" s="100"/>
      <c r="D35" s="99" t="s">
        <v>835</v>
      </c>
      <c r="E35" s="97">
        <f t="shared" ref="E35:T35" si="6">E36</f>
        <v>0.981975146584529</v>
      </c>
      <c r="F35" s="60">
        <f t="shared" si="6"/>
        <v>159122.38</v>
      </c>
      <c r="G35" s="60">
        <f t="shared" si="6"/>
        <v>0</v>
      </c>
      <c r="H35" s="60">
        <f t="shared" si="6"/>
        <v>0</v>
      </c>
      <c r="I35" s="60">
        <f t="shared" si="6"/>
        <v>28692</v>
      </c>
      <c r="J35" s="60">
        <f t="shared" si="6"/>
        <v>0</v>
      </c>
      <c r="K35" s="60">
        <f t="shared" si="6"/>
        <v>0</v>
      </c>
      <c r="L35" s="60">
        <f t="shared" si="6"/>
        <v>0</v>
      </c>
      <c r="M35" s="61">
        <f t="shared" si="6"/>
        <v>0</v>
      </c>
      <c r="N35" s="60">
        <f t="shared" si="6"/>
        <v>0</v>
      </c>
      <c r="O35" s="60">
        <f t="shared" si="6"/>
        <v>0</v>
      </c>
      <c r="P35" s="60">
        <f t="shared" si="6"/>
        <v>0</v>
      </c>
      <c r="Q35" s="60">
        <f t="shared" si="6"/>
        <v>0</v>
      </c>
      <c r="R35" s="60">
        <f t="shared" si="6"/>
        <v>0</v>
      </c>
      <c r="S35" s="60">
        <f t="shared" si="6"/>
        <v>0</v>
      </c>
      <c r="T35" s="60">
        <f t="shared" si="6"/>
        <v>0</v>
      </c>
      <c r="U35" s="60">
        <f t="shared" ref="U35:AG35" si="7">U36</f>
        <v>0</v>
      </c>
      <c r="V35" s="60">
        <f t="shared" si="7"/>
        <v>0</v>
      </c>
      <c r="W35" s="60">
        <f t="shared" si="7"/>
        <v>0</v>
      </c>
      <c r="X35" s="60">
        <f t="shared" si="7"/>
        <v>0</v>
      </c>
      <c r="Y35" s="60">
        <f t="shared" si="7"/>
        <v>0</v>
      </c>
      <c r="Z35" s="60">
        <f t="shared" si="7"/>
        <v>0</v>
      </c>
      <c r="AA35" s="60">
        <f t="shared" si="7"/>
        <v>0</v>
      </c>
      <c r="AB35" s="60">
        <f t="shared" si="7"/>
        <v>0</v>
      </c>
      <c r="AC35" s="60">
        <f t="shared" si="7"/>
        <v>0</v>
      </c>
      <c r="AD35" s="60">
        <f t="shared" si="7"/>
        <v>0</v>
      </c>
      <c r="AE35" s="60">
        <f t="shared" si="7"/>
        <v>430.38</v>
      </c>
      <c r="AF35" s="60">
        <f t="shared" si="7"/>
        <v>130000</v>
      </c>
      <c r="AG35" s="60">
        <f t="shared" si="7"/>
        <v>0</v>
      </c>
      <c r="AH35" s="98" t="s">
        <v>835</v>
      </c>
      <c r="AI35" s="98" t="s">
        <v>835</v>
      </c>
      <c r="AJ35" s="98" t="s">
        <v>835</v>
      </c>
      <c r="AK35" s="102"/>
    </row>
    <row r="36" spans="1:37" ht="62.25" x14ac:dyDescent="0.9">
      <c r="A36">
        <v>1</v>
      </c>
      <c r="B36" s="59">
        <f>SUBTOTAL(103,$A36:A$94)</f>
        <v>2</v>
      </c>
      <c r="C36" s="100" t="s">
        <v>1779</v>
      </c>
      <c r="D36" s="55">
        <v>2015</v>
      </c>
      <c r="E36" s="97">
        <v>0.981975146584529</v>
      </c>
      <c r="F36" s="60">
        <f>G36+H36+I36+J36+K36+L36+N36+P36+R36+T36+V36+W36+X36+Y36+Z36+AA36+AB36+AC36+AD36+AE36+AF36+AG36</f>
        <v>159122.38</v>
      </c>
      <c r="G36" s="60">
        <v>0</v>
      </c>
      <c r="H36" s="60">
        <v>0</v>
      </c>
      <c r="I36" s="60">
        <v>28692</v>
      </c>
      <c r="J36" s="60">
        <v>0</v>
      </c>
      <c r="K36" s="60">
        <v>0</v>
      </c>
      <c r="L36" s="60">
        <v>0</v>
      </c>
      <c r="M36" s="61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101">
        <v>0</v>
      </c>
      <c r="U36" s="60">
        <v>0</v>
      </c>
      <c r="V36" s="60">
        <v>0</v>
      </c>
      <c r="W36" s="60">
        <v>0</v>
      </c>
      <c r="X36" s="60">
        <v>0</v>
      </c>
      <c r="Y36" s="60">
        <v>0</v>
      </c>
      <c r="Z36" s="60">
        <v>0</v>
      </c>
      <c r="AA36" s="60">
        <v>0</v>
      </c>
      <c r="AB36" s="60">
        <v>0</v>
      </c>
      <c r="AC36" s="60">
        <v>0</v>
      </c>
      <c r="AD36" s="60">
        <v>0</v>
      </c>
      <c r="AE36" s="60">
        <f>ROUND(I36*1.5%,2)</f>
        <v>430.38</v>
      </c>
      <c r="AF36" s="60">
        <v>130000</v>
      </c>
      <c r="AG36" s="60">
        <v>0</v>
      </c>
      <c r="AH36" s="98">
        <v>2022</v>
      </c>
      <c r="AI36" s="63">
        <v>2022</v>
      </c>
      <c r="AJ36" s="63">
        <v>2022</v>
      </c>
      <c r="AK36" s="102"/>
    </row>
    <row r="37" spans="1:37" ht="62.25" x14ac:dyDescent="0.9">
      <c r="B37" s="103" t="s">
        <v>817</v>
      </c>
      <c r="C37" s="100"/>
      <c r="D37" s="99" t="s">
        <v>835</v>
      </c>
      <c r="E37" s="97">
        <f>E38</f>
        <v>0.99260000000000004</v>
      </c>
      <c r="F37" s="60">
        <f>F38</f>
        <v>206556.61000000002</v>
      </c>
      <c r="G37" s="60">
        <f t="shared" ref="G37:AG37" si="8">G38</f>
        <v>0</v>
      </c>
      <c r="H37" s="60">
        <f t="shared" si="8"/>
        <v>0</v>
      </c>
      <c r="I37" s="60">
        <f t="shared" si="8"/>
        <v>0</v>
      </c>
      <c r="J37" s="60">
        <f t="shared" si="8"/>
        <v>0</v>
      </c>
      <c r="K37" s="60">
        <f t="shared" si="8"/>
        <v>0</v>
      </c>
      <c r="L37" s="60">
        <f t="shared" si="8"/>
        <v>0</v>
      </c>
      <c r="M37" s="61">
        <f t="shared" si="8"/>
        <v>0</v>
      </c>
      <c r="N37" s="60">
        <f t="shared" si="8"/>
        <v>0</v>
      </c>
      <c r="O37" s="60">
        <f t="shared" si="8"/>
        <v>1098</v>
      </c>
      <c r="P37" s="60">
        <f t="shared" si="8"/>
        <v>202228.91</v>
      </c>
      <c r="Q37" s="60">
        <f t="shared" si="8"/>
        <v>0</v>
      </c>
      <c r="R37" s="60">
        <f t="shared" si="8"/>
        <v>0</v>
      </c>
      <c r="S37" s="60">
        <f t="shared" si="8"/>
        <v>0</v>
      </c>
      <c r="T37" s="60">
        <f t="shared" si="8"/>
        <v>0</v>
      </c>
      <c r="U37" s="60">
        <f t="shared" si="8"/>
        <v>0</v>
      </c>
      <c r="V37" s="60">
        <f t="shared" si="8"/>
        <v>0</v>
      </c>
      <c r="W37" s="60">
        <f t="shared" si="8"/>
        <v>0</v>
      </c>
      <c r="X37" s="60">
        <f t="shared" si="8"/>
        <v>0</v>
      </c>
      <c r="Y37" s="60">
        <f t="shared" si="8"/>
        <v>0</v>
      </c>
      <c r="Z37" s="60">
        <f t="shared" si="8"/>
        <v>0</v>
      </c>
      <c r="AA37" s="60">
        <f t="shared" si="8"/>
        <v>0</v>
      </c>
      <c r="AB37" s="60">
        <f t="shared" si="8"/>
        <v>0</v>
      </c>
      <c r="AC37" s="60">
        <f t="shared" si="8"/>
        <v>0</v>
      </c>
      <c r="AD37" s="60">
        <f t="shared" si="8"/>
        <v>0</v>
      </c>
      <c r="AE37" s="60">
        <f t="shared" si="8"/>
        <v>4327.7</v>
      </c>
      <c r="AF37" s="60">
        <f t="shared" si="8"/>
        <v>0</v>
      </c>
      <c r="AG37" s="60">
        <f t="shared" si="8"/>
        <v>0</v>
      </c>
      <c r="AH37" s="98" t="s">
        <v>835</v>
      </c>
      <c r="AI37" s="98" t="s">
        <v>835</v>
      </c>
      <c r="AJ37" s="98" t="s">
        <v>835</v>
      </c>
      <c r="AK37" s="102"/>
    </row>
    <row r="38" spans="1:37" ht="62.25" x14ac:dyDescent="0.9">
      <c r="A38">
        <v>1</v>
      </c>
      <c r="B38" s="59">
        <f>SUBTOTAL(103,$A38:A$94)</f>
        <v>1</v>
      </c>
      <c r="C38" s="100" t="s">
        <v>3247</v>
      </c>
      <c r="D38" s="55">
        <v>2015</v>
      </c>
      <c r="E38" s="97">
        <v>0.99260000000000004</v>
      </c>
      <c r="F38" s="60">
        <f>G38+H38+I38+J38+K38+L38+N38+P38+R38+T38+V38+W38+X38+Y38+Z38+AA38+AB38+AC38+AD38+AE38+AF38+AG38</f>
        <v>206556.61000000002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1">
        <v>0</v>
      </c>
      <c r="N38" s="60">
        <v>0</v>
      </c>
      <c r="O38" s="60">
        <v>1098</v>
      </c>
      <c r="P38" s="60">
        <v>202228.91</v>
      </c>
      <c r="Q38" s="60">
        <v>0</v>
      </c>
      <c r="R38" s="60">
        <v>0</v>
      </c>
      <c r="S38" s="60">
        <v>0</v>
      </c>
      <c r="T38" s="101">
        <v>0</v>
      </c>
      <c r="U38" s="60">
        <v>0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>
        <v>0</v>
      </c>
      <c r="AB38" s="60">
        <v>0</v>
      </c>
      <c r="AC38" s="60">
        <v>0</v>
      </c>
      <c r="AD38" s="60">
        <v>0</v>
      </c>
      <c r="AE38" s="60">
        <f>ROUND(P38*2.14%,2)</f>
        <v>4327.7</v>
      </c>
      <c r="AF38" s="60">
        <v>0</v>
      </c>
      <c r="AG38" s="60">
        <v>0</v>
      </c>
      <c r="AH38" s="98" t="s">
        <v>257</v>
      </c>
      <c r="AI38" s="63">
        <v>2022</v>
      </c>
      <c r="AJ38" s="63">
        <v>2022</v>
      </c>
      <c r="AK38" s="102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593"/>
  <sheetViews>
    <sheetView view="pageBreakPreview" topLeftCell="D1" zoomScale="30" zoomScaleNormal="40" zoomScaleSheetLayoutView="30" workbookViewId="0">
      <selection activeCell="B1593" sqref="B1:V1593"/>
    </sheetView>
  </sheetViews>
  <sheetFormatPr defaultRowHeight="15" x14ac:dyDescent="0.25"/>
  <cols>
    <col min="1" max="1" width="9.140625" hidden="1" customWidth="1"/>
    <col min="2" max="2" width="19.42578125" style="89" customWidth="1"/>
    <col min="3" max="3" width="168.7109375" bestFit="1" customWidth="1"/>
    <col min="4" max="4" width="35.140625" customWidth="1"/>
    <col min="5" max="5" width="29.28515625" style="89" customWidth="1"/>
    <col min="6" max="6" width="52.140625" style="89" customWidth="1"/>
    <col min="7" max="7" width="16.85546875" customWidth="1"/>
    <col min="8" max="8" width="17" customWidth="1"/>
    <col min="9" max="9" width="35.7109375" customWidth="1"/>
    <col min="10" max="10" width="34.7109375" customWidth="1"/>
    <col min="11" max="11" width="34.28515625" customWidth="1"/>
    <col min="12" max="12" width="22" style="90" customWidth="1"/>
    <col min="13" max="13" width="32.7109375" style="89" customWidth="1"/>
    <col min="14" max="14" width="61.85546875" style="89" customWidth="1"/>
    <col min="15" max="15" width="136.85546875" style="91" customWidth="1"/>
    <col min="16" max="16" width="46.7109375" style="6" customWidth="1"/>
    <col min="17" max="17" width="32.85546875" style="6" customWidth="1"/>
    <col min="18" max="18" width="40.140625" style="6" customWidth="1"/>
    <col min="19" max="19" width="35.85546875" style="6" customWidth="1"/>
    <col min="20" max="20" width="47.5703125" style="6" customWidth="1"/>
    <col min="21" max="21" width="30.85546875" style="6" customWidth="1"/>
    <col min="22" max="22" width="32.28515625" style="6" customWidth="1"/>
  </cols>
  <sheetData>
    <row r="1" spans="1:22" ht="36" x14ac:dyDescent="0.55000000000000004">
      <c r="B1" s="7"/>
      <c r="C1" s="52"/>
      <c r="D1" s="7"/>
      <c r="E1" s="226"/>
      <c r="F1" s="51"/>
      <c r="G1" s="7"/>
      <c r="H1" s="7"/>
      <c r="I1" s="7"/>
      <c r="J1" s="7"/>
      <c r="K1" s="227"/>
      <c r="L1" s="7"/>
      <c r="M1" s="51"/>
      <c r="N1" s="226"/>
      <c r="O1" s="228"/>
      <c r="P1" s="228"/>
      <c r="Q1" s="228"/>
      <c r="R1" s="228"/>
      <c r="S1" s="228"/>
      <c r="T1" s="356" t="s">
        <v>918</v>
      </c>
      <c r="U1" s="356"/>
      <c r="V1" s="356"/>
    </row>
    <row r="2" spans="1:22" ht="112.5" customHeight="1" x14ac:dyDescent="0.25">
      <c r="B2" s="7"/>
      <c r="C2" s="52"/>
      <c r="D2" s="7"/>
      <c r="E2" s="226"/>
      <c r="F2" s="51"/>
      <c r="G2" s="7"/>
      <c r="H2" s="7"/>
      <c r="I2" s="7"/>
      <c r="J2" s="7"/>
      <c r="K2" s="227"/>
      <c r="L2" s="7"/>
      <c r="M2" s="51"/>
      <c r="N2" s="226"/>
      <c r="O2" s="357" t="s">
        <v>919</v>
      </c>
      <c r="P2" s="357"/>
      <c r="Q2" s="357"/>
      <c r="R2" s="357"/>
      <c r="S2" s="357"/>
      <c r="T2" s="357"/>
      <c r="U2" s="357"/>
      <c r="V2" s="357"/>
    </row>
    <row r="3" spans="1:22" ht="15" customHeight="1" x14ac:dyDescent="0.25">
      <c r="B3" s="7"/>
      <c r="C3" s="52"/>
      <c r="D3" s="7"/>
      <c r="E3" s="226"/>
      <c r="F3" s="51"/>
      <c r="G3" s="7"/>
      <c r="H3" s="7"/>
      <c r="I3" s="7"/>
      <c r="J3" s="7"/>
      <c r="K3" s="227"/>
      <c r="L3" s="7"/>
      <c r="M3" s="51"/>
      <c r="N3" s="226"/>
      <c r="O3" s="357"/>
      <c r="P3" s="357"/>
      <c r="Q3" s="357"/>
      <c r="R3" s="357"/>
      <c r="S3" s="357"/>
      <c r="T3" s="357"/>
      <c r="U3" s="357"/>
      <c r="V3" s="357"/>
    </row>
    <row r="4" spans="1:22" ht="15" customHeight="1" x14ac:dyDescent="0.25">
      <c r="B4" s="358" t="s">
        <v>920</v>
      </c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</row>
    <row r="5" spans="1:22" ht="15" customHeight="1" x14ac:dyDescent="0.25"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</row>
    <row r="6" spans="1:22" ht="159" customHeight="1" x14ac:dyDescent="0.25"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8" spans="1:22" s="73" customFormat="1" ht="96.75" customHeight="1" x14ac:dyDescent="0.3">
      <c r="B8" s="350" t="s">
        <v>6</v>
      </c>
      <c r="C8" s="350" t="s">
        <v>236</v>
      </c>
      <c r="D8" s="342" t="s">
        <v>237</v>
      </c>
      <c r="E8" s="343"/>
      <c r="F8" s="344" t="s">
        <v>238</v>
      </c>
      <c r="G8" s="344" t="s">
        <v>239</v>
      </c>
      <c r="H8" s="344" t="s">
        <v>240</v>
      </c>
      <c r="I8" s="344" t="s">
        <v>241</v>
      </c>
      <c r="J8" s="342" t="s">
        <v>242</v>
      </c>
      <c r="K8" s="343"/>
      <c r="L8" s="344" t="s">
        <v>945</v>
      </c>
      <c r="M8" s="347" t="s">
        <v>947</v>
      </c>
      <c r="N8" s="347" t="s">
        <v>948</v>
      </c>
      <c r="O8" s="350" t="s">
        <v>243</v>
      </c>
      <c r="P8" s="353" t="s">
        <v>244</v>
      </c>
      <c r="Q8" s="354"/>
      <c r="R8" s="354"/>
      <c r="S8" s="354"/>
      <c r="T8" s="355"/>
      <c r="U8" s="340" t="s">
        <v>245</v>
      </c>
      <c r="V8" s="340" t="s">
        <v>246</v>
      </c>
    </row>
    <row r="9" spans="1:22" s="73" customFormat="1" ht="339.75" customHeight="1" x14ac:dyDescent="0.3">
      <c r="B9" s="351"/>
      <c r="C9" s="351"/>
      <c r="D9" s="344" t="s">
        <v>247</v>
      </c>
      <c r="E9" s="344" t="s">
        <v>248</v>
      </c>
      <c r="F9" s="345"/>
      <c r="G9" s="345"/>
      <c r="H9" s="345"/>
      <c r="I9" s="345"/>
      <c r="J9" s="344" t="s">
        <v>249</v>
      </c>
      <c r="K9" s="344" t="s">
        <v>946</v>
      </c>
      <c r="L9" s="345"/>
      <c r="M9" s="348"/>
      <c r="N9" s="348"/>
      <c r="O9" s="351"/>
      <c r="P9" s="340" t="s">
        <v>249</v>
      </c>
      <c r="Q9" s="340" t="s">
        <v>3223</v>
      </c>
      <c r="R9" s="340" t="s">
        <v>250</v>
      </c>
      <c r="S9" s="340" t="s">
        <v>251</v>
      </c>
      <c r="T9" s="340" t="s">
        <v>949</v>
      </c>
      <c r="U9" s="359"/>
      <c r="V9" s="359"/>
    </row>
    <row r="10" spans="1:22" s="73" customFormat="1" ht="45" customHeight="1" x14ac:dyDescent="0.3">
      <c r="B10" s="351"/>
      <c r="C10" s="351"/>
      <c r="D10" s="345"/>
      <c r="E10" s="345"/>
      <c r="F10" s="345"/>
      <c r="G10" s="345"/>
      <c r="H10" s="345"/>
      <c r="I10" s="346"/>
      <c r="J10" s="346"/>
      <c r="K10" s="346"/>
      <c r="L10" s="346"/>
      <c r="M10" s="348"/>
      <c r="N10" s="348"/>
      <c r="O10" s="351"/>
      <c r="P10" s="341"/>
      <c r="Q10" s="341"/>
      <c r="R10" s="341"/>
      <c r="S10" s="341"/>
      <c r="T10" s="341"/>
      <c r="U10" s="341"/>
      <c r="V10" s="341"/>
    </row>
    <row r="11" spans="1:22" s="73" customFormat="1" ht="45.75" customHeight="1" x14ac:dyDescent="0.3">
      <c r="B11" s="352"/>
      <c r="C11" s="352"/>
      <c r="D11" s="346"/>
      <c r="E11" s="346"/>
      <c r="F11" s="346"/>
      <c r="G11" s="346"/>
      <c r="H11" s="346"/>
      <c r="I11" s="229" t="s">
        <v>38</v>
      </c>
      <c r="J11" s="229" t="s">
        <v>38</v>
      </c>
      <c r="K11" s="229" t="s">
        <v>38</v>
      </c>
      <c r="L11" s="229" t="s">
        <v>252</v>
      </c>
      <c r="M11" s="349"/>
      <c r="N11" s="349"/>
      <c r="O11" s="352"/>
      <c r="P11" s="230" t="s">
        <v>36</v>
      </c>
      <c r="Q11" s="230" t="s">
        <v>36</v>
      </c>
      <c r="R11" s="230" t="s">
        <v>36</v>
      </c>
      <c r="S11" s="230" t="s">
        <v>36</v>
      </c>
      <c r="T11" s="230" t="s">
        <v>36</v>
      </c>
      <c r="U11" s="230" t="s">
        <v>253</v>
      </c>
      <c r="V11" s="230" t="s">
        <v>253</v>
      </c>
    </row>
    <row r="12" spans="1:22" s="73" customFormat="1" ht="42.75" customHeight="1" x14ac:dyDescent="0.3">
      <c r="B12" s="229">
        <v>1</v>
      </c>
      <c r="C12" s="229">
        <v>2</v>
      </c>
      <c r="D12" s="229">
        <v>3</v>
      </c>
      <c r="E12" s="229">
        <v>4</v>
      </c>
      <c r="F12" s="229">
        <v>5</v>
      </c>
      <c r="G12" s="229">
        <v>6</v>
      </c>
      <c r="H12" s="229">
        <v>7</v>
      </c>
      <c r="I12" s="229">
        <v>8</v>
      </c>
      <c r="J12" s="229">
        <v>9</v>
      </c>
      <c r="K12" s="229">
        <v>10</v>
      </c>
      <c r="L12" s="229">
        <v>11</v>
      </c>
      <c r="M12" s="229">
        <v>12</v>
      </c>
      <c r="N12" s="229">
        <v>13</v>
      </c>
      <c r="O12" s="231">
        <v>14</v>
      </c>
      <c r="P12" s="229">
        <v>15</v>
      </c>
      <c r="Q12" s="231">
        <v>16</v>
      </c>
      <c r="R12" s="229">
        <v>17</v>
      </c>
      <c r="S12" s="231">
        <v>18</v>
      </c>
      <c r="T12" s="229">
        <v>19</v>
      </c>
      <c r="U12" s="231">
        <v>20</v>
      </c>
      <c r="V12" s="229">
        <v>21</v>
      </c>
    </row>
    <row r="13" spans="1:22" s="79" customFormat="1" ht="36" customHeight="1" x14ac:dyDescent="0.25">
      <c r="A13" s="76"/>
      <c r="B13" s="77" t="s">
        <v>702</v>
      </c>
      <c r="C13" s="232"/>
      <c r="D13" s="233" t="s">
        <v>835</v>
      </c>
      <c r="E13" s="233" t="s">
        <v>835</v>
      </c>
      <c r="F13" s="233" t="s">
        <v>835</v>
      </c>
      <c r="G13" s="233" t="s">
        <v>835</v>
      </c>
      <c r="H13" s="233" t="s">
        <v>835</v>
      </c>
      <c r="I13" s="234">
        <f>I14+I550+I1024</f>
        <v>3668417.5900000008</v>
      </c>
      <c r="J13" s="234">
        <f>J14+J550+J1024</f>
        <v>3146591.620000001</v>
      </c>
      <c r="K13" s="234">
        <f>K14+K550+K1024</f>
        <v>2881453.5500000007</v>
      </c>
      <c r="L13" s="235">
        <f>L14+L550+L1024</f>
        <v>127161</v>
      </c>
      <c r="M13" s="233" t="s">
        <v>835</v>
      </c>
      <c r="N13" s="233" t="s">
        <v>835</v>
      </c>
      <c r="O13" s="236" t="s">
        <v>835</v>
      </c>
      <c r="P13" s="237">
        <f>P14+P550+P1024</f>
        <v>4045007507.8583746</v>
      </c>
      <c r="Q13" s="234">
        <f>Q14+Q550+Q1024</f>
        <v>20444962.709999997</v>
      </c>
      <c r="R13" s="234">
        <f>R14+R550+R1024</f>
        <v>162877744</v>
      </c>
      <c r="S13" s="234">
        <f>S14+S550+S1024</f>
        <v>4940789.5200000014</v>
      </c>
      <c r="T13" s="234">
        <f>T14+T550+T1024</f>
        <v>3856744011.6283741</v>
      </c>
      <c r="U13" s="78">
        <f t="shared" ref="U13:U76" si="0">P13/I13</f>
        <v>1102.6573198441058</v>
      </c>
      <c r="V13" s="78">
        <f>MAX(V14:V1456)</f>
        <v>18123.423480825961</v>
      </c>
    </row>
    <row r="14" spans="1:22" s="79" customFormat="1" ht="38.25" customHeight="1" x14ac:dyDescent="0.25">
      <c r="B14" s="77" t="s">
        <v>703</v>
      </c>
      <c r="C14" s="232"/>
      <c r="D14" s="233" t="s">
        <v>835</v>
      </c>
      <c r="E14" s="233" t="s">
        <v>835</v>
      </c>
      <c r="F14" s="233" t="s">
        <v>835</v>
      </c>
      <c r="G14" s="233" t="s">
        <v>835</v>
      </c>
      <c r="H14" s="233" t="s">
        <v>835</v>
      </c>
      <c r="I14" s="234">
        <f>I15+I120+I150+I196+I233+I239+I266+I272+I279+I284+I286+I289+I295+I301+I303+I319+I336+I341+I344+I347+I351+I354+I356+I374+I377+I379+I381+I386+I389+I391+I396+I398+I406+I408+I412+I416+I418+I422+I429+I435+I438+I451+I453+I455+I457+I459+I461+I467+I479+I488+I490+I497+I503+I505+I508+I511+I513+I516+I522+I524+I527+I529+I539+I544+I547+I449+I492</f>
        <v>1282974.6400000004</v>
      </c>
      <c r="J14" s="234">
        <f>J15+J120+J150+J196+J233+J239+J266+J272+J279+J284+J286+J289+J295+J301+J303+J319+J336+J341+J344+J347+J351+J354+J356+J374+J377+J379+J381+J386+J389+J391+J396+J398+J406+J408+J412+J416+J418+J422+J429+J435+J438+J451+J453+J455+J457+J459+J461+J467+J479+J488+J490+J497+J503+J505+J508+J511+J513+J516+J522+J524+J527+J529+J539+J544+J547+J449+J492</f>
        <v>1075650.6500000004</v>
      </c>
      <c r="K14" s="234">
        <f>K15+K120+K150+K196+K233+K239+K266+K272+K279+K284+K286+K289+K295+K301+K303+K319+K336+K341+K344+K347+K351+K354+K356+K374+K377+K379+K381+K386+K389+K391+K396+K398+K406+K408+K412+K416+K418+K422+K429+K435+K438+K451+K453+K455+K457+K459+K461+K467+K479+K488+K490+K497+K503+K505+K508+K511+K513+K516+K522+K524+K527+K529+K539+K544+K547+K449+K492</f>
        <v>1031270.2800000003</v>
      </c>
      <c r="L14" s="235">
        <f>L15+L120+L150+L196+L233+L239+L266+L272+L279+L284+L286+L289+L295+L301+L303+L319+L336+L341+L344+L347+L351+L354+L356+L374+L377+L379+L381+L386+L389+L391+L396+L398+L406+L408+L412+L416+L418+L422+L429+L435+L438+L451+L453+L455+L457+L459+L461+L467+L479+L488+L490+L497+L503+L505+L508+L511+L513+L516+L522+L524+L527+L529+L539+L544+L547+L449+L492</f>
        <v>49293</v>
      </c>
      <c r="M14" s="233" t="s">
        <v>835</v>
      </c>
      <c r="N14" s="233" t="s">
        <v>835</v>
      </c>
      <c r="O14" s="236" t="s">
        <v>835</v>
      </c>
      <c r="P14" s="237">
        <f>P15+P120+P150+P196+P233+P239+P266+P272+P279+P284+P286+P289+P295+P301+P303+P319+P336+P341+P344+P347+P351+P354+P356+P374+P377+P379+P381+P386+P389+P391+P396+P398+P406+P408+P412+P416+P418+P422+P429+P435+P438+P451+P453+P455+P457+P459+P461+P467+P479+P488+P490+P497+P503+P505+P508+P511+P513+P516+P522+P524+P527+P529+P539+P544+P547+P449+P492</f>
        <v>1064911444.7999998</v>
      </c>
      <c r="Q14" s="234">
        <f>Q15+Q120+Q150+Q196+Q233+Q239+Q266+Q272+Q279+Q284+Q286+Q289+Q295+Q301+Q303+Q319+Q336+Q341+Q344+Q347+Q351+Q354+Q356+Q374+Q377+Q379+Q381+Q386+Q389+Q391+Q396+Q398+Q406+Q408+Q412+Q416+Q418+Q422+Q429+Q435+Q438+Q451+Q453+Q455+Q457+Q459+Q461+Q467+Q479+Q488+Q490+Q497+Q503+Q505+Q508+Q511+Q513+Q516+Q522+Q524+Q527+Q529+Q539+Q544+Q547+Q449+Q492</f>
        <v>0</v>
      </c>
      <c r="R14" s="234">
        <f>R15+R120+R150+R196+R233+R239+R266+R272+R279+R284+R286+R289+R295+R301+R303+R319+R336+R341+R344+R347+R351+R354+R356+R374+R377+R379+R381+R386+R389+R391+R396+R398+R406+R408+R412+R416+R418+R422+R429+R435+R438+R451+R453+R455+R457+R459+R461+R467+R479+R488+R490+R497+R503+R505+R508+R511+R513+R516+R522+R524+R527+R529+R539+R544+R547+R449+R492</f>
        <v>0</v>
      </c>
      <c r="S14" s="234">
        <f>S15+S120+S150+S196+S233+S239+S266+S272+S279+S284+S286+S289+S295+S301+S303+S319+S336+S341+S344+S347+S351+S354+S356+S374+S377+S379+S381+S386+S389+S391+S396+S398+S406+S408+S412+S416+S418+S422+S429+S435+S438+S451+S453+S455+S457+S459+S461+S467+S479+S488+S490+S497+S503+S505+S508+S511+S513+S516+S522+S524+S527+S529+S539+S544+S547+S449+S492</f>
        <v>2908349.77</v>
      </c>
      <c r="T14" s="234">
        <f>T15+T120+T150+T196+T233+T239+T266+T272+T279+T284+T286+T289+T295+T301+T303+T319+T336+T341+T344+T347+T351+T354+T356+T374+T377+T379+T381+T386+T389+T391+T396+T398+T406+T408+T412+T416+T418+T422+T429+T435+T438+T451+T453+T455+T457+T459+T461+T467+T479+T488+T490+T497+T503+T505+T508+T511+T513+T516+T522+T524+T527+T529+T539+T544+T547+T449+T492</f>
        <v>1062003095.0299997</v>
      </c>
      <c r="U14" s="78">
        <f t="shared" si="0"/>
        <v>830.033121153509</v>
      </c>
      <c r="V14" s="78">
        <f>MAX(V15:V547)</f>
        <v>18123.423480825961</v>
      </c>
    </row>
    <row r="15" spans="1:22" s="79" customFormat="1" ht="36" customHeight="1" x14ac:dyDescent="0.25">
      <c r="B15" s="77" t="s">
        <v>1027</v>
      </c>
      <c r="C15" s="238"/>
      <c r="D15" s="233" t="s">
        <v>835</v>
      </c>
      <c r="E15" s="233" t="s">
        <v>835</v>
      </c>
      <c r="F15" s="233" t="s">
        <v>835</v>
      </c>
      <c r="G15" s="233" t="s">
        <v>835</v>
      </c>
      <c r="H15" s="233" t="s">
        <v>835</v>
      </c>
      <c r="I15" s="234">
        <f>SUM(I16:I119)</f>
        <v>362242.11000000022</v>
      </c>
      <c r="J15" s="234">
        <f>SUM(J16:J119)</f>
        <v>302352.30000000005</v>
      </c>
      <c r="K15" s="234">
        <f>SUM(K16:K119)</f>
        <v>281560.70000000007</v>
      </c>
      <c r="L15" s="235">
        <f>SUM(L16:L119)</f>
        <v>13536</v>
      </c>
      <c r="M15" s="233" t="s">
        <v>835</v>
      </c>
      <c r="N15" s="233" t="s">
        <v>835</v>
      </c>
      <c r="O15" s="236" t="s">
        <v>835</v>
      </c>
      <c r="P15" s="237">
        <v>265883729</v>
      </c>
      <c r="Q15" s="234">
        <f t="shared" ref="Q15:T15" si="1">SUM(Q16:Q119)</f>
        <v>0</v>
      </c>
      <c r="R15" s="234">
        <f t="shared" si="1"/>
        <v>0</v>
      </c>
      <c r="S15" s="234">
        <f t="shared" si="1"/>
        <v>0</v>
      </c>
      <c r="T15" s="234">
        <f t="shared" si="1"/>
        <v>265883729</v>
      </c>
      <c r="U15" s="78">
        <f t="shared" si="0"/>
        <v>733.99453476019073</v>
      </c>
      <c r="V15" s="78">
        <f>MAX(V16:V119)</f>
        <v>9538.551931056496</v>
      </c>
    </row>
    <row r="16" spans="1:22" s="79" customFormat="1" ht="36" customHeight="1" x14ac:dyDescent="0.25">
      <c r="A16" s="79">
        <v>1</v>
      </c>
      <c r="B16" s="80">
        <f>SUBTOTAL(103,$A16:A$16)</f>
        <v>1</v>
      </c>
      <c r="C16" s="77" t="s">
        <v>454</v>
      </c>
      <c r="D16" s="233">
        <v>1994</v>
      </c>
      <c r="E16" s="233"/>
      <c r="F16" s="233" t="s">
        <v>256</v>
      </c>
      <c r="G16" s="233">
        <v>5</v>
      </c>
      <c r="H16" s="233" t="s">
        <v>291</v>
      </c>
      <c r="I16" s="78">
        <v>1202.5999999999999</v>
      </c>
      <c r="J16" s="78">
        <v>620.9</v>
      </c>
      <c r="K16" s="78">
        <v>620.9</v>
      </c>
      <c r="L16" s="239">
        <v>52</v>
      </c>
      <c r="M16" s="233" t="s">
        <v>254</v>
      </c>
      <c r="N16" s="233" t="s">
        <v>258</v>
      </c>
      <c r="O16" s="236" t="s">
        <v>2122</v>
      </c>
      <c r="P16" s="78">
        <v>1821107.48</v>
      </c>
      <c r="Q16" s="78">
        <v>0</v>
      </c>
      <c r="R16" s="78">
        <v>0</v>
      </c>
      <c r="S16" s="78">
        <v>0</v>
      </c>
      <c r="T16" s="78">
        <f t="shared" ref="T16:T79" si="2">P16-R16-S16</f>
        <v>1821107.48</v>
      </c>
      <c r="U16" s="78">
        <f t="shared" si="0"/>
        <v>1514.308564776318</v>
      </c>
      <c r="V16" s="78">
        <v>2891.7724929319816</v>
      </c>
    </row>
    <row r="17" spans="1:22" s="79" customFormat="1" ht="36" customHeight="1" x14ac:dyDescent="0.25">
      <c r="A17" s="79">
        <v>1</v>
      </c>
      <c r="B17" s="80">
        <f>SUBTOTAL(103,$A$16:A17)</f>
        <v>2</v>
      </c>
      <c r="C17" s="77" t="s">
        <v>1003</v>
      </c>
      <c r="D17" s="233">
        <v>1959</v>
      </c>
      <c r="E17" s="233"/>
      <c r="F17" s="233" t="s">
        <v>256</v>
      </c>
      <c r="G17" s="233">
        <v>2</v>
      </c>
      <c r="H17" s="233" t="s">
        <v>290</v>
      </c>
      <c r="I17" s="78">
        <v>918.1</v>
      </c>
      <c r="J17" s="78">
        <v>907</v>
      </c>
      <c r="K17" s="78">
        <v>907</v>
      </c>
      <c r="L17" s="239">
        <v>40</v>
      </c>
      <c r="M17" s="233" t="s">
        <v>254</v>
      </c>
      <c r="N17" s="233" t="s">
        <v>258</v>
      </c>
      <c r="O17" s="236" t="s">
        <v>1011</v>
      </c>
      <c r="P17" s="78">
        <v>69778.55</v>
      </c>
      <c r="Q17" s="78">
        <v>0</v>
      </c>
      <c r="R17" s="78">
        <v>0</v>
      </c>
      <c r="S17" s="78">
        <v>0</v>
      </c>
      <c r="T17" s="78">
        <f t="shared" si="2"/>
        <v>69778.55</v>
      </c>
      <c r="U17" s="78">
        <f t="shared" si="0"/>
        <v>76.003213157608101</v>
      </c>
      <c r="V17" s="78">
        <v>76.003213157608101</v>
      </c>
    </row>
    <row r="18" spans="1:22" s="79" customFormat="1" ht="36" customHeight="1" x14ac:dyDescent="0.25">
      <c r="A18" s="79">
        <v>1</v>
      </c>
      <c r="B18" s="80">
        <f>SUBTOTAL(103,$A$16:A18)</f>
        <v>3</v>
      </c>
      <c r="C18" s="77" t="s">
        <v>455</v>
      </c>
      <c r="D18" s="233">
        <v>1992</v>
      </c>
      <c r="E18" s="233"/>
      <c r="F18" s="233" t="s">
        <v>256</v>
      </c>
      <c r="G18" s="233">
        <v>9</v>
      </c>
      <c r="H18" s="233" t="s">
        <v>291</v>
      </c>
      <c r="I18" s="78">
        <v>4744.5</v>
      </c>
      <c r="J18" s="78">
        <v>4743.3999999999996</v>
      </c>
      <c r="K18" s="78">
        <v>4654.5</v>
      </c>
      <c r="L18" s="239">
        <v>252</v>
      </c>
      <c r="M18" s="233" t="s">
        <v>254</v>
      </c>
      <c r="N18" s="233" t="s">
        <v>258</v>
      </c>
      <c r="O18" s="236" t="s">
        <v>334</v>
      </c>
      <c r="P18" s="78">
        <v>1775379.67</v>
      </c>
      <c r="Q18" s="78">
        <v>0</v>
      </c>
      <c r="R18" s="78">
        <v>0</v>
      </c>
      <c r="S18" s="78">
        <v>0</v>
      </c>
      <c r="T18" s="78">
        <f t="shared" si="2"/>
        <v>1775379.67</v>
      </c>
      <c r="U18" s="78">
        <f t="shared" si="0"/>
        <v>374.19742227842761</v>
      </c>
      <c r="V18" s="78">
        <v>518.03140478448734</v>
      </c>
    </row>
    <row r="19" spans="1:22" s="79" customFormat="1" ht="36" customHeight="1" x14ac:dyDescent="0.25">
      <c r="A19" s="79">
        <v>1</v>
      </c>
      <c r="B19" s="80">
        <f>SUBTOTAL(103,$A$16:A19)</f>
        <v>4</v>
      </c>
      <c r="C19" s="77" t="s">
        <v>457</v>
      </c>
      <c r="D19" s="233">
        <v>1978</v>
      </c>
      <c r="E19" s="233"/>
      <c r="F19" s="233" t="s">
        <v>298</v>
      </c>
      <c r="G19" s="233">
        <v>9</v>
      </c>
      <c r="H19" s="233" t="s">
        <v>290</v>
      </c>
      <c r="I19" s="78">
        <v>4430.5</v>
      </c>
      <c r="J19" s="78">
        <v>3929.6</v>
      </c>
      <c r="K19" s="78">
        <v>3929.6</v>
      </c>
      <c r="L19" s="239">
        <v>188</v>
      </c>
      <c r="M19" s="233" t="s">
        <v>254</v>
      </c>
      <c r="N19" s="233" t="s">
        <v>258</v>
      </c>
      <c r="O19" s="236" t="s">
        <v>1011</v>
      </c>
      <c r="P19" s="78">
        <v>2444609.7599999998</v>
      </c>
      <c r="Q19" s="78">
        <v>0</v>
      </c>
      <c r="R19" s="78">
        <v>0</v>
      </c>
      <c r="S19" s="78">
        <v>0</v>
      </c>
      <c r="T19" s="78">
        <f t="shared" si="2"/>
        <v>2444609.7599999998</v>
      </c>
      <c r="U19" s="78">
        <f t="shared" si="0"/>
        <v>551.76836925854866</v>
      </c>
      <c r="V19" s="78">
        <v>1199.5386164089834</v>
      </c>
    </row>
    <row r="20" spans="1:22" s="79" customFormat="1" ht="36" customHeight="1" x14ac:dyDescent="0.25">
      <c r="A20" s="79">
        <v>1</v>
      </c>
      <c r="B20" s="80">
        <f>SUBTOTAL(103,$A$16:A20)</f>
        <v>5</v>
      </c>
      <c r="C20" s="77" t="s">
        <v>458</v>
      </c>
      <c r="D20" s="233">
        <v>1957</v>
      </c>
      <c r="E20" s="233"/>
      <c r="F20" s="233" t="s">
        <v>256</v>
      </c>
      <c r="G20" s="233">
        <v>2</v>
      </c>
      <c r="H20" s="233" t="s">
        <v>291</v>
      </c>
      <c r="I20" s="78">
        <v>731.7</v>
      </c>
      <c r="J20" s="78">
        <v>435.3</v>
      </c>
      <c r="K20" s="78">
        <v>435.3</v>
      </c>
      <c r="L20" s="239">
        <v>18</v>
      </c>
      <c r="M20" s="233" t="s">
        <v>254</v>
      </c>
      <c r="N20" s="233" t="s">
        <v>258</v>
      </c>
      <c r="O20" s="236" t="s">
        <v>1241</v>
      </c>
      <c r="P20" s="78">
        <v>1178315.53</v>
      </c>
      <c r="Q20" s="78">
        <v>0</v>
      </c>
      <c r="R20" s="78">
        <v>0</v>
      </c>
      <c r="S20" s="78">
        <v>0</v>
      </c>
      <c r="T20" s="78">
        <f t="shared" si="2"/>
        <v>1178315.53</v>
      </c>
      <c r="U20" s="78">
        <f t="shared" si="0"/>
        <v>1610.3806614732814</v>
      </c>
      <c r="V20" s="78">
        <v>4546.5914445811122</v>
      </c>
    </row>
    <row r="21" spans="1:22" s="79" customFormat="1" ht="36" customHeight="1" x14ac:dyDescent="0.25">
      <c r="A21" s="79">
        <v>1</v>
      </c>
      <c r="B21" s="80">
        <f>SUBTOTAL(103,$A$16:A21)</f>
        <v>6</v>
      </c>
      <c r="C21" s="77" t="s">
        <v>459</v>
      </c>
      <c r="D21" s="233">
        <v>1986</v>
      </c>
      <c r="E21" s="233"/>
      <c r="F21" s="233" t="s">
        <v>298</v>
      </c>
      <c r="G21" s="233">
        <v>9</v>
      </c>
      <c r="H21" s="233" t="s">
        <v>290</v>
      </c>
      <c r="I21" s="78">
        <v>4300.7</v>
      </c>
      <c r="J21" s="78">
        <v>3861.7</v>
      </c>
      <c r="K21" s="78">
        <v>3861.7</v>
      </c>
      <c r="L21" s="239">
        <v>213</v>
      </c>
      <c r="M21" s="233" t="s">
        <v>254</v>
      </c>
      <c r="N21" s="233" t="s">
        <v>258</v>
      </c>
      <c r="O21" s="236" t="s">
        <v>1026</v>
      </c>
      <c r="P21" s="78">
        <v>1996366.9600000002</v>
      </c>
      <c r="Q21" s="78">
        <v>0</v>
      </c>
      <c r="R21" s="78">
        <v>0</v>
      </c>
      <c r="S21" s="78">
        <v>0</v>
      </c>
      <c r="T21" s="78">
        <f t="shared" si="2"/>
        <v>1996366.9600000002</v>
      </c>
      <c r="U21" s="78">
        <f t="shared" si="0"/>
        <v>464.19581928523269</v>
      </c>
      <c r="V21" s="78">
        <v>1268.9163345501897</v>
      </c>
    </row>
    <row r="22" spans="1:22" s="79" customFormat="1" ht="36" customHeight="1" x14ac:dyDescent="0.25">
      <c r="A22" s="79">
        <v>1</v>
      </c>
      <c r="B22" s="80">
        <f>SUBTOTAL(103,$A$16:A22)</f>
        <v>7</v>
      </c>
      <c r="C22" s="77" t="s">
        <v>461</v>
      </c>
      <c r="D22" s="233">
        <v>1955</v>
      </c>
      <c r="E22" s="233"/>
      <c r="F22" s="233" t="s">
        <v>256</v>
      </c>
      <c r="G22" s="233">
        <v>3</v>
      </c>
      <c r="H22" s="233" t="s">
        <v>290</v>
      </c>
      <c r="I22" s="78">
        <v>1722.8</v>
      </c>
      <c r="J22" s="78">
        <v>1242.5</v>
      </c>
      <c r="K22" s="78">
        <v>1242.5</v>
      </c>
      <c r="L22" s="239">
        <v>48</v>
      </c>
      <c r="M22" s="233" t="s">
        <v>254</v>
      </c>
      <c r="N22" s="233" t="s">
        <v>258</v>
      </c>
      <c r="O22" s="236" t="s">
        <v>1316</v>
      </c>
      <c r="P22" s="78">
        <v>3053881.54</v>
      </c>
      <c r="Q22" s="78">
        <v>0</v>
      </c>
      <c r="R22" s="78">
        <v>0</v>
      </c>
      <c r="S22" s="78">
        <v>0</v>
      </c>
      <c r="T22" s="78">
        <f t="shared" si="2"/>
        <v>3053881.54</v>
      </c>
      <c r="U22" s="78">
        <f t="shared" si="0"/>
        <v>1772.6268516368702</v>
      </c>
      <c r="V22" s="78">
        <v>3693.8843375899701</v>
      </c>
    </row>
    <row r="23" spans="1:22" s="79" customFormat="1" ht="36" customHeight="1" x14ac:dyDescent="0.25">
      <c r="A23" s="79">
        <v>1</v>
      </c>
      <c r="B23" s="80">
        <f>SUBTOTAL(103,$A$16:A23)</f>
        <v>8</v>
      </c>
      <c r="C23" s="77" t="s">
        <v>462</v>
      </c>
      <c r="D23" s="233">
        <v>1990</v>
      </c>
      <c r="E23" s="233"/>
      <c r="F23" s="233" t="s">
        <v>256</v>
      </c>
      <c r="G23" s="233">
        <v>3</v>
      </c>
      <c r="H23" s="233" t="s">
        <v>291</v>
      </c>
      <c r="I23" s="78">
        <v>620.29999999999995</v>
      </c>
      <c r="J23" s="78">
        <v>538.5</v>
      </c>
      <c r="K23" s="78">
        <v>538.5</v>
      </c>
      <c r="L23" s="239">
        <v>18</v>
      </c>
      <c r="M23" s="233" t="s">
        <v>254</v>
      </c>
      <c r="N23" s="233" t="s">
        <v>258</v>
      </c>
      <c r="O23" s="236" t="s">
        <v>335</v>
      </c>
      <c r="P23" s="78">
        <v>1639309.32</v>
      </c>
      <c r="Q23" s="78">
        <v>0</v>
      </c>
      <c r="R23" s="78">
        <v>0</v>
      </c>
      <c r="S23" s="78">
        <v>0</v>
      </c>
      <c r="T23" s="78">
        <f t="shared" si="2"/>
        <v>1639309.32</v>
      </c>
      <c r="U23" s="78">
        <f t="shared" si="0"/>
        <v>2642.7685313557959</v>
      </c>
      <c r="V23" s="78">
        <v>9128.3578913428992</v>
      </c>
    </row>
    <row r="24" spans="1:22" s="79" customFormat="1" ht="36" customHeight="1" x14ac:dyDescent="0.25">
      <c r="A24" s="79">
        <v>1</v>
      </c>
      <c r="B24" s="80">
        <f>SUBTOTAL(103,$A$16:A24)</f>
        <v>9</v>
      </c>
      <c r="C24" s="77" t="s">
        <v>463</v>
      </c>
      <c r="D24" s="233">
        <v>1989</v>
      </c>
      <c r="E24" s="233"/>
      <c r="F24" s="233" t="s">
        <v>256</v>
      </c>
      <c r="G24" s="233">
        <v>5</v>
      </c>
      <c r="H24" s="233" t="s">
        <v>299</v>
      </c>
      <c r="I24" s="78">
        <v>2454.8000000000002</v>
      </c>
      <c r="J24" s="78">
        <v>1816.2</v>
      </c>
      <c r="K24" s="78">
        <v>1749.1</v>
      </c>
      <c r="L24" s="239">
        <v>71</v>
      </c>
      <c r="M24" s="233" t="s">
        <v>254</v>
      </c>
      <c r="N24" s="233" t="s">
        <v>258</v>
      </c>
      <c r="O24" s="236" t="s">
        <v>1301</v>
      </c>
      <c r="P24" s="78">
        <v>98784.97</v>
      </c>
      <c r="Q24" s="78">
        <v>0</v>
      </c>
      <c r="R24" s="78">
        <v>0</v>
      </c>
      <c r="S24" s="78">
        <v>0</v>
      </c>
      <c r="T24" s="78">
        <f t="shared" si="2"/>
        <v>98784.97</v>
      </c>
      <c r="U24" s="78">
        <f t="shared" si="0"/>
        <v>40.241555320189015</v>
      </c>
      <c r="V24" s="78">
        <v>40.241555320189015</v>
      </c>
    </row>
    <row r="25" spans="1:22" s="79" customFormat="1" ht="36" customHeight="1" x14ac:dyDescent="0.25">
      <c r="A25" s="79">
        <v>1</v>
      </c>
      <c r="B25" s="80">
        <f>SUBTOTAL(103,$A$16:A25)</f>
        <v>10</v>
      </c>
      <c r="C25" s="77" t="s">
        <v>464</v>
      </c>
      <c r="D25" s="233">
        <v>1995</v>
      </c>
      <c r="E25" s="233"/>
      <c r="F25" s="233" t="s">
        <v>256</v>
      </c>
      <c r="G25" s="233">
        <v>9</v>
      </c>
      <c r="H25" s="233" t="s">
        <v>291</v>
      </c>
      <c r="I25" s="78">
        <v>5292.9</v>
      </c>
      <c r="J25" s="78">
        <v>2692.2</v>
      </c>
      <c r="K25" s="78">
        <v>2257.3000000000002</v>
      </c>
      <c r="L25" s="239">
        <v>203</v>
      </c>
      <c r="M25" s="233" t="s">
        <v>254</v>
      </c>
      <c r="N25" s="233" t="s">
        <v>258</v>
      </c>
      <c r="O25" s="236" t="s">
        <v>1314</v>
      </c>
      <c r="P25" s="78">
        <v>3124667</v>
      </c>
      <c r="Q25" s="78">
        <v>0</v>
      </c>
      <c r="R25" s="78">
        <v>0</v>
      </c>
      <c r="S25" s="78">
        <v>0</v>
      </c>
      <c r="T25" s="78">
        <f t="shared" si="2"/>
        <v>3124667</v>
      </c>
      <c r="U25" s="78">
        <f t="shared" si="0"/>
        <v>590.35065842921654</v>
      </c>
      <c r="V25" s="78">
        <v>1760.5295395718795</v>
      </c>
    </row>
    <row r="26" spans="1:22" s="79" customFormat="1" ht="36" customHeight="1" x14ac:dyDescent="0.25">
      <c r="A26" s="79">
        <v>1</v>
      </c>
      <c r="B26" s="80">
        <f>SUBTOTAL(103,$A$16:A26)</f>
        <v>11</v>
      </c>
      <c r="C26" s="77" t="s">
        <v>465</v>
      </c>
      <c r="D26" s="233">
        <v>1962</v>
      </c>
      <c r="E26" s="233"/>
      <c r="F26" s="233" t="s">
        <v>256</v>
      </c>
      <c r="G26" s="233">
        <v>3</v>
      </c>
      <c r="H26" s="233" t="s">
        <v>299</v>
      </c>
      <c r="I26" s="78">
        <v>2721.6</v>
      </c>
      <c r="J26" s="78">
        <v>1752.6</v>
      </c>
      <c r="K26" s="78">
        <v>1752.6</v>
      </c>
      <c r="L26" s="239">
        <v>82</v>
      </c>
      <c r="M26" s="233" t="s">
        <v>254</v>
      </c>
      <c r="N26" s="233" t="s">
        <v>258</v>
      </c>
      <c r="O26" s="236" t="s">
        <v>1241</v>
      </c>
      <c r="P26" s="78">
        <v>89397.8</v>
      </c>
      <c r="Q26" s="78">
        <v>0</v>
      </c>
      <c r="R26" s="78">
        <v>0</v>
      </c>
      <c r="S26" s="78">
        <v>0</v>
      </c>
      <c r="T26" s="78">
        <f t="shared" si="2"/>
        <v>89397.8</v>
      </c>
      <c r="U26" s="78">
        <f t="shared" si="0"/>
        <v>32.847516166960617</v>
      </c>
      <c r="V26" s="78">
        <v>32.847516166960617</v>
      </c>
    </row>
    <row r="27" spans="1:22" s="79" customFormat="1" ht="36" customHeight="1" x14ac:dyDescent="0.25">
      <c r="A27" s="79">
        <v>1</v>
      </c>
      <c r="B27" s="80">
        <f>SUBTOTAL(103,$A$16:A27)</f>
        <v>12</v>
      </c>
      <c r="C27" s="77" t="s">
        <v>467</v>
      </c>
      <c r="D27" s="233">
        <v>1994</v>
      </c>
      <c r="E27" s="233"/>
      <c r="F27" s="233" t="s">
        <v>256</v>
      </c>
      <c r="G27" s="233">
        <v>6</v>
      </c>
      <c r="H27" s="233" t="s">
        <v>295</v>
      </c>
      <c r="I27" s="78">
        <v>3988.5</v>
      </c>
      <c r="J27" s="78">
        <v>2905.1</v>
      </c>
      <c r="K27" s="78">
        <v>2905.1</v>
      </c>
      <c r="L27" s="239">
        <v>142</v>
      </c>
      <c r="M27" s="233" t="s">
        <v>254</v>
      </c>
      <c r="N27" s="233" t="s">
        <v>258</v>
      </c>
      <c r="O27" s="236" t="s">
        <v>1026</v>
      </c>
      <c r="P27" s="78">
        <v>2353912.86</v>
      </c>
      <c r="Q27" s="78">
        <v>0</v>
      </c>
      <c r="R27" s="78">
        <v>0</v>
      </c>
      <c r="S27" s="78">
        <v>0</v>
      </c>
      <c r="T27" s="78">
        <f t="shared" si="2"/>
        <v>2353912.86</v>
      </c>
      <c r="U27" s="78">
        <f t="shared" si="0"/>
        <v>590.17496803309507</v>
      </c>
      <c r="V27" s="78">
        <v>1655.4595985458193</v>
      </c>
    </row>
    <row r="28" spans="1:22" s="79" customFormat="1" ht="36" customHeight="1" x14ac:dyDescent="0.25">
      <c r="A28" s="79">
        <v>1</v>
      </c>
      <c r="B28" s="80">
        <f>SUBTOTAL(103,$A$16:A28)</f>
        <v>13</v>
      </c>
      <c r="C28" s="77" t="s">
        <v>468</v>
      </c>
      <c r="D28" s="233">
        <v>1993</v>
      </c>
      <c r="E28" s="233"/>
      <c r="F28" s="233" t="s">
        <v>256</v>
      </c>
      <c r="G28" s="233">
        <v>9</v>
      </c>
      <c r="H28" s="233" t="s">
        <v>299</v>
      </c>
      <c r="I28" s="78">
        <v>6478</v>
      </c>
      <c r="J28" s="78">
        <v>6478</v>
      </c>
      <c r="K28" s="78">
        <v>6359.4</v>
      </c>
      <c r="L28" s="239">
        <v>358</v>
      </c>
      <c r="M28" s="233" t="s">
        <v>254</v>
      </c>
      <c r="N28" s="233" t="s">
        <v>258</v>
      </c>
      <c r="O28" s="236" t="s">
        <v>334</v>
      </c>
      <c r="P28" s="78">
        <v>2593330.65</v>
      </c>
      <c r="Q28" s="78">
        <v>0</v>
      </c>
      <c r="R28" s="78">
        <v>0</v>
      </c>
      <c r="S28" s="78">
        <v>0</v>
      </c>
      <c r="T28" s="78">
        <f t="shared" si="2"/>
        <v>2593330.65</v>
      </c>
      <c r="U28" s="78">
        <f t="shared" si="0"/>
        <v>400.32890552639702</v>
      </c>
      <c r="V28" s="78">
        <v>1293.9205927755481</v>
      </c>
    </row>
    <row r="29" spans="1:22" s="79" customFormat="1" ht="36" customHeight="1" x14ac:dyDescent="0.25">
      <c r="A29" s="79">
        <v>1</v>
      </c>
      <c r="B29" s="80">
        <f>SUBTOTAL(103,$A$16:A29)</f>
        <v>14</v>
      </c>
      <c r="C29" s="77" t="s">
        <v>469</v>
      </c>
      <c r="D29" s="233">
        <v>1992</v>
      </c>
      <c r="E29" s="233"/>
      <c r="F29" s="233" t="s">
        <v>298</v>
      </c>
      <c r="G29" s="233">
        <v>9</v>
      </c>
      <c r="H29" s="233" t="s">
        <v>2123</v>
      </c>
      <c r="I29" s="78">
        <v>14455.8</v>
      </c>
      <c r="J29" s="78">
        <v>14455.7</v>
      </c>
      <c r="K29" s="78">
        <v>14455.7</v>
      </c>
      <c r="L29" s="239">
        <v>689</v>
      </c>
      <c r="M29" s="233" t="s">
        <v>254</v>
      </c>
      <c r="N29" s="233" t="s">
        <v>258</v>
      </c>
      <c r="O29" s="236" t="s">
        <v>334</v>
      </c>
      <c r="P29" s="78">
        <v>14319460.059999999</v>
      </c>
      <c r="Q29" s="78">
        <v>0</v>
      </c>
      <c r="R29" s="78">
        <v>0</v>
      </c>
      <c r="S29" s="78">
        <v>0</v>
      </c>
      <c r="T29" s="78">
        <f t="shared" si="2"/>
        <v>14319460.059999999</v>
      </c>
      <c r="U29" s="78">
        <f t="shared" si="0"/>
        <v>990.56849569031112</v>
      </c>
      <c r="V29" s="78">
        <v>1360.1737710815037</v>
      </c>
    </row>
    <row r="30" spans="1:22" s="79" customFormat="1" ht="36" customHeight="1" x14ac:dyDescent="0.25">
      <c r="A30" s="79">
        <v>1</v>
      </c>
      <c r="B30" s="80">
        <f>SUBTOTAL(103,$A$16:A30)</f>
        <v>15</v>
      </c>
      <c r="C30" s="77" t="s">
        <v>470</v>
      </c>
      <c r="D30" s="233">
        <v>1978</v>
      </c>
      <c r="E30" s="233"/>
      <c r="F30" s="233" t="s">
        <v>256</v>
      </c>
      <c r="G30" s="233">
        <v>5</v>
      </c>
      <c r="H30" s="233" t="s">
        <v>291</v>
      </c>
      <c r="I30" s="78">
        <v>1058.5</v>
      </c>
      <c r="J30" s="78">
        <v>777.2</v>
      </c>
      <c r="K30" s="78">
        <v>583.20000000000005</v>
      </c>
      <c r="L30" s="239">
        <v>37</v>
      </c>
      <c r="M30" s="233" t="s">
        <v>254</v>
      </c>
      <c r="N30" s="233" t="s">
        <v>258</v>
      </c>
      <c r="O30" s="236" t="s">
        <v>334</v>
      </c>
      <c r="P30" s="78">
        <v>721831.31</v>
      </c>
      <c r="Q30" s="78">
        <v>0</v>
      </c>
      <c r="R30" s="78">
        <v>0</v>
      </c>
      <c r="S30" s="78">
        <v>0</v>
      </c>
      <c r="T30" s="78">
        <f t="shared" si="2"/>
        <v>721831.31</v>
      </c>
      <c r="U30" s="78">
        <f t="shared" si="0"/>
        <v>681.93794048181394</v>
      </c>
      <c r="V30" s="78">
        <v>2106.0557392536607</v>
      </c>
    </row>
    <row r="31" spans="1:22" s="79" customFormat="1" ht="36" customHeight="1" x14ac:dyDescent="0.25">
      <c r="A31" s="79">
        <v>1</v>
      </c>
      <c r="B31" s="80">
        <f>SUBTOTAL(103,$A$16:A31)</f>
        <v>16</v>
      </c>
      <c r="C31" s="77" t="s">
        <v>475</v>
      </c>
      <c r="D31" s="233">
        <v>1968</v>
      </c>
      <c r="E31" s="233"/>
      <c r="F31" s="233" t="s">
        <v>256</v>
      </c>
      <c r="G31" s="233">
        <v>5</v>
      </c>
      <c r="H31" s="233" t="s">
        <v>337</v>
      </c>
      <c r="I31" s="78">
        <v>6224.9</v>
      </c>
      <c r="J31" s="78">
        <v>4706.8</v>
      </c>
      <c r="K31" s="78">
        <v>3495.5</v>
      </c>
      <c r="L31" s="239">
        <v>225</v>
      </c>
      <c r="M31" s="233" t="s">
        <v>254</v>
      </c>
      <c r="N31" s="233" t="s">
        <v>258</v>
      </c>
      <c r="O31" s="236" t="s">
        <v>1302</v>
      </c>
      <c r="P31" s="78">
        <v>3879957</v>
      </c>
      <c r="Q31" s="78">
        <v>0</v>
      </c>
      <c r="R31" s="78">
        <v>0</v>
      </c>
      <c r="S31" s="78">
        <v>0</v>
      </c>
      <c r="T31" s="78">
        <f t="shared" si="2"/>
        <v>3879957</v>
      </c>
      <c r="U31" s="78">
        <f t="shared" si="0"/>
        <v>623.29627785185312</v>
      </c>
      <c r="V31" s="78">
        <v>1461.128821346528</v>
      </c>
    </row>
    <row r="32" spans="1:22" s="79" customFormat="1" ht="36" customHeight="1" x14ac:dyDescent="0.25">
      <c r="A32" s="79">
        <v>1</v>
      </c>
      <c r="B32" s="80">
        <f>SUBTOTAL(103,$A$16:A32)</f>
        <v>17</v>
      </c>
      <c r="C32" s="77" t="s">
        <v>1528</v>
      </c>
      <c r="D32" s="233">
        <v>1988</v>
      </c>
      <c r="E32" s="233"/>
      <c r="F32" s="233" t="s">
        <v>298</v>
      </c>
      <c r="G32" s="233">
        <v>5</v>
      </c>
      <c r="H32" s="233" t="s">
        <v>299</v>
      </c>
      <c r="I32" s="78">
        <v>2989.1</v>
      </c>
      <c r="J32" s="78">
        <v>2076.5</v>
      </c>
      <c r="K32" s="78">
        <v>2076.5</v>
      </c>
      <c r="L32" s="239">
        <v>97</v>
      </c>
      <c r="M32" s="233" t="s">
        <v>254</v>
      </c>
      <c r="N32" s="233" t="s">
        <v>258</v>
      </c>
      <c r="O32" s="236" t="s">
        <v>1302</v>
      </c>
      <c r="P32" s="78">
        <v>1297271</v>
      </c>
      <c r="Q32" s="78">
        <v>0</v>
      </c>
      <c r="R32" s="78">
        <v>0</v>
      </c>
      <c r="S32" s="78">
        <v>0</v>
      </c>
      <c r="T32" s="78">
        <f t="shared" si="2"/>
        <v>1297271</v>
      </c>
      <c r="U32" s="78">
        <f t="shared" si="0"/>
        <v>434.00053527817738</v>
      </c>
      <c r="V32" s="78">
        <v>1637.7688802649629</v>
      </c>
    </row>
    <row r="33" spans="1:22" s="79" customFormat="1" ht="36" customHeight="1" x14ac:dyDescent="0.25">
      <c r="A33" s="79">
        <v>1</v>
      </c>
      <c r="B33" s="80">
        <f>SUBTOTAL(103,$A$16:A33)</f>
        <v>18</v>
      </c>
      <c r="C33" s="77" t="s">
        <v>476</v>
      </c>
      <c r="D33" s="233">
        <v>1988</v>
      </c>
      <c r="E33" s="233"/>
      <c r="F33" s="233" t="s">
        <v>256</v>
      </c>
      <c r="G33" s="233">
        <v>5</v>
      </c>
      <c r="H33" s="233" t="s">
        <v>299</v>
      </c>
      <c r="I33" s="78">
        <v>4166.5</v>
      </c>
      <c r="J33" s="78">
        <v>3487.5</v>
      </c>
      <c r="K33" s="78">
        <v>3487.5</v>
      </c>
      <c r="L33" s="239">
        <v>156</v>
      </c>
      <c r="M33" s="233" t="s">
        <v>254</v>
      </c>
      <c r="N33" s="233" t="s">
        <v>258</v>
      </c>
      <c r="O33" s="236" t="s">
        <v>1317</v>
      </c>
      <c r="P33" s="78">
        <v>2988276</v>
      </c>
      <c r="Q33" s="78">
        <v>0</v>
      </c>
      <c r="R33" s="78">
        <v>0</v>
      </c>
      <c r="S33" s="78">
        <v>0</v>
      </c>
      <c r="T33" s="78">
        <f t="shared" si="2"/>
        <v>2988276</v>
      </c>
      <c r="U33" s="78">
        <f t="shared" si="0"/>
        <v>717.21492859714385</v>
      </c>
      <c r="V33" s="78">
        <v>2097.3717028681149</v>
      </c>
    </row>
    <row r="34" spans="1:22" s="79" customFormat="1" ht="36" customHeight="1" x14ac:dyDescent="0.25">
      <c r="A34" s="79">
        <v>1</v>
      </c>
      <c r="B34" s="80">
        <f>SUBTOTAL(103,$A$16:A34)</f>
        <v>19</v>
      </c>
      <c r="C34" s="77" t="s">
        <v>478</v>
      </c>
      <c r="D34" s="233">
        <v>1985</v>
      </c>
      <c r="E34" s="233"/>
      <c r="F34" s="233" t="s">
        <v>298</v>
      </c>
      <c r="G34" s="233">
        <v>2</v>
      </c>
      <c r="H34" s="233" t="s">
        <v>290</v>
      </c>
      <c r="I34" s="78">
        <v>617.79999999999995</v>
      </c>
      <c r="J34" s="78">
        <v>560.5</v>
      </c>
      <c r="K34" s="78">
        <v>560.5</v>
      </c>
      <c r="L34" s="239">
        <v>38</v>
      </c>
      <c r="M34" s="233" t="s">
        <v>254</v>
      </c>
      <c r="N34" s="233" t="s">
        <v>258</v>
      </c>
      <c r="O34" s="236" t="s">
        <v>1301</v>
      </c>
      <c r="P34" s="78">
        <v>56688.3</v>
      </c>
      <c r="Q34" s="78">
        <v>0</v>
      </c>
      <c r="R34" s="78">
        <v>0</v>
      </c>
      <c r="S34" s="78">
        <v>0</v>
      </c>
      <c r="T34" s="78">
        <f t="shared" si="2"/>
        <v>56688.3</v>
      </c>
      <c r="U34" s="78">
        <f t="shared" si="0"/>
        <v>91.758336031078031</v>
      </c>
      <c r="V34" s="78">
        <v>91.758336031078031</v>
      </c>
    </row>
    <row r="35" spans="1:22" s="79" customFormat="1" ht="36" customHeight="1" x14ac:dyDescent="0.25">
      <c r="A35" s="79">
        <v>1</v>
      </c>
      <c r="B35" s="80">
        <f>SUBTOTAL(103,$A$16:A35)</f>
        <v>20</v>
      </c>
      <c r="C35" s="77" t="s">
        <v>479</v>
      </c>
      <c r="D35" s="233">
        <v>1967</v>
      </c>
      <c r="E35" s="233"/>
      <c r="F35" s="233" t="s">
        <v>256</v>
      </c>
      <c r="G35" s="233">
        <v>2</v>
      </c>
      <c r="H35" s="233" t="s">
        <v>290</v>
      </c>
      <c r="I35" s="78">
        <v>709.3</v>
      </c>
      <c r="J35" s="78">
        <v>653.29999999999995</v>
      </c>
      <c r="K35" s="78">
        <v>653.29999999999995</v>
      </c>
      <c r="L35" s="239">
        <v>36</v>
      </c>
      <c r="M35" s="233" t="s">
        <v>254</v>
      </c>
      <c r="N35" s="233" t="s">
        <v>258</v>
      </c>
      <c r="O35" s="236" t="s">
        <v>1301</v>
      </c>
      <c r="P35" s="78">
        <v>89064.28</v>
      </c>
      <c r="Q35" s="78">
        <v>0</v>
      </c>
      <c r="R35" s="78">
        <v>0</v>
      </c>
      <c r="S35" s="78">
        <v>0</v>
      </c>
      <c r="T35" s="78">
        <f t="shared" si="2"/>
        <v>89064.28</v>
      </c>
      <c r="U35" s="78">
        <f t="shared" si="0"/>
        <v>125.56644579162555</v>
      </c>
      <c r="V35" s="78">
        <v>125.56644579162555</v>
      </c>
    </row>
    <row r="36" spans="1:22" s="79" customFormat="1" ht="36" customHeight="1" x14ac:dyDescent="0.25">
      <c r="A36" s="79">
        <v>1</v>
      </c>
      <c r="B36" s="80">
        <f>SUBTOTAL(103,$A$16:A36)</f>
        <v>21</v>
      </c>
      <c r="C36" s="77" t="s">
        <v>480</v>
      </c>
      <c r="D36" s="233">
        <v>1972</v>
      </c>
      <c r="E36" s="233"/>
      <c r="F36" s="233" t="s">
        <v>256</v>
      </c>
      <c r="G36" s="233">
        <v>2</v>
      </c>
      <c r="H36" s="233" t="s">
        <v>290</v>
      </c>
      <c r="I36" s="78">
        <v>790.6</v>
      </c>
      <c r="J36" s="78">
        <v>790.6</v>
      </c>
      <c r="K36" s="78">
        <v>790.6</v>
      </c>
      <c r="L36" s="239">
        <v>48</v>
      </c>
      <c r="M36" s="233" t="s">
        <v>254</v>
      </c>
      <c r="N36" s="233" t="s">
        <v>258</v>
      </c>
      <c r="O36" s="236" t="s">
        <v>1534</v>
      </c>
      <c r="P36" s="78">
        <v>2641217.09</v>
      </c>
      <c r="Q36" s="78">
        <v>0</v>
      </c>
      <c r="R36" s="78">
        <v>0</v>
      </c>
      <c r="S36" s="78">
        <v>0</v>
      </c>
      <c r="T36" s="78">
        <f t="shared" si="2"/>
        <v>2641217.09</v>
      </c>
      <c r="U36" s="78">
        <f t="shared" si="0"/>
        <v>3340.7754743232986</v>
      </c>
      <c r="V36" s="78">
        <v>7376.3523399949408</v>
      </c>
    </row>
    <row r="37" spans="1:22" s="79" customFormat="1" ht="36" customHeight="1" x14ac:dyDescent="0.25">
      <c r="A37" s="79">
        <v>1</v>
      </c>
      <c r="B37" s="80">
        <f>SUBTOTAL(103,$A$16:A37)</f>
        <v>22</v>
      </c>
      <c r="C37" s="77" t="s">
        <v>481</v>
      </c>
      <c r="D37" s="233">
        <v>1994</v>
      </c>
      <c r="E37" s="233"/>
      <c r="F37" s="233" t="s">
        <v>298</v>
      </c>
      <c r="G37" s="233">
        <v>9</v>
      </c>
      <c r="H37" s="233" t="s">
        <v>343</v>
      </c>
      <c r="I37" s="78">
        <v>14325</v>
      </c>
      <c r="J37" s="78">
        <v>14325</v>
      </c>
      <c r="K37" s="78">
        <v>14166</v>
      </c>
      <c r="L37" s="239">
        <v>585</v>
      </c>
      <c r="M37" s="233" t="s">
        <v>254</v>
      </c>
      <c r="N37" s="233" t="s">
        <v>258</v>
      </c>
      <c r="O37" s="236" t="s">
        <v>334</v>
      </c>
      <c r="P37" s="78">
        <v>12192587.91</v>
      </c>
      <c r="Q37" s="78">
        <v>0</v>
      </c>
      <c r="R37" s="78">
        <v>0</v>
      </c>
      <c r="S37" s="78">
        <v>0</v>
      </c>
      <c r="T37" s="78">
        <f t="shared" si="2"/>
        <v>12192587.91</v>
      </c>
      <c r="U37" s="78">
        <f t="shared" si="0"/>
        <v>851.14051727748688</v>
      </c>
      <c r="V37" s="78">
        <v>1201.0191972076789</v>
      </c>
    </row>
    <row r="38" spans="1:22" s="79" customFormat="1" ht="36" customHeight="1" x14ac:dyDescent="0.25">
      <c r="A38" s="79">
        <v>1</v>
      </c>
      <c r="B38" s="80">
        <f>SUBTOTAL(103,$A$16:A38)</f>
        <v>23</v>
      </c>
      <c r="C38" s="77" t="s">
        <v>482</v>
      </c>
      <c r="D38" s="233">
        <v>1994</v>
      </c>
      <c r="E38" s="233"/>
      <c r="F38" s="233" t="s">
        <v>298</v>
      </c>
      <c r="G38" s="233">
        <v>9</v>
      </c>
      <c r="H38" s="233" t="s">
        <v>299</v>
      </c>
      <c r="I38" s="78">
        <v>5491.1</v>
      </c>
      <c r="J38" s="78">
        <v>5491.1</v>
      </c>
      <c r="K38" s="78">
        <v>5444.9</v>
      </c>
      <c r="L38" s="239">
        <v>236</v>
      </c>
      <c r="M38" s="233" t="s">
        <v>254</v>
      </c>
      <c r="N38" s="233" t="s">
        <v>258</v>
      </c>
      <c r="O38" s="236" t="s">
        <v>334</v>
      </c>
      <c r="P38" s="78">
        <v>3433160.05</v>
      </c>
      <c r="Q38" s="78">
        <v>0</v>
      </c>
      <c r="R38" s="78">
        <v>0</v>
      </c>
      <c r="S38" s="78">
        <v>0</v>
      </c>
      <c r="T38" s="78">
        <f t="shared" si="2"/>
        <v>3433160.05</v>
      </c>
      <c r="U38" s="78">
        <f t="shared" si="0"/>
        <v>625.22264209356956</v>
      </c>
      <c r="V38" s="78">
        <v>895.19404126677705</v>
      </c>
    </row>
    <row r="39" spans="1:22" s="79" customFormat="1" ht="36" customHeight="1" x14ac:dyDescent="0.25">
      <c r="A39" s="79">
        <v>1</v>
      </c>
      <c r="B39" s="80">
        <f>SUBTOTAL(103,$A$16:A39)</f>
        <v>24</v>
      </c>
      <c r="C39" s="77" t="s">
        <v>483</v>
      </c>
      <c r="D39" s="233">
        <v>1993</v>
      </c>
      <c r="E39" s="233"/>
      <c r="F39" s="233" t="s">
        <v>298</v>
      </c>
      <c r="G39" s="233">
        <v>9</v>
      </c>
      <c r="H39" s="233" t="s">
        <v>291</v>
      </c>
      <c r="I39" s="78">
        <v>1614.7</v>
      </c>
      <c r="J39" s="78">
        <v>1614.7</v>
      </c>
      <c r="K39" s="78">
        <v>1585.9</v>
      </c>
      <c r="L39" s="239">
        <v>64</v>
      </c>
      <c r="M39" s="233" t="s">
        <v>254</v>
      </c>
      <c r="N39" s="233" t="s">
        <v>258</v>
      </c>
      <c r="O39" s="236" t="s">
        <v>334</v>
      </c>
      <c r="P39" s="78">
        <v>1772747.75</v>
      </c>
      <c r="Q39" s="78">
        <v>0</v>
      </c>
      <c r="R39" s="78">
        <v>0</v>
      </c>
      <c r="S39" s="78">
        <v>0</v>
      </c>
      <c r="T39" s="78">
        <f t="shared" si="2"/>
        <v>1772747.75</v>
      </c>
      <c r="U39" s="78">
        <f t="shared" si="0"/>
        <v>1097.8805660494208</v>
      </c>
      <c r="V39" s="78">
        <v>1522.140335666068</v>
      </c>
    </row>
    <row r="40" spans="1:22" s="79" customFormat="1" ht="36" customHeight="1" x14ac:dyDescent="0.25">
      <c r="A40" s="79">
        <v>1</v>
      </c>
      <c r="B40" s="80">
        <f>SUBTOTAL(103,$A$16:A40)</f>
        <v>25</v>
      </c>
      <c r="C40" s="77" t="s">
        <v>484</v>
      </c>
      <c r="D40" s="233">
        <v>1993</v>
      </c>
      <c r="E40" s="233"/>
      <c r="F40" s="233" t="s">
        <v>298</v>
      </c>
      <c r="G40" s="233">
        <v>9</v>
      </c>
      <c r="H40" s="233" t="s">
        <v>290</v>
      </c>
      <c r="I40" s="78">
        <v>4490.3</v>
      </c>
      <c r="J40" s="78">
        <v>4490.3</v>
      </c>
      <c r="K40" s="78">
        <v>4474.6000000000004</v>
      </c>
      <c r="L40" s="239">
        <v>167</v>
      </c>
      <c r="M40" s="233" t="s">
        <v>254</v>
      </c>
      <c r="N40" s="233" t="s">
        <v>258</v>
      </c>
      <c r="O40" s="236" t="s">
        <v>334</v>
      </c>
      <c r="P40" s="78">
        <v>3535514.86</v>
      </c>
      <c r="Q40" s="78">
        <v>0</v>
      </c>
      <c r="R40" s="78">
        <v>0</v>
      </c>
      <c r="S40" s="78">
        <v>0</v>
      </c>
      <c r="T40" s="78">
        <f t="shared" si="2"/>
        <v>3535514.86</v>
      </c>
      <c r="U40" s="78">
        <f t="shared" si="0"/>
        <v>787.36718259359054</v>
      </c>
      <c r="V40" s="78">
        <v>1094.7152751486537</v>
      </c>
    </row>
    <row r="41" spans="1:22" s="79" customFormat="1" ht="36" customHeight="1" x14ac:dyDescent="0.25">
      <c r="A41" s="79">
        <v>1</v>
      </c>
      <c r="B41" s="80">
        <f>SUBTOTAL(103,$A$16:A41)</f>
        <v>26</v>
      </c>
      <c r="C41" s="77" t="s">
        <v>485</v>
      </c>
      <c r="D41" s="233">
        <v>1987</v>
      </c>
      <c r="E41" s="233"/>
      <c r="F41" s="233" t="s">
        <v>256</v>
      </c>
      <c r="G41" s="233">
        <v>5</v>
      </c>
      <c r="H41" s="233" t="s">
        <v>290</v>
      </c>
      <c r="I41" s="78">
        <v>1670.9</v>
      </c>
      <c r="J41" s="78">
        <v>1146.4000000000001</v>
      </c>
      <c r="K41" s="78">
        <v>1146.4000000000001</v>
      </c>
      <c r="L41" s="239">
        <v>65</v>
      </c>
      <c r="M41" s="233" t="s">
        <v>254</v>
      </c>
      <c r="N41" s="233" t="s">
        <v>258</v>
      </c>
      <c r="O41" s="236" t="s">
        <v>1026</v>
      </c>
      <c r="P41" s="78">
        <v>1142069.99</v>
      </c>
      <c r="Q41" s="78">
        <v>0</v>
      </c>
      <c r="R41" s="78">
        <v>0</v>
      </c>
      <c r="S41" s="78">
        <v>0</v>
      </c>
      <c r="T41" s="78">
        <f t="shared" si="2"/>
        <v>1142069.99</v>
      </c>
      <c r="U41" s="78">
        <f t="shared" si="0"/>
        <v>683.50588904183371</v>
      </c>
      <c r="V41" s="78">
        <v>1631.5264042132983</v>
      </c>
    </row>
    <row r="42" spans="1:22" s="79" customFormat="1" ht="36" customHeight="1" x14ac:dyDescent="0.25">
      <c r="A42" s="79">
        <v>1</v>
      </c>
      <c r="B42" s="80">
        <f>SUBTOTAL(103,$A$16:A42)</f>
        <v>27</v>
      </c>
      <c r="C42" s="77" t="s">
        <v>486</v>
      </c>
      <c r="D42" s="233">
        <v>1983</v>
      </c>
      <c r="E42" s="233"/>
      <c r="F42" s="233" t="s">
        <v>256</v>
      </c>
      <c r="G42" s="233">
        <v>5</v>
      </c>
      <c r="H42" s="233" t="s">
        <v>291</v>
      </c>
      <c r="I42" s="78">
        <v>628.5</v>
      </c>
      <c r="J42" s="78">
        <v>568.5</v>
      </c>
      <c r="K42" s="78">
        <v>568.5</v>
      </c>
      <c r="L42" s="239">
        <v>31</v>
      </c>
      <c r="M42" s="233" t="s">
        <v>254</v>
      </c>
      <c r="N42" s="233" t="s">
        <v>258</v>
      </c>
      <c r="O42" s="236" t="s">
        <v>1011</v>
      </c>
      <c r="P42" s="78">
        <v>715422.73</v>
      </c>
      <c r="Q42" s="78">
        <v>0</v>
      </c>
      <c r="R42" s="78">
        <v>0</v>
      </c>
      <c r="S42" s="78">
        <v>0</v>
      </c>
      <c r="T42" s="78">
        <f t="shared" si="2"/>
        <v>715422.73</v>
      </c>
      <c r="U42" s="78">
        <f t="shared" si="0"/>
        <v>1138.301877486078</v>
      </c>
      <c r="V42" s="78">
        <v>2142.3596499602227</v>
      </c>
    </row>
    <row r="43" spans="1:22" s="79" customFormat="1" ht="36" customHeight="1" x14ac:dyDescent="0.25">
      <c r="A43" s="79">
        <v>1</v>
      </c>
      <c r="B43" s="80">
        <f>SUBTOTAL(103,$A$16:A43)</f>
        <v>28</v>
      </c>
      <c r="C43" s="77" t="s">
        <v>487</v>
      </c>
      <c r="D43" s="233">
        <v>1959</v>
      </c>
      <c r="E43" s="233"/>
      <c r="F43" s="233" t="s">
        <v>256</v>
      </c>
      <c r="G43" s="233">
        <v>2</v>
      </c>
      <c r="H43" s="233" t="s">
        <v>291</v>
      </c>
      <c r="I43" s="78">
        <v>313.3</v>
      </c>
      <c r="J43" s="78">
        <v>288.7</v>
      </c>
      <c r="K43" s="78">
        <v>288.7</v>
      </c>
      <c r="L43" s="239">
        <v>24</v>
      </c>
      <c r="M43" s="233" t="s">
        <v>254</v>
      </c>
      <c r="N43" s="233" t="s">
        <v>258</v>
      </c>
      <c r="O43" s="236" t="s">
        <v>1011</v>
      </c>
      <c r="P43" s="78">
        <v>1010260.5</v>
      </c>
      <c r="Q43" s="78">
        <v>0</v>
      </c>
      <c r="R43" s="78">
        <v>0</v>
      </c>
      <c r="S43" s="78">
        <v>0</v>
      </c>
      <c r="T43" s="78">
        <f t="shared" si="2"/>
        <v>1010260.5</v>
      </c>
      <c r="U43" s="78">
        <f t="shared" si="0"/>
        <v>3224.5786785828277</v>
      </c>
      <c r="V43" s="78">
        <v>9538.551931056496</v>
      </c>
    </row>
    <row r="44" spans="1:22" s="79" customFormat="1" ht="36" customHeight="1" x14ac:dyDescent="0.25">
      <c r="A44" s="79">
        <v>1</v>
      </c>
      <c r="B44" s="80">
        <f>SUBTOTAL(103,$A$16:A44)</f>
        <v>29</v>
      </c>
      <c r="C44" s="77" t="s">
        <v>488</v>
      </c>
      <c r="D44" s="233">
        <v>1969</v>
      </c>
      <c r="E44" s="233"/>
      <c r="F44" s="233" t="s">
        <v>256</v>
      </c>
      <c r="G44" s="233">
        <v>9</v>
      </c>
      <c r="H44" s="233" t="s">
        <v>291</v>
      </c>
      <c r="I44" s="78">
        <v>2575.6999999999998</v>
      </c>
      <c r="J44" s="78">
        <v>2278.3000000000002</v>
      </c>
      <c r="K44" s="78">
        <v>2278.3000000000002</v>
      </c>
      <c r="L44" s="239">
        <v>84</v>
      </c>
      <c r="M44" s="233" t="s">
        <v>254</v>
      </c>
      <c r="N44" s="233" t="s">
        <v>258</v>
      </c>
      <c r="O44" s="236" t="s">
        <v>1011</v>
      </c>
      <c r="P44" s="78">
        <v>1761427.66</v>
      </c>
      <c r="Q44" s="78">
        <v>0</v>
      </c>
      <c r="R44" s="78">
        <v>0</v>
      </c>
      <c r="S44" s="78">
        <v>0</v>
      </c>
      <c r="T44" s="78">
        <f t="shared" si="2"/>
        <v>1761427.66</v>
      </c>
      <c r="U44" s="78">
        <f t="shared" si="0"/>
        <v>683.86367201149199</v>
      </c>
      <c r="V44" s="78">
        <v>954.22603564079679</v>
      </c>
    </row>
    <row r="45" spans="1:22" s="79" customFormat="1" ht="36" customHeight="1" x14ac:dyDescent="0.25">
      <c r="A45" s="79">
        <v>1</v>
      </c>
      <c r="B45" s="80">
        <f>SUBTOTAL(103,$A$16:A45)</f>
        <v>30</v>
      </c>
      <c r="C45" s="77" t="s">
        <v>489</v>
      </c>
      <c r="D45" s="233">
        <v>1983</v>
      </c>
      <c r="E45" s="233"/>
      <c r="F45" s="233" t="s">
        <v>256</v>
      </c>
      <c r="G45" s="233">
        <v>5</v>
      </c>
      <c r="H45" s="233" t="s">
        <v>299</v>
      </c>
      <c r="I45" s="78">
        <v>2943.9</v>
      </c>
      <c r="J45" s="78">
        <v>2711.7</v>
      </c>
      <c r="K45" s="78">
        <v>2711.7</v>
      </c>
      <c r="L45" s="239">
        <v>99</v>
      </c>
      <c r="M45" s="233" t="s">
        <v>254</v>
      </c>
      <c r="N45" s="233" t="s">
        <v>258</v>
      </c>
      <c r="O45" s="236" t="s">
        <v>1011</v>
      </c>
      <c r="P45" s="78">
        <v>2417044.6000000006</v>
      </c>
      <c r="Q45" s="78">
        <v>0</v>
      </c>
      <c r="R45" s="78">
        <v>0</v>
      </c>
      <c r="S45" s="78">
        <v>0</v>
      </c>
      <c r="T45" s="78">
        <f t="shared" si="2"/>
        <v>2417044.6000000006</v>
      </c>
      <c r="U45" s="78">
        <f t="shared" si="0"/>
        <v>821.03488569584579</v>
      </c>
      <c r="V45" s="78">
        <v>2883.5972961038078</v>
      </c>
    </row>
    <row r="46" spans="1:22" s="79" customFormat="1" ht="36" customHeight="1" x14ac:dyDescent="0.25">
      <c r="A46" s="79">
        <v>1</v>
      </c>
      <c r="B46" s="80">
        <f>SUBTOTAL(103,$A$16:A46)</f>
        <v>31</v>
      </c>
      <c r="C46" s="77" t="s">
        <v>490</v>
      </c>
      <c r="D46" s="233">
        <v>1989</v>
      </c>
      <c r="E46" s="233"/>
      <c r="F46" s="233" t="s">
        <v>256</v>
      </c>
      <c r="G46" s="233">
        <v>5</v>
      </c>
      <c r="H46" s="233" t="s">
        <v>295</v>
      </c>
      <c r="I46" s="78">
        <v>2894.3</v>
      </c>
      <c r="J46" s="78">
        <v>2645.3</v>
      </c>
      <c r="K46" s="78">
        <v>2645.3</v>
      </c>
      <c r="L46" s="239">
        <v>152</v>
      </c>
      <c r="M46" s="233" t="s">
        <v>254</v>
      </c>
      <c r="N46" s="233" t="s">
        <v>258</v>
      </c>
      <c r="O46" s="236" t="s">
        <v>1317</v>
      </c>
      <c r="P46" s="78">
        <v>2398202</v>
      </c>
      <c r="Q46" s="78">
        <v>0</v>
      </c>
      <c r="R46" s="78">
        <v>0</v>
      </c>
      <c r="S46" s="78">
        <v>0</v>
      </c>
      <c r="T46" s="78">
        <f t="shared" si="2"/>
        <v>2398202</v>
      </c>
      <c r="U46" s="78">
        <f t="shared" si="0"/>
        <v>828.59482430985031</v>
      </c>
      <c r="V46" s="78">
        <v>2087.9238530905577</v>
      </c>
    </row>
    <row r="47" spans="1:22" s="79" customFormat="1" ht="36" customHeight="1" x14ac:dyDescent="0.25">
      <c r="A47" s="79">
        <v>1</v>
      </c>
      <c r="B47" s="80">
        <f>SUBTOTAL(103,$A$16:A47)</f>
        <v>32</v>
      </c>
      <c r="C47" s="77" t="s">
        <v>491</v>
      </c>
      <c r="D47" s="233">
        <v>1980</v>
      </c>
      <c r="E47" s="233"/>
      <c r="F47" s="233" t="s">
        <v>256</v>
      </c>
      <c r="G47" s="233">
        <v>5</v>
      </c>
      <c r="H47" s="233" t="s">
        <v>291</v>
      </c>
      <c r="I47" s="78">
        <v>1054.5999999999999</v>
      </c>
      <c r="J47" s="78">
        <v>994.1</v>
      </c>
      <c r="K47" s="78">
        <v>994.1</v>
      </c>
      <c r="L47" s="239">
        <v>39</v>
      </c>
      <c r="M47" s="233" t="s">
        <v>254</v>
      </c>
      <c r="N47" s="233" t="s">
        <v>258</v>
      </c>
      <c r="O47" s="236" t="s">
        <v>1317</v>
      </c>
      <c r="P47" s="78">
        <v>952298.84</v>
      </c>
      <c r="Q47" s="78">
        <v>0</v>
      </c>
      <c r="R47" s="78">
        <v>0</v>
      </c>
      <c r="S47" s="78">
        <v>0</v>
      </c>
      <c r="T47" s="78">
        <f t="shared" si="2"/>
        <v>952298.84</v>
      </c>
      <c r="U47" s="78">
        <f t="shared" si="0"/>
        <v>902.99529679499346</v>
      </c>
      <c r="V47" s="78">
        <v>2111.4766061065811</v>
      </c>
    </row>
    <row r="48" spans="1:22" s="79" customFormat="1" ht="36" customHeight="1" x14ac:dyDescent="0.25">
      <c r="A48" s="79">
        <v>1</v>
      </c>
      <c r="B48" s="80">
        <f>SUBTOTAL(103,$A$16:A48)</f>
        <v>33</v>
      </c>
      <c r="C48" s="77" t="s">
        <v>492</v>
      </c>
      <c r="D48" s="233">
        <v>1981</v>
      </c>
      <c r="E48" s="233"/>
      <c r="F48" s="233" t="s">
        <v>298</v>
      </c>
      <c r="G48" s="233">
        <v>5</v>
      </c>
      <c r="H48" s="233" t="s">
        <v>2123</v>
      </c>
      <c r="I48" s="78">
        <v>7968.9</v>
      </c>
      <c r="J48" s="78">
        <v>6668.9</v>
      </c>
      <c r="K48" s="78">
        <v>6103.4</v>
      </c>
      <c r="L48" s="239">
        <v>317</v>
      </c>
      <c r="M48" s="233" t="s">
        <v>254</v>
      </c>
      <c r="N48" s="233" t="s">
        <v>258</v>
      </c>
      <c r="O48" s="236" t="s">
        <v>1317</v>
      </c>
      <c r="P48" s="78">
        <v>2602788.06</v>
      </c>
      <c r="Q48" s="78">
        <v>0</v>
      </c>
      <c r="R48" s="78">
        <v>0</v>
      </c>
      <c r="S48" s="78">
        <v>0</v>
      </c>
      <c r="T48" s="78">
        <f t="shared" si="2"/>
        <v>2602788.06</v>
      </c>
      <c r="U48" s="78">
        <f t="shared" si="0"/>
        <v>326.61823589203027</v>
      </c>
      <c r="V48" s="78">
        <v>1692.3565945613575</v>
      </c>
    </row>
    <row r="49" spans="1:22" s="79" customFormat="1" ht="36" customHeight="1" x14ac:dyDescent="0.25">
      <c r="A49" s="79">
        <v>1</v>
      </c>
      <c r="B49" s="80">
        <f>SUBTOTAL(103,$A$16:A49)</f>
        <v>34</v>
      </c>
      <c r="C49" s="77" t="s">
        <v>493</v>
      </c>
      <c r="D49" s="233">
        <v>1993</v>
      </c>
      <c r="E49" s="233"/>
      <c r="F49" s="233" t="s">
        <v>298</v>
      </c>
      <c r="G49" s="233">
        <v>5</v>
      </c>
      <c r="H49" s="233" t="s">
        <v>337</v>
      </c>
      <c r="I49" s="78">
        <v>7577.6</v>
      </c>
      <c r="J49" s="78">
        <v>5713.2</v>
      </c>
      <c r="K49" s="78">
        <v>5713.2</v>
      </c>
      <c r="L49" s="239">
        <v>299</v>
      </c>
      <c r="M49" s="233" t="s">
        <v>254</v>
      </c>
      <c r="N49" s="233" t="s">
        <v>258</v>
      </c>
      <c r="O49" s="236" t="s">
        <v>1317</v>
      </c>
      <c r="P49" s="78">
        <v>4237431.1099999994</v>
      </c>
      <c r="Q49" s="78">
        <v>0</v>
      </c>
      <c r="R49" s="78">
        <v>0</v>
      </c>
      <c r="S49" s="78">
        <v>0</v>
      </c>
      <c r="T49" s="78">
        <f t="shared" si="2"/>
        <v>4237431.1099999994</v>
      </c>
      <c r="U49" s="78">
        <f t="shared" si="0"/>
        <v>559.20490788640188</v>
      </c>
      <c r="V49" s="78">
        <v>2132.2947212837839</v>
      </c>
    </row>
    <row r="50" spans="1:22" s="79" customFormat="1" ht="36" customHeight="1" x14ac:dyDescent="0.25">
      <c r="A50" s="79">
        <v>1</v>
      </c>
      <c r="B50" s="80">
        <f>SUBTOTAL(103,$A$16:A50)</f>
        <v>35</v>
      </c>
      <c r="C50" s="77" t="s">
        <v>494</v>
      </c>
      <c r="D50" s="233">
        <v>1986</v>
      </c>
      <c r="E50" s="233"/>
      <c r="F50" s="233" t="s">
        <v>256</v>
      </c>
      <c r="G50" s="233">
        <v>5</v>
      </c>
      <c r="H50" s="233" t="s">
        <v>295</v>
      </c>
      <c r="I50" s="78">
        <v>3600.3</v>
      </c>
      <c r="J50" s="78">
        <v>2713.5</v>
      </c>
      <c r="K50" s="78">
        <v>2713.5</v>
      </c>
      <c r="L50" s="239">
        <v>177</v>
      </c>
      <c r="M50" s="233" t="s">
        <v>254</v>
      </c>
      <c r="N50" s="233" t="s">
        <v>258</v>
      </c>
      <c r="O50" s="236" t="s">
        <v>1317</v>
      </c>
      <c r="P50" s="78">
        <v>2474623</v>
      </c>
      <c r="Q50" s="78">
        <v>0</v>
      </c>
      <c r="R50" s="78">
        <v>0</v>
      </c>
      <c r="S50" s="78">
        <v>0</v>
      </c>
      <c r="T50" s="78">
        <f t="shared" si="2"/>
        <v>2474623</v>
      </c>
      <c r="U50" s="78">
        <f t="shared" si="0"/>
        <v>687.33799961114346</v>
      </c>
      <c r="V50" s="78">
        <v>1899.6666055606479</v>
      </c>
    </row>
    <row r="51" spans="1:22" s="79" customFormat="1" ht="36" customHeight="1" x14ac:dyDescent="0.25">
      <c r="A51" s="79">
        <v>1</v>
      </c>
      <c r="B51" s="80">
        <f>SUBTOTAL(103,$A$16:A51)</f>
        <v>36</v>
      </c>
      <c r="C51" s="77" t="s">
        <v>495</v>
      </c>
      <c r="D51" s="233">
        <v>1988</v>
      </c>
      <c r="E51" s="233"/>
      <c r="F51" s="233" t="s">
        <v>298</v>
      </c>
      <c r="G51" s="233">
        <v>5</v>
      </c>
      <c r="H51" s="233" t="s">
        <v>337</v>
      </c>
      <c r="I51" s="78">
        <v>5399</v>
      </c>
      <c r="J51" s="78">
        <v>3872.5</v>
      </c>
      <c r="K51" s="78">
        <v>3872.5</v>
      </c>
      <c r="L51" s="239">
        <v>192</v>
      </c>
      <c r="M51" s="233" t="s">
        <v>254</v>
      </c>
      <c r="N51" s="233" t="s">
        <v>258</v>
      </c>
      <c r="O51" s="236" t="s">
        <v>1026</v>
      </c>
      <c r="P51" s="78">
        <v>3215346.54</v>
      </c>
      <c r="Q51" s="78">
        <v>0</v>
      </c>
      <c r="R51" s="78">
        <v>0</v>
      </c>
      <c r="S51" s="78">
        <v>0</v>
      </c>
      <c r="T51" s="78">
        <f t="shared" si="2"/>
        <v>3215346.54</v>
      </c>
      <c r="U51" s="78">
        <f t="shared" si="0"/>
        <v>595.54483052417118</v>
      </c>
      <c r="V51" s="78">
        <v>1611.9709279496205</v>
      </c>
    </row>
    <row r="52" spans="1:22" s="79" customFormat="1" ht="36" customHeight="1" x14ac:dyDescent="0.25">
      <c r="A52" s="79">
        <v>1</v>
      </c>
      <c r="B52" s="80">
        <f>SUBTOTAL(103,$A$16:A52)</f>
        <v>37</v>
      </c>
      <c r="C52" s="77" t="s">
        <v>496</v>
      </c>
      <c r="D52" s="233">
        <v>1987</v>
      </c>
      <c r="E52" s="233"/>
      <c r="F52" s="233" t="s">
        <v>298</v>
      </c>
      <c r="G52" s="233">
        <v>5</v>
      </c>
      <c r="H52" s="233" t="s">
        <v>299</v>
      </c>
      <c r="I52" s="78">
        <v>3281.4</v>
      </c>
      <c r="J52" s="78">
        <v>2306.6999999999998</v>
      </c>
      <c r="K52" s="78">
        <v>2306.6999999999998</v>
      </c>
      <c r="L52" s="239">
        <v>94</v>
      </c>
      <c r="M52" s="233" t="s">
        <v>254</v>
      </c>
      <c r="N52" s="233" t="s">
        <v>258</v>
      </c>
      <c r="O52" s="236" t="s">
        <v>1026</v>
      </c>
      <c r="P52" s="78">
        <v>2336593.7599999998</v>
      </c>
      <c r="Q52" s="78">
        <v>0</v>
      </c>
      <c r="R52" s="78">
        <v>0</v>
      </c>
      <c r="S52" s="78">
        <v>0</v>
      </c>
      <c r="T52" s="78">
        <f t="shared" si="2"/>
        <v>2336593.7599999998</v>
      </c>
      <c r="U52" s="78">
        <f t="shared" si="0"/>
        <v>712.07221307978295</v>
      </c>
      <c r="V52" s="78">
        <v>1573.403474126897</v>
      </c>
    </row>
    <row r="53" spans="1:22" s="79" customFormat="1" ht="36" customHeight="1" x14ac:dyDescent="0.25">
      <c r="A53" s="79">
        <v>1</v>
      </c>
      <c r="B53" s="80">
        <f>SUBTOTAL(103,$A$16:A53)</f>
        <v>38</v>
      </c>
      <c r="C53" s="77" t="s">
        <v>497</v>
      </c>
      <c r="D53" s="233">
        <v>1952</v>
      </c>
      <c r="E53" s="233"/>
      <c r="F53" s="233" t="s">
        <v>256</v>
      </c>
      <c r="G53" s="233">
        <v>2</v>
      </c>
      <c r="H53" s="233" t="s">
        <v>290</v>
      </c>
      <c r="I53" s="78">
        <v>796</v>
      </c>
      <c r="J53" s="78">
        <v>722.8</v>
      </c>
      <c r="K53" s="78">
        <v>722.8</v>
      </c>
      <c r="L53" s="239">
        <v>49</v>
      </c>
      <c r="M53" s="233" t="s">
        <v>254</v>
      </c>
      <c r="N53" s="233" t="s">
        <v>258</v>
      </c>
      <c r="O53" s="236" t="s">
        <v>1301</v>
      </c>
      <c r="P53" s="78">
        <v>2470286.52</v>
      </c>
      <c r="Q53" s="78">
        <v>0</v>
      </c>
      <c r="R53" s="78">
        <v>0</v>
      </c>
      <c r="S53" s="78">
        <v>0</v>
      </c>
      <c r="T53" s="78">
        <f t="shared" si="2"/>
        <v>2470286.52</v>
      </c>
      <c r="U53" s="78">
        <f t="shared" si="0"/>
        <v>3103.3750251256283</v>
      </c>
      <c r="V53" s="78">
        <v>8592.1729648241217</v>
      </c>
    </row>
    <row r="54" spans="1:22" s="79" customFormat="1" ht="36" customHeight="1" x14ac:dyDescent="0.25">
      <c r="A54" s="79">
        <v>1</v>
      </c>
      <c r="B54" s="80">
        <f>SUBTOTAL(103,$A$16:A54)</f>
        <v>39</v>
      </c>
      <c r="C54" s="77" t="s">
        <v>498</v>
      </c>
      <c r="D54" s="233">
        <v>1989</v>
      </c>
      <c r="E54" s="233"/>
      <c r="F54" s="233" t="s">
        <v>298</v>
      </c>
      <c r="G54" s="233">
        <v>5</v>
      </c>
      <c r="H54" s="233" t="s">
        <v>295</v>
      </c>
      <c r="I54" s="78">
        <v>4350.1000000000004</v>
      </c>
      <c r="J54" s="78">
        <v>3109.8</v>
      </c>
      <c r="K54" s="78">
        <v>3109.8</v>
      </c>
      <c r="L54" s="239">
        <v>137</v>
      </c>
      <c r="M54" s="233" t="s">
        <v>254</v>
      </c>
      <c r="N54" s="233" t="s">
        <v>258</v>
      </c>
      <c r="O54" s="236" t="s">
        <v>1026</v>
      </c>
      <c r="P54" s="78">
        <v>2594696.8800000004</v>
      </c>
      <c r="Q54" s="78">
        <v>0</v>
      </c>
      <c r="R54" s="78">
        <v>0</v>
      </c>
      <c r="S54" s="78">
        <v>0</v>
      </c>
      <c r="T54" s="78">
        <f t="shared" si="2"/>
        <v>2594696.8800000004</v>
      </c>
      <c r="U54" s="78">
        <f t="shared" si="0"/>
        <v>596.46832946369057</v>
      </c>
      <c r="V54" s="78">
        <v>1664.4758695202408</v>
      </c>
    </row>
    <row r="55" spans="1:22" s="79" customFormat="1" ht="36" customHeight="1" x14ac:dyDescent="0.25">
      <c r="A55" s="79">
        <v>1</v>
      </c>
      <c r="B55" s="80">
        <f>SUBTOTAL(103,$A$16:A55)</f>
        <v>40</v>
      </c>
      <c r="C55" s="77" t="s">
        <v>499</v>
      </c>
      <c r="D55" s="233">
        <v>1958</v>
      </c>
      <c r="E55" s="233"/>
      <c r="F55" s="233" t="s">
        <v>256</v>
      </c>
      <c r="G55" s="233">
        <v>3</v>
      </c>
      <c r="H55" s="233" t="s">
        <v>299</v>
      </c>
      <c r="I55" s="78">
        <v>3520.2</v>
      </c>
      <c r="J55" s="78">
        <v>1801.8</v>
      </c>
      <c r="K55" s="78">
        <v>1401.4</v>
      </c>
      <c r="L55" s="239">
        <v>68</v>
      </c>
      <c r="M55" s="233" t="s">
        <v>254</v>
      </c>
      <c r="N55" s="233" t="s">
        <v>258</v>
      </c>
      <c r="O55" s="236" t="s">
        <v>1316</v>
      </c>
      <c r="P55" s="78">
        <v>3746791.29</v>
      </c>
      <c r="Q55" s="78">
        <v>0</v>
      </c>
      <c r="R55" s="78">
        <v>0</v>
      </c>
      <c r="S55" s="78">
        <v>0</v>
      </c>
      <c r="T55" s="78">
        <f t="shared" si="2"/>
        <v>3746791.29</v>
      </c>
      <c r="U55" s="78">
        <f t="shared" si="0"/>
        <v>1064.3688682461225</v>
      </c>
      <c r="V55" s="78">
        <v>2277.262360093177</v>
      </c>
    </row>
    <row r="56" spans="1:22" s="79" customFormat="1" ht="36" customHeight="1" x14ac:dyDescent="0.25">
      <c r="A56" s="79">
        <v>1</v>
      </c>
      <c r="B56" s="80">
        <f>SUBTOTAL(103,$A$16:A56)</f>
        <v>41</v>
      </c>
      <c r="C56" s="77" t="s">
        <v>501</v>
      </c>
      <c r="D56" s="233">
        <v>1995</v>
      </c>
      <c r="E56" s="233"/>
      <c r="F56" s="233" t="s">
        <v>298</v>
      </c>
      <c r="G56" s="233">
        <v>9</v>
      </c>
      <c r="H56" s="233" t="s">
        <v>295</v>
      </c>
      <c r="I56" s="78">
        <v>8787.9</v>
      </c>
      <c r="J56" s="78">
        <v>6287.1</v>
      </c>
      <c r="K56" s="78">
        <v>5664.6</v>
      </c>
      <c r="L56" s="239">
        <v>197</v>
      </c>
      <c r="M56" s="233" t="s">
        <v>254</v>
      </c>
      <c r="N56" s="233" t="s">
        <v>258</v>
      </c>
      <c r="O56" s="236" t="s">
        <v>1026</v>
      </c>
      <c r="P56" s="78">
        <v>2867076.98</v>
      </c>
      <c r="Q56" s="78">
        <v>0</v>
      </c>
      <c r="R56" s="78">
        <v>0</v>
      </c>
      <c r="S56" s="78">
        <v>0</v>
      </c>
      <c r="T56" s="78">
        <f t="shared" si="2"/>
        <v>2867076.98</v>
      </c>
      <c r="U56" s="78">
        <f t="shared" si="0"/>
        <v>326.25279987255203</v>
      </c>
      <c r="V56" s="78">
        <v>1420.5732882713735</v>
      </c>
    </row>
    <row r="57" spans="1:22" s="79" customFormat="1" ht="36" customHeight="1" x14ac:dyDescent="0.25">
      <c r="A57" s="79">
        <v>1</v>
      </c>
      <c r="B57" s="80">
        <f>SUBTOTAL(103,$A$16:A57)</f>
        <v>42</v>
      </c>
      <c r="C57" s="77" t="s">
        <v>502</v>
      </c>
      <c r="D57" s="233">
        <v>1988</v>
      </c>
      <c r="E57" s="233"/>
      <c r="F57" s="233" t="s">
        <v>256</v>
      </c>
      <c r="G57" s="233">
        <v>2</v>
      </c>
      <c r="H57" s="233" t="s">
        <v>290</v>
      </c>
      <c r="I57" s="78">
        <v>1063.8</v>
      </c>
      <c r="J57" s="78">
        <v>565.6</v>
      </c>
      <c r="K57" s="78">
        <v>565.6</v>
      </c>
      <c r="L57" s="239">
        <v>36</v>
      </c>
      <c r="M57" s="233" t="s">
        <v>254</v>
      </c>
      <c r="N57" s="233" t="s">
        <v>258</v>
      </c>
      <c r="O57" s="236" t="s">
        <v>1317</v>
      </c>
      <c r="P57" s="78">
        <v>62259.5</v>
      </c>
      <c r="Q57" s="78">
        <v>0</v>
      </c>
      <c r="R57" s="78">
        <v>0</v>
      </c>
      <c r="S57" s="78">
        <v>0</v>
      </c>
      <c r="T57" s="78">
        <f t="shared" si="2"/>
        <v>62259.5</v>
      </c>
      <c r="U57" s="78">
        <f t="shared" si="0"/>
        <v>58.525568715924045</v>
      </c>
      <c r="V57" s="78">
        <v>58.525568715924045</v>
      </c>
    </row>
    <row r="58" spans="1:22" s="79" customFormat="1" ht="36" customHeight="1" x14ac:dyDescent="0.25">
      <c r="A58" s="79">
        <v>1</v>
      </c>
      <c r="B58" s="80">
        <f>SUBTOTAL(103,$A$16:A58)</f>
        <v>43</v>
      </c>
      <c r="C58" s="77" t="s">
        <v>1291</v>
      </c>
      <c r="D58" s="233">
        <v>1971</v>
      </c>
      <c r="E58" s="233"/>
      <c r="F58" s="233" t="s">
        <v>256</v>
      </c>
      <c r="G58" s="233">
        <v>9</v>
      </c>
      <c r="H58" s="233" t="s">
        <v>291</v>
      </c>
      <c r="I58" s="78">
        <v>2016.9</v>
      </c>
      <c r="J58" s="78">
        <v>1902</v>
      </c>
      <c r="K58" s="78">
        <v>1902</v>
      </c>
      <c r="L58" s="239">
        <v>140</v>
      </c>
      <c r="M58" s="233" t="s">
        <v>254</v>
      </c>
      <c r="N58" s="233" t="s">
        <v>258</v>
      </c>
      <c r="O58" s="236" t="s">
        <v>1012</v>
      </c>
      <c r="P58" s="78">
        <v>605681</v>
      </c>
      <c r="Q58" s="78">
        <v>0</v>
      </c>
      <c r="R58" s="78">
        <v>0</v>
      </c>
      <c r="S58" s="78">
        <v>0</v>
      </c>
      <c r="T58" s="78">
        <f t="shared" si="2"/>
        <v>605681</v>
      </c>
      <c r="U58" s="78">
        <f t="shared" si="0"/>
        <v>300.30294015568444</v>
      </c>
      <c r="V58" s="78">
        <v>1351.8142448311767</v>
      </c>
    </row>
    <row r="59" spans="1:22" s="79" customFormat="1" ht="36" customHeight="1" x14ac:dyDescent="0.25">
      <c r="A59" s="79">
        <v>1</v>
      </c>
      <c r="B59" s="80">
        <f>SUBTOTAL(103,$A$16:A59)</f>
        <v>44</v>
      </c>
      <c r="C59" s="77" t="s">
        <v>1293</v>
      </c>
      <c r="D59" s="233">
        <v>1963</v>
      </c>
      <c r="E59" s="233"/>
      <c r="F59" s="233" t="s">
        <v>256</v>
      </c>
      <c r="G59" s="233">
        <v>5</v>
      </c>
      <c r="H59" s="233" t="s">
        <v>299</v>
      </c>
      <c r="I59" s="78">
        <v>2525.6</v>
      </c>
      <c r="J59" s="78">
        <v>1705.3</v>
      </c>
      <c r="K59" s="78">
        <v>1560.2</v>
      </c>
      <c r="L59" s="239">
        <v>98</v>
      </c>
      <c r="M59" s="233" t="s">
        <v>254</v>
      </c>
      <c r="N59" s="233" t="s">
        <v>258</v>
      </c>
      <c r="O59" s="236" t="s">
        <v>1304</v>
      </c>
      <c r="P59" s="78">
        <v>3492157.8499999996</v>
      </c>
      <c r="Q59" s="78">
        <v>0</v>
      </c>
      <c r="R59" s="78">
        <v>0</v>
      </c>
      <c r="S59" s="78">
        <v>0</v>
      </c>
      <c r="T59" s="78">
        <f t="shared" si="2"/>
        <v>3492157.8499999996</v>
      </c>
      <c r="U59" s="78">
        <f t="shared" si="0"/>
        <v>1382.704248495407</v>
      </c>
      <c r="V59" s="78">
        <v>2838.6522648083628</v>
      </c>
    </row>
    <row r="60" spans="1:22" s="79" customFormat="1" ht="36" customHeight="1" x14ac:dyDescent="0.25">
      <c r="A60" s="79">
        <v>1</v>
      </c>
      <c r="B60" s="80">
        <f>SUBTOTAL(103,$A$16:A60)</f>
        <v>45</v>
      </c>
      <c r="C60" s="77" t="s">
        <v>1030</v>
      </c>
      <c r="D60" s="233">
        <v>1991</v>
      </c>
      <c r="E60" s="233"/>
      <c r="F60" s="233" t="s">
        <v>298</v>
      </c>
      <c r="G60" s="233">
        <v>9</v>
      </c>
      <c r="H60" s="233" t="s">
        <v>299</v>
      </c>
      <c r="I60" s="78">
        <v>6295.6</v>
      </c>
      <c r="J60" s="78">
        <v>6295.6</v>
      </c>
      <c r="K60" s="78">
        <v>6088.2</v>
      </c>
      <c r="L60" s="239">
        <v>252</v>
      </c>
      <c r="M60" s="233" t="s">
        <v>254</v>
      </c>
      <c r="N60" s="233" t="s">
        <v>258</v>
      </c>
      <c r="O60" s="236" t="s">
        <v>1303</v>
      </c>
      <c r="P60" s="78">
        <v>4195168.8</v>
      </c>
      <c r="Q60" s="78">
        <v>0</v>
      </c>
      <c r="R60" s="78">
        <v>0</v>
      </c>
      <c r="S60" s="78">
        <v>0</v>
      </c>
      <c r="T60" s="78">
        <f t="shared" si="2"/>
        <v>4195168.8</v>
      </c>
      <c r="U60" s="78">
        <f t="shared" si="0"/>
        <v>666.36520744647044</v>
      </c>
      <c r="V60" s="78">
        <v>1171.198932587839</v>
      </c>
    </row>
    <row r="61" spans="1:22" s="79" customFormat="1" ht="36" customHeight="1" x14ac:dyDescent="0.25">
      <c r="A61" s="79">
        <v>1</v>
      </c>
      <c r="B61" s="80">
        <f>SUBTOTAL(103,$A$16:A61)</f>
        <v>46</v>
      </c>
      <c r="C61" s="77" t="s">
        <v>1031</v>
      </c>
      <c r="D61" s="233">
        <v>1956</v>
      </c>
      <c r="E61" s="233"/>
      <c r="F61" s="233" t="s">
        <v>256</v>
      </c>
      <c r="G61" s="233">
        <v>5</v>
      </c>
      <c r="H61" s="233" t="s">
        <v>355</v>
      </c>
      <c r="I61" s="78">
        <v>6143.7</v>
      </c>
      <c r="J61" s="78">
        <v>6143.7</v>
      </c>
      <c r="K61" s="78">
        <v>5025</v>
      </c>
      <c r="L61" s="239">
        <v>163</v>
      </c>
      <c r="M61" s="233" t="s">
        <v>254</v>
      </c>
      <c r="N61" s="233" t="s">
        <v>327</v>
      </c>
      <c r="O61" s="236" t="s">
        <v>1535</v>
      </c>
      <c r="P61" s="78">
        <v>11667617.030000001</v>
      </c>
      <c r="Q61" s="78">
        <v>0</v>
      </c>
      <c r="R61" s="78">
        <v>0</v>
      </c>
      <c r="S61" s="78">
        <v>0</v>
      </c>
      <c r="T61" s="78">
        <f t="shared" si="2"/>
        <v>11667617.030000001</v>
      </c>
      <c r="U61" s="78">
        <f t="shared" si="0"/>
        <v>1899.1189397268749</v>
      </c>
      <c r="V61" s="78">
        <v>7456.9347461627358</v>
      </c>
    </row>
    <row r="62" spans="1:22" s="79" customFormat="1" ht="36" customHeight="1" x14ac:dyDescent="0.25">
      <c r="A62" s="79">
        <v>1</v>
      </c>
      <c r="B62" s="80">
        <f>SUBTOTAL(103,$A$16:A62)</f>
        <v>47</v>
      </c>
      <c r="C62" s="77" t="s">
        <v>1032</v>
      </c>
      <c r="D62" s="233">
        <v>1959</v>
      </c>
      <c r="E62" s="233"/>
      <c r="F62" s="233" t="s">
        <v>256</v>
      </c>
      <c r="G62" s="233">
        <v>5</v>
      </c>
      <c r="H62" s="233" t="s">
        <v>295</v>
      </c>
      <c r="I62" s="78">
        <v>6884.6</v>
      </c>
      <c r="J62" s="78">
        <v>5562.9</v>
      </c>
      <c r="K62" s="78">
        <v>4628.7</v>
      </c>
      <c r="L62" s="239">
        <v>154</v>
      </c>
      <c r="M62" s="233" t="s">
        <v>254</v>
      </c>
      <c r="N62" s="233" t="s">
        <v>258</v>
      </c>
      <c r="O62" s="236" t="s">
        <v>1301</v>
      </c>
      <c r="P62" s="78">
        <v>7273505.4900000002</v>
      </c>
      <c r="Q62" s="78">
        <v>0</v>
      </c>
      <c r="R62" s="78">
        <v>0</v>
      </c>
      <c r="S62" s="78">
        <v>0</v>
      </c>
      <c r="T62" s="78">
        <f t="shared" si="2"/>
        <v>7273505.4900000002</v>
      </c>
      <c r="U62" s="78">
        <f t="shared" si="0"/>
        <v>1056.489191819423</v>
      </c>
      <c r="V62" s="78">
        <v>3943.688386950585</v>
      </c>
    </row>
    <row r="63" spans="1:22" s="79" customFormat="1" ht="36" customHeight="1" x14ac:dyDescent="0.25">
      <c r="A63" s="79">
        <v>1</v>
      </c>
      <c r="B63" s="80">
        <f>SUBTOTAL(103,$A$16:A63)</f>
        <v>48</v>
      </c>
      <c r="C63" s="77" t="s">
        <v>1034</v>
      </c>
      <c r="D63" s="233">
        <v>1972</v>
      </c>
      <c r="E63" s="233"/>
      <c r="F63" s="233" t="s">
        <v>256</v>
      </c>
      <c r="G63" s="233">
        <v>4</v>
      </c>
      <c r="H63" s="233" t="s">
        <v>291</v>
      </c>
      <c r="I63" s="78">
        <v>2171.9</v>
      </c>
      <c r="J63" s="78">
        <v>2022.4</v>
      </c>
      <c r="K63" s="78">
        <v>225.6</v>
      </c>
      <c r="L63" s="239">
        <v>26</v>
      </c>
      <c r="M63" s="233" t="s">
        <v>254</v>
      </c>
      <c r="N63" s="233" t="s">
        <v>258</v>
      </c>
      <c r="O63" s="236" t="s">
        <v>1304</v>
      </c>
      <c r="P63" s="78">
        <v>726648.72000000009</v>
      </c>
      <c r="Q63" s="78">
        <v>0</v>
      </c>
      <c r="R63" s="78">
        <v>0</v>
      </c>
      <c r="S63" s="78">
        <v>0</v>
      </c>
      <c r="T63" s="78">
        <f t="shared" si="2"/>
        <v>726648.72000000009</v>
      </c>
      <c r="U63" s="78">
        <f t="shared" si="0"/>
        <v>334.56822137299145</v>
      </c>
      <c r="V63" s="78">
        <v>846.58301395091848</v>
      </c>
    </row>
    <row r="64" spans="1:22" s="79" customFormat="1" ht="36" customHeight="1" x14ac:dyDescent="0.25">
      <c r="A64" s="79">
        <v>1</v>
      </c>
      <c r="B64" s="80">
        <f>SUBTOTAL(103,$A$16:A64)</f>
        <v>49</v>
      </c>
      <c r="C64" s="77" t="s">
        <v>1035</v>
      </c>
      <c r="D64" s="233">
        <v>1975</v>
      </c>
      <c r="E64" s="233"/>
      <c r="F64" s="233" t="s">
        <v>256</v>
      </c>
      <c r="G64" s="233">
        <v>5</v>
      </c>
      <c r="H64" s="233" t="s">
        <v>299</v>
      </c>
      <c r="I64" s="78">
        <v>2962.8</v>
      </c>
      <c r="J64" s="78">
        <v>2688.5</v>
      </c>
      <c r="K64" s="78">
        <v>2688.5</v>
      </c>
      <c r="L64" s="239">
        <v>117</v>
      </c>
      <c r="M64" s="233" t="s">
        <v>254</v>
      </c>
      <c r="N64" s="233" t="s">
        <v>258</v>
      </c>
      <c r="O64" s="236" t="s">
        <v>1243</v>
      </c>
      <c r="P64" s="78">
        <v>3306287.7600000002</v>
      </c>
      <c r="Q64" s="78">
        <v>0</v>
      </c>
      <c r="R64" s="78">
        <v>0</v>
      </c>
      <c r="S64" s="78">
        <v>0</v>
      </c>
      <c r="T64" s="78">
        <f t="shared" si="2"/>
        <v>3306287.7600000002</v>
      </c>
      <c r="U64" s="78">
        <f t="shared" si="0"/>
        <v>1115.9334953422438</v>
      </c>
      <c r="V64" s="78">
        <v>2756.8545429998649</v>
      </c>
    </row>
    <row r="65" spans="1:22" s="79" customFormat="1" ht="36" customHeight="1" x14ac:dyDescent="0.25">
      <c r="A65" s="79">
        <v>1</v>
      </c>
      <c r="B65" s="80">
        <f>SUBTOTAL(103,$A$16:A65)</f>
        <v>50</v>
      </c>
      <c r="C65" s="77" t="s">
        <v>1037</v>
      </c>
      <c r="D65" s="233">
        <v>1971</v>
      </c>
      <c r="E65" s="233"/>
      <c r="F65" s="233" t="s">
        <v>256</v>
      </c>
      <c r="G65" s="233">
        <v>5</v>
      </c>
      <c r="H65" s="233" t="s">
        <v>295</v>
      </c>
      <c r="I65" s="78">
        <v>4188.1000000000004</v>
      </c>
      <c r="J65" s="78">
        <v>3145.1</v>
      </c>
      <c r="K65" s="78">
        <v>3145.1</v>
      </c>
      <c r="L65" s="239">
        <v>146</v>
      </c>
      <c r="M65" s="233" t="s">
        <v>254</v>
      </c>
      <c r="N65" s="233" t="s">
        <v>258</v>
      </c>
      <c r="O65" s="236" t="s">
        <v>1536</v>
      </c>
      <c r="P65" s="78">
        <v>4193947.02</v>
      </c>
      <c r="Q65" s="78">
        <v>0</v>
      </c>
      <c r="R65" s="78">
        <v>0</v>
      </c>
      <c r="S65" s="78">
        <v>0</v>
      </c>
      <c r="T65" s="78">
        <f t="shared" si="2"/>
        <v>4193947.02</v>
      </c>
      <c r="U65" s="78">
        <f t="shared" si="0"/>
        <v>1001.3961032449081</v>
      </c>
      <c r="V65" s="78">
        <v>1760.7155129533678</v>
      </c>
    </row>
    <row r="66" spans="1:22" s="79" customFormat="1" ht="36" customHeight="1" x14ac:dyDescent="0.25">
      <c r="A66" s="79">
        <v>1</v>
      </c>
      <c r="B66" s="80">
        <f>SUBTOTAL(103,$A$16:A66)</f>
        <v>51</v>
      </c>
      <c r="C66" s="77" t="s">
        <v>1038</v>
      </c>
      <c r="D66" s="233">
        <v>1969</v>
      </c>
      <c r="E66" s="233"/>
      <c r="F66" s="233" t="s">
        <v>256</v>
      </c>
      <c r="G66" s="233">
        <v>5</v>
      </c>
      <c r="H66" s="233" t="s">
        <v>295</v>
      </c>
      <c r="I66" s="78">
        <v>4279.8</v>
      </c>
      <c r="J66" s="78">
        <v>4279.8</v>
      </c>
      <c r="K66" s="78">
        <v>3174.6</v>
      </c>
      <c r="L66" s="239">
        <v>136</v>
      </c>
      <c r="M66" s="233" t="s">
        <v>254</v>
      </c>
      <c r="N66" s="233" t="s">
        <v>258</v>
      </c>
      <c r="O66" s="236" t="s">
        <v>1537</v>
      </c>
      <c r="P66" s="78">
        <v>3323174.92</v>
      </c>
      <c r="Q66" s="78">
        <v>0</v>
      </c>
      <c r="R66" s="78">
        <v>0</v>
      </c>
      <c r="S66" s="78">
        <v>0</v>
      </c>
      <c r="T66" s="78">
        <f t="shared" si="2"/>
        <v>3323174.92</v>
      </c>
      <c r="U66" s="78">
        <f t="shared" si="0"/>
        <v>776.47902238422353</v>
      </c>
      <c r="V66" s="78">
        <v>1969.1327875134352</v>
      </c>
    </row>
    <row r="67" spans="1:22" s="79" customFormat="1" ht="36" customHeight="1" x14ac:dyDescent="0.25">
      <c r="A67" s="79">
        <v>1</v>
      </c>
      <c r="B67" s="80">
        <f>SUBTOTAL(103,$A$16:A67)</f>
        <v>52</v>
      </c>
      <c r="C67" s="77" t="s">
        <v>1039</v>
      </c>
      <c r="D67" s="233">
        <v>1968</v>
      </c>
      <c r="E67" s="233"/>
      <c r="F67" s="233" t="s">
        <v>298</v>
      </c>
      <c r="G67" s="233">
        <v>5</v>
      </c>
      <c r="H67" s="233" t="s">
        <v>295</v>
      </c>
      <c r="I67" s="78">
        <v>3877.8</v>
      </c>
      <c r="J67" s="78">
        <v>3554.6</v>
      </c>
      <c r="K67" s="78">
        <v>3554.6</v>
      </c>
      <c r="L67" s="239">
        <v>167</v>
      </c>
      <c r="M67" s="233" t="s">
        <v>254</v>
      </c>
      <c r="N67" s="233" t="s">
        <v>258</v>
      </c>
      <c r="O67" s="236" t="s">
        <v>1011</v>
      </c>
      <c r="P67" s="78">
        <v>4024360.63</v>
      </c>
      <c r="Q67" s="78">
        <v>0</v>
      </c>
      <c r="R67" s="78">
        <v>0</v>
      </c>
      <c r="S67" s="78">
        <v>0</v>
      </c>
      <c r="T67" s="78">
        <f t="shared" si="2"/>
        <v>4024360.63</v>
      </c>
      <c r="U67" s="78">
        <f t="shared" si="0"/>
        <v>1037.7947882820156</v>
      </c>
      <c r="V67" s="78">
        <v>2224.6379848367633</v>
      </c>
    </row>
    <row r="68" spans="1:22" s="79" customFormat="1" ht="36" customHeight="1" x14ac:dyDescent="0.25">
      <c r="A68" s="79">
        <v>1</v>
      </c>
      <c r="B68" s="80">
        <f>SUBTOTAL(103,$A$16:A68)</f>
        <v>53</v>
      </c>
      <c r="C68" s="77" t="s">
        <v>1040</v>
      </c>
      <c r="D68" s="233">
        <v>1968</v>
      </c>
      <c r="E68" s="233"/>
      <c r="F68" s="233" t="s">
        <v>298</v>
      </c>
      <c r="G68" s="233">
        <v>5</v>
      </c>
      <c r="H68" s="233" t="s">
        <v>299</v>
      </c>
      <c r="I68" s="78">
        <v>2807.9</v>
      </c>
      <c r="J68" s="78">
        <v>2603.9</v>
      </c>
      <c r="K68" s="78">
        <v>2603.9</v>
      </c>
      <c r="L68" s="239">
        <v>114</v>
      </c>
      <c r="M68" s="233" t="s">
        <v>254</v>
      </c>
      <c r="N68" s="233" t="s">
        <v>258</v>
      </c>
      <c r="O68" s="236" t="s">
        <v>1011</v>
      </c>
      <c r="P68" s="78">
        <v>2994194.1500000004</v>
      </c>
      <c r="Q68" s="78">
        <v>0</v>
      </c>
      <c r="R68" s="78">
        <v>0</v>
      </c>
      <c r="S68" s="78">
        <v>0</v>
      </c>
      <c r="T68" s="78">
        <f t="shared" si="2"/>
        <v>2994194.1500000004</v>
      </c>
      <c r="U68" s="78">
        <f t="shared" si="0"/>
        <v>1066.3464332775384</v>
      </c>
      <c r="V68" s="78">
        <v>2276.9748495316785</v>
      </c>
    </row>
    <row r="69" spans="1:22" s="79" customFormat="1" ht="36" customHeight="1" x14ac:dyDescent="0.25">
      <c r="A69" s="79">
        <v>1</v>
      </c>
      <c r="B69" s="80">
        <f>SUBTOTAL(103,$A$16:A69)</f>
        <v>54</v>
      </c>
      <c r="C69" s="77" t="s">
        <v>1042</v>
      </c>
      <c r="D69" s="233">
        <v>1959</v>
      </c>
      <c r="E69" s="233"/>
      <c r="F69" s="233" t="s">
        <v>256</v>
      </c>
      <c r="G69" s="233">
        <v>3</v>
      </c>
      <c r="H69" s="233" t="s">
        <v>299</v>
      </c>
      <c r="I69" s="78">
        <v>1338.5</v>
      </c>
      <c r="J69" s="78">
        <v>1165.2</v>
      </c>
      <c r="K69" s="78">
        <v>1165.2</v>
      </c>
      <c r="L69" s="239">
        <v>45</v>
      </c>
      <c r="M69" s="233" t="s">
        <v>254</v>
      </c>
      <c r="N69" s="233" t="s">
        <v>258</v>
      </c>
      <c r="O69" s="236" t="s">
        <v>1243</v>
      </c>
      <c r="P69" s="78">
        <v>4839579.08</v>
      </c>
      <c r="Q69" s="78">
        <v>0</v>
      </c>
      <c r="R69" s="78">
        <v>0</v>
      </c>
      <c r="S69" s="78">
        <v>0</v>
      </c>
      <c r="T69" s="78">
        <f t="shared" si="2"/>
        <v>4839579.08</v>
      </c>
      <c r="U69" s="78">
        <f t="shared" si="0"/>
        <v>3615.6735748972733</v>
      </c>
      <c r="V69" s="78">
        <v>5713.3173701905125</v>
      </c>
    </row>
    <row r="70" spans="1:22" s="79" customFormat="1" ht="36" customHeight="1" x14ac:dyDescent="0.25">
      <c r="A70" s="79">
        <v>1</v>
      </c>
      <c r="B70" s="80">
        <f>SUBTOTAL(103,$A$16:A70)</f>
        <v>55</v>
      </c>
      <c r="C70" s="77" t="s">
        <v>1043</v>
      </c>
      <c r="D70" s="233">
        <v>1974</v>
      </c>
      <c r="E70" s="233"/>
      <c r="F70" s="233" t="s">
        <v>298</v>
      </c>
      <c r="G70" s="233">
        <v>5</v>
      </c>
      <c r="H70" s="233" t="s">
        <v>337</v>
      </c>
      <c r="I70" s="78">
        <v>3933</v>
      </c>
      <c r="J70" s="78">
        <v>3385.49</v>
      </c>
      <c r="K70" s="78">
        <v>3385.49</v>
      </c>
      <c r="L70" s="239">
        <v>147</v>
      </c>
      <c r="M70" s="233" t="s">
        <v>254</v>
      </c>
      <c r="N70" s="233" t="s">
        <v>258</v>
      </c>
      <c r="O70" s="236" t="s">
        <v>1538</v>
      </c>
      <c r="P70" s="78">
        <v>1872015.22</v>
      </c>
      <c r="Q70" s="78">
        <v>0</v>
      </c>
      <c r="R70" s="78">
        <v>0</v>
      </c>
      <c r="S70" s="78">
        <v>0</v>
      </c>
      <c r="T70" s="78">
        <f t="shared" si="2"/>
        <v>1872015.22</v>
      </c>
      <c r="U70" s="78">
        <f t="shared" si="0"/>
        <v>475.97640986524283</v>
      </c>
      <c r="V70" s="78">
        <v>1870.4698703279942</v>
      </c>
    </row>
    <row r="71" spans="1:22" s="79" customFormat="1" ht="36" customHeight="1" x14ac:dyDescent="0.25">
      <c r="A71" s="79">
        <v>1</v>
      </c>
      <c r="B71" s="80">
        <f>SUBTOTAL(103,$A$16:A71)</f>
        <v>56</v>
      </c>
      <c r="C71" s="77" t="s">
        <v>1044</v>
      </c>
      <c r="D71" s="233">
        <v>1959</v>
      </c>
      <c r="E71" s="233"/>
      <c r="F71" s="233" t="s">
        <v>256</v>
      </c>
      <c r="G71" s="233">
        <v>2</v>
      </c>
      <c r="H71" s="233" t="s">
        <v>291</v>
      </c>
      <c r="I71" s="78">
        <v>445.1</v>
      </c>
      <c r="J71" s="78">
        <v>400.5</v>
      </c>
      <c r="K71" s="78">
        <v>400.5</v>
      </c>
      <c r="L71" s="239">
        <v>25</v>
      </c>
      <c r="M71" s="233" t="s">
        <v>254</v>
      </c>
      <c r="N71" s="233" t="s">
        <v>258</v>
      </c>
      <c r="O71" s="236" t="s">
        <v>1243</v>
      </c>
      <c r="P71" s="78">
        <v>2373016.2799999998</v>
      </c>
      <c r="Q71" s="78">
        <v>0</v>
      </c>
      <c r="R71" s="78">
        <v>0</v>
      </c>
      <c r="S71" s="78">
        <v>0</v>
      </c>
      <c r="T71" s="78">
        <f t="shared" si="2"/>
        <v>2373016.2799999998</v>
      </c>
      <c r="U71" s="78">
        <f t="shared" si="0"/>
        <v>5331.4227813974385</v>
      </c>
      <c r="V71" s="78">
        <v>8843.0827252302861</v>
      </c>
    </row>
    <row r="72" spans="1:22" s="79" customFormat="1" ht="36" customHeight="1" x14ac:dyDescent="0.25">
      <c r="A72" s="79">
        <v>1</v>
      </c>
      <c r="B72" s="80">
        <f>SUBTOTAL(103,$A$16:A72)</f>
        <v>57</v>
      </c>
      <c r="C72" s="77" t="s">
        <v>1045</v>
      </c>
      <c r="D72" s="233">
        <v>1972</v>
      </c>
      <c r="E72" s="233"/>
      <c r="F72" s="233" t="s">
        <v>256</v>
      </c>
      <c r="G72" s="233">
        <v>5</v>
      </c>
      <c r="H72" s="233" t="s">
        <v>295</v>
      </c>
      <c r="I72" s="78">
        <v>4186.3</v>
      </c>
      <c r="J72" s="78">
        <v>4186.3</v>
      </c>
      <c r="K72" s="78">
        <v>2706.5</v>
      </c>
      <c r="L72" s="239">
        <v>111</v>
      </c>
      <c r="M72" s="233" t="s">
        <v>254</v>
      </c>
      <c r="N72" s="233" t="s">
        <v>258</v>
      </c>
      <c r="O72" s="236" t="s">
        <v>1011</v>
      </c>
      <c r="P72" s="78">
        <v>3249268.89</v>
      </c>
      <c r="Q72" s="78">
        <v>0</v>
      </c>
      <c r="R72" s="78">
        <v>0</v>
      </c>
      <c r="S72" s="78">
        <v>0</v>
      </c>
      <c r="T72" s="78">
        <f t="shared" si="2"/>
        <v>3249268.89</v>
      </c>
      <c r="U72" s="78">
        <f t="shared" si="0"/>
        <v>776.16723359529897</v>
      </c>
      <c r="V72" s="78">
        <v>2493.4397974344888</v>
      </c>
    </row>
    <row r="73" spans="1:22" s="79" customFormat="1" ht="36" customHeight="1" x14ac:dyDescent="0.25">
      <c r="A73" s="79">
        <v>1</v>
      </c>
      <c r="B73" s="80">
        <f>SUBTOTAL(103,$A$16:A73)</f>
        <v>58</v>
      </c>
      <c r="C73" s="77" t="s">
        <v>1046</v>
      </c>
      <c r="D73" s="233">
        <v>1969</v>
      </c>
      <c r="E73" s="233"/>
      <c r="F73" s="233" t="s">
        <v>256</v>
      </c>
      <c r="G73" s="233">
        <v>9</v>
      </c>
      <c r="H73" s="233" t="s">
        <v>291</v>
      </c>
      <c r="I73" s="78">
        <v>3727.1</v>
      </c>
      <c r="J73" s="78">
        <v>3470.9</v>
      </c>
      <c r="K73" s="78">
        <v>2066.9</v>
      </c>
      <c r="L73" s="239">
        <v>77</v>
      </c>
      <c r="M73" s="233" t="s">
        <v>254</v>
      </c>
      <c r="N73" s="233" t="s">
        <v>258</v>
      </c>
      <c r="O73" s="236" t="s">
        <v>1011</v>
      </c>
      <c r="P73" s="78">
        <v>2561819.3000000003</v>
      </c>
      <c r="Q73" s="78">
        <v>0</v>
      </c>
      <c r="R73" s="78">
        <v>0</v>
      </c>
      <c r="S73" s="78">
        <v>0</v>
      </c>
      <c r="T73" s="78">
        <f t="shared" si="2"/>
        <v>2561819.3000000003</v>
      </c>
      <c r="U73" s="78">
        <f t="shared" si="0"/>
        <v>687.34922593973874</v>
      </c>
      <c r="V73" s="78">
        <v>2222.6208473075585</v>
      </c>
    </row>
    <row r="74" spans="1:22" s="79" customFormat="1" ht="36" customHeight="1" x14ac:dyDescent="0.25">
      <c r="A74" s="79">
        <v>1</v>
      </c>
      <c r="B74" s="80">
        <f>SUBTOTAL(103,$A$16:A74)</f>
        <v>59</v>
      </c>
      <c r="C74" s="77" t="s">
        <v>1047</v>
      </c>
      <c r="D74" s="233">
        <v>1968</v>
      </c>
      <c r="E74" s="233"/>
      <c r="F74" s="233" t="s">
        <v>256</v>
      </c>
      <c r="G74" s="233">
        <v>9</v>
      </c>
      <c r="H74" s="233" t="s">
        <v>291</v>
      </c>
      <c r="I74" s="78">
        <v>3105.6</v>
      </c>
      <c r="J74" s="78">
        <v>2845.2</v>
      </c>
      <c r="K74" s="78">
        <v>2051.8000000000002</v>
      </c>
      <c r="L74" s="239">
        <v>100</v>
      </c>
      <c r="M74" s="233" t="s">
        <v>254</v>
      </c>
      <c r="N74" s="233" t="s">
        <v>258</v>
      </c>
      <c r="O74" s="236" t="s">
        <v>1011</v>
      </c>
      <c r="P74" s="78">
        <v>967510.08</v>
      </c>
      <c r="Q74" s="78">
        <v>0</v>
      </c>
      <c r="R74" s="78">
        <v>0</v>
      </c>
      <c r="S74" s="78">
        <v>0</v>
      </c>
      <c r="T74" s="78">
        <f t="shared" si="2"/>
        <v>967510.08</v>
      </c>
      <c r="U74" s="78">
        <f t="shared" si="0"/>
        <v>311.53724884080373</v>
      </c>
      <c r="V74" s="78">
        <v>1048.0163575476558</v>
      </c>
    </row>
    <row r="75" spans="1:22" s="79" customFormat="1" ht="36" customHeight="1" x14ac:dyDescent="0.25">
      <c r="A75" s="79">
        <v>1</v>
      </c>
      <c r="B75" s="80">
        <f>SUBTOTAL(103,$A$16:A75)</f>
        <v>60</v>
      </c>
      <c r="C75" s="77" t="s">
        <v>1048</v>
      </c>
      <c r="D75" s="233">
        <v>1968</v>
      </c>
      <c r="E75" s="233"/>
      <c r="F75" s="233" t="s">
        <v>256</v>
      </c>
      <c r="G75" s="233">
        <v>9</v>
      </c>
      <c r="H75" s="233" t="s">
        <v>291</v>
      </c>
      <c r="I75" s="78">
        <v>3131.6</v>
      </c>
      <c r="J75" s="78">
        <v>3111.4</v>
      </c>
      <c r="K75" s="78">
        <v>2076</v>
      </c>
      <c r="L75" s="239">
        <v>82</v>
      </c>
      <c r="M75" s="233" t="s">
        <v>254</v>
      </c>
      <c r="N75" s="233" t="s">
        <v>258</v>
      </c>
      <c r="O75" s="236" t="s">
        <v>1011</v>
      </c>
      <c r="P75" s="78">
        <v>966024.86</v>
      </c>
      <c r="Q75" s="78">
        <v>0</v>
      </c>
      <c r="R75" s="78">
        <v>0</v>
      </c>
      <c r="S75" s="78">
        <v>0</v>
      </c>
      <c r="T75" s="78">
        <f t="shared" si="2"/>
        <v>966024.86</v>
      </c>
      <c r="U75" s="78">
        <f t="shared" si="0"/>
        <v>308.47645293140886</v>
      </c>
      <c r="V75" s="78">
        <v>1019.3831651551924</v>
      </c>
    </row>
    <row r="76" spans="1:22" s="79" customFormat="1" ht="36" customHeight="1" x14ac:dyDescent="0.25">
      <c r="A76" s="79">
        <v>1</v>
      </c>
      <c r="B76" s="80">
        <f>SUBTOTAL(103,$A$16:A76)</f>
        <v>61</v>
      </c>
      <c r="C76" s="77" t="s">
        <v>1049</v>
      </c>
      <c r="D76" s="233">
        <v>1991</v>
      </c>
      <c r="E76" s="233"/>
      <c r="F76" s="233" t="s">
        <v>256</v>
      </c>
      <c r="G76" s="233">
        <v>10</v>
      </c>
      <c r="H76" s="233" t="s">
        <v>290</v>
      </c>
      <c r="I76" s="78">
        <v>5027.3999999999996</v>
      </c>
      <c r="J76" s="78">
        <v>5027.3999999999996</v>
      </c>
      <c r="K76" s="78">
        <v>4982.1000000000004</v>
      </c>
      <c r="L76" s="239">
        <v>264</v>
      </c>
      <c r="M76" s="233" t="s">
        <v>254</v>
      </c>
      <c r="N76" s="233" t="s">
        <v>258</v>
      </c>
      <c r="O76" s="236" t="s">
        <v>1303</v>
      </c>
      <c r="P76" s="78">
        <v>2880785.14</v>
      </c>
      <c r="Q76" s="78">
        <v>0</v>
      </c>
      <c r="R76" s="78">
        <v>0</v>
      </c>
      <c r="S76" s="78">
        <v>0</v>
      </c>
      <c r="T76" s="78">
        <f t="shared" si="2"/>
        <v>2880785.14</v>
      </c>
      <c r="U76" s="78">
        <f t="shared" si="0"/>
        <v>573.01689541313613</v>
      </c>
      <c r="V76" s="78">
        <v>1058.940605481959</v>
      </c>
    </row>
    <row r="77" spans="1:22" s="79" customFormat="1" ht="36" customHeight="1" x14ac:dyDescent="0.25">
      <c r="A77" s="79">
        <v>1</v>
      </c>
      <c r="B77" s="80">
        <f>SUBTOTAL(103,$A$16:A77)</f>
        <v>62</v>
      </c>
      <c r="C77" s="77" t="s">
        <v>1050</v>
      </c>
      <c r="D77" s="233">
        <v>1984</v>
      </c>
      <c r="E77" s="233"/>
      <c r="F77" s="233" t="s">
        <v>298</v>
      </c>
      <c r="G77" s="233">
        <v>16</v>
      </c>
      <c r="H77" s="233" t="s">
        <v>291</v>
      </c>
      <c r="I77" s="78">
        <v>4635.7</v>
      </c>
      <c r="J77" s="78">
        <v>4635.7</v>
      </c>
      <c r="K77" s="78">
        <v>4568</v>
      </c>
      <c r="L77" s="239">
        <v>218</v>
      </c>
      <c r="M77" s="233" t="s">
        <v>254</v>
      </c>
      <c r="N77" s="233" t="s">
        <v>258</v>
      </c>
      <c r="O77" s="236" t="s">
        <v>1303</v>
      </c>
      <c r="P77" s="78">
        <v>3859190.52</v>
      </c>
      <c r="Q77" s="78">
        <v>0</v>
      </c>
      <c r="R77" s="78">
        <v>0</v>
      </c>
      <c r="S77" s="78">
        <v>0</v>
      </c>
      <c r="T77" s="78">
        <f t="shared" si="2"/>
        <v>3859190.52</v>
      </c>
      <c r="U77" s="78">
        <f t="shared" ref="U77:U119" si="3">P77/I77</f>
        <v>832.4935867290809</v>
      </c>
      <c r="V77" s="78">
        <v>1396.6848588131243</v>
      </c>
    </row>
    <row r="78" spans="1:22" s="79" customFormat="1" ht="36" customHeight="1" x14ac:dyDescent="0.25">
      <c r="A78" s="79">
        <v>1</v>
      </c>
      <c r="B78" s="80">
        <f>SUBTOTAL(103,$A$16:A78)</f>
        <v>63</v>
      </c>
      <c r="C78" s="77" t="s">
        <v>1051</v>
      </c>
      <c r="D78" s="233">
        <v>1932</v>
      </c>
      <c r="E78" s="233"/>
      <c r="F78" s="233" t="s">
        <v>256</v>
      </c>
      <c r="G78" s="233">
        <v>4</v>
      </c>
      <c r="H78" s="233" t="s">
        <v>299</v>
      </c>
      <c r="I78" s="78">
        <v>2130.17</v>
      </c>
      <c r="J78" s="78">
        <v>1904.67</v>
      </c>
      <c r="K78" s="78">
        <v>1323.47</v>
      </c>
      <c r="L78" s="239">
        <v>68</v>
      </c>
      <c r="M78" s="233" t="s">
        <v>254</v>
      </c>
      <c r="N78" s="233" t="s">
        <v>258</v>
      </c>
      <c r="O78" s="236" t="s">
        <v>1243</v>
      </c>
      <c r="P78" s="78">
        <v>216770.67</v>
      </c>
      <c r="Q78" s="78">
        <v>0</v>
      </c>
      <c r="R78" s="78">
        <v>0</v>
      </c>
      <c r="S78" s="78">
        <v>0</v>
      </c>
      <c r="T78" s="78">
        <f t="shared" si="2"/>
        <v>216770.67</v>
      </c>
      <c r="U78" s="78">
        <f t="shared" si="3"/>
        <v>101.76214574423638</v>
      </c>
      <c r="V78" s="78">
        <v>298.07</v>
      </c>
    </row>
    <row r="79" spans="1:22" s="79" customFormat="1" ht="36" customHeight="1" x14ac:dyDescent="0.25">
      <c r="A79" s="79">
        <v>1</v>
      </c>
      <c r="B79" s="80">
        <f>SUBTOTAL(103,$A$16:A79)</f>
        <v>64</v>
      </c>
      <c r="C79" s="77" t="s">
        <v>1056</v>
      </c>
      <c r="D79" s="233">
        <v>1946</v>
      </c>
      <c r="E79" s="233"/>
      <c r="F79" s="233" t="s">
        <v>256</v>
      </c>
      <c r="G79" s="233">
        <v>3</v>
      </c>
      <c r="H79" s="233" t="s">
        <v>299</v>
      </c>
      <c r="I79" s="78">
        <v>2194.1999999999998</v>
      </c>
      <c r="J79" s="78">
        <v>1984.5</v>
      </c>
      <c r="K79" s="78">
        <v>1584.8</v>
      </c>
      <c r="L79" s="239">
        <v>44</v>
      </c>
      <c r="M79" s="233" t="s">
        <v>254</v>
      </c>
      <c r="N79" s="233" t="s">
        <v>258</v>
      </c>
      <c r="O79" s="236" t="s">
        <v>1539</v>
      </c>
      <c r="P79" s="78">
        <v>3764827.4299999997</v>
      </c>
      <c r="Q79" s="78">
        <v>0</v>
      </c>
      <c r="R79" s="78">
        <v>0</v>
      </c>
      <c r="S79" s="78">
        <v>0</v>
      </c>
      <c r="T79" s="78">
        <f t="shared" si="2"/>
        <v>3764827.4299999997</v>
      </c>
      <c r="U79" s="78">
        <f t="shared" si="3"/>
        <v>1715.8086910947043</v>
      </c>
      <c r="V79" s="78">
        <v>4771.0349831373633</v>
      </c>
    </row>
    <row r="80" spans="1:22" s="79" customFormat="1" ht="36" customHeight="1" x14ac:dyDescent="0.25">
      <c r="A80" s="79">
        <v>1</v>
      </c>
      <c r="B80" s="80">
        <f>SUBTOTAL(103,$A$16:A80)</f>
        <v>65</v>
      </c>
      <c r="C80" s="77" t="s">
        <v>1057</v>
      </c>
      <c r="D80" s="233">
        <v>1949</v>
      </c>
      <c r="E80" s="233"/>
      <c r="F80" s="233" t="s">
        <v>256</v>
      </c>
      <c r="G80" s="233" t="s">
        <v>290</v>
      </c>
      <c r="H80" s="233" t="s">
        <v>290</v>
      </c>
      <c r="I80" s="78">
        <v>939.7</v>
      </c>
      <c r="J80" s="78">
        <v>558</v>
      </c>
      <c r="K80" s="78">
        <v>558</v>
      </c>
      <c r="L80" s="239">
        <v>16</v>
      </c>
      <c r="M80" s="233" t="s">
        <v>254</v>
      </c>
      <c r="N80" s="233" t="s">
        <v>258</v>
      </c>
      <c r="O80" s="236" t="s">
        <v>1302</v>
      </c>
      <c r="P80" s="78">
        <v>3712372.02</v>
      </c>
      <c r="Q80" s="78">
        <v>0</v>
      </c>
      <c r="R80" s="78">
        <v>0</v>
      </c>
      <c r="S80" s="78">
        <v>0</v>
      </c>
      <c r="T80" s="78">
        <f t="shared" ref="T80:T119" si="4">P80-R80-S80</f>
        <v>3712372.02</v>
      </c>
      <c r="U80" s="78">
        <f t="shared" si="3"/>
        <v>3950.5927636479728</v>
      </c>
      <c r="V80" s="78">
        <v>6150.3752261360014</v>
      </c>
    </row>
    <row r="81" spans="1:22" s="79" customFormat="1" ht="36" customHeight="1" x14ac:dyDescent="0.25">
      <c r="A81" s="79">
        <v>1</v>
      </c>
      <c r="B81" s="80">
        <f>SUBTOTAL(103,$A$16:A81)</f>
        <v>66</v>
      </c>
      <c r="C81" s="77" t="s">
        <v>1058</v>
      </c>
      <c r="D81" s="233">
        <v>1958</v>
      </c>
      <c r="E81" s="233"/>
      <c r="F81" s="233" t="s">
        <v>256</v>
      </c>
      <c r="G81" s="233">
        <v>2</v>
      </c>
      <c r="H81" s="233" t="s">
        <v>291</v>
      </c>
      <c r="I81" s="78">
        <v>429.9</v>
      </c>
      <c r="J81" s="78">
        <v>389.3</v>
      </c>
      <c r="K81" s="78">
        <v>389.3</v>
      </c>
      <c r="L81" s="239">
        <v>24</v>
      </c>
      <c r="M81" s="233" t="s">
        <v>254</v>
      </c>
      <c r="N81" s="233" t="s">
        <v>258</v>
      </c>
      <c r="O81" s="236" t="s">
        <v>1243</v>
      </c>
      <c r="P81" s="78">
        <v>1900391.55</v>
      </c>
      <c r="Q81" s="78">
        <v>0</v>
      </c>
      <c r="R81" s="78">
        <v>0</v>
      </c>
      <c r="S81" s="78">
        <v>0</v>
      </c>
      <c r="T81" s="78">
        <f t="shared" si="4"/>
        <v>1900391.55</v>
      </c>
      <c r="U81" s="78">
        <f t="shared" si="3"/>
        <v>4420.5432658757854</v>
      </c>
      <c r="V81" s="78">
        <v>8459.7833914863932</v>
      </c>
    </row>
    <row r="82" spans="1:22" s="79" customFormat="1" ht="36" customHeight="1" x14ac:dyDescent="0.25">
      <c r="A82" s="79">
        <v>1</v>
      </c>
      <c r="B82" s="80">
        <f>SUBTOTAL(103,$A$16:A82)</f>
        <v>67</v>
      </c>
      <c r="C82" s="77" t="s">
        <v>1059</v>
      </c>
      <c r="D82" s="233">
        <v>1958</v>
      </c>
      <c r="E82" s="233"/>
      <c r="F82" s="233" t="s">
        <v>256</v>
      </c>
      <c r="G82" s="233">
        <v>2</v>
      </c>
      <c r="H82" s="233" t="s">
        <v>291</v>
      </c>
      <c r="I82" s="78">
        <v>447.3</v>
      </c>
      <c r="J82" s="78">
        <v>384.9</v>
      </c>
      <c r="K82" s="78">
        <v>384.9</v>
      </c>
      <c r="L82" s="239">
        <v>21</v>
      </c>
      <c r="M82" s="233" t="s">
        <v>254</v>
      </c>
      <c r="N82" s="233" t="s">
        <v>258</v>
      </c>
      <c r="O82" s="236" t="s">
        <v>1243</v>
      </c>
      <c r="P82" s="78">
        <v>2106147.9500000002</v>
      </c>
      <c r="Q82" s="78">
        <v>0</v>
      </c>
      <c r="R82" s="78">
        <v>0</v>
      </c>
      <c r="S82" s="78">
        <v>0</v>
      </c>
      <c r="T82" s="78">
        <f t="shared" si="4"/>
        <v>2106147.9500000002</v>
      </c>
      <c r="U82" s="78">
        <f t="shared" si="3"/>
        <v>4708.5802593337803</v>
      </c>
      <c r="V82" s="78">
        <v>8808.2553543483118</v>
      </c>
    </row>
    <row r="83" spans="1:22" s="79" customFormat="1" ht="36" customHeight="1" x14ac:dyDescent="0.25">
      <c r="A83" s="79">
        <v>1</v>
      </c>
      <c r="B83" s="80">
        <f>SUBTOTAL(103,$A$16:A83)</f>
        <v>68</v>
      </c>
      <c r="C83" s="77" t="s">
        <v>1060</v>
      </c>
      <c r="D83" s="233">
        <v>1963</v>
      </c>
      <c r="E83" s="233"/>
      <c r="F83" s="233" t="s">
        <v>256</v>
      </c>
      <c r="G83" s="233">
        <v>5</v>
      </c>
      <c r="H83" s="233" t="s">
        <v>290</v>
      </c>
      <c r="I83" s="78">
        <v>1750.2</v>
      </c>
      <c r="J83" s="78">
        <v>1623.4</v>
      </c>
      <c r="K83" s="78">
        <v>1623.4</v>
      </c>
      <c r="L83" s="239">
        <v>89</v>
      </c>
      <c r="M83" s="233" t="s">
        <v>254</v>
      </c>
      <c r="N83" s="233" t="s">
        <v>258</v>
      </c>
      <c r="O83" s="236" t="s">
        <v>1540</v>
      </c>
      <c r="P83" s="78">
        <v>2813385.7399999998</v>
      </c>
      <c r="Q83" s="78">
        <v>0</v>
      </c>
      <c r="R83" s="78">
        <v>0</v>
      </c>
      <c r="S83" s="78">
        <v>0</v>
      </c>
      <c r="T83" s="78">
        <f t="shared" si="4"/>
        <v>2813385.7399999998</v>
      </c>
      <c r="U83" s="78">
        <f t="shared" si="3"/>
        <v>1607.4652839675464</v>
      </c>
      <c r="V83" s="78">
        <v>6132.424010970175</v>
      </c>
    </row>
    <row r="84" spans="1:22" s="79" customFormat="1" ht="36" customHeight="1" x14ac:dyDescent="0.25">
      <c r="A84" s="79">
        <v>1</v>
      </c>
      <c r="B84" s="80">
        <f>SUBTOTAL(103,$A$16:A84)</f>
        <v>69</v>
      </c>
      <c r="C84" s="77" t="s">
        <v>1061</v>
      </c>
      <c r="D84" s="233">
        <v>1958</v>
      </c>
      <c r="E84" s="233"/>
      <c r="F84" s="233" t="s">
        <v>256</v>
      </c>
      <c r="G84" s="233">
        <v>3</v>
      </c>
      <c r="H84" s="233" t="s">
        <v>290</v>
      </c>
      <c r="I84" s="78">
        <v>1081</v>
      </c>
      <c r="J84" s="78">
        <v>633.6</v>
      </c>
      <c r="K84" s="78">
        <v>633.6</v>
      </c>
      <c r="L84" s="239">
        <v>48</v>
      </c>
      <c r="M84" s="233" t="s">
        <v>254</v>
      </c>
      <c r="N84" s="233" t="s">
        <v>258</v>
      </c>
      <c r="O84" s="236" t="s">
        <v>1302</v>
      </c>
      <c r="P84" s="78">
        <v>2278510.5799999996</v>
      </c>
      <c r="Q84" s="78">
        <v>0</v>
      </c>
      <c r="R84" s="78">
        <v>0</v>
      </c>
      <c r="S84" s="78">
        <v>0</v>
      </c>
      <c r="T84" s="78">
        <f t="shared" si="4"/>
        <v>2278510.5799999996</v>
      </c>
      <c r="U84" s="78">
        <f t="shared" si="3"/>
        <v>2107.7803700277518</v>
      </c>
      <c r="V84" s="78">
        <v>4591.3269787234049</v>
      </c>
    </row>
    <row r="85" spans="1:22" s="79" customFormat="1" ht="36" customHeight="1" x14ac:dyDescent="0.25">
      <c r="A85" s="79">
        <v>1</v>
      </c>
      <c r="B85" s="80">
        <f>SUBTOTAL(103,$A$16:A85)</f>
        <v>70</v>
      </c>
      <c r="C85" s="77" t="s">
        <v>1062</v>
      </c>
      <c r="D85" s="233">
        <v>1959</v>
      </c>
      <c r="E85" s="233"/>
      <c r="F85" s="233" t="s">
        <v>256</v>
      </c>
      <c r="G85" s="233">
        <v>2</v>
      </c>
      <c r="H85" s="233" t="s">
        <v>291</v>
      </c>
      <c r="I85" s="78">
        <v>495</v>
      </c>
      <c r="J85" s="78">
        <v>308.10000000000002</v>
      </c>
      <c r="K85" s="78">
        <v>308.10000000000002</v>
      </c>
      <c r="L85" s="239">
        <v>20</v>
      </c>
      <c r="M85" s="233" t="s">
        <v>254</v>
      </c>
      <c r="N85" s="233" t="s">
        <v>258</v>
      </c>
      <c r="O85" s="236" t="s">
        <v>1534</v>
      </c>
      <c r="P85" s="78">
        <v>2391493.25</v>
      </c>
      <c r="Q85" s="78">
        <v>0</v>
      </c>
      <c r="R85" s="78">
        <v>0</v>
      </c>
      <c r="S85" s="78">
        <v>0</v>
      </c>
      <c r="T85" s="78">
        <f t="shared" si="4"/>
        <v>2391493.25</v>
      </c>
      <c r="U85" s="78">
        <f t="shared" si="3"/>
        <v>4831.2994949494951</v>
      </c>
      <c r="V85" s="78">
        <v>9155.5146262626258</v>
      </c>
    </row>
    <row r="86" spans="1:22" s="79" customFormat="1" ht="36" customHeight="1" x14ac:dyDescent="0.25">
      <c r="A86" s="79">
        <v>1</v>
      </c>
      <c r="B86" s="80">
        <f>SUBTOTAL(103,$A$16:A86)</f>
        <v>71</v>
      </c>
      <c r="C86" s="77" t="s">
        <v>1063</v>
      </c>
      <c r="D86" s="233">
        <v>1974</v>
      </c>
      <c r="E86" s="233"/>
      <c r="F86" s="233" t="s">
        <v>298</v>
      </c>
      <c r="G86" s="233">
        <v>5</v>
      </c>
      <c r="H86" s="233" t="s">
        <v>355</v>
      </c>
      <c r="I86" s="78">
        <v>5153.3999999999996</v>
      </c>
      <c r="J86" s="78">
        <v>4574.1000000000004</v>
      </c>
      <c r="K86" s="78">
        <v>4574.1000000000004</v>
      </c>
      <c r="L86" s="239">
        <v>190</v>
      </c>
      <c r="M86" s="233" t="s">
        <v>254</v>
      </c>
      <c r="N86" s="233" t="s">
        <v>258</v>
      </c>
      <c r="O86" s="236" t="s">
        <v>1241</v>
      </c>
      <c r="P86" s="78">
        <v>4355328.45</v>
      </c>
      <c r="Q86" s="78">
        <v>0</v>
      </c>
      <c r="R86" s="78">
        <v>0</v>
      </c>
      <c r="S86" s="78">
        <v>0</v>
      </c>
      <c r="T86" s="78">
        <f t="shared" si="4"/>
        <v>4355328.45</v>
      </c>
      <c r="U86" s="78">
        <f t="shared" si="3"/>
        <v>845.13689020840616</v>
      </c>
      <c r="V86" s="78">
        <v>1875.1496580898051</v>
      </c>
    </row>
    <row r="87" spans="1:22" s="79" customFormat="1" ht="36" customHeight="1" x14ac:dyDescent="0.25">
      <c r="A87" s="79">
        <v>1</v>
      </c>
      <c r="B87" s="80">
        <f>SUBTOTAL(103,$A$16:A87)</f>
        <v>72</v>
      </c>
      <c r="C87" s="77" t="s">
        <v>1066</v>
      </c>
      <c r="D87" s="233">
        <v>1959</v>
      </c>
      <c r="E87" s="233"/>
      <c r="F87" s="233" t="s">
        <v>256</v>
      </c>
      <c r="G87" s="233">
        <v>2</v>
      </c>
      <c r="H87" s="233" t="s">
        <v>290</v>
      </c>
      <c r="I87" s="78">
        <v>572.79999999999995</v>
      </c>
      <c r="J87" s="78">
        <v>339.4</v>
      </c>
      <c r="K87" s="78">
        <v>339.4</v>
      </c>
      <c r="L87" s="239">
        <v>21</v>
      </c>
      <c r="M87" s="233" t="s">
        <v>254</v>
      </c>
      <c r="N87" s="233" t="s">
        <v>258</v>
      </c>
      <c r="O87" s="236" t="s">
        <v>1243</v>
      </c>
      <c r="P87" s="78">
        <v>1505981.24</v>
      </c>
      <c r="Q87" s="78">
        <v>0</v>
      </c>
      <c r="R87" s="78">
        <v>0</v>
      </c>
      <c r="S87" s="78">
        <v>0</v>
      </c>
      <c r="T87" s="78">
        <f t="shared" si="4"/>
        <v>1505981.24</v>
      </c>
      <c r="U87" s="78">
        <f t="shared" si="3"/>
        <v>2629.1571927374303</v>
      </c>
      <c r="V87" s="78">
        <v>8367.2527932960911</v>
      </c>
    </row>
    <row r="88" spans="1:22" s="79" customFormat="1" ht="36" customHeight="1" x14ac:dyDescent="0.25">
      <c r="A88" s="79">
        <v>1</v>
      </c>
      <c r="B88" s="80">
        <f>SUBTOTAL(103,$A$16:A88)</f>
        <v>73</v>
      </c>
      <c r="C88" s="77" t="s">
        <v>1067</v>
      </c>
      <c r="D88" s="233">
        <v>1955</v>
      </c>
      <c r="E88" s="233"/>
      <c r="F88" s="233" t="s">
        <v>256</v>
      </c>
      <c r="G88" s="233">
        <v>2</v>
      </c>
      <c r="H88" s="233" t="s">
        <v>291</v>
      </c>
      <c r="I88" s="78">
        <v>727.66</v>
      </c>
      <c r="J88" s="78">
        <v>427.66</v>
      </c>
      <c r="K88" s="78">
        <v>427.66</v>
      </c>
      <c r="L88" s="239">
        <v>168</v>
      </c>
      <c r="M88" s="233" t="s">
        <v>254</v>
      </c>
      <c r="N88" s="233" t="s">
        <v>258</v>
      </c>
      <c r="O88" s="236" t="s">
        <v>1241</v>
      </c>
      <c r="P88" s="78">
        <v>820883.7</v>
      </c>
      <c r="Q88" s="78">
        <v>0</v>
      </c>
      <c r="R88" s="78">
        <v>0</v>
      </c>
      <c r="S88" s="78">
        <v>0</v>
      </c>
      <c r="T88" s="78">
        <f t="shared" si="4"/>
        <v>820883.7</v>
      </c>
      <c r="U88" s="78">
        <f t="shared" si="3"/>
        <v>1128.1143665997856</v>
      </c>
      <c r="V88" s="78">
        <v>4184.3907319352447</v>
      </c>
    </row>
    <row r="89" spans="1:22" s="79" customFormat="1" ht="36" customHeight="1" x14ac:dyDescent="0.25">
      <c r="A89" s="79">
        <v>1</v>
      </c>
      <c r="B89" s="80">
        <f>SUBTOTAL(103,$A$16:A89)</f>
        <v>74</v>
      </c>
      <c r="C89" s="77" t="s">
        <v>1451</v>
      </c>
      <c r="D89" s="233">
        <v>1949</v>
      </c>
      <c r="E89" s="233"/>
      <c r="F89" s="233" t="s">
        <v>256</v>
      </c>
      <c r="G89" s="233">
        <v>2</v>
      </c>
      <c r="H89" s="233" t="s">
        <v>291</v>
      </c>
      <c r="I89" s="78">
        <v>564.9</v>
      </c>
      <c r="J89" s="78">
        <v>519.9</v>
      </c>
      <c r="K89" s="78">
        <v>519.9</v>
      </c>
      <c r="L89" s="239">
        <v>22</v>
      </c>
      <c r="M89" s="233" t="s">
        <v>254</v>
      </c>
      <c r="N89" s="233" t="s">
        <v>258</v>
      </c>
      <c r="O89" s="236" t="s">
        <v>1301</v>
      </c>
      <c r="P89" s="78">
        <v>1677475.96</v>
      </c>
      <c r="Q89" s="78">
        <v>0</v>
      </c>
      <c r="R89" s="78">
        <v>0</v>
      </c>
      <c r="S89" s="78">
        <v>0</v>
      </c>
      <c r="T89" s="78">
        <f t="shared" si="4"/>
        <v>1677475.96</v>
      </c>
      <c r="U89" s="78">
        <f t="shared" si="3"/>
        <v>2969.5095769162685</v>
      </c>
      <c r="V89" s="78">
        <v>7357.7813503274929</v>
      </c>
    </row>
    <row r="90" spans="1:22" s="79" customFormat="1" ht="36" customHeight="1" x14ac:dyDescent="0.25">
      <c r="A90" s="79">
        <v>1</v>
      </c>
      <c r="B90" s="80">
        <f>SUBTOTAL(103,$A$16:A90)</f>
        <v>75</v>
      </c>
      <c r="C90" s="77" t="s">
        <v>1447</v>
      </c>
      <c r="D90" s="233">
        <v>1969</v>
      </c>
      <c r="E90" s="233"/>
      <c r="F90" s="233" t="s">
        <v>256</v>
      </c>
      <c r="G90" s="233">
        <v>5</v>
      </c>
      <c r="H90" s="233" t="s">
        <v>299</v>
      </c>
      <c r="I90" s="78">
        <v>2989.1</v>
      </c>
      <c r="J90" s="78">
        <v>2769.1</v>
      </c>
      <c r="K90" s="78">
        <v>2016</v>
      </c>
      <c r="L90" s="239">
        <v>72</v>
      </c>
      <c r="M90" s="233" t="s">
        <v>254</v>
      </c>
      <c r="N90" s="233" t="s">
        <v>258</v>
      </c>
      <c r="O90" s="236" t="s">
        <v>1539</v>
      </c>
      <c r="P90" s="78">
        <v>3647517.81</v>
      </c>
      <c r="Q90" s="78">
        <v>0</v>
      </c>
      <c r="R90" s="78">
        <v>0</v>
      </c>
      <c r="S90" s="78">
        <v>0</v>
      </c>
      <c r="T90" s="78">
        <f t="shared" si="4"/>
        <v>3647517.81</v>
      </c>
      <c r="U90" s="78">
        <f t="shared" si="3"/>
        <v>1220.2729283061792</v>
      </c>
      <c r="V90" s="78">
        <v>2562.5564082834298</v>
      </c>
    </row>
    <row r="91" spans="1:22" s="79" customFormat="1" ht="36" customHeight="1" x14ac:dyDescent="0.25">
      <c r="A91" s="79">
        <v>1</v>
      </c>
      <c r="B91" s="80">
        <f>SUBTOTAL(103,$A$16:A91)</f>
        <v>76</v>
      </c>
      <c r="C91" s="77" t="s">
        <v>1450</v>
      </c>
      <c r="D91" s="233">
        <v>1938</v>
      </c>
      <c r="E91" s="233"/>
      <c r="F91" s="233" t="s">
        <v>256</v>
      </c>
      <c r="G91" s="233">
        <v>5</v>
      </c>
      <c r="H91" s="233" t="s">
        <v>295</v>
      </c>
      <c r="I91" s="78">
        <v>2927.1</v>
      </c>
      <c r="J91" s="78">
        <v>1576</v>
      </c>
      <c r="K91" s="78">
        <v>1576</v>
      </c>
      <c r="L91" s="239">
        <v>88</v>
      </c>
      <c r="M91" s="233" t="s">
        <v>254</v>
      </c>
      <c r="N91" s="233" t="s">
        <v>258</v>
      </c>
      <c r="O91" s="236" t="s">
        <v>1304</v>
      </c>
      <c r="P91" s="78">
        <v>5096776.0799999991</v>
      </c>
      <c r="Q91" s="78">
        <v>0</v>
      </c>
      <c r="R91" s="78">
        <v>0</v>
      </c>
      <c r="S91" s="78">
        <v>0</v>
      </c>
      <c r="T91" s="78">
        <f t="shared" si="4"/>
        <v>5096776.0799999991</v>
      </c>
      <c r="U91" s="78">
        <f t="shared" si="3"/>
        <v>1741.2374295377674</v>
      </c>
      <c r="V91" s="78">
        <v>3034.1880496054123</v>
      </c>
    </row>
    <row r="92" spans="1:22" s="79" customFormat="1" ht="36" customHeight="1" x14ac:dyDescent="0.25">
      <c r="A92" s="79">
        <v>1</v>
      </c>
      <c r="B92" s="80">
        <f>SUBTOTAL(103,$A$16:A92)</f>
        <v>77</v>
      </c>
      <c r="C92" s="77" t="s">
        <v>1446</v>
      </c>
      <c r="D92" s="233">
        <v>1962</v>
      </c>
      <c r="E92" s="233"/>
      <c r="F92" s="233" t="s">
        <v>256</v>
      </c>
      <c r="G92" s="233">
        <v>5</v>
      </c>
      <c r="H92" s="233" t="s">
        <v>295</v>
      </c>
      <c r="I92" s="78">
        <v>3481.5</v>
      </c>
      <c r="J92" s="78">
        <v>3181.1</v>
      </c>
      <c r="K92" s="78">
        <v>3181.1</v>
      </c>
      <c r="L92" s="239">
        <v>160</v>
      </c>
      <c r="M92" s="233" t="s">
        <v>254</v>
      </c>
      <c r="N92" s="233" t="s">
        <v>258</v>
      </c>
      <c r="O92" s="236" t="s">
        <v>1539</v>
      </c>
      <c r="P92" s="78">
        <v>3789473.9</v>
      </c>
      <c r="Q92" s="78">
        <v>0</v>
      </c>
      <c r="R92" s="78">
        <v>0</v>
      </c>
      <c r="S92" s="78">
        <v>0</v>
      </c>
      <c r="T92" s="78">
        <f t="shared" si="4"/>
        <v>3789473.9</v>
      </c>
      <c r="U92" s="78">
        <f t="shared" si="3"/>
        <v>1088.460117765331</v>
      </c>
      <c r="V92" s="78">
        <v>2634.259842022117</v>
      </c>
    </row>
    <row r="93" spans="1:22" s="79" customFormat="1" ht="36" customHeight="1" x14ac:dyDescent="0.25">
      <c r="A93" s="79">
        <v>1</v>
      </c>
      <c r="B93" s="80">
        <f>SUBTOTAL(103,$A$16:A93)</f>
        <v>78</v>
      </c>
      <c r="C93" s="77" t="s">
        <v>1436</v>
      </c>
      <c r="D93" s="233">
        <v>1970</v>
      </c>
      <c r="E93" s="233"/>
      <c r="F93" s="233" t="s">
        <v>256</v>
      </c>
      <c r="G93" s="233">
        <v>9</v>
      </c>
      <c r="H93" s="233" t="s">
        <v>291</v>
      </c>
      <c r="I93" s="78">
        <v>1920.2</v>
      </c>
      <c r="J93" s="78">
        <v>1163.2</v>
      </c>
      <c r="K93" s="78">
        <v>1163.2</v>
      </c>
      <c r="L93" s="239">
        <v>94</v>
      </c>
      <c r="M93" s="233" t="s">
        <v>254</v>
      </c>
      <c r="N93" s="233" t="s">
        <v>258</v>
      </c>
      <c r="O93" s="236" t="s">
        <v>1304</v>
      </c>
      <c r="P93" s="78">
        <v>597387.81000000006</v>
      </c>
      <c r="Q93" s="78">
        <v>0</v>
      </c>
      <c r="R93" s="78">
        <v>0</v>
      </c>
      <c r="S93" s="78">
        <v>0</v>
      </c>
      <c r="T93" s="78">
        <f t="shared" si="4"/>
        <v>597387.81000000006</v>
      </c>
      <c r="U93" s="78">
        <f t="shared" si="3"/>
        <v>311.10707738777211</v>
      </c>
      <c r="V93" s="78">
        <v>1365.2795333819395</v>
      </c>
    </row>
    <row r="94" spans="1:22" s="79" customFormat="1" ht="36" customHeight="1" x14ac:dyDescent="0.25">
      <c r="A94" s="79">
        <v>1</v>
      </c>
      <c r="B94" s="80">
        <f>SUBTOTAL(103,$A$16:A94)</f>
        <v>79</v>
      </c>
      <c r="C94" s="77" t="s">
        <v>1448</v>
      </c>
      <c r="D94" s="233">
        <v>1976</v>
      </c>
      <c r="E94" s="233"/>
      <c r="F94" s="233" t="s">
        <v>256</v>
      </c>
      <c r="G94" s="233">
        <v>5</v>
      </c>
      <c r="H94" s="233" t="s">
        <v>2124</v>
      </c>
      <c r="I94" s="78">
        <v>6239.3</v>
      </c>
      <c r="J94" s="78">
        <v>5776.2</v>
      </c>
      <c r="K94" s="78">
        <v>5061.7</v>
      </c>
      <c r="L94" s="239">
        <v>280</v>
      </c>
      <c r="M94" s="233" t="s">
        <v>254</v>
      </c>
      <c r="N94" s="233" t="s">
        <v>258</v>
      </c>
      <c r="O94" s="236" t="s">
        <v>1302</v>
      </c>
      <c r="P94" s="78">
        <v>4468866.21</v>
      </c>
      <c r="Q94" s="78">
        <v>0</v>
      </c>
      <c r="R94" s="78">
        <v>0</v>
      </c>
      <c r="S94" s="78">
        <v>0</v>
      </c>
      <c r="T94" s="78">
        <f t="shared" si="4"/>
        <v>4468866.21</v>
      </c>
      <c r="U94" s="78">
        <f t="shared" si="3"/>
        <v>716.24480470565607</v>
      </c>
      <c r="V94" s="78">
        <v>2208.0725081339251</v>
      </c>
    </row>
    <row r="95" spans="1:22" s="79" customFormat="1" ht="36" customHeight="1" x14ac:dyDescent="0.25">
      <c r="A95" s="79">
        <v>1</v>
      </c>
      <c r="B95" s="80">
        <f>SUBTOTAL(103,$A$16:A95)</f>
        <v>80</v>
      </c>
      <c r="C95" s="77" t="s">
        <v>1449</v>
      </c>
      <c r="D95" s="233">
        <v>1972</v>
      </c>
      <c r="E95" s="233"/>
      <c r="F95" s="233" t="s">
        <v>256</v>
      </c>
      <c r="G95" s="233">
        <v>5</v>
      </c>
      <c r="H95" s="233" t="s">
        <v>2123</v>
      </c>
      <c r="I95" s="78">
        <v>6466</v>
      </c>
      <c r="J95" s="78">
        <v>6466</v>
      </c>
      <c r="K95" s="78">
        <v>5918.8</v>
      </c>
      <c r="L95" s="239">
        <v>277</v>
      </c>
      <c r="M95" s="233" t="s">
        <v>254</v>
      </c>
      <c r="N95" s="233" t="s">
        <v>258</v>
      </c>
      <c r="O95" s="236" t="s">
        <v>1303</v>
      </c>
      <c r="P95" s="78">
        <v>6330505.6400000006</v>
      </c>
      <c r="Q95" s="78">
        <v>0</v>
      </c>
      <c r="R95" s="78">
        <v>0</v>
      </c>
      <c r="S95" s="78">
        <v>0</v>
      </c>
      <c r="T95" s="78">
        <f t="shared" si="4"/>
        <v>6330505.6400000006</v>
      </c>
      <c r="U95" s="78">
        <f t="shared" si="3"/>
        <v>979.04510361892983</v>
      </c>
      <c r="V95" s="78">
        <v>2293.9381899164869</v>
      </c>
    </row>
    <row r="96" spans="1:22" s="79" customFormat="1" ht="36" customHeight="1" x14ac:dyDescent="0.25">
      <c r="A96" s="79">
        <v>1</v>
      </c>
      <c r="B96" s="80">
        <f>SUBTOTAL(103,$A$16:A96)</f>
        <v>81</v>
      </c>
      <c r="C96" s="77" t="s">
        <v>1437</v>
      </c>
      <c r="D96" s="233">
        <v>1976</v>
      </c>
      <c r="E96" s="233"/>
      <c r="F96" s="233" t="s">
        <v>256</v>
      </c>
      <c r="G96" s="233">
        <v>3</v>
      </c>
      <c r="H96" s="233" t="s">
        <v>290</v>
      </c>
      <c r="I96" s="78">
        <v>1178.4000000000001</v>
      </c>
      <c r="J96" s="78">
        <v>1080.5</v>
      </c>
      <c r="K96" s="78">
        <v>1080.5</v>
      </c>
      <c r="L96" s="239">
        <v>59</v>
      </c>
      <c r="M96" s="233" t="s">
        <v>254</v>
      </c>
      <c r="N96" s="233" t="s">
        <v>258</v>
      </c>
      <c r="O96" s="236" t="s">
        <v>1301</v>
      </c>
      <c r="P96" s="78">
        <v>1913423.73</v>
      </c>
      <c r="Q96" s="78">
        <v>0</v>
      </c>
      <c r="R96" s="78">
        <v>0</v>
      </c>
      <c r="S96" s="78">
        <v>0</v>
      </c>
      <c r="T96" s="78">
        <f t="shared" si="4"/>
        <v>1913423.73</v>
      </c>
      <c r="U96" s="78">
        <f t="shared" si="3"/>
        <v>1623.7472250509163</v>
      </c>
      <c r="V96" s="78">
        <v>3844.0735913102512</v>
      </c>
    </row>
    <row r="97" spans="1:22" s="79" customFormat="1" ht="36" customHeight="1" x14ac:dyDescent="0.25">
      <c r="A97" s="79">
        <v>1</v>
      </c>
      <c r="B97" s="80">
        <f>SUBTOTAL(103,$A$16:A97)</f>
        <v>82</v>
      </c>
      <c r="C97" s="77" t="s">
        <v>1488</v>
      </c>
      <c r="D97" s="233">
        <v>1959</v>
      </c>
      <c r="E97" s="233"/>
      <c r="F97" s="233" t="s">
        <v>256</v>
      </c>
      <c r="G97" s="233">
        <v>2</v>
      </c>
      <c r="H97" s="233" t="s">
        <v>290</v>
      </c>
      <c r="I97" s="78">
        <v>595.5</v>
      </c>
      <c r="J97" s="78">
        <v>548.5</v>
      </c>
      <c r="K97" s="78">
        <v>548.5</v>
      </c>
      <c r="L97" s="239">
        <v>41</v>
      </c>
      <c r="M97" s="233" t="s">
        <v>254</v>
      </c>
      <c r="N97" s="233" t="s">
        <v>258</v>
      </c>
      <c r="O97" s="236" t="s">
        <v>1301</v>
      </c>
      <c r="P97" s="78">
        <v>1963557.73</v>
      </c>
      <c r="Q97" s="78">
        <v>0</v>
      </c>
      <c r="R97" s="78">
        <v>0</v>
      </c>
      <c r="S97" s="78">
        <v>0</v>
      </c>
      <c r="T97" s="78">
        <f t="shared" si="4"/>
        <v>1963557.73</v>
      </c>
      <c r="U97" s="78">
        <f t="shared" si="3"/>
        <v>3297.3261628883292</v>
      </c>
      <c r="V97" s="78">
        <v>7506.4855617128478</v>
      </c>
    </row>
    <row r="98" spans="1:22" s="79" customFormat="1" ht="36" customHeight="1" x14ac:dyDescent="0.25">
      <c r="A98" s="79">
        <v>1</v>
      </c>
      <c r="B98" s="80">
        <f>SUBTOTAL(103,$A$16:A98)</f>
        <v>83</v>
      </c>
      <c r="C98" s="77" t="s">
        <v>1489</v>
      </c>
      <c r="D98" s="233">
        <v>1970</v>
      </c>
      <c r="E98" s="233"/>
      <c r="F98" s="233" t="s">
        <v>256</v>
      </c>
      <c r="G98" s="233">
        <v>5</v>
      </c>
      <c r="H98" s="233" t="s">
        <v>295</v>
      </c>
      <c r="I98" s="78">
        <v>12297.5</v>
      </c>
      <c r="J98" s="78">
        <v>3386.1</v>
      </c>
      <c r="K98" s="78">
        <v>3386.1</v>
      </c>
      <c r="L98" s="239">
        <v>153</v>
      </c>
      <c r="M98" s="233" t="s">
        <v>254</v>
      </c>
      <c r="N98" s="233" t="s">
        <v>258</v>
      </c>
      <c r="O98" s="236" t="s">
        <v>1493</v>
      </c>
      <c r="P98" s="78">
        <v>86742.97</v>
      </c>
      <c r="Q98" s="78">
        <v>0</v>
      </c>
      <c r="R98" s="78">
        <v>0</v>
      </c>
      <c r="S98" s="78">
        <v>0</v>
      </c>
      <c r="T98" s="78">
        <f t="shared" si="4"/>
        <v>86742.97</v>
      </c>
      <c r="U98" s="78">
        <f t="shared" si="3"/>
        <v>7.0537076641593819</v>
      </c>
      <c r="V98" s="78">
        <v>7.0537076641593819</v>
      </c>
    </row>
    <row r="99" spans="1:22" s="79" customFormat="1" ht="36" customHeight="1" x14ac:dyDescent="0.25">
      <c r="A99" s="79">
        <v>1</v>
      </c>
      <c r="B99" s="80">
        <f>SUBTOTAL(103,$A$16:A99)</f>
        <v>84</v>
      </c>
      <c r="C99" s="77" t="s">
        <v>1491</v>
      </c>
      <c r="D99" s="233">
        <v>1961</v>
      </c>
      <c r="E99" s="233"/>
      <c r="F99" s="233" t="s">
        <v>256</v>
      </c>
      <c r="G99" s="233">
        <v>4</v>
      </c>
      <c r="H99" s="233" t="s">
        <v>290</v>
      </c>
      <c r="I99" s="78">
        <v>1732.3</v>
      </c>
      <c r="J99" s="78">
        <v>1276.7</v>
      </c>
      <c r="K99" s="78">
        <v>1276.7</v>
      </c>
      <c r="L99" s="239">
        <v>59</v>
      </c>
      <c r="M99" s="233" t="s">
        <v>254</v>
      </c>
      <c r="N99" s="233" t="s">
        <v>258</v>
      </c>
      <c r="O99" s="236" t="s">
        <v>1494</v>
      </c>
      <c r="P99" s="78">
        <v>70589.929999999993</v>
      </c>
      <c r="Q99" s="78">
        <v>0</v>
      </c>
      <c r="R99" s="78">
        <v>0</v>
      </c>
      <c r="S99" s="78">
        <v>0</v>
      </c>
      <c r="T99" s="78">
        <f t="shared" si="4"/>
        <v>70589.929999999993</v>
      </c>
      <c r="U99" s="78">
        <f t="shared" si="3"/>
        <v>40.749252438953988</v>
      </c>
      <c r="V99" s="78">
        <v>40.749252438953988</v>
      </c>
    </row>
    <row r="100" spans="1:22" s="79" customFormat="1" ht="36" customHeight="1" x14ac:dyDescent="0.25">
      <c r="A100" s="79">
        <v>1</v>
      </c>
      <c r="B100" s="80">
        <f>SUBTOTAL(103,$A$16:A100)</f>
        <v>85</v>
      </c>
      <c r="C100" s="77" t="s">
        <v>1492</v>
      </c>
      <c r="D100" s="233">
        <v>1953</v>
      </c>
      <c r="E100" s="233"/>
      <c r="F100" s="233" t="s">
        <v>256</v>
      </c>
      <c r="G100" s="233">
        <v>2</v>
      </c>
      <c r="H100" s="233" t="s">
        <v>290</v>
      </c>
      <c r="I100" s="78">
        <v>688.9</v>
      </c>
      <c r="J100" s="78">
        <v>620.29999999999995</v>
      </c>
      <c r="K100" s="78">
        <v>620.29999999999995</v>
      </c>
      <c r="L100" s="239">
        <v>39</v>
      </c>
      <c r="M100" s="233" t="s">
        <v>254</v>
      </c>
      <c r="N100" s="233" t="s">
        <v>258</v>
      </c>
      <c r="O100" s="236" t="s">
        <v>335</v>
      </c>
      <c r="P100" s="78">
        <v>2062889.95</v>
      </c>
      <c r="Q100" s="78">
        <v>0</v>
      </c>
      <c r="R100" s="78">
        <v>0</v>
      </c>
      <c r="S100" s="78">
        <v>0</v>
      </c>
      <c r="T100" s="78">
        <f t="shared" si="4"/>
        <v>2062889.95</v>
      </c>
      <c r="U100" s="78">
        <f t="shared" si="3"/>
        <v>2994.4693714617506</v>
      </c>
      <c r="V100" s="78">
        <v>7980.229931775295</v>
      </c>
    </row>
    <row r="101" spans="1:22" s="79" customFormat="1" ht="36" customHeight="1" x14ac:dyDescent="0.25">
      <c r="A101" s="79">
        <v>1</v>
      </c>
      <c r="B101" s="80">
        <f>SUBTOTAL(103,$A$16:A101)</f>
        <v>86</v>
      </c>
      <c r="C101" s="77" t="s">
        <v>1512</v>
      </c>
      <c r="D101" s="233">
        <v>1959</v>
      </c>
      <c r="E101" s="233"/>
      <c r="F101" s="233" t="s">
        <v>256</v>
      </c>
      <c r="G101" s="233">
        <v>2</v>
      </c>
      <c r="H101" s="233" t="s">
        <v>291</v>
      </c>
      <c r="I101" s="78">
        <v>452.5</v>
      </c>
      <c r="J101" s="78">
        <v>412.6</v>
      </c>
      <c r="K101" s="78">
        <v>412.6</v>
      </c>
      <c r="L101" s="239">
        <v>20</v>
      </c>
      <c r="M101" s="233" t="s">
        <v>254</v>
      </c>
      <c r="N101" s="233" t="s">
        <v>258</v>
      </c>
      <c r="O101" s="236" t="s">
        <v>1304</v>
      </c>
      <c r="P101" s="78">
        <v>1414038.2200000002</v>
      </c>
      <c r="Q101" s="78">
        <v>0</v>
      </c>
      <c r="R101" s="78">
        <v>0</v>
      </c>
      <c r="S101" s="78">
        <v>0</v>
      </c>
      <c r="T101" s="78">
        <f t="shared" si="4"/>
        <v>1414038.2200000002</v>
      </c>
      <c r="U101" s="78">
        <f t="shared" si="3"/>
        <v>3124.9463425414369</v>
      </c>
      <c r="V101" s="78">
        <v>5695.0819005524863</v>
      </c>
    </row>
    <row r="102" spans="1:22" s="79" customFormat="1" ht="36" customHeight="1" x14ac:dyDescent="0.25">
      <c r="A102" s="79">
        <v>1</v>
      </c>
      <c r="B102" s="80">
        <f>SUBTOTAL(103,$A$16:A102)</f>
        <v>87</v>
      </c>
      <c r="C102" s="77" t="s">
        <v>1513</v>
      </c>
      <c r="D102" s="233">
        <v>1984</v>
      </c>
      <c r="E102" s="233"/>
      <c r="F102" s="233" t="s">
        <v>298</v>
      </c>
      <c r="G102" s="233">
        <v>14</v>
      </c>
      <c r="H102" s="233" t="s">
        <v>291</v>
      </c>
      <c r="I102" s="78">
        <v>4285.8999999999996</v>
      </c>
      <c r="J102" s="78">
        <v>4285.8999999999996</v>
      </c>
      <c r="K102" s="78">
        <v>4230</v>
      </c>
      <c r="L102" s="239">
        <v>208</v>
      </c>
      <c r="M102" s="233" t="s">
        <v>254</v>
      </c>
      <c r="N102" s="233" t="s">
        <v>258</v>
      </c>
      <c r="O102" s="236" t="s">
        <v>1303</v>
      </c>
      <c r="P102" s="78">
        <v>2070332.01</v>
      </c>
      <c r="Q102" s="78">
        <v>0</v>
      </c>
      <c r="R102" s="78">
        <v>0</v>
      </c>
      <c r="S102" s="78">
        <v>0</v>
      </c>
      <c r="T102" s="78">
        <f t="shared" si="4"/>
        <v>2070332.01</v>
      </c>
      <c r="U102" s="78">
        <f t="shared" si="3"/>
        <v>483.05653655008285</v>
      </c>
      <c r="V102" s="78">
        <v>712.14704029492066</v>
      </c>
    </row>
    <row r="103" spans="1:22" s="79" customFormat="1" ht="36" customHeight="1" x14ac:dyDescent="0.25">
      <c r="A103" s="79">
        <v>1</v>
      </c>
      <c r="B103" s="80">
        <f>SUBTOTAL(103,$A$16:A103)</f>
        <v>88</v>
      </c>
      <c r="C103" s="77" t="s">
        <v>1055</v>
      </c>
      <c r="D103" s="233">
        <v>1962</v>
      </c>
      <c r="E103" s="233"/>
      <c r="F103" s="233" t="s">
        <v>256</v>
      </c>
      <c r="G103" s="233">
        <v>4</v>
      </c>
      <c r="H103" s="233" t="s">
        <v>299</v>
      </c>
      <c r="I103" s="78">
        <v>2135.9</v>
      </c>
      <c r="J103" s="78">
        <v>1990.6</v>
      </c>
      <c r="K103" s="78">
        <v>1990.6</v>
      </c>
      <c r="L103" s="239">
        <v>103</v>
      </c>
      <c r="M103" s="233" t="s">
        <v>254</v>
      </c>
      <c r="N103" s="233" t="s">
        <v>258</v>
      </c>
      <c r="O103" s="236" t="s">
        <v>1540</v>
      </c>
      <c r="P103" s="78">
        <v>3278227.2600000002</v>
      </c>
      <c r="Q103" s="78">
        <v>0</v>
      </c>
      <c r="R103" s="78">
        <v>0</v>
      </c>
      <c r="S103" s="78">
        <v>0</v>
      </c>
      <c r="T103" s="78">
        <f t="shared" si="4"/>
        <v>3278227.2600000002</v>
      </c>
      <c r="U103" s="78">
        <f t="shared" si="3"/>
        <v>1534.8224448710146</v>
      </c>
      <c r="V103" s="78">
        <v>5868.8085256800414</v>
      </c>
    </row>
    <row r="104" spans="1:22" s="79" customFormat="1" ht="36" customHeight="1" x14ac:dyDescent="0.25">
      <c r="A104" s="79">
        <v>1</v>
      </c>
      <c r="B104" s="80">
        <f>SUBTOTAL(103,$A$16:A104)</f>
        <v>89</v>
      </c>
      <c r="C104" s="77" t="s">
        <v>507</v>
      </c>
      <c r="D104" s="233">
        <v>1994</v>
      </c>
      <c r="E104" s="233"/>
      <c r="F104" s="233" t="s">
        <v>298</v>
      </c>
      <c r="G104" s="233">
        <v>9</v>
      </c>
      <c r="H104" s="233" t="s">
        <v>291</v>
      </c>
      <c r="I104" s="78">
        <v>2342.1999999999998</v>
      </c>
      <c r="J104" s="78">
        <v>2320.3000000000002</v>
      </c>
      <c r="K104" s="78">
        <v>2280.8000000000002</v>
      </c>
      <c r="L104" s="239">
        <v>147</v>
      </c>
      <c r="M104" s="233" t="s">
        <v>254</v>
      </c>
      <c r="N104" s="233" t="s">
        <v>258</v>
      </c>
      <c r="O104" s="236" t="s">
        <v>1303</v>
      </c>
      <c r="P104" s="78">
        <v>1702747.3199999998</v>
      </c>
      <c r="Q104" s="78">
        <v>0</v>
      </c>
      <c r="R104" s="78">
        <v>0</v>
      </c>
      <c r="S104" s="78">
        <v>0</v>
      </c>
      <c r="T104" s="78">
        <f t="shared" si="4"/>
        <v>1702747.3199999998</v>
      </c>
      <c r="U104" s="78">
        <f t="shared" si="3"/>
        <v>726.98630347536505</v>
      </c>
      <c r="V104" s="78">
        <v>1049.355306976347</v>
      </c>
    </row>
    <row r="105" spans="1:22" s="79" customFormat="1" ht="36" customHeight="1" x14ac:dyDescent="0.25">
      <c r="A105" s="79">
        <v>1</v>
      </c>
      <c r="B105" s="80">
        <f>SUBTOTAL(103,$A$16:A105)</f>
        <v>90</v>
      </c>
      <c r="C105" s="77" t="s">
        <v>508</v>
      </c>
      <c r="D105" s="233">
        <v>1995</v>
      </c>
      <c r="E105" s="233"/>
      <c r="F105" s="233" t="s">
        <v>298</v>
      </c>
      <c r="G105" s="233">
        <v>9</v>
      </c>
      <c r="H105" s="233" t="s">
        <v>291</v>
      </c>
      <c r="I105" s="78">
        <v>3212.7</v>
      </c>
      <c r="J105" s="78">
        <v>2297.9</v>
      </c>
      <c r="K105" s="78">
        <v>2290.8000000000002</v>
      </c>
      <c r="L105" s="239">
        <v>116</v>
      </c>
      <c r="M105" s="233" t="s">
        <v>254</v>
      </c>
      <c r="N105" s="233" t="s">
        <v>258</v>
      </c>
      <c r="O105" s="236" t="s">
        <v>1303</v>
      </c>
      <c r="P105" s="78">
        <v>1698388.8199999998</v>
      </c>
      <c r="Q105" s="78">
        <v>0</v>
      </c>
      <c r="R105" s="78">
        <v>0</v>
      </c>
      <c r="S105" s="78">
        <v>0</v>
      </c>
      <c r="T105" s="78">
        <f t="shared" si="4"/>
        <v>1698388.8199999998</v>
      </c>
      <c r="U105" s="78">
        <f t="shared" si="3"/>
        <v>528.64843278239482</v>
      </c>
      <c r="V105" s="78">
        <v>765.02630186447539</v>
      </c>
    </row>
    <row r="106" spans="1:22" s="79" customFormat="1" ht="36" customHeight="1" x14ac:dyDescent="0.25">
      <c r="A106" s="79">
        <v>1</v>
      </c>
      <c r="B106" s="80">
        <f>SUBTOTAL(103,$A$16:A106)</f>
        <v>91</v>
      </c>
      <c r="C106" s="77" t="s">
        <v>1295</v>
      </c>
      <c r="D106" s="233">
        <v>1986</v>
      </c>
      <c r="E106" s="233"/>
      <c r="F106" s="233" t="s">
        <v>298</v>
      </c>
      <c r="G106" s="233">
        <v>9</v>
      </c>
      <c r="H106" s="233" t="s">
        <v>355</v>
      </c>
      <c r="I106" s="78">
        <v>14807.8</v>
      </c>
      <c r="J106" s="78">
        <v>11520.6</v>
      </c>
      <c r="K106" s="78">
        <v>11520.6</v>
      </c>
      <c r="L106" s="239">
        <v>529</v>
      </c>
      <c r="M106" s="233" t="s">
        <v>254</v>
      </c>
      <c r="N106" s="233" t="s">
        <v>258</v>
      </c>
      <c r="O106" s="236" t="s">
        <v>1026</v>
      </c>
      <c r="P106" s="78">
        <v>9902722.7999999989</v>
      </c>
      <c r="Q106" s="78">
        <v>0</v>
      </c>
      <c r="R106" s="78">
        <v>0</v>
      </c>
      <c r="S106" s="78">
        <v>0</v>
      </c>
      <c r="T106" s="78">
        <f t="shared" si="4"/>
        <v>9902722.7999999989</v>
      </c>
      <c r="U106" s="78">
        <f t="shared" si="3"/>
        <v>668.75044233444532</v>
      </c>
      <c r="V106" s="78">
        <v>995.88054944015994</v>
      </c>
    </row>
    <row r="107" spans="1:22" s="79" customFormat="1" ht="36" customHeight="1" x14ac:dyDescent="0.25">
      <c r="A107" s="79">
        <v>1</v>
      </c>
      <c r="B107" s="80">
        <f>SUBTOTAL(103,$A$16:A107)</f>
        <v>92</v>
      </c>
      <c r="C107" s="77" t="s">
        <v>520</v>
      </c>
      <c r="D107" s="233">
        <v>1993</v>
      </c>
      <c r="E107" s="233"/>
      <c r="F107" s="233" t="s">
        <v>256</v>
      </c>
      <c r="G107" s="233" t="s">
        <v>2125</v>
      </c>
      <c r="H107" s="233" t="s">
        <v>343</v>
      </c>
      <c r="I107" s="78">
        <v>14780.2</v>
      </c>
      <c r="J107" s="78">
        <v>12472.3</v>
      </c>
      <c r="K107" s="78">
        <v>9302.2999999999993</v>
      </c>
      <c r="L107" s="239">
        <v>342</v>
      </c>
      <c r="M107" s="233" t="s">
        <v>254</v>
      </c>
      <c r="N107" s="233" t="s">
        <v>258</v>
      </c>
      <c r="O107" s="236" t="s">
        <v>1026</v>
      </c>
      <c r="P107" s="78">
        <v>1918155.32</v>
      </c>
      <c r="Q107" s="78">
        <v>0</v>
      </c>
      <c r="R107" s="78">
        <v>0</v>
      </c>
      <c r="S107" s="78">
        <v>0</v>
      </c>
      <c r="T107" s="78">
        <f t="shared" si="4"/>
        <v>1918155.32</v>
      </c>
      <c r="U107" s="78">
        <f t="shared" si="3"/>
        <v>129.7787120607299</v>
      </c>
      <c r="V107" s="78">
        <v>180.0962774522672</v>
      </c>
    </row>
    <row r="108" spans="1:22" s="79" customFormat="1" ht="36" customHeight="1" x14ac:dyDescent="0.25">
      <c r="A108" s="79">
        <v>1</v>
      </c>
      <c r="B108" s="80">
        <f>SUBTOTAL(103,$A$16:A108)</f>
        <v>93</v>
      </c>
      <c r="C108" s="77" t="s">
        <v>1025</v>
      </c>
      <c r="D108" s="233">
        <v>1989</v>
      </c>
      <c r="E108" s="233"/>
      <c r="F108" s="233" t="s">
        <v>298</v>
      </c>
      <c r="G108" s="233">
        <v>9</v>
      </c>
      <c r="H108" s="233" t="s">
        <v>295</v>
      </c>
      <c r="I108" s="78">
        <v>10574</v>
      </c>
      <c r="J108" s="78">
        <v>7454.7</v>
      </c>
      <c r="K108" s="78">
        <v>7439.2</v>
      </c>
      <c r="L108" s="239">
        <v>312</v>
      </c>
      <c r="M108" s="233" t="s">
        <v>254</v>
      </c>
      <c r="N108" s="233" t="s">
        <v>258</v>
      </c>
      <c r="O108" s="236" t="s">
        <v>1026</v>
      </c>
      <c r="P108" s="78">
        <v>7396376.3500000006</v>
      </c>
      <c r="Q108" s="78">
        <v>0</v>
      </c>
      <c r="R108" s="78">
        <v>0</v>
      </c>
      <c r="S108" s="78">
        <v>0</v>
      </c>
      <c r="T108" s="78">
        <f t="shared" si="4"/>
        <v>7396376.3500000006</v>
      </c>
      <c r="U108" s="78">
        <f t="shared" si="3"/>
        <v>699.48707679213169</v>
      </c>
      <c r="V108" s="78">
        <v>929.75222243238136</v>
      </c>
    </row>
    <row r="109" spans="1:22" s="79" customFormat="1" ht="36" customHeight="1" x14ac:dyDescent="0.25">
      <c r="A109" s="79">
        <v>1</v>
      </c>
      <c r="B109" s="80">
        <f>SUBTOTAL(103,$A$16:A109)</f>
        <v>94</v>
      </c>
      <c r="C109" s="77" t="s">
        <v>526</v>
      </c>
      <c r="D109" s="233">
        <v>1973</v>
      </c>
      <c r="E109" s="233"/>
      <c r="F109" s="233" t="s">
        <v>298</v>
      </c>
      <c r="G109" s="233">
        <v>9</v>
      </c>
      <c r="H109" s="233" t="s">
        <v>291</v>
      </c>
      <c r="I109" s="78">
        <v>1914.68</v>
      </c>
      <c r="J109" s="78">
        <v>1914.68</v>
      </c>
      <c r="K109" s="78">
        <v>1914.68</v>
      </c>
      <c r="L109" s="239">
        <v>103</v>
      </c>
      <c r="M109" s="233" t="s">
        <v>254</v>
      </c>
      <c r="N109" s="233" t="s">
        <v>258</v>
      </c>
      <c r="O109" s="236" t="s">
        <v>1303</v>
      </c>
      <c r="P109" s="78">
        <v>1901891.1600000001</v>
      </c>
      <c r="Q109" s="78">
        <v>0</v>
      </c>
      <c r="R109" s="78">
        <v>0</v>
      </c>
      <c r="S109" s="78">
        <v>0</v>
      </c>
      <c r="T109" s="78">
        <f t="shared" si="4"/>
        <v>1901891.1600000001</v>
      </c>
      <c r="U109" s="78">
        <f t="shared" si="3"/>
        <v>993.3206384356655</v>
      </c>
      <c r="V109" s="78">
        <v>1283.6609772912445</v>
      </c>
    </row>
    <row r="110" spans="1:22" s="79" customFormat="1" ht="36" customHeight="1" x14ac:dyDescent="0.25">
      <c r="A110" s="79">
        <v>1</v>
      </c>
      <c r="B110" s="80">
        <f>SUBTOTAL(103,$A$16:A110)</f>
        <v>95</v>
      </c>
      <c r="C110" s="77" t="s">
        <v>1053</v>
      </c>
      <c r="D110" s="233">
        <v>1960</v>
      </c>
      <c r="E110" s="233"/>
      <c r="F110" s="233" t="s">
        <v>1479</v>
      </c>
      <c r="G110" s="233" t="s">
        <v>299</v>
      </c>
      <c r="H110" s="233" t="s">
        <v>290</v>
      </c>
      <c r="I110" s="234">
        <v>969.7</v>
      </c>
      <c r="J110" s="234">
        <v>627.4</v>
      </c>
      <c r="K110" s="234">
        <v>627.4</v>
      </c>
      <c r="L110" s="239">
        <v>38</v>
      </c>
      <c r="M110" s="233" t="s">
        <v>254</v>
      </c>
      <c r="N110" s="233" t="s">
        <v>258</v>
      </c>
      <c r="O110" s="236" t="s">
        <v>2126</v>
      </c>
      <c r="P110" s="78">
        <v>814287.52</v>
      </c>
      <c r="Q110" s="78">
        <v>0</v>
      </c>
      <c r="R110" s="78">
        <v>0</v>
      </c>
      <c r="S110" s="78">
        <v>0</v>
      </c>
      <c r="T110" s="78">
        <f t="shared" si="4"/>
        <v>814287.52</v>
      </c>
      <c r="U110" s="78">
        <f t="shared" si="3"/>
        <v>839.73138083943491</v>
      </c>
      <c r="V110" s="78">
        <v>4818.3465187171296</v>
      </c>
    </row>
    <row r="111" spans="1:22" s="79" customFormat="1" ht="36" customHeight="1" x14ac:dyDescent="0.25">
      <c r="A111" s="79">
        <v>1</v>
      </c>
      <c r="B111" s="80">
        <f>SUBTOTAL(103,$A$16:A111)</f>
        <v>96</v>
      </c>
      <c r="C111" s="77" t="s">
        <v>1064</v>
      </c>
      <c r="D111" s="233">
        <v>1962</v>
      </c>
      <c r="E111" s="233"/>
      <c r="F111" s="233" t="s">
        <v>256</v>
      </c>
      <c r="G111" s="233">
        <v>2</v>
      </c>
      <c r="H111" s="233" t="s">
        <v>290</v>
      </c>
      <c r="I111" s="234">
        <v>628.29999999999995</v>
      </c>
      <c r="J111" s="234">
        <v>628.29999999999995</v>
      </c>
      <c r="K111" s="234">
        <v>628.29999999999995</v>
      </c>
      <c r="L111" s="239">
        <v>38</v>
      </c>
      <c r="M111" s="233" t="s">
        <v>254</v>
      </c>
      <c r="N111" s="233" t="s">
        <v>255</v>
      </c>
      <c r="O111" s="236" t="s">
        <v>1242</v>
      </c>
      <c r="P111" s="78">
        <v>52271.7</v>
      </c>
      <c r="Q111" s="78">
        <v>0</v>
      </c>
      <c r="R111" s="78">
        <v>0</v>
      </c>
      <c r="S111" s="78">
        <v>0</v>
      </c>
      <c r="T111" s="78">
        <f t="shared" si="4"/>
        <v>52271.7</v>
      </c>
      <c r="U111" s="78">
        <f t="shared" si="3"/>
        <v>83.195448034378487</v>
      </c>
      <c r="V111" s="78">
        <v>83.195448034378487</v>
      </c>
    </row>
    <row r="112" spans="1:22" s="79" customFormat="1" ht="36" customHeight="1" x14ac:dyDescent="0.25">
      <c r="A112" s="79">
        <v>1</v>
      </c>
      <c r="B112" s="80">
        <f>SUBTOTAL(103,$A$16:A112)</f>
        <v>97</v>
      </c>
      <c r="C112" s="77" t="s">
        <v>460</v>
      </c>
      <c r="D112" s="233">
        <v>1969</v>
      </c>
      <c r="E112" s="233"/>
      <c r="F112" s="233" t="s">
        <v>256</v>
      </c>
      <c r="G112" s="233">
        <v>5</v>
      </c>
      <c r="H112" s="233" t="s">
        <v>295</v>
      </c>
      <c r="I112" s="234">
        <v>3463.9</v>
      </c>
      <c r="J112" s="234">
        <v>3172.1</v>
      </c>
      <c r="K112" s="234">
        <v>3012</v>
      </c>
      <c r="L112" s="239">
        <v>132</v>
      </c>
      <c r="M112" s="233" t="s">
        <v>254</v>
      </c>
      <c r="N112" s="233" t="s">
        <v>258</v>
      </c>
      <c r="O112" s="236" t="s">
        <v>1026</v>
      </c>
      <c r="P112" s="78">
        <v>83051.86</v>
      </c>
      <c r="Q112" s="78">
        <v>0</v>
      </c>
      <c r="R112" s="78">
        <v>0</v>
      </c>
      <c r="S112" s="78">
        <v>0</v>
      </c>
      <c r="T112" s="78">
        <f t="shared" si="4"/>
        <v>83051.86</v>
      </c>
      <c r="U112" s="78">
        <f t="shared" si="3"/>
        <v>23.976402321083171</v>
      </c>
      <c r="V112" s="78">
        <v>23.976402321083171</v>
      </c>
    </row>
    <row r="113" spans="1:22" s="79" customFormat="1" ht="36" customHeight="1" x14ac:dyDescent="0.25">
      <c r="A113" s="79">
        <v>1</v>
      </c>
      <c r="B113" s="80">
        <f>SUBTOTAL(103,$A$16:A113)</f>
        <v>98</v>
      </c>
      <c r="C113" s="77" t="s">
        <v>1065</v>
      </c>
      <c r="D113" s="233">
        <v>1964</v>
      </c>
      <c r="E113" s="233"/>
      <c r="F113" s="233" t="s">
        <v>256</v>
      </c>
      <c r="G113" s="233">
        <v>2</v>
      </c>
      <c r="H113" s="233" t="s">
        <v>290</v>
      </c>
      <c r="I113" s="234">
        <v>669.2</v>
      </c>
      <c r="J113" s="234">
        <v>667</v>
      </c>
      <c r="K113" s="234">
        <v>667</v>
      </c>
      <c r="L113" s="239">
        <v>30</v>
      </c>
      <c r="M113" s="233" t="s">
        <v>254</v>
      </c>
      <c r="N113" s="233" t="s">
        <v>258</v>
      </c>
      <c r="O113" s="236" t="s">
        <v>1242</v>
      </c>
      <c r="P113" s="78">
        <v>50689.120000000003</v>
      </c>
      <c r="Q113" s="78">
        <v>0</v>
      </c>
      <c r="R113" s="78">
        <v>0</v>
      </c>
      <c r="S113" s="78">
        <v>0</v>
      </c>
      <c r="T113" s="78">
        <f t="shared" si="4"/>
        <v>50689.120000000003</v>
      </c>
      <c r="U113" s="78">
        <f t="shared" si="3"/>
        <v>75.745845786013149</v>
      </c>
      <c r="V113" s="78">
        <v>75.745845786013149</v>
      </c>
    </row>
    <row r="114" spans="1:22" s="79" customFormat="1" ht="36" customHeight="1" x14ac:dyDescent="0.25">
      <c r="A114" s="79">
        <v>1</v>
      </c>
      <c r="B114" s="80">
        <f>SUBTOTAL(103,$A$16:A114)</f>
        <v>99</v>
      </c>
      <c r="C114" s="77" t="s">
        <v>474</v>
      </c>
      <c r="D114" s="233">
        <v>1960</v>
      </c>
      <c r="E114" s="233"/>
      <c r="F114" s="233" t="s">
        <v>256</v>
      </c>
      <c r="G114" s="233">
        <v>5</v>
      </c>
      <c r="H114" s="233" t="s">
        <v>299</v>
      </c>
      <c r="I114" s="234">
        <v>3202.4</v>
      </c>
      <c r="J114" s="234">
        <v>2438.9</v>
      </c>
      <c r="K114" s="234">
        <v>2438.9</v>
      </c>
      <c r="L114" s="239">
        <v>120</v>
      </c>
      <c r="M114" s="233" t="s">
        <v>254</v>
      </c>
      <c r="N114" s="233" t="s">
        <v>258</v>
      </c>
      <c r="O114" s="236" t="s">
        <v>1026</v>
      </c>
      <c r="P114" s="78">
        <v>95587.09</v>
      </c>
      <c r="Q114" s="78">
        <v>0</v>
      </c>
      <c r="R114" s="78">
        <v>0</v>
      </c>
      <c r="S114" s="78">
        <v>0</v>
      </c>
      <c r="T114" s="78">
        <f t="shared" si="4"/>
        <v>95587.09</v>
      </c>
      <c r="U114" s="78">
        <f t="shared" si="3"/>
        <v>29.848579190607044</v>
      </c>
      <c r="V114" s="78">
        <v>29.848579190607044</v>
      </c>
    </row>
    <row r="115" spans="1:22" s="79" customFormat="1" ht="36" customHeight="1" x14ac:dyDescent="0.25">
      <c r="A115" s="79">
        <v>1</v>
      </c>
      <c r="B115" s="80">
        <f>SUBTOTAL(103,$A$16:A115)</f>
        <v>100</v>
      </c>
      <c r="C115" s="77" t="s">
        <v>1004</v>
      </c>
      <c r="D115" s="233">
        <v>1941</v>
      </c>
      <c r="E115" s="233"/>
      <c r="F115" s="233" t="s">
        <v>256</v>
      </c>
      <c r="G115" s="233">
        <v>3</v>
      </c>
      <c r="H115" s="233" t="s">
        <v>290</v>
      </c>
      <c r="I115" s="234">
        <v>1265</v>
      </c>
      <c r="J115" s="234">
        <v>1152.5999999999999</v>
      </c>
      <c r="K115" s="234">
        <v>1105.5</v>
      </c>
      <c r="L115" s="239">
        <v>60</v>
      </c>
      <c r="M115" s="233" t="s">
        <v>254</v>
      </c>
      <c r="N115" s="233" t="s">
        <v>258</v>
      </c>
      <c r="O115" s="236" t="s">
        <v>1012</v>
      </c>
      <c r="P115" s="78">
        <v>79784.160000000003</v>
      </c>
      <c r="Q115" s="78">
        <v>0</v>
      </c>
      <c r="R115" s="78">
        <v>0</v>
      </c>
      <c r="S115" s="78">
        <v>0</v>
      </c>
      <c r="T115" s="78">
        <f t="shared" si="4"/>
        <v>79784.160000000003</v>
      </c>
      <c r="U115" s="78">
        <f t="shared" si="3"/>
        <v>63.070482213438737</v>
      </c>
      <c r="V115" s="78">
        <v>63.070482213438737</v>
      </c>
    </row>
    <row r="116" spans="1:22" s="79" customFormat="1" ht="36" customHeight="1" x14ac:dyDescent="0.25">
      <c r="A116" s="79">
        <v>1</v>
      </c>
      <c r="B116" s="80">
        <f>SUBTOTAL(103,$A$16:A116)</f>
        <v>101</v>
      </c>
      <c r="C116" s="77" t="s">
        <v>1318</v>
      </c>
      <c r="D116" s="233">
        <v>1961</v>
      </c>
      <c r="E116" s="233"/>
      <c r="F116" s="233" t="s">
        <v>256</v>
      </c>
      <c r="G116" s="233" t="s">
        <v>355</v>
      </c>
      <c r="H116" s="233" t="s">
        <v>299</v>
      </c>
      <c r="I116" s="234">
        <v>2941.6</v>
      </c>
      <c r="J116" s="234">
        <v>2564.1</v>
      </c>
      <c r="K116" s="234">
        <v>2365.9</v>
      </c>
      <c r="L116" s="239">
        <v>130</v>
      </c>
      <c r="M116" s="233" t="s">
        <v>254</v>
      </c>
      <c r="N116" s="233" t="s">
        <v>258</v>
      </c>
      <c r="O116" s="236" t="s">
        <v>1302</v>
      </c>
      <c r="P116" s="78">
        <v>71679.100000000006</v>
      </c>
      <c r="Q116" s="78">
        <v>0</v>
      </c>
      <c r="R116" s="78">
        <v>0</v>
      </c>
      <c r="S116" s="78">
        <v>0</v>
      </c>
      <c r="T116" s="78">
        <f t="shared" si="4"/>
        <v>71679.100000000006</v>
      </c>
      <c r="U116" s="78">
        <f t="shared" si="3"/>
        <v>24.367385096546101</v>
      </c>
      <c r="V116" s="78">
        <v>24.367385096546101</v>
      </c>
    </row>
    <row r="117" spans="1:22" s="79" customFormat="1" ht="36" customHeight="1" x14ac:dyDescent="0.25">
      <c r="A117" s="79">
        <v>1</v>
      </c>
      <c r="B117" s="80">
        <f>SUBTOTAL(103,$A$16:A117)</f>
        <v>102</v>
      </c>
      <c r="C117" s="77" t="s">
        <v>1292</v>
      </c>
      <c r="D117" s="233">
        <v>1973</v>
      </c>
      <c r="E117" s="233"/>
      <c r="F117" s="233" t="s">
        <v>256</v>
      </c>
      <c r="G117" s="233">
        <v>9</v>
      </c>
      <c r="H117" s="233" t="s">
        <v>291</v>
      </c>
      <c r="I117" s="234">
        <v>1958.4</v>
      </c>
      <c r="J117" s="234">
        <v>1958.4</v>
      </c>
      <c r="K117" s="234">
        <v>1941.8</v>
      </c>
      <c r="L117" s="239">
        <v>92</v>
      </c>
      <c r="M117" s="233" t="s">
        <v>254</v>
      </c>
      <c r="N117" s="233" t="s">
        <v>258</v>
      </c>
      <c r="O117" s="236" t="s">
        <v>1303</v>
      </c>
      <c r="P117" s="78">
        <v>55904.38</v>
      </c>
      <c r="Q117" s="78">
        <v>0</v>
      </c>
      <c r="R117" s="78">
        <v>0</v>
      </c>
      <c r="S117" s="78">
        <v>0</v>
      </c>
      <c r="T117" s="78">
        <f t="shared" si="4"/>
        <v>55904.38</v>
      </c>
      <c r="U117" s="78">
        <f t="shared" si="3"/>
        <v>28.545945669934639</v>
      </c>
      <c r="V117" s="78">
        <v>28.545945669934639</v>
      </c>
    </row>
    <row r="118" spans="1:22" s="79" customFormat="1" ht="36" customHeight="1" x14ac:dyDescent="0.25">
      <c r="A118" s="79">
        <v>1</v>
      </c>
      <c r="B118" s="80">
        <f>SUBTOTAL(103,$A$16:A118)</f>
        <v>103</v>
      </c>
      <c r="C118" s="77" t="s">
        <v>1579</v>
      </c>
      <c r="D118" s="233">
        <v>1989</v>
      </c>
      <c r="E118" s="233"/>
      <c r="F118" s="233" t="s">
        <v>304</v>
      </c>
      <c r="G118" s="233">
        <v>7</v>
      </c>
      <c r="H118" s="233" t="s">
        <v>290</v>
      </c>
      <c r="I118" s="234">
        <v>4121.3999999999996</v>
      </c>
      <c r="J118" s="234">
        <v>3057</v>
      </c>
      <c r="K118" s="234">
        <v>3057</v>
      </c>
      <c r="L118" s="239">
        <v>163</v>
      </c>
      <c r="M118" s="233" t="s">
        <v>254</v>
      </c>
      <c r="N118" s="233" t="s">
        <v>258</v>
      </c>
      <c r="O118" s="236" t="s">
        <v>1582</v>
      </c>
      <c r="P118" s="78">
        <v>100382.56</v>
      </c>
      <c r="Q118" s="78">
        <v>0</v>
      </c>
      <c r="R118" s="78">
        <v>0</v>
      </c>
      <c r="S118" s="78">
        <v>0</v>
      </c>
      <c r="T118" s="78">
        <f>P118-R118-S118</f>
        <v>100382.56</v>
      </c>
      <c r="U118" s="78">
        <f t="shared" si="3"/>
        <v>24.356422574853205</v>
      </c>
      <c r="V118" s="78">
        <v>24.356422574853205</v>
      </c>
    </row>
    <row r="119" spans="1:22" s="79" customFormat="1" ht="36" customHeight="1" x14ac:dyDescent="0.25">
      <c r="A119" s="79">
        <v>1</v>
      </c>
      <c r="B119" s="80">
        <f>SUBTOTAL(103,$A$16:A119)</f>
        <v>104</v>
      </c>
      <c r="C119" s="77" t="s">
        <v>500</v>
      </c>
      <c r="D119" s="233">
        <v>1997</v>
      </c>
      <c r="E119" s="233"/>
      <c r="F119" s="233" t="s">
        <v>256</v>
      </c>
      <c r="G119" s="233">
        <v>4</v>
      </c>
      <c r="H119" s="233" t="s">
        <v>299</v>
      </c>
      <c r="I119" s="78">
        <v>2862.3</v>
      </c>
      <c r="J119" s="78">
        <v>2046.7</v>
      </c>
      <c r="K119" s="78">
        <v>2046.7</v>
      </c>
      <c r="L119" s="239">
        <v>95</v>
      </c>
      <c r="M119" s="233" t="s">
        <v>254</v>
      </c>
      <c r="N119" s="233" t="s">
        <v>258</v>
      </c>
      <c r="O119" s="236" t="s">
        <v>1317</v>
      </c>
      <c r="P119" s="78">
        <v>82721.55</v>
      </c>
      <c r="Q119" s="78">
        <v>0</v>
      </c>
      <c r="R119" s="78">
        <v>0</v>
      </c>
      <c r="S119" s="78">
        <v>0</v>
      </c>
      <c r="T119" s="78">
        <f t="shared" si="4"/>
        <v>82721.55</v>
      </c>
      <c r="U119" s="78">
        <f t="shared" si="3"/>
        <v>28.900377318939313</v>
      </c>
      <c r="V119" s="78">
        <v>28.900377318939313</v>
      </c>
    </row>
    <row r="120" spans="1:22" s="79" customFormat="1" ht="36" customHeight="1" x14ac:dyDescent="0.25">
      <c r="B120" s="77" t="s">
        <v>706</v>
      </c>
      <c r="C120" s="240"/>
      <c r="D120" s="233" t="s">
        <v>835</v>
      </c>
      <c r="E120" s="233" t="s">
        <v>835</v>
      </c>
      <c r="F120" s="233" t="s">
        <v>835</v>
      </c>
      <c r="G120" s="233" t="s">
        <v>835</v>
      </c>
      <c r="H120" s="233" t="s">
        <v>835</v>
      </c>
      <c r="I120" s="234">
        <f>SUM(I121:I149)</f>
        <v>54718.7</v>
      </c>
      <c r="J120" s="234">
        <f>SUM(J121:J149)</f>
        <v>51101.900000000009</v>
      </c>
      <c r="K120" s="234">
        <f>SUM(K121:K149)</f>
        <v>48430.100000000006</v>
      </c>
      <c r="L120" s="235">
        <f>SUM(L121:L149)</f>
        <v>2187</v>
      </c>
      <c r="M120" s="233" t="s">
        <v>835</v>
      </c>
      <c r="N120" s="233" t="s">
        <v>835</v>
      </c>
      <c r="O120" s="236" t="s">
        <v>835</v>
      </c>
      <c r="P120" s="237">
        <v>50842017.239999995</v>
      </c>
      <c r="Q120" s="234">
        <f>SUM(Q121:Q149)</f>
        <v>0</v>
      </c>
      <c r="R120" s="234">
        <f>SUM(R121:R149)</f>
        <v>0</v>
      </c>
      <c r="S120" s="234">
        <f>SUM(S121:S149)</f>
        <v>0</v>
      </c>
      <c r="T120" s="234">
        <f>SUM(T121:T149)</f>
        <v>50842017.239999995</v>
      </c>
      <c r="U120" s="78">
        <f t="shared" ref="U120:U140" si="5">P120/I120</f>
        <v>929.1525061816161</v>
      </c>
      <c r="V120" s="78">
        <f>MAX(V121:V149)</f>
        <v>9318.6816113342247</v>
      </c>
    </row>
    <row r="121" spans="1:22" s="79" customFormat="1" ht="61.5" x14ac:dyDescent="0.25">
      <c r="A121" s="79">
        <v>1</v>
      </c>
      <c r="B121" s="80">
        <f>SUBTOTAL(103,$A$16:A121)</f>
        <v>105</v>
      </c>
      <c r="C121" s="77" t="s">
        <v>417</v>
      </c>
      <c r="D121" s="233">
        <v>1966</v>
      </c>
      <c r="E121" s="233"/>
      <c r="F121" s="233" t="s">
        <v>256</v>
      </c>
      <c r="G121" s="233">
        <v>2</v>
      </c>
      <c r="H121" s="233" t="s">
        <v>290</v>
      </c>
      <c r="I121" s="78">
        <v>766.7</v>
      </c>
      <c r="J121" s="78">
        <v>707.3</v>
      </c>
      <c r="K121" s="78">
        <v>707.3</v>
      </c>
      <c r="L121" s="239">
        <v>39</v>
      </c>
      <c r="M121" s="233" t="s">
        <v>254</v>
      </c>
      <c r="N121" s="233" t="s">
        <v>258</v>
      </c>
      <c r="O121" s="236" t="s">
        <v>326</v>
      </c>
      <c r="P121" s="78">
        <v>2291514.0300000003</v>
      </c>
      <c r="Q121" s="78">
        <v>0</v>
      </c>
      <c r="R121" s="78">
        <v>0</v>
      </c>
      <c r="S121" s="78">
        <v>0</v>
      </c>
      <c r="T121" s="78">
        <f t="shared" ref="T121:T149" si="6">P121-R121-S121</f>
        <v>2291514.0300000003</v>
      </c>
      <c r="U121" s="78">
        <f t="shared" si="5"/>
        <v>2988.8013955914962</v>
      </c>
      <c r="V121" s="78">
        <v>7399.3870071736028</v>
      </c>
    </row>
    <row r="122" spans="1:22" s="79" customFormat="1" ht="36" customHeight="1" x14ac:dyDescent="0.25">
      <c r="A122" s="79">
        <v>1</v>
      </c>
      <c r="B122" s="80">
        <f>SUBTOTAL(103,$A$16:A122)</f>
        <v>106</v>
      </c>
      <c r="C122" s="77" t="s">
        <v>418</v>
      </c>
      <c r="D122" s="233">
        <v>1959</v>
      </c>
      <c r="E122" s="233"/>
      <c r="F122" s="233" t="s">
        <v>256</v>
      </c>
      <c r="G122" s="233">
        <v>2</v>
      </c>
      <c r="H122" s="233" t="s">
        <v>290</v>
      </c>
      <c r="I122" s="78">
        <v>680.5</v>
      </c>
      <c r="J122" s="78">
        <v>632.1</v>
      </c>
      <c r="K122" s="78">
        <v>632.1</v>
      </c>
      <c r="L122" s="239">
        <v>38</v>
      </c>
      <c r="M122" s="233" t="s">
        <v>254</v>
      </c>
      <c r="N122" s="233" t="s">
        <v>255</v>
      </c>
      <c r="O122" s="236" t="s">
        <v>257</v>
      </c>
      <c r="P122" s="78">
        <v>2189911.6500000004</v>
      </c>
      <c r="Q122" s="78">
        <v>0</v>
      </c>
      <c r="R122" s="78">
        <v>0</v>
      </c>
      <c r="S122" s="78">
        <v>0</v>
      </c>
      <c r="T122" s="78">
        <f t="shared" si="6"/>
        <v>2189911.6500000004</v>
      </c>
      <c r="U122" s="78">
        <f t="shared" si="5"/>
        <v>3218.09206465834</v>
      </c>
      <c r="V122" s="78">
        <v>7673.3717172667166</v>
      </c>
    </row>
    <row r="123" spans="1:22" s="79" customFormat="1" ht="36" customHeight="1" x14ac:dyDescent="0.25">
      <c r="A123" s="79">
        <v>1</v>
      </c>
      <c r="B123" s="80">
        <f>SUBTOTAL(103,$A$16:A123)</f>
        <v>107</v>
      </c>
      <c r="C123" s="77" t="s">
        <v>419</v>
      </c>
      <c r="D123" s="233">
        <v>1958</v>
      </c>
      <c r="E123" s="233"/>
      <c r="F123" s="233" t="s">
        <v>256</v>
      </c>
      <c r="G123" s="233">
        <v>2</v>
      </c>
      <c r="H123" s="233" t="s">
        <v>290</v>
      </c>
      <c r="I123" s="78">
        <v>615</v>
      </c>
      <c r="J123" s="78">
        <v>568.29999999999995</v>
      </c>
      <c r="K123" s="78">
        <v>568.29999999999995</v>
      </c>
      <c r="L123" s="239">
        <v>25</v>
      </c>
      <c r="M123" s="233" t="s">
        <v>254</v>
      </c>
      <c r="N123" s="233" t="s">
        <v>255</v>
      </c>
      <c r="O123" s="236" t="s">
        <v>257</v>
      </c>
      <c r="P123" s="78">
        <v>2241889.83</v>
      </c>
      <c r="Q123" s="78">
        <v>0</v>
      </c>
      <c r="R123" s="78">
        <v>0</v>
      </c>
      <c r="S123" s="78">
        <v>0</v>
      </c>
      <c r="T123" s="78">
        <f t="shared" si="6"/>
        <v>2241889.83</v>
      </c>
      <c r="U123" s="78">
        <f t="shared" si="5"/>
        <v>3645.3493170731708</v>
      </c>
      <c r="V123" s="78">
        <v>7472.6245125203268</v>
      </c>
    </row>
    <row r="124" spans="1:22" s="79" customFormat="1" ht="36" customHeight="1" x14ac:dyDescent="0.25">
      <c r="A124" s="79">
        <v>1</v>
      </c>
      <c r="B124" s="80">
        <f>SUBTOTAL(103,$A$16:A124)</f>
        <v>108</v>
      </c>
      <c r="C124" s="77" t="s">
        <v>420</v>
      </c>
      <c r="D124" s="233">
        <v>1969</v>
      </c>
      <c r="E124" s="233"/>
      <c r="F124" s="233" t="s">
        <v>256</v>
      </c>
      <c r="G124" s="233">
        <v>2</v>
      </c>
      <c r="H124" s="233" t="s">
        <v>290</v>
      </c>
      <c r="I124" s="78">
        <v>725.2</v>
      </c>
      <c r="J124" s="78">
        <v>674.9</v>
      </c>
      <c r="K124" s="78">
        <v>674.9</v>
      </c>
      <c r="L124" s="239">
        <v>25</v>
      </c>
      <c r="M124" s="233" t="s">
        <v>254</v>
      </c>
      <c r="N124" s="233" t="s">
        <v>255</v>
      </c>
      <c r="O124" s="236" t="s">
        <v>257</v>
      </c>
      <c r="P124" s="78">
        <v>55080.59</v>
      </c>
      <c r="Q124" s="78">
        <v>0</v>
      </c>
      <c r="R124" s="78">
        <v>0</v>
      </c>
      <c r="S124" s="78">
        <v>0</v>
      </c>
      <c r="T124" s="78">
        <f t="shared" si="6"/>
        <v>55080.59</v>
      </c>
      <c r="U124" s="78">
        <f t="shared" si="5"/>
        <v>75.952275234418082</v>
      </c>
      <c r="V124" s="78">
        <v>75.952275234418082</v>
      </c>
    </row>
    <row r="125" spans="1:22" s="79" customFormat="1" ht="36" customHeight="1" x14ac:dyDescent="0.25">
      <c r="A125" s="79">
        <v>1</v>
      </c>
      <c r="B125" s="80">
        <f>SUBTOTAL(103,$A$16:A125)</f>
        <v>109</v>
      </c>
      <c r="C125" s="77" t="s">
        <v>421</v>
      </c>
      <c r="D125" s="233">
        <v>1959</v>
      </c>
      <c r="E125" s="233"/>
      <c r="F125" s="233" t="s">
        <v>256</v>
      </c>
      <c r="G125" s="233">
        <v>2</v>
      </c>
      <c r="H125" s="233" t="s">
        <v>290</v>
      </c>
      <c r="I125" s="78">
        <v>654.20000000000005</v>
      </c>
      <c r="J125" s="78">
        <v>602.9</v>
      </c>
      <c r="K125" s="78">
        <v>602.9</v>
      </c>
      <c r="L125" s="239">
        <v>34</v>
      </c>
      <c r="M125" s="233" t="s">
        <v>254</v>
      </c>
      <c r="N125" s="233" t="s">
        <v>255</v>
      </c>
      <c r="O125" s="236" t="s">
        <v>257</v>
      </c>
      <c r="P125" s="78">
        <v>2479536.17</v>
      </c>
      <c r="Q125" s="78">
        <v>0</v>
      </c>
      <c r="R125" s="78">
        <v>0</v>
      </c>
      <c r="S125" s="78">
        <v>0</v>
      </c>
      <c r="T125" s="78">
        <f t="shared" si="6"/>
        <v>2479536.17</v>
      </c>
      <c r="U125" s="78">
        <f t="shared" si="5"/>
        <v>3790.1806328339953</v>
      </c>
      <c r="V125" s="78">
        <v>8148.691567104861</v>
      </c>
    </row>
    <row r="126" spans="1:22" s="79" customFormat="1" ht="61.5" x14ac:dyDescent="0.25">
      <c r="A126" s="79">
        <v>1</v>
      </c>
      <c r="B126" s="80">
        <f>SUBTOTAL(103,$A$16:A126)</f>
        <v>110</v>
      </c>
      <c r="C126" s="77" t="s">
        <v>422</v>
      </c>
      <c r="D126" s="233">
        <v>1959</v>
      </c>
      <c r="E126" s="233"/>
      <c r="F126" s="233" t="s">
        <v>256</v>
      </c>
      <c r="G126" s="233">
        <v>2</v>
      </c>
      <c r="H126" s="233" t="s">
        <v>290</v>
      </c>
      <c r="I126" s="78">
        <v>673.3</v>
      </c>
      <c r="J126" s="78">
        <v>622.29999999999995</v>
      </c>
      <c r="K126" s="78">
        <v>622.29999999999995</v>
      </c>
      <c r="L126" s="239">
        <v>42</v>
      </c>
      <c r="M126" s="233" t="s">
        <v>254</v>
      </c>
      <c r="N126" s="233" t="s">
        <v>258</v>
      </c>
      <c r="O126" s="236" t="s">
        <v>326</v>
      </c>
      <c r="P126" s="78">
        <v>2128855.41</v>
      </c>
      <c r="Q126" s="78">
        <v>0</v>
      </c>
      <c r="R126" s="78">
        <v>0</v>
      </c>
      <c r="S126" s="78">
        <v>0</v>
      </c>
      <c r="T126" s="78">
        <f t="shared" si="6"/>
        <v>2128855.41</v>
      </c>
      <c r="U126" s="78">
        <f t="shared" si="5"/>
        <v>3161.8229763849699</v>
      </c>
      <c r="V126" s="78">
        <v>8187.0426068617262</v>
      </c>
    </row>
    <row r="127" spans="1:22" s="79" customFormat="1" ht="61.5" x14ac:dyDescent="0.25">
      <c r="A127" s="79">
        <v>1</v>
      </c>
      <c r="B127" s="80">
        <f>SUBTOTAL(103,$A$16:A127)</f>
        <v>111</v>
      </c>
      <c r="C127" s="77" t="s">
        <v>423</v>
      </c>
      <c r="D127" s="233">
        <v>1962</v>
      </c>
      <c r="E127" s="233"/>
      <c r="F127" s="233" t="s">
        <v>256</v>
      </c>
      <c r="G127" s="233">
        <v>3</v>
      </c>
      <c r="H127" s="233" t="s">
        <v>290</v>
      </c>
      <c r="I127" s="78">
        <v>1048.8</v>
      </c>
      <c r="J127" s="78">
        <v>975.2</v>
      </c>
      <c r="K127" s="78">
        <v>975.2</v>
      </c>
      <c r="L127" s="239">
        <v>56</v>
      </c>
      <c r="M127" s="233" t="s">
        <v>254</v>
      </c>
      <c r="N127" s="233" t="s">
        <v>258</v>
      </c>
      <c r="O127" s="236" t="s">
        <v>332</v>
      </c>
      <c r="P127" s="78">
        <v>2540318.89</v>
      </c>
      <c r="Q127" s="78">
        <v>0</v>
      </c>
      <c r="R127" s="78">
        <v>0</v>
      </c>
      <c r="S127" s="78">
        <v>0</v>
      </c>
      <c r="T127" s="78">
        <f t="shared" si="6"/>
        <v>2540318.89</v>
      </c>
      <c r="U127" s="78">
        <f t="shared" si="5"/>
        <v>2422.1194603356221</v>
      </c>
      <c r="V127" s="78">
        <v>4661.9761090770417</v>
      </c>
    </row>
    <row r="128" spans="1:22" s="79" customFormat="1" ht="61.5" x14ac:dyDescent="0.25">
      <c r="A128" s="79">
        <v>1</v>
      </c>
      <c r="B128" s="80">
        <f>SUBTOTAL(103,$A$16:A128)</f>
        <v>112</v>
      </c>
      <c r="C128" s="77" t="s">
        <v>424</v>
      </c>
      <c r="D128" s="233">
        <v>1962</v>
      </c>
      <c r="E128" s="233"/>
      <c r="F128" s="233" t="s">
        <v>256</v>
      </c>
      <c r="G128" s="233">
        <v>2</v>
      </c>
      <c r="H128" s="233" t="s">
        <v>290</v>
      </c>
      <c r="I128" s="78">
        <v>679.6</v>
      </c>
      <c r="J128" s="78">
        <v>631.6</v>
      </c>
      <c r="K128" s="78">
        <v>631.6</v>
      </c>
      <c r="L128" s="239">
        <v>42</v>
      </c>
      <c r="M128" s="233" t="s">
        <v>254</v>
      </c>
      <c r="N128" s="233" t="s">
        <v>258</v>
      </c>
      <c r="O128" s="236" t="s">
        <v>326</v>
      </c>
      <c r="P128" s="78">
        <v>2317566.0299999998</v>
      </c>
      <c r="Q128" s="78">
        <v>0</v>
      </c>
      <c r="R128" s="78">
        <v>0</v>
      </c>
      <c r="S128" s="78">
        <v>0</v>
      </c>
      <c r="T128" s="78">
        <f t="shared" si="6"/>
        <v>2317566.0299999998</v>
      </c>
      <c r="U128" s="78">
        <f t="shared" si="5"/>
        <v>3410.1913331371393</v>
      </c>
      <c r="V128" s="78">
        <v>7366.661179517364</v>
      </c>
    </row>
    <row r="129" spans="1:22" s="79" customFormat="1" ht="61.5" x14ac:dyDescent="0.25">
      <c r="A129" s="79">
        <v>1</v>
      </c>
      <c r="B129" s="80">
        <f>SUBTOTAL(103,$A$16:A129)</f>
        <v>113</v>
      </c>
      <c r="C129" s="77" t="s">
        <v>425</v>
      </c>
      <c r="D129" s="233">
        <v>1962</v>
      </c>
      <c r="E129" s="233"/>
      <c r="F129" s="233" t="s">
        <v>256</v>
      </c>
      <c r="G129" s="233">
        <v>2</v>
      </c>
      <c r="H129" s="233" t="s">
        <v>290</v>
      </c>
      <c r="I129" s="78">
        <v>696.3</v>
      </c>
      <c r="J129" s="78">
        <v>645.29999999999995</v>
      </c>
      <c r="K129" s="78">
        <v>645.29999999999995</v>
      </c>
      <c r="L129" s="239">
        <v>42</v>
      </c>
      <c r="M129" s="233" t="s">
        <v>254</v>
      </c>
      <c r="N129" s="233" t="s">
        <v>258</v>
      </c>
      <c r="O129" s="236" t="s">
        <v>326</v>
      </c>
      <c r="P129" s="78">
        <v>2392182.6</v>
      </c>
      <c r="Q129" s="78">
        <v>0</v>
      </c>
      <c r="R129" s="78">
        <v>0</v>
      </c>
      <c r="S129" s="78">
        <v>0</v>
      </c>
      <c r="T129" s="78">
        <f t="shared" si="6"/>
        <v>2392182.6</v>
      </c>
      <c r="U129" s="78">
        <f t="shared" si="5"/>
        <v>3435.5631193451104</v>
      </c>
      <c r="V129" s="78">
        <v>7503.3504328594008</v>
      </c>
    </row>
    <row r="130" spans="1:22" s="79" customFormat="1" ht="61.5" x14ac:dyDescent="0.25">
      <c r="A130" s="79">
        <v>1</v>
      </c>
      <c r="B130" s="80">
        <f>SUBTOTAL(103,$A$16:A130)</f>
        <v>114</v>
      </c>
      <c r="C130" s="77" t="s">
        <v>426</v>
      </c>
      <c r="D130" s="233">
        <v>1963</v>
      </c>
      <c r="E130" s="233"/>
      <c r="F130" s="233" t="s">
        <v>256</v>
      </c>
      <c r="G130" s="233">
        <v>4</v>
      </c>
      <c r="H130" s="233" t="s">
        <v>299</v>
      </c>
      <c r="I130" s="78">
        <v>2252.4</v>
      </c>
      <c r="J130" s="78">
        <v>2107.9</v>
      </c>
      <c r="K130" s="78">
        <v>1530.2</v>
      </c>
      <c r="L130" s="239">
        <v>83</v>
      </c>
      <c r="M130" s="233" t="s">
        <v>254</v>
      </c>
      <c r="N130" s="233" t="s">
        <v>258</v>
      </c>
      <c r="O130" s="236" t="s">
        <v>332</v>
      </c>
      <c r="P130" s="78">
        <v>3299178.75</v>
      </c>
      <c r="Q130" s="78">
        <v>0</v>
      </c>
      <c r="R130" s="78">
        <v>0</v>
      </c>
      <c r="S130" s="78">
        <v>0</v>
      </c>
      <c r="T130" s="78">
        <f t="shared" si="6"/>
        <v>3299178.75</v>
      </c>
      <c r="U130" s="78">
        <f t="shared" si="5"/>
        <v>1464.7392781033564</v>
      </c>
      <c r="V130" s="78">
        <v>3356.2417868939797</v>
      </c>
    </row>
    <row r="131" spans="1:22" s="79" customFormat="1" ht="61.5" x14ac:dyDescent="0.25">
      <c r="A131" s="79">
        <v>1</v>
      </c>
      <c r="B131" s="80">
        <f>SUBTOTAL(103,$A$16:A131)</f>
        <v>115</v>
      </c>
      <c r="C131" s="77" t="s">
        <v>427</v>
      </c>
      <c r="D131" s="233">
        <v>1961</v>
      </c>
      <c r="E131" s="233"/>
      <c r="F131" s="233" t="s">
        <v>256</v>
      </c>
      <c r="G131" s="233">
        <v>2</v>
      </c>
      <c r="H131" s="233" t="s">
        <v>290</v>
      </c>
      <c r="I131" s="78">
        <v>695.8</v>
      </c>
      <c r="J131" s="78">
        <v>646.6</v>
      </c>
      <c r="K131" s="78">
        <v>646.6</v>
      </c>
      <c r="L131" s="239">
        <v>42</v>
      </c>
      <c r="M131" s="233" t="s">
        <v>254</v>
      </c>
      <c r="N131" s="233" t="s">
        <v>258</v>
      </c>
      <c r="O131" s="236" t="s">
        <v>326</v>
      </c>
      <c r="P131" s="78">
        <v>2218259.69</v>
      </c>
      <c r="Q131" s="78">
        <v>0</v>
      </c>
      <c r="R131" s="78">
        <v>0</v>
      </c>
      <c r="S131" s="78">
        <v>0</v>
      </c>
      <c r="T131" s="78">
        <f t="shared" si="6"/>
        <v>2218259.69</v>
      </c>
      <c r="U131" s="78">
        <f t="shared" si="5"/>
        <v>3188.0708393216441</v>
      </c>
      <c r="V131" s="78">
        <v>7446.7151951710275</v>
      </c>
    </row>
    <row r="132" spans="1:22" s="79" customFormat="1" ht="36" customHeight="1" x14ac:dyDescent="0.25">
      <c r="A132" s="79">
        <v>1</v>
      </c>
      <c r="B132" s="80">
        <f>SUBTOTAL(103,$A$16:A132)</f>
        <v>116</v>
      </c>
      <c r="C132" s="77" t="s">
        <v>428</v>
      </c>
      <c r="D132" s="233">
        <v>1962</v>
      </c>
      <c r="E132" s="233"/>
      <c r="F132" s="233" t="s">
        <v>256</v>
      </c>
      <c r="G132" s="233" t="s">
        <v>299</v>
      </c>
      <c r="H132" s="233" t="s">
        <v>299</v>
      </c>
      <c r="I132" s="78">
        <v>1651.8</v>
      </c>
      <c r="J132" s="78">
        <v>1537.5</v>
      </c>
      <c r="K132" s="78">
        <v>1462.9</v>
      </c>
      <c r="L132" s="239">
        <v>58</v>
      </c>
      <c r="M132" s="233" t="s">
        <v>254</v>
      </c>
      <c r="N132" s="233" t="s">
        <v>327</v>
      </c>
      <c r="O132" s="236" t="s">
        <v>333</v>
      </c>
      <c r="P132" s="78">
        <v>91764.43</v>
      </c>
      <c r="Q132" s="78">
        <v>0</v>
      </c>
      <c r="R132" s="78">
        <v>0</v>
      </c>
      <c r="S132" s="78">
        <v>0</v>
      </c>
      <c r="T132" s="78">
        <f t="shared" si="6"/>
        <v>91764.43</v>
      </c>
      <c r="U132" s="78">
        <f t="shared" si="5"/>
        <v>55.554201477176413</v>
      </c>
      <c r="V132" s="78">
        <v>55.554201477176413</v>
      </c>
    </row>
    <row r="133" spans="1:22" s="79" customFormat="1" ht="36" customHeight="1" x14ac:dyDescent="0.25">
      <c r="A133" s="79">
        <v>1</v>
      </c>
      <c r="B133" s="80">
        <f>SUBTOTAL(103,$A$16:A133)</f>
        <v>117</v>
      </c>
      <c r="C133" s="77" t="s">
        <v>429</v>
      </c>
      <c r="D133" s="233">
        <v>1937</v>
      </c>
      <c r="E133" s="233">
        <v>2010</v>
      </c>
      <c r="F133" s="233" t="s">
        <v>316</v>
      </c>
      <c r="G133" s="233">
        <v>2</v>
      </c>
      <c r="H133" s="233" t="s">
        <v>290</v>
      </c>
      <c r="I133" s="78">
        <v>522</v>
      </c>
      <c r="J133" s="78">
        <v>471.4</v>
      </c>
      <c r="K133" s="78">
        <v>471.4</v>
      </c>
      <c r="L133" s="239">
        <v>22</v>
      </c>
      <c r="M133" s="233" t="s">
        <v>254</v>
      </c>
      <c r="N133" s="233" t="s">
        <v>255</v>
      </c>
      <c r="O133" s="236" t="s">
        <v>257</v>
      </c>
      <c r="P133" s="78">
        <v>45369.9</v>
      </c>
      <c r="Q133" s="78">
        <v>0</v>
      </c>
      <c r="R133" s="78">
        <v>0</v>
      </c>
      <c r="S133" s="78">
        <v>0</v>
      </c>
      <c r="T133" s="78">
        <f t="shared" si="6"/>
        <v>45369.9</v>
      </c>
      <c r="U133" s="78">
        <f t="shared" si="5"/>
        <v>86.91551724137932</v>
      </c>
      <c r="V133" s="78">
        <v>86.91551724137932</v>
      </c>
    </row>
    <row r="134" spans="1:22" s="79" customFormat="1" ht="36" customHeight="1" x14ac:dyDescent="0.25">
      <c r="A134" s="79">
        <v>1</v>
      </c>
      <c r="B134" s="80">
        <f>SUBTOTAL(103,$A$16:A134)</f>
        <v>118</v>
      </c>
      <c r="C134" s="77" t="s">
        <v>1068</v>
      </c>
      <c r="D134" s="233">
        <v>1979</v>
      </c>
      <c r="E134" s="233">
        <v>2008</v>
      </c>
      <c r="F134" s="233" t="s">
        <v>298</v>
      </c>
      <c r="G134" s="233">
        <v>5</v>
      </c>
      <c r="H134" s="233" t="s">
        <v>355</v>
      </c>
      <c r="I134" s="78">
        <v>5005</v>
      </c>
      <c r="J134" s="78">
        <v>4545.8</v>
      </c>
      <c r="K134" s="78">
        <v>4545.8</v>
      </c>
      <c r="L134" s="239">
        <v>153</v>
      </c>
      <c r="M134" s="233" t="s">
        <v>254</v>
      </c>
      <c r="N134" s="233" t="s">
        <v>258</v>
      </c>
      <c r="O134" s="236" t="s">
        <v>1222</v>
      </c>
      <c r="P134" s="78">
        <v>2872501.01</v>
      </c>
      <c r="Q134" s="78">
        <v>0</v>
      </c>
      <c r="R134" s="78">
        <v>0</v>
      </c>
      <c r="S134" s="78">
        <v>0</v>
      </c>
      <c r="T134" s="78">
        <f t="shared" si="6"/>
        <v>2872501.01</v>
      </c>
      <c r="U134" s="78">
        <f t="shared" si="5"/>
        <v>573.92627572427568</v>
      </c>
      <c r="V134" s="78">
        <v>4070.12</v>
      </c>
    </row>
    <row r="135" spans="1:22" s="79" customFormat="1" ht="36" customHeight="1" x14ac:dyDescent="0.25">
      <c r="A135" s="79">
        <v>1</v>
      </c>
      <c r="B135" s="80">
        <f>SUBTOTAL(103,$A$16:A135)</f>
        <v>119</v>
      </c>
      <c r="C135" s="77" t="s">
        <v>1069</v>
      </c>
      <c r="D135" s="233">
        <v>1933</v>
      </c>
      <c r="E135" s="233">
        <v>2008</v>
      </c>
      <c r="F135" s="233" t="s">
        <v>256</v>
      </c>
      <c r="G135" s="233">
        <v>3</v>
      </c>
      <c r="H135" s="233" t="s">
        <v>295</v>
      </c>
      <c r="I135" s="78">
        <v>1863.4</v>
      </c>
      <c r="J135" s="78">
        <v>1677.4</v>
      </c>
      <c r="K135" s="78">
        <v>1677.4</v>
      </c>
      <c r="L135" s="239">
        <v>86</v>
      </c>
      <c r="M135" s="233" t="s">
        <v>254</v>
      </c>
      <c r="N135" s="233" t="s">
        <v>258</v>
      </c>
      <c r="O135" s="236" t="s">
        <v>332</v>
      </c>
      <c r="P135" s="78">
        <v>985412.63</v>
      </c>
      <c r="Q135" s="78">
        <v>0</v>
      </c>
      <c r="R135" s="78">
        <v>0</v>
      </c>
      <c r="S135" s="78">
        <v>0</v>
      </c>
      <c r="T135" s="78">
        <f t="shared" si="6"/>
        <v>985412.63</v>
      </c>
      <c r="U135" s="78">
        <f t="shared" si="5"/>
        <v>528.82506708167864</v>
      </c>
      <c r="V135" s="78">
        <v>810.46</v>
      </c>
    </row>
    <row r="136" spans="1:22" s="79" customFormat="1" ht="36" customHeight="1" x14ac:dyDescent="0.25">
      <c r="A136" s="79">
        <v>1</v>
      </c>
      <c r="B136" s="80">
        <f>SUBTOTAL(103,$A$16:A136)</f>
        <v>120</v>
      </c>
      <c r="C136" s="77" t="s">
        <v>1071</v>
      </c>
      <c r="D136" s="233" t="s">
        <v>1247</v>
      </c>
      <c r="E136" s="233"/>
      <c r="F136" s="233" t="s">
        <v>256</v>
      </c>
      <c r="G136" s="233" t="s">
        <v>290</v>
      </c>
      <c r="H136" s="233" t="s">
        <v>290</v>
      </c>
      <c r="I136" s="78">
        <v>823.9</v>
      </c>
      <c r="J136" s="78">
        <v>758.2</v>
      </c>
      <c r="K136" s="78">
        <v>758.2</v>
      </c>
      <c r="L136" s="239">
        <v>35</v>
      </c>
      <c r="M136" s="233" t="s">
        <v>254</v>
      </c>
      <c r="N136" s="233" t="s">
        <v>258</v>
      </c>
      <c r="O136" s="236" t="s">
        <v>332</v>
      </c>
      <c r="P136" s="78">
        <v>1787071.37</v>
      </c>
      <c r="Q136" s="78">
        <v>0</v>
      </c>
      <c r="R136" s="78">
        <v>0</v>
      </c>
      <c r="S136" s="78">
        <v>0</v>
      </c>
      <c r="T136" s="78">
        <f t="shared" si="6"/>
        <v>1787071.37</v>
      </c>
      <c r="U136" s="78">
        <f t="shared" si="5"/>
        <v>2169.0391673746817</v>
      </c>
      <c r="V136" s="78">
        <v>7409.6997072460254</v>
      </c>
    </row>
    <row r="137" spans="1:22" s="79" customFormat="1" ht="36" customHeight="1" x14ac:dyDescent="0.25">
      <c r="A137" s="79">
        <v>1</v>
      </c>
      <c r="B137" s="80">
        <f>SUBTOTAL(103,$A$16:A137)</f>
        <v>121</v>
      </c>
      <c r="C137" s="77" t="s">
        <v>1072</v>
      </c>
      <c r="D137" s="233">
        <v>1956</v>
      </c>
      <c r="E137" s="233"/>
      <c r="F137" s="233" t="s">
        <v>256</v>
      </c>
      <c r="G137" s="233">
        <v>2</v>
      </c>
      <c r="H137" s="233" t="s">
        <v>291</v>
      </c>
      <c r="I137" s="78">
        <v>420.5</v>
      </c>
      <c r="J137" s="78">
        <v>420.5</v>
      </c>
      <c r="K137" s="78">
        <v>420.5</v>
      </c>
      <c r="L137" s="239">
        <v>20</v>
      </c>
      <c r="M137" s="233" t="s">
        <v>254</v>
      </c>
      <c r="N137" s="233" t="s">
        <v>255</v>
      </c>
      <c r="O137" s="236" t="s">
        <v>257</v>
      </c>
      <c r="P137" s="78">
        <v>121797.55</v>
      </c>
      <c r="Q137" s="78">
        <v>0</v>
      </c>
      <c r="R137" s="78">
        <v>0</v>
      </c>
      <c r="S137" s="78">
        <v>0</v>
      </c>
      <c r="T137" s="78">
        <f t="shared" si="6"/>
        <v>121797.55</v>
      </c>
      <c r="U137" s="78">
        <f t="shared" si="5"/>
        <v>289.64934601664686</v>
      </c>
      <c r="V137" s="78">
        <v>810.46</v>
      </c>
    </row>
    <row r="138" spans="1:22" s="79" customFormat="1" ht="36" customHeight="1" x14ac:dyDescent="0.25">
      <c r="A138" s="79">
        <v>1</v>
      </c>
      <c r="B138" s="80">
        <f>SUBTOTAL(103,$A$16:A138)</f>
        <v>122</v>
      </c>
      <c r="C138" s="77" t="s">
        <v>1073</v>
      </c>
      <c r="D138" s="233">
        <v>1949</v>
      </c>
      <c r="E138" s="233">
        <v>2008</v>
      </c>
      <c r="F138" s="233" t="s">
        <v>256</v>
      </c>
      <c r="G138" s="233" t="s">
        <v>290</v>
      </c>
      <c r="H138" s="233" t="s">
        <v>291</v>
      </c>
      <c r="I138" s="78">
        <v>446.3</v>
      </c>
      <c r="J138" s="78">
        <v>446.3</v>
      </c>
      <c r="K138" s="78">
        <v>446.3</v>
      </c>
      <c r="L138" s="239">
        <v>28</v>
      </c>
      <c r="M138" s="233" t="s">
        <v>254</v>
      </c>
      <c r="N138" s="233" t="s">
        <v>255</v>
      </c>
      <c r="O138" s="236" t="s">
        <v>257</v>
      </c>
      <c r="P138" s="78">
        <v>940372.45000000007</v>
      </c>
      <c r="Q138" s="78">
        <v>0</v>
      </c>
      <c r="R138" s="78">
        <v>0</v>
      </c>
      <c r="S138" s="78">
        <v>0</v>
      </c>
      <c r="T138" s="78">
        <f t="shared" si="6"/>
        <v>940372.45000000007</v>
      </c>
      <c r="U138" s="78">
        <f t="shared" si="5"/>
        <v>2107.0411158413626</v>
      </c>
      <c r="V138" s="78">
        <v>6883.9382971095674</v>
      </c>
    </row>
    <row r="139" spans="1:22" s="79" customFormat="1" ht="36" customHeight="1" x14ac:dyDescent="0.25">
      <c r="A139" s="79">
        <v>1</v>
      </c>
      <c r="B139" s="80">
        <f>SUBTOTAL(103,$A$16:A139)</f>
        <v>123</v>
      </c>
      <c r="C139" s="77" t="s">
        <v>1074</v>
      </c>
      <c r="D139" s="233">
        <v>1964</v>
      </c>
      <c r="E139" s="233"/>
      <c r="F139" s="233" t="s">
        <v>256</v>
      </c>
      <c r="G139" s="233">
        <v>2</v>
      </c>
      <c r="H139" s="233" t="s">
        <v>291</v>
      </c>
      <c r="I139" s="78">
        <v>380.8</v>
      </c>
      <c r="J139" s="78">
        <v>380.8</v>
      </c>
      <c r="K139" s="78">
        <v>380.8</v>
      </c>
      <c r="L139" s="239">
        <v>13</v>
      </c>
      <c r="M139" s="233" t="s">
        <v>254</v>
      </c>
      <c r="N139" s="233" t="s">
        <v>255</v>
      </c>
      <c r="O139" s="236" t="s">
        <v>257</v>
      </c>
      <c r="P139" s="78">
        <v>291919.45999999996</v>
      </c>
      <c r="Q139" s="78">
        <v>0</v>
      </c>
      <c r="R139" s="78">
        <v>0</v>
      </c>
      <c r="S139" s="78">
        <v>0</v>
      </c>
      <c r="T139" s="78">
        <f t="shared" si="6"/>
        <v>291919.45999999996</v>
      </c>
      <c r="U139" s="78">
        <f t="shared" si="5"/>
        <v>766.59522058823518</v>
      </c>
      <c r="V139" s="78">
        <v>1108.53</v>
      </c>
    </row>
    <row r="140" spans="1:22" s="79" customFormat="1" ht="36" customHeight="1" x14ac:dyDescent="0.25">
      <c r="A140" s="79">
        <v>1</v>
      </c>
      <c r="B140" s="80">
        <f>SUBTOTAL(103,$A$16:A140)</f>
        <v>124</v>
      </c>
      <c r="C140" s="77" t="s">
        <v>1075</v>
      </c>
      <c r="D140" s="233">
        <v>1956</v>
      </c>
      <c r="E140" s="233"/>
      <c r="F140" s="233" t="s">
        <v>310</v>
      </c>
      <c r="G140" s="233">
        <v>2</v>
      </c>
      <c r="H140" s="233" t="s">
        <v>290</v>
      </c>
      <c r="I140" s="78">
        <v>672.3</v>
      </c>
      <c r="J140" s="78">
        <v>672.3</v>
      </c>
      <c r="K140" s="78">
        <v>577.9</v>
      </c>
      <c r="L140" s="239">
        <v>17</v>
      </c>
      <c r="M140" s="233" t="s">
        <v>254</v>
      </c>
      <c r="N140" s="233" t="s">
        <v>255</v>
      </c>
      <c r="O140" s="236" t="s">
        <v>257</v>
      </c>
      <c r="P140" s="78">
        <v>1755092.12</v>
      </c>
      <c r="Q140" s="78">
        <v>0</v>
      </c>
      <c r="R140" s="78">
        <v>0</v>
      </c>
      <c r="S140" s="78">
        <v>0</v>
      </c>
      <c r="T140" s="78">
        <f t="shared" si="6"/>
        <v>1755092.12</v>
      </c>
      <c r="U140" s="78">
        <f t="shared" si="5"/>
        <v>2610.5787892309986</v>
      </c>
      <c r="V140" s="78">
        <v>9318.6816113342247</v>
      </c>
    </row>
    <row r="141" spans="1:22" s="79" customFormat="1" ht="36" customHeight="1" x14ac:dyDescent="0.25">
      <c r="A141" s="79">
        <v>1</v>
      </c>
      <c r="B141" s="80">
        <f>SUBTOTAL(103,$A$16:A141)</f>
        <v>125</v>
      </c>
      <c r="C141" s="77" t="s">
        <v>1076</v>
      </c>
      <c r="D141" s="233">
        <v>1961</v>
      </c>
      <c r="E141" s="233"/>
      <c r="F141" s="233" t="s">
        <v>256</v>
      </c>
      <c r="G141" s="233">
        <v>2</v>
      </c>
      <c r="H141" s="233" t="s">
        <v>290</v>
      </c>
      <c r="I141" s="78">
        <v>546.70000000000005</v>
      </c>
      <c r="J141" s="78">
        <v>546.70000000000005</v>
      </c>
      <c r="K141" s="78">
        <v>546.70000000000005</v>
      </c>
      <c r="L141" s="239">
        <v>45</v>
      </c>
      <c r="M141" s="233" t="s">
        <v>254</v>
      </c>
      <c r="N141" s="233" t="s">
        <v>255</v>
      </c>
      <c r="O141" s="236" t="s">
        <v>257</v>
      </c>
      <c r="P141" s="78">
        <v>1184059.1499999999</v>
      </c>
      <c r="Q141" s="78">
        <v>0</v>
      </c>
      <c r="R141" s="78">
        <v>0</v>
      </c>
      <c r="S141" s="78">
        <v>0</v>
      </c>
      <c r="T141" s="78">
        <f t="shared" si="6"/>
        <v>1184059.1499999999</v>
      </c>
      <c r="U141" s="78">
        <f t="shared" ref="U141:U149" si="7">P141/I141</f>
        <v>2165.8297969635996</v>
      </c>
      <c r="V141" s="78">
        <v>7388.7926131333452</v>
      </c>
    </row>
    <row r="142" spans="1:22" s="79" customFormat="1" ht="36" customHeight="1" x14ac:dyDescent="0.25">
      <c r="A142" s="79">
        <v>1</v>
      </c>
      <c r="B142" s="80">
        <f>SUBTOTAL(103,$A$16:A142)</f>
        <v>126</v>
      </c>
      <c r="C142" s="77" t="s">
        <v>1077</v>
      </c>
      <c r="D142" s="233">
        <v>1993</v>
      </c>
      <c r="E142" s="233">
        <v>2016</v>
      </c>
      <c r="F142" s="233" t="s">
        <v>275</v>
      </c>
      <c r="G142" s="233">
        <v>9</v>
      </c>
      <c r="H142" s="233" t="s">
        <v>295</v>
      </c>
      <c r="I142" s="78">
        <v>9105.2999999999993</v>
      </c>
      <c r="J142" s="78">
        <v>9105.2999999999993</v>
      </c>
      <c r="K142" s="78">
        <v>9105.2999999999993</v>
      </c>
      <c r="L142" s="239">
        <v>293</v>
      </c>
      <c r="M142" s="233" t="s">
        <v>254</v>
      </c>
      <c r="N142" s="233" t="s">
        <v>327</v>
      </c>
      <c r="O142" s="236" t="s">
        <v>1248</v>
      </c>
      <c r="P142" s="78">
        <v>5593558.4000000004</v>
      </c>
      <c r="Q142" s="78">
        <v>0</v>
      </c>
      <c r="R142" s="78">
        <v>0</v>
      </c>
      <c r="S142" s="78">
        <v>0</v>
      </c>
      <c r="T142" s="78">
        <f t="shared" si="6"/>
        <v>5593558.4000000004</v>
      </c>
      <c r="U142" s="78">
        <f t="shared" si="7"/>
        <v>614.31895709092521</v>
      </c>
      <c r="V142" s="78">
        <v>1079.7227988094846</v>
      </c>
    </row>
    <row r="143" spans="1:22" s="79" customFormat="1" ht="36" customHeight="1" x14ac:dyDescent="0.25">
      <c r="A143" s="79">
        <v>1</v>
      </c>
      <c r="B143" s="80">
        <f>SUBTOTAL(103,$A$16:A143)</f>
        <v>127</v>
      </c>
      <c r="C143" s="77" t="s">
        <v>1078</v>
      </c>
      <c r="D143" s="233">
        <v>1977</v>
      </c>
      <c r="E143" s="233">
        <v>2014</v>
      </c>
      <c r="F143" s="233" t="s">
        <v>256</v>
      </c>
      <c r="G143" s="233">
        <v>5</v>
      </c>
      <c r="H143" s="233" t="s">
        <v>295</v>
      </c>
      <c r="I143" s="78">
        <v>3912.3</v>
      </c>
      <c r="J143" s="78">
        <v>3639.1</v>
      </c>
      <c r="K143" s="78">
        <v>2732.3</v>
      </c>
      <c r="L143" s="239">
        <v>140</v>
      </c>
      <c r="M143" s="233" t="s">
        <v>254</v>
      </c>
      <c r="N143" s="233" t="s">
        <v>258</v>
      </c>
      <c r="O143" s="236" t="s">
        <v>1222</v>
      </c>
      <c r="P143" s="78">
        <v>1052135.68</v>
      </c>
      <c r="Q143" s="78">
        <v>0</v>
      </c>
      <c r="R143" s="78">
        <v>0</v>
      </c>
      <c r="S143" s="78">
        <v>0</v>
      </c>
      <c r="T143" s="78">
        <f t="shared" si="6"/>
        <v>1052135.68</v>
      </c>
      <c r="U143" s="78">
        <f t="shared" si="7"/>
        <v>268.93021496306517</v>
      </c>
      <c r="V143" s="78">
        <v>1108.53</v>
      </c>
    </row>
    <row r="144" spans="1:22" s="79" customFormat="1" ht="36" customHeight="1" x14ac:dyDescent="0.25">
      <c r="A144" s="79">
        <v>1</v>
      </c>
      <c r="B144" s="80">
        <f>SUBTOTAL(103,$A$16:A144)</f>
        <v>128</v>
      </c>
      <c r="C144" s="77" t="s">
        <v>1079</v>
      </c>
      <c r="D144" s="233">
        <v>1970</v>
      </c>
      <c r="E144" s="233"/>
      <c r="F144" s="233" t="s">
        <v>256</v>
      </c>
      <c r="G144" s="233">
        <v>5</v>
      </c>
      <c r="H144" s="233" t="s">
        <v>295</v>
      </c>
      <c r="I144" s="78">
        <v>3635.4</v>
      </c>
      <c r="J144" s="78">
        <v>3360</v>
      </c>
      <c r="K144" s="78">
        <v>3247.2</v>
      </c>
      <c r="L144" s="239">
        <v>167</v>
      </c>
      <c r="M144" s="233" t="s">
        <v>254</v>
      </c>
      <c r="N144" s="233" t="s">
        <v>258</v>
      </c>
      <c r="O144" s="236" t="s">
        <v>1249</v>
      </c>
      <c r="P144" s="78">
        <v>1528398.16</v>
      </c>
      <c r="Q144" s="78">
        <v>0</v>
      </c>
      <c r="R144" s="78">
        <v>0</v>
      </c>
      <c r="S144" s="78">
        <v>0</v>
      </c>
      <c r="T144" s="78">
        <f t="shared" si="6"/>
        <v>1528398.16</v>
      </c>
      <c r="U144" s="78">
        <f t="shared" si="7"/>
        <v>420.42090553996803</v>
      </c>
      <c r="V144" s="78">
        <v>1371.2800000000002</v>
      </c>
    </row>
    <row r="145" spans="1:22" s="79" customFormat="1" ht="36" customHeight="1" x14ac:dyDescent="0.25">
      <c r="A145" s="79">
        <v>1</v>
      </c>
      <c r="B145" s="80">
        <f>SUBTOTAL(103,$A$16:A145)</f>
        <v>129</v>
      </c>
      <c r="C145" s="77" t="s">
        <v>1080</v>
      </c>
      <c r="D145" s="233">
        <v>1985</v>
      </c>
      <c r="E145" s="233">
        <v>2014</v>
      </c>
      <c r="F145" s="233" t="s">
        <v>256</v>
      </c>
      <c r="G145" s="233">
        <v>9</v>
      </c>
      <c r="H145" s="233" t="s">
        <v>299</v>
      </c>
      <c r="I145" s="78">
        <v>7073.4</v>
      </c>
      <c r="J145" s="78">
        <v>6236.1</v>
      </c>
      <c r="K145" s="78">
        <v>5330.6</v>
      </c>
      <c r="L145" s="239">
        <v>229</v>
      </c>
      <c r="M145" s="233" t="s">
        <v>254</v>
      </c>
      <c r="N145" s="233" t="s">
        <v>258</v>
      </c>
      <c r="O145" s="236" t="s">
        <v>1249</v>
      </c>
      <c r="P145" s="78">
        <v>285579.52000000002</v>
      </c>
      <c r="Q145" s="78">
        <v>0</v>
      </c>
      <c r="R145" s="78">
        <v>0</v>
      </c>
      <c r="S145" s="78">
        <v>0</v>
      </c>
      <c r="T145" s="78">
        <f t="shared" si="6"/>
        <v>285579.52000000002</v>
      </c>
      <c r="U145" s="78">
        <f t="shared" si="7"/>
        <v>40.373726920575685</v>
      </c>
      <c r="V145" s="78">
        <v>184.98</v>
      </c>
    </row>
    <row r="146" spans="1:22" s="79" customFormat="1" ht="36" customHeight="1" x14ac:dyDescent="0.25">
      <c r="A146" s="79">
        <v>1</v>
      </c>
      <c r="B146" s="80">
        <f>SUBTOTAL(103,$A$16:A146)</f>
        <v>130</v>
      </c>
      <c r="C146" s="77" t="s">
        <v>1081</v>
      </c>
      <c r="D146" s="233">
        <v>1966</v>
      </c>
      <c r="E146" s="233"/>
      <c r="F146" s="233" t="s">
        <v>256</v>
      </c>
      <c r="G146" s="233">
        <v>2</v>
      </c>
      <c r="H146" s="233" t="s">
        <v>290</v>
      </c>
      <c r="I146" s="78">
        <v>787.5</v>
      </c>
      <c r="J146" s="78">
        <v>727.8</v>
      </c>
      <c r="K146" s="78">
        <v>727.8</v>
      </c>
      <c r="L146" s="239">
        <v>35</v>
      </c>
      <c r="M146" s="233" t="s">
        <v>254</v>
      </c>
      <c r="N146" s="233" t="s">
        <v>255</v>
      </c>
      <c r="O146" s="236" t="s">
        <v>257</v>
      </c>
      <c r="P146" s="78">
        <v>2415665.65</v>
      </c>
      <c r="Q146" s="78">
        <v>0</v>
      </c>
      <c r="R146" s="78">
        <v>0</v>
      </c>
      <c r="S146" s="78">
        <v>0</v>
      </c>
      <c r="T146" s="78">
        <f t="shared" si="6"/>
        <v>2415665.65</v>
      </c>
      <c r="U146" s="78">
        <f t="shared" si="7"/>
        <v>3067.5119365079363</v>
      </c>
      <c r="V146" s="78">
        <v>7009.0765206349215</v>
      </c>
    </row>
    <row r="147" spans="1:22" s="79" customFormat="1" ht="36" customHeight="1" x14ac:dyDescent="0.25">
      <c r="A147" s="79">
        <v>1</v>
      </c>
      <c r="B147" s="80">
        <f>SUBTOTAL(103,$A$16:A147)</f>
        <v>131</v>
      </c>
      <c r="C147" s="77" t="s">
        <v>1206</v>
      </c>
      <c r="D147" s="233">
        <v>1977</v>
      </c>
      <c r="E147" s="233"/>
      <c r="F147" s="233" t="s">
        <v>304</v>
      </c>
      <c r="G147" s="233">
        <v>5</v>
      </c>
      <c r="H147" s="233" t="s">
        <v>2123</v>
      </c>
      <c r="I147" s="78">
        <v>6715.9</v>
      </c>
      <c r="J147" s="78">
        <v>6150.8</v>
      </c>
      <c r="K147" s="78">
        <v>6150.8</v>
      </c>
      <c r="L147" s="239">
        <v>309</v>
      </c>
      <c r="M147" s="233" t="s">
        <v>254</v>
      </c>
      <c r="N147" s="233" t="s">
        <v>258</v>
      </c>
      <c r="O147" s="236" t="s">
        <v>1273</v>
      </c>
      <c r="P147" s="78">
        <v>5623327.0800000001</v>
      </c>
      <c r="Q147" s="78">
        <v>0</v>
      </c>
      <c r="R147" s="78">
        <v>0</v>
      </c>
      <c r="S147" s="78">
        <v>0</v>
      </c>
      <c r="T147" s="78">
        <f t="shared" si="6"/>
        <v>5623327.0800000001</v>
      </c>
      <c r="U147" s="78">
        <f t="shared" si="7"/>
        <v>837.31548712756296</v>
      </c>
      <c r="V147" s="78">
        <v>1987.3504863383912</v>
      </c>
    </row>
    <row r="148" spans="1:22" s="79" customFormat="1" ht="36" customHeight="1" x14ac:dyDescent="0.25">
      <c r="A148" s="79">
        <v>1</v>
      </c>
      <c r="B148" s="80">
        <f>SUBTOTAL(103,$A$16:A148)</f>
        <v>132</v>
      </c>
      <c r="C148" s="77" t="s">
        <v>437</v>
      </c>
      <c r="D148" s="233">
        <v>1970</v>
      </c>
      <c r="E148" s="233"/>
      <c r="F148" s="233" t="s">
        <v>256</v>
      </c>
      <c r="G148" s="233">
        <v>2</v>
      </c>
      <c r="H148" s="233" t="s">
        <v>290</v>
      </c>
      <c r="I148" s="78">
        <v>794.7</v>
      </c>
      <c r="J148" s="78">
        <v>737.8</v>
      </c>
      <c r="K148" s="78">
        <v>737.8</v>
      </c>
      <c r="L148" s="239">
        <v>38</v>
      </c>
      <c r="M148" s="233" t="s">
        <v>254</v>
      </c>
      <c r="N148" s="233" t="s">
        <v>255</v>
      </c>
      <c r="O148" s="236" t="s">
        <v>257</v>
      </c>
      <c r="P148" s="78">
        <v>52567.68</v>
      </c>
      <c r="Q148" s="78">
        <v>0</v>
      </c>
      <c r="R148" s="78">
        <v>0</v>
      </c>
      <c r="S148" s="78">
        <v>0</v>
      </c>
      <c r="T148" s="78">
        <f t="shared" si="6"/>
        <v>52567.68</v>
      </c>
      <c r="U148" s="78">
        <f t="shared" si="7"/>
        <v>66.147829369573415</v>
      </c>
      <c r="V148" s="78">
        <v>66.147829369573415</v>
      </c>
    </row>
    <row r="149" spans="1:22" s="79" customFormat="1" ht="36" customHeight="1" x14ac:dyDescent="0.25">
      <c r="A149" s="79">
        <v>1</v>
      </c>
      <c r="B149" s="80">
        <f>SUBTOTAL(103,$A$16:A149)</f>
        <v>133</v>
      </c>
      <c r="C149" s="77" t="s">
        <v>1207</v>
      </c>
      <c r="D149" s="233">
        <v>1978</v>
      </c>
      <c r="E149" s="233"/>
      <c r="F149" s="233" t="s">
        <v>316</v>
      </c>
      <c r="G149" s="233" t="s">
        <v>290</v>
      </c>
      <c r="H149" s="233" t="s">
        <v>299</v>
      </c>
      <c r="I149" s="78">
        <v>873.7</v>
      </c>
      <c r="J149" s="78">
        <v>873.7</v>
      </c>
      <c r="K149" s="78">
        <v>873.7</v>
      </c>
      <c r="L149" s="239">
        <v>31</v>
      </c>
      <c r="M149" s="233" t="s">
        <v>254</v>
      </c>
      <c r="N149" s="233" t="s">
        <v>255</v>
      </c>
      <c r="O149" s="236" t="s">
        <v>257</v>
      </c>
      <c r="P149" s="78">
        <v>61131.360000000001</v>
      </c>
      <c r="Q149" s="78">
        <v>0</v>
      </c>
      <c r="R149" s="78">
        <v>0</v>
      </c>
      <c r="S149" s="78">
        <v>0</v>
      </c>
      <c r="T149" s="78">
        <f t="shared" si="6"/>
        <v>61131.360000000001</v>
      </c>
      <c r="U149" s="78">
        <f t="shared" si="7"/>
        <v>69.968364427148899</v>
      </c>
      <c r="V149" s="78">
        <v>69.968364427148899</v>
      </c>
    </row>
    <row r="150" spans="1:22" s="79" customFormat="1" ht="36" customHeight="1" x14ac:dyDescent="0.25">
      <c r="B150" s="77" t="s">
        <v>707</v>
      </c>
      <c r="C150" s="240"/>
      <c r="D150" s="233" t="s">
        <v>835</v>
      </c>
      <c r="E150" s="233" t="s">
        <v>835</v>
      </c>
      <c r="F150" s="233" t="s">
        <v>835</v>
      </c>
      <c r="G150" s="233" t="s">
        <v>835</v>
      </c>
      <c r="H150" s="233" t="s">
        <v>835</v>
      </c>
      <c r="I150" s="234">
        <f>SUM(I151:I195)</f>
        <v>122338.65999999997</v>
      </c>
      <c r="J150" s="234">
        <f>SUM(J151:J195)</f>
        <v>104282.45000000003</v>
      </c>
      <c r="K150" s="234">
        <f>SUM(K151:K195)</f>
        <v>101660.15000000001</v>
      </c>
      <c r="L150" s="235">
        <f>SUM(L151:L195)</f>
        <v>4539</v>
      </c>
      <c r="M150" s="233" t="s">
        <v>835</v>
      </c>
      <c r="N150" s="233" t="s">
        <v>835</v>
      </c>
      <c r="O150" s="236" t="s">
        <v>835</v>
      </c>
      <c r="P150" s="237">
        <v>112751259.44999994</v>
      </c>
      <c r="Q150" s="234">
        <f>SUM(Q151:Q195)</f>
        <v>0</v>
      </c>
      <c r="R150" s="234">
        <f>SUM(R151:R195)</f>
        <v>0</v>
      </c>
      <c r="S150" s="234">
        <f>SUM(S151:S195)</f>
        <v>0</v>
      </c>
      <c r="T150" s="234">
        <f>SUM(T151:T195)</f>
        <v>112751259.44999994</v>
      </c>
      <c r="U150" s="78">
        <f t="shared" ref="U150:U204" si="8">P150/I150</f>
        <v>921.63229064303925</v>
      </c>
      <c r="V150" s="78">
        <f>MAX(V151:V195)</f>
        <v>10964.254610942062</v>
      </c>
    </row>
    <row r="151" spans="1:22" s="79" customFormat="1" ht="36" customHeight="1" x14ac:dyDescent="0.25">
      <c r="A151" s="79">
        <v>1</v>
      </c>
      <c r="B151" s="80">
        <f>SUBTOTAL(103,$A$16:A151)</f>
        <v>134</v>
      </c>
      <c r="C151" s="77" t="s">
        <v>366</v>
      </c>
      <c r="D151" s="233">
        <v>1974</v>
      </c>
      <c r="E151" s="233"/>
      <c r="F151" s="233" t="s">
        <v>298</v>
      </c>
      <c r="G151" s="233">
        <v>5</v>
      </c>
      <c r="H151" s="233" t="s">
        <v>355</v>
      </c>
      <c r="I151" s="78">
        <v>4987.2</v>
      </c>
      <c r="J151" s="78">
        <v>4580.7</v>
      </c>
      <c r="K151" s="78">
        <v>4580.7</v>
      </c>
      <c r="L151" s="239">
        <v>117</v>
      </c>
      <c r="M151" s="233" t="s">
        <v>254</v>
      </c>
      <c r="N151" s="233" t="s">
        <v>258</v>
      </c>
      <c r="O151" s="236" t="s">
        <v>307</v>
      </c>
      <c r="P151" s="78">
        <v>2649277.08</v>
      </c>
      <c r="Q151" s="78">
        <v>0</v>
      </c>
      <c r="R151" s="78">
        <v>0</v>
      </c>
      <c r="S151" s="78">
        <v>0</v>
      </c>
      <c r="T151" s="78">
        <f t="shared" ref="T151:T185" si="9">P151-R151-S151</f>
        <v>2649277.08</v>
      </c>
      <c r="U151" s="78">
        <f t="shared" si="8"/>
        <v>531.21532723772862</v>
      </c>
      <c r="V151" s="78">
        <v>1982.8398739172283</v>
      </c>
    </row>
    <row r="152" spans="1:22" s="79" customFormat="1" ht="36" customHeight="1" x14ac:dyDescent="0.25">
      <c r="A152" s="79">
        <v>1</v>
      </c>
      <c r="B152" s="80">
        <f>SUBTOTAL(103,$A$16:A152)</f>
        <v>135</v>
      </c>
      <c r="C152" s="77" t="s">
        <v>367</v>
      </c>
      <c r="D152" s="233">
        <v>1975</v>
      </c>
      <c r="E152" s="233"/>
      <c r="F152" s="233" t="s">
        <v>298</v>
      </c>
      <c r="G152" s="233">
        <v>5</v>
      </c>
      <c r="H152" s="233" t="s">
        <v>2123</v>
      </c>
      <c r="I152" s="78">
        <v>6679</v>
      </c>
      <c r="J152" s="78">
        <v>6109.3</v>
      </c>
      <c r="K152" s="78">
        <v>6109.3</v>
      </c>
      <c r="L152" s="239">
        <v>285</v>
      </c>
      <c r="M152" s="233" t="s">
        <v>254</v>
      </c>
      <c r="N152" s="233" t="s">
        <v>258</v>
      </c>
      <c r="O152" s="236" t="s">
        <v>934</v>
      </c>
      <c r="P152" s="78">
        <v>2599693.37</v>
      </c>
      <c r="Q152" s="78">
        <v>0</v>
      </c>
      <c r="R152" s="78">
        <v>0</v>
      </c>
      <c r="S152" s="78">
        <v>0</v>
      </c>
      <c r="T152" s="78">
        <f t="shared" si="9"/>
        <v>2599693.37</v>
      </c>
      <c r="U152" s="78">
        <f t="shared" si="8"/>
        <v>389.23392274292559</v>
      </c>
      <c r="V152" s="78">
        <v>3635.5</v>
      </c>
    </row>
    <row r="153" spans="1:22" s="79" customFormat="1" ht="36" customHeight="1" x14ac:dyDescent="0.25">
      <c r="A153" s="79">
        <v>1</v>
      </c>
      <c r="B153" s="80">
        <f>SUBTOTAL(103,$A$16:A153)</f>
        <v>136</v>
      </c>
      <c r="C153" s="77" t="s">
        <v>368</v>
      </c>
      <c r="D153" s="233">
        <v>1954</v>
      </c>
      <c r="E153" s="233"/>
      <c r="F153" s="233" t="s">
        <v>256</v>
      </c>
      <c r="G153" s="233">
        <v>2</v>
      </c>
      <c r="H153" s="233" t="s">
        <v>299</v>
      </c>
      <c r="I153" s="78">
        <v>641.79999999999995</v>
      </c>
      <c r="J153" s="78">
        <v>552.29999999999995</v>
      </c>
      <c r="K153" s="78">
        <v>552.29999999999995</v>
      </c>
      <c r="L153" s="239">
        <v>34</v>
      </c>
      <c r="M153" s="233" t="s">
        <v>254</v>
      </c>
      <c r="N153" s="233" t="s">
        <v>258</v>
      </c>
      <c r="O153" s="236" t="s">
        <v>307</v>
      </c>
      <c r="P153" s="78">
        <v>3188621.1</v>
      </c>
      <c r="Q153" s="78">
        <v>0</v>
      </c>
      <c r="R153" s="78">
        <v>0</v>
      </c>
      <c r="S153" s="78">
        <v>0</v>
      </c>
      <c r="T153" s="78">
        <f t="shared" si="9"/>
        <v>3188621.1</v>
      </c>
      <c r="U153" s="78">
        <f t="shared" si="8"/>
        <v>4968.2472732938613</v>
      </c>
      <c r="V153" s="78">
        <v>8336.2792147086348</v>
      </c>
    </row>
    <row r="154" spans="1:22" s="79" customFormat="1" ht="36" customHeight="1" x14ac:dyDescent="0.25">
      <c r="A154" s="79">
        <v>1</v>
      </c>
      <c r="B154" s="80">
        <f>SUBTOTAL(103,$A$16:A154)</f>
        <v>137</v>
      </c>
      <c r="C154" s="77" t="s">
        <v>369</v>
      </c>
      <c r="D154" s="233">
        <v>1975</v>
      </c>
      <c r="E154" s="233"/>
      <c r="F154" s="233" t="s">
        <v>256</v>
      </c>
      <c r="G154" s="233">
        <v>5</v>
      </c>
      <c r="H154" s="233" t="s">
        <v>295</v>
      </c>
      <c r="I154" s="78">
        <v>3325.2</v>
      </c>
      <c r="J154" s="78">
        <v>3325.2</v>
      </c>
      <c r="K154" s="78">
        <v>3325.2</v>
      </c>
      <c r="L154" s="239">
        <v>111</v>
      </c>
      <c r="M154" s="233" t="s">
        <v>254</v>
      </c>
      <c r="N154" s="233" t="s">
        <v>258</v>
      </c>
      <c r="O154" s="236" t="s">
        <v>308</v>
      </c>
      <c r="P154" s="78">
        <v>5265781.6800000006</v>
      </c>
      <c r="Q154" s="78">
        <v>0</v>
      </c>
      <c r="R154" s="78">
        <v>0</v>
      </c>
      <c r="S154" s="78">
        <v>0</v>
      </c>
      <c r="T154" s="78">
        <f t="shared" si="9"/>
        <v>5265781.6800000006</v>
      </c>
      <c r="U154" s="78">
        <f t="shared" si="8"/>
        <v>1583.5984843016963</v>
      </c>
      <c r="V154" s="78">
        <v>2931.0491759894144</v>
      </c>
    </row>
    <row r="155" spans="1:22" s="79" customFormat="1" ht="36" customHeight="1" x14ac:dyDescent="0.25">
      <c r="A155" s="79">
        <v>1</v>
      </c>
      <c r="B155" s="80">
        <f>SUBTOTAL(103,$A$16:A155)</f>
        <v>138</v>
      </c>
      <c r="C155" s="77" t="s">
        <v>370</v>
      </c>
      <c r="D155" s="233">
        <v>1966</v>
      </c>
      <c r="E155" s="233"/>
      <c r="F155" s="233" t="s">
        <v>256</v>
      </c>
      <c r="G155" s="233">
        <v>4</v>
      </c>
      <c r="H155" s="233" t="s">
        <v>295</v>
      </c>
      <c r="I155" s="78">
        <v>2747.7</v>
      </c>
      <c r="J155" s="78">
        <v>2553.9</v>
      </c>
      <c r="K155" s="78">
        <v>2553.9</v>
      </c>
      <c r="L155" s="239">
        <v>120</v>
      </c>
      <c r="M155" s="233" t="s">
        <v>254</v>
      </c>
      <c r="N155" s="233" t="s">
        <v>258</v>
      </c>
      <c r="O155" s="236" t="s">
        <v>934</v>
      </c>
      <c r="P155" s="78">
        <v>5393074.9299999997</v>
      </c>
      <c r="Q155" s="78">
        <v>0</v>
      </c>
      <c r="R155" s="78">
        <v>0</v>
      </c>
      <c r="S155" s="78">
        <v>0</v>
      </c>
      <c r="T155" s="78">
        <f t="shared" si="9"/>
        <v>5393074.9299999997</v>
      </c>
      <c r="U155" s="78">
        <f t="shared" si="8"/>
        <v>1962.7597372347782</v>
      </c>
      <c r="V155" s="78">
        <v>3545.5919065400153</v>
      </c>
    </row>
    <row r="156" spans="1:22" s="79" customFormat="1" ht="36" customHeight="1" x14ac:dyDescent="0.25">
      <c r="A156" s="79">
        <v>1</v>
      </c>
      <c r="B156" s="80">
        <f>SUBTOTAL(103,$A$16:A156)</f>
        <v>139</v>
      </c>
      <c r="C156" s="77" t="s">
        <v>371</v>
      </c>
      <c r="D156" s="233" t="s">
        <v>309</v>
      </c>
      <c r="E156" s="233"/>
      <c r="F156" s="233" t="s">
        <v>256</v>
      </c>
      <c r="G156" s="233">
        <v>9</v>
      </c>
      <c r="H156" s="233" t="s">
        <v>299</v>
      </c>
      <c r="I156" s="78">
        <v>6434.3</v>
      </c>
      <c r="J156" s="78">
        <v>5754.2</v>
      </c>
      <c r="K156" s="78">
        <v>5754.2</v>
      </c>
      <c r="L156" s="239">
        <v>247</v>
      </c>
      <c r="M156" s="233" t="s">
        <v>254</v>
      </c>
      <c r="N156" s="233" t="s">
        <v>258</v>
      </c>
      <c r="O156" s="236" t="s">
        <v>308</v>
      </c>
      <c r="P156" s="78">
        <v>4873547.67</v>
      </c>
      <c r="Q156" s="78">
        <v>0</v>
      </c>
      <c r="R156" s="78">
        <v>0</v>
      </c>
      <c r="S156" s="78">
        <v>0</v>
      </c>
      <c r="T156" s="78">
        <f t="shared" si="9"/>
        <v>4873547.67</v>
      </c>
      <c r="U156" s="78">
        <f t="shared" si="8"/>
        <v>757.43245885333283</v>
      </c>
      <c r="V156" s="78">
        <v>1145.9521626284134</v>
      </c>
    </row>
    <row r="157" spans="1:22" s="79" customFormat="1" ht="36" customHeight="1" x14ac:dyDescent="0.25">
      <c r="A157" s="79">
        <v>1</v>
      </c>
      <c r="B157" s="80">
        <f>SUBTOTAL(103,$A$16:A157)</f>
        <v>140</v>
      </c>
      <c r="C157" s="77" t="s">
        <v>372</v>
      </c>
      <c r="D157" s="233">
        <v>1949</v>
      </c>
      <c r="E157" s="233"/>
      <c r="F157" s="233" t="s">
        <v>310</v>
      </c>
      <c r="G157" s="233">
        <v>2</v>
      </c>
      <c r="H157" s="233" t="s">
        <v>291</v>
      </c>
      <c r="I157" s="78">
        <v>499.5</v>
      </c>
      <c r="J157" s="78">
        <v>450.4</v>
      </c>
      <c r="K157" s="78">
        <v>450.4</v>
      </c>
      <c r="L157" s="239">
        <v>16</v>
      </c>
      <c r="M157" s="233" t="s">
        <v>254</v>
      </c>
      <c r="N157" s="233" t="s">
        <v>255</v>
      </c>
      <c r="O157" s="236" t="s">
        <v>257</v>
      </c>
      <c r="P157" s="78">
        <v>2215482.85</v>
      </c>
      <c r="Q157" s="78">
        <v>0</v>
      </c>
      <c r="R157" s="78">
        <v>0</v>
      </c>
      <c r="S157" s="78">
        <v>0</v>
      </c>
      <c r="T157" s="78">
        <f t="shared" si="9"/>
        <v>2215482.85</v>
      </c>
      <c r="U157" s="78">
        <f t="shared" si="8"/>
        <v>4435.4011011011016</v>
      </c>
      <c r="V157" s="78">
        <v>7922.6873913913923</v>
      </c>
    </row>
    <row r="158" spans="1:22" s="79" customFormat="1" ht="36" customHeight="1" x14ac:dyDescent="0.25">
      <c r="A158" s="79">
        <v>1</v>
      </c>
      <c r="B158" s="80">
        <f>SUBTOTAL(103,$A$16:A158)</f>
        <v>141</v>
      </c>
      <c r="C158" s="77" t="s">
        <v>373</v>
      </c>
      <c r="D158" s="233">
        <v>1992</v>
      </c>
      <c r="E158" s="233"/>
      <c r="F158" s="233" t="s">
        <v>256</v>
      </c>
      <c r="G158" s="233">
        <v>9</v>
      </c>
      <c r="H158" s="233" t="s">
        <v>299</v>
      </c>
      <c r="I158" s="78">
        <v>6502.8</v>
      </c>
      <c r="J158" s="78">
        <v>5914.7</v>
      </c>
      <c r="K158" s="78">
        <v>5914.7</v>
      </c>
      <c r="L158" s="239">
        <v>287</v>
      </c>
      <c r="M158" s="233" t="s">
        <v>254</v>
      </c>
      <c r="N158" s="233" t="s">
        <v>258</v>
      </c>
      <c r="O158" s="236" t="s">
        <v>934</v>
      </c>
      <c r="P158" s="78">
        <v>4885396.4400000004</v>
      </c>
      <c r="Q158" s="78">
        <v>0</v>
      </c>
      <c r="R158" s="78">
        <v>0</v>
      </c>
      <c r="S158" s="78">
        <v>0</v>
      </c>
      <c r="T158" s="78">
        <f t="shared" si="9"/>
        <v>4885396.4400000004</v>
      </c>
      <c r="U158" s="78">
        <f t="shared" si="8"/>
        <v>751.27582579811781</v>
      </c>
      <c r="V158" s="78">
        <v>1133.8807898136188</v>
      </c>
    </row>
    <row r="159" spans="1:22" s="79" customFormat="1" ht="36" customHeight="1" x14ac:dyDescent="0.25">
      <c r="A159" s="79">
        <v>1</v>
      </c>
      <c r="B159" s="80">
        <f>SUBTOTAL(103,$A$16:A159)</f>
        <v>142</v>
      </c>
      <c r="C159" s="77" t="s">
        <v>374</v>
      </c>
      <c r="D159" s="233">
        <v>1974</v>
      </c>
      <c r="E159" s="233"/>
      <c r="F159" s="233" t="s">
        <v>256</v>
      </c>
      <c r="G159" s="233">
        <v>5</v>
      </c>
      <c r="H159" s="233" t="s">
        <v>355</v>
      </c>
      <c r="I159" s="78">
        <v>5896.3</v>
      </c>
      <c r="J159" s="78">
        <v>4495.2</v>
      </c>
      <c r="K159" s="78">
        <v>4495.2</v>
      </c>
      <c r="L159" s="239">
        <v>192</v>
      </c>
      <c r="M159" s="233" t="s">
        <v>254</v>
      </c>
      <c r="N159" s="233" t="s">
        <v>258</v>
      </c>
      <c r="O159" s="236" t="s">
        <v>311</v>
      </c>
      <c r="P159" s="78">
        <v>7884254.25</v>
      </c>
      <c r="Q159" s="78">
        <v>0</v>
      </c>
      <c r="R159" s="78">
        <v>0</v>
      </c>
      <c r="S159" s="78">
        <v>0</v>
      </c>
      <c r="T159" s="78">
        <f t="shared" si="9"/>
        <v>7884254.25</v>
      </c>
      <c r="U159" s="78">
        <f t="shared" si="8"/>
        <v>1337.1528331326424</v>
      </c>
      <c r="V159" s="78">
        <v>2273.0792144226043</v>
      </c>
    </row>
    <row r="160" spans="1:22" s="79" customFormat="1" ht="36" customHeight="1" x14ac:dyDescent="0.25">
      <c r="A160" s="79">
        <v>1</v>
      </c>
      <c r="B160" s="80">
        <f>SUBTOTAL(103,$A$16:A160)</f>
        <v>143</v>
      </c>
      <c r="C160" s="77" t="s">
        <v>375</v>
      </c>
      <c r="D160" s="233">
        <v>1974</v>
      </c>
      <c r="E160" s="233"/>
      <c r="F160" s="233" t="s">
        <v>256</v>
      </c>
      <c r="G160" s="233">
        <v>5</v>
      </c>
      <c r="H160" s="233" t="s">
        <v>295</v>
      </c>
      <c r="I160" s="78">
        <v>3647.3</v>
      </c>
      <c r="J160" s="78">
        <v>3647.3</v>
      </c>
      <c r="K160" s="78">
        <v>2672.9</v>
      </c>
      <c r="L160" s="239">
        <v>113</v>
      </c>
      <c r="M160" s="233" t="s">
        <v>254</v>
      </c>
      <c r="N160" s="233" t="s">
        <v>258</v>
      </c>
      <c r="O160" s="236" t="s">
        <v>312</v>
      </c>
      <c r="P160" s="78">
        <v>2908813.4299999997</v>
      </c>
      <c r="Q160" s="78">
        <v>0</v>
      </c>
      <c r="R160" s="78">
        <v>0</v>
      </c>
      <c r="S160" s="78">
        <v>0</v>
      </c>
      <c r="T160" s="78">
        <f t="shared" si="9"/>
        <v>2908813.4299999997</v>
      </c>
      <c r="U160" s="78">
        <f t="shared" si="8"/>
        <v>797.52513640227005</v>
      </c>
      <c r="V160" s="78">
        <v>2286.4568718778278</v>
      </c>
    </row>
    <row r="161" spans="1:22" s="79" customFormat="1" ht="36" customHeight="1" x14ac:dyDescent="0.25">
      <c r="A161" s="79">
        <v>1</v>
      </c>
      <c r="B161" s="80">
        <f>SUBTOTAL(103,$A$16:A161)</f>
        <v>144</v>
      </c>
      <c r="C161" s="77" t="s">
        <v>376</v>
      </c>
      <c r="D161" s="233">
        <v>1958</v>
      </c>
      <c r="E161" s="233"/>
      <c r="F161" s="233" t="s">
        <v>256</v>
      </c>
      <c r="G161" s="233">
        <v>2</v>
      </c>
      <c r="H161" s="233" t="s">
        <v>290</v>
      </c>
      <c r="I161" s="78">
        <v>592.70000000000005</v>
      </c>
      <c r="J161" s="78">
        <v>548</v>
      </c>
      <c r="K161" s="78">
        <v>548</v>
      </c>
      <c r="L161" s="239">
        <v>26</v>
      </c>
      <c r="M161" s="233" t="s">
        <v>254</v>
      </c>
      <c r="N161" s="233" t="s">
        <v>255</v>
      </c>
      <c r="O161" s="236" t="s">
        <v>257</v>
      </c>
      <c r="P161" s="78">
        <v>2189551</v>
      </c>
      <c r="Q161" s="78">
        <v>0</v>
      </c>
      <c r="R161" s="78">
        <v>0</v>
      </c>
      <c r="S161" s="78">
        <v>0</v>
      </c>
      <c r="T161" s="78">
        <f t="shared" si="9"/>
        <v>2189551</v>
      </c>
      <c r="U161" s="78">
        <f t="shared" si="8"/>
        <v>3694.197739159777</v>
      </c>
      <c r="V161" s="78">
        <v>7116.1800573646033</v>
      </c>
    </row>
    <row r="162" spans="1:22" s="79" customFormat="1" ht="36" customHeight="1" x14ac:dyDescent="0.25">
      <c r="A162" s="79">
        <v>1</v>
      </c>
      <c r="B162" s="80">
        <f>SUBTOTAL(103,$A$16:A162)</f>
        <v>145</v>
      </c>
      <c r="C162" s="77" t="s">
        <v>377</v>
      </c>
      <c r="D162" s="233">
        <v>1961</v>
      </c>
      <c r="E162" s="233"/>
      <c r="F162" s="233" t="s">
        <v>256</v>
      </c>
      <c r="G162" s="233">
        <v>2</v>
      </c>
      <c r="H162" s="233" t="s">
        <v>290</v>
      </c>
      <c r="I162" s="78">
        <v>679.5</v>
      </c>
      <c r="J162" s="78">
        <v>630.79999999999995</v>
      </c>
      <c r="K162" s="78">
        <v>630.79999999999995</v>
      </c>
      <c r="L162" s="239">
        <v>43</v>
      </c>
      <c r="M162" s="233" t="s">
        <v>254</v>
      </c>
      <c r="N162" s="233" t="s">
        <v>258</v>
      </c>
      <c r="O162" s="236" t="s">
        <v>311</v>
      </c>
      <c r="P162" s="78">
        <v>2855710.47</v>
      </c>
      <c r="Q162" s="78">
        <v>0</v>
      </c>
      <c r="R162" s="78">
        <v>0</v>
      </c>
      <c r="S162" s="78">
        <v>0</v>
      </c>
      <c r="T162" s="78">
        <f t="shared" si="9"/>
        <v>2855710.47</v>
      </c>
      <c r="U162" s="78">
        <f t="shared" si="8"/>
        <v>4202.6644150110378</v>
      </c>
      <c r="V162" s="78">
        <v>7217.618837380428</v>
      </c>
    </row>
    <row r="163" spans="1:22" s="79" customFormat="1" ht="36" customHeight="1" x14ac:dyDescent="0.25">
      <c r="A163" s="79">
        <v>1</v>
      </c>
      <c r="B163" s="80">
        <f>SUBTOTAL(103,$A$16:A163)</f>
        <v>146</v>
      </c>
      <c r="C163" s="77" t="s">
        <v>378</v>
      </c>
      <c r="D163" s="233">
        <v>1973</v>
      </c>
      <c r="E163" s="233"/>
      <c r="F163" s="233" t="s">
        <v>256</v>
      </c>
      <c r="G163" s="233">
        <v>5</v>
      </c>
      <c r="H163" s="233" t="s">
        <v>290</v>
      </c>
      <c r="I163" s="78">
        <v>4577.26</v>
      </c>
      <c r="J163" s="78">
        <v>2855</v>
      </c>
      <c r="K163" s="78">
        <v>2787.4</v>
      </c>
      <c r="L163" s="239">
        <v>181</v>
      </c>
      <c r="M163" s="233" t="s">
        <v>254</v>
      </c>
      <c r="N163" s="233" t="s">
        <v>258</v>
      </c>
      <c r="O163" s="236" t="s">
        <v>307</v>
      </c>
      <c r="P163" s="78">
        <v>3945816.73</v>
      </c>
      <c r="Q163" s="78">
        <v>0</v>
      </c>
      <c r="R163" s="78">
        <v>0</v>
      </c>
      <c r="S163" s="78">
        <v>0</v>
      </c>
      <c r="T163" s="78">
        <f t="shared" si="9"/>
        <v>3945816.73</v>
      </c>
      <c r="U163" s="78">
        <f t="shared" si="8"/>
        <v>862.04776001363257</v>
      </c>
      <c r="V163" s="78">
        <v>3259.66</v>
      </c>
    </row>
    <row r="164" spans="1:22" s="79" customFormat="1" ht="36" customHeight="1" x14ac:dyDescent="0.25">
      <c r="A164" s="79">
        <v>1</v>
      </c>
      <c r="B164" s="80">
        <f>SUBTOTAL(103,$A$16:A164)</f>
        <v>147</v>
      </c>
      <c r="C164" s="77" t="s">
        <v>189</v>
      </c>
      <c r="D164" s="233">
        <v>1986</v>
      </c>
      <c r="E164" s="233"/>
      <c r="F164" s="233" t="s">
        <v>298</v>
      </c>
      <c r="G164" s="233">
        <v>5</v>
      </c>
      <c r="H164" s="233" t="s">
        <v>355</v>
      </c>
      <c r="I164" s="78">
        <v>6281</v>
      </c>
      <c r="J164" s="78">
        <v>4728.1000000000004</v>
      </c>
      <c r="K164" s="78">
        <v>4728.1000000000004</v>
      </c>
      <c r="L164" s="239">
        <v>195</v>
      </c>
      <c r="M164" s="233" t="s">
        <v>254</v>
      </c>
      <c r="N164" s="233" t="s">
        <v>258</v>
      </c>
      <c r="O164" s="236" t="s">
        <v>312</v>
      </c>
      <c r="P164" s="78">
        <v>2766905.7600000002</v>
      </c>
      <c r="Q164" s="78">
        <v>0</v>
      </c>
      <c r="R164" s="78">
        <v>0</v>
      </c>
      <c r="S164" s="78">
        <v>0</v>
      </c>
      <c r="T164" s="78">
        <f t="shared" si="9"/>
        <v>2766905.7600000002</v>
      </c>
      <c r="U164" s="78">
        <f t="shared" si="8"/>
        <v>440.51994268428598</v>
      </c>
      <c r="V164" s="78">
        <v>1689.9927425569178</v>
      </c>
    </row>
    <row r="165" spans="1:22" s="79" customFormat="1" ht="36" customHeight="1" x14ac:dyDescent="0.25">
      <c r="A165" s="79">
        <v>1</v>
      </c>
      <c r="B165" s="80">
        <f>SUBTOTAL(103,$A$16:A165)</f>
        <v>148</v>
      </c>
      <c r="C165" s="77" t="s">
        <v>379</v>
      </c>
      <c r="D165" s="233">
        <v>1948</v>
      </c>
      <c r="E165" s="233"/>
      <c r="F165" s="233" t="s">
        <v>310</v>
      </c>
      <c r="G165" s="233">
        <v>2</v>
      </c>
      <c r="H165" s="233" t="s">
        <v>291</v>
      </c>
      <c r="I165" s="78">
        <v>380.35</v>
      </c>
      <c r="J165" s="78">
        <v>328.8</v>
      </c>
      <c r="K165" s="78">
        <v>328.8</v>
      </c>
      <c r="L165" s="239">
        <v>16</v>
      </c>
      <c r="M165" s="233" t="s">
        <v>254</v>
      </c>
      <c r="N165" s="233" t="s">
        <v>258</v>
      </c>
      <c r="O165" s="236" t="s">
        <v>307</v>
      </c>
      <c r="P165" s="78">
        <v>1828369.47</v>
      </c>
      <c r="Q165" s="78">
        <v>0</v>
      </c>
      <c r="R165" s="78">
        <v>0</v>
      </c>
      <c r="S165" s="78">
        <v>0</v>
      </c>
      <c r="T165" s="78">
        <f t="shared" si="9"/>
        <v>1828369.47</v>
      </c>
      <c r="U165" s="78">
        <f t="shared" si="8"/>
        <v>4807.0710398317333</v>
      </c>
      <c r="V165" s="78">
        <v>8017.9510450900489</v>
      </c>
    </row>
    <row r="166" spans="1:22" s="79" customFormat="1" ht="36" customHeight="1" x14ac:dyDescent="0.25">
      <c r="A166" s="79">
        <v>1</v>
      </c>
      <c r="B166" s="80">
        <f>SUBTOTAL(103,$A$16:A166)</f>
        <v>149</v>
      </c>
      <c r="C166" s="77" t="s">
        <v>380</v>
      </c>
      <c r="D166" s="233">
        <v>1972</v>
      </c>
      <c r="E166" s="233"/>
      <c r="F166" s="233" t="s">
        <v>256</v>
      </c>
      <c r="G166" s="233">
        <v>5</v>
      </c>
      <c r="H166" s="233" t="s">
        <v>2123</v>
      </c>
      <c r="I166" s="78">
        <v>6552.34</v>
      </c>
      <c r="J166" s="78">
        <v>6023.94</v>
      </c>
      <c r="K166" s="78">
        <v>6023.94</v>
      </c>
      <c r="L166" s="239">
        <v>307</v>
      </c>
      <c r="M166" s="233" t="s">
        <v>254</v>
      </c>
      <c r="N166" s="233" t="s">
        <v>258</v>
      </c>
      <c r="O166" s="236" t="s">
        <v>314</v>
      </c>
      <c r="P166" s="78">
        <v>9316893.9800000004</v>
      </c>
      <c r="Q166" s="78">
        <v>0</v>
      </c>
      <c r="R166" s="78">
        <v>0</v>
      </c>
      <c r="S166" s="78">
        <v>0</v>
      </c>
      <c r="T166" s="78">
        <f t="shared" si="9"/>
        <v>9316893.9800000004</v>
      </c>
      <c r="U166" s="78">
        <f t="shared" si="8"/>
        <v>1421.9185787062331</v>
      </c>
      <c r="V166" s="78">
        <v>2740.8404569970426</v>
      </c>
    </row>
    <row r="167" spans="1:22" s="79" customFormat="1" ht="36" customHeight="1" x14ac:dyDescent="0.25">
      <c r="A167" s="79">
        <v>1</v>
      </c>
      <c r="B167" s="80">
        <f>SUBTOTAL(103,$A$16:A167)</f>
        <v>150</v>
      </c>
      <c r="C167" s="77" t="s">
        <v>1082</v>
      </c>
      <c r="D167" s="233">
        <v>1958</v>
      </c>
      <c r="E167" s="233"/>
      <c r="F167" s="233" t="s">
        <v>256</v>
      </c>
      <c r="G167" s="233">
        <v>2</v>
      </c>
      <c r="H167" s="233" t="s">
        <v>290</v>
      </c>
      <c r="I167" s="78">
        <v>731.63</v>
      </c>
      <c r="J167" s="78">
        <v>675.13</v>
      </c>
      <c r="K167" s="78">
        <v>675.13</v>
      </c>
      <c r="L167" s="239">
        <v>27</v>
      </c>
      <c r="M167" s="233" t="s">
        <v>254</v>
      </c>
      <c r="N167" s="233" t="s">
        <v>255</v>
      </c>
      <c r="O167" s="236" t="s">
        <v>257</v>
      </c>
      <c r="P167" s="78">
        <v>1472380.11</v>
      </c>
      <c r="Q167" s="78">
        <v>0</v>
      </c>
      <c r="R167" s="78">
        <v>0</v>
      </c>
      <c r="S167" s="78">
        <v>0</v>
      </c>
      <c r="T167" s="78">
        <f t="shared" si="9"/>
        <v>1472380.11</v>
      </c>
      <c r="U167" s="78">
        <f t="shared" si="8"/>
        <v>2012.4654675177346</v>
      </c>
      <c r="V167" s="78">
        <v>4255.1000000000004</v>
      </c>
    </row>
    <row r="168" spans="1:22" s="79" customFormat="1" ht="36" customHeight="1" x14ac:dyDescent="0.25">
      <c r="A168" s="79">
        <v>1</v>
      </c>
      <c r="B168" s="80">
        <f>SUBTOTAL(103,$A$16:A168)</f>
        <v>151</v>
      </c>
      <c r="C168" s="77" t="s">
        <v>1083</v>
      </c>
      <c r="D168" s="233">
        <v>1963</v>
      </c>
      <c r="E168" s="233"/>
      <c r="F168" s="233" t="s">
        <v>256</v>
      </c>
      <c r="G168" s="233">
        <v>3</v>
      </c>
      <c r="H168" s="233" t="s">
        <v>290</v>
      </c>
      <c r="I168" s="78">
        <v>518.79999999999995</v>
      </c>
      <c r="J168" s="78">
        <v>518.73</v>
      </c>
      <c r="K168" s="78">
        <v>518.73</v>
      </c>
      <c r="L168" s="239">
        <v>28</v>
      </c>
      <c r="M168" s="233" t="s">
        <v>254</v>
      </c>
      <c r="N168" s="233" t="s">
        <v>255</v>
      </c>
      <c r="O168" s="236" t="s">
        <v>257</v>
      </c>
      <c r="P168" s="78">
        <v>1557950.91</v>
      </c>
      <c r="Q168" s="78">
        <v>0</v>
      </c>
      <c r="R168" s="78">
        <v>0</v>
      </c>
      <c r="S168" s="78">
        <v>0</v>
      </c>
      <c r="T168" s="78">
        <f t="shared" si="9"/>
        <v>1557950.91</v>
      </c>
      <c r="U168" s="78">
        <f t="shared" si="8"/>
        <v>3002.9894178874329</v>
      </c>
      <c r="V168" s="78">
        <v>5689.1677717810344</v>
      </c>
    </row>
    <row r="169" spans="1:22" s="79" customFormat="1" ht="36" customHeight="1" x14ac:dyDescent="0.25">
      <c r="A169" s="79">
        <v>1</v>
      </c>
      <c r="B169" s="80">
        <f>SUBTOTAL(103,$A$16:A169)</f>
        <v>152</v>
      </c>
      <c r="C169" s="77" t="s">
        <v>1084</v>
      </c>
      <c r="D169" s="233">
        <v>1989</v>
      </c>
      <c r="E169" s="233"/>
      <c r="F169" s="233" t="s">
        <v>256</v>
      </c>
      <c r="G169" s="233">
        <v>9</v>
      </c>
      <c r="H169" s="233" t="s">
        <v>290</v>
      </c>
      <c r="I169" s="78">
        <v>4913</v>
      </c>
      <c r="J169" s="78">
        <v>3935.8</v>
      </c>
      <c r="K169" s="78">
        <v>3935.8</v>
      </c>
      <c r="L169" s="239">
        <v>173</v>
      </c>
      <c r="M169" s="233" t="s">
        <v>254</v>
      </c>
      <c r="N169" s="233" t="s">
        <v>258</v>
      </c>
      <c r="O169" s="236" t="s">
        <v>311</v>
      </c>
      <c r="P169" s="78">
        <v>2712861.94</v>
      </c>
      <c r="Q169" s="78">
        <v>0</v>
      </c>
      <c r="R169" s="78">
        <v>0</v>
      </c>
      <c r="S169" s="78">
        <v>0</v>
      </c>
      <c r="T169" s="78">
        <f t="shared" si="9"/>
        <v>2712861.94</v>
      </c>
      <c r="U169" s="78">
        <f t="shared" si="8"/>
        <v>552.18032566659883</v>
      </c>
      <c r="V169" s="78">
        <v>1000.5292082230816</v>
      </c>
    </row>
    <row r="170" spans="1:22" s="79" customFormat="1" ht="36" customHeight="1" x14ac:dyDescent="0.25">
      <c r="A170" s="79">
        <v>1</v>
      </c>
      <c r="B170" s="80">
        <f>SUBTOTAL(103,$A$16:A170)</f>
        <v>153</v>
      </c>
      <c r="C170" s="77" t="s">
        <v>1085</v>
      </c>
      <c r="D170" s="233">
        <v>1964</v>
      </c>
      <c r="E170" s="233"/>
      <c r="F170" s="233" t="s">
        <v>256</v>
      </c>
      <c r="G170" s="233">
        <v>2</v>
      </c>
      <c r="H170" s="233" t="s">
        <v>290</v>
      </c>
      <c r="I170" s="78">
        <v>384.9</v>
      </c>
      <c r="J170" s="78">
        <v>384.9</v>
      </c>
      <c r="K170" s="78">
        <v>384.9</v>
      </c>
      <c r="L170" s="239">
        <v>27</v>
      </c>
      <c r="M170" s="233" t="s">
        <v>254</v>
      </c>
      <c r="N170" s="233" t="s">
        <v>258</v>
      </c>
      <c r="O170" s="236" t="s">
        <v>312</v>
      </c>
      <c r="P170" s="78">
        <v>211626.35</v>
      </c>
      <c r="Q170" s="78">
        <v>0</v>
      </c>
      <c r="R170" s="78">
        <v>0</v>
      </c>
      <c r="S170" s="78">
        <v>0</v>
      </c>
      <c r="T170" s="78">
        <f t="shared" si="9"/>
        <v>211626.35</v>
      </c>
      <c r="U170" s="78">
        <f t="shared" si="8"/>
        <v>549.82164198493115</v>
      </c>
      <c r="V170" s="78">
        <v>1673.2996024941544</v>
      </c>
    </row>
    <row r="171" spans="1:22" s="79" customFormat="1" ht="36" customHeight="1" x14ac:dyDescent="0.25">
      <c r="A171" s="79">
        <v>1</v>
      </c>
      <c r="B171" s="80">
        <f>SUBTOTAL(103,$A$16:A171)</f>
        <v>154</v>
      </c>
      <c r="C171" s="77" t="s">
        <v>1086</v>
      </c>
      <c r="D171" s="233">
        <v>1971</v>
      </c>
      <c r="E171" s="233"/>
      <c r="F171" s="233" t="s">
        <v>256</v>
      </c>
      <c r="G171" s="233">
        <v>5</v>
      </c>
      <c r="H171" s="233" t="s">
        <v>355</v>
      </c>
      <c r="I171" s="78">
        <v>5698.2</v>
      </c>
      <c r="J171" s="78">
        <v>5283.5</v>
      </c>
      <c r="K171" s="78">
        <v>4475.3999999999996</v>
      </c>
      <c r="L171" s="239">
        <v>198</v>
      </c>
      <c r="M171" s="233" t="s">
        <v>254</v>
      </c>
      <c r="N171" s="233" t="s">
        <v>258</v>
      </c>
      <c r="O171" s="236" t="s">
        <v>314</v>
      </c>
      <c r="P171" s="78">
        <v>2148296.4200000004</v>
      </c>
      <c r="Q171" s="78">
        <v>0</v>
      </c>
      <c r="R171" s="78">
        <v>0</v>
      </c>
      <c r="S171" s="78">
        <v>0</v>
      </c>
      <c r="T171" s="78">
        <f t="shared" si="9"/>
        <v>2148296.4200000004</v>
      </c>
      <c r="U171" s="78">
        <f t="shared" si="8"/>
        <v>377.01316556105445</v>
      </c>
      <c r="V171" s="78">
        <v>1129.3822926538207</v>
      </c>
    </row>
    <row r="172" spans="1:22" s="79" customFormat="1" ht="36" customHeight="1" x14ac:dyDescent="0.25">
      <c r="A172" s="79">
        <v>1</v>
      </c>
      <c r="B172" s="80">
        <f>SUBTOTAL(103,$A$16:A172)</f>
        <v>155</v>
      </c>
      <c r="C172" s="77" t="s">
        <v>1087</v>
      </c>
      <c r="D172" s="233">
        <v>1991</v>
      </c>
      <c r="E172" s="233"/>
      <c r="F172" s="233" t="s">
        <v>275</v>
      </c>
      <c r="G172" s="233">
        <v>9</v>
      </c>
      <c r="H172" s="233" t="s">
        <v>290</v>
      </c>
      <c r="I172" s="78">
        <v>4196.7</v>
      </c>
      <c r="J172" s="78">
        <v>3776.7</v>
      </c>
      <c r="K172" s="78">
        <v>3776.7</v>
      </c>
      <c r="L172" s="239">
        <v>175</v>
      </c>
      <c r="M172" s="233" t="s">
        <v>254</v>
      </c>
      <c r="N172" s="233" t="s">
        <v>258</v>
      </c>
      <c r="O172" s="236" t="s">
        <v>307</v>
      </c>
      <c r="P172" s="78">
        <v>2712861.94</v>
      </c>
      <c r="Q172" s="78">
        <v>0</v>
      </c>
      <c r="R172" s="78">
        <v>0</v>
      </c>
      <c r="S172" s="78">
        <v>0</v>
      </c>
      <c r="T172" s="78">
        <f t="shared" si="9"/>
        <v>2712861.94</v>
      </c>
      <c r="U172" s="78">
        <f t="shared" si="8"/>
        <v>646.42741677985089</v>
      </c>
      <c r="V172" s="78">
        <v>1171.3012605142137</v>
      </c>
    </row>
    <row r="173" spans="1:22" s="79" customFormat="1" ht="36" customHeight="1" x14ac:dyDescent="0.25">
      <c r="A173" s="79">
        <v>1</v>
      </c>
      <c r="B173" s="80">
        <f>SUBTOTAL(103,$A$16:A173)</f>
        <v>156</v>
      </c>
      <c r="C173" s="77" t="s">
        <v>1088</v>
      </c>
      <c r="D173" s="233">
        <v>1963</v>
      </c>
      <c r="E173" s="233"/>
      <c r="F173" s="233" t="s">
        <v>256</v>
      </c>
      <c r="G173" s="233">
        <v>4</v>
      </c>
      <c r="H173" s="233" t="s">
        <v>295</v>
      </c>
      <c r="I173" s="78">
        <v>2775</v>
      </c>
      <c r="J173" s="78">
        <v>2580</v>
      </c>
      <c r="K173" s="78">
        <v>2580</v>
      </c>
      <c r="L173" s="239">
        <v>110</v>
      </c>
      <c r="M173" s="233" t="s">
        <v>254</v>
      </c>
      <c r="N173" s="233" t="s">
        <v>258</v>
      </c>
      <c r="O173" s="236" t="s">
        <v>934</v>
      </c>
      <c r="P173" s="78">
        <v>2237682.5499999998</v>
      </c>
      <c r="Q173" s="78">
        <v>0</v>
      </c>
      <c r="R173" s="78">
        <v>0</v>
      </c>
      <c r="S173" s="78">
        <v>0</v>
      </c>
      <c r="T173" s="78">
        <f t="shared" si="9"/>
        <v>2237682.5499999998</v>
      </c>
      <c r="U173" s="78">
        <f t="shared" si="8"/>
        <v>806.37209009009007</v>
      </c>
      <c r="V173" s="78">
        <v>3259.66</v>
      </c>
    </row>
    <row r="174" spans="1:22" s="79" customFormat="1" ht="36" customHeight="1" x14ac:dyDescent="0.25">
      <c r="A174" s="79">
        <v>1</v>
      </c>
      <c r="B174" s="80">
        <f>SUBTOTAL(103,$A$16:A174)</f>
        <v>157</v>
      </c>
      <c r="C174" s="77" t="s">
        <v>1089</v>
      </c>
      <c r="D174" s="233">
        <v>1959</v>
      </c>
      <c r="E174" s="233"/>
      <c r="F174" s="233" t="s">
        <v>256</v>
      </c>
      <c r="G174" s="233">
        <v>2</v>
      </c>
      <c r="H174" s="233" t="s">
        <v>290</v>
      </c>
      <c r="I174" s="78">
        <v>598.02</v>
      </c>
      <c r="J174" s="78">
        <v>552.79999999999995</v>
      </c>
      <c r="K174" s="78">
        <v>552.79999999999995</v>
      </c>
      <c r="L174" s="239">
        <v>28</v>
      </c>
      <c r="M174" s="233" t="s">
        <v>254</v>
      </c>
      <c r="N174" s="233" t="s">
        <v>258</v>
      </c>
      <c r="O174" s="236" t="s">
        <v>314</v>
      </c>
      <c r="P174" s="78">
        <v>2418873.6</v>
      </c>
      <c r="Q174" s="78">
        <v>0</v>
      </c>
      <c r="R174" s="78">
        <v>0</v>
      </c>
      <c r="S174" s="78">
        <v>0</v>
      </c>
      <c r="T174" s="78">
        <f t="shared" si="9"/>
        <v>2418873.6</v>
      </c>
      <c r="U174" s="78">
        <f t="shared" si="8"/>
        <v>4044.8038527139565</v>
      </c>
      <c r="V174" s="78">
        <v>7373.9068780308353</v>
      </c>
    </row>
    <row r="175" spans="1:22" s="79" customFormat="1" ht="36" customHeight="1" x14ac:dyDescent="0.25">
      <c r="A175" s="79">
        <v>1</v>
      </c>
      <c r="B175" s="80">
        <f>SUBTOTAL(103,$A$16:A175)</f>
        <v>158</v>
      </c>
      <c r="C175" s="77" t="s">
        <v>1092</v>
      </c>
      <c r="D175" s="233">
        <v>1989</v>
      </c>
      <c r="E175" s="233"/>
      <c r="F175" s="233" t="s">
        <v>256</v>
      </c>
      <c r="G175" s="233">
        <v>9</v>
      </c>
      <c r="H175" s="233" t="s">
        <v>291</v>
      </c>
      <c r="I175" s="78">
        <v>3493.71</v>
      </c>
      <c r="J175" s="78">
        <v>3277.11</v>
      </c>
      <c r="K175" s="78">
        <v>3277.11</v>
      </c>
      <c r="L175" s="239">
        <v>159</v>
      </c>
      <c r="M175" s="233" t="s">
        <v>254</v>
      </c>
      <c r="N175" s="233" t="s">
        <v>258</v>
      </c>
      <c r="O175" s="236" t="s">
        <v>1260</v>
      </c>
      <c r="P175" s="78">
        <v>1640571.49</v>
      </c>
      <c r="Q175" s="78">
        <v>0</v>
      </c>
      <c r="R175" s="78">
        <v>0</v>
      </c>
      <c r="S175" s="78">
        <v>0</v>
      </c>
      <c r="T175" s="78">
        <f t="shared" si="9"/>
        <v>1640571.49</v>
      </c>
      <c r="U175" s="78">
        <f t="shared" si="8"/>
        <v>469.57861127569259</v>
      </c>
      <c r="V175" s="78">
        <v>703.4928485764417</v>
      </c>
    </row>
    <row r="176" spans="1:22" s="79" customFormat="1" ht="36" customHeight="1" x14ac:dyDescent="0.25">
      <c r="A176" s="79">
        <v>1</v>
      </c>
      <c r="B176" s="80">
        <f>SUBTOTAL(103,$A$16:A176)</f>
        <v>159</v>
      </c>
      <c r="C176" s="77" t="s">
        <v>1093</v>
      </c>
      <c r="D176" s="233">
        <v>1992</v>
      </c>
      <c r="E176" s="233"/>
      <c r="F176" s="233" t="s">
        <v>256</v>
      </c>
      <c r="G176" s="233">
        <v>9</v>
      </c>
      <c r="H176" s="233" t="s">
        <v>291</v>
      </c>
      <c r="I176" s="78">
        <v>2755.2</v>
      </c>
      <c r="J176" s="78">
        <v>2755.2</v>
      </c>
      <c r="K176" s="78">
        <v>2755.2</v>
      </c>
      <c r="L176" s="239">
        <v>117</v>
      </c>
      <c r="M176" s="233" t="s">
        <v>254</v>
      </c>
      <c r="N176" s="233" t="s">
        <v>258</v>
      </c>
      <c r="O176" s="236" t="s">
        <v>1261</v>
      </c>
      <c r="P176" s="78">
        <v>1784450.96</v>
      </c>
      <c r="Q176" s="78">
        <v>0</v>
      </c>
      <c r="R176" s="78">
        <v>0</v>
      </c>
      <c r="S176" s="78">
        <v>0</v>
      </c>
      <c r="T176" s="78">
        <f t="shared" si="9"/>
        <v>1784450.96</v>
      </c>
      <c r="U176" s="78">
        <f t="shared" si="8"/>
        <v>647.66657955865276</v>
      </c>
      <c r="V176" s="78">
        <v>892.05865272938445</v>
      </c>
    </row>
    <row r="177" spans="1:22" s="79" customFormat="1" ht="36" customHeight="1" x14ac:dyDescent="0.25">
      <c r="A177" s="79">
        <v>1</v>
      </c>
      <c r="B177" s="80">
        <f>SUBTOTAL(103,$A$16:A177)</f>
        <v>160</v>
      </c>
      <c r="C177" s="77" t="s">
        <v>1094</v>
      </c>
      <c r="D177" s="233">
        <v>1992</v>
      </c>
      <c r="E177" s="233"/>
      <c r="F177" s="233" t="s">
        <v>298</v>
      </c>
      <c r="G177" s="233">
        <v>9</v>
      </c>
      <c r="H177" s="233" t="s">
        <v>295</v>
      </c>
      <c r="I177" s="78">
        <v>8435</v>
      </c>
      <c r="J177" s="78">
        <v>4621</v>
      </c>
      <c r="K177" s="78">
        <v>4597</v>
      </c>
      <c r="L177" s="239">
        <v>317</v>
      </c>
      <c r="M177" s="233" t="s">
        <v>254</v>
      </c>
      <c r="N177" s="233" t="s">
        <v>258</v>
      </c>
      <c r="O177" s="236" t="s">
        <v>1262</v>
      </c>
      <c r="P177" s="78">
        <v>6364982.3099999996</v>
      </c>
      <c r="Q177" s="78">
        <v>0</v>
      </c>
      <c r="R177" s="78">
        <v>0</v>
      </c>
      <c r="S177" s="78">
        <v>0</v>
      </c>
      <c r="T177" s="78">
        <f t="shared" si="9"/>
        <v>6364982.3099999996</v>
      </c>
      <c r="U177" s="78">
        <f t="shared" si="8"/>
        <v>754.59185655008889</v>
      </c>
      <c r="V177" s="78">
        <v>1165.5245998814464</v>
      </c>
    </row>
    <row r="178" spans="1:22" s="79" customFormat="1" ht="36" customHeight="1" x14ac:dyDescent="0.25">
      <c r="A178" s="79">
        <v>1</v>
      </c>
      <c r="B178" s="80">
        <f>SUBTOTAL(103,$A$16:A178)</f>
        <v>161</v>
      </c>
      <c r="C178" s="77" t="s">
        <v>1200</v>
      </c>
      <c r="D178" s="233">
        <v>1968</v>
      </c>
      <c r="E178" s="233"/>
      <c r="F178" s="233" t="s">
        <v>256</v>
      </c>
      <c r="G178" s="233">
        <v>5</v>
      </c>
      <c r="H178" s="233" t="s">
        <v>295</v>
      </c>
      <c r="I178" s="78">
        <v>3582.37</v>
      </c>
      <c r="J178" s="78">
        <v>3313</v>
      </c>
      <c r="K178" s="78">
        <v>3252.7</v>
      </c>
      <c r="L178" s="239">
        <v>144</v>
      </c>
      <c r="M178" s="233" t="s">
        <v>254</v>
      </c>
      <c r="N178" s="233" t="s">
        <v>258</v>
      </c>
      <c r="O178" s="236" t="s">
        <v>313</v>
      </c>
      <c r="P178" s="78">
        <v>2331324.81</v>
      </c>
      <c r="Q178" s="78">
        <v>0</v>
      </c>
      <c r="R178" s="78">
        <v>0</v>
      </c>
      <c r="S178" s="78">
        <v>0</v>
      </c>
      <c r="T178" s="78">
        <f t="shared" si="9"/>
        <v>2331324.81</v>
      </c>
      <c r="U178" s="78">
        <f t="shared" si="8"/>
        <v>650.777225691372</v>
      </c>
      <c r="V178" s="78">
        <v>3259.66</v>
      </c>
    </row>
    <row r="179" spans="1:22" s="79" customFormat="1" ht="36" customHeight="1" x14ac:dyDescent="0.25">
      <c r="A179" s="79">
        <v>1</v>
      </c>
      <c r="B179" s="80">
        <f>SUBTOTAL(103,$A$16:A179)</f>
        <v>162</v>
      </c>
      <c r="C179" s="77" t="s">
        <v>1213</v>
      </c>
      <c r="D179" s="233">
        <v>1958</v>
      </c>
      <c r="E179" s="233"/>
      <c r="F179" s="233" t="s">
        <v>256</v>
      </c>
      <c r="G179" s="233">
        <v>4</v>
      </c>
      <c r="H179" s="233" t="s">
        <v>295</v>
      </c>
      <c r="I179" s="78">
        <v>5856.4</v>
      </c>
      <c r="J179" s="78">
        <v>3235.1</v>
      </c>
      <c r="K179" s="78">
        <v>2625</v>
      </c>
      <c r="L179" s="239">
        <v>86</v>
      </c>
      <c r="M179" s="233" t="s">
        <v>254</v>
      </c>
      <c r="N179" s="233" t="s">
        <v>258</v>
      </c>
      <c r="O179" s="236" t="s">
        <v>1274</v>
      </c>
      <c r="P179" s="78">
        <v>131828.92000000001</v>
      </c>
      <c r="Q179" s="78">
        <v>0</v>
      </c>
      <c r="R179" s="78">
        <v>0</v>
      </c>
      <c r="S179" s="78">
        <v>0</v>
      </c>
      <c r="T179" s="78">
        <f t="shared" si="9"/>
        <v>131828.92000000001</v>
      </c>
      <c r="U179" s="78">
        <f t="shared" si="8"/>
        <v>22.510231541561371</v>
      </c>
      <c r="V179" s="78">
        <v>22.510231541561371</v>
      </c>
    </row>
    <row r="180" spans="1:22" s="79" customFormat="1" ht="36" customHeight="1" x14ac:dyDescent="0.25">
      <c r="A180" s="79">
        <v>1</v>
      </c>
      <c r="B180" s="80">
        <f>SUBTOTAL(103,$A$16:A180)</f>
        <v>163</v>
      </c>
      <c r="C180" s="77" t="s">
        <v>1214</v>
      </c>
      <c r="D180" s="233">
        <v>1968</v>
      </c>
      <c r="E180" s="233"/>
      <c r="F180" s="233" t="s">
        <v>256</v>
      </c>
      <c r="G180" s="233">
        <v>2</v>
      </c>
      <c r="H180" s="233" t="s">
        <v>290</v>
      </c>
      <c r="I180" s="78">
        <v>610.4</v>
      </c>
      <c r="J180" s="78">
        <v>567</v>
      </c>
      <c r="K180" s="78">
        <v>489.2</v>
      </c>
      <c r="L180" s="239">
        <v>29</v>
      </c>
      <c r="M180" s="233" t="s">
        <v>254</v>
      </c>
      <c r="N180" s="233" t="s">
        <v>258</v>
      </c>
      <c r="O180" s="236" t="s">
        <v>1274</v>
      </c>
      <c r="P180" s="78">
        <v>2376594.88</v>
      </c>
      <c r="Q180" s="78">
        <v>0</v>
      </c>
      <c r="R180" s="78">
        <v>0</v>
      </c>
      <c r="S180" s="78">
        <v>0</v>
      </c>
      <c r="T180" s="78">
        <f t="shared" si="9"/>
        <v>2376594.88</v>
      </c>
      <c r="U180" s="78">
        <f t="shared" si="8"/>
        <v>3893.5040629095674</v>
      </c>
      <c r="V180" s="78">
        <v>6997.4806028833555</v>
      </c>
    </row>
    <row r="181" spans="1:22" s="79" customFormat="1" ht="36" customHeight="1" x14ac:dyDescent="0.25">
      <c r="A181" s="79">
        <v>1</v>
      </c>
      <c r="B181" s="80">
        <f>SUBTOTAL(103,$A$16:A181)</f>
        <v>164</v>
      </c>
      <c r="C181" s="77" t="s">
        <v>1215</v>
      </c>
      <c r="D181" s="233">
        <v>1958</v>
      </c>
      <c r="E181" s="233"/>
      <c r="F181" s="233" t="s">
        <v>256</v>
      </c>
      <c r="G181" s="233">
        <v>2</v>
      </c>
      <c r="H181" s="233" t="s">
        <v>290</v>
      </c>
      <c r="I181" s="78">
        <v>822.2</v>
      </c>
      <c r="J181" s="78">
        <v>822.2</v>
      </c>
      <c r="K181" s="78">
        <v>822.2</v>
      </c>
      <c r="L181" s="239">
        <v>22</v>
      </c>
      <c r="M181" s="233" t="s">
        <v>254</v>
      </c>
      <c r="N181" s="233" t="s">
        <v>258</v>
      </c>
      <c r="O181" s="236" t="s">
        <v>1274</v>
      </c>
      <c r="P181" s="78">
        <v>3042838.07</v>
      </c>
      <c r="Q181" s="78">
        <v>0</v>
      </c>
      <c r="R181" s="78">
        <v>0</v>
      </c>
      <c r="S181" s="78">
        <v>0</v>
      </c>
      <c r="T181" s="78">
        <f t="shared" si="9"/>
        <v>3042838.07</v>
      </c>
      <c r="U181" s="78">
        <f t="shared" si="8"/>
        <v>3700.8490270007292</v>
      </c>
      <c r="V181" s="78">
        <v>7095.0225833130635</v>
      </c>
    </row>
    <row r="182" spans="1:22" s="79" customFormat="1" ht="36" customHeight="1" x14ac:dyDescent="0.25">
      <c r="A182" s="79">
        <v>1</v>
      </c>
      <c r="B182" s="80">
        <f>SUBTOTAL(103,$A$16:A182)</f>
        <v>165</v>
      </c>
      <c r="C182" s="77" t="s">
        <v>1216</v>
      </c>
      <c r="D182" s="233">
        <v>1959</v>
      </c>
      <c r="E182" s="233"/>
      <c r="F182" s="233" t="s">
        <v>256</v>
      </c>
      <c r="G182" s="233">
        <v>2</v>
      </c>
      <c r="H182" s="233" t="s">
        <v>291</v>
      </c>
      <c r="I182" s="78">
        <v>310.3</v>
      </c>
      <c r="J182" s="78">
        <v>310.3</v>
      </c>
      <c r="K182" s="78">
        <v>310.3</v>
      </c>
      <c r="L182" s="239">
        <v>10</v>
      </c>
      <c r="M182" s="233" t="s">
        <v>254</v>
      </c>
      <c r="N182" s="233" t="s">
        <v>258</v>
      </c>
      <c r="O182" s="236" t="s">
        <v>1274</v>
      </c>
      <c r="P182" s="78">
        <v>1139819.0599999998</v>
      </c>
      <c r="Q182" s="78">
        <v>0</v>
      </c>
      <c r="R182" s="78">
        <v>0</v>
      </c>
      <c r="S182" s="78">
        <v>0</v>
      </c>
      <c r="T182" s="78">
        <f t="shared" si="9"/>
        <v>1139819.0599999998</v>
      </c>
      <c r="U182" s="78">
        <f t="shared" si="8"/>
        <v>3673.2808894618106</v>
      </c>
      <c r="V182" s="78">
        <v>7464.6803428939747</v>
      </c>
    </row>
    <row r="183" spans="1:22" s="79" customFormat="1" ht="36" customHeight="1" x14ac:dyDescent="0.25">
      <c r="A183" s="79">
        <v>1</v>
      </c>
      <c r="B183" s="80">
        <f>SUBTOTAL(103,$A$16:A183)</f>
        <v>166</v>
      </c>
      <c r="C183" s="77" t="s">
        <v>1217</v>
      </c>
      <c r="D183" s="233">
        <v>1959</v>
      </c>
      <c r="E183" s="233"/>
      <c r="F183" s="233" t="s">
        <v>256</v>
      </c>
      <c r="G183" s="233">
        <v>2</v>
      </c>
      <c r="H183" s="233" t="s">
        <v>291</v>
      </c>
      <c r="I183" s="78">
        <v>287</v>
      </c>
      <c r="J183" s="78">
        <v>287</v>
      </c>
      <c r="K183" s="78">
        <v>287</v>
      </c>
      <c r="L183" s="239">
        <v>18</v>
      </c>
      <c r="M183" s="233" t="s">
        <v>254</v>
      </c>
      <c r="N183" s="233" t="s">
        <v>255</v>
      </c>
      <c r="O183" s="236" t="s">
        <v>257</v>
      </c>
      <c r="P183" s="78">
        <v>1396947.25</v>
      </c>
      <c r="Q183" s="78">
        <v>0</v>
      </c>
      <c r="R183" s="78">
        <v>0</v>
      </c>
      <c r="S183" s="78">
        <v>0</v>
      </c>
      <c r="T183" s="78">
        <f t="shared" si="9"/>
        <v>1396947.25</v>
      </c>
      <c r="U183" s="78">
        <f t="shared" si="8"/>
        <v>4867.4120209059238</v>
      </c>
      <c r="V183" s="78">
        <v>7925.9125574912896</v>
      </c>
    </row>
    <row r="184" spans="1:22" s="79" customFormat="1" ht="36" customHeight="1" x14ac:dyDescent="0.25">
      <c r="A184" s="79">
        <v>1</v>
      </c>
      <c r="B184" s="80">
        <f>SUBTOTAL(103,$A$16:A184)</f>
        <v>167</v>
      </c>
      <c r="C184" s="77" t="s">
        <v>1456</v>
      </c>
      <c r="D184" s="233">
        <v>1952</v>
      </c>
      <c r="E184" s="233"/>
      <c r="F184" s="233" t="s">
        <v>1263</v>
      </c>
      <c r="G184" s="233">
        <v>2</v>
      </c>
      <c r="H184" s="233" t="s">
        <v>290</v>
      </c>
      <c r="I184" s="78">
        <v>644.12</v>
      </c>
      <c r="J184" s="78">
        <v>644.12</v>
      </c>
      <c r="K184" s="78">
        <v>644.12</v>
      </c>
      <c r="L184" s="239">
        <v>31</v>
      </c>
      <c r="M184" s="233" t="s">
        <v>254</v>
      </c>
      <c r="N184" s="233" t="s">
        <v>255</v>
      </c>
      <c r="O184" s="236" t="s">
        <v>257</v>
      </c>
      <c r="P184" s="78">
        <v>2343822.52</v>
      </c>
      <c r="Q184" s="78">
        <v>0</v>
      </c>
      <c r="R184" s="78">
        <v>0</v>
      </c>
      <c r="S184" s="78">
        <v>0</v>
      </c>
      <c r="T184" s="78">
        <f t="shared" si="9"/>
        <v>2343822.52</v>
      </c>
      <c r="U184" s="78">
        <f t="shared" si="8"/>
        <v>3638.7979258523255</v>
      </c>
      <c r="V184" s="78">
        <v>10964.254610942062</v>
      </c>
    </row>
    <row r="185" spans="1:22" s="79" customFormat="1" ht="36" customHeight="1" x14ac:dyDescent="0.25">
      <c r="A185" s="79">
        <v>1</v>
      </c>
      <c r="B185" s="80">
        <f>SUBTOTAL(103,$A$16:A185)</f>
        <v>168</v>
      </c>
      <c r="C185" s="77" t="s">
        <v>1467</v>
      </c>
      <c r="D185" s="233">
        <v>1968</v>
      </c>
      <c r="E185" s="233"/>
      <c r="F185" s="233" t="s">
        <v>298</v>
      </c>
      <c r="G185" s="233">
        <v>2</v>
      </c>
      <c r="H185" s="233" t="s">
        <v>290</v>
      </c>
      <c r="I185" s="78">
        <v>632.6</v>
      </c>
      <c r="J185" s="78">
        <v>632.6</v>
      </c>
      <c r="K185" s="78">
        <v>632.6</v>
      </c>
      <c r="L185" s="239">
        <v>23</v>
      </c>
      <c r="M185" s="233" t="s">
        <v>254</v>
      </c>
      <c r="N185" s="233" t="s">
        <v>255</v>
      </c>
      <c r="O185" s="236" t="s">
        <v>257</v>
      </c>
      <c r="P185" s="78">
        <v>2905261.2600000002</v>
      </c>
      <c r="Q185" s="78">
        <v>0</v>
      </c>
      <c r="R185" s="78">
        <v>0</v>
      </c>
      <c r="S185" s="78">
        <v>0</v>
      </c>
      <c r="T185" s="78">
        <f t="shared" si="9"/>
        <v>2905261.2600000002</v>
      </c>
      <c r="U185" s="78">
        <f t="shared" si="8"/>
        <v>4592.572336389504</v>
      </c>
      <c r="V185" s="78">
        <v>7795.0096743597851</v>
      </c>
    </row>
    <row r="186" spans="1:22" s="79" customFormat="1" ht="36" customHeight="1" x14ac:dyDescent="0.25">
      <c r="A186" s="79">
        <v>1</v>
      </c>
      <c r="B186" s="80">
        <f>SUBTOTAL(103,$A$16:A186)</f>
        <v>169</v>
      </c>
      <c r="C186" s="77" t="s">
        <v>1468</v>
      </c>
      <c r="D186" s="233">
        <v>1941</v>
      </c>
      <c r="E186" s="233"/>
      <c r="F186" s="233" t="s">
        <v>256</v>
      </c>
      <c r="G186" s="233">
        <v>2</v>
      </c>
      <c r="H186" s="233" t="s">
        <v>290</v>
      </c>
      <c r="I186" s="78">
        <v>733.92</v>
      </c>
      <c r="J186" s="78">
        <v>662.9</v>
      </c>
      <c r="K186" s="78">
        <v>662.9</v>
      </c>
      <c r="L186" s="239">
        <v>22</v>
      </c>
      <c r="M186" s="233" t="s">
        <v>254</v>
      </c>
      <c r="N186" s="233" t="s">
        <v>258</v>
      </c>
      <c r="O186" s="236" t="s">
        <v>313</v>
      </c>
      <c r="P186" s="78">
        <v>2908972.99</v>
      </c>
      <c r="Q186" s="78">
        <v>0</v>
      </c>
      <c r="R186" s="78">
        <v>0</v>
      </c>
      <c r="S186" s="78">
        <v>0</v>
      </c>
      <c r="T186" s="78">
        <f>P186-S186-R186</f>
        <v>2908972.99</v>
      </c>
      <c r="U186" s="78">
        <f t="shared" si="8"/>
        <v>3963.6104616306961</v>
      </c>
      <c r="V186" s="78">
        <v>7020.9297122302169</v>
      </c>
    </row>
    <row r="187" spans="1:22" s="79" customFormat="1" ht="36" customHeight="1" x14ac:dyDescent="0.25">
      <c r="A187" s="79">
        <v>1</v>
      </c>
      <c r="B187" s="80">
        <f>SUBTOTAL(103,$A$16:A187)</f>
        <v>170</v>
      </c>
      <c r="C187" s="77" t="s">
        <v>1495</v>
      </c>
      <c r="D187" s="233">
        <v>1986</v>
      </c>
      <c r="E187" s="233"/>
      <c r="F187" s="233" t="s">
        <v>304</v>
      </c>
      <c r="G187" s="233">
        <v>5</v>
      </c>
      <c r="H187" s="233" t="s">
        <v>295</v>
      </c>
      <c r="I187" s="78">
        <v>3450.6</v>
      </c>
      <c r="J187" s="78">
        <v>3118.5</v>
      </c>
      <c r="K187" s="78">
        <v>3118.5</v>
      </c>
      <c r="L187" s="239">
        <v>32</v>
      </c>
      <c r="M187" s="233" t="s">
        <v>254</v>
      </c>
      <c r="N187" s="233" t="s">
        <v>258</v>
      </c>
      <c r="O187" s="236" t="s">
        <v>1274</v>
      </c>
      <c r="P187" s="78">
        <v>2039264.59</v>
      </c>
      <c r="Q187" s="78">
        <v>0</v>
      </c>
      <c r="R187" s="78">
        <v>0</v>
      </c>
      <c r="S187" s="78">
        <v>0</v>
      </c>
      <c r="T187" s="78">
        <f>P187-S187-R187</f>
        <v>2039264.59</v>
      </c>
      <c r="U187" s="78">
        <f t="shared" si="8"/>
        <v>590.98840491508724</v>
      </c>
      <c r="V187" s="78">
        <v>2049.2187964991599</v>
      </c>
    </row>
    <row r="188" spans="1:22" s="79" customFormat="1" ht="36" customHeight="1" x14ac:dyDescent="0.25">
      <c r="A188" s="79">
        <v>1</v>
      </c>
      <c r="B188" s="80">
        <f>SUBTOTAL(103,$A$16:A188)</f>
        <v>171</v>
      </c>
      <c r="C188" s="77" t="s">
        <v>382</v>
      </c>
      <c r="D188" s="233" t="s">
        <v>315</v>
      </c>
      <c r="E188" s="233"/>
      <c r="F188" s="233" t="s">
        <v>256</v>
      </c>
      <c r="G188" s="233">
        <v>9</v>
      </c>
      <c r="H188" s="233" t="s">
        <v>291</v>
      </c>
      <c r="I188" s="78">
        <v>2760.5</v>
      </c>
      <c r="J188" s="78">
        <v>2760.5</v>
      </c>
      <c r="K188" s="78">
        <v>2760.5</v>
      </c>
      <c r="L188" s="239">
        <v>140</v>
      </c>
      <c r="M188" s="233" t="s">
        <v>254</v>
      </c>
      <c r="N188" s="233" t="s">
        <v>258</v>
      </c>
      <c r="O188" s="236" t="s">
        <v>308</v>
      </c>
      <c r="P188" s="78">
        <v>1604039.9000000001</v>
      </c>
      <c r="Q188" s="78">
        <v>0</v>
      </c>
      <c r="R188" s="78">
        <v>0</v>
      </c>
      <c r="S188" s="78">
        <v>0</v>
      </c>
      <c r="T188" s="78">
        <f>P188-S188-R188</f>
        <v>1604039.9000000001</v>
      </c>
      <c r="U188" s="78">
        <f t="shared" si="8"/>
        <v>581.0686107589205</v>
      </c>
      <c r="V188" s="78">
        <v>890.3459518203224</v>
      </c>
    </row>
    <row r="189" spans="1:22" s="79" customFormat="1" ht="36" customHeight="1" x14ac:dyDescent="0.25">
      <c r="A189" s="79">
        <v>1</v>
      </c>
      <c r="B189" s="80">
        <f>SUBTOTAL(103,$A$16:A189)</f>
        <v>172</v>
      </c>
      <c r="C189" s="77" t="s">
        <v>413</v>
      </c>
      <c r="D189" s="233">
        <v>1994</v>
      </c>
      <c r="E189" s="233"/>
      <c r="F189" s="233" t="s">
        <v>298</v>
      </c>
      <c r="G189" s="233">
        <v>9</v>
      </c>
      <c r="H189" s="233" t="s">
        <v>290</v>
      </c>
      <c r="I189" s="234">
        <v>4306.3</v>
      </c>
      <c r="J189" s="78">
        <v>3866</v>
      </c>
      <c r="K189" s="78">
        <v>3866</v>
      </c>
      <c r="L189" s="239">
        <v>182</v>
      </c>
      <c r="M189" s="233" t="s">
        <v>254</v>
      </c>
      <c r="N189" s="233" t="s">
        <v>258</v>
      </c>
      <c r="O189" s="236" t="s">
        <v>307</v>
      </c>
      <c r="P189" s="78">
        <v>105635.39</v>
      </c>
      <c r="Q189" s="78">
        <v>0</v>
      </c>
      <c r="R189" s="78">
        <v>0</v>
      </c>
      <c r="S189" s="78">
        <v>0</v>
      </c>
      <c r="T189" s="78">
        <f>P189-S189-R189</f>
        <v>105635.39</v>
      </c>
      <c r="U189" s="78">
        <f t="shared" si="8"/>
        <v>24.530429835357499</v>
      </c>
      <c r="V189" s="78">
        <v>24.530429835357499</v>
      </c>
    </row>
    <row r="190" spans="1:22" s="79" customFormat="1" ht="36" customHeight="1" x14ac:dyDescent="0.25">
      <c r="A190" s="79">
        <v>1</v>
      </c>
      <c r="B190" s="80">
        <f>SUBTOTAL(103,$A$16:A190)</f>
        <v>173</v>
      </c>
      <c r="C190" s="77" t="s">
        <v>386</v>
      </c>
      <c r="D190" s="233">
        <v>1957</v>
      </c>
      <c r="E190" s="233"/>
      <c r="F190" s="233" t="s">
        <v>256</v>
      </c>
      <c r="G190" s="233">
        <v>2</v>
      </c>
      <c r="H190" s="233" t="s">
        <v>290</v>
      </c>
      <c r="I190" s="78">
        <v>706.7</v>
      </c>
      <c r="J190" s="78">
        <v>646.1</v>
      </c>
      <c r="K190" s="78">
        <v>646.1</v>
      </c>
      <c r="L190" s="239">
        <v>18</v>
      </c>
      <c r="M190" s="233" t="s">
        <v>254</v>
      </c>
      <c r="N190" s="233" t="s">
        <v>258</v>
      </c>
      <c r="O190" s="236" t="s">
        <v>311</v>
      </c>
      <c r="P190" s="78">
        <v>81776.960000000006</v>
      </c>
      <c r="Q190" s="78">
        <v>0</v>
      </c>
      <c r="R190" s="78">
        <v>0</v>
      </c>
      <c r="S190" s="78">
        <v>0</v>
      </c>
      <c r="T190" s="78">
        <f>P190-R190-S190</f>
        <v>81776.960000000006</v>
      </c>
      <c r="U190" s="78">
        <f t="shared" si="8"/>
        <v>115.71665487477006</v>
      </c>
      <c r="V190" s="78">
        <v>115.71665487477006</v>
      </c>
    </row>
    <row r="191" spans="1:22" s="79" customFormat="1" ht="36" customHeight="1" x14ac:dyDescent="0.25">
      <c r="A191" s="79">
        <v>1</v>
      </c>
      <c r="B191" s="80">
        <f>SUBTOTAL(103,$A$16:A191)</f>
        <v>174</v>
      </c>
      <c r="C191" s="77" t="s">
        <v>387</v>
      </c>
      <c r="D191" s="233">
        <v>1960</v>
      </c>
      <c r="E191" s="233"/>
      <c r="F191" s="233" t="s">
        <v>256</v>
      </c>
      <c r="G191" s="233">
        <v>2</v>
      </c>
      <c r="H191" s="233" t="s">
        <v>290</v>
      </c>
      <c r="I191" s="234">
        <v>582.70000000000005</v>
      </c>
      <c r="J191" s="234">
        <v>576.70000000000005</v>
      </c>
      <c r="K191" s="234">
        <v>576.70000000000005</v>
      </c>
      <c r="L191" s="239">
        <v>31</v>
      </c>
      <c r="M191" s="233" t="s">
        <v>254</v>
      </c>
      <c r="N191" s="233" t="s">
        <v>258</v>
      </c>
      <c r="O191" s="236" t="s">
        <v>307</v>
      </c>
      <c r="P191" s="78">
        <v>64771.71</v>
      </c>
      <c r="Q191" s="78">
        <v>0</v>
      </c>
      <c r="R191" s="78">
        <v>0</v>
      </c>
      <c r="S191" s="78">
        <v>0</v>
      </c>
      <c r="T191" s="78">
        <f>P191-R191-S191</f>
        <v>64771.71</v>
      </c>
      <c r="U191" s="78">
        <f t="shared" si="8"/>
        <v>111.15790286596875</v>
      </c>
      <c r="V191" s="78">
        <v>111.15790286596875</v>
      </c>
    </row>
    <row r="192" spans="1:22" s="79" customFormat="1" ht="36" customHeight="1" x14ac:dyDescent="0.25">
      <c r="A192" s="79">
        <v>1</v>
      </c>
      <c r="B192" s="80">
        <f>SUBTOTAL(103,$A$16:A192)</f>
        <v>175</v>
      </c>
      <c r="C192" s="77" t="s">
        <v>388</v>
      </c>
      <c r="D192" s="233">
        <v>1960</v>
      </c>
      <c r="E192" s="233"/>
      <c r="F192" s="233" t="s">
        <v>256</v>
      </c>
      <c r="G192" s="233">
        <v>2</v>
      </c>
      <c r="H192" s="233" t="s">
        <v>290</v>
      </c>
      <c r="I192" s="78">
        <v>592.20000000000005</v>
      </c>
      <c r="J192" s="78">
        <v>550.70000000000005</v>
      </c>
      <c r="K192" s="78">
        <v>550.70000000000005</v>
      </c>
      <c r="L192" s="239">
        <v>37</v>
      </c>
      <c r="M192" s="233" t="s">
        <v>254</v>
      </c>
      <c r="N192" s="233" t="s">
        <v>258</v>
      </c>
      <c r="O192" s="236" t="s">
        <v>314</v>
      </c>
      <c r="P192" s="78">
        <v>64458.1</v>
      </c>
      <c r="Q192" s="78">
        <v>0</v>
      </c>
      <c r="R192" s="78">
        <v>0</v>
      </c>
      <c r="S192" s="78">
        <v>0</v>
      </c>
      <c r="T192" s="78">
        <f>P192-S192-R192</f>
        <v>64458.1</v>
      </c>
      <c r="U192" s="78">
        <f t="shared" si="8"/>
        <v>108.84515366430259</v>
      </c>
      <c r="V192" s="78">
        <v>108.84515366430259</v>
      </c>
    </row>
    <row r="193" spans="1:22" s="79" customFormat="1" ht="36" customHeight="1" x14ac:dyDescent="0.25">
      <c r="A193" s="79">
        <v>1</v>
      </c>
      <c r="B193" s="80">
        <f>SUBTOTAL(103,$A$16:A193)</f>
        <v>176</v>
      </c>
      <c r="C193" s="77" t="s">
        <v>393</v>
      </c>
      <c r="D193" s="233">
        <v>1958</v>
      </c>
      <c r="E193" s="233"/>
      <c r="F193" s="233" t="s">
        <v>256</v>
      </c>
      <c r="G193" s="233">
        <v>2</v>
      </c>
      <c r="H193" s="233" t="s">
        <v>290</v>
      </c>
      <c r="I193" s="234">
        <v>653.29999999999995</v>
      </c>
      <c r="J193" s="78">
        <v>605.6</v>
      </c>
      <c r="K193" s="78">
        <v>605.6</v>
      </c>
      <c r="L193" s="239">
        <v>30</v>
      </c>
      <c r="M193" s="233" t="s">
        <v>254</v>
      </c>
      <c r="N193" s="233" t="s">
        <v>258</v>
      </c>
      <c r="O193" s="236" t="s">
        <v>311</v>
      </c>
      <c r="P193" s="78">
        <v>68984.12</v>
      </c>
      <c r="Q193" s="78">
        <v>0</v>
      </c>
      <c r="R193" s="78">
        <v>0</v>
      </c>
      <c r="S193" s="78">
        <v>0</v>
      </c>
      <c r="T193" s="78">
        <f>P193-S193-R193</f>
        <v>68984.12</v>
      </c>
      <c r="U193" s="78">
        <f t="shared" si="8"/>
        <v>105.59332619011174</v>
      </c>
      <c r="V193" s="78">
        <v>105.59332619011174</v>
      </c>
    </row>
    <row r="194" spans="1:22" s="79" customFormat="1" ht="36" customHeight="1" x14ac:dyDescent="0.25">
      <c r="A194" s="79">
        <v>1</v>
      </c>
      <c r="B194" s="80">
        <f>SUBTOTAL(103,$A$16:A194)</f>
        <v>177</v>
      </c>
      <c r="C194" s="77" t="s">
        <v>394</v>
      </c>
      <c r="D194" s="233">
        <v>1961</v>
      </c>
      <c r="E194" s="233"/>
      <c r="F194" s="233" t="s">
        <v>256</v>
      </c>
      <c r="G194" s="233">
        <v>2</v>
      </c>
      <c r="H194" s="233" t="s">
        <v>291</v>
      </c>
      <c r="I194" s="78">
        <v>291.64999999999998</v>
      </c>
      <c r="J194" s="78">
        <v>275.13</v>
      </c>
      <c r="K194" s="78">
        <v>275.13</v>
      </c>
      <c r="L194" s="239">
        <v>17</v>
      </c>
      <c r="M194" s="233" t="s">
        <v>254</v>
      </c>
      <c r="N194" s="233" t="s">
        <v>255</v>
      </c>
      <c r="O194" s="236" t="s">
        <v>257</v>
      </c>
      <c r="P194" s="78">
        <v>49086.239999999998</v>
      </c>
      <c r="Q194" s="78">
        <v>0</v>
      </c>
      <c r="R194" s="78">
        <v>0</v>
      </c>
      <c r="S194" s="78">
        <v>0</v>
      </c>
      <c r="T194" s="78">
        <f>P194-R194-S194</f>
        <v>49086.239999999998</v>
      </c>
      <c r="U194" s="78">
        <f t="shared" si="8"/>
        <v>168.30529744556833</v>
      </c>
      <c r="V194" s="78">
        <v>168.30529744556833</v>
      </c>
    </row>
    <row r="195" spans="1:22" s="79" customFormat="1" ht="36" customHeight="1" x14ac:dyDescent="0.25">
      <c r="A195" s="79">
        <v>1</v>
      </c>
      <c r="B195" s="80">
        <f>SUBTOTAL(103,$A$16:A195)</f>
        <v>178</v>
      </c>
      <c r="C195" s="77" t="s">
        <v>401</v>
      </c>
      <c r="D195" s="233">
        <v>1962</v>
      </c>
      <c r="E195" s="233"/>
      <c r="F195" s="233" t="s">
        <v>310</v>
      </c>
      <c r="G195" s="233">
        <v>2</v>
      </c>
      <c r="H195" s="233" t="s">
        <v>290</v>
      </c>
      <c r="I195" s="234">
        <v>590.99</v>
      </c>
      <c r="J195" s="234">
        <v>550.29</v>
      </c>
      <c r="K195" s="234">
        <v>550.29</v>
      </c>
      <c r="L195" s="239">
        <v>18</v>
      </c>
      <c r="M195" s="233" t="s">
        <v>254</v>
      </c>
      <c r="N195" s="233" t="s">
        <v>258</v>
      </c>
      <c r="O195" s="236" t="s">
        <v>314</v>
      </c>
      <c r="P195" s="78">
        <v>66103.89</v>
      </c>
      <c r="Q195" s="78">
        <v>0</v>
      </c>
      <c r="R195" s="78">
        <v>0</v>
      </c>
      <c r="S195" s="78">
        <v>0</v>
      </c>
      <c r="T195" s="78">
        <f>P195-R195-S195</f>
        <v>66103.89</v>
      </c>
      <c r="U195" s="78">
        <f t="shared" si="8"/>
        <v>111.85280630805936</v>
      </c>
      <c r="V195" s="78">
        <v>111.85280630805936</v>
      </c>
    </row>
    <row r="196" spans="1:22" s="79" customFormat="1" ht="36" customHeight="1" x14ac:dyDescent="0.25">
      <c r="B196" s="77" t="s">
        <v>710</v>
      </c>
      <c r="C196" s="240"/>
      <c r="D196" s="233" t="s">
        <v>835</v>
      </c>
      <c r="E196" s="233" t="s">
        <v>835</v>
      </c>
      <c r="F196" s="233" t="s">
        <v>835</v>
      </c>
      <c r="G196" s="233" t="s">
        <v>835</v>
      </c>
      <c r="H196" s="233" t="s">
        <v>835</v>
      </c>
      <c r="I196" s="234">
        <f>SUM(I197:I232)</f>
        <v>218132.8</v>
      </c>
      <c r="J196" s="234">
        <f>SUM(J197:J232)</f>
        <v>185137.02000000002</v>
      </c>
      <c r="K196" s="234">
        <f>SUM(K197:K232)</f>
        <v>177475.53000000003</v>
      </c>
      <c r="L196" s="235">
        <f>SUM(L197:L232)</f>
        <v>7911</v>
      </c>
      <c r="M196" s="233" t="s">
        <v>835</v>
      </c>
      <c r="N196" s="233" t="s">
        <v>835</v>
      </c>
      <c r="O196" s="236" t="s">
        <v>835</v>
      </c>
      <c r="P196" s="237">
        <v>128937901.11000001</v>
      </c>
      <c r="Q196" s="234">
        <f>SUM(Q197:Q232)</f>
        <v>0</v>
      </c>
      <c r="R196" s="234">
        <f>SUM(R197:R232)</f>
        <v>0</v>
      </c>
      <c r="S196" s="234">
        <f>SUM(S197:S232)</f>
        <v>0</v>
      </c>
      <c r="T196" s="234">
        <f>SUM(T197:T232)</f>
        <v>128937901.11000001</v>
      </c>
      <c r="U196" s="78">
        <f t="shared" si="8"/>
        <v>591.09818014530606</v>
      </c>
      <c r="V196" s="78">
        <f>MAX(V197:V232)</f>
        <v>9396.775305706522</v>
      </c>
    </row>
    <row r="197" spans="1:22" s="79" customFormat="1" ht="36" customHeight="1" x14ac:dyDescent="0.25">
      <c r="A197" s="79">
        <v>1</v>
      </c>
      <c r="B197" s="80">
        <f>SUBTOTAL(103,$A$16:A197)</f>
        <v>179</v>
      </c>
      <c r="C197" s="77" t="s">
        <v>711</v>
      </c>
      <c r="D197" s="233">
        <v>1960</v>
      </c>
      <c r="E197" s="233"/>
      <c r="F197" s="233" t="s">
        <v>256</v>
      </c>
      <c r="G197" s="233">
        <v>4</v>
      </c>
      <c r="H197" s="233" t="s">
        <v>299</v>
      </c>
      <c r="I197" s="78">
        <v>2116.5</v>
      </c>
      <c r="J197" s="78">
        <v>1931.2</v>
      </c>
      <c r="K197" s="78">
        <v>1680.5</v>
      </c>
      <c r="L197" s="239">
        <v>73</v>
      </c>
      <c r="M197" s="233" t="s">
        <v>254</v>
      </c>
      <c r="N197" s="233" t="s">
        <v>258</v>
      </c>
      <c r="O197" s="236" t="s">
        <v>747</v>
      </c>
      <c r="P197" s="78">
        <v>131699.56</v>
      </c>
      <c r="Q197" s="78">
        <v>0</v>
      </c>
      <c r="R197" s="78">
        <v>0</v>
      </c>
      <c r="S197" s="78">
        <v>0</v>
      </c>
      <c r="T197" s="78">
        <f t="shared" ref="T197:T224" si="10">P197-R197-S197</f>
        <v>131699.56</v>
      </c>
      <c r="U197" s="78">
        <f t="shared" si="8"/>
        <v>62.225164186156391</v>
      </c>
      <c r="V197" s="78">
        <v>62.225164186156391</v>
      </c>
    </row>
    <row r="198" spans="1:22" s="79" customFormat="1" ht="36" customHeight="1" x14ac:dyDescent="0.25">
      <c r="A198" s="79">
        <v>1</v>
      </c>
      <c r="B198" s="80">
        <f>SUBTOTAL(103,$A$16:A198)</f>
        <v>180</v>
      </c>
      <c r="C198" s="77" t="s">
        <v>712</v>
      </c>
      <c r="D198" s="233">
        <v>1938</v>
      </c>
      <c r="E198" s="233"/>
      <c r="F198" s="233" t="s">
        <v>310</v>
      </c>
      <c r="G198" s="233">
        <v>2</v>
      </c>
      <c r="H198" s="233" t="s">
        <v>290</v>
      </c>
      <c r="I198" s="78">
        <v>692.4</v>
      </c>
      <c r="J198" s="78">
        <v>692.4</v>
      </c>
      <c r="K198" s="78">
        <v>632.79999999999995</v>
      </c>
      <c r="L198" s="239">
        <v>23</v>
      </c>
      <c r="M198" s="233" t="s">
        <v>254</v>
      </c>
      <c r="N198" s="233" t="s">
        <v>255</v>
      </c>
      <c r="O198" s="236" t="s">
        <v>257</v>
      </c>
      <c r="P198" s="78">
        <v>2194413.6799999997</v>
      </c>
      <c r="Q198" s="78">
        <v>0</v>
      </c>
      <c r="R198" s="78">
        <v>0</v>
      </c>
      <c r="S198" s="78">
        <v>0</v>
      </c>
      <c r="T198" s="78">
        <f t="shared" si="10"/>
        <v>2194413.6799999997</v>
      </c>
      <c r="U198" s="78">
        <f t="shared" si="8"/>
        <v>3169.2860774119004</v>
      </c>
      <c r="V198" s="78">
        <v>6959.1289786250736</v>
      </c>
    </row>
    <row r="199" spans="1:22" s="79" customFormat="1" ht="36" customHeight="1" x14ac:dyDescent="0.25">
      <c r="A199" s="79">
        <v>1</v>
      </c>
      <c r="B199" s="80">
        <f>SUBTOTAL(103,$A$16:A199)</f>
        <v>181</v>
      </c>
      <c r="C199" s="77" t="s">
        <v>713</v>
      </c>
      <c r="D199" s="233">
        <v>1961</v>
      </c>
      <c r="E199" s="233"/>
      <c r="F199" s="233" t="s">
        <v>256</v>
      </c>
      <c r="G199" s="233">
        <v>2</v>
      </c>
      <c r="H199" s="233" t="s">
        <v>291</v>
      </c>
      <c r="I199" s="78">
        <v>296.39999999999998</v>
      </c>
      <c r="J199" s="78">
        <v>275.5</v>
      </c>
      <c r="K199" s="78">
        <v>275.5</v>
      </c>
      <c r="L199" s="239">
        <v>8</v>
      </c>
      <c r="M199" s="233" t="s">
        <v>254</v>
      </c>
      <c r="N199" s="233" t="s">
        <v>258</v>
      </c>
      <c r="O199" s="236" t="s">
        <v>748</v>
      </c>
      <c r="P199" s="78">
        <v>62023.07</v>
      </c>
      <c r="Q199" s="78">
        <v>0</v>
      </c>
      <c r="R199" s="78">
        <v>0</v>
      </c>
      <c r="S199" s="78">
        <v>0</v>
      </c>
      <c r="T199" s="78">
        <f t="shared" si="10"/>
        <v>62023.07</v>
      </c>
      <c r="U199" s="78">
        <f t="shared" si="8"/>
        <v>209.25462213225373</v>
      </c>
      <c r="V199" s="78">
        <v>209.25462213225373</v>
      </c>
    </row>
    <row r="200" spans="1:22" s="79" customFormat="1" ht="36" customHeight="1" x14ac:dyDescent="0.25">
      <c r="A200" s="79">
        <v>1</v>
      </c>
      <c r="B200" s="80">
        <f>SUBTOTAL(103,$A$16:A200)</f>
        <v>182</v>
      </c>
      <c r="C200" s="77" t="s">
        <v>714</v>
      </c>
      <c r="D200" s="233">
        <v>1988</v>
      </c>
      <c r="E200" s="233"/>
      <c r="F200" s="233" t="s">
        <v>304</v>
      </c>
      <c r="G200" s="233">
        <v>9</v>
      </c>
      <c r="H200" s="233" t="s">
        <v>299</v>
      </c>
      <c r="I200" s="78">
        <v>6561.4</v>
      </c>
      <c r="J200" s="78">
        <v>5844</v>
      </c>
      <c r="K200" s="78">
        <v>5844</v>
      </c>
      <c r="L200" s="239">
        <v>243</v>
      </c>
      <c r="M200" s="233" t="s">
        <v>254</v>
      </c>
      <c r="N200" s="233" t="s">
        <v>258</v>
      </c>
      <c r="O200" s="236" t="s">
        <v>749</v>
      </c>
      <c r="P200" s="78">
        <v>4939980.5199999996</v>
      </c>
      <c r="Q200" s="78">
        <v>0</v>
      </c>
      <c r="R200" s="78">
        <v>0</v>
      </c>
      <c r="S200" s="78">
        <v>0</v>
      </c>
      <c r="T200" s="78">
        <f t="shared" si="10"/>
        <v>4939980.5199999996</v>
      </c>
      <c r="U200" s="78">
        <f t="shared" si="8"/>
        <v>752.88513427012526</v>
      </c>
      <c r="V200" s="78">
        <v>1123.7540768738379</v>
      </c>
    </row>
    <row r="201" spans="1:22" s="79" customFormat="1" ht="36" customHeight="1" x14ac:dyDescent="0.25">
      <c r="A201" s="79">
        <v>1</v>
      </c>
      <c r="B201" s="80">
        <f>SUBTOTAL(103,$A$16:A201)</f>
        <v>183</v>
      </c>
      <c r="C201" s="77" t="s">
        <v>715</v>
      </c>
      <c r="D201" s="233">
        <v>1988</v>
      </c>
      <c r="E201" s="233"/>
      <c r="F201" s="233" t="s">
        <v>256</v>
      </c>
      <c r="G201" s="233">
        <v>9</v>
      </c>
      <c r="H201" s="233" t="s">
        <v>295</v>
      </c>
      <c r="I201" s="78">
        <v>9256.7000000000007</v>
      </c>
      <c r="J201" s="78">
        <v>8471</v>
      </c>
      <c r="K201" s="78">
        <v>8471</v>
      </c>
      <c r="L201" s="239">
        <v>378</v>
      </c>
      <c r="M201" s="233" t="s">
        <v>254</v>
      </c>
      <c r="N201" s="233" t="s">
        <v>258</v>
      </c>
      <c r="O201" s="236" t="s">
        <v>748</v>
      </c>
      <c r="P201" s="78">
        <v>6608023.2199999997</v>
      </c>
      <c r="Q201" s="78">
        <v>0</v>
      </c>
      <c r="R201" s="78">
        <v>0</v>
      </c>
      <c r="S201" s="78">
        <v>0</v>
      </c>
      <c r="T201" s="78">
        <f t="shared" si="10"/>
        <v>6608023.2199999997</v>
      </c>
      <c r="U201" s="78">
        <f t="shared" si="8"/>
        <v>713.8638197197705</v>
      </c>
      <c r="V201" s="78">
        <v>1062.0631542558363</v>
      </c>
    </row>
    <row r="202" spans="1:22" s="79" customFormat="1" ht="36" customHeight="1" x14ac:dyDescent="0.25">
      <c r="A202" s="79">
        <v>1</v>
      </c>
      <c r="B202" s="80">
        <f>SUBTOTAL(103,$A$16:A202)</f>
        <v>184</v>
      </c>
      <c r="C202" s="77" t="s">
        <v>716</v>
      </c>
      <c r="D202" s="233">
        <v>1984</v>
      </c>
      <c r="E202" s="233"/>
      <c r="F202" s="233" t="s">
        <v>304</v>
      </c>
      <c r="G202" s="233">
        <v>9</v>
      </c>
      <c r="H202" s="233" t="s">
        <v>337</v>
      </c>
      <c r="I202" s="78">
        <v>12333.3</v>
      </c>
      <c r="J202" s="78">
        <v>9669.2000000000007</v>
      </c>
      <c r="K202" s="78">
        <v>9669.2000000000007</v>
      </c>
      <c r="L202" s="239">
        <v>396</v>
      </c>
      <c r="M202" s="233" t="s">
        <v>254</v>
      </c>
      <c r="N202" s="233" t="s">
        <v>258</v>
      </c>
      <c r="O202" s="236" t="s">
        <v>750</v>
      </c>
      <c r="P202" s="78">
        <v>8162096.2000000002</v>
      </c>
      <c r="Q202" s="78">
        <v>0</v>
      </c>
      <c r="R202" s="78">
        <v>0</v>
      </c>
      <c r="S202" s="78">
        <v>0</v>
      </c>
      <c r="T202" s="78">
        <f t="shared" si="10"/>
        <v>8162096.2000000002</v>
      </c>
      <c r="U202" s="78">
        <f t="shared" si="8"/>
        <v>661.79337241452015</v>
      </c>
      <c r="V202" s="78">
        <v>996.408098400266</v>
      </c>
    </row>
    <row r="203" spans="1:22" s="79" customFormat="1" ht="36" customHeight="1" x14ac:dyDescent="0.25">
      <c r="A203" s="79">
        <v>1</v>
      </c>
      <c r="B203" s="80">
        <f>SUBTOTAL(103,$A$16:A203)</f>
        <v>185</v>
      </c>
      <c r="C203" s="77" t="s">
        <v>717</v>
      </c>
      <c r="D203" s="233">
        <v>1987</v>
      </c>
      <c r="E203" s="233"/>
      <c r="F203" s="233" t="s">
        <v>304</v>
      </c>
      <c r="G203" s="233">
        <v>9</v>
      </c>
      <c r="H203" s="233" t="s">
        <v>337</v>
      </c>
      <c r="I203" s="78">
        <v>12462.6</v>
      </c>
      <c r="J203" s="78">
        <v>9746.7999999999993</v>
      </c>
      <c r="K203" s="78">
        <v>9746.7999999999993</v>
      </c>
      <c r="L203" s="239">
        <v>398</v>
      </c>
      <c r="M203" s="233" t="s">
        <v>254</v>
      </c>
      <c r="N203" s="233" t="s">
        <v>258</v>
      </c>
      <c r="O203" s="236" t="s">
        <v>750</v>
      </c>
      <c r="P203" s="78">
        <v>7899262.5999999996</v>
      </c>
      <c r="Q203" s="78">
        <v>0</v>
      </c>
      <c r="R203" s="78">
        <v>0</v>
      </c>
      <c r="S203" s="78">
        <v>0</v>
      </c>
      <c r="T203" s="78">
        <f t="shared" si="10"/>
        <v>7899262.5999999996</v>
      </c>
      <c r="U203" s="78">
        <f t="shared" si="8"/>
        <v>633.83744964935079</v>
      </c>
      <c r="V203" s="78">
        <v>986.07032240463468</v>
      </c>
    </row>
    <row r="204" spans="1:22" s="79" customFormat="1" ht="36" customHeight="1" x14ac:dyDescent="0.25">
      <c r="A204" s="79">
        <v>1</v>
      </c>
      <c r="B204" s="80">
        <f>SUBTOTAL(103,$A$16:A204)</f>
        <v>186</v>
      </c>
      <c r="C204" s="77" t="s">
        <v>719</v>
      </c>
      <c r="D204" s="233">
        <v>1958</v>
      </c>
      <c r="E204" s="233"/>
      <c r="F204" s="233" t="s">
        <v>256</v>
      </c>
      <c r="G204" s="233">
        <v>2</v>
      </c>
      <c r="H204" s="233" t="s">
        <v>290</v>
      </c>
      <c r="I204" s="78">
        <v>478.27</v>
      </c>
      <c r="J204" s="78">
        <v>446.77</v>
      </c>
      <c r="K204" s="78">
        <v>446.77</v>
      </c>
      <c r="L204" s="239">
        <v>20</v>
      </c>
      <c r="M204" s="233" t="s">
        <v>254</v>
      </c>
      <c r="N204" s="233" t="s">
        <v>255</v>
      </c>
      <c r="O204" s="236" t="s">
        <v>257</v>
      </c>
      <c r="P204" s="78">
        <v>1703879.76</v>
      </c>
      <c r="Q204" s="78">
        <v>0</v>
      </c>
      <c r="R204" s="78">
        <v>0</v>
      </c>
      <c r="S204" s="78">
        <v>0</v>
      </c>
      <c r="T204" s="78">
        <f t="shared" si="10"/>
        <v>1703879.76</v>
      </c>
      <c r="U204" s="78">
        <f t="shared" si="8"/>
        <v>3562.5896669245408</v>
      </c>
      <c r="V204" s="78">
        <v>7844.9890664269151</v>
      </c>
    </row>
    <row r="205" spans="1:22" s="79" customFormat="1" ht="36" customHeight="1" x14ac:dyDescent="0.25">
      <c r="A205" s="79">
        <v>1</v>
      </c>
      <c r="B205" s="80">
        <f>SUBTOTAL(103,$A$16:A205)</f>
        <v>187</v>
      </c>
      <c r="C205" s="77" t="s">
        <v>720</v>
      </c>
      <c r="D205" s="233">
        <v>1962</v>
      </c>
      <c r="E205" s="233"/>
      <c r="F205" s="233" t="s">
        <v>256</v>
      </c>
      <c r="G205" s="233">
        <v>6</v>
      </c>
      <c r="H205" s="233" t="s">
        <v>337</v>
      </c>
      <c r="I205" s="78">
        <v>5489.1</v>
      </c>
      <c r="J205" s="78">
        <v>4500.5</v>
      </c>
      <c r="K205" s="78">
        <v>4154.3</v>
      </c>
      <c r="L205" s="239">
        <v>130</v>
      </c>
      <c r="M205" s="233" t="s">
        <v>254</v>
      </c>
      <c r="N205" s="233" t="s">
        <v>258</v>
      </c>
      <c r="O205" s="236" t="s">
        <v>752</v>
      </c>
      <c r="P205" s="78">
        <v>114842.89</v>
      </c>
      <c r="Q205" s="78">
        <v>0</v>
      </c>
      <c r="R205" s="78">
        <v>0</v>
      </c>
      <c r="S205" s="78">
        <v>0</v>
      </c>
      <c r="T205" s="78">
        <f t="shared" si="10"/>
        <v>114842.89</v>
      </c>
      <c r="U205" s="78">
        <f t="shared" ref="U205:U232" si="11">P205/I205</f>
        <v>20.921989032810476</v>
      </c>
      <c r="V205" s="78">
        <v>20.921989032810476</v>
      </c>
    </row>
    <row r="206" spans="1:22" s="79" customFormat="1" ht="36" customHeight="1" x14ac:dyDescent="0.25">
      <c r="A206" s="79">
        <v>1</v>
      </c>
      <c r="B206" s="80">
        <f>SUBTOTAL(103,$A$16:A206)</f>
        <v>188</v>
      </c>
      <c r="C206" s="77" t="s">
        <v>721</v>
      </c>
      <c r="D206" s="233">
        <v>1962</v>
      </c>
      <c r="E206" s="233"/>
      <c r="F206" s="233" t="s">
        <v>256</v>
      </c>
      <c r="G206" s="233">
        <v>4</v>
      </c>
      <c r="H206" s="233" t="s">
        <v>299</v>
      </c>
      <c r="I206" s="78">
        <v>2946.2</v>
      </c>
      <c r="J206" s="78">
        <v>1967.3</v>
      </c>
      <c r="K206" s="78">
        <v>1810.2</v>
      </c>
      <c r="L206" s="239">
        <v>95</v>
      </c>
      <c r="M206" s="233" t="s">
        <v>254</v>
      </c>
      <c r="N206" s="233" t="s">
        <v>258</v>
      </c>
      <c r="O206" s="236" t="s">
        <v>749</v>
      </c>
      <c r="P206" s="78">
        <v>136497.56</v>
      </c>
      <c r="Q206" s="78">
        <v>0</v>
      </c>
      <c r="R206" s="78">
        <v>0</v>
      </c>
      <c r="S206" s="78">
        <v>0</v>
      </c>
      <c r="T206" s="78">
        <f t="shared" si="10"/>
        <v>136497.56</v>
      </c>
      <c r="U206" s="78">
        <f t="shared" si="11"/>
        <v>46.330038693910801</v>
      </c>
      <c r="V206" s="78">
        <v>46.330038693910801</v>
      </c>
    </row>
    <row r="207" spans="1:22" s="79" customFormat="1" ht="36" customHeight="1" x14ac:dyDescent="0.25">
      <c r="A207" s="79">
        <v>1</v>
      </c>
      <c r="B207" s="80">
        <f>SUBTOTAL(103,$A$16:A207)</f>
        <v>189</v>
      </c>
      <c r="C207" s="77" t="s">
        <v>1095</v>
      </c>
      <c r="D207" s="233">
        <v>1954</v>
      </c>
      <c r="E207" s="233"/>
      <c r="F207" s="233" t="s">
        <v>256</v>
      </c>
      <c r="G207" s="233">
        <v>2</v>
      </c>
      <c r="H207" s="233" t="s">
        <v>291</v>
      </c>
      <c r="I207" s="78">
        <v>777.3</v>
      </c>
      <c r="J207" s="78">
        <v>475.5</v>
      </c>
      <c r="K207" s="78">
        <v>475.5</v>
      </c>
      <c r="L207" s="239">
        <v>37</v>
      </c>
      <c r="M207" s="233" t="s">
        <v>254</v>
      </c>
      <c r="N207" s="233" t="s">
        <v>258</v>
      </c>
      <c r="O207" s="236" t="s">
        <v>1220</v>
      </c>
      <c r="P207" s="78">
        <v>3517276.18</v>
      </c>
      <c r="Q207" s="78">
        <v>0</v>
      </c>
      <c r="R207" s="78">
        <v>0</v>
      </c>
      <c r="S207" s="78">
        <v>0</v>
      </c>
      <c r="T207" s="78">
        <f t="shared" si="10"/>
        <v>3517276.18</v>
      </c>
      <c r="U207" s="78">
        <f t="shared" si="11"/>
        <v>4524.991869291136</v>
      </c>
      <c r="V207" s="78">
        <v>7396.0099045413617</v>
      </c>
    </row>
    <row r="208" spans="1:22" s="79" customFormat="1" ht="36" customHeight="1" x14ac:dyDescent="0.25">
      <c r="A208" s="79">
        <v>1</v>
      </c>
      <c r="B208" s="80">
        <f>SUBTOTAL(103,$A$16:A208)</f>
        <v>190</v>
      </c>
      <c r="C208" s="77" t="s">
        <v>1096</v>
      </c>
      <c r="D208" s="233">
        <v>1937</v>
      </c>
      <c r="E208" s="233"/>
      <c r="F208" s="233" t="s">
        <v>256</v>
      </c>
      <c r="G208" s="233" t="s">
        <v>295</v>
      </c>
      <c r="H208" s="233" t="s">
        <v>295</v>
      </c>
      <c r="I208" s="78">
        <v>2626</v>
      </c>
      <c r="J208" s="78">
        <v>2536</v>
      </c>
      <c r="K208" s="78">
        <v>2536</v>
      </c>
      <c r="L208" s="239">
        <v>96</v>
      </c>
      <c r="M208" s="233" t="s">
        <v>254</v>
      </c>
      <c r="N208" s="233" t="s">
        <v>258</v>
      </c>
      <c r="O208" s="236" t="s">
        <v>756</v>
      </c>
      <c r="P208" s="78">
        <v>581865.37</v>
      </c>
      <c r="Q208" s="78">
        <v>0</v>
      </c>
      <c r="R208" s="78">
        <v>0</v>
      </c>
      <c r="S208" s="78">
        <v>0</v>
      </c>
      <c r="T208" s="78">
        <f t="shared" si="10"/>
        <v>581865.37</v>
      </c>
      <c r="U208" s="78">
        <f t="shared" si="11"/>
        <v>221.57858720487434</v>
      </c>
      <c r="V208" s="78">
        <v>810.46</v>
      </c>
    </row>
    <row r="209" spans="1:22" s="79" customFormat="1" ht="36" customHeight="1" x14ac:dyDescent="0.25">
      <c r="A209" s="79">
        <v>1</v>
      </c>
      <c r="B209" s="80">
        <f>SUBTOTAL(103,$A$16:A209)</f>
        <v>191</v>
      </c>
      <c r="C209" s="77" t="s">
        <v>1097</v>
      </c>
      <c r="D209" s="233">
        <v>1934</v>
      </c>
      <c r="E209" s="233"/>
      <c r="F209" s="233" t="s">
        <v>256</v>
      </c>
      <c r="G209" s="233">
        <v>4</v>
      </c>
      <c r="H209" s="233" t="s">
        <v>355</v>
      </c>
      <c r="I209" s="78">
        <v>3106.06</v>
      </c>
      <c r="J209" s="78">
        <v>3106.06</v>
      </c>
      <c r="K209" s="78">
        <v>3042.06</v>
      </c>
      <c r="L209" s="239">
        <v>138</v>
      </c>
      <c r="M209" s="233" t="s">
        <v>254</v>
      </c>
      <c r="N209" s="233" t="s">
        <v>258</v>
      </c>
      <c r="O209" s="236" t="s">
        <v>1507</v>
      </c>
      <c r="P209" s="78">
        <v>4997938.54</v>
      </c>
      <c r="Q209" s="78">
        <v>0</v>
      </c>
      <c r="R209" s="78">
        <v>0</v>
      </c>
      <c r="S209" s="78">
        <v>0</v>
      </c>
      <c r="T209" s="78">
        <f t="shared" si="10"/>
        <v>4997938.54</v>
      </c>
      <c r="U209" s="78">
        <f t="shared" si="11"/>
        <v>1609.0927219693117</v>
      </c>
      <c r="V209" s="78">
        <v>3462.8796574438356</v>
      </c>
    </row>
    <row r="210" spans="1:22" s="79" customFormat="1" ht="36" customHeight="1" x14ac:dyDescent="0.25">
      <c r="A210" s="79">
        <v>1</v>
      </c>
      <c r="B210" s="80">
        <f>SUBTOTAL(103,$A$16:A210)</f>
        <v>192</v>
      </c>
      <c r="C210" s="77" t="s">
        <v>1100</v>
      </c>
      <c r="D210" s="233">
        <v>1981</v>
      </c>
      <c r="E210" s="233"/>
      <c r="F210" s="233" t="s">
        <v>304</v>
      </c>
      <c r="G210" s="233">
        <v>5</v>
      </c>
      <c r="H210" s="233" t="s">
        <v>355</v>
      </c>
      <c r="I210" s="78">
        <v>6247.1</v>
      </c>
      <c r="J210" s="78">
        <v>4719.7</v>
      </c>
      <c r="K210" s="78">
        <v>4641.3999999999996</v>
      </c>
      <c r="L210" s="239">
        <v>189</v>
      </c>
      <c r="M210" s="233" t="s">
        <v>254</v>
      </c>
      <c r="N210" s="233" t="s">
        <v>258</v>
      </c>
      <c r="O210" s="236" t="s">
        <v>1265</v>
      </c>
      <c r="P210" s="78">
        <v>3797251.5799999996</v>
      </c>
      <c r="Q210" s="78">
        <v>0</v>
      </c>
      <c r="R210" s="78">
        <v>0</v>
      </c>
      <c r="S210" s="78">
        <v>0</v>
      </c>
      <c r="T210" s="78">
        <f t="shared" si="10"/>
        <v>3797251.5799999996</v>
      </c>
      <c r="U210" s="78">
        <f t="shared" si="11"/>
        <v>607.84229162331314</v>
      </c>
      <c r="V210" s="78">
        <v>1587.1135048262397</v>
      </c>
    </row>
    <row r="211" spans="1:22" s="79" customFormat="1" ht="36" customHeight="1" x14ac:dyDescent="0.25">
      <c r="A211" s="79">
        <v>1</v>
      </c>
      <c r="B211" s="80">
        <f>SUBTOTAL(103,$A$16:A211)</f>
        <v>193</v>
      </c>
      <c r="C211" s="77" t="s">
        <v>1101</v>
      </c>
      <c r="D211" s="233" t="s">
        <v>1247</v>
      </c>
      <c r="E211" s="233"/>
      <c r="F211" s="233" t="s">
        <v>256</v>
      </c>
      <c r="G211" s="233" t="s">
        <v>290</v>
      </c>
      <c r="H211" s="233" t="s">
        <v>291</v>
      </c>
      <c r="I211" s="78">
        <v>286.8</v>
      </c>
      <c r="J211" s="78">
        <v>286.8</v>
      </c>
      <c r="K211" s="78">
        <v>286.8</v>
      </c>
      <c r="L211" s="239">
        <v>9</v>
      </c>
      <c r="M211" s="233" t="s">
        <v>254</v>
      </c>
      <c r="N211" s="233" t="s">
        <v>255</v>
      </c>
      <c r="O211" s="236" t="s">
        <v>257</v>
      </c>
      <c r="P211" s="78">
        <v>1338677.8699999999</v>
      </c>
      <c r="Q211" s="78">
        <v>0</v>
      </c>
      <c r="R211" s="78">
        <v>0</v>
      </c>
      <c r="S211" s="78">
        <v>0</v>
      </c>
      <c r="T211" s="78">
        <f t="shared" si="10"/>
        <v>1338677.8699999999</v>
      </c>
      <c r="U211" s="78">
        <f t="shared" si="11"/>
        <v>4667.6355299860525</v>
      </c>
      <c r="V211" s="78">
        <v>9325.813620641562</v>
      </c>
    </row>
    <row r="212" spans="1:22" s="79" customFormat="1" ht="36" customHeight="1" x14ac:dyDescent="0.25">
      <c r="A212" s="79">
        <v>1</v>
      </c>
      <c r="B212" s="80">
        <f>SUBTOTAL(103,$A$16:A212)</f>
        <v>194</v>
      </c>
      <c r="C212" s="77" t="s">
        <v>1102</v>
      </c>
      <c r="D212" s="233">
        <v>1979</v>
      </c>
      <c r="E212" s="233"/>
      <c r="F212" s="233" t="s">
        <v>256</v>
      </c>
      <c r="G212" s="233">
        <v>9</v>
      </c>
      <c r="H212" s="233" t="s">
        <v>2127</v>
      </c>
      <c r="I212" s="78">
        <v>21489.200000000001</v>
      </c>
      <c r="J212" s="78">
        <v>21489.200000000001</v>
      </c>
      <c r="K212" s="78">
        <v>21320.3</v>
      </c>
      <c r="L212" s="239">
        <v>1110</v>
      </c>
      <c r="M212" s="233" t="s">
        <v>254</v>
      </c>
      <c r="N212" s="233" t="s">
        <v>258</v>
      </c>
      <c r="O212" s="236" t="s">
        <v>749</v>
      </c>
      <c r="P212" s="78">
        <v>4355063.8499999996</v>
      </c>
      <c r="Q212" s="78">
        <v>0</v>
      </c>
      <c r="R212" s="78">
        <v>0</v>
      </c>
      <c r="S212" s="78">
        <v>0</v>
      </c>
      <c r="T212" s="78">
        <f t="shared" si="10"/>
        <v>4355063.8499999996</v>
      </c>
      <c r="U212" s="78">
        <f t="shared" si="11"/>
        <v>202.66291206745711</v>
      </c>
      <c r="V212" s="78">
        <v>343.12119576345327</v>
      </c>
    </row>
    <row r="213" spans="1:22" s="79" customFormat="1" ht="36" customHeight="1" x14ac:dyDescent="0.25">
      <c r="A213" s="79">
        <v>1</v>
      </c>
      <c r="B213" s="80">
        <f>SUBTOTAL(103,$A$16:A213)</f>
        <v>195</v>
      </c>
      <c r="C213" s="77" t="s">
        <v>1103</v>
      </c>
      <c r="D213" s="233">
        <v>1949</v>
      </c>
      <c r="E213" s="233"/>
      <c r="F213" s="233" t="s">
        <v>256</v>
      </c>
      <c r="G213" s="233">
        <v>2</v>
      </c>
      <c r="H213" s="233" t="s">
        <v>291</v>
      </c>
      <c r="I213" s="78">
        <v>402.7</v>
      </c>
      <c r="J213" s="78">
        <v>402.7</v>
      </c>
      <c r="K213" s="78">
        <v>402.7</v>
      </c>
      <c r="L213" s="239">
        <v>20</v>
      </c>
      <c r="M213" s="233" t="s">
        <v>254</v>
      </c>
      <c r="N213" s="233" t="s">
        <v>258</v>
      </c>
      <c r="O213" s="236" t="s">
        <v>1220</v>
      </c>
      <c r="P213" s="78">
        <v>1700754.66</v>
      </c>
      <c r="Q213" s="78">
        <v>0</v>
      </c>
      <c r="R213" s="78">
        <v>0</v>
      </c>
      <c r="S213" s="78">
        <v>0</v>
      </c>
      <c r="T213" s="78">
        <f t="shared" si="10"/>
        <v>1700754.66</v>
      </c>
      <c r="U213" s="78">
        <f t="shared" si="11"/>
        <v>4223.3788428110256</v>
      </c>
      <c r="V213" s="78">
        <v>8814.8631119940401</v>
      </c>
    </row>
    <row r="214" spans="1:22" s="79" customFormat="1" ht="36" customHeight="1" x14ac:dyDescent="0.25">
      <c r="A214" s="79">
        <v>1</v>
      </c>
      <c r="B214" s="80">
        <f>SUBTOTAL(103,$A$16:A214)</f>
        <v>196</v>
      </c>
      <c r="C214" s="77" t="s">
        <v>1104</v>
      </c>
      <c r="D214" s="233">
        <v>1958</v>
      </c>
      <c r="E214" s="233"/>
      <c r="F214" s="233" t="s">
        <v>256</v>
      </c>
      <c r="G214" s="233">
        <v>2</v>
      </c>
      <c r="H214" s="233" t="s">
        <v>291</v>
      </c>
      <c r="I214" s="78">
        <v>294.39999999999998</v>
      </c>
      <c r="J214" s="78">
        <v>294.39999999999998</v>
      </c>
      <c r="K214" s="78">
        <v>294.39999999999998</v>
      </c>
      <c r="L214" s="239">
        <v>10</v>
      </c>
      <c r="M214" s="233" t="s">
        <v>254</v>
      </c>
      <c r="N214" s="233" t="s">
        <v>258</v>
      </c>
      <c r="O214" s="236" t="s">
        <v>1220</v>
      </c>
      <c r="P214" s="78">
        <v>1402602.78</v>
      </c>
      <c r="Q214" s="78">
        <v>0</v>
      </c>
      <c r="R214" s="78">
        <v>0</v>
      </c>
      <c r="S214" s="78">
        <v>0</v>
      </c>
      <c r="T214" s="78">
        <f t="shared" si="10"/>
        <v>1402602.78</v>
      </c>
      <c r="U214" s="78">
        <f t="shared" si="11"/>
        <v>4764.2757472826088</v>
      </c>
      <c r="V214" s="78">
        <v>9396.775305706522</v>
      </c>
    </row>
    <row r="215" spans="1:22" s="79" customFormat="1" ht="36" customHeight="1" x14ac:dyDescent="0.25">
      <c r="A215" s="79">
        <v>1</v>
      </c>
      <c r="B215" s="80">
        <f>SUBTOTAL(103,$A$16:A215)</f>
        <v>197</v>
      </c>
      <c r="C215" s="77" t="s">
        <v>1105</v>
      </c>
      <c r="D215" s="233">
        <v>1993</v>
      </c>
      <c r="E215" s="233"/>
      <c r="F215" s="233" t="s">
        <v>304</v>
      </c>
      <c r="G215" s="233">
        <v>9</v>
      </c>
      <c r="H215" s="233" t="s">
        <v>295</v>
      </c>
      <c r="I215" s="78">
        <v>10873.5</v>
      </c>
      <c r="J215" s="78">
        <v>7723.2</v>
      </c>
      <c r="K215" s="78">
        <v>7661.3</v>
      </c>
      <c r="L215" s="239">
        <v>328</v>
      </c>
      <c r="M215" s="233" t="s">
        <v>254</v>
      </c>
      <c r="N215" s="233" t="s">
        <v>258</v>
      </c>
      <c r="O215" s="236" t="s">
        <v>1266</v>
      </c>
      <c r="P215" s="78">
        <v>6356844.0800000001</v>
      </c>
      <c r="Q215" s="78">
        <v>0</v>
      </c>
      <c r="R215" s="78">
        <v>0</v>
      </c>
      <c r="S215" s="78">
        <v>0</v>
      </c>
      <c r="T215" s="78">
        <f t="shared" si="10"/>
        <v>6356844.0800000001</v>
      </c>
      <c r="U215" s="78">
        <f t="shared" si="11"/>
        <v>584.61802363544393</v>
      </c>
      <c r="V215" s="78">
        <v>904.14310019772847</v>
      </c>
    </row>
    <row r="216" spans="1:22" s="79" customFormat="1" ht="36" customHeight="1" x14ac:dyDescent="0.25">
      <c r="A216" s="79">
        <v>1</v>
      </c>
      <c r="B216" s="80">
        <f>SUBTOTAL(103,$A$16:A216)</f>
        <v>198</v>
      </c>
      <c r="C216" s="77" t="s">
        <v>1199</v>
      </c>
      <c r="D216" s="233">
        <v>1931</v>
      </c>
      <c r="E216" s="233"/>
      <c r="F216" s="233" t="s">
        <v>256</v>
      </c>
      <c r="G216" s="233">
        <v>4</v>
      </c>
      <c r="H216" s="233" t="s">
        <v>355</v>
      </c>
      <c r="I216" s="78">
        <v>4408.1000000000004</v>
      </c>
      <c r="J216" s="78">
        <v>4408.1000000000004</v>
      </c>
      <c r="K216" s="78">
        <v>2703.21</v>
      </c>
      <c r="L216" s="239">
        <v>109</v>
      </c>
      <c r="M216" s="233" t="s">
        <v>254</v>
      </c>
      <c r="N216" s="233" t="s">
        <v>258</v>
      </c>
      <c r="O216" s="236" t="s">
        <v>1275</v>
      </c>
      <c r="P216" s="78">
        <v>172775.04000000001</v>
      </c>
      <c r="Q216" s="78">
        <v>0</v>
      </c>
      <c r="R216" s="78">
        <v>0</v>
      </c>
      <c r="S216" s="78">
        <v>0</v>
      </c>
      <c r="T216" s="78">
        <f t="shared" si="10"/>
        <v>172775.04000000001</v>
      </c>
      <c r="U216" s="78">
        <f t="shared" si="11"/>
        <v>39.19490029718019</v>
      </c>
      <c r="V216" s="78">
        <v>39.19490029718019</v>
      </c>
    </row>
    <row r="217" spans="1:22" s="79" customFormat="1" ht="36" customHeight="1" x14ac:dyDescent="0.25">
      <c r="A217" s="79">
        <v>1</v>
      </c>
      <c r="B217" s="80">
        <f>SUBTOTAL(103,$A$16:A217)</f>
        <v>199</v>
      </c>
      <c r="C217" s="77" t="s">
        <v>1290</v>
      </c>
      <c r="D217" s="233">
        <v>1986</v>
      </c>
      <c r="E217" s="233"/>
      <c r="F217" s="233" t="s">
        <v>256</v>
      </c>
      <c r="G217" s="233">
        <v>9</v>
      </c>
      <c r="H217" s="233" t="s">
        <v>343</v>
      </c>
      <c r="I217" s="78">
        <v>22008.74</v>
      </c>
      <c r="J217" s="78">
        <v>20090.2</v>
      </c>
      <c r="K217" s="78">
        <v>16765.8</v>
      </c>
      <c r="L217" s="239">
        <v>668</v>
      </c>
      <c r="M217" s="233" t="s">
        <v>254</v>
      </c>
      <c r="N217" s="233" t="s">
        <v>327</v>
      </c>
      <c r="O217" s="236" t="s">
        <v>1310</v>
      </c>
      <c r="P217" s="78">
        <v>13083489.59</v>
      </c>
      <c r="Q217" s="78">
        <v>0</v>
      </c>
      <c r="R217" s="78">
        <v>0</v>
      </c>
      <c r="S217" s="78">
        <v>0</v>
      </c>
      <c r="T217" s="78">
        <f t="shared" si="10"/>
        <v>13083489.59</v>
      </c>
      <c r="U217" s="78">
        <f t="shared" si="11"/>
        <v>594.46790638628102</v>
      </c>
      <c r="V217" s="78">
        <v>1005.0643517075488</v>
      </c>
    </row>
    <row r="218" spans="1:22" s="79" customFormat="1" ht="36" customHeight="1" x14ac:dyDescent="0.25">
      <c r="A218" s="79">
        <v>1</v>
      </c>
      <c r="B218" s="80">
        <f>SUBTOTAL(103,$A$16:A218)</f>
        <v>200</v>
      </c>
      <c r="C218" s="77" t="s">
        <v>1305</v>
      </c>
      <c r="D218" s="233">
        <v>1986</v>
      </c>
      <c r="E218" s="233"/>
      <c r="F218" s="233" t="s">
        <v>304</v>
      </c>
      <c r="G218" s="233">
        <v>9</v>
      </c>
      <c r="H218" s="233" t="s">
        <v>299</v>
      </c>
      <c r="I218" s="78">
        <v>5847.8</v>
      </c>
      <c r="J218" s="78">
        <v>5847.8</v>
      </c>
      <c r="K218" s="78">
        <v>5847.8</v>
      </c>
      <c r="L218" s="239">
        <v>220</v>
      </c>
      <c r="M218" s="233" t="s">
        <v>254</v>
      </c>
      <c r="N218" s="233" t="s">
        <v>258</v>
      </c>
      <c r="O218" s="236" t="s">
        <v>1311</v>
      </c>
      <c r="P218" s="78">
        <v>5478127.7400000002</v>
      </c>
      <c r="Q218" s="78">
        <v>0</v>
      </c>
      <c r="R218" s="78">
        <v>0</v>
      </c>
      <c r="S218" s="78">
        <v>0</v>
      </c>
      <c r="T218" s="78">
        <f t="shared" si="10"/>
        <v>5478127.7400000002</v>
      </c>
      <c r="U218" s="78">
        <f t="shared" si="11"/>
        <v>936.78438729094705</v>
      </c>
      <c r="V218" s="78">
        <v>1260.8844351722014</v>
      </c>
    </row>
    <row r="219" spans="1:22" s="79" customFormat="1" ht="36" customHeight="1" x14ac:dyDescent="0.25">
      <c r="A219" s="79">
        <v>1</v>
      </c>
      <c r="B219" s="80">
        <f>SUBTOTAL(103,$A$16:A219)</f>
        <v>201</v>
      </c>
      <c r="C219" s="77" t="s">
        <v>1306</v>
      </c>
      <c r="D219" s="233">
        <v>1986</v>
      </c>
      <c r="E219" s="233"/>
      <c r="F219" s="233" t="s">
        <v>304</v>
      </c>
      <c r="G219" s="233">
        <v>9</v>
      </c>
      <c r="H219" s="233" t="s">
        <v>295</v>
      </c>
      <c r="I219" s="78">
        <v>8861.6</v>
      </c>
      <c r="J219" s="78">
        <v>7954.2</v>
      </c>
      <c r="K219" s="78">
        <v>7894.7</v>
      </c>
      <c r="L219" s="239">
        <v>295</v>
      </c>
      <c r="M219" s="233" t="s">
        <v>254</v>
      </c>
      <c r="N219" s="233" t="s">
        <v>286</v>
      </c>
      <c r="O219" s="236" t="s">
        <v>1312</v>
      </c>
      <c r="P219" s="78">
        <v>7310851.2000000002</v>
      </c>
      <c r="Q219" s="78">
        <v>0</v>
      </c>
      <c r="R219" s="78">
        <v>0</v>
      </c>
      <c r="S219" s="78">
        <v>0</v>
      </c>
      <c r="T219" s="78">
        <f t="shared" si="10"/>
        <v>7310851.2000000002</v>
      </c>
      <c r="U219" s="78">
        <f t="shared" si="11"/>
        <v>825.00352080888331</v>
      </c>
      <c r="V219" s="78">
        <v>1109.4159068339802</v>
      </c>
    </row>
    <row r="220" spans="1:22" s="79" customFormat="1" ht="36" customHeight="1" x14ac:dyDescent="0.25">
      <c r="A220" s="79">
        <v>1</v>
      </c>
      <c r="B220" s="80">
        <f>SUBTOTAL(103,$A$16:A220)</f>
        <v>202</v>
      </c>
      <c r="C220" s="77" t="s">
        <v>1307</v>
      </c>
      <c r="D220" s="233">
        <v>1988</v>
      </c>
      <c r="E220" s="233"/>
      <c r="F220" s="233" t="s">
        <v>304</v>
      </c>
      <c r="G220" s="233">
        <v>9</v>
      </c>
      <c r="H220" s="233" t="s">
        <v>299</v>
      </c>
      <c r="I220" s="78">
        <v>8029.8</v>
      </c>
      <c r="J220" s="78">
        <v>5819.3</v>
      </c>
      <c r="K220" s="78">
        <v>5819.3</v>
      </c>
      <c r="L220" s="239">
        <v>281</v>
      </c>
      <c r="M220" s="233" t="s">
        <v>254</v>
      </c>
      <c r="N220" s="233" t="s">
        <v>258</v>
      </c>
      <c r="O220" s="236" t="s">
        <v>1313</v>
      </c>
      <c r="P220" s="78">
        <v>5327196</v>
      </c>
      <c r="Q220" s="78">
        <v>0</v>
      </c>
      <c r="R220" s="78">
        <v>0</v>
      </c>
      <c r="S220" s="78">
        <v>0</v>
      </c>
      <c r="T220" s="78">
        <f t="shared" si="10"/>
        <v>5327196</v>
      </c>
      <c r="U220" s="78">
        <f t="shared" si="11"/>
        <v>663.42822984383167</v>
      </c>
      <c r="V220" s="78">
        <v>918.25450198012402</v>
      </c>
    </row>
    <row r="221" spans="1:22" s="79" customFormat="1" ht="36" customHeight="1" x14ac:dyDescent="0.25">
      <c r="A221" s="79">
        <v>1</v>
      </c>
      <c r="B221" s="80">
        <f>SUBTOTAL(103,$A$16:A221)</f>
        <v>203</v>
      </c>
      <c r="C221" s="77" t="s">
        <v>1308</v>
      </c>
      <c r="D221" s="233">
        <v>1986</v>
      </c>
      <c r="E221" s="233"/>
      <c r="F221" s="233" t="s">
        <v>304</v>
      </c>
      <c r="G221" s="233">
        <v>9</v>
      </c>
      <c r="H221" s="233" t="s">
        <v>295</v>
      </c>
      <c r="I221" s="78">
        <v>8130.5</v>
      </c>
      <c r="J221" s="78">
        <v>7378.4</v>
      </c>
      <c r="K221" s="78">
        <v>6959.7</v>
      </c>
      <c r="L221" s="239">
        <v>323</v>
      </c>
      <c r="M221" s="233" t="s">
        <v>254</v>
      </c>
      <c r="N221" s="233" t="s">
        <v>258</v>
      </c>
      <c r="O221" s="236" t="s">
        <v>748</v>
      </c>
      <c r="P221" s="78">
        <v>7367915.9199999999</v>
      </c>
      <c r="Q221" s="78">
        <v>0</v>
      </c>
      <c r="R221" s="78">
        <v>0</v>
      </c>
      <c r="S221" s="78">
        <v>0</v>
      </c>
      <c r="T221" s="78">
        <f t="shared" si="10"/>
        <v>7367915.9199999999</v>
      </c>
      <c r="U221" s="78">
        <f t="shared" si="11"/>
        <v>906.20698850009228</v>
      </c>
      <c r="V221" s="78">
        <v>1209.1753274706352</v>
      </c>
    </row>
    <row r="222" spans="1:22" s="79" customFormat="1" ht="36" customHeight="1" x14ac:dyDescent="0.25">
      <c r="A222" s="79">
        <v>1</v>
      </c>
      <c r="B222" s="80">
        <f>SUBTOTAL(103,$A$16:A222)</f>
        <v>204</v>
      </c>
      <c r="C222" s="77" t="s">
        <v>1309</v>
      </c>
      <c r="D222" s="233">
        <v>1987</v>
      </c>
      <c r="E222" s="233"/>
      <c r="F222" s="233" t="s">
        <v>256</v>
      </c>
      <c r="G222" s="233">
        <v>9</v>
      </c>
      <c r="H222" s="233" t="s">
        <v>299</v>
      </c>
      <c r="I222" s="78">
        <v>7146.1</v>
      </c>
      <c r="J222" s="78">
        <v>3870.6</v>
      </c>
      <c r="K222" s="78">
        <v>3226.3</v>
      </c>
      <c r="L222" s="239">
        <v>206</v>
      </c>
      <c r="M222" s="233" t="s">
        <v>254</v>
      </c>
      <c r="N222" s="233" t="s">
        <v>258</v>
      </c>
      <c r="O222" s="236" t="s">
        <v>751</v>
      </c>
      <c r="P222" s="78">
        <v>5462413.6200000001</v>
      </c>
      <c r="Q222" s="78">
        <v>0</v>
      </c>
      <c r="R222" s="78">
        <v>0</v>
      </c>
      <c r="S222" s="78">
        <v>0</v>
      </c>
      <c r="T222" s="78">
        <f t="shared" si="10"/>
        <v>5462413.6200000001</v>
      </c>
      <c r="U222" s="78">
        <f t="shared" si="11"/>
        <v>764.39087334350199</v>
      </c>
      <c r="V222" s="78">
        <v>1031.8075593680469</v>
      </c>
    </row>
    <row r="223" spans="1:22" s="79" customFormat="1" ht="36" customHeight="1" x14ac:dyDescent="0.25">
      <c r="A223" s="79">
        <v>1</v>
      </c>
      <c r="B223" s="80">
        <f>SUBTOTAL(103,$A$16:A223)</f>
        <v>205</v>
      </c>
      <c r="C223" s="77" t="s">
        <v>1442</v>
      </c>
      <c r="D223" s="233">
        <v>1986</v>
      </c>
      <c r="E223" s="233"/>
      <c r="F223" s="233" t="s">
        <v>256</v>
      </c>
      <c r="G223" s="233">
        <v>9</v>
      </c>
      <c r="H223" s="233" t="s">
        <v>291</v>
      </c>
      <c r="I223" s="78">
        <v>3555.69</v>
      </c>
      <c r="J223" s="78">
        <v>3555.69</v>
      </c>
      <c r="K223" s="78">
        <v>3353.49</v>
      </c>
      <c r="L223" s="239">
        <v>294</v>
      </c>
      <c r="M223" s="233" t="s">
        <v>254</v>
      </c>
      <c r="N223" s="233" t="s">
        <v>258</v>
      </c>
      <c r="O223" s="236" t="s">
        <v>1311</v>
      </c>
      <c r="P223" s="78">
        <v>1452147.29</v>
      </c>
      <c r="Q223" s="78">
        <v>0</v>
      </c>
      <c r="R223" s="78">
        <v>0</v>
      </c>
      <c r="S223" s="78">
        <v>0</v>
      </c>
      <c r="T223" s="78">
        <f t="shared" si="10"/>
        <v>1452147.29</v>
      </c>
      <c r="U223" s="78">
        <f t="shared" si="11"/>
        <v>408.40098265034356</v>
      </c>
      <c r="V223" s="78">
        <v>691.23011286135738</v>
      </c>
    </row>
    <row r="224" spans="1:22" s="79" customFormat="1" ht="36" customHeight="1" x14ac:dyDescent="0.25">
      <c r="A224" s="79">
        <v>1</v>
      </c>
      <c r="B224" s="80">
        <f>SUBTOTAL(103,$A$16:A224)</f>
        <v>206</v>
      </c>
      <c r="C224" s="77" t="s">
        <v>1443</v>
      </c>
      <c r="D224" s="233">
        <v>1984</v>
      </c>
      <c r="E224" s="233"/>
      <c r="F224" s="233" t="s">
        <v>304</v>
      </c>
      <c r="G224" s="233">
        <v>9</v>
      </c>
      <c r="H224" s="233" t="s">
        <v>290</v>
      </c>
      <c r="I224" s="78">
        <v>3925.2</v>
      </c>
      <c r="J224" s="78">
        <v>3897.5</v>
      </c>
      <c r="K224" s="78">
        <v>3897.5</v>
      </c>
      <c r="L224" s="239">
        <v>156</v>
      </c>
      <c r="M224" s="233" t="s">
        <v>254</v>
      </c>
      <c r="N224" s="233" t="s">
        <v>258</v>
      </c>
      <c r="O224" s="236" t="s">
        <v>1311</v>
      </c>
      <c r="P224" s="78">
        <v>2915220.6</v>
      </c>
      <c r="Q224" s="78">
        <v>0</v>
      </c>
      <c r="R224" s="78">
        <v>0</v>
      </c>
      <c r="S224" s="78">
        <v>0</v>
      </c>
      <c r="T224" s="78">
        <f t="shared" si="10"/>
        <v>2915220.6</v>
      </c>
      <c r="U224" s="78">
        <f t="shared" si="11"/>
        <v>742.69351880158979</v>
      </c>
      <c r="V224" s="78">
        <v>1252.3183532049322</v>
      </c>
    </row>
    <row r="225" spans="1:22" s="79" customFormat="1" ht="36" customHeight="1" x14ac:dyDescent="0.25">
      <c r="A225" s="79">
        <v>1</v>
      </c>
      <c r="B225" s="80">
        <f>SUBTOTAL(103,$A$16:A225)</f>
        <v>207</v>
      </c>
      <c r="C225" s="77" t="s">
        <v>1444</v>
      </c>
      <c r="D225" s="233">
        <v>1984</v>
      </c>
      <c r="E225" s="233"/>
      <c r="F225" s="233" t="s">
        <v>304</v>
      </c>
      <c r="G225" s="233">
        <v>9</v>
      </c>
      <c r="H225" s="233" t="s">
        <v>299</v>
      </c>
      <c r="I225" s="78">
        <v>6500.5</v>
      </c>
      <c r="J225" s="78">
        <v>5846.6</v>
      </c>
      <c r="K225" s="78">
        <v>5846.6</v>
      </c>
      <c r="L225" s="239">
        <v>233</v>
      </c>
      <c r="M225" s="233" t="s">
        <v>254</v>
      </c>
      <c r="N225" s="233" t="s">
        <v>258</v>
      </c>
      <c r="O225" s="236" t="s">
        <v>1480</v>
      </c>
      <c r="P225" s="78">
        <v>4354761.09</v>
      </c>
      <c r="Q225" s="78">
        <v>0</v>
      </c>
      <c r="R225" s="78">
        <v>0</v>
      </c>
      <c r="S225" s="78">
        <v>0</v>
      </c>
      <c r="T225" s="78">
        <f>P225-S225-R225</f>
        <v>4354761.09</v>
      </c>
      <c r="U225" s="78">
        <f t="shared" si="11"/>
        <v>669.911712945158</v>
      </c>
      <c r="V225" s="78">
        <v>1134.2819783093607</v>
      </c>
    </row>
    <row r="226" spans="1:22" s="79" customFormat="1" ht="36" customHeight="1" x14ac:dyDescent="0.25">
      <c r="A226" s="79">
        <v>1</v>
      </c>
      <c r="B226" s="80">
        <f>SUBTOTAL(103,$A$16:A226)</f>
        <v>208</v>
      </c>
      <c r="C226" s="77" t="s">
        <v>723</v>
      </c>
      <c r="D226" s="233">
        <v>1992</v>
      </c>
      <c r="E226" s="233"/>
      <c r="F226" s="233" t="s">
        <v>304</v>
      </c>
      <c r="G226" s="233">
        <v>9</v>
      </c>
      <c r="H226" s="233" t="s">
        <v>299</v>
      </c>
      <c r="I226" s="78">
        <v>8073.1</v>
      </c>
      <c r="J226" s="78">
        <v>5829</v>
      </c>
      <c r="K226" s="78">
        <v>5829</v>
      </c>
      <c r="L226" s="239">
        <v>241</v>
      </c>
      <c r="M226" s="233" t="s">
        <v>254</v>
      </c>
      <c r="N226" s="233" t="s">
        <v>258</v>
      </c>
      <c r="O226" s="236" t="s">
        <v>747</v>
      </c>
      <c r="P226" s="78">
        <v>4557762.04</v>
      </c>
      <c r="Q226" s="78">
        <v>0</v>
      </c>
      <c r="R226" s="78">
        <v>0</v>
      </c>
      <c r="S226" s="78">
        <v>0</v>
      </c>
      <c r="T226" s="78">
        <f>P226-S226-R226</f>
        <v>4557762.04</v>
      </c>
      <c r="U226" s="78">
        <f t="shared" si="11"/>
        <v>564.56157362103772</v>
      </c>
      <c r="V226" s="78">
        <v>913.32945213115158</v>
      </c>
    </row>
    <row r="227" spans="1:22" s="79" customFormat="1" ht="36" customHeight="1" x14ac:dyDescent="0.25">
      <c r="A227" s="79">
        <v>1</v>
      </c>
      <c r="B227" s="80">
        <f>SUBTOTAL(103,$A$16:A227)</f>
        <v>209</v>
      </c>
      <c r="C227" s="77" t="s">
        <v>726</v>
      </c>
      <c r="D227" s="233">
        <v>1994</v>
      </c>
      <c r="E227" s="233"/>
      <c r="F227" s="233" t="s">
        <v>304</v>
      </c>
      <c r="G227" s="233">
        <v>9</v>
      </c>
      <c r="H227" s="233" t="s">
        <v>290</v>
      </c>
      <c r="I227" s="78">
        <v>4401.8</v>
      </c>
      <c r="J227" s="78">
        <v>3886.2</v>
      </c>
      <c r="K227" s="78">
        <v>3886.2</v>
      </c>
      <c r="L227" s="239">
        <v>159</v>
      </c>
      <c r="M227" s="233" t="s">
        <v>254</v>
      </c>
      <c r="N227" s="233" t="s">
        <v>258</v>
      </c>
      <c r="O227" s="236" t="s">
        <v>749</v>
      </c>
      <c r="P227" s="78">
        <v>3054448.7</v>
      </c>
      <c r="Q227" s="78">
        <v>0</v>
      </c>
      <c r="R227" s="78">
        <v>0</v>
      </c>
      <c r="S227" s="78">
        <v>0</v>
      </c>
      <c r="T227" s="78">
        <f>P227-S227-R227</f>
        <v>3054448.7</v>
      </c>
      <c r="U227" s="78">
        <f t="shared" si="11"/>
        <v>693.90901449407068</v>
      </c>
      <c r="V227" s="78">
        <v>1116.7249761461219</v>
      </c>
    </row>
    <row r="228" spans="1:22" s="79" customFormat="1" ht="36" customHeight="1" x14ac:dyDescent="0.25">
      <c r="A228" s="79">
        <v>1</v>
      </c>
      <c r="B228" s="80">
        <f>SUBTOTAL(103,$A$16:A228)</f>
        <v>210</v>
      </c>
      <c r="C228" s="77" t="s">
        <v>728</v>
      </c>
      <c r="D228" s="233">
        <v>1992</v>
      </c>
      <c r="E228" s="233"/>
      <c r="F228" s="233" t="s">
        <v>304</v>
      </c>
      <c r="G228" s="233">
        <v>9</v>
      </c>
      <c r="H228" s="233" t="s">
        <v>290</v>
      </c>
      <c r="I228" s="78">
        <v>4929.04</v>
      </c>
      <c r="J228" s="78">
        <v>3924.5</v>
      </c>
      <c r="K228" s="78">
        <v>3924.5</v>
      </c>
      <c r="L228" s="239">
        <v>180</v>
      </c>
      <c r="M228" s="233" t="s">
        <v>254</v>
      </c>
      <c r="N228" s="233" t="s">
        <v>258</v>
      </c>
      <c r="O228" s="236" t="s">
        <v>754</v>
      </c>
      <c r="P228" s="78">
        <v>3051298.6999999997</v>
      </c>
      <c r="Q228" s="78">
        <v>0</v>
      </c>
      <c r="R228" s="78">
        <v>0</v>
      </c>
      <c r="S228" s="78">
        <v>0</v>
      </c>
      <c r="T228" s="78">
        <f>P228-S228-R228</f>
        <v>3051298.6999999997</v>
      </c>
      <c r="U228" s="78">
        <f t="shared" si="11"/>
        <v>619.04522990278019</v>
      </c>
      <c r="V228" s="78">
        <v>997.27330271208996</v>
      </c>
    </row>
    <row r="229" spans="1:22" s="79" customFormat="1" ht="36" customHeight="1" x14ac:dyDescent="0.25">
      <c r="A229" s="79">
        <v>1</v>
      </c>
      <c r="B229" s="80">
        <f>SUBTOTAL(103,$A$16:A229)</f>
        <v>211</v>
      </c>
      <c r="C229" s="77" t="s">
        <v>724</v>
      </c>
      <c r="D229" s="233">
        <v>1993</v>
      </c>
      <c r="E229" s="233"/>
      <c r="F229" s="233" t="s">
        <v>304</v>
      </c>
      <c r="G229" s="233">
        <v>9</v>
      </c>
      <c r="H229" s="233" t="s">
        <v>295</v>
      </c>
      <c r="I229" s="234">
        <v>11047.1</v>
      </c>
      <c r="J229" s="234">
        <v>7851.2</v>
      </c>
      <c r="K229" s="234">
        <v>7851.2</v>
      </c>
      <c r="L229" s="239">
        <v>267</v>
      </c>
      <c r="M229" s="233" t="s">
        <v>254</v>
      </c>
      <c r="N229" s="233" t="s">
        <v>258</v>
      </c>
      <c r="O229" s="236" t="s">
        <v>753</v>
      </c>
      <c r="P229" s="78">
        <v>123350.33</v>
      </c>
      <c r="Q229" s="78">
        <v>0</v>
      </c>
      <c r="R229" s="78">
        <v>0</v>
      </c>
      <c r="S229" s="78">
        <v>0</v>
      </c>
      <c r="T229" s="78">
        <f>P229-R229-S229</f>
        <v>123350.33</v>
      </c>
      <c r="U229" s="78">
        <f t="shared" si="11"/>
        <v>11.16585619755411</v>
      </c>
      <c r="V229" s="78">
        <v>11.16585619755411</v>
      </c>
    </row>
    <row r="230" spans="1:22" s="79" customFormat="1" ht="36" customHeight="1" x14ac:dyDescent="0.25">
      <c r="A230" s="79">
        <v>1</v>
      </c>
      <c r="B230" s="80">
        <f>SUBTOTAL(103,$A$16:A230)</f>
        <v>212</v>
      </c>
      <c r="C230" s="77" t="s">
        <v>729</v>
      </c>
      <c r="D230" s="233">
        <v>1990</v>
      </c>
      <c r="E230" s="233"/>
      <c r="F230" s="233" t="s">
        <v>256</v>
      </c>
      <c r="G230" s="233">
        <v>9</v>
      </c>
      <c r="H230" s="233" t="s">
        <v>291</v>
      </c>
      <c r="I230" s="234">
        <v>5846.4</v>
      </c>
      <c r="J230" s="234">
        <v>4863.8999999999996</v>
      </c>
      <c r="K230" s="234">
        <v>4863.8999999999996</v>
      </c>
      <c r="L230" s="239">
        <v>374</v>
      </c>
      <c r="M230" s="233" t="s">
        <v>254</v>
      </c>
      <c r="N230" s="233" t="s">
        <v>258</v>
      </c>
      <c r="O230" s="236" t="s">
        <v>755</v>
      </c>
      <c r="P230" s="78">
        <v>1765429.7</v>
      </c>
      <c r="Q230" s="78">
        <v>0</v>
      </c>
      <c r="R230" s="78">
        <v>0</v>
      </c>
      <c r="S230" s="78">
        <v>0</v>
      </c>
      <c r="T230" s="78">
        <f>P230-R230-S230</f>
        <v>1765429.7</v>
      </c>
      <c r="U230" s="78">
        <f t="shared" si="11"/>
        <v>301.96868158182815</v>
      </c>
      <c r="V230" s="78">
        <v>420.39545703338808</v>
      </c>
    </row>
    <row r="231" spans="1:22" s="79" customFormat="1" ht="36" customHeight="1" x14ac:dyDescent="0.25">
      <c r="A231" s="79">
        <v>1</v>
      </c>
      <c r="B231" s="80">
        <f>SUBTOTAL(103,$A$16:A231)</f>
        <v>213</v>
      </c>
      <c r="C231" s="77" t="s">
        <v>1569</v>
      </c>
      <c r="D231" s="233">
        <v>1991</v>
      </c>
      <c r="E231" s="233"/>
      <c r="F231" s="233" t="s">
        <v>304</v>
      </c>
      <c r="G231" s="233">
        <v>9</v>
      </c>
      <c r="H231" s="233" t="s">
        <v>290</v>
      </c>
      <c r="I231" s="234">
        <v>5099.5</v>
      </c>
      <c r="J231" s="234">
        <v>3949.7</v>
      </c>
      <c r="K231" s="234">
        <v>3949.7</v>
      </c>
      <c r="L231" s="239">
        <v>168</v>
      </c>
      <c r="M231" s="233" t="s">
        <v>254</v>
      </c>
      <c r="N231" s="233" t="s">
        <v>258</v>
      </c>
      <c r="O231" s="236" t="s">
        <v>1570</v>
      </c>
      <c r="P231" s="78">
        <v>3250173.78</v>
      </c>
      <c r="Q231" s="78">
        <v>0</v>
      </c>
      <c r="R231" s="78">
        <v>0</v>
      </c>
      <c r="S231" s="78">
        <v>0</v>
      </c>
      <c r="T231" s="78">
        <f>P231-R231-S231</f>
        <v>3250173.78</v>
      </c>
      <c r="U231" s="78">
        <f t="shared" si="11"/>
        <v>637.35146190803016</v>
      </c>
      <c r="V231" s="78">
        <v>963.93764094519065</v>
      </c>
    </row>
    <row r="232" spans="1:22" s="79" customFormat="1" ht="36" customHeight="1" x14ac:dyDescent="0.25">
      <c r="A232" s="79">
        <v>1</v>
      </c>
      <c r="B232" s="80">
        <f>SUBTOTAL(103,$A$16:A232)</f>
        <v>214</v>
      </c>
      <c r="C232" s="77" t="s">
        <v>1099</v>
      </c>
      <c r="D232" s="233">
        <v>1937</v>
      </c>
      <c r="E232" s="233"/>
      <c r="F232" s="233" t="s">
        <v>256</v>
      </c>
      <c r="G232" s="233" t="s">
        <v>295</v>
      </c>
      <c r="H232" s="233" t="s">
        <v>299</v>
      </c>
      <c r="I232" s="78">
        <v>1585.9</v>
      </c>
      <c r="J232" s="78">
        <v>1585.9</v>
      </c>
      <c r="K232" s="78">
        <v>1465.1</v>
      </c>
      <c r="L232" s="239">
        <v>36</v>
      </c>
      <c r="M232" s="233" t="s">
        <v>254</v>
      </c>
      <c r="N232" s="233" t="s">
        <v>255</v>
      </c>
      <c r="O232" s="236" t="s">
        <v>257</v>
      </c>
      <c r="P232" s="78">
        <v>209545.8</v>
      </c>
      <c r="Q232" s="78">
        <v>0</v>
      </c>
      <c r="R232" s="78">
        <v>0</v>
      </c>
      <c r="S232" s="78">
        <v>0</v>
      </c>
      <c r="T232" s="78">
        <f>P232-R232-S232</f>
        <v>209545.8</v>
      </c>
      <c r="U232" s="78">
        <f t="shared" si="11"/>
        <v>132.13052525379908</v>
      </c>
      <c r="V232" s="78">
        <v>132.13052525379908</v>
      </c>
    </row>
    <row r="233" spans="1:22" s="79" customFormat="1" ht="36" customHeight="1" x14ac:dyDescent="0.25">
      <c r="B233" s="77" t="s">
        <v>708</v>
      </c>
      <c r="C233" s="240"/>
      <c r="D233" s="233" t="s">
        <v>835</v>
      </c>
      <c r="E233" s="233" t="s">
        <v>835</v>
      </c>
      <c r="F233" s="233" t="s">
        <v>835</v>
      </c>
      <c r="G233" s="233" t="s">
        <v>835</v>
      </c>
      <c r="H233" s="233" t="s">
        <v>835</v>
      </c>
      <c r="I233" s="234">
        <f>SUM(I234:I238)</f>
        <v>38189.1</v>
      </c>
      <c r="J233" s="234">
        <f>SUM(J234:J238)</f>
        <v>33999.300000000003</v>
      </c>
      <c r="K233" s="234">
        <f>SUM(K234:K238)</f>
        <v>33586.1</v>
      </c>
      <c r="L233" s="235">
        <f>SUM(L234:L238)</f>
        <v>1569</v>
      </c>
      <c r="M233" s="233" t="s">
        <v>835</v>
      </c>
      <c r="N233" s="233" t="s">
        <v>835</v>
      </c>
      <c r="O233" s="236" t="s">
        <v>835</v>
      </c>
      <c r="P233" s="237">
        <v>11570369.789999999</v>
      </c>
      <c r="Q233" s="234">
        <f>SUM(Q234:Q238)</f>
        <v>0</v>
      </c>
      <c r="R233" s="234">
        <f>SUM(R234:R238)</f>
        <v>0</v>
      </c>
      <c r="S233" s="234">
        <f>SUM(S234:S238)</f>
        <v>0</v>
      </c>
      <c r="T233" s="234">
        <f>SUM(T234:T238)</f>
        <v>11570369.789999999</v>
      </c>
      <c r="U233" s="78">
        <f t="shared" ref="U233:U268" si="12">P233/I233</f>
        <v>302.975712703363</v>
      </c>
      <c r="V233" s="78">
        <f>MAX(V234:V238)</f>
        <v>5973.586655167127</v>
      </c>
    </row>
    <row r="234" spans="1:22" s="79" customFormat="1" ht="36" customHeight="1" x14ac:dyDescent="0.25">
      <c r="A234" s="79">
        <v>1</v>
      </c>
      <c r="B234" s="80">
        <f>SUBTOTAL(103,$A$16:A234)</f>
        <v>215</v>
      </c>
      <c r="C234" s="77" t="s">
        <v>360</v>
      </c>
      <c r="D234" s="233">
        <v>1977</v>
      </c>
      <c r="E234" s="233">
        <v>2016</v>
      </c>
      <c r="F234" s="233" t="s">
        <v>298</v>
      </c>
      <c r="G234" s="233">
        <v>14</v>
      </c>
      <c r="H234" s="233" t="s">
        <v>291</v>
      </c>
      <c r="I234" s="78">
        <v>4634.7</v>
      </c>
      <c r="J234" s="78">
        <v>4158.8</v>
      </c>
      <c r="K234" s="78">
        <v>3801.6</v>
      </c>
      <c r="L234" s="239">
        <v>190</v>
      </c>
      <c r="M234" s="233" t="s">
        <v>254</v>
      </c>
      <c r="N234" s="233" t="s">
        <v>258</v>
      </c>
      <c r="O234" s="236" t="s">
        <v>305</v>
      </c>
      <c r="P234" s="78">
        <v>1217400.68</v>
      </c>
      <c r="Q234" s="78">
        <v>0</v>
      </c>
      <c r="R234" s="78">
        <v>0</v>
      </c>
      <c r="S234" s="78">
        <v>0</v>
      </c>
      <c r="T234" s="78">
        <f>P234-R234-S234</f>
        <v>1217400.68</v>
      </c>
      <c r="U234" s="78">
        <f t="shared" si="12"/>
        <v>262.67086974345699</v>
      </c>
      <c r="V234" s="78">
        <v>666.84921656202141</v>
      </c>
    </row>
    <row r="235" spans="1:22" s="79" customFormat="1" ht="36" customHeight="1" x14ac:dyDescent="0.25">
      <c r="A235" s="79">
        <v>1</v>
      </c>
      <c r="B235" s="80">
        <f>SUBTOTAL(103,$A$16:A235)</f>
        <v>216</v>
      </c>
      <c r="C235" s="77" t="s">
        <v>361</v>
      </c>
      <c r="D235" s="233">
        <v>1982</v>
      </c>
      <c r="E235" s="233">
        <v>2016</v>
      </c>
      <c r="F235" s="233" t="s">
        <v>298</v>
      </c>
      <c r="G235" s="233">
        <v>5</v>
      </c>
      <c r="H235" s="233" t="s">
        <v>337</v>
      </c>
      <c r="I235" s="78">
        <v>3913.2</v>
      </c>
      <c r="J235" s="78">
        <v>3443.4</v>
      </c>
      <c r="K235" s="78">
        <v>3443.4</v>
      </c>
      <c r="L235" s="239">
        <v>152</v>
      </c>
      <c r="M235" s="233" t="s">
        <v>254</v>
      </c>
      <c r="N235" s="233" t="s">
        <v>258</v>
      </c>
      <c r="O235" s="236" t="s">
        <v>305</v>
      </c>
      <c r="P235" s="78">
        <v>3757493.57</v>
      </c>
      <c r="Q235" s="78">
        <v>0</v>
      </c>
      <c r="R235" s="78">
        <v>0</v>
      </c>
      <c r="S235" s="78">
        <v>0</v>
      </c>
      <c r="T235" s="78">
        <f>P235-R235-S235</f>
        <v>3757493.57</v>
      </c>
      <c r="U235" s="78">
        <f t="shared" si="12"/>
        <v>960.20994837984256</v>
      </c>
      <c r="V235" s="78">
        <v>5973.586655167127</v>
      </c>
    </row>
    <row r="236" spans="1:22" s="79" customFormat="1" ht="36" customHeight="1" x14ac:dyDescent="0.25">
      <c r="A236" s="79">
        <v>1</v>
      </c>
      <c r="B236" s="80">
        <f>SUBTOTAL(103,$A$16:A236)</f>
        <v>217</v>
      </c>
      <c r="C236" s="77" t="s">
        <v>362</v>
      </c>
      <c r="D236" s="233">
        <v>1995</v>
      </c>
      <c r="E236" s="233">
        <v>2015</v>
      </c>
      <c r="F236" s="233" t="s">
        <v>298</v>
      </c>
      <c r="G236" s="233">
        <v>9</v>
      </c>
      <c r="H236" s="233" t="s">
        <v>337</v>
      </c>
      <c r="I236" s="78">
        <v>12180.7</v>
      </c>
      <c r="J236" s="78">
        <v>10849.3</v>
      </c>
      <c r="K236" s="78">
        <v>10849.3</v>
      </c>
      <c r="L236" s="239">
        <v>500</v>
      </c>
      <c r="M236" s="233" t="s">
        <v>254</v>
      </c>
      <c r="N236" s="233" t="s">
        <v>258</v>
      </c>
      <c r="O236" s="236" t="s">
        <v>305</v>
      </c>
      <c r="P236" s="78">
        <v>174120.8</v>
      </c>
      <c r="Q236" s="78">
        <v>0</v>
      </c>
      <c r="R236" s="78">
        <v>0</v>
      </c>
      <c r="S236" s="78">
        <v>0</v>
      </c>
      <c r="T236" s="78">
        <f>P236-R236-S236</f>
        <v>174120.8</v>
      </c>
      <c r="U236" s="78">
        <f t="shared" si="12"/>
        <v>14.294810643066489</v>
      </c>
      <c r="V236" s="78">
        <v>14.294810643066489</v>
      </c>
    </row>
    <row r="237" spans="1:22" s="79" customFormat="1" ht="36" customHeight="1" x14ac:dyDescent="0.25">
      <c r="A237" s="79">
        <v>1</v>
      </c>
      <c r="B237" s="80">
        <f>SUBTOTAL(103,$A$16:A237)</f>
        <v>218</v>
      </c>
      <c r="C237" s="77" t="s">
        <v>1460</v>
      </c>
      <c r="D237" s="233">
        <v>1981</v>
      </c>
      <c r="E237" s="233">
        <v>2015</v>
      </c>
      <c r="F237" s="233" t="s">
        <v>256</v>
      </c>
      <c r="G237" s="233">
        <v>9</v>
      </c>
      <c r="H237" s="233" t="s">
        <v>295</v>
      </c>
      <c r="I237" s="78">
        <v>8863.2999999999993</v>
      </c>
      <c r="J237" s="78">
        <v>7831.5</v>
      </c>
      <c r="K237" s="78">
        <v>7831.5</v>
      </c>
      <c r="L237" s="239">
        <v>357</v>
      </c>
      <c r="M237" s="233" t="s">
        <v>254</v>
      </c>
      <c r="N237" s="233" t="s">
        <v>258</v>
      </c>
      <c r="O237" s="236" t="s">
        <v>305</v>
      </c>
      <c r="P237" s="78">
        <v>6300657.04</v>
      </c>
      <c r="Q237" s="78">
        <v>0</v>
      </c>
      <c r="R237" s="78">
        <v>0</v>
      </c>
      <c r="S237" s="78">
        <v>0</v>
      </c>
      <c r="T237" s="78">
        <f>P237-R237-S237</f>
        <v>6300657.04</v>
      </c>
      <c r="U237" s="78">
        <f t="shared" si="12"/>
        <v>710.87033497681455</v>
      </c>
      <c r="V237" s="78">
        <v>1109.2031184773166</v>
      </c>
    </row>
    <row r="238" spans="1:22" s="79" customFormat="1" ht="36" customHeight="1" x14ac:dyDescent="0.25">
      <c r="A238" s="79">
        <v>1</v>
      </c>
      <c r="B238" s="80">
        <f>SUBTOTAL(103,$A$16:A238)</f>
        <v>219</v>
      </c>
      <c r="C238" s="77" t="s">
        <v>363</v>
      </c>
      <c r="D238" s="233">
        <v>1982</v>
      </c>
      <c r="E238" s="233">
        <v>2015</v>
      </c>
      <c r="F238" s="233" t="s">
        <v>304</v>
      </c>
      <c r="G238" s="233">
        <v>9</v>
      </c>
      <c r="H238" s="233" t="s">
        <v>295</v>
      </c>
      <c r="I238" s="78">
        <v>8597.2000000000007</v>
      </c>
      <c r="J238" s="78">
        <v>7716.3</v>
      </c>
      <c r="K238" s="78">
        <v>7660.3</v>
      </c>
      <c r="L238" s="239">
        <v>370</v>
      </c>
      <c r="M238" s="233" t="s">
        <v>254</v>
      </c>
      <c r="N238" s="233" t="s">
        <v>258</v>
      </c>
      <c r="O238" s="236" t="s">
        <v>305</v>
      </c>
      <c r="P238" s="78">
        <v>120697.7</v>
      </c>
      <c r="Q238" s="78">
        <v>0</v>
      </c>
      <c r="R238" s="78">
        <v>0</v>
      </c>
      <c r="S238" s="78">
        <v>0</v>
      </c>
      <c r="T238" s="78">
        <f>P238-S238-R238</f>
        <v>120697.7</v>
      </c>
      <c r="U238" s="78">
        <f t="shared" si="12"/>
        <v>14.039187177220489</v>
      </c>
      <c r="V238" s="78">
        <v>14.039187177220489</v>
      </c>
    </row>
    <row r="239" spans="1:22" s="79" customFormat="1" ht="36" customHeight="1" x14ac:dyDescent="0.25">
      <c r="B239" s="77" t="s">
        <v>760</v>
      </c>
      <c r="C239" s="240"/>
      <c r="D239" s="233" t="s">
        <v>835</v>
      </c>
      <c r="E239" s="233" t="s">
        <v>835</v>
      </c>
      <c r="F239" s="233" t="s">
        <v>835</v>
      </c>
      <c r="G239" s="233" t="s">
        <v>835</v>
      </c>
      <c r="H239" s="233" t="s">
        <v>835</v>
      </c>
      <c r="I239" s="234">
        <f>SUM(I240:I265)</f>
        <v>91721.91</v>
      </c>
      <c r="J239" s="234">
        <f>SUM(J240:J265)</f>
        <v>72937.19</v>
      </c>
      <c r="K239" s="234">
        <f>SUM(K240:K265)</f>
        <v>69950.03</v>
      </c>
      <c r="L239" s="235">
        <f>SUM(L240:L265)</f>
        <v>3374</v>
      </c>
      <c r="M239" s="233" t="s">
        <v>835</v>
      </c>
      <c r="N239" s="233" t="s">
        <v>835</v>
      </c>
      <c r="O239" s="236" t="s">
        <v>835</v>
      </c>
      <c r="P239" s="237">
        <v>65365711.729999989</v>
      </c>
      <c r="Q239" s="234">
        <f>SUM(Q240:Q265)</f>
        <v>0</v>
      </c>
      <c r="R239" s="234">
        <f>SUM(R240:R265)</f>
        <v>0</v>
      </c>
      <c r="S239" s="234">
        <f>SUM(S240:S265)</f>
        <v>0</v>
      </c>
      <c r="T239" s="234">
        <f>SUM(T240:T265)</f>
        <v>65365711.729999989</v>
      </c>
      <c r="U239" s="78">
        <f t="shared" si="12"/>
        <v>712.65100922996464</v>
      </c>
      <c r="V239" s="78">
        <f>MAX(V240:V265)</f>
        <v>8585.684180849039</v>
      </c>
    </row>
    <row r="240" spans="1:22" s="79" customFormat="1" ht="36" customHeight="1" x14ac:dyDescent="0.25">
      <c r="A240" s="79">
        <v>1</v>
      </c>
      <c r="B240" s="80">
        <f>SUBTOTAL(103,$A$16:A240)</f>
        <v>220</v>
      </c>
      <c r="C240" s="77" t="s">
        <v>574</v>
      </c>
      <c r="D240" s="233">
        <v>1987</v>
      </c>
      <c r="E240" s="233"/>
      <c r="F240" s="233" t="s">
        <v>256</v>
      </c>
      <c r="G240" s="233">
        <v>10</v>
      </c>
      <c r="H240" s="233" t="s">
        <v>291</v>
      </c>
      <c r="I240" s="78">
        <v>4253.2</v>
      </c>
      <c r="J240" s="78">
        <v>3669.9</v>
      </c>
      <c r="K240" s="78">
        <v>3245.8</v>
      </c>
      <c r="L240" s="239">
        <v>147</v>
      </c>
      <c r="M240" s="233" t="s">
        <v>254</v>
      </c>
      <c r="N240" s="233" t="s">
        <v>327</v>
      </c>
      <c r="O240" s="236" t="s">
        <v>654</v>
      </c>
      <c r="P240" s="78">
        <v>3589738.75</v>
      </c>
      <c r="Q240" s="78">
        <v>0</v>
      </c>
      <c r="R240" s="78">
        <v>0</v>
      </c>
      <c r="S240" s="78">
        <v>0</v>
      </c>
      <c r="T240" s="78">
        <f t="shared" ref="T240:T264" si="13">P240-R240-S240</f>
        <v>3589738.75</v>
      </c>
      <c r="U240" s="78">
        <f t="shared" si="12"/>
        <v>844.0089226935014</v>
      </c>
      <c r="V240" s="78">
        <v>1251.6970751434214</v>
      </c>
    </row>
    <row r="241" spans="1:22" s="79" customFormat="1" ht="36" customHeight="1" x14ac:dyDescent="0.25">
      <c r="A241" s="79">
        <v>1</v>
      </c>
      <c r="B241" s="80">
        <f>SUBTOTAL(103,$A$16:A241)</f>
        <v>221</v>
      </c>
      <c r="C241" s="77" t="s">
        <v>578</v>
      </c>
      <c r="D241" s="233">
        <v>1967</v>
      </c>
      <c r="E241" s="233"/>
      <c r="F241" s="233" t="s">
        <v>256</v>
      </c>
      <c r="G241" s="233">
        <v>5</v>
      </c>
      <c r="H241" s="233" t="s">
        <v>295</v>
      </c>
      <c r="I241" s="78">
        <v>3578.24</v>
      </c>
      <c r="J241" s="78">
        <v>3300</v>
      </c>
      <c r="K241" s="78">
        <v>3012.01</v>
      </c>
      <c r="L241" s="239">
        <v>117</v>
      </c>
      <c r="M241" s="233" t="s">
        <v>254</v>
      </c>
      <c r="N241" s="233" t="s">
        <v>258</v>
      </c>
      <c r="O241" s="236" t="s">
        <v>655</v>
      </c>
      <c r="P241" s="78">
        <v>130936.07</v>
      </c>
      <c r="Q241" s="78">
        <v>0</v>
      </c>
      <c r="R241" s="78">
        <v>0</v>
      </c>
      <c r="S241" s="78">
        <v>0</v>
      </c>
      <c r="T241" s="78">
        <f t="shared" si="13"/>
        <v>130936.07</v>
      </c>
      <c r="U241" s="78">
        <f t="shared" si="12"/>
        <v>36.592310744947241</v>
      </c>
      <c r="V241" s="78">
        <v>36.592310744947241</v>
      </c>
    </row>
    <row r="242" spans="1:22" s="79" customFormat="1" ht="36" customHeight="1" x14ac:dyDescent="0.25">
      <c r="A242" s="79">
        <v>1</v>
      </c>
      <c r="B242" s="80">
        <f>SUBTOTAL(103,$A$16:A242)</f>
        <v>222</v>
      </c>
      <c r="C242" s="77" t="s">
        <v>579</v>
      </c>
      <c r="D242" s="233">
        <v>1965</v>
      </c>
      <c r="E242" s="233"/>
      <c r="F242" s="233" t="s">
        <v>256</v>
      </c>
      <c r="G242" s="233">
        <v>5</v>
      </c>
      <c r="H242" s="233" t="s">
        <v>290</v>
      </c>
      <c r="I242" s="78">
        <v>4985.66</v>
      </c>
      <c r="J242" s="78">
        <v>2392.1999999999998</v>
      </c>
      <c r="K242" s="78">
        <v>2300.6</v>
      </c>
      <c r="L242" s="239">
        <v>185</v>
      </c>
      <c r="M242" s="233" t="s">
        <v>254</v>
      </c>
      <c r="N242" s="233" t="s">
        <v>258</v>
      </c>
      <c r="O242" s="236" t="s">
        <v>656</v>
      </c>
      <c r="P242" s="78">
        <v>143632.79</v>
      </c>
      <c r="Q242" s="78">
        <v>0</v>
      </c>
      <c r="R242" s="78">
        <v>0</v>
      </c>
      <c r="S242" s="78">
        <v>0</v>
      </c>
      <c r="T242" s="78">
        <f t="shared" si="13"/>
        <v>143632.79</v>
      </c>
      <c r="U242" s="78">
        <f t="shared" si="12"/>
        <v>28.809182736087099</v>
      </c>
      <c r="V242" s="78">
        <v>28.809182736087099</v>
      </c>
    </row>
    <row r="243" spans="1:22" s="79" customFormat="1" ht="36" customHeight="1" x14ac:dyDescent="0.25">
      <c r="A243" s="79">
        <v>1</v>
      </c>
      <c r="B243" s="80">
        <f>SUBTOTAL(103,$A$16:A243)</f>
        <v>223</v>
      </c>
      <c r="C243" s="77" t="s">
        <v>582</v>
      </c>
      <c r="D243" s="233">
        <v>1993</v>
      </c>
      <c r="E243" s="233"/>
      <c r="F243" s="233" t="s">
        <v>298</v>
      </c>
      <c r="G243" s="233">
        <v>9</v>
      </c>
      <c r="H243" s="233" t="s">
        <v>290</v>
      </c>
      <c r="I243" s="78">
        <v>5060.3</v>
      </c>
      <c r="J243" s="78">
        <v>5060.3</v>
      </c>
      <c r="K243" s="78">
        <v>5060.3</v>
      </c>
      <c r="L243" s="239">
        <v>206</v>
      </c>
      <c r="M243" s="233" t="s">
        <v>254</v>
      </c>
      <c r="N243" s="233" t="s">
        <v>258</v>
      </c>
      <c r="O243" s="236" t="s">
        <v>657</v>
      </c>
      <c r="P243" s="78">
        <v>3407945.42</v>
      </c>
      <c r="Q243" s="78">
        <v>0</v>
      </c>
      <c r="R243" s="78">
        <v>0</v>
      </c>
      <c r="S243" s="78">
        <v>0</v>
      </c>
      <c r="T243" s="78">
        <f t="shared" si="13"/>
        <v>3407945.42</v>
      </c>
      <c r="U243" s="78">
        <f t="shared" si="12"/>
        <v>673.46707112226545</v>
      </c>
      <c r="V243" s="78">
        <v>971.40485741952057</v>
      </c>
    </row>
    <row r="244" spans="1:22" s="79" customFormat="1" ht="36" customHeight="1" x14ac:dyDescent="0.25">
      <c r="A244" s="79">
        <v>1</v>
      </c>
      <c r="B244" s="80">
        <f>SUBTOTAL(103,$A$16:A244)</f>
        <v>224</v>
      </c>
      <c r="C244" s="77" t="s">
        <v>584</v>
      </c>
      <c r="D244" s="233">
        <v>1959</v>
      </c>
      <c r="E244" s="233"/>
      <c r="F244" s="233" t="s">
        <v>256</v>
      </c>
      <c r="G244" s="233">
        <v>2</v>
      </c>
      <c r="H244" s="233" t="s">
        <v>290</v>
      </c>
      <c r="I244" s="78">
        <v>608.20000000000005</v>
      </c>
      <c r="J244" s="78">
        <v>564.4</v>
      </c>
      <c r="K244" s="78">
        <v>525.79999999999995</v>
      </c>
      <c r="L244" s="239">
        <v>29</v>
      </c>
      <c r="M244" s="233" t="s">
        <v>254</v>
      </c>
      <c r="N244" s="233" t="s">
        <v>258</v>
      </c>
      <c r="O244" s="236" t="s">
        <v>655</v>
      </c>
      <c r="P244" s="78">
        <v>1860691.51</v>
      </c>
      <c r="Q244" s="78">
        <v>0</v>
      </c>
      <c r="R244" s="78">
        <v>0</v>
      </c>
      <c r="S244" s="78">
        <v>0</v>
      </c>
      <c r="T244" s="78">
        <f t="shared" si="13"/>
        <v>1860691.51</v>
      </c>
      <c r="U244" s="78">
        <f t="shared" si="12"/>
        <v>3059.3415159487008</v>
      </c>
      <c r="V244" s="78">
        <v>7330.6806971390988</v>
      </c>
    </row>
    <row r="245" spans="1:22" s="79" customFormat="1" ht="36" customHeight="1" x14ac:dyDescent="0.25">
      <c r="A245" s="79">
        <v>1</v>
      </c>
      <c r="B245" s="80">
        <f>SUBTOTAL(103,$A$16:A245)</f>
        <v>225</v>
      </c>
      <c r="C245" s="77" t="s">
        <v>587</v>
      </c>
      <c r="D245" s="233">
        <v>1965</v>
      </c>
      <c r="E245" s="233"/>
      <c r="F245" s="233" t="s">
        <v>256</v>
      </c>
      <c r="G245" s="233">
        <v>5</v>
      </c>
      <c r="H245" s="233" t="s">
        <v>290</v>
      </c>
      <c r="I245" s="78">
        <v>2026.2</v>
      </c>
      <c r="J245" s="78">
        <v>1684.6</v>
      </c>
      <c r="K245" s="78">
        <v>1684.6</v>
      </c>
      <c r="L245" s="239">
        <v>76</v>
      </c>
      <c r="M245" s="233" t="s">
        <v>254</v>
      </c>
      <c r="N245" s="233" t="s">
        <v>258</v>
      </c>
      <c r="O245" s="236" t="s">
        <v>657</v>
      </c>
      <c r="P245" s="78">
        <v>2404378.48</v>
      </c>
      <c r="Q245" s="78">
        <v>0</v>
      </c>
      <c r="R245" s="78">
        <v>0</v>
      </c>
      <c r="S245" s="78">
        <v>0</v>
      </c>
      <c r="T245" s="78">
        <f t="shared" si="13"/>
        <v>2404378.48</v>
      </c>
      <c r="U245" s="78">
        <f t="shared" si="12"/>
        <v>1186.6442009673281</v>
      </c>
      <c r="V245" s="78">
        <v>2383.510445168296</v>
      </c>
    </row>
    <row r="246" spans="1:22" s="79" customFormat="1" ht="36" customHeight="1" x14ac:dyDescent="0.25">
      <c r="A246" s="79">
        <v>1</v>
      </c>
      <c r="B246" s="80">
        <f>SUBTOTAL(103,$A$16:A246)</f>
        <v>226</v>
      </c>
      <c r="C246" s="77" t="s">
        <v>588</v>
      </c>
      <c r="D246" s="233">
        <v>1963</v>
      </c>
      <c r="E246" s="233"/>
      <c r="F246" s="233" t="s">
        <v>256</v>
      </c>
      <c r="G246" s="233">
        <v>2</v>
      </c>
      <c r="H246" s="233" t="s">
        <v>290</v>
      </c>
      <c r="I246" s="78">
        <v>429.2</v>
      </c>
      <c r="J246" s="78">
        <v>389</v>
      </c>
      <c r="K246" s="78">
        <v>389</v>
      </c>
      <c r="L246" s="239">
        <v>13</v>
      </c>
      <c r="M246" s="233" t="s">
        <v>254</v>
      </c>
      <c r="N246" s="233" t="s">
        <v>258</v>
      </c>
      <c r="O246" s="236" t="s">
        <v>658</v>
      </c>
      <c r="P246" s="78">
        <v>1323171.2200000002</v>
      </c>
      <c r="Q246" s="78">
        <v>0</v>
      </c>
      <c r="R246" s="78">
        <v>0</v>
      </c>
      <c r="S246" s="78">
        <v>0</v>
      </c>
      <c r="T246" s="78">
        <f t="shared" si="13"/>
        <v>1323171.2200000002</v>
      </c>
      <c r="U246" s="78">
        <f t="shared" si="12"/>
        <v>3082.8779589934766</v>
      </c>
      <c r="V246" s="78">
        <v>8127.5536999068045</v>
      </c>
    </row>
    <row r="247" spans="1:22" s="79" customFormat="1" ht="36" customHeight="1" x14ac:dyDescent="0.25">
      <c r="A247" s="79">
        <v>1</v>
      </c>
      <c r="B247" s="80">
        <f>SUBTOTAL(103,$A$16:A247)</f>
        <v>227</v>
      </c>
      <c r="C247" s="77" t="s">
        <v>589</v>
      </c>
      <c r="D247" s="233">
        <v>1987</v>
      </c>
      <c r="E247" s="233"/>
      <c r="F247" s="233" t="s">
        <v>256</v>
      </c>
      <c r="G247" s="233">
        <v>9</v>
      </c>
      <c r="H247" s="233" t="s">
        <v>290</v>
      </c>
      <c r="I247" s="78">
        <v>7472.7</v>
      </c>
      <c r="J247" s="78">
        <v>3451.84</v>
      </c>
      <c r="K247" s="78">
        <v>3451.84</v>
      </c>
      <c r="L247" s="239">
        <v>160</v>
      </c>
      <c r="M247" s="233" t="s">
        <v>254</v>
      </c>
      <c r="N247" s="233" t="s">
        <v>271</v>
      </c>
      <c r="O247" s="236" t="s">
        <v>257</v>
      </c>
      <c r="P247" s="78">
        <v>1623216.35</v>
      </c>
      <c r="Q247" s="78">
        <v>0</v>
      </c>
      <c r="R247" s="78">
        <v>0</v>
      </c>
      <c r="S247" s="78">
        <v>0</v>
      </c>
      <c r="T247" s="78">
        <f t="shared" si="13"/>
        <v>1623216.35</v>
      </c>
      <c r="U247" s="78">
        <f t="shared" si="12"/>
        <v>217.2195257403616</v>
      </c>
      <c r="V247" s="78">
        <v>328.90387677813908</v>
      </c>
    </row>
    <row r="248" spans="1:22" s="79" customFormat="1" ht="36" customHeight="1" x14ac:dyDescent="0.25">
      <c r="A248" s="79">
        <v>1</v>
      </c>
      <c r="B248" s="80">
        <f>SUBTOTAL(103,$A$16:A248)</f>
        <v>228</v>
      </c>
      <c r="C248" s="77" t="s">
        <v>591</v>
      </c>
      <c r="D248" s="233">
        <v>1917</v>
      </c>
      <c r="E248" s="233"/>
      <c r="F248" s="233" t="s">
        <v>256</v>
      </c>
      <c r="G248" s="233">
        <v>2</v>
      </c>
      <c r="H248" s="233" t="s">
        <v>291</v>
      </c>
      <c r="I248" s="78">
        <v>237.3</v>
      </c>
      <c r="J248" s="78">
        <v>207.2</v>
      </c>
      <c r="K248" s="78">
        <v>207.2</v>
      </c>
      <c r="L248" s="239">
        <v>13</v>
      </c>
      <c r="M248" s="233" t="s">
        <v>254</v>
      </c>
      <c r="N248" s="233" t="s">
        <v>255</v>
      </c>
      <c r="O248" s="236" t="s">
        <v>257</v>
      </c>
      <c r="P248" s="78">
        <v>833755.4800000001</v>
      </c>
      <c r="Q248" s="78">
        <v>0</v>
      </c>
      <c r="R248" s="78">
        <v>0</v>
      </c>
      <c r="S248" s="78">
        <v>0</v>
      </c>
      <c r="T248" s="78">
        <f t="shared" si="13"/>
        <v>833755.4800000001</v>
      </c>
      <c r="U248" s="78">
        <f t="shared" si="12"/>
        <v>3513.5081331647707</v>
      </c>
      <c r="V248" s="78">
        <v>8112.8905857564268</v>
      </c>
    </row>
    <row r="249" spans="1:22" s="79" customFormat="1" ht="36" customHeight="1" x14ac:dyDescent="0.25">
      <c r="A249" s="79">
        <v>1</v>
      </c>
      <c r="B249" s="80">
        <f>SUBTOTAL(103,$A$16:A249)</f>
        <v>229</v>
      </c>
      <c r="C249" s="77" t="s">
        <v>595</v>
      </c>
      <c r="D249" s="233">
        <v>1972</v>
      </c>
      <c r="E249" s="233"/>
      <c r="F249" s="233" t="s">
        <v>256</v>
      </c>
      <c r="G249" s="233">
        <v>5</v>
      </c>
      <c r="H249" s="233" t="s">
        <v>291</v>
      </c>
      <c r="I249" s="78">
        <v>1651.99</v>
      </c>
      <c r="J249" s="78">
        <v>1219.19</v>
      </c>
      <c r="K249" s="78">
        <v>1219.19</v>
      </c>
      <c r="L249" s="239">
        <v>231</v>
      </c>
      <c r="M249" s="233" t="s">
        <v>254</v>
      </c>
      <c r="N249" s="233" t="s">
        <v>327</v>
      </c>
      <c r="O249" s="236" t="s">
        <v>659</v>
      </c>
      <c r="P249" s="78">
        <v>1500690.63</v>
      </c>
      <c r="Q249" s="78">
        <v>0</v>
      </c>
      <c r="R249" s="78">
        <v>0</v>
      </c>
      <c r="S249" s="78">
        <v>0</v>
      </c>
      <c r="T249" s="78">
        <f t="shared" si="13"/>
        <v>1500690.63</v>
      </c>
      <c r="U249" s="78">
        <f t="shared" si="12"/>
        <v>908.41387054401048</v>
      </c>
      <c r="V249" s="78">
        <v>3049.7325044340464</v>
      </c>
    </row>
    <row r="250" spans="1:22" s="79" customFormat="1" ht="36" customHeight="1" x14ac:dyDescent="0.25">
      <c r="A250" s="79">
        <v>1</v>
      </c>
      <c r="B250" s="80">
        <f>SUBTOTAL(103,$A$16:A250)</f>
        <v>230</v>
      </c>
      <c r="C250" s="77" t="s">
        <v>1029</v>
      </c>
      <c r="D250" s="233">
        <v>1965</v>
      </c>
      <c r="E250" s="233"/>
      <c r="F250" s="233" t="s">
        <v>256</v>
      </c>
      <c r="G250" s="233">
        <v>5</v>
      </c>
      <c r="H250" s="233" t="s">
        <v>295</v>
      </c>
      <c r="I250" s="78">
        <v>3471.4</v>
      </c>
      <c r="J250" s="78">
        <v>3417.4</v>
      </c>
      <c r="K250" s="78">
        <v>3417.4</v>
      </c>
      <c r="L250" s="239">
        <v>208</v>
      </c>
      <c r="M250" s="233" t="s">
        <v>254</v>
      </c>
      <c r="N250" s="233" t="s">
        <v>258</v>
      </c>
      <c r="O250" s="236" t="s">
        <v>657</v>
      </c>
      <c r="P250" s="78">
        <v>4876210.959999999</v>
      </c>
      <c r="Q250" s="78">
        <v>0</v>
      </c>
      <c r="R250" s="78">
        <v>0</v>
      </c>
      <c r="S250" s="78">
        <v>0</v>
      </c>
      <c r="T250" s="78">
        <f t="shared" si="13"/>
        <v>4876210.959999999</v>
      </c>
      <c r="U250" s="78">
        <f t="shared" si="12"/>
        <v>1404.6813850319752</v>
      </c>
      <c r="V250" s="78">
        <v>2807.6063605461773</v>
      </c>
    </row>
    <row r="251" spans="1:22" s="79" customFormat="1" ht="36" customHeight="1" x14ac:dyDescent="0.25">
      <c r="A251" s="79">
        <v>1</v>
      </c>
      <c r="B251" s="80">
        <f>SUBTOTAL(103,$A$16:A251)</f>
        <v>231</v>
      </c>
      <c r="C251" s="77" t="s">
        <v>1108</v>
      </c>
      <c r="D251" s="233" t="s">
        <v>1233</v>
      </c>
      <c r="E251" s="233"/>
      <c r="F251" s="233" t="s">
        <v>298</v>
      </c>
      <c r="G251" s="233" t="s">
        <v>343</v>
      </c>
      <c r="H251" s="233" t="s">
        <v>290</v>
      </c>
      <c r="I251" s="78">
        <v>4238.3</v>
      </c>
      <c r="J251" s="78">
        <v>4238.3</v>
      </c>
      <c r="K251" s="78">
        <v>4238.3</v>
      </c>
      <c r="L251" s="239">
        <v>187</v>
      </c>
      <c r="M251" s="233" t="s">
        <v>254</v>
      </c>
      <c r="N251" s="233" t="s">
        <v>258</v>
      </c>
      <c r="O251" s="236" t="s">
        <v>1234</v>
      </c>
      <c r="P251" s="78">
        <v>978702.2</v>
      </c>
      <c r="Q251" s="78">
        <v>0</v>
      </c>
      <c r="R251" s="78">
        <v>0</v>
      </c>
      <c r="S251" s="78">
        <v>0</v>
      </c>
      <c r="T251" s="78">
        <f t="shared" si="13"/>
        <v>978702.2</v>
      </c>
      <c r="U251" s="78">
        <f t="shared" si="12"/>
        <v>230.91857584408842</v>
      </c>
      <c r="V251" s="78">
        <v>1137.1682325460679</v>
      </c>
    </row>
    <row r="252" spans="1:22" s="79" customFormat="1" ht="36" customHeight="1" x14ac:dyDescent="0.25">
      <c r="A252" s="79">
        <v>1</v>
      </c>
      <c r="B252" s="80">
        <f>SUBTOTAL(103,$A$16:A252)</f>
        <v>232</v>
      </c>
      <c r="C252" s="77" t="s">
        <v>1109</v>
      </c>
      <c r="D252" s="233" t="s">
        <v>296</v>
      </c>
      <c r="E252" s="233"/>
      <c r="F252" s="233" t="s">
        <v>256</v>
      </c>
      <c r="G252" s="233" t="s">
        <v>299</v>
      </c>
      <c r="H252" s="233" t="s">
        <v>290</v>
      </c>
      <c r="I252" s="234">
        <v>1681.3</v>
      </c>
      <c r="J252" s="234">
        <v>1080.3</v>
      </c>
      <c r="K252" s="234">
        <v>1080.3</v>
      </c>
      <c r="L252" s="239">
        <v>54</v>
      </c>
      <c r="M252" s="233" t="s">
        <v>254</v>
      </c>
      <c r="N252" s="233" t="s">
        <v>258</v>
      </c>
      <c r="O252" s="236" t="s">
        <v>1235</v>
      </c>
      <c r="P252" s="78">
        <v>3006507.7</v>
      </c>
      <c r="Q252" s="78">
        <v>0</v>
      </c>
      <c r="R252" s="78">
        <v>0</v>
      </c>
      <c r="S252" s="78">
        <v>0</v>
      </c>
      <c r="T252" s="78">
        <f t="shared" si="13"/>
        <v>3006507.7</v>
      </c>
      <c r="U252" s="78">
        <f t="shared" si="12"/>
        <v>1788.2041872360676</v>
      </c>
      <c r="V252" s="78">
        <v>3249.9754780229587</v>
      </c>
    </row>
    <row r="253" spans="1:22" s="79" customFormat="1" ht="36" customHeight="1" x14ac:dyDescent="0.25">
      <c r="A253" s="79">
        <v>1</v>
      </c>
      <c r="B253" s="80">
        <f>SUBTOTAL(103,$A$16:A253)</f>
        <v>233</v>
      </c>
      <c r="C253" s="77" t="s">
        <v>1110</v>
      </c>
      <c r="D253" s="233">
        <v>1959</v>
      </c>
      <c r="E253" s="233"/>
      <c r="F253" s="233" t="s">
        <v>256</v>
      </c>
      <c r="G253" s="233">
        <v>5</v>
      </c>
      <c r="H253" s="233" t="s">
        <v>337</v>
      </c>
      <c r="I253" s="78">
        <v>6261.25</v>
      </c>
      <c r="J253" s="78">
        <v>4642.6499999999996</v>
      </c>
      <c r="K253" s="78">
        <v>2995.37</v>
      </c>
      <c r="L253" s="239">
        <v>118</v>
      </c>
      <c r="M253" s="233" t="s">
        <v>254</v>
      </c>
      <c r="N253" s="233" t="s">
        <v>258</v>
      </c>
      <c r="O253" s="236" t="s">
        <v>1236</v>
      </c>
      <c r="P253" s="78">
        <v>8000402.0100000007</v>
      </c>
      <c r="Q253" s="78">
        <v>0</v>
      </c>
      <c r="R253" s="78">
        <v>0</v>
      </c>
      <c r="S253" s="78">
        <v>0</v>
      </c>
      <c r="T253" s="78">
        <f t="shared" si="13"/>
        <v>8000402.0100000007</v>
      </c>
      <c r="U253" s="78">
        <f t="shared" si="12"/>
        <v>1277.7643457776005</v>
      </c>
      <c r="V253" s="78">
        <v>2251.1173402116192</v>
      </c>
    </row>
    <row r="254" spans="1:22" s="79" customFormat="1" ht="36" customHeight="1" x14ac:dyDescent="0.25">
      <c r="A254" s="79">
        <v>1</v>
      </c>
      <c r="B254" s="80">
        <f>SUBTOTAL(103,$A$16:A254)</f>
        <v>234</v>
      </c>
      <c r="C254" s="77" t="s">
        <v>1111</v>
      </c>
      <c r="D254" s="233">
        <v>1956</v>
      </c>
      <c r="E254" s="233"/>
      <c r="F254" s="233" t="s">
        <v>256</v>
      </c>
      <c r="G254" s="233">
        <v>2</v>
      </c>
      <c r="H254" s="233" t="s">
        <v>290</v>
      </c>
      <c r="I254" s="78">
        <v>525.29999999999995</v>
      </c>
      <c r="J254" s="78">
        <v>480.3</v>
      </c>
      <c r="K254" s="78">
        <v>480.3</v>
      </c>
      <c r="L254" s="239">
        <v>31</v>
      </c>
      <c r="M254" s="233" t="s">
        <v>254</v>
      </c>
      <c r="N254" s="233" t="s">
        <v>258</v>
      </c>
      <c r="O254" s="236" t="s">
        <v>658</v>
      </c>
      <c r="P254" s="78">
        <v>1685713.47</v>
      </c>
      <c r="Q254" s="78">
        <v>0</v>
      </c>
      <c r="R254" s="78">
        <v>0</v>
      </c>
      <c r="S254" s="78">
        <v>0</v>
      </c>
      <c r="T254" s="78">
        <f t="shared" si="13"/>
        <v>1685713.47</v>
      </c>
      <c r="U254" s="78">
        <f t="shared" si="12"/>
        <v>3209.0490576813254</v>
      </c>
      <c r="V254" s="78">
        <v>8585.684180849039</v>
      </c>
    </row>
    <row r="255" spans="1:22" s="79" customFormat="1" ht="36" customHeight="1" x14ac:dyDescent="0.25">
      <c r="A255" s="79">
        <v>1</v>
      </c>
      <c r="B255" s="80">
        <f>SUBTOTAL(103,$A$16:A255)</f>
        <v>235</v>
      </c>
      <c r="C255" s="77" t="s">
        <v>1112</v>
      </c>
      <c r="D255" s="233">
        <v>1978</v>
      </c>
      <c r="E255" s="233"/>
      <c r="F255" s="233" t="s">
        <v>256</v>
      </c>
      <c r="G255" s="233">
        <v>9</v>
      </c>
      <c r="H255" s="233" t="s">
        <v>2124</v>
      </c>
      <c r="I255" s="78">
        <v>12893.2</v>
      </c>
      <c r="J255" s="78">
        <v>12893.2</v>
      </c>
      <c r="K255" s="78">
        <v>12893.2</v>
      </c>
      <c r="L255" s="239">
        <v>493</v>
      </c>
      <c r="M255" s="233" t="s">
        <v>254</v>
      </c>
      <c r="N255" s="233" t="s">
        <v>258</v>
      </c>
      <c r="O255" s="236" t="s">
        <v>1236</v>
      </c>
      <c r="P255" s="78">
        <v>3785233.7800000003</v>
      </c>
      <c r="Q255" s="78">
        <v>0</v>
      </c>
      <c r="R255" s="78">
        <v>0</v>
      </c>
      <c r="S255" s="78">
        <v>0</v>
      </c>
      <c r="T255" s="78">
        <f t="shared" si="13"/>
        <v>3785233.7800000003</v>
      </c>
      <c r="U255" s="78">
        <f t="shared" si="12"/>
        <v>293.58373251016042</v>
      </c>
      <c r="V255" s="78">
        <v>1323.0460645921883</v>
      </c>
    </row>
    <row r="256" spans="1:22" s="79" customFormat="1" ht="36" customHeight="1" x14ac:dyDescent="0.25">
      <c r="A256" s="79">
        <v>1</v>
      </c>
      <c r="B256" s="80">
        <f>SUBTOTAL(103,$A$16:A256)</f>
        <v>236</v>
      </c>
      <c r="C256" s="77" t="s">
        <v>1116</v>
      </c>
      <c r="D256" s="233">
        <v>1982</v>
      </c>
      <c r="E256" s="233"/>
      <c r="F256" s="233" t="s">
        <v>256</v>
      </c>
      <c r="G256" s="233">
        <v>9</v>
      </c>
      <c r="H256" s="233" t="s">
        <v>290</v>
      </c>
      <c r="I256" s="78">
        <v>4642.08</v>
      </c>
      <c r="J256" s="78">
        <v>4642.08</v>
      </c>
      <c r="K256" s="78">
        <v>4642.08</v>
      </c>
      <c r="L256" s="239">
        <v>170</v>
      </c>
      <c r="M256" s="233" t="s">
        <v>254</v>
      </c>
      <c r="N256" s="233" t="s">
        <v>258</v>
      </c>
      <c r="O256" s="236" t="s">
        <v>657</v>
      </c>
      <c r="P256" s="78">
        <v>2272822.6599999997</v>
      </c>
      <c r="Q256" s="78">
        <v>0</v>
      </c>
      <c r="R256" s="78">
        <v>0</v>
      </c>
      <c r="S256" s="78">
        <v>0</v>
      </c>
      <c r="T256" s="78">
        <f t="shared" si="13"/>
        <v>2272822.6599999997</v>
      </c>
      <c r="U256" s="78">
        <f t="shared" si="12"/>
        <v>489.61298814324607</v>
      </c>
      <c r="V256" s="78">
        <v>560.82000000000005</v>
      </c>
    </row>
    <row r="257" spans="1:22" s="79" customFormat="1" ht="36" customHeight="1" x14ac:dyDescent="0.25">
      <c r="A257" s="79">
        <v>1</v>
      </c>
      <c r="B257" s="80">
        <f>SUBTOTAL(103,$A$16:A257)</f>
        <v>237</v>
      </c>
      <c r="C257" s="77" t="s">
        <v>1117</v>
      </c>
      <c r="D257" s="233">
        <v>1978</v>
      </c>
      <c r="E257" s="233"/>
      <c r="F257" s="233" t="s">
        <v>256</v>
      </c>
      <c r="G257" s="233">
        <v>5</v>
      </c>
      <c r="H257" s="233" t="s">
        <v>355</v>
      </c>
      <c r="I257" s="78">
        <v>6106.27</v>
      </c>
      <c r="J257" s="78">
        <v>4513.8999999999996</v>
      </c>
      <c r="K257" s="78">
        <v>4513.8999999999996</v>
      </c>
      <c r="L257" s="239">
        <v>207</v>
      </c>
      <c r="M257" s="233" t="s">
        <v>254</v>
      </c>
      <c r="N257" s="233" t="s">
        <v>258</v>
      </c>
      <c r="O257" s="236" t="s">
        <v>657</v>
      </c>
      <c r="P257" s="78">
        <v>4444796.6100000003</v>
      </c>
      <c r="Q257" s="78">
        <v>0</v>
      </c>
      <c r="R257" s="78">
        <v>0</v>
      </c>
      <c r="S257" s="78">
        <v>0</v>
      </c>
      <c r="T257" s="78">
        <f t="shared" si="13"/>
        <v>4444796.6100000003</v>
      </c>
      <c r="U257" s="78">
        <f t="shared" si="12"/>
        <v>727.9069890456858</v>
      </c>
      <c r="V257" s="78">
        <v>1875.9565324166801</v>
      </c>
    </row>
    <row r="258" spans="1:22" s="79" customFormat="1" ht="36" customHeight="1" x14ac:dyDescent="0.25">
      <c r="A258" s="79">
        <v>1</v>
      </c>
      <c r="B258" s="80">
        <f>SUBTOTAL(103,$A$16:A258)</f>
        <v>238</v>
      </c>
      <c r="C258" s="77" t="s">
        <v>1118</v>
      </c>
      <c r="D258" s="233">
        <v>1937</v>
      </c>
      <c r="E258" s="233"/>
      <c r="F258" s="233" t="s">
        <v>256</v>
      </c>
      <c r="G258" s="233">
        <v>3</v>
      </c>
      <c r="H258" s="233" t="s">
        <v>295</v>
      </c>
      <c r="I258" s="78">
        <v>1443.5</v>
      </c>
      <c r="J258" s="78">
        <v>976.1</v>
      </c>
      <c r="K258" s="78">
        <v>976.1</v>
      </c>
      <c r="L258" s="239">
        <v>60</v>
      </c>
      <c r="M258" s="233" t="s">
        <v>254</v>
      </c>
      <c r="N258" s="233" t="s">
        <v>271</v>
      </c>
      <c r="O258" s="236" t="s">
        <v>257</v>
      </c>
      <c r="P258" s="78">
        <v>3526049.4499999997</v>
      </c>
      <c r="Q258" s="78">
        <v>0</v>
      </c>
      <c r="R258" s="78">
        <v>0</v>
      </c>
      <c r="S258" s="78">
        <v>0</v>
      </c>
      <c r="T258" s="78">
        <f t="shared" si="13"/>
        <v>3526049.4499999997</v>
      </c>
      <c r="U258" s="78">
        <f t="shared" si="12"/>
        <v>2442.7083131278141</v>
      </c>
      <c r="V258" s="78">
        <v>5181.3963566331831</v>
      </c>
    </row>
    <row r="259" spans="1:22" s="79" customFormat="1" ht="36" customHeight="1" x14ac:dyDescent="0.25">
      <c r="A259" s="79">
        <v>1</v>
      </c>
      <c r="B259" s="80">
        <f>SUBTOTAL(103,$A$16:A259)</f>
        <v>239</v>
      </c>
      <c r="C259" s="77" t="s">
        <v>1119</v>
      </c>
      <c r="D259" s="233">
        <v>1973</v>
      </c>
      <c r="E259" s="233"/>
      <c r="F259" s="233" t="s">
        <v>256</v>
      </c>
      <c r="G259" s="233">
        <v>5</v>
      </c>
      <c r="H259" s="233" t="s">
        <v>355</v>
      </c>
      <c r="I259" s="78">
        <v>5659.64</v>
      </c>
      <c r="J259" s="78">
        <v>4429.9399999999996</v>
      </c>
      <c r="K259" s="78">
        <v>4365.74</v>
      </c>
      <c r="L259" s="239">
        <v>213</v>
      </c>
      <c r="M259" s="233" t="s">
        <v>254</v>
      </c>
      <c r="N259" s="233" t="s">
        <v>258</v>
      </c>
      <c r="O259" s="236" t="s">
        <v>655</v>
      </c>
      <c r="P259" s="78">
        <v>5490389.4400000004</v>
      </c>
      <c r="Q259" s="78">
        <v>0</v>
      </c>
      <c r="R259" s="78">
        <v>0</v>
      </c>
      <c r="S259" s="78">
        <v>0</v>
      </c>
      <c r="T259" s="78">
        <f t="shared" si="13"/>
        <v>5490389.4400000004</v>
      </c>
      <c r="U259" s="78">
        <f t="shared" si="12"/>
        <v>970.09517213108961</v>
      </c>
      <c r="V259" s="78">
        <v>3809.6774211787324</v>
      </c>
    </row>
    <row r="260" spans="1:22" s="79" customFormat="1" ht="36" customHeight="1" x14ac:dyDescent="0.25">
      <c r="A260" s="79">
        <v>1</v>
      </c>
      <c r="B260" s="80">
        <f>SUBTOTAL(103,$A$16:A260)</f>
        <v>240</v>
      </c>
      <c r="C260" s="77" t="s">
        <v>1121</v>
      </c>
      <c r="D260" s="233">
        <v>1967</v>
      </c>
      <c r="E260" s="233"/>
      <c r="F260" s="233" t="s">
        <v>256</v>
      </c>
      <c r="G260" s="233">
        <v>5</v>
      </c>
      <c r="H260" s="233" t="s">
        <v>295</v>
      </c>
      <c r="I260" s="78">
        <v>5485.29</v>
      </c>
      <c r="J260" s="78">
        <v>3346.19</v>
      </c>
      <c r="K260" s="78">
        <v>3187.4</v>
      </c>
      <c r="L260" s="239">
        <v>153</v>
      </c>
      <c r="M260" s="233" t="s">
        <v>254</v>
      </c>
      <c r="N260" s="233" t="s">
        <v>258</v>
      </c>
      <c r="O260" s="236" t="s">
        <v>1235</v>
      </c>
      <c r="P260" s="78">
        <v>4738452.92</v>
      </c>
      <c r="Q260" s="78">
        <v>0</v>
      </c>
      <c r="R260" s="78">
        <v>0</v>
      </c>
      <c r="S260" s="78">
        <v>0</v>
      </c>
      <c r="T260" s="78">
        <f t="shared" si="13"/>
        <v>4738452.92</v>
      </c>
      <c r="U260" s="78">
        <f t="shared" si="12"/>
        <v>863.84729339743205</v>
      </c>
      <c r="V260" s="78">
        <v>1909.4624320683138</v>
      </c>
    </row>
    <row r="261" spans="1:22" s="79" customFormat="1" ht="36" customHeight="1" x14ac:dyDescent="0.25">
      <c r="A261" s="79">
        <v>1</v>
      </c>
      <c r="B261" s="80">
        <f>SUBTOTAL(103,$A$16:A261)</f>
        <v>241</v>
      </c>
      <c r="C261" s="77" t="s">
        <v>3478</v>
      </c>
      <c r="D261" s="233">
        <v>1990</v>
      </c>
      <c r="E261" s="233"/>
      <c r="F261" s="233" t="s">
        <v>256</v>
      </c>
      <c r="G261" s="233">
        <v>2</v>
      </c>
      <c r="H261" s="233" t="s">
        <v>290</v>
      </c>
      <c r="I261" s="78">
        <v>568.29999999999995</v>
      </c>
      <c r="J261" s="78">
        <v>317</v>
      </c>
      <c r="K261" s="78">
        <v>317</v>
      </c>
      <c r="L261" s="239">
        <v>31</v>
      </c>
      <c r="M261" s="233" t="s">
        <v>254</v>
      </c>
      <c r="N261" s="233" t="s">
        <v>255</v>
      </c>
      <c r="O261" s="236" t="s">
        <v>257</v>
      </c>
      <c r="P261" s="78">
        <v>2182746.96</v>
      </c>
      <c r="Q261" s="78">
        <v>0</v>
      </c>
      <c r="R261" s="78">
        <v>0</v>
      </c>
      <c r="S261" s="78">
        <v>0</v>
      </c>
      <c r="T261" s="78">
        <f t="shared" si="13"/>
        <v>2182746.96</v>
      </c>
      <c r="U261" s="78">
        <f t="shared" si="12"/>
        <v>3840.8357557628015</v>
      </c>
      <c r="V261" s="78">
        <v>7596.5084385007922</v>
      </c>
    </row>
    <row r="262" spans="1:22" s="79" customFormat="1" ht="36" customHeight="1" x14ac:dyDescent="0.25">
      <c r="A262" s="79">
        <v>1</v>
      </c>
      <c r="B262" s="80">
        <f>SUBTOTAL(103,$A$16:A262)</f>
        <v>242</v>
      </c>
      <c r="C262" s="77" t="s">
        <v>1272</v>
      </c>
      <c r="D262" s="233">
        <v>1820</v>
      </c>
      <c r="E262" s="233"/>
      <c r="F262" s="233" t="s">
        <v>256</v>
      </c>
      <c r="G262" s="233">
        <v>2</v>
      </c>
      <c r="H262" s="233" t="s">
        <v>290</v>
      </c>
      <c r="I262" s="78">
        <v>973.3</v>
      </c>
      <c r="J262" s="78">
        <v>527.20000000000005</v>
      </c>
      <c r="K262" s="78">
        <v>527.20000000000005</v>
      </c>
      <c r="L262" s="239">
        <v>26</v>
      </c>
      <c r="M262" s="233" t="s">
        <v>254</v>
      </c>
      <c r="N262" s="233" t="s">
        <v>258</v>
      </c>
      <c r="O262" s="236" t="s">
        <v>1018</v>
      </c>
      <c r="P262" s="78">
        <v>1724602.98</v>
      </c>
      <c r="Q262" s="78">
        <v>0</v>
      </c>
      <c r="R262" s="78">
        <v>0</v>
      </c>
      <c r="S262" s="78">
        <v>0</v>
      </c>
      <c r="T262" s="78">
        <f t="shared" si="13"/>
        <v>1724602.98</v>
      </c>
      <c r="U262" s="78">
        <f t="shared" si="12"/>
        <v>1771.9130586663928</v>
      </c>
      <c r="V262" s="78">
        <v>4832.0407241343883</v>
      </c>
    </row>
    <row r="263" spans="1:22" s="79" customFormat="1" ht="36" customHeight="1" x14ac:dyDescent="0.25">
      <c r="A263" s="79">
        <v>1</v>
      </c>
      <c r="B263" s="80">
        <f>SUBTOTAL(103,$A$16:A263)</f>
        <v>243</v>
      </c>
      <c r="C263" s="77" t="s">
        <v>1271</v>
      </c>
      <c r="D263" s="233">
        <v>1984</v>
      </c>
      <c r="E263" s="233"/>
      <c r="F263" s="233" t="s">
        <v>304</v>
      </c>
      <c r="G263" s="233">
        <v>2</v>
      </c>
      <c r="H263" s="233" t="s">
        <v>290</v>
      </c>
      <c r="I263" s="78">
        <v>622.79999999999995</v>
      </c>
      <c r="J263" s="78">
        <v>560.29999999999995</v>
      </c>
      <c r="K263" s="78">
        <v>560.29999999999995</v>
      </c>
      <c r="L263" s="239">
        <v>31</v>
      </c>
      <c r="M263" s="233" t="s">
        <v>254</v>
      </c>
      <c r="N263" s="233" t="s">
        <v>258</v>
      </c>
      <c r="O263" s="236" t="s">
        <v>1236</v>
      </c>
      <c r="P263" s="78">
        <v>1598078</v>
      </c>
      <c r="Q263" s="78">
        <v>0</v>
      </c>
      <c r="R263" s="78">
        <v>0</v>
      </c>
      <c r="S263" s="78">
        <v>0</v>
      </c>
      <c r="T263" s="78">
        <f t="shared" si="13"/>
        <v>1598078</v>
      </c>
      <c r="U263" s="78">
        <f t="shared" si="12"/>
        <v>2565.9569685292231</v>
      </c>
      <c r="V263" s="78">
        <v>6865.175834296726</v>
      </c>
    </row>
    <row r="264" spans="1:22" s="79" customFormat="1" ht="36" customHeight="1" x14ac:dyDescent="0.25">
      <c r="A264" s="79">
        <v>1</v>
      </c>
      <c r="B264" s="80">
        <f>SUBTOTAL(103,$A$16:A264)</f>
        <v>244</v>
      </c>
      <c r="C264" s="77" t="s">
        <v>1461</v>
      </c>
      <c r="D264" s="233">
        <v>1965</v>
      </c>
      <c r="E264" s="233"/>
      <c r="F264" s="233" t="s">
        <v>1479</v>
      </c>
      <c r="G264" s="233">
        <v>5</v>
      </c>
      <c r="H264" s="233" t="s">
        <v>299</v>
      </c>
      <c r="I264" s="78">
        <v>4032.79</v>
      </c>
      <c r="J264" s="78">
        <v>2461.4</v>
      </c>
      <c r="K264" s="78">
        <v>2461.4</v>
      </c>
      <c r="L264" s="239">
        <v>120</v>
      </c>
      <c r="M264" s="233" t="s">
        <v>254</v>
      </c>
      <c r="N264" s="233" t="s">
        <v>258</v>
      </c>
      <c r="O264" s="236" t="s">
        <v>657</v>
      </c>
      <c r="P264" s="78">
        <v>130960.35</v>
      </c>
      <c r="Q264" s="78">
        <v>0</v>
      </c>
      <c r="R264" s="78">
        <v>0</v>
      </c>
      <c r="S264" s="78">
        <v>0</v>
      </c>
      <c r="T264" s="78">
        <f t="shared" si="13"/>
        <v>130960.35</v>
      </c>
      <c r="U264" s="78">
        <f t="shared" si="12"/>
        <v>32.473882845375037</v>
      </c>
      <c r="V264" s="78">
        <v>32.473882845375037</v>
      </c>
    </row>
    <row r="265" spans="1:22" s="79" customFormat="1" ht="36" customHeight="1" x14ac:dyDescent="0.25">
      <c r="A265" s="79">
        <v>1</v>
      </c>
      <c r="B265" s="80">
        <f>SUBTOTAL(103,$A$16:A265)</f>
        <v>245</v>
      </c>
      <c r="C265" s="77" t="s">
        <v>585</v>
      </c>
      <c r="D265" s="233">
        <v>1994</v>
      </c>
      <c r="E265" s="233"/>
      <c r="F265" s="233" t="s">
        <v>256</v>
      </c>
      <c r="G265" s="233">
        <v>9</v>
      </c>
      <c r="H265" s="233" t="s">
        <v>291</v>
      </c>
      <c r="I265" s="78">
        <v>2814.2</v>
      </c>
      <c r="J265" s="78">
        <v>2472.3000000000002</v>
      </c>
      <c r="K265" s="78">
        <v>2197.6999999999998</v>
      </c>
      <c r="L265" s="239">
        <v>95</v>
      </c>
      <c r="M265" s="233" t="s">
        <v>254</v>
      </c>
      <c r="N265" s="233" t="s">
        <v>258</v>
      </c>
      <c r="O265" s="236" t="s">
        <v>655</v>
      </c>
      <c r="P265" s="78">
        <v>105885.54</v>
      </c>
      <c r="Q265" s="78">
        <v>0</v>
      </c>
      <c r="R265" s="78">
        <v>0</v>
      </c>
      <c r="S265" s="78">
        <v>0</v>
      </c>
      <c r="T265" s="78">
        <f>P265-S265-R265</f>
        <v>105885.54</v>
      </c>
      <c r="U265" s="78">
        <f t="shared" si="12"/>
        <v>37.625449506076329</v>
      </c>
      <c r="V265" s="78">
        <v>37.625449506076329</v>
      </c>
    </row>
    <row r="266" spans="1:22" s="79" customFormat="1" ht="36" customHeight="1" x14ac:dyDescent="0.25">
      <c r="B266" s="77" t="s">
        <v>761</v>
      </c>
      <c r="C266" s="77"/>
      <c r="D266" s="233" t="s">
        <v>835</v>
      </c>
      <c r="E266" s="233" t="s">
        <v>835</v>
      </c>
      <c r="F266" s="233" t="s">
        <v>835</v>
      </c>
      <c r="G266" s="233" t="s">
        <v>835</v>
      </c>
      <c r="H266" s="233" t="s">
        <v>835</v>
      </c>
      <c r="I266" s="234">
        <f>SUM(I267:I271)</f>
        <v>29543.5</v>
      </c>
      <c r="J266" s="234">
        <f>SUM(J267:J271)</f>
        <v>18251.899999999998</v>
      </c>
      <c r="K266" s="234">
        <f>SUM(K267:K271)</f>
        <v>18251.899999999998</v>
      </c>
      <c r="L266" s="235">
        <f>SUM(L267:L271)</f>
        <v>855</v>
      </c>
      <c r="M266" s="233" t="s">
        <v>835</v>
      </c>
      <c r="N266" s="233" t="s">
        <v>835</v>
      </c>
      <c r="O266" s="236" t="s">
        <v>835</v>
      </c>
      <c r="P266" s="241">
        <v>14114868.93</v>
      </c>
      <c r="Q266" s="78">
        <f>SUM(Q267:Q271)</f>
        <v>0</v>
      </c>
      <c r="R266" s="78">
        <f>SUM(R267:R271)</f>
        <v>0</v>
      </c>
      <c r="S266" s="78">
        <f>SUM(S267:S271)</f>
        <v>0</v>
      </c>
      <c r="T266" s="78">
        <f>SUM(T267:T271)</f>
        <v>14114868.93</v>
      </c>
      <c r="U266" s="78">
        <f t="shared" si="12"/>
        <v>477.76563135715134</v>
      </c>
      <c r="V266" s="78">
        <f>MAX(V267:V271)</f>
        <v>1499.0258054453129</v>
      </c>
    </row>
    <row r="267" spans="1:22" s="79" customFormat="1" ht="36" customHeight="1" x14ac:dyDescent="0.25">
      <c r="A267" s="79">
        <v>1</v>
      </c>
      <c r="B267" s="80">
        <f>SUBTOTAL(103,$A$16:A267)</f>
        <v>246</v>
      </c>
      <c r="C267" s="77" t="s">
        <v>2910</v>
      </c>
      <c r="D267" s="233">
        <v>1981</v>
      </c>
      <c r="E267" s="233"/>
      <c r="F267" s="233" t="s">
        <v>298</v>
      </c>
      <c r="G267" s="233">
        <v>5</v>
      </c>
      <c r="H267" s="233" t="s">
        <v>2124</v>
      </c>
      <c r="I267" s="78">
        <v>9132.7000000000007</v>
      </c>
      <c r="J267" s="78">
        <v>5348.9</v>
      </c>
      <c r="K267" s="78">
        <v>5348.9</v>
      </c>
      <c r="L267" s="239">
        <v>243</v>
      </c>
      <c r="M267" s="233" t="s">
        <v>254</v>
      </c>
      <c r="N267" s="233" t="s">
        <v>258</v>
      </c>
      <c r="O267" s="236" t="s">
        <v>660</v>
      </c>
      <c r="P267" s="78">
        <v>3927547.9699999997</v>
      </c>
      <c r="Q267" s="78">
        <v>0</v>
      </c>
      <c r="R267" s="78">
        <v>0</v>
      </c>
      <c r="S267" s="78">
        <v>0</v>
      </c>
      <c r="T267" s="78">
        <f>P267-R267-S267</f>
        <v>3927547.9699999997</v>
      </c>
      <c r="U267" s="78">
        <f t="shared" si="12"/>
        <v>430.05332158069348</v>
      </c>
      <c r="V267" s="78">
        <v>1248.3094418956059</v>
      </c>
    </row>
    <row r="268" spans="1:22" s="79" customFormat="1" ht="36" customHeight="1" x14ac:dyDescent="0.25">
      <c r="A268" s="79">
        <v>1</v>
      </c>
      <c r="B268" s="80">
        <f>SUBTOTAL(103,$A$16:A268)</f>
        <v>247</v>
      </c>
      <c r="C268" s="77" t="s">
        <v>2911</v>
      </c>
      <c r="D268" s="233">
        <v>1988</v>
      </c>
      <c r="E268" s="233"/>
      <c r="F268" s="233" t="s">
        <v>256</v>
      </c>
      <c r="G268" s="233">
        <v>5</v>
      </c>
      <c r="H268" s="233" t="s">
        <v>355</v>
      </c>
      <c r="I268" s="78">
        <v>7301.9</v>
      </c>
      <c r="J268" s="78">
        <v>3924.5</v>
      </c>
      <c r="K268" s="78">
        <v>3924.5</v>
      </c>
      <c r="L268" s="239">
        <v>198</v>
      </c>
      <c r="M268" s="233" t="s">
        <v>254</v>
      </c>
      <c r="N268" s="233" t="s">
        <v>258</v>
      </c>
      <c r="O268" s="236" t="s">
        <v>660</v>
      </c>
      <c r="P268" s="78">
        <v>3307384.7800000003</v>
      </c>
      <c r="Q268" s="78">
        <v>0</v>
      </c>
      <c r="R268" s="78">
        <v>0</v>
      </c>
      <c r="S268" s="78">
        <v>0</v>
      </c>
      <c r="T268" s="78">
        <f>P268-R268-S268</f>
        <v>3307384.7800000003</v>
      </c>
      <c r="U268" s="78">
        <f t="shared" si="12"/>
        <v>452.94851750914154</v>
      </c>
      <c r="V268" s="78">
        <v>1248.0119144880102</v>
      </c>
    </row>
    <row r="269" spans="1:22" s="79" customFormat="1" ht="36" customHeight="1" x14ac:dyDescent="0.25">
      <c r="A269" s="79">
        <v>1</v>
      </c>
      <c r="B269" s="80">
        <f>SUBTOTAL(103,$A$16:A269)</f>
        <v>248</v>
      </c>
      <c r="C269" s="77" t="s">
        <v>2912</v>
      </c>
      <c r="D269" s="233">
        <v>1979</v>
      </c>
      <c r="E269" s="233"/>
      <c r="F269" s="233" t="s">
        <v>298</v>
      </c>
      <c r="G269" s="233">
        <v>5</v>
      </c>
      <c r="H269" s="233" t="s">
        <v>290</v>
      </c>
      <c r="I269" s="78">
        <v>2660.8</v>
      </c>
      <c r="J269" s="78">
        <v>1869.9</v>
      </c>
      <c r="K269" s="78">
        <v>1869.9</v>
      </c>
      <c r="L269" s="239">
        <v>84</v>
      </c>
      <c r="M269" s="233" t="s">
        <v>254</v>
      </c>
      <c r="N269" s="233" t="s">
        <v>258</v>
      </c>
      <c r="O269" s="236" t="s">
        <v>660</v>
      </c>
      <c r="P269" s="78">
        <v>1446069.26</v>
      </c>
      <c r="Q269" s="78">
        <v>0</v>
      </c>
      <c r="R269" s="78">
        <v>0</v>
      </c>
      <c r="S269" s="78">
        <v>0</v>
      </c>
      <c r="T269" s="78">
        <f>P269-R269-S269</f>
        <v>1446069.26</v>
      </c>
      <c r="U269" s="78">
        <f t="shared" ref="U269:U271" si="14">P269/I269</f>
        <v>543.47161004209261</v>
      </c>
      <c r="V269" s="78">
        <v>1470.8692333132892</v>
      </c>
    </row>
    <row r="270" spans="1:22" s="79" customFormat="1" ht="36" customHeight="1" x14ac:dyDescent="0.25">
      <c r="A270" s="79">
        <v>1</v>
      </c>
      <c r="B270" s="80">
        <f>SUBTOTAL(103,$A$16:A270)</f>
        <v>249</v>
      </c>
      <c r="C270" s="77" t="s">
        <v>2913</v>
      </c>
      <c r="D270" s="233">
        <v>1986</v>
      </c>
      <c r="E270" s="233"/>
      <c r="F270" s="233" t="s">
        <v>298</v>
      </c>
      <c r="G270" s="233">
        <v>5</v>
      </c>
      <c r="H270" s="233" t="s">
        <v>337</v>
      </c>
      <c r="I270" s="78">
        <v>5770.1</v>
      </c>
      <c r="J270" s="78">
        <v>3935.4</v>
      </c>
      <c r="K270" s="78">
        <v>3935.4</v>
      </c>
      <c r="L270" s="239">
        <v>180</v>
      </c>
      <c r="M270" s="233" t="s">
        <v>254</v>
      </c>
      <c r="N270" s="233" t="s">
        <v>258</v>
      </c>
      <c r="O270" s="236" t="s">
        <v>660</v>
      </c>
      <c r="P270" s="78">
        <v>2997039.15</v>
      </c>
      <c r="Q270" s="78">
        <v>0</v>
      </c>
      <c r="R270" s="78">
        <v>0</v>
      </c>
      <c r="S270" s="78">
        <v>0</v>
      </c>
      <c r="T270" s="78">
        <f>P270-R270-S270</f>
        <v>2997039.15</v>
      </c>
      <c r="U270" s="78">
        <f t="shared" si="14"/>
        <v>519.40852844838037</v>
      </c>
      <c r="V270" s="78">
        <v>1499.0258054453129</v>
      </c>
    </row>
    <row r="271" spans="1:22" s="79" customFormat="1" ht="36" customHeight="1" x14ac:dyDescent="0.25">
      <c r="A271" s="79">
        <v>1</v>
      </c>
      <c r="B271" s="80">
        <f>SUBTOTAL(103,$A$16:A271)</f>
        <v>250</v>
      </c>
      <c r="C271" s="77" t="s">
        <v>2914</v>
      </c>
      <c r="D271" s="233">
        <v>1990</v>
      </c>
      <c r="E271" s="233"/>
      <c r="F271" s="233" t="s">
        <v>298</v>
      </c>
      <c r="G271" s="233">
        <v>5</v>
      </c>
      <c r="H271" s="233" t="s">
        <v>295</v>
      </c>
      <c r="I271" s="78">
        <v>4678</v>
      </c>
      <c r="J271" s="78">
        <v>3173.2</v>
      </c>
      <c r="K271" s="78">
        <v>3173.2</v>
      </c>
      <c r="L271" s="239">
        <v>150</v>
      </c>
      <c r="M271" s="233" t="s">
        <v>254</v>
      </c>
      <c r="N271" s="233" t="s">
        <v>258</v>
      </c>
      <c r="O271" s="236" t="s">
        <v>660</v>
      </c>
      <c r="P271" s="78">
        <v>2436827.77</v>
      </c>
      <c r="Q271" s="78">
        <v>0</v>
      </c>
      <c r="R271" s="78">
        <v>0</v>
      </c>
      <c r="S271" s="78">
        <v>0</v>
      </c>
      <c r="T271" s="78">
        <f>P271-R271-S271</f>
        <v>2436827.77</v>
      </c>
      <c r="U271" s="78">
        <f t="shared" si="14"/>
        <v>520.91230654125695</v>
      </c>
      <c r="V271" s="78">
        <v>1482.6151586147928</v>
      </c>
    </row>
    <row r="272" spans="1:22" s="79" customFormat="1" ht="36" customHeight="1" x14ac:dyDescent="0.25">
      <c r="B272" s="77" t="s">
        <v>762</v>
      </c>
      <c r="C272" s="77"/>
      <c r="D272" s="233" t="s">
        <v>835</v>
      </c>
      <c r="E272" s="233" t="s">
        <v>835</v>
      </c>
      <c r="F272" s="233" t="s">
        <v>835</v>
      </c>
      <c r="G272" s="233" t="s">
        <v>835</v>
      </c>
      <c r="H272" s="233" t="s">
        <v>835</v>
      </c>
      <c r="I272" s="234">
        <f>SUM(I273:I278)</f>
        <v>10662.800000000001</v>
      </c>
      <c r="J272" s="234">
        <f>SUM(J273:J278)</f>
        <v>9226.6</v>
      </c>
      <c r="K272" s="234">
        <f>SUM(K273:K278)</f>
        <v>8378.2999999999993</v>
      </c>
      <c r="L272" s="235">
        <f>SUM(L273:L278)</f>
        <v>403</v>
      </c>
      <c r="M272" s="233" t="s">
        <v>835</v>
      </c>
      <c r="N272" s="233" t="s">
        <v>835</v>
      </c>
      <c r="O272" s="236" t="s">
        <v>835</v>
      </c>
      <c r="P272" s="237">
        <v>30964559.009999998</v>
      </c>
      <c r="Q272" s="234">
        <f>SUM(Q273:Q278)</f>
        <v>0</v>
      </c>
      <c r="R272" s="234">
        <f>SUM(R273:R278)</f>
        <v>0</v>
      </c>
      <c r="S272" s="234">
        <f>SUM(S273:S278)</f>
        <v>0</v>
      </c>
      <c r="T272" s="234">
        <f>SUM(T273:T278)</f>
        <v>30964559.009999998</v>
      </c>
      <c r="U272" s="78">
        <f t="shared" ref="U272:U332" si="15">P272/I272</f>
        <v>2903.9800999737399</v>
      </c>
      <c r="V272" s="78">
        <f>MAX(V273:V278)</f>
        <v>17291.534608611983</v>
      </c>
    </row>
    <row r="273" spans="1:22" s="79" customFormat="1" ht="36" customHeight="1" x14ac:dyDescent="0.25">
      <c r="A273" s="79">
        <v>1</v>
      </c>
      <c r="B273" s="80">
        <f>SUBTOTAL(103,$A$16:A273)</f>
        <v>251</v>
      </c>
      <c r="C273" s="77" t="s">
        <v>602</v>
      </c>
      <c r="D273" s="233">
        <v>1896</v>
      </c>
      <c r="E273" s="233"/>
      <c r="F273" s="233" t="s">
        <v>256</v>
      </c>
      <c r="G273" s="233">
        <v>2</v>
      </c>
      <c r="H273" s="233" t="s">
        <v>291</v>
      </c>
      <c r="I273" s="78">
        <v>415.7</v>
      </c>
      <c r="J273" s="78">
        <v>374.1</v>
      </c>
      <c r="K273" s="78">
        <v>374.1</v>
      </c>
      <c r="L273" s="239">
        <v>22</v>
      </c>
      <c r="M273" s="233" t="s">
        <v>254</v>
      </c>
      <c r="N273" s="233" t="s">
        <v>258</v>
      </c>
      <c r="O273" s="236" t="s">
        <v>661</v>
      </c>
      <c r="P273" s="78">
        <v>3101907.63</v>
      </c>
      <c r="Q273" s="78">
        <v>0</v>
      </c>
      <c r="R273" s="78">
        <v>0</v>
      </c>
      <c r="S273" s="78">
        <v>0</v>
      </c>
      <c r="T273" s="78">
        <f>P273-R273-S273</f>
        <v>3101907.63</v>
      </c>
      <c r="U273" s="78">
        <f t="shared" si="15"/>
        <v>7461.8898965600192</v>
      </c>
      <c r="V273" s="78">
        <v>17291.534608611983</v>
      </c>
    </row>
    <row r="274" spans="1:22" s="79" customFormat="1" ht="36" customHeight="1" x14ac:dyDescent="0.25">
      <c r="A274" s="79">
        <v>1</v>
      </c>
      <c r="B274" s="80">
        <f>SUBTOTAL(103,$A$16:A274)</f>
        <v>252</v>
      </c>
      <c r="C274" s="77" t="s">
        <v>597</v>
      </c>
      <c r="D274" s="233">
        <v>1958</v>
      </c>
      <c r="E274" s="233"/>
      <c r="F274" s="233" t="s">
        <v>256</v>
      </c>
      <c r="G274" s="233">
        <v>3</v>
      </c>
      <c r="H274" s="233" t="s">
        <v>299</v>
      </c>
      <c r="I274" s="78">
        <v>1224.0999999999999</v>
      </c>
      <c r="J274" s="78">
        <v>1113.4000000000001</v>
      </c>
      <c r="K274" s="78">
        <v>1113.4000000000001</v>
      </c>
      <c r="L274" s="239">
        <v>48</v>
      </c>
      <c r="M274" s="233" t="s">
        <v>254</v>
      </c>
      <c r="N274" s="233" t="s">
        <v>258</v>
      </c>
      <c r="O274" s="236" t="s">
        <v>661</v>
      </c>
      <c r="P274" s="78">
        <v>3151307.31</v>
      </c>
      <c r="Q274" s="78">
        <v>0</v>
      </c>
      <c r="R274" s="78">
        <v>0</v>
      </c>
      <c r="S274" s="78">
        <v>0</v>
      </c>
      <c r="T274" s="78">
        <f>P274-R274-S274</f>
        <v>3151307.31</v>
      </c>
      <c r="U274" s="78">
        <f t="shared" si="15"/>
        <v>2574.3871497426685</v>
      </c>
      <c r="V274" s="78">
        <v>4538.2860223837934</v>
      </c>
    </row>
    <row r="275" spans="1:22" s="79" customFormat="1" ht="36" customHeight="1" x14ac:dyDescent="0.25">
      <c r="A275" s="79">
        <v>1</v>
      </c>
      <c r="B275" s="80">
        <f>SUBTOTAL(103,$A$16:A275)</f>
        <v>253</v>
      </c>
      <c r="C275" s="77" t="s">
        <v>601</v>
      </c>
      <c r="D275" s="233">
        <v>1984</v>
      </c>
      <c r="E275" s="233"/>
      <c r="F275" s="233" t="s">
        <v>256</v>
      </c>
      <c r="G275" s="233">
        <v>3</v>
      </c>
      <c r="H275" s="233" t="s">
        <v>299</v>
      </c>
      <c r="I275" s="78">
        <v>2162.5</v>
      </c>
      <c r="J275" s="78">
        <v>2047.6</v>
      </c>
      <c r="K275" s="78">
        <v>2047.6</v>
      </c>
      <c r="L275" s="239">
        <v>85</v>
      </c>
      <c r="M275" s="233" t="s">
        <v>254</v>
      </c>
      <c r="N275" s="233" t="s">
        <v>258</v>
      </c>
      <c r="O275" s="236" t="s">
        <v>655</v>
      </c>
      <c r="P275" s="78">
        <v>4866736.68</v>
      </c>
      <c r="Q275" s="78">
        <v>0</v>
      </c>
      <c r="R275" s="78">
        <v>0</v>
      </c>
      <c r="S275" s="78">
        <v>0</v>
      </c>
      <c r="T275" s="78">
        <f>P275-R275-S275</f>
        <v>4866736.68</v>
      </c>
      <c r="U275" s="78">
        <f t="shared" si="15"/>
        <v>2250.5140716763003</v>
      </c>
      <c r="V275" s="78">
        <v>4283.1481104277464</v>
      </c>
    </row>
    <row r="276" spans="1:22" s="79" customFormat="1" ht="36" customHeight="1" x14ac:dyDescent="0.25">
      <c r="A276" s="79">
        <v>1</v>
      </c>
      <c r="B276" s="80">
        <f>SUBTOTAL(103,$A$16:A276)</f>
        <v>254</v>
      </c>
      <c r="C276" s="77" t="s">
        <v>1122</v>
      </c>
      <c r="D276" s="233">
        <v>1932</v>
      </c>
      <c r="E276" s="233"/>
      <c r="F276" s="233" t="s">
        <v>1244</v>
      </c>
      <c r="G276" s="233">
        <v>3</v>
      </c>
      <c r="H276" s="233" t="s">
        <v>337</v>
      </c>
      <c r="I276" s="78">
        <v>1954.2</v>
      </c>
      <c r="J276" s="78">
        <v>1319.3</v>
      </c>
      <c r="K276" s="78">
        <v>1319.3</v>
      </c>
      <c r="L276" s="239">
        <v>71</v>
      </c>
      <c r="M276" s="233" t="s">
        <v>254</v>
      </c>
      <c r="N276" s="233" t="s">
        <v>258</v>
      </c>
      <c r="O276" s="236" t="s">
        <v>1245</v>
      </c>
      <c r="P276" s="78">
        <v>6540486.5499999998</v>
      </c>
      <c r="Q276" s="78">
        <v>0</v>
      </c>
      <c r="R276" s="78">
        <v>0</v>
      </c>
      <c r="S276" s="78">
        <v>0</v>
      </c>
      <c r="T276" s="78">
        <f>P276-R276-S276</f>
        <v>6540486.5499999998</v>
      </c>
      <c r="U276" s="78">
        <f t="shared" si="15"/>
        <v>3346.8869870023536</v>
      </c>
      <c r="V276" s="78">
        <v>6994.801090983523</v>
      </c>
    </row>
    <row r="277" spans="1:22" s="79" customFormat="1" ht="36" customHeight="1" x14ac:dyDescent="0.25">
      <c r="A277" s="79">
        <v>1</v>
      </c>
      <c r="B277" s="80">
        <f>SUBTOTAL(103,$A$16:A277)</f>
        <v>255</v>
      </c>
      <c r="C277" s="77" t="s">
        <v>1113</v>
      </c>
      <c r="D277" s="233">
        <v>1882</v>
      </c>
      <c r="E277" s="233"/>
      <c r="F277" s="233" t="s">
        <v>256</v>
      </c>
      <c r="G277" s="233">
        <v>4</v>
      </c>
      <c r="H277" s="233" t="s">
        <v>290</v>
      </c>
      <c r="I277" s="78">
        <v>3453.2</v>
      </c>
      <c r="J277" s="78">
        <v>3230.8</v>
      </c>
      <c r="K277" s="78">
        <v>2382.5</v>
      </c>
      <c r="L277" s="239">
        <v>128</v>
      </c>
      <c r="M277" s="233" t="s">
        <v>254</v>
      </c>
      <c r="N277" s="233" t="s">
        <v>258</v>
      </c>
      <c r="O277" s="236" t="s">
        <v>661</v>
      </c>
      <c r="P277" s="78">
        <v>10088677.58</v>
      </c>
      <c r="Q277" s="78">
        <v>0</v>
      </c>
      <c r="R277" s="78">
        <v>0</v>
      </c>
      <c r="S277" s="78">
        <v>0</v>
      </c>
      <c r="T277" s="78">
        <f>P277-R277-S277</f>
        <v>10088677.58</v>
      </c>
      <c r="U277" s="78">
        <f t="shared" si="15"/>
        <v>2921.5445326074368</v>
      </c>
      <c r="V277" s="78">
        <v>4849.8347925402531</v>
      </c>
    </row>
    <row r="278" spans="1:22" s="79" customFormat="1" ht="36" customHeight="1" x14ac:dyDescent="0.25">
      <c r="A278" s="79">
        <v>1</v>
      </c>
      <c r="B278" s="80">
        <f>SUBTOTAL(103,$A$16:A278)</f>
        <v>256</v>
      </c>
      <c r="C278" s="77" t="s">
        <v>1469</v>
      </c>
      <c r="D278" s="233">
        <v>1939</v>
      </c>
      <c r="E278" s="233"/>
      <c r="F278" s="233" t="s">
        <v>1479</v>
      </c>
      <c r="G278" s="233">
        <v>3</v>
      </c>
      <c r="H278" s="233" t="s">
        <v>295</v>
      </c>
      <c r="I278" s="78">
        <v>1453.1</v>
      </c>
      <c r="J278" s="78">
        <v>1141.4000000000001</v>
      </c>
      <c r="K278" s="78">
        <v>1141.4000000000001</v>
      </c>
      <c r="L278" s="239">
        <v>49</v>
      </c>
      <c r="M278" s="233" t="s">
        <v>254</v>
      </c>
      <c r="N278" s="233" t="s">
        <v>258</v>
      </c>
      <c r="O278" s="236" t="s">
        <v>661</v>
      </c>
      <c r="P278" s="78">
        <v>3215443.26</v>
      </c>
      <c r="Q278" s="78">
        <v>0</v>
      </c>
      <c r="R278" s="78">
        <v>0</v>
      </c>
      <c r="S278" s="78">
        <v>0</v>
      </c>
      <c r="T278" s="78">
        <f>P278-S278-R278</f>
        <v>3215443.26</v>
      </c>
      <c r="U278" s="78">
        <f t="shared" si="15"/>
        <v>2212.8162273759549</v>
      </c>
      <c r="V278" s="78">
        <v>4358.9235791067385</v>
      </c>
    </row>
    <row r="279" spans="1:22" s="79" customFormat="1" ht="36" customHeight="1" x14ac:dyDescent="0.25">
      <c r="B279" s="77" t="s">
        <v>763</v>
      </c>
      <c r="C279" s="77"/>
      <c r="D279" s="233" t="s">
        <v>835</v>
      </c>
      <c r="E279" s="233" t="s">
        <v>835</v>
      </c>
      <c r="F279" s="233" t="s">
        <v>835</v>
      </c>
      <c r="G279" s="233" t="s">
        <v>835</v>
      </c>
      <c r="H279" s="233" t="s">
        <v>835</v>
      </c>
      <c r="I279" s="234">
        <f>SUM(I280:I283)</f>
        <v>14970.710000000001</v>
      </c>
      <c r="J279" s="234">
        <f>SUM(J280:J283)</f>
        <v>11319.109999999999</v>
      </c>
      <c r="K279" s="234">
        <f>SUM(K280:K283)</f>
        <v>11319.109999999999</v>
      </c>
      <c r="L279" s="235">
        <f>SUM(L280:L283)</f>
        <v>518</v>
      </c>
      <c r="M279" s="233" t="s">
        <v>835</v>
      </c>
      <c r="N279" s="233" t="s">
        <v>835</v>
      </c>
      <c r="O279" s="236" t="s">
        <v>835</v>
      </c>
      <c r="P279" s="241">
        <v>12442442.430000002</v>
      </c>
      <c r="Q279" s="78">
        <f>SUM(Q280:Q283)</f>
        <v>0</v>
      </c>
      <c r="R279" s="78">
        <f>SUM(R280:R283)</f>
        <v>0</v>
      </c>
      <c r="S279" s="78">
        <f>SUM(S280:S283)</f>
        <v>0</v>
      </c>
      <c r="T279" s="78">
        <f>SUM(T280:T283)</f>
        <v>12442442.430000002</v>
      </c>
      <c r="U279" s="78">
        <f t="shared" si="15"/>
        <v>831.11906048544131</v>
      </c>
      <c r="V279" s="78">
        <f>MAX(V280:V283)</f>
        <v>3707.39</v>
      </c>
    </row>
    <row r="280" spans="1:22" s="79" customFormat="1" ht="36" customHeight="1" x14ac:dyDescent="0.25">
      <c r="A280" s="79">
        <v>1</v>
      </c>
      <c r="B280" s="80">
        <f>SUBTOTAL(103,$A$16:A280)</f>
        <v>257</v>
      </c>
      <c r="C280" s="77" t="s">
        <v>606</v>
      </c>
      <c r="D280" s="233">
        <v>1972</v>
      </c>
      <c r="E280" s="233"/>
      <c r="F280" s="233" t="s">
        <v>256</v>
      </c>
      <c r="G280" s="233">
        <v>5</v>
      </c>
      <c r="H280" s="233" t="s">
        <v>295</v>
      </c>
      <c r="I280" s="78">
        <v>4295.76</v>
      </c>
      <c r="J280" s="78">
        <v>3325.76</v>
      </c>
      <c r="K280" s="78">
        <v>3325.76</v>
      </c>
      <c r="L280" s="239">
        <v>137</v>
      </c>
      <c r="M280" s="233" t="s">
        <v>254</v>
      </c>
      <c r="N280" s="233" t="s">
        <v>258</v>
      </c>
      <c r="O280" s="236" t="s">
        <v>935</v>
      </c>
      <c r="P280" s="78">
        <v>5056079.6400000006</v>
      </c>
      <c r="Q280" s="78">
        <v>0</v>
      </c>
      <c r="R280" s="78">
        <v>0</v>
      </c>
      <c r="S280" s="78">
        <v>0</v>
      </c>
      <c r="T280" s="78">
        <f>P280-R280-S280</f>
        <v>5056079.6400000006</v>
      </c>
      <c r="U280" s="78">
        <f t="shared" si="15"/>
        <v>1176.9930443041512</v>
      </c>
      <c r="V280" s="78">
        <v>2239.1406987354972</v>
      </c>
    </row>
    <row r="281" spans="1:22" s="79" customFormat="1" ht="36" customHeight="1" x14ac:dyDescent="0.25">
      <c r="A281" s="79">
        <v>1</v>
      </c>
      <c r="B281" s="80">
        <f>SUBTOTAL(103,$A$16:A281)</f>
        <v>258</v>
      </c>
      <c r="C281" s="77" t="s">
        <v>603</v>
      </c>
      <c r="D281" s="233">
        <v>1978</v>
      </c>
      <c r="E281" s="233"/>
      <c r="F281" s="233" t="s">
        <v>256</v>
      </c>
      <c r="G281" s="233">
        <v>3</v>
      </c>
      <c r="H281" s="233" t="s">
        <v>290</v>
      </c>
      <c r="I281" s="78">
        <v>1569.6</v>
      </c>
      <c r="J281" s="78">
        <v>1094.4000000000001</v>
      </c>
      <c r="K281" s="78">
        <v>1094.4000000000001</v>
      </c>
      <c r="L281" s="239">
        <v>54</v>
      </c>
      <c r="M281" s="233" t="s">
        <v>254</v>
      </c>
      <c r="N281" s="233" t="s">
        <v>258</v>
      </c>
      <c r="O281" s="236" t="s">
        <v>936</v>
      </c>
      <c r="P281" s="78">
        <v>1162332.27</v>
      </c>
      <c r="Q281" s="78">
        <v>0</v>
      </c>
      <c r="R281" s="78">
        <v>0</v>
      </c>
      <c r="S281" s="78">
        <v>0</v>
      </c>
      <c r="T281" s="78">
        <f>P281-R281-S281</f>
        <v>1162332.27</v>
      </c>
      <c r="U281" s="78">
        <f t="shared" si="15"/>
        <v>740.52769495412849</v>
      </c>
      <c r="V281" s="78">
        <v>3707.39</v>
      </c>
    </row>
    <row r="282" spans="1:22" s="79" customFormat="1" ht="36" customHeight="1" x14ac:dyDescent="0.25">
      <c r="A282" s="79">
        <v>1</v>
      </c>
      <c r="B282" s="80">
        <f>SUBTOTAL(103,$A$16:A282)</f>
        <v>259</v>
      </c>
      <c r="C282" s="77" t="s">
        <v>1123</v>
      </c>
      <c r="D282" s="233">
        <v>1968</v>
      </c>
      <c r="E282" s="233"/>
      <c r="F282" s="233" t="s">
        <v>256</v>
      </c>
      <c r="G282" s="233">
        <v>5</v>
      </c>
      <c r="H282" s="233" t="s">
        <v>337</v>
      </c>
      <c r="I282" s="78">
        <v>3769.94</v>
      </c>
      <c r="J282" s="78">
        <v>2873.14</v>
      </c>
      <c r="K282" s="78">
        <v>2873.14</v>
      </c>
      <c r="L282" s="239">
        <v>116</v>
      </c>
      <c r="M282" s="233" t="s">
        <v>254</v>
      </c>
      <c r="N282" s="233" t="s">
        <v>258</v>
      </c>
      <c r="O282" s="236" t="s">
        <v>1246</v>
      </c>
      <c r="P282" s="78">
        <v>3164041.96</v>
      </c>
      <c r="Q282" s="78">
        <v>0</v>
      </c>
      <c r="R282" s="78">
        <v>0</v>
      </c>
      <c r="S282" s="78">
        <v>0</v>
      </c>
      <c r="T282" s="78">
        <f>P282-R282-S282</f>
        <v>3164041.96</v>
      </c>
      <c r="U282" s="78">
        <f t="shared" si="15"/>
        <v>839.28178167291787</v>
      </c>
      <c r="V282" s="78">
        <v>1867.0497472108311</v>
      </c>
    </row>
    <row r="283" spans="1:22" s="79" customFormat="1" ht="36" customHeight="1" x14ac:dyDescent="0.25">
      <c r="A283" s="79">
        <v>1</v>
      </c>
      <c r="B283" s="80">
        <f>SUBTOTAL(103,$A$16:A283)</f>
        <v>260</v>
      </c>
      <c r="C283" s="77" t="s">
        <v>1115</v>
      </c>
      <c r="D283" s="233">
        <v>1990</v>
      </c>
      <c r="E283" s="233"/>
      <c r="F283" s="233" t="s">
        <v>256</v>
      </c>
      <c r="G283" s="233">
        <v>5</v>
      </c>
      <c r="H283" s="233" t="s">
        <v>355</v>
      </c>
      <c r="I283" s="78">
        <v>5335.41</v>
      </c>
      <c r="J283" s="78">
        <v>4025.81</v>
      </c>
      <c r="K283" s="78">
        <v>4025.81</v>
      </c>
      <c r="L283" s="239">
        <v>211</v>
      </c>
      <c r="M283" s="233" t="s">
        <v>254</v>
      </c>
      <c r="N283" s="233" t="s">
        <v>258</v>
      </c>
      <c r="O283" s="236" t="s">
        <v>1238</v>
      </c>
      <c r="P283" s="78">
        <v>3059988.56</v>
      </c>
      <c r="Q283" s="78">
        <v>0</v>
      </c>
      <c r="R283" s="78">
        <v>0</v>
      </c>
      <c r="S283" s="78">
        <v>0</v>
      </c>
      <c r="T283" s="78">
        <f>P283-R283-S283</f>
        <v>3059988.56</v>
      </c>
      <c r="U283" s="78">
        <f t="shared" si="15"/>
        <v>573.52453888267257</v>
      </c>
      <c r="V283" s="78">
        <v>1868.072423600061</v>
      </c>
    </row>
    <row r="284" spans="1:22" s="79" customFormat="1" ht="36" customHeight="1" x14ac:dyDescent="0.25">
      <c r="B284" s="77" t="s">
        <v>1198</v>
      </c>
      <c r="C284" s="77"/>
      <c r="D284" s="233" t="s">
        <v>835</v>
      </c>
      <c r="E284" s="233" t="s">
        <v>835</v>
      </c>
      <c r="F284" s="233" t="s">
        <v>835</v>
      </c>
      <c r="G284" s="233" t="s">
        <v>835</v>
      </c>
      <c r="H284" s="233" t="s">
        <v>835</v>
      </c>
      <c r="I284" s="234">
        <f>I285</f>
        <v>762</v>
      </c>
      <c r="J284" s="234">
        <f>J285</f>
        <v>540</v>
      </c>
      <c r="K284" s="234">
        <f>K285</f>
        <v>540</v>
      </c>
      <c r="L284" s="235">
        <f>L285</f>
        <v>42</v>
      </c>
      <c r="M284" s="233" t="s">
        <v>835</v>
      </c>
      <c r="N284" s="233" t="s">
        <v>835</v>
      </c>
      <c r="O284" s="236" t="s">
        <v>835</v>
      </c>
      <c r="P284" s="241">
        <v>345276.04000000004</v>
      </c>
      <c r="Q284" s="78">
        <f>Q285</f>
        <v>0</v>
      </c>
      <c r="R284" s="78">
        <f>R285</f>
        <v>0</v>
      </c>
      <c r="S284" s="78">
        <f>S285</f>
        <v>0</v>
      </c>
      <c r="T284" s="78">
        <f>T285</f>
        <v>345276.04000000004</v>
      </c>
      <c r="U284" s="78">
        <f t="shared" si="15"/>
        <v>453.11816272965882</v>
      </c>
      <c r="V284" s="78">
        <f>MAX(V285)</f>
        <v>712.1</v>
      </c>
    </row>
    <row r="285" spans="1:22" s="79" customFormat="1" ht="36" customHeight="1" x14ac:dyDescent="0.25">
      <c r="A285" s="79">
        <v>1</v>
      </c>
      <c r="B285" s="80">
        <f>SUBTOTAL(103,$A$16:A285)</f>
        <v>261</v>
      </c>
      <c r="C285" s="77" t="s">
        <v>1114</v>
      </c>
      <c r="D285" s="233">
        <v>1970</v>
      </c>
      <c r="E285" s="233"/>
      <c r="F285" s="233" t="s">
        <v>256</v>
      </c>
      <c r="G285" s="233">
        <v>2</v>
      </c>
      <c r="H285" s="233" t="s">
        <v>290</v>
      </c>
      <c r="I285" s="78">
        <v>762</v>
      </c>
      <c r="J285" s="78">
        <v>540</v>
      </c>
      <c r="K285" s="78">
        <v>540</v>
      </c>
      <c r="L285" s="239">
        <v>42</v>
      </c>
      <c r="M285" s="233" t="s">
        <v>254</v>
      </c>
      <c r="N285" s="233" t="s">
        <v>271</v>
      </c>
      <c r="O285" s="236" t="s">
        <v>257</v>
      </c>
      <c r="P285" s="78">
        <v>345276.04000000004</v>
      </c>
      <c r="Q285" s="78">
        <v>0</v>
      </c>
      <c r="R285" s="78">
        <v>0</v>
      </c>
      <c r="S285" s="78">
        <v>0</v>
      </c>
      <c r="T285" s="78">
        <f>P285-R285-S285</f>
        <v>345276.04000000004</v>
      </c>
      <c r="U285" s="78">
        <f t="shared" si="15"/>
        <v>453.11816272965882</v>
      </c>
      <c r="V285" s="78">
        <v>712.1</v>
      </c>
    </row>
    <row r="286" spans="1:22" s="79" customFormat="1" ht="36" customHeight="1" x14ac:dyDescent="0.25">
      <c r="B286" s="77" t="s">
        <v>764</v>
      </c>
      <c r="C286" s="240"/>
      <c r="D286" s="233" t="s">
        <v>835</v>
      </c>
      <c r="E286" s="233" t="s">
        <v>835</v>
      </c>
      <c r="F286" s="233" t="s">
        <v>835</v>
      </c>
      <c r="G286" s="233" t="s">
        <v>835</v>
      </c>
      <c r="H286" s="233" t="s">
        <v>835</v>
      </c>
      <c r="I286" s="234">
        <f>SUM(I287:I288)</f>
        <v>2259.1</v>
      </c>
      <c r="J286" s="234">
        <f>SUM(J287:J288)</f>
        <v>2111.5</v>
      </c>
      <c r="K286" s="234">
        <f>SUM(K287:K288)</f>
        <v>2111.5</v>
      </c>
      <c r="L286" s="235">
        <f>SUM(L287:L288)</f>
        <v>104</v>
      </c>
      <c r="M286" s="233" t="s">
        <v>835</v>
      </c>
      <c r="N286" s="233" t="s">
        <v>835</v>
      </c>
      <c r="O286" s="236" t="s">
        <v>835</v>
      </c>
      <c r="P286" s="241">
        <v>5773107.5300000003</v>
      </c>
      <c r="Q286" s="78">
        <f>SUM(Q287:Q288)</f>
        <v>0</v>
      </c>
      <c r="R286" s="78">
        <f>SUM(R287:R288)</f>
        <v>0</v>
      </c>
      <c r="S286" s="78">
        <f>SUM(S287:S288)</f>
        <v>0</v>
      </c>
      <c r="T286" s="78">
        <f>SUM(T287:T288)</f>
        <v>5773107.5300000003</v>
      </c>
      <c r="U286" s="78">
        <f t="shared" si="15"/>
        <v>2555.490031428445</v>
      </c>
      <c r="V286" s="78">
        <f>MAX(V287:V288)</f>
        <v>8318.5878131699847</v>
      </c>
    </row>
    <row r="287" spans="1:22" s="79" customFormat="1" ht="36" customHeight="1" x14ac:dyDescent="0.25">
      <c r="A287" s="79">
        <v>1</v>
      </c>
      <c r="B287" s="80">
        <f>SUBTOTAL(103,$A$16:A287)</f>
        <v>262</v>
      </c>
      <c r="C287" s="77" t="s">
        <v>628</v>
      </c>
      <c r="D287" s="233">
        <v>1982</v>
      </c>
      <c r="E287" s="233"/>
      <c r="F287" s="233" t="s">
        <v>256</v>
      </c>
      <c r="G287" s="233">
        <v>3</v>
      </c>
      <c r="H287" s="233" t="s">
        <v>299</v>
      </c>
      <c r="I287" s="78">
        <v>1997.9</v>
      </c>
      <c r="J287" s="78">
        <v>1878.3</v>
      </c>
      <c r="K287" s="78">
        <v>1878.3</v>
      </c>
      <c r="L287" s="239">
        <v>88</v>
      </c>
      <c r="M287" s="233" t="s">
        <v>254</v>
      </c>
      <c r="N287" s="233" t="s">
        <v>255</v>
      </c>
      <c r="O287" s="236" t="s">
        <v>257</v>
      </c>
      <c r="P287" s="78">
        <v>4843097.09</v>
      </c>
      <c r="Q287" s="78">
        <v>0</v>
      </c>
      <c r="R287" s="78">
        <v>0</v>
      </c>
      <c r="S287" s="78">
        <v>0</v>
      </c>
      <c r="T287" s="78">
        <f>P287-R287-S287</f>
        <v>4843097.09</v>
      </c>
      <c r="U287" s="78">
        <f t="shared" si="15"/>
        <v>2424.0938435357125</v>
      </c>
      <c r="V287" s="78">
        <v>4762.2411932529158</v>
      </c>
    </row>
    <row r="288" spans="1:22" s="79" customFormat="1" ht="36" customHeight="1" x14ac:dyDescent="0.25">
      <c r="A288" s="79">
        <v>1</v>
      </c>
      <c r="B288" s="80">
        <f>SUBTOTAL(103,$A$16:A288)</f>
        <v>263</v>
      </c>
      <c r="C288" s="77" t="s">
        <v>626</v>
      </c>
      <c r="D288" s="233">
        <v>1972</v>
      </c>
      <c r="E288" s="233"/>
      <c r="F288" s="233" t="s">
        <v>256</v>
      </c>
      <c r="G288" s="233">
        <v>2</v>
      </c>
      <c r="H288" s="233" t="s">
        <v>291</v>
      </c>
      <c r="I288" s="78">
        <v>261.2</v>
      </c>
      <c r="J288" s="78">
        <v>233.2</v>
      </c>
      <c r="K288" s="78">
        <v>233.2</v>
      </c>
      <c r="L288" s="239">
        <v>16</v>
      </c>
      <c r="M288" s="233" t="s">
        <v>254</v>
      </c>
      <c r="N288" s="233" t="s">
        <v>255</v>
      </c>
      <c r="O288" s="236" t="s">
        <v>257</v>
      </c>
      <c r="P288" s="78">
        <v>930010.44000000006</v>
      </c>
      <c r="Q288" s="78">
        <v>0</v>
      </c>
      <c r="R288" s="78">
        <v>0</v>
      </c>
      <c r="S288" s="78">
        <v>0</v>
      </c>
      <c r="T288" s="78">
        <f>P288-R288-S288</f>
        <v>930010.44000000006</v>
      </c>
      <c r="U288" s="78">
        <f t="shared" si="15"/>
        <v>3560.530015313936</v>
      </c>
      <c r="V288" s="78">
        <v>8318.5878131699847</v>
      </c>
    </row>
    <row r="289" spans="1:22" s="79" customFormat="1" ht="36" customHeight="1" x14ac:dyDescent="0.25">
      <c r="B289" s="77" t="s">
        <v>765</v>
      </c>
      <c r="C289" s="77"/>
      <c r="D289" s="233" t="s">
        <v>835</v>
      </c>
      <c r="E289" s="233" t="s">
        <v>835</v>
      </c>
      <c r="F289" s="233" t="s">
        <v>835</v>
      </c>
      <c r="G289" s="233" t="s">
        <v>835</v>
      </c>
      <c r="H289" s="233" t="s">
        <v>835</v>
      </c>
      <c r="I289" s="234">
        <f>SUM(I290:I294)</f>
        <v>4271.2</v>
      </c>
      <c r="J289" s="234">
        <f>SUM(J290:J294)</f>
        <v>4205.7</v>
      </c>
      <c r="K289" s="234">
        <f>SUM(K290:K294)</f>
        <v>4205.7</v>
      </c>
      <c r="L289" s="235">
        <f>SUM(L290:L294)</f>
        <v>227</v>
      </c>
      <c r="M289" s="233" t="s">
        <v>835</v>
      </c>
      <c r="N289" s="233" t="s">
        <v>835</v>
      </c>
      <c r="O289" s="236" t="s">
        <v>835</v>
      </c>
      <c r="P289" s="241">
        <v>10624337.110000001</v>
      </c>
      <c r="Q289" s="78">
        <f>SUM(Q290:Q294)</f>
        <v>0</v>
      </c>
      <c r="R289" s="78">
        <f>SUM(R290:R294)</f>
        <v>0</v>
      </c>
      <c r="S289" s="78">
        <f>SUM(S290:S294)</f>
        <v>0</v>
      </c>
      <c r="T289" s="78">
        <f>SUM(T290:T294)</f>
        <v>10624337.110000001</v>
      </c>
      <c r="U289" s="78">
        <f t="shared" si="15"/>
        <v>2487.4361092901295</v>
      </c>
      <c r="V289" s="78">
        <f>MAX(V290:V294)</f>
        <v>6782.1717322718569</v>
      </c>
    </row>
    <row r="290" spans="1:22" s="79" customFormat="1" ht="36" customHeight="1" x14ac:dyDescent="0.25">
      <c r="A290" s="79">
        <v>1</v>
      </c>
      <c r="B290" s="80">
        <f>SUBTOTAL(103,$A$16:A290)</f>
        <v>264</v>
      </c>
      <c r="C290" s="77" t="s">
        <v>640</v>
      </c>
      <c r="D290" s="233">
        <v>1968</v>
      </c>
      <c r="E290" s="233">
        <v>2010</v>
      </c>
      <c r="F290" s="233" t="s">
        <v>256</v>
      </c>
      <c r="G290" s="233">
        <v>2</v>
      </c>
      <c r="H290" s="233" t="s">
        <v>290</v>
      </c>
      <c r="I290" s="78">
        <v>794.9</v>
      </c>
      <c r="J290" s="78">
        <v>734.9</v>
      </c>
      <c r="K290" s="78">
        <v>734.9</v>
      </c>
      <c r="L290" s="239">
        <v>32</v>
      </c>
      <c r="M290" s="233" t="s">
        <v>254</v>
      </c>
      <c r="N290" s="233" t="s">
        <v>327</v>
      </c>
      <c r="O290" s="236" t="s">
        <v>666</v>
      </c>
      <c r="P290" s="78">
        <v>2376905.8499999996</v>
      </c>
      <c r="Q290" s="78">
        <v>0</v>
      </c>
      <c r="R290" s="78">
        <v>0</v>
      </c>
      <c r="S290" s="78">
        <v>0</v>
      </c>
      <c r="T290" s="78">
        <f>P290-R290-S290</f>
        <v>2376905.8499999996</v>
      </c>
      <c r="U290" s="78">
        <f t="shared" si="15"/>
        <v>2990.1948043779089</v>
      </c>
      <c r="V290" s="78">
        <v>5895.679765505095</v>
      </c>
    </row>
    <row r="291" spans="1:22" s="79" customFormat="1" ht="36" customHeight="1" x14ac:dyDescent="0.25">
      <c r="A291" s="79">
        <v>1</v>
      </c>
      <c r="B291" s="80">
        <f>SUBTOTAL(103,$A$16:A291)</f>
        <v>265</v>
      </c>
      <c r="C291" s="77" t="s">
        <v>1125</v>
      </c>
      <c r="D291" s="233">
        <v>1963</v>
      </c>
      <c r="E291" s="233"/>
      <c r="F291" s="233" t="s">
        <v>256</v>
      </c>
      <c r="G291" s="233">
        <v>2</v>
      </c>
      <c r="H291" s="233" t="s">
        <v>290</v>
      </c>
      <c r="I291" s="78">
        <v>722.8</v>
      </c>
      <c r="J291" s="78">
        <v>720.3</v>
      </c>
      <c r="K291" s="78">
        <v>720.3</v>
      </c>
      <c r="L291" s="239">
        <v>42</v>
      </c>
      <c r="M291" s="233" t="s">
        <v>254</v>
      </c>
      <c r="N291" s="233" t="s">
        <v>327</v>
      </c>
      <c r="O291" s="236" t="s">
        <v>675</v>
      </c>
      <c r="P291" s="78">
        <v>2513294.65</v>
      </c>
      <c r="Q291" s="78">
        <v>0</v>
      </c>
      <c r="R291" s="78">
        <v>0</v>
      </c>
      <c r="S291" s="78">
        <v>0</v>
      </c>
      <c r="T291" s="78">
        <f>P291-R291-S291</f>
        <v>2513294.65</v>
      </c>
      <c r="U291" s="78">
        <f t="shared" si="15"/>
        <v>3477.1647066961814</v>
      </c>
      <c r="V291" s="78">
        <v>6310.9879579413409</v>
      </c>
    </row>
    <row r="292" spans="1:22" s="79" customFormat="1" ht="36" customHeight="1" x14ac:dyDescent="0.25">
      <c r="A292" s="79">
        <v>1</v>
      </c>
      <c r="B292" s="80">
        <f>SUBTOTAL(103,$A$16:A292)</f>
        <v>266</v>
      </c>
      <c r="C292" s="77" t="s">
        <v>1126</v>
      </c>
      <c r="D292" s="233">
        <v>1973</v>
      </c>
      <c r="E292" s="233"/>
      <c r="F292" s="233" t="s">
        <v>256</v>
      </c>
      <c r="G292" s="233">
        <v>2</v>
      </c>
      <c r="H292" s="233" t="s">
        <v>291</v>
      </c>
      <c r="I292" s="78">
        <v>678.3</v>
      </c>
      <c r="J292" s="78">
        <v>678</v>
      </c>
      <c r="K292" s="78">
        <v>678</v>
      </c>
      <c r="L292" s="239">
        <v>57</v>
      </c>
      <c r="M292" s="233" t="s">
        <v>254</v>
      </c>
      <c r="N292" s="233" t="s">
        <v>327</v>
      </c>
      <c r="O292" s="236" t="s">
        <v>675</v>
      </c>
      <c r="P292" s="78">
        <v>2534240.8800000004</v>
      </c>
      <c r="Q292" s="78">
        <v>0</v>
      </c>
      <c r="R292" s="78">
        <v>0</v>
      </c>
      <c r="S292" s="78">
        <v>0</v>
      </c>
      <c r="T292" s="78">
        <f>P292-R292-S292</f>
        <v>2534240.8800000004</v>
      </c>
      <c r="U292" s="78">
        <f t="shared" si="15"/>
        <v>3736.1652366209651</v>
      </c>
      <c r="V292" s="78">
        <v>6782.1717322718569</v>
      </c>
    </row>
    <row r="293" spans="1:22" s="79" customFormat="1" ht="36" customHeight="1" x14ac:dyDescent="0.25">
      <c r="A293" s="79">
        <v>1</v>
      </c>
      <c r="B293" s="80">
        <f>SUBTOTAL(103,$A$16:A293)</f>
        <v>267</v>
      </c>
      <c r="C293" s="77" t="s">
        <v>1127</v>
      </c>
      <c r="D293" s="233">
        <v>1975</v>
      </c>
      <c r="E293" s="233"/>
      <c r="F293" s="233" t="s">
        <v>256</v>
      </c>
      <c r="G293" s="233">
        <v>2</v>
      </c>
      <c r="H293" s="233" t="s">
        <v>299</v>
      </c>
      <c r="I293" s="78">
        <v>984.2</v>
      </c>
      <c r="J293" s="78">
        <v>981.5</v>
      </c>
      <c r="K293" s="78">
        <v>981.5</v>
      </c>
      <c r="L293" s="239">
        <v>57</v>
      </c>
      <c r="M293" s="233" t="s">
        <v>254</v>
      </c>
      <c r="N293" s="233" t="s">
        <v>327</v>
      </c>
      <c r="O293" s="236" t="s">
        <v>675</v>
      </c>
      <c r="P293" s="78">
        <v>542612.12</v>
      </c>
      <c r="Q293" s="78">
        <v>0</v>
      </c>
      <c r="R293" s="78">
        <v>0</v>
      </c>
      <c r="S293" s="78">
        <v>0</v>
      </c>
      <c r="T293" s="78">
        <f>P293-R293-S293</f>
        <v>542612.12</v>
      </c>
      <c r="U293" s="78">
        <f t="shared" si="15"/>
        <v>551.32302377565532</v>
      </c>
      <c r="V293" s="78">
        <v>3557.73</v>
      </c>
    </row>
    <row r="294" spans="1:22" s="79" customFormat="1" ht="36" customHeight="1" x14ac:dyDescent="0.25">
      <c r="A294" s="79">
        <v>1</v>
      </c>
      <c r="B294" s="80">
        <f>SUBTOTAL(103,$A$16:A294)</f>
        <v>268</v>
      </c>
      <c r="C294" s="77" t="s">
        <v>1128</v>
      </c>
      <c r="D294" s="233">
        <v>1992</v>
      </c>
      <c r="E294" s="233"/>
      <c r="F294" s="233" t="s">
        <v>256</v>
      </c>
      <c r="G294" s="233">
        <v>3</v>
      </c>
      <c r="H294" s="233" t="s">
        <v>290</v>
      </c>
      <c r="I294" s="78">
        <v>1091</v>
      </c>
      <c r="J294" s="78">
        <v>1091</v>
      </c>
      <c r="K294" s="78">
        <v>1091</v>
      </c>
      <c r="L294" s="239">
        <v>39</v>
      </c>
      <c r="M294" s="233" t="s">
        <v>254</v>
      </c>
      <c r="N294" s="233" t="s">
        <v>258</v>
      </c>
      <c r="O294" s="236" t="s">
        <v>1256</v>
      </c>
      <c r="P294" s="78">
        <v>2657283.6100000003</v>
      </c>
      <c r="Q294" s="78">
        <v>0</v>
      </c>
      <c r="R294" s="78">
        <v>0</v>
      </c>
      <c r="S294" s="78">
        <v>0</v>
      </c>
      <c r="T294" s="78">
        <f>P294-R294-S294</f>
        <v>2657283.6100000003</v>
      </c>
      <c r="U294" s="78">
        <f t="shared" si="15"/>
        <v>2435.6403391384056</v>
      </c>
      <c r="V294" s="78">
        <v>2758.6738295142077</v>
      </c>
    </row>
    <row r="295" spans="1:22" s="79" customFormat="1" ht="36" customHeight="1" x14ac:dyDescent="0.25">
      <c r="B295" s="77" t="s">
        <v>766</v>
      </c>
      <c r="C295" s="77"/>
      <c r="D295" s="233" t="s">
        <v>835</v>
      </c>
      <c r="E295" s="233" t="s">
        <v>835</v>
      </c>
      <c r="F295" s="233" t="s">
        <v>835</v>
      </c>
      <c r="G295" s="233" t="s">
        <v>835</v>
      </c>
      <c r="H295" s="233" t="s">
        <v>835</v>
      </c>
      <c r="I295" s="234">
        <f>SUM(I296:I300)</f>
        <v>3135.5000000000005</v>
      </c>
      <c r="J295" s="234">
        <f>SUM(J296:J300)</f>
        <v>2599.5</v>
      </c>
      <c r="K295" s="234">
        <f>SUM(K296:K300)</f>
        <v>2599.5</v>
      </c>
      <c r="L295" s="235">
        <f>SUM(L296:L300)</f>
        <v>130</v>
      </c>
      <c r="M295" s="233" t="s">
        <v>835</v>
      </c>
      <c r="N295" s="233" t="s">
        <v>835</v>
      </c>
      <c r="O295" s="236" t="s">
        <v>835</v>
      </c>
      <c r="P295" s="241">
        <v>4459924</v>
      </c>
      <c r="Q295" s="78">
        <f>SUM(Q296:Q300)</f>
        <v>0</v>
      </c>
      <c r="R295" s="78">
        <f>SUM(R296:R300)</f>
        <v>0</v>
      </c>
      <c r="S295" s="78">
        <f>SUM(S296:S300)</f>
        <v>0</v>
      </c>
      <c r="T295" s="78">
        <f>SUM(T296:T300)</f>
        <v>4459924</v>
      </c>
      <c r="U295" s="78">
        <f t="shared" si="15"/>
        <v>1422.3964280019134</v>
      </c>
      <c r="V295" s="78">
        <f>MAX(V296:V300)</f>
        <v>6928.4554821664469</v>
      </c>
    </row>
    <row r="296" spans="1:22" s="79" customFormat="1" ht="36" customHeight="1" x14ac:dyDescent="0.25">
      <c r="A296" s="79">
        <v>1</v>
      </c>
      <c r="B296" s="80">
        <f>SUBTOTAL(103,$A$16:A296)</f>
        <v>269</v>
      </c>
      <c r="C296" s="77" t="s">
        <v>641</v>
      </c>
      <c r="D296" s="233">
        <v>1962</v>
      </c>
      <c r="E296" s="233"/>
      <c r="F296" s="233" t="s">
        <v>256</v>
      </c>
      <c r="G296" s="233">
        <v>2</v>
      </c>
      <c r="H296" s="233" t="s">
        <v>290</v>
      </c>
      <c r="I296" s="78">
        <v>832.7</v>
      </c>
      <c r="J296" s="78">
        <v>745</v>
      </c>
      <c r="K296" s="78">
        <v>745</v>
      </c>
      <c r="L296" s="239">
        <v>48</v>
      </c>
      <c r="M296" s="233" t="s">
        <v>254</v>
      </c>
      <c r="N296" s="233" t="s">
        <v>255</v>
      </c>
      <c r="O296" s="236" t="s">
        <v>257</v>
      </c>
      <c r="P296" s="78">
        <v>3466608.69</v>
      </c>
      <c r="Q296" s="78">
        <v>0</v>
      </c>
      <c r="R296" s="78">
        <v>0</v>
      </c>
      <c r="S296" s="78">
        <v>0</v>
      </c>
      <c r="T296" s="78">
        <f>P296-R296-S296</f>
        <v>3466608.69</v>
      </c>
      <c r="U296" s="78">
        <f t="shared" si="15"/>
        <v>4163.0943797285936</v>
      </c>
      <c r="V296" s="78">
        <v>6928.4554821664469</v>
      </c>
    </row>
    <row r="297" spans="1:22" s="79" customFormat="1" ht="36" customHeight="1" x14ac:dyDescent="0.25">
      <c r="A297" s="79">
        <v>1</v>
      </c>
      <c r="B297" s="80">
        <f>SUBTOTAL(103,$A$16:A297)</f>
        <v>270</v>
      </c>
      <c r="C297" s="77" t="s">
        <v>634</v>
      </c>
      <c r="D297" s="233">
        <v>1938</v>
      </c>
      <c r="E297" s="233"/>
      <c r="F297" s="233" t="s">
        <v>316</v>
      </c>
      <c r="G297" s="233">
        <v>2</v>
      </c>
      <c r="H297" s="233" t="s">
        <v>291</v>
      </c>
      <c r="I297" s="78">
        <v>244.9</v>
      </c>
      <c r="J297" s="78">
        <v>223.9</v>
      </c>
      <c r="K297" s="78">
        <v>223.9</v>
      </c>
      <c r="L297" s="239">
        <v>15</v>
      </c>
      <c r="M297" s="233" t="s">
        <v>254</v>
      </c>
      <c r="N297" s="233" t="s">
        <v>255</v>
      </c>
      <c r="O297" s="236" t="s">
        <v>257</v>
      </c>
      <c r="P297" s="78">
        <v>34358.44</v>
      </c>
      <c r="Q297" s="78">
        <v>0</v>
      </c>
      <c r="R297" s="78">
        <v>0</v>
      </c>
      <c r="S297" s="78">
        <v>0</v>
      </c>
      <c r="T297" s="78">
        <f>P297-R297-S297</f>
        <v>34358.44</v>
      </c>
      <c r="U297" s="78">
        <f t="shared" si="15"/>
        <v>140.29579420171498</v>
      </c>
      <c r="V297" s="78">
        <v>140.29579420171498</v>
      </c>
    </row>
    <row r="298" spans="1:22" s="79" customFormat="1" ht="36" customHeight="1" x14ac:dyDescent="0.25">
      <c r="A298" s="79">
        <v>1</v>
      </c>
      <c r="B298" s="80">
        <f>SUBTOTAL(103,$A$16:A298)</f>
        <v>271</v>
      </c>
      <c r="C298" s="77" t="s">
        <v>633</v>
      </c>
      <c r="D298" s="233">
        <v>1959</v>
      </c>
      <c r="E298" s="233"/>
      <c r="F298" s="233" t="s">
        <v>256</v>
      </c>
      <c r="G298" s="233">
        <v>3</v>
      </c>
      <c r="H298" s="233" t="s">
        <v>291</v>
      </c>
      <c r="I298" s="78">
        <v>989.5</v>
      </c>
      <c r="J298" s="78">
        <v>562.20000000000005</v>
      </c>
      <c r="K298" s="78">
        <v>562.20000000000005</v>
      </c>
      <c r="L298" s="239">
        <v>35</v>
      </c>
      <c r="M298" s="233" t="s">
        <v>254</v>
      </c>
      <c r="N298" s="233" t="s">
        <v>255</v>
      </c>
      <c r="O298" s="236" t="s">
        <v>257</v>
      </c>
      <c r="P298" s="78">
        <v>576667.37</v>
      </c>
      <c r="Q298" s="78">
        <v>0</v>
      </c>
      <c r="R298" s="78">
        <v>0</v>
      </c>
      <c r="S298" s="78">
        <v>0</v>
      </c>
      <c r="T298" s="78">
        <f>P298-R298-S298</f>
        <v>576667.37</v>
      </c>
      <c r="U298" s="78">
        <f t="shared" si="15"/>
        <v>582.78662961091459</v>
      </c>
      <c r="V298" s="78">
        <v>810.46</v>
      </c>
    </row>
    <row r="299" spans="1:22" s="79" customFormat="1" ht="36" customHeight="1" x14ac:dyDescent="0.25">
      <c r="A299" s="79">
        <v>1</v>
      </c>
      <c r="B299" s="80">
        <f>SUBTOTAL(103,$A$16:A299)</f>
        <v>272</v>
      </c>
      <c r="C299" s="77" t="s">
        <v>1133</v>
      </c>
      <c r="D299" s="233">
        <v>1971</v>
      </c>
      <c r="E299" s="233"/>
      <c r="F299" s="233" t="s">
        <v>256</v>
      </c>
      <c r="G299" s="233">
        <v>2</v>
      </c>
      <c r="H299" s="233" t="s">
        <v>290</v>
      </c>
      <c r="I299" s="78">
        <v>769.9</v>
      </c>
      <c r="J299" s="78">
        <v>769.9</v>
      </c>
      <c r="K299" s="78">
        <v>769.9</v>
      </c>
      <c r="L299" s="239">
        <v>21</v>
      </c>
      <c r="M299" s="233" t="s">
        <v>254</v>
      </c>
      <c r="N299" s="233" t="s">
        <v>258</v>
      </c>
      <c r="O299" s="236" t="s">
        <v>1255</v>
      </c>
      <c r="P299" s="78">
        <v>248507.08000000002</v>
      </c>
      <c r="Q299" s="78">
        <v>0</v>
      </c>
      <c r="R299" s="78">
        <v>0</v>
      </c>
      <c r="S299" s="78">
        <v>0</v>
      </c>
      <c r="T299" s="78">
        <f>P299-R299-S299</f>
        <v>248507.08000000002</v>
      </c>
      <c r="U299" s="78">
        <f t="shared" si="15"/>
        <v>322.778386803481</v>
      </c>
      <c r="V299" s="78">
        <v>322.778386803481</v>
      </c>
    </row>
    <row r="300" spans="1:22" s="79" customFormat="1" ht="36" customHeight="1" x14ac:dyDescent="0.25">
      <c r="A300" s="79">
        <v>1</v>
      </c>
      <c r="B300" s="80">
        <f>SUBTOTAL(103,$A$16:A300)</f>
        <v>273</v>
      </c>
      <c r="C300" s="77" t="s">
        <v>1134</v>
      </c>
      <c r="D300" s="233" t="s">
        <v>352</v>
      </c>
      <c r="E300" s="233"/>
      <c r="F300" s="233" t="s">
        <v>256</v>
      </c>
      <c r="G300" s="233">
        <v>2</v>
      </c>
      <c r="H300" s="233" t="s">
        <v>291</v>
      </c>
      <c r="I300" s="78">
        <v>298.5</v>
      </c>
      <c r="J300" s="78">
        <v>298.5</v>
      </c>
      <c r="K300" s="78">
        <v>298.5</v>
      </c>
      <c r="L300" s="239">
        <v>11</v>
      </c>
      <c r="M300" s="233" t="s">
        <v>254</v>
      </c>
      <c r="N300" s="233" t="s">
        <v>258</v>
      </c>
      <c r="O300" s="236" t="s">
        <v>942</v>
      </c>
      <c r="P300" s="78">
        <v>133782.41999999998</v>
      </c>
      <c r="Q300" s="78">
        <v>0</v>
      </c>
      <c r="R300" s="78">
        <v>0</v>
      </c>
      <c r="S300" s="78">
        <v>0</v>
      </c>
      <c r="T300" s="78">
        <f>P300-R300-S300</f>
        <v>133782.41999999998</v>
      </c>
      <c r="U300" s="78">
        <f t="shared" si="15"/>
        <v>448.18231155778886</v>
      </c>
      <c r="V300" s="78">
        <v>995.44</v>
      </c>
    </row>
    <row r="301" spans="1:22" s="79" customFormat="1" ht="36" customHeight="1" x14ac:dyDescent="0.25">
      <c r="B301" s="77" t="s">
        <v>767</v>
      </c>
      <c r="C301" s="77"/>
      <c r="D301" s="233" t="s">
        <v>835</v>
      </c>
      <c r="E301" s="233" t="s">
        <v>835</v>
      </c>
      <c r="F301" s="233" t="s">
        <v>835</v>
      </c>
      <c r="G301" s="233" t="s">
        <v>835</v>
      </c>
      <c r="H301" s="233" t="s">
        <v>835</v>
      </c>
      <c r="I301" s="234">
        <f>I302</f>
        <v>3504.3</v>
      </c>
      <c r="J301" s="234">
        <f>J302</f>
        <v>3162.4</v>
      </c>
      <c r="K301" s="234">
        <f>K302</f>
        <v>3162.4</v>
      </c>
      <c r="L301" s="235">
        <f>L302</f>
        <v>178</v>
      </c>
      <c r="M301" s="233" t="s">
        <v>835</v>
      </c>
      <c r="N301" s="233" t="s">
        <v>835</v>
      </c>
      <c r="O301" s="236" t="s">
        <v>835</v>
      </c>
      <c r="P301" s="241">
        <v>1997229.1400000001</v>
      </c>
      <c r="Q301" s="78">
        <f>Q302</f>
        <v>0</v>
      </c>
      <c r="R301" s="78">
        <f>R302</f>
        <v>0</v>
      </c>
      <c r="S301" s="78">
        <f>S302</f>
        <v>0</v>
      </c>
      <c r="T301" s="78">
        <f>T302</f>
        <v>1997229.1400000001</v>
      </c>
      <c r="U301" s="78">
        <f t="shared" si="15"/>
        <v>569.93668921039864</v>
      </c>
      <c r="V301" s="78">
        <f>MAX(V302)</f>
        <v>1974.4310838683903</v>
      </c>
    </row>
    <row r="302" spans="1:22" s="79" customFormat="1" ht="36" customHeight="1" x14ac:dyDescent="0.25">
      <c r="A302" s="79">
        <v>1</v>
      </c>
      <c r="B302" s="80">
        <f>SUBTOTAL(103,$A$16:A302)</f>
        <v>274</v>
      </c>
      <c r="C302" s="77" t="s">
        <v>631</v>
      </c>
      <c r="D302" s="233">
        <v>1984</v>
      </c>
      <c r="E302" s="233"/>
      <c r="F302" s="233" t="s">
        <v>322</v>
      </c>
      <c r="G302" s="233">
        <v>5</v>
      </c>
      <c r="H302" s="233" t="s">
        <v>295</v>
      </c>
      <c r="I302" s="78">
        <v>3504.3</v>
      </c>
      <c r="J302" s="78">
        <v>3162.4</v>
      </c>
      <c r="K302" s="78">
        <v>3162.4</v>
      </c>
      <c r="L302" s="239">
        <v>178</v>
      </c>
      <c r="M302" s="233" t="s">
        <v>254</v>
      </c>
      <c r="N302" s="233" t="s">
        <v>258</v>
      </c>
      <c r="O302" s="236" t="s">
        <v>942</v>
      </c>
      <c r="P302" s="78">
        <v>1997229.1400000001</v>
      </c>
      <c r="Q302" s="78">
        <v>0</v>
      </c>
      <c r="R302" s="78">
        <v>0</v>
      </c>
      <c r="S302" s="78">
        <v>0</v>
      </c>
      <c r="T302" s="78">
        <f>P302-R302-S302</f>
        <v>1997229.1400000001</v>
      </c>
      <c r="U302" s="78">
        <f t="shared" si="15"/>
        <v>569.93668921039864</v>
      </c>
      <c r="V302" s="78">
        <v>1974.4310838683903</v>
      </c>
    </row>
    <row r="303" spans="1:22" s="79" customFormat="1" ht="36" customHeight="1" x14ac:dyDescent="0.25">
      <c r="B303" s="77" t="s">
        <v>768</v>
      </c>
      <c r="C303" s="77"/>
      <c r="D303" s="233" t="s">
        <v>835</v>
      </c>
      <c r="E303" s="233" t="s">
        <v>835</v>
      </c>
      <c r="F303" s="233" t="s">
        <v>835</v>
      </c>
      <c r="G303" s="233" t="s">
        <v>835</v>
      </c>
      <c r="H303" s="233" t="s">
        <v>835</v>
      </c>
      <c r="I303" s="234">
        <f>SUM(I304:I318)</f>
        <v>37828.900000000009</v>
      </c>
      <c r="J303" s="234">
        <f>SUM(J304:J318)</f>
        <v>30630.800000000003</v>
      </c>
      <c r="K303" s="234">
        <f>SUM(K304:K318)</f>
        <v>30630.800000000003</v>
      </c>
      <c r="L303" s="235">
        <f>SUM(L304:L318)</f>
        <v>1989</v>
      </c>
      <c r="M303" s="233" t="s">
        <v>835</v>
      </c>
      <c r="N303" s="233" t="s">
        <v>835</v>
      </c>
      <c r="O303" s="236" t="s">
        <v>835</v>
      </c>
      <c r="P303" s="237">
        <v>29976052.369999997</v>
      </c>
      <c r="Q303" s="234">
        <f>SUM(Q304:Q318)</f>
        <v>0</v>
      </c>
      <c r="R303" s="234">
        <f>SUM(R304:R318)</f>
        <v>0</v>
      </c>
      <c r="S303" s="234">
        <f>SUM(S304:S318)</f>
        <v>0</v>
      </c>
      <c r="T303" s="234">
        <f>SUM(T304:T318)</f>
        <v>29976052.369999997</v>
      </c>
      <c r="U303" s="78">
        <f t="shared" si="15"/>
        <v>792.41142010473447</v>
      </c>
      <c r="V303" s="78">
        <f>MAX(V304:V318)</f>
        <v>18123.423480825961</v>
      </c>
    </row>
    <row r="304" spans="1:22" s="79" customFormat="1" ht="36" customHeight="1" x14ac:dyDescent="0.25">
      <c r="A304" s="79">
        <v>1</v>
      </c>
      <c r="B304" s="80">
        <f>SUBTOTAL(103,$A$16:A304)</f>
        <v>275</v>
      </c>
      <c r="C304" s="77" t="s">
        <v>635</v>
      </c>
      <c r="D304" s="233">
        <v>1981</v>
      </c>
      <c r="E304" s="233"/>
      <c r="F304" s="233" t="s">
        <v>256</v>
      </c>
      <c r="G304" s="233">
        <v>2</v>
      </c>
      <c r="H304" s="233">
        <v>3</v>
      </c>
      <c r="I304" s="78">
        <v>975</v>
      </c>
      <c r="J304" s="78">
        <v>975</v>
      </c>
      <c r="K304" s="78">
        <v>975</v>
      </c>
      <c r="L304" s="239">
        <v>47</v>
      </c>
      <c r="M304" s="233" t="s">
        <v>254</v>
      </c>
      <c r="N304" s="233" t="s">
        <v>255</v>
      </c>
      <c r="O304" s="236" t="s">
        <v>257</v>
      </c>
      <c r="P304" s="78">
        <v>95474.18</v>
      </c>
      <c r="Q304" s="78">
        <v>0</v>
      </c>
      <c r="R304" s="78">
        <v>0</v>
      </c>
      <c r="S304" s="78">
        <v>0</v>
      </c>
      <c r="T304" s="78">
        <f t="shared" ref="T304:T316" si="16">P304-R304-S304</f>
        <v>95474.18</v>
      </c>
      <c r="U304" s="78">
        <f t="shared" si="15"/>
        <v>97.922235897435897</v>
      </c>
      <c r="V304" s="78">
        <v>97.922235897435897</v>
      </c>
    </row>
    <row r="305" spans="1:22" s="79" customFormat="1" ht="36" customHeight="1" x14ac:dyDescent="0.25">
      <c r="A305" s="79">
        <v>1</v>
      </c>
      <c r="B305" s="80">
        <f>SUBTOTAL(103,$A$16:A305)</f>
        <v>276</v>
      </c>
      <c r="C305" s="77" t="s">
        <v>621</v>
      </c>
      <c r="D305" s="233">
        <v>1976</v>
      </c>
      <c r="E305" s="233"/>
      <c r="F305" s="233" t="s">
        <v>256</v>
      </c>
      <c r="G305" s="233">
        <v>5</v>
      </c>
      <c r="H305" s="233" t="s">
        <v>290</v>
      </c>
      <c r="I305" s="78">
        <v>3568.3</v>
      </c>
      <c r="J305" s="78">
        <v>1361.4</v>
      </c>
      <c r="K305" s="78">
        <v>1361.4</v>
      </c>
      <c r="L305" s="239">
        <v>30</v>
      </c>
      <c r="M305" s="233" t="s">
        <v>254</v>
      </c>
      <c r="N305" s="233" t="s">
        <v>258</v>
      </c>
      <c r="O305" s="236" t="s">
        <v>667</v>
      </c>
      <c r="P305" s="78">
        <v>6906704.6500000004</v>
      </c>
      <c r="Q305" s="78">
        <v>0</v>
      </c>
      <c r="R305" s="78">
        <v>0</v>
      </c>
      <c r="S305" s="78">
        <v>0</v>
      </c>
      <c r="T305" s="78">
        <f t="shared" si="16"/>
        <v>6906704.6500000004</v>
      </c>
      <c r="U305" s="78">
        <f t="shared" si="15"/>
        <v>1935.5728638287139</v>
      </c>
      <c r="V305" s="78">
        <v>3148.6899644088221</v>
      </c>
    </row>
    <row r="306" spans="1:22" s="79" customFormat="1" ht="36" customHeight="1" x14ac:dyDescent="0.25">
      <c r="A306" s="79">
        <v>1</v>
      </c>
      <c r="B306" s="80">
        <f>SUBTOTAL(103,$A$16:A306)</f>
        <v>277</v>
      </c>
      <c r="C306" s="77" t="s">
        <v>616</v>
      </c>
      <c r="D306" s="233">
        <v>1985</v>
      </c>
      <c r="E306" s="233"/>
      <c r="F306" s="233" t="s">
        <v>256</v>
      </c>
      <c r="G306" s="233">
        <v>9</v>
      </c>
      <c r="H306" s="233" t="s">
        <v>291</v>
      </c>
      <c r="I306" s="78">
        <v>4900.3</v>
      </c>
      <c r="J306" s="78">
        <v>4900.3</v>
      </c>
      <c r="K306" s="78">
        <v>4900.3</v>
      </c>
      <c r="L306" s="239">
        <v>361</v>
      </c>
      <c r="M306" s="233" t="s">
        <v>254</v>
      </c>
      <c r="N306" s="233" t="s">
        <v>258</v>
      </c>
      <c r="O306" s="236" t="s">
        <v>667</v>
      </c>
      <c r="P306" s="78">
        <v>1582418.76</v>
      </c>
      <c r="Q306" s="78">
        <v>0</v>
      </c>
      <c r="R306" s="78">
        <v>0</v>
      </c>
      <c r="S306" s="78">
        <v>0</v>
      </c>
      <c r="T306" s="78">
        <f t="shared" si="16"/>
        <v>1582418.76</v>
      </c>
      <c r="U306" s="78">
        <f t="shared" si="15"/>
        <v>322.92283329592067</v>
      </c>
      <c r="V306" s="78">
        <v>1348.2103005938413</v>
      </c>
    </row>
    <row r="307" spans="1:22" s="79" customFormat="1" ht="36" customHeight="1" x14ac:dyDescent="0.25">
      <c r="A307" s="79">
        <v>1</v>
      </c>
      <c r="B307" s="80">
        <f>SUBTOTAL(103,$A$16:A307)</f>
        <v>278</v>
      </c>
      <c r="C307" s="77" t="s">
        <v>617</v>
      </c>
      <c r="D307" s="233">
        <v>1992</v>
      </c>
      <c r="E307" s="233"/>
      <c r="F307" s="233" t="s">
        <v>256</v>
      </c>
      <c r="G307" s="233">
        <v>9</v>
      </c>
      <c r="H307" s="233" t="s">
        <v>291</v>
      </c>
      <c r="I307" s="78">
        <v>4865.3</v>
      </c>
      <c r="J307" s="78">
        <v>4865.3</v>
      </c>
      <c r="K307" s="78">
        <v>4865.3</v>
      </c>
      <c r="L307" s="239">
        <v>369</v>
      </c>
      <c r="M307" s="233" t="s">
        <v>254</v>
      </c>
      <c r="N307" s="233" t="s">
        <v>258</v>
      </c>
      <c r="O307" s="236" t="s">
        <v>667</v>
      </c>
      <c r="P307" s="78">
        <v>1494720.17</v>
      </c>
      <c r="Q307" s="78">
        <v>0</v>
      </c>
      <c r="R307" s="78">
        <v>0</v>
      </c>
      <c r="S307" s="78">
        <v>0</v>
      </c>
      <c r="T307" s="78">
        <f t="shared" si="16"/>
        <v>1494720.17</v>
      </c>
      <c r="U307" s="78">
        <f t="shared" si="15"/>
        <v>307.22055577251143</v>
      </c>
      <c r="V307" s="78">
        <v>1442.5836400633057</v>
      </c>
    </row>
    <row r="308" spans="1:22" s="79" customFormat="1" ht="36" customHeight="1" x14ac:dyDescent="0.25">
      <c r="A308" s="79">
        <v>1</v>
      </c>
      <c r="B308" s="80">
        <f>SUBTOTAL(103,$A$16:A308)</f>
        <v>279</v>
      </c>
      <c r="C308" s="77" t="s">
        <v>618</v>
      </c>
      <c r="D308" s="233">
        <v>1982</v>
      </c>
      <c r="E308" s="233"/>
      <c r="F308" s="233" t="s">
        <v>256</v>
      </c>
      <c r="G308" s="233">
        <v>9</v>
      </c>
      <c r="H308" s="233" t="s">
        <v>291</v>
      </c>
      <c r="I308" s="78">
        <v>4912.2</v>
      </c>
      <c r="J308" s="78">
        <v>2461.6999999999998</v>
      </c>
      <c r="K308" s="78">
        <v>2461.6999999999998</v>
      </c>
      <c r="L308" s="239">
        <v>369</v>
      </c>
      <c r="M308" s="233" t="s">
        <v>254</v>
      </c>
      <c r="N308" s="233" t="s">
        <v>258</v>
      </c>
      <c r="O308" s="236" t="s">
        <v>667</v>
      </c>
      <c r="P308" s="78">
        <v>1534580.28</v>
      </c>
      <c r="Q308" s="78">
        <v>0</v>
      </c>
      <c r="R308" s="78">
        <v>0</v>
      </c>
      <c r="S308" s="78">
        <v>0</v>
      </c>
      <c r="T308" s="78">
        <f t="shared" si="16"/>
        <v>1534580.28</v>
      </c>
      <c r="U308" s="78">
        <f t="shared" si="15"/>
        <v>312.40183217295714</v>
      </c>
      <c r="V308" s="78">
        <v>1379.7976678474006</v>
      </c>
    </row>
    <row r="309" spans="1:22" s="79" customFormat="1" ht="36" customHeight="1" x14ac:dyDescent="0.25">
      <c r="A309" s="79">
        <v>1</v>
      </c>
      <c r="B309" s="80">
        <f>SUBTOTAL(103,$A$16:A309)</f>
        <v>280</v>
      </c>
      <c r="C309" s="77" t="s">
        <v>611</v>
      </c>
      <c r="D309" s="233">
        <v>1994</v>
      </c>
      <c r="E309" s="233"/>
      <c r="F309" s="233" t="s">
        <v>256</v>
      </c>
      <c r="G309" s="233">
        <v>9</v>
      </c>
      <c r="H309" s="233">
        <v>1</v>
      </c>
      <c r="I309" s="78">
        <v>4455.3</v>
      </c>
      <c r="J309" s="78">
        <v>2847.7</v>
      </c>
      <c r="K309" s="78">
        <v>2847.7</v>
      </c>
      <c r="L309" s="239">
        <v>211</v>
      </c>
      <c r="M309" s="233" t="s">
        <v>254</v>
      </c>
      <c r="N309" s="233" t="s">
        <v>327</v>
      </c>
      <c r="O309" s="236" t="s">
        <v>668</v>
      </c>
      <c r="P309" s="78">
        <v>3346564.4</v>
      </c>
      <c r="Q309" s="78">
        <v>0</v>
      </c>
      <c r="R309" s="78">
        <v>0</v>
      </c>
      <c r="S309" s="78">
        <v>0</v>
      </c>
      <c r="T309" s="78">
        <f t="shared" si="16"/>
        <v>3346564.4</v>
      </c>
      <c r="U309" s="78">
        <f t="shared" si="15"/>
        <v>751.14232487150127</v>
      </c>
      <c r="V309" s="78">
        <v>1103.3151527394339</v>
      </c>
    </row>
    <row r="310" spans="1:22" s="79" customFormat="1" ht="36" customHeight="1" x14ac:dyDescent="0.25">
      <c r="A310" s="79">
        <v>1</v>
      </c>
      <c r="B310" s="80">
        <f>SUBTOTAL(103,$A$16:A310)</f>
        <v>281</v>
      </c>
      <c r="C310" s="77" t="s">
        <v>623</v>
      </c>
      <c r="D310" s="233">
        <v>1917</v>
      </c>
      <c r="E310" s="233"/>
      <c r="F310" s="233" t="s">
        <v>256</v>
      </c>
      <c r="G310" s="233">
        <v>2</v>
      </c>
      <c r="H310" s="233" t="s">
        <v>290</v>
      </c>
      <c r="I310" s="78">
        <v>722.2</v>
      </c>
      <c r="J310" s="78">
        <v>514</v>
      </c>
      <c r="K310" s="78">
        <v>514</v>
      </c>
      <c r="L310" s="239">
        <v>21</v>
      </c>
      <c r="M310" s="233" t="s">
        <v>254</v>
      </c>
      <c r="N310" s="233" t="s">
        <v>255</v>
      </c>
      <c r="O310" s="236" t="s">
        <v>257</v>
      </c>
      <c r="P310" s="78">
        <v>101554.75</v>
      </c>
      <c r="Q310" s="78">
        <v>0</v>
      </c>
      <c r="R310" s="78">
        <v>0</v>
      </c>
      <c r="S310" s="78">
        <v>0</v>
      </c>
      <c r="T310" s="78">
        <f t="shared" si="16"/>
        <v>101554.75</v>
      </c>
      <c r="U310" s="78">
        <f t="shared" si="15"/>
        <v>140.61859595679866</v>
      </c>
      <c r="V310" s="78">
        <v>140.61859595679866</v>
      </c>
    </row>
    <row r="311" spans="1:22" s="79" customFormat="1" ht="36" customHeight="1" x14ac:dyDescent="0.25">
      <c r="A311" s="79">
        <v>1</v>
      </c>
      <c r="B311" s="80">
        <f>SUBTOTAL(103,$A$16:A311)</f>
        <v>282</v>
      </c>
      <c r="C311" s="77" t="s">
        <v>612</v>
      </c>
      <c r="D311" s="233">
        <v>1963</v>
      </c>
      <c r="E311" s="233"/>
      <c r="F311" s="233" t="s">
        <v>256</v>
      </c>
      <c r="G311" s="233">
        <v>3</v>
      </c>
      <c r="H311" s="233" t="s">
        <v>290</v>
      </c>
      <c r="I311" s="78">
        <v>1703.8</v>
      </c>
      <c r="J311" s="78">
        <v>1339.8</v>
      </c>
      <c r="K311" s="78">
        <v>1339.8</v>
      </c>
      <c r="L311" s="239">
        <v>62</v>
      </c>
      <c r="M311" s="233" t="s">
        <v>254</v>
      </c>
      <c r="N311" s="233" t="s">
        <v>258</v>
      </c>
      <c r="O311" s="236" t="s">
        <v>669</v>
      </c>
      <c r="P311" s="78">
        <v>104089.37</v>
      </c>
      <c r="Q311" s="78">
        <v>0</v>
      </c>
      <c r="R311" s="78">
        <v>0</v>
      </c>
      <c r="S311" s="78">
        <v>0</v>
      </c>
      <c r="T311" s="78">
        <f t="shared" si="16"/>
        <v>104089.37</v>
      </c>
      <c r="U311" s="78">
        <f t="shared" si="15"/>
        <v>61.092481511914542</v>
      </c>
      <c r="V311" s="78">
        <v>61.092481511914542</v>
      </c>
    </row>
    <row r="312" spans="1:22" s="79" customFormat="1" ht="36" customHeight="1" x14ac:dyDescent="0.25">
      <c r="A312" s="79">
        <v>1</v>
      </c>
      <c r="B312" s="80">
        <f>SUBTOTAL(103,$A$16:A312)</f>
        <v>283</v>
      </c>
      <c r="C312" s="77" t="s">
        <v>1124</v>
      </c>
      <c r="D312" s="233">
        <v>1900</v>
      </c>
      <c r="E312" s="233"/>
      <c r="F312" s="233" t="s">
        <v>256</v>
      </c>
      <c r="G312" s="233">
        <v>2</v>
      </c>
      <c r="H312" s="233" t="s">
        <v>2124</v>
      </c>
      <c r="I312" s="78">
        <v>520.9</v>
      </c>
      <c r="J312" s="78">
        <v>520.9</v>
      </c>
      <c r="K312" s="78">
        <v>520.9</v>
      </c>
      <c r="L312" s="239">
        <v>26</v>
      </c>
      <c r="M312" s="233" t="s">
        <v>254</v>
      </c>
      <c r="N312" s="233" t="s">
        <v>255</v>
      </c>
      <c r="O312" s="236" t="s">
        <v>257</v>
      </c>
      <c r="P312" s="78">
        <v>4230013.1300000008</v>
      </c>
      <c r="Q312" s="78">
        <v>0</v>
      </c>
      <c r="R312" s="78">
        <v>0</v>
      </c>
      <c r="S312" s="78">
        <v>0</v>
      </c>
      <c r="T312" s="78">
        <f t="shared" si="16"/>
        <v>4230013.1300000008</v>
      </c>
      <c r="U312" s="78">
        <f t="shared" si="15"/>
        <v>8120.5857746208503</v>
      </c>
      <c r="V312" s="78">
        <v>16322.514186984068</v>
      </c>
    </row>
    <row r="313" spans="1:22" s="79" customFormat="1" ht="36" customHeight="1" x14ac:dyDescent="0.25">
      <c r="A313" s="79">
        <v>1</v>
      </c>
      <c r="B313" s="80">
        <f>SUBTOTAL(103,$A$16:A313)</f>
        <v>284</v>
      </c>
      <c r="C313" s="77" t="s">
        <v>1129</v>
      </c>
      <c r="D313" s="233" t="s">
        <v>315</v>
      </c>
      <c r="E313" s="233">
        <v>2016</v>
      </c>
      <c r="F313" s="233" t="s">
        <v>256</v>
      </c>
      <c r="G313" s="233">
        <v>9</v>
      </c>
      <c r="H313" s="233" t="s">
        <v>295</v>
      </c>
      <c r="I313" s="78">
        <v>8964.4</v>
      </c>
      <c r="J313" s="78">
        <v>8964.4</v>
      </c>
      <c r="K313" s="78">
        <v>8964.4</v>
      </c>
      <c r="L313" s="239">
        <v>344</v>
      </c>
      <c r="M313" s="233" t="s">
        <v>254</v>
      </c>
      <c r="N313" s="233" t="s">
        <v>258</v>
      </c>
      <c r="O313" s="236" t="s">
        <v>1254</v>
      </c>
      <c r="P313" s="78">
        <v>5425723.8799999999</v>
      </c>
      <c r="Q313" s="78">
        <v>0</v>
      </c>
      <c r="R313" s="78">
        <v>0</v>
      </c>
      <c r="S313" s="78">
        <v>0</v>
      </c>
      <c r="T313" s="78">
        <f t="shared" si="16"/>
        <v>5425723.8799999999</v>
      </c>
      <c r="U313" s="78">
        <f t="shared" si="15"/>
        <v>605.25231805809653</v>
      </c>
      <c r="V313" s="78">
        <v>1096.6935879701932</v>
      </c>
    </row>
    <row r="314" spans="1:22" s="79" customFormat="1" ht="36" customHeight="1" x14ac:dyDescent="0.25">
      <c r="A314" s="79">
        <v>1</v>
      </c>
      <c r="B314" s="80">
        <f>SUBTOTAL(103,$A$16:A314)</f>
        <v>285</v>
      </c>
      <c r="C314" s="77" t="s">
        <v>1130</v>
      </c>
      <c r="D314" s="233" t="s">
        <v>359</v>
      </c>
      <c r="E314" s="233"/>
      <c r="F314" s="233" t="s">
        <v>256</v>
      </c>
      <c r="G314" s="233" t="s">
        <v>299</v>
      </c>
      <c r="H314" s="233" t="s">
        <v>290</v>
      </c>
      <c r="I314" s="78">
        <v>270.39999999999998</v>
      </c>
      <c r="J314" s="78">
        <v>270.39999999999998</v>
      </c>
      <c r="K314" s="78">
        <v>270.39999999999998</v>
      </c>
      <c r="L314" s="239">
        <v>18</v>
      </c>
      <c r="M314" s="233" t="s">
        <v>254</v>
      </c>
      <c r="N314" s="233" t="s">
        <v>255</v>
      </c>
      <c r="O314" s="236" t="s">
        <v>257</v>
      </c>
      <c r="P314" s="78">
        <v>839027.99</v>
      </c>
      <c r="Q314" s="78">
        <v>0</v>
      </c>
      <c r="R314" s="78">
        <v>0</v>
      </c>
      <c r="S314" s="78">
        <v>0</v>
      </c>
      <c r="T314" s="78">
        <f t="shared" si="16"/>
        <v>839027.99</v>
      </c>
      <c r="U314" s="78">
        <f t="shared" si="15"/>
        <v>3102.9141642011837</v>
      </c>
      <c r="V314" s="78">
        <v>7141.5475323964511</v>
      </c>
    </row>
    <row r="315" spans="1:22" s="79" customFormat="1" ht="36" customHeight="1" x14ac:dyDescent="0.25">
      <c r="A315" s="79">
        <v>1</v>
      </c>
      <c r="B315" s="80">
        <f>SUBTOTAL(103,$A$16:A315)</f>
        <v>286</v>
      </c>
      <c r="C315" s="77" t="s">
        <v>1131</v>
      </c>
      <c r="D315" s="233" t="s">
        <v>340</v>
      </c>
      <c r="E315" s="233"/>
      <c r="F315" s="233" t="s">
        <v>256</v>
      </c>
      <c r="G315" s="233">
        <v>2</v>
      </c>
      <c r="H315" s="233" t="s">
        <v>291</v>
      </c>
      <c r="I315" s="78">
        <v>282.39999999999998</v>
      </c>
      <c r="J315" s="78">
        <v>282.39999999999998</v>
      </c>
      <c r="K315" s="78">
        <v>282.39999999999998</v>
      </c>
      <c r="L315" s="239">
        <v>21</v>
      </c>
      <c r="M315" s="233" t="s">
        <v>254</v>
      </c>
      <c r="N315" s="233" t="s">
        <v>258</v>
      </c>
      <c r="O315" s="236" t="s">
        <v>669</v>
      </c>
      <c r="P315" s="78">
        <v>1265060.8599999999</v>
      </c>
      <c r="Q315" s="78">
        <v>0</v>
      </c>
      <c r="R315" s="78">
        <v>0</v>
      </c>
      <c r="S315" s="78">
        <v>0</v>
      </c>
      <c r="T315" s="78">
        <f t="shared" si="16"/>
        <v>1265060.8599999999</v>
      </c>
      <c r="U315" s="78">
        <f t="shared" si="15"/>
        <v>4479.6772662889516</v>
      </c>
      <c r="V315" s="78">
        <v>9750.3983024079334</v>
      </c>
    </row>
    <row r="316" spans="1:22" s="79" customFormat="1" ht="36" customHeight="1" x14ac:dyDescent="0.25">
      <c r="A316" s="79">
        <v>1</v>
      </c>
      <c r="B316" s="80">
        <f>SUBTOTAL(103,$A$16:A316)</f>
        <v>287</v>
      </c>
      <c r="C316" s="77" t="s">
        <v>1132</v>
      </c>
      <c r="D316" s="233">
        <v>1957</v>
      </c>
      <c r="E316" s="233"/>
      <c r="F316" s="233" t="s">
        <v>256</v>
      </c>
      <c r="G316" s="233" t="s">
        <v>299</v>
      </c>
      <c r="H316" s="233" t="s">
        <v>299</v>
      </c>
      <c r="I316" s="78">
        <v>988</v>
      </c>
      <c r="J316" s="78">
        <v>627.1</v>
      </c>
      <c r="K316" s="78">
        <v>627.1</v>
      </c>
      <c r="L316" s="239">
        <v>55</v>
      </c>
      <c r="M316" s="233" t="s">
        <v>254</v>
      </c>
      <c r="N316" s="233" t="s">
        <v>258</v>
      </c>
      <c r="O316" s="236" t="s">
        <v>1009</v>
      </c>
      <c r="P316" s="78">
        <v>73200.320000000007</v>
      </c>
      <c r="Q316" s="78">
        <v>0</v>
      </c>
      <c r="R316" s="78">
        <v>0</v>
      </c>
      <c r="S316" s="78">
        <v>0</v>
      </c>
      <c r="T316" s="78">
        <f t="shared" si="16"/>
        <v>73200.320000000007</v>
      </c>
      <c r="U316" s="78">
        <f t="shared" si="15"/>
        <v>74.08939271255062</v>
      </c>
      <c r="V316" s="78">
        <v>74.08939271255062</v>
      </c>
    </row>
    <row r="317" spans="1:22" s="79" customFormat="1" ht="36" customHeight="1" x14ac:dyDescent="0.25">
      <c r="A317" s="79">
        <v>1</v>
      </c>
      <c r="B317" s="80">
        <f>SUBTOTAL(103,$A$16:A317)</f>
        <v>288</v>
      </c>
      <c r="C317" s="77" t="s">
        <v>1445</v>
      </c>
      <c r="D317" s="233">
        <v>1926</v>
      </c>
      <c r="E317" s="233"/>
      <c r="F317" s="233" t="s">
        <v>256</v>
      </c>
      <c r="G317" s="233">
        <v>2</v>
      </c>
      <c r="H317" s="233" t="s">
        <v>290</v>
      </c>
      <c r="I317" s="78">
        <v>530.9</v>
      </c>
      <c r="J317" s="78">
        <v>530.9</v>
      </c>
      <c r="K317" s="78">
        <v>530.9</v>
      </c>
      <c r="L317" s="239">
        <v>26</v>
      </c>
      <c r="M317" s="233" t="s">
        <v>254</v>
      </c>
      <c r="N317" s="233" t="s">
        <v>255</v>
      </c>
      <c r="O317" s="236" t="s">
        <v>257</v>
      </c>
      <c r="P317" s="78">
        <v>1322373.3</v>
      </c>
      <c r="Q317" s="78">
        <v>0</v>
      </c>
      <c r="R317" s="78">
        <v>0</v>
      </c>
      <c r="S317" s="78">
        <v>0</v>
      </c>
      <c r="T317" s="78">
        <f>P317-S317-R317</f>
        <v>1322373.3</v>
      </c>
      <c r="U317" s="78">
        <f t="shared" si="15"/>
        <v>2490.8142776417408</v>
      </c>
      <c r="V317" s="78">
        <v>4912.0142173667364</v>
      </c>
    </row>
    <row r="318" spans="1:22" s="79" customFormat="1" ht="36" customHeight="1" x14ac:dyDescent="0.25">
      <c r="A318" s="79">
        <v>1</v>
      </c>
      <c r="B318" s="80">
        <f>SUBTOTAL(103,$A$16:A318)</f>
        <v>289</v>
      </c>
      <c r="C318" s="77" t="s">
        <v>1455</v>
      </c>
      <c r="D318" s="233" t="s">
        <v>1481</v>
      </c>
      <c r="E318" s="233"/>
      <c r="F318" s="233" t="s">
        <v>256</v>
      </c>
      <c r="G318" s="233">
        <v>2</v>
      </c>
      <c r="H318" s="233" t="s">
        <v>290</v>
      </c>
      <c r="I318" s="78">
        <v>169.5</v>
      </c>
      <c r="J318" s="78">
        <v>169.5</v>
      </c>
      <c r="K318" s="78">
        <v>169.5</v>
      </c>
      <c r="L318" s="239">
        <v>29</v>
      </c>
      <c r="M318" s="233" t="s">
        <v>254</v>
      </c>
      <c r="N318" s="233" t="s">
        <v>255</v>
      </c>
      <c r="O318" s="236" t="s">
        <v>257</v>
      </c>
      <c r="P318" s="78">
        <v>1654546.33</v>
      </c>
      <c r="Q318" s="78">
        <v>0</v>
      </c>
      <c r="R318" s="78">
        <v>0</v>
      </c>
      <c r="S318" s="78">
        <v>0</v>
      </c>
      <c r="T318" s="78">
        <f>P318-S318-R318</f>
        <v>1654546.33</v>
      </c>
      <c r="U318" s="78">
        <f t="shared" si="15"/>
        <v>9761.3352802359877</v>
      </c>
      <c r="V318" s="78">
        <v>18123.423480825961</v>
      </c>
    </row>
    <row r="319" spans="1:22" s="79" customFormat="1" ht="36" customHeight="1" x14ac:dyDescent="0.25">
      <c r="B319" s="77" t="s">
        <v>769</v>
      </c>
      <c r="C319" s="240"/>
      <c r="D319" s="233" t="s">
        <v>835</v>
      </c>
      <c r="E319" s="233" t="s">
        <v>835</v>
      </c>
      <c r="F319" s="233" t="s">
        <v>835</v>
      </c>
      <c r="G319" s="233" t="s">
        <v>835</v>
      </c>
      <c r="H319" s="233" t="s">
        <v>835</v>
      </c>
      <c r="I319" s="234">
        <f>SUM(I320:I335)</f>
        <v>12766.299999999997</v>
      </c>
      <c r="J319" s="234">
        <f>SUM(J320:J335)</f>
        <v>11356.699999999999</v>
      </c>
      <c r="K319" s="234">
        <f>SUM(K320:K335)</f>
        <v>10278.299999999999</v>
      </c>
      <c r="L319" s="235">
        <f>SUM(L320:L335)</f>
        <v>777</v>
      </c>
      <c r="M319" s="233" t="s">
        <v>835</v>
      </c>
      <c r="N319" s="233" t="s">
        <v>835</v>
      </c>
      <c r="O319" s="236" t="s">
        <v>835</v>
      </c>
      <c r="P319" s="237">
        <v>22830689.180000003</v>
      </c>
      <c r="Q319" s="234">
        <f>SUM(Q320:Q335)</f>
        <v>0</v>
      </c>
      <c r="R319" s="234">
        <f>SUM(R320:R335)</f>
        <v>0</v>
      </c>
      <c r="S319" s="234">
        <f>SUM(S320:S335)</f>
        <v>0</v>
      </c>
      <c r="T319" s="234">
        <f>SUM(T320:T335)</f>
        <v>22830689.180000003</v>
      </c>
      <c r="U319" s="78">
        <f t="shared" si="15"/>
        <v>1788.3559982140484</v>
      </c>
      <c r="V319" s="78">
        <f>MAX(V320:V335)</f>
        <v>8564.6601796253544</v>
      </c>
    </row>
    <row r="320" spans="1:22" s="79" customFormat="1" ht="36" customHeight="1" x14ac:dyDescent="0.25">
      <c r="A320" s="79">
        <v>1</v>
      </c>
      <c r="B320" s="80">
        <f>SUBTOTAL(103,$A$16:A320)</f>
        <v>290</v>
      </c>
      <c r="C320" s="77" t="s">
        <v>220</v>
      </c>
      <c r="D320" s="233">
        <v>1970</v>
      </c>
      <c r="E320" s="233"/>
      <c r="F320" s="233" t="s">
        <v>256</v>
      </c>
      <c r="G320" s="233">
        <v>2</v>
      </c>
      <c r="H320" s="233" t="s">
        <v>291</v>
      </c>
      <c r="I320" s="78">
        <v>404.7</v>
      </c>
      <c r="J320" s="78">
        <v>372.6</v>
      </c>
      <c r="K320" s="78">
        <v>372.6</v>
      </c>
      <c r="L320" s="239">
        <v>20</v>
      </c>
      <c r="M320" s="233" t="s">
        <v>254</v>
      </c>
      <c r="N320" s="233" t="s">
        <v>258</v>
      </c>
      <c r="O320" s="236" t="s">
        <v>319</v>
      </c>
      <c r="P320" s="78">
        <v>1413561.06</v>
      </c>
      <c r="Q320" s="78">
        <v>0</v>
      </c>
      <c r="R320" s="78">
        <v>0</v>
      </c>
      <c r="S320" s="78">
        <v>0</v>
      </c>
      <c r="T320" s="78">
        <f t="shared" ref="T320:T331" si="17">P320-R320-S320</f>
        <v>1413561.06</v>
      </c>
      <c r="U320" s="78">
        <f t="shared" si="15"/>
        <v>3492.8615270570795</v>
      </c>
      <c r="V320" s="78">
        <v>7557.5604645416361</v>
      </c>
    </row>
    <row r="321" spans="1:22" s="79" customFormat="1" ht="36" customHeight="1" x14ac:dyDescent="0.25">
      <c r="A321" s="79">
        <v>1</v>
      </c>
      <c r="B321" s="80">
        <f>SUBTOTAL(103,$A$16:A321)</f>
        <v>291</v>
      </c>
      <c r="C321" s="77" t="s">
        <v>222</v>
      </c>
      <c r="D321" s="233">
        <v>1964</v>
      </c>
      <c r="E321" s="233"/>
      <c r="F321" s="233" t="s">
        <v>256</v>
      </c>
      <c r="G321" s="233">
        <v>2</v>
      </c>
      <c r="H321" s="233" t="s">
        <v>290</v>
      </c>
      <c r="I321" s="78">
        <v>645.4</v>
      </c>
      <c r="J321" s="78">
        <v>597.4</v>
      </c>
      <c r="K321" s="78">
        <v>597.4</v>
      </c>
      <c r="L321" s="239">
        <v>42</v>
      </c>
      <c r="M321" s="233" t="s">
        <v>254</v>
      </c>
      <c r="N321" s="233" t="s">
        <v>258</v>
      </c>
      <c r="O321" s="236" t="s">
        <v>320</v>
      </c>
      <c r="P321" s="78">
        <v>75889.97</v>
      </c>
      <c r="Q321" s="78">
        <v>0</v>
      </c>
      <c r="R321" s="78">
        <v>0</v>
      </c>
      <c r="S321" s="78">
        <v>0</v>
      </c>
      <c r="T321" s="78">
        <f t="shared" si="17"/>
        <v>75889.97</v>
      </c>
      <c r="U321" s="78">
        <f t="shared" si="15"/>
        <v>117.58594669972111</v>
      </c>
      <c r="V321" s="78">
        <v>117.58594669972111</v>
      </c>
    </row>
    <row r="322" spans="1:22" s="79" customFormat="1" ht="36" customHeight="1" x14ac:dyDescent="0.25">
      <c r="A322" s="79">
        <v>1</v>
      </c>
      <c r="B322" s="80">
        <f>SUBTOTAL(103,$A$16:A322)</f>
        <v>292</v>
      </c>
      <c r="C322" s="77" t="s">
        <v>225</v>
      </c>
      <c r="D322" s="233">
        <v>1961</v>
      </c>
      <c r="E322" s="233"/>
      <c r="F322" s="233" t="s">
        <v>322</v>
      </c>
      <c r="G322" s="233">
        <v>2</v>
      </c>
      <c r="H322" s="233" t="s">
        <v>290</v>
      </c>
      <c r="I322" s="78">
        <v>605.1</v>
      </c>
      <c r="J322" s="78">
        <v>560.20000000000005</v>
      </c>
      <c r="K322" s="78">
        <v>560.20000000000005</v>
      </c>
      <c r="L322" s="239">
        <v>35</v>
      </c>
      <c r="M322" s="233" t="s">
        <v>254</v>
      </c>
      <c r="N322" s="233" t="s">
        <v>258</v>
      </c>
      <c r="O322" s="236" t="s">
        <v>319</v>
      </c>
      <c r="P322" s="78">
        <v>1769883.07</v>
      </c>
      <c r="Q322" s="78">
        <v>0</v>
      </c>
      <c r="R322" s="78">
        <v>0</v>
      </c>
      <c r="S322" s="78">
        <v>0</v>
      </c>
      <c r="T322" s="78">
        <f t="shared" si="17"/>
        <v>1769883.07</v>
      </c>
      <c r="U322" s="78">
        <f t="shared" si="15"/>
        <v>2924.9431003139975</v>
      </c>
      <c r="V322" s="78">
        <v>7208.1985549495948</v>
      </c>
    </row>
    <row r="323" spans="1:22" s="79" customFormat="1" ht="36" customHeight="1" x14ac:dyDescent="0.25">
      <c r="A323" s="79">
        <v>1</v>
      </c>
      <c r="B323" s="80">
        <f>SUBTOTAL(103,$A$16:A323)</f>
        <v>293</v>
      </c>
      <c r="C323" s="77" t="s">
        <v>226</v>
      </c>
      <c r="D323" s="233">
        <v>1963</v>
      </c>
      <c r="E323" s="233"/>
      <c r="F323" s="233" t="s">
        <v>256</v>
      </c>
      <c r="G323" s="233">
        <v>2</v>
      </c>
      <c r="H323" s="233" t="s">
        <v>291</v>
      </c>
      <c r="I323" s="78">
        <v>336.7</v>
      </c>
      <c r="J323" s="78">
        <v>304.3</v>
      </c>
      <c r="K323" s="78">
        <v>304.3</v>
      </c>
      <c r="L323" s="239">
        <v>15</v>
      </c>
      <c r="M323" s="233" t="s">
        <v>254</v>
      </c>
      <c r="N323" s="233" t="s">
        <v>258</v>
      </c>
      <c r="O323" s="236" t="s">
        <v>319</v>
      </c>
      <c r="P323" s="78">
        <v>48252.34</v>
      </c>
      <c r="Q323" s="78">
        <v>0</v>
      </c>
      <c r="R323" s="78">
        <v>0</v>
      </c>
      <c r="S323" s="78">
        <v>0</v>
      </c>
      <c r="T323" s="78">
        <f t="shared" si="17"/>
        <v>48252.34</v>
      </c>
      <c r="U323" s="78">
        <f t="shared" si="15"/>
        <v>143.3095931095931</v>
      </c>
      <c r="V323" s="78">
        <v>143.3095931095931</v>
      </c>
    </row>
    <row r="324" spans="1:22" s="79" customFormat="1" ht="36" customHeight="1" x14ac:dyDescent="0.25">
      <c r="A324" s="79">
        <v>1</v>
      </c>
      <c r="B324" s="80">
        <f>SUBTOTAL(103,$A$16:A324)</f>
        <v>294</v>
      </c>
      <c r="C324" s="77" t="s">
        <v>221</v>
      </c>
      <c r="D324" s="242">
        <v>1970</v>
      </c>
      <c r="E324" s="233"/>
      <c r="F324" s="233" t="s">
        <v>256</v>
      </c>
      <c r="G324" s="233">
        <v>2</v>
      </c>
      <c r="H324" s="233" t="s">
        <v>291</v>
      </c>
      <c r="I324" s="78">
        <v>351.6</v>
      </c>
      <c r="J324" s="78">
        <v>320.60000000000002</v>
      </c>
      <c r="K324" s="78">
        <v>320.60000000000002</v>
      </c>
      <c r="L324" s="239">
        <v>14</v>
      </c>
      <c r="M324" s="233" t="s">
        <v>254</v>
      </c>
      <c r="N324" s="233" t="s">
        <v>258</v>
      </c>
      <c r="O324" s="236" t="s">
        <v>321</v>
      </c>
      <c r="P324" s="78">
        <v>1361877.77</v>
      </c>
      <c r="Q324" s="78">
        <v>0</v>
      </c>
      <c r="R324" s="78">
        <v>0</v>
      </c>
      <c r="S324" s="78">
        <v>0</v>
      </c>
      <c r="T324" s="78">
        <f t="shared" si="17"/>
        <v>1361877.77</v>
      </c>
      <c r="U324" s="78">
        <f t="shared" si="15"/>
        <v>3873.3724971558586</v>
      </c>
      <c r="V324" s="78">
        <v>7515.0662480091023</v>
      </c>
    </row>
    <row r="325" spans="1:22" s="79" customFormat="1" ht="36" customHeight="1" x14ac:dyDescent="0.25">
      <c r="A325" s="79">
        <v>1</v>
      </c>
      <c r="B325" s="80">
        <f>SUBTOTAL(103,$A$16:A325)</f>
        <v>295</v>
      </c>
      <c r="C325" s="77" t="s">
        <v>228</v>
      </c>
      <c r="D325" s="233">
        <v>1972</v>
      </c>
      <c r="E325" s="233"/>
      <c r="F325" s="233" t="s">
        <v>256</v>
      </c>
      <c r="G325" s="233">
        <v>2</v>
      </c>
      <c r="H325" s="233" t="s">
        <v>299</v>
      </c>
      <c r="I325" s="78">
        <v>899</v>
      </c>
      <c r="J325" s="78">
        <v>843.9</v>
      </c>
      <c r="K325" s="78">
        <v>843.9</v>
      </c>
      <c r="L325" s="239">
        <v>54</v>
      </c>
      <c r="M325" s="233" t="s">
        <v>254</v>
      </c>
      <c r="N325" s="233" t="s">
        <v>258</v>
      </c>
      <c r="O325" s="236" t="s">
        <v>319</v>
      </c>
      <c r="P325" s="78">
        <v>82017.66</v>
      </c>
      <c r="Q325" s="78">
        <v>0</v>
      </c>
      <c r="R325" s="78">
        <v>0</v>
      </c>
      <c r="S325" s="78">
        <v>0</v>
      </c>
      <c r="T325" s="78">
        <f t="shared" si="17"/>
        <v>82017.66</v>
      </c>
      <c r="U325" s="78">
        <f t="shared" si="15"/>
        <v>91.232102335928815</v>
      </c>
      <c r="V325" s="78">
        <v>91.232102335928815</v>
      </c>
    </row>
    <row r="326" spans="1:22" s="79" customFormat="1" ht="36" customHeight="1" x14ac:dyDescent="0.25">
      <c r="A326" s="79">
        <v>1</v>
      </c>
      <c r="B326" s="80">
        <f>SUBTOTAL(103,$A$16:A326)</f>
        <v>296</v>
      </c>
      <c r="C326" s="77" t="s">
        <v>1135</v>
      </c>
      <c r="D326" s="233">
        <v>1959</v>
      </c>
      <c r="E326" s="233"/>
      <c r="F326" s="233" t="s">
        <v>322</v>
      </c>
      <c r="G326" s="233">
        <v>2</v>
      </c>
      <c r="H326" s="233" t="s">
        <v>290</v>
      </c>
      <c r="I326" s="234">
        <v>654.4</v>
      </c>
      <c r="J326" s="234">
        <v>551.4</v>
      </c>
      <c r="K326" s="234">
        <v>551.4</v>
      </c>
      <c r="L326" s="239">
        <v>40</v>
      </c>
      <c r="M326" s="233" t="s">
        <v>254</v>
      </c>
      <c r="N326" s="233" t="s">
        <v>258</v>
      </c>
      <c r="O326" s="236" t="s">
        <v>320</v>
      </c>
      <c r="P326" s="78">
        <v>2704515.35</v>
      </c>
      <c r="Q326" s="78">
        <v>0</v>
      </c>
      <c r="R326" s="78">
        <v>0</v>
      </c>
      <c r="S326" s="78">
        <v>0</v>
      </c>
      <c r="T326" s="78">
        <f t="shared" si="17"/>
        <v>2704515.35</v>
      </c>
      <c r="U326" s="78">
        <f t="shared" si="15"/>
        <v>4132.8168551344743</v>
      </c>
      <c r="V326" s="78">
        <v>7856.0264009779949</v>
      </c>
    </row>
    <row r="327" spans="1:22" s="79" customFormat="1" ht="36" customHeight="1" x14ac:dyDescent="0.25">
      <c r="A327" s="79">
        <v>1</v>
      </c>
      <c r="B327" s="80">
        <f>SUBTOTAL(103,$A$16:A327)</f>
        <v>297</v>
      </c>
      <c r="C327" s="77" t="s">
        <v>1136</v>
      </c>
      <c r="D327" s="233">
        <v>1977</v>
      </c>
      <c r="E327" s="233"/>
      <c r="F327" s="233" t="s">
        <v>256</v>
      </c>
      <c r="G327" s="233">
        <v>5</v>
      </c>
      <c r="H327" s="233" t="s">
        <v>291</v>
      </c>
      <c r="I327" s="78">
        <v>3019</v>
      </c>
      <c r="J327" s="78">
        <v>3019</v>
      </c>
      <c r="K327" s="78">
        <v>2048</v>
      </c>
      <c r="L327" s="239">
        <v>333</v>
      </c>
      <c r="M327" s="233" t="s">
        <v>254</v>
      </c>
      <c r="N327" s="233" t="s">
        <v>258</v>
      </c>
      <c r="O327" s="236" t="s">
        <v>1231</v>
      </c>
      <c r="P327" s="78">
        <v>2291266.0300000003</v>
      </c>
      <c r="Q327" s="78">
        <v>0</v>
      </c>
      <c r="R327" s="78">
        <v>0</v>
      </c>
      <c r="S327" s="78">
        <v>0</v>
      </c>
      <c r="T327" s="78">
        <f t="shared" si="17"/>
        <v>2291266.0300000003</v>
      </c>
      <c r="U327" s="78">
        <f t="shared" si="15"/>
        <v>758.9486684332561</v>
      </c>
      <c r="V327" s="78">
        <v>810.46</v>
      </c>
    </row>
    <row r="328" spans="1:22" s="79" customFormat="1" ht="36" customHeight="1" x14ac:dyDescent="0.25">
      <c r="A328" s="79">
        <v>1</v>
      </c>
      <c r="B328" s="80">
        <f>SUBTOTAL(103,$A$16:A328)</f>
        <v>298</v>
      </c>
      <c r="C328" s="77" t="s">
        <v>1137</v>
      </c>
      <c r="D328" s="233">
        <v>1951</v>
      </c>
      <c r="E328" s="233"/>
      <c r="F328" s="233" t="s">
        <v>322</v>
      </c>
      <c r="G328" s="233">
        <v>2</v>
      </c>
      <c r="H328" s="233" t="s">
        <v>290</v>
      </c>
      <c r="I328" s="78">
        <v>859.4</v>
      </c>
      <c r="J328" s="78">
        <v>812.4</v>
      </c>
      <c r="K328" s="78">
        <v>812.4</v>
      </c>
      <c r="L328" s="239">
        <v>38</v>
      </c>
      <c r="M328" s="233" t="s">
        <v>254</v>
      </c>
      <c r="N328" s="233" t="s">
        <v>258</v>
      </c>
      <c r="O328" s="236" t="s">
        <v>319</v>
      </c>
      <c r="P328" s="78">
        <v>2890713.31</v>
      </c>
      <c r="Q328" s="78">
        <v>0</v>
      </c>
      <c r="R328" s="78">
        <v>0</v>
      </c>
      <c r="S328" s="78">
        <v>0</v>
      </c>
      <c r="T328" s="78">
        <f t="shared" si="17"/>
        <v>2890713.31</v>
      </c>
      <c r="U328" s="78">
        <f t="shared" si="15"/>
        <v>3363.64127298115</v>
      </c>
      <c r="V328" s="78">
        <v>6854.7481382359783</v>
      </c>
    </row>
    <row r="329" spans="1:22" s="79" customFormat="1" ht="36" customHeight="1" x14ac:dyDescent="0.25">
      <c r="A329" s="79">
        <v>1</v>
      </c>
      <c r="B329" s="80">
        <f>SUBTOTAL(103,$A$16:A329)</f>
        <v>299</v>
      </c>
      <c r="C329" s="77" t="s">
        <v>1140</v>
      </c>
      <c r="D329" s="233">
        <v>1917</v>
      </c>
      <c r="E329" s="233"/>
      <c r="F329" s="233" t="s">
        <v>256</v>
      </c>
      <c r="G329" s="233">
        <v>2</v>
      </c>
      <c r="H329" s="233" t="s">
        <v>290</v>
      </c>
      <c r="I329" s="78">
        <v>389.7</v>
      </c>
      <c r="J329" s="78">
        <v>385</v>
      </c>
      <c r="K329" s="78">
        <v>385</v>
      </c>
      <c r="L329" s="239">
        <v>11</v>
      </c>
      <c r="M329" s="233" t="s">
        <v>254</v>
      </c>
      <c r="N329" s="233" t="s">
        <v>258</v>
      </c>
      <c r="O329" s="236" t="s">
        <v>319</v>
      </c>
      <c r="P329" s="78">
        <v>1714543.07</v>
      </c>
      <c r="Q329" s="78">
        <v>0</v>
      </c>
      <c r="R329" s="78">
        <v>0</v>
      </c>
      <c r="S329" s="78">
        <v>0</v>
      </c>
      <c r="T329" s="78">
        <f t="shared" si="17"/>
        <v>1714543.07</v>
      </c>
      <c r="U329" s="78">
        <f t="shared" si="15"/>
        <v>4399.6486271490894</v>
      </c>
      <c r="V329" s="78">
        <v>8564.6601796253544</v>
      </c>
    </row>
    <row r="330" spans="1:22" s="79" customFormat="1" ht="36" customHeight="1" x14ac:dyDescent="0.25">
      <c r="A330" s="79">
        <v>1</v>
      </c>
      <c r="B330" s="80">
        <f>SUBTOTAL(103,$A$16:A330)</f>
        <v>300</v>
      </c>
      <c r="C330" s="77" t="s">
        <v>1438</v>
      </c>
      <c r="D330" s="233">
        <v>1967</v>
      </c>
      <c r="E330" s="233"/>
      <c r="F330" s="233" t="s">
        <v>256</v>
      </c>
      <c r="G330" s="233">
        <v>2</v>
      </c>
      <c r="H330" s="233" t="s">
        <v>291</v>
      </c>
      <c r="I330" s="78">
        <v>391.7</v>
      </c>
      <c r="J330" s="78">
        <v>362.7</v>
      </c>
      <c r="K330" s="78">
        <v>362.7</v>
      </c>
      <c r="L330" s="239">
        <v>18</v>
      </c>
      <c r="M330" s="233" t="s">
        <v>254</v>
      </c>
      <c r="N330" s="233" t="s">
        <v>258</v>
      </c>
      <c r="O330" s="236" t="s">
        <v>320</v>
      </c>
      <c r="P330" s="78">
        <v>1422597.9100000001</v>
      </c>
      <c r="Q330" s="78">
        <v>0</v>
      </c>
      <c r="R330" s="78">
        <v>0</v>
      </c>
      <c r="S330" s="78">
        <v>0</v>
      </c>
      <c r="T330" s="78">
        <f t="shared" si="17"/>
        <v>1422597.9100000001</v>
      </c>
      <c r="U330" s="78">
        <f t="shared" si="15"/>
        <v>3631.8557824865975</v>
      </c>
      <c r="V330" s="78">
        <v>7463.9517610416142</v>
      </c>
    </row>
    <row r="331" spans="1:22" s="79" customFormat="1" ht="36" customHeight="1" x14ac:dyDescent="0.25">
      <c r="A331" s="79">
        <v>1</v>
      </c>
      <c r="B331" s="80">
        <f>SUBTOTAL(103,$A$16:A331)</f>
        <v>301</v>
      </c>
      <c r="C331" s="77" t="s">
        <v>1439</v>
      </c>
      <c r="D331" s="233">
        <v>1969</v>
      </c>
      <c r="E331" s="233"/>
      <c r="F331" s="233" t="s">
        <v>256</v>
      </c>
      <c r="G331" s="233">
        <v>2</v>
      </c>
      <c r="H331" s="233" t="s">
        <v>290</v>
      </c>
      <c r="I331" s="78">
        <v>1229.8</v>
      </c>
      <c r="J331" s="78">
        <v>730</v>
      </c>
      <c r="K331" s="78">
        <v>648.4</v>
      </c>
      <c r="L331" s="239">
        <v>31</v>
      </c>
      <c r="M331" s="233" t="s">
        <v>254</v>
      </c>
      <c r="N331" s="233" t="s">
        <v>258</v>
      </c>
      <c r="O331" s="236" t="s">
        <v>319</v>
      </c>
      <c r="P331" s="78">
        <v>2288055.7799999998</v>
      </c>
      <c r="Q331" s="78">
        <v>0</v>
      </c>
      <c r="R331" s="78">
        <v>0</v>
      </c>
      <c r="S331" s="78">
        <v>0</v>
      </c>
      <c r="T331" s="78">
        <f t="shared" si="17"/>
        <v>2288055.7799999998</v>
      </c>
      <c r="U331" s="78">
        <f t="shared" si="15"/>
        <v>1860.5104732476825</v>
      </c>
      <c r="V331" s="78">
        <v>4354.3259320214675</v>
      </c>
    </row>
    <row r="332" spans="1:22" s="79" customFormat="1" ht="36" customHeight="1" x14ac:dyDescent="0.25">
      <c r="A332" s="79">
        <v>1</v>
      </c>
      <c r="B332" s="80">
        <f>SUBTOTAL(103,$A$16:A332)</f>
        <v>302</v>
      </c>
      <c r="C332" s="77" t="s">
        <v>1453</v>
      </c>
      <c r="D332" s="233">
        <v>1949</v>
      </c>
      <c r="E332" s="233"/>
      <c r="F332" s="233" t="s">
        <v>1232</v>
      </c>
      <c r="G332" s="233">
        <v>2</v>
      </c>
      <c r="H332" s="233" t="s">
        <v>290</v>
      </c>
      <c r="I332" s="78">
        <v>760.8</v>
      </c>
      <c r="J332" s="78">
        <v>760.8</v>
      </c>
      <c r="K332" s="78">
        <v>760.8</v>
      </c>
      <c r="L332" s="239">
        <v>40</v>
      </c>
      <c r="M332" s="233" t="s">
        <v>254</v>
      </c>
      <c r="N332" s="233" t="s">
        <v>258</v>
      </c>
      <c r="O332" s="236" t="s">
        <v>320</v>
      </c>
      <c r="P332" s="78">
        <v>2348671.69</v>
      </c>
      <c r="Q332" s="78">
        <v>0</v>
      </c>
      <c r="R332" s="78">
        <v>0</v>
      </c>
      <c r="S332" s="78">
        <v>0</v>
      </c>
      <c r="T332" s="78">
        <f>P332-S332-R332</f>
        <v>2348671.69</v>
      </c>
      <c r="U332" s="78">
        <f t="shared" si="15"/>
        <v>3087.1078995793901</v>
      </c>
      <c r="V332" s="78">
        <v>7392.0714479495291</v>
      </c>
    </row>
    <row r="333" spans="1:22" s="79" customFormat="1" ht="36" customHeight="1" x14ac:dyDescent="0.25">
      <c r="A333" s="79">
        <v>1</v>
      </c>
      <c r="B333" s="80">
        <f>SUBTOTAL(103,$A$16:A333)</f>
        <v>303</v>
      </c>
      <c r="C333" s="77" t="s">
        <v>1454</v>
      </c>
      <c r="D333" s="233">
        <v>1961</v>
      </c>
      <c r="E333" s="233"/>
      <c r="F333" s="233" t="s">
        <v>256</v>
      </c>
      <c r="G333" s="233">
        <v>2</v>
      </c>
      <c r="H333" s="233" t="s">
        <v>290</v>
      </c>
      <c r="I333" s="78">
        <v>755.3</v>
      </c>
      <c r="J333" s="78">
        <v>755.3</v>
      </c>
      <c r="K333" s="78">
        <v>755.3</v>
      </c>
      <c r="L333" s="239">
        <v>28</v>
      </c>
      <c r="M333" s="233" t="s">
        <v>254</v>
      </c>
      <c r="N333" s="233" t="s">
        <v>258</v>
      </c>
      <c r="O333" s="236" t="s">
        <v>319</v>
      </c>
      <c r="P333" s="78">
        <v>2304366.3400000003</v>
      </c>
      <c r="Q333" s="78">
        <v>0</v>
      </c>
      <c r="R333" s="78">
        <v>0</v>
      </c>
      <c r="S333" s="78">
        <v>0</v>
      </c>
      <c r="T333" s="78">
        <f>P333-S333-R333</f>
        <v>2304366.3400000003</v>
      </c>
      <c r="U333" s="78">
        <f t="shared" ref="U333:U335" si="18">P333/I333</f>
        <v>3050.9285581887998</v>
      </c>
      <c r="V333" s="78">
        <v>6989.9534923871324</v>
      </c>
    </row>
    <row r="334" spans="1:22" s="79" customFormat="1" ht="36" customHeight="1" x14ac:dyDescent="0.25">
      <c r="A334" s="79">
        <v>1</v>
      </c>
      <c r="B334" s="80">
        <f>SUBTOTAL(103,$A$16:A334)</f>
        <v>304</v>
      </c>
      <c r="C334" s="77" t="s">
        <v>1138</v>
      </c>
      <c r="D334" s="233">
        <v>1955</v>
      </c>
      <c r="E334" s="233"/>
      <c r="F334" s="233" t="s">
        <v>1232</v>
      </c>
      <c r="G334" s="233">
        <v>2</v>
      </c>
      <c r="H334" s="233" t="s">
        <v>290</v>
      </c>
      <c r="I334" s="234">
        <v>805.7</v>
      </c>
      <c r="J334" s="234">
        <v>731</v>
      </c>
      <c r="K334" s="234">
        <v>705.2</v>
      </c>
      <c r="L334" s="239">
        <v>37</v>
      </c>
      <c r="M334" s="233" t="s">
        <v>254</v>
      </c>
      <c r="N334" s="233" t="s">
        <v>258</v>
      </c>
      <c r="O334" s="236" t="s">
        <v>319</v>
      </c>
      <c r="P334" s="78">
        <v>78793.16</v>
      </c>
      <c r="Q334" s="78">
        <v>0</v>
      </c>
      <c r="R334" s="78">
        <v>0</v>
      </c>
      <c r="S334" s="78">
        <v>0</v>
      </c>
      <c r="T334" s="78">
        <f>P334-R334-S334</f>
        <v>78793.16</v>
      </c>
      <c r="U334" s="78">
        <f t="shared" si="18"/>
        <v>97.794663025940181</v>
      </c>
      <c r="V334" s="78">
        <v>97.794663025940181</v>
      </c>
    </row>
    <row r="335" spans="1:22" s="79" customFormat="1" ht="36" customHeight="1" x14ac:dyDescent="0.25">
      <c r="A335" s="79">
        <v>1</v>
      </c>
      <c r="B335" s="80">
        <f>SUBTOTAL(103,$A$16:A335)</f>
        <v>305</v>
      </c>
      <c r="C335" s="77" t="s">
        <v>1487</v>
      </c>
      <c r="D335" s="233">
        <v>1958</v>
      </c>
      <c r="E335" s="233"/>
      <c r="F335" s="233" t="s">
        <v>316</v>
      </c>
      <c r="G335" s="233">
        <v>2</v>
      </c>
      <c r="H335" s="233" t="s">
        <v>291</v>
      </c>
      <c r="I335" s="78">
        <v>658</v>
      </c>
      <c r="J335" s="78">
        <v>250.1</v>
      </c>
      <c r="K335" s="78">
        <v>250.1</v>
      </c>
      <c r="L335" s="239">
        <v>21</v>
      </c>
      <c r="M335" s="233" t="s">
        <v>254</v>
      </c>
      <c r="N335" s="233" t="s">
        <v>258</v>
      </c>
      <c r="O335" s="236" t="s">
        <v>319</v>
      </c>
      <c r="P335" s="78">
        <v>35684.67</v>
      </c>
      <c r="Q335" s="78">
        <v>0</v>
      </c>
      <c r="R335" s="78">
        <v>0</v>
      </c>
      <c r="S335" s="78">
        <v>0</v>
      </c>
      <c r="T335" s="78">
        <f>P335-S335-R335</f>
        <v>35684.67</v>
      </c>
      <c r="U335" s="78">
        <f t="shared" si="18"/>
        <v>54.232021276595745</v>
      </c>
      <c r="V335" s="78">
        <v>54.232021276595745</v>
      </c>
    </row>
    <row r="336" spans="1:22" s="79" customFormat="1" ht="36" customHeight="1" x14ac:dyDescent="0.25">
      <c r="B336" s="77" t="s">
        <v>770</v>
      </c>
      <c r="C336" s="77"/>
      <c r="D336" s="233" t="s">
        <v>835</v>
      </c>
      <c r="E336" s="233" t="s">
        <v>835</v>
      </c>
      <c r="F336" s="233" t="s">
        <v>835</v>
      </c>
      <c r="G336" s="233" t="s">
        <v>835</v>
      </c>
      <c r="H336" s="233" t="s">
        <v>835</v>
      </c>
      <c r="I336" s="234">
        <f>SUM(I337:I340)</f>
        <v>1395.0000000000002</v>
      </c>
      <c r="J336" s="234">
        <f>SUM(J337:J340)</f>
        <v>1153.6999999999998</v>
      </c>
      <c r="K336" s="234">
        <f>SUM(K337:K340)</f>
        <v>1153.6999999999998</v>
      </c>
      <c r="L336" s="235">
        <f>SUM(L337:L340)</f>
        <v>56</v>
      </c>
      <c r="M336" s="233" t="s">
        <v>835</v>
      </c>
      <c r="N336" s="233" t="s">
        <v>835</v>
      </c>
      <c r="O336" s="236" t="s">
        <v>835</v>
      </c>
      <c r="P336" s="237">
        <v>2221160.0099999998</v>
      </c>
      <c r="Q336" s="234">
        <f>SUM(Q337:Q340)</f>
        <v>0</v>
      </c>
      <c r="R336" s="234">
        <f>SUM(R337:R340)</f>
        <v>0</v>
      </c>
      <c r="S336" s="234">
        <f>SUM(S337:S340)</f>
        <v>0</v>
      </c>
      <c r="T336" s="234">
        <f>SUM(T337:T340)</f>
        <v>2221160.0099999998</v>
      </c>
      <c r="U336" s="78">
        <f t="shared" ref="U336:U396" si="19">P336/I336</f>
        <v>1592.229397849462</v>
      </c>
      <c r="V336" s="78">
        <f>MAX(V337:V340)</f>
        <v>7949.0631303831306</v>
      </c>
    </row>
    <row r="337" spans="1:22" s="79" customFormat="1" ht="36" customHeight="1" x14ac:dyDescent="0.25">
      <c r="A337" s="79">
        <v>1</v>
      </c>
      <c r="B337" s="80">
        <f>SUBTOTAL(103,$A$16:A337)</f>
        <v>306</v>
      </c>
      <c r="C337" s="77" t="s">
        <v>235</v>
      </c>
      <c r="D337" s="233">
        <v>1955</v>
      </c>
      <c r="E337" s="233"/>
      <c r="F337" s="233" t="s">
        <v>316</v>
      </c>
      <c r="G337" s="233">
        <v>2</v>
      </c>
      <c r="H337" s="233" t="s">
        <v>290</v>
      </c>
      <c r="I337" s="78">
        <v>374.6</v>
      </c>
      <c r="J337" s="78">
        <v>343.4</v>
      </c>
      <c r="K337" s="78">
        <v>343.4</v>
      </c>
      <c r="L337" s="239">
        <v>9</v>
      </c>
      <c r="M337" s="233" t="s">
        <v>254</v>
      </c>
      <c r="N337" s="233" t="s">
        <v>255</v>
      </c>
      <c r="O337" s="236" t="s">
        <v>257</v>
      </c>
      <c r="P337" s="78">
        <v>9547.9500000000007</v>
      </c>
      <c r="Q337" s="78">
        <v>0</v>
      </c>
      <c r="R337" s="78">
        <v>0</v>
      </c>
      <c r="S337" s="78">
        <v>0</v>
      </c>
      <c r="T337" s="78">
        <f>P337-R337-S337</f>
        <v>9547.9500000000007</v>
      </c>
      <c r="U337" s="78">
        <f t="shared" si="19"/>
        <v>25.488387613454353</v>
      </c>
      <c r="V337" s="78">
        <v>25.488387613454353</v>
      </c>
    </row>
    <row r="338" spans="1:22" s="79" customFormat="1" ht="36" customHeight="1" x14ac:dyDescent="0.25">
      <c r="A338" s="79">
        <v>1</v>
      </c>
      <c r="B338" s="80">
        <f>SUBTOTAL(103,$A$16:A338)</f>
        <v>307</v>
      </c>
      <c r="C338" s="77" t="s">
        <v>233</v>
      </c>
      <c r="D338" s="233">
        <v>1969</v>
      </c>
      <c r="E338" s="233"/>
      <c r="F338" s="233" t="s">
        <v>256</v>
      </c>
      <c r="G338" s="233">
        <v>2</v>
      </c>
      <c r="H338" s="233" t="s">
        <v>291</v>
      </c>
      <c r="I338" s="78">
        <v>384.6</v>
      </c>
      <c r="J338" s="78">
        <v>229.2</v>
      </c>
      <c r="K338" s="78">
        <v>229.2</v>
      </c>
      <c r="L338" s="239">
        <v>18</v>
      </c>
      <c r="M338" s="233" t="s">
        <v>254</v>
      </c>
      <c r="N338" s="233" t="s">
        <v>255</v>
      </c>
      <c r="O338" s="236" t="s">
        <v>257</v>
      </c>
      <c r="P338" s="78">
        <v>53163.29</v>
      </c>
      <c r="Q338" s="78">
        <v>0</v>
      </c>
      <c r="R338" s="78">
        <v>0</v>
      </c>
      <c r="S338" s="78">
        <v>0</v>
      </c>
      <c r="T338" s="78">
        <f>P338-R338-S338</f>
        <v>53163.29</v>
      </c>
      <c r="U338" s="78">
        <f t="shared" si="19"/>
        <v>138.23008320332812</v>
      </c>
      <c r="V338" s="78">
        <v>138.23008320332812</v>
      </c>
    </row>
    <row r="339" spans="1:22" s="79" customFormat="1" ht="36" customHeight="1" x14ac:dyDescent="0.25">
      <c r="A339" s="79">
        <v>1</v>
      </c>
      <c r="B339" s="80">
        <f>SUBTOTAL(103,$A$16:A339)</f>
        <v>308</v>
      </c>
      <c r="C339" s="77" t="s">
        <v>1440</v>
      </c>
      <c r="D339" s="233">
        <v>1960</v>
      </c>
      <c r="E339" s="233"/>
      <c r="F339" s="233" t="s">
        <v>256</v>
      </c>
      <c r="G339" s="233">
        <v>2</v>
      </c>
      <c r="H339" s="233" t="s">
        <v>291</v>
      </c>
      <c r="I339" s="78">
        <v>299.10000000000002</v>
      </c>
      <c r="J339" s="78">
        <v>244.4</v>
      </c>
      <c r="K339" s="78">
        <v>244.4</v>
      </c>
      <c r="L339" s="239">
        <v>16</v>
      </c>
      <c r="M339" s="233" t="s">
        <v>254</v>
      </c>
      <c r="N339" s="233" t="s">
        <v>255</v>
      </c>
      <c r="O339" s="236" t="s">
        <v>257</v>
      </c>
      <c r="P339" s="78">
        <v>944539.29999999993</v>
      </c>
      <c r="Q339" s="78">
        <v>0</v>
      </c>
      <c r="R339" s="78">
        <v>0</v>
      </c>
      <c r="S339" s="78">
        <v>0</v>
      </c>
      <c r="T339" s="78">
        <f>P339-R339-S339</f>
        <v>944539.29999999993</v>
      </c>
      <c r="U339" s="78">
        <f t="shared" si="19"/>
        <v>3157.9381477766628</v>
      </c>
      <c r="V339" s="78">
        <v>7744.200302240054</v>
      </c>
    </row>
    <row r="340" spans="1:22" s="79" customFormat="1" ht="36" customHeight="1" x14ac:dyDescent="0.25">
      <c r="A340" s="79">
        <v>1</v>
      </c>
      <c r="B340" s="80">
        <f>SUBTOTAL(103,$A$16:A340)</f>
        <v>309</v>
      </c>
      <c r="C340" s="77" t="s">
        <v>1441</v>
      </c>
      <c r="D340" s="233">
        <v>1962</v>
      </c>
      <c r="E340" s="233"/>
      <c r="F340" s="233" t="s">
        <v>256</v>
      </c>
      <c r="G340" s="233">
        <v>2</v>
      </c>
      <c r="H340" s="233" t="s">
        <v>291</v>
      </c>
      <c r="I340" s="78">
        <v>336.7</v>
      </c>
      <c r="J340" s="78">
        <v>336.7</v>
      </c>
      <c r="K340" s="78">
        <v>336.7</v>
      </c>
      <c r="L340" s="239">
        <v>13</v>
      </c>
      <c r="M340" s="233" t="s">
        <v>254</v>
      </c>
      <c r="N340" s="233" t="s">
        <v>327</v>
      </c>
      <c r="O340" s="236" t="s">
        <v>1482</v>
      </c>
      <c r="P340" s="78">
        <v>1213909.47</v>
      </c>
      <c r="Q340" s="78">
        <v>0</v>
      </c>
      <c r="R340" s="78">
        <v>0</v>
      </c>
      <c r="S340" s="78">
        <v>0</v>
      </c>
      <c r="T340" s="78">
        <f>P340-S340-R340</f>
        <v>1213909.47</v>
      </c>
      <c r="U340" s="78">
        <f t="shared" si="19"/>
        <v>3605.3147312147312</v>
      </c>
      <c r="V340" s="78">
        <v>7949.0631303831306</v>
      </c>
    </row>
    <row r="341" spans="1:22" s="79" customFormat="1" ht="36" customHeight="1" x14ac:dyDescent="0.25">
      <c r="B341" s="77" t="s">
        <v>771</v>
      </c>
      <c r="C341" s="77"/>
      <c r="D341" s="233" t="s">
        <v>835</v>
      </c>
      <c r="E341" s="233" t="s">
        <v>835</v>
      </c>
      <c r="F341" s="233" t="s">
        <v>835</v>
      </c>
      <c r="G341" s="233" t="s">
        <v>835</v>
      </c>
      <c r="H341" s="233" t="s">
        <v>835</v>
      </c>
      <c r="I341" s="234">
        <f>SUM(I342:I343)</f>
        <v>1222.4000000000001</v>
      </c>
      <c r="J341" s="234">
        <f>SUM(J342:J343)</f>
        <v>1166.8</v>
      </c>
      <c r="K341" s="234">
        <f>SUM(K342:K343)</f>
        <v>1166.8</v>
      </c>
      <c r="L341" s="235">
        <f>SUM(L342:L343)</f>
        <v>44</v>
      </c>
      <c r="M341" s="233" t="s">
        <v>835</v>
      </c>
      <c r="N341" s="233" t="s">
        <v>835</v>
      </c>
      <c r="O341" s="236" t="s">
        <v>835</v>
      </c>
      <c r="P341" s="241">
        <v>4069083.7199999997</v>
      </c>
      <c r="Q341" s="78">
        <f>SUM(Q342:Q343)</f>
        <v>0</v>
      </c>
      <c r="R341" s="78">
        <f>SUM(R342:R343)</f>
        <v>0</v>
      </c>
      <c r="S341" s="78">
        <f>SUM(S342:S343)</f>
        <v>0</v>
      </c>
      <c r="T341" s="78">
        <f>SUM(T342:T343)</f>
        <v>4069083.7199999997</v>
      </c>
      <c r="U341" s="78">
        <f t="shared" si="19"/>
        <v>3328.7661321989526</v>
      </c>
      <c r="V341" s="78">
        <f>MAX(V342:V343)</f>
        <v>8265.9378727897856</v>
      </c>
    </row>
    <row r="342" spans="1:22" s="79" customFormat="1" ht="36" customHeight="1" x14ac:dyDescent="0.25">
      <c r="A342" s="79">
        <v>1</v>
      </c>
      <c r="B342" s="80">
        <f>SUBTOTAL(103,$A$16:A342)</f>
        <v>310</v>
      </c>
      <c r="C342" s="77" t="s">
        <v>230</v>
      </c>
      <c r="D342" s="233">
        <v>1984</v>
      </c>
      <c r="E342" s="233"/>
      <c r="F342" s="233" t="s">
        <v>298</v>
      </c>
      <c r="G342" s="233">
        <v>2</v>
      </c>
      <c r="H342" s="233" t="s">
        <v>290</v>
      </c>
      <c r="I342" s="78">
        <v>611.6</v>
      </c>
      <c r="J342" s="78">
        <v>556</v>
      </c>
      <c r="K342" s="78">
        <v>556</v>
      </c>
      <c r="L342" s="239">
        <v>22</v>
      </c>
      <c r="M342" s="233" t="s">
        <v>254</v>
      </c>
      <c r="N342" s="233" t="s">
        <v>255</v>
      </c>
      <c r="O342" s="236" t="s">
        <v>257</v>
      </c>
      <c r="P342" s="78">
        <v>1936809.91</v>
      </c>
      <c r="Q342" s="78">
        <v>0</v>
      </c>
      <c r="R342" s="78">
        <v>0</v>
      </c>
      <c r="S342" s="78">
        <v>0</v>
      </c>
      <c r="T342" s="78">
        <f>P342-R342-S342</f>
        <v>1936809.91</v>
      </c>
      <c r="U342" s="78">
        <f t="shared" si="19"/>
        <v>3166.7918737737082</v>
      </c>
      <c r="V342" s="78">
        <v>8260.1011618705033</v>
      </c>
    </row>
    <row r="343" spans="1:22" s="79" customFormat="1" ht="36" customHeight="1" x14ac:dyDescent="0.25">
      <c r="A343" s="79">
        <v>1</v>
      </c>
      <c r="B343" s="80">
        <f>SUBTOTAL(103,$A$16:A343)</f>
        <v>311</v>
      </c>
      <c r="C343" s="77" t="s">
        <v>1141</v>
      </c>
      <c r="D343" s="233">
        <v>1984</v>
      </c>
      <c r="E343" s="233"/>
      <c r="F343" s="233" t="s">
        <v>304</v>
      </c>
      <c r="G343" s="233">
        <v>2</v>
      </c>
      <c r="H343" s="233" t="s">
        <v>290</v>
      </c>
      <c r="I343" s="78">
        <v>610.79999999999995</v>
      </c>
      <c r="J343" s="78">
        <v>610.79999999999995</v>
      </c>
      <c r="K343" s="78">
        <v>610.79999999999995</v>
      </c>
      <c r="L343" s="239">
        <v>22</v>
      </c>
      <c r="M343" s="233" t="s">
        <v>254</v>
      </c>
      <c r="N343" s="233" t="s">
        <v>255</v>
      </c>
      <c r="O343" s="236" t="s">
        <v>257</v>
      </c>
      <c r="P343" s="78">
        <v>2132273.81</v>
      </c>
      <c r="Q343" s="78">
        <v>0</v>
      </c>
      <c r="R343" s="78">
        <v>0</v>
      </c>
      <c r="S343" s="78">
        <v>0</v>
      </c>
      <c r="T343" s="78">
        <f>P343-R343-S343</f>
        <v>2132273.81</v>
      </c>
      <c r="U343" s="78">
        <f t="shared" si="19"/>
        <v>3490.9525376555339</v>
      </c>
      <c r="V343" s="78">
        <v>8265.9378727897856</v>
      </c>
    </row>
    <row r="344" spans="1:22" s="79" customFormat="1" ht="36" customHeight="1" x14ac:dyDescent="0.25">
      <c r="B344" s="77" t="s">
        <v>772</v>
      </c>
      <c r="C344" s="243"/>
      <c r="D344" s="233" t="s">
        <v>835</v>
      </c>
      <c r="E344" s="233" t="s">
        <v>835</v>
      </c>
      <c r="F344" s="233" t="s">
        <v>835</v>
      </c>
      <c r="G344" s="233" t="s">
        <v>835</v>
      </c>
      <c r="H344" s="233" t="s">
        <v>835</v>
      </c>
      <c r="I344" s="234">
        <f>SUM(I345:I346)</f>
        <v>1746.5</v>
      </c>
      <c r="J344" s="234">
        <f>SUM(J345:J346)</f>
        <v>1598.5</v>
      </c>
      <c r="K344" s="234">
        <f>SUM(K345:K346)</f>
        <v>1598.5</v>
      </c>
      <c r="L344" s="235">
        <f>SUM(L345:L346)</f>
        <v>78</v>
      </c>
      <c r="M344" s="233" t="s">
        <v>835</v>
      </c>
      <c r="N344" s="233" t="s">
        <v>835</v>
      </c>
      <c r="O344" s="236" t="s">
        <v>835</v>
      </c>
      <c r="P344" s="241">
        <v>5178138.5</v>
      </c>
      <c r="Q344" s="78">
        <f>SUM(Q345:Q346)</f>
        <v>0</v>
      </c>
      <c r="R344" s="78">
        <f>SUM(R345:R346)</f>
        <v>0</v>
      </c>
      <c r="S344" s="78">
        <f>SUM(S345:S346)</f>
        <v>0</v>
      </c>
      <c r="T344" s="78">
        <f>SUM(T345:T346)</f>
        <v>5178138.5</v>
      </c>
      <c r="U344" s="78">
        <f t="shared" si="19"/>
        <v>2964.8660177497854</v>
      </c>
      <c r="V344" s="78">
        <f>MAX(V345:V346)</f>
        <v>6931.2022470018937</v>
      </c>
    </row>
    <row r="345" spans="1:22" s="79" customFormat="1" ht="36" customHeight="1" x14ac:dyDescent="0.25">
      <c r="A345" s="79">
        <v>1</v>
      </c>
      <c r="B345" s="80">
        <f>SUBTOTAL(103,$A$16:A345)</f>
        <v>312</v>
      </c>
      <c r="C345" s="244" t="s">
        <v>0</v>
      </c>
      <c r="D345" s="233">
        <v>1975</v>
      </c>
      <c r="E345" s="233"/>
      <c r="F345" s="233" t="s">
        <v>256</v>
      </c>
      <c r="G345" s="233">
        <v>2</v>
      </c>
      <c r="H345" s="233" t="s">
        <v>290</v>
      </c>
      <c r="I345" s="78">
        <v>795.9</v>
      </c>
      <c r="J345" s="78">
        <v>735.5</v>
      </c>
      <c r="K345" s="78">
        <v>735.5</v>
      </c>
      <c r="L345" s="239">
        <v>42</v>
      </c>
      <c r="M345" s="233" t="s">
        <v>254</v>
      </c>
      <c r="N345" s="233" t="s">
        <v>255</v>
      </c>
      <c r="O345" s="236" t="s">
        <v>257</v>
      </c>
      <c r="P345" s="78">
        <v>2834457.48</v>
      </c>
      <c r="Q345" s="78">
        <v>0</v>
      </c>
      <c r="R345" s="78">
        <v>0</v>
      </c>
      <c r="S345" s="78">
        <v>0</v>
      </c>
      <c r="T345" s="78">
        <f>P345-R345-S345</f>
        <v>2834457.48</v>
      </c>
      <c r="U345" s="78">
        <f t="shared" si="19"/>
        <v>3561.3236336223144</v>
      </c>
      <c r="V345" s="78">
        <v>6925.0187510993856</v>
      </c>
    </row>
    <row r="346" spans="1:22" s="79" customFormat="1" ht="36" customHeight="1" x14ac:dyDescent="0.25">
      <c r="A346" s="79">
        <v>1</v>
      </c>
      <c r="B346" s="80">
        <f>SUBTOTAL(103,$A$16:A346)</f>
        <v>313</v>
      </c>
      <c r="C346" s="77" t="s">
        <v>5</v>
      </c>
      <c r="D346" s="233">
        <v>1979</v>
      </c>
      <c r="E346" s="233"/>
      <c r="F346" s="233" t="s">
        <v>256</v>
      </c>
      <c r="G346" s="233">
        <v>2</v>
      </c>
      <c r="H346" s="233" t="s">
        <v>299</v>
      </c>
      <c r="I346" s="78">
        <v>950.6</v>
      </c>
      <c r="J346" s="78">
        <v>863</v>
      </c>
      <c r="K346" s="78">
        <v>863</v>
      </c>
      <c r="L346" s="239">
        <v>36</v>
      </c>
      <c r="M346" s="233" t="s">
        <v>254</v>
      </c>
      <c r="N346" s="233" t="s">
        <v>255</v>
      </c>
      <c r="O346" s="236" t="s">
        <v>257</v>
      </c>
      <c r="P346" s="78">
        <v>2343681.02</v>
      </c>
      <c r="Q346" s="78">
        <v>0</v>
      </c>
      <c r="R346" s="78">
        <v>0</v>
      </c>
      <c r="S346" s="78">
        <v>0</v>
      </c>
      <c r="T346" s="78">
        <f>P346-R346-S346</f>
        <v>2343681.02</v>
      </c>
      <c r="U346" s="78">
        <f t="shared" si="19"/>
        <v>2465.4755102040817</v>
      </c>
      <c r="V346" s="78">
        <v>6931.2022470018937</v>
      </c>
    </row>
    <row r="347" spans="1:22" s="79" customFormat="1" ht="36" customHeight="1" x14ac:dyDescent="0.25">
      <c r="B347" s="77" t="s">
        <v>773</v>
      </c>
      <c r="C347" s="240"/>
      <c r="D347" s="233" t="s">
        <v>835</v>
      </c>
      <c r="E347" s="233" t="s">
        <v>835</v>
      </c>
      <c r="F347" s="233" t="s">
        <v>835</v>
      </c>
      <c r="G347" s="233" t="s">
        <v>835</v>
      </c>
      <c r="H347" s="233" t="s">
        <v>835</v>
      </c>
      <c r="I347" s="234">
        <f>SUM(I348:I350)</f>
        <v>5843.6</v>
      </c>
      <c r="J347" s="234">
        <f>SUM(J348:J350)</f>
        <v>5341</v>
      </c>
      <c r="K347" s="234">
        <f>SUM(K348:K350)</f>
        <v>4976.3</v>
      </c>
      <c r="L347" s="235">
        <f>SUM(L348:L350)</f>
        <v>224</v>
      </c>
      <c r="M347" s="233" t="s">
        <v>835</v>
      </c>
      <c r="N347" s="233" t="s">
        <v>835</v>
      </c>
      <c r="O347" s="236" t="s">
        <v>835</v>
      </c>
      <c r="P347" s="237">
        <v>8426851.959999999</v>
      </c>
      <c r="Q347" s="234">
        <f>SUM(Q348:Q350)</f>
        <v>0</v>
      </c>
      <c r="R347" s="234">
        <f>SUM(R348:R350)</f>
        <v>0</v>
      </c>
      <c r="S347" s="234">
        <f>SUM(S348:S350)</f>
        <v>0</v>
      </c>
      <c r="T347" s="234">
        <f>SUM(T348:T350)</f>
        <v>8426851.959999999</v>
      </c>
      <c r="U347" s="78">
        <f t="shared" si="19"/>
        <v>1442.0651584639604</v>
      </c>
      <c r="V347" s="78">
        <f>MAX(V348:V350)</f>
        <v>8027.3087964601782</v>
      </c>
    </row>
    <row r="348" spans="1:22" s="79" customFormat="1" ht="36" customHeight="1" x14ac:dyDescent="0.25">
      <c r="A348" s="79">
        <v>1</v>
      </c>
      <c r="B348" s="80">
        <f>SUBTOTAL(103,$A$16:A348)</f>
        <v>314</v>
      </c>
      <c r="C348" s="77" t="s">
        <v>643</v>
      </c>
      <c r="D348" s="233">
        <v>1928</v>
      </c>
      <c r="E348" s="233"/>
      <c r="F348" s="233" t="s">
        <v>316</v>
      </c>
      <c r="G348" s="233" t="s">
        <v>290</v>
      </c>
      <c r="H348" s="233" t="s">
        <v>291</v>
      </c>
      <c r="I348" s="78">
        <v>253.1</v>
      </c>
      <c r="J348" s="78">
        <v>231.8</v>
      </c>
      <c r="K348" s="78">
        <v>231.8</v>
      </c>
      <c r="L348" s="239">
        <v>14</v>
      </c>
      <c r="M348" s="233" t="s">
        <v>254</v>
      </c>
      <c r="N348" s="233" t="s">
        <v>258</v>
      </c>
      <c r="O348" s="236" t="s">
        <v>676</v>
      </c>
      <c r="P348" s="78">
        <v>51949.1</v>
      </c>
      <c r="Q348" s="78">
        <v>0</v>
      </c>
      <c r="R348" s="78">
        <v>0</v>
      </c>
      <c r="S348" s="78">
        <v>0</v>
      </c>
      <c r="T348" s="78">
        <f>P348-R348-S348</f>
        <v>51949.1</v>
      </c>
      <c r="U348" s="78">
        <f t="shared" si="19"/>
        <v>205.25128407743975</v>
      </c>
      <c r="V348" s="78">
        <v>205.25128407743975</v>
      </c>
    </row>
    <row r="349" spans="1:22" s="79" customFormat="1" ht="36" customHeight="1" x14ac:dyDescent="0.25">
      <c r="A349" s="79">
        <v>1</v>
      </c>
      <c r="B349" s="80">
        <f>SUBTOTAL(103,$A$16:A349)</f>
        <v>315</v>
      </c>
      <c r="C349" s="77" t="s">
        <v>1144</v>
      </c>
      <c r="D349" s="233">
        <v>1972</v>
      </c>
      <c r="E349" s="233">
        <v>2010</v>
      </c>
      <c r="F349" s="233" t="s">
        <v>256</v>
      </c>
      <c r="G349" s="233">
        <v>5</v>
      </c>
      <c r="H349" s="233" t="s">
        <v>299</v>
      </c>
      <c r="I349" s="78">
        <v>5138.5</v>
      </c>
      <c r="J349" s="78">
        <v>4692.3</v>
      </c>
      <c r="K349" s="78">
        <v>4327.6000000000004</v>
      </c>
      <c r="L349" s="239">
        <v>197</v>
      </c>
      <c r="M349" s="233" t="s">
        <v>254</v>
      </c>
      <c r="N349" s="233" t="s">
        <v>258</v>
      </c>
      <c r="O349" s="236" t="s">
        <v>676</v>
      </c>
      <c r="P349" s="78">
        <v>6562845.1299999999</v>
      </c>
      <c r="Q349" s="78">
        <v>0</v>
      </c>
      <c r="R349" s="78">
        <v>0</v>
      </c>
      <c r="S349" s="78">
        <v>0</v>
      </c>
      <c r="T349" s="78">
        <f>P349-R349-S349</f>
        <v>6562845.1299999999</v>
      </c>
      <c r="U349" s="78">
        <f t="shared" si="19"/>
        <v>1277.1908397392235</v>
      </c>
      <c r="V349" s="78">
        <v>3259.66</v>
      </c>
    </row>
    <row r="350" spans="1:22" s="79" customFormat="1" ht="36" customHeight="1" x14ac:dyDescent="0.25">
      <c r="A350" s="79">
        <v>1</v>
      </c>
      <c r="B350" s="80">
        <f>SUBTOTAL(103,$A$16:A350)</f>
        <v>316</v>
      </c>
      <c r="C350" s="77" t="s">
        <v>1475</v>
      </c>
      <c r="D350" s="233">
        <v>1985</v>
      </c>
      <c r="E350" s="233"/>
      <c r="F350" s="233" t="s">
        <v>256</v>
      </c>
      <c r="G350" s="233">
        <v>2</v>
      </c>
      <c r="H350" s="233" t="s">
        <v>291</v>
      </c>
      <c r="I350" s="78">
        <v>452</v>
      </c>
      <c r="J350" s="78">
        <v>416.9</v>
      </c>
      <c r="K350" s="78">
        <v>416.9</v>
      </c>
      <c r="L350" s="239">
        <v>13</v>
      </c>
      <c r="M350" s="233" t="s">
        <v>254</v>
      </c>
      <c r="N350" s="233" t="s">
        <v>258</v>
      </c>
      <c r="O350" s="236" t="s">
        <v>1483</v>
      </c>
      <c r="P350" s="78">
        <v>1812057.73</v>
      </c>
      <c r="Q350" s="78">
        <v>0</v>
      </c>
      <c r="R350" s="78">
        <v>0</v>
      </c>
      <c r="S350" s="78">
        <v>0</v>
      </c>
      <c r="T350" s="78">
        <f>P350-S350-R350</f>
        <v>1812057.73</v>
      </c>
      <c r="U350" s="78">
        <f t="shared" si="19"/>
        <v>4008.9772787610618</v>
      </c>
      <c r="V350" s="78">
        <v>8027.3087964601782</v>
      </c>
    </row>
    <row r="351" spans="1:22" s="79" customFormat="1" ht="36" customHeight="1" x14ac:dyDescent="0.25">
      <c r="B351" s="77" t="s">
        <v>774</v>
      </c>
      <c r="C351" s="77"/>
      <c r="D351" s="233" t="s">
        <v>835</v>
      </c>
      <c r="E351" s="233" t="s">
        <v>835</v>
      </c>
      <c r="F351" s="233" t="s">
        <v>835</v>
      </c>
      <c r="G351" s="233" t="s">
        <v>835</v>
      </c>
      <c r="H351" s="233" t="s">
        <v>835</v>
      </c>
      <c r="I351" s="234">
        <f>SUM(I352:I353)</f>
        <v>9076.82</v>
      </c>
      <c r="J351" s="234">
        <f>SUM(J352:J353)</f>
        <v>7152</v>
      </c>
      <c r="K351" s="234">
        <f>SUM(K352:K353)</f>
        <v>7030.7999999999993</v>
      </c>
      <c r="L351" s="235">
        <f>SUM(L352:L353)</f>
        <v>298</v>
      </c>
      <c r="M351" s="233" t="s">
        <v>835</v>
      </c>
      <c r="N351" s="233" t="s">
        <v>835</v>
      </c>
      <c r="O351" s="236" t="s">
        <v>835</v>
      </c>
      <c r="P351" s="237">
        <v>7968708.8700000001</v>
      </c>
      <c r="Q351" s="234">
        <f>SUM(Q352:Q353)</f>
        <v>0</v>
      </c>
      <c r="R351" s="234">
        <f>SUM(R352:R353)</f>
        <v>0</v>
      </c>
      <c r="S351" s="234">
        <f>SUM(S352:S353)</f>
        <v>0</v>
      </c>
      <c r="T351" s="234">
        <f>SUM(T352:T353)</f>
        <v>7968708.8700000001</v>
      </c>
      <c r="U351" s="78">
        <f t="shared" si="19"/>
        <v>877.91857390583937</v>
      </c>
      <c r="V351" s="78">
        <f>MAX(V352:V353)</f>
        <v>3444.64</v>
      </c>
    </row>
    <row r="352" spans="1:22" s="79" customFormat="1" ht="36" customHeight="1" x14ac:dyDescent="0.25">
      <c r="A352" s="79">
        <v>1</v>
      </c>
      <c r="B352" s="80">
        <f>SUBTOTAL(103,$A$16:A352)</f>
        <v>317</v>
      </c>
      <c r="C352" s="77" t="s">
        <v>649</v>
      </c>
      <c r="D352" s="233">
        <v>1976</v>
      </c>
      <c r="E352" s="233">
        <v>2007</v>
      </c>
      <c r="F352" s="233" t="s">
        <v>298</v>
      </c>
      <c r="G352" s="233">
        <v>5</v>
      </c>
      <c r="H352" s="233" t="s">
        <v>355</v>
      </c>
      <c r="I352" s="78">
        <v>5095.72</v>
      </c>
      <c r="J352" s="78">
        <v>4603.3999999999996</v>
      </c>
      <c r="K352" s="78">
        <v>4482.2</v>
      </c>
      <c r="L352" s="239">
        <v>160</v>
      </c>
      <c r="M352" s="233" t="s">
        <v>254</v>
      </c>
      <c r="N352" s="233" t="s">
        <v>258</v>
      </c>
      <c r="O352" s="236" t="s">
        <v>677</v>
      </c>
      <c r="P352" s="78">
        <v>3211417.2</v>
      </c>
      <c r="Q352" s="78">
        <v>0</v>
      </c>
      <c r="R352" s="78">
        <v>0</v>
      </c>
      <c r="S352" s="78">
        <v>0</v>
      </c>
      <c r="T352" s="78">
        <f>P352-R352-S352</f>
        <v>3211417.2</v>
      </c>
      <c r="U352" s="78">
        <f t="shared" si="19"/>
        <v>630.21853634030128</v>
      </c>
      <c r="V352" s="78">
        <v>2002.804436036517</v>
      </c>
    </row>
    <row r="353" spans="1:22" s="79" customFormat="1" ht="36" customHeight="1" x14ac:dyDescent="0.25">
      <c r="A353" s="79">
        <v>1</v>
      </c>
      <c r="B353" s="80">
        <f>SUBTOTAL(103,$A$16:A353)</f>
        <v>318</v>
      </c>
      <c r="C353" s="77" t="s">
        <v>1145</v>
      </c>
      <c r="D353" s="233">
        <v>1975</v>
      </c>
      <c r="E353" s="233">
        <v>2015</v>
      </c>
      <c r="F353" s="233" t="s">
        <v>256</v>
      </c>
      <c r="G353" s="233">
        <v>3</v>
      </c>
      <c r="H353" s="233" t="s">
        <v>290</v>
      </c>
      <c r="I353" s="78">
        <v>3981.1</v>
      </c>
      <c r="J353" s="78">
        <v>2548.6</v>
      </c>
      <c r="K353" s="78">
        <v>2548.6</v>
      </c>
      <c r="L353" s="239">
        <v>138</v>
      </c>
      <c r="M353" s="233" t="s">
        <v>254</v>
      </c>
      <c r="N353" s="233" t="s">
        <v>258</v>
      </c>
      <c r="O353" s="236" t="s">
        <v>676</v>
      </c>
      <c r="P353" s="78">
        <v>4757291.67</v>
      </c>
      <c r="Q353" s="78">
        <v>0</v>
      </c>
      <c r="R353" s="78">
        <v>0</v>
      </c>
      <c r="S353" s="78">
        <v>0</v>
      </c>
      <c r="T353" s="78">
        <f>P353-R353-S353</f>
        <v>4757291.67</v>
      </c>
      <c r="U353" s="78">
        <f t="shared" si="19"/>
        <v>1194.9691467182438</v>
      </c>
      <c r="V353" s="78">
        <v>3444.64</v>
      </c>
    </row>
    <row r="354" spans="1:22" s="79" customFormat="1" ht="36" customHeight="1" x14ac:dyDescent="0.25">
      <c r="B354" s="77" t="s">
        <v>775</v>
      </c>
      <c r="C354" s="77"/>
      <c r="D354" s="233" t="s">
        <v>835</v>
      </c>
      <c r="E354" s="233" t="s">
        <v>835</v>
      </c>
      <c r="F354" s="233" t="s">
        <v>835</v>
      </c>
      <c r="G354" s="233" t="s">
        <v>835</v>
      </c>
      <c r="H354" s="233" t="s">
        <v>835</v>
      </c>
      <c r="I354" s="234">
        <f>I355</f>
        <v>846.4</v>
      </c>
      <c r="J354" s="234">
        <f>J355</f>
        <v>794.7</v>
      </c>
      <c r="K354" s="234">
        <f>K355</f>
        <v>794.7</v>
      </c>
      <c r="L354" s="235">
        <f>L355</f>
        <v>26</v>
      </c>
      <c r="M354" s="233" t="s">
        <v>835</v>
      </c>
      <c r="N354" s="233" t="s">
        <v>835</v>
      </c>
      <c r="O354" s="236" t="s">
        <v>835</v>
      </c>
      <c r="P354" s="241">
        <v>1861701.91</v>
      </c>
      <c r="Q354" s="78">
        <f>Q355</f>
        <v>0</v>
      </c>
      <c r="R354" s="78">
        <f>R355</f>
        <v>0</v>
      </c>
      <c r="S354" s="78">
        <f>S355</f>
        <v>0</v>
      </c>
      <c r="T354" s="78">
        <f>T355</f>
        <v>1861701.91</v>
      </c>
      <c r="U354" s="78">
        <f t="shared" si="19"/>
        <v>2199.5532963137994</v>
      </c>
      <c r="V354" s="78">
        <f>MAX(V355)</f>
        <v>6005.0954631379973</v>
      </c>
    </row>
    <row r="355" spans="1:22" s="79" customFormat="1" ht="36" customHeight="1" x14ac:dyDescent="0.25">
      <c r="A355" s="79">
        <v>1</v>
      </c>
      <c r="B355" s="80">
        <f>SUBTOTAL(103,$A$16:A355)</f>
        <v>319</v>
      </c>
      <c r="C355" s="77" t="s">
        <v>741</v>
      </c>
      <c r="D355" s="233">
        <v>1981</v>
      </c>
      <c r="E355" s="233"/>
      <c r="F355" s="233" t="s">
        <v>256</v>
      </c>
      <c r="G355" s="233">
        <v>2</v>
      </c>
      <c r="H355" s="233" t="s">
        <v>299</v>
      </c>
      <c r="I355" s="78">
        <v>846.4</v>
      </c>
      <c r="J355" s="78">
        <v>794.7</v>
      </c>
      <c r="K355" s="78">
        <v>794.7</v>
      </c>
      <c r="L355" s="239">
        <v>26</v>
      </c>
      <c r="M355" s="233" t="s">
        <v>254</v>
      </c>
      <c r="N355" s="233" t="s">
        <v>258</v>
      </c>
      <c r="O355" s="236" t="s">
        <v>676</v>
      </c>
      <c r="P355" s="78">
        <v>1861701.91</v>
      </c>
      <c r="Q355" s="78">
        <v>0</v>
      </c>
      <c r="R355" s="78">
        <v>0</v>
      </c>
      <c r="S355" s="78">
        <v>0</v>
      </c>
      <c r="T355" s="78">
        <f>P355-R355-S355</f>
        <v>1861701.91</v>
      </c>
      <c r="U355" s="78">
        <f t="shared" si="19"/>
        <v>2199.5532963137994</v>
      </c>
      <c r="V355" s="78">
        <v>6005.0954631379973</v>
      </c>
    </row>
    <row r="356" spans="1:22" s="79" customFormat="1" ht="36" customHeight="1" x14ac:dyDescent="0.25">
      <c r="B356" s="77" t="s">
        <v>776</v>
      </c>
      <c r="C356" s="240"/>
      <c r="D356" s="233" t="s">
        <v>835</v>
      </c>
      <c r="E356" s="233" t="s">
        <v>835</v>
      </c>
      <c r="F356" s="233" t="s">
        <v>835</v>
      </c>
      <c r="G356" s="233" t="s">
        <v>835</v>
      </c>
      <c r="H356" s="233" t="s">
        <v>835</v>
      </c>
      <c r="I356" s="234">
        <f>SUM(I357:I373)</f>
        <v>50658.080000000002</v>
      </c>
      <c r="J356" s="234">
        <f>SUM(J357:J373)</f>
        <v>46583.81</v>
      </c>
      <c r="K356" s="234">
        <f>SUM(K357:K373)</f>
        <v>46463.209999999992</v>
      </c>
      <c r="L356" s="235">
        <f>SUM(L357:L373)</f>
        <v>1648</v>
      </c>
      <c r="M356" s="233" t="s">
        <v>835</v>
      </c>
      <c r="N356" s="233" t="s">
        <v>835</v>
      </c>
      <c r="O356" s="236" t="s">
        <v>835</v>
      </c>
      <c r="P356" s="237">
        <v>44397073.310000002</v>
      </c>
      <c r="Q356" s="234">
        <f>SUM(Q357:Q373)</f>
        <v>0</v>
      </c>
      <c r="R356" s="234">
        <f>SUM(R357:R373)</f>
        <v>0</v>
      </c>
      <c r="S356" s="234">
        <f>SUM(S357:S373)</f>
        <v>0</v>
      </c>
      <c r="T356" s="234">
        <f>SUM(T357:T373)</f>
        <v>44397073.310000002</v>
      </c>
      <c r="U356" s="78">
        <f t="shared" si="19"/>
        <v>876.40655370278546</v>
      </c>
      <c r="V356" s="78">
        <f>MAX(V357:V373)</f>
        <v>9726.5180697563319</v>
      </c>
    </row>
    <row r="357" spans="1:22" s="79" customFormat="1" ht="36" customHeight="1" x14ac:dyDescent="0.25">
      <c r="A357" s="79">
        <v>1</v>
      </c>
      <c r="B357" s="80">
        <f>SUBTOTAL(103,$A$16:A357)</f>
        <v>320</v>
      </c>
      <c r="C357" s="77" t="s">
        <v>112</v>
      </c>
      <c r="D357" s="233">
        <v>1973</v>
      </c>
      <c r="E357" s="233"/>
      <c r="F357" s="233" t="s">
        <v>256</v>
      </c>
      <c r="G357" s="233">
        <v>2</v>
      </c>
      <c r="H357" s="233" t="s">
        <v>290</v>
      </c>
      <c r="I357" s="78">
        <v>781.06</v>
      </c>
      <c r="J357" s="78">
        <v>721</v>
      </c>
      <c r="K357" s="78">
        <v>721</v>
      </c>
      <c r="L357" s="239">
        <v>38</v>
      </c>
      <c r="M357" s="233" t="s">
        <v>254</v>
      </c>
      <c r="N357" s="233" t="s">
        <v>258</v>
      </c>
      <c r="O357" s="236" t="s">
        <v>272</v>
      </c>
      <c r="P357" s="78">
        <v>54256.44</v>
      </c>
      <c r="Q357" s="78">
        <v>0</v>
      </c>
      <c r="R357" s="78">
        <v>0</v>
      </c>
      <c r="S357" s="78">
        <v>0</v>
      </c>
      <c r="T357" s="78">
        <f t="shared" ref="T357:T373" si="20">P357-R357-S357</f>
        <v>54256.44</v>
      </c>
      <c r="U357" s="78">
        <f t="shared" si="19"/>
        <v>69.465137121347922</v>
      </c>
      <c r="V357" s="78">
        <v>69.465137121347922</v>
      </c>
    </row>
    <row r="358" spans="1:22" s="79" customFormat="1" ht="36" customHeight="1" x14ac:dyDescent="0.25">
      <c r="A358" s="79">
        <v>1</v>
      </c>
      <c r="B358" s="80">
        <f>SUBTOTAL(103,$A$16:A358)</f>
        <v>321</v>
      </c>
      <c r="C358" s="77" t="s">
        <v>115</v>
      </c>
      <c r="D358" s="233">
        <v>1972</v>
      </c>
      <c r="E358" s="233"/>
      <c r="F358" s="233" t="s">
        <v>256</v>
      </c>
      <c r="G358" s="233">
        <v>2</v>
      </c>
      <c r="H358" s="233" t="s">
        <v>290</v>
      </c>
      <c r="I358" s="78">
        <v>788.14</v>
      </c>
      <c r="J358" s="78">
        <v>731.68</v>
      </c>
      <c r="K358" s="78">
        <v>731.68</v>
      </c>
      <c r="L358" s="239">
        <v>38</v>
      </c>
      <c r="M358" s="233" t="s">
        <v>254</v>
      </c>
      <c r="N358" s="233" t="s">
        <v>258</v>
      </c>
      <c r="O358" s="236" t="s">
        <v>272</v>
      </c>
      <c r="P358" s="78">
        <v>2480548.0700000003</v>
      </c>
      <c r="Q358" s="78">
        <v>0</v>
      </c>
      <c r="R358" s="78">
        <v>0</v>
      </c>
      <c r="S358" s="78">
        <v>0</v>
      </c>
      <c r="T358" s="78">
        <f t="shared" si="20"/>
        <v>2480548.0700000003</v>
      </c>
      <c r="U358" s="78">
        <f t="shared" si="19"/>
        <v>3147.3444692567314</v>
      </c>
      <c r="V358" s="78">
        <v>6980.077978024211</v>
      </c>
    </row>
    <row r="359" spans="1:22" s="79" customFormat="1" ht="36" customHeight="1" x14ac:dyDescent="0.25">
      <c r="A359" s="79">
        <v>1</v>
      </c>
      <c r="B359" s="80">
        <f>SUBTOTAL(103,$A$16:A359)</f>
        <v>322</v>
      </c>
      <c r="C359" s="77" t="s">
        <v>111</v>
      </c>
      <c r="D359" s="233">
        <v>1969</v>
      </c>
      <c r="E359" s="233"/>
      <c r="F359" s="233" t="s">
        <v>256</v>
      </c>
      <c r="G359" s="233">
        <v>2</v>
      </c>
      <c r="H359" s="233" t="s">
        <v>290</v>
      </c>
      <c r="I359" s="78">
        <v>399.42</v>
      </c>
      <c r="J359" s="78">
        <v>370.5</v>
      </c>
      <c r="K359" s="78">
        <v>370.5</v>
      </c>
      <c r="L359" s="239">
        <v>15</v>
      </c>
      <c r="M359" s="233" t="s">
        <v>254</v>
      </c>
      <c r="N359" s="233" t="s">
        <v>258</v>
      </c>
      <c r="O359" s="236" t="s">
        <v>272</v>
      </c>
      <c r="P359" s="78">
        <v>1443898.48</v>
      </c>
      <c r="Q359" s="78">
        <v>0</v>
      </c>
      <c r="R359" s="78">
        <v>0</v>
      </c>
      <c r="S359" s="78">
        <v>0</v>
      </c>
      <c r="T359" s="78">
        <f t="shared" si="20"/>
        <v>1443898.48</v>
      </c>
      <c r="U359" s="78">
        <f t="shared" si="19"/>
        <v>3614.9879325021279</v>
      </c>
      <c r="V359" s="78">
        <v>7599.4201992889693</v>
      </c>
    </row>
    <row r="360" spans="1:22" s="79" customFormat="1" ht="36" customHeight="1" x14ac:dyDescent="0.25">
      <c r="A360" s="79">
        <v>1</v>
      </c>
      <c r="B360" s="80">
        <f>SUBTOTAL(103,$A$16:A360)</f>
        <v>323</v>
      </c>
      <c r="C360" s="77" t="s">
        <v>113</v>
      </c>
      <c r="D360" s="233">
        <v>1972</v>
      </c>
      <c r="E360" s="233"/>
      <c r="F360" s="233" t="s">
        <v>275</v>
      </c>
      <c r="G360" s="233">
        <v>5</v>
      </c>
      <c r="H360" s="233" t="s">
        <v>337</v>
      </c>
      <c r="I360" s="78">
        <v>5806.44</v>
      </c>
      <c r="J360" s="78">
        <v>4487.95</v>
      </c>
      <c r="K360" s="78">
        <v>4487.95</v>
      </c>
      <c r="L360" s="239">
        <v>211</v>
      </c>
      <c r="M360" s="233" t="s">
        <v>254</v>
      </c>
      <c r="N360" s="233" t="s">
        <v>258</v>
      </c>
      <c r="O360" s="236" t="s">
        <v>273</v>
      </c>
      <c r="P360" s="78">
        <v>4557103.54</v>
      </c>
      <c r="Q360" s="78">
        <v>0</v>
      </c>
      <c r="R360" s="78">
        <v>0</v>
      </c>
      <c r="S360" s="78">
        <v>0</v>
      </c>
      <c r="T360" s="78">
        <f t="shared" si="20"/>
        <v>4557103.54</v>
      </c>
      <c r="U360" s="78">
        <f t="shared" si="19"/>
        <v>784.83606822769207</v>
      </c>
      <c r="V360" s="78">
        <v>1897.3765198641513</v>
      </c>
    </row>
    <row r="361" spans="1:22" s="79" customFormat="1" ht="36" customHeight="1" x14ac:dyDescent="0.25">
      <c r="A361" s="79">
        <v>1</v>
      </c>
      <c r="B361" s="80">
        <f>SUBTOTAL(103,$A$16:A361)</f>
        <v>324</v>
      </c>
      <c r="C361" s="77" t="s">
        <v>114</v>
      </c>
      <c r="D361" s="233">
        <v>1973</v>
      </c>
      <c r="E361" s="233"/>
      <c r="F361" s="233" t="s">
        <v>275</v>
      </c>
      <c r="G361" s="233">
        <v>5</v>
      </c>
      <c r="H361" s="233" t="s">
        <v>355</v>
      </c>
      <c r="I361" s="78">
        <v>6042.57</v>
      </c>
      <c r="J361" s="78">
        <v>6042.57</v>
      </c>
      <c r="K361" s="78">
        <v>6042.57</v>
      </c>
      <c r="L361" s="239">
        <v>176</v>
      </c>
      <c r="M361" s="233" t="s">
        <v>254</v>
      </c>
      <c r="N361" s="233" t="s">
        <v>258</v>
      </c>
      <c r="O361" s="236" t="s">
        <v>273</v>
      </c>
      <c r="P361" s="78">
        <v>4223582.3699999992</v>
      </c>
      <c r="Q361" s="78">
        <v>0</v>
      </c>
      <c r="R361" s="78">
        <v>0</v>
      </c>
      <c r="S361" s="78">
        <v>0</v>
      </c>
      <c r="T361" s="78">
        <f t="shared" si="20"/>
        <v>4223582.3699999992</v>
      </c>
      <c r="U361" s="78">
        <f t="shared" si="19"/>
        <v>698.97119437590288</v>
      </c>
      <c r="V361" s="78">
        <v>1636.8204964443939</v>
      </c>
    </row>
    <row r="362" spans="1:22" s="79" customFormat="1" ht="36" customHeight="1" x14ac:dyDescent="0.25">
      <c r="A362" s="79">
        <v>1</v>
      </c>
      <c r="B362" s="80">
        <f>SUBTOTAL(103,$A$16:A362)</f>
        <v>325</v>
      </c>
      <c r="C362" s="77" t="s">
        <v>116</v>
      </c>
      <c r="D362" s="233">
        <v>1973</v>
      </c>
      <c r="E362" s="233"/>
      <c r="F362" s="233" t="s">
        <v>256</v>
      </c>
      <c r="G362" s="233">
        <v>2</v>
      </c>
      <c r="H362" s="233" t="s">
        <v>290</v>
      </c>
      <c r="I362" s="78">
        <v>787.52</v>
      </c>
      <c r="J362" s="78">
        <v>787.52</v>
      </c>
      <c r="K362" s="78">
        <v>787.52</v>
      </c>
      <c r="L362" s="239">
        <v>30</v>
      </c>
      <c r="M362" s="233" t="s">
        <v>254</v>
      </c>
      <c r="N362" s="233" t="s">
        <v>258</v>
      </c>
      <c r="O362" s="236" t="s">
        <v>273</v>
      </c>
      <c r="P362" s="78">
        <v>3024337.71</v>
      </c>
      <c r="Q362" s="78">
        <v>0</v>
      </c>
      <c r="R362" s="78">
        <v>0</v>
      </c>
      <c r="S362" s="78">
        <v>0</v>
      </c>
      <c r="T362" s="78">
        <f t="shared" si="20"/>
        <v>3024337.71</v>
      </c>
      <c r="U362" s="78">
        <f t="shared" si="19"/>
        <v>3840.3313058715971</v>
      </c>
      <c r="V362" s="78">
        <v>7231.8471627387253</v>
      </c>
    </row>
    <row r="363" spans="1:22" s="79" customFormat="1" ht="36" customHeight="1" x14ac:dyDescent="0.25">
      <c r="A363" s="79">
        <v>1</v>
      </c>
      <c r="B363" s="80">
        <f>SUBTOTAL(103,$A$16:A363)</f>
        <v>326</v>
      </c>
      <c r="C363" s="77" t="s">
        <v>1146</v>
      </c>
      <c r="D363" s="233" t="s">
        <v>296</v>
      </c>
      <c r="E363" s="233"/>
      <c r="F363" s="233" t="s">
        <v>256</v>
      </c>
      <c r="G363" s="233" t="s">
        <v>337</v>
      </c>
      <c r="H363" s="233" t="s">
        <v>355</v>
      </c>
      <c r="I363" s="78">
        <v>5104.3599999999997</v>
      </c>
      <c r="J363" s="78">
        <v>5104.3599999999997</v>
      </c>
      <c r="K363" s="78">
        <v>5104.3599999999997</v>
      </c>
      <c r="L363" s="239">
        <v>159</v>
      </c>
      <c r="M363" s="233" t="s">
        <v>254</v>
      </c>
      <c r="N363" s="233" t="s">
        <v>258</v>
      </c>
      <c r="O363" s="236" t="s">
        <v>1228</v>
      </c>
      <c r="P363" s="78">
        <v>5564482.3400000008</v>
      </c>
      <c r="Q363" s="78">
        <v>0</v>
      </c>
      <c r="R363" s="78">
        <v>0</v>
      </c>
      <c r="S363" s="78">
        <v>0</v>
      </c>
      <c r="T363" s="78">
        <f t="shared" si="20"/>
        <v>5564482.3400000008</v>
      </c>
      <c r="U363" s="78">
        <f t="shared" si="19"/>
        <v>1090.143003236449</v>
      </c>
      <c r="V363" s="78">
        <v>3917.0977407549635</v>
      </c>
    </row>
    <row r="364" spans="1:22" s="79" customFormat="1" ht="36" customHeight="1" x14ac:dyDescent="0.25">
      <c r="A364" s="79">
        <v>1</v>
      </c>
      <c r="B364" s="80">
        <f>SUBTOTAL(103,$A$16:A364)</f>
        <v>327</v>
      </c>
      <c r="C364" s="77" t="s">
        <v>1147</v>
      </c>
      <c r="D364" s="233">
        <v>1973</v>
      </c>
      <c r="E364" s="233"/>
      <c r="F364" s="233" t="s">
        <v>304</v>
      </c>
      <c r="G364" s="233">
        <v>5</v>
      </c>
      <c r="H364" s="233" t="s">
        <v>355</v>
      </c>
      <c r="I364" s="78">
        <v>6039.17</v>
      </c>
      <c r="J364" s="78">
        <v>6039.17</v>
      </c>
      <c r="K364" s="78">
        <v>6039.17</v>
      </c>
      <c r="L364" s="239">
        <v>184</v>
      </c>
      <c r="M364" s="233" t="s">
        <v>254</v>
      </c>
      <c r="N364" s="233" t="s">
        <v>258</v>
      </c>
      <c r="O364" s="236" t="s">
        <v>1229</v>
      </c>
      <c r="P364" s="78">
        <v>4137160</v>
      </c>
      <c r="Q364" s="78">
        <v>0</v>
      </c>
      <c r="R364" s="78">
        <v>0</v>
      </c>
      <c r="S364" s="78">
        <v>0</v>
      </c>
      <c r="T364" s="78">
        <f t="shared" si="20"/>
        <v>4137160</v>
      </c>
      <c r="U364" s="78">
        <f t="shared" si="19"/>
        <v>685.05440317129671</v>
      </c>
      <c r="V364" s="78">
        <v>1711.8492549141686</v>
      </c>
    </row>
    <row r="365" spans="1:22" s="79" customFormat="1" ht="36" customHeight="1" x14ac:dyDescent="0.25">
      <c r="A365" s="79">
        <v>1</v>
      </c>
      <c r="B365" s="80">
        <f>SUBTOTAL(103,$A$16:A365)</f>
        <v>328</v>
      </c>
      <c r="C365" s="77" t="s">
        <v>1148</v>
      </c>
      <c r="D365" s="233">
        <v>1974</v>
      </c>
      <c r="E365" s="233"/>
      <c r="F365" s="233" t="s">
        <v>275</v>
      </c>
      <c r="G365" s="233">
        <v>5</v>
      </c>
      <c r="H365" s="233" t="s">
        <v>295</v>
      </c>
      <c r="I365" s="78">
        <v>4571.8999999999996</v>
      </c>
      <c r="J365" s="78">
        <v>3098.1</v>
      </c>
      <c r="K365" s="78">
        <v>3098.1</v>
      </c>
      <c r="L365" s="239">
        <v>119</v>
      </c>
      <c r="M365" s="233" t="s">
        <v>254</v>
      </c>
      <c r="N365" s="233" t="s">
        <v>258</v>
      </c>
      <c r="O365" s="236" t="s">
        <v>1250</v>
      </c>
      <c r="P365" s="78">
        <v>2786718.1</v>
      </c>
      <c r="Q365" s="78">
        <v>0</v>
      </c>
      <c r="R365" s="78">
        <v>0</v>
      </c>
      <c r="S365" s="78">
        <v>0</v>
      </c>
      <c r="T365" s="78">
        <f t="shared" si="20"/>
        <v>2786718.1</v>
      </c>
      <c r="U365" s="78">
        <f t="shared" si="19"/>
        <v>609.53172641571348</v>
      </c>
      <c r="V365" s="78">
        <v>1492.0570441173256</v>
      </c>
    </row>
    <row r="366" spans="1:22" s="79" customFormat="1" ht="36" customHeight="1" x14ac:dyDescent="0.25">
      <c r="A366" s="79">
        <v>1</v>
      </c>
      <c r="B366" s="80">
        <f>SUBTOTAL(103,$A$16:A366)</f>
        <v>329</v>
      </c>
      <c r="C366" s="77" t="s">
        <v>1149</v>
      </c>
      <c r="D366" s="233">
        <v>1966</v>
      </c>
      <c r="E366" s="233"/>
      <c r="F366" s="233" t="s">
        <v>275</v>
      </c>
      <c r="G366" s="233">
        <v>2</v>
      </c>
      <c r="H366" s="233" t="s">
        <v>299</v>
      </c>
      <c r="I366" s="78">
        <v>418.6</v>
      </c>
      <c r="J366" s="78">
        <v>418.6</v>
      </c>
      <c r="K366" s="78">
        <v>418.6</v>
      </c>
      <c r="L366" s="239">
        <v>29</v>
      </c>
      <c r="M366" s="233" t="s">
        <v>254</v>
      </c>
      <c r="N366" s="233" t="s">
        <v>258</v>
      </c>
      <c r="O366" s="236" t="s">
        <v>1250</v>
      </c>
      <c r="P366" s="78">
        <v>1749750.39</v>
      </c>
      <c r="Q366" s="78">
        <v>0</v>
      </c>
      <c r="R366" s="78">
        <v>0</v>
      </c>
      <c r="S366" s="78">
        <v>0</v>
      </c>
      <c r="T366" s="78">
        <f t="shared" si="20"/>
        <v>1749750.39</v>
      </c>
      <c r="U366" s="78">
        <f t="shared" si="19"/>
        <v>4180.0057095078828</v>
      </c>
      <c r="V366" s="78">
        <v>9726.5180697563319</v>
      </c>
    </row>
    <row r="367" spans="1:22" s="79" customFormat="1" ht="36" customHeight="1" x14ac:dyDescent="0.25">
      <c r="A367" s="79">
        <v>1</v>
      </c>
      <c r="B367" s="80">
        <f>SUBTOTAL(103,$A$16:A367)</f>
        <v>330</v>
      </c>
      <c r="C367" s="77" t="s">
        <v>1150</v>
      </c>
      <c r="D367" s="233">
        <v>1987</v>
      </c>
      <c r="E367" s="233"/>
      <c r="F367" s="233" t="s">
        <v>256</v>
      </c>
      <c r="G367" s="233">
        <v>2</v>
      </c>
      <c r="H367" s="233" t="s">
        <v>299</v>
      </c>
      <c r="I367" s="78">
        <v>1448.2</v>
      </c>
      <c r="J367" s="78">
        <v>1448.2</v>
      </c>
      <c r="K367" s="78">
        <v>1448.2</v>
      </c>
      <c r="L367" s="239">
        <v>53</v>
      </c>
      <c r="M367" s="233" t="s">
        <v>254</v>
      </c>
      <c r="N367" s="233" t="s">
        <v>258</v>
      </c>
      <c r="O367" s="236" t="s">
        <v>1251</v>
      </c>
      <c r="P367" s="78">
        <v>119132.15</v>
      </c>
      <c r="Q367" s="78">
        <v>0</v>
      </c>
      <c r="R367" s="78">
        <v>0</v>
      </c>
      <c r="S367" s="78">
        <v>0</v>
      </c>
      <c r="T367" s="78">
        <f t="shared" si="20"/>
        <v>119132.15</v>
      </c>
      <c r="U367" s="78">
        <f t="shared" si="19"/>
        <v>82.262222068775031</v>
      </c>
      <c r="V367" s="78">
        <v>113.09</v>
      </c>
    </row>
    <row r="368" spans="1:22" s="79" customFormat="1" ht="36" customHeight="1" x14ac:dyDescent="0.25">
      <c r="A368" s="79">
        <v>1</v>
      </c>
      <c r="B368" s="80">
        <f>SUBTOTAL(103,$A$16:A368)</f>
        <v>331</v>
      </c>
      <c r="C368" s="77" t="s">
        <v>1151</v>
      </c>
      <c r="D368" s="233">
        <v>1978</v>
      </c>
      <c r="E368" s="233"/>
      <c r="F368" s="233" t="s">
        <v>304</v>
      </c>
      <c r="G368" s="233">
        <v>5</v>
      </c>
      <c r="H368" s="233" t="s">
        <v>2123</v>
      </c>
      <c r="I368" s="78">
        <v>7971.79</v>
      </c>
      <c r="J368" s="78">
        <v>7971.79</v>
      </c>
      <c r="K368" s="78">
        <v>7971.79</v>
      </c>
      <c r="L368" s="239">
        <v>264</v>
      </c>
      <c r="M368" s="233" t="s">
        <v>254</v>
      </c>
      <c r="N368" s="233" t="s">
        <v>258</v>
      </c>
      <c r="O368" s="236" t="s">
        <v>1251</v>
      </c>
      <c r="P368" s="78">
        <v>6270786.4399999995</v>
      </c>
      <c r="Q368" s="78">
        <v>0</v>
      </c>
      <c r="R368" s="78">
        <v>0</v>
      </c>
      <c r="S368" s="78">
        <v>0</v>
      </c>
      <c r="T368" s="78">
        <f t="shared" si="20"/>
        <v>6270786.4399999995</v>
      </c>
      <c r="U368" s="78">
        <f t="shared" si="19"/>
        <v>786.6221312904629</v>
      </c>
      <c r="V368" s="78">
        <v>1714.349455366988</v>
      </c>
    </row>
    <row r="369" spans="1:22" s="79" customFormat="1" ht="36" customHeight="1" x14ac:dyDescent="0.25">
      <c r="A369" s="79">
        <v>1</v>
      </c>
      <c r="B369" s="80">
        <f>SUBTOTAL(103,$A$16:A369)</f>
        <v>332</v>
      </c>
      <c r="C369" s="77" t="s">
        <v>1463</v>
      </c>
      <c r="D369" s="233">
        <v>1977</v>
      </c>
      <c r="E369" s="233"/>
      <c r="F369" s="233" t="s">
        <v>1479</v>
      </c>
      <c r="G369" s="233">
        <v>2</v>
      </c>
      <c r="H369" s="233" t="s">
        <v>299</v>
      </c>
      <c r="I369" s="78">
        <v>982.4</v>
      </c>
      <c r="J369" s="78">
        <v>564.1</v>
      </c>
      <c r="K369" s="78">
        <v>564.1</v>
      </c>
      <c r="L369" s="239">
        <v>46</v>
      </c>
      <c r="M369" s="233" t="s">
        <v>254</v>
      </c>
      <c r="N369" s="233" t="s">
        <v>258</v>
      </c>
      <c r="O369" s="236" t="s">
        <v>1485</v>
      </c>
      <c r="P369" s="78">
        <v>3749769.7199999997</v>
      </c>
      <c r="Q369" s="78">
        <v>0</v>
      </c>
      <c r="R369" s="78">
        <v>0</v>
      </c>
      <c r="S369" s="78">
        <v>0</v>
      </c>
      <c r="T369" s="78">
        <f t="shared" si="20"/>
        <v>3749769.7199999997</v>
      </c>
      <c r="U369" s="78">
        <f t="shared" si="19"/>
        <v>3816.9480048859932</v>
      </c>
      <c r="V369" s="78">
        <v>8251.4388770358328</v>
      </c>
    </row>
    <row r="370" spans="1:22" s="79" customFormat="1" ht="36" customHeight="1" x14ac:dyDescent="0.25">
      <c r="A370" s="79">
        <v>1</v>
      </c>
      <c r="B370" s="80">
        <f>SUBTOTAL(103,$A$16:A370)</f>
        <v>333</v>
      </c>
      <c r="C370" s="77" t="s">
        <v>131</v>
      </c>
      <c r="D370" s="233">
        <v>1976</v>
      </c>
      <c r="E370" s="233"/>
      <c r="F370" s="233" t="s">
        <v>275</v>
      </c>
      <c r="G370" s="233">
        <v>5</v>
      </c>
      <c r="H370" s="233" t="s">
        <v>355</v>
      </c>
      <c r="I370" s="78">
        <v>6117.57</v>
      </c>
      <c r="J370" s="78">
        <v>6117.57</v>
      </c>
      <c r="K370" s="78">
        <v>6117.57</v>
      </c>
      <c r="L370" s="239">
        <v>166</v>
      </c>
      <c r="M370" s="233" t="s">
        <v>254</v>
      </c>
      <c r="N370" s="233" t="s">
        <v>258</v>
      </c>
      <c r="O370" s="236" t="s">
        <v>273</v>
      </c>
      <c r="P370" s="78">
        <v>3929633.31</v>
      </c>
      <c r="Q370" s="78">
        <v>0</v>
      </c>
      <c r="R370" s="78">
        <v>0</v>
      </c>
      <c r="S370" s="78">
        <v>0</v>
      </c>
      <c r="T370" s="78">
        <f>P370-S370-R370</f>
        <v>3929633.31</v>
      </c>
      <c r="U370" s="78">
        <f t="shared" si="19"/>
        <v>642.35199760689295</v>
      </c>
      <c r="V370" s="78">
        <v>1618.56089211893</v>
      </c>
    </row>
    <row r="371" spans="1:22" s="79" customFormat="1" ht="36" customHeight="1" x14ac:dyDescent="0.25">
      <c r="A371" s="79">
        <v>1</v>
      </c>
      <c r="B371" s="80">
        <f>SUBTOTAL(103,$A$16:A371)</f>
        <v>334</v>
      </c>
      <c r="C371" s="77" t="s">
        <v>125</v>
      </c>
      <c r="D371" s="233">
        <v>1983</v>
      </c>
      <c r="E371" s="233"/>
      <c r="F371" s="233" t="s">
        <v>256</v>
      </c>
      <c r="G371" s="233">
        <v>2</v>
      </c>
      <c r="H371" s="233" t="s">
        <v>299</v>
      </c>
      <c r="I371" s="234">
        <v>1039.7</v>
      </c>
      <c r="J371" s="234">
        <v>968.1</v>
      </c>
      <c r="K371" s="234">
        <v>908.6</v>
      </c>
      <c r="L371" s="239">
        <v>39</v>
      </c>
      <c r="M371" s="233" t="s">
        <v>254</v>
      </c>
      <c r="N371" s="233" t="s">
        <v>258</v>
      </c>
      <c r="O371" s="236" t="s">
        <v>272</v>
      </c>
      <c r="P371" s="78">
        <v>108615.8</v>
      </c>
      <c r="Q371" s="78">
        <v>0</v>
      </c>
      <c r="R371" s="78">
        <v>0</v>
      </c>
      <c r="S371" s="78">
        <v>0</v>
      </c>
      <c r="T371" s="78">
        <f t="shared" si="20"/>
        <v>108615.8</v>
      </c>
      <c r="U371" s="78">
        <f t="shared" si="19"/>
        <v>104.4684043474079</v>
      </c>
      <c r="V371" s="78">
        <v>104.4684043474079</v>
      </c>
    </row>
    <row r="372" spans="1:22" s="79" customFormat="1" ht="36" customHeight="1" x14ac:dyDescent="0.25">
      <c r="A372" s="79">
        <v>1</v>
      </c>
      <c r="B372" s="80">
        <f>SUBTOTAL(103,$A$16:A372)</f>
        <v>335</v>
      </c>
      <c r="C372" s="77" t="s">
        <v>123</v>
      </c>
      <c r="D372" s="233">
        <v>1981</v>
      </c>
      <c r="E372" s="233"/>
      <c r="F372" s="233" t="s">
        <v>256</v>
      </c>
      <c r="G372" s="233">
        <v>2</v>
      </c>
      <c r="H372" s="233" t="s">
        <v>299</v>
      </c>
      <c r="I372" s="234">
        <v>1572.8</v>
      </c>
      <c r="J372" s="234">
        <v>986.3</v>
      </c>
      <c r="K372" s="234">
        <v>925.2</v>
      </c>
      <c r="L372" s="239">
        <v>49</v>
      </c>
      <c r="M372" s="233" t="s">
        <v>254</v>
      </c>
      <c r="N372" s="233" t="s">
        <v>258</v>
      </c>
      <c r="O372" s="236" t="s">
        <v>272</v>
      </c>
      <c r="P372" s="78">
        <v>108130.57</v>
      </c>
      <c r="Q372" s="78">
        <v>0</v>
      </c>
      <c r="R372" s="78">
        <v>0</v>
      </c>
      <c r="S372" s="78">
        <v>0</v>
      </c>
      <c r="T372" s="78">
        <f t="shared" si="20"/>
        <v>108130.57</v>
      </c>
      <c r="U372" s="78">
        <f t="shared" si="19"/>
        <v>68.750362410986781</v>
      </c>
      <c r="V372" s="78">
        <v>68.750362410986781</v>
      </c>
    </row>
    <row r="373" spans="1:22" s="79" customFormat="1" ht="36" customHeight="1" x14ac:dyDescent="0.25">
      <c r="A373" s="79">
        <v>1</v>
      </c>
      <c r="B373" s="80">
        <f>SUBTOTAL(103,$A$16:A373)</f>
        <v>336</v>
      </c>
      <c r="C373" s="77" t="s">
        <v>126</v>
      </c>
      <c r="D373" s="233">
        <v>1975</v>
      </c>
      <c r="E373" s="233"/>
      <c r="F373" s="233" t="s">
        <v>256</v>
      </c>
      <c r="G373" s="233">
        <v>2</v>
      </c>
      <c r="H373" s="233" t="s">
        <v>299</v>
      </c>
      <c r="I373" s="234">
        <v>786.44</v>
      </c>
      <c r="J373" s="234">
        <v>726.3</v>
      </c>
      <c r="K373" s="234">
        <v>726.3</v>
      </c>
      <c r="L373" s="239">
        <v>32</v>
      </c>
      <c r="M373" s="233" t="s">
        <v>254</v>
      </c>
      <c r="N373" s="233" t="s">
        <v>258</v>
      </c>
      <c r="O373" s="236" t="s">
        <v>272</v>
      </c>
      <c r="P373" s="78">
        <v>89167.88</v>
      </c>
      <c r="Q373" s="78">
        <v>0</v>
      </c>
      <c r="R373" s="78">
        <v>0</v>
      </c>
      <c r="S373" s="78">
        <v>0</v>
      </c>
      <c r="T373" s="78">
        <f t="shared" si="20"/>
        <v>89167.88</v>
      </c>
      <c r="U373" s="78">
        <f t="shared" si="19"/>
        <v>113.38166929454249</v>
      </c>
      <c r="V373" s="78">
        <v>113.38166929454249</v>
      </c>
    </row>
    <row r="374" spans="1:22" s="79" customFormat="1" ht="36" customHeight="1" x14ac:dyDescent="0.25">
      <c r="B374" s="77" t="s">
        <v>777</v>
      </c>
      <c r="C374" s="77"/>
      <c r="D374" s="233" t="s">
        <v>835</v>
      </c>
      <c r="E374" s="233" t="s">
        <v>835</v>
      </c>
      <c r="F374" s="233" t="s">
        <v>835</v>
      </c>
      <c r="G374" s="233" t="s">
        <v>835</v>
      </c>
      <c r="H374" s="233" t="s">
        <v>835</v>
      </c>
      <c r="I374" s="234">
        <f>SUM(I375:I376)</f>
        <v>2529.2999999999997</v>
      </c>
      <c r="J374" s="234">
        <f>SUM(J375:J376)</f>
        <v>2222.2999999999997</v>
      </c>
      <c r="K374" s="234">
        <f>SUM(K375:K376)</f>
        <v>2222.2999999999997</v>
      </c>
      <c r="L374" s="235">
        <f>SUM(L375:L376)</f>
        <v>106</v>
      </c>
      <c r="M374" s="233" t="s">
        <v>835</v>
      </c>
      <c r="N374" s="233" t="s">
        <v>835</v>
      </c>
      <c r="O374" s="236" t="s">
        <v>835</v>
      </c>
      <c r="P374" s="241">
        <v>2076549.34</v>
      </c>
      <c r="Q374" s="78">
        <f>SUM(Q375:Q376)</f>
        <v>0</v>
      </c>
      <c r="R374" s="78">
        <f>SUM(R375:R376)</f>
        <v>0</v>
      </c>
      <c r="S374" s="78">
        <f>SUM(S375:S376)</f>
        <v>0</v>
      </c>
      <c r="T374" s="78">
        <f>SUM(T375:T376)</f>
        <v>2076549.34</v>
      </c>
      <c r="U374" s="78">
        <f t="shared" si="19"/>
        <v>820.99764361681105</v>
      </c>
      <c r="V374" s="78">
        <f>MAX(V375:V376)</f>
        <v>2272.586780829703</v>
      </c>
    </row>
    <row r="375" spans="1:22" s="79" customFormat="1" ht="36" customHeight="1" x14ac:dyDescent="0.25">
      <c r="A375" s="79">
        <v>1</v>
      </c>
      <c r="B375" s="80">
        <f>SUBTOTAL(103,$A$16:A375)</f>
        <v>337</v>
      </c>
      <c r="C375" s="77" t="s">
        <v>117</v>
      </c>
      <c r="D375" s="233">
        <v>1984</v>
      </c>
      <c r="E375" s="233"/>
      <c r="F375" s="233" t="s">
        <v>275</v>
      </c>
      <c r="G375" s="233">
        <v>5</v>
      </c>
      <c r="H375" s="233" t="s">
        <v>299</v>
      </c>
      <c r="I375" s="78">
        <v>2111.6</v>
      </c>
      <c r="J375" s="78">
        <v>1804.6</v>
      </c>
      <c r="K375" s="78">
        <v>1804.6</v>
      </c>
      <c r="L375" s="239">
        <v>84</v>
      </c>
      <c r="M375" s="233" t="s">
        <v>254</v>
      </c>
      <c r="N375" s="233" t="s">
        <v>258</v>
      </c>
      <c r="O375" s="236" t="s">
        <v>274</v>
      </c>
      <c r="P375" s="78">
        <v>1724251.6300000001</v>
      </c>
      <c r="Q375" s="78">
        <v>0</v>
      </c>
      <c r="R375" s="78">
        <v>0</v>
      </c>
      <c r="S375" s="78">
        <v>0</v>
      </c>
      <c r="T375" s="78">
        <f>P375-R375-S375</f>
        <v>1724251.6300000001</v>
      </c>
      <c r="U375" s="78">
        <f t="shared" si="19"/>
        <v>816.56167361242672</v>
      </c>
      <c r="V375" s="78">
        <v>2272.586780829703</v>
      </c>
    </row>
    <row r="376" spans="1:22" s="79" customFormat="1" ht="36" customHeight="1" x14ac:dyDescent="0.25">
      <c r="A376" s="79">
        <v>1</v>
      </c>
      <c r="B376" s="80">
        <f>SUBTOTAL(103,$A$16:A376)</f>
        <v>338</v>
      </c>
      <c r="C376" s="77" t="s">
        <v>1152</v>
      </c>
      <c r="D376" s="233">
        <v>1987</v>
      </c>
      <c r="E376" s="233"/>
      <c r="F376" s="233" t="s">
        <v>256</v>
      </c>
      <c r="G376" s="233">
        <v>2</v>
      </c>
      <c r="H376" s="233" t="s">
        <v>291</v>
      </c>
      <c r="I376" s="78">
        <v>417.7</v>
      </c>
      <c r="J376" s="78">
        <v>417.7</v>
      </c>
      <c r="K376" s="78">
        <v>417.7</v>
      </c>
      <c r="L376" s="239">
        <v>22</v>
      </c>
      <c r="M376" s="233" t="s">
        <v>254</v>
      </c>
      <c r="N376" s="233" t="s">
        <v>255</v>
      </c>
      <c r="O376" s="236" t="s">
        <v>257</v>
      </c>
      <c r="P376" s="78">
        <v>352297.70999999996</v>
      </c>
      <c r="Q376" s="78">
        <v>0</v>
      </c>
      <c r="R376" s="78">
        <v>0</v>
      </c>
      <c r="S376" s="78">
        <v>0</v>
      </c>
      <c r="T376" s="78">
        <f>P376-R376-S376</f>
        <v>352297.70999999996</v>
      </c>
      <c r="U376" s="78">
        <f t="shared" si="19"/>
        <v>843.4228154177639</v>
      </c>
      <c r="V376" s="78">
        <v>1108.53</v>
      </c>
    </row>
    <row r="377" spans="1:22" s="79" customFormat="1" ht="36" customHeight="1" x14ac:dyDescent="0.25">
      <c r="B377" s="77" t="s">
        <v>836</v>
      </c>
      <c r="C377" s="77"/>
      <c r="D377" s="233" t="s">
        <v>835</v>
      </c>
      <c r="E377" s="233" t="s">
        <v>835</v>
      </c>
      <c r="F377" s="233" t="s">
        <v>835</v>
      </c>
      <c r="G377" s="233" t="s">
        <v>835</v>
      </c>
      <c r="H377" s="233" t="s">
        <v>835</v>
      </c>
      <c r="I377" s="234">
        <f>I378</f>
        <v>375</v>
      </c>
      <c r="J377" s="234">
        <f>J378</f>
        <v>310</v>
      </c>
      <c r="K377" s="234">
        <f>K378</f>
        <v>310</v>
      </c>
      <c r="L377" s="235">
        <f>L378</f>
        <v>21</v>
      </c>
      <c r="M377" s="233" t="s">
        <v>835</v>
      </c>
      <c r="N377" s="233" t="s">
        <v>835</v>
      </c>
      <c r="O377" s="236" t="s">
        <v>835</v>
      </c>
      <c r="P377" s="241">
        <v>2005046.9200000002</v>
      </c>
      <c r="Q377" s="78">
        <f>Q378</f>
        <v>0</v>
      </c>
      <c r="R377" s="78">
        <f>R378</f>
        <v>0</v>
      </c>
      <c r="S377" s="78">
        <f>S378</f>
        <v>0</v>
      </c>
      <c r="T377" s="78">
        <f>T378</f>
        <v>2005046.9200000002</v>
      </c>
      <c r="U377" s="78">
        <f t="shared" si="19"/>
        <v>5346.7917866666667</v>
      </c>
      <c r="V377" s="78">
        <f>MAX(V378)</f>
        <v>14408.442750400001</v>
      </c>
    </row>
    <row r="378" spans="1:22" s="79" customFormat="1" ht="36" customHeight="1" x14ac:dyDescent="0.25">
      <c r="A378" s="79">
        <v>1</v>
      </c>
      <c r="B378" s="80">
        <f>SUBTOTAL(103,$A$16:A378)</f>
        <v>339</v>
      </c>
      <c r="C378" s="77" t="s">
        <v>118</v>
      </c>
      <c r="D378" s="233">
        <v>1967</v>
      </c>
      <c r="E378" s="233"/>
      <c r="F378" s="233" t="s">
        <v>256</v>
      </c>
      <c r="G378" s="233">
        <v>2</v>
      </c>
      <c r="H378" s="233" t="s">
        <v>291</v>
      </c>
      <c r="I378" s="78">
        <v>375</v>
      </c>
      <c r="J378" s="78">
        <v>310</v>
      </c>
      <c r="K378" s="78">
        <v>310</v>
      </c>
      <c r="L378" s="239">
        <v>21</v>
      </c>
      <c r="M378" s="233" t="s">
        <v>254</v>
      </c>
      <c r="N378" s="233" t="s">
        <v>255</v>
      </c>
      <c r="O378" s="236" t="s">
        <v>257</v>
      </c>
      <c r="P378" s="78">
        <v>2005046.9200000002</v>
      </c>
      <c r="Q378" s="78">
        <v>0</v>
      </c>
      <c r="R378" s="78">
        <v>0</v>
      </c>
      <c r="S378" s="78">
        <v>0</v>
      </c>
      <c r="T378" s="78">
        <f>P378-R378-S378</f>
        <v>2005046.9200000002</v>
      </c>
      <c r="U378" s="78">
        <f t="shared" si="19"/>
        <v>5346.7917866666667</v>
      </c>
      <c r="V378" s="78">
        <v>14408.442750400001</v>
      </c>
    </row>
    <row r="379" spans="1:22" s="79" customFormat="1" ht="36" customHeight="1" x14ac:dyDescent="0.25">
      <c r="B379" s="77" t="s">
        <v>778</v>
      </c>
      <c r="C379" s="77"/>
      <c r="D379" s="233" t="s">
        <v>835</v>
      </c>
      <c r="E379" s="233" t="s">
        <v>835</v>
      </c>
      <c r="F379" s="233" t="s">
        <v>835</v>
      </c>
      <c r="G379" s="233" t="s">
        <v>835</v>
      </c>
      <c r="H379" s="233" t="s">
        <v>835</v>
      </c>
      <c r="I379" s="234">
        <f>I380</f>
        <v>1156.21</v>
      </c>
      <c r="J379" s="234">
        <f>J380</f>
        <v>880.01</v>
      </c>
      <c r="K379" s="234">
        <f>K380</f>
        <v>880.01</v>
      </c>
      <c r="L379" s="235">
        <f>L380</f>
        <v>44</v>
      </c>
      <c r="M379" s="233" t="s">
        <v>835</v>
      </c>
      <c r="N379" s="233" t="s">
        <v>835</v>
      </c>
      <c r="O379" s="236" t="s">
        <v>835</v>
      </c>
      <c r="P379" s="241">
        <v>3681483.63</v>
      </c>
      <c r="Q379" s="78">
        <f>Q380</f>
        <v>0</v>
      </c>
      <c r="R379" s="78">
        <f>R380</f>
        <v>0</v>
      </c>
      <c r="S379" s="78">
        <f>S380</f>
        <v>0</v>
      </c>
      <c r="T379" s="78">
        <f>T380</f>
        <v>3681483.63</v>
      </c>
      <c r="U379" s="78">
        <f t="shared" si="19"/>
        <v>3184.0959946722478</v>
      </c>
      <c r="V379" s="78">
        <f>MAX(V380)</f>
        <v>6452.111350014271</v>
      </c>
    </row>
    <row r="380" spans="1:22" s="79" customFormat="1" ht="36" customHeight="1" x14ac:dyDescent="0.25">
      <c r="A380" s="79">
        <v>1</v>
      </c>
      <c r="B380" s="80">
        <f>SUBTOTAL(103,$A$16:A380)</f>
        <v>340</v>
      </c>
      <c r="C380" s="77" t="s">
        <v>119</v>
      </c>
      <c r="D380" s="233">
        <v>1990</v>
      </c>
      <c r="E380" s="233"/>
      <c r="F380" s="233" t="s">
        <v>256</v>
      </c>
      <c r="G380" s="233">
        <v>2</v>
      </c>
      <c r="H380" s="233" t="s">
        <v>299</v>
      </c>
      <c r="I380" s="78">
        <v>1156.21</v>
      </c>
      <c r="J380" s="78">
        <v>880.01</v>
      </c>
      <c r="K380" s="78">
        <v>880.01</v>
      </c>
      <c r="L380" s="239">
        <v>44</v>
      </c>
      <c r="M380" s="233" t="s">
        <v>254</v>
      </c>
      <c r="N380" s="233" t="s">
        <v>255</v>
      </c>
      <c r="O380" s="236" t="s">
        <v>257</v>
      </c>
      <c r="P380" s="78">
        <v>3681483.63</v>
      </c>
      <c r="Q380" s="78">
        <v>0</v>
      </c>
      <c r="R380" s="78">
        <v>0</v>
      </c>
      <c r="S380" s="78">
        <v>0</v>
      </c>
      <c r="T380" s="78">
        <f>P380-R380-S380</f>
        <v>3681483.63</v>
      </c>
      <c r="U380" s="78">
        <f t="shared" si="19"/>
        <v>3184.0959946722478</v>
      </c>
      <c r="V380" s="78">
        <v>6452.111350014271</v>
      </c>
    </row>
    <row r="381" spans="1:22" s="79" customFormat="1" ht="36" customHeight="1" x14ac:dyDescent="0.25">
      <c r="B381" s="77" t="s">
        <v>779</v>
      </c>
      <c r="C381" s="240"/>
      <c r="D381" s="233" t="s">
        <v>835</v>
      </c>
      <c r="E381" s="233" t="s">
        <v>835</v>
      </c>
      <c r="F381" s="233" t="s">
        <v>835</v>
      </c>
      <c r="G381" s="233" t="s">
        <v>835</v>
      </c>
      <c r="H381" s="233" t="s">
        <v>835</v>
      </c>
      <c r="I381" s="234">
        <f>SUM(I382:I385)</f>
        <v>2624.2</v>
      </c>
      <c r="J381" s="234">
        <f>SUM(J382:J385)</f>
        <v>2293.7000000000003</v>
      </c>
      <c r="K381" s="234">
        <f>SUM(K382:K385)</f>
        <v>2293.7000000000003</v>
      </c>
      <c r="L381" s="235">
        <f>SUM(L382:L385)</f>
        <v>125</v>
      </c>
      <c r="M381" s="233" t="s">
        <v>835</v>
      </c>
      <c r="N381" s="233" t="s">
        <v>835</v>
      </c>
      <c r="O381" s="236" t="s">
        <v>835</v>
      </c>
      <c r="P381" s="237">
        <v>4283070.8099999996</v>
      </c>
      <c r="Q381" s="234">
        <f>SUM(Q382:Q385)</f>
        <v>0</v>
      </c>
      <c r="R381" s="234">
        <f>SUM(R382:R385)</f>
        <v>0</v>
      </c>
      <c r="S381" s="234">
        <f>SUM(S382:S385)</f>
        <v>0</v>
      </c>
      <c r="T381" s="234">
        <f>SUM(T382:T385)</f>
        <v>4283070.8099999996</v>
      </c>
      <c r="U381" s="78">
        <f t="shared" si="19"/>
        <v>1632.1434380001524</v>
      </c>
      <c r="V381" s="78">
        <f>MAX(V382:V385)</f>
        <v>9201.9695246572064</v>
      </c>
    </row>
    <row r="382" spans="1:22" s="79" customFormat="1" ht="36" customHeight="1" x14ac:dyDescent="0.25">
      <c r="A382" s="79">
        <v>1</v>
      </c>
      <c r="B382" s="80">
        <f>SUBTOTAL(103,$A$16:A382)</f>
        <v>341</v>
      </c>
      <c r="C382" s="77" t="s">
        <v>164</v>
      </c>
      <c r="D382" s="233">
        <v>1957</v>
      </c>
      <c r="E382" s="233"/>
      <c r="F382" s="233" t="s">
        <v>256</v>
      </c>
      <c r="G382" s="233">
        <v>2</v>
      </c>
      <c r="H382" s="233" t="s">
        <v>290</v>
      </c>
      <c r="I382" s="78">
        <v>765.1</v>
      </c>
      <c r="J382" s="78">
        <v>686.7</v>
      </c>
      <c r="K382" s="78">
        <v>686.7</v>
      </c>
      <c r="L382" s="239">
        <v>31</v>
      </c>
      <c r="M382" s="233" t="s">
        <v>254</v>
      </c>
      <c r="N382" s="233" t="s">
        <v>323</v>
      </c>
      <c r="O382" s="236" t="s">
        <v>943</v>
      </c>
      <c r="P382" s="78">
        <v>2321700.09</v>
      </c>
      <c r="Q382" s="78">
        <v>0</v>
      </c>
      <c r="R382" s="78">
        <v>0</v>
      </c>
      <c r="S382" s="78">
        <v>0</v>
      </c>
      <c r="T382" s="78">
        <f>P382-R382-S382</f>
        <v>2321700.09</v>
      </c>
      <c r="U382" s="78">
        <f t="shared" si="19"/>
        <v>3034.5054110573778</v>
      </c>
      <c r="V382" s="78">
        <v>7905.4087465690754</v>
      </c>
    </row>
    <row r="383" spans="1:22" s="79" customFormat="1" ht="36" customHeight="1" x14ac:dyDescent="0.25">
      <c r="A383" s="79">
        <v>1</v>
      </c>
      <c r="B383" s="80">
        <f>SUBTOTAL(103,$A$16:A383)</f>
        <v>342</v>
      </c>
      <c r="C383" s="77" t="s">
        <v>165</v>
      </c>
      <c r="D383" s="233">
        <v>1957</v>
      </c>
      <c r="E383" s="233"/>
      <c r="F383" s="233" t="s">
        <v>256</v>
      </c>
      <c r="G383" s="233">
        <v>2</v>
      </c>
      <c r="H383" s="233" t="s">
        <v>290</v>
      </c>
      <c r="I383" s="78">
        <v>415.7</v>
      </c>
      <c r="J383" s="78">
        <v>368.1</v>
      </c>
      <c r="K383" s="78">
        <v>368.1</v>
      </c>
      <c r="L383" s="239">
        <v>26</v>
      </c>
      <c r="M383" s="233" t="s">
        <v>254</v>
      </c>
      <c r="N383" s="233" t="s">
        <v>323</v>
      </c>
      <c r="O383" s="236" t="s">
        <v>756</v>
      </c>
      <c r="P383" s="78">
        <v>1808703.59</v>
      </c>
      <c r="Q383" s="78">
        <v>0</v>
      </c>
      <c r="R383" s="78">
        <v>0</v>
      </c>
      <c r="S383" s="78">
        <v>0</v>
      </c>
      <c r="T383" s="78">
        <f>P383-R383-S383</f>
        <v>1808703.59</v>
      </c>
      <c r="U383" s="78">
        <f t="shared" si="19"/>
        <v>4350.9828963194614</v>
      </c>
      <c r="V383" s="78">
        <v>9201.9695246572064</v>
      </c>
    </row>
    <row r="384" spans="1:22" s="79" customFormat="1" ht="36" customHeight="1" x14ac:dyDescent="0.25">
      <c r="A384" s="79">
        <v>1</v>
      </c>
      <c r="B384" s="80">
        <f>SUBTOTAL(103,$A$16:A384)</f>
        <v>343</v>
      </c>
      <c r="C384" s="77" t="s">
        <v>163</v>
      </c>
      <c r="D384" s="233">
        <v>1983</v>
      </c>
      <c r="E384" s="233"/>
      <c r="F384" s="233" t="s">
        <v>256</v>
      </c>
      <c r="G384" s="233">
        <v>2</v>
      </c>
      <c r="H384" s="233" t="s">
        <v>299</v>
      </c>
      <c r="I384" s="78">
        <v>1044.4000000000001</v>
      </c>
      <c r="J384" s="78">
        <v>943.9</v>
      </c>
      <c r="K384" s="78">
        <v>943.9</v>
      </c>
      <c r="L384" s="239">
        <v>47</v>
      </c>
      <c r="M384" s="233" t="s">
        <v>254</v>
      </c>
      <c r="N384" s="233" t="s">
        <v>323</v>
      </c>
      <c r="O384" s="236" t="s">
        <v>756</v>
      </c>
      <c r="P384" s="78">
        <v>104027.61</v>
      </c>
      <c r="Q384" s="78">
        <v>0</v>
      </c>
      <c r="R384" s="78">
        <v>0</v>
      </c>
      <c r="S384" s="78">
        <v>0</v>
      </c>
      <c r="T384" s="78">
        <f>P384-R384-S384</f>
        <v>104027.61</v>
      </c>
      <c r="U384" s="78">
        <f t="shared" si="19"/>
        <v>99.605141708157788</v>
      </c>
      <c r="V384" s="78">
        <v>99.605141708157788</v>
      </c>
    </row>
    <row r="385" spans="1:22" s="79" customFormat="1" ht="36" customHeight="1" x14ac:dyDescent="0.25">
      <c r="A385" s="79">
        <v>1</v>
      </c>
      <c r="B385" s="80">
        <f>SUBTOTAL(103,$A$16:A385)</f>
        <v>344</v>
      </c>
      <c r="C385" s="77" t="s">
        <v>1477</v>
      </c>
      <c r="D385" s="233">
        <v>1967</v>
      </c>
      <c r="E385" s="233"/>
      <c r="F385" s="233" t="s">
        <v>1479</v>
      </c>
      <c r="G385" s="233">
        <v>2</v>
      </c>
      <c r="H385" s="233" t="s">
        <v>291</v>
      </c>
      <c r="I385" s="78">
        <v>399</v>
      </c>
      <c r="J385" s="78">
        <v>295</v>
      </c>
      <c r="K385" s="78">
        <v>295</v>
      </c>
      <c r="L385" s="239">
        <v>21</v>
      </c>
      <c r="M385" s="233" t="s">
        <v>254</v>
      </c>
      <c r="N385" s="233" t="s">
        <v>323</v>
      </c>
      <c r="O385" s="236" t="s">
        <v>756</v>
      </c>
      <c r="P385" s="78">
        <v>48639.519999999997</v>
      </c>
      <c r="Q385" s="78">
        <v>0</v>
      </c>
      <c r="R385" s="78">
        <v>0</v>
      </c>
      <c r="S385" s="78">
        <v>0</v>
      </c>
      <c r="T385" s="78">
        <f>P385-S385-R385</f>
        <v>48639.519999999997</v>
      </c>
      <c r="U385" s="78">
        <f t="shared" si="19"/>
        <v>121.9035588972431</v>
      </c>
      <c r="V385" s="78">
        <v>121.9035588972431</v>
      </c>
    </row>
    <row r="386" spans="1:22" s="79" customFormat="1" ht="36" customHeight="1" x14ac:dyDescent="0.25">
      <c r="B386" s="77" t="s">
        <v>780</v>
      </c>
      <c r="C386" s="77"/>
      <c r="D386" s="233" t="s">
        <v>835</v>
      </c>
      <c r="E386" s="233" t="s">
        <v>835</v>
      </c>
      <c r="F386" s="233" t="s">
        <v>835</v>
      </c>
      <c r="G386" s="233" t="s">
        <v>835</v>
      </c>
      <c r="H386" s="233" t="s">
        <v>835</v>
      </c>
      <c r="I386" s="234">
        <f>SUM(I387:I388)</f>
        <v>1157</v>
      </c>
      <c r="J386" s="234">
        <f>SUM(J387:J388)</f>
        <v>1036</v>
      </c>
      <c r="K386" s="234">
        <f>SUM(K387:K388)</f>
        <v>1036</v>
      </c>
      <c r="L386" s="235">
        <f>SUM(L387:L388)</f>
        <v>40</v>
      </c>
      <c r="M386" s="233" t="s">
        <v>835</v>
      </c>
      <c r="N386" s="233" t="s">
        <v>835</v>
      </c>
      <c r="O386" s="236" t="s">
        <v>835</v>
      </c>
      <c r="P386" s="241">
        <v>3114731.1799999997</v>
      </c>
      <c r="Q386" s="78">
        <f>SUM(Q387:Q388)</f>
        <v>0</v>
      </c>
      <c r="R386" s="78">
        <f>SUM(R387:R388)</f>
        <v>0</v>
      </c>
      <c r="S386" s="78">
        <f>SUM(S387:S388)</f>
        <v>0</v>
      </c>
      <c r="T386" s="78">
        <f>SUM(T387:T388)</f>
        <v>3114731.1799999997</v>
      </c>
      <c r="U386" s="78">
        <f t="shared" si="19"/>
        <v>2692.0753500432152</v>
      </c>
      <c r="V386" s="78">
        <f>MAX(V387:V388)</f>
        <v>7850.1239859649131</v>
      </c>
    </row>
    <row r="387" spans="1:22" s="79" customFormat="1" ht="36" customHeight="1" x14ac:dyDescent="0.25">
      <c r="A387" s="79">
        <v>1</v>
      </c>
      <c r="B387" s="80">
        <f>SUBTOTAL(103,$A$16:A387)</f>
        <v>345</v>
      </c>
      <c r="C387" s="77" t="s">
        <v>162</v>
      </c>
      <c r="D387" s="233">
        <v>1956</v>
      </c>
      <c r="E387" s="233"/>
      <c r="F387" s="233" t="s">
        <v>256</v>
      </c>
      <c r="G387" s="233">
        <v>2</v>
      </c>
      <c r="H387" s="233" t="s">
        <v>290</v>
      </c>
      <c r="I387" s="78">
        <v>456</v>
      </c>
      <c r="J387" s="78">
        <v>399</v>
      </c>
      <c r="K387" s="78">
        <v>399</v>
      </c>
      <c r="L387" s="239">
        <v>14</v>
      </c>
      <c r="M387" s="233" t="s">
        <v>254</v>
      </c>
      <c r="N387" s="233" t="s">
        <v>323</v>
      </c>
      <c r="O387" s="236" t="s">
        <v>944</v>
      </c>
      <c r="P387" s="78">
        <v>1327902.99</v>
      </c>
      <c r="Q387" s="78">
        <v>0</v>
      </c>
      <c r="R387" s="78">
        <v>0</v>
      </c>
      <c r="S387" s="78">
        <v>0</v>
      </c>
      <c r="T387" s="78">
        <f>P387-R387-S387</f>
        <v>1327902.99</v>
      </c>
      <c r="U387" s="78">
        <f t="shared" si="19"/>
        <v>2912.0679605263158</v>
      </c>
      <c r="V387" s="78">
        <v>7850.1239859649131</v>
      </c>
    </row>
    <row r="388" spans="1:22" s="79" customFormat="1" ht="36" customHeight="1" x14ac:dyDescent="0.25">
      <c r="A388" s="79">
        <v>1</v>
      </c>
      <c r="B388" s="80">
        <f>SUBTOTAL(103,$A$16:A388)</f>
        <v>346</v>
      </c>
      <c r="C388" s="77" t="s">
        <v>1155</v>
      </c>
      <c r="D388" s="233">
        <v>1960</v>
      </c>
      <c r="E388" s="233"/>
      <c r="F388" s="233" t="s">
        <v>256</v>
      </c>
      <c r="G388" s="233">
        <v>2</v>
      </c>
      <c r="H388" s="233" t="s">
        <v>290</v>
      </c>
      <c r="I388" s="78">
        <v>701</v>
      </c>
      <c r="J388" s="78">
        <v>637</v>
      </c>
      <c r="K388" s="78">
        <v>637</v>
      </c>
      <c r="L388" s="239">
        <v>26</v>
      </c>
      <c r="M388" s="233" t="s">
        <v>254</v>
      </c>
      <c r="N388" s="233" t="s">
        <v>258</v>
      </c>
      <c r="O388" s="236" t="s">
        <v>944</v>
      </c>
      <c r="P388" s="78">
        <v>1786828.19</v>
      </c>
      <c r="Q388" s="78">
        <v>0</v>
      </c>
      <c r="R388" s="78">
        <v>0</v>
      </c>
      <c r="S388" s="78">
        <v>0</v>
      </c>
      <c r="T388" s="78">
        <f>P388-R388-S388</f>
        <v>1786828.19</v>
      </c>
      <c r="U388" s="78">
        <f t="shared" si="19"/>
        <v>2548.9703138373752</v>
      </c>
      <c r="V388" s="78">
        <v>4183.21</v>
      </c>
    </row>
    <row r="389" spans="1:22" s="79" customFormat="1" ht="36" customHeight="1" x14ac:dyDescent="0.25">
      <c r="B389" s="77" t="s">
        <v>782</v>
      </c>
      <c r="C389" s="77"/>
      <c r="D389" s="233" t="s">
        <v>835</v>
      </c>
      <c r="E389" s="233" t="s">
        <v>835</v>
      </c>
      <c r="F389" s="233" t="s">
        <v>835</v>
      </c>
      <c r="G389" s="233" t="s">
        <v>835</v>
      </c>
      <c r="H389" s="233" t="s">
        <v>835</v>
      </c>
      <c r="I389" s="234">
        <f>I390</f>
        <v>407.9</v>
      </c>
      <c r="J389" s="234">
        <f>J390</f>
        <v>352.3</v>
      </c>
      <c r="K389" s="234">
        <f>K390</f>
        <v>352.3</v>
      </c>
      <c r="L389" s="235">
        <f>L390</f>
        <v>21</v>
      </c>
      <c r="M389" s="233" t="s">
        <v>835</v>
      </c>
      <c r="N389" s="233" t="s">
        <v>835</v>
      </c>
      <c r="O389" s="236" t="s">
        <v>835</v>
      </c>
      <c r="P389" s="241">
        <v>43566.44</v>
      </c>
      <c r="Q389" s="78">
        <f>Q390</f>
        <v>0</v>
      </c>
      <c r="R389" s="78">
        <f>R390</f>
        <v>0</v>
      </c>
      <c r="S389" s="78">
        <f>S390</f>
        <v>0</v>
      </c>
      <c r="T389" s="78">
        <f>T390</f>
        <v>43566.44</v>
      </c>
      <c r="U389" s="78">
        <f t="shared" si="19"/>
        <v>106.80666830105419</v>
      </c>
      <c r="V389" s="78">
        <f>MAX(V390)</f>
        <v>106.80666830105419</v>
      </c>
    </row>
    <row r="390" spans="1:22" s="79" customFormat="1" ht="36" customHeight="1" x14ac:dyDescent="0.25">
      <c r="A390" s="79">
        <v>1</v>
      </c>
      <c r="B390" s="80">
        <f>SUBTOTAL(103,$A$16:A390)</f>
        <v>347</v>
      </c>
      <c r="C390" s="77" t="s">
        <v>161</v>
      </c>
      <c r="D390" s="233">
        <v>1954</v>
      </c>
      <c r="E390" s="233"/>
      <c r="F390" s="233" t="s">
        <v>256</v>
      </c>
      <c r="G390" s="233">
        <v>2</v>
      </c>
      <c r="H390" s="233" t="s">
        <v>291</v>
      </c>
      <c r="I390" s="78">
        <v>407.9</v>
      </c>
      <c r="J390" s="78">
        <v>352.3</v>
      </c>
      <c r="K390" s="78">
        <v>352.3</v>
      </c>
      <c r="L390" s="239">
        <v>21</v>
      </c>
      <c r="M390" s="233" t="s">
        <v>254</v>
      </c>
      <c r="N390" s="233" t="s">
        <v>255</v>
      </c>
      <c r="O390" s="236" t="s">
        <v>257</v>
      </c>
      <c r="P390" s="78">
        <v>43566.44</v>
      </c>
      <c r="Q390" s="78">
        <v>0</v>
      </c>
      <c r="R390" s="78">
        <v>0</v>
      </c>
      <c r="S390" s="78">
        <v>0</v>
      </c>
      <c r="T390" s="78">
        <f>P390-R390-S390</f>
        <v>43566.44</v>
      </c>
      <c r="U390" s="78">
        <f t="shared" si="19"/>
        <v>106.80666830105419</v>
      </c>
      <c r="V390" s="78">
        <v>106.80666830105419</v>
      </c>
    </row>
    <row r="391" spans="1:22" s="79" customFormat="1" ht="36" customHeight="1" x14ac:dyDescent="0.25">
      <c r="B391" s="77" t="s">
        <v>781</v>
      </c>
      <c r="C391" s="77"/>
      <c r="D391" s="233" t="s">
        <v>835</v>
      </c>
      <c r="E391" s="233" t="s">
        <v>835</v>
      </c>
      <c r="F391" s="233" t="s">
        <v>835</v>
      </c>
      <c r="G391" s="233" t="s">
        <v>835</v>
      </c>
      <c r="H391" s="233" t="s">
        <v>835</v>
      </c>
      <c r="I391" s="234">
        <f>SUM(I392:I395)</f>
        <v>2253.2999999999997</v>
      </c>
      <c r="J391" s="234">
        <f>SUM(J392:J395)</f>
        <v>1874.1</v>
      </c>
      <c r="K391" s="234">
        <f>SUM(K392:K395)</f>
        <v>1874.1</v>
      </c>
      <c r="L391" s="235">
        <f>SUM(L392:L395)</f>
        <v>108</v>
      </c>
      <c r="M391" s="233" t="s">
        <v>835</v>
      </c>
      <c r="N391" s="233" t="s">
        <v>835</v>
      </c>
      <c r="O391" s="236" t="s">
        <v>835</v>
      </c>
      <c r="P391" s="237">
        <v>4166442.5</v>
      </c>
      <c r="Q391" s="234">
        <f>SUM(Q392:Q395)</f>
        <v>0</v>
      </c>
      <c r="R391" s="234">
        <f>SUM(R392:R395)</f>
        <v>0</v>
      </c>
      <c r="S391" s="234">
        <f>SUM(S392:S395)</f>
        <v>0</v>
      </c>
      <c r="T391" s="234">
        <f>SUM(T392:T395)</f>
        <v>4166442.5</v>
      </c>
      <c r="U391" s="78">
        <f t="shared" si="19"/>
        <v>1849.0402964540897</v>
      </c>
      <c r="V391" s="78">
        <f>MAX(V392:V395)</f>
        <v>7297.422600512743</v>
      </c>
    </row>
    <row r="392" spans="1:22" s="79" customFormat="1" ht="36" customHeight="1" x14ac:dyDescent="0.25">
      <c r="A392" s="79">
        <v>1</v>
      </c>
      <c r="B392" s="80">
        <f>SUBTOTAL(103,$A$16:A392)</f>
        <v>348</v>
      </c>
      <c r="C392" s="77" t="s">
        <v>174</v>
      </c>
      <c r="D392" s="233">
        <v>1955</v>
      </c>
      <c r="E392" s="233"/>
      <c r="F392" s="233" t="s">
        <v>256</v>
      </c>
      <c r="G392" s="233">
        <v>2</v>
      </c>
      <c r="H392" s="233" t="s">
        <v>291</v>
      </c>
      <c r="I392" s="78">
        <v>545.6</v>
      </c>
      <c r="J392" s="78">
        <v>501.6</v>
      </c>
      <c r="K392" s="78">
        <v>501.6</v>
      </c>
      <c r="L392" s="239">
        <v>27</v>
      </c>
      <c r="M392" s="233" t="s">
        <v>254</v>
      </c>
      <c r="N392" s="233" t="s">
        <v>255</v>
      </c>
      <c r="O392" s="236" t="s">
        <v>257</v>
      </c>
      <c r="P392" s="78">
        <v>71741.72</v>
      </c>
      <c r="Q392" s="78">
        <v>0</v>
      </c>
      <c r="R392" s="78">
        <v>0</v>
      </c>
      <c r="S392" s="78">
        <v>0</v>
      </c>
      <c r="T392" s="78">
        <f>P392-R392-S392</f>
        <v>71741.72</v>
      </c>
      <c r="U392" s="78">
        <f t="shared" si="19"/>
        <v>131.49142228739004</v>
      </c>
      <c r="V392" s="78">
        <v>131.49142228739004</v>
      </c>
    </row>
    <row r="393" spans="1:22" s="79" customFormat="1" ht="36" customHeight="1" x14ac:dyDescent="0.25">
      <c r="A393" s="79">
        <v>1</v>
      </c>
      <c r="B393" s="80">
        <f>SUBTOTAL(103,$A$16:A393)</f>
        <v>349</v>
      </c>
      <c r="C393" s="77" t="s">
        <v>1153</v>
      </c>
      <c r="D393" s="233">
        <v>1965</v>
      </c>
      <c r="E393" s="233"/>
      <c r="F393" s="233" t="s">
        <v>256</v>
      </c>
      <c r="G393" s="233">
        <v>2</v>
      </c>
      <c r="H393" s="233" t="s">
        <v>290</v>
      </c>
      <c r="I393" s="78">
        <v>527.5</v>
      </c>
      <c r="J393" s="78">
        <v>390.5</v>
      </c>
      <c r="K393" s="78">
        <v>390.5</v>
      </c>
      <c r="L393" s="239">
        <v>21</v>
      </c>
      <c r="M393" s="233" t="s">
        <v>254</v>
      </c>
      <c r="N393" s="233" t="s">
        <v>258</v>
      </c>
      <c r="O393" s="236" t="s">
        <v>1253</v>
      </c>
      <c r="P393" s="78">
        <v>1831950.75</v>
      </c>
      <c r="Q393" s="78">
        <v>0</v>
      </c>
      <c r="R393" s="78">
        <v>0</v>
      </c>
      <c r="S393" s="78">
        <v>0</v>
      </c>
      <c r="T393" s="78">
        <f>P393-R393-S393</f>
        <v>1831950.75</v>
      </c>
      <c r="U393" s="78">
        <f t="shared" si="19"/>
        <v>3472.8924170616115</v>
      </c>
      <c r="V393" s="78">
        <v>5845.6469194312795</v>
      </c>
    </row>
    <row r="394" spans="1:22" s="79" customFormat="1" ht="36" customHeight="1" x14ac:dyDescent="0.25">
      <c r="A394" s="79">
        <v>1</v>
      </c>
      <c r="B394" s="80">
        <f>SUBTOTAL(103,$A$16:A394)</f>
        <v>350</v>
      </c>
      <c r="C394" s="77" t="s">
        <v>1154</v>
      </c>
      <c r="D394" s="233">
        <v>1963</v>
      </c>
      <c r="E394" s="233"/>
      <c r="F394" s="233" t="s">
        <v>256</v>
      </c>
      <c r="G394" s="233">
        <v>2</v>
      </c>
      <c r="H394" s="233" t="s">
        <v>290</v>
      </c>
      <c r="I394" s="78">
        <v>663.1</v>
      </c>
      <c r="J394" s="78">
        <v>609.9</v>
      </c>
      <c r="K394" s="78">
        <v>609.9</v>
      </c>
      <c r="L394" s="239">
        <v>42</v>
      </c>
      <c r="M394" s="233" t="s">
        <v>254</v>
      </c>
      <c r="N394" s="233" t="s">
        <v>258</v>
      </c>
      <c r="O394" s="236" t="s">
        <v>1253</v>
      </c>
      <c r="P394" s="78">
        <v>2207932.36</v>
      </c>
      <c r="Q394" s="78">
        <v>0</v>
      </c>
      <c r="R394" s="78">
        <v>0</v>
      </c>
      <c r="S394" s="78">
        <v>0</v>
      </c>
      <c r="T394" s="78">
        <f>P394-R394-S394</f>
        <v>2207932.36</v>
      </c>
      <c r="U394" s="78">
        <f t="shared" si="19"/>
        <v>3329.7125018850847</v>
      </c>
      <c r="V394" s="78">
        <v>7297.422600512743</v>
      </c>
    </row>
    <row r="395" spans="1:22" s="79" customFormat="1" ht="36" customHeight="1" x14ac:dyDescent="0.25">
      <c r="A395" s="79">
        <v>1</v>
      </c>
      <c r="B395" s="80">
        <f>SUBTOTAL(103,$A$16:A395)</f>
        <v>351</v>
      </c>
      <c r="C395" s="77" t="s">
        <v>1476</v>
      </c>
      <c r="D395" s="233">
        <v>1976</v>
      </c>
      <c r="E395" s="233"/>
      <c r="F395" s="233" t="s">
        <v>1479</v>
      </c>
      <c r="G395" s="233">
        <v>2</v>
      </c>
      <c r="H395" s="233" t="s">
        <v>291</v>
      </c>
      <c r="I395" s="78">
        <v>517.1</v>
      </c>
      <c r="J395" s="78">
        <v>372.1</v>
      </c>
      <c r="K395" s="78">
        <v>372.1</v>
      </c>
      <c r="L395" s="239">
        <v>18</v>
      </c>
      <c r="M395" s="233" t="s">
        <v>254</v>
      </c>
      <c r="N395" s="233" t="s">
        <v>255</v>
      </c>
      <c r="O395" s="236" t="s">
        <v>257</v>
      </c>
      <c r="P395" s="78">
        <v>54817.67</v>
      </c>
      <c r="Q395" s="78">
        <v>0</v>
      </c>
      <c r="R395" s="78">
        <v>0</v>
      </c>
      <c r="S395" s="78">
        <v>0</v>
      </c>
      <c r="T395" s="78">
        <f>P395-S395-R395</f>
        <v>54817.67</v>
      </c>
      <c r="U395" s="78">
        <f t="shared" si="19"/>
        <v>106.00980467994584</v>
      </c>
      <c r="V395" s="78">
        <v>106.00980467994584</v>
      </c>
    </row>
    <row r="396" spans="1:22" s="79" customFormat="1" ht="36" customHeight="1" x14ac:dyDescent="0.25">
      <c r="B396" s="77" t="s">
        <v>816</v>
      </c>
      <c r="C396" s="77"/>
      <c r="D396" s="233" t="s">
        <v>835</v>
      </c>
      <c r="E396" s="233" t="s">
        <v>835</v>
      </c>
      <c r="F396" s="233" t="s">
        <v>835</v>
      </c>
      <c r="G396" s="233" t="s">
        <v>835</v>
      </c>
      <c r="H396" s="233" t="s">
        <v>835</v>
      </c>
      <c r="I396" s="234">
        <f>I397</f>
        <v>829.4</v>
      </c>
      <c r="J396" s="234">
        <f>J397</f>
        <v>758.4</v>
      </c>
      <c r="K396" s="234">
        <f>K397</f>
        <v>758.4</v>
      </c>
      <c r="L396" s="235">
        <f>L397</f>
        <v>42</v>
      </c>
      <c r="M396" s="233" t="s">
        <v>835</v>
      </c>
      <c r="N396" s="233" t="s">
        <v>835</v>
      </c>
      <c r="O396" s="236" t="s">
        <v>835</v>
      </c>
      <c r="P396" s="241">
        <v>2786770.47</v>
      </c>
      <c r="Q396" s="78">
        <f>Q397</f>
        <v>0</v>
      </c>
      <c r="R396" s="78">
        <f>R397</f>
        <v>0</v>
      </c>
      <c r="S396" s="78">
        <f>S397</f>
        <v>0</v>
      </c>
      <c r="T396" s="78">
        <f>T397</f>
        <v>2786770.47</v>
      </c>
      <c r="U396" s="78">
        <f t="shared" si="19"/>
        <v>3359.9836870026529</v>
      </c>
      <c r="V396" s="78">
        <f>MAX(V397)</f>
        <v>6954.7877909332055</v>
      </c>
    </row>
    <row r="397" spans="1:22" s="79" customFormat="1" ht="36" customHeight="1" x14ac:dyDescent="0.25">
      <c r="A397" s="79">
        <v>1</v>
      </c>
      <c r="B397" s="80">
        <f>SUBTOTAL(103,$A$16:A397)</f>
        <v>352</v>
      </c>
      <c r="C397" s="77" t="s">
        <v>1156</v>
      </c>
      <c r="D397" s="233">
        <v>1972</v>
      </c>
      <c r="E397" s="233">
        <v>2010</v>
      </c>
      <c r="F397" s="233" t="s">
        <v>256</v>
      </c>
      <c r="G397" s="233">
        <v>2</v>
      </c>
      <c r="H397" s="233" t="s">
        <v>290</v>
      </c>
      <c r="I397" s="78">
        <v>829.4</v>
      </c>
      <c r="J397" s="78">
        <v>758.4</v>
      </c>
      <c r="K397" s="78">
        <v>758.4</v>
      </c>
      <c r="L397" s="239">
        <v>42</v>
      </c>
      <c r="M397" s="233" t="s">
        <v>254</v>
      </c>
      <c r="N397" s="233" t="s">
        <v>258</v>
      </c>
      <c r="O397" s="236" t="s">
        <v>756</v>
      </c>
      <c r="P397" s="78">
        <v>2786770.47</v>
      </c>
      <c r="Q397" s="78">
        <v>0</v>
      </c>
      <c r="R397" s="78">
        <v>0</v>
      </c>
      <c r="S397" s="78">
        <v>0</v>
      </c>
      <c r="T397" s="78">
        <f>P397-R397-S397</f>
        <v>2786770.47</v>
      </c>
      <c r="U397" s="78">
        <f t="shared" ref="U397" si="21">P397/I397</f>
        <v>3359.9836870026529</v>
      </c>
      <c r="V397" s="78">
        <v>6954.7877909332055</v>
      </c>
    </row>
    <row r="398" spans="1:22" s="79" customFormat="1" ht="36" customHeight="1" x14ac:dyDescent="0.25">
      <c r="B398" s="77" t="s">
        <v>783</v>
      </c>
      <c r="C398" s="240"/>
      <c r="D398" s="233" t="s">
        <v>835</v>
      </c>
      <c r="E398" s="233" t="s">
        <v>835</v>
      </c>
      <c r="F398" s="233" t="s">
        <v>835</v>
      </c>
      <c r="G398" s="233" t="s">
        <v>835</v>
      </c>
      <c r="H398" s="233" t="s">
        <v>835</v>
      </c>
      <c r="I398" s="234">
        <f>SUM(I399:I405)</f>
        <v>10312.24</v>
      </c>
      <c r="J398" s="234">
        <f>SUM(J399:J405)</f>
        <v>9429.44</v>
      </c>
      <c r="K398" s="234">
        <f>SUM(K399:K405)</f>
        <v>8532.14</v>
      </c>
      <c r="L398" s="235">
        <f>SUM(L399:L405)</f>
        <v>425</v>
      </c>
      <c r="M398" s="233" t="s">
        <v>835</v>
      </c>
      <c r="N398" s="233" t="s">
        <v>835</v>
      </c>
      <c r="O398" s="236" t="s">
        <v>835</v>
      </c>
      <c r="P398" s="241">
        <v>8432214.3199999984</v>
      </c>
      <c r="Q398" s="78">
        <f>SUM(Q399:Q405)</f>
        <v>0</v>
      </c>
      <c r="R398" s="78">
        <f>SUM(R399:R405)</f>
        <v>0</v>
      </c>
      <c r="S398" s="78">
        <f>SUM(S399:S405)</f>
        <v>0</v>
      </c>
      <c r="T398" s="78">
        <f>SUM(T399:T405)</f>
        <v>8432214.3199999984</v>
      </c>
      <c r="U398" s="78">
        <f t="shared" ref="U398:U460" si="22">P398/I398</f>
        <v>817.68988309038571</v>
      </c>
      <c r="V398" s="78">
        <f>MAX(V399:V405)</f>
        <v>6573.6612408586943</v>
      </c>
    </row>
    <row r="399" spans="1:22" s="79" customFormat="1" ht="36" customHeight="1" x14ac:dyDescent="0.25">
      <c r="A399" s="79">
        <v>1</v>
      </c>
      <c r="B399" s="80">
        <f>SUBTOTAL(103,$A$16:A399)</f>
        <v>353</v>
      </c>
      <c r="C399" s="77" t="s">
        <v>73</v>
      </c>
      <c r="D399" s="233">
        <v>1950</v>
      </c>
      <c r="E399" s="233"/>
      <c r="F399" s="233" t="s">
        <v>256</v>
      </c>
      <c r="G399" s="233">
        <v>3</v>
      </c>
      <c r="H399" s="233" t="s">
        <v>290</v>
      </c>
      <c r="I399" s="78">
        <v>847.8</v>
      </c>
      <c r="J399" s="78">
        <v>766.9</v>
      </c>
      <c r="K399" s="78">
        <v>663.2</v>
      </c>
      <c r="L399" s="239">
        <v>20</v>
      </c>
      <c r="M399" s="233" t="s">
        <v>254</v>
      </c>
      <c r="N399" s="233" t="s">
        <v>258</v>
      </c>
      <c r="O399" s="236" t="s">
        <v>264</v>
      </c>
      <c r="P399" s="78">
        <v>2519278.3999999994</v>
      </c>
      <c r="Q399" s="78">
        <v>0</v>
      </c>
      <c r="R399" s="78">
        <v>0</v>
      </c>
      <c r="S399" s="78">
        <v>0</v>
      </c>
      <c r="T399" s="78">
        <f t="shared" ref="T399:T405" si="23">P399-R399-S399</f>
        <v>2519278.3999999994</v>
      </c>
      <c r="U399" s="78">
        <f t="shared" si="22"/>
        <v>2971.548006605331</v>
      </c>
      <c r="V399" s="78">
        <v>6573.6612408586943</v>
      </c>
    </row>
    <row r="400" spans="1:22" s="79" customFormat="1" ht="36" customHeight="1" x14ac:dyDescent="0.25">
      <c r="A400" s="79">
        <v>1</v>
      </c>
      <c r="B400" s="80">
        <f>SUBTOTAL(103,$A$16:A400)</f>
        <v>354</v>
      </c>
      <c r="C400" s="77" t="s">
        <v>72</v>
      </c>
      <c r="D400" s="233">
        <v>1963</v>
      </c>
      <c r="E400" s="233"/>
      <c r="F400" s="233" t="s">
        <v>256</v>
      </c>
      <c r="G400" s="233">
        <v>4</v>
      </c>
      <c r="H400" s="233" t="s">
        <v>290</v>
      </c>
      <c r="I400" s="78">
        <v>1600.4</v>
      </c>
      <c r="J400" s="78">
        <v>1253</v>
      </c>
      <c r="K400" s="78">
        <v>1210.5999999999999</v>
      </c>
      <c r="L400" s="239">
        <v>54</v>
      </c>
      <c r="M400" s="233" t="s">
        <v>254</v>
      </c>
      <c r="N400" s="233" t="s">
        <v>258</v>
      </c>
      <c r="O400" s="236" t="s">
        <v>265</v>
      </c>
      <c r="P400" s="78">
        <v>2316768.9099999997</v>
      </c>
      <c r="Q400" s="78">
        <v>0</v>
      </c>
      <c r="R400" s="78">
        <v>0</v>
      </c>
      <c r="S400" s="78">
        <v>0</v>
      </c>
      <c r="T400" s="78">
        <f t="shared" si="23"/>
        <v>2316768.9099999997</v>
      </c>
      <c r="U400" s="78">
        <f t="shared" si="22"/>
        <v>1447.6186640839787</v>
      </c>
      <c r="V400" s="78">
        <v>2742.9760009997503</v>
      </c>
    </row>
    <row r="401" spans="1:22" s="79" customFormat="1" ht="36" customHeight="1" x14ac:dyDescent="0.25">
      <c r="A401" s="79">
        <v>1</v>
      </c>
      <c r="B401" s="80">
        <f>SUBTOTAL(103,$A$16:A401)</f>
        <v>355</v>
      </c>
      <c r="C401" s="77" t="s">
        <v>74</v>
      </c>
      <c r="D401" s="233">
        <v>1948</v>
      </c>
      <c r="E401" s="233"/>
      <c r="F401" s="233" t="s">
        <v>256</v>
      </c>
      <c r="G401" s="233">
        <v>4</v>
      </c>
      <c r="H401" s="233" t="s">
        <v>299</v>
      </c>
      <c r="I401" s="78">
        <v>1954.5</v>
      </c>
      <c r="J401" s="78">
        <v>1781</v>
      </c>
      <c r="K401" s="78">
        <v>1514.3</v>
      </c>
      <c r="L401" s="239">
        <v>58</v>
      </c>
      <c r="M401" s="233" t="s">
        <v>254</v>
      </c>
      <c r="N401" s="233" t="s">
        <v>258</v>
      </c>
      <c r="O401" s="236" t="s">
        <v>266</v>
      </c>
      <c r="P401" s="78">
        <v>132502.74</v>
      </c>
      <c r="Q401" s="78">
        <v>0</v>
      </c>
      <c r="R401" s="78">
        <v>0</v>
      </c>
      <c r="S401" s="78">
        <v>0</v>
      </c>
      <c r="T401" s="78">
        <f t="shared" si="23"/>
        <v>132502.74</v>
      </c>
      <c r="U401" s="78">
        <f t="shared" si="22"/>
        <v>67.793676132003071</v>
      </c>
      <c r="V401" s="78">
        <v>67.793676132003071</v>
      </c>
    </row>
    <row r="402" spans="1:22" s="79" customFormat="1" ht="36" customHeight="1" x14ac:dyDescent="0.25">
      <c r="A402" s="79">
        <v>1</v>
      </c>
      <c r="B402" s="80">
        <f>SUBTOTAL(103,$A$16:A402)</f>
        <v>356</v>
      </c>
      <c r="C402" s="77" t="s">
        <v>1157</v>
      </c>
      <c r="D402" s="233">
        <v>1974</v>
      </c>
      <c r="E402" s="233"/>
      <c r="F402" s="233" t="s">
        <v>256</v>
      </c>
      <c r="G402" s="233">
        <v>5</v>
      </c>
      <c r="H402" s="233" t="s">
        <v>290</v>
      </c>
      <c r="I402" s="78">
        <v>3906.04</v>
      </c>
      <c r="J402" s="78">
        <v>3790.94</v>
      </c>
      <c r="K402" s="78">
        <v>3406.44</v>
      </c>
      <c r="L402" s="239">
        <v>200</v>
      </c>
      <c r="M402" s="233" t="s">
        <v>254</v>
      </c>
      <c r="N402" s="233" t="s">
        <v>258</v>
      </c>
      <c r="O402" s="236" t="s">
        <v>1252</v>
      </c>
      <c r="P402" s="78">
        <v>3251106.15</v>
      </c>
      <c r="Q402" s="78">
        <v>0</v>
      </c>
      <c r="R402" s="78">
        <v>0</v>
      </c>
      <c r="S402" s="78">
        <v>0</v>
      </c>
      <c r="T402" s="78">
        <f t="shared" si="23"/>
        <v>3251106.15</v>
      </c>
      <c r="U402" s="78">
        <f t="shared" si="22"/>
        <v>832.32792034899796</v>
      </c>
      <c r="V402" s="78">
        <v>2226.1781052933406</v>
      </c>
    </row>
    <row r="403" spans="1:22" s="79" customFormat="1" ht="36" customHeight="1" x14ac:dyDescent="0.25">
      <c r="A403" s="79">
        <v>1</v>
      </c>
      <c r="B403" s="80">
        <f>SUBTOTAL(103,$A$16:A403)</f>
        <v>357</v>
      </c>
      <c r="C403" s="77" t="s">
        <v>77</v>
      </c>
      <c r="D403" s="233">
        <v>1962</v>
      </c>
      <c r="E403" s="233"/>
      <c r="F403" s="233" t="s">
        <v>256</v>
      </c>
      <c r="G403" s="233">
        <v>2</v>
      </c>
      <c r="H403" s="233" t="s">
        <v>290</v>
      </c>
      <c r="I403" s="78">
        <v>355.8</v>
      </c>
      <c r="J403" s="78">
        <v>326.10000000000002</v>
      </c>
      <c r="K403" s="78">
        <v>326.10000000000002</v>
      </c>
      <c r="L403" s="239">
        <v>21</v>
      </c>
      <c r="M403" s="233" t="s">
        <v>254</v>
      </c>
      <c r="N403" s="233" t="s">
        <v>255</v>
      </c>
      <c r="O403" s="236" t="s">
        <v>257</v>
      </c>
      <c r="P403" s="78">
        <v>60672.79</v>
      </c>
      <c r="Q403" s="78">
        <v>0</v>
      </c>
      <c r="R403" s="78">
        <v>0</v>
      </c>
      <c r="S403" s="78">
        <v>0</v>
      </c>
      <c r="T403" s="78">
        <f t="shared" si="23"/>
        <v>60672.79</v>
      </c>
      <c r="U403" s="78">
        <f t="shared" si="22"/>
        <v>170.52498594716133</v>
      </c>
      <c r="V403" s="78">
        <v>170.52498594716133</v>
      </c>
    </row>
    <row r="404" spans="1:22" s="79" customFormat="1" ht="36" customHeight="1" x14ac:dyDescent="0.25">
      <c r="A404" s="79">
        <v>1</v>
      </c>
      <c r="B404" s="80">
        <f>SUBTOTAL(103,$A$16:A404)</f>
        <v>358</v>
      </c>
      <c r="C404" s="77" t="s">
        <v>78</v>
      </c>
      <c r="D404" s="233">
        <v>1964</v>
      </c>
      <c r="E404" s="233"/>
      <c r="F404" s="233" t="s">
        <v>256</v>
      </c>
      <c r="G404" s="233">
        <v>2</v>
      </c>
      <c r="H404" s="233" t="s">
        <v>290</v>
      </c>
      <c r="I404" s="78">
        <v>651.6</v>
      </c>
      <c r="J404" s="78">
        <v>628.9</v>
      </c>
      <c r="K404" s="78">
        <v>628.9</v>
      </c>
      <c r="L404" s="239">
        <v>42</v>
      </c>
      <c r="M404" s="233" t="s">
        <v>254</v>
      </c>
      <c r="N404" s="233" t="s">
        <v>255</v>
      </c>
      <c r="O404" s="236" t="s">
        <v>257</v>
      </c>
      <c r="P404" s="78">
        <v>60672.79</v>
      </c>
      <c r="Q404" s="78">
        <v>0</v>
      </c>
      <c r="R404" s="78">
        <v>0</v>
      </c>
      <c r="S404" s="78">
        <v>0</v>
      </c>
      <c r="T404" s="78">
        <f t="shared" si="23"/>
        <v>60672.79</v>
      </c>
      <c r="U404" s="78">
        <f t="shared" si="22"/>
        <v>93.113551258440765</v>
      </c>
      <c r="V404" s="78">
        <v>93.113551258440765</v>
      </c>
    </row>
    <row r="405" spans="1:22" s="79" customFormat="1" ht="36" customHeight="1" x14ac:dyDescent="0.25">
      <c r="A405" s="79">
        <v>1</v>
      </c>
      <c r="B405" s="80">
        <f>SUBTOTAL(103,$A$16:A405)</f>
        <v>359</v>
      </c>
      <c r="C405" s="77" t="s">
        <v>1571</v>
      </c>
      <c r="D405" s="233">
        <v>1953</v>
      </c>
      <c r="E405" s="233"/>
      <c r="F405" s="233" t="s">
        <v>256</v>
      </c>
      <c r="G405" s="233">
        <v>2</v>
      </c>
      <c r="H405" s="233" t="s">
        <v>299</v>
      </c>
      <c r="I405" s="78">
        <v>996.1</v>
      </c>
      <c r="J405" s="78">
        <v>882.6</v>
      </c>
      <c r="K405" s="78">
        <v>782.6</v>
      </c>
      <c r="L405" s="239">
        <v>30</v>
      </c>
      <c r="M405" s="233" t="s">
        <v>254</v>
      </c>
      <c r="N405" s="233" t="s">
        <v>255</v>
      </c>
      <c r="O405" s="236" t="s">
        <v>257</v>
      </c>
      <c r="P405" s="78">
        <v>91212.54</v>
      </c>
      <c r="Q405" s="78">
        <v>0</v>
      </c>
      <c r="R405" s="78">
        <v>0</v>
      </c>
      <c r="S405" s="78">
        <v>0</v>
      </c>
      <c r="T405" s="78">
        <f t="shared" si="23"/>
        <v>91212.54</v>
      </c>
      <c r="U405" s="78">
        <f t="shared" si="22"/>
        <v>91.569661680554148</v>
      </c>
      <c r="V405" s="78">
        <v>91.569661680554148</v>
      </c>
    </row>
    <row r="406" spans="1:22" s="79" customFormat="1" ht="36" customHeight="1" x14ac:dyDescent="0.25">
      <c r="B406" s="77" t="s">
        <v>784</v>
      </c>
      <c r="C406" s="77"/>
      <c r="D406" s="233" t="s">
        <v>835</v>
      </c>
      <c r="E406" s="233" t="s">
        <v>835</v>
      </c>
      <c r="F406" s="233" t="s">
        <v>835</v>
      </c>
      <c r="G406" s="233" t="s">
        <v>835</v>
      </c>
      <c r="H406" s="233" t="s">
        <v>835</v>
      </c>
      <c r="I406" s="234">
        <f>I407</f>
        <v>613</v>
      </c>
      <c r="J406" s="234">
        <f>J407</f>
        <v>386</v>
      </c>
      <c r="K406" s="234">
        <f>K407</f>
        <v>386</v>
      </c>
      <c r="L406" s="235">
        <f>L407</f>
        <v>32</v>
      </c>
      <c r="M406" s="233" t="s">
        <v>835</v>
      </c>
      <c r="N406" s="233" t="s">
        <v>835</v>
      </c>
      <c r="O406" s="236" t="s">
        <v>835</v>
      </c>
      <c r="P406" s="241">
        <v>2358530.46</v>
      </c>
      <c r="Q406" s="78">
        <f>Q407</f>
        <v>0</v>
      </c>
      <c r="R406" s="78">
        <f>R407</f>
        <v>0</v>
      </c>
      <c r="S406" s="78">
        <f>S407</f>
        <v>0</v>
      </c>
      <c r="T406" s="78">
        <f>T407</f>
        <v>2358530.46</v>
      </c>
      <c r="U406" s="78">
        <f t="shared" si="22"/>
        <v>3847.521141924959</v>
      </c>
      <c r="V406" s="78">
        <f>MAX(V407)</f>
        <v>7858.7779119086463</v>
      </c>
    </row>
    <row r="407" spans="1:22" s="79" customFormat="1" ht="36" customHeight="1" x14ac:dyDescent="0.25">
      <c r="A407" s="79">
        <v>1</v>
      </c>
      <c r="B407" s="80">
        <f>SUBTOTAL(103,$A$16:A407)</f>
        <v>360</v>
      </c>
      <c r="C407" s="77" t="s">
        <v>75</v>
      </c>
      <c r="D407" s="233">
        <v>1966</v>
      </c>
      <c r="E407" s="233"/>
      <c r="F407" s="233" t="s">
        <v>256</v>
      </c>
      <c r="G407" s="233">
        <v>2</v>
      </c>
      <c r="H407" s="233" t="s">
        <v>290</v>
      </c>
      <c r="I407" s="78">
        <v>613</v>
      </c>
      <c r="J407" s="78">
        <v>386</v>
      </c>
      <c r="K407" s="78">
        <v>386</v>
      </c>
      <c r="L407" s="239">
        <v>32</v>
      </c>
      <c r="M407" s="233" t="s">
        <v>254</v>
      </c>
      <c r="N407" s="233" t="s">
        <v>255</v>
      </c>
      <c r="O407" s="236" t="s">
        <v>257</v>
      </c>
      <c r="P407" s="78">
        <v>2358530.46</v>
      </c>
      <c r="Q407" s="78">
        <v>0</v>
      </c>
      <c r="R407" s="78">
        <v>0</v>
      </c>
      <c r="S407" s="78">
        <v>0</v>
      </c>
      <c r="T407" s="78">
        <f>P407-R407-S407</f>
        <v>2358530.46</v>
      </c>
      <c r="U407" s="78">
        <f t="shared" si="22"/>
        <v>3847.521141924959</v>
      </c>
      <c r="V407" s="78">
        <v>7858.7779119086463</v>
      </c>
    </row>
    <row r="408" spans="1:22" s="79" customFormat="1" ht="36" customHeight="1" x14ac:dyDescent="0.25">
      <c r="B408" s="77" t="s">
        <v>817</v>
      </c>
      <c r="C408" s="77"/>
      <c r="D408" s="233" t="s">
        <v>835</v>
      </c>
      <c r="E408" s="233" t="s">
        <v>835</v>
      </c>
      <c r="F408" s="233" t="s">
        <v>835</v>
      </c>
      <c r="G408" s="233" t="s">
        <v>835</v>
      </c>
      <c r="H408" s="233" t="s">
        <v>835</v>
      </c>
      <c r="I408" s="234">
        <f>SUM(I409:I411)</f>
        <v>866.6</v>
      </c>
      <c r="J408" s="234">
        <f>SUM(J409:J411)</f>
        <v>817.90000000000009</v>
      </c>
      <c r="K408" s="234">
        <f>SUM(K409:K411)</f>
        <v>794.40000000000009</v>
      </c>
      <c r="L408" s="235">
        <f>SUM(L409:L411)</f>
        <v>34</v>
      </c>
      <c r="M408" s="233" t="s">
        <v>835</v>
      </c>
      <c r="N408" s="233" t="s">
        <v>835</v>
      </c>
      <c r="O408" s="236" t="s">
        <v>835</v>
      </c>
      <c r="P408" s="241">
        <v>177116.99</v>
      </c>
      <c r="Q408" s="78">
        <f>SUM(Q409:Q411)</f>
        <v>0</v>
      </c>
      <c r="R408" s="78">
        <f>SUM(R409:R411)</f>
        <v>0</v>
      </c>
      <c r="S408" s="78">
        <f>SUM(S409:S411)</f>
        <v>0</v>
      </c>
      <c r="T408" s="78">
        <f>SUM(T409:T411)</f>
        <v>177116.99</v>
      </c>
      <c r="U408" s="78">
        <f t="shared" si="22"/>
        <v>204.38147934456495</v>
      </c>
      <c r="V408" s="78">
        <f>MAX(V409:V411)</f>
        <v>282.33215434083604</v>
      </c>
    </row>
    <row r="409" spans="1:22" s="79" customFormat="1" ht="36" customHeight="1" x14ac:dyDescent="0.25">
      <c r="A409" s="79">
        <v>1</v>
      </c>
      <c r="B409" s="80">
        <f>SUBTOTAL(103,$A$16:A409)</f>
        <v>361</v>
      </c>
      <c r="C409" s="77" t="s">
        <v>1159</v>
      </c>
      <c r="D409" s="233">
        <v>1962</v>
      </c>
      <c r="E409" s="233"/>
      <c r="F409" s="233" t="s">
        <v>256</v>
      </c>
      <c r="G409" s="233">
        <v>2</v>
      </c>
      <c r="H409" s="233" t="s">
        <v>291</v>
      </c>
      <c r="I409" s="78">
        <v>311</v>
      </c>
      <c r="J409" s="78">
        <v>311</v>
      </c>
      <c r="K409" s="78">
        <v>287.5</v>
      </c>
      <c r="L409" s="239">
        <v>10</v>
      </c>
      <c r="M409" s="233" t="s">
        <v>254</v>
      </c>
      <c r="N409" s="233" t="s">
        <v>258</v>
      </c>
      <c r="O409" s="236" t="s">
        <v>1227</v>
      </c>
      <c r="P409" s="78">
        <v>86514.08</v>
      </c>
      <c r="Q409" s="78">
        <v>0</v>
      </c>
      <c r="R409" s="78">
        <v>0</v>
      </c>
      <c r="S409" s="78">
        <v>0</v>
      </c>
      <c r="T409" s="78">
        <f>P409-R409-S409</f>
        <v>86514.08</v>
      </c>
      <c r="U409" s="78">
        <f t="shared" si="22"/>
        <v>278.18032154340835</v>
      </c>
      <c r="V409" s="78">
        <v>282.33215434083604</v>
      </c>
    </row>
    <row r="410" spans="1:22" s="79" customFormat="1" ht="36" customHeight="1" x14ac:dyDescent="0.25">
      <c r="A410" s="79">
        <v>1</v>
      </c>
      <c r="B410" s="80">
        <f>SUBTOTAL(103,$A$16:A410)</f>
        <v>362</v>
      </c>
      <c r="C410" s="77" t="s">
        <v>79</v>
      </c>
      <c r="D410" s="233">
        <v>1931</v>
      </c>
      <c r="E410" s="233"/>
      <c r="F410" s="233" t="s">
        <v>256</v>
      </c>
      <c r="G410" s="233">
        <v>2</v>
      </c>
      <c r="H410" s="233" t="s">
        <v>291</v>
      </c>
      <c r="I410" s="78">
        <v>345.1</v>
      </c>
      <c r="J410" s="78">
        <v>319.60000000000002</v>
      </c>
      <c r="K410" s="78">
        <v>319.60000000000002</v>
      </c>
      <c r="L410" s="239">
        <v>9</v>
      </c>
      <c r="M410" s="233" t="s">
        <v>254</v>
      </c>
      <c r="N410" s="233" t="s">
        <v>255</v>
      </c>
      <c r="O410" s="236" t="s">
        <v>257</v>
      </c>
      <c r="P410" s="78">
        <v>50003.71</v>
      </c>
      <c r="Q410" s="78">
        <v>0</v>
      </c>
      <c r="R410" s="78">
        <v>0</v>
      </c>
      <c r="S410" s="78">
        <v>0</v>
      </c>
      <c r="T410" s="78">
        <f>P410-R410-S410</f>
        <v>50003.71</v>
      </c>
      <c r="U410" s="78">
        <f t="shared" si="22"/>
        <v>144.89629093016515</v>
      </c>
      <c r="V410" s="78">
        <v>144.89629093016515</v>
      </c>
    </row>
    <row r="411" spans="1:22" s="79" customFormat="1" ht="36" customHeight="1" x14ac:dyDescent="0.25">
      <c r="A411" s="79">
        <v>1</v>
      </c>
      <c r="B411" s="80">
        <f>SUBTOTAL(103,$A$16:A411)</f>
        <v>363</v>
      </c>
      <c r="C411" s="77" t="s">
        <v>80</v>
      </c>
      <c r="D411" s="233">
        <v>1965</v>
      </c>
      <c r="E411" s="233"/>
      <c r="F411" s="233" t="s">
        <v>256</v>
      </c>
      <c r="G411" s="233">
        <v>2</v>
      </c>
      <c r="H411" s="233" t="s">
        <v>291</v>
      </c>
      <c r="I411" s="78">
        <v>210.5</v>
      </c>
      <c r="J411" s="78">
        <v>187.3</v>
      </c>
      <c r="K411" s="78">
        <v>187.3</v>
      </c>
      <c r="L411" s="239">
        <v>15</v>
      </c>
      <c r="M411" s="233" t="s">
        <v>254</v>
      </c>
      <c r="N411" s="233" t="s">
        <v>258</v>
      </c>
      <c r="O411" s="236" t="s">
        <v>267</v>
      </c>
      <c r="P411" s="78">
        <v>40599.199999999997</v>
      </c>
      <c r="Q411" s="78">
        <v>0</v>
      </c>
      <c r="R411" s="78">
        <v>0</v>
      </c>
      <c r="S411" s="78">
        <v>0</v>
      </c>
      <c r="T411" s="78">
        <f>P411-R411-S411</f>
        <v>40599.199999999997</v>
      </c>
      <c r="U411" s="78">
        <f t="shared" si="22"/>
        <v>192.87030878859855</v>
      </c>
      <c r="V411" s="78">
        <v>192.87030878859855</v>
      </c>
    </row>
    <row r="412" spans="1:22" s="79" customFormat="1" ht="36" customHeight="1" x14ac:dyDescent="0.25">
      <c r="B412" s="77" t="s">
        <v>785</v>
      </c>
      <c r="C412" s="240"/>
      <c r="D412" s="233" t="s">
        <v>835</v>
      </c>
      <c r="E412" s="233" t="s">
        <v>835</v>
      </c>
      <c r="F412" s="233" t="s">
        <v>835</v>
      </c>
      <c r="G412" s="233" t="s">
        <v>835</v>
      </c>
      <c r="H412" s="233" t="s">
        <v>835</v>
      </c>
      <c r="I412" s="234">
        <f>SUM(I413:I415)</f>
        <v>3663.2799999999997</v>
      </c>
      <c r="J412" s="234">
        <f>SUM(J413:J415)</f>
        <v>2787.65</v>
      </c>
      <c r="K412" s="234">
        <f>SUM(K413:K415)</f>
        <v>2473.65</v>
      </c>
      <c r="L412" s="235">
        <f>SUM(L413:L415)</f>
        <v>115</v>
      </c>
      <c r="M412" s="233" t="s">
        <v>835</v>
      </c>
      <c r="N412" s="233" t="s">
        <v>835</v>
      </c>
      <c r="O412" s="236" t="s">
        <v>835</v>
      </c>
      <c r="P412" s="237">
        <v>8700170.3300000001</v>
      </c>
      <c r="Q412" s="234">
        <f>SUM(Q413:Q415)</f>
        <v>0</v>
      </c>
      <c r="R412" s="234">
        <f>SUM(R413:R415)</f>
        <v>0</v>
      </c>
      <c r="S412" s="234">
        <f>SUM(S413:S415)</f>
        <v>0</v>
      </c>
      <c r="T412" s="234">
        <f>SUM(T413:T415)</f>
        <v>8700170.3300000001</v>
      </c>
      <c r="U412" s="78">
        <f t="shared" si="22"/>
        <v>2374.9673325544322</v>
      </c>
      <c r="V412" s="78">
        <f>MAX(V413:V415)</f>
        <v>7881.986010341262</v>
      </c>
    </row>
    <row r="413" spans="1:22" s="79" customFormat="1" ht="36" customHeight="1" x14ac:dyDescent="0.25">
      <c r="A413" s="79">
        <v>1</v>
      </c>
      <c r="B413" s="80">
        <f>SUBTOTAL(103,$A$16:A413)</f>
        <v>364</v>
      </c>
      <c r="C413" s="77" t="s">
        <v>105</v>
      </c>
      <c r="D413" s="233">
        <v>1961</v>
      </c>
      <c r="E413" s="233"/>
      <c r="F413" s="233" t="s">
        <v>256</v>
      </c>
      <c r="G413" s="233">
        <v>3</v>
      </c>
      <c r="H413" s="233" t="s">
        <v>290</v>
      </c>
      <c r="I413" s="78">
        <v>1048.3800000000001</v>
      </c>
      <c r="J413" s="78">
        <v>975.35</v>
      </c>
      <c r="K413" s="78">
        <v>975.35</v>
      </c>
      <c r="L413" s="239">
        <v>49</v>
      </c>
      <c r="M413" s="233" t="s">
        <v>254</v>
      </c>
      <c r="N413" s="233" t="s">
        <v>258</v>
      </c>
      <c r="O413" s="236" t="s">
        <v>1020</v>
      </c>
      <c r="P413" s="78">
        <v>1877560.0999999999</v>
      </c>
      <c r="Q413" s="78">
        <v>0</v>
      </c>
      <c r="R413" s="78">
        <v>0</v>
      </c>
      <c r="S413" s="78">
        <v>0</v>
      </c>
      <c r="T413" s="78">
        <f>P413-R413-S413</f>
        <v>1877560.0999999999</v>
      </c>
      <c r="U413" s="78">
        <f t="shared" si="22"/>
        <v>1790.9156031210055</v>
      </c>
      <c r="V413" s="78">
        <v>4672.3493229554178</v>
      </c>
    </row>
    <row r="414" spans="1:22" s="79" customFormat="1" ht="36" customHeight="1" x14ac:dyDescent="0.25">
      <c r="A414" s="79">
        <v>1</v>
      </c>
      <c r="B414" s="80">
        <f>SUBTOTAL(103,$A$16:A414)</f>
        <v>365</v>
      </c>
      <c r="C414" s="77" t="s">
        <v>107</v>
      </c>
      <c r="D414" s="233">
        <v>1977</v>
      </c>
      <c r="E414" s="233"/>
      <c r="F414" s="233" t="s">
        <v>256</v>
      </c>
      <c r="G414" s="233">
        <v>2</v>
      </c>
      <c r="H414" s="233" t="s">
        <v>299</v>
      </c>
      <c r="I414" s="78">
        <v>1063.7</v>
      </c>
      <c r="J414" s="78">
        <v>938.3</v>
      </c>
      <c r="K414" s="78">
        <v>938.3</v>
      </c>
      <c r="L414" s="239">
        <v>34</v>
      </c>
      <c r="M414" s="233" t="s">
        <v>254</v>
      </c>
      <c r="N414" s="233" t="s">
        <v>255</v>
      </c>
      <c r="O414" s="236" t="s">
        <v>257</v>
      </c>
      <c r="P414" s="78">
        <v>3555061.2899999996</v>
      </c>
      <c r="Q414" s="78">
        <v>0</v>
      </c>
      <c r="R414" s="78">
        <v>0</v>
      </c>
      <c r="S414" s="78">
        <v>0</v>
      </c>
      <c r="T414" s="78">
        <f>P414-R414-S414</f>
        <v>3555061.2899999996</v>
      </c>
      <c r="U414" s="78">
        <f t="shared" si="22"/>
        <v>3342.1653567735257</v>
      </c>
      <c r="V414" s="78">
        <v>7881.986010341262</v>
      </c>
    </row>
    <row r="415" spans="1:22" s="79" customFormat="1" ht="36" customHeight="1" x14ac:dyDescent="0.25">
      <c r="A415" s="79">
        <v>1</v>
      </c>
      <c r="B415" s="80">
        <f>SUBTOTAL(103,$A$16:A415)</f>
        <v>366</v>
      </c>
      <c r="C415" s="77" t="s">
        <v>1160</v>
      </c>
      <c r="D415" s="233">
        <v>1934</v>
      </c>
      <c r="E415" s="233"/>
      <c r="F415" s="233" t="s">
        <v>256</v>
      </c>
      <c r="G415" s="233">
        <v>2</v>
      </c>
      <c r="H415" s="233" t="s">
        <v>299</v>
      </c>
      <c r="I415" s="78">
        <v>1551.2</v>
      </c>
      <c r="J415" s="78">
        <v>874</v>
      </c>
      <c r="K415" s="78">
        <v>560</v>
      </c>
      <c r="L415" s="239">
        <v>32</v>
      </c>
      <c r="M415" s="233" t="s">
        <v>254</v>
      </c>
      <c r="N415" s="233" t="s">
        <v>255</v>
      </c>
      <c r="O415" s="236" t="s">
        <v>257</v>
      </c>
      <c r="P415" s="78">
        <v>3267548.94</v>
      </c>
      <c r="Q415" s="78">
        <v>0</v>
      </c>
      <c r="R415" s="78">
        <v>0</v>
      </c>
      <c r="S415" s="78">
        <v>0</v>
      </c>
      <c r="T415" s="78">
        <f>P415-R415-S415</f>
        <v>3267548.94</v>
      </c>
      <c r="U415" s="78">
        <f t="shared" si="22"/>
        <v>2106.465278494069</v>
      </c>
      <c r="V415" s="78">
        <v>4641.3216193914395</v>
      </c>
    </row>
    <row r="416" spans="1:22" s="79" customFormat="1" ht="36" customHeight="1" x14ac:dyDescent="0.25">
      <c r="B416" s="77" t="s">
        <v>786</v>
      </c>
      <c r="C416" s="240"/>
      <c r="D416" s="233" t="s">
        <v>835</v>
      </c>
      <c r="E416" s="233" t="s">
        <v>835</v>
      </c>
      <c r="F416" s="233" t="s">
        <v>835</v>
      </c>
      <c r="G416" s="233" t="s">
        <v>835</v>
      </c>
      <c r="H416" s="233" t="s">
        <v>835</v>
      </c>
      <c r="I416" s="234">
        <f>I417</f>
        <v>2767.4</v>
      </c>
      <c r="J416" s="234">
        <f>J417</f>
        <v>2688.9</v>
      </c>
      <c r="K416" s="234">
        <f>K417</f>
        <v>2688.9</v>
      </c>
      <c r="L416" s="235">
        <f>L417</f>
        <v>31</v>
      </c>
      <c r="M416" s="233" t="s">
        <v>835</v>
      </c>
      <c r="N416" s="233" t="s">
        <v>835</v>
      </c>
      <c r="O416" s="236" t="s">
        <v>835</v>
      </c>
      <c r="P416" s="241">
        <v>4281723.32</v>
      </c>
      <c r="Q416" s="78">
        <f>Q417</f>
        <v>0</v>
      </c>
      <c r="R416" s="78">
        <f>R417</f>
        <v>0</v>
      </c>
      <c r="S416" s="78">
        <f>S417</f>
        <v>2908349.77</v>
      </c>
      <c r="T416" s="78">
        <f>T417</f>
        <v>1373373.5500000003</v>
      </c>
      <c r="U416" s="78">
        <f t="shared" si="22"/>
        <v>1547.2007371540074</v>
      </c>
      <c r="V416" s="78">
        <f>MAX(V417)</f>
        <v>3111.8130302811305</v>
      </c>
    </row>
    <row r="417" spans="1:22" s="79" customFormat="1" ht="36" customHeight="1" x14ac:dyDescent="0.25">
      <c r="A417" s="79">
        <v>1</v>
      </c>
      <c r="B417" s="80">
        <f>SUBTOTAL(103,$A$16:A417)</f>
        <v>367</v>
      </c>
      <c r="C417" s="77" t="s">
        <v>40</v>
      </c>
      <c r="D417" s="233">
        <v>1979</v>
      </c>
      <c r="E417" s="233"/>
      <c r="F417" s="233" t="s">
        <v>256</v>
      </c>
      <c r="G417" s="233">
        <v>5</v>
      </c>
      <c r="H417" s="233" t="s">
        <v>295</v>
      </c>
      <c r="I417" s="78">
        <v>2767.4</v>
      </c>
      <c r="J417" s="78">
        <v>2688.9</v>
      </c>
      <c r="K417" s="78">
        <v>2688.9</v>
      </c>
      <c r="L417" s="239">
        <v>31</v>
      </c>
      <c r="M417" s="233" t="s">
        <v>254</v>
      </c>
      <c r="N417" s="233" t="s">
        <v>255</v>
      </c>
      <c r="O417" s="236" t="s">
        <v>257</v>
      </c>
      <c r="P417" s="78">
        <v>4281723.32</v>
      </c>
      <c r="Q417" s="78">
        <v>0</v>
      </c>
      <c r="R417" s="78">
        <v>0</v>
      </c>
      <c r="S417" s="78">
        <v>2908349.77</v>
      </c>
      <c r="T417" s="78">
        <f>P417-S417</f>
        <v>1373373.5500000003</v>
      </c>
      <c r="U417" s="78">
        <f t="shared" si="22"/>
        <v>1547.2007371540074</v>
      </c>
      <c r="V417" s="78">
        <v>3111.8130302811305</v>
      </c>
    </row>
    <row r="418" spans="1:22" s="79" customFormat="1" ht="36" customHeight="1" x14ac:dyDescent="0.25">
      <c r="B418" s="77" t="s">
        <v>787</v>
      </c>
      <c r="C418" s="77"/>
      <c r="D418" s="233" t="s">
        <v>835</v>
      </c>
      <c r="E418" s="233" t="s">
        <v>835</v>
      </c>
      <c r="F418" s="233" t="s">
        <v>835</v>
      </c>
      <c r="G418" s="233" t="s">
        <v>835</v>
      </c>
      <c r="H418" s="233" t="s">
        <v>835</v>
      </c>
      <c r="I418" s="234">
        <f>SUM(I419:I421)</f>
        <v>15666.63</v>
      </c>
      <c r="J418" s="234">
        <f>SUM(J419:J421)</f>
        <v>12577.22</v>
      </c>
      <c r="K418" s="234">
        <f>SUM(K419:K421)</f>
        <v>12577.22</v>
      </c>
      <c r="L418" s="235">
        <f>SUM(L419:L421)</f>
        <v>545</v>
      </c>
      <c r="M418" s="233" t="s">
        <v>835</v>
      </c>
      <c r="N418" s="233" t="s">
        <v>835</v>
      </c>
      <c r="O418" s="236" t="s">
        <v>835</v>
      </c>
      <c r="P418" s="237">
        <v>2434186.5899999994</v>
      </c>
      <c r="Q418" s="234">
        <f>SUM(Q419:Q421)</f>
        <v>0</v>
      </c>
      <c r="R418" s="234">
        <f>SUM(R419:R421)</f>
        <v>0</v>
      </c>
      <c r="S418" s="234">
        <f>SUM(S419:S421)</f>
        <v>0</v>
      </c>
      <c r="T418" s="234">
        <f>SUM(T419:T421)</f>
        <v>2434186.5899999994</v>
      </c>
      <c r="U418" s="78">
        <f t="shared" si="22"/>
        <v>155.37397576887943</v>
      </c>
      <c r="V418" s="78">
        <f>MAX(V419:V421)</f>
        <v>3820.48</v>
      </c>
    </row>
    <row r="419" spans="1:22" s="79" customFormat="1" ht="36" customHeight="1" x14ac:dyDescent="0.25">
      <c r="A419" s="79">
        <v>1</v>
      </c>
      <c r="B419" s="80">
        <f>SUBTOTAL(103,$A$16:A419)</f>
        <v>368</v>
      </c>
      <c r="C419" s="77" t="s">
        <v>63</v>
      </c>
      <c r="D419" s="233">
        <v>1976</v>
      </c>
      <c r="E419" s="233"/>
      <c r="F419" s="233" t="s">
        <v>256</v>
      </c>
      <c r="G419" s="233">
        <v>5</v>
      </c>
      <c r="H419" s="233" t="s">
        <v>355</v>
      </c>
      <c r="I419" s="78">
        <v>4783.1499999999996</v>
      </c>
      <c r="J419" s="78">
        <v>4417.7</v>
      </c>
      <c r="K419" s="78">
        <v>4417.7</v>
      </c>
      <c r="L419" s="239">
        <v>190</v>
      </c>
      <c r="M419" s="233" t="s">
        <v>254</v>
      </c>
      <c r="N419" s="233" t="s">
        <v>258</v>
      </c>
      <c r="O419" s="236" t="s">
        <v>259</v>
      </c>
      <c r="P419" s="78">
        <v>158769.03</v>
      </c>
      <c r="Q419" s="78">
        <v>0</v>
      </c>
      <c r="R419" s="78">
        <v>0</v>
      </c>
      <c r="S419" s="78">
        <v>0</v>
      </c>
      <c r="T419" s="78">
        <f>P419-R419-S419</f>
        <v>158769.03</v>
      </c>
      <c r="U419" s="78">
        <f t="shared" si="22"/>
        <v>33.193403928373563</v>
      </c>
      <c r="V419" s="78">
        <v>33.193403928373563</v>
      </c>
    </row>
    <row r="420" spans="1:22" s="79" customFormat="1" ht="36" customHeight="1" x14ac:dyDescent="0.25">
      <c r="A420" s="79">
        <v>1</v>
      </c>
      <c r="B420" s="80">
        <f>SUBTOTAL(103,$A$16:A420)</f>
        <v>369</v>
      </c>
      <c r="C420" s="77" t="s">
        <v>1173</v>
      </c>
      <c r="D420" s="233">
        <v>1969</v>
      </c>
      <c r="E420" s="233"/>
      <c r="F420" s="233" t="s">
        <v>256</v>
      </c>
      <c r="G420" s="233">
        <v>5</v>
      </c>
      <c r="H420" s="233" t="s">
        <v>290</v>
      </c>
      <c r="I420" s="78">
        <v>3712.73</v>
      </c>
      <c r="J420" s="78">
        <v>3066.62</v>
      </c>
      <c r="K420" s="78">
        <v>3066.62</v>
      </c>
      <c r="L420" s="239">
        <v>137</v>
      </c>
      <c r="M420" s="233" t="s">
        <v>254</v>
      </c>
      <c r="N420" s="233" t="s">
        <v>258</v>
      </c>
      <c r="O420" s="236" t="s">
        <v>1223</v>
      </c>
      <c r="P420" s="78">
        <v>2151195.7399999998</v>
      </c>
      <c r="Q420" s="78">
        <v>0</v>
      </c>
      <c r="R420" s="78">
        <v>0</v>
      </c>
      <c r="S420" s="78">
        <v>0</v>
      </c>
      <c r="T420" s="78">
        <f>P420-R420-S420</f>
        <v>2151195.7399999998</v>
      </c>
      <c r="U420" s="78">
        <f t="shared" si="22"/>
        <v>579.41076781775132</v>
      </c>
      <c r="V420" s="78">
        <v>3820.48</v>
      </c>
    </row>
    <row r="421" spans="1:22" s="79" customFormat="1" ht="36" customHeight="1" x14ac:dyDescent="0.25">
      <c r="A421" s="79">
        <v>1</v>
      </c>
      <c r="B421" s="80">
        <f>SUBTOTAL(103,$A$16:A421)</f>
        <v>370</v>
      </c>
      <c r="C421" s="77" t="s">
        <v>52</v>
      </c>
      <c r="D421" s="233">
        <v>1981</v>
      </c>
      <c r="E421" s="233"/>
      <c r="F421" s="233" t="s">
        <v>256</v>
      </c>
      <c r="G421" s="233">
        <v>5</v>
      </c>
      <c r="H421" s="233" t="s">
        <v>2123</v>
      </c>
      <c r="I421" s="78">
        <v>7170.75</v>
      </c>
      <c r="J421" s="78">
        <v>5092.8999999999996</v>
      </c>
      <c r="K421" s="78">
        <v>5092.8999999999996</v>
      </c>
      <c r="L421" s="239">
        <v>218</v>
      </c>
      <c r="M421" s="233" t="s">
        <v>254</v>
      </c>
      <c r="N421" s="233" t="s">
        <v>258</v>
      </c>
      <c r="O421" s="236" t="s">
        <v>259</v>
      </c>
      <c r="P421" s="78">
        <v>124221.82</v>
      </c>
      <c r="Q421" s="78">
        <v>0</v>
      </c>
      <c r="R421" s="78">
        <v>0</v>
      </c>
      <c r="S421" s="78">
        <v>0</v>
      </c>
      <c r="T421" s="78">
        <f>P421-S421-R421</f>
        <v>124221.82</v>
      </c>
      <c r="U421" s="78">
        <f t="shared" si="22"/>
        <v>17.323406896070843</v>
      </c>
      <c r="V421" s="78">
        <v>17.323406896070843</v>
      </c>
    </row>
    <row r="422" spans="1:22" s="79" customFormat="1" ht="36" customHeight="1" x14ac:dyDescent="0.25">
      <c r="B422" s="77" t="s">
        <v>788</v>
      </c>
      <c r="C422" s="77"/>
      <c r="D422" s="233" t="s">
        <v>835</v>
      </c>
      <c r="E422" s="233" t="s">
        <v>835</v>
      </c>
      <c r="F422" s="233" t="s">
        <v>835</v>
      </c>
      <c r="G422" s="233" t="s">
        <v>835</v>
      </c>
      <c r="H422" s="233" t="s">
        <v>835</v>
      </c>
      <c r="I422" s="234">
        <f>SUM(I423:I428)</f>
        <v>14224.350000000002</v>
      </c>
      <c r="J422" s="234">
        <f>SUM(J423:J428)</f>
        <v>11894.25</v>
      </c>
      <c r="K422" s="234">
        <f>SUM(K423:K428)</f>
        <v>11435.45</v>
      </c>
      <c r="L422" s="235">
        <f>SUM(L423:L428)</f>
        <v>742</v>
      </c>
      <c r="M422" s="233" t="s">
        <v>835</v>
      </c>
      <c r="N422" s="233" t="s">
        <v>835</v>
      </c>
      <c r="O422" s="236" t="s">
        <v>835</v>
      </c>
      <c r="P422" s="237">
        <v>19736488.859999999</v>
      </c>
      <c r="Q422" s="234">
        <f>SUM(Q423:Q428)</f>
        <v>0</v>
      </c>
      <c r="R422" s="234">
        <f>SUM(R423:R428)</f>
        <v>0</v>
      </c>
      <c r="S422" s="234">
        <f>SUM(S423:S428)</f>
        <v>0</v>
      </c>
      <c r="T422" s="234">
        <f>SUM(T423:T428)</f>
        <v>19736488.859999999</v>
      </c>
      <c r="U422" s="78">
        <f t="shared" si="22"/>
        <v>1387.5142878233448</v>
      </c>
      <c r="V422" s="78">
        <f>MAX(V423:V428)</f>
        <v>5801.3086013798402</v>
      </c>
    </row>
    <row r="423" spans="1:22" s="79" customFormat="1" ht="36" customHeight="1" x14ac:dyDescent="0.25">
      <c r="A423" s="79">
        <v>1</v>
      </c>
      <c r="B423" s="80">
        <f>SUBTOTAL(103,$A$16:A423)</f>
        <v>371</v>
      </c>
      <c r="C423" s="77" t="s">
        <v>47</v>
      </c>
      <c r="D423" s="233">
        <v>1964</v>
      </c>
      <c r="E423" s="233"/>
      <c r="F423" s="233" t="s">
        <v>256</v>
      </c>
      <c r="G423" s="233">
        <v>3</v>
      </c>
      <c r="H423" s="233" t="s">
        <v>290</v>
      </c>
      <c r="I423" s="78">
        <v>961.6</v>
      </c>
      <c r="J423" s="78">
        <v>723.4</v>
      </c>
      <c r="K423" s="78">
        <v>723.4</v>
      </c>
      <c r="L423" s="239">
        <v>25</v>
      </c>
      <c r="M423" s="233" t="s">
        <v>254</v>
      </c>
      <c r="N423" s="233" t="s">
        <v>258</v>
      </c>
      <c r="O423" s="236" t="s">
        <v>260</v>
      </c>
      <c r="P423" s="78">
        <v>106790.64</v>
      </c>
      <c r="Q423" s="78">
        <v>0</v>
      </c>
      <c r="R423" s="78">
        <v>0</v>
      </c>
      <c r="S423" s="78">
        <v>0</v>
      </c>
      <c r="T423" s="78">
        <f t="shared" ref="T423:T428" si="24">P423-R423-S423</f>
        <v>106790.64</v>
      </c>
      <c r="U423" s="78">
        <f t="shared" si="22"/>
        <v>111.05515806988352</v>
      </c>
      <c r="V423" s="78">
        <v>111.05515806988352</v>
      </c>
    </row>
    <row r="424" spans="1:22" s="79" customFormat="1" ht="36" customHeight="1" x14ac:dyDescent="0.25">
      <c r="A424" s="79">
        <v>1</v>
      </c>
      <c r="B424" s="80">
        <f>SUBTOTAL(103,$A$16:A424)</f>
        <v>372</v>
      </c>
      <c r="C424" s="77" t="s">
        <v>742</v>
      </c>
      <c r="D424" s="233">
        <v>1989</v>
      </c>
      <c r="E424" s="233"/>
      <c r="F424" s="233" t="s">
        <v>256</v>
      </c>
      <c r="G424" s="233">
        <v>4</v>
      </c>
      <c r="H424" s="233" t="s">
        <v>291</v>
      </c>
      <c r="I424" s="78">
        <v>1871.3</v>
      </c>
      <c r="J424" s="78">
        <v>779.1</v>
      </c>
      <c r="K424" s="78">
        <v>779.1</v>
      </c>
      <c r="L424" s="239">
        <v>88</v>
      </c>
      <c r="M424" s="233" t="s">
        <v>254</v>
      </c>
      <c r="N424" s="233" t="s">
        <v>255</v>
      </c>
      <c r="O424" s="236" t="s">
        <v>257</v>
      </c>
      <c r="P424" s="78">
        <v>2606495.48</v>
      </c>
      <c r="Q424" s="78">
        <v>0</v>
      </c>
      <c r="R424" s="78">
        <v>0</v>
      </c>
      <c r="S424" s="78">
        <v>0</v>
      </c>
      <c r="T424" s="78">
        <f t="shared" si="24"/>
        <v>2606495.48</v>
      </c>
      <c r="U424" s="78">
        <f t="shared" si="22"/>
        <v>1392.87953828889</v>
      </c>
      <c r="V424" s="78">
        <v>2949.6327472879821</v>
      </c>
    </row>
    <row r="425" spans="1:22" s="79" customFormat="1" ht="36" customHeight="1" x14ac:dyDescent="0.25">
      <c r="A425" s="79">
        <v>1</v>
      </c>
      <c r="B425" s="80">
        <f>SUBTOTAL(103,$A$16:A425)</f>
        <v>373</v>
      </c>
      <c r="C425" s="77" t="s">
        <v>1162</v>
      </c>
      <c r="D425" s="233">
        <v>1977</v>
      </c>
      <c r="E425" s="233"/>
      <c r="F425" s="233" t="s">
        <v>256</v>
      </c>
      <c r="G425" s="233">
        <v>5</v>
      </c>
      <c r="H425" s="233" t="s">
        <v>295</v>
      </c>
      <c r="I425" s="78">
        <v>3134.05</v>
      </c>
      <c r="J425" s="78">
        <v>3134.05</v>
      </c>
      <c r="K425" s="78">
        <v>3134.05</v>
      </c>
      <c r="L425" s="239">
        <v>182</v>
      </c>
      <c r="M425" s="233" t="s">
        <v>254</v>
      </c>
      <c r="N425" s="233" t="s">
        <v>258</v>
      </c>
      <c r="O425" s="236" t="s">
        <v>1225</v>
      </c>
      <c r="P425" s="78">
        <v>5055398.58</v>
      </c>
      <c r="Q425" s="78">
        <v>0</v>
      </c>
      <c r="R425" s="78">
        <v>0</v>
      </c>
      <c r="S425" s="78">
        <v>0</v>
      </c>
      <c r="T425" s="78">
        <f t="shared" si="24"/>
        <v>5055398.58</v>
      </c>
      <c r="U425" s="78">
        <f t="shared" si="22"/>
        <v>1613.0561350329444</v>
      </c>
      <c r="V425" s="78">
        <v>3820.48</v>
      </c>
    </row>
    <row r="426" spans="1:22" s="79" customFormat="1" ht="36" customHeight="1" x14ac:dyDescent="0.25">
      <c r="A426" s="79">
        <v>1</v>
      </c>
      <c r="B426" s="80">
        <f>SUBTOTAL(103,$A$16:A426)</f>
        <v>374</v>
      </c>
      <c r="C426" s="77" t="s">
        <v>1163</v>
      </c>
      <c r="D426" s="233">
        <v>1992</v>
      </c>
      <c r="E426" s="233"/>
      <c r="F426" s="233" t="s">
        <v>256</v>
      </c>
      <c r="G426" s="233">
        <v>5</v>
      </c>
      <c r="H426" s="233" t="s">
        <v>337</v>
      </c>
      <c r="I426" s="78">
        <v>3322.7</v>
      </c>
      <c r="J426" s="78">
        <v>3322.7</v>
      </c>
      <c r="K426" s="78">
        <v>3322.7</v>
      </c>
      <c r="L426" s="239">
        <v>157</v>
      </c>
      <c r="M426" s="233" t="s">
        <v>254</v>
      </c>
      <c r="N426" s="233" t="s">
        <v>258</v>
      </c>
      <c r="O426" s="236" t="s">
        <v>1225</v>
      </c>
      <c r="P426" s="78">
        <v>5685725.29</v>
      </c>
      <c r="Q426" s="78">
        <v>0</v>
      </c>
      <c r="R426" s="78">
        <v>0</v>
      </c>
      <c r="S426" s="78">
        <v>0</v>
      </c>
      <c r="T426" s="78">
        <f t="shared" si="24"/>
        <v>5685725.29</v>
      </c>
      <c r="U426" s="78">
        <f t="shared" si="22"/>
        <v>1711.1762392030578</v>
      </c>
      <c r="V426" s="78">
        <v>3820.48</v>
      </c>
    </row>
    <row r="427" spans="1:22" s="79" customFormat="1" ht="36" customHeight="1" x14ac:dyDescent="0.25">
      <c r="A427" s="79">
        <v>1</v>
      </c>
      <c r="B427" s="80">
        <f>SUBTOTAL(103,$A$16:A427)</f>
        <v>375</v>
      </c>
      <c r="C427" s="77" t="s">
        <v>1164</v>
      </c>
      <c r="D427" s="233">
        <v>1970</v>
      </c>
      <c r="E427" s="233"/>
      <c r="F427" s="233" t="s">
        <v>256</v>
      </c>
      <c r="G427" s="233">
        <v>5</v>
      </c>
      <c r="H427" s="233" t="s">
        <v>299</v>
      </c>
      <c r="I427" s="78">
        <v>3891.1</v>
      </c>
      <c r="J427" s="78">
        <v>2891.4</v>
      </c>
      <c r="K427" s="78">
        <v>2505.5</v>
      </c>
      <c r="L427" s="239">
        <v>253</v>
      </c>
      <c r="M427" s="233" t="s">
        <v>254</v>
      </c>
      <c r="N427" s="233" t="s">
        <v>258</v>
      </c>
      <c r="O427" s="236" t="s">
        <v>1225</v>
      </c>
      <c r="P427" s="78">
        <v>2648193.62</v>
      </c>
      <c r="Q427" s="78">
        <v>0</v>
      </c>
      <c r="R427" s="78">
        <v>0</v>
      </c>
      <c r="S427" s="78">
        <v>0</v>
      </c>
      <c r="T427" s="78">
        <f t="shared" si="24"/>
        <v>2648193.62</v>
      </c>
      <c r="U427" s="78">
        <f t="shared" si="22"/>
        <v>680.57711701061396</v>
      </c>
      <c r="V427" s="78">
        <v>3259.66</v>
      </c>
    </row>
    <row r="428" spans="1:22" s="79" customFormat="1" ht="36" customHeight="1" x14ac:dyDescent="0.25">
      <c r="A428" s="79">
        <v>1</v>
      </c>
      <c r="B428" s="80">
        <f>SUBTOTAL(103,$A$16:A428)</f>
        <v>376</v>
      </c>
      <c r="C428" s="77" t="s">
        <v>1166</v>
      </c>
      <c r="D428" s="233">
        <v>1964</v>
      </c>
      <c r="E428" s="233"/>
      <c r="F428" s="233" t="s">
        <v>256</v>
      </c>
      <c r="G428" s="233">
        <v>3</v>
      </c>
      <c r="H428" s="233" t="s">
        <v>290</v>
      </c>
      <c r="I428" s="78">
        <v>1043.5999999999999</v>
      </c>
      <c r="J428" s="78">
        <v>1043.5999999999999</v>
      </c>
      <c r="K428" s="78">
        <v>970.7</v>
      </c>
      <c r="L428" s="239">
        <v>37</v>
      </c>
      <c r="M428" s="233" t="s">
        <v>254</v>
      </c>
      <c r="N428" s="233" t="s">
        <v>258</v>
      </c>
      <c r="O428" s="236" t="s">
        <v>260</v>
      </c>
      <c r="P428" s="78">
        <v>3633885.25</v>
      </c>
      <c r="Q428" s="78">
        <v>0</v>
      </c>
      <c r="R428" s="78">
        <v>0</v>
      </c>
      <c r="S428" s="78">
        <v>0</v>
      </c>
      <c r="T428" s="78">
        <f t="shared" si="24"/>
        <v>3633885.25</v>
      </c>
      <c r="U428" s="78">
        <f t="shared" si="22"/>
        <v>3482.0671234189349</v>
      </c>
      <c r="V428" s="78">
        <v>5801.3086013798402</v>
      </c>
    </row>
    <row r="429" spans="1:22" s="79" customFormat="1" ht="36" customHeight="1" x14ac:dyDescent="0.25">
      <c r="B429" s="77" t="s">
        <v>789</v>
      </c>
      <c r="C429" s="77"/>
      <c r="D429" s="233" t="s">
        <v>835</v>
      </c>
      <c r="E429" s="233" t="s">
        <v>835</v>
      </c>
      <c r="F429" s="233" t="s">
        <v>835</v>
      </c>
      <c r="G429" s="233" t="s">
        <v>835</v>
      </c>
      <c r="H429" s="233" t="s">
        <v>835</v>
      </c>
      <c r="I429" s="234">
        <f>SUM(I430:I434)</f>
        <v>4806.5999999999995</v>
      </c>
      <c r="J429" s="234">
        <f>SUM(J430:J434)</f>
        <v>4646.83</v>
      </c>
      <c r="K429" s="234">
        <f>SUM(K430:K434)</f>
        <v>4528.83</v>
      </c>
      <c r="L429" s="235">
        <f>SUM(L430:L434)</f>
        <v>165</v>
      </c>
      <c r="M429" s="233" t="s">
        <v>835</v>
      </c>
      <c r="N429" s="233" t="s">
        <v>835</v>
      </c>
      <c r="O429" s="236" t="s">
        <v>835</v>
      </c>
      <c r="P429" s="241">
        <v>9389545.5499999989</v>
      </c>
      <c r="Q429" s="78">
        <f>SUM(Q430:Q434)</f>
        <v>0</v>
      </c>
      <c r="R429" s="78">
        <f>SUM(R430:R434)</f>
        <v>0</v>
      </c>
      <c r="S429" s="78">
        <f>SUM(S430:S434)</f>
        <v>0</v>
      </c>
      <c r="T429" s="78">
        <f>SUM(T430:T434)</f>
        <v>9389545.5499999989</v>
      </c>
      <c r="U429" s="78">
        <f t="shared" si="22"/>
        <v>1953.4693026255566</v>
      </c>
      <c r="V429" s="78">
        <f>MAX(V430:V434)</f>
        <v>7645.5312117835692</v>
      </c>
    </row>
    <row r="430" spans="1:22" s="79" customFormat="1" ht="36" customHeight="1" x14ac:dyDescent="0.25">
      <c r="A430" s="79">
        <v>1</v>
      </c>
      <c r="B430" s="80">
        <f>SUBTOTAL(103,$A$16:A430)</f>
        <v>377</v>
      </c>
      <c r="C430" s="77" t="s">
        <v>44</v>
      </c>
      <c r="D430" s="233">
        <v>1956</v>
      </c>
      <c r="E430" s="233"/>
      <c r="F430" s="233" t="s">
        <v>256</v>
      </c>
      <c r="G430" s="233">
        <v>2</v>
      </c>
      <c r="H430" s="233" t="s">
        <v>290</v>
      </c>
      <c r="I430" s="78">
        <v>735.94</v>
      </c>
      <c r="J430" s="78">
        <v>672.45</v>
      </c>
      <c r="K430" s="78">
        <v>672.45</v>
      </c>
      <c r="L430" s="239">
        <v>32</v>
      </c>
      <c r="M430" s="233" t="s">
        <v>254</v>
      </c>
      <c r="N430" s="233" t="s">
        <v>258</v>
      </c>
      <c r="O430" s="236" t="s">
        <v>261</v>
      </c>
      <c r="P430" s="78">
        <v>2250143.48</v>
      </c>
      <c r="Q430" s="78">
        <v>0</v>
      </c>
      <c r="R430" s="78">
        <v>0</v>
      </c>
      <c r="S430" s="78">
        <v>0</v>
      </c>
      <c r="T430" s="78">
        <f>P430-R430-S430</f>
        <v>2250143.48</v>
      </c>
      <c r="U430" s="78">
        <f t="shared" si="22"/>
        <v>3057.5094165285209</v>
      </c>
      <c r="V430" s="78">
        <v>7645.5312117835692</v>
      </c>
    </row>
    <row r="431" spans="1:22" s="79" customFormat="1" ht="36" customHeight="1" x14ac:dyDescent="0.25">
      <c r="A431" s="79">
        <v>1</v>
      </c>
      <c r="B431" s="80">
        <f>SUBTOTAL(103,$A$16:A431)</f>
        <v>378</v>
      </c>
      <c r="C431" s="77" t="s">
        <v>43</v>
      </c>
      <c r="D431" s="233">
        <v>1963</v>
      </c>
      <c r="E431" s="233"/>
      <c r="F431" s="233" t="s">
        <v>256</v>
      </c>
      <c r="G431" s="233">
        <v>2</v>
      </c>
      <c r="H431" s="233" t="s">
        <v>290</v>
      </c>
      <c r="I431" s="78">
        <v>687.5</v>
      </c>
      <c r="J431" s="78">
        <v>639.5</v>
      </c>
      <c r="K431" s="78">
        <v>521.5</v>
      </c>
      <c r="L431" s="239">
        <v>16</v>
      </c>
      <c r="M431" s="233" t="s">
        <v>254</v>
      </c>
      <c r="N431" s="233" t="s">
        <v>258</v>
      </c>
      <c r="O431" s="236" t="s">
        <v>261</v>
      </c>
      <c r="P431" s="78">
        <v>2167263.7000000002</v>
      </c>
      <c r="Q431" s="78">
        <v>0</v>
      </c>
      <c r="R431" s="78">
        <v>0</v>
      </c>
      <c r="S431" s="78">
        <v>0</v>
      </c>
      <c r="T431" s="78">
        <f>P431-R431-S431</f>
        <v>2167263.7000000002</v>
      </c>
      <c r="U431" s="78">
        <f t="shared" si="22"/>
        <v>3152.3835636363638</v>
      </c>
      <c r="V431" s="78">
        <v>7197.1861760000002</v>
      </c>
    </row>
    <row r="432" spans="1:22" s="79" customFormat="1" ht="36" customHeight="1" x14ac:dyDescent="0.25">
      <c r="A432" s="79">
        <v>1</v>
      </c>
      <c r="B432" s="80">
        <f>SUBTOTAL(103,$A$16:A432)</f>
        <v>379</v>
      </c>
      <c r="C432" s="77" t="s">
        <v>45</v>
      </c>
      <c r="D432" s="233">
        <v>1964</v>
      </c>
      <c r="E432" s="233"/>
      <c r="F432" s="233" t="s">
        <v>256</v>
      </c>
      <c r="G432" s="233">
        <v>2</v>
      </c>
      <c r="H432" s="233" t="s">
        <v>290</v>
      </c>
      <c r="I432" s="78">
        <v>691.68</v>
      </c>
      <c r="J432" s="78">
        <v>643.4</v>
      </c>
      <c r="K432" s="78">
        <v>643.4</v>
      </c>
      <c r="L432" s="239">
        <v>10</v>
      </c>
      <c r="M432" s="233" t="s">
        <v>254</v>
      </c>
      <c r="N432" s="233" t="s">
        <v>258</v>
      </c>
      <c r="O432" s="236" t="s">
        <v>261</v>
      </c>
      <c r="P432" s="78">
        <v>2202329.54</v>
      </c>
      <c r="Q432" s="78">
        <v>0</v>
      </c>
      <c r="R432" s="78">
        <v>0</v>
      </c>
      <c r="S432" s="78">
        <v>0</v>
      </c>
      <c r="T432" s="78">
        <f>P432-R432-S432</f>
        <v>2202329.54</v>
      </c>
      <c r="U432" s="78">
        <f t="shared" si="22"/>
        <v>3184.0295223224616</v>
      </c>
      <c r="V432" s="78">
        <v>7245.223918575065</v>
      </c>
    </row>
    <row r="433" spans="1:22" s="79" customFormat="1" ht="36" customHeight="1" x14ac:dyDescent="0.25">
      <c r="A433" s="79">
        <v>1</v>
      </c>
      <c r="B433" s="80">
        <f>SUBTOTAL(103,$A$16:A433)</f>
        <v>380</v>
      </c>
      <c r="C433" s="77" t="s">
        <v>1171</v>
      </c>
      <c r="D433" s="233">
        <v>1974</v>
      </c>
      <c r="E433" s="233"/>
      <c r="F433" s="233" t="s">
        <v>256</v>
      </c>
      <c r="G433" s="233">
        <v>5</v>
      </c>
      <c r="H433" s="233" t="s">
        <v>290</v>
      </c>
      <c r="I433" s="78">
        <v>2146.1799999999998</v>
      </c>
      <c r="J433" s="78">
        <v>2146.1799999999998</v>
      </c>
      <c r="K433" s="78">
        <v>2146.1799999999998</v>
      </c>
      <c r="L433" s="239">
        <v>78</v>
      </c>
      <c r="M433" s="233" t="s">
        <v>254</v>
      </c>
      <c r="N433" s="233" t="s">
        <v>258</v>
      </c>
      <c r="O433" s="236" t="s">
        <v>261</v>
      </c>
      <c r="P433" s="78">
        <v>1467154.4200000002</v>
      </c>
      <c r="Q433" s="78">
        <v>0</v>
      </c>
      <c r="R433" s="78">
        <v>0</v>
      </c>
      <c r="S433" s="78">
        <v>0</v>
      </c>
      <c r="T433" s="78">
        <f>P433-R433-S433</f>
        <v>1467154.4200000002</v>
      </c>
      <c r="U433" s="78">
        <f t="shared" si="22"/>
        <v>683.61200831244366</v>
      </c>
      <c r="V433" s="78">
        <v>4183.21</v>
      </c>
    </row>
    <row r="434" spans="1:22" s="79" customFormat="1" ht="36" customHeight="1" x14ac:dyDescent="0.25">
      <c r="A434" s="79">
        <v>1</v>
      </c>
      <c r="B434" s="80">
        <f>SUBTOTAL(103,$A$16:A434)</f>
        <v>381</v>
      </c>
      <c r="C434" s="77" t="s">
        <v>1172</v>
      </c>
      <c r="D434" s="233">
        <v>1936</v>
      </c>
      <c r="E434" s="233"/>
      <c r="F434" s="233" t="s">
        <v>316</v>
      </c>
      <c r="G434" s="233">
        <v>2</v>
      </c>
      <c r="H434" s="233" t="s">
        <v>290</v>
      </c>
      <c r="I434" s="78">
        <v>545.29999999999995</v>
      </c>
      <c r="J434" s="78">
        <v>545.29999999999995</v>
      </c>
      <c r="K434" s="78">
        <v>545.29999999999995</v>
      </c>
      <c r="L434" s="239">
        <v>29</v>
      </c>
      <c r="M434" s="233" t="s">
        <v>254</v>
      </c>
      <c r="N434" s="233" t="s">
        <v>258</v>
      </c>
      <c r="O434" s="236" t="s">
        <v>261</v>
      </c>
      <c r="P434" s="78">
        <v>1302654.4099999999</v>
      </c>
      <c r="Q434" s="78">
        <v>0</v>
      </c>
      <c r="R434" s="78">
        <v>0</v>
      </c>
      <c r="S434" s="78">
        <v>0</v>
      </c>
      <c r="T434" s="78">
        <f>P434-R434-S434</f>
        <v>1302654.4099999999</v>
      </c>
      <c r="U434" s="78">
        <f t="shared" si="22"/>
        <v>2388.8766000366772</v>
      </c>
      <c r="V434" s="78">
        <v>7183.9978228498085</v>
      </c>
    </row>
    <row r="435" spans="1:22" s="79" customFormat="1" ht="36" customHeight="1" x14ac:dyDescent="0.25">
      <c r="B435" s="77" t="s">
        <v>790</v>
      </c>
      <c r="C435" s="77"/>
      <c r="D435" s="233" t="s">
        <v>835</v>
      </c>
      <c r="E435" s="233" t="s">
        <v>835</v>
      </c>
      <c r="F435" s="233" t="s">
        <v>835</v>
      </c>
      <c r="G435" s="233" t="s">
        <v>835</v>
      </c>
      <c r="H435" s="233" t="s">
        <v>835</v>
      </c>
      <c r="I435" s="234">
        <f>SUM(I436:I437)</f>
        <v>1322.5</v>
      </c>
      <c r="J435" s="234">
        <f>SUM(J436:J437)</f>
        <v>1216.4000000000001</v>
      </c>
      <c r="K435" s="234">
        <f>SUM(K436:K437)</f>
        <v>1216.4000000000001</v>
      </c>
      <c r="L435" s="235">
        <f>SUM(L436:L437)</f>
        <v>60</v>
      </c>
      <c r="M435" s="233" t="s">
        <v>835</v>
      </c>
      <c r="N435" s="233" t="s">
        <v>835</v>
      </c>
      <c r="O435" s="236" t="s">
        <v>835</v>
      </c>
      <c r="P435" s="237">
        <v>5138784.57</v>
      </c>
      <c r="Q435" s="234">
        <f>SUM(Q436:Q437)</f>
        <v>0</v>
      </c>
      <c r="R435" s="234">
        <f>SUM(R436:R437)</f>
        <v>0</v>
      </c>
      <c r="S435" s="234">
        <f>SUM(S436:S437)</f>
        <v>0</v>
      </c>
      <c r="T435" s="234">
        <f>SUM(T436:T437)</f>
        <v>5138784.57</v>
      </c>
      <c r="U435" s="78">
        <f t="shared" si="22"/>
        <v>3885.6594102079398</v>
      </c>
      <c r="V435" s="78">
        <f>MAX(V436:V437)</f>
        <v>10715.217710216719</v>
      </c>
    </row>
    <row r="436" spans="1:22" s="79" customFormat="1" ht="36" customHeight="1" x14ac:dyDescent="0.25">
      <c r="A436" s="79">
        <v>1</v>
      </c>
      <c r="B436" s="80">
        <f>SUBTOTAL(103,$A$16:A436)</f>
        <v>382</v>
      </c>
      <c r="C436" s="77" t="s">
        <v>42</v>
      </c>
      <c r="D436" s="233">
        <v>1960</v>
      </c>
      <c r="E436" s="233"/>
      <c r="F436" s="233" t="s">
        <v>256</v>
      </c>
      <c r="G436" s="233">
        <v>2</v>
      </c>
      <c r="H436" s="233" t="s">
        <v>290</v>
      </c>
      <c r="I436" s="78">
        <v>676.5</v>
      </c>
      <c r="J436" s="78">
        <v>628.1</v>
      </c>
      <c r="K436" s="78">
        <v>628.1</v>
      </c>
      <c r="L436" s="239">
        <v>25</v>
      </c>
      <c r="M436" s="233" t="s">
        <v>254</v>
      </c>
      <c r="N436" s="233" t="s">
        <v>258</v>
      </c>
      <c r="O436" s="236" t="s">
        <v>262</v>
      </c>
      <c r="P436" s="78">
        <v>2210436.8400000003</v>
      </c>
      <c r="Q436" s="78">
        <v>0</v>
      </c>
      <c r="R436" s="78">
        <v>0</v>
      </c>
      <c r="S436" s="78">
        <v>0</v>
      </c>
      <c r="T436" s="78">
        <f>P436-R436-S436</f>
        <v>2210436.8400000003</v>
      </c>
      <c r="U436" s="78">
        <f t="shared" si="22"/>
        <v>3267.4602217294905</v>
      </c>
      <c r="V436" s="78">
        <v>7843.9635382113829</v>
      </c>
    </row>
    <row r="437" spans="1:22" s="79" customFormat="1" ht="36" customHeight="1" x14ac:dyDescent="0.25">
      <c r="A437" s="79">
        <v>1</v>
      </c>
      <c r="B437" s="80">
        <f>SUBTOTAL(103,$A$16:A437)</f>
        <v>383</v>
      </c>
      <c r="C437" s="77" t="s">
        <v>1458</v>
      </c>
      <c r="D437" s="233">
        <v>1957</v>
      </c>
      <c r="E437" s="233"/>
      <c r="F437" s="233" t="s">
        <v>256</v>
      </c>
      <c r="G437" s="233">
        <v>2</v>
      </c>
      <c r="H437" s="233" t="s">
        <v>290</v>
      </c>
      <c r="I437" s="78">
        <v>646</v>
      </c>
      <c r="J437" s="78">
        <v>588.29999999999995</v>
      </c>
      <c r="K437" s="78">
        <v>588.29999999999995</v>
      </c>
      <c r="L437" s="239">
        <v>35</v>
      </c>
      <c r="M437" s="233" t="s">
        <v>254</v>
      </c>
      <c r="N437" s="233" t="s">
        <v>258</v>
      </c>
      <c r="O437" s="236" t="s">
        <v>262</v>
      </c>
      <c r="P437" s="78">
        <v>2928347.73</v>
      </c>
      <c r="Q437" s="78">
        <v>0</v>
      </c>
      <c r="R437" s="78">
        <v>0</v>
      </c>
      <c r="S437" s="78">
        <v>0</v>
      </c>
      <c r="T437" s="78">
        <f>P437-S437-R437</f>
        <v>2928347.73</v>
      </c>
      <c r="U437" s="78">
        <f t="shared" si="22"/>
        <v>4533.0460216718266</v>
      </c>
      <c r="V437" s="78">
        <v>10715.217710216719</v>
      </c>
    </row>
    <row r="438" spans="1:22" s="79" customFormat="1" ht="36" customHeight="1" x14ac:dyDescent="0.25">
      <c r="B438" s="77" t="s">
        <v>791</v>
      </c>
      <c r="C438" s="77"/>
      <c r="D438" s="233" t="s">
        <v>835</v>
      </c>
      <c r="E438" s="233" t="s">
        <v>835</v>
      </c>
      <c r="F438" s="233" t="s">
        <v>835</v>
      </c>
      <c r="G438" s="233" t="s">
        <v>835</v>
      </c>
      <c r="H438" s="233" t="s">
        <v>835</v>
      </c>
      <c r="I438" s="234">
        <f>SUM(I439:I448)</f>
        <v>13058.16</v>
      </c>
      <c r="J438" s="234">
        <f>SUM(J439:J448)</f>
        <v>11210.9</v>
      </c>
      <c r="K438" s="234">
        <f>SUM(K439:K448)</f>
        <v>11135.9</v>
      </c>
      <c r="L438" s="235">
        <f>SUM(L439:L448)</f>
        <v>529</v>
      </c>
      <c r="M438" s="233" t="s">
        <v>835</v>
      </c>
      <c r="N438" s="233" t="s">
        <v>835</v>
      </c>
      <c r="O438" s="236" t="s">
        <v>835</v>
      </c>
      <c r="P438" s="241">
        <v>17752085.210000001</v>
      </c>
      <c r="Q438" s="78">
        <f>SUM(Q439:Q448)</f>
        <v>0</v>
      </c>
      <c r="R438" s="78">
        <f>SUM(R439:R448)</f>
        <v>0</v>
      </c>
      <c r="S438" s="78">
        <f>SUM(S439:S448)</f>
        <v>0</v>
      </c>
      <c r="T438" s="78">
        <f>SUM(T439:T448)</f>
        <v>17752085.210000001</v>
      </c>
      <c r="U438" s="78">
        <f t="shared" si="22"/>
        <v>1359.4629878941598</v>
      </c>
      <c r="V438" s="78">
        <f>MAX(V439:V448)</f>
        <v>11205.478185895117</v>
      </c>
    </row>
    <row r="439" spans="1:22" s="79" customFormat="1" ht="36" customHeight="1" x14ac:dyDescent="0.25">
      <c r="A439" s="79">
        <v>1</v>
      </c>
      <c r="B439" s="80">
        <f>SUBTOTAL(103,$A$16:A439)</f>
        <v>384</v>
      </c>
      <c r="C439" s="77" t="s">
        <v>50</v>
      </c>
      <c r="D439" s="233">
        <v>1941</v>
      </c>
      <c r="E439" s="233"/>
      <c r="F439" s="233" t="s">
        <v>256</v>
      </c>
      <c r="G439" s="233">
        <v>3</v>
      </c>
      <c r="H439" s="233" t="s">
        <v>299</v>
      </c>
      <c r="I439" s="78">
        <v>1207.5</v>
      </c>
      <c r="J439" s="78">
        <v>1191.18</v>
      </c>
      <c r="K439" s="78">
        <v>1191.18</v>
      </c>
      <c r="L439" s="239">
        <v>51</v>
      </c>
      <c r="M439" s="233" t="s">
        <v>254</v>
      </c>
      <c r="N439" s="233" t="s">
        <v>255</v>
      </c>
      <c r="O439" s="236" t="s">
        <v>257</v>
      </c>
      <c r="P439" s="78">
        <v>4771616.71</v>
      </c>
      <c r="Q439" s="78">
        <v>0</v>
      </c>
      <c r="R439" s="78">
        <v>0</v>
      </c>
      <c r="S439" s="78">
        <v>0</v>
      </c>
      <c r="T439" s="78">
        <f t="shared" ref="T439:T448" si="25">P439-R439-S439</f>
        <v>4771616.71</v>
      </c>
      <c r="U439" s="78">
        <f t="shared" si="22"/>
        <v>3951.6494492753623</v>
      </c>
      <c r="V439" s="78">
        <v>5662.5234795859215</v>
      </c>
    </row>
    <row r="440" spans="1:22" s="79" customFormat="1" ht="36" customHeight="1" x14ac:dyDescent="0.25">
      <c r="A440" s="79">
        <v>1</v>
      </c>
      <c r="B440" s="80">
        <f>SUBTOTAL(103,$A$16:A440)</f>
        <v>385</v>
      </c>
      <c r="C440" s="77" t="s">
        <v>48</v>
      </c>
      <c r="D440" s="233">
        <v>1972</v>
      </c>
      <c r="E440" s="233"/>
      <c r="F440" s="233" t="s">
        <v>256</v>
      </c>
      <c r="G440" s="233">
        <v>2</v>
      </c>
      <c r="H440" s="233" t="s">
        <v>290</v>
      </c>
      <c r="I440" s="78">
        <v>729.8</v>
      </c>
      <c r="J440" s="78">
        <v>482.52</v>
      </c>
      <c r="K440" s="78">
        <v>482.52</v>
      </c>
      <c r="L440" s="239">
        <v>30</v>
      </c>
      <c r="M440" s="233" t="s">
        <v>254</v>
      </c>
      <c r="N440" s="233" t="s">
        <v>255</v>
      </c>
      <c r="O440" s="236" t="s">
        <v>257</v>
      </c>
      <c r="P440" s="78">
        <v>2810575.6300000004</v>
      </c>
      <c r="Q440" s="78">
        <v>0</v>
      </c>
      <c r="R440" s="78">
        <v>0</v>
      </c>
      <c r="S440" s="78">
        <v>0</v>
      </c>
      <c r="T440" s="78">
        <f t="shared" si="25"/>
        <v>2810575.6300000004</v>
      </c>
      <c r="U440" s="78">
        <f t="shared" si="22"/>
        <v>3851.1587147163614</v>
      </c>
      <c r="V440" s="78">
        <v>7978.6614414908199</v>
      </c>
    </row>
    <row r="441" spans="1:22" s="79" customFormat="1" ht="36" customHeight="1" x14ac:dyDescent="0.25">
      <c r="A441" s="79">
        <v>1</v>
      </c>
      <c r="B441" s="80">
        <f>SUBTOTAL(103,$A$16:A441)</f>
        <v>386</v>
      </c>
      <c r="C441" s="77" t="s">
        <v>49</v>
      </c>
      <c r="D441" s="233">
        <v>1962</v>
      </c>
      <c r="E441" s="233"/>
      <c r="F441" s="233" t="s">
        <v>256</v>
      </c>
      <c r="G441" s="233">
        <v>4</v>
      </c>
      <c r="H441" s="233" t="s">
        <v>299</v>
      </c>
      <c r="I441" s="78">
        <v>1905.34</v>
      </c>
      <c r="J441" s="78">
        <v>1905.34</v>
      </c>
      <c r="K441" s="78">
        <v>1830.34</v>
      </c>
      <c r="L441" s="239">
        <v>101</v>
      </c>
      <c r="M441" s="233" t="s">
        <v>254</v>
      </c>
      <c r="N441" s="233" t="s">
        <v>255</v>
      </c>
      <c r="O441" s="236" t="s">
        <v>257</v>
      </c>
      <c r="P441" s="78">
        <v>131037.61</v>
      </c>
      <c r="Q441" s="78">
        <v>0</v>
      </c>
      <c r="R441" s="78">
        <v>0</v>
      </c>
      <c r="S441" s="78">
        <v>0</v>
      </c>
      <c r="T441" s="78">
        <f t="shared" si="25"/>
        <v>131037.61</v>
      </c>
      <c r="U441" s="78">
        <f t="shared" si="22"/>
        <v>68.773872379732751</v>
      </c>
      <c r="V441" s="78">
        <v>68.773872379732751</v>
      </c>
    </row>
    <row r="442" spans="1:22" s="79" customFormat="1" ht="36" customHeight="1" x14ac:dyDescent="0.25">
      <c r="A442" s="79">
        <v>1</v>
      </c>
      <c r="B442" s="80">
        <f>SUBTOTAL(103,$A$16:A442)</f>
        <v>387</v>
      </c>
      <c r="C442" s="77" t="s">
        <v>51</v>
      </c>
      <c r="D442" s="233">
        <v>1971</v>
      </c>
      <c r="E442" s="233"/>
      <c r="F442" s="233" t="s">
        <v>256</v>
      </c>
      <c r="G442" s="233">
        <v>2</v>
      </c>
      <c r="H442" s="233" t="s">
        <v>290</v>
      </c>
      <c r="I442" s="78">
        <v>754.85</v>
      </c>
      <c r="J442" s="78">
        <v>754.85</v>
      </c>
      <c r="K442" s="78">
        <v>754.85</v>
      </c>
      <c r="L442" s="239">
        <v>42</v>
      </c>
      <c r="M442" s="233" t="s">
        <v>254</v>
      </c>
      <c r="N442" s="233" t="s">
        <v>255</v>
      </c>
      <c r="O442" s="236" t="s">
        <v>257</v>
      </c>
      <c r="P442" s="78">
        <v>2938871.62</v>
      </c>
      <c r="Q442" s="78">
        <v>0</v>
      </c>
      <c r="R442" s="78">
        <v>0</v>
      </c>
      <c r="S442" s="78">
        <v>0</v>
      </c>
      <c r="T442" s="78">
        <f t="shared" si="25"/>
        <v>2938871.62</v>
      </c>
      <c r="U442" s="78">
        <f t="shared" si="22"/>
        <v>3893.3186990792874</v>
      </c>
      <c r="V442" s="78">
        <v>8032.8372524342585</v>
      </c>
    </row>
    <row r="443" spans="1:22" s="79" customFormat="1" ht="36" customHeight="1" x14ac:dyDescent="0.25">
      <c r="A443" s="79">
        <v>1</v>
      </c>
      <c r="B443" s="80">
        <f>SUBTOTAL(103,$A$16:A443)</f>
        <v>388</v>
      </c>
      <c r="C443" s="77" t="s">
        <v>1167</v>
      </c>
      <c r="D443" s="233">
        <v>1978</v>
      </c>
      <c r="E443" s="233"/>
      <c r="F443" s="233" t="s">
        <v>256</v>
      </c>
      <c r="G443" s="233">
        <v>3</v>
      </c>
      <c r="H443" s="233" t="s">
        <v>299</v>
      </c>
      <c r="I443" s="78">
        <v>1326.37</v>
      </c>
      <c r="J443" s="78">
        <v>1326.37</v>
      </c>
      <c r="K443" s="78">
        <v>1326.37</v>
      </c>
      <c r="L443" s="239">
        <v>61</v>
      </c>
      <c r="M443" s="233" t="s">
        <v>254</v>
      </c>
      <c r="N443" s="233" t="s">
        <v>255</v>
      </c>
      <c r="O443" s="236" t="s">
        <v>257</v>
      </c>
      <c r="P443" s="78">
        <v>2250237.6300000004</v>
      </c>
      <c r="Q443" s="78">
        <v>0</v>
      </c>
      <c r="R443" s="78">
        <v>0</v>
      </c>
      <c r="S443" s="78">
        <v>0</v>
      </c>
      <c r="T443" s="78">
        <f t="shared" si="25"/>
        <v>2250237.6300000004</v>
      </c>
      <c r="U443" s="78">
        <f t="shared" si="22"/>
        <v>1696.5383942640444</v>
      </c>
      <c r="V443" s="78">
        <v>4561.4810648612383</v>
      </c>
    </row>
    <row r="444" spans="1:22" s="79" customFormat="1" ht="36" customHeight="1" x14ac:dyDescent="0.25">
      <c r="A444" s="79">
        <v>1</v>
      </c>
      <c r="B444" s="80">
        <f>SUBTOTAL(103,$A$16:A444)</f>
        <v>389</v>
      </c>
      <c r="C444" s="77" t="s">
        <v>1168</v>
      </c>
      <c r="D444" s="233">
        <v>1983</v>
      </c>
      <c r="E444" s="233"/>
      <c r="F444" s="233" t="s">
        <v>256</v>
      </c>
      <c r="G444" s="233">
        <v>5</v>
      </c>
      <c r="H444" s="233" t="s">
        <v>355</v>
      </c>
      <c r="I444" s="78">
        <v>5165.2</v>
      </c>
      <c r="J444" s="78">
        <v>4087.35</v>
      </c>
      <c r="K444" s="78">
        <v>4087.35</v>
      </c>
      <c r="L444" s="239">
        <v>153</v>
      </c>
      <c r="M444" s="233" t="s">
        <v>254</v>
      </c>
      <c r="N444" s="233" t="s">
        <v>258</v>
      </c>
      <c r="O444" s="236" t="s">
        <v>1224</v>
      </c>
      <c r="P444" s="78">
        <v>2695769.57</v>
      </c>
      <c r="Q444" s="78">
        <v>0</v>
      </c>
      <c r="R444" s="78">
        <v>0</v>
      </c>
      <c r="S444" s="78">
        <v>0</v>
      </c>
      <c r="T444" s="78">
        <f t="shared" si="25"/>
        <v>2695769.57</v>
      </c>
      <c r="U444" s="78">
        <f t="shared" si="22"/>
        <v>521.91000735692717</v>
      </c>
      <c r="V444" s="78">
        <v>2199.3765564934565</v>
      </c>
    </row>
    <row r="445" spans="1:22" s="79" customFormat="1" ht="36" customHeight="1" x14ac:dyDescent="0.25">
      <c r="A445" s="79">
        <v>1</v>
      </c>
      <c r="B445" s="80">
        <f>SUBTOTAL(103,$A$16:A445)</f>
        <v>390</v>
      </c>
      <c r="C445" s="77" t="s">
        <v>1169</v>
      </c>
      <c r="D445" s="233">
        <v>1959</v>
      </c>
      <c r="E445" s="233"/>
      <c r="F445" s="233" t="s">
        <v>256</v>
      </c>
      <c r="G445" s="233" t="s">
        <v>290</v>
      </c>
      <c r="H445" s="233" t="s">
        <v>291</v>
      </c>
      <c r="I445" s="78">
        <v>264.3</v>
      </c>
      <c r="J445" s="78">
        <v>264.3</v>
      </c>
      <c r="K445" s="78">
        <v>264.3</v>
      </c>
      <c r="L445" s="239">
        <v>15</v>
      </c>
      <c r="M445" s="233" t="s">
        <v>254</v>
      </c>
      <c r="N445" s="233" t="s">
        <v>255</v>
      </c>
      <c r="O445" s="236" t="s">
        <v>257</v>
      </c>
      <c r="P445" s="78">
        <v>791834.9</v>
      </c>
      <c r="Q445" s="78">
        <v>0</v>
      </c>
      <c r="R445" s="78">
        <v>0</v>
      </c>
      <c r="S445" s="78">
        <v>0</v>
      </c>
      <c r="T445" s="78">
        <f t="shared" si="25"/>
        <v>791834.9</v>
      </c>
      <c r="U445" s="78">
        <f t="shared" si="22"/>
        <v>2995.9701097237985</v>
      </c>
      <c r="V445" s="78">
        <v>7894.7686719636777</v>
      </c>
    </row>
    <row r="446" spans="1:22" s="79" customFormat="1" ht="36" customHeight="1" x14ac:dyDescent="0.25">
      <c r="A446" s="79">
        <v>1</v>
      </c>
      <c r="B446" s="80">
        <f>SUBTOTAL(103,$A$16:A446)</f>
        <v>391</v>
      </c>
      <c r="C446" s="77" t="s">
        <v>1170</v>
      </c>
      <c r="D446" s="233">
        <v>1957</v>
      </c>
      <c r="E446" s="233"/>
      <c r="F446" s="233" t="s">
        <v>316</v>
      </c>
      <c r="G446" s="233">
        <v>2</v>
      </c>
      <c r="H446" s="233" t="s">
        <v>290</v>
      </c>
      <c r="I446" s="78">
        <v>276.5</v>
      </c>
      <c r="J446" s="78">
        <v>234.3</v>
      </c>
      <c r="K446" s="78">
        <v>234.3</v>
      </c>
      <c r="L446" s="239">
        <v>12</v>
      </c>
      <c r="M446" s="233" t="s">
        <v>254</v>
      </c>
      <c r="N446" s="233" t="s">
        <v>255</v>
      </c>
      <c r="O446" s="236" t="s">
        <v>257</v>
      </c>
      <c r="P446" s="78">
        <v>1207929.18</v>
      </c>
      <c r="Q446" s="78">
        <v>0</v>
      </c>
      <c r="R446" s="78">
        <v>0</v>
      </c>
      <c r="S446" s="78">
        <v>0</v>
      </c>
      <c r="T446" s="78">
        <f>P446-R446-S446</f>
        <v>1207929.18</v>
      </c>
      <c r="U446" s="78">
        <f t="shared" si="22"/>
        <v>4368.640795660036</v>
      </c>
      <c r="V446" s="78">
        <v>11205.478185895117</v>
      </c>
    </row>
    <row r="447" spans="1:22" s="79" customFormat="1" ht="36" customHeight="1" x14ac:dyDescent="0.25">
      <c r="A447" s="79">
        <v>1</v>
      </c>
      <c r="B447" s="80">
        <f>SUBTOTAL(103,$A$16:A447)</f>
        <v>392</v>
      </c>
      <c r="C447" s="77" t="s">
        <v>58</v>
      </c>
      <c r="D447" s="233">
        <v>1970</v>
      </c>
      <c r="E447" s="233"/>
      <c r="F447" s="233" t="s">
        <v>256</v>
      </c>
      <c r="G447" s="233">
        <v>2</v>
      </c>
      <c r="H447" s="233" t="s">
        <v>290</v>
      </c>
      <c r="I447" s="78">
        <v>726.6</v>
      </c>
      <c r="J447" s="78">
        <v>482.19</v>
      </c>
      <c r="K447" s="78">
        <v>482.19</v>
      </c>
      <c r="L447" s="239">
        <v>33</v>
      </c>
      <c r="M447" s="233" t="s">
        <v>254</v>
      </c>
      <c r="N447" s="233" t="s">
        <v>255</v>
      </c>
      <c r="O447" s="236" t="s">
        <v>257</v>
      </c>
      <c r="P447" s="78">
        <v>77311.89</v>
      </c>
      <c r="Q447" s="78">
        <v>0</v>
      </c>
      <c r="R447" s="78">
        <v>0</v>
      </c>
      <c r="S447" s="78">
        <v>0</v>
      </c>
      <c r="T447" s="78">
        <f t="shared" si="25"/>
        <v>77311.89</v>
      </c>
      <c r="U447" s="78">
        <f t="shared" si="22"/>
        <v>106.40227085053674</v>
      </c>
      <c r="V447" s="78">
        <v>106.40227085053674</v>
      </c>
    </row>
    <row r="448" spans="1:22" s="79" customFormat="1" ht="36" customHeight="1" x14ac:dyDescent="0.25">
      <c r="A448" s="79">
        <v>1</v>
      </c>
      <c r="B448" s="80">
        <f>SUBTOTAL(103,$A$16:A448)</f>
        <v>393</v>
      </c>
      <c r="C448" s="77" t="s">
        <v>59</v>
      </c>
      <c r="D448" s="233">
        <v>1973</v>
      </c>
      <c r="E448" s="233"/>
      <c r="F448" s="233" t="s">
        <v>256</v>
      </c>
      <c r="G448" s="233">
        <v>2</v>
      </c>
      <c r="H448" s="233" t="s">
        <v>290</v>
      </c>
      <c r="I448" s="78">
        <v>701.7</v>
      </c>
      <c r="J448" s="78">
        <v>482.5</v>
      </c>
      <c r="K448" s="78">
        <v>482.5</v>
      </c>
      <c r="L448" s="239">
        <v>31</v>
      </c>
      <c r="M448" s="233" t="s">
        <v>254</v>
      </c>
      <c r="N448" s="233" t="s">
        <v>255</v>
      </c>
      <c r="O448" s="236" t="s">
        <v>257</v>
      </c>
      <c r="P448" s="78">
        <v>76900.47</v>
      </c>
      <c r="Q448" s="78">
        <v>0</v>
      </c>
      <c r="R448" s="78">
        <v>0</v>
      </c>
      <c r="S448" s="78">
        <v>0</v>
      </c>
      <c r="T448" s="78">
        <f t="shared" si="25"/>
        <v>76900.47</v>
      </c>
      <c r="U448" s="78">
        <f t="shared" si="22"/>
        <v>109.59166310389054</v>
      </c>
      <c r="V448" s="78">
        <v>109.59166310389054</v>
      </c>
    </row>
    <row r="449" spans="1:22" s="79" customFormat="1" ht="36" customHeight="1" x14ac:dyDescent="0.25">
      <c r="B449" s="77" t="s">
        <v>828</v>
      </c>
      <c r="C449" s="77"/>
      <c r="D449" s="233" t="s">
        <v>835</v>
      </c>
      <c r="E449" s="233" t="s">
        <v>835</v>
      </c>
      <c r="F449" s="233" t="s">
        <v>835</v>
      </c>
      <c r="G449" s="233" t="s">
        <v>835</v>
      </c>
      <c r="H449" s="233" t="s">
        <v>835</v>
      </c>
      <c r="I449" s="78">
        <f>I450</f>
        <v>878.6</v>
      </c>
      <c r="J449" s="78">
        <f>J450</f>
        <v>878.6</v>
      </c>
      <c r="K449" s="78">
        <f>K450</f>
        <v>878.6</v>
      </c>
      <c r="L449" s="245">
        <f>L450</f>
        <v>55</v>
      </c>
      <c r="M449" s="233" t="s">
        <v>835</v>
      </c>
      <c r="N449" s="233" t="s">
        <v>835</v>
      </c>
      <c r="O449" s="236" t="s">
        <v>835</v>
      </c>
      <c r="P449" s="241">
        <v>3622790.6399999997</v>
      </c>
      <c r="Q449" s="78">
        <f>Q450</f>
        <v>0</v>
      </c>
      <c r="R449" s="78">
        <f>R450</f>
        <v>0</v>
      </c>
      <c r="S449" s="78">
        <f>S450</f>
        <v>0</v>
      </c>
      <c r="T449" s="78">
        <f>T450</f>
        <v>3622790.6399999997</v>
      </c>
      <c r="U449" s="78">
        <f t="shared" si="22"/>
        <v>4123.3674482130655</v>
      </c>
      <c r="V449" s="78">
        <f>V450</f>
        <v>8497.8802549510583</v>
      </c>
    </row>
    <row r="450" spans="1:22" s="79" customFormat="1" ht="36" customHeight="1" x14ac:dyDescent="0.25">
      <c r="A450" s="79">
        <v>1</v>
      </c>
      <c r="B450" s="80">
        <f>SUBTOTAL(103,$A$16:A450)</f>
        <v>394</v>
      </c>
      <c r="C450" s="77" t="s">
        <v>1457</v>
      </c>
      <c r="D450" s="233">
        <v>1979</v>
      </c>
      <c r="E450" s="233"/>
      <c r="F450" s="233" t="s">
        <v>256</v>
      </c>
      <c r="G450" s="233">
        <v>2</v>
      </c>
      <c r="H450" s="233" t="s">
        <v>299</v>
      </c>
      <c r="I450" s="78">
        <v>878.6</v>
      </c>
      <c r="J450" s="78">
        <v>878.6</v>
      </c>
      <c r="K450" s="78">
        <v>878.6</v>
      </c>
      <c r="L450" s="239">
        <v>55</v>
      </c>
      <c r="M450" s="233" t="s">
        <v>254</v>
      </c>
      <c r="N450" s="233" t="s">
        <v>255</v>
      </c>
      <c r="O450" s="236" t="s">
        <v>257</v>
      </c>
      <c r="P450" s="78">
        <v>3622790.6399999997</v>
      </c>
      <c r="Q450" s="78">
        <v>0</v>
      </c>
      <c r="R450" s="78">
        <v>0</v>
      </c>
      <c r="S450" s="78">
        <v>0</v>
      </c>
      <c r="T450" s="78">
        <f>P450-S450-R450</f>
        <v>3622790.6399999997</v>
      </c>
      <c r="U450" s="78">
        <f t="shared" si="22"/>
        <v>4123.3674482130655</v>
      </c>
      <c r="V450" s="78">
        <v>8497.8802549510583</v>
      </c>
    </row>
    <row r="451" spans="1:22" s="79" customFormat="1" ht="36" customHeight="1" x14ac:dyDescent="0.25">
      <c r="B451" s="77" t="s">
        <v>792</v>
      </c>
      <c r="C451" s="240"/>
      <c r="D451" s="233" t="s">
        <v>701</v>
      </c>
      <c r="E451" s="233" t="s">
        <v>701</v>
      </c>
      <c r="F451" s="233" t="s">
        <v>701</v>
      </c>
      <c r="G451" s="233" t="s">
        <v>701</v>
      </c>
      <c r="H451" s="233" t="s">
        <v>701</v>
      </c>
      <c r="I451" s="78">
        <f>I452</f>
        <v>940.6</v>
      </c>
      <c r="J451" s="78">
        <f>J452</f>
        <v>853.9</v>
      </c>
      <c r="K451" s="78">
        <f>K452</f>
        <v>853.9</v>
      </c>
      <c r="L451" s="245">
        <f>L452</f>
        <v>33</v>
      </c>
      <c r="M451" s="233" t="s">
        <v>701</v>
      </c>
      <c r="N451" s="233" t="s">
        <v>701</v>
      </c>
      <c r="O451" s="236" t="s">
        <v>701</v>
      </c>
      <c r="P451" s="241">
        <v>3515825.94</v>
      </c>
      <c r="Q451" s="78">
        <f>Q452</f>
        <v>0</v>
      </c>
      <c r="R451" s="78">
        <f>R452</f>
        <v>0</v>
      </c>
      <c r="S451" s="78">
        <f>S452</f>
        <v>0</v>
      </c>
      <c r="T451" s="78">
        <f>T452</f>
        <v>3515825.94</v>
      </c>
      <c r="U451" s="78">
        <f t="shared" si="22"/>
        <v>3737.8544971294918</v>
      </c>
      <c r="V451" s="78">
        <f>V452</f>
        <v>7644.9919166489472</v>
      </c>
    </row>
    <row r="452" spans="1:22" s="79" customFormat="1" ht="36" customHeight="1" x14ac:dyDescent="0.25">
      <c r="A452" s="79">
        <v>1</v>
      </c>
      <c r="B452" s="80">
        <f>SUBTOTAL(103,$A$16:A452)</f>
        <v>395</v>
      </c>
      <c r="C452" s="77" t="s">
        <v>216</v>
      </c>
      <c r="D452" s="233">
        <v>1995</v>
      </c>
      <c r="E452" s="233"/>
      <c r="F452" s="233" t="s">
        <v>256</v>
      </c>
      <c r="G452" s="233">
        <v>2</v>
      </c>
      <c r="H452" s="233" t="s">
        <v>299</v>
      </c>
      <c r="I452" s="78">
        <v>940.6</v>
      </c>
      <c r="J452" s="78">
        <v>853.9</v>
      </c>
      <c r="K452" s="78">
        <v>853.9</v>
      </c>
      <c r="L452" s="239">
        <v>33</v>
      </c>
      <c r="M452" s="233" t="s">
        <v>254</v>
      </c>
      <c r="N452" s="233" t="s">
        <v>258</v>
      </c>
      <c r="O452" s="236" t="s">
        <v>653</v>
      </c>
      <c r="P452" s="78">
        <v>3515825.94</v>
      </c>
      <c r="Q452" s="78">
        <v>0</v>
      </c>
      <c r="R452" s="78">
        <v>0</v>
      </c>
      <c r="S452" s="78">
        <v>0</v>
      </c>
      <c r="T452" s="78">
        <f>P452-R452-S452</f>
        <v>3515825.94</v>
      </c>
      <c r="U452" s="78">
        <f t="shared" si="22"/>
        <v>3737.8544971294918</v>
      </c>
      <c r="V452" s="78">
        <v>7644.9919166489472</v>
      </c>
    </row>
    <row r="453" spans="1:22" s="79" customFormat="1" ht="36" customHeight="1" x14ac:dyDescent="0.25">
      <c r="B453" s="77" t="s">
        <v>793</v>
      </c>
      <c r="C453" s="77"/>
      <c r="D453" s="233" t="s">
        <v>701</v>
      </c>
      <c r="E453" s="233" t="s">
        <v>701</v>
      </c>
      <c r="F453" s="233" t="s">
        <v>701</v>
      </c>
      <c r="G453" s="233" t="s">
        <v>701</v>
      </c>
      <c r="H453" s="233" t="s">
        <v>701</v>
      </c>
      <c r="I453" s="78">
        <f>I454</f>
        <v>340.3</v>
      </c>
      <c r="J453" s="78">
        <f>J454</f>
        <v>309.10000000000002</v>
      </c>
      <c r="K453" s="78">
        <f>K454</f>
        <v>309.10000000000002</v>
      </c>
      <c r="L453" s="245">
        <f>L454</f>
        <v>19</v>
      </c>
      <c r="M453" s="233" t="s">
        <v>701</v>
      </c>
      <c r="N453" s="233" t="s">
        <v>701</v>
      </c>
      <c r="O453" s="236" t="s">
        <v>701</v>
      </c>
      <c r="P453" s="241">
        <v>1371104.41</v>
      </c>
      <c r="Q453" s="78">
        <f>Q454</f>
        <v>0</v>
      </c>
      <c r="R453" s="78">
        <f>R454</f>
        <v>0</v>
      </c>
      <c r="S453" s="78">
        <f>S454</f>
        <v>0</v>
      </c>
      <c r="T453" s="78">
        <f>T454</f>
        <v>1371104.41</v>
      </c>
      <c r="U453" s="78">
        <f t="shared" si="22"/>
        <v>4029.1049368204522</v>
      </c>
      <c r="V453" s="78">
        <f>V454</f>
        <v>7913.4471936526597</v>
      </c>
    </row>
    <row r="454" spans="1:22" s="79" customFormat="1" ht="36" customHeight="1" x14ac:dyDescent="0.25">
      <c r="A454" s="79">
        <v>1</v>
      </c>
      <c r="B454" s="80">
        <f>SUBTOTAL(103,$A$16:A454)</f>
        <v>396</v>
      </c>
      <c r="C454" s="77" t="s">
        <v>219</v>
      </c>
      <c r="D454" s="233">
        <v>1981</v>
      </c>
      <c r="E454" s="233"/>
      <c r="F454" s="233" t="s">
        <v>256</v>
      </c>
      <c r="G454" s="233">
        <v>2</v>
      </c>
      <c r="H454" s="233" t="s">
        <v>291</v>
      </c>
      <c r="I454" s="78">
        <v>340.3</v>
      </c>
      <c r="J454" s="78">
        <v>309.10000000000002</v>
      </c>
      <c r="K454" s="78">
        <v>309.10000000000002</v>
      </c>
      <c r="L454" s="239">
        <v>19</v>
      </c>
      <c r="M454" s="233" t="s">
        <v>254</v>
      </c>
      <c r="N454" s="233" t="s">
        <v>258</v>
      </c>
      <c r="O454" s="236" t="s">
        <v>653</v>
      </c>
      <c r="P454" s="78">
        <v>1371104.41</v>
      </c>
      <c r="Q454" s="78">
        <v>0</v>
      </c>
      <c r="R454" s="78">
        <v>0</v>
      </c>
      <c r="S454" s="78">
        <v>0</v>
      </c>
      <c r="T454" s="78">
        <f>P454-R454-S454</f>
        <v>1371104.41</v>
      </c>
      <c r="U454" s="78">
        <f t="shared" si="22"/>
        <v>4029.1049368204522</v>
      </c>
      <c r="V454" s="78">
        <v>7913.4471936526597</v>
      </c>
    </row>
    <row r="455" spans="1:22" s="79" customFormat="1" ht="36" customHeight="1" x14ac:dyDescent="0.25">
      <c r="B455" s="77" t="s">
        <v>1211</v>
      </c>
      <c r="C455" s="77"/>
      <c r="D455" s="233" t="s">
        <v>701</v>
      </c>
      <c r="E455" s="233" t="s">
        <v>701</v>
      </c>
      <c r="F455" s="233" t="s">
        <v>701</v>
      </c>
      <c r="G455" s="233" t="s">
        <v>701</v>
      </c>
      <c r="H455" s="233" t="s">
        <v>701</v>
      </c>
      <c r="I455" s="78">
        <f>I456</f>
        <v>953.9</v>
      </c>
      <c r="J455" s="78">
        <f>J456</f>
        <v>865.7</v>
      </c>
      <c r="K455" s="78">
        <f>K456</f>
        <v>865.7</v>
      </c>
      <c r="L455" s="245">
        <f>L456</f>
        <v>28</v>
      </c>
      <c r="M455" s="233" t="s">
        <v>701</v>
      </c>
      <c r="N455" s="233" t="s">
        <v>701</v>
      </c>
      <c r="O455" s="236" t="s">
        <v>701</v>
      </c>
      <c r="P455" s="241">
        <v>40161.910000000003</v>
      </c>
      <c r="Q455" s="78">
        <f>Q456</f>
        <v>0</v>
      </c>
      <c r="R455" s="78">
        <f>R456</f>
        <v>0</v>
      </c>
      <c r="S455" s="78">
        <f>S456</f>
        <v>0</v>
      </c>
      <c r="T455" s="78">
        <f>T456</f>
        <v>40161.910000000003</v>
      </c>
      <c r="U455" s="78">
        <f t="shared" si="22"/>
        <v>42.102851451934171</v>
      </c>
      <c r="V455" s="78">
        <f>V456</f>
        <v>42.102851451934171</v>
      </c>
    </row>
    <row r="456" spans="1:22" s="79" customFormat="1" ht="36" customHeight="1" x14ac:dyDescent="0.25">
      <c r="A456" s="79">
        <v>1</v>
      </c>
      <c r="B456" s="80">
        <f>SUBTOTAL(103,$A$16:A456)</f>
        <v>397</v>
      </c>
      <c r="C456" s="77" t="s">
        <v>1212</v>
      </c>
      <c r="D456" s="233">
        <v>1984</v>
      </c>
      <c r="E456" s="233"/>
      <c r="F456" s="233" t="s">
        <v>256</v>
      </c>
      <c r="G456" s="233">
        <v>2</v>
      </c>
      <c r="H456" s="233" t="s">
        <v>299</v>
      </c>
      <c r="I456" s="78">
        <v>953.9</v>
      </c>
      <c r="J456" s="78">
        <v>865.7</v>
      </c>
      <c r="K456" s="78">
        <v>865.7</v>
      </c>
      <c r="L456" s="239">
        <v>28</v>
      </c>
      <c r="M456" s="233" t="s">
        <v>254</v>
      </c>
      <c r="N456" s="233" t="s">
        <v>255</v>
      </c>
      <c r="O456" s="236" t="s">
        <v>257</v>
      </c>
      <c r="P456" s="78">
        <v>40161.910000000003</v>
      </c>
      <c r="Q456" s="78">
        <v>0</v>
      </c>
      <c r="R456" s="78">
        <v>0</v>
      </c>
      <c r="S456" s="78">
        <v>0</v>
      </c>
      <c r="T456" s="78">
        <f>P456-R456-S456</f>
        <v>40161.910000000003</v>
      </c>
      <c r="U456" s="78">
        <f t="shared" si="22"/>
        <v>42.102851451934171</v>
      </c>
      <c r="V456" s="78">
        <v>42.102851451934171</v>
      </c>
    </row>
    <row r="457" spans="1:22" s="79" customFormat="1" ht="36" customHeight="1" x14ac:dyDescent="0.25">
      <c r="B457" s="77" t="s">
        <v>794</v>
      </c>
      <c r="C457" s="240"/>
      <c r="D457" s="233" t="s">
        <v>701</v>
      </c>
      <c r="E457" s="233" t="s">
        <v>701</v>
      </c>
      <c r="F457" s="233" t="s">
        <v>701</v>
      </c>
      <c r="G457" s="233" t="s">
        <v>701</v>
      </c>
      <c r="H457" s="233" t="s">
        <v>701</v>
      </c>
      <c r="I457" s="78">
        <f>I458</f>
        <v>1446.38</v>
      </c>
      <c r="J457" s="78">
        <f>J458</f>
        <v>996.18</v>
      </c>
      <c r="K457" s="78">
        <f>K458</f>
        <v>996.18</v>
      </c>
      <c r="L457" s="245">
        <f>L458</f>
        <v>78</v>
      </c>
      <c r="M457" s="233" t="s">
        <v>701</v>
      </c>
      <c r="N457" s="233" t="s">
        <v>701</v>
      </c>
      <c r="O457" s="236" t="s">
        <v>701</v>
      </c>
      <c r="P457" s="241">
        <v>127877.6</v>
      </c>
      <c r="Q457" s="78">
        <f>Q458</f>
        <v>0</v>
      </c>
      <c r="R457" s="78">
        <f>R458</f>
        <v>0</v>
      </c>
      <c r="S457" s="78">
        <f>S458</f>
        <v>0</v>
      </c>
      <c r="T457" s="78">
        <f>T458</f>
        <v>127877.6</v>
      </c>
      <c r="U457" s="78">
        <f t="shared" si="22"/>
        <v>88.412173840899342</v>
      </c>
      <c r="V457" s="78">
        <f>MAX(V458)</f>
        <v>88.412173840899342</v>
      </c>
    </row>
    <row r="458" spans="1:22" s="79" customFormat="1" ht="36" customHeight="1" x14ac:dyDescent="0.25">
      <c r="A458" s="79">
        <v>1</v>
      </c>
      <c r="B458" s="80">
        <f>SUBTOTAL(103,$A$16:A458)</f>
        <v>398</v>
      </c>
      <c r="C458" s="77" t="s">
        <v>135</v>
      </c>
      <c r="D458" s="233">
        <v>1969</v>
      </c>
      <c r="E458" s="233"/>
      <c r="F458" s="233" t="s">
        <v>256</v>
      </c>
      <c r="G458" s="233">
        <v>2</v>
      </c>
      <c r="H458" s="233" t="s">
        <v>291</v>
      </c>
      <c r="I458" s="78">
        <v>1446.38</v>
      </c>
      <c r="J458" s="78">
        <v>996.18</v>
      </c>
      <c r="K458" s="78">
        <v>996.18</v>
      </c>
      <c r="L458" s="239">
        <v>78</v>
      </c>
      <c r="M458" s="233" t="s">
        <v>254</v>
      </c>
      <c r="N458" s="233" t="s">
        <v>258</v>
      </c>
      <c r="O458" s="236" t="s">
        <v>937</v>
      </c>
      <c r="P458" s="78">
        <v>127877.6</v>
      </c>
      <c r="Q458" s="78">
        <v>0</v>
      </c>
      <c r="R458" s="78">
        <v>0</v>
      </c>
      <c r="S458" s="78">
        <v>0</v>
      </c>
      <c r="T458" s="78">
        <f>P458-R458-S458</f>
        <v>127877.6</v>
      </c>
      <c r="U458" s="78">
        <f t="shared" si="22"/>
        <v>88.412173840899342</v>
      </c>
      <c r="V458" s="78">
        <v>88.412173840899342</v>
      </c>
    </row>
    <row r="459" spans="1:22" s="79" customFormat="1" ht="36" customHeight="1" x14ac:dyDescent="0.25">
      <c r="B459" s="77" t="s">
        <v>795</v>
      </c>
      <c r="C459" s="77"/>
      <c r="D459" s="233" t="s">
        <v>701</v>
      </c>
      <c r="E459" s="233" t="s">
        <v>701</v>
      </c>
      <c r="F459" s="233" t="s">
        <v>701</v>
      </c>
      <c r="G459" s="233" t="s">
        <v>701</v>
      </c>
      <c r="H459" s="233" t="s">
        <v>701</v>
      </c>
      <c r="I459" s="78">
        <f>I460</f>
        <v>676.3</v>
      </c>
      <c r="J459" s="78">
        <f>J460</f>
        <v>633.29999999999995</v>
      </c>
      <c r="K459" s="78">
        <f>K460</f>
        <v>633.29999999999995</v>
      </c>
      <c r="L459" s="245">
        <f>L460</f>
        <v>32</v>
      </c>
      <c r="M459" s="233" t="s">
        <v>701</v>
      </c>
      <c r="N459" s="233" t="s">
        <v>701</v>
      </c>
      <c r="O459" s="236" t="s">
        <v>701</v>
      </c>
      <c r="P459" s="241">
        <v>87573.72</v>
      </c>
      <c r="Q459" s="78">
        <f>Q460</f>
        <v>0</v>
      </c>
      <c r="R459" s="78">
        <f>R460</f>
        <v>0</v>
      </c>
      <c r="S459" s="78">
        <f>S460</f>
        <v>0</v>
      </c>
      <c r="T459" s="78">
        <f>T460</f>
        <v>87573.72</v>
      </c>
      <c r="U459" s="78">
        <f t="shared" si="22"/>
        <v>129.48945734141654</v>
      </c>
      <c r="V459" s="78">
        <f>MAX(V460)</f>
        <v>129.48945734141654</v>
      </c>
    </row>
    <row r="460" spans="1:22" s="79" customFormat="1" ht="36" customHeight="1" x14ac:dyDescent="0.25">
      <c r="A460" s="79">
        <v>1</v>
      </c>
      <c r="B460" s="80">
        <f>SUBTOTAL(103,$A$16:A460)</f>
        <v>399</v>
      </c>
      <c r="C460" s="77" t="s">
        <v>140</v>
      </c>
      <c r="D460" s="233">
        <v>1965</v>
      </c>
      <c r="E460" s="233"/>
      <c r="F460" s="233" t="s">
        <v>256</v>
      </c>
      <c r="G460" s="233">
        <v>2</v>
      </c>
      <c r="H460" s="233" t="s">
        <v>290</v>
      </c>
      <c r="I460" s="78">
        <v>676.3</v>
      </c>
      <c r="J460" s="78">
        <v>633.29999999999995</v>
      </c>
      <c r="K460" s="78">
        <v>633.29999999999995</v>
      </c>
      <c r="L460" s="239">
        <v>32</v>
      </c>
      <c r="M460" s="233" t="s">
        <v>254</v>
      </c>
      <c r="N460" s="233" t="s">
        <v>258</v>
      </c>
      <c r="O460" s="236" t="s">
        <v>276</v>
      </c>
      <c r="P460" s="78">
        <v>87573.72</v>
      </c>
      <c r="Q460" s="78">
        <v>0</v>
      </c>
      <c r="R460" s="78">
        <v>0</v>
      </c>
      <c r="S460" s="78">
        <v>0</v>
      </c>
      <c r="T460" s="78">
        <f>P460-R460-S460</f>
        <v>87573.72</v>
      </c>
      <c r="U460" s="78">
        <f t="shared" si="22"/>
        <v>129.48945734141654</v>
      </c>
      <c r="V460" s="78">
        <v>129.48945734141654</v>
      </c>
    </row>
    <row r="461" spans="1:22" s="79" customFormat="1" ht="36" customHeight="1" x14ac:dyDescent="0.25">
      <c r="B461" s="77" t="s">
        <v>796</v>
      </c>
      <c r="C461" s="77"/>
      <c r="D461" s="233" t="s">
        <v>835</v>
      </c>
      <c r="E461" s="233" t="s">
        <v>835</v>
      </c>
      <c r="F461" s="233" t="s">
        <v>835</v>
      </c>
      <c r="G461" s="233" t="s">
        <v>835</v>
      </c>
      <c r="H461" s="233" t="s">
        <v>835</v>
      </c>
      <c r="I461" s="234">
        <f>SUM(I462:I466)</f>
        <v>3130</v>
      </c>
      <c r="J461" s="234">
        <f>SUM(J462:J466)</f>
        <v>2960</v>
      </c>
      <c r="K461" s="234">
        <f>SUM(K462:K466)</f>
        <v>2960</v>
      </c>
      <c r="L461" s="235">
        <f>SUM(L462:L466)</f>
        <v>140</v>
      </c>
      <c r="M461" s="233" t="s">
        <v>835</v>
      </c>
      <c r="N461" s="233" t="s">
        <v>835</v>
      </c>
      <c r="O461" s="236" t="s">
        <v>835</v>
      </c>
      <c r="P461" s="241">
        <v>3911488.5799999996</v>
      </c>
      <c r="Q461" s="78">
        <f>SUM(Q462:Q466)</f>
        <v>0</v>
      </c>
      <c r="R461" s="78">
        <f>SUM(R462:R466)</f>
        <v>0</v>
      </c>
      <c r="S461" s="78">
        <f>SUM(S462:S466)</f>
        <v>0</v>
      </c>
      <c r="T461" s="78">
        <f>SUM(T462:T466)</f>
        <v>3911488.5799999996</v>
      </c>
      <c r="U461" s="78">
        <f t="shared" ref="U461:U524" si="26">P461/I461</f>
        <v>1249.6768626198082</v>
      </c>
      <c r="V461" s="78">
        <f>MAX(V462:V466)</f>
        <v>9024.9934101259041</v>
      </c>
    </row>
    <row r="462" spans="1:22" s="79" customFormat="1" ht="36" customHeight="1" x14ac:dyDescent="0.25">
      <c r="A462" s="79">
        <v>1</v>
      </c>
      <c r="B462" s="80">
        <f>SUBTOTAL(103,$A$16:A462)</f>
        <v>400</v>
      </c>
      <c r="C462" s="77" t="s">
        <v>138</v>
      </c>
      <c r="D462" s="233">
        <v>1983</v>
      </c>
      <c r="E462" s="233"/>
      <c r="F462" s="233" t="s">
        <v>256</v>
      </c>
      <c r="G462" s="233">
        <v>3</v>
      </c>
      <c r="H462" s="233" t="s">
        <v>290</v>
      </c>
      <c r="I462" s="78">
        <v>1387.1</v>
      </c>
      <c r="J462" s="78">
        <v>1285.0999999999999</v>
      </c>
      <c r="K462" s="78">
        <v>1285.0999999999999</v>
      </c>
      <c r="L462" s="239">
        <v>58</v>
      </c>
      <c r="M462" s="233" t="s">
        <v>254</v>
      </c>
      <c r="N462" s="233" t="s">
        <v>258</v>
      </c>
      <c r="O462" s="236" t="s">
        <v>277</v>
      </c>
      <c r="P462" s="78">
        <v>141265.9</v>
      </c>
      <c r="Q462" s="78">
        <v>0</v>
      </c>
      <c r="R462" s="78">
        <v>0</v>
      </c>
      <c r="S462" s="78">
        <v>0</v>
      </c>
      <c r="T462" s="78">
        <f>P462-R462-S462</f>
        <v>141265.9</v>
      </c>
      <c r="U462" s="78">
        <f t="shared" si="26"/>
        <v>101.84262129622955</v>
      </c>
      <c r="V462" s="78">
        <v>101.84262129622955</v>
      </c>
    </row>
    <row r="463" spans="1:22" s="79" customFormat="1" ht="36" customHeight="1" x14ac:dyDescent="0.25">
      <c r="A463" s="79">
        <v>1</v>
      </c>
      <c r="B463" s="80">
        <f>SUBTOTAL(103,$A$16:A463)</f>
        <v>401</v>
      </c>
      <c r="C463" s="77" t="s">
        <v>139</v>
      </c>
      <c r="D463" s="233">
        <v>1964</v>
      </c>
      <c r="E463" s="233"/>
      <c r="F463" s="233" t="s">
        <v>256</v>
      </c>
      <c r="G463" s="233">
        <v>2</v>
      </c>
      <c r="H463" s="233" t="s">
        <v>291</v>
      </c>
      <c r="I463" s="78">
        <v>337.2</v>
      </c>
      <c r="J463" s="78">
        <v>337.2</v>
      </c>
      <c r="K463" s="78">
        <v>337.2</v>
      </c>
      <c r="L463" s="239">
        <v>18</v>
      </c>
      <c r="M463" s="233" t="s">
        <v>254</v>
      </c>
      <c r="N463" s="233" t="s">
        <v>258</v>
      </c>
      <c r="O463" s="236" t="s">
        <v>277</v>
      </c>
      <c r="P463" s="78">
        <v>1216558.3500000001</v>
      </c>
      <c r="Q463" s="78">
        <v>0</v>
      </c>
      <c r="R463" s="78">
        <v>0</v>
      </c>
      <c r="S463" s="78">
        <v>0</v>
      </c>
      <c r="T463" s="78">
        <f>P463-R463-S463</f>
        <v>1216558.3500000001</v>
      </c>
      <c r="U463" s="78">
        <f t="shared" si="26"/>
        <v>3607.8242882562281</v>
      </c>
      <c r="V463" s="78">
        <v>8404.019311981021</v>
      </c>
    </row>
    <row r="464" spans="1:22" s="79" customFormat="1" ht="36" customHeight="1" x14ac:dyDescent="0.25">
      <c r="A464" s="79">
        <v>1</v>
      </c>
      <c r="B464" s="80">
        <f>SUBTOTAL(103,$A$16:A464)</f>
        <v>402</v>
      </c>
      <c r="C464" s="77" t="s">
        <v>1182</v>
      </c>
      <c r="D464" s="233">
        <v>1962</v>
      </c>
      <c r="E464" s="233"/>
      <c r="F464" s="233" t="s">
        <v>256</v>
      </c>
      <c r="G464" s="233">
        <v>2</v>
      </c>
      <c r="H464" s="233" t="s">
        <v>291</v>
      </c>
      <c r="I464" s="78">
        <v>373.3</v>
      </c>
      <c r="J464" s="78">
        <v>373.3</v>
      </c>
      <c r="K464" s="78">
        <v>373.3</v>
      </c>
      <c r="L464" s="239">
        <v>21</v>
      </c>
      <c r="M464" s="233" t="s">
        <v>254</v>
      </c>
      <c r="N464" s="233" t="s">
        <v>255</v>
      </c>
      <c r="O464" s="236" t="s">
        <v>257</v>
      </c>
      <c r="P464" s="78">
        <v>1576619.73</v>
      </c>
      <c r="Q464" s="78">
        <v>0</v>
      </c>
      <c r="R464" s="78">
        <v>0</v>
      </c>
      <c r="S464" s="78">
        <v>0</v>
      </c>
      <c r="T464" s="78">
        <f>P464-R464-S464</f>
        <v>1576619.73</v>
      </c>
      <c r="U464" s="78">
        <f t="shared" si="26"/>
        <v>4223.4656576480038</v>
      </c>
      <c r="V464" s="78">
        <v>9024.9934101259041</v>
      </c>
    </row>
    <row r="465" spans="1:22" s="79" customFormat="1" ht="36" customHeight="1" x14ac:dyDescent="0.25">
      <c r="A465" s="79">
        <v>1</v>
      </c>
      <c r="B465" s="80">
        <f>SUBTOTAL(103,$A$16:A465)</f>
        <v>403</v>
      </c>
      <c r="C465" s="77" t="s">
        <v>1183</v>
      </c>
      <c r="D465" s="233">
        <v>1961</v>
      </c>
      <c r="E465" s="233"/>
      <c r="F465" s="233" t="s">
        <v>256</v>
      </c>
      <c r="G465" s="233">
        <v>2</v>
      </c>
      <c r="H465" s="233" t="s">
        <v>291</v>
      </c>
      <c r="I465" s="78">
        <v>230.2</v>
      </c>
      <c r="J465" s="78">
        <v>230.2</v>
      </c>
      <c r="K465" s="78">
        <v>230.2</v>
      </c>
      <c r="L465" s="239">
        <v>7</v>
      </c>
      <c r="M465" s="233" t="s">
        <v>254</v>
      </c>
      <c r="N465" s="233" t="s">
        <v>258</v>
      </c>
      <c r="O465" s="236" t="s">
        <v>277</v>
      </c>
      <c r="P465" s="78">
        <v>890333.29999999993</v>
      </c>
      <c r="Q465" s="78">
        <v>0</v>
      </c>
      <c r="R465" s="78">
        <v>0</v>
      </c>
      <c r="S465" s="78">
        <v>0</v>
      </c>
      <c r="T465" s="78">
        <f>P465-R465-S465</f>
        <v>890333.29999999993</v>
      </c>
      <c r="U465" s="78">
        <f t="shared" si="26"/>
        <v>3867.6511728931364</v>
      </c>
      <c r="V465" s="78">
        <v>7328.8617202432679</v>
      </c>
    </row>
    <row r="466" spans="1:22" s="79" customFormat="1" ht="36" customHeight="1" x14ac:dyDescent="0.25">
      <c r="A466" s="79">
        <v>1</v>
      </c>
      <c r="B466" s="80">
        <f>SUBTOTAL(103,$A$16:A466)</f>
        <v>404</v>
      </c>
      <c r="C466" s="77" t="s">
        <v>1218</v>
      </c>
      <c r="D466" s="233">
        <v>1974</v>
      </c>
      <c r="E466" s="233"/>
      <c r="F466" s="233" t="s">
        <v>256</v>
      </c>
      <c r="G466" s="233">
        <v>2</v>
      </c>
      <c r="H466" s="233" t="s">
        <v>290</v>
      </c>
      <c r="I466" s="78">
        <v>802.2</v>
      </c>
      <c r="J466" s="78">
        <v>734.2</v>
      </c>
      <c r="K466" s="78">
        <v>734.2</v>
      </c>
      <c r="L466" s="239">
        <v>36</v>
      </c>
      <c r="M466" s="233" t="s">
        <v>254</v>
      </c>
      <c r="N466" s="233" t="s">
        <v>255</v>
      </c>
      <c r="O466" s="236" t="s">
        <v>257</v>
      </c>
      <c r="P466" s="78">
        <v>86711.3</v>
      </c>
      <c r="Q466" s="78">
        <v>0</v>
      </c>
      <c r="R466" s="78">
        <v>0</v>
      </c>
      <c r="S466" s="78">
        <v>0</v>
      </c>
      <c r="T466" s="78">
        <f>P466-R466-S466</f>
        <v>86711.3</v>
      </c>
      <c r="U466" s="78">
        <f t="shared" si="26"/>
        <v>108.09187235103465</v>
      </c>
      <c r="V466" s="78">
        <v>108.09187235103465</v>
      </c>
    </row>
    <row r="467" spans="1:22" s="79" customFormat="1" ht="36" customHeight="1" x14ac:dyDescent="0.25">
      <c r="B467" s="77" t="s">
        <v>797</v>
      </c>
      <c r="C467" s="77"/>
      <c r="D467" s="233" t="s">
        <v>835</v>
      </c>
      <c r="E467" s="233" t="s">
        <v>835</v>
      </c>
      <c r="F467" s="233" t="s">
        <v>835</v>
      </c>
      <c r="G467" s="233" t="s">
        <v>835</v>
      </c>
      <c r="H467" s="233" t="s">
        <v>835</v>
      </c>
      <c r="I467" s="234">
        <f>SUM(I468:I478)</f>
        <v>36117.07</v>
      </c>
      <c r="J467" s="234">
        <f>SUM(J468:J478)</f>
        <v>29322.149999999998</v>
      </c>
      <c r="K467" s="234">
        <f>SUM(K468:K478)</f>
        <v>29294.05</v>
      </c>
      <c r="L467" s="235">
        <f>SUM(L468:L478)</f>
        <v>1569</v>
      </c>
      <c r="M467" s="233" t="s">
        <v>835</v>
      </c>
      <c r="N467" s="233" t="s">
        <v>835</v>
      </c>
      <c r="O467" s="236" t="s">
        <v>835</v>
      </c>
      <c r="P467" s="237">
        <v>23895515.779999997</v>
      </c>
      <c r="Q467" s="234">
        <f>SUM(Q468:Q478)</f>
        <v>0</v>
      </c>
      <c r="R467" s="234">
        <f>SUM(R468:R478)</f>
        <v>0</v>
      </c>
      <c r="S467" s="234">
        <f>SUM(S468:S478)</f>
        <v>0</v>
      </c>
      <c r="T467" s="234">
        <f>SUM(T468:T478)</f>
        <v>23895515.779999997</v>
      </c>
      <c r="U467" s="78">
        <f t="shared" si="26"/>
        <v>661.61279915563466</v>
      </c>
      <c r="V467" s="78">
        <f>MAX(V468:V478)</f>
        <v>4716.9170323670605</v>
      </c>
    </row>
    <row r="468" spans="1:22" s="79" customFormat="1" ht="36" customHeight="1" x14ac:dyDescent="0.25">
      <c r="A468" s="79">
        <v>1</v>
      </c>
      <c r="B468" s="80">
        <f>SUBTOTAL(103,$A$16:A468)</f>
        <v>405</v>
      </c>
      <c r="C468" s="77" t="s">
        <v>141</v>
      </c>
      <c r="D468" s="233">
        <v>1976</v>
      </c>
      <c r="E468" s="233"/>
      <c r="F468" s="233" t="s">
        <v>275</v>
      </c>
      <c r="G468" s="233">
        <v>5</v>
      </c>
      <c r="H468" s="233" t="s">
        <v>2123</v>
      </c>
      <c r="I468" s="78">
        <v>6622.77</v>
      </c>
      <c r="J468" s="78">
        <v>6062.77</v>
      </c>
      <c r="K468" s="78">
        <v>6062.77</v>
      </c>
      <c r="L468" s="239">
        <v>252</v>
      </c>
      <c r="M468" s="233" t="s">
        <v>254</v>
      </c>
      <c r="N468" s="233" t="s">
        <v>258</v>
      </c>
      <c r="O468" s="236" t="s">
        <v>278</v>
      </c>
      <c r="P468" s="78">
        <v>4629120.46</v>
      </c>
      <c r="Q468" s="78">
        <v>0</v>
      </c>
      <c r="R468" s="78">
        <v>0</v>
      </c>
      <c r="S468" s="78">
        <v>0</v>
      </c>
      <c r="T468" s="78">
        <f t="shared" ref="T468:T475" si="27">P468-R468-S468</f>
        <v>4629120.46</v>
      </c>
      <c r="U468" s="78">
        <f t="shared" si="26"/>
        <v>698.97043986126641</v>
      </c>
      <c r="V468" s="78">
        <v>2071.927280216586</v>
      </c>
    </row>
    <row r="469" spans="1:22" s="79" customFormat="1" ht="36" customHeight="1" x14ac:dyDescent="0.25">
      <c r="A469" s="79">
        <v>1</v>
      </c>
      <c r="B469" s="80">
        <f>SUBTOTAL(103,$A$16:A469)</f>
        <v>406</v>
      </c>
      <c r="C469" s="77" t="s">
        <v>136</v>
      </c>
      <c r="D469" s="233">
        <v>1969</v>
      </c>
      <c r="E469" s="233"/>
      <c r="F469" s="233" t="s">
        <v>275</v>
      </c>
      <c r="G469" s="233">
        <v>5</v>
      </c>
      <c r="H469" s="233" t="s">
        <v>337</v>
      </c>
      <c r="I469" s="78">
        <v>4894</v>
      </c>
      <c r="J469" s="78">
        <v>4495.3</v>
      </c>
      <c r="K469" s="78">
        <v>4495.3</v>
      </c>
      <c r="L469" s="239">
        <v>218</v>
      </c>
      <c r="M469" s="233" t="s">
        <v>254</v>
      </c>
      <c r="N469" s="233" t="s">
        <v>258</v>
      </c>
      <c r="O469" s="236" t="s">
        <v>278</v>
      </c>
      <c r="P469" s="78">
        <v>3488886.51</v>
      </c>
      <c r="Q469" s="78">
        <v>0</v>
      </c>
      <c r="R469" s="78">
        <v>0</v>
      </c>
      <c r="S469" s="78">
        <v>0</v>
      </c>
      <c r="T469" s="78">
        <f t="shared" si="27"/>
        <v>3488886.51</v>
      </c>
      <c r="U469" s="78">
        <f t="shared" si="26"/>
        <v>712.8905823457294</v>
      </c>
      <c r="V469" s="78">
        <v>1830.4165067429508</v>
      </c>
    </row>
    <row r="470" spans="1:22" s="79" customFormat="1" ht="36" customHeight="1" x14ac:dyDescent="0.25">
      <c r="A470" s="79">
        <v>1</v>
      </c>
      <c r="B470" s="80">
        <f>SUBTOTAL(103,$A$16:A470)</f>
        <v>407</v>
      </c>
      <c r="C470" s="77" t="s">
        <v>137</v>
      </c>
      <c r="D470" s="233">
        <v>1987</v>
      </c>
      <c r="E470" s="233"/>
      <c r="F470" s="233" t="s">
        <v>275</v>
      </c>
      <c r="G470" s="233">
        <v>5</v>
      </c>
      <c r="H470" s="233" t="s">
        <v>2124</v>
      </c>
      <c r="I470" s="78">
        <v>7649.2</v>
      </c>
      <c r="J470" s="78">
        <v>5430.3</v>
      </c>
      <c r="K470" s="78">
        <v>5430.3</v>
      </c>
      <c r="L470" s="239">
        <v>315</v>
      </c>
      <c r="M470" s="233" t="s">
        <v>254</v>
      </c>
      <c r="N470" s="233" t="s">
        <v>258</v>
      </c>
      <c r="O470" s="236" t="s">
        <v>278</v>
      </c>
      <c r="P470" s="78">
        <v>4309479.43</v>
      </c>
      <c r="Q470" s="78">
        <v>0</v>
      </c>
      <c r="R470" s="78">
        <v>0</v>
      </c>
      <c r="S470" s="78">
        <v>0</v>
      </c>
      <c r="T470" s="78">
        <f t="shared" si="27"/>
        <v>4309479.43</v>
      </c>
      <c r="U470" s="78">
        <f t="shared" si="26"/>
        <v>563.38956099984307</v>
      </c>
      <c r="V470" s="78">
        <v>1557.7891219996864</v>
      </c>
    </row>
    <row r="471" spans="1:22" s="79" customFormat="1" ht="36" customHeight="1" x14ac:dyDescent="0.25">
      <c r="A471" s="79">
        <v>1</v>
      </c>
      <c r="B471" s="80">
        <f>SUBTOTAL(103,$A$16:A471)</f>
        <v>408</v>
      </c>
      <c r="C471" s="77" t="s">
        <v>1174</v>
      </c>
      <c r="D471" s="233">
        <v>1963</v>
      </c>
      <c r="E471" s="233"/>
      <c r="F471" s="233" t="s">
        <v>256</v>
      </c>
      <c r="G471" s="233">
        <v>2</v>
      </c>
      <c r="H471" s="233" t="s">
        <v>290</v>
      </c>
      <c r="I471" s="78">
        <v>683.63</v>
      </c>
      <c r="J471" s="78">
        <v>683.63</v>
      </c>
      <c r="K471" s="78">
        <v>683.63</v>
      </c>
      <c r="L471" s="239">
        <v>42</v>
      </c>
      <c r="M471" s="233" t="s">
        <v>254</v>
      </c>
      <c r="N471" s="233" t="s">
        <v>258</v>
      </c>
      <c r="O471" s="236" t="s">
        <v>278</v>
      </c>
      <c r="P471" s="78">
        <v>1166380.9099999999</v>
      </c>
      <c r="Q471" s="78">
        <v>0</v>
      </c>
      <c r="R471" s="78">
        <v>0</v>
      </c>
      <c r="S471" s="78">
        <v>0</v>
      </c>
      <c r="T471" s="78">
        <f t="shared" si="27"/>
        <v>1166380.9099999999</v>
      </c>
      <c r="U471" s="78">
        <f t="shared" si="26"/>
        <v>1706.158170355309</v>
      </c>
      <c r="V471" s="78">
        <v>4368.1900000000005</v>
      </c>
    </row>
    <row r="472" spans="1:22" s="79" customFormat="1" ht="36" customHeight="1" x14ac:dyDescent="0.25">
      <c r="A472" s="79">
        <v>1</v>
      </c>
      <c r="B472" s="80">
        <f>SUBTOTAL(103,$A$16:A472)</f>
        <v>409</v>
      </c>
      <c r="C472" s="77" t="s">
        <v>1175</v>
      </c>
      <c r="D472" s="233" t="s">
        <v>293</v>
      </c>
      <c r="E472" s="233"/>
      <c r="F472" s="233" t="s">
        <v>256</v>
      </c>
      <c r="G472" s="233" t="s">
        <v>290</v>
      </c>
      <c r="H472" s="233" t="s">
        <v>290</v>
      </c>
      <c r="I472" s="78">
        <v>1132.77</v>
      </c>
      <c r="J472" s="78">
        <v>1132.77</v>
      </c>
      <c r="K472" s="78">
        <v>1132.77</v>
      </c>
      <c r="L472" s="239">
        <v>25</v>
      </c>
      <c r="M472" s="233" t="s">
        <v>254</v>
      </c>
      <c r="N472" s="233" t="s">
        <v>258</v>
      </c>
      <c r="O472" s="236" t="s">
        <v>278</v>
      </c>
      <c r="P472" s="78">
        <v>1211378.6299999999</v>
      </c>
      <c r="Q472" s="78">
        <v>0</v>
      </c>
      <c r="R472" s="78">
        <v>0</v>
      </c>
      <c r="S472" s="78">
        <v>0</v>
      </c>
      <c r="T472" s="78">
        <f t="shared" si="27"/>
        <v>1211378.6299999999</v>
      </c>
      <c r="U472" s="78">
        <f t="shared" si="26"/>
        <v>1069.3950493039185</v>
      </c>
      <c r="V472" s="78">
        <v>4368.1900000000005</v>
      </c>
    </row>
    <row r="473" spans="1:22" s="79" customFormat="1" ht="36" customHeight="1" x14ac:dyDescent="0.25">
      <c r="A473" s="79">
        <v>1</v>
      </c>
      <c r="B473" s="80">
        <f>SUBTOTAL(103,$A$16:A473)</f>
        <v>410</v>
      </c>
      <c r="C473" s="77" t="s">
        <v>1176</v>
      </c>
      <c r="D473" s="233">
        <v>1964</v>
      </c>
      <c r="E473" s="233"/>
      <c r="F473" s="233" t="s">
        <v>256</v>
      </c>
      <c r="G473" s="233">
        <v>2</v>
      </c>
      <c r="H473" s="233" t="s">
        <v>295</v>
      </c>
      <c r="I473" s="78">
        <v>768.3</v>
      </c>
      <c r="J473" s="78">
        <v>297</v>
      </c>
      <c r="K473" s="78">
        <v>268.89999999999998</v>
      </c>
      <c r="L473" s="239">
        <v>80</v>
      </c>
      <c r="M473" s="233" t="s">
        <v>254</v>
      </c>
      <c r="N473" s="233" t="s">
        <v>258</v>
      </c>
      <c r="O473" s="236" t="s">
        <v>276</v>
      </c>
      <c r="P473" s="78">
        <v>908111.25</v>
      </c>
      <c r="Q473" s="78">
        <v>0</v>
      </c>
      <c r="R473" s="78">
        <v>0</v>
      </c>
      <c r="S473" s="78">
        <v>0</v>
      </c>
      <c r="T473" s="78">
        <f t="shared" si="27"/>
        <v>908111.25</v>
      </c>
      <c r="U473" s="78">
        <f t="shared" si="26"/>
        <v>1181.974814525576</v>
      </c>
      <c r="V473" s="78">
        <v>3259.66</v>
      </c>
    </row>
    <row r="474" spans="1:22" s="79" customFormat="1" ht="36" customHeight="1" x14ac:dyDescent="0.25">
      <c r="A474" s="79">
        <v>1</v>
      </c>
      <c r="B474" s="80">
        <f>SUBTOTAL(103,$A$16:A474)</f>
        <v>411</v>
      </c>
      <c r="C474" s="77" t="s">
        <v>1204</v>
      </c>
      <c r="D474" s="233">
        <v>1958</v>
      </c>
      <c r="E474" s="233"/>
      <c r="F474" s="233" t="s">
        <v>256</v>
      </c>
      <c r="G474" s="233">
        <v>2</v>
      </c>
      <c r="H474" s="233" t="s">
        <v>290</v>
      </c>
      <c r="I474" s="78">
        <v>554</v>
      </c>
      <c r="J474" s="78">
        <v>554</v>
      </c>
      <c r="K474" s="78">
        <v>554</v>
      </c>
      <c r="L474" s="239">
        <v>30</v>
      </c>
      <c r="M474" s="233" t="s">
        <v>254</v>
      </c>
      <c r="N474" s="233" t="s">
        <v>258</v>
      </c>
      <c r="O474" s="236" t="s">
        <v>276</v>
      </c>
      <c r="P474" s="78">
        <v>55068.52</v>
      </c>
      <c r="Q474" s="78">
        <v>0</v>
      </c>
      <c r="R474" s="78">
        <v>0</v>
      </c>
      <c r="S474" s="78">
        <v>0</v>
      </c>
      <c r="T474" s="78">
        <f t="shared" si="27"/>
        <v>55068.52</v>
      </c>
      <c r="U474" s="78">
        <f t="shared" si="26"/>
        <v>99.40166064981949</v>
      </c>
      <c r="V474" s="78">
        <v>99.40166064981949</v>
      </c>
    </row>
    <row r="475" spans="1:22" s="79" customFormat="1" ht="36" customHeight="1" x14ac:dyDescent="0.25">
      <c r="A475" s="79">
        <v>1</v>
      </c>
      <c r="B475" s="80">
        <f>SUBTOTAL(103,$A$16:A475)</f>
        <v>412</v>
      </c>
      <c r="C475" s="77" t="s">
        <v>1205</v>
      </c>
      <c r="D475" s="233">
        <v>1973</v>
      </c>
      <c r="E475" s="233"/>
      <c r="F475" s="233" t="s">
        <v>256</v>
      </c>
      <c r="G475" s="233">
        <v>5</v>
      </c>
      <c r="H475" s="233" t="s">
        <v>299</v>
      </c>
      <c r="I475" s="78">
        <v>3131.46</v>
      </c>
      <c r="J475" s="78">
        <v>3131.28</v>
      </c>
      <c r="K475" s="78">
        <v>3131.28</v>
      </c>
      <c r="L475" s="239">
        <v>208</v>
      </c>
      <c r="M475" s="233" t="s">
        <v>254</v>
      </c>
      <c r="N475" s="233" t="s">
        <v>258</v>
      </c>
      <c r="O475" s="236" t="s">
        <v>1276</v>
      </c>
      <c r="P475" s="78">
        <v>98964.25</v>
      </c>
      <c r="Q475" s="78">
        <v>0</v>
      </c>
      <c r="R475" s="78">
        <v>0</v>
      </c>
      <c r="S475" s="78">
        <v>0</v>
      </c>
      <c r="T475" s="78">
        <f t="shared" si="27"/>
        <v>98964.25</v>
      </c>
      <c r="U475" s="78">
        <f t="shared" si="26"/>
        <v>31.603229803350512</v>
      </c>
      <c r="V475" s="78">
        <v>31.603229803350512</v>
      </c>
    </row>
    <row r="476" spans="1:22" s="79" customFormat="1" ht="36" customHeight="1" x14ac:dyDescent="0.25">
      <c r="A476" s="79">
        <v>1</v>
      </c>
      <c r="B476" s="80">
        <f>SUBTOTAL(103,$A$16:A476)</f>
        <v>413</v>
      </c>
      <c r="C476" s="77" t="s">
        <v>1464</v>
      </c>
      <c r="D476" s="233">
        <v>1961</v>
      </c>
      <c r="E476" s="233"/>
      <c r="F476" s="233" t="s">
        <v>1479</v>
      </c>
      <c r="G476" s="233">
        <v>2</v>
      </c>
      <c r="H476" s="233" t="s">
        <v>290</v>
      </c>
      <c r="I476" s="78">
        <v>970.74</v>
      </c>
      <c r="J476" s="78">
        <v>543.79999999999995</v>
      </c>
      <c r="K476" s="78">
        <v>543.79999999999995</v>
      </c>
      <c r="L476" s="239">
        <v>42</v>
      </c>
      <c r="M476" s="233" t="s">
        <v>254</v>
      </c>
      <c r="N476" s="233" t="s">
        <v>255</v>
      </c>
      <c r="O476" s="236" t="s">
        <v>257</v>
      </c>
      <c r="P476" s="78">
        <v>2347663.2300000004</v>
      </c>
      <c r="Q476" s="78">
        <v>0</v>
      </c>
      <c r="R476" s="78">
        <v>0</v>
      </c>
      <c r="S476" s="78">
        <v>0</v>
      </c>
      <c r="T476" s="78">
        <f>P476-S476-R476</f>
        <v>2347663.2300000004</v>
      </c>
      <c r="U476" s="78">
        <f t="shared" si="26"/>
        <v>2418.426386055999</v>
      </c>
      <c r="V476" s="78">
        <v>4716.9170323670605</v>
      </c>
    </row>
    <row r="477" spans="1:22" s="79" customFormat="1" ht="36" customHeight="1" x14ac:dyDescent="0.25">
      <c r="A477" s="79">
        <v>1</v>
      </c>
      <c r="B477" s="80">
        <f>SUBTOTAL(103,$A$16:A477)</f>
        <v>414</v>
      </c>
      <c r="C477" s="77" t="s">
        <v>147</v>
      </c>
      <c r="D477" s="233">
        <v>1983</v>
      </c>
      <c r="E477" s="233"/>
      <c r="F477" s="233" t="s">
        <v>275</v>
      </c>
      <c r="G477" s="233">
        <v>5</v>
      </c>
      <c r="H477" s="233" t="s">
        <v>295</v>
      </c>
      <c r="I477" s="234">
        <v>4333.8</v>
      </c>
      <c r="J477" s="234">
        <v>3128.2</v>
      </c>
      <c r="K477" s="234">
        <v>3128.2</v>
      </c>
      <c r="L477" s="239">
        <v>151</v>
      </c>
      <c r="M477" s="233" t="s">
        <v>254</v>
      </c>
      <c r="N477" s="233" t="s">
        <v>258</v>
      </c>
      <c r="O477" s="236" t="s">
        <v>281</v>
      </c>
      <c r="P477" s="78">
        <v>2512797.5499999998</v>
      </c>
      <c r="Q477" s="78">
        <v>0</v>
      </c>
      <c r="R477" s="78">
        <v>0</v>
      </c>
      <c r="S477" s="78">
        <v>0</v>
      </c>
      <c r="T477" s="78">
        <f>P477-R477-S477</f>
        <v>2512797.5499999998</v>
      </c>
      <c r="U477" s="78">
        <f t="shared" si="26"/>
        <v>579.81391619364058</v>
      </c>
      <c r="V477" s="78">
        <v>1627.7743977110158</v>
      </c>
    </row>
    <row r="478" spans="1:22" s="79" customFormat="1" ht="36" customHeight="1" x14ac:dyDescent="0.25">
      <c r="A478" s="79">
        <v>1</v>
      </c>
      <c r="B478" s="80">
        <f>SUBTOTAL(103,$A$16:A478)</f>
        <v>415</v>
      </c>
      <c r="C478" s="77" t="s">
        <v>148</v>
      </c>
      <c r="D478" s="233">
        <v>1985</v>
      </c>
      <c r="E478" s="233"/>
      <c r="F478" s="233" t="s">
        <v>275</v>
      </c>
      <c r="G478" s="233">
        <v>5</v>
      </c>
      <c r="H478" s="233" t="s">
        <v>337</v>
      </c>
      <c r="I478" s="234">
        <v>5376.4</v>
      </c>
      <c r="J478" s="234">
        <v>3863.1</v>
      </c>
      <c r="K478" s="234">
        <v>3863.1</v>
      </c>
      <c r="L478" s="239">
        <v>206</v>
      </c>
      <c r="M478" s="233" t="s">
        <v>254</v>
      </c>
      <c r="N478" s="233" t="s">
        <v>258</v>
      </c>
      <c r="O478" s="236" t="s">
        <v>281</v>
      </c>
      <c r="P478" s="78">
        <v>3167665.04</v>
      </c>
      <c r="Q478" s="78">
        <v>0</v>
      </c>
      <c r="R478" s="78">
        <v>0</v>
      </c>
      <c r="S478" s="78">
        <v>0</v>
      </c>
      <c r="T478" s="78">
        <f>P478-R478-S478</f>
        <v>3167665.04</v>
      </c>
      <c r="U478" s="78">
        <f t="shared" si="26"/>
        <v>589.17956997247234</v>
      </c>
      <c r="V478" s="78">
        <v>1644.2554711703003</v>
      </c>
    </row>
    <row r="479" spans="1:22" s="79" customFormat="1" ht="36" customHeight="1" x14ac:dyDescent="0.25">
      <c r="B479" s="77" t="s">
        <v>798</v>
      </c>
      <c r="C479" s="77"/>
      <c r="D479" s="233" t="s">
        <v>835</v>
      </c>
      <c r="E479" s="233" t="s">
        <v>835</v>
      </c>
      <c r="F479" s="233" t="s">
        <v>835</v>
      </c>
      <c r="G479" s="233" t="s">
        <v>835</v>
      </c>
      <c r="H479" s="233" t="s">
        <v>835</v>
      </c>
      <c r="I479" s="234">
        <f>SUM(I480:I487)</f>
        <v>32478.429999999997</v>
      </c>
      <c r="J479" s="234">
        <f>SUM(J480:J487)</f>
        <v>21805.200000000001</v>
      </c>
      <c r="K479" s="234">
        <f>SUM(K480:K487)</f>
        <v>20949.2</v>
      </c>
      <c r="L479" s="235">
        <f>SUM(L480:L487)</f>
        <v>1444</v>
      </c>
      <c r="M479" s="233" t="s">
        <v>835</v>
      </c>
      <c r="N479" s="233" t="s">
        <v>835</v>
      </c>
      <c r="O479" s="236" t="s">
        <v>835</v>
      </c>
      <c r="P479" s="241">
        <v>24440368.16</v>
      </c>
      <c r="Q479" s="78">
        <f>SUM(Q480:Q487)</f>
        <v>0</v>
      </c>
      <c r="R479" s="78">
        <f>SUM(R480:R487)</f>
        <v>0</v>
      </c>
      <c r="S479" s="78">
        <f>SUM(S480:S487)</f>
        <v>0</v>
      </c>
      <c r="T479" s="78">
        <f>SUM(T480:T487)</f>
        <v>24440368.16</v>
      </c>
      <c r="U479" s="78">
        <f t="shared" si="26"/>
        <v>752.51076360526054</v>
      </c>
      <c r="V479" s="78">
        <f>MAX(V480:V487)</f>
        <v>5460.4525044658822</v>
      </c>
    </row>
    <row r="480" spans="1:22" s="79" customFormat="1" ht="36" customHeight="1" x14ac:dyDescent="0.25">
      <c r="A480" s="79">
        <v>1</v>
      </c>
      <c r="B480" s="80">
        <f>SUBTOTAL(103,$A$16:A480)</f>
        <v>416</v>
      </c>
      <c r="C480" s="77" t="s">
        <v>133</v>
      </c>
      <c r="D480" s="233">
        <v>1982</v>
      </c>
      <c r="E480" s="233"/>
      <c r="F480" s="233" t="s">
        <v>256</v>
      </c>
      <c r="G480" s="233">
        <v>5</v>
      </c>
      <c r="H480" s="233" t="s">
        <v>355</v>
      </c>
      <c r="I480" s="78">
        <v>3868.3</v>
      </c>
      <c r="J480" s="78">
        <v>2289.6</v>
      </c>
      <c r="K480" s="78">
        <v>2289.6</v>
      </c>
      <c r="L480" s="239">
        <v>192</v>
      </c>
      <c r="M480" s="233" t="s">
        <v>254</v>
      </c>
      <c r="N480" s="233" t="s">
        <v>279</v>
      </c>
      <c r="O480" s="236" t="s">
        <v>288</v>
      </c>
      <c r="P480" s="78">
        <v>2050029.61</v>
      </c>
      <c r="Q480" s="78">
        <v>0</v>
      </c>
      <c r="R480" s="78">
        <v>0</v>
      </c>
      <c r="S480" s="78">
        <v>0</v>
      </c>
      <c r="T480" s="78">
        <f t="shared" ref="T480:T487" si="28">P480-R480-S480</f>
        <v>2050029.61</v>
      </c>
      <c r="U480" s="78">
        <f t="shared" si="26"/>
        <v>529.95621073856728</v>
      </c>
      <c r="V480" s="78">
        <v>2374.0354044929304</v>
      </c>
    </row>
    <row r="481" spans="1:22" s="79" customFormat="1" ht="36" customHeight="1" x14ac:dyDescent="0.25">
      <c r="A481" s="79">
        <v>1</v>
      </c>
      <c r="B481" s="80">
        <f>SUBTOTAL(103,$A$16:A481)</f>
        <v>417</v>
      </c>
      <c r="C481" s="77" t="s">
        <v>134</v>
      </c>
      <c r="D481" s="233">
        <v>1964</v>
      </c>
      <c r="E481" s="233"/>
      <c r="F481" s="233" t="s">
        <v>256</v>
      </c>
      <c r="G481" s="233">
        <v>4</v>
      </c>
      <c r="H481" s="233" t="s">
        <v>290</v>
      </c>
      <c r="I481" s="78">
        <v>839.7</v>
      </c>
      <c r="J481" s="78">
        <v>839.7</v>
      </c>
      <c r="K481" s="78">
        <v>839.7</v>
      </c>
      <c r="L481" s="239">
        <v>75</v>
      </c>
      <c r="M481" s="233" t="s">
        <v>254</v>
      </c>
      <c r="N481" s="233" t="s">
        <v>279</v>
      </c>
      <c r="O481" s="236" t="s">
        <v>280</v>
      </c>
      <c r="P481" s="78">
        <v>1928448.7800000003</v>
      </c>
      <c r="Q481" s="78">
        <v>0</v>
      </c>
      <c r="R481" s="78">
        <v>0</v>
      </c>
      <c r="S481" s="78">
        <v>0</v>
      </c>
      <c r="T481" s="78">
        <f t="shared" si="28"/>
        <v>1928448.7800000003</v>
      </c>
      <c r="U481" s="78">
        <f t="shared" si="26"/>
        <v>2296.5925687745626</v>
      </c>
      <c r="V481" s="78">
        <v>5460.4525044658822</v>
      </c>
    </row>
    <row r="482" spans="1:22" s="79" customFormat="1" ht="36" customHeight="1" x14ac:dyDescent="0.25">
      <c r="A482" s="79">
        <v>1</v>
      </c>
      <c r="B482" s="80">
        <f>SUBTOTAL(103,$A$16:A482)</f>
        <v>418</v>
      </c>
      <c r="C482" s="77" t="s">
        <v>143</v>
      </c>
      <c r="D482" s="233">
        <v>1972</v>
      </c>
      <c r="E482" s="233"/>
      <c r="F482" s="233" t="s">
        <v>256</v>
      </c>
      <c r="G482" s="233">
        <v>5</v>
      </c>
      <c r="H482" s="233" t="s">
        <v>2123</v>
      </c>
      <c r="I482" s="78">
        <v>8090.9</v>
      </c>
      <c r="J482" s="78">
        <v>6096.3</v>
      </c>
      <c r="K482" s="78">
        <v>6096.3</v>
      </c>
      <c r="L482" s="239">
        <v>307</v>
      </c>
      <c r="M482" s="233" t="s">
        <v>254</v>
      </c>
      <c r="N482" s="233" t="s">
        <v>258</v>
      </c>
      <c r="O482" s="236" t="s">
        <v>282</v>
      </c>
      <c r="P482" s="78">
        <v>9931926.4399999995</v>
      </c>
      <c r="Q482" s="78">
        <v>0</v>
      </c>
      <c r="R482" s="78">
        <v>0</v>
      </c>
      <c r="S482" s="78">
        <v>0</v>
      </c>
      <c r="T482" s="78">
        <f t="shared" si="28"/>
        <v>9931926.4399999995</v>
      </c>
      <c r="U482" s="78">
        <f t="shared" si="26"/>
        <v>1227.542849373988</v>
      </c>
      <c r="V482" s="78">
        <v>2153.8923918970695</v>
      </c>
    </row>
    <row r="483" spans="1:22" s="79" customFormat="1" ht="36" customHeight="1" x14ac:dyDescent="0.25">
      <c r="A483" s="79">
        <v>1</v>
      </c>
      <c r="B483" s="80">
        <f>SUBTOTAL(103,$A$16:A483)</f>
        <v>419</v>
      </c>
      <c r="C483" s="77" t="s">
        <v>1179</v>
      </c>
      <c r="D483" s="233">
        <v>1928</v>
      </c>
      <c r="E483" s="233"/>
      <c r="F483" s="233" t="s">
        <v>256</v>
      </c>
      <c r="G483" s="233">
        <v>3</v>
      </c>
      <c r="H483" s="233" t="s">
        <v>299</v>
      </c>
      <c r="I483" s="78">
        <v>1739</v>
      </c>
      <c r="J483" s="78">
        <v>1665.2</v>
      </c>
      <c r="K483" s="78">
        <v>998.7</v>
      </c>
      <c r="L483" s="239">
        <v>235</v>
      </c>
      <c r="M483" s="233" t="s">
        <v>254</v>
      </c>
      <c r="N483" s="233" t="s">
        <v>258</v>
      </c>
      <c r="O483" s="236" t="s">
        <v>276</v>
      </c>
      <c r="P483" s="78">
        <v>29614.32</v>
      </c>
      <c r="Q483" s="78">
        <v>0</v>
      </c>
      <c r="R483" s="78">
        <v>0</v>
      </c>
      <c r="S483" s="78">
        <v>0</v>
      </c>
      <c r="T483" s="78">
        <f t="shared" si="28"/>
        <v>29614.32</v>
      </c>
      <c r="U483" s="78">
        <f t="shared" si="26"/>
        <v>17.029511213340999</v>
      </c>
      <c r="V483" s="78">
        <v>17.029511213340999</v>
      </c>
    </row>
    <row r="484" spans="1:22" s="79" customFormat="1" ht="36" customHeight="1" x14ac:dyDescent="0.25">
      <c r="A484" s="79">
        <v>1</v>
      </c>
      <c r="B484" s="80">
        <f>SUBTOTAL(103,$A$16:A484)</f>
        <v>420</v>
      </c>
      <c r="C484" s="77" t="s">
        <v>1180</v>
      </c>
      <c r="D484" s="233">
        <v>1962</v>
      </c>
      <c r="E484" s="233"/>
      <c r="F484" s="233" t="s">
        <v>256</v>
      </c>
      <c r="G484" s="233">
        <v>3</v>
      </c>
      <c r="H484" s="233" t="s">
        <v>299</v>
      </c>
      <c r="I484" s="78">
        <v>1520.4</v>
      </c>
      <c r="J484" s="78">
        <v>1093.04</v>
      </c>
      <c r="K484" s="78">
        <v>903.54</v>
      </c>
      <c r="L484" s="239">
        <v>135</v>
      </c>
      <c r="M484" s="233" t="s">
        <v>254</v>
      </c>
      <c r="N484" s="233" t="s">
        <v>258</v>
      </c>
      <c r="O484" s="236" t="s">
        <v>1257</v>
      </c>
      <c r="P484" s="78">
        <v>3373126.15</v>
      </c>
      <c r="Q484" s="78">
        <v>0</v>
      </c>
      <c r="R484" s="78">
        <v>0</v>
      </c>
      <c r="S484" s="78">
        <v>0</v>
      </c>
      <c r="T484" s="78">
        <f t="shared" si="28"/>
        <v>3373126.15</v>
      </c>
      <c r="U484" s="78">
        <f t="shared" si="26"/>
        <v>2218.5781044461983</v>
      </c>
      <c r="V484" s="78">
        <v>4899.7387050776115</v>
      </c>
    </row>
    <row r="485" spans="1:22" s="79" customFormat="1" ht="36" customHeight="1" x14ac:dyDescent="0.25">
      <c r="A485" s="79">
        <v>1</v>
      </c>
      <c r="B485" s="80">
        <f>SUBTOTAL(103,$A$16:A485)</f>
        <v>421</v>
      </c>
      <c r="C485" s="77" t="s">
        <v>1181</v>
      </c>
      <c r="D485" s="233">
        <v>1970</v>
      </c>
      <c r="E485" s="233"/>
      <c r="F485" s="233" t="s">
        <v>256</v>
      </c>
      <c r="G485" s="233">
        <v>5</v>
      </c>
      <c r="H485" s="233" t="s">
        <v>355</v>
      </c>
      <c r="I485" s="78">
        <v>7885.15</v>
      </c>
      <c r="J485" s="78">
        <v>4459.3599999999997</v>
      </c>
      <c r="K485" s="78">
        <v>4459.3599999999997</v>
      </c>
      <c r="L485" s="239">
        <v>224</v>
      </c>
      <c r="M485" s="233" t="s">
        <v>254</v>
      </c>
      <c r="N485" s="233" t="s">
        <v>258</v>
      </c>
      <c r="O485" s="236" t="s">
        <v>1258</v>
      </c>
      <c r="P485" s="78">
        <v>5805618.4400000004</v>
      </c>
      <c r="Q485" s="78">
        <v>0</v>
      </c>
      <c r="R485" s="78">
        <v>0</v>
      </c>
      <c r="S485" s="78">
        <v>0</v>
      </c>
      <c r="T485" s="78">
        <f t="shared" si="28"/>
        <v>5805618.4400000004</v>
      </c>
      <c r="U485" s="78">
        <f t="shared" si="26"/>
        <v>736.27241587033859</v>
      </c>
      <c r="V485" s="78">
        <v>1598.1383902652456</v>
      </c>
    </row>
    <row r="486" spans="1:22" s="79" customFormat="1" ht="36" customHeight="1" x14ac:dyDescent="0.25">
      <c r="A486" s="79">
        <v>1</v>
      </c>
      <c r="B486" s="80">
        <f>SUBTOTAL(103,$A$16:A486)</f>
        <v>422</v>
      </c>
      <c r="C486" s="77" t="s">
        <v>160</v>
      </c>
      <c r="D486" s="233">
        <v>1966</v>
      </c>
      <c r="E486" s="233"/>
      <c r="F486" s="233" t="s">
        <v>256</v>
      </c>
      <c r="G486" s="233">
        <v>4</v>
      </c>
      <c r="H486" s="233" t="s">
        <v>290</v>
      </c>
      <c r="I486" s="78">
        <v>1285.3</v>
      </c>
      <c r="J486" s="78">
        <v>836.8</v>
      </c>
      <c r="K486" s="78">
        <v>836.8</v>
      </c>
      <c r="L486" s="239">
        <v>76</v>
      </c>
      <c r="M486" s="233" t="s">
        <v>254</v>
      </c>
      <c r="N486" s="233" t="s">
        <v>279</v>
      </c>
      <c r="O486" s="236" t="s">
        <v>287</v>
      </c>
      <c r="P486" s="78">
        <v>303399.58999999997</v>
      </c>
      <c r="Q486" s="78">
        <v>0</v>
      </c>
      <c r="R486" s="78">
        <v>0</v>
      </c>
      <c r="S486" s="78">
        <v>0</v>
      </c>
      <c r="T486" s="78">
        <f t="shared" si="28"/>
        <v>303399.58999999997</v>
      </c>
      <c r="U486" s="78">
        <f t="shared" si="26"/>
        <v>236.05352057885318</v>
      </c>
      <c r="V486" s="78">
        <v>3168.0843056095855</v>
      </c>
    </row>
    <row r="487" spans="1:22" s="79" customFormat="1" ht="36" customHeight="1" x14ac:dyDescent="0.25">
      <c r="A487" s="79">
        <v>1</v>
      </c>
      <c r="B487" s="80">
        <f>SUBTOTAL(103,$A$16:A487)</f>
        <v>423</v>
      </c>
      <c r="C487" s="77" t="s">
        <v>1203</v>
      </c>
      <c r="D487" s="233">
        <v>1983</v>
      </c>
      <c r="E487" s="233"/>
      <c r="F487" s="233" t="s">
        <v>256</v>
      </c>
      <c r="G487" s="233">
        <v>5</v>
      </c>
      <c r="H487" s="233" t="s">
        <v>355</v>
      </c>
      <c r="I487" s="78">
        <v>7249.68</v>
      </c>
      <c r="J487" s="78">
        <v>4525.2</v>
      </c>
      <c r="K487" s="78">
        <v>4525.2</v>
      </c>
      <c r="L487" s="239">
        <v>200</v>
      </c>
      <c r="M487" s="233" t="s">
        <v>254</v>
      </c>
      <c r="N487" s="233" t="s">
        <v>327</v>
      </c>
      <c r="O487" s="236" t="s">
        <v>1277</v>
      </c>
      <c r="P487" s="78">
        <v>1018204.83</v>
      </c>
      <c r="Q487" s="78">
        <v>0</v>
      </c>
      <c r="R487" s="78">
        <v>0</v>
      </c>
      <c r="S487" s="78">
        <v>0</v>
      </c>
      <c r="T487" s="78">
        <f t="shared" si="28"/>
        <v>1018204.83</v>
      </c>
      <c r="U487" s="78">
        <f t="shared" si="26"/>
        <v>140.44824461217598</v>
      </c>
      <c r="V487" s="78">
        <v>3259.66</v>
      </c>
    </row>
    <row r="488" spans="1:22" s="79" customFormat="1" ht="36" customHeight="1" x14ac:dyDescent="0.25">
      <c r="B488" s="77" t="s">
        <v>1177</v>
      </c>
      <c r="C488" s="77"/>
      <c r="D488" s="233" t="s">
        <v>835</v>
      </c>
      <c r="E488" s="233" t="s">
        <v>835</v>
      </c>
      <c r="F488" s="233" t="s">
        <v>835</v>
      </c>
      <c r="G488" s="233" t="s">
        <v>835</v>
      </c>
      <c r="H488" s="233" t="s">
        <v>835</v>
      </c>
      <c r="I488" s="234">
        <f>SUM(I489:I489)</f>
        <v>546.02</v>
      </c>
      <c r="J488" s="234">
        <f>SUM(J489:J489)</f>
        <v>546.02</v>
      </c>
      <c r="K488" s="234">
        <f>SUM(K489:K489)</f>
        <v>546.02</v>
      </c>
      <c r="L488" s="235">
        <f>SUM(L489:L489)</f>
        <v>20</v>
      </c>
      <c r="M488" s="233" t="s">
        <v>835</v>
      </c>
      <c r="N488" s="233" t="s">
        <v>835</v>
      </c>
      <c r="O488" s="236" t="s">
        <v>835</v>
      </c>
      <c r="P488" s="241">
        <v>1483737.75</v>
      </c>
      <c r="Q488" s="78">
        <f>Q489</f>
        <v>0</v>
      </c>
      <c r="R488" s="78">
        <f>R489</f>
        <v>0</v>
      </c>
      <c r="S488" s="78">
        <f>S489</f>
        <v>0</v>
      </c>
      <c r="T488" s="78">
        <f>T489</f>
        <v>1483737.75</v>
      </c>
      <c r="U488" s="78">
        <f t="shared" si="26"/>
        <v>2717.368869272188</v>
      </c>
      <c r="V488" s="78">
        <f>MAX(V489)</f>
        <v>7912.1949921248324</v>
      </c>
    </row>
    <row r="489" spans="1:22" s="79" customFormat="1" ht="36" customHeight="1" x14ac:dyDescent="0.25">
      <c r="A489" s="79">
        <v>1</v>
      </c>
      <c r="B489" s="80">
        <f>SUBTOTAL(103,$A$16:A489)</f>
        <v>424</v>
      </c>
      <c r="C489" s="77" t="s">
        <v>1178</v>
      </c>
      <c r="D489" s="233">
        <v>1976</v>
      </c>
      <c r="E489" s="233"/>
      <c r="F489" s="233" t="s">
        <v>256</v>
      </c>
      <c r="G489" s="233">
        <v>2</v>
      </c>
      <c r="H489" s="233" t="s">
        <v>290</v>
      </c>
      <c r="I489" s="78">
        <v>546.02</v>
      </c>
      <c r="J489" s="78">
        <v>546.02</v>
      </c>
      <c r="K489" s="78">
        <v>546.02</v>
      </c>
      <c r="L489" s="239">
        <v>20</v>
      </c>
      <c r="M489" s="233" t="s">
        <v>254</v>
      </c>
      <c r="N489" s="233" t="s">
        <v>258</v>
      </c>
      <c r="O489" s="236" t="s">
        <v>276</v>
      </c>
      <c r="P489" s="78">
        <v>1483737.75</v>
      </c>
      <c r="Q489" s="78">
        <v>0</v>
      </c>
      <c r="R489" s="78">
        <v>0</v>
      </c>
      <c r="S489" s="78">
        <v>0</v>
      </c>
      <c r="T489" s="78">
        <f>P489-R489-S489</f>
        <v>1483737.75</v>
      </c>
      <c r="U489" s="78">
        <f t="shared" si="26"/>
        <v>2717.368869272188</v>
      </c>
      <c r="V489" s="78">
        <v>7912.1949921248324</v>
      </c>
    </row>
    <row r="490" spans="1:22" s="79" customFormat="1" ht="36" customHeight="1" x14ac:dyDescent="0.25">
      <c r="B490" s="77" t="s">
        <v>988</v>
      </c>
      <c r="C490" s="77"/>
      <c r="D490" s="233" t="s">
        <v>835</v>
      </c>
      <c r="E490" s="233" t="s">
        <v>835</v>
      </c>
      <c r="F490" s="233" t="s">
        <v>835</v>
      </c>
      <c r="G490" s="233" t="s">
        <v>835</v>
      </c>
      <c r="H490" s="233" t="s">
        <v>835</v>
      </c>
      <c r="I490" s="234">
        <f>I491</f>
        <v>1598.9</v>
      </c>
      <c r="J490" s="234">
        <f>J491</f>
        <v>874</v>
      </c>
      <c r="K490" s="234">
        <f>K491</f>
        <v>874</v>
      </c>
      <c r="L490" s="235">
        <f>L491</f>
        <v>38</v>
      </c>
      <c r="M490" s="233" t="s">
        <v>835</v>
      </c>
      <c r="N490" s="233" t="s">
        <v>835</v>
      </c>
      <c r="O490" s="236" t="s">
        <v>835</v>
      </c>
      <c r="P490" s="241">
        <v>446142.85</v>
      </c>
      <c r="Q490" s="78">
        <f>Q491</f>
        <v>0</v>
      </c>
      <c r="R490" s="78">
        <f>R491</f>
        <v>0</v>
      </c>
      <c r="S490" s="78">
        <f>S491</f>
        <v>0</v>
      </c>
      <c r="T490" s="78">
        <f>T491</f>
        <v>446142.85</v>
      </c>
      <c r="U490" s="78">
        <f t="shared" si="26"/>
        <v>279.03111514165988</v>
      </c>
      <c r="V490" s="78">
        <f>MAX(V491)</f>
        <v>279.03111514165988</v>
      </c>
    </row>
    <row r="491" spans="1:22" s="79" customFormat="1" ht="36" customHeight="1" x14ac:dyDescent="0.25">
      <c r="A491" s="79">
        <v>1</v>
      </c>
      <c r="B491" s="80">
        <f>SUBTOTAL(103,$A$16:A491)</f>
        <v>425</v>
      </c>
      <c r="C491" s="77" t="s">
        <v>976</v>
      </c>
      <c r="D491" s="233">
        <v>1974</v>
      </c>
      <c r="E491" s="233"/>
      <c r="F491" s="233" t="s">
        <v>256</v>
      </c>
      <c r="G491" s="233">
        <v>2</v>
      </c>
      <c r="H491" s="233" t="s">
        <v>299</v>
      </c>
      <c r="I491" s="78">
        <v>1598.9</v>
      </c>
      <c r="J491" s="78">
        <v>874</v>
      </c>
      <c r="K491" s="78">
        <v>874</v>
      </c>
      <c r="L491" s="239">
        <v>38</v>
      </c>
      <c r="M491" s="233" t="s">
        <v>254</v>
      </c>
      <c r="N491" s="233" t="s">
        <v>258</v>
      </c>
      <c r="O491" s="236" t="s">
        <v>282</v>
      </c>
      <c r="P491" s="78">
        <v>446142.85</v>
      </c>
      <c r="Q491" s="78">
        <v>0</v>
      </c>
      <c r="R491" s="78">
        <v>0</v>
      </c>
      <c r="S491" s="78">
        <v>0</v>
      </c>
      <c r="T491" s="78">
        <f>P491-R491-S491</f>
        <v>446142.85</v>
      </c>
      <c r="U491" s="78">
        <f t="shared" si="26"/>
        <v>279.03111514165988</v>
      </c>
      <c r="V491" s="78">
        <v>279.03111514165988</v>
      </c>
    </row>
    <row r="492" spans="1:22" s="79" customFormat="1" ht="36" customHeight="1" x14ac:dyDescent="0.25">
      <c r="B492" s="77" t="s">
        <v>827</v>
      </c>
      <c r="C492" s="240"/>
      <c r="D492" s="233" t="s">
        <v>835</v>
      </c>
      <c r="E492" s="233" t="s">
        <v>835</v>
      </c>
      <c r="F492" s="233" t="s">
        <v>835</v>
      </c>
      <c r="G492" s="233" t="s">
        <v>835</v>
      </c>
      <c r="H492" s="233" t="s">
        <v>835</v>
      </c>
      <c r="I492" s="234">
        <f>SUM(I493:I496)</f>
        <v>9103.2800000000007</v>
      </c>
      <c r="J492" s="234">
        <f>SUM(J493:J496)</f>
        <v>6597.92</v>
      </c>
      <c r="K492" s="234">
        <f>SUM(K493:K496)</f>
        <v>6581.6</v>
      </c>
      <c r="L492" s="235">
        <f>SUM(L493:L496)</f>
        <v>365</v>
      </c>
      <c r="M492" s="233" t="s">
        <v>835</v>
      </c>
      <c r="N492" s="233" t="s">
        <v>835</v>
      </c>
      <c r="O492" s="236" t="s">
        <v>835</v>
      </c>
      <c r="P492" s="241">
        <v>3380450.98</v>
      </c>
      <c r="Q492" s="78">
        <f>SUM(Q493:Q496)</f>
        <v>0</v>
      </c>
      <c r="R492" s="78">
        <f>SUM(R493:R496)</f>
        <v>0</v>
      </c>
      <c r="S492" s="78">
        <f>SUM(S493:S496)</f>
        <v>0</v>
      </c>
      <c r="T492" s="78">
        <f>SUM(T493:T496)</f>
        <v>3380450.98</v>
      </c>
      <c r="U492" s="78">
        <f t="shared" si="26"/>
        <v>371.34428250037348</v>
      </c>
      <c r="V492" s="78">
        <f>MAX(V493:V496)</f>
        <v>1204.9885049088359</v>
      </c>
    </row>
    <row r="493" spans="1:22" s="79" customFormat="1" ht="36" customHeight="1" x14ac:dyDescent="0.25">
      <c r="A493" s="79">
        <v>1</v>
      </c>
      <c r="B493" s="80">
        <f>SUBTOTAL(103,$A$16:A493)</f>
        <v>426</v>
      </c>
      <c r="C493" s="77" t="s">
        <v>1574</v>
      </c>
      <c r="D493" s="233">
        <v>1978</v>
      </c>
      <c r="E493" s="233"/>
      <c r="F493" s="233" t="s">
        <v>304</v>
      </c>
      <c r="G493" s="233">
        <v>3</v>
      </c>
      <c r="H493" s="233" t="s">
        <v>2124</v>
      </c>
      <c r="I493" s="234">
        <v>3214.48</v>
      </c>
      <c r="J493" s="234">
        <v>1869.92</v>
      </c>
      <c r="K493" s="234">
        <v>1853.6</v>
      </c>
      <c r="L493" s="239">
        <v>124</v>
      </c>
      <c r="M493" s="233" t="s">
        <v>254</v>
      </c>
      <c r="N493" s="233" t="s">
        <v>255</v>
      </c>
      <c r="O493" s="236" t="s">
        <v>257</v>
      </c>
      <c r="P493" s="78">
        <v>824971.76</v>
      </c>
      <c r="Q493" s="78">
        <v>0</v>
      </c>
      <c r="R493" s="78">
        <v>0</v>
      </c>
      <c r="S493" s="78">
        <v>0</v>
      </c>
      <c r="T493" s="78">
        <f>P493-R493-S493</f>
        <v>824971.76</v>
      </c>
      <c r="U493" s="78">
        <f t="shared" si="26"/>
        <v>256.6423682835171</v>
      </c>
      <c r="V493" s="78">
        <v>568.67462233393894</v>
      </c>
    </row>
    <row r="494" spans="1:22" s="79" customFormat="1" ht="36" customHeight="1" x14ac:dyDescent="0.25">
      <c r="A494" s="79">
        <v>1</v>
      </c>
      <c r="B494" s="80">
        <f>SUBTOTAL(103,$A$16:A494)</f>
        <v>427</v>
      </c>
      <c r="C494" s="77" t="s">
        <v>1575</v>
      </c>
      <c r="D494" s="233">
        <v>1980</v>
      </c>
      <c r="E494" s="233"/>
      <c r="F494" s="233" t="s">
        <v>304</v>
      </c>
      <c r="G494" s="233">
        <v>5</v>
      </c>
      <c r="H494" s="233" t="s">
        <v>290</v>
      </c>
      <c r="I494" s="234">
        <v>2143.8000000000002</v>
      </c>
      <c r="J494" s="234">
        <v>2143.8000000000002</v>
      </c>
      <c r="K494" s="234">
        <v>2143.8000000000002</v>
      </c>
      <c r="L494" s="239">
        <v>95</v>
      </c>
      <c r="M494" s="233" t="s">
        <v>254</v>
      </c>
      <c r="N494" s="233" t="s">
        <v>255</v>
      </c>
      <c r="O494" s="236" t="s">
        <v>257</v>
      </c>
      <c r="P494" s="78">
        <v>848636.41</v>
      </c>
      <c r="Q494" s="78">
        <v>0</v>
      </c>
      <c r="R494" s="78">
        <v>0</v>
      </c>
      <c r="S494" s="78">
        <v>0</v>
      </c>
      <c r="T494" s="78">
        <f>P494-R494-S494</f>
        <v>848636.41</v>
      </c>
      <c r="U494" s="78">
        <f t="shared" si="26"/>
        <v>395.85614796156358</v>
      </c>
      <c r="V494" s="78">
        <v>807.35024909040021</v>
      </c>
    </row>
    <row r="495" spans="1:22" s="79" customFormat="1" ht="36" customHeight="1" x14ac:dyDescent="0.25">
      <c r="A495" s="79">
        <v>1</v>
      </c>
      <c r="B495" s="80">
        <f>SUBTOTAL(103,$A$16:A495)</f>
        <v>428</v>
      </c>
      <c r="C495" s="77" t="s">
        <v>1576</v>
      </c>
      <c r="D495" s="233">
        <v>1982</v>
      </c>
      <c r="E495" s="233"/>
      <c r="F495" s="233" t="s">
        <v>304</v>
      </c>
      <c r="G495" s="233">
        <v>5</v>
      </c>
      <c r="H495" s="233" t="s">
        <v>299</v>
      </c>
      <c r="I495" s="234">
        <v>2319</v>
      </c>
      <c r="J495" s="234">
        <v>1158.2</v>
      </c>
      <c r="K495" s="234">
        <v>1158.2</v>
      </c>
      <c r="L495" s="239">
        <v>93</v>
      </c>
      <c r="M495" s="233" t="s">
        <v>254</v>
      </c>
      <c r="N495" s="233" t="s">
        <v>255</v>
      </c>
      <c r="O495" s="236" t="s">
        <v>257</v>
      </c>
      <c r="P495" s="78">
        <v>854226.54</v>
      </c>
      <c r="Q495" s="78">
        <v>0</v>
      </c>
      <c r="R495" s="78">
        <v>0</v>
      </c>
      <c r="S495" s="78">
        <v>0</v>
      </c>
      <c r="T495" s="78">
        <f>P495-R495-S495</f>
        <v>854226.54</v>
      </c>
      <c r="U495" s="78">
        <f t="shared" si="26"/>
        <v>368.35987063389393</v>
      </c>
      <c r="V495" s="78">
        <v>742.89440620957305</v>
      </c>
    </row>
    <row r="496" spans="1:22" s="79" customFormat="1" ht="36" customHeight="1" x14ac:dyDescent="0.25">
      <c r="A496" s="79">
        <v>1</v>
      </c>
      <c r="B496" s="80">
        <f>SUBTOTAL(103,$A$16:A496)</f>
        <v>429</v>
      </c>
      <c r="C496" s="77" t="s">
        <v>1573</v>
      </c>
      <c r="D496" s="233">
        <v>1983</v>
      </c>
      <c r="E496" s="233"/>
      <c r="F496" s="233" t="s">
        <v>304</v>
      </c>
      <c r="G496" s="233">
        <v>5</v>
      </c>
      <c r="H496" s="233" t="s">
        <v>290</v>
      </c>
      <c r="I496" s="234">
        <v>1426</v>
      </c>
      <c r="J496" s="234">
        <v>1426</v>
      </c>
      <c r="K496" s="234">
        <v>1426</v>
      </c>
      <c r="L496" s="239">
        <v>53</v>
      </c>
      <c r="M496" s="233" t="s">
        <v>254</v>
      </c>
      <c r="N496" s="233" t="s">
        <v>255</v>
      </c>
      <c r="O496" s="236" t="s">
        <v>257</v>
      </c>
      <c r="P496" s="78">
        <v>852616.27</v>
      </c>
      <c r="Q496" s="78">
        <v>0</v>
      </c>
      <c r="R496" s="78">
        <v>0</v>
      </c>
      <c r="S496" s="78">
        <v>0</v>
      </c>
      <c r="T496" s="78">
        <f>P496-R496-S496</f>
        <v>852616.27</v>
      </c>
      <c r="U496" s="78">
        <f t="shared" si="26"/>
        <v>597.90762272089762</v>
      </c>
      <c r="V496" s="78">
        <v>1204.9885049088359</v>
      </c>
    </row>
    <row r="497" spans="1:22" s="79" customFormat="1" ht="36" customHeight="1" x14ac:dyDescent="0.25">
      <c r="B497" s="77" t="s">
        <v>799</v>
      </c>
      <c r="C497" s="240"/>
      <c r="D497" s="233" t="s">
        <v>835</v>
      </c>
      <c r="E497" s="233" t="s">
        <v>835</v>
      </c>
      <c r="F497" s="233" t="s">
        <v>835</v>
      </c>
      <c r="G497" s="233" t="s">
        <v>835</v>
      </c>
      <c r="H497" s="233" t="s">
        <v>835</v>
      </c>
      <c r="I497" s="234">
        <f>SUM(I498:I502)</f>
        <v>2977.1</v>
      </c>
      <c r="J497" s="234">
        <f>SUM(J498:J502)</f>
        <v>2780.3</v>
      </c>
      <c r="K497" s="234">
        <f>SUM(K498:K502)</f>
        <v>2727.3</v>
      </c>
      <c r="L497" s="235">
        <f>SUM(L498:L502)</f>
        <v>125</v>
      </c>
      <c r="M497" s="233" t="s">
        <v>835</v>
      </c>
      <c r="N497" s="233" t="s">
        <v>835</v>
      </c>
      <c r="O497" s="236" t="s">
        <v>835</v>
      </c>
      <c r="P497" s="241">
        <v>7738017.7799999993</v>
      </c>
      <c r="Q497" s="78">
        <f>SUM(Q498:Q502)</f>
        <v>0</v>
      </c>
      <c r="R497" s="78">
        <f>SUM(R498:R502)</f>
        <v>0</v>
      </c>
      <c r="S497" s="78">
        <f>SUM(S498:S502)</f>
        <v>0</v>
      </c>
      <c r="T497" s="78">
        <f>SUM(T498:T502)</f>
        <v>7738017.7799999993</v>
      </c>
      <c r="U497" s="78">
        <f t="shared" si="26"/>
        <v>2599.179664774445</v>
      </c>
      <c r="V497" s="78">
        <f>MAX(V498:V502)</f>
        <v>8968.0806274201987</v>
      </c>
    </row>
    <row r="498" spans="1:22" s="79" customFormat="1" ht="36" customHeight="1" x14ac:dyDescent="0.25">
      <c r="A498" s="79">
        <v>1</v>
      </c>
      <c r="B498" s="80">
        <f>SUBTOTAL(103,$A$16:A498)</f>
        <v>430</v>
      </c>
      <c r="C498" s="77" t="s">
        <v>87</v>
      </c>
      <c r="D498" s="233">
        <v>1969</v>
      </c>
      <c r="E498" s="233"/>
      <c r="F498" s="233" t="s">
        <v>256</v>
      </c>
      <c r="G498" s="233">
        <v>2</v>
      </c>
      <c r="H498" s="233" t="s">
        <v>290</v>
      </c>
      <c r="I498" s="78">
        <v>773.4</v>
      </c>
      <c r="J498" s="78">
        <v>714.5</v>
      </c>
      <c r="K498" s="78">
        <v>714.5</v>
      </c>
      <c r="L498" s="239">
        <v>41</v>
      </c>
      <c r="M498" s="233" t="s">
        <v>254</v>
      </c>
      <c r="N498" s="233" t="s">
        <v>258</v>
      </c>
      <c r="O498" s="236" t="s">
        <v>268</v>
      </c>
      <c r="P498" s="78">
        <v>2421334.88</v>
      </c>
      <c r="Q498" s="78">
        <v>0</v>
      </c>
      <c r="R498" s="78">
        <v>0</v>
      </c>
      <c r="S498" s="78">
        <v>0</v>
      </c>
      <c r="T498" s="78">
        <f>P498-R498-S498</f>
        <v>2421334.88</v>
      </c>
      <c r="U498" s="78">
        <f t="shared" si="26"/>
        <v>3130.7665890871476</v>
      </c>
      <c r="V498" s="78">
        <v>7252.1569175071118</v>
      </c>
    </row>
    <row r="499" spans="1:22" s="79" customFormat="1" ht="36" customHeight="1" x14ac:dyDescent="0.25">
      <c r="A499" s="79">
        <v>1</v>
      </c>
      <c r="B499" s="80">
        <f>SUBTOTAL(103,$A$16:A499)</f>
        <v>431</v>
      </c>
      <c r="C499" s="77" t="s">
        <v>88</v>
      </c>
      <c r="D499" s="233">
        <v>1960</v>
      </c>
      <c r="E499" s="233"/>
      <c r="F499" s="233" t="s">
        <v>256</v>
      </c>
      <c r="G499" s="233">
        <v>2</v>
      </c>
      <c r="H499" s="233" t="s">
        <v>291</v>
      </c>
      <c r="I499" s="78">
        <v>382.2</v>
      </c>
      <c r="J499" s="78">
        <v>358.4</v>
      </c>
      <c r="K499" s="78">
        <v>358.4</v>
      </c>
      <c r="L499" s="239">
        <v>21</v>
      </c>
      <c r="M499" s="233" t="s">
        <v>254</v>
      </c>
      <c r="N499" s="233" t="s">
        <v>258</v>
      </c>
      <c r="O499" s="236" t="s">
        <v>268</v>
      </c>
      <c r="P499" s="78">
        <v>1656413.77</v>
      </c>
      <c r="Q499" s="78">
        <v>0</v>
      </c>
      <c r="R499" s="78">
        <v>0</v>
      </c>
      <c r="S499" s="78">
        <v>0</v>
      </c>
      <c r="T499" s="78">
        <f>P499-R499-S499</f>
        <v>1656413.77</v>
      </c>
      <c r="U499" s="78">
        <f t="shared" si="26"/>
        <v>4333.892647828362</v>
      </c>
      <c r="V499" s="78">
        <v>8968.0806274201987</v>
      </c>
    </row>
    <row r="500" spans="1:22" s="79" customFormat="1" ht="36" customHeight="1" x14ac:dyDescent="0.25">
      <c r="A500" s="79">
        <v>1</v>
      </c>
      <c r="B500" s="80">
        <f>SUBTOTAL(103,$A$16:A500)</f>
        <v>432</v>
      </c>
      <c r="C500" s="77" t="s">
        <v>1184</v>
      </c>
      <c r="D500" s="233">
        <v>1965</v>
      </c>
      <c r="E500" s="233"/>
      <c r="F500" s="233" t="s">
        <v>316</v>
      </c>
      <c r="G500" s="233">
        <v>2</v>
      </c>
      <c r="H500" s="233" t="s">
        <v>291</v>
      </c>
      <c r="I500" s="78">
        <v>377</v>
      </c>
      <c r="J500" s="78">
        <v>377</v>
      </c>
      <c r="K500" s="78">
        <v>377</v>
      </c>
      <c r="L500" s="239">
        <v>23</v>
      </c>
      <c r="M500" s="233" t="s">
        <v>254</v>
      </c>
      <c r="N500" s="233" t="s">
        <v>258</v>
      </c>
      <c r="O500" s="236" t="s">
        <v>268</v>
      </c>
      <c r="P500" s="78">
        <v>507522.62999999995</v>
      </c>
      <c r="Q500" s="78">
        <v>0</v>
      </c>
      <c r="R500" s="78">
        <v>0</v>
      </c>
      <c r="S500" s="78">
        <v>0</v>
      </c>
      <c r="T500" s="78">
        <f>P500-R500-S500</f>
        <v>507522.62999999995</v>
      </c>
      <c r="U500" s="78">
        <f t="shared" si="26"/>
        <v>1346.2138726790449</v>
      </c>
      <c r="V500" s="78">
        <v>3684.2896551724143</v>
      </c>
    </row>
    <row r="501" spans="1:22" s="79" customFormat="1" ht="36" customHeight="1" x14ac:dyDescent="0.25">
      <c r="A501" s="79">
        <v>1</v>
      </c>
      <c r="B501" s="80">
        <f>SUBTOTAL(103,$A$16:A501)</f>
        <v>433</v>
      </c>
      <c r="C501" s="77" t="s">
        <v>1185</v>
      </c>
      <c r="D501" s="233">
        <v>1917</v>
      </c>
      <c r="E501" s="233"/>
      <c r="F501" s="233" t="s">
        <v>256</v>
      </c>
      <c r="G501" s="233">
        <v>2</v>
      </c>
      <c r="H501" s="233" t="s">
        <v>291</v>
      </c>
      <c r="I501" s="78">
        <v>319.3</v>
      </c>
      <c r="J501" s="78">
        <v>205.2</v>
      </c>
      <c r="K501" s="78">
        <v>152.19999999999999</v>
      </c>
      <c r="L501" s="239">
        <v>14</v>
      </c>
      <c r="M501" s="233" t="s">
        <v>254</v>
      </c>
      <c r="N501" s="233" t="s">
        <v>255</v>
      </c>
      <c r="O501" s="236" t="s">
        <v>257</v>
      </c>
      <c r="P501" s="78">
        <v>81322.009999999995</v>
      </c>
      <c r="Q501" s="78">
        <v>0</v>
      </c>
      <c r="R501" s="78">
        <v>0</v>
      </c>
      <c r="S501" s="78">
        <v>0</v>
      </c>
      <c r="T501" s="78">
        <f>P501-R501-S501</f>
        <v>81322.009999999995</v>
      </c>
      <c r="U501" s="78">
        <f t="shared" si="26"/>
        <v>254.68841215158156</v>
      </c>
      <c r="V501" s="78">
        <v>254.68841215158156</v>
      </c>
    </row>
    <row r="502" spans="1:22" s="79" customFormat="1" ht="36" customHeight="1" x14ac:dyDescent="0.25">
      <c r="A502" s="79">
        <v>1</v>
      </c>
      <c r="B502" s="80">
        <f>SUBTOTAL(103,$A$16:A502)</f>
        <v>434</v>
      </c>
      <c r="C502" s="77" t="s">
        <v>1186</v>
      </c>
      <c r="D502" s="233">
        <v>1978</v>
      </c>
      <c r="E502" s="233"/>
      <c r="F502" s="233" t="s">
        <v>1263</v>
      </c>
      <c r="G502" s="233">
        <v>2</v>
      </c>
      <c r="H502" s="233" t="s">
        <v>295</v>
      </c>
      <c r="I502" s="78">
        <v>1125.2</v>
      </c>
      <c r="J502" s="78">
        <v>1125.2</v>
      </c>
      <c r="K502" s="78">
        <v>1125.2</v>
      </c>
      <c r="L502" s="239">
        <v>26</v>
      </c>
      <c r="M502" s="233" t="s">
        <v>254</v>
      </c>
      <c r="N502" s="233" t="s">
        <v>258</v>
      </c>
      <c r="O502" s="236" t="s">
        <v>1264</v>
      </c>
      <c r="P502" s="78">
        <v>3071424.4899999998</v>
      </c>
      <c r="Q502" s="78">
        <v>0</v>
      </c>
      <c r="R502" s="78">
        <v>0</v>
      </c>
      <c r="S502" s="78">
        <v>0</v>
      </c>
      <c r="T502" s="78">
        <f>P502-R502-S502</f>
        <v>3071424.4899999998</v>
      </c>
      <c r="U502" s="78">
        <f t="shared" si="26"/>
        <v>2729.6698275862068</v>
      </c>
      <c r="V502" s="78">
        <v>7324.1453679345905</v>
      </c>
    </row>
    <row r="503" spans="1:22" s="79" customFormat="1" ht="36" customHeight="1" x14ac:dyDescent="0.25">
      <c r="B503" s="77" t="s">
        <v>826</v>
      </c>
      <c r="C503" s="77"/>
      <c r="D503" s="233" t="s">
        <v>835</v>
      </c>
      <c r="E503" s="233" t="s">
        <v>835</v>
      </c>
      <c r="F503" s="233" t="s">
        <v>835</v>
      </c>
      <c r="G503" s="233" t="s">
        <v>835</v>
      </c>
      <c r="H503" s="233" t="s">
        <v>835</v>
      </c>
      <c r="I503" s="234">
        <f>I504</f>
        <v>1191.0999999999999</v>
      </c>
      <c r="J503" s="234">
        <f>J504</f>
        <v>714.7</v>
      </c>
      <c r="K503" s="234">
        <f>K504</f>
        <v>714.7</v>
      </c>
      <c r="L503" s="235">
        <f>L504</f>
        <v>26</v>
      </c>
      <c r="M503" s="233" t="s">
        <v>835</v>
      </c>
      <c r="N503" s="233" t="s">
        <v>835</v>
      </c>
      <c r="O503" s="236" t="s">
        <v>835</v>
      </c>
      <c r="P503" s="241">
        <v>2846268.34</v>
      </c>
      <c r="Q503" s="78">
        <f>Q504</f>
        <v>0</v>
      </c>
      <c r="R503" s="78">
        <f>R504</f>
        <v>0</v>
      </c>
      <c r="S503" s="78">
        <f>S504</f>
        <v>0</v>
      </c>
      <c r="T503" s="78">
        <f>T504</f>
        <v>2846268.34</v>
      </c>
      <c r="U503" s="78">
        <f t="shared" si="26"/>
        <v>2389.6132482579128</v>
      </c>
      <c r="V503" s="78">
        <f>MAX(V504)</f>
        <v>4590.654796406684</v>
      </c>
    </row>
    <row r="504" spans="1:22" s="79" customFormat="1" ht="36" customHeight="1" x14ac:dyDescent="0.25">
      <c r="A504" s="79">
        <v>1</v>
      </c>
      <c r="B504" s="80">
        <f>SUBTOTAL(103,$A$16:A504)</f>
        <v>435</v>
      </c>
      <c r="C504" s="77" t="s">
        <v>89</v>
      </c>
      <c r="D504" s="233">
        <v>1967</v>
      </c>
      <c r="E504" s="233"/>
      <c r="F504" s="233" t="s">
        <v>256</v>
      </c>
      <c r="G504" s="233">
        <v>2</v>
      </c>
      <c r="H504" s="233" t="s">
        <v>290</v>
      </c>
      <c r="I504" s="78">
        <v>1191.0999999999999</v>
      </c>
      <c r="J504" s="78">
        <v>714.7</v>
      </c>
      <c r="K504" s="78">
        <v>714.7</v>
      </c>
      <c r="L504" s="239">
        <v>26</v>
      </c>
      <c r="M504" s="233" t="s">
        <v>254</v>
      </c>
      <c r="N504" s="233" t="s">
        <v>258</v>
      </c>
      <c r="O504" s="236" t="s">
        <v>269</v>
      </c>
      <c r="P504" s="78">
        <v>2846268.34</v>
      </c>
      <c r="Q504" s="78">
        <v>0</v>
      </c>
      <c r="R504" s="78">
        <v>0</v>
      </c>
      <c r="S504" s="78">
        <v>0</v>
      </c>
      <c r="T504" s="78">
        <f>P504-R504-S504</f>
        <v>2846268.34</v>
      </c>
      <c r="U504" s="78">
        <f t="shared" si="26"/>
        <v>2389.6132482579128</v>
      </c>
      <c r="V504" s="78">
        <v>4590.654796406684</v>
      </c>
    </row>
    <row r="505" spans="1:22" s="79" customFormat="1" ht="36" customHeight="1" x14ac:dyDescent="0.25">
      <c r="B505" s="77" t="s">
        <v>800</v>
      </c>
      <c r="C505" s="77"/>
      <c r="D505" s="233" t="s">
        <v>835</v>
      </c>
      <c r="E505" s="233" t="s">
        <v>835</v>
      </c>
      <c r="F505" s="233" t="s">
        <v>835</v>
      </c>
      <c r="G505" s="233" t="s">
        <v>835</v>
      </c>
      <c r="H505" s="233" t="s">
        <v>835</v>
      </c>
      <c r="I505" s="234">
        <f>SUM(I506:I507)</f>
        <v>1414.1</v>
      </c>
      <c r="J505" s="234">
        <f>SUM(J506:J507)</f>
        <v>1414.1</v>
      </c>
      <c r="K505" s="234">
        <f>SUM(K506:K507)</f>
        <v>1414.1</v>
      </c>
      <c r="L505" s="235">
        <f>SUM(L506:L507)</f>
        <v>84</v>
      </c>
      <c r="M505" s="233" t="s">
        <v>835</v>
      </c>
      <c r="N505" s="233" t="s">
        <v>835</v>
      </c>
      <c r="O505" s="236" t="s">
        <v>835</v>
      </c>
      <c r="P505" s="241">
        <v>2794020.73</v>
      </c>
      <c r="Q505" s="234">
        <f>SUM(Q506:Q507)</f>
        <v>0</v>
      </c>
      <c r="R505" s="234">
        <f>SUM(R506:R507)</f>
        <v>0</v>
      </c>
      <c r="S505" s="234">
        <f>SUM(S506:S507)</f>
        <v>0</v>
      </c>
      <c r="T505" s="234">
        <f>SUM(T506:T507)</f>
        <v>2794020.73</v>
      </c>
      <c r="U505" s="78">
        <f t="shared" si="26"/>
        <v>1975.829665511633</v>
      </c>
      <c r="V505" s="78">
        <f>MAX(V506:V507)</f>
        <v>7695.4307807365449</v>
      </c>
    </row>
    <row r="506" spans="1:22" s="79" customFormat="1" ht="36" customHeight="1" x14ac:dyDescent="0.25">
      <c r="A506" s="79">
        <v>1</v>
      </c>
      <c r="B506" s="80">
        <f>SUBTOTAL(103,$A$16:A506)</f>
        <v>436</v>
      </c>
      <c r="C506" s="77" t="s">
        <v>90</v>
      </c>
      <c r="D506" s="233">
        <v>1979</v>
      </c>
      <c r="E506" s="233"/>
      <c r="F506" s="233" t="s">
        <v>256</v>
      </c>
      <c r="G506" s="233">
        <v>2</v>
      </c>
      <c r="H506" s="233" t="s">
        <v>290</v>
      </c>
      <c r="I506" s="78">
        <v>706</v>
      </c>
      <c r="J506" s="78">
        <v>706</v>
      </c>
      <c r="K506" s="78">
        <v>706</v>
      </c>
      <c r="L506" s="239">
        <v>42</v>
      </c>
      <c r="M506" s="233" t="s">
        <v>254</v>
      </c>
      <c r="N506" s="233" t="s">
        <v>258</v>
      </c>
      <c r="O506" s="236" t="s">
        <v>938</v>
      </c>
      <c r="P506" s="78">
        <v>2718963.56</v>
      </c>
      <c r="Q506" s="78">
        <v>0</v>
      </c>
      <c r="R506" s="78">
        <v>0</v>
      </c>
      <c r="S506" s="78">
        <v>0</v>
      </c>
      <c r="T506" s="78">
        <f>P506-R506-S506</f>
        <v>2718963.56</v>
      </c>
      <c r="U506" s="78">
        <f t="shared" si="26"/>
        <v>3851.2231728045326</v>
      </c>
      <c r="V506" s="78">
        <v>7695.4307807365449</v>
      </c>
    </row>
    <row r="507" spans="1:22" s="79" customFormat="1" ht="36" customHeight="1" x14ac:dyDescent="0.25">
      <c r="A507" s="79">
        <v>1</v>
      </c>
      <c r="B507" s="80">
        <f>SUBTOTAL(103,$A$16:A507)</f>
        <v>437</v>
      </c>
      <c r="C507" s="77" t="s">
        <v>95</v>
      </c>
      <c r="D507" s="233">
        <v>1969</v>
      </c>
      <c r="E507" s="233"/>
      <c r="F507" s="233" t="s">
        <v>256</v>
      </c>
      <c r="G507" s="233">
        <v>2</v>
      </c>
      <c r="H507" s="233" t="s">
        <v>290</v>
      </c>
      <c r="I507" s="78">
        <v>708.1</v>
      </c>
      <c r="J507" s="78">
        <v>708.1</v>
      </c>
      <c r="K507" s="78">
        <v>708.1</v>
      </c>
      <c r="L507" s="239">
        <v>42</v>
      </c>
      <c r="M507" s="233" t="s">
        <v>254</v>
      </c>
      <c r="N507" s="233" t="s">
        <v>258</v>
      </c>
      <c r="O507" s="236" t="s">
        <v>938</v>
      </c>
      <c r="P507" s="78">
        <v>75057.17</v>
      </c>
      <c r="Q507" s="78">
        <v>0</v>
      </c>
      <c r="R507" s="78">
        <v>0</v>
      </c>
      <c r="S507" s="78">
        <v>0</v>
      </c>
      <c r="T507" s="78">
        <f>P507-R507-S507</f>
        <v>75057.17</v>
      </c>
      <c r="U507" s="78">
        <f t="shared" si="26"/>
        <v>105.99798051122723</v>
      </c>
      <c r="V507" s="78">
        <v>105.99798051122723</v>
      </c>
    </row>
    <row r="508" spans="1:22" s="79" customFormat="1" ht="36" customHeight="1" x14ac:dyDescent="0.25">
      <c r="B508" s="77" t="s">
        <v>801</v>
      </c>
      <c r="C508" s="77"/>
      <c r="D508" s="233" t="s">
        <v>835</v>
      </c>
      <c r="E508" s="233" t="s">
        <v>835</v>
      </c>
      <c r="F508" s="233" t="s">
        <v>835</v>
      </c>
      <c r="G508" s="233" t="s">
        <v>835</v>
      </c>
      <c r="H508" s="233" t="s">
        <v>835</v>
      </c>
      <c r="I508" s="234">
        <f>SUM(I509:I510)</f>
        <v>2762.9</v>
      </c>
      <c r="J508" s="234">
        <f>SUM(J509:J510)</f>
        <v>2645</v>
      </c>
      <c r="K508" s="234">
        <f>SUM(K509:K510)</f>
        <v>2645</v>
      </c>
      <c r="L508" s="235">
        <f>SUM(L509:L510)</f>
        <v>125</v>
      </c>
      <c r="M508" s="233" t="s">
        <v>835</v>
      </c>
      <c r="N508" s="233" t="s">
        <v>835</v>
      </c>
      <c r="O508" s="236" t="s">
        <v>835</v>
      </c>
      <c r="P508" s="237">
        <v>4868704.13</v>
      </c>
      <c r="Q508" s="234">
        <f>SUM(Q509:Q510)</f>
        <v>0</v>
      </c>
      <c r="R508" s="234">
        <f>SUM(R509:R510)</f>
        <v>0</v>
      </c>
      <c r="S508" s="234">
        <f>SUM(S509:S510)</f>
        <v>0</v>
      </c>
      <c r="T508" s="234">
        <f>SUM(T509:T510)</f>
        <v>4868704.13</v>
      </c>
      <c r="U508" s="78">
        <f t="shared" si="26"/>
        <v>1762.171678309023</v>
      </c>
      <c r="V508" s="78">
        <f>MAX(V509:V510)</f>
        <v>4830.4340610656554</v>
      </c>
    </row>
    <row r="509" spans="1:22" s="79" customFormat="1" ht="36" customHeight="1" x14ac:dyDescent="0.25">
      <c r="A509" s="79">
        <v>1</v>
      </c>
      <c r="B509" s="80">
        <f>SUBTOTAL(103,$A$16:A509)</f>
        <v>438</v>
      </c>
      <c r="C509" s="77" t="s">
        <v>91</v>
      </c>
      <c r="D509" s="233">
        <v>1980</v>
      </c>
      <c r="E509" s="233"/>
      <c r="F509" s="233" t="s">
        <v>256</v>
      </c>
      <c r="G509" s="233" t="s">
        <v>299</v>
      </c>
      <c r="H509" s="233" t="s">
        <v>299</v>
      </c>
      <c r="I509" s="78">
        <v>2004.4</v>
      </c>
      <c r="J509" s="78">
        <v>1886.5</v>
      </c>
      <c r="K509" s="78">
        <v>1886.5</v>
      </c>
      <c r="L509" s="239">
        <v>94</v>
      </c>
      <c r="M509" s="233" t="s">
        <v>254</v>
      </c>
      <c r="N509" s="233" t="s">
        <v>258</v>
      </c>
      <c r="O509" s="236" t="s">
        <v>268</v>
      </c>
      <c r="P509" s="78">
        <v>4831403.93</v>
      </c>
      <c r="Q509" s="78">
        <v>0</v>
      </c>
      <c r="R509" s="78">
        <v>0</v>
      </c>
      <c r="S509" s="78">
        <v>0</v>
      </c>
      <c r="T509" s="78">
        <f>P509-R509-S509</f>
        <v>4831403.93</v>
      </c>
      <c r="U509" s="78">
        <f t="shared" si="26"/>
        <v>2410.3990870085809</v>
      </c>
      <c r="V509" s="78">
        <v>4830.4340610656554</v>
      </c>
    </row>
    <row r="510" spans="1:22" s="79" customFormat="1" ht="36" customHeight="1" x14ac:dyDescent="0.25">
      <c r="A510" s="79">
        <v>1</v>
      </c>
      <c r="B510" s="80">
        <f>SUBTOTAL(103,$A$16:A510)</f>
        <v>439</v>
      </c>
      <c r="C510" s="77" t="s">
        <v>1511</v>
      </c>
      <c r="D510" s="233">
        <v>1974</v>
      </c>
      <c r="E510" s="233"/>
      <c r="F510" s="233" t="s">
        <v>1263</v>
      </c>
      <c r="G510" s="233">
        <v>2</v>
      </c>
      <c r="H510" s="233" t="s">
        <v>299</v>
      </c>
      <c r="I510" s="234">
        <v>758.5</v>
      </c>
      <c r="J510" s="234">
        <v>758.5</v>
      </c>
      <c r="K510" s="234">
        <v>758.5</v>
      </c>
      <c r="L510" s="239">
        <v>31</v>
      </c>
      <c r="M510" s="233" t="s">
        <v>254</v>
      </c>
      <c r="N510" s="233" t="s">
        <v>255</v>
      </c>
      <c r="O510" s="236" t="s">
        <v>257</v>
      </c>
      <c r="P510" s="78">
        <v>37300.199999999997</v>
      </c>
      <c r="Q510" s="78">
        <v>0</v>
      </c>
      <c r="R510" s="78">
        <v>0</v>
      </c>
      <c r="S510" s="78">
        <v>0</v>
      </c>
      <c r="T510" s="78">
        <f>P510-R510-S510</f>
        <v>37300.199999999997</v>
      </c>
      <c r="U510" s="78">
        <f t="shared" si="26"/>
        <v>49.176268951878704</v>
      </c>
      <c r="V510" s="78">
        <v>49.176268951878704</v>
      </c>
    </row>
    <row r="511" spans="1:22" s="79" customFormat="1" ht="36" customHeight="1" x14ac:dyDescent="0.25">
      <c r="B511" s="77" t="s">
        <v>802</v>
      </c>
      <c r="C511" s="77"/>
      <c r="D511" s="233" t="s">
        <v>835</v>
      </c>
      <c r="E511" s="233" t="s">
        <v>835</v>
      </c>
      <c r="F511" s="233" t="s">
        <v>835</v>
      </c>
      <c r="G511" s="233" t="s">
        <v>835</v>
      </c>
      <c r="H511" s="233" t="s">
        <v>835</v>
      </c>
      <c r="I511" s="234">
        <f>I512</f>
        <v>702.7</v>
      </c>
      <c r="J511" s="234">
        <f>J512</f>
        <v>702.7</v>
      </c>
      <c r="K511" s="234">
        <f>K512</f>
        <v>702.7</v>
      </c>
      <c r="L511" s="235">
        <f>L512</f>
        <v>16</v>
      </c>
      <c r="M511" s="233" t="s">
        <v>835</v>
      </c>
      <c r="N511" s="233" t="s">
        <v>835</v>
      </c>
      <c r="O511" s="236" t="s">
        <v>835</v>
      </c>
      <c r="P511" s="241">
        <v>2570556.2200000002</v>
      </c>
      <c r="Q511" s="78">
        <f>Q512</f>
        <v>0</v>
      </c>
      <c r="R511" s="78">
        <f>R512</f>
        <v>0</v>
      </c>
      <c r="S511" s="78">
        <f>S512</f>
        <v>0</v>
      </c>
      <c r="T511" s="78">
        <f>T512</f>
        <v>2570556.2200000002</v>
      </c>
      <c r="U511" s="78">
        <f t="shared" si="26"/>
        <v>3658.1133058204073</v>
      </c>
      <c r="V511" s="78">
        <f>MAX(V512)</f>
        <v>8815.522538778996</v>
      </c>
    </row>
    <row r="512" spans="1:22" s="79" customFormat="1" ht="36" customHeight="1" x14ac:dyDescent="0.25">
      <c r="A512" s="79">
        <v>1</v>
      </c>
      <c r="B512" s="80">
        <f>SUBTOTAL(103,$A$16:A512)</f>
        <v>440</v>
      </c>
      <c r="C512" s="77" t="s">
        <v>92</v>
      </c>
      <c r="D512" s="233">
        <v>1969</v>
      </c>
      <c r="E512" s="233"/>
      <c r="F512" s="233" t="s">
        <v>256</v>
      </c>
      <c r="G512" s="233">
        <v>2</v>
      </c>
      <c r="H512" s="233" t="s">
        <v>290</v>
      </c>
      <c r="I512" s="78">
        <v>702.7</v>
      </c>
      <c r="J512" s="78">
        <v>702.7</v>
      </c>
      <c r="K512" s="78">
        <v>702.7</v>
      </c>
      <c r="L512" s="239">
        <v>16</v>
      </c>
      <c r="M512" s="233" t="s">
        <v>254</v>
      </c>
      <c r="N512" s="233" t="s">
        <v>258</v>
      </c>
      <c r="O512" s="236" t="s">
        <v>270</v>
      </c>
      <c r="P512" s="78">
        <v>2570556.2200000002</v>
      </c>
      <c r="Q512" s="78">
        <v>0</v>
      </c>
      <c r="R512" s="78">
        <v>0</v>
      </c>
      <c r="S512" s="78">
        <v>0</v>
      </c>
      <c r="T512" s="78">
        <f>P512-R512-S512</f>
        <v>2570556.2200000002</v>
      </c>
      <c r="U512" s="78">
        <f t="shared" si="26"/>
        <v>3658.1133058204073</v>
      </c>
      <c r="V512" s="78">
        <v>8815.522538778996</v>
      </c>
    </row>
    <row r="513" spans="1:22" s="79" customFormat="1" ht="36" customHeight="1" x14ac:dyDescent="0.25">
      <c r="B513" s="77" t="s">
        <v>1187</v>
      </c>
      <c r="C513" s="77"/>
      <c r="D513" s="233" t="s">
        <v>835</v>
      </c>
      <c r="E513" s="233" t="s">
        <v>835</v>
      </c>
      <c r="F513" s="233" t="s">
        <v>835</v>
      </c>
      <c r="G513" s="233" t="s">
        <v>835</v>
      </c>
      <c r="H513" s="233" t="s">
        <v>835</v>
      </c>
      <c r="I513" s="234">
        <f>SUM(I514:I515)</f>
        <v>1625.9</v>
      </c>
      <c r="J513" s="234">
        <f>SUM(J514:J515)</f>
        <v>1564.5</v>
      </c>
      <c r="K513" s="234">
        <f>SUM(K514:K515)</f>
        <v>1564.5</v>
      </c>
      <c r="L513" s="235">
        <f>SUM(L514:L515)</f>
        <v>63</v>
      </c>
      <c r="M513" s="233" t="s">
        <v>835</v>
      </c>
      <c r="N513" s="233" t="s">
        <v>835</v>
      </c>
      <c r="O513" s="236" t="s">
        <v>835</v>
      </c>
      <c r="P513" s="241">
        <v>1181101.6800000002</v>
      </c>
      <c r="Q513" s="234">
        <f>SUM(Q514:Q515)</f>
        <v>0</v>
      </c>
      <c r="R513" s="234">
        <f>SUM(R514:R515)</f>
        <v>0</v>
      </c>
      <c r="S513" s="234">
        <f>SUM(S514:S515)</f>
        <v>0</v>
      </c>
      <c r="T513" s="234">
        <f>SUM(T514:T515)</f>
        <v>1181101.6800000002</v>
      </c>
      <c r="U513" s="78">
        <f t="shared" si="26"/>
        <v>726.42947290731297</v>
      </c>
      <c r="V513" s="78">
        <f>MAX(V514:V515)</f>
        <v>4255.1000000000004</v>
      </c>
    </row>
    <row r="514" spans="1:22" s="79" customFormat="1" ht="36" customHeight="1" x14ac:dyDescent="0.25">
      <c r="A514" s="79">
        <v>1</v>
      </c>
      <c r="B514" s="80">
        <f>SUBTOTAL(103,$A$16:A514)</f>
        <v>441</v>
      </c>
      <c r="C514" s="77" t="s">
        <v>1188</v>
      </c>
      <c r="D514" s="233">
        <v>1981</v>
      </c>
      <c r="E514" s="233"/>
      <c r="F514" s="233" t="s">
        <v>322</v>
      </c>
      <c r="G514" s="233">
        <v>2</v>
      </c>
      <c r="H514" s="233" t="s">
        <v>299</v>
      </c>
      <c r="I514" s="78">
        <v>837.6</v>
      </c>
      <c r="J514" s="78">
        <v>837.6</v>
      </c>
      <c r="K514" s="78">
        <v>837.6</v>
      </c>
      <c r="L514" s="239">
        <v>47</v>
      </c>
      <c r="M514" s="233" t="s">
        <v>254</v>
      </c>
      <c r="N514" s="233" t="s">
        <v>258</v>
      </c>
      <c r="O514" s="236" t="s">
        <v>1219</v>
      </c>
      <c r="P514" s="78">
        <v>1104118.9700000002</v>
      </c>
      <c r="Q514" s="78">
        <v>0</v>
      </c>
      <c r="R514" s="78">
        <v>0</v>
      </c>
      <c r="S514" s="78">
        <v>0</v>
      </c>
      <c r="T514" s="78">
        <f>P514-R514-S514</f>
        <v>1104118.9700000002</v>
      </c>
      <c r="U514" s="78">
        <f t="shared" si="26"/>
        <v>1318.193612702961</v>
      </c>
      <c r="V514" s="78">
        <v>4255.1000000000004</v>
      </c>
    </row>
    <row r="515" spans="1:22" s="79" customFormat="1" ht="36" customHeight="1" x14ac:dyDescent="0.25">
      <c r="A515" s="79">
        <v>1</v>
      </c>
      <c r="B515" s="80">
        <f>SUBTOTAL(103,$A$16:A515)</f>
        <v>442</v>
      </c>
      <c r="C515" s="77" t="s">
        <v>96</v>
      </c>
      <c r="D515" s="233">
        <v>1972</v>
      </c>
      <c r="E515" s="233"/>
      <c r="F515" s="233" t="s">
        <v>256</v>
      </c>
      <c r="G515" s="233">
        <v>2</v>
      </c>
      <c r="H515" s="233" t="s">
        <v>290</v>
      </c>
      <c r="I515" s="78">
        <v>788.3</v>
      </c>
      <c r="J515" s="78">
        <v>726.9</v>
      </c>
      <c r="K515" s="78">
        <v>726.9</v>
      </c>
      <c r="L515" s="239">
        <v>16</v>
      </c>
      <c r="M515" s="233" t="s">
        <v>254</v>
      </c>
      <c r="N515" s="233" t="s">
        <v>271</v>
      </c>
      <c r="O515" s="236" t="s">
        <v>257</v>
      </c>
      <c r="P515" s="78">
        <v>76982.710000000006</v>
      </c>
      <c r="Q515" s="78">
        <v>0</v>
      </c>
      <c r="R515" s="78">
        <v>0</v>
      </c>
      <c r="S515" s="78">
        <v>0</v>
      </c>
      <c r="T515" s="78">
        <f>P515-R515-S515</f>
        <v>76982.710000000006</v>
      </c>
      <c r="U515" s="78">
        <f t="shared" si="26"/>
        <v>97.656615501712565</v>
      </c>
      <c r="V515" s="78">
        <v>97.656615501712565</v>
      </c>
    </row>
    <row r="516" spans="1:22" s="79" customFormat="1" ht="36" customHeight="1" x14ac:dyDescent="0.25">
      <c r="B516" s="77" t="s">
        <v>803</v>
      </c>
      <c r="C516" s="240"/>
      <c r="D516" s="233" t="s">
        <v>835</v>
      </c>
      <c r="E516" s="233" t="s">
        <v>835</v>
      </c>
      <c r="F516" s="233" t="s">
        <v>835</v>
      </c>
      <c r="G516" s="233" t="s">
        <v>835</v>
      </c>
      <c r="H516" s="233" t="s">
        <v>835</v>
      </c>
      <c r="I516" s="234">
        <f>SUM(I517:I521)</f>
        <v>2462.8000000000002</v>
      </c>
      <c r="J516" s="234">
        <f>SUM(J517:J521)</f>
        <v>2411.3999999999996</v>
      </c>
      <c r="K516" s="234">
        <f>SUM(K517:K521)</f>
        <v>2411.3999999999996</v>
      </c>
      <c r="L516" s="235">
        <f>SUM(L517:L521)</f>
        <v>120</v>
      </c>
      <c r="M516" s="233" t="s">
        <v>835</v>
      </c>
      <c r="N516" s="233" t="s">
        <v>835</v>
      </c>
      <c r="O516" s="236" t="s">
        <v>835</v>
      </c>
      <c r="P516" s="241">
        <v>5058199.54</v>
      </c>
      <c r="Q516" s="78">
        <f>SUM(Q517:Q521)</f>
        <v>0</v>
      </c>
      <c r="R516" s="78">
        <f>SUM(R517:R521)</f>
        <v>0</v>
      </c>
      <c r="S516" s="78">
        <f>SUM(S517:S521)</f>
        <v>0</v>
      </c>
      <c r="T516" s="78">
        <f>SUM(T517:T521)</f>
        <v>5058199.54</v>
      </c>
      <c r="U516" s="78">
        <f t="shared" si="26"/>
        <v>2053.8409696280655</v>
      </c>
      <c r="V516" s="78">
        <f>MAX(V517:V521)</f>
        <v>8993.6293266147513</v>
      </c>
    </row>
    <row r="517" spans="1:22" s="79" customFormat="1" ht="36" customHeight="1" x14ac:dyDescent="0.25">
      <c r="A517" s="79">
        <v>1</v>
      </c>
      <c r="B517" s="80">
        <f>SUBTOTAL(103,$A$16:A517)</f>
        <v>443</v>
      </c>
      <c r="C517" s="77" t="s">
        <v>176</v>
      </c>
      <c r="D517" s="233" t="s">
        <v>289</v>
      </c>
      <c r="E517" s="233"/>
      <c r="F517" s="233" t="s">
        <v>256</v>
      </c>
      <c r="G517" s="233" t="s">
        <v>290</v>
      </c>
      <c r="H517" s="233" t="s">
        <v>291</v>
      </c>
      <c r="I517" s="78">
        <v>259.5</v>
      </c>
      <c r="J517" s="78">
        <v>250.8</v>
      </c>
      <c r="K517" s="78">
        <v>250.8</v>
      </c>
      <c r="L517" s="239">
        <v>16</v>
      </c>
      <c r="M517" s="233" t="s">
        <v>254</v>
      </c>
      <c r="N517" s="233" t="s">
        <v>258</v>
      </c>
      <c r="O517" s="236" t="s">
        <v>939</v>
      </c>
      <c r="P517" s="78">
        <v>1255071.44</v>
      </c>
      <c r="Q517" s="78">
        <v>0</v>
      </c>
      <c r="R517" s="78">
        <v>0</v>
      </c>
      <c r="S517" s="78">
        <v>0</v>
      </c>
      <c r="T517" s="78">
        <f>P517-R517-S517</f>
        <v>1255071.44</v>
      </c>
      <c r="U517" s="78">
        <f t="shared" si="26"/>
        <v>4836.4988053949901</v>
      </c>
      <c r="V517" s="78">
        <v>5927.5121387283243</v>
      </c>
    </row>
    <row r="518" spans="1:22" s="79" customFormat="1" ht="36" customHeight="1" x14ac:dyDescent="0.25">
      <c r="A518" s="79">
        <v>1</v>
      </c>
      <c r="B518" s="80">
        <f>SUBTOTAL(103,$A$16:A518)</f>
        <v>444</v>
      </c>
      <c r="C518" s="77" t="s">
        <v>175</v>
      </c>
      <c r="D518" s="233" t="s">
        <v>289</v>
      </c>
      <c r="E518" s="233"/>
      <c r="F518" s="233" t="s">
        <v>256</v>
      </c>
      <c r="G518" s="233" t="s">
        <v>290</v>
      </c>
      <c r="H518" s="233" t="s">
        <v>291</v>
      </c>
      <c r="I518" s="78">
        <v>365</v>
      </c>
      <c r="J518" s="78">
        <v>328</v>
      </c>
      <c r="K518" s="78">
        <v>328</v>
      </c>
      <c r="L518" s="239">
        <v>21</v>
      </c>
      <c r="M518" s="233" t="s">
        <v>254</v>
      </c>
      <c r="N518" s="233" t="s">
        <v>255</v>
      </c>
      <c r="O518" s="236" t="s">
        <v>257</v>
      </c>
      <c r="P518" s="78">
        <v>68497.22</v>
      </c>
      <c r="Q518" s="78">
        <v>0</v>
      </c>
      <c r="R518" s="78">
        <v>0</v>
      </c>
      <c r="S518" s="78">
        <v>0</v>
      </c>
      <c r="T518" s="78">
        <f>P518-R518-S518</f>
        <v>68497.22</v>
      </c>
      <c r="U518" s="78">
        <f t="shared" si="26"/>
        <v>187.66361643835617</v>
      </c>
      <c r="V518" s="78">
        <v>187.66361643835617</v>
      </c>
    </row>
    <row r="519" spans="1:22" s="79" customFormat="1" ht="36" customHeight="1" x14ac:dyDescent="0.25">
      <c r="A519" s="79">
        <v>1</v>
      </c>
      <c r="B519" s="80">
        <f>SUBTOTAL(103,$A$16:A519)</f>
        <v>445</v>
      </c>
      <c r="C519" s="77" t="s">
        <v>1189</v>
      </c>
      <c r="D519" s="233">
        <v>1917</v>
      </c>
      <c r="E519" s="233"/>
      <c r="F519" s="233" t="s">
        <v>256</v>
      </c>
      <c r="G519" s="233">
        <v>2</v>
      </c>
      <c r="H519" s="233" t="s">
        <v>291</v>
      </c>
      <c r="I519" s="78">
        <v>436.6</v>
      </c>
      <c r="J519" s="78">
        <v>436.6</v>
      </c>
      <c r="K519" s="78">
        <v>436.6</v>
      </c>
      <c r="L519" s="239">
        <v>21</v>
      </c>
      <c r="M519" s="233" t="s">
        <v>254</v>
      </c>
      <c r="N519" s="233" t="s">
        <v>258</v>
      </c>
      <c r="O519" s="236" t="s">
        <v>1230</v>
      </c>
      <c r="P519" s="78">
        <v>1767372.2100000002</v>
      </c>
      <c r="Q519" s="78">
        <v>0</v>
      </c>
      <c r="R519" s="78">
        <v>0</v>
      </c>
      <c r="S519" s="78">
        <v>0</v>
      </c>
      <c r="T519" s="78">
        <f>P519-R519-S519</f>
        <v>1767372.2100000002</v>
      </c>
      <c r="U519" s="78">
        <f t="shared" si="26"/>
        <v>4048.0352954649566</v>
      </c>
      <c r="V519" s="78">
        <v>8993.6293266147513</v>
      </c>
    </row>
    <row r="520" spans="1:22" s="79" customFormat="1" ht="36" customHeight="1" x14ac:dyDescent="0.25">
      <c r="A520" s="79">
        <v>1</v>
      </c>
      <c r="B520" s="80">
        <f>SUBTOTAL(103,$A$16:A520)</f>
        <v>446</v>
      </c>
      <c r="C520" s="77" t="s">
        <v>1190</v>
      </c>
      <c r="D520" s="233">
        <v>1917</v>
      </c>
      <c r="E520" s="233"/>
      <c r="F520" s="233" t="s">
        <v>256</v>
      </c>
      <c r="G520" s="233">
        <v>2</v>
      </c>
      <c r="H520" s="233" t="s">
        <v>291</v>
      </c>
      <c r="I520" s="78">
        <v>476.7</v>
      </c>
      <c r="J520" s="78">
        <v>476.7</v>
      </c>
      <c r="K520" s="78">
        <v>476.7</v>
      </c>
      <c r="L520" s="239">
        <v>28</v>
      </c>
      <c r="M520" s="233" t="s">
        <v>254</v>
      </c>
      <c r="N520" s="233" t="s">
        <v>258</v>
      </c>
      <c r="O520" s="236" t="s">
        <v>1268</v>
      </c>
      <c r="P520" s="78">
        <v>1327119.4200000002</v>
      </c>
      <c r="Q520" s="78">
        <v>0</v>
      </c>
      <c r="R520" s="78">
        <v>0</v>
      </c>
      <c r="S520" s="78">
        <v>0</v>
      </c>
      <c r="T520" s="78">
        <f>P520-R520-S520</f>
        <v>1327119.4200000002</v>
      </c>
      <c r="U520" s="78">
        <f t="shared" si="26"/>
        <v>2783.9719320327254</v>
      </c>
      <c r="V520" s="78">
        <v>7631.9536815607307</v>
      </c>
    </row>
    <row r="521" spans="1:22" s="79" customFormat="1" ht="36" customHeight="1" x14ac:dyDescent="0.25">
      <c r="A521" s="79">
        <v>1</v>
      </c>
      <c r="B521" s="80">
        <f>SUBTOTAL(103,$A$16:A521)</f>
        <v>447</v>
      </c>
      <c r="C521" s="77" t="s">
        <v>1191</v>
      </c>
      <c r="D521" s="233">
        <v>1967</v>
      </c>
      <c r="E521" s="233">
        <v>2014</v>
      </c>
      <c r="F521" s="233" t="s">
        <v>256</v>
      </c>
      <c r="G521" s="233">
        <v>2</v>
      </c>
      <c r="H521" s="233" t="s">
        <v>295</v>
      </c>
      <c r="I521" s="78">
        <v>925</v>
      </c>
      <c r="J521" s="78">
        <v>919.3</v>
      </c>
      <c r="K521" s="78">
        <v>919.3</v>
      </c>
      <c r="L521" s="239">
        <v>34</v>
      </c>
      <c r="M521" s="233" t="s">
        <v>254</v>
      </c>
      <c r="N521" s="233" t="s">
        <v>258</v>
      </c>
      <c r="O521" s="236" t="s">
        <v>1269</v>
      </c>
      <c r="P521" s="78">
        <v>640139.25</v>
      </c>
      <c r="Q521" s="78">
        <v>0</v>
      </c>
      <c r="R521" s="78">
        <v>0</v>
      </c>
      <c r="S521" s="78">
        <v>0</v>
      </c>
      <c r="T521" s="78">
        <f>P521-R521-S521</f>
        <v>640139.25</v>
      </c>
      <c r="U521" s="78">
        <f t="shared" si="26"/>
        <v>692.04243243243241</v>
      </c>
      <c r="V521" s="78">
        <v>810.46</v>
      </c>
    </row>
    <row r="522" spans="1:22" s="79" customFormat="1" ht="36" customHeight="1" x14ac:dyDescent="0.25">
      <c r="B522" s="77" t="s">
        <v>804</v>
      </c>
      <c r="C522" s="77"/>
      <c r="D522" s="233" t="s">
        <v>835</v>
      </c>
      <c r="E522" s="233" t="s">
        <v>835</v>
      </c>
      <c r="F522" s="233" t="s">
        <v>835</v>
      </c>
      <c r="G522" s="233" t="s">
        <v>835</v>
      </c>
      <c r="H522" s="233" t="s">
        <v>835</v>
      </c>
      <c r="I522" s="234">
        <f>I523</f>
        <v>1755.2</v>
      </c>
      <c r="J522" s="234">
        <f>J523</f>
        <v>1537.2</v>
      </c>
      <c r="K522" s="234">
        <f>K523</f>
        <v>1537.2</v>
      </c>
      <c r="L522" s="235">
        <f>L523</f>
        <v>62</v>
      </c>
      <c r="M522" s="233" t="s">
        <v>835</v>
      </c>
      <c r="N522" s="233" t="s">
        <v>835</v>
      </c>
      <c r="O522" s="236" t="s">
        <v>835</v>
      </c>
      <c r="P522" s="241">
        <v>3982171.62</v>
      </c>
      <c r="Q522" s="78">
        <f>Q523</f>
        <v>0</v>
      </c>
      <c r="R522" s="78">
        <f>R523</f>
        <v>0</v>
      </c>
      <c r="S522" s="78">
        <f>S523</f>
        <v>0</v>
      </c>
      <c r="T522" s="78">
        <f>T523</f>
        <v>3982171.62</v>
      </c>
      <c r="U522" s="78">
        <f t="shared" si="26"/>
        <v>2268.7851071103009</v>
      </c>
      <c r="V522" s="78">
        <f>MAX(V523)</f>
        <v>5205.9419033728354</v>
      </c>
    </row>
    <row r="523" spans="1:22" s="79" customFormat="1" ht="36" customHeight="1" x14ac:dyDescent="0.25">
      <c r="A523" s="79">
        <v>1</v>
      </c>
      <c r="B523" s="80">
        <f>SUBTOTAL(103,$A$16:A523)</f>
        <v>448</v>
      </c>
      <c r="C523" s="77" t="s">
        <v>179</v>
      </c>
      <c r="D523" s="233">
        <v>1959</v>
      </c>
      <c r="E523" s="233"/>
      <c r="F523" s="233" t="s">
        <v>256</v>
      </c>
      <c r="G523" s="233">
        <v>3</v>
      </c>
      <c r="H523" s="233" t="s">
        <v>295</v>
      </c>
      <c r="I523" s="78">
        <v>1755.2</v>
      </c>
      <c r="J523" s="78">
        <v>1537.2</v>
      </c>
      <c r="K523" s="78">
        <v>1537.2</v>
      </c>
      <c r="L523" s="239">
        <v>62</v>
      </c>
      <c r="M523" s="233" t="s">
        <v>254</v>
      </c>
      <c r="N523" s="233" t="s">
        <v>255</v>
      </c>
      <c r="O523" s="236" t="s">
        <v>257</v>
      </c>
      <c r="P523" s="78">
        <v>3982171.62</v>
      </c>
      <c r="Q523" s="78">
        <v>0</v>
      </c>
      <c r="R523" s="78">
        <v>0</v>
      </c>
      <c r="S523" s="78">
        <v>0</v>
      </c>
      <c r="T523" s="78">
        <f>P523-R523-S523</f>
        <v>3982171.62</v>
      </c>
      <c r="U523" s="78">
        <f t="shared" si="26"/>
        <v>2268.7851071103009</v>
      </c>
      <c r="V523" s="78">
        <v>5205.9419033728354</v>
      </c>
    </row>
    <row r="524" spans="1:22" s="79" customFormat="1" ht="36" customHeight="1" x14ac:dyDescent="0.25">
      <c r="B524" s="77" t="s">
        <v>805</v>
      </c>
      <c r="C524" s="77"/>
      <c r="D524" s="233" t="s">
        <v>835</v>
      </c>
      <c r="E524" s="233" t="s">
        <v>835</v>
      </c>
      <c r="F524" s="233" t="s">
        <v>835</v>
      </c>
      <c r="G524" s="233" t="s">
        <v>835</v>
      </c>
      <c r="H524" s="233" t="s">
        <v>835</v>
      </c>
      <c r="I524" s="234">
        <f>SUM(I525:I526)</f>
        <v>4921.7999999999993</v>
      </c>
      <c r="J524" s="234">
        <f>SUM(J525:J526)</f>
        <v>4712.7999999999993</v>
      </c>
      <c r="K524" s="234">
        <f>SUM(K525:K526)</f>
        <v>3049.1</v>
      </c>
      <c r="L524" s="235">
        <f>SUM(L525:L526)</f>
        <v>126</v>
      </c>
      <c r="M524" s="233" t="s">
        <v>835</v>
      </c>
      <c r="N524" s="233" t="s">
        <v>835</v>
      </c>
      <c r="O524" s="236" t="s">
        <v>835</v>
      </c>
      <c r="P524" s="237">
        <v>8046011.1599999992</v>
      </c>
      <c r="Q524" s="234">
        <f t="shared" ref="Q524" si="29">SUM(Q525:Q526)</f>
        <v>0</v>
      </c>
      <c r="R524" s="234">
        <f>SUM(R525:R526)</f>
        <v>0</v>
      </c>
      <c r="S524" s="234">
        <f>SUM(S525:S526)</f>
        <v>0</v>
      </c>
      <c r="T524" s="234">
        <f>SUM(T525:T526)</f>
        <v>8046011.1599999992</v>
      </c>
      <c r="U524" s="78">
        <f t="shared" si="26"/>
        <v>1634.7700353529196</v>
      </c>
      <c r="V524" s="78">
        <f>MAX(V525:V526)</f>
        <v>7536.0532872996318</v>
      </c>
    </row>
    <row r="525" spans="1:22" s="79" customFormat="1" ht="36" customHeight="1" x14ac:dyDescent="0.25">
      <c r="A525" s="79">
        <v>1</v>
      </c>
      <c r="B525" s="80">
        <f>SUBTOTAL(103,$A$16:A525)</f>
        <v>449</v>
      </c>
      <c r="C525" s="77" t="s">
        <v>178</v>
      </c>
      <c r="D525" s="233" t="s">
        <v>292</v>
      </c>
      <c r="E525" s="233"/>
      <c r="F525" s="233" t="s">
        <v>256</v>
      </c>
      <c r="G525" s="233" t="s">
        <v>290</v>
      </c>
      <c r="H525" s="233" t="s">
        <v>290</v>
      </c>
      <c r="I525" s="78">
        <v>729.9</v>
      </c>
      <c r="J525" s="78">
        <v>520.9</v>
      </c>
      <c r="K525" s="78">
        <v>520.9</v>
      </c>
      <c r="L525" s="239">
        <v>35</v>
      </c>
      <c r="M525" s="233" t="s">
        <v>254</v>
      </c>
      <c r="N525" s="233" t="s">
        <v>258</v>
      </c>
      <c r="O525" s="236" t="s">
        <v>940</v>
      </c>
      <c r="P525" s="78">
        <v>2614299.75</v>
      </c>
      <c r="Q525" s="78">
        <v>0</v>
      </c>
      <c r="R525" s="78">
        <v>0</v>
      </c>
      <c r="S525" s="78">
        <v>0</v>
      </c>
      <c r="T525" s="78">
        <f>P525-R525-S525</f>
        <v>2614299.75</v>
      </c>
      <c r="U525" s="78">
        <f t="shared" ref="U525:U526" si="30">P525/I525</f>
        <v>3581.7231812577065</v>
      </c>
      <c r="V525" s="78">
        <v>7536.0532872996318</v>
      </c>
    </row>
    <row r="526" spans="1:22" s="79" customFormat="1" ht="36" customHeight="1" x14ac:dyDescent="0.25">
      <c r="A526" s="79">
        <v>1</v>
      </c>
      <c r="B526" s="80">
        <f>SUBTOTAL(103,$A$16:A526)</f>
        <v>450</v>
      </c>
      <c r="C526" s="77" t="s">
        <v>1452</v>
      </c>
      <c r="D526" s="233">
        <v>1977</v>
      </c>
      <c r="E526" s="233"/>
      <c r="F526" s="233" t="s">
        <v>256</v>
      </c>
      <c r="G526" s="233">
        <v>5</v>
      </c>
      <c r="H526" s="233" t="s">
        <v>291</v>
      </c>
      <c r="I526" s="78">
        <v>4191.8999999999996</v>
      </c>
      <c r="J526" s="78">
        <v>4191.8999999999996</v>
      </c>
      <c r="K526" s="78">
        <v>2528.1999999999998</v>
      </c>
      <c r="L526" s="239">
        <v>91</v>
      </c>
      <c r="M526" s="233" t="s">
        <v>254</v>
      </c>
      <c r="N526" s="233" t="s">
        <v>258</v>
      </c>
      <c r="O526" s="236" t="s">
        <v>1486</v>
      </c>
      <c r="P526" s="78">
        <v>5431711.4099999992</v>
      </c>
      <c r="Q526" s="78">
        <v>0</v>
      </c>
      <c r="R526" s="78">
        <v>0</v>
      </c>
      <c r="S526" s="78">
        <v>0</v>
      </c>
      <c r="T526" s="78">
        <f>P526-S526-R526</f>
        <v>5431711.4099999992</v>
      </c>
      <c r="U526" s="78">
        <f t="shared" si="30"/>
        <v>1295.7635940742859</v>
      </c>
      <c r="V526" s="78">
        <v>4823.8813950714484</v>
      </c>
    </row>
    <row r="527" spans="1:22" s="79" customFormat="1" ht="36" customHeight="1" x14ac:dyDescent="0.25">
      <c r="B527" s="77" t="s">
        <v>806</v>
      </c>
      <c r="C527" s="77"/>
      <c r="D527" s="233" t="s">
        <v>835</v>
      </c>
      <c r="E527" s="233" t="s">
        <v>835</v>
      </c>
      <c r="F527" s="233" t="s">
        <v>835</v>
      </c>
      <c r="G527" s="233" t="s">
        <v>835</v>
      </c>
      <c r="H527" s="233" t="s">
        <v>835</v>
      </c>
      <c r="I527" s="234">
        <f>I528</f>
        <v>428.4</v>
      </c>
      <c r="J527" s="234">
        <f>J528</f>
        <v>385.4</v>
      </c>
      <c r="K527" s="234">
        <f>K528</f>
        <v>385.4</v>
      </c>
      <c r="L527" s="235">
        <f>L528</f>
        <v>20</v>
      </c>
      <c r="M527" s="233" t="s">
        <v>835</v>
      </c>
      <c r="N527" s="233" t="s">
        <v>835</v>
      </c>
      <c r="O527" s="236" t="s">
        <v>835</v>
      </c>
      <c r="P527" s="241">
        <v>1241065.97</v>
      </c>
      <c r="Q527" s="78">
        <f>Q528</f>
        <v>0</v>
      </c>
      <c r="R527" s="78">
        <f>R528</f>
        <v>0</v>
      </c>
      <c r="S527" s="78">
        <f>S528</f>
        <v>0</v>
      </c>
      <c r="T527" s="78">
        <f>T528</f>
        <v>1241065.97</v>
      </c>
      <c r="U527" s="78">
        <f t="shared" ref="U527:U588" si="31">P527/I527</f>
        <v>2896.9793884220358</v>
      </c>
      <c r="V527" s="78">
        <f>V528</f>
        <v>7534.9404295051372</v>
      </c>
    </row>
    <row r="528" spans="1:22" s="79" customFormat="1" ht="36" customHeight="1" x14ac:dyDescent="0.25">
      <c r="A528" s="79">
        <v>1</v>
      </c>
      <c r="B528" s="80">
        <f>SUBTOTAL(103,$A$16:A528)</f>
        <v>451</v>
      </c>
      <c r="C528" s="77" t="s">
        <v>177</v>
      </c>
      <c r="D528" s="233" t="s">
        <v>293</v>
      </c>
      <c r="E528" s="233"/>
      <c r="F528" s="233" t="s">
        <v>256</v>
      </c>
      <c r="G528" s="233" t="s">
        <v>290</v>
      </c>
      <c r="H528" s="233" t="s">
        <v>290</v>
      </c>
      <c r="I528" s="78">
        <v>428.4</v>
      </c>
      <c r="J528" s="78">
        <v>385.4</v>
      </c>
      <c r="K528" s="78">
        <v>385.4</v>
      </c>
      <c r="L528" s="239">
        <v>20</v>
      </c>
      <c r="M528" s="233" t="s">
        <v>254</v>
      </c>
      <c r="N528" s="233" t="s">
        <v>255</v>
      </c>
      <c r="O528" s="236" t="s">
        <v>257</v>
      </c>
      <c r="P528" s="78">
        <v>1241065.97</v>
      </c>
      <c r="Q528" s="78">
        <v>0</v>
      </c>
      <c r="R528" s="78">
        <v>0</v>
      </c>
      <c r="S528" s="78">
        <v>0</v>
      </c>
      <c r="T528" s="78">
        <f>P528-R528-S528</f>
        <v>1241065.97</v>
      </c>
      <c r="U528" s="78">
        <f t="shared" si="31"/>
        <v>2896.9793884220358</v>
      </c>
      <c r="V528" s="78">
        <v>7534.9404295051372</v>
      </c>
    </row>
    <row r="529" spans="1:22" s="79" customFormat="1" ht="36" customHeight="1" x14ac:dyDescent="0.25">
      <c r="B529" s="77" t="s">
        <v>807</v>
      </c>
      <c r="C529" s="240"/>
      <c r="D529" s="233" t="s">
        <v>835</v>
      </c>
      <c r="E529" s="233" t="s">
        <v>835</v>
      </c>
      <c r="F529" s="233" t="s">
        <v>835</v>
      </c>
      <c r="G529" s="233" t="s">
        <v>835</v>
      </c>
      <c r="H529" s="233" t="s">
        <v>835</v>
      </c>
      <c r="I529" s="234">
        <f>SUM(I530:I538)</f>
        <v>12546.099999999999</v>
      </c>
      <c r="J529" s="234">
        <f>SUM(J530:J538)</f>
        <v>10792.6</v>
      </c>
      <c r="K529" s="234">
        <f>SUM(K530:K538)</f>
        <v>10596.7</v>
      </c>
      <c r="L529" s="235">
        <f>SUM(L530:L538)</f>
        <v>564</v>
      </c>
      <c r="M529" s="233" t="s">
        <v>835</v>
      </c>
      <c r="N529" s="233" t="s">
        <v>835</v>
      </c>
      <c r="O529" s="236" t="s">
        <v>835</v>
      </c>
      <c r="P529" s="237">
        <v>9190793.5899999999</v>
      </c>
      <c r="Q529" s="234">
        <f>SUM(Q530:Q538)</f>
        <v>0</v>
      </c>
      <c r="R529" s="234">
        <f>SUM(R530:R538)</f>
        <v>0</v>
      </c>
      <c r="S529" s="234">
        <f>SUM(S530:S538)</f>
        <v>0</v>
      </c>
      <c r="T529" s="234">
        <f>SUM(T530:T538)</f>
        <v>9190793.5899999999</v>
      </c>
      <c r="U529" s="78">
        <f t="shared" si="31"/>
        <v>732.56179928423978</v>
      </c>
      <c r="V529" s="78">
        <f>MAX(V530:V538)</f>
        <v>3259.66</v>
      </c>
    </row>
    <row r="530" spans="1:22" s="79" customFormat="1" ht="36" customHeight="1" x14ac:dyDescent="0.25">
      <c r="A530" s="79">
        <v>1</v>
      </c>
      <c r="B530" s="80">
        <f>SUBTOTAL(103,$A$16:A530)</f>
        <v>452</v>
      </c>
      <c r="C530" s="77" t="s">
        <v>205</v>
      </c>
      <c r="D530" s="233">
        <v>1974</v>
      </c>
      <c r="E530" s="233"/>
      <c r="F530" s="233" t="s">
        <v>256</v>
      </c>
      <c r="G530" s="233">
        <v>5</v>
      </c>
      <c r="H530" s="233" t="s">
        <v>295</v>
      </c>
      <c r="I530" s="78">
        <v>3601.7</v>
      </c>
      <c r="J530" s="78">
        <v>3307.8</v>
      </c>
      <c r="K530" s="78">
        <v>3307.8</v>
      </c>
      <c r="L530" s="239">
        <v>143</v>
      </c>
      <c r="M530" s="233" t="s">
        <v>254</v>
      </c>
      <c r="N530" s="233" t="s">
        <v>258</v>
      </c>
      <c r="O530" s="236" t="s">
        <v>318</v>
      </c>
      <c r="P530" s="78">
        <v>4272931.8100000005</v>
      </c>
      <c r="Q530" s="78">
        <v>0</v>
      </c>
      <c r="R530" s="78">
        <v>0</v>
      </c>
      <c r="S530" s="78">
        <v>0</v>
      </c>
      <c r="T530" s="78">
        <f t="shared" ref="T530:T535" si="32">P530-R530-S530</f>
        <v>4272931.8100000005</v>
      </c>
      <c r="U530" s="78">
        <f t="shared" si="31"/>
        <v>1186.365274731377</v>
      </c>
      <c r="V530" s="78">
        <v>2613.1183076880366</v>
      </c>
    </row>
    <row r="531" spans="1:22" s="79" customFormat="1" ht="36" customHeight="1" x14ac:dyDescent="0.25">
      <c r="A531" s="79">
        <v>1</v>
      </c>
      <c r="B531" s="80">
        <f>SUBTOTAL(103,$A$16:A531)</f>
        <v>453</v>
      </c>
      <c r="C531" s="77" t="s">
        <v>1193</v>
      </c>
      <c r="D531" s="233">
        <v>1967</v>
      </c>
      <c r="E531" s="233"/>
      <c r="F531" s="233" t="s">
        <v>256</v>
      </c>
      <c r="G531" s="233">
        <v>4</v>
      </c>
      <c r="H531" s="233" t="s">
        <v>291</v>
      </c>
      <c r="I531" s="78">
        <v>2162.6999999999998</v>
      </c>
      <c r="J531" s="78">
        <v>1343.3</v>
      </c>
      <c r="K531" s="78">
        <v>1343.3</v>
      </c>
      <c r="L531" s="239">
        <v>138</v>
      </c>
      <c r="M531" s="233" t="s">
        <v>254</v>
      </c>
      <c r="N531" s="233" t="s">
        <v>258</v>
      </c>
      <c r="O531" s="236" t="s">
        <v>1221</v>
      </c>
      <c r="P531" s="78">
        <v>2514865.17</v>
      </c>
      <c r="Q531" s="78">
        <v>0</v>
      </c>
      <c r="R531" s="78">
        <v>0</v>
      </c>
      <c r="S531" s="78">
        <v>0</v>
      </c>
      <c r="T531" s="78">
        <f t="shared" si="32"/>
        <v>2514865.17</v>
      </c>
      <c r="U531" s="78">
        <f t="shared" si="31"/>
        <v>1162.8358856984325</v>
      </c>
      <c r="V531" s="78">
        <v>3259.66</v>
      </c>
    </row>
    <row r="532" spans="1:22" s="79" customFormat="1" ht="36" customHeight="1" x14ac:dyDescent="0.25">
      <c r="A532" s="79">
        <v>1</v>
      </c>
      <c r="B532" s="80">
        <f>SUBTOTAL(103,$A$16:A532)</f>
        <v>454</v>
      </c>
      <c r="C532" s="77" t="s">
        <v>1194</v>
      </c>
      <c r="D532" s="233">
        <v>1980</v>
      </c>
      <c r="E532" s="233"/>
      <c r="F532" s="233" t="s">
        <v>256</v>
      </c>
      <c r="G532" s="233">
        <v>2</v>
      </c>
      <c r="H532" s="233" t="s">
        <v>299</v>
      </c>
      <c r="I532" s="78">
        <v>955</v>
      </c>
      <c r="J532" s="78">
        <v>869.8</v>
      </c>
      <c r="K532" s="78">
        <v>869.8</v>
      </c>
      <c r="L532" s="239">
        <v>47</v>
      </c>
      <c r="M532" s="233" t="s">
        <v>254</v>
      </c>
      <c r="N532" s="233" t="s">
        <v>258</v>
      </c>
      <c r="O532" s="236" t="s">
        <v>1221</v>
      </c>
      <c r="P532" s="78">
        <v>229212.26</v>
      </c>
      <c r="Q532" s="78">
        <v>0</v>
      </c>
      <c r="R532" s="78">
        <v>0</v>
      </c>
      <c r="S532" s="78">
        <v>0</v>
      </c>
      <c r="T532" s="78">
        <f t="shared" si="32"/>
        <v>229212.26</v>
      </c>
      <c r="U532" s="78">
        <f t="shared" si="31"/>
        <v>240.01283769633508</v>
      </c>
      <c r="V532" s="78">
        <v>3259.66</v>
      </c>
    </row>
    <row r="533" spans="1:22" s="79" customFormat="1" ht="36" customHeight="1" x14ac:dyDescent="0.25">
      <c r="A533" s="79">
        <v>1</v>
      </c>
      <c r="B533" s="80">
        <f>SUBTOTAL(103,$A$16:A533)</f>
        <v>455</v>
      </c>
      <c r="C533" s="77" t="s">
        <v>1195</v>
      </c>
      <c r="D533" s="233">
        <v>1967</v>
      </c>
      <c r="E533" s="233"/>
      <c r="F533" s="233" t="s">
        <v>256</v>
      </c>
      <c r="G533" s="233">
        <v>2</v>
      </c>
      <c r="H533" s="233" t="s">
        <v>290</v>
      </c>
      <c r="I533" s="78">
        <v>783.4</v>
      </c>
      <c r="J533" s="78">
        <v>725.6</v>
      </c>
      <c r="K533" s="78">
        <v>725.6</v>
      </c>
      <c r="L533" s="239">
        <v>35</v>
      </c>
      <c r="M533" s="233" t="s">
        <v>254</v>
      </c>
      <c r="N533" s="233" t="s">
        <v>258</v>
      </c>
      <c r="O533" s="236" t="s">
        <v>1221</v>
      </c>
      <c r="P533" s="78">
        <v>1879611.64</v>
      </c>
      <c r="Q533" s="78">
        <v>0</v>
      </c>
      <c r="R533" s="78">
        <v>0</v>
      </c>
      <c r="S533" s="78">
        <v>0</v>
      </c>
      <c r="T533" s="78">
        <f t="shared" si="32"/>
        <v>1879611.64</v>
      </c>
      <c r="U533" s="78">
        <f t="shared" si="31"/>
        <v>2399.300025529742</v>
      </c>
      <c r="V533" s="78">
        <v>3259.66</v>
      </c>
    </row>
    <row r="534" spans="1:22" s="79" customFormat="1" ht="36" customHeight="1" x14ac:dyDescent="0.25">
      <c r="A534" s="79">
        <v>1</v>
      </c>
      <c r="B534" s="80">
        <f>SUBTOTAL(103,$A$16:A534)</f>
        <v>456</v>
      </c>
      <c r="C534" s="77" t="s">
        <v>206</v>
      </c>
      <c r="D534" s="233">
        <v>1992</v>
      </c>
      <c r="E534" s="233"/>
      <c r="F534" s="233" t="s">
        <v>298</v>
      </c>
      <c r="G534" s="233">
        <v>2</v>
      </c>
      <c r="H534" s="233" t="s">
        <v>290</v>
      </c>
      <c r="I534" s="78">
        <v>690.3</v>
      </c>
      <c r="J534" s="78">
        <v>630.29999999999995</v>
      </c>
      <c r="K534" s="78">
        <v>564.4</v>
      </c>
      <c r="L534" s="239">
        <v>29</v>
      </c>
      <c r="M534" s="233" t="s">
        <v>254</v>
      </c>
      <c r="N534" s="233" t="s">
        <v>258</v>
      </c>
      <c r="O534" s="236" t="s">
        <v>318</v>
      </c>
      <c r="P534" s="78">
        <v>57236.97</v>
      </c>
      <c r="Q534" s="78">
        <v>0</v>
      </c>
      <c r="R534" s="78">
        <v>0</v>
      </c>
      <c r="S534" s="78">
        <v>0</v>
      </c>
      <c r="T534" s="78">
        <f t="shared" si="32"/>
        <v>57236.97</v>
      </c>
      <c r="U534" s="78">
        <f t="shared" si="31"/>
        <v>82.916079965232512</v>
      </c>
      <c r="V534" s="78">
        <v>82.916079965232512</v>
      </c>
    </row>
    <row r="535" spans="1:22" s="79" customFormat="1" ht="36" customHeight="1" x14ac:dyDescent="0.25">
      <c r="A535" s="79">
        <v>1</v>
      </c>
      <c r="B535" s="80">
        <f>SUBTOTAL(103,$A$16:A535)</f>
        <v>457</v>
      </c>
      <c r="C535" s="77" t="s">
        <v>1465</v>
      </c>
      <c r="D535" s="233">
        <v>1981</v>
      </c>
      <c r="E535" s="233"/>
      <c r="F535" s="233" t="s">
        <v>1479</v>
      </c>
      <c r="G535" s="233">
        <v>2</v>
      </c>
      <c r="H535" s="233" t="s">
        <v>299</v>
      </c>
      <c r="I535" s="78">
        <v>922.9</v>
      </c>
      <c r="J535" s="78">
        <v>838.7</v>
      </c>
      <c r="K535" s="78">
        <v>838.7</v>
      </c>
      <c r="L535" s="239">
        <v>43</v>
      </c>
      <c r="M535" s="233" t="s">
        <v>254</v>
      </c>
      <c r="N535" s="233" t="s">
        <v>255</v>
      </c>
      <c r="O535" s="236" t="s">
        <v>257</v>
      </c>
      <c r="P535" s="78">
        <v>60862.57</v>
      </c>
      <c r="Q535" s="78">
        <v>0</v>
      </c>
      <c r="R535" s="78">
        <v>0</v>
      </c>
      <c r="S535" s="78">
        <v>0</v>
      </c>
      <c r="T535" s="78">
        <f t="shared" si="32"/>
        <v>60862.57</v>
      </c>
      <c r="U535" s="78">
        <f t="shared" si="31"/>
        <v>65.947090692382702</v>
      </c>
      <c r="V535" s="78">
        <v>65.947090692382702</v>
      </c>
    </row>
    <row r="536" spans="1:22" s="79" customFormat="1" ht="36" customHeight="1" x14ac:dyDescent="0.25">
      <c r="A536" s="79">
        <v>1</v>
      </c>
      <c r="B536" s="80">
        <f>SUBTOTAL(103,$A$16:A536)</f>
        <v>458</v>
      </c>
      <c r="C536" s="77" t="s">
        <v>1466</v>
      </c>
      <c r="D536" s="233">
        <v>1980</v>
      </c>
      <c r="E536" s="233"/>
      <c r="F536" s="233" t="s">
        <v>1479</v>
      </c>
      <c r="G536" s="233">
        <v>2</v>
      </c>
      <c r="H536" s="233" t="s">
        <v>299</v>
      </c>
      <c r="I536" s="78">
        <v>1035.4000000000001</v>
      </c>
      <c r="J536" s="78">
        <v>947.5</v>
      </c>
      <c r="K536" s="78">
        <v>947.5</v>
      </c>
      <c r="L536" s="239">
        <v>35</v>
      </c>
      <c r="M536" s="233" t="s">
        <v>254</v>
      </c>
      <c r="N536" s="233" t="s">
        <v>255</v>
      </c>
      <c r="O536" s="236" t="s">
        <v>257</v>
      </c>
      <c r="P536" s="78">
        <v>64885.78</v>
      </c>
      <c r="Q536" s="78">
        <v>0</v>
      </c>
      <c r="R536" s="78">
        <v>0</v>
      </c>
      <c r="S536" s="78">
        <v>0</v>
      </c>
      <c r="T536" s="78">
        <f>P536-S536-R536</f>
        <v>64885.78</v>
      </c>
      <c r="U536" s="78">
        <f t="shared" si="31"/>
        <v>62.66735561135792</v>
      </c>
      <c r="V536" s="78">
        <v>62.66735561135792</v>
      </c>
    </row>
    <row r="537" spans="1:22" s="79" customFormat="1" ht="36" customHeight="1" x14ac:dyDescent="0.25">
      <c r="A537" s="79">
        <v>1</v>
      </c>
      <c r="B537" s="80">
        <f>SUBTOTAL(103,$A$16:A537)</f>
        <v>459</v>
      </c>
      <c r="C537" s="77" t="s">
        <v>200</v>
      </c>
      <c r="D537" s="233">
        <v>1938</v>
      </c>
      <c r="E537" s="233"/>
      <c r="F537" s="233" t="s">
        <v>256</v>
      </c>
      <c r="G537" s="233">
        <v>3</v>
      </c>
      <c r="H537" s="233" t="s">
        <v>295</v>
      </c>
      <c r="I537" s="78">
        <v>1645.1</v>
      </c>
      <c r="J537" s="78">
        <v>1444.2</v>
      </c>
      <c r="K537" s="78">
        <v>1314.2</v>
      </c>
      <c r="L537" s="239">
        <v>58</v>
      </c>
      <c r="M537" s="233" t="s">
        <v>254</v>
      </c>
      <c r="N537" s="233" t="s">
        <v>255</v>
      </c>
      <c r="O537" s="236" t="s">
        <v>257</v>
      </c>
      <c r="P537" s="78">
        <v>77010.039999999994</v>
      </c>
      <c r="Q537" s="78">
        <v>0</v>
      </c>
      <c r="R537" s="78">
        <v>0</v>
      </c>
      <c r="S537" s="78">
        <v>0</v>
      </c>
      <c r="T537" s="78">
        <f>P537-S537-R537</f>
        <v>77010.039999999994</v>
      </c>
      <c r="U537" s="78">
        <f t="shared" si="31"/>
        <v>46.811768281563431</v>
      </c>
      <c r="V537" s="78">
        <v>46.811768281563431</v>
      </c>
    </row>
    <row r="538" spans="1:22" s="79" customFormat="1" ht="36" customHeight="1" x14ac:dyDescent="0.25">
      <c r="A538" s="79">
        <v>1</v>
      </c>
      <c r="B538" s="80">
        <f>SUBTOTAL(103,$A$16:A538)</f>
        <v>460</v>
      </c>
      <c r="C538" s="77" t="s">
        <v>201</v>
      </c>
      <c r="D538" s="233">
        <v>1974</v>
      </c>
      <c r="E538" s="233"/>
      <c r="F538" s="233" t="s">
        <v>256</v>
      </c>
      <c r="G538" s="233">
        <v>2</v>
      </c>
      <c r="H538" s="233" t="s">
        <v>290</v>
      </c>
      <c r="I538" s="78">
        <v>749.6</v>
      </c>
      <c r="J538" s="78">
        <v>685.4</v>
      </c>
      <c r="K538" s="78">
        <v>685.4</v>
      </c>
      <c r="L538" s="239">
        <v>36</v>
      </c>
      <c r="M538" s="233" t="s">
        <v>254</v>
      </c>
      <c r="N538" s="233" t="s">
        <v>258</v>
      </c>
      <c r="O538" s="236" t="s">
        <v>318</v>
      </c>
      <c r="P538" s="78">
        <v>34177.35</v>
      </c>
      <c r="Q538" s="78">
        <v>0</v>
      </c>
      <c r="R538" s="78">
        <v>0</v>
      </c>
      <c r="S538" s="78">
        <v>0</v>
      </c>
      <c r="T538" s="78">
        <f>P538-S538-R538</f>
        <v>34177.35</v>
      </c>
      <c r="U538" s="78">
        <f t="shared" si="31"/>
        <v>45.594116862326572</v>
      </c>
      <c r="V538" s="78">
        <v>45.594116862326572</v>
      </c>
    </row>
    <row r="539" spans="1:22" s="79" customFormat="1" ht="36" customHeight="1" x14ac:dyDescent="0.25">
      <c r="B539" s="77" t="s">
        <v>808</v>
      </c>
      <c r="C539" s="77"/>
      <c r="D539" s="233" t="s">
        <v>835</v>
      </c>
      <c r="E539" s="233" t="s">
        <v>835</v>
      </c>
      <c r="F539" s="233" t="s">
        <v>835</v>
      </c>
      <c r="G539" s="233" t="s">
        <v>835</v>
      </c>
      <c r="H539" s="233" t="s">
        <v>835</v>
      </c>
      <c r="I539" s="234">
        <f>SUM(I540:I543)</f>
        <v>2975.2</v>
      </c>
      <c r="J539" s="234">
        <f>SUM(J540:J543)</f>
        <v>2622.3</v>
      </c>
      <c r="K539" s="234">
        <f>SUM(K540:K543)</f>
        <v>2622.3</v>
      </c>
      <c r="L539" s="235">
        <f>SUM(L540:L543)</f>
        <v>130</v>
      </c>
      <c r="M539" s="233" t="s">
        <v>835</v>
      </c>
      <c r="N539" s="233" t="s">
        <v>835</v>
      </c>
      <c r="O539" s="236" t="s">
        <v>835</v>
      </c>
      <c r="P539" s="241">
        <v>3506290.42</v>
      </c>
      <c r="Q539" s="78">
        <f>SUM(Q540:Q543)</f>
        <v>0</v>
      </c>
      <c r="R539" s="78">
        <f>SUM(R540:R543)</f>
        <v>0</v>
      </c>
      <c r="S539" s="78">
        <f>SUM(S540:S543)</f>
        <v>0</v>
      </c>
      <c r="T539" s="78">
        <f>SUM(T540:T543)</f>
        <v>3506290.42</v>
      </c>
      <c r="U539" s="78">
        <f t="shared" si="31"/>
        <v>1178.5057878461953</v>
      </c>
      <c r="V539" s="78">
        <f>MAX(V540:V543)</f>
        <v>7099.2077045425294</v>
      </c>
    </row>
    <row r="540" spans="1:22" s="79" customFormat="1" ht="36" customHeight="1" x14ac:dyDescent="0.25">
      <c r="A540" s="79">
        <v>1</v>
      </c>
      <c r="B540" s="80">
        <f>SUBTOTAL(103,$A$16:A540)</f>
        <v>461</v>
      </c>
      <c r="C540" s="77" t="s">
        <v>209</v>
      </c>
      <c r="D540" s="233">
        <v>1971</v>
      </c>
      <c r="E540" s="233"/>
      <c r="F540" s="233" t="s">
        <v>256</v>
      </c>
      <c r="G540" s="233">
        <v>2</v>
      </c>
      <c r="H540" s="233" t="s">
        <v>290</v>
      </c>
      <c r="I540" s="78">
        <v>777.1</v>
      </c>
      <c r="J540" s="78">
        <v>718.2</v>
      </c>
      <c r="K540" s="78">
        <v>718.2</v>
      </c>
      <c r="L540" s="239">
        <v>38</v>
      </c>
      <c r="M540" s="233" t="s">
        <v>254</v>
      </c>
      <c r="N540" s="233" t="s">
        <v>258</v>
      </c>
      <c r="O540" s="236" t="s">
        <v>318</v>
      </c>
      <c r="P540" s="78">
        <v>2426341.25</v>
      </c>
      <c r="Q540" s="78">
        <v>0</v>
      </c>
      <c r="R540" s="78">
        <v>0</v>
      </c>
      <c r="S540" s="78">
        <v>0</v>
      </c>
      <c r="T540" s="78">
        <f>P540-R540-S540</f>
        <v>2426341.25</v>
      </c>
      <c r="U540" s="78">
        <f t="shared" si="31"/>
        <v>3122.3024707244886</v>
      </c>
      <c r="V540" s="78">
        <v>7099.2077045425294</v>
      </c>
    </row>
    <row r="541" spans="1:22" s="79" customFormat="1" ht="36" customHeight="1" x14ac:dyDescent="0.25">
      <c r="A541" s="79">
        <v>1</v>
      </c>
      <c r="B541" s="80">
        <f>SUBTOTAL(103,$A$16:A541)</f>
        <v>462</v>
      </c>
      <c r="C541" s="77" t="s">
        <v>214</v>
      </c>
      <c r="D541" s="233">
        <v>1978</v>
      </c>
      <c r="E541" s="233"/>
      <c r="F541" s="233" t="s">
        <v>298</v>
      </c>
      <c r="G541" s="233">
        <v>3</v>
      </c>
      <c r="H541" s="233" t="s">
        <v>290</v>
      </c>
      <c r="I541" s="78">
        <v>1015.3</v>
      </c>
      <c r="J541" s="78">
        <v>929.3</v>
      </c>
      <c r="K541" s="78">
        <v>929.3</v>
      </c>
      <c r="L541" s="239">
        <v>37</v>
      </c>
      <c r="M541" s="233" t="s">
        <v>254</v>
      </c>
      <c r="N541" s="233" t="s">
        <v>258</v>
      </c>
      <c r="O541" s="236" t="s">
        <v>318</v>
      </c>
      <c r="P541" s="78">
        <v>112884.08</v>
      </c>
      <c r="Q541" s="78">
        <v>0</v>
      </c>
      <c r="R541" s="78">
        <v>0</v>
      </c>
      <c r="S541" s="78">
        <v>0</v>
      </c>
      <c r="T541" s="78">
        <f>P541-R541-S541</f>
        <v>112884.08</v>
      </c>
      <c r="U541" s="78">
        <f t="shared" si="31"/>
        <v>111.18298039988181</v>
      </c>
      <c r="V541" s="78">
        <v>111.18298039988181</v>
      </c>
    </row>
    <row r="542" spans="1:22" s="79" customFormat="1" ht="36" customHeight="1" x14ac:dyDescent="0.25">
      <c r="A542" s="79">
        <v>1</v>
      </c>
      <c r="B542" s="80">
        <f>SUBTOTAL(103,$A$16:A542)</f>
        <v>463</v>
      </c>
      <c r="C542" s="77" t="s">
        <v>1028</v>
      </c>
      <c r="D542" s="233">
        <v>1938</v>
      </c>
      <c r="E542" s="233"/>
      <c r="F542" s="233" t="s">
        <v>316</v>
      </c>
      <c r="G542" s="233">
        <v>2</v>
      </c>
      <c r="H542" s="233" t="s">
        <v>291</v>
      </c>
      <c r="I542" s="78">
        <v>369.2</v>
      </c>
      <c r="J542" s="78">
        <v>222.5</v>
      </c>
      <c r="K542" s="78">
        <v>222.5</v>
      </c>
      <c r="L542" s="239">
        <v>16</v>
      </c>
      <c r="M542" s="233" t="s">
        <v>254</v>
      </c>
      <c r="N542" s="233" t="s">
        <v>255</v>
      </c>
      <c r="O542" s="236" t="s">
        <v>257</v>
      </c>
      <c r="P542" s="78">
        <v>930608.30999999994</v>
      </c>
      <c r="Q542" s="78">
        <v>0</v>
      </c>
      <c r="R542" s="78">
        <v>0</v>
      </c>
      <c r="S542" s="78">
        <v>0</v>
      </c>
      <c r="T542" s="78">
        <f>P542-R542-S542</f>
        <v>930608.30999999994</v>
      </c>
      <c r="U542" s="78">
        <f t="shared" si="31"/>
        <v>2520.6075568797401</v>
      </c>
      <c r="V542" s="78">
        <v>4622.755839653305</v>
      </c>
    </row>
    <row r="543" spans="1:22" s="79" customFormat="1" ht="36" customHeight="1" x14ac:dyDescent="0.25">
      <c r="A543" s="79">
        <v>1</v>
      </c>
      <c r="B543" s="80">
        <f>SUBTOTAL(103,$A$16:A543)</f>
        <v>464</v>
      </c>
      <c r="C543" s="77" t="s">
        <v>213</v>
      </c>
      <c r="D543" s="233">
        <v>1973</v>
      </c>
      <c r="E543" s="233"/>
      <c r="F543" s="233" t="s">
        <v>256</v>
      </c>
      <c r="G543" s="233">
        <v>2</v>
      </c>
      <c r="H543" s="233" t="s">
        <v>290</v>
      </c>
      <c r="I543" s="78">
        <v>813.6</v>
      </c>
      <c r="J543" s="78">
        <v>752.3</v>
      </c>
      <c r="K543" s="78">
        <v>752.3</v>
      </c>
      <c r="L543" s="239">
        <v>39</v>
      </c>
      <c r="M543" s="233" t="s">
        <v>254</v>
      </c>
      <c r="N543" s="233" t="s">
        <v>255</v>
      </c>
      <c r="O543" s="236" t="s">
        <v>257</v>
      </c>
      <c r="P543" s="78">
        <v>36456.78</v>
      </c>
      <c r="Q543" s="78">
        <v>0</v>
      </c>
      <c r="R543" s="78">
        <v>0</v>
      </c>
      <c r="S543" s="78">
        <v>0</v>
      </c>
      <c r="T543" s="78">
        <f>P543-R543-S543</f>
        <v>36456.78</v>
      </c>
      <c r="U543" s="78">
        <f t="shared" si="31"/>
        <v>44.809218289085543</v>
      </c>
      <c r="V543" s="78">
        <v>44.809218289085543</v>
      </c>
    </row>
    <row r="544" spans="1:22" s="79" customFormat="1" ht="36" customHeight="1" x14ac:dyDescent="0.25">
      <c r="B544" s="77" t="s">
        <v>809</v>
      </c>
      <c r="C544" s="77"/>
      <c r="D544" s="233" t="s">
        <v>835</v>
      </c>
      <c r="E544" s="233" t="s">
        <v>835</v>
      </c>
      <c r="F544" s="233" t="s">
        <v>835</v>
      </c>
      <c r="G544" s="233" t="s">
        <v>835</v>
      </c>
      <c r="H544" s="233" t="s">
        <v>835</v>
      </c>
      <c r="I544" s="234">
        <f>SUM(I545:I546)</f>
        <v>1422.8</v>
      </c>
      <c r="J544" s="234">
        <f>SUM(J545:J546)</f>
        <v>1303.8000000000002</v>
      </c>
      <c r="K544" s="234">
        <f>SUM(K545:K546)</f>
        <v>1303.8000000000002</v>
      </c>
      <c r="L544" s="235">
        <f>SUM(L545:L546)</f>
        <v>64</v>
      </c>
      <c r="M544" s="233" t="s">
        <v>835</v>
      </c>
      <c r="N544" s="233" t="s">
        <v>835</v>
      </c>
      <c r="O544" s="236" t="s">
        <v>835</v>
      </c>
      <c r="P544" s="241">
        <v>735510.79</v>
      </c>
      <c r="Q544" s="78">
        <f>SUM(Q545:Q546)</f>
        <v>0</v>
      </c>
      <c r="R544" s="78">
        <f>SUM(R545:R546)</f>
        <v>0</v>
      </c>
      <c r="S544" s="78">
        <f>SUM(S545:S546)</f>
        <v>0</v>
      </c>
      <c r="T544" s="78">
        <f>SUM(T545:T546)</f>
        <v>735510.79</v>
      </c>
      <c r="U544" s="78">
        <f t="shared" si="31"/>
        <v>516.94601490019681</v>
      </c>
      <c r="V544" s="78">
        <f>MAX(V545:V546)</f>
        <v>5142.0017938118508</v>
      </c>
    </row>
    <row r="545" spans="1:22" s="79" customFormat="1" ht="36" customHeight="1" x14ac:dyDescent="0.25">
      <c r="A545" s="79">
        <v>1</v>
      </c>
      <c r="B545" s="80">
        <f>SUBTOTAL(103,$A$16:A545)</f>
        <v>465</v>
      </c>
      <c r="C545" s="77" t="s">
        <v>1209</v>
      </c>
      <c r="D545" s="233">
        <v>1976</v>
      </c>
      <c r="E545" s="233"/>
      <c r="F545" s="233" t="s">
        <v>256</v>
      </c>
      <c r="G545" s="233">
        <v>2</v>
      </c>
      <c r="H545" s="233" t="s">
        <v>290</v>
      </c>
      <c r="I545" s="78">
        <v>798.3</v>
      </c>
      <c r="J545" s="78">
        <v>736.7</v>
      </c>
      <c r="K545" s="78">
        <v>736.7</v>
      </c>
      <c r="L545" s="239">
        <v>32</v>
      </c>
      <c r="M545" s="233" t="s">
        <v>254</v>
      </c>
      <c r="N545" s="233" t="s">
        <v>255</v>
      </c>
      <c r="O545" s="236" t="s">
        <v>257</v>
      </c>
      <c r="P545" s="78">
        <v>306059.67</v>
      </c>
      <c r="Q545" s="78">
        <v>0</v>
      </c>
      <c r="R545" s="78">
        <v>0</v>
      </c>
      <c r="S545" s="78">
        <v>0</v>
      </c>
      <c r="T545" s="78">
        <f>P545-R545-S545</f>
        <v>306059.67</v>
      </c>
      <c r="U545" s="78">
        <f t="shared" si="31"/>
        <v>383.38928974069898</v>
      </c>
      <c r="V545" s="78">
        <v>5142.0017938118508</v>
      </c>
    </row>
    <row r="546" spans="1:22" s="79" customFormat="1" ht="36" customHeight="1" x14ac:dyDescent="0.25">
      <c r="A546" s="79">
        <v>1</v>
      </c>
      <c r="B546" s="80">
        <f>SUBTOTAL(103,$A$16:A546)</f>
        <v>466</v>
      </c>
      <c r="C546" s="77" t="s">
        <v>1210</v>
      </c>
      <c r="D546" s="233">
        <v>1986</v>
      </c>
      <c r="E546" s="233"/>
      <c r="F546" s="233" t="s">
        <v>304</v>
      </c>
      <c r="G546" s="233">
        <v>2</v>
      </c>
      <c r="H546" s="233" t="s">
        <v>290</v>
      </c>
      <c r="I546" s="78">
        <v>624.5</v>
      </c>
      <c r="J546" s="78">
        <v>567.1</v>
      </c>
      <c r="K546" s="78">
        <v>567.1</v>
      </c>
      <c r="L546" s="239">
        <v>32</v>
      </c>
      <c r="M546" s="233" t="s">
        <v>254</v>
      </c>
      <c r="N546" s="233" t="s">
        <v>255</v>
      </c>
      <c r="O546" s="236" t="s">
        <v>257</v>
      </c>
      <c r="P546" s="78">
        <v>429451.12</v>
      </c>
      <c r="Q546" s="78">
        <v>0</v>
      </c>
      <c r="R546" s="78">
        <v>0</v>
      </c>
      <c r="S546" s="78">
        <v>0</v>
      </c>
      <c r="T546" s="78">
        <f>P546-R546-S546</f>
        <v>429451.12</v>
      </c>
      <c r="U546" s="78">
        <f t="shared" si="31"/>
        <v>687.67192954363486</v>
      </c>
      <c r="V546" s="78">
        <v>3738.4767846277018</v>
      </c>
    </row>
    <row r="547" spans="1:22" s="79" customFormat="1" ht="36" customHeight="1" x14ac:dyDescent="0.25">
      <c r="B547" s="77" t="s">
        <v>810</v>
      </c>
      <c r="C547" s="77"/>
      <c r="D547" s="233" t="s">
        <v>835</v>
      </c>
      <c r="E547" s="233" t="s">
        <v>835</v>
      </c>
      <c r="F547" s="233" t="s">
        <v>835</v>
      </c>
      <c r="G547" s="233" t="s">
        <v>835</v>
      </c>
      <c r="H547" s="233" t="s">
        <v>835</v>
      </c>
      <c r="I547" s="234">
        <f>SUM(I548:I549)</f>
        <v>1109.3</v>
      </c>
      <c r="J547" s="234">
        <f>SUM(J548:J549)</f>
        <v>1034.5999999999999</v>
      </c>
      <c r="K547" s="234">
        <f>SUM(K548:K549)</f>
        <v>1034.5999999999999</v>
      </c>
      <c r="L547" s="235">
        <f>SUM(L548:L549)</f>
        <v>49</v>
      </c>
      <c r="M547" s="233" t="s">
        <v>835</v>
      </c>
      <c r="N547" s="233" t="s">
        <v>835</v>
      </c>
      <c r="O547" s="236" t="s">
        <v>835</v>
      </c>
      <c r="P547" s="241">
        <v>1268994.68</v>
      </c>
      <c r="Q547" s="78">
        <f>SUM(Q548:Q549)</f>
        <v>0</v>
      </c>
      <c r="R547" s="78">
        <f>SUM(R548:R549)</f>
        <v>0</v>
      </c>
      <c r="S547" s="78">
        <f>SUM(S548:S549)</f>
        <v>0</v>
      </c>
      <c r="T547" s="78">
        <f>SUM(T548:T549)</f>
        <v>1268994.68</v>
      </c>
      <c r="U547" s="78">
        <f t="shared" si="31"/>
        <v>1143.9598665825295</v>
      </c>
      <c r="V547" s="78">
        <f>MAX(V548:V549)</f>
        <v>8343.9221172022699</v>
      </c>
    </row>
    <row r="548" spans="1:22" s="79" customFormat="1" ht="36" customHeight="1" x14ac:dyDescent="0.25">
      <c r="A548" s="79">
        <v>1</v>
      </c>
      <c r="B548" s="80">
        <f>SUBTOTAL(103,$A$16:A548)</f>
        <v>467</v>
      </c>
      <c r="C548" s="77" t="s">
        <v>211</v>
      </c>
      <c r="D548" s="233">
        <v>1966</v>
      </c>
      <c r="E548" s="233"/>
      <c r="F548" s="233" t="s">
        <v>256</v>
      </c>
      <c r="G548" s="233">
        <v>2</v>
      </c>
      <c r="H548" s="233" t="s">
        <v>291</v>
      </c>
      <c r="I548" s="78">
        <v>317.39999999999998</v>
      </c>
      <c r="J548" s="78">
        <v>297.7</v>
      </c>
      <c r="K548" s="78">
        <v>297.7</v>
      </c>
      <c r="L548" s="239">
        <v>22</v>
      </c>
      <c r="M548" s="233" t="s">
        <v>254</v>
      </c>
      <c r="N548" s="233" t="s">
        <v>255</v>
      </c>
      <c r="O548" s="236" t="s">
        <v>257</v>
      </c>
      <c r="P548" s="78">
        <v>1233277.05</v>
      </c>
      <c r="Q548" s="78">
        <v>0</v>
      </c>
      <c r="R548" s="78">
        <v>0</v>
      </c>
      <c r="S548" s="78">
        <v>0</v>
      </c>
      <c r="T548" s="78">
        <f>P548-R548-S548</f>
        <v>1233277.05</v>
      </c>
      <c r="U548" s="78">
        <f t="shared" si="31"/>
        <v>3885.5609640831763</v>
      </c>
      <c r="V548" s="78">
        <v>8343.9221172022699</v>
      </c>
    </row>
    <row r="549" spans="1:22" s="79" customFormat="1" ht="36" customHeight="1" x14ac:dyDescent="0.25">
      <c r="A549" s="79">
        <v>1</v>
      </c>
      <c r="B549" s="80">
        <f>SUBTOTAL(103,$A$16:A549)</f>
        <v>468</v>
      </c>
      <c r="C549" s="77" t="s">
        <v>207</v>
      </c>
      <c r="D549" s="233">
        <v>1979</v>
      </c>
      <c r="E549" s="233"/>
      <c r="F549" s="233" t="s">
        <v>256</v>
      </c>
      <c r="G549" s="233">
        <v>2</v>
      </c>
      <c r="H549" s="233" t="s">
        <v>290</v>
      </c>
      <c r="I549" s="78">
        <v>791.9</v>
      </c>
      <c r="J549" s="78">
        <v>736.9</v>
      </c>
      <c r="K549" s="78">
        <v>736.9</v>
      </c>
      <c r="L549" s="239">
        <v>27</v>
      </c>
      <c r="M549" s="233" t="s">
        <v>254</v>
      </c>
      <c r="N549" s="233" t="s">
        <v>255</v>
      </c>
      <c r="O549" s="236" t="s">
        <v>257</v>
      </c>
      <c r="P549" s="78">
        <v>35717.629999999997</v>
      </c>
      <c r="Q549" s="78">
        <v>0</v>
      </c>
      <c r="R549" s="78">
        <v>0</v>
      </c>
      <c r="S549" s="78">
        <v>0</v>
      </c>
      <c r="T549" s="78">
        <f>P549-R549-S549</f>
        <v>35717.629999999997</v>
      </c>
      <c r="U549" s="78">
        <f t="shared" si="31"/>
        <v>45.103712589973476</v>
      </c>
      <c r="V549" s="78">
        <v>45.103712589973476</v>
      </c>
    </row>
    <row r="550" spans="1:22" s="79" customFormat="1" ht="36" customHeight="1" x14ac:dyDescent="0.25">
      <c r="B550" s="77" t="s">
        <v>704</v>
      </c>
      <c r="C550" s="77"/>
      <c r="D550" s="233" t="s">
        <v>835</v>
      </c>
      <c r="E550" s="233" t="s">
        <v>835</v>
      </c>
      <c r="F550" s="233" t="s">
        <v>835</v>
      </c>
      <c r="G550" s="233" t="s">
        <v>835</v>
      </c>
      <c r="H550" s="233" t="s">
        <v>835</v>
      </c>
      <c r="I550" s="234">
        <f>I551+I640+I667+I711+I766+I782+I804+I812+I818+I823+I825+I828+I830+I832+I846+I853+I856+I858+I860+I862+I864+I866+I868+I871+I883+I886+I890+I892+I895+I898+I907+I911+I913+I917+I919+I921+I923+I927+I933+I937+I939+I946+I949+I951+I955+I957+I959+I961+I963+I966+I968+I972+I977+I985+I989+I991+I993+I995+I997+I1003+I1005+I1007+I1009+I1016+I1020+I1022</f>
        <v>1275815.78</v>
      </c>
      <c r="J550" s="234">
        <f t="shared" ref="J550:L550" si="33">J551+J640+J667+J711+J766+J782+J804+J812+J818+J823+J825+J828+J830+J832+J846+J853+J856+J858+J860+J862+J864+J866+J868+J871+J883+J886+J890+J892+J895+J898+J907+J911+J913+J917+J919+J921+J923+J927+J933+J937+J939+J946+J949+J951+J955+J957+J959+J961+J963+J966+J968+J972+J977+J985+J989+J991+J993+J995+J997+J1003+J1005+J1007+J1009+J1016+J1020+J1022</f>
        <v>1098901.5200000003</v>
      </c>
      <c r="K550" s="234">
        <f t="shared" si="33"/>
        <v>963532.76000000013</v>
      </c>
      <c r="L550" s="235">
        <f t="shared" si="33"/>
        <v>36026</v>
      </c>
      <c r="M550" s="233" t="s">
        <v>835</v>
      </c>
      <c r="N550" s="233" t="s">
        <v>835</v>
      </c>
      <c r="O550" s="236" t="s">
        <v>835</v>
      </c>
      <c r="P550" s="237">
        <f>P551+P640+P667+P711+P766+P782+P804+P812+P818+P823+P825+P828+P830+P832+P846+P853+P856+P858+P860+P862+P864+P866+P868+P871+P883+P886+P890+P892+P895+P898+P907+P911+P913+P917+P919+P921+P923+P927+P933+P937+P939+P946+P949+P951+P955+P957+P959+P961+P963+P966+P968+P972+P977+P985+P989+P991+P993+P995+P997+P1003+P1005+P1007+P1009+P1016+P1020+P1022</f>
        <v>1130960779.9400003</v>
      </c>
      <c r="Q550" s="234">
        <f t="shared" ref="Q550:T550" si="34">Q551+Q640+Q667+Q711+Q766+Q782+Q804+Q812+Q818+Q823+Q825+Q828+Q830+Q832+Q846+Q853+Q856+Q858+Q860+Q862+Q864+Q866+Q868+Q871+Q883+Q886+Q890+Q892+Q895+Q898+Q907+Q911+Q913+Q917+Q919+Q921+Q923+Q927+Q933+Q937+Q939+Q946+Q949+Q951+Q955+Q957+Q959+Q961+Q963+Q966+Q968+Q972+Q977+Q985+Q989+Q991+Q993+Q995+Q997+Q1003+Q1005+Q1007+Q1009+Q1016+Q1020+Q1022</f>
        <v>0</v>
      </c>
      <c r="R550" s="234">
        <f t="shared" si="34"/>
        <v>162877744</v>
      </c>
      <c r="S550" s="234">
        <f t="shared" si="34"/>
        <v>0</v>
      </c>
      <c r="T550" s="234">
        <f t="shared" si="34"/>
        <v>968083035.93999982</v>
      </c>
      <c r="U550" s="78">
        <f>P550/I550</f>
        <v>886.46088069235225</v>
      </c>
      <c r="V550" s="78">
        <f>MAX(V551:V1023)</f>
        <v>11639.948362085677</v>
      </c>
    </row>
    <row r="551" spans="1:22" s="79" customFormat="1" ht="36" customHeight="1" x14ac:dyDescent="0.25">
      <c r="B551" s="77" t="s">
        <v>1027</v>
      </c>
      <c r="C551" s="240"/>
      <c r="D551" s="233" t="s">
        <v>835</v>
      </c>
      <c r="E551" s="233" t="s">
        <v>835</v>
      </c>
      <c r="F551" s="233" t="s">
        <v>835</v>
      </c>
      <c r="G551" s="233" t="s">
        <v>835</v>
      </c>
      <c r="H551" s="233" t="s">
        <v>835</v>
      </c>
      <c r="I551" s="234">
        <f>SUM(I552:I639)</f>
        <v>273707.57999999996</v>
      </c>
      <c r="J551" s="234">
        <f t="shared" ref="J551:L551" si="35">SUM(J552:J639)</f>
        <v>219843.26</v>
      </c>
      <c r="K551" s="234">
        <f t="shared" si="35"/>
        <v>202976.26</v>
      </c>
      <c r="L551" s="235">
        <f t="shared" si="35"/>
        <v>10259</v>
      </c>
      <c r="M551" s="233" t="s">
        <v>835</v>
      </c>
      <c r="N551" s="233" t="s">
        <v>835</v>
      </c>
      <c r="O551" s="236" t="s">
        <v>835</v>
      </c>
      <c r="P551" s="237">
        <v>164966276.65999994</v>
      </c>
      <c r="Q551" s="234">
        <f>SUM(Q552:Q638)</f>
        <v>0</v>
      </c>
      <c r="R551" s="234">
        <f>SUM(R552:R638)</f>
        <v>8711392</v>
      </c>
      <c r="S551" s="234">
        <f>SUM(S552:S638)</f>
        <v>0</v>
      </c>
      <c r="T551" s="234">
        <f>SUM(T552:T639)</f>
        <v>156254884.65999994</v>
      </c>
      <c r="U551" s="78">
        <f t="shared" si="31"/>
        <v>602.7099310146981</v>
      </c>
      <c r="V551" s="78">
        <f>MAX(V552:V638)</f>
        <v>11639.948362085677</v>
      </c>
    </row>
    <row r="552" spans="1:22" s="79" customFormat="1" ht="36" customHeight="1" x14ac:dyDescent="0.25">
      <c r="A552" s="79">
        <v>1</v>
      </c>
      <c r="B552" s="80">
        <f>SUBTOTAL(103,$A$552:A552)</f>
        <v>1</v>
      </c>
      <c r="C552" s="77" t="s">
        <v>504</v>
      </c>
      <c r="D552" s="233" t="s">
        <v>338</v>
      </c>
      <c r="E552" s="233"/>
      <c r="F552" s="233" t="s">
        <v>298</v>
      </c>
      <c r="G552" s="233" t="s">
        <v>337</v>
      </c>
      <c r="H552" s="233" t="s">
        <v>295</v>
      </c>
      <c r="I552" s="234">
        <v>3788.4</v>
      </c>
      <c r="J552" s="234">
        <v>3520.9</v>
      </c>
      <c r="K552" s="234">
        <v>3520.9</v>
      </c>
      <c r="L552" s="239">
        <v>100</v>
      </c>
      <c r="M552" s="233" t="s">
        <v>254</v>
      </c>
      <c r="N552" s="233" t="s">
        <v>258</v>
      </c>
      <c r="O552" s="236" t="s">
        <v>1011</v>
      </c>
      <c r="P552" s="78">
        <v>4286748.6900000004</v>
      </c>
      <c r="Q552" s="78">
        <v>0</v>
      </c>
      <c r="R552" s="78">
        <v>0</v>
      </c>
      <c r="S552" s="78">
        <v>0</v>
      </c>
      <c r="T552" s="78">
        <f t="shared" ref="T552:T596" si="36">P552-R552-S552</f>
        <v>4286748.6900000004</v>
      </c>
      <c r="U552" s="78">
        <f t="shared" si="31"/>
        <v>1131.5459534368072</v>
      </c>
      <c r="V552" s="78">
        <v>2273.0402090592338</v>
      </c>
    </row>
    <row r="553" spans="1:22" s="79" customFormat="1" ht="36" customHeight="1" x14ac:dyDescent="0.25">
      <c r="A553" s="79">
        <v>1</v>
      </c>
      <c r="B553" s="80">
        <f>SUBTOTAL(103,$A$552:A553)</f>
        <v>2</v>
      </c>
      <c r="C553" s="77" t="s">
        <v>505</v>
      </c>
      <c r="D553" s="233" t="s">
        <v>301</v>
      </c>
      <c r="E553" s="233"/>
      <c r="F553" s="233" t="s">
        <v>298</v>
      </c>
      <c r="G553" s="233" t="s">
        <v>337</v>
      </c>
      <c r="H553" s="233" t="s">
        <v>295</v>
      </c>
      <c r="I553" s="234">
        <v>3837.6</v>
      </c>
      <c r="J553" s="234">
        <v>3516.3</v>
      </c>
      <c r="K553" s="234">
        <v>3516.3</v>
      </c>
      <c r="L553" s="239">
        <v>162</v>
      </c>
      <c r="M553" s="233" t="s">
        <v>254</v>
      </c>
      <c r="N553" s="233" t="s">
        <v>258</v>
      </c>
      <c r="O553" s="236" t="s">
        <v>1011</v>
      </c>
      <c r="P553" s="78">
        <v>4307382.3800000008</v>
      </c>
      <c r="Q553" s="78">
        <v>0</v>
      </c>
      <c r="R553" s="78">
        <v>0</v>
      </c>
      <c r="S553" s="78">
        <v>0</v>
      </c>
      <c r="T553" s="78">
        <f t="shared" si="36"/>
        <v>4307382.3800000008</v>
      </c>
      <c r="U553" s="78">
        <f t="shared" si="31"/>
        <v>1122.4156712528666</v>
      </c>
      <c r="V553" s="78">
        <v>2241.6680137585995</v>
      </c>
    </row>
    <row r="554" spans="1:22" s="79" customFormat="1" ht="36" customHeight="1" x14ac:dyDescent="0.25">
      <c r="A554" s="79">
        <v>1</v>
      </c>
      <c r="B554" s="80">
        <f>SUBTOTAL(103,$A$552:A554)</f>
        <v>3</v>
      </c>
      <c r="C554" s="77" t="s">
        <v>506</v>
      </c>
      <c r="D554" s="233" t="s">
        <v>297</v>
      </c>
      <c r="E554" s="233"/>
      <c r="F554" s="233" t="s">
        <v>298</v>
      </c>
      <c r="G554" s="233" t="s">
        <v>337</v>
      </c>
      <c r="H554" s="233" t="s">
        <v>299</v>
      </c>
      <c r="I554" s="234">
        <v>2494.5</v>
      </c>
      <c r="J554" s="234">
        <v>2290.6</v>
      </c>
      <c r="K554" s="234">
        <v>2290.6</v>
      </c>
      <c r="L554" s="239">
        <v>117</v>
      </c>
      <c r="M554" s="233" t="s">
        <v>254</v>
      </c>
      <c r="N554" s="233" t="s">
        <v>258</v>
      </c>
      <c r="O554" s="236" t="s">
        <v>1012</v>
      </c>
      <c r="P554" s="78">
        <v>1630479.8800000001</v>
      </c>
      <c r="Q554" s="78">
        <v>0</v>
      </c>
      <c r="R554" s="78">
        <v>0</v>
      </c>
      <c r="S554" s="78">
        <v>0</v>
      </c>
      <c r="T554" s="78">
        <f t="shared" si="36"/>
        <v>1630479.8800000001</v>
      </c>
      <c r="U554" s="78">
        <f t="shared" si="31"/>
        <v>653.62993786329935</v>
      </c>
      <c r="V554" s="78">
        <v>1976.7982040489076</v>
      </c>
    </row>
    <row r="555" spans="1:22" s="79" customFormat="1" ht="36" customHeight="1" x14ac:dyDescent="0.25">
      <c r="A555" s="79">
        <v>1</v>
      </c>
      <c r="B555" s="80">
        <f>SUBTOTAL(103,$A$552:A555)</f>
        <v>4</v>
      </c>
      <c r="C555" s="77" t="s">
        <v>509</v>
      </c>
      <c r="D555" s="233" t="s">
        <v>339</v>
      </c>
      <c r="E555" s="233"/>
      <c r="F555" s="233" t="s">
        <v>256</v>
      </c>
      <c r="G555" s="233" t="s">
        <v>337</v>
      </c>
      <c r="H555" s="233" t="s">
        <v>290</v>
      </c>
      <c r="I555" s="234">
        <v>1965.7</v>
      </c>
      <c r="J555" s="234">
        <v>1789.7</v>
      </c>
      <c r="K555" s="234">
        <v>1702</v>
      </c>
      <c r="L555" s="239">
        <v>80</v>
      </c>
      <c r="M555" s="233" t="s">
        <v>254</v>
      </c>
      <c r="N555" s="233" t="s">
        <v>258</v>
      </c>
      <c r="O555" s="236" t="s">
        <v>1026</v>
      </c>
      <c r="P555" s="78">
        <v>2688147.79</v>
      </c>
      <c r="Q555" s="78">
        <v>0</v>
      </c>
      <c r="R555" s="78">
        <v>0</v>
      </c>
      <c r="S555" s="78">
        <v>0</v>
      </c>
      <c r="T555" s="78">
        <f t="shared" si="36"/>
        <v>2688147.79</v>
      </c>
      <c r="U555" s="78">
        <f t="shared" si="31"/>
        <v>1367.5269827542352</v>
      </c>
      <c r="V555" s="78">
        <v>2717.2543928371579</v>
      </c>
    </row>
    <row r="556" spans="1:22" s="79" customFormat="1" ht="36" customHeight="1" x14ac:dyDescent="0.25">
      <c r="A556" s="79">
        <v>1</v>
      </c>
      <c r="B556" s="80">
        <f>SUBTOTAL(103,$A$552:A556)</f>
        <v>5</v>
      </c>
      <c r="C556" s="77" t="s">
        <v>510</v>
      </c>
      <c r="D556" s="233" t="s">
        <v>340</v>
      </c>
      <c r="E556" s="233"/>
      <c r="F556" s="233" t="s">
        <v>256</v>
      </c>
      <c r="G556" s="233" t="s">
        <v>299</v>
      </c>
      <c r="H556" s="233" t="s">
        <v>290</v>
      </c>
      <c r="I556" s="234">
        <v>944.2</v>
      </c>
      <c r="J556" s="234">
        <v>863.6</v>
      </c>
      <c r="K556" s="234">
        <v>863.6</v>
      </c>
      <c r="L556" s="239">
        <v>47</v>
      </c>
      <c r="M556" s="233" t="s">
        <v>254</v>
      </c>
      <c r="N556" s="233" t="s">
        <v>258</v>
      </c>
      <c r="O556" s="236" t="s">
        <v>1315</v>
      </c>
      <c r="P556" s="78">
        <v>88158.53</v>
      </c>
      <c r="Q556" s="78">
        <v>0</v>
      </c>
      <c r="R556" s="78">
        <v>0</v>
      </c>
      <c r="S556" s="78">
        <v>0</v>
      </c>
      <c r="T556" s="78">
        <f t="shared" si="36"/>
        <v>88158.53</v>
      </c>
      <c r="U556" s="78">
        <f t="shared" si="31"/>
        <v>93.368491844948096</v>
      </c>
      <c r="V556" s="81">
        <v>93.368491844948096</v>
      </c>
    </row>
    <row r="557" spans="1:22" s="79" customFormat="1" ht="36" customHeight="1" x14ac:dyDescent="0.25">
      <c r="A557" s="79">
        <v>1</v>
      </c>
      <c r="B557" s="80">
        <f>SUBTOTAL(103,$A$552:A557)</f>
        <v>6</v>
      </c>
      <c r="C557" s="77" t="s">
        <v>511</v>
      </c>
      <c r="D557" s="233" t="s">
        <v>341</v>
      </c>
      <c r="E557" s="233"/>
      <c r="F557" s="233" t="s">
        <v>256</v>
      </c>
      <c r="G557" s="233" t="s">
        <v>337</v>
      </c>
      <c r="H557" s="233" t="s">
        <v>291</v>
      </c>
      <c r="I557" s="234">
        <v>5616.2</v>
      </c>
      <c r="J557" s="234">
        <v>2949.2</v>
      </c>
      <c r="K557" s="234">
        <v>2949.2</v>
      </c>
      <c r="L557" s="239">
        <v>186</v>
      </c>
      <c r="M557" s="233" t="s">
        <v>254</v>
      </c>
      <c r="N557" s="233" t="s">
        <v>258</v>
      </c>
      <c r="O557" s="236" t="s">
        <v>1301</v>
      </c>
      <c r="P557" s="78">
        <v>2441027.59</v>
      </c>
      <c r="Q557" s="78">
        <v>0</v>
      </c>
      <c r="R557" s="78">
        <v>0</v>
      </c>
      <c r="S557" s="78">
        <v>0</v>
      </c>
      <c r="T557" s="78">
        <f t="shared" si="36"/>
        <v>2441027.59</v>
      </c>
      <c r="U557" s="78">
        <f t="shared" si="31"/>
        <v>434.64043125244825</v>
      </c>
      <c r="V557" s="78">
        <v>1535.3402086820274</v>
      </c>
    </row>
    <row r="558" spans="1:22" s="79" customFormat="1" ht="36" customHeight="1" x14ac:dyDescent="0.25">
      <c r="A558" s="79">
        <v>1</v>
      </c>
      <c r="B558" s="80">
        <f>SUBTOTAL(103,$A$552:A558)</f>
        <v>7</v>
      </c>
      <c r="C558" s="77" t="s">
        <v>512</v>
      </c>
      <c r="D558" s="233">
        <v>1985</v>
      </c>
      <c r="E558" s="233"/>
      <c r="F558" s="233" t="s">
        <v>256</v>
      </c>
      <c r="G558" s="233" t="s">
        <v>337</v>
      </c>
      <c r="H558" s="233" t="s">
        <v>355</v>
      </c>
      <c r="I558" s="234">
        <v>5781</v>
      </c>
      <c r="J558" s="234">
        <v>5781</v>
      </c>
      <c r="K558" s="234">
        <v>5781</v>
      </c>
      <c r="L558" s="239">
        <v>208</v>
      </c>
      <c r="M558" s="233" t="s">
        <v>254</v>
      </c>
      <c r="N558" s="233" t="s">
        <v>258</v>
      </c>
      <c r="O558" s="236" t="s">
        <v>1011</v>
      </c>
      <c r="P558" s="78">
        <v>3218631.9200000004</v>
      </c>
      <c r="Q558" s="78">
        <v>0</v>
      </c>
      <c r="R558" s="78">
        <v>0</v>
      </c>
      <c r="S558" s="78">
        <v>0</v>
      </c>
      <c r="T558" s="78">
        <f t="shared" si="36"/>
        <v>3218631.9200000004</v>
      </c>
      <c r="U558" s="78">
        <f t="shared" si="31"/>
        <v>556.76040823386961</v>
      </c>
      <c r="V558" s="78">
        <v>1918.837183878222</v>
      </c>
    </row>
    <row r="559" spans="1:22" s="79" customFormat="1" ht="36" customHeight="1" x14ac:dyDescent="0.25">
      <c r="A559" s="79">
        <v>1</v>
      </c>
      <c r="B559" s="80">
        <f>SUBTOTAL(103,$A$552:A559)</f>
        <v>8</v>
      </c>
      <c r="C559" s="77" t="s">
        <v>513</v>
      </c>
      <c r="D559" s="233" t="s">
        <v>294</v>
      </c>
      <c r="E559" s="233"/>
      <c r="F559" s="233" t="s">
        <v>256</v>
      </c>
      <c r="G559" s="233" t="s">
        <v>299</v>
      </c>
      <c r="H559" s="233" t="s">
        <v>291</v>
      </c>
      <c r="I559" s="234">
        <v>761.1</v>
      </c>
      <c r="J559" s="234">
        <v>761.1</v>
      </c>
      <c r="K559" s="234">
        <v>625.20000000000005</v>
      </c>
      <c r="L559" s="239">
        <v>54</v>
      </c>
      <c r="M559" s="233" t="s">
        <v>254</v>
      </c>
      <c r="N559" s="233" t="s">
        <v>258</v>
      </c>
      <c r="O559" s="236" t="s">
        <v>1301</v>
      </c>
      <c r="P559" s="78">
        <v>2687784.7600000002</v>
      </c>
      <c r="Q559" s="78">
        <v>0</v>
      </c>
      <c r="R559" s="78">
        <v>0</v>
      </c>
      <c r="S559" s="78">
        <v>0</v>
      </c>
      <c r="T559" s="78">
        <f t="shared" si="36"/>
        <v>2687784.7600000002</v>
      </c>
      <c r="U559" s="78">
        <f t="shared" si="31"/>
        <v>3531.4475890158983</v>
      </c>
      <c r="V559" s="78">
        <v>5364.8689875180662</v>
      </c>
    </row>
    <row r="560" spans="1:22" s="79" customFormat="1" ht="36" customHeight="1" x14ac:dyDescent="0.25">
      <c r="A560" s="79">
        <v>1</v>
      </c>
      <c r="B560" s="80">
        <f>SUBTOTAL(103,$A$552:A560)</f>
        <v>9</v>
      </c>
      <c r="C560" s="77" t="s">
        <v>514</v>
      </c>
      <c r="D560" s="233" t="s">
        <v>342</v>
      </c>
      <c r="E560" s="233"/>
      <c r="F560" s="233" t="s">
        <v>256</v>
      </c>
      <c r="G560" s="233" t="s">
        <v>343</v>
      </c>
      <c r="H560" s="233" t="s">
        <v>291</v>
      </c>
      <c r="I560" s="234">
        <v>7585.7</v>
      </c>
      <c r="J560" s="234">
        <v>5261.8</v>
      </c>
      <c r="K560" s="234">
        <v>4715.1000000000004</v>
      </c>
      <c r="L560" s="239">
        <v>348</v>
      </c>
      <c r="M560" s="233" t="s">
        <v>254</v>
      </c>
      <c r="N560" s="233" t="s">
        <v>258</v>
      </c>
      <c r="O560" s="236" t="s">
        <v>1301</v>
      </c>
      <c r="P560" s="78">
        <v>2496866.9499999997</v>
      </c>
      <c r="Q560" s="78">
        <v>0</v>
      </c>
      <c r="R560" s="78">
        <v>0</v>
      </c>
      <c r="S560" s="78">
        <v>0</v>
      </c>
      <c r="T560" s="78">
        <f t="shared" si="36"/>
        <v>2496866.9499999997</v>
      </c>
      <c r="U560" s="78">
        <f t="shared" si="31"/>
        <v>329.15445509313577</v>
      </c>
      <c r="V560" s="78">
        <v>1070.9334829481788</v>
      </c>
    </row>
    <row r="561" spans="1:22" s="79" customFormat="1" ht="36" customHeight="1" x14ac:dyDescent="0.25">
      <c r="A561" s="79">
        <v>1</v>
      </c>
      <c r="B561" s="80">
        <f>SUBTOTAL(103,$A$552:A561)</f>
        <v>10</v>
      </c>
      <c r="C561" s="77" t="s">
        <v>517</v>
      </c>
      <c r="D561" s="233">
        <v>1968</v>
      </c>
      <c r="E561" s="233"/>
      <c r="F561" s="233" t="s">
        <v>256</v>
      </c>
      <c r="G561" s="233" t="s">
        <v>337</v>
      </c>
      <c r="H561" s="233" t="s">
        <v>295</v>
      </c>
      <c r="I561" s="234">
        <v>3511.62</v>
      </c>
      <c r="J561" s="234">
        <v>3241.9</v>
      </c>
      <c r="K561" s="234">
        <v>2726.1</v>
      </c>
      <c r="L561" s="239">
        <v>238</v>
      </c>
      <c r="M561" s="233" t="s">
        <v>254</v>
      </c>
      <c r="N561" s="233" t="s">
        <v>258</v>
      </c>
      <c r="O561" s="236" t="s">
        <v>1303</v>
      </c>
      <c r="P561" s="78">
        <v>4279060.84</v>
      </c>
      <c r="Q561" s="78">
        <v>0</v>
      </c>
      <c r="R561" s="78">
        <v>0</v>
      </c>
      <c r="S561" s="78">
        <v>0</v>
      </c>
      <c r="T561" s="78">
        <f t="shared" si="36"/>
        <v>4279060.84</v>
      </c>
      <c r="U561" s="78">
        <f t="shared" si="31"/>
        <v>1218.5432478457237</v>
      </c>
      <c r="V561" s="78">
        <v>2761.1534803879695</v>
      </c>
    </row>
    <row r="562" spans="1:22" s="79" customFormat="1" ht="36" customHeight="1" x14ac:dyDescent="0.25">
      <c r="A562" s="79">
        <v>1</v>
      </c>
      <c r="B562" s="80">
        <f>SUBTOTAL(103,$A$552:A562)</f>
        <v>11</v>
      </c>
      <c r="C562" s="77" t="s">
        <v>516</v>
      </c>
      <c r="D562" s="233">
        <v>1970</v>
      </c>
      <c r="E562" s="233"/>
      <c r="F562" s="233" t="s">
        <v>256</v>
      </c>
      <c r="G562" s="233">
        <v>5</v>
      </c>
      <c r="H562" s="233" t="s">
        <v>295</v>
      </c>
      <c r="I562" s="234">
        <v>4104.5</v>
      </c>
      <c r="J562" s="234">
        <v>3361</v>
      </c>
      <c r="K562" s="234">
        <v>2986.4</v>
      </c>
      <c r="L562" s="239">
        <v>141</v>
      </c>
      <c r="M562" s="233" t="s">
        <v>254</v>
      </c>
      <c r="N562" s="233" t="s">
        <v>258</v>
      </c>
      <c r="O562" s="236" t="s">
        <v>1541</v>
      </c>
      <c r="P562" s="78">
        <v>4271373.3099999996</v>
      </c>
      <c r="Q562" s="78">
        <v>0</v>
      </c>
      <c r="R562" s="78">
        <v>0</v>
      </c>
      <c r="S562" s="78">
        <v>0</v>
      </c>
      <c r="T562" s="78">
        <f t="shared" si="36"/>
        <v>4271373.3099999996</v>
      </c>
      <c r="U562" s="78">
        <f t="shared" si="31"/>
        <v>1040.6561846753561</v>
      </c>
      <c r="V562" s="78">
        <v>2239.850953831161</v>
      </c>
    </row>
    <row r="563" spans="1:22" s="79" customFormat="1" ht="36" customHeight="1" x14ac:dyDescent="0.25">
      <c r="A563" s="79">
        <v>1</v>
      </c>
      <c r="B563" s="80">
        <f>SUBTOTAL(103,$A$552:A563)</f>
        <v>12</v>
      </c>
      <c r="C563" s="77" t="s">
        <v>743</v>
      </c>
      <c r="D563" s="233">
        <v>1961</v>
      </c>
      <c r="E563" s="233"/>
      <c r="F563" s="233" t="s">
        <v>256</v>
      </c>
      <c r="G563" s="233">
        <v>4</v>
      </c>
      <c r="H563" s="233" t="s">
        <v>290</v>
      </c>
      <c r="I563" s="234">
        <v>1116.9000000000001</v>
      </c>
      <c r="J563" s="234">
        <v>860.4</v>
      </c>
      <c r="K563" s="234">
        <v>748.8</v>
      </c>
      <c r="L563" s="239">
        <v>36</v>
      </c>
      <c r="M563" s="233" t="s">
        <v>254</v>
      </c>
      <c r="N563" s="233" t="s">
        <v>258</v>
      </c>
      <c r="O563" s="236" t="s">
        <v>1494</v>
      </c>
      <c r="P563" s="78">
        <v>88074.58</v>
      </c>
      <c r="Q563" s="78">
        <v>0</v>
      </c>
      <c r="R563" s="78">
        <v>0</v>
      </c>
      <c r="S563" s="78">
        <v>0</v>
      </c>
      <c r="T563" s="78">
        <f t="shared" si="36"/>
        <v>88074.58</v>
      </c>
      <c r="U563" s="78">
        <f t="shared" si="31"/>
        <v>78.856280777151042</v>
      </c>
      <c r="V563" s="81">
        <v>78.856280777151042</v>
      </c>
    </row>
    <row r="564" spans="1:22" s="79" customFormat="1" ht="36" customHeight="1" x14ac:dyDescent="0.25">
      <c r="A564" s="79">
        <v>1</v>
      </c>
      <c r="B564" s="80">
        <f>SUBTOTAL(103,$A$552:A564)</f>
        <v>13</v>
      </c>
      <c r="C564" s="77" t="s">
        <v>518</v>
      </c>
      <c r="D564" s="233" t="s">
        <v>294</v>
      </c>
      <c r="E564" s="233"/>
      <c r="F564" s="233" t="s">
        <v>298</v>
      </c>
      <c r="G564" s="233" t="s">
        <v>337</v>
      </c>
      <c r="H564" s="233" t="s">
        <v>295</v>
      </c>
      <c r="I564" s="234">
        <v>3904.9</v>
      </c>
      <c r="J564" s="234">
        <v>3572.7</v>
      </c>
      <c r="K564" s="234">
        <v>3572.7</v>
      </c>
      <c r="L564" s="239">
        <v>170</v>
      </c>
      <c r="M564" s="233" t="s">
        <v>254</v>
      </c>
      <c r="N564" s="233" t="s">
        <v>258</v>
      </c>
      <c r="O564" s="236" t="s">
        <v>1011</v>
      </c>
      <c r="P564" s="78">
        <v>4594145.79</v>
      </c>
      <c r="Q564" s="78">
        <v>0</v>
      </c>
      <c r="R564" s="78">
        <v>0</v>
      </c>
      <c r="S564" s="78">
        <v>0</v>
      </c>
      <c r="T564" s="78">
        <f t="shared" si="36"/>
        <v>4594145.79</v>
      </c>
      <c r="U564" s="78">
        <f t="shared" si="31"/>
        <v>1176.5079233783194</v>
      </c>
      <c r="V564" s="78">
        <v>2198.374966836539</v>
      </c>
    </row>
    <row r="565" spans="1:22" s="79" customFormat="1" ht="36" customHeight="1" x14ac:dyDescent="0.25">
      <c r="A565" s="79">
        <v>1</v>
      </c>
      <c r="B565" s="80">
        <f>SUBTOTAL(103,$A$552:A565)</f>
        <v>14</v>
      </c>
      <c r="C565" s="77" t="s">
        <v>519</v>
      </c>
      <c r="D565" s="233" t="s">
        <v>294</v>
      </c>
      <c r="E565" s="233"/>
      <c r="F565" s="233" t="s">
        <v>298</v>
      </c>
      <c r="G565" s="233" t="s">
        <v>337</v>
      </c>
      <c r="H565" s="233" t="s">
        <v>299</v>
      </c>
      <c r="I565" s="234">
        <v>3361</v>
      </c>
      <c r="J565" s="234">
        <v>2572.6</v>
      </c>
      <c r="K565" s="234">
        <v>2572.6</v>
      </c>
      <c r="L565" s="239">
        <v>133</v>
      </c>
      <c r="M565" s="233" t="s">
        <v>254</v>
      </c>
      <c r="N565" s="233" t="s">
        <v>258</v>
      </c>
      <c r="O565" s="236" t="s">
        <v>1011</v>
      </c>
      <c r="P565" s="78">
        <v>3671490.27</v>
      </c>
      <c r="Q565" s="78">
        <v>0</v>
      </c>
      <c r="R565" s="78">
        <v>0</v>
      </c>
      <c r="S565" s="78">
        <v>0</v>
      </c>
      <c r="T565" s="78">
        <f t="shared" si="36"/>
        <v>3671490.27</v>
      </c>
      <c r="U565" s="78">
        <f t="shared" si="31"/>
        <v>1092.3803243082416</v>
      </c>
      <c r="V565" s="78">
        <v>1920.5728223742933</v>
      </c>
    </row>
    <row r="566" spans="1:22" s="79" customFormat="1" ht="36" customHeight="1" x14ac:dyDescent="0.25">
      <c r="A566" s="79">
        <v>1</v>
      </c>
      <c r="B566" s="80">
        <f>SUBTOTAL(103,$A$552:A566)</f>
        <v>15</v>
      </c>
      <c r="C566" s="77" t="s">
        <v>1319</v>
      </c>
      <c r="D566" s="233">
        <v>1965</v>
      </c>
      <c r="E566" s="233"/>
      <c r="F566" s="233" t="s">
        <v>256</v>
      </c>
      <c r="G566" s="233">
        <v>5</v>
      </c>
      <c r="H566" s="233" t="s">
        <v>295</v>
      </c>
      <c r="I566" s="234">
        <v>4215.8</v>
      </c>
      <c r="J566" s="234">
        <v>4102.3</v>
      </c>
      <c r="K566" s="234">
        <v>2512.3000000000002</v>
      </c>
      <c r="L566" s="239">
        <v>122</v>
      </c>
      <c r="M566" s="233" t="s">
        <v>254</v>
      </c>
      <c r="N566" s="233" t="s">
        <v>258</v>
      </c>
      <c r="O566" s="236" t="s">
        <v>1011</v>
      </c>
      <c r="P566" s="78">
        <v>4922134.1900000004</v>
      </c>
      <c r="Q566" s="78">
        <v>0</v>
      </c>
      <c r="R566" s="78">
        <v>0</v>
      </c>
      <c r="S566" s="78">
        <v>0</v>
      </c>
      <c r="T566" s="78">
        <f t="shared" si="36"/>
        <v>4922134.1900000004</v>
      </c>
      <c r="U566" s="78">
        <f t="shared" si="31"/>
        <v>1167.5445206129323</v>
      </c>
      <c r="V566" s="78">
        <v>2288.5898951563167</v>
      </c>
    </row>
    <row r="567" spans="1:22" s="79" customFormat="1" ht="36" customHeight="1" x14ac:dyDescent="0.25">
      <c r="A567" s="79">
        <v>1</v>
      </c>
      <c r="B567" s="80">
        <f>SUBTOTAL(103,$A$552:A567)</f>
        <v>16</v>
      </c>
      <c r="C567" s="77" t="s">
        <v>521</v>
      </c>
      <c r="D567" s="233" t="s">
        <v>297</v>
      </c>
      <c r="E567" s="233"/>
      <c r="F567" s="233" t="s">
        <v>256</v>
      </c>
      <c r="G567" s="233" t="s">
        <v>337</v>
      </c>
      <c r="H567" s="233" t="s">
        <v>291</v>
      </c>
      <c r="I567" s="234">
        <v>667.4</v>
      </c>
      <c r="J567" s="234">
        <v>629.79999999999995</v>
      </c>
      <c r="K567" s="234">
        <v>629.79999999999995</v>
      </c>
      <c r="L567" s="239">
        <v>29</v>
      </c>
      <c r="M567" s="233" t="s">
        <v>254</v>
      </c>
      <c r="N567" s="233" t="s">
        <v>258</v>
      </c>
      <c r="O567" s="236" t="s">
        <v>1301</v>
      </c>
      <c r="P567" s="78">
        <v>954855.56</v>
      </c>
      <c r="Q567" s="78">
        <v>0</v>
      </c>
      <c r="R567" s="78">
        <v>0</v>
      </c>
      <c r="S567" s="78">
        <v>0</v>
      </c>
      <c r="T567" s="78">
        <f t="shared" si="36"/>
        <v>954855.56</v>
      </c>
      <c r="U567" s="78">
        <f t="shared" si="31"/>
        <v>1430.7095594845671</v>
      </c>
      <c r="V567" s="78">
        <v>3594.0721606233146</v>
      </c>
    </row>
    <row r="568" spans="1:22" s="79" customFormat="1" ht="36" customHeight="1" x14ac:dyDescent="0.25">
      <c r="A568" s="79">
        <v>1</v>
      </c>
      <c r="B568" s="80">
        <f>SUBTOTAL(103,$A$552:A568)</f>
        <v>17</v>
      </c>
      <c r="C568" s="77" t="s">
        <v>523</v>
      </c>
      <c r="D568" s="233" t="s">
        <v>293</v>
      </c>
      <c r="E568" s="233"/>
      <c r="F568" s="233" t="s">
        <v>256</v>
      </c>
      <c r="G568" s="233" t="s">
        <v>337</v>
      </c>
      <c r="H568" s="233" t="s">
        <v>295</v>
      </c>
      <c r="I568" s="234">
        <v>3951</v>
      </c>
      <c r="J568" s="234">
        <v>3662.3</v>
      </c>
      <c r="K568" s="234">
        <v>2494.3000000000002</v>
      </c>
      <c r="L568" s="239">
        <v>140</v>
      </c>
      <c r="M568" s="233" t="s">
        <v>254</v>
      </c>
      <c r="N568" s="233" t="s">
        <v>258</v>
      </c>
      <c r="O568" s="236" t="s">
        <v>1012</v>
      </c>
      <c r="P568" s="78">
        <v>99992.84</v>
      </c>
      <c r="Q568" s="78">
        <v>0</v>
      </c>
      <c r="R568" s="78">
        <v>0</v>
      </c>
      <c r="S568" s="78">
        <v>0</v>
      </c>
      <c r="T568" s="78">
        <f t="shared" si="36"/>
        <v>99992.84</v>
      </c>
      <c r="U568" s="78">
        <f t="shared" si="31"/>
        <v>25.308235889648188</v>
      </c>
      <c r="V568" s="81">
        <v>25.308235889648188</v>
      </c>
    </row>
    <row r="569" spans="1:22" s="79" customFormat="1" ht="36" customHeight="1" x14ac:dyDescent="0.25">
      <c r="A569" s="79">
        <v>1</v>
      </c>
      <c r="B569" s="80">
        <f>SUBTOTAL(103,$A$552:A569)</f>
        <v>18</v>
      </c>
      <c r="C569" s="77" t="s">
        <v>1529</v>
      </c>
      <c r="D569" s="233" t="s">
        <v>347</v>
      </c>
      <c r="E569" s="233"/>
      <c r="F569" s="233" t="s">
        <v>256</v>
      </c>
      <c r="G569" s="233" t="s">
        <v>290</v>
      </c>
      <c r="H569" s="233" t="s">
        <v>299</v>
      </c>
      <c r="I569" s="234">
        <v>574.1</v>
      </c>
      <c r="J569" s="234">
        <v>444.8</v>
      </c>
      <c r="K569" s="234">
        <v>444.8</v>
      </c>
      <c r="L569" s="239">
        <v>19</v>
      </c>
      <c r="M569" s="233" t="s">
        <v>254</v>
      </c>
      <c r="N569" s="233" t="s">
        <v>258</v>
      </c>
      <c r="O569" s="236" t="s">
        <v>1543</v>
      </c>
      <c r="P569" s="78">
        <v>82274.37</v>
      </c>
      <c r="Q569" s="78">
        <v>0</v>
      </c>
      <c r="R569" s="78">
        <v>0</v>
      </c>
      <c r="S569" s="78">
        <v>0</v>
      </c>
      <c r="T569" s="78">
        <f t="shared" si="36"/>
        <v>82274.37</v>
      </c>
      <c r="U569" s="78">
        <f t="shared" si="31"/>
        <v>143.31017244382511</v>
      </c>
      <c r="V569" s="78">
        <v>143.31017244382511</v>
      </c>
    </row>
    <row r="570" spans="1:22" s="79" customFormat="1" ht="36" customHeight="1" x14ac:dyDescent="0.25">
      <c r="A570" s="79">
        <v>1</v>
      </c>
      <c r="B570" s="80">
        <f>SUBTOTAL(103,$A$552:A570)</f>
        <v>19</v>
      </c>
      <c r="C570" s="77" t="s">
        <v>528</v>
      </c>
      <c r="D570" s="233">
        <v>1977</v>
      </c>
      <c r="E570" s="233"/>
      <c r="F570" s="233" t="s">
        <v>256</v>
      </c>
      <c r="G570" s="233">
        <v>2</v>
      </c>
      <c r="H570" s="233" t="s">
        <v>290</v>
      </c>
      <c r="I570" s="234">
        <v>814.4</v>
      </c>
      <c r="J570" s="234">
        <v>814.4</v>
      </c>
      <c r="K570" s="234">
        <v>814.4</v>
      </c>
      <c r="L570" s="239">
        <v>45</v>
      </c>
      <c r="M570" s="233" t="s">
        <v>254</v>
      </c>
      <c r="N570" s="233" t="s">
        <v>258</v>
      </c>
      <c r="O570" s="236" t="s">
        <v>1534</v>
      </c>
      <c r="P570" s="78">
        <v>76248.11</v>
      </c>
      <c r="Q570" s="78">
        <v>0</v>
      </c>
      <c r="R570" s="78">
        <v>0</v>
      </c>
      <c r="S570" s="78">
        <v>0</v>
      </c>
      <c r="T570" s="78">
        <f t="shared" si="36"/>
        <v>76248.11</v>
      </c>
      <c r="U570" s="78">
        <f t="shared" si="31"/>
        <v>93.624889489194501</v>
      </c>
      <c r="V570" s="81">
        <v>93.624889489194501</v>
      </c>
    </row>
    <row r="571" spans="1:22" s="79" customFormat="1" ht="36" customHeight="1" x14ac:dyDescent="0.25">
      <c r="A571" s="79">
        <v>1</v>
      </c>
      <c r="B571" s="80">
        <f>SUBTOTAL(103,$A$552:A571)</f>
        <v>20</v>
      </c>
      <c r="C571" s="77" t="s">
        <v>529</v>
      </c>
      <c r="D571" s="233" t="s">
        <v>350</v>
      </c>
      <c r="E571" s="233"/>
      <c r="F571" s="233" t="s">
        <v>256</v>
      </c>
      <c r="G571" s="233" t="s">
        <v>343</v>
      </c>
      <c r="H571" s="233" t="s">
        <v>299</v>
      </c>
      <c r="I571" s="234">
        <v>6810.7</v>
      </c>
      <c r="J571" s="234">
        <v>6388.4</v>
      </c>
      <c r="K571" s="234">
        <v>6388.4</v>
      </c>
      <c r="L571" s="239">
        <v>302</v>
      </c>
      <c r="M571" s="233" t="s">
        <v>254</v>
      </c>
      <c r="N571" s="233" t="s">
        <v>258</v>
      </c>
      <c r="O571" s="236" t="s">
        <v>1542</v>
      </c>
      <c r="P571" s="78">
        <v>2182292.5300000003</v>
      </c>
      <c r="Q571" s="78">
        <v>0</v>
      </c>
      <c r="R571" s="78">
        <v>0</v>
      </c>
      <c r="S571" s="78">
        <v>0</v>
      </c>
      <c r="T571" s="78">
        <f t="shared" si="36"/>
        <v>2182292.5300000003</v>
      </c>
      <c r="U571" s="78">
        <f t="shared" si="31"/>
        <v>320.42117990808583</v>
      </c>
      <c r="V571" s="78">
        <v>1307.9599688725095</v>
      </c>
    </row>
    <row r="572" spans="1:22" s="79" customFormat="1" ht="36" customHeight="1" x14ac:dyDescent="0.25">
      <c r="A572" s="79">
        <v>1</v>
      </c>
      <c r="B572" s="80">
        <f>SUBTOTAL(103,$A$552:A572)</f>
        <v>21</v>
      </c>
      <c r="C572" s="77" t="s">
        <v>531</v>
      </c>
      <c r="D572" s="233" t="s">
        <v>351</v>
      </c>
      <c r="E572" s="233"/>
      <c r="F572" s="233" t="s">
        <v>349</v>
      </c>
      <c r="G572" s="233" t="s">
        <v>290</v>
      </c>
      <c r="H572" s="233" t="s">
        <v>290</v>
      </c>
      <c r="I572" s="234">
        <v>485.3</v>
      </c>
      <c r="J572" s="234">
        <v>337.2</v>
      </c>
      <c r="K572" s="234">
        <v>337.2</v>
      </c>
      <c r="L572" s="239">
        <v>32</v>
      </c>
      <c r="M572" s="233" t="s">
        <v>254</v>
      </c>
      <c r="N572" s="233" t="s">
        <v>258</v>
      </c>
      <c r="O572" s="236" t="s">
        <v>1545</v>
      </c>
      <c r="P572" s="78">
        <v>1423006.46</v>
      </c>
      <c r="Q572" s="78">
        <v>0</v>
      </c>
      <c r="R572" s="78">
        <v>0</v>
      </c>
      <c r="S572" s="78">
        <v>0</v>
      </c>
      <c r="T572" s="78">
        <f t="shared" si="36"/>
        <v>1423006.46</v>
      </c>
      <c r="U572" s="78">
        <f t="shared" si="31"/>
        <v>2932.2201936946217</v>
      </c>
      <c r="V572" s="78">
        <v>7900.9420976715437</v>
      </c>
    </row>
    <row r="573" spans="1:22" s="79" customFormat="1" ht="36" customHeight="1" x14ac:dyDescent="0.25">
      <c r="A573" s="79">
        <v>1</v>
      </c>
      <c r="B573" s="80">
        <f>SUBTOTAL(103,$A$552:A573)</f>
        <v>22</v>
      </c>
      <c r="C573" s="77" t="s">
        <v>532</v>
      </c>
      <c r="D573" s="233" t="s">
        <v>352</v>
      </c>
      <c r="E573" s="233"/>
      <c r="F573" s="233" t="s">
        <v>298</v>
      </c>
      <c r="G573" s="233" t="s">
        <v>337</v>
      </c>
      <c r="H573" s="233" t="s">
        <v>295</v>
      </c>
      <c r="I573" s="234">
        <v>3872.2</v>
      </c>
      <c r="J573" s="234">
        <v>3548.7</v>
      </c>
      <c r="K573" s="234">
        <v>3548.7</v>
      </c>
      <c r="L573" s="239">
        <v>172</v>
      </c>
      <c r="M573" s="233" t="s">
        <v>254</v>
      </c>
      <c r="N573" s="233" t="s">
        <v>258</v>
      </c>
      <c r="O573" s="236" t="s">
        <v>1011</v>
      </c>
      <c r="P573" s="78">
        <v>3020366.74</v>
      </c>
      <c r="Q573" s="78">
        <v>0</v>
      </c>
      <c r="R573" s="78">
        <v>0</v>
      </c>
      <c r="S573" s="78">
        <v>0</v>
      </c>
      <c r="T573" s="78">
        <f t="shared" si="36"/>
        <v>3020366.74</v>
      </c>
      <c r="U573" s="78">
        <f t="shared" si="31"/>
        <v>780.01310366200107</v>
      </c>
      <c r="V573" s="78">
        <v>2130.122927534735</v>
      </c>
    </row>
    <row r="574" spans="1:22" s="79" customFormat="1" ht="36" customHeight="1" x14ac:dyDescent="0.25">
      <c r="A574" s="79">
        <v>1</v>
      </c>
      <c r="B574" s="80">
        <f>SUBTOTAL(103,$A$552:A574)</f>
        <v>23</v>
      </c>
      <c r="C574" s="77" t="s">
        <v>533</v>
      </c>
      <c r="D574" s="233" t="s">
        <v>346</v>
      </c>
      <c r="E574" s="233"/>
      <c r="F574" s="233" t="s">
        <v>256</v>
      </c>
      <c r="G574" s="233" t="s">
        <v>295</v>
      </c>
      <c r="H574" s="233" t="s">
        <v>299</v>
      </c>
      <c r="I574" s="234">
        <v>2170</v>
      </c>
      <c r="J574" s="234">
        <v>2000.7</v>
      </c>
      <c r="K574" s="234">
        <v>2000.7</v>
      </c>
      <c r="L574" s="239">
        <v>125</v>
      </c>
      <c r="M574" s="233" t="s">
        <v>254</v>
      </c>
      <c r="N574" s="233" t="s">
        <v>258</v>
      </c>
      <c r="O574" s="236" t="s">
        <v>1012</v>
      </c>
      <c r="P574" s="78">
        <v>99987.66</v>
      </c>
      <c r="Q574" s="78">
        <v>0</v>
      </c>
      <c r="R574" s="78">
        <v>0</v>
      </c>
      <c r="S574" s="78">
        <v>0</v>
      </c>
      <c r="T574" s="78">
        <f t="shared" si="36"/>
        <v>99987.66</v>
      </c>
      <c r="U574" s="78">
        <f t="shared" si="31"/>
        <v>46.077262672811059</v>
      </c>
      <c r="V574" s="81">
        <v>46.077262672811059</v>
      </c>
    </row>
    <row r="575" spans="1:22" s="79" customFormat="1" ht="36" customHeight="1" x14ac:dyDescent="0.25">
      <c r="A575" s="79">
        <v>1</v>
      </c>
      <c r="B575" s="80">
        <f>SUBTOTAL(103,$A$552:A575)</f>
        <v>24</v>
      </c>
      <c r="C575" s="77" t="s">
        <v>534</v>
      </c>
      <c r="D575" s="233">
        <v>1981</v>
      </c>
      <c r="E575" s="233"/>
      <c r="F575" s="233" t="s">
        <v>256</v>
      </c>
      <c r="G575" s="233" t="s">
        <v>355</v>
      </c>
      <c r="H575" s="233" t="s">
        <v>291</v>
      </c>
      <c r="I575" s="234">
        <v>1247.5999999999999</v>
      </c>
      <c r="J575" s="234">
        <v>982.4</v>
      </c>
      <c r="K575" s="234">
        <v>982.4</v>
      </c>
      <c r="L575" s="239">
        <v>40</v>
      </c>
      <c r="M575" s="233" t="s">
        <v>254</v>
      </c>
      <c r="N575" s="233" t="s">
        <v>258</v>
      </c>
      <c r="O575" s="236" t="s">
        <v>1317</v>
      </c>
      <c r="P575" s="78">
        <v>1009005.66</v>
      </c>
      <c r="Q575" s="78">
        <v>0</v>
      </c>
      <c r="R575" s="78">
        <v>0</v>
      </c>
      <c r="S575" s="78">
        <v>0</v>
      </c>
      <c r="T575" s="78">
        <f t="shared" si="36"/>
        <v>1009005.66</v>
      </c>
      <c r="U575" s="78">
        <f t="shared" si="31"/>
        <v>808.75734209682594</v>
      </c>
      <c r="V575" s="78">
        <v>1965.5226033985257</v>
      </c>
    </row>
    <row r="576" spans="1:22" s="79" customFormat="1" ht="36" customHeight="1" x14ac:dyDescent="0.25">
      <c r="A576" s="79">
        <v>1</v>
      </c>
      <c r="B576" s="80">
        <f>SUBTOTAL(103,$A$552:A576)</f>
        <v>25</v>
      </c>
      <c r="C576" s="77" t="s">
        <v>535</v>
      </c>
      <c r="D576" s="233" t="s">
        <v>303</v>
      </c>
      <c r="E576" s="233"/>
      <c r="F576" s="233" t="s">
        <v>256</v>
      </c>
      <c r="G576" s="233" t="s">
        <v>337</v>
      </c>
      <c r="H576" s="233" t="s">
        <v>291</v>
      </c>
      <c r="I576" s="234">
        <v>2919</v>
      </c>
      <c r="J576" s="234">
        <v>1836.4</v>
      </c>
      <c r="K576" s="234">
        <v>1239.3</v>
      </c>
      <c r="L576" s="239">
        <v>128</v>
      </c>
      <c r="M576" s="233" t="s">
        <v>254</v>
      </c>
      <c r="N576" s="233" t="s">
        <v>258</v>
      </c>
      <c r="O576" s="236" t="s">
        <v>1301</v>
      </c>
      <c r="P576" s="78">
        <v>2145058.59</v>
      </c>
      <c r="Q576" s="78">
        <v>0</v>
      </c>
      <c r="R576" s="78">
        <v>0</v>
      </c>
      <c r="S576" s="78">
        <v>0</v>
      </c>
      <c r="T576" s="78">
        <f t="shared" si="36"/>
        <v>2145058.59</v>
      </c>
      <c r="U576" s="78">
        <f t="shared" si="31"/>
        <v>734.86077081192184</v>
      </c>
      <c r="V576" s="78">
        <v>2172.5929592326142</v>
      </c>
    </row>
    <row r="577" spans="1:22" s="79" customFormat="1" ht="36" customHeight="1" x14ac:dyDescent="0.25">
      <c r="A577" s="79">
        <v>1</v>
      </c>
      <c r="B577" s="80">
        <f>SUBTOTAL(103,$A$552:A577)</f>
        <v>26</v>
      </c>
      <c r="C577" s="77" t="s">
        <v>536</v>
      </c>
      <c r="D577" s="233" t="s">
        <v>294</v>
      </c>
      <c r="E577" s="233"/>
      <c r="F577" s="233" t="s">
        <v>298</v>
      </c>
      <c r="G577" s="233" t="s">
        <v>337</v>
      </c>
      <c r="H577" s="233" t="s">
        <v>2124</v>
      </c>
      <c r="I577" s="234">
        <v>8158.5</v>
      </c>
      <c r="J577" s="234">
        <v>6419.1</v>
      </c>
      <c r="K577" s="234">
        <v>6419.1</v>
      </c>
      <c r="L577" s="239">
        <v>324</v>
      </c>
      <c r="M577" s="233" t="s">
        <v>254</v>
      </c>
      <c r="N577" s="233" t="s">
        <v>258</v>
      </c>
      <c r="O577" s="236" t="s">
        <v>1301</v>
      </c>
      <c r="P577" s="78">
        <v>77179.509999999995</v>
      </c>
      <c r="Q577" s="78">
        <v>0</v>
      </c>
      <c r="R577" s="78">
        <v>0</v>
      </c>
      <c r="S577" s="78">
        <v>0</v>
      </c>
      <c r="T577" s="78">
        <f t="shared" si="36"/>
        <v>77179.509999999995</v>
      </c>
      <c r="U577" s="78">
        <f t="shared" si="31"/>
        <v>9.460012257155114</v>
      </c>
      <c r="V577" s="81">
        <v>9.460012257155114</v>
      </c>
    </row>
    <row r="578" spans="1:22" s="79" customFormat="1" ht="36" customHeight="1" x14ac:dyDescent="0.25">
      <c r="A578" s="79">
        <v>1</v>
      </c>
      <c r="B578" s="80">
        <f>SUBTOTAL(103,$A$552:A578)</f>
        <v>27</v>
      </c>
      <c r="C578" s="77" t="s">
        <v>537</v>
      </c>
      <c r="D578" s="233" t="s">
        <v>293</v>
      </c>
      <c r="E578" s="233"/>
      <c r="F578" s="233" t="s">
        <v>256</v>
      </c>
      <c r="G578" s="233" t="s">
        <v>295</v>
      </c>
      <c r="H578" s="233" t="s">
        <v>299</v>
      </c>
      <c r="I578" s="234">
        <v>2920</v>
      </c>
      <c r="J578" s="234">
        <v>1821.8</v>
      </c>
      <c r="K578" s="234">
        <v>1606.7</v>
      </c>
      <c r="L578" s="239">
        <v>121</v>
      </c>
      <c r="M578" s="233" t="s">
        <v>254</v>
      </c>
      <c r="N578" s="233" t="s">
        <v>258</v>
      </c>
      <c r="O578" s="236" t="s">
        <v>1301</v>
      </c>
      <c r="P578" s="78">
        <v>4123717.73</v>
      </c>
      <c r="Q578" s="78">
        <v>0</v>
      </c>
      <c r="R578" s="78">
        <v>0</v>
      </c>
      <c r="S578" s="78">
        <v>0</v>
      </c>
      <c r="T578" s="78">
        <f>P578-R578-S578</f>
        <v>4123717.73</v>
      </c>
      <c r="U578" s="78">
        <f t="shared" si="31"/>
        <v>1412.2320993150686</v>
      </c>
      <c r="V578" s="78">
        <v>2823.9227394520549</v>
      </c>
    </row>
    <row r="579" spans="1:22" s="79" customFormat="1" ht="36" customHeight="1" x14ac:dyDescent="0.25">
      <c r="A579" s="79">
        <v>1</v>
      </c>
      <c r="B579" s="80">
        <f>SUBTOTAL(103,$A$552:A579)</f>
        <v>28</v>
      </c>
      <c r="C579" s="77" t="s">
        <v>1296</v>
      </c>
      <c r="D579" s="233">
        <v>1961</v>
      </c>
      <c r="E579" s="233"/>
      <c r="F579" s="233" t="s">
        <v>256</v>
      </c>
      <c r="G579" s="233" t="s">
        <v>337</v>
      </c>
      <c r="H579" s="233" t="s">
        <v>299</v>
      </c>
      <c r="I579" s="234">
        <v>2946.9</v>
      </c>
      <c r="J579" s="234">
        <v>2565.1</v>
      </c>
      <c r="K579" s="234">
        <v>2131.1999999999998</v>
      </c>
      <c r="L579" s="239">
        <v>129</v>
      </c>
      <c r="M579" s="233" t="s">
        <v>254</v>
      </c>
      <c r="N579" s="233" t="s">
        <v>258</v>
      </c>
      <c r="O579" s="236" t="s">
        <v>1302</v>
      </c>
      <c r="P579" s="78">
        <v>99997.66</v>
      </c>
      <c r="Q579" s="78">
        <v>0</v>
      </c>
      <c r="R579" s="78">
        <v>0</v>
      </c>
      <c r="S579" s="78">
        <v>0</v>
      </c>
      <c r="T579" s="78">
        <f t="shared" si="36"/>
        <v>99997.66</v>
      </c>
      <c r="U579" s="78">
        <f t="shared" si="31"/>
        <v>33.933170450303706</v>
      </c>
      <c r="V579" s="81">
        <v>33.933170450303706</v>
      </c>
    </row>
    <row r="580" spans="1:22" s="79" customFormat="1" ht="36" customHeight="1" x14ac:dyDescent="0.25">
      <c r="A580" s="79">
        <v>1</v>
      </c>
      <c r="B580" s="80">
        <f>SUBTOTAL(103,$A$552:A580)</f>
        <v>29</v>
      </c>
      <c r="C580" s="77" t="s">
        <v>1297</v>
      </c>
      <c r="D580" s="233">
        <v>1994</v>
      </c>
      <c r="E580" s="233"/>
      <c r="F580" s="233" t="s">
        <v>256</v>
      </c>
      <c r="G580" s="233">
        <v>4</v>
      </c>
      <c r="H580" s="233" t="s">
        <v>299</v>
      </c>
      <c r="I580" s="234">
        <v>1861.8</v>
      </c>
      <c r="J580" s="234">
        <v>1644.3</v>
      </c>
      <c r="K580" s="234">
        <v>1644.3</v>
      </c>
      <c r="L580" s="239">
        <v>71</v>
      </c>
      <c r="M580" s="233" t="s">
        <v>254</v>
      </c>
      <c r="N580" s="233" t="s">
        <v>258</v>
      </c>
      <c r="O580" s="236" t="s">
        <v>1314</v>
      </c>
      <c r="P580" s="78">
        <v>99991.79</v>
      </c>
      <c r="Q580" s="78">
        <v>0</v>
      </c>
      <c r="R580" s="78">
        <v>0</v>
      </c>
      <c r="S580" s="78">
        <v>0</v>
      </c>
      <c r="T580" s="78">
        <f t="shared" si="36"/>
        <v>99991.79</v>
      </c>
      <c r="U580" s="78">
        <f t="shared" si="31"/>
        <v>53.70705231496401</v>
      </c>
      <c r="V580" s="81">
        <v>53.70705231496401</v>
      </c>
    </row>
    <row r="581" spans="1:22" s="79" customFormat="1" ht="36" customHeight="1" x14ac:dyDescent="0.25">
      <c r="A581" s="79">
        <v>1</v>
      </c>
      <c r="B581" s="80">
        <f>SUBTOTAL(103,$A$552:A581)</f>
        <v>30</v>
      </c>
      <c r="C581" s="77" t="s">
        <v>1298</v>
      </c>
      <c r="D581" s="233">
        <v>1917</v>
      </c>
      <c r="E581" s="233"/>
      <c r="F581" s="233" t="s">
        <v>256</v>
      </c>
      <c r="G581" s="233">
        <v>3</v>
      </c>
      <c r="H581" s="233" t="s">
        <v>290</v>
      </c>
      <c r="I581" s="234">
        <v>1376.9</v>
      </c>
      <c r="J581" s="234">
        <v>1164.9000000000001</v>
      </c>
      <c r="K581" s="234">
        <v>779.2</v>
      </c>
      <c r="L581" s="239">
        <v>40</v>
      </c>
      <c r="M581" s="233" t="s">
        <v>254</v>
      </c>
      <c r="N581" s="233" t="s">
        <v>258</v>
      </c>
      <c r="O581" s="236" t="s">
        <v>1301</v>
      </c>
      <c r="P581" s="78">
        <v>3221697.6799999997</v>
      </c>
      <c r="Q581" s="78">
        <v>0</v>
      </c>
      <c r="R581" s="78">
        <v>0</v>
      </c>
      <c r="S581" s="78">
        <v>0</v>
      </c>
      <c r="T581" s="78">
        <f t="shared" si="36"/>
        <v>3221697.6799999997</v>
      </c>
      <c r="U581" s="78">
        <f t="shared" si="31"/>
        <v>2339.8196528433432</v>
      </c>
      <c r="V581" s="78">
        <v>4688.7478829254123</v>
      </c>
    </row>
    <row r="582" spans="1:22" s="79" customFormat="1" ht="36" customHeight="1" x14ac:dyDescent="0.25">
      <c r="A582" s="79">
        <v>1</v>
      </c>
      <c r="B582" s="80">
        <f>SUBTOTAL(103,$A$552:A582)</f>
        <v>31</v>
      </c>
      <c r="C582" s="77" t="s">
        <v>1299</v>
      </c>
      <c r="D582" s="233">
        <v>1961</v>
      </c>
      <c r="E582" s="233"/>
      <c r="F582" s="233" t="s">
        <v>256</v>
      </c>
      <c r="G582" s="233" t="s">
        <v>295</v>
      </c>
      <c r="H582" s="233" t="s">
        <v>290</v>
      </c>
      <c r="I582" s="234">
        <v>1478.4</v>
      </c>
      <c r="J582" s="234">
        <v>1363.8</v>
      </c>
      <c r="K582" s="234">
        <v>1044.5999999999999</v>
      </c>
      <c r="L582" s="239">
        <v>50</v>
      </c>
      <c r="M582" s="233" t="s">
        <v>254</v>
      </c>
      <c r="N582" s="233" t="s">
        <v>258</v>
      </c>
      <c r="O582" s="236" t="s">
        <v>1316</v>
      </c>
      <c r="P582" s="78">
        <v>99990.04</v>
      </c>
      <c r="Q582" s="78">
        <v>0</v>
      </c>
      <c r="R582" s="78">
        <v>0</v>
      </c>
      <c r="S582" s="78">
        <v>0</v>
      </c>
      <c r="T582" s="78">
        <f t="shared" si="36"/>
        <v>99990.04</v>
      </c>
      <c r="U582" s="78">
        <f t="shared" si="31"/>
        <v>67.633955627705618</v>
      </c>
      <c r="V582" s="81">
        <v>67.633955627705618</v>
      </c>
    </row>
    <row r="583" spans="1:22" s="79" customFormat="1" ht="36" customHeight="1" x14ac:dyDescent="0.25">
      <c r="A583" s="79">
        <v>1</v>
      </c>
      <c r="B583" s="80">
        <f>SUBTOTAL(103,$A$552:A583)</f>
        <v>32</v>
      </c>
      <c r="C583" s="77" t="s">
        <v>1004</v>
      </c>
      <c r="D583" s="233">
        <v>1941</v>
      </c>
      <c r="E583" s="233"/>
      <c r="F583" s="233" t="s">
        <v>256</v>
      </c>
      <c r="G583" s="233">
        <v>3</v>
      </c>
      <c r="H583" s="233" t="s">
        <v>290</v>
      </c>
      <c r="I583" s="234">
        <v>1265</v>
      </c>
      <c r="J583" s="234">
        <v>1152.5999999999999</v>
      </c>
      <c r="K583" s="234">
        <v>1105.5</v>
      </c>
      <c r="L583" s="239">
        <v>60</v>
      </c>
      <c r="M583" s="233" t="s">
        <v>254</v>
      </c>
      <c r="N583" s="233" t="s">
        <v>258</v>
      </c>
      <c r="O583" s="236" t="s">
        <v>1012</v>
      </c>
      <c r="P583" s="78">
        <v>2198934.85</v>
      </c>
      <c r="Q583" s="78">
        <v>0</v>
      </c>
      <c r="R583" s="78">
        <v>0</v>
      </c>
      <c r="S583" s="78">
        <v>0</v>
      </c>
      <c r="T583" s="78">
        <f t="shared" si="36"/>
        <v>2198934.85</v>
      </c>
      <c r="U583" s="78">
        <f t="shared" si="31"/>
        <v>1738.288418972332</v>
      </c>
      <c r="V583" s="78">
        <v>6539.7081369169964</v>
      </c>
    </row>
    <row r="584" spans="1:22" s="79" customFormat="1" ht="36" customHeight="1" x14ac:dyDescent="0.25">
      <c r="A584" s="79">
        <v>1</v>
      </c>
      <c r="B584" s="80">
        <f>SUBTOTAL(103,$A$552:A584)</f>
        <v>33</v>
      </c>
      <c r="C584" s="77" t="s">
        <v>1318</v>
      </c>
      <c r="D584" s="233">
        <v>1961</v>
      </c>
      <c r="E584" s="233"/>
      <c r="F584" s="233" t="s">
        <v>256</v>
      </c>
      <c r="G584" s="233" t="s">
        <v>355</v>
      </c>
      <c r="H584" s="233" t="s">
        <v>299</v>
      </c>
      <c r="I584" s="234">
        <v>2941.6</v>
      </c>
      <c r="J584" s="234">
        <v>2564.1</v>
      </c>
      <c r="K584" s="234">
        <v>2365.9</v>
      </c>
      <c r="L584" s="239">
        <v>130</v>
      </c>
      <c r="M584" s="233" t="s">
        <v>254</v>
      </c>
      <c r="N584" s="233" t="s">
        <v>258</v>
      </c>
      <c r="O584" s="236" t="s">
        <v>1302</v>
      </c>
      <c r="P584" s="78">
        <v>3448054.6999999997</v>
      </c>
      <c r="Q584" s="78">
        <v>0</v>
      </c>
      <c r="R584" s="78">
        <v>0</v>
      </c>
      <c r="S584" s="78">
        <v>0</v>
      </c>
      <c r="T584" s="78">
        <f t="shared" si="36"/>
        <v>3448054.6999999997</v>
      </c>
      <c r="U584" s="78">
        <f t="shared" si="31"/>
        <v>1172.169805548001</v>
      </c>
      <c r="V584" s="78">
        <v>2742.1656187109061</v>
      </c>
    </row>
    <row r="585" spans="1:22" s="79" customFormat="1" ht="36" customHeight="1" x14ac:dyDescent="0.25">
      <c r="A585" s="79">
        <v>1</v>
      </c>
      <c r="B585" s="80">
        <f>SUBTOTAL(103,$A$552:A585)</f>
        <v>34</v>
      </c>
      <c r="C585" s="77" t="s">
        <v>1052</v>
      </c>
      <c r="D585" s="233" t="s">
        <v>352</v>
      </c>
      <c r="E585" s="233"/>
      <c r="F585" s="233" t="s">
        <v>256</v>
      </c>
      <c r="G585" s="233" t="s">
        <v>295</v>
      </c>
      <c r="H585" s="233" t="s">
        <v>290</v>
      </c>
      <c r="I585" s="234">
        <v>1341.9</v>
      </c>
      <c r="J585" s="234">
        <v>1245.7</v>
      </c>
      <c r="K585" s="234">
        <v>1245.7</v>
      </c>
      <c r="L585" s="239">
        <v>62</v>
      </c>
      <c r="M585" s="233" t="s">
        <v>254</v>
      </c>
      <c r="N585" s="233" t="s">
        <v>258</v>
      </c>
      <c r="O585" s="236" t="s">
        <v>1540</v>
      </c>
      <c r="P585" s="78">
        <v>2598185.58</v>
      </c>
      <c r="Q585" s="78">
        <v>0</v>
      </c>
      <c r="R585" s="78">
        <v>0</v>
      </c>
      <c r="S585" s="78">
        <v>0</v>
      </c>
      <c r="T585" s="78">
        <f t="shared" si="36"/>
        <v>2598185.58</v>
      </c>
      <c r="U585" s="78">
        <f t="shared" si="31"/>
        <v>1936.1991057455846</v>
      </c>
      <c r="V585" s="78">
        <v>3060.0617929801028</v>
      </c>
    </row>
    <row r="586" spans="1:22" s="79" customFormat="1" ht="36" customHeight="1" x14ac:dyDescent="0.25">
      <c r="A586" s="79">
        <v>1</v>
      </c>
      <c r="B586" s="80">
        <f>SUBTOTAL(103,$A$552:A586)</f>
        <v>35</v>
      </c>
      <c r="C586" s="77" t="s">
        <v>1516</v>
      </c>
      <c r="D586" s="233">
        <v>1966</v>
      </c>
      <c r="E586" s="233"/>
      <c r="F586" s="233" t="s">
        <v>298</v>
      </c>
      <c r="G586" s="233">
        <v>5</v>
      </c>
      <c r="H586" s="233" t="s">
        <v>295</v>
      </c>
      <c r="I586" s="234">
        <v>3858.2</v>
      </c>
      <c r="J586" s="234">
        <v>3557.3</v>
      </c>
      <c r="K586" s="234">
        <v>3557.3</v>
      </c>
      <c r="L586" s="239">
        <v>184</v>
      </c>
      <c r="M586" s="233" t="s">
        <v>254</v>
      </c>
      <c r="N586" s="233" t="s">
        <v>258</v>
      </c>
      <c r="O586" s="236" t="s">
        <v>1011</v>
      </c>
      <c r="P586" s="78">
        <v>3147226.0100000002</v>
      </c>
      <c r="Q586" s="78">
        <v>0</v>
      </c>
      <c r="R586" s="78">
        <v>0</v>
      </c>
      <c r="S586" s="78">
        <v>0</v>
      </c>
      <c r="T586" s="78">
        <f t="shared" si="36"/>
        <v>3147226.0100000002</v>
      </c>
      <c r="U586" s="78">
        <f t="shared" si="31"/>
        <v>815.72391529728895</v>
      </c>
      <c r="V586" s="78">
        <v>2298.3877451661397</v>
      </c>
    </row>
    <row r="587" spans="1:22" s="79" customFormat="1" ht="36" customHeight="1" x14ac:dyDescent="0.25">
      <c r="A587" s="79">
        <v>1</v>
      </c>
      <c r="B587" s="80">
        <f>SUBTOTAL(103,$A$552:A587)</f>
        <v>36</v>
      </c>
      <c r="C587" s="77" t="s">
        <v>1579</v>
      </c>
      <c r="D587" s="233">
        <v>1989</v>
      </c>
      <c r="E587" s="233"/>
      <c r="F587" s="233" t="s">
        <v>304</v>
      </c>
      <c r="G587" s="233">
        <v>7</v>
      </c>
      <c r="H587" s="233" t="s">
        <v>290</v>
      </c>
      <c r="I587" s="234">
        <v>4121.3999999999996</v>
      </c>
      <c r="J587" s="234">
        <v>3057</v>
      </c>
      <c r="K587" s="234">
        <v>3057</v>
      </c>
      <c r="L587" s="239">
        <v>163</v>
      </c>
      <c r="M587" s="233" t="s">
        <v>254</v>
      </c>
      <c r="N587" s="233" t="s">
        <v>258</v>
      </c>
      <c r="O587" s="236" t="s">
        <v>1582</v>
      </c>
      <c r="P587" s="78">
        <v>2873967.7</v>
      </c>
      <c r="Q587" s="78">
        <v>0</v>
      </c>
      <c r="R587" s="78">
        <v>1982592</v>
      </c>
      <c r="S587" s="78">
        <v>0</v>
      </c>
      <c r="T587" s="78">
        <f t="shared" si="36"/>
        <v>891375.70000000019</v>
      </c>
      <c r="U587" s="78">
        <f t="shared" si="31"/>
        <v>697.32801960498875</v>
      </c>
      <c r="V587" s="78">
        <v>1120.7123792885914</v>
      </c>
    </row>
    <row r="588" spans="1:22" s="79" customFormat="1" ht="36" customHeight="1" x14ac:dyDescent="0.25">
      <c r="A588" s="79">
        <v>1</v>
      </c>
      <c r="B588" s="80">
        <f>SUBTOTAL(103,$A$552:A588)</f>
        <v>37</v>
      </c>
      <c r="C588" s="77" t="s">
        <v>466</v>
      </c>
      <c r="D588" s="233">
        <v>1957</v>
      </c>
      <c r="E588" s="233"/>
      <c r="F588" s="233" t="s">
        <v>256</v>
      </c>
      <c r="G588" s="233">
        <v>2</v>
      </c>
      <c r="H588" s="233" t="s">
        <v>291</v>
      </c>
      <c r="I588" s="234">
        <v>718.26</v>
      </c>
      <c r="J588" s="234">
        <v>408.26</v>
      </c>
      <c r="K588" s="234">
        <v>408.26</v>
      </c>
      <c r="L588" s="239">
        <v>22</v>
      </c>
      <c r="M588" s="233" t="s">
        <v>254</v>
      </c>
      <c r="N588" s="233" t="s">
        <v>258</v>
      </c>
      <c r="O588" s="236" t="s">
        <v>1241</v>
      </c>
      <c r="P588" s="78">
        <v>1511938.35</v>
      </c>
      <c r="Q588" s="78">
        <v>0</v>
      </c>
      <c r="R588" s="78">
        <v>0</v>
      </c>
      <c r="S588" s="78">
        <v>0</v>
      </c>
      <c r="T588" s="78">
        <f t="shared" si="36"/>
        <v>1511938.35</v>
      </c>
      <c r="U588" s="78">
        <f t="shared" si="31"/>
        <v>2105.0014618661767</v>
      </c>
      <c r="V588" s="78">
        <v>5289.1279202517198</v>
      </c>
    </row>
    <row r="589" spans="1:22" s="79" customFormat="1" ht="36" customHeight="1" x14ac:dyDescent="0.25">
      <c r="A589" s="79">
        <v>1</v>
      </c>
      <c r="B589" s="80">
        <f>SUBTOTAL(103,$A$552:A589)</f>
        <v>38</v>
      </c>
      <c r="C589" s="77" t="s">
        <v>471</v>
      </c>
      <c r="D589" s="233">
        <v>1995</v>
      </c>
      <c r="E589" s="233"/>
      <c r="F589" s="233" t="s">
        <v>256</v>
      </c>
      <c r="G589" s="233">
        <v>9</v>
      </c>
      <c r="H589" s="233" t="s">
        <v>291</v>
      </c>
      <c r="I589" s="234">
        <v>6176.6</v>
      </c>
      <c r="J589" s="234">
        <v>5017.5</v>
      </c>
      <c r="K589" s="234">
        <v>4212.5</v>
      </c>
      <c r="L589" s="239">
        <v>299</v>
      </c>
      <c r="M589" s="233" t="s">
        <v>254</v>
      </c>
      <c r="N589" s="233" t="s">
        <v>258</v>
      </c>
      <c r="O589" s="236" t="s">
        <v>1011</v>
      </c>
      <c r="P589" s="78">
        <v>2025779.83</v>
      </c>
      <c r="Q589" s="78">
        <v>0</v>
      </c>
      <c r="R589" s="78">
        <v>0</v>
      </c>
      <c r="S589" s="78">
        <v>0</v>
      </c>
      <c r="T589" s="78">
        <f t="shared" si="36"/>
        <v>2025779.83</v>
      </c>
      <c r="U589" s="78">
        <f t="shared" ref="U589:U639" si="37">P589/I589</f>
        <v>327.97652915843668</v>
      </c>
      <c r="V589" s="78">
        <v>397.92118641323702</v>
      </c>
    </row>
    <row r="590" spans="1:22" s="79" customFormat="1" ht="36" customHeight="1" x14ac:dyDescent="0.25">
      <c r="A590" s="79">
        <v>1</v>
      </c>
      <c r="B590" s="80">
        <f>SUBTOTAL(103,$A$552:A590)</f>
        <v>39</v>
      </c>
      <c r="C590" s="77" t="s">
        <v>478</v>
      </c>
      <c r="D590" s="233">
        <v>1985</v>
      </c>
      <c r="E590" s="233"/>
      <c r="F590" s="233" t="s">
        <v>298</v>
      </c>
      <c r="G590" s="233">
        <v>2</v>
      </c>
      <c r="H590" s="233" t="s">
        <v>290</v>
      </c>
      <c r="I590" s="234">
        <v>617.79999999999995</v>
      </c>
      <c r="J590" s="234">
        <v>560.5</v>
      </c>
      <c r="K590" s="234">
        <v>560.5</v>
      </c>
      <c r="L590" s="239">
        <v>38</v>
      </c>
      <c r="M590" s="233" t="s">
        <v>254</v>
      </c>
      <c r="N590" s="233" t="s">
        <v>258</v>
      </c>
      <c r="O590" s="236" t="s">
        <v>1301</v>
      </c>
      <c r="P590" s="78">
        <v>1994020.5499999998</v>
      </c>
      <c r="Q590" s="78">
        <v>0</v>
      </c>
      <c r="R590" s="78">
        <v>0</v>
      </c>
      <c r="S590" s="78">
        <v>0</v>
      </c>
      <c r="T590" s="78">
        <f t="shared" si="36"/>
        <v>1994020.5499999998</v>
      </c>
      <c r="U590" s="78">
        <f t="shared" si="37"/>
        <v>3227.6150048559402</v>
      </c>
      <c r="V590" s="78">
        <v>6913.6648753641966</v>
      </c>
    </row>
    <row r="591" spans="1:22" s="79" customFormat="1" ht="36" customHeight="1" x14ac:dyDescent="0.25">
      <c r="A591" s="79">
        <v>1</v>
      </c>
      <c r="B591" s="80">
        <f>SUBTOTAL(103,$A$552:A591)</f>
        <v>40</v>
      </c>
      <c r="C591" s="77" t="s">
        <v>1514</v>
      </c>
      <c r="D591" s="233">
        <v>1962</v>
      </c>
      <c r="E591" s="233"/>
      <c r="F591" s="233" t="s">
        <v>256</v>
      </c>
      <c r="G591" s="233">
        <v>2</v>
      </c>
      <c r="H591" s="233" t="s">
        <v>290</v>
      </c>
      <c r="I591" s="234">
        <v>682.9</v>
      </c>
      <c r="J591" s="234">
        <v>653.4</v>
      </c>
      <c r="K591" s="234">
        <v>653.4</v>
      </c>
      <c r="L591" s="239">
        <v>36</v>
      </c>
      <c r="M591" s="233" t="s">
        <v>254</v>
      </c>
      <c r="N591" s="233" t="s">
        <v>258</v>
      </c>
      <c r="O591" s="236" t="s">
        <v>1304</v>
      </c>
      <c r="P591" s="78">
        <v>2018639.07</v>
      </c>
      <c r="Q591" s="78">
        <v>0</v>
      </c>
      <c r="R591" s="78">
        <v>0</v>
      </c>
      <c r="S591" s="78">
        <v>0</v>
      </c>
      <c r="T591" s="78">
        <f t="shared" si="36"/>
        <v>2018639.07</v>
      </c>
      <c r="U591" s="78">
        <f t="shared" si="37"/>
        <v>2955.9804803045836</v>
      </c>
      <c r="V591" s="78">
        <v>7482.0089617806425</v>
      </c>
    </row>
    <row r="592" spans="1:22" s="79" customFormat="1" ht="36" customHeight="1" x14ac:dyDescent="0.25">
      <c r="A592" s="79">
        <v>1</v>
      </c>
      <c r="B592" s="80">
        <f>SUBTOTAL(103,$A$552:A592)</f>
        <v>41</v>
      </c>
      <c r="C592" s="77" t="s">
        <v>1591</v>
      </c>
      <c r="D592" s="233">
        <v>1991</v>
      </c>
      <c r="E592" s="233"/>
      <c r="F592" s="233" t="s">
        <v>298</v>
      </c>
      <c r="G592" s="233">
        <v>9</v>
      </c>
      <c r="H592" s="233" t="s">
        <v>295</v>
      </c>
      <c r="I592" s="234">
        <v>8855.2999999999993</v>
      </c>
      <c r="J592" s="234">
        <v>8855.2999999999993</v>
      </c>
      <c r="K592" s="234">
        <v>8855.2999999999993</v>
      </c>
      <c r="L592" s="239">
        <v>382</v>
      </c>
      <c r="M592" s="233" t="s">
        <v>254</v>
      </c>
      <c r="N592" s="233" t="s">
        <v>258</v>
      </c>
      <c r="O592" s="236" t="s">
        <v>334</v>
      </c>
      <c r="P592" s="78">
        <v>6556437.4000000004</v>
      </c>
      <c r="Q592" s="78">
        <v>0</v>
      </c>
      <c r="R592" s="78">
        <v>4598400</v>
      </c>
      <c r="S592" s="78">
        <v>0</v>
      </c>
      <c r="T592" s="78">
        <f t="shared" si="36"/>
        <v>1958037.4000000004</v>
      </c>
      <c r="U592" s="78">
        <f t="shared" si="37"/>
        <v>740.39698259799229</v>
      </c>
      <c r="V592" s="78">
        <v>1110.205187853602</v>
      </c>
    </row>
    <row r="593" spans="1:22" s="79" customFormat="1" ht="36" customHeight="1" x14ac:dyDescent="0.25">
      <c r="A593" s="79">
        <v>1</v>
      </c>
      <c r="B593" s="80">
        <f>SUBTOTAL(103,$A$552:A593)</f>
        <v>42</v>
      </c>
      <c r="C593" s="77" t="s">
        <v>1592</v>
      </c>
      <c r="D593" s="242">
        <v>1998</v>
      </c>
      <c r="E593" s="233"/>
      <c r="F593" s="233" t="s">
        <v>256</v>
      </c>
      <c r="G593" s="233">
        <v>10</v>
      </c>
      <c r="H593" s="233" t="s">
        <v>290</v>
      </c>
      <c r="I593" s="234">
        <v>5111.5</v>
      </c>
      <c r="J593" s="234">
        <v>5111.5</v>
      </c>
      <c r="K593" s="234">
        <v>5111.5</v>
      </c>
      <c r="L593" s="239">
        <v>194</v>
      </c>
      <c r="M593" s="233" t="s">
        <v>254</v>
      </c>
      <c r="N593" s="233" t="s">
        <v>258</v>
      </c>
      <c r="O593" s="236" t="s">
        <v>1302</v>
      </c>
      <c r="P593" s="78">
        <v>2860657.33</v>
      </c>
      <c r="Q593" s="78">
        <v>0</v>
      </c>
      <c r="R593" s="78">
        <v>0</v>
      </c>
      <c r="S593" s="78">
        <v>0</v>
      </c>
      <c r="T593" s="78">
        <f t="shared" si="36"/>
        <v>2860657.33</v>
      </c>
      <c r="U593" s="78">
        <f t="shared" si="37"/>
        <v>559.65124327496824</v>
      </c>
      <c r="V593" s="78">
        <v>1418.9110152401449</v>
      </c>
    </row>
    <row r="594" spans="1:22" s="79" customFormat="1" ht="36" customHeight="1" x14ac:dyDescent="0.25">
      <c r="A594" s="79">
        <v>1</v>
      </c>
      <c r="B594" s="80">
        <f>SUBTOTAL(103,$A$552:A594)</f>
        <v>43</v>
      </c>
      <c r="C594" s="77" t="s">
        <v>1758</v>
      </c>
      <c r="D594" s="233">
        <v>1970</v>
      </c>
      <c r="E594" s="233"/>
      <c r="F594" s="233" t="s">
        <v>256</v>
      </c>
      <c r="G594" s="233">
        <v>5</v>
      </c>
      <c r="H594" s="233" t="s">
        <v>290</v>
      </c>
      <c r="I594" s="78">
        <v>2303.6999999999998</v>
      </c>
      <c r="J594" s="78">
        <v>1759</v>
      </c>
      <c r="K594" s="78">
        <v>1399.2</v>
      </c>
      <c r="L594" s="239">
        <v>77</v>
      </c>
      <c r="M594" s="233" t="s">
        <v>254</v>
      </c>
      <c r="N594" s="233" t="s">
        <v>258</v>
      </c>
      <c r="O594" s="236" t="s">
        <v>1301</v>
      </c>
      <c r="P594" s="78">
        <v>99980.24</v>
      </c>
      <c r="Q594" s="78">
        <v>0</v>
      </c>
      <c r="R594" s="78">
        <v>0</v>
      </c>
      <c r="S594" s="78">
        <v>0</v>
      </c>
      <c r="T594" s="78">
        <f t="shared" si="36"/>
        <v>99980.24</v>
      </c>
      <c r="U594" s="78">
        <f t="shared" si="37"/>
        <v>43.399852411338287</v>
      </c>
      <c r="V594" s="81">
        <v>43.399852411338287</v>
      </c>
    </row>
    <row r="595" spans="1:22" s="79" customFormat="1" ht="36" customHeight="1" x14ac:dyDescent="0.25">
      <c r="A595" s="79">
        <v>1</v>
      </c>
      <c r="B595" s="80">
        <f>SUBTOTAL(103,$A$552:A595)</f>
        <v>44</v>
      </c>
      <c r="C595" s="77" t="s">
        <v>1796</v>
      </c>
      <c r="D595" s="233">
        <v>1984</v>
      </c>
      <c r="E595" s="233"/>
      <c r="F595" s="233" t="s">
        <v>1479</v>
      </c>
      <c r="G595" s="233" t="s">
        <v>343</v>
      </c>
      <c r="H595" s="233" t="s">
        <v>291</v>
      </c>
      <c r="I595" s="78">
        <v>6288</v>
      </c>
      <c r="J595" s="78">
        <v>5117.7</v>
      </c>
      <c r="K595" s="78">
        <v>5074.5</v>
      </c>
      <c r="L595" s="239">
        <v>320</v>
      </c>
      <c r="M595" s="233" t="s">
        <v>254</v>
      </c>
      <c r="N595" s="233" t="s">
        <v>258</v>
      </c>
      <c r="O595" s="236" t="s">
        <v>1239</v>
      </c>
      <c r="P595" s="78">
        <v>4102435.64</v>
      </c>
      <c r="Q595" s="78">
        <v>0</v>
      </c>
      <c r="R595" s="78">
        <v>0</v>
      </c>
      <c r="S595" s="78">
        <v>0</v>
      </c>
      <c r="T595" s="78">
        <f t="shared" si="36"/>
        <v>4102435.64</v>
      </c>
      <c r="U595" s="78">
        <f t="shared" si="37"/>
        <v>652.42297073791349</v>
      </c>
      <c r="V595" s="78">
        <v>1145.8282951653944</v>
      </c>
    </row>
    <row r="596" spans="1:22" s="79" customFormat="1" ht="36" customHeight="1" x14ac:dyDescent="0.25">
      <c r="A596" s="79">
        <v>1</v>
      </c>
      <c r="B596" s="80">
        <f>SUBTOTAL(103,$A$552:A596)</f>
        <v>45</v>
      </c>
      <c r="C596" s="77" t="s">
        <v>1797</v>
      </c>
      <c r="D596" s="233">
        <v>1988</v>
      </c>
      <c r="E596" s="233"/>
      <c r="F596" s="233" t="s">
        <v>1479</v>
      </c>
      <c r="G596" s="233" t="s">
        <v>343</v>
      </c>
      <c r="H596" s="233" t="s">
        <v>291</v>
      </c>
      <c r="I596" s="78">
        <v>7446.7</v>
      </c>
      <c r="J596" s="78">
        <v>6148.5</v>
      </c>
      <c r="K596" s="78">
        <v>5708.1</v>
      </c>
      <c r="L596" s="239">
        <v>289</v>
      </c>
      <c r="M596" s="233" t="s">
        <v>254</v>
      </c>
      <c r="N596" s="233" t="s">
        <v>258</v>
      </c>
      <c r="O596" s="236" t="s">
        <v>1239</v>
      </c>
      <c r="P596" s="78">
        <v>4162113.5</v>
      </c>
      <c r="Q596" s="78">
        <v>0</v>
      </c>
      <c r="R596" s="78">
        <v>0</v>
      </c>
      <c r="S596" s="78">
        <v>0</v>
      </c>
      <c r="T596" s="78">
        <f t="shared" si="36"/>
        <v>4162113.5</v>
      </c>
      <c r="U596" s="78">
        <f t="shared" si="37"/>
        <v>558.92052855627321</v>
      </c>
      <c r="V596" s="78">
        <v>1033.1705698363032</v>
      </c>
    </row>
    <row r="597" spans="1:22" s="79" customFormat="1" ht="36" customHeight="1" x14ac:dyDescent="0.25">
      <c r="A597" s="79">
        <v>1</v>
      </c>
      <c r="B597" s="80">
        <f>SUBTOTAL(103,$A$552:A597)</f>
        <v>46</v>
      </c>
      <c r="C597" s="77" t="s">
        <v>1798</v>
      </c>
      <c r="D597" s="233">
        <v>1972</v>
      </c>
      <c r="E597" s="233"/>
      <c r="F597" s="233" t="s">
        <v>1479</v>
      </c>
      <c r="G597" s="233" t="s">
        <v>337</v>
      </c>
      <c r="H597" s="233" t="s">
        <v>290</v>
      </c>
      <c r="I597" s="78">
        <v>4729.3</v>
      </c>
      <c r="J597" s="78">
        <v>2860.4</v>
      </c>
      <c r="K597" s="78">
        <v>2738.6</v>
      </c>
      <c r="L597" s="239">
        <v>204</v>
      </c>
      <c r="M597" s="233" t="s">
        <v>254</v>
      </c>
      <c r="N597" s="233" t="s">
        <v>258</v>
      </c>
      <c r="O597" s="236" t="s">
        <v>1239</v>
      </c>
      <c r="P597" s="78">
        <v>2943006.15</v>
      </c>
      <c r="Q597" s="78">
        <v>0</v>
      </c>
      <c r="R597" s="78">
        <v>0</v>
      </c>
      <c r="S597" s="78">
        <v>0</v>
      </c>
      <c r="T597" s="78">
        <f>P597-R597-S597</f>
        <v>2943006.15</v>
      </c>
      <c r="U597" s="78">
        <f t="shared" si="37"/>
        <v>622.29212568456217</v>
      </c>
      <c r="V597" s="78">
        <v>1987.3047089421268</v>
      </c>
    </row>
    <row r="598" spans="1:22" s="79" customFormat="1" ht="36" customHeight="1" x14ac:dyDescent="0.25">
      <c r="A598" s="79">
        <v>1</v>
      </c>
      <c r="B598" s="80">
        <f>SUBTOTAL(103,$A$552:A598)</f>
        <v>47</v>
      </c>
      <c r="C598" s="77" t="s">
        <v>1003</v>
      </c>
      <c r="D598" s="233">
        <v>1959</v>
      </c>
      <c r="E598" s="233"/>
      <c r="F598" s="233" t="s">
        <v>256</v>
      </c>
      <c r="G598" s="233">
        <v>2</v>
      </c>
      <c r="H598" s="233" t="s">
        <v>290</v>
      </c>
      <c r="I598" s="78">
        <v>918.1</v>
      </c>
      <c r="J598" s="78">
        <v>907</v>
      </c>
      <c r="K598" s="78">
        <v>907</v>
      </c>
      <c r="L598" s="239">
        <v>40</v>
      </c>
      <c r="M598" s="233" t="s">
        <v>254</v>
      </c>
      <c r="N598" s="233" t="s">
        <v>258</v>
      </c>
      <c r="O598" s="236" t="s">
        <v>1011</v>
      </c>
      <c r="P598" s="78">
        <v>1761369.46</v>
      </c>
      <c r="Q598" s="78">
        <v>0</v>
      </c>
      <c r="R598" s="78">
        <v>0</v>
      </c>
      <c r="S598" s="78">
        <v>0</v>
      </c>
      <c r="T598" s="78">
        <f>P598-S598-R598</f>
        <v>1761369.46</v>
      </c>
      <c r="U598" s="78">
        <f t="shared" si="37"/>
        <v>1918.4941291798277</v>
      </c>
      <c r="V598" s="78">
        <v>4895.0965690011981</v>
      </c>
    </row>
    <row r="599" spans="1:22" s="79" customFormat="1" ht="36" customHeight="1" x14ac:dyDescent="0.25">
      <c r="A599" s="79">
        <v>1</v>
      </c>
      <c r="B599" s="80">
        <f>SUBTOTAL(103,$A$552:A599)</f>
        <v>48</v>
      </c>
      <c r="C599" s="77" t="s">
        <v>463</v>
      </c>
      <c r="D599" s="242">
        <v>1989</v>
      </c>
      <c r="E599" s="233"/>
      <c r="F599" s="233" t="s">
        <v>256</v>
      </c>
      <c r="G599" s="233">
        <v>5</v>
      </c>
      <c r="H599" s="233" t="s">
        <v>299</v>
      </c>
      <c r="I599" s="234">
        <v>2454.8000000000002</v>
      </c>
      <c r="J599" s="234">
        <v>1816.2</v>
      </c>
      <c r="K599" s="234">
        <v>1749.1</v>
      </c>
      <c r="L599" s="239">
        <v>71</v>
      </c>
      <c r="M599" s="233" t="s">
        <v>254</v>
      </c>
      <c r="N599" s="233" t="s">
        <v>258</v>
      </c>
      <c r="O599" s="236" t="s">
        <v>1301</v>
      </c>
      <c r="P599" s="78">
        <v>2481174.12</v>
      </c>
      <c r="Q599" s="78">
        <v>0</v>
      </c>
      <c r="R599" s="78">
        <v>0</v>
      </c>
      <c r="S599" s="78">
        <v>0</v>
      </c>
      <c r="T599" s="78">
        <f t="shared" ref="T599:T618" si="38">P599-R599-S599</f>
        <v>2481174.12</v>
      </c>
      <c r="U599" s="78">
        <f t="shared" si="37"/>
        <v>1010.7438976698712</v>
      </c>
      <c r="V599" s="78">
        <v>2433.5149939709954</v>
      </c>
    </row>
    <row r="600" spans="1:22" s="79" customFormat="1" ht="36" customHeight="1" x14ac:dyDescent="0.25">
      <c r="A600" s="79">
        <v>1</v>
      </c>
      <c r="B600" s="80">
        <f>SUBTOTAL(103,$A$552:A600)</f>
        <v>49</v>
      </c>
      <c r="C600" s="77" t="s">
        <v>1033</v>
      </c>
      <c r="D600" s="242">
        <v>1974</v>
      </c>
      <c r="E600" s="233"/>
      <c r="F600" s="233" t="s">
        <v>1479</v>
      </c>
      <c r="G600" s="233" t="s">
        <v>337</v>
      </c>
      <c r="H600" s="233" t="s">
        <v>295</v>
      </c>
      <c r="I600" s="234">
        <v>4916.8</v>
      </c>
      <c r="J600" s="234">
        <v>4565.5</v>
      </c>
      <c r="K600" s="234">
        <v>4565.5</v>
      </c>
      <c r="L600" s="239">
        <v>114</v>
      </c>
      <c r="M600" s="233" t="s">
        <v>254</v>
      </c>
      <c r="N600" s="233" t="s">
        <v>258</v>
      </c>
      <c r="O600" s="236" t="s">
        <v>1584</v>
      </c>
      <c r="P600" s="78">
        <v>2086713.73</v>
      </c>
      <c r="Q600" s="78">
        <v>0</v>
      </c>
      <c r="R600" s="78">
        <v>0</v>
      </c>
      <c r="S600" s="78">
        <v>0</v>
      </c>
      <c r="T600" s="78">
        <f t="shared" si="38"/>
        <v>2086713.73</v>
      </c>
      <c r="U600" s="78">
        <f t="shared" si="37"/>
        <v>424.40484258054016</v>
      </c>
      <c r="V600" s="78">
        <v>2149.4622128213477</v>
      </c>
    </row>
    <row r="601" spans="1:22" s="79" customFormat="1" ht="36" customHeight="1" x14ac:dyDescent="0.25">
      <c r="A601" s="79">
        <v>1</v>
      </c>
      <c r="B601" s="80">
        <f>SUBTOTAL(103,$A$552:A601)</f>
        <v>50</v>
      </c>
      <c r="C601" s="77" t="s">
        <v>1489</v>
      </c>
      <c r="D601" s="242">
        <v>1970</v>
      </c>
      <c r="E601" s="233"/>
      <c r="F601" s="233" t="s">
        <v>256</v>
      </c>
      <c r="G601" s="233">
        <v>5</v>
      </c>
      <c r="H601" s="233" t="s">
        <v>295</v>
      </c>
      <c r="I601" s="234">
        <v>12297.5</v>
      </c>
      <c r="J601" s="234">
        <v>3386.1</v>
      </c>
      <c r="K601" s="234">
        <v>3386.1</v>
      </c>
      <c r="L601" s="239">
        <v>153</v>
      </c>
      <c r="M601" s="233" t="s">
        <v>254</v>
      </c>
      <c r="N601" s="233" t="s">
        <v>258</v>
      </c>
      <c r="O601" s="236" t="s">
        <v>1493</v>
      </c>
      <c r="P601" s="78">
        <v>7374001.2199999997</v>
      </c>
      <c r="Q601" s="78">
        <v>0</v>
      </c>
      <c r="R601" s="78">
        <v>0</v>
      </c>
      <c r="S601" s="78">
        <v>0</v>
      </c>
      <c r="T601" s="78">
        <f t="shared" si="38"/>
        <v>7374001.2199999997</v>
      </c>
      <c r="U601" s="78">
        <f t="shared" si="37"/>
        <v>599.63417117300264</v>
      </c>
      <c r="V601" s="78">
        <v>822.20220825371018</v>
      </c>
    </row>
    <row r="602" spans="1:22" s="79" customFormat="1" ht="36" customHeight="1" x14ac:dyDescent="0.25">
      <c r="A602" s="79">
        <v>1</v>
      </c>
      <c r="B602" s="80">
        <f>SUBTOTAL(103,$A$552:A602)</f>
        <v>51</v>
      </c>
      <c r="C602" s="77" t="s">
        <v>546</v>
      </c>
      <c r="D602" s="242">
        <v>1987</v>
      </c>
      <c r="E602" s="233"/>
      <c r="F602" s="233" t="s">
        <v>304</v>
      </c>
      <c r="G602" s="233" t="s">
        <v>337</v>
      </c>
      <c r="H602" s="233" t="s">
        <v>295</v>
      </c>
      <c r="I602" s="234">
        <v>3579.9</v>
      </c>
      <c r="J602" s="234">
        <v>3187.3</v>
      </c>
      <c r="K602" s="234">
        <v>3187.3</v>
      </c>
      <c r="L602" s="239">
        <v>157</v>
      </c>
      <c r="M602" s="233" t="s">
        <v>254</v>
      </c>
      <c r="N602" s="233" t="s">
        <v>258</v>
      </c>
      <c r="O602" s="236" t="s">
        <v>2128</v>
      </c>
      <c r="P602" s="78">
        <v>1962527.15</v>
      </c>
      <c r="Q602" s="78">
        <v>0</v>
      </c>
      <c r="R602" s="78">
        <v>0</v>
      </c>
      <c r="S602" s="78">
        <v>0</v>
      </c>
      <c r="T602" s="78">
        <f t="shared" si="38"/>
        <v>1962527.15</v>
      </c>
      <c r="U602" s="78">
        <f t="shared" si="37"/>
        <v>548.20725439258081</v>
      </c>
      <c r="V602" s="78">
        <v>1911.4881689432666</v>
      </c>
    </row>
    <row r="603" spans="1:22" s="79" customFormat="1" ht="36" customHeight="1" x14ac:dyDescent="0.25">
      <c r="A603" s="79">
        <v>1</v>
      </c>
      <c r="B603" s="80">
        <f>SUBTOTAL(103,$A$552:A603)</f>
        <v>52</v>
      </c>
      <c r="C603" s="77" t="s">
        <v>1490</v>
      </c>
      <c r="D603" s="242">
        <v>1960</v>
      </c>
      <c r="E603" s="233"/>
      <c r="F603" s="233" t="s">
        <v>1479</v>
      </c>
      <c r="G603" s="233" t="s">
        <v>295</v>
      </c>
      <c r="H603" s="233" t="s">
        <v>290</v>
      </c>
      <c r="I603" s="234">
        <v>1706.1</v>
      </c>
      <c r="J603" s="234">
        <v>1266.5999999999999</v>
      </c>
      <c r="K603" s="234">
        <v>1266.5999999999999</v>
      </c>
      <c r="L603" s="239">
        <v>56</v>
      </c>
      <c r="M603" s="233" t="s">
        <v>254</v>
      </c>
      <c r="N603" s="233" t="s">
        <v>258</v>
      </c>
      <c r="O603" s="236" t="s">
        <v>1239</v>
      </c>
      <c r="P603" s="78">
        <v>2362146.4899999998</v>
      </c>
      <c r="Q603" s="78">
        <v>0</v>
      </c>
      <c r="R603" s="78">
        <v>0</v>
      </c>
      <c r="S603" s="78">
        <v>0</v>
      </c>
      <c r="T603" s="78">
        <f t="shared" si="38"/>
        <v>2362146.4899999998</v>
      </c>
      <c r="U603" s="78">
        <f t="shared" si="37"/>
        <v>1384.5299161831076</v>
      </c>
      <c r="V603" s="78">
        <v>4845.8561280112544</v>
      </c>
    </row>
    <row r="604" spans="1:22" s="79" customFormat="1" ht="36" customHeight="1" x14ac:dyDescent="0.25">
      <c r="A604" s="79">
        <v>1</v>
      </c>
      <c r="B604" s="80">
        <f>SUBTOTAL(103,$A$552:A604)</f>
        <v>53</v>
      </c>
      <c r="C604" s="77" t="s">
        <v>473</v>
      </c>
      <c r="D604" s="233">
        <v>1980</v>
      </c>
      <c r="E604" s="233"/>
      <c r="F604" s="233" t="s">
        <v>304</v>
      </c>
      <c r="G604" s="233" t="s">
        <v>337</v>
      </c>
      <c r="H604" s="233" t="s">
        <v>295</v>
      </c>
      <c r="I604" s="234">
        <v>3319.7</v>
      </c>
      <c r="J604" s="234">
        <v>3048.7</v>
      </c>
      <c r="K604" s="234">
        <v>3048.7</v>
      </c>
      <c r="L604" s="239">
        <v>147</v>
      </c>
      <c r="M604" s="233" t="s">
        <v>254</v>
      </c>
      <c r="N604" s="233" t="s">
        <v>258</v>
      </c>
      <c r="O604" s="236" t="s">
        <v>1584</v>
      </c>
      <c r="P604" s="78">
        <v>3603174.9400000004</v>
      </c>
      <c r="Q604" s="78">
        <v>0</v>
      </c>
      <c r="R604" s="78">
        <v>0</v>
      </c>
      <c r="S604" s="78">
        <v>0</v>
      </c>
      <c r="T604" s="78">
        <f t="shared" si="38"/>
        <v>3603174.9400000004</v>
      </c>
      <c r="U604" s="78">
        <f t="shared" si="37"/>
        <v>1085.3917341928488</v>
      </c>
      <c r="V604" s="78">
        <v>2079.0399614422995</v>
      </c>
    </row>
    <row r="605" spans="1:22" s="79" customFormat="1" ht="36" customHeight="1" x14ac:dyDescent="0.25">
      <c r="A605" s="79">
        <v>1</v>
      </c>
      <c r="B605" s="80">
        <f>SUBTOTAL(103,$A$552:A605)</f>
        <v>54</v>
      </c>
      <c r="C605" s="77" t="s">
        <v>1491</v>
      </c>
      <c r="D605" s="233">
        <v>1961</v>
      </c>
      <c r="E605" s="233"/>
      <c r="F605" s="233" t="s">
        <v>256</v>
      </c>
      <c r="G605" s="233">
        <v>4</v>
      </c>
      <c r="H605" s="233" t="s">
        <v>290</v>
      </c>
      <c r="I605" s="234">
        <v>1732.3</v>
      </c>
      <c r="J605" s="234">
        <v>1276.7</v>
      </c>
      <c r="K605" s="234">
        <v>1276.7</v>
      </c>
      <c r="L605" s="239">
        <v>59</v>
      </c>
      <c r="M605" s="233" t="s">
        <v>254</v>
      </c>
      <c r="N605" s="233" t="s">
        <v>258</v>
      </c>
      <c r="O605" s="236" t="s">
        <v>1494</v>
      </c>
      <c r="P605" s="78">
        <v>2347629.29</v>
      </c>
      <c r="Q605" s="78">
        <v>0</v>
      </c>
      <c r="R605" s="78">
        <v>0</v>
      </c>
      <c r="S605" s="78">
        <v>0</v>
      </c>
      <c r="T605" s="78">
        <f t="shared" si="38"/>
        <v>2347629.29</v>
      </c>
      <c r="U605" s="78">
        <f t="shared" si="37"/>
        <v>1355.2094267736536</v>
      </c>
      <c r="V605" s="78">
        <v>2763.4948302257121</v>
      </c>
    </row>
    <row r="606" spans="1:22" s="79" customFormat="1" ht="36" customHeight="1" x14ac:dyDescent="0.25">
      <c r="A606" s="79">
        <v>1</v>
      </c>
      <c r="B606" s="80">
        <f>SUBTOTAL(103,$A$552:A606)</f>
        <v>55</v>
      </c>
      <c r="C606" s="77" t="s">
        <v>477</v>
      </c>
      <c r="D606" s="233">
        <v>1981</v>
      </c>
      <c r="E606" s="233"/>
      <c r="F606" s="233" t="s">
        <v>1479</v>
      </c>
      <c r="G606" s="233" t="s">
        <v>337</v>
      </c>
      <c r="H606" s="233" t="s">
        <v>291</v>
      </c>
      <c r="I606" s="234">
        <v>855.3</v>
      </c>
      <c r="J606" s="234">
        <v>794.8</v>
      </c>
      <c r="K606" s="234">
        <v>583.6</v>
      </c>
      <c r="L606" s="239">
        <v>24</v>
      </c>
      <c r="M606" s="233" t="s">
        <v>254</v>
      </c>
      <c r="N606" s="233" t="s">
        <v>258</v>
      </c>
      <c r="O606" s="236" t="s">
        <v>334</v>
      </c>
      <c r="P606" s="78">
        <v>753956.90000000014</v>
      </c>
      <c r="Q606" s="78">
        <v>0</v>
      </c>
      <c r="R606" s="78">
        <v>0</v>
      </c>
      <c r="S606" s="78">
        <v>0</v>
      </c>
      <c r="T606" s="78">
        <f t="shared" si="38"/>
        <v>753956.90000000014</v>
      </c>
      <c r="U606" s="78">
        <f t="shared" si="37"/>
        <v>881.5116333450253</v>
      </c>
      <c r="V606" s="78">
        <v>4229.0600000000004</v>
      </c>
    </row>
    <row r="607" spans="1:22" s="79" customFormat="1" ht="36" customHeight="1" x14ac:dyDescent="0.25">
      <c r="A607" s="79">
        <v>1</v>
      </c>
      <c r="B607" s="80">
        <f>SUBTOTAL(103,$A$552:A607)</f>
        <v>56</v>
      </c>
      <c r="C607" s="77" t="s">
        <v>479</v>
      </c>
      <c r="D607" s="233">
        <v>1967</v>
      </c>
      <c r="E607" s="233"/>
      <c r="F607" s="233" t="s">
        <v>256</v>
      </c>
      <c r="G607" s="233">
        <v>2</v>
      </c>
      <c r="H607" s="233" t="s">
        <v>290</v>
      </c>
      <c r="I607" s="234">
        <v>709.3</v>
      </c>
      <c r="J607" s="234">
        <v>653.29999999999995</v>
      </c>
      <c r="K607" s="234">
        <v>653.29999999999995</v>
      </c>
      <c r="L607" s="239">
        <v>36</v>
      </c>
      <c r="M607" s="233" t="s">
        <v>254</v>
      </c>
      <c r="N607" s="233" t="s">
        <v>258</v>
      </c>
      <c r="O607" s="236" t="s">
        <v>1301</v>
      </c>
      <c r="P607" s="78">
        <v>2519504.6599999997</v>
      </c>
      <c r="Q607" s="78">
        <v>0</v>
      </c>
      <c r="R607" s="78">
        <v>0</v>
      </c>
      <c r="S607" s="78">
        <v>0</v>
      </c>
      <c r="T607" s="78">
        <f t="shared" si="38"/>
        <v>2519504.6599999997</v>
      </c>
      <c r="U607" s="78">
        <f t="shared" si="37"/>
        <v>3552.100183279289</v>
      </c>
      <c r="V607" s="78">
        <v>7480.8597524319757</v>
      </c>
    </row>
    <row r="608" spans="1:22" s="79" customFormat="1" ht="36" customHeight="1" x14ac:dyDescent="0.25">
      <c r="A608" s="79">
        <v>1</v>
      </c>
      <c r="B608" s="80">
        <f>SUBTOTAL(103,$A$552:A608)</f>
        <v>57</v>
      </c>
      <c r="C608" s="77" t="s">
        <v>502</v>
      </c>
      <c r="D608" s="233">
        <v>1988</v>
      </c>
      <c r="E608" s="233"/>
      <c r="F608" s="233" t="s">
        <v>256</v>
      </c>
      <c r="G608" s="233">
        <v>2</v>
      </c>
      <c r="H608" s="233" t="s">
        <v>290</v>
      </c>
      <c r="I608" s="234">
        <v>1063.8</v>
      </c>
      <c r="J608" s="234">
        <v>565.6</v>
      </c>
      <c r="K608" s="234">
        <v>565.6</v>
      </c>
      <c r="L608" s="239">
        <v>36</v>
      </c>
      <c r="M608" s="233" t="s">
        <v>254</v>
      </c>
      <c r="N608" s="233" t="s">
        <v>258</v>
      </c>
      <c r="O608" s="236" t="s">
        <v>1317</v>
      </c>
      <c r="P608" s="78">
        <v>1957983.6400000001</v>
      </c>
      <c r="Q608" s="78">
        <v>0</v>
      </c>
      <c r="R608" s="78">
        <v>0</v>
      </c>
      <c r="S608" s="78">
        <v>0</v>
      </c>
      <c r="T608" s="78">
        <f t="shared" si="38"/>
        <v>1957983.6400000001</v>
      </c>
      <c r="U608" s="78">
        <f t="shared" si="37"/>
        <v>1840.5561571724011</v>
      </c>
      <c r="V608" s="78">
        <v>4601.8565143824035</v>
      </c>
    </row>
    <row r="609" spans="1:22" s="79" customFormat="1" ht="36" customHeight="1" x14ac:dyDescent="0.25">
      <c r="A609" s="79">
        <v>1</v>
      </c>
      <c r="B609" s="80">
        <f>SUBTOTAL(103,$A$552:A609)</f>
        <v>58</v>
      </c>
      <c r="C609" s="77" t="s">
        <v>1294</v>
      </c>
      <c r="D609" s="233">
        <v>1960</v>
      </c>
      <c r="E609" s="233"/>
      <c r="F609" s="233" t="s">
        <v>1479</v>
      </c>
      <c r="G609" s="233" t="s">
        <v>290</v>
      </c>
      <c r="H609" s="233" t="s">
        <v>290</v>
      </c>
      <c r="I609" s="234">
        <v>678.4</v>
      </c>
      <c r="J609" s="234">
        <v>622.9</v>
      </c>
      <c r="K609" s="234">
        <v>622.9</v>
      </c>
      <c r="L609" s="239">
        <v>21</v>
      </c>
      <c r="M609" s="233" t="s">
        <v>254</v>
      </c>
      <c r="N609" s="233" t="s">
        <v>258</v>
      </c>
      <c r="O609" s="236" t="s">
        <v>335</v>
      </c>
      <c r="P609" s="78">
        <v>1597151.74</v>
      </c>
      <c r="Q609" s="78">
        <v>0</v>
      </c>
      <c r="R609" s="78">
        <v>0</v>
      </c>
      <c r="S609" s="78">
        <v>0</v>
      </c>
      <c r="T609" s="78">
        <f t="shared" si="38"/>
        <v>1597151.74</v>
      </c>
      <c r="U609" s="78">
        <f t="shared" si="37"/>
        <v>2354.2920695754719</v>
      </c>
      <c r="V609" s="78">
        <v>7646.6103773584919</v>
      </c>
    </row>
    <row r="610" spans="1:22" s="79" customFormat="1" ht="36" customHeight="1" x14ac:dyDescent="0.25">
      <c r="A610" s="79">
        <v>1</v>
      </c>
      <c r="B610" s="80">
        <f>SUBTOTAL(103,$A$552:A610)</f>
        <v>59</v>
      </c>
      <c r="C610" s="77" t="s">
        <v>1517</v>
      </c>
      <c r="D610" s="233">
        <v>1961</v>
      </c>
      <c r="E610" s="233"/>
      <c r="F610" s="233" t="s">
        <v>1479</v>
      </c>
      <c r="G610" s="233" t="s">
        <v>299</v>
      </c>
      <c r="H610" s="233" t="s">
        <v>299</v>
      </c>
      <c r="I610" s="234">
        <v>1516.8</v>
      </c>
      <c r="J610" s="234">
        <v>1516.8</v>
      </c>
      <c r="K610" s="234">
        <v>1516.8</v>
      </c>
      <c r="L610" s="239">
        <v>76</v>
      </c>
      <c r="M610" s="233" t="s">
        <v>254</v>
      </c>
      <c r="N610" s="233" t="s">
        <v>258</v>
      </c>
      <c r="O610" s="236" t="s">
        <v>2126</v>
      </c>
      <c r="P610" s="78">
        <v>3504472.23</v>
      </c>
      <c r="Q610" s="78">
        <v>0</v>
      </c>
      <c r="R610" s="78">
        <v>0</v>
      </c>
      <c r="S610" s="78">
        <v>0</v>
      </c>
      <c r="T610" s="78">
        <f t="shared" si="38"/>
        <v>3504472.23</v>
      </c>
      <c r="U610" s="78">
        <f t="shared" si="37"/>
        <v>2310.4379153481013</v>
      </c>
      <c r="V610" s="78">
        <v>4815.7189388185661</v>
      </c>
    </row>
    <row r="611" spans="1:22" s="79" customFormat="1" ht="36" customHeight="1" x14ac:dyDescent="0.25">
      <c r="A611" s="79">
        <v>1</v>
      </c>
      <c r="B611" s="80">
        <f>SUBTOTAL(103,$A$552:A611)</f>
        <v>60</v>
      </c>
      <c r="C611" s="77" t="s">
        <v>538</v>
      </c>
      <c r="D611" s="233" t="s">
        <v>296</v>
      </c>
      <c r="E611" s="233"/>
      <c r="F611" s="233" t="s">
        <v>256</v>
      </c>
      <c r="G611" s="233" t="s">
        <v>337</v>
      </c>
      <c r="H611" s="233" t="s">
        <v>291</v>
      </c>
      <c r="I611" s="234">
        <v>658.3</v>
      </c>
      <c r="J611" s="234">
        <v>606.6</v>
      </c>
      <c r="K611" s="234">
        <v>606.6</v>
      </c>
      <c r="L611" s="239">
        <v>17</v>
      </c>
      <c r="M611" s="233" t="s">
        <v>254</v>
      </c>
      <c r="N611" s="233" t="s">
        <v>258</v>
      </c>
      <c r="O611" s="236" t="s">
        <v>1547</v>
      </c>
      <c r="P611" s="78">
        <v>867626.01</v>
      </c>
      <c r="Q611" s="78">
        <v>0</v>
      </c>
      <c r="R611" s="78">
        <v>0</v>
      </c>
      <c r="S611" s="78">
        <v>0</v>
      </c>
      <c r="T611" s="78">
        <f t="shared" si="38"/>
        <v>867626.01</v>
      </c>
      <c r="U611" s="78">
        <f t="shared" si="37"/>
        <v>1317.9796597296067</v>
      </c>
      <c r="V611" s="78">
        <v>2726.0432933313086</v>
      </c>
    </row>
    <row r="612" spans="1:22" s="79" customFormat="1" ht="36" customHeight="1" x14ac:dyDescent="0.25">
      <c r="A612" s="79">
        <v>1</v>
      </c>
      <c r="B612" s="80">
        <f>SUBTOTAL(103,$A$552:A612)</f>
        <v>61</v>
      </c>
      <c r="C612" s="77" t="s">
        <v>465</v>
      </c>
      <c r="D612" s="233">
        <v>1962</v>
      </c>
      <c r="E612" s="233"/>
      <c r="F612" s="233" t="s">
        <v>256</v>
      </c>
      <c r="G612" s="233">
        <v>3</v>
      </c>
      <c r="H612" s="233" t="s">
        <v>299</v>
      </c>
      <c r="I612" s="234">
        <v>2721.6</v>
      </c>
      <c r="J612" s="234">
        <v>1752.6</v>
      </c>
      <c r="K612" s="234">
        <v>1752.6</v>
      </c>
      <c r="L612" s="239">
        <v>82</v>
      </c>
      <c r="M612" s="233" t="s">
        <v>254</v>
      </c>
      <c r="N612" s="233" t="s">
        <v>258</v>
      </c>
      <c r="O612" s="236" t="s">
        <v>1241</v>
      </c>
      <c r="P612" s="78">
        <v>3422878.75</v>
      </c>
      <c r="Q612" s="78">
        <v>0</v>
      </c>
      <c r="R612" s="78">
        <v>0</v>
      </c>
      <c r="S612" s="78">
        <v>0</v>
      </c>
      <c r="T612" s="78">
        <f t="shared" si="38"/>
        <v>3422878.75</v>
      </c>
      <c r="U612" s="78">
        <f t="shared" si="37"/>
        <v>1257.671498383304</v>
      </c>
      <c r="V612" s="78">
        <v>2326.2413286302176</v>
      </c>
    </row>
    <row r="613" spans="1:22" s="79" customFormat="1" ht="36" customHeight="1" x14ac:dyDescent="0.25">
      <c r="A613" s="79">
        <v>1</v>
      </c>
      <c r="B613" s="80">
        <f>SUBTOTAL(103,$A$552:A613)</f>
        <v>62</v>
      </c>
      <c r="C613" s="77" t="s">
        <v>1036</v>
      </c>
      <c r="D613" s="233">
        <v>1974</v>
      </c>
      <c r="E613" s="233"/>
      <c r="F613" s="233" t="s">
        <v>1479</v>
      </c>
      <c r="G613" s="233" t="s">
        <v>355</v>
      </c>
      <c r="H613" s="233" t="s">
        <v>291</v>
      </c>
      <c r="I613" s="234">
        <v>865.7</v>
      </c>
      <c r="J613" s="234">
        <v>865.7</v>
      </c>
      <c r="K613" s="234">
        <v>602.4</v>
      </c>
      <c r="L613" s="239">
        <v>22</v>
      </c>
      <c r="M613" s="233" t="s">
        <v>254</v>
      </c>
      <c r="N613" s="233" t="s">
        <v>258</v>
      </c>
      <c r="O613" s="236" t="s">
        <v>334</v>
      </c>
      <c r="P613" s="78">
        <v>4249442.9799999995</v>
      </c>
      <c r="Q613" s="78">
        <v>0</v>
      </c>
      <c r="R613" s="78">
        <v>0</v>
      </c>
      <c r="S613" s="78">
        <v>0</v>
      </c>
      <c r="T613" s="78">
        <f t="shared" si="38"/>
        <v>4249442.9799999995</v>
      </c>
      <c r="U613" s="78">
        <f t="shared" si="37"/>
        <v>4908.6785029455923</v>
      </c>
      <c r="V613" s="78">
        <v>9211.4021624119214</v>
      </c>
    </row>
    <row r="614" spans="1:22" s="79" customFormat="1" ht="36" customHeight="1" x14ac:dyDescent="0.25">
      <c r="A614" s="79">
        <v>1</v>
      </c>
      <c r="B614" s="80">
        <f>SUBTOTAL(103,$A$552:A614)</f>
        <v>63</v>
      </c>
      <c r="C614" s="77" t="s">
        <v>547</v>
      </c>
      <c r="D614" s="233" t="s">
        <v>297</v>
      </c>
      <c r="E614" s="233"/>
      <c r="F614" s="233" t="s">
        <v>298</v>
      </c>
      <c r="G614" s="233" t="s">
        <v>337</v>
      </c>
      <c r="H614" s="233" t="s">
        <v>299</v>
      </c>
      <c r="I614" s="234">
        <v>2249.1</v>
      </c>
      <c r="J614" s="234">
        <v>2046.7</v>
      </c>
      <c r="K614" s="234">
        <v>2046.7</v>
      </c>
      <c r="L614" s="239">
        <v>100</v>
      </c>
      <c r="M614" s="233" t="s">
        <v>254</v>
      </c>
      <c r="N614" s="233" t="s">
        <v>258</v>
      </c>
      <c r="O614" s="236" t="s">
        <v>1302</v>
      </c>
      <c r="P614" s="78">
        <v>99979.94</v>
      </c>
      <c r="Q614" s="78">
        <v>0</v>
      </c>
      <c r="R614" s="78">
        <v>0</v>
      </c>
      <c r="S614" s="78">
        <v>0</v>
      </c>
      <c r="T614" s="78">
        <f t="shared" si="38"/>
        <v>99979.94</v>
      </c>
      <c r="U614" s="78">
        <f t="shared" si="37"/>
        <v>44.453310212974081</v>
      </c>
      <c r="V614" s="81">
        <v>44.453310212974081</v>
      </c>
    </row>
    <row r="615" spans="1:22" s="79" customFormat="1" ht="36" customHeight="1" x14ac:dyDescent="0.25">
      <c r="A615" s="79">
        <v>1</v>
      </c>
      <c r="B615" s="80">
        <f>SUBTOTAL(103,$A$552:A615)</f>
        <v>64</v>
      </c>
      <c r="C615" s="77" t="s">
        <v>555</v>
      </c>
      <c r="D615" s="233" t="s">
        <v>354</v>
      </c>
      <c r="E615" s="233"/>
      <c r="F615" s="233" t="s">
        <v>298</v>
      </c>
      <c r="G615" s="233" t="s">
        <v>337</v>
      </c>
      <c r="H615" s="233" t="s">
        <v>299</v>
      </c>
      <c r="I615" s="234">
        <v>2899.7</v>
      </c>
      <c r="J615" s="234">
        <v>2899.7</v>
      </c>
      <c r="K615" s="234">
        <v>2899.7</v>
      </c>
      <c r="L615" s="239">
        <v>83</v>
      </c>
      <c r="M615" s="233" t="s">
        <v>254</v>
      </c>
      <c r="N615" s="233" t="s">
        <v>258</v>
      </c>
      <c r="O615" s="236" t="s">
        <v>1011</v>
      </c>
      <c r="P615" s="78">
        <v>99986.69</v>
      </c>
      <c r="Q615" s="78">
        <v>0</v>
      </c>
      <c r="R615" s="78">
        <v>0</v>
      </c>
      <c r="S615" s="78">
        <v>0</v>
      </c>
      <c r="T615" s="78">
        <f t="shared" si="38"/>
        <v>99986.69</v>
      </c>
      <c r="U615" s="78">
        <f t="shared" si="37"/>
        <v>34.481736041659488</v>
      </c>
      <c r="V615" s="81">
        <v>34.481736041659488</v>
      </c>
    </row>
    <row r="616" spans="1:22" s="79" customFormat="1" ht="36" customHeight="1" x14ac:dyDescent="0.25">
      <c r="A616" s="79">
        <v>1</v>
      </c>
      <c r="B616" s="80">
        <f>SUBTOTAL(103,$A$552:A616)</f>
        <v>65</v>
      </c>
      <c r="C616" s="77" t="s">
        <v>558</v>
      </c>
      <c r="D616" s="233" t="s">
        <v>359</v>
      </c>
      <c r="E616" s="233"/>
      <c r="F616" s="233" t="s">
        <v>298</v>
      </c>
      <c r="G616" s="233" t="s">
        <v>337</v>
      </c>
      <c r="H616" s="233" t="s">
        <v>299</v>
      </c>
      <c r="I616" s="234">
        <v>2812.6</v>
      </c>
      <c r="J616" s="234">
        <v>2039.4</v>
      </c>
      <c r="K616" s="234">
        <v>2039.4</v>
      </c>
      <c r="L616" s="239">
        <v>98</v>
      </c>
      <c r="M616" s="233" t="s">
        <v>254</v>
      </c>
      <c r="N616" s="233" t="s">
        <v>258</v>
      </c>
      <c r="O616" s="236" t="s">
        <v>1543</v>
      </c>
      <c r="P616" s="78">
        <v>99984.29</v>
      </c>
      <c r="Q616" s="78">
        <v>0</v>
      </c>
      <c r="R616" s="78">
        <v>0</v>
      </c>
      <c r="S616" s="78">
        <v>0</v>
      </c>
      <c r="T616" s="78">
        <f t="shared" si="38"/>
        <v>99984.29</v>
      </c>
      <c r="U616" s="78">
        <f t="shared" si="37"/>
        <v>35.548705823792929</v>
      </c>
      <c r="V616" s="81">
        <v>35.548705823792929</v>
      </c>
    </row>
    <row r="617" spans="1:22" s="79" customFormat="1" ht="36" customHeight="1" x14ac:dyDescent="0.25">
      <c r="A617" s="79">
        <v>1</v>
      </c>
      <c r="B617" s="80">
        <f>SUBTOTAL(103,$A$552:A617)</f>
        <v>66</v>
      </c>
      <c r="C617" s="77" t="s">
        <v>564</v>
      </c>
      <c r="D617" s="233" t="s">
        <v>309</v>
      </c>
      <c r="E617" s="233"/>
      <c r="F617" s="233" t="s">
        <v>298</v>
      </c>
      <c r="G617" s="233" t="s">
        <v>337</v>
      </c>
      <c r="H617" s="233" t="s">
        <v>295</v>
      </c>
      <c r="I617" s="234">
        <v>4424.1000000000004</v>
      </c>
      <c r="J617" s="234">
        <v>3136.3</v>
      </c>
      <c r="K617" s="234">
        <v>3136.3</v>
      </c>
      <c r="L617" s="239">
        <v>144</v>
      </c>
      <c r="M617" s="233" t="s">
        <v>254</v>
      </c>
      <c r="N617" s="233" t="s">
        <v>258</v>
      </c>
      <c r="O617" s="236" t="s">
        <v>1013</v>
      </c>
      <c r="P617" s="78">
        <v>3411032.71</v>
      </c>
      <c r="Q617" s="78">
        <v>0</v>
      </c>
      <c r="R617" s="78">
        <v>0</v>
      </c>
      <c r="S617" s="78">
        <v>0</v>
      </c>
      <c r="T617" s="78">
        <f>P617-R617-S617</f>
        <v>3411032.71</v>
      </c>
      <c r="U617" s="78">
        <f t="shared" si="37"/>
        <v>771.01166564951052</v>
      </c>
      <c r="V617" s="78">
        <v>1549.9658145159467</v>
      </c>
    </row>
    <row r="618" spans="1:22" s="79" customFormat="1" ht="36" customHeight="1" x14ac:dyDescent="0.25">
      <c r="A618" s="79">
        <v>1</v>
      </c>
      <c r="B618" s="80">
        <f>SUBTOTAL(103,$A$552:A618)</f>
        <v>67</v>
      </c>
      <c r="C618" s="77" t="s">
        <v>552</v>
      </c>
      <c r="D618" s="233" t="s">
        <v>358</v>
      </c>
      <c r="E618" s="233"/>
      <c r="F618" s="233" t="s">
        <v>256</v>
      </c>
      <c r="G618" s="233" t="s">
        <v>2123</v>
      </c>
      <c r="H618" s="233" t="s">
        <v>291</v>
      </c>
      <c r="I618" s="234">
        <v>1800.4</v>
      </c>
      <c r="J618" s="234">
        <v>1058.3</v>
      </c>
      <c r="K618" s="234">
        <v>1043.0999999999999</v>
      </c>
      <c r="L618" s="239">
        <v>51</v>
      </c>
      <c r="M618" s="233" t="s">
        <v>254</v>
      </c>
      <c r="N618" s="233" t="s">
        <v>258</v>
      </c>
      <c r="O618" s="236" t="s">
        <v>1545</v>
      </c>
      <c r="P618" s="78">
        <v>1904112.27</v>
      </c>
      <c r="Q618" s="78">
        <v>0</v>
      </c>
      <c r="R618" s="78">
        <v>0</v>
      </c>
      <c r="S618" s="78">
        <v>0</v>
      </c>
      <c r="T618" s="78">
        <f t="shared" si="38"/>
        <v>1904112.27</v>
      </c>
      <c r="U618" s="78">
        <f t="shared" si="37"/>
        <v>1057.6051266385248</v>
      </c>
      <c r="V618" s="78">
        <v>4653.165963119307</v>
      </c>
    </row>
    <row r="619" spans="1:22" s="79" customFormat="1" ht="36" customHeight="1" x14ac:dyDescent="0.25">
      <c r="A619" s="79">
        <v>1</v>
      </c>
      <c r="B619" s="80">
        <f>SUBTOTAL(103,$A$552:A619)</f>
        <v>68</v>
      </c>
      <c r="C619" s="77" t="s">
        <v>745</v>
      </c>
      <c r="D619" s="233">
        <v>1963</v>
      </c>
      <c r="E619" s="233"/>
      <c r="F619" s="233" t="s">
        <v>1479</v>
      </c>
      <c r="G619" s="233" t="s">
        <v>290</v>
      </c>
      <c r="H619" s="233" t="s">
        <v>291</v>
      </c>
      <c r="I619" s="234">
        <v>316.5</v>
      </c>
      <c r="J619" s="234">
        <v>207.1</v>
      </c>
      <c r="K619" s="234">
        <v>207.1</v>
      </c>
      <c r="L619" s="239">
        <v>24</v>
      </c>
      <c r="M619" s="233" t="s">
        <v>254</v>
      </c>
      <c r="N619" s="233" t="s">
        <v>258</v>
      </c>
      <c r="O619" s="236" t="s">
        <v>2126</v>
      </c>
      <c r="P619" s="78">
        <v>1125497.8499999999</v>
      </c>
      <c r="Q619" s="78">
        <v>0</v>
      </c>
      <c r="R619" s="78">
        <v>0</v>
      </c>
      <c r="S619" s="78">
        <v>0</v>
      </c>
      <c r="T619" s="78">
        <f>P619-R619-S619</f>
        <v>1125497.8499999999</v>
      </c>
      <c r="U619" s="78">
        <f t="shared" si="37"/>
        <v>3556.0753554502367</v>
      </c>
      <c r="V619" s="78">
        <v>8739.544417061612</v>
      </c>
    </row>
    <row r="620" spans="1:22" s="79" customFormat="1" ht="36" customHeight="1" x14ac:dyDescent="0.25">
      <c r="A620" s="79">
        <v>1</v>
      </c>
      <c r="B620" s="80">
        <f>SUBTOTAL(103,$A$552:A620)</f>
        <v>69</v>
      </c>
      <c r="C620" s="77" t="s">
        <v>542</v>
      </c>
      <c r="D620" s="233" t="s">
        <v>354</v>
      </c>
      <c r="E620" s="233"/>
      <c r="F620" s="233" t="s">
        <v>298</v>
      </c>
      <c r="G620" s="233" t="s">
        <v>337</v>
      </c>
      <c r="H620" s="233" t="s">
        <v>295</v>
      </c>
      <c r="I620" s="234">
        <v>4042.4</v>
      </c>
      <c r="J620" s="234">
        <v>3045.4</v>
      </c>
      <c r="K620" s="234">
        <v>2978.7</v>
      </c>
      <c r="L620" s="239">
        <v>118</v>
      </c>
      <c r="M620" s="233" t="s">
        <v>254</v>
      </c>
      <c r="N620" s="233" t="s">
        <v>258</v>
      </c>
      <c r="O620" s="236" t="s">
        <v>1241</v>
      </c>
      <c r="P620" s="78">
        <v>125774.71</v>
      </c>
      <c r="Q620" s="78">
        <v>0</v>
      </c>
      <c r="R620" s="78">
        <v>0</v>
      </c>
      <c r="S620" s="78">
        <v>0</v>
      </c>
      <c r="T620" s="78">
        <f>P620-R620-S620</f>
        <v>125774.71</v>
      </c>
      <c r="U620" s="78">
        <f t="shared" si="37"/>
        <v>31.113870472986346</v>
      </c>
      <c r="V620" s="81">
        <v>31.113870472986346</v>
      </c>
    </row>
    <row r="621" spans="1:22" s="79" customFormat="1" ht="36" customHeight="1" x14ac:dyDescent="0.25">
      <c r="A621" s="79">
        <v>1</v>
      </c>
      <c r="B621" s="80">
        <f>SUBTOTAL(103,$A$552:A621)</f>
        <v>70</v>
      </c>
      <c r="C621" s="77" t="s">
        <v>2320</v>
      </c>
      <c r="D621" s="233">
        <v>1975</v>
      </c>
      <c r="E621" s="233"/>
      <c r="F621" s="233" t="s">
        <v>304</v>
      </c>
      <c r="G621" s="233">
        <v>5</v>
      </c>
      <c r="H621" s="233">
        <v>4</v>
      </c>
      <c r="I621" s="234">
        <v>4051.1</v>
      </c>
      <c r="J621" s="234">
        <v>3064</v>
      </c>
      <c r="K621" s="234">
        <v>2752.8</v>
      </c>
      <c r="L621" s="239">
        <v>143</v>
      </c>
      <c r="M621" s="233" t="s">
        <v>254</v>
      </c>
      <c r="N621" s="233" t="s">
        <v>258</v>
      </c>
      <c r="O621" s="236" t="s">
        <v>1241</v>
      </c>
      <c r="P621" s="78">
        <v>125989.02</v>
      </c>
      <c r="Q621" s="78">
        <v>0</v>
      </c>
      <c r="R621" s="78">
        <v>0</v>
      </c>
      <c r="S621" s="78">
        <v>0</v>
      </c>
      <c r="T621" s="78">
        <f t="shared" ref="T621:T639" si="39">P621-R621-S621</f>
        <v>125989.02</v>
      </c>
      <c r="U621" s="78">
        <f t="shared" si="37"/>
        <v>31.099953099158256</v>
      </c>
      <c r="V621" s="81">
        <v>31.099953099158256</v>
      </c>
    </row>
    <row r="622" spans="1:22" s="79" customFormat="1" ht="36" customHeight="1" x14ac:dyDescent="0.25">
      <c r="A622" s="79">
        <v>1</v>
      </c>
      <c r="B622" s="80">
        <f>SUBTOTAL(103,$A$552:A622)</f>
        <v>71</v>
      </c>
      <c r="C622" s="77" t="s">
        <v>2312</v>
      </c>
      <c r="D622" s="233">
        <v>1956</v>
      </c>
      <c r="E622" s="233"/>
      <c r="F622" s="233" t="s">
        <v>256</v>
      </c>
      <c r="G622" s="233">
        <v>2</v>
      </c>
      <c r="H622" s="233">
        <v>1</v>
      </c>
      <c r="I622" s="234">
        <v>515.9</v>
      </c>
      <c r="J622" s="234">
        <v>418.9</v>
      </c>
      <c r="K622" s="234">
        <v>419.9</v>
      </c>
      <c r="L622" s="239">
        <v>57</v>
      </c>
      <c r="M622" s="233" t="s">
        <v>254</v>
      </c>
      <c r="N622" s="233" t="s">
        <v>258</v>
      </c>
      <c r="O622" s="236" t="s">
        <v>1301</v>
      </c>
      <c r="P622" s="78">
        <v>1692196.67</v>
      </c>
      <c r="Q622" s="78">
        <v>0</v>
      </c>
      <c r="R622" s="78">
        <v>0</v>
      </c>
      <c r="S622" s="78">
        <v>0</v>
      </c>
      <c r="T622" s="78">
        <f t="shared" si="39"/>
        <v>1692196.67</v>
      </c>
      <c r="U622" s="78">
        <f t="shared" si="37"/>
        <v>3280.0865865477804</v>
      </c>
      <c r="V622" s="78">
        <v>11639.948362085677</v>
      </c>
    </row>
    <row r="623" spans="1:22" s="79" customFormat="1" ht="36" customHeight="1" x14ac:dyDescent="0.25">
      <c r="A623" s="79">
        <v>1</v>
      </c>
      <c r="B623" s="80">
        <f>SUBTOTAL(103,$A$552:A623)</f>
        <v>72</v>
      </c>
      <c r="C623" s="77" t="s">
        <v>551</v>
      </c>
      <c r="D623" s="233" t="s">
        <v>357</v>
      </c>
      <c r="E623" s="233"/>
      <c r="F623" s="233" t="s">
        <v>298</v>
      </c>
      <c r="G623" s="233" t="s">
        <v>337</v>
      </c>
      <c r="H623" s="233" t="s">
        <v>295</v>
      </c>
      <c r="I623" s="234">
        <v>3861</v>
      </c>
      <c r="J623" s="234">
        <v>3552.1</v>
      </c>
      <c r="K623" s="234">
        <v>3552.1</v>
      </c>
      <c r="L623" s="239">
        <v>165</v>
      </c>
      <c r="M623" s="233" t="s">
        <v>254</v>
      </c>
      <c r="N623" s="233" t="s">
        <v>258</v>
      </c>
      <c r="O623" s="236" t="s">
        <v>1011</v>
      </c>
      <c r="P623" s="78">
        <v>88243.199999999997</v>
      </c>
      <c r="Q623" s="78">
        <v>0</v>
      </c>
      <c r="R623" s="78">
        <v>0</v>
      </c>
      <c r="S623" s="78">
        <v>0</v>
      </c>
      <c r="T623" s="78">
        <f t="shared" si="39"/>
        <v>88243.199999999997</v>
      </c>
      <c r="U623" s="78">
        <f t="shared" si="37"/>
        <v>22.855011655011655</v>
      </c>
      <c r="V623" s="78">
        <v>22.855011655011655</v>
      </c>
    </row>
    <row r="624" spans="1:22" s="79" customFormat="1" ht="31.5" customHeight="1" x14ac:dyDescent="0.25">
      <c r="A624" s="79">
        <v>1</v>
      </c>
      <c r="B624" s="80">
        <f>SUBTOTAL(103,$A$552:A624)</f>
        <v>73</v>
      </c>
      <c r="C624" s="77" t="s">
        <v>566</v>
      </c>
      <c r="D624" s="233" t="s">
        <v>354</v>
      </c>
      <c r="E624" s="233"/>
      <c r="F624" s="233" t="s">
        <v>298</v>
      </c>
      <c r="G624" s="233" t="s">
        <v>337</v>
      </c>
      <c r="H624" s="233" t="s">
        <v>337</v>
      </c>
      <c r="I624" s="234">
        <v>5067.1000000000004</v>
      </c>
      <c r="J624" s="234">
        <v>3815.6</v>
      </c>
      <c r="K624" s="234">
        <v>3768.9</v>
      </c>
      <c r="L624" s="239">
        <v>163</v>
      </c>
      <c r="M624" s="233" t="s">
        <v>254</v>
      </c>
      <c r="N624" s="233" t="s">
        <v>258</v>
      </c>
      <c r="O624" s="236" t="s">
        <v>1241</v>
      </c>
      <c r="P624" s="78">
        <v>88240.52</v>
      </c>
      <c r="Q624" s="78">
        <v>0</v>
      </c>
      <c r="R624" s="78">
        <v>0</v>
      </c>
      <c r="S624" s="78">
        <v>0</v>
      </c>
      <c r="T624" s="78">
        <f t="shared" si="39"/>
        <v>88240.52</v>
      </c>
      <c r="U624" s="78">
        <f t="shared" si="37"/>
        <v>17.414402715557223</v>
      </c>
      <c r="V624" s="78">
        <v>17.414402715557223</v>
      </c>
    </row>
    <row r="625" spans="1:22" s="79" customFormat="1" ht="36" customHeight="1" x14ac:dyDescent="0.25">
      <c r="A625" s="79">
        <v>1</v>
      </c>
      <c r="B625" s="80">
        <f>SUBTOTAL(103,$A$552:A625)</f>
        <v>74</v>
      </c>
      <c r="C625" s="77" t="s">
        <v>1006</v>
      </c>
      <c r="D625" s="233">
        <v>1994</v>
      </c>
      <c r="E625" s="233"/>
      <c r="F625" s="233" t="s">
        <v>256</v>
      </c>
      <c r="G625" s="233">
        <v>9</v>
      </c>
      <c r="H625" s="233" t="s">
        <v>355</v>
      </c>
      <c r="I625" s="234">
        <v>11615.7</v>
      </c>
      <c r="J625" s="234">
        <v>9319.2999999999993</v>
      </c>
      <c r="K625" s="234">
        <v>5667.8</v>
      </c>
      <c r="L625" s="239">
        <v>441</v>
      </c>
      <c r="M625" s="233" t="s">
        <v>254</v>
      </c>
      <c r="N625" s="233" t="s">
        <v>258</v>
      </c>
      <c r="O625" s="236" t="s">
        <v>1013</v>
      </c>
      <c r="P625" s="78">
        <v>75248.2</v>
      </c>
      <c r="Q625" s="78">
        <v>0</v>
      </c>
      <c r="R625" s="78">
        <v>0</v>
      </c>
      <c r="S625" s="78">
        <v>0</v>
      </c>
      <c r="T625" s="78">
        <f t="shared" si="39"/>
        <v>75248.2</v>
      </c>
      <c r="U625" s="78">
        <f t="shared" si="37"/>
        <v>6.4781459576263156</v>
      </c>
      <c r="V625" s="81">
        <v>6.4781459576263156</v>
      </c>
    </row>
    <row r="626" spans="1:22" s="79" customFormat="1" ht="36" customHeight="1" x14ac:dyDescent="0.25">
      <c r="A626" s="79">
        <v>1</v>
      </c>
      <c r="B626" s="80">
        <f>SUBTOTAL(103,$A$552:A626)</f>
        <v>75</v>
      </c>
      <c r="C626" s="77" t="s">
        <v>556</v>
      </c>
      <c r="D626" s="233" t="s">
        <v>346</v>
      </c>
      <c r="E626" s="233"/>
      <c r="F626" s="233" t="s">
        <v>256</v>
      </c>
      <c r="G626" s="233" t="s">
        <v>337</v>
      </c>
      <c r="H626" s="233" t="s">
        <v>299</v>
      </c>
      <c r="I626" s="234">
        <v>2923.9</v>
      </c>
      <c r="J626" s="234">
        <v>2704.4</v>
      </c>
      <c r="K626" s="234">
        <v>1930.7</v>
      </c>
      <c r="L626" s="239">
        <v>125</v>
      </c>
      <c r="M626" s="233" t="s">
        <v>254</v>
      </c>
      <c r="N626" s="233" t="s">
        <v>258</v>
      </c>
      <c r="O626" s="236" t="s">
        <v>1548</v>
      </c>
      <c r="P626" s="78">
        <v>186705.81</v>
      </c>
      <c r="Q626" s="78">
        <v>0</v>
      </c>
      <c r="R626" s="78">
        <v>0</v>
      </c>
      <c r="S626" s="78">
        <v>0</v>
      </c>
      <c r="T626" s="78">
        <f t="shared" si="39"/>
        <v>186705.81</v>
      </c>
      <c r="U626" s="78">
        <f t="shared" si="37"/>
        <v>63.855060022572587</v>
      </c>
      <c r="V626" s="81">
        <v>63.855060022572587</v>
      </c>
    </row>
    <row r="627" spans="1:22" s="79" customFormat="1" ht="36" customHeight="1" x14ac:dyDescent="0.25">
      <c r="A627" s="79">
        <v>1</v>
      </c>
      <c r="B627" s="80">
        <f>SUBTOTAL(103,$A$552:A627)</f>
        <v>76</v>
      </c>
      <c r="C627" s="77" t="s">
        <v>557</v>
      </c>
      <c r="D627" s="233">
        <v>1963</v>
      </c>
      <c r="E627" s="233"/>
      <c r="F627" s="233" t="s">
        <v>256</v>
      </c>
      <c r="G627" s="233">
        <v>5</v>
      </c>
      <c r="H627" s="233" t="s">
        <v>290</v>
      </c>
      <c r="I627" s="234">
        <v>1703.9</v>
      </c>
      <c r="J627" s="234">
        <v>1558.5</v>
      </c>
      <c r="K627" s="234">
        <v>1516.4</v>
      </c>
      <c r="L627" s="239">
        <v>68</v>
      </c>
      <c r="M627" s="233" t="s">
        <v>254</v>
      </c>
      <c r="N627" s="233" t="s">
        <v>258</v>
      </c>
      <c r="O627" s="236" t="s">
        <v>1315</v>
      </c>
      <c r="P627" s="78">
        <v>129570.78</v>
      </c>
      <c r="Q627" s="78">
        <v>0</v>
      </c>
      <c r="R627" s="78">
        <v>0</v>
      </c>
      <c r="S627" s="78">
        <v>0</v>
      </c>
      <c r="T627" s="78">
        <f t="shared" si="39"/>
        <v>129570.78</v>
      </c>
      <c r="U627" s="78">
        <f t="shared" si="37"/>
        <v>76.043652796525606</v>
      </c>
      <c r="V627" s="81">
        <v>76.043652796525606</v>
      </c>
    </row>
    <row r="628" spans="1:22" s="79" customFormat="1" ht="36" customHeight="1" x14ac:dyDescent="0.25">
      <c r="A628" s="79">
        <v>1</v>
      </c>
      <c r="B628" s="80">
        <f>SUBTOTAL(103,$A$552:A628)</f>
        <v>77</v>
      </c>
      <c r="C628" s="77" t="s">
        <v>559</v>
      </c>
      <c r="D628" s="233">
        <v>1972</v>
      </c>
      <c r="E628" s="233"/>
      <c r="F628" s="233" t="s">
        <v>256</v>
      </c>
      <c r="G628" s="233">
        <v>9</v>
      </c>
      <c r="H628" s="233" t="s">
        <v>291</v>
      </c>
      <c r="I628" s="234">
        <v>1896.4</v>
      </c>
      <c r="J628" s="234">
        <v>1896.4</v>
      </c>
      <c r="K628" s="234">
        <v>1859.1</v>
      </c>
      <c r="L628" s="239">
        <v>90</v>
      </c>
      <c r="M628" s="233" t="s">
        <v>254</v>
      </c>
      <c r="N628" s="233" t="s">
        <v>258</v>
      </c>
      <c r="O628" s="236" t="s">
        <v>1303</v>
      </c>
      <c r="P628" s="78">
        <v>162849.19</v>
      </c>
      <c r="Q628" s="78">
        <v>0</v>
      </c>
      <c r="R628" s="78">
        <v>0</v>
      </c>
      <c r="S628" s="78">
        <v>0</v>
      </c>
      <c r="T628" s="78">
        <f t="shared" si="39"/>
        <v>162849.19</v>
      </c>
      <c r="U628" s="78">
        <f t="shared" si="37"/>
        <v>85.872806369964138</v>
      </c>
      <c r="V628" s="81">
        <v>85.872806369964138</v>
      </c>
    </row>
    <row r="629" spans="1:22" s="79" customFormat="1" ht="36" customHeight="1" x14ac:dyDescent="0.25">
      <c r="A629" s="79">
        <v>1</v>
      </c>
      <c r="B629" s="80">
        <f>SUBTOTAL(103,$A$552:A629)</f>
        <v>78</v>
      </c>
      <c r="C629" s="77" t="s">
        <v>561</v>
      </c>
      <c r="D629" s="233" t="s">
        <v>356</v>
      </c>
      <c r="E629" s="233"/>
      <c r="F629" s="233" t="s">
        <v>256</v>
      </c>
      <c r="G629" s="233" t="s">
        <v>337</v>
      </c>
      <c r="H629" s="233" t="s">
        <v>299</v>
      </c>
      <c r="I629" s="234">
        <v>2600.9</v>
      </c>
      <c r="J629" s="234">
        <v>2217.3000000000002</v>
      </c>
      <c r="K629" s="234">
        <v>2214.6</v>
      </c>
      <c r="L629" s="239">
        <v>77</v>
      </c>
      <c r="M629" s="233" t="s">
        <v>254</v>
      </c>
      <c r="N629" s="233" t="s">
        <v>258</v>
      </c>
      <c r="O629" s="236" t="s">
        <v>1301</v>
      </c>
      <c r="P629" s="78">
        <v>184901.25</v>
      </c>
      <c r="Q629" s="78">
        <v>0</v>
      </c>
      <c r="R629" s="78">
        <v>0</v>
      </c>
      <c r="S629" s="78">
        <v>0</v>
      </c>
      <c r="T629" s="78">
        <f t="shared" si="39"/>
        <v>184901.25</v>
      </c>
      <c r="U629" s="78">
        <f t="shared" si="37"/>
        <v>71.091256872621017</v>
      </c>
      <c r="V629" s="81">
        <v>71.091256872621017</v>
      </c>
    </row>
    <row r="630" spans="1:22" s="79" customFormat="1" ht="36" customHeight="1" x14ac:dyDescent="0.25">
      <c r="A630" s="79">
        <v>1</v>
      </c>
      <c r="B630" s="80">
        <f>SUBTOTAL(103,$A$552:A630)</f>
        <v>79</v>
      </c>
      <c r="C630" s="77" t="s">
        <v>522</v>
      </c>
      <c r="D630" s="233" t="s">
        <v>344</v>
      </c>
      <c r="E630" s="233"/>
      <c r="F630" s="233" t="s">
        <v>256</v>
      </c>
      <c r="G630" s="233" t="s">
        <v>295</v>
      </c>
      <c r="H630" s="233" t="s">
        <v>291</v>
      </c>
      <c r="I630" s="234">
        <v>946</v>
      </c>
      <c r="J630" s="234">
        <v>977.4</v>
      </c>
      <c r="K630" s="234">
        <v>688.5</v>
      </c>
      <c r="L630" s="239">
        <v>25</v>
      </c>
      <c r="M630" s="233" t="s">
        <v>254</v>
      </c>
      <c r="N630" s="233" t="s">
        <v>258</v>
      </c>
      <c r="O630" s="236" t="s">
        <v>1301</v>
      </c>
      <c r="P630" s="78">
        <v>97383.43</v>
      </c>
      <c r="Q630" s="78">
        <v>0</v>
      </c>
      <c r="R630" s="78">
        <v>0</v>
      </c>
      <c r="S630" s="78">
        <v>0</v>
      </c>
      <c r="T630" s="78">
        <f t="shared" si="39"/>
        <v>97383.43</v>
      </c>
      <c r="U630" s="78">
        <f t="shared" si="37"/>
        <v>102.94231501057082</v>
      </c>
      <c r="V630" s="81">
        <v>102.94231501057082</v>
      </c>
    </row>
    <row r="631" spans="1:22" s="79" customFormat="1" ht="36" customHeight="1" x14ac:dyDescent="0.25">
      <c r="A631" s="79">
        <v>1</v>
      </c>
      <c r="B631" s="80">
        <f>SUBTOTAL(103,$A$552:A631)</f>
        <v>80</v>
      </c>
      <c r="C631" s="77" t="s">
        <v>524</v>
      </c>
      <c r="D631" s="233" t="s">
        <v>293</v>
      </c>
      <c r="E631" s="233"/>
      <c r="F631" s="233" t="s">
        <v>256</v>
      </c>
      <c r="G631" s="233" t="s">
        <v>337</v>
      </c>
      <c r="H631" s="233" t="s">
        <v>290</v>
      </c>
      <c r="I631" s="234">
        <v>2023.4</v>
      </c>
      <c r="J631" s="234">
        <v>1578.1</v>
      </c>
      <c r="K631" s="234">
        <v>1536.2</v>
      </c>
      <c r="L631" s="239">
        <v>72</v>
      </c>
      <c r="M631" s="233" t="s">
        <v>254</v>
      </c>
      <c r="N631" s="233" t="s">
        <v>258</v>
      </c>
      <c r="O631" s="236" t="s">
        <v>1301</v>
      </c>
      <c r="P631" s="78">
        <v>140629.07</v>
      </c>
      <c r="Q631" s="78">
        <v>0</v>
      </c>
      <c r="R631" s="78">
        <v>0</v>
      </c>
      <c r="S631" s="78">
        <v>0</v>
      </c>
      <c r="T631" s="78">
        <f t="shared" si="39"/>
        <v>140629.07</v>
      </c>
      <c r="U631" s="78">
        <f t="shared" si="37"/>
        <v>69.501368982900075</v>
      </c>
      <c r="V631" s="81">
        <v>69.501368982900075</v>
      </c>
    </row>
    <row r="632" spans="1:22" s="79" customFormat="1" ht="36" customHeight="1" x14ac:dyDescent="0.25">
      <c r="A632" s="79">
        <v>1</v>
      </c>
      <c r="B632" s="80">
        <f>SUBTOTAL(103,$A$552:A632)</f>
        <v>81</v>
      </c>
      <c r="C632" s="77" t="s">
        <v>2144</v>
      </c>
      <c r="D632" s="233">
        <v>1976</v>
      </c>
      <c r="E632" s="233"/>
      <c r="F632" s="233" t="s">
        <v>256</v>
      </c>
      <c r="G632" s="233">
        <v>5</v>
      </c>
      <c r="H632" s="233">
        <v>1</v>
      </c>
      <c r="I632" s="234">
        <v>579.79999999999995</v>
      </c>
      <c r="J632" s="234">
        <v>348.4</v>
      </c>
      <c r="K632" s="234">
        <v>348.4</v>
      </c>
      <c r="L632" s="239">
        <v>37</v>
      </c>
      <c r="M632" s="233" t="s">
        <v>254</v>
      </c>
      <c r="N632" s="233" t="s">
        <v>258</v>
      </c>
      <c r="O632" s="236" t="s">
        <v>1545</v>
      </c>
      <c r="P632" s="78">
        <v>86631.03</v>
      </c>
      <c r="Q632" s="78">
        <v>0</v>
      </c>
      <c r="R632" s="78">
        <v>0</v>
      </c>
      <c r="S632" s="78">
        <v>0</v>
      </c>
      <c r="T632" s="78">
        <f t="shared" si="39"/>
        <v>86631.03</v>
      </c>
      <c r="U632" s="78">
        <f t="shared" si="37"/>
        <v>149.41536736805796</v>
      </c>
      <c r="V632" s="81">
        <v>149.41536736805796</v>
      </c>
    </row>
    <row r="633" spans="1:22" s="79" customFormat="1" ht="36" customHeight="1" x14ac:dyDescent="0.25">
      <c r="A633" s="79">
        <v>1</v>
      </c>
      <c r="B633" s="80">
        <f>SUBTOTAL(103,$A$552:A633)</f>
        <v>82</v>
      </c>
      <c r="C633" s="77" t="s">
        <v>2146</v>
      </c>
      <c r="D633" s="233">
        <v>1956</v>
      </c>
      <c r="E633" s="233"/>
      <c r="F633" s="233" t="s">
        <v>256</v>
      </c>
      <c r="G633" s="233">
        <v>3</v>
      </c>
      <c r="H633" s="233">
        <v>1</v>
      </c>
      <c r="I633" s="234">
        <v>1526.8</v>
      </c>
      <c r="J633" s="234">
        <v>781.9</v>
      </c>
      <c r="K633" s="234">
        <v>629.4</v>
      </c>
      <c r="L633" s="239">
        <v>107</v>
      </c>
      <c r="M633" s="233" t="s">
        <v>254</v>
      </c>
      <c r="N633" s="233" t="s">
        <v>258</v>
      </c>
      <c r="O633" s="236" t="s">
        <v>1301</v>
      </c>
      <c r="P633" s="78">
        <v>123432.27</v>
      </c>
      <c r="Q633" s="78">
        <v>0</v>
      </c>
      <c r="R633" s="78">
        <v>0</v>
      </c>
      <c r="S633" s="78">
        <v>0</v>
      </c>
      <c r="T633" s="78">
        <f t="shared" si="39"/>
        <v>123432.27</v>
      </c>
      <c r="U633" s="78">
        <f t="shared" si="37"/>
        <v>80.843771286350545</v>
      </c>
      <c r="V633" s="81">
        <v>80.843771286350545</v>
      </c>
    </row>
    <row r="634" spans="1:22" s="79" customFormat="1" ht="36" customHeight="1" x14ac:dyDescent="0.25">
      <c r="A634" s="79">
        <v>1</v>
      </c>
      <c r="B634" s="80">
        <f>SUBTOTAL(103,$A$552:A634)</f>
        <v>83</v>
      </c>
      <c r="C634" s="77" t="s">
        <v>2147</v>
      </c>
      <c r="D634" s="233">
        <v>1958</v>
      </c>
      <c r="E634" s="233"/>
      <c r="F634" s="233" t="s">
        <v>256</v>
      </c>
      <c r="G634" s="233">
        <v>3</v>
      </c>
      <c r="H634" s="233">
        <v>3</v>
      </c>
      <c r="I634" s="234">
        <v>1457.8</v>
      </c>
      <c r="J634" s="234">
        <v>1370.6</v>
      </c>
      <c r="K634" s="234">
        <v>1307.8</v>
      </c>
      <c r="L634" s="239">
        <v>67</v>
      </c>
      <c r="M634" s="233" t="s">
        <v>254</v>
      </c>
      <c r="N634" s="233" t="s">
        <v>258</v>
      </c>
      <c r="O634" s="236" t="s">
        <v>1301</v>
      </c>
      <c r="P634" s="78">
        <v>148136.14000000001</v>
      </c>
      <c r="Q634" s="78">
        <v>0</v>
      </c>
      <c r="R634" s="78">
        <v>0</v>
      </c>
      <c r="S634" s="78">
        <v>0</v>
      </c>
      <c r="T634" s="78">
        <f t="shared" si="39"/>
        <v>148136.14000000001</v>
      </c>
      <c r="U634" s="78">
        <f t="shared" si="37"/>
        <v>101.61622993551929</v>
      </c>
      <c r="V634" s="81">
        <v>101.61622993551929</v>
      </c>
    </row>
    <row r="635" spans="1:22" s="79" customFormat="1" ht="36" customHeight="1" x14ac:dyDescent="0.25">
      <c r="A635" s="79">
        <v>1</v>
      </c>
      <c r="B635" s="80">
        <f>SUBTOTAL(103,$A$552:A635)</f>
        <v>84</v>
      </c>
      <c r="C635" s="77" t="s">
        <v>2148</v>
      </c>
      <c r="D635" s="233">
        <v>1959</v>
      </c>
      <c r="E635" s="233"/>
      <c r="F635" s="233" t="s">
        <v>256</v>
      </c>
      <c r="G635" s="233">
        <v>3</v>
      </c>
      <c r="H635" s="233">
        <v>3</v>
      </c>
      <c r="I635" s="234">
        <v>1142.4000000000001</v>
      </c>
      <c r="J635" s="234">
        <v>950.3</v>
      </c>
      <c r="K635" s="234">
        <v>950.3</v>
      </c>
      <c r="L635" s="239">
        <v>45</v>
      </c>
      <c r="M635" s="233" t="s">
        <v>254</v>
      </c>
      <c r="N635" s="233" t="s">
        <v>258</v>
      </c>
      <c r="O635" s="236" t="s">
        <v>1012</v>
      </c>
      <c r="P635" s="78">
        <v>116342.96</v>
      </c>
      <c r="Q635" s="78">
        <v>0</v>
      </c>
      <c r="R635" s="78">
        <v>0</v>
      </c>
      <c r="S635" s="78">
        <v>0</v>
      </c>
      <c r="T635" s="78">
        <f t="shared" si="39"/>
        <v>116342.96</v>
      </c>
      <c r="U635" s="78">
        <f t="shared" si="37"/>
        <v>101.84082633053221</v>
      </c>
      <c r="V635" s="81">
        <v>101.84082633053221</v>
      </c>
    </row>
    <row r="636" spans="1:22" s="79" customFormat="1" ht="36" customHeight="1" x14ac:dyDescent="0.25">
      <c r="A636" s="79">
        <v>1</v>
      </c>
      <c r="B636" s="80">
        <f>SUBTOTAL(103,$A$552:A636)</f>
        <v>85</v>
      </c>
      <c r="C636" s="77" t="s">
        <v>553</v>
      </c>
      <c r="D636" s="233">
        <v>1962</v>
      </c>
      <c r="E636" s="233"/>
      <c r="F636" s="233" t="s">
        <v>256</v>
      </c>
      <c r="G636" s="233">
        <v>5</v>
      </c>
      <c r="H636" s="233" t="s">
        <v>295</v>
      </c>
      <c r="I636" s="234">
        <v>4073.9</v>
      </c>
      <c r="J636" s="234">
        <v>3163.1</v>
      </c>
      <c r="K636" s="234">
        <v>2004.3</v>
      </c>
      <c r="L636" s="239">
        <v>146</v>
      </c>
      <c r="M636" s="233" t="s">
        <v>254</v>
      </c>
      <c r="N636" s="233" t="s">
        <v>258</v>
      </c>
      <c r="O636" s="236" t="s">
        <v>1026</v>
      </c>
      <c r="P636" s="78">
        <v>79681.850000000006</v>
      </c>
      <c r="Q636" s="78">
        <v>0</v>
      </c>
      <c r="R636" s="78">
        <v>0</v>
      </c>
      <c r="S636" s="78">
        <v>0</v>
      </c>
      <c r="T636" s="78">
        <f t="shared" si="39"/>
        <v>79681.850000000006</v>
      </c>
      <c r="U636" s="78">
        <f t="shared" si="37"/>
        <v>19.559107980068241</v>
      </c>
      <c r="V636" s="78">
        <v>19.559107980068241</v>
      </c>
    </row>
    <row r="637" spans="1:22" s="79" customFormat="1" ht="36" customHeight="1" x14ac:dyDescent="0.25">
      <c r="A637" s="79">
        <v>1</v>
      </c>
      <c r="B637" s="80">
        <f>SUBTOTAL(103,$A$552:A637)</f>
        <v>86</v>
      </c>
      <c r="C637" s="77" t="s">
        <v>1532</v>
      </c>
      <c r="D637" s="233">
        <v>1962</v>
      </c>
      <c r="E637" s="233"/>
      <c r="F637" s="233" t="s">
        <v>256</v>
      </c>
      <c r="G637" s="233">
        <v>4</v>
      </c>
      <c r="H637" s="233" t="s">
        <v>299</v>
      </c>
      <c r="I637" s="234">
        <v>2843.6</v>
      </c>
      <c r="J637" s="234">
        <v>2001.7</v>
      </c>
      <c r="K637" s="234">
        <v>1691.5</v>
      </c>
      <c r="L637" s="239">
        <v>91</v>
      </c>
      <c r="M637" s="233" t="s">
        <v>254</v>
      </c>
      <c r="N637" s="233" t="s">
        <v>258</v>
      </c>
      <c r="O637" s="236" t="s">
        <v>1026</v>
      </c>
      <c r="P637" s="78">
        <v>59634.07</v>
      </c>
      <c r="Q637" s="78">
        <v>0</v>
      </c>
      <c r="R637" s="78">
        <v>0</v>
      </c>
      <c r="S637" s="78">
        <v>0</v>
      </c>
      <c r="T637" s="78">
        <f t="shared" si="39"/>
        <v>59634.07</v>
      </c>
      <c r="U637" s="78">
        <f t="shared" si="37"/>
        <v>20.9713285975524</v>
      </c>
      <c r="V637" s="78">
        <v>20.9713285975524</v>
      </c>
    </row>
    <row r="638" spans="1:22" s="79" customFormat="1" ht="36" customHeight="1" x14ac:dyDescent="0.25">
      <c r="A638" s="79">
        <v>1</v>
      </c>
      <c r="B638" s="80">
        <f>SUBTOTAL(103,$A$552:A638)</f>
        <v>87</v>
      </c>
      <c r="C638" s="77" t="s">
        <v>501</v>
      </c>
      <c r="D638" s="233">
        <v>1996</v>
      </c>
      <c r="E638" s="233"/>
      <c r="F638" s="233" t="s">
        <v>304</v>
      </c>
      <c r="G638" s="233" t="s">
        <v>343</v>
      </c>
      <c r="H638" s="233" t="s">
        <v>295</v>
      </c>
      <c r="I638" s="234">
        <v>8787.9</v>
      </c>
      <c r="J638" s="234">
        <v>6287.1</v>
      </c>
      <c r="K638" s="234">
        <v>5664.6</v>
      </c>
      <c r="L638" s="239" t="s">
        <v>2558</v>
      </c>
      <c r="M638" s="233" t="s">
        <v>254</v>
      </c>
      <c r="N638" s="233" t="s">
        <v>258</v>
      </c>
      <c r="O638" s="236" t="s">
        <v>2559</v>
      </c>
      <c r="P638" s="78">
        <v>4530572.8199999994</v>
      </c>
      <c r="Q638" s="78">
        <v>0</v>
      </c>
      <c r="R638" s="78">
        <v>2130400</v>
      </c>
      <c r="S638" s="78">
        <v>0</v>
      </c>
      <c r="T638" s="78">
        <f t="shared" si="39"/>
        <v>2400172.8199999994</v>
      </c>
      <c r="U638" s="78">
        <f t="shared" si="37"/>
        <v>515.5466971631447</v>
      </c>
      <c r="V638" s="78">
        <v>559.36002913096422</v>
      </c>
    </row>
    <row r="639" spans="1:22" s="79" customFormat="1" ht="36" customHeight="1" x14ac:dyDescent="0.25">
      <c r="A639" s="79">
        <v>1</v>
      </c>
      <c r="B639" s="80">
        <f>SUBTOTAL(103,$A$552:A639)</f>
        <v>88</v>
      </c>
      <c r="C639" s="77" t="s">
        <v>1533</v>
      </c>
      <c r="D639" s="233">
        <v>1970</v>
      </c>
      <c r="E639" s="233"/>
      <c r="F639" s="233" t="s">
        <v>256</v>
      </c>
      <c r="G639" s="233">
        <v>5</v>
      </c>
      <c r="H639" s="233" t="s">
        <v>355</v>
      </c>
      <c r="I639" s="234">
        <v>5849.4</v>
      </c>
      <c r="J639" s="234">
        <v>4434.8999999999996</v>
      </c>
      <c r="K639" s="234">
        <v>4190</v>
      </c>
      <c r="L639" s="239">
        <v>242</v>
      </c>
      <c r="M639" s="233" t="s">
        <v>254</v>
      </c>
      <c r="N639" s="233" t="s">
        <v>258</v>
      </c>
      <c r="O639" s="236" t="s">
        <v>1026</v>
      </c>
      <c r="P639" s="78">
        <v>103219.31</v>
      </c>
      <c r="Q639" s="78">
        <v>0</v>
      </c>
      <c r="R639" s="78">
        <v>0</v>
      </c>
      <c r="S639" s="78">
        <v>0</v>
      </c>
      <c r="T639" s="78">
        <f t="shared" si="39"/>
        <v>103219.31</v>
      </c>
      <c r="U639" s="78">
        <f t="shared" si="37"/>
        <v>17.646136355865561</v>
      </c>
      <c r="V639" s="78">
        <v>17.649999999999999</v>
      </c>
    </row>
    <row r="640" spans="1:22" s="79" customFormat="1" ht="36" customHeight="1" x14ac:dyDescent="0.25">
      <c r="B640" s="77" t="s">
        <v>706</v>
      </c>
      <c r="C640" s="240"/>
      <c r="D640" s="233" t="s">
        <v>835</v>
      </c>
      <c r="E640" s="233" t="s">
        <v>835</v>
      </c>
      <c r="F640" s="233" t="s">
        <v>835</v>
      </c>
      <c r="G640" s="233" t="s">
        <v>835</v>
      </c>
      <c r="H640" s="233" t="s">
        <v>835</v>
      </c>
      <c r="I640" s="234">
        <f>SUM(I641:I666)</f>
        <v>39765.410000000003</v>
      </c>
      <c r="J640" s="234">
        <f>SUM(J641:J666)</f>
        <v>37256.199999999997</v>
      </c>
      <c r="K640" s="234">
        <f>SUM(K641:K666)</f>
        <v>35440.700000000004</v>
      </c>
      <c r="L640" s="235">
        <f>SUM(L641:L666)</f>
        <v>1664</v>
      </c>
      <c r="M640" s="233" t="s">
        <v>835</v>
      </c>
      <c r="N640" s="233" t="s">
        <v>835</v>
      </c>
      <c r="O640" s="236" t="s">
        <v>835</v>
      </c>
      <c r="P640" s="237">
        <v>58706347.549999997</v>
      </c>
      <c r="Q640" s="234">
        <f>SUM(Q641:Q666)</f>
        <v>0</v>
      </c>
      <c r="R640" s="234">
        <f>SUM(R641:R666)</f>
        <v>0</v>
      </c>
      <c r="S640" s="234">
        <f>SUM(S641:S666)</f>
        <v>0</v>
      </c>
      <c r="T640" s="234">
        <f>SUM(T641:T666)</f>
        <v>58706347.549999997</v>
      </c>
      <c r="U640" s="78">
        <f t="shared" ref="U640:U659" si="40">P640/I640</f>
        <v>1476.3169183971695</v>
      </c>
      <c r="V640" s="78">
        <f>MAX(V641:V666)</f>
        <v>9690.842742343033</v>
      </c>
    </row>
    <row r="641" spans="1:22" s="79" customFormat="1" ht="36" customHeight="1" x14ac:dyDescent="0.25">
      <c r="A641" s="79">
        <v>1</v>
      </c>
      <c r="B641" s="80">
        <f>SUBTOTAL(103,$A$552:A641)</f>
        <v>89</v>
      </c>
      <c r="C641" s="77" t="s">
        <v>430</v>
      </c>
      <c r="D641" s="233">
        <v>1960</v>
      </c>
      <c r="E641" s="233"/>
      <c r="F641" s="233" t="s">
        <v>256</v>
      </c>
      <c r="G641" s="233">
        <v>2</v>
      </c>
      <c r="H641" s="233" t="s">
        <v>290</v>
      </c>
      <c r="I641" s="234">
        <v>634.6</v>
      </c>
      <c r="J641" s="234">
        <v>634.6</v>
      </c>
      <c r="K641" s="234">
        <v>634.6</v>
      </c>
      <c r="L641" s="239">
        <v>26</v>
      </c>
      <c r="M641" s="233" t="s">
        <v>254</v>
      </c>
      <c r="N641" s="233" t="s">
        <v>255</v>
      </c>
      <c r="O641" s="236" t="s">
        <v>257</v>
      </c>
      <c r="P641" s="78">
        <v>3153465.39</v>
      </c>
      <c r="Q641" s="78">
        <v>0</v>
      </c>
      <c r="R641" s="78">
        <v>0</v>
      </c>
      <c r="S641" s="78">
        <v>0</v>
      </c>
      <c r="T641" s="78">
        <f t="shared" ref="T641:T666" si="41">P641-R641-S641</f>
        <v>3153465.39</v>
      </c>
      <c r="U641" s="78">
        <f t="shared" si="40"/>
        <v>4969.2174440592498</v>
      </c>
      <c r="V641" s="78">
        <v>8877.1339275133942</v>
      </c>
    </row>
    <row r="642" spans="1:22" s="79" customFormat="1" ht="61.5" x14ac:dyDescent="0.25">
      <c r="A642" s="79">
        <v>1</v>
      </c>
      <c r="B642" s="80">
        <f>SUBTOTAL(103,$A$552:A642)</f>
        <v>90</v>
      </c>
      <c r="C642" s="77" t="s">
        <v>431</v>
      </c>
      <c r="D642" s="233">
        <v>1952</v>
      </c>
      <c r="E642" s="233">
        <v>2008</v>
      </c>
      <c r="F642" s="233" t="s">
        <v>256</v>
      </c>
      <c r="G642" s="233">
        <v>2</v>
      </c>
      <c r="H642" s="233" t="s">
        <v>291</v>
      </c>
      <c r="I642" s="234">
        <v>427.8</v>
      </c>
      <c r="J642" s="234">
        <v>392.1</v>
      </c>
      <c r="K642" s="234">
        <v>392.1</v>
      </c>
      <c r="L642" s="239">
        <v>21</v>
      </c>
      <c r="M642" s="233" t="s">
        <v>254</v>
      </c>
      <c r="N642" s="233" t="s">
        <v>258</v>
      </c>
      <c r="O642" s="236" t="s">
        <v>326</v>
      </c>
      <c r="P642" s="78">
        <v>2143017.0299999998</v>
      </c>
      <c r="Q642" s="78">
        <v>0</v>
      </c>
      <c r="R642" s="78">
        <v>0</v>
      </c>
      <c r="S642" s="78">
        <v>0</v>
      </c>
      <c r="T642" s="78">
        <f t="shared" si="41"/>
        <v>2143017.0299999998</v>
      </c>
      <c r="U642" s="78">
        <f t="shared" si="40"/>
        <v>5009.3899719495084</v>
      </c>
      <c r="V642" s="78">
        <v>6952.6226273959792</v>
      </c>
    </row>
    <row r="643" spans="1:22" s="79" customFormat="1" ht="36" customHeight="1" x14ac:dyDescent="0.25">
      <c r="A643" s="79">
        <v>1</v>
      </c>
      <c r="B643" s="80">
        <f>SUBTOTAL(103,$A$552:A643)</f>
        <v>91</v>
      </c>
      <c r="C643" s="77" t="s">
        <v>432</v>
      </c>
      <c r="D643" s="233">
        <v>1963</v>
      </c>
      <c r="E643" s="233"/>
      <c r="F643" s="233" t="s">
        <v>256</v>
      </c>
      <c r="G643" s="233">
        <v>4</v>
      </c>
      <c r="H643" s="233" t="s">
        <v>299</v>
      </c>
      <c r="I643" s="234">
        <v>2171.1999999999998</v>
      </c>
      <c r="J643" s="234">
        <v>2025.5</v>
      </c>
      <c r="K643" s="234">
        <v>2025.5</v>
      </c>
      <c r="L643" s="239">
        <v>84</v>
      </c>
      <c r="M643" s="233" t="s">
        <v>254</v>
      </c>
      <c r="N643" s="233" t="s">
        <v>255</v>
      </c>
      <c r="O643" s="236" t="s">
        <v>257</v>
      </c>
      <c r="P643" s="78">
        <v>105815.67999999999</v>
      </c>
      <c r="Q643" s="78">
        <v>0</v>
      </c>
      <c r="R643" s="78">
        <v>0</v>
      </c>
      <c r="S643" s="78">
        <v>0</v>
      </c>
      <c r="T643" s="78">
        <f t="shared" si="41"/>
        <v>105815.67999999999</v>
      </c>
      <c r="U643" s="78">
        <f t="shared" si="40"/>
        <v>48.736035372144435</v>
      </c>
      <c r="V643" s="81">
        <v>48.736035372144435</v>
      </c>
    </row>
    <row r="644" spans="1:22" s="79" customFormat="1" ht="36" customHeight="1" x14ac:dyDescent="0.25">
      <c r="A644" s="79">
        <v>1</v>
      </c>
      <c r="B644" s="80">
        <f>SUBTOTAL(103,$A$552:A644)</f>
        <v>92</v>
      </c>
      <c r="C644" s="77" t="s">
        <v>433</v>
      </c>
      <c r="D644" s="233">
        <v>1959</v>
      </c>
      <c r="E644" s="233"/>
      <c r="F644" s="233" t="s">
        <v>256</v>
      </c>
      <c r="G644" s="233">
        <v>2</v>
      </c>
      <c r="H644" s="233" t="s">
        <v>290</v>
      </c>
      <c r="I644" s="234">
        <v>679.1</v>
      </c>
      <c r="J644" s="234">
        <v>632.4</v>
      </c>
      <c r="K644" s="234">
        <v>632.4</v>
      </c>
      <c r="L644" s="239">
        <v>43</v>
      </c>
      <c r="M644" s="233" t="s">
        <v>254</v>
      </c>
      <c r="N644" s="233" t="s">
        <v>255</v>
      </c>
      <c r="O644" s="236" t="s">
        <v>257</v>
      </c>
      <c r="P644" s="78">
        <v>66740.47</v>
      </c>
      <c r="Q644" s="78">
        <v>0</v>
      </c>
      <c r="R644" s="78">
        <v>0</v>
      </c>
      <c r="S644" s="78">
        <v>0</v>
      </c>
      <c r="T644" s="78">
        <f t="shared" si="41"/>
        <v>66740.47</v>
      </c>
      <c r="U644" s="78">
        <f t="shared" si="40"/>
        <v>98.277823590045642</v>
      </c>
      <c r="V644" s="78">
        <v>98.277823590045642</v>
      </c>
    </row>
    <row r="645" spans="1:22" s="79" customFormat="1" ht="36" customHeight="1" x14ac:dyDescent="0.25">
      <c r="A645" s="79">
        <v>1</v>
      </c>
      <c r="B645" s="80">
        <f>SUBTOTAL(103,$A$552:A645)</f>
        <v>93</v>
      </c>
      <c r="C645" s="77" t="s">
        <v>434</v>
      </c>
      <c r="D645" s="233">
        <v>1959</v>
      </c>
      <c r="E645" s="233"/>
      <c r="F645" s="233" t="s">
        <v>256</v>
      </c>
      <c r="G645" s="233">
        <v>2</v>
      </c>
      <c r="H645" s="233" t="s">
        <v>290</v>
      </c>
      <c r="I645" s="234">
        <v>692.3</v>
      </c>
      <c r="J645" s="234">
        <v>645.9</v>
      </c>
      <c r="K645" s="234">
        <v>615.29999999999995</v>
      </c>
      <c r="L645" s="239">
        <v>28</v>
      </c>
      <c r="M645" s="233" t="s">
        <v>254</v>
      </c>
      <c r="N645" s="233" t="s">
        <v>255</v>
      </c>
      <c r="O645" s="236" t="s">
        <v>257</v>
      </c>
      <c r="P645" s="78">
        <v>68133</v>
      </c>
      <c r="Q645" s="78">
        <v>0</v>
      </c>
      <c r="R645" s="78">
        <v>0</v>
      </c>
      <c r="S645" s="78">
        <v>0</v>
      </c>
      <c r="T645" s="78">
        <f t="shared" si="41"/>
        <v>68133</v>
      </c>
      <c r="U645" s="78">
        <f t="shared" si="40"/>
        <v>98.415426838075987</v>
      </c>
      <c r="V645" s="78">
        <v>98.415426838075987</v>
      </c>
    </row>
    <row r="646" spans="1:22" s="79" customFormat="1" ht="36" customHeight="1" x14ac:dyDescent="0.25">
      <c r="A646" s="79">
        <v>1</v>
      </c>
      <c r="B646" s="80">
        <f>SUBTOTAL(103,$A$552:A646)</f>
        <v>94</v>
      </c>
      <c r="C646" s="77" t="s">
        <v>435</v>
      </c>
      <c r="D646" s="233">
        <v>1972</v>
      </c>
      <c r="E646" s="233"/>
      <c r="F646" s="233" t="s">
        <v>256</v>
      </c>
      <c r="G646" s="233">
        <v>2</v>
      </c>
      <c r="H646" s="233" t="s">
        <v>290</v>
      </c>
      <c r="I646" s="234">
        <v>800.8</v>
      </c>
      <c r="J646" s="234">
        <v>734.3</v>
      </c>
      <c r="K646" s="234">
        <v>734.3</v>
      </c>
      <c r="L646" s="239">
        <v>35</v>
      </c>
      <c r="M646" s="233" t="s">
        <v>254</v>
      </c>
      <c r="N646" s="233" t="s">
        <v>255</v>
      </c>
      <c r="O646" s="236" t="s">
        <v>257</v>
      </c>
      <c r="P646" s="78">
        <v>3132062.8899999997</v>
      </c>
      <c r="Q646" s="78">
        <v>0</v>
      </c>
      <c r="R646" s="78">
        <v>0</v>
      </c>
      <c r="S646" s="78">
        <v>0</v>
      </c>
      <c r="T646" s="78">
        <f t="shared" si="41"/>
        <v>3132062.8899999997</v>
      </c>
      <c r="U646" s="78">
        <f t="shared" si="40"/>
        <v>3911.1674450549449</v>
      </c>
      <c r="V646" s="78">
        <v>7411.0089560439565</v>
      </c>
    </row>
    <row r="647" spans="1:22" s="79" customFormat="1" ht="36" customHeight="1" x14ac:dyDescent="0.25">
      <c r="A647" s="79">
        <v>1</v>
      </c>
      <c r="B647" s="80">
        <f>SUBTOTAL(103,$A$552:A647)</f>
        <v>95</v>
      </c>
      <c r="C647" s="77" t="s">
        <v>436</v>
      </c>
      <c r="D647" s="233">
        <v>1954</v>
      </c>
      <c r="E647" s="233"/>
      <c r="F647" s="233" t="s">
        <v>310</v>
      </c>
      <c r="G647" s="233">
        <v>2</v>
      </c>
      <c r="H647" s="233" t="s">
        <v>290</v>
      </c>
      <c r="I647" s="234">
        <v>391.3</v>
      </c>
      <c r="J647" s="234">
        <v>360.5</v>
      </c>
      <c r="K647" s="234">
        <v>360.5</v>
      </c>
      <c r="L647" s="239">
        <v>15</v>
      </c>
      <c r="M647" s="233" t="s">
        <v>254</v>
      </c>
      <c r="N647" s="233" t="s">
        <v>255</v>
      </c>
      <c r="O647" s="236" t="s">
        <v>257</v>
      </c>
      <c r="P647" s="78">
        <v>975506.3</v>
      </c>
      <c r="Q647" s="78">
        <v>0</v>
      </c>
      <c r="R647" s="78">
        <v>0</v>
      </c>
      <c r="S647" s="78">
        <v>0</v>
      </c>
      <c r="T647" s="78">
        <f t="shared" si="41"/>
        <v>975506.3</v>
      </c>
      <c r="U647" s="78">
        <f t="shared" si="40"/>
        <v>2492.9882443138258</v>
      </c>
      <c r="V647" s="78">
        <v>7247.4741390237659</v>
      </c>
    </row>
    <row r="648" spans="1:22" s="79" customFormat="1" ht="36" customHeight="1" x14ac:dyDescent="0.25">
      <c r="A648" s="79">
        <v>1</v>
      </c>
      <c r="B648" s="80">
        <f>SUBTOTAL(103,$A$552:A648)</f>
        <v>96</v>
      </c>
      <c r="C648" s="77" t="s">
        <v>439</v>
      </c>
      <c r="D648" s="233">
        <v>1957</v>
      </c>
      <c r="E648" s="233">
        <v>2010</v>
      </c>
      <c r="F648" s="233" t="s">
        <v>256</v>
      </c>
      <c r="G648" s="233">
        <v>2</v>
      </c>
      <c r="H648" s="233" t="s">
        <v>290</v>
      </c>
      <c r="I648" s="234">
        <v>728.8</v>
      </c>
      <c r="J648" s="234">
        <v>720.3</v>
      </c>
      <c r="K648" s="234">
        <v>720.3</v>
      </c>
      <c r="L648" s="239">
        <v>14</v>
      </c>
      <c r="M648" s="233" t="s">
        <v>254</v>
      </c>
      <c r="N648" s="233" t="s">
        <v>327</v>
      </c>
      <c r="O648" s="236" t="s">
        <v>328</v>
      </c>
      <c r="P648" s="78">
        <v>2381025.6399999997</v>
      </c>
      <c r="Q648" s="78">
        <v>0</v>
      </c>
      <c r="R648" s="78">
        <v>0</v>
      </c>
      <c r="S648" s="78">
        <v>0</v>
      </c>
      <c r="T648" s="78">
        <f t="shared" si="41"/>
        <v>2381025.6399999997</v>
      </c>
      <c r="U648" s="78">
        <f t="shared" si="40"/>
        <v>3267.0494511525794</v>
      </c>
      <c r="V648" s="78">
        <v>5489.12</v>
      </c>
    </row>
    <row r="649" spans="1:22" s="79" customFormat="1" ht="36" customHeight="1" x14ac:dyDescent="0.25">
      <c r="A649" s="79">
        <v>1</v>
      </c>
      <c r="B649" s="80">
        <f>SUBTOTAL(103,$A$552:A649)</f>
        <v>97</v>
      </c>
      <c r="C649" s="77" t="s">
        <v>440</v>
      </c>
      <c r="D649" s="233">
        <v>1976</v>
      </c>
      <c r="E649" s="233">
        <v>2008</v>
      </c>
      <c r="F649" s="233" t="s">
        <v>298</v>
      </c>
      <c r="G649" s="233">
        <v>5</v>
      </c>
      <c r="H649" s="233" t="s">
        <v>2125</v>
      </c>
      <c r="I649" s="234">
        <v>7722.2</v>
      </c>
      <c r="J649" s="234">
        <v>7705.8</v>
      </c>
      <c r="K649" s="234">
        <v>7705.8</v>
      </c>
      <c r="L649" s="239">
        <v>351</v>
      </c>
      <c r="M649" s="233" t="s">
        <v>254</v>
      </c>
      <c r="N649" s="233" t="s">
        <v>258</v>
      </c>
      <c r="O649" s="236" t="s">
        <v>329</v>
      </c>
      <c r="P649" s="78">
        <v>7890296.8599999994</v>
      </c>
      <c r="Q649" s="78">
        <v>0</v>
      </c>
      <c r="R649" s="78">
        <v>0</v>
      </c>
      <c r="S649" s="78">
        <v>0</v>
      </c>
      <c r="T649" s="78">
        <f t="shared" si="41"/>
        <v>7890296.8599999994</v>
      </c>
      <c r="U649" s="78">
        <f t="shared" si="40"/>
        <v>1021.7680013467664</v>
      </c>
      <c r="V649" s="78">
        <v>2207.0314873999641</v>
      </c>
    </row>
    <row r="650" spans="1:22" s="79" customFormat="1" ht="36" customHeight="1" x14ac:dyDescent="0.25">
      <c r="A650" s="79">
        <v>1</v>
      </c>
      <c r="B650" s="80">
        <f>SUBTOTAL(103,$A$552:A650)</f>
        <v>98</v>
      </c>
      <c r="C650" s="77" t="s">
        <v>420</v>
      </c>
      <c r="D650" s="233">
        <v>1969</v>
      </c>
      <c r="E650" s="233"/>
      <c r="F650" s="233" t="s">
        <v>256</v>
      </c>
      <c r="G650" s="233">
        <v>2</v>
      </c>
      <c r="H650" s="233" t="s">
        <v>290</v>
      </c>
      <c r="I650" s="78">
        <v>725.2</v>
      </c>
      <c r="J650" s="78">
        <v>674.9</v>
      </c>
      <c r="K650" s="78">
        <v>674.9</v>
      </c>
      <c r="L650" s="239">
        <v>25</v>
      </c>
      <c r="M650" s="233" t="s">
        <v>254</v>
      </c>
      <c r="N650" s="233" t="s">
        <v>255</v>
      </c>
      <c r="O650" s="236" t="s">
        <v>257</v>
      </c>
      <c r="P650" s="78">
        <v>2276102.04</v>
      </c>
      <c r="Q650" s="78">
        <v>0</v>
      </c>
      <c r="R650" s="78">
        <v>0</v>
      </c>
      <c r="S650" s="78">
        <v>0</v>
      </c>
      <c r="T650" s="78">
        <f t="shared" si="41"/>
        <v>2276102.04</v>
      </c>
      <c r="U650" s="78">
        <f t="shared" si="40"/>
        <v>3138.5852730281299</v>
      </c>
      <c r="V650" s="78">
        <v>7720.8876955322676</v>
      </c>
    </row>
    <row r="651" spans="1:22" s="79" customFormat="1" ht="36" customHeight="1" x14ac:dyDescent="0.25">
      <c r="A651" s="79">
        <v>1</v>
      </c>
      <c r="B651" s="80">
        <f>SUBTOTAL(103,$A$552:A651)</f>
        <v>99</v>
      </c>
      <c r="C651" s="77" t="s">
        <v>1208</v>
      </c>
      <c r="D651" s="233">
        <v>1970</v>
      </c>
      <c r="E651" s="233"/>
      <c r="F651" s="233" t="s">
        <v>256</v>
      </c>
      <c r="G651" s="233">
        <v>2</v>
      </c>
      <c r="H651" s="233" t="s">
        <v>290</v>
      </c>
      <c r="I651" s="234">
        <v>781.5</v>
      </c>
      <c r="J651" s="234">
        <v>722.4</v>
      </c>
      <c r="K651" s="234">
        <v>722.4</v>
      </c>
      <c r="L651" s="239">
        <v>29</v>
      </c>
      <c r="M651" s="233" t="s">
        <v>254</v>
      </c>
      <c r="N651" s="233" t="s">
        <v>255</v>
      </c>
      <c r="O651" s="236" t="s">
        <v>257</v>
      </c>
      <c r="P651" s="78">
        <v>3075563.96</v>
      </c>
      <c r="Q651" s="78">
        <v>0</v>
      </c>
      <c r="R651" s="78">
        <v>0</v>
      </c>
      <c r="S651" s="78">
        <v>0</v>
      </c>
      <c r="T651" s="78">
        <f t="shared" si="41"/>
        <v>3075563.96</v>
      </c>
      <c r="U651" s="78">
        <f t="shared" si="40"/>
        <v>3935.4625207933459</v>
      </c>
      <c r="V651" s="78">
        <v>7163.9830254638518</v>
      </c>
    </row>
    <row r="652" spans="1:22" s="79" customFormat="1" ht="36" customHeight="1" x14ac:dyDescent="0.25">
      <c r="A652" s="79">
        <v>1</v>
      </c>
      <c r="B652" s="80">
        <f>SUBTOTAL(103,$A$552:A652)</f>
        <v>100</v>
      </c>
      <c r="C652" s="77" t="s">
        <v>438</v>
      </c>
      <c r="D652" s="233">
        <v>1971</v>
      </c>
      <c r="E652" s="233"/>
      <c r="F652" s="233" t="s">
        <v>256</v>
      </c>
      <c r="G652" s="233">
        <v>2</v>
      </c>
      <c r="H652" s="233" t="s">
        <v>290</v>
      </c>
      <c r="I652" s="234">
        <v>775.3</v>
      </c>
      <c r="J652" s="234">
        <v>716.1</v>
      </c>
      <c r="K652" s="234">
        <v>716.1</v>
      </c>
      <c r="L652" s="239">
        <v>35</v>
      </c>
      <c r="M652" s="233" t="s">
        <v>254</v>
      </c>
      <c r="N652" s="233" t="s">
        <v>255</v>
      </c>
      <c r="O652" s="236" t="s">
        <v>257</v>
      </c>
      <c r="P652" s="78">
        <v>4441479.53</v>
      </c>
      <c r="Q652" s="78">
        <v>0</v>
      </c>
      <c r="R652" s="78">
        <v>0</v>
      </c>
      <c r="S652" s="78">
        <v>0</v>
      </c>
      <c r="T652" s="78">
        <f t="shared" si="41"/>
        <v>4441479.53</v>
      </c>
      <c r="U652" s="78">
        <f t="shared" si="40"/>
        <v>5728.7237585450803</v>
      </c>
      <c r="V652" s="78">
        <v>7624.281976009288</v>
      </c>
    </row>
    <row r="653" spans="1:22" s="79" customFormat="1" ht="36" customHeight="1" x14ac:dyDescent="0.25">
      <c r="A653" s="79">
        <v>1</v>
      </c>
      <c r="B653" s="80">
        <f>SUBTOTAL(103,$A$552:A653)</f>
        <v>101</v>
      </c>
      <c r="C653" s="77" t="s">
        <v>1524</v>
      </c>
      <c r="D653" s="233">
        <v>1959</v>
      </c>
      <c r="E653" s="233"/>
      <c r="F653" s="233" t="s">
        <v>1263</v>
      </c>
      <c r="G653" s="233">
        <v>2</v>
      </c>
      <c r="H653" s="233" t="s">
        <v>290</v>
      </c>
      <c r="I653" s="234">
        <v>693.8</v>
      </c>
      <c r="J653" s="234">
        <v>645.20000000000005</v>
      </c>
      <c r="K653" s="234">
        <v>573.4</v>
      </c>
      <c r="L653" s="239">
        <v>22</v>
      </c>
      <c r="M653" s="233" t="s">
        <v>254</v>
      </c>
      <c r="N653" s="233" t="s">
        <v>255</v>
      </c>
      <c r="O653" s="236" t="s">
        <v>257</v>
      </c>
      <c r="P653" s="78">
        <v>2975915.4</v>
      </c>
      <c r="Q653" s="78">
        <v>0</v>
      </c>
      <c r="R653" s="78">
        <v>0</v>
      </c>
      <c r="S653" s="78">
        <v>0</v>
      </c>
      <c r="T653" s="78">
        <f t="shared" si="41"/>
        <v>2975915.4</v>
      </c>
      <c r="U653" s="78">
        <f t="shared" si="40"/>
        <v>4289.2986451426923</v>
      </c>
      <c r="V653" s="78">
        <v>7731.2716079561842</v>
      </c>
    </row>
    <row r="654" spans="1:22" s="79" customFormat="1" ht="36" customHeight="1" x14ac:dyDescent="0.25">
      <c r="A654" s="79">
        <v>1</v>
      </c>
      <c r="B654" s="80">
        <f>SUBTOTAL(103,$A$552:A654)</f>
        <v>102</v>
      </c>
      <c r="C654" s="77" t="s">
        <v>1525</v>
      </c>
      <c r="D654" s="233">
        <v>1959</v>
      </c>
      <c r="E654" s="233"/>
      <c r="F654" s="233" t="s">
        <v>1263</v>
      </c>
      <c r="G654" s="233">
        <v>2</v>
      </c>
      <c r="H654" s="233" t="s">
        <v>291</v>
      </c>
      <c r="I654" s="234">
        <v>301.39999999999998</v>
      </c>
      <c r="J654" s="234">
        <v>280.39999999999998</v>
      </c>
      <c r="K654" s="234">
        <v>280.39999999999998</v>
      </c>
      <c r="L654" s="239">
        <v>17</v>
      </c>
      <c r="M654" s="233" t="s">
        <v>254</v>
      </c>
      <c r="N654" s="233" t="s">
        <v>255</v>
      </c>
      <c r="O654" s="236" t="s">
        <v>257</v>
      </c>
      <c r="P654" s="78">
        <v>1188949.76</v>
      </c>
      <c r="Q654" s="78">
        <v>0</v>
      </c>
      <c r="R654" s="78">
        <v>0</v>
      </c>
      <c r="S654" s="78">
        <v>0</v>
      </c>
      <c r="T654" s="78">
        <f t="shared" si="41"/>
        <v>1188949.76</v>
      </c>
      <c r="U654" s="78">
        <f t="shared" si="40"/>
        <v>3944.7570006635701</v>
      </c>
      <c r="V654" s="78">
        <v>7254.9321459854018</v>
      </c>
    </row>
    <row r="655" spans="1:22" s="79" customFormat="1" ht="36" customHeight="1" x14ac:dyDescent="0.25">
      <c r="A655" s="79">
        <v>1</v>
      </c>
      <c r="B655" s="80">
        <f>SUBTOTAL(103,$A$552:A655)</f>
        <v>103</v>
      </c>
      <c r="C655" s="77" t="s">
        <v>1526</v>
      </c>
      <c r="D655" s="233">
        <v>1962</v>
      </c>
      <c r="E655" s="233"/>
      <c r="F655" s="233" t="s">
        <v>1263</v>
      </c>
      <c r="G655" s="233">
        <v>2</v>
      </c>
      <c r="H655" s="233" t="s">
        <v>290</v>
      </c>
      <c r="I655" s="234">
        <v>585.91</v>
      </c>
      <c r="J655" s="234">
        <v>546.5</v>
      </c>
      <c r="K655" s="234">
        <v>546.5</v>
      </c>
      <c r="L655" s="239">
        <v>38</v>
      </c>
      <c r="M655" s="233" t="s">
        <v>254</v>
      </c>
      <c r="N655" s="233" t="s">
        <v>255</v>
      </c>
      <c r="O655" s="236" t="s">
        <v>257</v>
      </c>
      <c r="P655" s="78">
        <v>2192920.11</v>
      </c>
      <c r="Q655" s="78">
        <v>0</v>
      </c>
      <c r="R655" s="78">
        <v>0</v>
      </c>
      <c r="S655" s="78">
        <v>0</v>
      </c>
      <c r="T655" s="78">
        <f t="shared" si="41"/>
        <v>2192920.11</v>
      </c>
      <c r="U655" s="78">
        <f t="shared" si="40"/>
        <v>3742.7593145704973</v>
      </c>
      <c r="V655" s="78">
        <v>7555.9932740523309</v>
      </c>
    </row>
    <row r="656" spans="1:22" s="79" customFormat="1" ht="36" customHeight="1" x14ac:dyDescent="0.25">
      <c r="A656" s="79">
        <v>1</v>
      </c>
      <c r="B656" s="80">
        <f>SUBTOTAL(103,$A$552:A656)</f>
        <v>104</v>
      </c>
      <c r="C656" s="77" t="s">
        <v>1527</v>
      </c>
      <c r="D656" s="233">
        <v>1966</v>
      </c>
      <c r="E656" s="233"/>
      <c r="F656" s="233" t="s">
        <v>1263</v>
      </c>
      <c r="G656" s="233">
        <v>2</v>
      </c>
      <c r="H656" s="233" t="s">
        <v>290</v>
      </c>
      <c r="I656" s="234">
        <v>462.3</v>
      </c>
      <c r="J656" s="234">
        <v>462.3</v>
      </c>
      <c r="K656" s="234">
        <v>462.3</v>
      </c>
      <c r="L656" s="239">
        <v>32</v>
      </c>
      <c r="M656" s="233" t="s">
        <v>254</v>
      </c>
      <c r="N656" s="233" t="s">
        <v>255</v>
      </c>
      <c r="O656" s="236" t="s">
        <v>257</v>
      </c>
      <c r="P656" s="78">
        <v>1858562.25</v>
      </c>
      <c r="Q656" s="78">
        <v>0</v>
      </c>
      <c r="R656" s="78">
        <v>0</v>
      </c>
      <c r="S656" s="78">
        <v>0</v>
      </c>
      <c r="T656" s="78">
        <f t="shared" si="41"/>
        <v>1858562.25</v>
      </c>
      <c r="U656" s="78">
        <f t="shared" si="40"/>
        <v>4020.2514600908498</v>
      </c>
      <c r="V656" s="78">
        <v>7979.6224269954582</v>
      </c>
    </row>
    <row r="657" spans="1:22" s="79" customFormat="1" ht="36" customHeight="1" x14ac:dyDescent="0.25">
      <c r="A657" s="79">
        <v>1</v>
      </c>
      <c r="B657" s="80">
        <f>SUBTOTAL(103,$A$552:A657)</f>
        <v>105</v>
      </c>
      <c r="C657" s="77" t="s">
        <v>451</v>
      </c>
      <c r="D657" s="233">
        <v>1958</v>
      </c>
      <c r="E657" s="233"/>
      <c r="F657" s="233" t="s">
        <v>256</v>
      </c>
      <c r="G657" s="233">
        <v>2</v>
      </c>
      <c r="H657" s="233" t="s">
        <v>291</v>
      </c>
      <c r="I657" s="78">
        <v>660.3</v>
      </c>
      <c r="J657" s="78">
        <v>660.3</v>
      </c>
      <c r="K657" s="78">
        <v>660.3</v>
      </c>
      <c r="L657" s="239">
        <v>17</v>
      </c>
      <c r="M657" s="233" t="s">
        <v>254</v>
      </c>
      <c r="N657" s="233" t="s">
        <v>327</v>
      </c>
      <c r="O657" s="236" t="s">
        <v>328</v>
      </c>
      <c r="P657" s="78">
        <v>3247222.64</v>
      </c>
      <c r="Q657" s="78">
        <v>0</v>
      </c>
      <c r="R657" s="78">
        <v>0</v>
      </c>
      <c r="S657" s="78">
        <v>0</v>
      </c>
      <c r="T657" s="78">
        <f t="shared" si="41"/>
        <v>3247222.64</v>
      </c>
      <c r="U657" s="78">
        <f t="shared" si="40"/>
        <v>4917.7989398758145</v>
      </c>
      <c r="V657" s="78">
        <v>8946.3448262910806</v>
      </c>
    </row>
    <row r="658" spans="1:22" s="79" customFormat="1" ht="36" customHeight="1" x14ac:dyDescent="0.25">
      <c r="A658" s="79">
        <v>1</v>
      </c>
      <c r="B658" s="80">
        <f>SUBTOTAL(103,$A$552:A658)</f>
        <v>106</v>
      </c>
      <c r="C658" s="77" t="s">
        <v>1080</v>
      </c>
      <c r="D658" s="233">
        <v>1985</v>
      </c>
      <c r="E658" s="233">
        <v>2014</v>
      </c>
      <c r="F658" s="233" t="s">
        <v>256</v>
      </c>
      <c r="G658" s="233">
        <v>9</v>
      </c>
      <c r="H658" s="233" t="s">
        <v>299</v>
      </c>
      <c r="I658" s="78">
        <v>7073.4</v>
      </c>
      <c r="J658" s="78">
        <v>6236.1</v>
      </c>
      <c r="K658" s="78">
        <v>5330.6</v>
      </c>
      <c r="L658" s="239">
        <v>229</v>
      </c>
      <c r="M658" s="233" t="s">
        <v>254</v>
      </c>
      <c r="N658" s="233" t="s">
        <v>258</v>
      </c>
      <c r="O658" s="236" t="s">
        <v>1249</v>
      </c>
      <c r="P658" s="78">
        <v>3246080.29</v>
      </c>
      <c r="Q658" s="78">
        <v>0</v>
      </c>
      <c r="R658" s="78">
        <v>0</v>
      </c>
      <c r="S658" s="78">
        <v>0</v>
      </c>
      <c r="T658" s="78">
        <f t="shared" si="41"/>
        <v>3246080.29</v>
      </c>
      <c r="U658" s="78">
        <f t="shared" si="40"/>
        <v>458.91371758984366</v>
      </c>
      <c r="V658" s="78">
        <v>5039.5200000000004</v>
      </c>
    </row>
    <row r="659" spans="1:22" s="79" customFormat="1" ht="36" customHeight="1" x14ac:dyDescent="0.25">
      <c r="A659" s="79">
        <v>1</v>
      </c>
      <c r="B659" s="80">
        <f>SUBTOTAL(103,$A$552:A659)</f>
        <v>107</v>
      </c>
      <c r="C659" s="77" t="s">
        <v>429</v>
      </c>
      <c r="D659" s="233">
        <v>1937</v>
      </c>
      <c r="E659" s="233">
        <v>2010</v>
      </c>
      <c r="F659" s="233" t="s">
        <v>316</v>
      </c>
      <c r="G659" s="233">
        <v>2</v>
      </c>
      <c r="H659" s="233" t="s">
        <v>290</v>
      </c>
      <c r="I659" s="234">
        <v>522</v>
      </c>
      <c r="J659" s="234">
        <v>471.4</v>
      </c>
      <c r="K659" s="234">
        <v>471.4</v>
      </c>
      <c r="L659" s="239">
        <v>22</v>
      </c>
      <c r="M659" s="233" t="s">
        <v>254</v>
      </c>
      <c r="N659" s="233" t="s">
        <v>255</v>
      </c>
      <c r="O659" s="236" t="s">
        <v>257</v>
      </c>
      <c r="P659" s="78">
        <v>1068937.46</v>
      </c>
      <c r="Q659" s="78">
        <v>0</v>
      </c>
      <c r="R659" s="78">
        <v>0</v>
      </c>
      <c r="S659" s="78">
        <v>0</v>
      </c>
      <c r="T659" s="78">
        <f t="shared" si="41"/>
        <v>1068937.46</v>
      </c>
      <c r="U659" s="78">
        <f t="shared" si="40"/>
        <v>2047.7729118773946</v>
      </c>
      <c r="V659" s="78">
        <v>3266.4335938697322</v>
      </c>
    </row>
    <row r="660" spans="1:22" s="79" customFormat="1" ht="36" customHeight="1" x14ac:dyDescent="0.25">
      <c r="A660" s="79">
        <v>1</v>
      </c>
      <c r="B660" s="80">
        <f>SUBTOTAL(103,$A$552:A660)</f>
        <v>108</v>
      </c>
      <c r="C660" s="77" t="s">
        <v>1070</v>
      </c>
      <c r="D660" s="233">
        <v>1928</v>
      </c>
      <c r="E660" s="233"/>
      <c r="F660" s="233" t="s">
        <v>1479</v>
      </c>
      <c r="G660" s="233" t="s">
        <v>290</v>
      </c>
      <c r="H660" s="233" t="s">
        <v>290</v>
      </c>
      <c r="I660" s="78">
        <v>550</v>
      </c>
      <c r="J660" s="78">
        <v>498.3</v>
      </c>
      <c r="K660" s="78">
        <v>498.3</v>
      </c>
      <c r="L660" s="239">
        <v>28</v>
      </c>
      <c r="M660" s="233" t="s">
        <v>254</v>
      </c>
      <c r="N660" s="233" t="s">
        <v>255</v>
      </c>
      <c r="O660" s="236" t="s">
        <v>257</v>
      </c>
      <c r="P660" s="78">
        <v>1303349.0799999998</v>
      </c>
      <c r="Q660" s="78">
        <v>0</v>
      </c>
      <c r="R660" s="78">
        <v>0</v>
      </c>
      <c r="S660" s="78">
        <v>0</v>
      </c>
      <c r="T660" s="78">
        <f t="shared" si="41"/>
        <v>1303349.0799999998</v>
      </c>
      <c r="U660" s="78">
        <f t="shared" ref="U660:U666" si="42">P660/I660</f>
        <v>2369.7255999999998</v>
      </c>
      <c r="V660" s="78">
        <v>9542.4668276363645</v>
      </c>
    </row>
    <row r="661" spans="1:22" s="79" customFormat="1" ht="36" customHeight="1" x14ac:dyDescent="0.25">
      <c r="A661" s="79">
        <v>1</v>
      </c>
      <c r="B661" s="80">
        <f>SUBTOTAL(103,$A$552:A661)</f>
        <v>109</v>
      </c>
      <c r="C661" s="77" t="s">
        <v>1079</v>
      </c>
      <c r="D661" s="233">
        <v>1970</v>
      </c>
      <c r="E661" s="233"/>
      <c r="F661" s="233" t="s">
        <v>256</v>
      </c>
      <c r="G661" s="233">
        <v>5</v>
      </c>
      <c r="H661" s="233" t="s">
        <v>295</v>
      </c>
      <c r="I661" s="78">
        <v>3635.4</v>
      </c>
      <c r="J661" s="78">
        <v>3360</v>
      </c>
      <c r="K661" s="78">
        <v>3247.2</v>
      </c>
      <c r="L661" s="239">
        <v>167</v>
      </c>
      <c r="M661" s="233" t="s">
        <v>254</v>
      </c>
      <c r="N661" s="233" t="s">
        <v>258</v>
      </c>
      <c r="O661" s="236" t="s">
        <v>1249</v>
      </c>
      <c r="P661" s="78">
        <v>1302365.3799999999</v>
      </c>
      <c r="Q661" s="78">
        <v>0</v>
      </c>
      <c r="R661" s="78">
        <v>0</v>
      </c>
      <c r="S661" s="78">
        <v>0</v>
      </c>
      <c r="T661" s="78">
        <f t="shared" si="41"/>
        <v>1302365.3799999999</v>
      </c>
      <c r="U661" s="78">
        <f t="shared" si="42"/>
        <v>358.2454145348517</v>
      </c>
      <c r="V661" s="78">
        <v>4229.0600000000004</v>
      </c>
    </row>
    <row r="662" spans="1:22" s="79" customFormat="1" ht="36" customHeight="1" x14ac:dyDescent="0.25">
      <c r="A662" s="79">
        <v>1</v>
      </c>
      <c r="B662" s="80">
        <f>SUBTOTAL(103,$A$552:A662)</f>
        <v>110</v>
      </c>
      <c r="C662" s="77" t="s">
        <v>437</v>
      </c>
      <c r="D662" s="233">
        <v>1970</v>
      </c>
      <c r="E662" s="233"/>
      <c r="F662" s="233" t="s">
        <v>256</v>
      </c>
      <c r="G662" s="233">
        <v>2</v>
      </c>
      <c r="H662" s="233" t="s">
        <v>290</v>
      </c>
      <c r="I662" s="78">
        <v>794.7</v>
      </c>
      <c r="J662" s="78">
        <v>737.8</v>
      </c>
      <c r="K662" s="78">
        <v>737.8</v>
      </c>
      <c r="L662" s="239">
        <v>38</v>
      </c>
      <c r="M662" s="233" t="s">
        <v>254</v>
      </c>
      <c r="N662" s="233" t="s">
        <v>255</v>
      </c>
      <c r="O662" s="236" t="s">
        <v>257</v>
      </c>
      <c r="P662" s="78">
        <v>2256753.77</v>
      </c>
      <c r="Q662" s="78">
        <v>0</v>
      </c>
      <c r="R662" s="78">
        <v>0</v>
      </c>
      <c r="S662" s="78">
        <v>0</v>
      </c>
      <c r="T662" s="78">
        <f t="shared" si="41"/>
        <v>2256753.77</v>
      </c>
      <c r="U662" s="78">
        <f t="shared" si="42"/>
        <v>2839.7555933056497</v>
      </c>
      <c r="V662" s="78">
        <v>7014.0200125833653</v>
      </c>
    </row>
    <row r="663" spans="1:22" s="79" customFormat="1" ht="36" customHeight="1" x14ac:dyDescent="0.25">
      <c r="A663" s="79">
        <v>1</v>
      </c>
      <c r="B663" s="80">
        <f>SUBTOTAL(103,$A$552:A663)</f>
        <v>111</v>
      </c>
      <c r="C663" s="77" t="s">
        <v>1207</v>
      </c>
      <c r="D663" s="233">
        <v>1978</v>
      </c>
      <c r="E663" s="233"/>
      <c r="F663" s="233" t="s">
        <v>316</v>
      </c>
      <c r="G663" s="233" t="s">
        <v>290</v>
      </c>
      <c r="H663" s="233" t="s">
        <v>299</v>
      </c>
      <c r="I663" s="78">
        <v>873.7</v>
      </c>
      <c r="J663" s="78">
        <v>873.7</v>
      </c>
      <c r="K663" s="78">
        <v>873.7</v>
      </c>
      <c r="L663" s="239">
        <v>31</v>
      </c>
      <c r="M663" s="233" t="s">
        <v>254</v>
      </c>
      <c r="N663" s="233" t="s">
        <v>255</v>
      </c>
      <c r="O663" s="236" t="s">
        <v>257</v>
      </c>
      <c r="P663" s="78">
        <v>2391061.65</v>
      </c>
      <c r="Q663" s="78">
        <v>0</v>
      </c>
      <c r="R663" s="78">
        <v>0</v>
      </c>
      <c r="S663" s="78">
        <v>0</v>
      </c>
      <c r="T663" s="78">
        <f t="shared" si="41"/>
        <v>2391061.65</v>
      </c>
      <c r="U663" s="78">
        <f t="shared" si="42"/>
        <v>2736.707851665331</v>
      </c>
      <c r="V663" s="78">
        <v>2736.707851665331</v>
      </c>
    </row>
    <row r="664" spans="1:22" s="79" customFormat="1" ht="61.5" x14ac:dyDescent="0.25">
      <c r="A664" s="79">
        <v>1</v>
      </c>
      <c r="B664" s="80">
        <f>SUBTOTAL(103,$A$552:A664)</f>
        <v>112</v>
      </c>
      <c r="C664" s="77" t="s">
        <v>1462</v>
      </c>
      <c r="D664" s="233">
        <v>1927</v>
      </c>
      <c r="E664" s="233"/>
      <c r="F664" s="233" t="s">
        <v>1479</v>
      </c>
      <c r="G664" s="233">
        <v>2</v>
      </c>
      <c r="H664" s="233" t="s">
        <v>290</v>
      </c>
      <c r="I664" s="78">
        <v>522.4</v>
      </c>
      <c r="J664" s="78">
        <v>474.6</v>
      </c>
      <c r="K664" s="78">
        <v>239.9</v>
      </c>
      <c r="L664" s="239">
        <v>7</v>
      </c>
      <c r="M664" s="233" t="s">
        <v>254</v>
      </c>
      <c r="N664" s="233" t="s">
        <v>258</v>
      </c>
      <c r="O664" s="236" t="s">
        <v>1478</v>
      </c>
      <c r="P664" s="78">
        <v>3057599.6399999997</v>
      </c>
      <c r="Q664" s="78">
        <v>0</v>
      </c>
      <c r="R664" s="78">
        <v>0</v>
      </c>
      <c r="S664" s="78">
        <v>0</v>
      </c>
      <c r="T664" s="78">
        <f t="shared" si="41"/>
        <v>3057599.6399999997</v>
      </c>
      <c r="U664" s="78">
        <f t="shared" si="42"/>
        <v>5852.9855283307807</v>
      </c>
      <c r="V664" s="78">
        <v>9690.842742343033</v>
      </c>
    </row>
    <row r="665" spans="1:22" s="79" customFormat="1" ht="36" customHeight="1" x14ac:dyDescent="0.25">
      <c r="A665" s="79">
        <v>1</v>
      </c>
      <c r="B665" s="80">
        <f>SUBTOTAL(103,$A$552:A665)</f>
        <v>113</v>
      </c>
      <c r="C665" s="77" t="s">
        <v>428</v>
      </c>
      <c r="D665" s="233">
        <v>1962</v>
      </c>
      <c r="E665" s="233"/>
      <c r="F665" s="233" t="s">
        <v>256</v>
      </c>
      <c r="G665" s="233" t="s">
        <v>299</v>
      </c>
      <c r="H665" s="233" t="s">
        <v>299</v>
      </c>
      <c r="I665" s="78">
        <v>1651.8</v>
      </c>
      <c r="J665" s="78">
        <v>1537.5</v>
      </c>
      <c r="K665" s="78">
        <v>1462.9</v>
      </c>
      <c r="L665" s="239">
        <v>58</v>
      </c>
      <c r="M665" s="233" t="s">
        <v>254</v>
      </c>
      <c r="N665" s="233" t="s">
        <v>327</v>
      </c>
      <c r="O665" s="236" t="s">
        <v>333</v>
      </c>
      <c r="P665" s="78">
        <v>2775034.26</v>
      </c>
      <c r="Q665" s="78">
        <v>0</v>
      </c>
      <c r="R665" s="78">
        <v>0</v>
      </c>
      <c r="S665" s="78">
        <v>0</v>
      </c>
      <c r="T665" s="78">
        <f t="shared" si="41"/>
        <v>2775034.26</v>
      </c>
      <c r="U665" s="78">
        <f t="shared" si="42"/>
        <v>1680.0062114057391</v>
      </c>
      <c r="V665" s="78">
        <v>4540.0355006659411</v>
      </c>
    </row>
    <row r="666" spans="1:22" s="79" customFormat="1" ht="61.5" x14ac:dyDescent="0.25">
      <c r="A666" s="79">
        <v>1</v>
      </c>
      <c r="B666" s="80">
        <f>SUBTOTAL(103,$A$552:A666)</f>
        <v>114</v>
      </c>
      <c r="C666" s="77" t="s">
        <v>1799</v>
      </c>
      <c r="D666" s="233">
        <v>1976</v>
      </c>
      <c r="E666" s="233"/>
      <c r="F666" s="233" t="s">
        <v>1479</v>
      </c>
      <c r="G666" s="233" t="s">
        <v>337</v>
      </c>
      <c r="H666" s="233" t="s">
        <v>355</v>
      </c>
      <c r="I666" s="78">
        <v>4908.2</v>
      </c>
      <c r="J666" s="78">
        <v>4507.3</v>
      </c>
      <c r="K666" s="78">
        <v>4121.8</v>
      </c>
      <c r="L666" s="239">
        <v>252</v>
      </c>
      <c r="M666" s="233" t="s">
        <v>254</v>
      </c>
      <c r="N666" s="233" t="s">
        <v>255</v>
      </c>
      <c r="O666" s="236" t="s">
        <v>257</v>
      </c>
      <c r="P666" s="78">
        <v>132387.07</v>
      </c>
      <c r="Q666" s="78">
        <v>0</v>
      </c>
      <c r="R666" s="78">
        <v>0</v>
      </c>
      <c r="S666" s="78">
        <v>0</v>
      </c>
      <c r="T666" s="78">
        <f t="shared" si="41"/>
        <v>132387.07</v>
      </c>
      <c r="U666" s="78">
        <f t="shared" si="42"/>
        <v>26.97263151460821</v>
      </c>
      <c r="V666" s="81">
        <v>26.97263151460821</v>
      </c>
    </row>
    <row r="667" spans="1:22" s="79" customFormat="1" ht="36" customHeight="1" x14ac:dyDescent="0.25">
      <c r="B667" s="77" t="s">
        <v>707</v>
      </c>
      <c r="C667" s="240"/>
      <c r="D667" s="233" t="s">
        <v>835</v>
      </c>
      <c r="E667" s="233" t="s">
        <v>835</v>
      </c>
      <c r="F667" s="233" t="s">
        <v>835</v>
      </c>
      <c r="G667" s="233" t="s">
        <v>835</v>
      </c>
      <c r="H667" s="233" t="s">
        <v>835</v>
      </c>
      <c r="I667" s="234">
        <f>SUM(I668:I710)</f>
        <v>112703.84000000001</v>
      </c>
      <c r="J667" s="234">
        <f>SUM(J668:J710)</f>
        <v>97034.63</v>
      </c>
      <c r="K667" s="234">
        <f>SUM(K668:K710)</f>
        <v>86450.510000000024</v>
      </c>
      <c r="L667" s="235">
        <f>SUM(L668:L710)</f>
        <v>3987</v>
      </c>
      <c r="M667" s="233" t="s">
        <v>835</v>
      </c>
      <c r="N667" s="233" t="s">
        <v>835</v>
      </c>
      <c r="O667" s="236" t="s">
        <v>835</v>
      </c>
      <c r="P667" s="237">
        <v>132149763.76000005</v>
      </c>
      <c r="Q667" s="234">
        <f>SUM(Q668:Q710)</f>
        <v>0</v>
      </c>
      <c r="R667" s="234">
        <f>SUM(R668:R710)</f>
        <v>8435280</v>
      </c>
      <c r="S667" s="234">
        <f>SUM(S668:S710)</f>
        <v>0</v>
      </c>
      <c r="T667" s="234">
        <f>SUM(T668:T710)</f>
        <v>123714483.76000005</v>
      </c>
      <c r="U667" s="78">
        <f t="shared" ref="U667:U710" si="43">P667/I667</f>
        <v>1172.5400284497853</v>
      </c>
      <c r="V667" s="78">
        <f>MAX(V668:V710)</f>
        <v>9598.5360602798737</v>
      </c>
    </row>
    <row r="668" spans="1:22" s="79" customFormat="1" ht="36" customHeight="1" x14ac:dyDescent="0.25">
      <c r="A668" s="79">
        <v>1</v>
      </c>
      <c r="B668" s="80">
        <f>SUBTOTAL(103,$A$552:A668)</f>
        <v>115</v>
      </c>
      <c r="C668" s="77" t="s">
        <v>381</v>
      </c>
      <c r="D668" s="233">
        <v>1985</v>
      </c>
      <c r="E668" s="233"/>
      <c r="F668" s="233" t="s">
        <v>256</v>
      </c>
      <c r="G668" s="233">
        <v>5</v>
      </c>
      <c r="H668" s="233" t="s">
        <v>355</v>
      </c>
      <c r="I668" s="234">
        <v>4537.2</v>
      </c>
      <c r="J668" s="234">
        <v>4163</v>
      </c>
      <c r="K668" s="234">
        <v>4163</v>
      </c>
      <c r="L668" s="239">
        <v>198</v>
      </c>
      <c r="M668" s="233" t="s">
        <v>254</v>
      </c>
      <c r="N668" s="233" t="s">
        <v>258</v>
      </c>
      <c r="O668" s="236" t="s">
        <v>934</v>
      </c>
      <c r="P668" s="78">
        <v>4849430.93</v>
      </c>
      <c r="Q668" s="78">
        <v>0</v>
      </c>
      <c r="R668" s="78">
        <v>0</v>
      </c>
      <c r="S668" s="78">
        <v>0</v>
      </c>
      <c r="T668" s="78">
        <f t="shared" ref="T668:T710" si="44">P668-R668-S668</f>
        <v>4849430.93</v>
      </c>
      <c r="U668" s="78">
        <f t="shared" si="43"/>
        <v>1068.815774045667</v>
      </c>
      <c r="V668" s="78">
        <v>2323.8703997178882</v>
      </c>
    </row>
    <row r="669" spans="1:22" s="79" customFormat="1" ht="36" customHeight="1" x14ac:dyDescent="0.25">
      <c r="A669" s="79">
        <v>1</v>
      </c>
      <c r="B669" s="80">
        <f>SUBTOTAL(103,$A$552:A669)</f>
        <v>116</v>
      </c>
      <c r="C669" s="77" t="s">
        <v>383</v>
      </c>
      <c r="D669" s="233">
        <v>1987</v>
      </c>
      <c r="E669" s="233"/>
      <c r="F669" s="233" t="s">
        <v>256</v>
      </c>
      <c r="G669" s="233">
        <v>9</v>
      </c>
      <c r="H669" s="233" t="s">
        <v>291</v>
      </c>
      <c r="I669" s="234">
        <v>6006.9</v>
      </c>
      <c r="J669" s="234">
        <v>4691.3999999999996</v>
      </c>
      <c r="K669" s="234">
        <v>3628.4</v>
      </c>
      <c r="L669" s="239">
        <v>297</v>
      </c>
      <c r="M669" s="233" t="s">
        <v>254</v>
      </c>
      <c r="N669" s="233" t="s">
        <v>258</v>
      </c>
      <c r="O669" s="236" t="s">
        <v>307</v>
      </c>
      <c r="P669" s="78">
        <v>3569146.2800000003</v>
      </c>
      <c r="Q669" s="78">
        <v>0</v>
      </c>
      <c r="R669" s="78">
        <v>0</v>
      </c>
      <c r="S669" s="78">
        <v>0</v>
      </c>
      <c r="T669" s="78">
        <f t="shared" si="44"/>
        <v>3569146.2800000003</v>
      </c>
      <c r="U669" s="78">
        <f t="shared" si="43"/>
        <v>594.17441275866099</v>
      </c>
      <c r="V669" s="78">
        <v>1225.4268457940036</v>
      </c>
    </row>
    <row r="670" spans="1:22" s="79" customFormat="1" ht="36" customHeight="1" x14ac:dyDescent="0.25">
      <c r="A670" s="79">
        <v>1</v>
      </c>
      <c r="B670" s="80">
        <f>SUBTOTAL(103,$A$552:A670)</f>
        <v>117</v>
      </c>
      <c r="C670" s="77" t="s">
        <v>384</v>
      </c>
      <c r="D670" s="233">
        <v>1992</v>
      </c>
      <c r="E670" s="233"/>
      <c r="F670" s="233" t="s">
        <v>256</v>
      </c>
      <c r="G670" s="233">
        <v>4</v>
      </c>
      <c r="H670" s="233" t="s">
        <v>291</v>
      </c>
      <c r="I670" s="234">
        <v>1756.3</v>
      </c>
      <c r="J670" s="234">
        <v>1356.3</v>
      </c>
      <c r="K670" s="234">
        <v>1356.3</v>
      </c>
      <c r="L670" s="239">
        <v>65</v>
      </c>
      <c r="M670" s="233" t="s">
        <v>254</v>
      </c>
      <c r="N670" s="233" t="s">
        <v>255</v>
      </c>
      <c r="O670" s="236" t="s">
        <v>257</v>
      </c>
      <c r="P670" s="78">
        <v>3343354.1199999996</v>
      </c>
      <c r="Q670" s="78">
        <v>0</v>
      </c>
      <c r="R670" s="78">
        <v>0</v>
      </c>
      <c r="S670" s="78">
        <v>0</v>
      </c>
      <c r="T670" s="78">
        <f t="shared" si="44"/>
        <v>3343354.1199999996</v>
      </c>
      <c r="U670" s="78">
        <f t="shared" si="43"/>
        <v>1903.6349826339463</v>
      </c>
      <c r="V670" s="78">
        <v>2939.6835164835165</v>
      </c>
    </row>
    <row r="671" spans="1:22" s="79" customFormat="1" ht="36" customHeight="1" x14ac:dyDescent="0.25">
      <c r="A671" s="79">
        <v>1</v>
      </c>
      <c r="B671" s="80">
        <f>SUBTOTAL(103,$A$552:A671)</f>
        <v>118</v>
      </c>
      <c r="C671" s="77" t="s">
        <v>385</v>
      </c>
      <c r="D671" s="233">
        <v>1941</v>
      </c>
      <c r="E671" s="233"/>
      <c r="F671" s="233" t="s">
        <v>310</v>
      </c>
      <c r="G671" s="233">
        <v>2</v>
      </c>
      <c r="H671" s="233" t="s">
        <v>290</v>
      </c>
      <c r="I671" s="234">
        <v>743.7</v>
      </c>
      <c r="J671" s="234">
        <v>670.6</v>
      </c>
      <c r="K671" s="234">
        <v>553.1</v>
      </c>
      <c r="L671" s="239">
        <v>23</v>
      </c>
      <c r="M671" s="233" t="s">
        <v>254</v>
      </c>
      <c r="N671" s="233" t="s">
        <v>258</v>
      </c>
      <c r="O671" s="236" t="s">
        <v>311</v>
      </c>
      <c r="P671" s="78">
        <v>3389665.14</v>
      </c>
      <c r="Q671" s="78">
        <v>0</v>
      </c>
      <c r="R671" s="78">
        <v>0</v>
      </c>
      <c r="S671" s="78">
        <v>0</v>
      </c>
      <c r="T671" s="78">
        <f t="shared" si="44"/>
        <v>3389665.14</v>
      </c>
      <c r="U671" s="78">
        <f t="shared" si="43"/>
        <v>4557.8393707139976</v>
      </c>
      <c r="V671" s="78">
        <v>6954.2600510958719</v>
      </c>
    </row>
    <row r="672" spans="1:22" s="79" customFormat="1" ht="36" customHeight="1" x14ac:dyDescent="0.25">
      <c r="A672" s="79">
        <v>1</v>
      </c>
      <c r="B672" s="80">
        <f>SUBTOTAL(103,$A$552:A672)</f>
        <v>119</v>
      </c>
      <c r="C672" s="77" t="s">
        <v>386</v>
      </c>
      <c r="D672" s="233">
        <v>1957</v>
      </c>
      <c r="E672" s="233"/>
      <c r="F672" s="233" t="s">
        <v>256</v>
      </c>
      <c r="G672" s="233">
        <v>2</v>
      </c>
      <c r="H672" s="233" t="s">
        <v>290</v>
      </c>
      <c r="I672" s="234">
        <v>706.7</v>
      </c>
      <c r="J672" s="234">
        <v>646.1</v>
      </c>
      <c r="K672" s="234">
        <v>646.1</v>
      </c>
      <c r="L672" s="239">
        <v>18</v>
      </c>
      <c r="M672" s="233" t="s">
        <v>254</v>
      </c>
      <c r="N672" s="233" t="s">
        <v>258</v>
      </c>
      <c r="O672" s="236" t="s">
        <v>311</v>
      </c>
      <c r="P672" s="78">
        <v>2778209.21</v>
      </c>
      <c r="Q672" s="78">
        <v>0</v>
      </c>
      <c r="R672" s="78">
        <v>0</v>
      </c>
      <c r="S672" s="78">
        <v>0</v>
      </c>
      <c r="T672" s="78">
        <f>P672-R672-S672</f>
        <v>2778209.21</v>
      </c>
      <c r="U672" s="78">
        <f t="shared" si="43"/>
        <v>3931.2426913824816</v>
      </c>
      <c r="V672" s="78">
        <v>7002.9109947643974</v>
      </c>
    </row>
    <row r="673" spans="1:22" s="79" customFormat="1" ht="36" customHeight="1" x14ac:dyDescent="0.25">
      <c r="A673" s="79">
        <v>1</v>
      </c>
      <c r="B673" s="80">
        <f>SUBTOTAL(103,$A$552:A673)</f>
        <v>120</v>
      </c>
      <c r="C673" s="77" t="s">
        <v>190</v>
      </c>
      <c r="D673" s="242">
        <v>1967</v>
      </c>
      <c r="E673" s="233"/>
      <c r="F673" s="233" t="s">
        <v>256</v>
      </c>
      <c r="G673" s="233">
        <v>2</v>
      </c>
      <c r="H673" s="233" t="s">
        <v>290</v>
      </c>
      <c r="I673" s="234">
        <v>1003.5</v>
      </c>
      <c r="J673" s="234">
        <v>634.5</v>
      </c>
      <c r="K673" s="234">
        <v>634.5</v>
      </c>
      <c r="L673" s="239">
        <v>28</v>
      </c>
      <c r="M673" s="233" t="s">
        <v>254</v>
      </c>
      <c r="N673" s="233" t="s">
        <v>258</v>
      </c>
      <c r="O673" s="236" t="s">
        <v>312</v>
      </c>
      <c r="P673" s="78">
        <v>1203601.0899999999</v>
      </c>
      <c r="Q673" s="78">
        <v>0</v>
      </c>
      <c r="R673" s="78">
        <v>0</v>
      </c>
      <c r="S673" s="78">
        <v>0</v>
      </c>
      <c r="T673" s="78">
        <f t="shared" si="44"/>
        <v>1203601.0899999999</v>
      </c>
      <c r="U673" s="78">
        <f t="shared" si="43"/>
        <v>1199.403178873941</v>
      </c>
      <c r="V673" s="78">
        <v>4500.21</v>
      </c>
    </row>
    <row r="674" spans="1:22" s="79" customFormat="1" ht="36" customHeight="1" x14ac:dyDescent="0.25">
      <c r="A674" s="79">
        <v>1</v>
      </c>
      <c r="B674" s="80">
        <f>SUBTOTAL(103,$A$552:A674)</f>
        <v>121</v>
      </c>
      <c r="C674" s="77" t="s">
        <v>191</v>
      </c>
      <c r="D674" s="233">
        <v>1973</v>
      </c>
      <c r="E674" s="233"/>
      <c r="F674" s="233" t="s">
        <v>256</v>
      </c>
      <c r="G674" s="233">
        <v>2</v>
      </c>
      <c r="H674" s="233" t="s">
        <v>290</v>
      </c>
      <c r="I674" s="234">
        <v>692.9</v>
      </c>
      <c r="J674" s="234">
        <v>692.9</v>
      </c>
      <c r="K674" s="234">
        <v>692.9</v>
      </c>
      <c r="L674" s="239">
        <v>47</v>
      </c>
      <c r="M674" s="233" t="s">
        <v>254</v>
      </c>
      <c r="N674" s="233" t="s">
        <v>258</v>
      </c>
      <c r="O674" s="236" t="s">
        <v>312</v>
      </c>
      <c r="P674" s="78">
        <v>551118.57000000007</v>
      </c>
      <c r="Q674" s="78">
        <v>0</v>
      </c>
      <c r="R674" s="78">
        <v>0</v>
      </c>
      <c r="S674" s="78">
        <v>0</v>
      </c>
      <c r="T674" s="78">
        <f t="shared" si="44"/>
        <v>551118.57000000007</v>
      </c>
      <c r="U674" s="78">
        <f t="shared" si="43"/>
        <v>795.37966517535006</v>
      </c>
      <c r="V674" s="78">
        <v>810.46</v>
      </c>
    </row>
    <row r="675" spans="1:22" s="79" customFormat="1" ht="36" customHeight="1" x14ac:dyDescent="0.25">
      <c r="A675" s="79">
        <v>1</v>
      </c>
      <c r="B675" s="80">
        <f>SUBTOTAL(103,$A$552:A675)</f>
        <v>122</v>
      </c>
      <c r="C675" s="77" t="s">
        <v>387</v>
      </c>
      <c r="D675" s="233">
        <v>1960</v>
      </c>
      <c r="E675" s="233"/>
      <c r="F675" s="233" t="s">
        <v>256</v>
      </c>
      <c r="G675" s="233">
        <v>2</v>
      </c>
      <c r="H675" s="233" t="s">
        <v>290</v>
      </c>
      <c r="I675" s="234">
        <v>582.70000000000005</v>
      </c>
      <c r="J675" s="234">
        <v>576.70000000000005</v>
      </c>
      <c r="K675" s="234">
        <v>576.70000000000005</v>
      </c>
      <c r="L675" s="239">
        <v>31</v>
      </c>
      <c r="M675" s="233" t="s">
        <v>254</v>
      </c>
      <c r="N675" s="233" t="s">
        <v>258</v>
      </c>
      <c r="O675" s="236" t="s">
        <v>307</v>
      </c>
      <c r="P675" s="78">
        <v>2648939.79</v>
      </c>
      <c r="Q675" s="78">
        <v>0</v>
      </c>
      <c r="R675" s="78">
        <v>0</v>
      </c>
      <c r="S675" s="78">
        <v>0</v>
      </c>
      <c r="T675" s="78">
        <f t="shared" si="44"/>
        <v>2648939.79</v>
      </c>
      <c r="U675" s="78">
        <f t="shared" si="43"/>
        <v>4545.9752702934611</v>
      </c>
      <c r="V675" s="78">
        <v>7766.4097655740516</v>
      </c>
    </row>
    <row r="676" spans="1:22" s="79" customFormat="1" ht="36" customHeight="1" x14ac:dyDescent="0.25">
      <c r="A676" s="79">
        <v>1</v>
      </c>
      <c r="B676" s="80">
        <f>SUBTOTAL(103,$A$552:A676)</f>
        <v>123</v>
      </c>
      <c r="C676" s="77" t="s">
        <v>388</v>
      </c>
      <c r="D676" s="233">
        <v>1960</v>
      </c>
      <c r="E676" s="233"/>
      <c r="F676" s="233" t="s">
        <v>256</v>
      </c>
      <c r="G676" s="233">
        <v>2</v>
      </c>
      <c r="H676" s="233" t="s">
        <v>290</v>
      </c>
      <c r="I676" s="234">
        <v>592.20000000000005</v>
      </c>
      <c r="J676" s="234">
        <v>550.70000000000005</v>
      </c>
      <c r="K676" s="234">
        <v>550.70000000000005</v>
      </c>
      <c r="L676" s="239">
        <v>37</v>
      </c>
      <c r="M676" s="233" t="s">
        <v>254</v>
      </c>
      <c r="N676" s="233" t="s">
        <v>258</v>
      </c>
      <c r="O676" s="236" t="s">
        <v>314</v>
      </c>
      <c r="P676" s="78">
        <v>2651701.0900000003</v>
      </c>
      <c r="Q676" s="78">
        <v>0</v>
      </c>
      <c r="R676" s="78">
        <v>0</v>
      </c>
      <c r="S676" s="78">
        <v>0</v>
      </c>
      <c r="T676" s="78">
        <f t="shared" si="44"/>
        <v>2651701.0900000003</v>
      </c>
      <c r="U676" s="78">
        <f t="shared" si="43"/>
        <v>4477.7120736237757</v>
      </c>
      <c r="V676" s="78">
        <v>7408.2804457953398</v>
      </c>
    </row>
    <row r="677" spans="1:22" s="79" customFormat="1" ht="36" customHeight="1" x14ac:dyDescent="0.25">
      <c r="A677" s="79">
        <v>1</v>
      </c>
      <c r="B677" s="80">
        <f>SUBTOTAL(103,$A$552:A677)</f>
        <v>124</v>
      </c>
      <c r="C677" s="77" t="s">
        <v>389</v>
      </c>
      <c r="D677" s="233">
        <v>1950</v>
      </c>
      <c r="E677" s="233"/>
      <c r="F677" s="233" t="s">
        <v>256</v>
      </c>
      <c r="G677" s="233">
        <v>3</v>
      </c>
      <c r="H677" s="233" t="s">
        <v>290</v>
      </c>
      <c r="I677" s="234">
        <v>786.1</v>
      </c>
      <c r="J677" s="234">
        <v>786.1</v>
      </c>
      <c r="K677" s="234">
        <v>527.79999999999995</v>
      </c>
      <c r="L677" s="239">
        <v>18</v>
      </c>
      <c r="M677" s="233" t="s">
        <v>254</v>
      </c>
      <c r="N677" s="233" t="s">
        <v>258</v>
      </c>
      <c r="O677" s="236" t="s">
        <v>312</v>
      </c>
      <c r="P677" s="78">
        <v>103384.42</v>
      </c>
      <c r="Q677" s="78">
        <v>0</v>
      </c>
      <c r="R677" s="78">
        <v>0</v>
      </c>
      <c r="S677" s="78">
        <v>0</v>
      </c>
      <c r="T677" s="78">
        <f t="shared" si="44"/>
        <v>103384.42</v>
      </c>
      <c r="U677" s="78">
        <f t="shared" si="43"/>
        <v>131.51560870118306</v>
      </c>
      <c r="V677" s="81">
        <v>131.51560870118306</v>
      </c>
    </row>
    <row r="678" spans="1:22" s="79" customFormat="1" ht="36" customHeight="1" x14ac:dyDescent="0.25">
      <c r="A678" s="79">
        <v>1</v>
      </c>
      <c r="B678" s="80">
        <f>SUBTOTAL(103,$A$552:A678)</f>
        <v>125</v>
      </c>
      <c r="C678" s="77" t="s">
        <v>390</v>
      </c>
      <c r="D678" s="233">
        <v>1977</v>
      </c>
      <c r="E678" s="233"/>
      <c r="F678" s="233" t="s">
        <v>256</v>
      </c>
      <c r="G678" s="233">
        <v>9</v>
      </c>
      <c r="H678" s="233" t="s">
        <v>290</v>
      </c>
      <c r="I678" s="234">
        <v>4984</v>
      </c>
      <c r="J678" s="234">
        <v>3767.5</v>
      </c>
      <c r="K678" s="234">
        <v>3767.5</v>
      </c>
      <c r="L678" s="239">
        <v>163</v>
      </c>
      <c r="M678" s="233" t="s">
        <v>254</v>
      </c>
      <c r="N678" s="233" t="s">
        <v>258</v>
      </c>
      <c r="O678" s="236" t="s">
        <v>934</v>
      </c>
      <c r="P678" s="78">
        <v>2382043.14</v>
      </c>
      <c r="Q678" s="78">
        <v>0</v>
      </c>
      <c r="R678" s="78">
        <v>0</v>
      </c>
      <c r="S678" s="78">
        <v>0</v>
      </c>
      <c r="T678" s="78">
        <f t="shared" si="44"/>
        <v>2382043.14</v>
      </c>
      <c r="U678" s="78">
        <f t="shared" si="43"/>
        <v>477.93802969502411</v>
      </c>
      <c r="V678" s="78">
        <v>1068.9355373996791</v>
      </c>
    </row>
    <row r="679" spans="1:22" s="79" customFormat="1" ht="36" customHeight="1" x14ac:dyDescent="0.25">
      <c r="A679" s="79">
        <v>1</v>
      </c>
      <c r="B679" s="80">
        <f>SUBTOTAL(103,$A$552:A679)</f>
        <v>126</v>
      </c>
      <c r="C679" s="77" t="s">
        <v>391</v>
      </c>
      <c r="D679" s="233">
        <v>1961</v>
      </c>
      <c r="E679" s="233"/>
      <c r="F679" s="233" t="s">
        <v>256</v>
      </c>
      <c r="G679" s="233">
        <v>4</v>
      </c>
      <c r="H679" s="233" t="s">
        <v>295</v>
      </c>
      <c r="I679" s="234">
        <v>2700.93</v>
      </c>
      <c r="J679" s="234">
        <v>2461.3000000000002</v>
      </c>
      <c r="K679" s="234">
        <v>2280.6999999999998</v>
      </c>
      <c r="L679" s="239">
        <v>87</v>
      </c>
      <c r="M679" s="233" t="s">
        <v>254</v>
      </c>
      <c r="N679" s="233" t="s">
        <v>258</v>
      </c>
      <c r="O679" s="236" t="s">
        <v>307</v>
      </c>
      <c r="P679" s="78">
        <v>105750.06</v>
      </c>
      <c r="Q679" s="78">
        <v>0</v>
      </c>
      <c r="R679" s="78">
        <v>0</v>
      </c>
      <c r="S679" s="78">
        <v>0</v>
      </c>
      <c r="T679" s="78">
        <f t="shared" si="44"/>
        <v>105750.06</v>
      </c>
      <c r="U679" s="78">
        <f t="shared" si="43"/>
        <v>39.153202785707144</v>
      </c>
      <c r="V679" s="81">
        <v>39.153202785707144</v>
      </c>
    </row>
    <row r="680" spans="1:22" s="79" customFormat="1" ht="36" customHeight="1" x14ac:dyDescent="0.25">
      <c r="A680" s="79">
        <v>1</v>
      </c>
      <c r="B680" s="80">
        <f>SUBTOTAL(103,$A$552:A680)</f>
        <v>127</v>
      </c>
      <c r="C680" s="77" t="s">
        <v>393</v>
      </c>
      <c r="D680" s="233">
        <v>1958</v>
      </c>
      <c r="E680" s="233"/>
      <c r="F680" s="233" t="s">
        <v>256</v>
      </c>
      <c r="G680" s="233">
        <v>2</v>
      </c>
      <c r="H680" s="233" t="s">
        <v>290</v>
      </c>
      <c r="I680" s="234">
        <v>653.29999999999995</v>
      </c>
      <c r="J680" s="234">
        <v>605.6</v>
      </c>
      <c r="K680" s="234">
        <v>605.6</v>
      </c>
      <c r="L680" s="239">
        <v>30</v>
      </c>
      <c r="M680" s="233" t="s">
        <v>254</v>
      </c>
      <c r="N680" s="233" t="s">
        <v>258</v>
      </c>
      <c r="O680" s="236" t="s">
        <v>311</v>
      </c>
      <c r="P680" s="78">
        <v>2963667.8699999996</v>
      </c>
      <c r="Q680" s="78">
        <v>0</v>
      </c>
      <c r="R680" s="78">
        <v>0</v>
      </c>
      <c r="S680" s="78">
        <v>0</v>
      </c>
      <c r="T680" s="78">
        <f t="shared" si="44"/>
        <v>2963667.8699999996</v>
      </c>
      <c r="U680" s="78">
        <f t="shared" si="43"/>
        <v>4536.4577835603859</v>
      </c>
      <c r="V680" s="78">
        <v>7693.3867993264967</v>
      </c>
    </row>
    <row r="681" spans="1:22" s="79" customFormat="1" ht="36" customHeight="1" x14ac:dyDescent="0.25">
      <c r="A681" s="79">
        <v>1</v>
      </c>
      <c r="B681" s="80">
        <f>SUBTOTAL(103,$A$552:A681)</f>
        <v>128</v>
      </c>
      <c r="C681" s="77" t="s">
        <v>394</v>
      </c>
      <c r="D681" s="233">
        <v>1961</v>
      </c>
      <c r="E681" s="233"/>
      <c r="F681" s="233" t="s">
        <v>256</v>
      </c>
      <c r="G681" s="233">
        <v>2</v>
      </c>
      <c r="H681" s="233" t="s">
        <v>291</v>
      </c>
      <c r="I681" s="234">
        <v>291.64999999999998</v>
      </c>
      <c r="J681" s="234">
        <v>275.13</v>
      </c>
      <c r="K681" s="234">
        <v>275.13</v>
      </c>
      <c r="L681" s="239">
        <v>17</v>
      </c>
      <c r="M681" s="233" t="s">
        <v>254</v>
      </c>
      <c r="N681" s="233" t="s">
        <v>255</v>
      </c>
      <c r="O681" s="236" t="s">
        <v>257</v>
      </c>
      <c r="P681" s="78">
        <v>1476366.8</v>
      </c>
      <c r="Q681" s="78">
        <v>0</v>
      </c>
      <c r="R681" s="78">
        <v>0</v>
      </c>
      <c r="S681" s="78">
        <v>0</v>
      </c>
      <c r="T681" s="78">
        <f t="shared" si="44"/>
        <v>1476366.8</v>
      </c>
      <c r="U681" s="78">
        <f t="shared" si="43"/>
        <v>5062.1182924738559</v>
      </c>
      <c r="V681" s="78">
        <v>8103.4537342705316</v>
      </c>
    </row>
    <row r="682" spans="1:22" s="79" customFormat="1" ht="36" customHeight="1" x14ac:dyDescent="0.25">
      <c r="A682" s="79">
        <v>1</v>
      </c>
      <c r="B682" s="80">
        <f>SUBTOTAL(103,$A$552:A682)</f>
        <v>129</v>
      </c>
      <c r="C682" s="77" t="s">
        <v>396</v>
      </c>
      <c r="D682" s="233">
        <v>1941</v>
      </c>
      <c r="E682" s="233"/>
      <c r="F682" s="233" t="s">
        <v>310</v>
      </c>
      <c r="G682" s="233">
        <v>2</v>
      </c>
      <c r="H682" s="233" t="s">
        <v>290</v>
      </c>
      <c r="I682" s="234">
        <v>613.70000000000005</v>
      </c>
      <c r="J682" s="234">
        <v>345.1</v>
      </c>
      <c r="K682" s="234">
        <v>345.1</v>
      </c>
      <c r="L682" s="239">
        <v>22</v>
      </c>
      <c r="M682" s="233" t="s">
        <v>254</v>
      </c>
      <c r="N682" s="233" t="s">
        <v>258</v>
      </c>
      <c r="O682" s="236" t="s">
        <v>311</v>
      </c>
      <c r="P682" s="78">
        <v>2629575.83</v>
      </c>
      <c r="Q682" s="78">
        <v>0</v>
      </c>
      <c r="R682" s="78">
        <v>0</v>
      </c>
      <c r="S682" s="78">
        <v>0</v>
      </c>
      <c r="T682" s="78">
        <f t="shared" si="44"/>
        <v>2629575.83</v>
      </c>
      <c r="U682" s="78">
        <f t="shared" si="43"/>
        <v>4284.7903372983537</v>
      </c>
      <c r="V682" s="78">
        <v>6702.6732149258596</v>
      </c>
    </row>
    <row r="683" spans="1:22" s="79" customFormat="1" ht="36" customHeight="1" x14ac:dyDescent="0.25">
      <c r="A683" s="79">
        <v>1</v>
      </c>
      <c r="B683" s="80">
        <f>SUBTOTAL(103,$A$552:A683)</f>
        <v>130</v>
      </c>
      <c r="C683" s="77" t="s">
        <v>397</v>
      </c>
      <c r="D683" s="233">
        <v>1954</v>
      </c>
      <c r="E683" s="233"/>
      <c r="F683" s="233" t="s">
        <v>310</v>
      </c>
      <c r="G683" s="233">
        <v>2</v>
      </c>
      <c r="H683" s="233" t="s">
        <v>290</v>
      </c>
      <c r="I683" s="234">
        <v>441</v>
      </c>
      <c r="J683" s="234">
        <v>399.8</v>
      </c>
      <c r="K683" s="234">
        <v>399.8</v>
      </c>
      <c r="L683" s="239">
        <v>27</v>
      </c>
      <c r="M683" s="233" t="s">
        <v>254</v>
      </c>
      <c r="N683" s="233" t="s">
        <v>258</v>
      </c>
      <c r="O683" s="236" t="s">
        <v>311</v>
      </c>
      <c r="P683" s="78">
        <v>2063308.78</v>
      </c>
      <c r="Q683" s="78">
        <v>0</v>
      </c>
      <c r="R683" s="78">
        <v>0</v>
      </c>
      <c r="S683" s="78">
        <v>0</v>
      </c>
      <c r="T683" s="78">
        <f t="shared" si="44"/>
        <v>2063308.78</v>
      </c>
      <c r="U683" s="78">
        <f t="shared" si="43"/>
        <v>4678.7047165532877</v>
      </c>
      <c r="V683" s="78">
        <v>7676.338017233561</v>
      </c>
    </row>
    <row r="684" spans="1:22" s="79" customFormat="1" ht="36" customHeight="1" x14ac:dyDescent="0.25">
      <c r="A684" s="79">
        <v>1</v>
      </c>
      <c r="B684" s="80">
        <f>SUBTOTAL(103,$A$552:A684)</f>
        <v>131</v>
      </c>
      <c r="C684" s="77" t="s">
        <v>398</v>
      </c>
      <c r="D684" s="233">
        <v>1987</v>
      </c>
      <c r="E684" s="233"/>
      <c r="F684" s="233" t="s">
        <v>256</v>
      </c>
      <c r="G684" s="233">
        <v>5</v>
      </c>
      <c r="H684" s="233" t="s">
        <v>295</v>
      </c>
      <c r="I684" s="234">
        <v>4250.6000000000004</v>
      </c>
      <c r="J684" s="234">
        <v>2613.6</v>
      </c>
      <c r="K684" s="234">
        <v>2613.6</v>
      </c>
      <c r="L684" s="239">
        <v>107</v>
      </c>
      <c r="M684" s="233" t="s">
        <v>254</v>
      </c>
      <c r="N684" s="233" t="s">
        <v>258</v>
      </c>
      <c r="O684" s="236" t="s">
        <v>312</v>
      </c>
      <c r="P684" s="78">
        <v>2866181.7800000003</v>
      </c>
      <c r="Q684" s="78">
        <v>0</v>
      </c>
      <c r="R684" s="78">
        <v>0</v>
      </c>
      <c r="S684" s="78">
        <v>0</v>
      </c>
      <c r="T684" s="78">
        <f t="shared" si="44"/>
        <v>2866181.7800000003</v>
      </c>
      <c r="U684" s="78">
        <f t="shared" si="43"/>
        <v>674.30051757398951</v>
      </c>
      <c r="V684" s="78">
        <v>1447.2096208535265</v>
      </c>
    </row>
    <row r="685" spans="1:22" s="79" customFormat="1" ht="36" customHeight="1" x14ac:dyDescent="0.25">
      <c r="A685" s="79">
        <v>1</v>
      </c>
      <c r="B685" s="80">
        <f>SUBTOTAL(103,$A$552:A685)</f>
        <v>132</v>
      </c>
      <c r="C685" s="77" t="s">
        <v>399</v>
      </c>
      <c r="D685" s="233">
        <v>1964</v>
      </c>
      <c r="E685" s="233"/>
      <c r="F685" s="233" t="s">
        <v>256</v>
      </c>
      <c r="G685" s="233">
        <v>3</v>
      </c>
      <c r="H685" s="233" t="s">
        <v>290</v>
      </c>
      <c r="I685" s="234">
        <v>1192.79</v>
      </c>
      <c r="J685" s="234">
        <v>1192.79</v>
      </c>
      <c r="K685" s="234">
        <v>1192.79</v>
      </c>
      <c r="L685" s="239">
        <v>56</v>
      </c>
      <c r="M685" s="233" t="s">
        <v>254</v>
      </c>
      <c r="N685" s="233" t="s">
        <v>258</v>
      </c>
      <c r="O685" s="236" t="s">
        <v>308</v>
      </c>
      <c r="P685" s="78">
        <v>2347074.0100000002</v>
      </c>
      <c r="Q685" s="78">
        <v>0</v>
      </c>
      <c r="R685" s="78">
        <v>0</v>
      </c>
      <c r="S685" s="78">
        <v>0</v>
      </c>
      <c r="T685" s="78">
        <f t="shared" si="44"/>
        <v>2347074.0100000002</v>
      </c>
      <c r="U685" s="78">
        <f t="shared" si="43"/>
        <v>1967.7177122544624</v>
      </c>
      <c r="V685" s="78">
        <v>4095.8323554020412</v>
      </c>
    </row>
    <row r="686" spans="1:22" s="79" customFormat="1" ht="36" customHeight="1" x14ac:dyDescent="0.25">
      <c r="A686" s="79">
        <v>1</v>
      </c>
      <c r="B686" s="80">
        <f>SUBTOTAL(103,$A$552:A686)</f>
        <v>133</v>
      </c>
      <c r="C686" s="77" t="s">
        <v>400</v>
      </c>
      <c r="D686" s="233">
        <v>1941</v>
      </c>
      <c r="E686" s="233"/>
      <c r="F686" s="233" t="s">
        <v>256</v>
      </c>
      <c r="G686" s="233">
        <v>2</v>
      </c>
      <c r="H686" s="233" t="s">
        <v>290</v>
      </c>
      <c r="I686" s="234">
        <v>858.3</v>
      </c>
      <c r="J686" s="234">
        <v>655.4</v>
      </c>
      <c r="K686" s="234">
        <v>655.4</v>
      </c>
      <c r="L686" s="239">
        <v>31</v>
      </c>
      <c r="M686" s="233" t="s">
        <v>254</v>
      </c>
      <c r="N686" s="233" t="s">
        <v>258</v>
      </c>
      <c r="O686" s="236" t="s">
        <v>311</v>
      </c>
      <c r="P686" s="78">
        <v>3255890.12</v>
      </c>
      <c r="Q686" s="78">
        <v>0</v>
      </c>
      <c r="R686" s="78">
        <v>0</v>
      </c>
      <c r="S686" s="78">
        <v>0</v>
      </c>
      <c r="T686" s="78">
        <f t="shared" si="44"/>
        <v>3255890.12</v>
      </c>
      <c r="U686" s="78">
        <f t="shared" si="43"/>
        <v>3793.4173598974721</v>
      </c>
      <c r="V686" s="78">
        <v>5869.8911802400107</v>
      </c>
    </row>
    <row r="687" spans="1:22" s="79" customFormat="1" ht="36" customHeight="1" x14ac:dyDescent="0.25">
      <c r="A687" s="79">
        <v>1</v>
      </c>
      <c r="B687" s="80">
        <f>SUBTOTAL(103,$A$552:A687)</f>
        <v>134</v>
      </c>
      <c r="C687" s="77" t="s">
        <v>401</v>
      </c>
      <c r="D687" s="233">
        <v>1962</v>
      </c>
      <c r="E687" s="233"/>
      <c r="F687" s="233" t="s">
        <v>310</v>
      </c>
      <c r="G687" s="233">
        <v>2</v>
      </c>
      <c r="H687" s="233" t="s">
        <v>290</v>
      </c>
      <c r="I687" s="234">
        <v>590.99</v>
      </c>
      <c r="J687" s="234">
        <v>550.29</v>
      </c>
      <c r="K687" s="234">
        <v>550.29</v>
      </c>
      <c r="L687" s="239">
        <v>18</v>
      </c>
      <c r="M687" s="233" t="s">
        <v>254</v>
      </c>
      <c r="N687" s="233" t="s">
        <v>258</v>
      </c>
      <c r="O687" s="236" t="s">
        <v>314</v>
      </c>
      <c r="P687" s="78">
        <v>2533670.4300000002</v>
      </c>
      <c r="Q687" s="78">
        <v>0</v>
      </c>
      <c r="R687" s="78">
        <v>0</v>
      </c>
      <c r="S687" s="78">
        <v>0</v>
      </c>
      <c r="T687" s="78">
        <f t="shared" si="44"/>
        <v>2533670.4300000002</v>
      </c>
      <c r="U687" s="78">
        <f t="shared" si="43"/>
        <v>4287.1629469195759</v>
      </c>
      <c r="V687" s="78">
        <v>7271.659854819879</v>
      </c>
    </row>
    <row r="688" spans="1:22" s="79" customFormat="1" ht="36" customHeight="1" x14ac:dyDescent="0.25">
      <c r="A688" s="79">
        <v>1</v>
      </c>
      <c r="B688" s="80">
        <f>SUBTOTAL(103,$A$552:A688)</f>
        <v>135</v>
      </c>
      <c r="C688" s="77" t="s">
        <v>1523</v>
      </c>
      <c r="D688" s="233">
        <v>1960</v>
      </c>
      <c r="E688" s="233"/>
      <c r="F688" s="233" t="s">
        <v>1263</v>
      </c>
      <c r="G688" s="233">
        <v>4</v>
      </c>
      <c r="H688" s="233" t="s">
        <v>295</v>
      </c>
      <c r="I688" s="234">
        <v>2241.9</v>
      </c>
      <c r="J688" s="234">
        <v>2091.3000000000002</v>
      </c>
      <c r="K688" s="234">
        <v>1908.9</v>
      </c>
      <c r="L688" s="239">
        <v>87</v>
      </c>
      <c r="M688" s="233" t="s">
        <v>254</v>
      </c>
      <c r="N688" s="233" t="s">
        <v>285</v>
      </c>
      <c r="O688" s="236" t="s">
        <v>2560</v>
      </c>
      <c r="P688" s="78">
        <v>7415740.2200000007</v>
      </c>
      <c r="Q688" s="78">
        <v>0</v>
      </c>
      <c r="R688" s="78">
        <v>0</v>
      </c>
      <c r="S688" s="78">
        <v>0</v>
      </c>
      <c r="T688" s="78">
        <f t="shared" si="44"/>
        <v>7415740.2200000007</v>
      </c>
      <c r="U688" s="78">
        <f t="shared" si="43"/>
        <v>3307.7925955662608</v>
      </c>
      <c r="V688" s="78">
        <v>3508.1088719389809</v>
      </c>
    </row>
    <row r="689" spans="1:22" s="79" customFormat="1" ht="36" customHeight="1" x14ac:dyDescent="0.25">
      <c r="A689" s="79">
        <v>1</v>
      </c>
      <c r="B689" s="80">
        <f>SUBTOTAL(103,$A$552:A689)</f>
        <v>136</v>
      </c>
      <c r="C689" s="77" t="s">
        <v>1551</v>
      </c>
      <c r="D689" s="233">
        <v>1959</v>
      </c>
      <c r="E689" s="233"/>
      <c r="F689" s="233" t="s">
        <v>1263</v>
      </c>
      <c r="G689" s="233">
        <v>3</v>
      </c>
      <c r="H689" s="233" t="s">
        <v>290</v>
      </c>
      <c r="I689" s="234">
        <v>1638.8</v>
      </c>
      <c r="J689" s="234">
        <v>1086.7</v>
      </c>
      <c r="K689" s="234">
        <v>1052.4000000000001</v>
      </c>
      <c r="L689" s="239">
        <v>92</v>
      </c>
      <c r="M689" s="233" t="s">
        <v>254</v>
      </c>
      <c r="N689" s="233" t="s">
        <v>258</v>
      </c>
      <c r="O689" s="236" t="s">
        <v>312</v>
      </c>
      <c r="P689" s="78">
        <v>4896179.7299999995</v>
      </c>
      <c r="Q689" s="78">
        <v>0</v>
      </c>
      <c r="R689" s="78">
        <v>0</v>
      </c>
      <c r="S689" s="78">
        <v>0</v>
      </c>
      <c r="T689" s="78">
        <f t="shared" si="44"/>
        <v>4896179.7299999995</v>
      </c>
      <c r="U689" s="78">
        <f t="shared" si="43"/>
        <v>2987.661538930925</v>
      </c>
      <c r="V689" s="78">
        <v>4614.1383451305837</v>
      </c>
    </row>
    <row r="690" spans="1:22" s="79" customFormat="1" ht="36" customHeight="1" x14ac:dyDescent="0.25">
      <c r="A690" s="79">
        <v>1</v>
      </c>
      <c r="B690" s="80">
        <f>SUBTOTAL(103,$A$552:A690)</f>
        <v>137</v>
      </c>
      <c r="C690" s="77" t="s">
        <v>1552</v>
      </c>
      <c r="D690" s="233">
        <v>1942</v>
      </c>
      <c r="E690" s="233"/>
      <c r="F690" s="233" t="s">
        <v>1263</v>
      </c>
      <c r="G690" s="233">
        <v>2</v>
      </c>
      <c r="H690" s="233" t="s">
        <v>290</v>
      </c>
      <c r="I690" s="234">
        <v>659.9</v>
      </c>
      <c r="J690" s="234">
        <v>659.9</v>
      </c>
      <c r="K690" s="234">
        <v>659.9</v>
      </c>
      <c r="L690" s="239">
        <v>25</v>
      </c>
      <c r="M690" s="233" t="s">
        <v>254</v>
      </c>
      <c r="N690" s="233" t="s">
        <v>258</v>
      </c>
      <c r="O690" s="236" t="s">
        <v>312</v>
      </c>
      <c r="P690" s="78">
        <v>3292242.61</v>
      </c>
      <c r="Q690" s="78">
        <v>0</v>
      </c>
      <c r="R690" s="78">
        <v>0</v>
      </c>
      <c r="S690" s="78">
        <v>0</v>
      </c>
      <c r="T690" s="78">
        <f t="shared" si="44"/>
        <v>3292242.61</v>
      </c>
      <c r="U690" s="78">
        <f t="shared" si="43"/>
        <v>4989.0022882254889</v>
      </c>
      <c r="V690" s="78">
        <v>7634.6834368843774</v>
      </c>
    </row>
    <row r="691" spans="1:22" s="79" customFormat="1" ht="36" customHeight="1" x14ac:dyDescent="0.25">
      <c r="A691" s="79">
        <v>1</v>
      </c>
      <c r="B691" s="80">
        <f>SUBTOTAL(103,$A$552:A691)</f>
        <v>138</v>
      </c>
      <c r="C691" s="77" t="s">
        <v>413</v>
      </c>
      <c r="D691" s="233">
        <v>1994</v>
      </c>
      <c r="E691" s="233"/>
      <c r="F691" s="233" t="s">
        <v>298</v>
      </c>
      <c r="G691" s="233">
        <v>9</v>
      </c>
      <c r="H691" s="233" t="s">
        <v>290</v>
      </c>
      <c r="I691" s="234">
        <v>4306.3</v>
      </c>
      <c r="J691" s="234">
        <v>3866</v>
      </c>
      <c r="K691" s="234">
        <v>3866</v>
      </c>
      <c r="L691" s="239">
        <v>182</v>
      </c>
      <c r="M691" s="233" t="s">
        <v>254</v>
      </c>
      <c r="N691" s="233" t="s">
        <v>258</v>
      </c>
      <c r="O691" s="236" t="s">
        <v>307</v>
      </c>
      <c r="P691" s="78">
        <v>2957619.0999999996</v>
      </c>
      <c r="Q691" s="78">
        <v>0</v>
      </c>
      <c r="R691" s="78">
        <v>2030976</v>
      </c>
      <c r="S691" s="78">
        <v>0</v>
      </c>
      <c r="T691" s="78">
        <f t="shared" si="44"/>
        <v>926643.09999999963</v>
      </c>
      <c r="U691" s="78">
        <f t="shared" si="43"/>
        <v>686.81213570814839</v>
      </c>
      <c r="V691" s="78">
        <v>1141.4903745674942</v>
      </c>
    </row>
    <row r="692" spans="1:22" s="79" customFormat="1" ht="36" customHeight="1" x14ac:dyDescent="0.25">
      <c r="A692" s="79">
        <v>1</v>
      </c>
      <c r="B692" s="80">
        <f>SUBTOTAL(103,$A$552:A692)</f>
        <v>139</v>
      </c>
      <c r="C692" s="77" t="s">
        <v>1567</v>
      </c>
      <c r="D692" s="233">
        <v>1952</v>
      </c>
      <c r="E692" s="233"/>
      <c r="F692" s="233" t="s">
        <v>1263</v>
      </c>
      <c r="G692" s="233">
        <v>2</v>
      </c>
      <c r="H692" s="233" t="s">
        <v>290</v>
      </c>
      <c r="I692" s="234">
        <v>557.4</v>
      </c>
      <c r="J692" s="234">
        <v>517.5</v>
      </c>
      <c r="K692" s="234">
        <v>517.5</v>
      </c>
      <c r="L692" s="239">
        <v>31</v>
      </c>
      <c r="M692" s="233" t="s">
        <v>254</v>
      </c>
      <c r="N692" s="233" t="s">
        <v>255</v>
      </c>
      <c r="O692" s="236" t="s">
        <v>257</v>
      </c>
      <c r="P692" s="78">
        <v>2930743.46</v>
      </c>
      <c r="Q692" s="78">
        <v>0</v>
      </c>
      <c r="R692" s="78">
        <v>0</v>
      </c>
      <c r="S692" s="78">
        <v>0</v>
      </c>
      <c r="T692" s="78">
        <f t="shared" si="44"/>
        <v>2930743.46</v>
      </c>
      <c r="U692" s="78">
        <f t="shared" si="43"/>
        <v>5257.8820595622537</v>
      </c>
      <c r="V692" s="78">
        <v>9598.5360602798737</v>
      </c>
    </row>
    <row r="693" spans="1:22" s="79" customFormat="1" ht="36" customHeight="1" x14ac:dyDescent="0.25">
      <c r="A693" s="79">
        <v>1</v>
      </c>
      <c r="B693" s="80">
        <f>SUBTOTAL(103,$A$552:A693)</f>
        <v>140</v>
      </c>
      <c r="C693" s="77" t="s">
        <v>1568</v>
      </c>
      <c r="D693" s="233">
        <v>1950</v>
      </c>
      <c r="E693" s="233"/>
      <c r="F693" s="233" t="s">
        <v>1263</v>
      </c>
      <c r="G693" s="233">
        <v>2</v>
      </c>
      <c r="H693" s="233" t="s">
        <v>291</v>
      </c>
      <c r="I693" s="234">
        <v>462.7</v>
      </c>
      <c r="J693" s="234">
        <v>460.2</v>
      </c>
      <c r="K693" s="234">
        <v>460.2</v>
      </c>
      <c r="L693" s="239">
        <v>17</v>
      </c>
      <c r="M693" s="233" t="s">
        <v>254</v>
      </c>
      <c r="N693" s="233" t="s">
        <v>258</v>
      </c>
      <c r="O693" s="236" t="s">
        <v>307</v>
      </c>
      <c r="P693" s="78">
        <v>2227389.04</v>
      </c>
      <c r="Q693" s="78">
        <v>0</v>
      </c>
      <c r="R693" s="78">
        <v>0</v>
      </c>
      <c r="S693" s="78">
        <v>0</v>
      </c>
      <c r="T693" s="78">
        <f t="shared" si="44"/>
        <v>2227389.04</v>
      </c>
      <c r="U693" s="78">
        <f t="shared" si="43"/>
        <v>4813.8946185433324</v>
      </c>
      <c r="V693" s="78">
        <v>7901.4186297817168</v>
      </c>
    </row>
    <row r="694" spans="1:22" s="79" customFormat="1" ht="36" customHeight="1" x14ac:dyDescent="0.25">
      <c r="A694" s="79">
        <v>1</v>
      </c>
      <c r="B694" s="80">
        <f>SUBTOTAL(103,$A$552:A694)</f>
        <v>141</v>
      </c>
      <c r="C694" s="77" t="s">
        <v>1213</v>
      </c>
      <c r="D694" s="233">
        <v>1958</v>
      </c>
      <c r="E694" s="233"/>
      <c r="F694" s="233" t="s">
        <v>256</v>
      </c>
      <c r="G694" s="233">
        <v>4</v>
      </c>
      <c r="H694" s="233" t="s">
        <v>295</v>
      </c>
      <c r="I694" s="78">
        <v>5856.4</v>
      </c>
      <c r="J694" s="78">
        <v>3235.1</v>
      </c>
      <c r="K694" s="78">
        <v>2625</v>
      </c>
      <c r="L694" s="239">
        <v>86</v>
      </c>
      <c r="M694" s="233" t="s">
        <v>254</v>
      </c>
      <c r="N694" s="233" t="s">
        <v>258</v>
      </c>
      <c r="O694" s="236" t="s">
        <v>307</v>
      </c>
      <c r="P694" s="78">
        <v>11628214.93</v>
      </c>
      <c r="Q694" s="78">
        <v>0</v>
      </c>
      <c r="R694" s="78">
        <v>0</v>
      </c>
      <c r="S694" s="78">
        <v>0</v>
      </c>
      <c r="T694" s="78">
        <f t="shared" si="44"/>
        <v>11628214.93</v>
      </c>
      <c r="U694" s="78">
        <f t="shared" si="43"/>
        <v>1985.5568147667509</v>
      </c>
      <c r="V694" s="78">
        <v>2863.1275561778571</v>
      </c>
    </row>
    <row r="695" spans="1:22" s="79" customFormat="1" ht="36" customHeight="1" x14ac:dyDescent="0.25">
      <c r="A695" s="79">
        <v>1</v>
      </c>
      <c r="B695" s="80">
        <f>SUBTOTAL(103,$A$552:A695)</f>
        <v>142</v>
      </c>
      <c r="C695" s="77" t="s">
        <v>1495</v>
      </c>
      <c r="D695" s="233">
        <v>1986</v>
      </c>
      <c r="E695" s="233"/>
      <c r="F695" s="233" t="s">
        <v>304</v>
      </c>
      <c r="G695" s="233">
        <v>5</v>
      </c>
      <c r="H695" s="233" t="s">
        <v>295</v>
      </c>
      <c r="I695" s="78">
        <v>3450.6</v>
      </c>
      <c r="J695" s="78">
        <v>3118.5</v>
      </c>
      <c r="K695" s="78">
        <v>3118.5</v>
      </c>
      <c r="L695" s="239">
        <v>32</v>
      </c>
      <c r="M695" s="233" t="s">
        <v>254</v>
      </c>
      <c r="N695" s="233" t="s">
        <v>258</v>
      </c>
      <c r="O695" s="236" t="s">
        <v>307</v>
      </c>
      <c r="P695" s="78">
        <v>3026054.9</v>
      </c>
      <c r="Q695" s="78">
        <v>0</v>
      </c>
      <c r="R695" s="78">
        <v>0</v>
      </c>
      <c r="S695" s="78">
        <v>0</v>
      </c>
      <c r="T695" s="78">
        <f t="shared" si="44"/>
        <v>3026054.9</v>
      </c>
      <c r="U695" s="78">
        <f t="shared" si="43"/>
        <v>876.9648466933287</v>
      </c>
      <c r="V695" s="78">
        <v>1185.2786211093721</v>
      </c>
    </row>
    <row r="696" spans="1:22" s="79" customFormat="1" ht="36" customHeight="1" x14ac:dyDescent="0.25">
      <c r="A696" s="79">
        <v>1</v>
      </c>
      <c r="B696" s="80">
        <f>SUBTOTAL(103,$A$552:A696)</f>
        <v>143</v>
      </c>
      <c r="C696" s="77" t="s">
        <v>1757</v>
      </c>
      <c r="D696" s="233">
        <v>1974</v>
      </c>
      <c r="E696" s="233"/>
      <c r="F696" s="233" t="s">
        <v>256</v>
      </c>
      <c r="G696" s="233">
        <v>5</v>
      </c>
      <c r="H696" s="233" t="s">
        <v>355</v>
      </c>
      <c r="I696" s="78">
        <v>4544.2</v>
      </c>
      <c r="J696" s="78">
        <v>4544.2</v>
      </c>
      <c r="K696" s="78">
        <v>3002.6</v>
      </c>
      <c r="L696" s="239">
        <v>207</v>
      </c>
      <c r="M696" s="233" t="s">
        <v>254</v>
      </c>
      <c r="N696" s="233" t="s">
        <v>258</v>
      </c>
      <c r="O696" s="236" t="s">
        <v>307</v>
      </c>
      <c r="P696" s="78">
        <v>1498304.0199999998</v>
      </c>
      <c r="Q696" s="78">
        <v>0</v>
      </c>
      <c r="R696" s="78">
        <v>0</v>
      </c>
      <c r="S696" s="78">
        <v>0</v>
      </c>
      <c r="T696" s="78">
        <f t="shared" si="44"/>
        <v>1498304.0199999998</v>
      </c>
      <c r="U696" s="78">
        <f t="shared" si="43"/>
        <v>329.71788653668409</v>
      </c>
      <c r="V696" s="78">
        <v>810.46</v>
      </c>
    </row>
    <row r="697" spans="1:22" s="79" customFormat="1" ht="36" customHeight="1" x14ac:dyDescent="0.25">
      <c r="A697" s="79">
        <v>1</v>
      </c>
      <c r="B697" s="80">
        <f>SUBTOTAL(103,$A$552:A697)</f>
        <v>144</v>
      </c>
      <c r="C697" s="77" t="s">
        <v>1090</v>
      </c>
      <c r="D697" s="233">
        <v>1959</v>
      </c>
      <c r="E697" s="233"/>
      <c r="F697" s="233" t="s">
        <v>1479</v>
      </c>
      <c r="G697" s="233" t="s">
        <v>295</v>
      </c>
      <c r="H697" s="233" t="s">
        <v>290</v>
      </c>
      <c r="I697" s="234">
        <v>1378.1</v>
      </c>
      <c r="J697" s="234">
        <v>1378.1</v>
      </c>
      <c r="K697" s="234">
        <v>1378.1</v>
      </c>
      <c r="L697" s="239">
        <v>83</v>
      </c>
      <c r="M697" s="233" t="s">
        <v>254</v>
      </c>
      <c r="N697" s="233" t="s">
        <v>258</v>
      </c>
      <c r="O697" s="236" t="s">
        <v>314</v>
      </c>
      <c r="P697" s="78">
        <v>375226.5</v>
      </c>
      <c r="Q697" s="78">
        <v>0</v>
      </c>
      <c r="R697" s="78">
        <v>0</v>
      </c>
      <c r="S697" s="78">
        <v>0</v>
      </c>
      <c r="T697" s="78">
        <f t="shared" si="44"/>
        <v>375226.5</v>
      </c>
      <c r="U697" s="78">
        <f t="shared" si="43"/>
        <v>272.27813656483568</v>
      </c>
      <c r="V697" s="78">
        <v>810.46</v>
      </c>
    </row>
    <row r="698" spans="1:22" s="79" customFormat="1" ht="36" customHeight="1" x14ac:dyDescent="0.25">
      <c r="A698" s="79">
        <v>1</v>
      </c>
      <c r="B698" s="80">
        <f>SUBTOTAL(103,$A$552:A698)</f>
        <v>145</v>
      </c>
      <c r="C698" s="77" t="s">
        <v>1091</v>
      </c>
      <c r="D698" s="233">
        <v>1963</v>
      </c>
      <c r="E698" s="233"/>
      <c r="F698" s="233" t="s">
        <v>1479</v>
      </c>
      <c r="G698" s="233" t="s">
        <v>290</v>
      </c>
      <c r="H698" s="233" t="s">
        <v>290</v>
      </c>
      <c r="I698" s="234">
        <v>623.29999999999995</v>
      </c>
      <c r="J698" s="234">
        <v>623.29999999999995</v>
      </c>
      <c r="K698" s="234">
        <v>623.29999999999995</v>
      </c>
      <c r="L698" s="239">
        <v>32</v>
      </c>
      <c r="M698" s="233" t="s">
        <v>254</v>
      </c>
      <c r="N698" s="233" t="s">
        <v>258</v>
      </c>
      <c r="O698" s="236" t="s">
        <v>312</v>
      </c>
      <c r="P698" s="78">
        <v>160103.5</v>
      </c>
      <c r="Q698" s="78">
        <v>0</v>
      </c>
      <c r="R698" s="78">
        <v>0</v>
      </c>
      <c r="S698" s="78">
        <v>0</v>
      </c>
      <c r="T698" s="78">
        <f t="shared" si="44"/>
        <v>160103.5</v>
      </c>
      <c r="U698" s="78">
        <f t="shared" si="43"/>
        <v>256.86427081662123</v>
      </c>
      <c r="V698" s="78">
        <v>810.46</v>
      </c>
    </row>
    <row r="699" spans="1:22" s="79" customFormat="1" ht="36" customHeight="1" x14ac:dyDescent="0.25">
      <c r="A699" s="79">
        <v>1</v>
      </c>
      <c r="B699" s="80">
        <f>SUBTOTAL(103,$A$552:A699)</f>
        <v>146</v>
      </c>
      <c r="C699" s="77" t="s">
        <v>2159</v>
      </c>
      <c r="D699" s="233">
        <v>1956</v>
      </c>
      <c r="E699" s="233"/>
      <c r="F699" s="233" t="s">
        <v>256</v>
      </c>
      <c r="G699" s="233">
        <v>2</v>
      </c>
      <c r="H699" s="233">
        <v>2</v>
      </c>
      <c r="I699" s="234">
        <v>783.5</v>
      </c>
      <c r="J699" s="234">
        <v>466.8</v>
      </c>
      <c r="K699" s="234">
        <v>466.8</v>
      </c>
      <c r="L699" s="239">
        <v>31</v>
      </c>
      <c r="M699" s="233" t="s">
        <v>254</v>
      </c>
      <c r="N699" s="233" t="s">
        <v>255</v>
      </c>
      <c r="O699" s="236" t="s">
        <v>257</v>
      </c>
      <c r="P699" s="78">
        <v>5163065.4399999995</v>
      </c>
      <c r="Q699" s="78">
        <v>0</v>
      </c>
      <c r="R699" s="78">
        <v>0</v>
      </c>
      <c r="S699" s="78">
        <v>0</v>
      </c>
      <c r="T699" s="78">
        <f t="shared" si="44"/>
        <v>5163065.4399999995</v>
      </c>
      <c r="U699" s="78">
        <f t="shared" si="43"/>
        <v>6589.7452967453728</v>
      </c>
      <c r="V699" s="78">
        <v>7734.5505858328024</v>
      </c>
    </row>
    <row r="700" spans="1:22" s="79" customFormat="1" ht="36" customHeight="1" x14ac:dyDescent="0.25">
      <c r="A700" s="79">
        <v>1</v>
      </c>
      <c r="B700" s="80">
        <f>SUBTOTAL(103,$A$552:A700)</f>
        <v>147</v>
      </c>
      <c r="C700" s="77" t="s">
        <v>2158</v>
      </c>
      <c r="D700" s="233">
        <v>1954</v>
      </c>
      <c r="E700" s="233"/>
      <c r="F700" s="233" t="s">
        <v>256</v>
      </c>
      <c r="G700" s="233">
        <v>2</v>
      </c>
      <c r="H700" s="233">
        <v>2</v>
      </c>
      <c r="I700" s="234">
        <v>972.5</v>
      </c>
      <c r="J700" s="234">
        <v>972.5</v>
      </c>
      <c r="K700" s="234">
        <v>514.9</v>
      </c>
      <c r="L700" s="239">
        <v>43</v>
      </c>
      <c r="M700" s="233" t="s">
        <v>254</v>
      </c>
      <c r="N700" s="233" t="s">
        <v>255</v>
      </c>
      <c r="O700" s="236" t="s">
        <v>257</v>
      </c>
      <c r="P700" s="78">
        <v>6139793.3400000008</v>
      </c>
      <c r="Q700" s="78">
        <v>0</v>
      </c>
      <c r="R700" s="78">
        <v>0</v>
      </c>
      <c r="S700" s="78">
        <v>0</v>
      </c>
      <c r="T700" s="78">
        <f t="shared" si="44"/>
        <v>6139793.3400000008</v>
      </c>
      <c r="U700" s="78">
        <f t="shared" si="43"/>
        <v>6313.4121748071984</v>
      </c>
      <c r="V700" s="78">
        <v>6895.2329871465308</v>
      </c>
    </row>
    <row r="701" spans="1:22" s="79" customFormat="1" ht="36" customHeight="1" x14ac:dyDescent="0.25">
      <c r="A701" s="79">
        <v>1</v>
      </c>
      <c r="B701" s="80">
        <f>SUBTOTAL(103,$A$552:A701)</f>
        <v>148</v>
      </c>
      <c r="C701" s="77" t="s">
        <v>2177</v>
      </c>
      <c r="D701" s="233">
        <v>1994</v>
      </c>
      <c r="E701" s="233"/>
      <c r="F701" s="233" t="s">
        <v>256</v>
      </c>
      <c r="G701" s="233">
        <v>9</v>
      </c>
      <c r="H701" s="233">
        <v>1</v>
      </c>
      <c r="I701" s="234">
        <v>2822.7</v>
      </c>
      <c r="J701" s="234">
        <v>2542.4</v>
      </c>
      <c r="K701" s="234">
        <v>2542.4</v>
      </c>
      <c r="L701" s="239">
        <v>110</v>
      </c>
      <c r="M701" s="233" t="s">
        <v>254</v>
      </c>
      <c r="N701" s="233" t="s">
        <v>258</v>
      </c>
      <c r="O701" s="236" t="s">
        <v>308</v>
      </c>
      <c r="P701" s="78">
        <v>2008023.04</v>
      </c>
      <c r="Q701" s="78">
        <v>0</v>
      </c>
      <c r="R701" s="78">
        <v>0</v>
      </c>
      <c r="S701" s="78">
        <v>0</v>
      </c>
      <c r="T701" s="78">
        <f t="shared" si="44"/>
        <v>2008023.04</v>
      </c>
      <c r="U701" s="78">
        <f t="shared" si="43"/>
        <v>711.38379565664081</v>
      </c>
      <c r="V701" s="78">
        <v>870.72660927480786</v>
      </c>
    </row>
    <row r="702" spans="1:22" s="79" customFormat="1" ht="36" customHeight="1" x14ac:dyDescent="0.25">
      <c r="A702" s="79">
        <v>1</v>
      </c>
      <c r="B702" s="80">
        <f>SUBTOTAL(103,$A$552:A702)</f>
        <v>149</v>
      </c>
      <c r="C702" s="77" t="s">
        <v>2178</v>
      </c>
      <c r="D702" s="233">
        <v>1988</v>
      </c>
      <c r="E702" s="233"/>
      <c r="F702" s="233" t="s">
        <v>304</v>
      </c>
      <c r="G702" s="233">
        <v>9</v>
      </c>
      <c r="H702" s="233">
        <v>6</v>
      </c>
      <c r="I702" s="234">
        <v>12966</v>
      </c>
      <c r="J702" s="234">
        <v>11544.4</v>
      </c>
      <c r="K702" s="234">
        <v>11529</v>
      </c>
      <c r="L702" s="239">
        <v>510</v>
      </c>
      <c r="M702" s="233" t="s">
        <v>254</v>
      </c>
      <c r="N702" s="233" t="s">
        <v>258</v>
      </c>
      <c r="O702" s="236" t="s">
        <v>307</v>
      </c>
      <c r="P702" s="78">
        <v>11645764.920000002</v>
      </c>
      <c r="Q702" s="78">
        <v>0</v>
      </c>
      <c r="R702" s="78">
        <v>0</v>
      </c>
      <c r="S702" s="78">
        <v>0</v>
      </c>
      <c r="T702" s="78">
        <f t="shared" si="44"/>
        <v>11645764.920000002</v>
      </c>
      <c r="U702" s="78">
        <f t="shared" si="43"/>
        <v>898.17714946783906</v>
      </c>
      <c r="V702" s="78">
        <v>1137.3438223044886</v>
      </c>
    </row>
    <row r="703" spans="1:22" s="79" customFormat="1" ht="36" customHeight="1" x14ac:dyDescent="0.25">
      <c r="A703" s="79">
        <v>1</v>
      </c>
      <c r="B703" s="80">
        <f>SUBTOTAL(103,$A$552:A703)</f>
        <v>150</v>
      </c>
      <c r="C703" s="77" t="s">
        <v>759</v>
      </c>
      <c r="D703" s="233">
        <v>1988</v>
      </c>
      <c r="E703" s="233"/>
      <c r="F703" s="233" t="s">
        <v>256</v>
      </c>
      <c r="G703" s="233">
        <v>9</v>
      </c>
      <c r="H703" s="233" t="s">
        <v>299</v>
      </c>
      <c r="I703" s="234">
        <v>7219.38</v>
      </c>
      <c r="J703" s="234">
        <v>5477.3</v>
      </c>
      <c r="K703" s="234">
        <v>1142.98</v>
      </c>
      <c r="L703" s="239">
        <v>245</v>
      </c>
      <c r="M703" s="233" t="s">
        <v>254</v>
      </c>
      <c r="N703" s="233" t="s">
        <v>258</v>
      </c>
      <c r="O703" s="236" t="s">
        <v>934</v>
      </c>
      <c r="P703" s="78">
        <v>90029.61</v>
      </c>
      <c r="Q703" s="78">
        <v>0</v>
      </c>
      <c r="R703" s="78">
        <v>0</v>
      </c>
      <c r="S703" s="78">
        <v>0</v>
      </c>
      <c r="T703" s="78">
        <f t="shared" si="44"/>
        <v>90029.61</v>
      </c>
      <c r="U703" s="78">
        <f t="shared" si="43"/>
        <v>12.470545947158897</v>
      </c>
      <c r="V703" s="78">
        <v>1104.3241191289644</v>
      </c>
    </row>
    <row r="704" spans="1:22" s="79" customFormat="1" ht="36" customHeight="1" x14ac:dyDescent="0.25">
      <c r="A704" s="79">
        <v>1</v>
      </c>
      <c r="B704" s="80">
        <f>SUBTOTAL(103,$A$552:A704)</f>
        <v>151</v>
      </c>
      <c r="C704" s="77" t="s">
        <v>407</v>
      </c>
      <c r="D704" s="233">
        <v>1974</v>
      </c>
      <c r="E704" s="233"/>
      <c r="F704" s="233" t="s">
        <v>256</v>
      </c>
      <c r="G704" s="233">
        <v>9</v>
      </c>
      <c r="H704" s="233" t="s">
        <v>290</v>
      </c>
      <c r="I704" s="234">
        <v>5409.4</v>
      </c>
      <c r="J704" s="234">
        <v>5101.5</v>
      </c>
      <c r="K704" s="234">
        <v>4227.7</v>
      </c>
      <c r="L704" s="239">
        <v>198</v>
      </c>
      <c r="M704" s="233" t="s">
        <v>254</v>
      </c>
      <c r="N704" s="233" t="s">
        <v>258</v>
      </c>
      <c r="O704" s="236" t="s">
        <v>934</v>
      </c>
      <c r="P704" s="78">
        <v>91994.559999999998</v>
      </c>
      <c r="Q704" s="78">
        <v>0</v>
      </c>
      <c r="R704" s="78">
        <v>0</v>
      </c>
      <c r="S704" s="78">
        <v>0</v>
      </c>
      <c r="T704" s="78">
        <f t="shared" si="44"/>
        <v>91994.559999999998</v>
      </c>
      <c r="U704" s="78">
        <f t="shared" si="43"/>
        <v>17.006425851295894</v>
      </c>
      <c r="V704" s="78">
        <v>819.2464099530448</v>
      </c>
    </row>
    <row r="705" spans="1:22" s="79" customFormat="1" ht="36" customHeight="1" x14ac:dyDescent="0.25">
      <c r="A705" s="79">
        <v>1</v>
      </c>
      <c r="B705" s="80">
        <f>SUBTOTAL(103,$A$552:A705)</f>
        <v>152</v>
      </c>
      <c r="C705" s="77" t="s">
        <v>2503</v>
      </c>
      <c r="D705" s="233">
        <v>1996</v>
      </c>
      <c r="E705" s="233"/>
      <c r="F705" s="233" t="s">
        <v>2518</v>
      </c>
      <c r="G705" s="233" t="s">
        <v>343</v>
      </c>
      <c r="H705" s="233">
        <v>1</v>
      </c>
      <c r="I705" s="234">
        <v>3077.8</v>
      </c>
      <c r="J705" s="234">
        <v>2755.2</v>
      </c>
      <c r="K705" s="234">
        <v>2755.2</v>
      </c>
      <c r="L705" s="239">
        <v>140</v>
      </c>
      <c r="M705" s="233" t="s">
        <v>254</v>
      </c>
      <c r="N705" s="233" t="s">
        <v>258</v>
      </c>
      <c r="O705" s="236" t="s">
        <v>308</v>
      </c>
      <c r="P705" s="78">
        <v>1853057.2000000002</v>
      </c>
      <c r="Q705" s="78">
        <v>0</v>
      </c>
      <c r="R705" s="78">
        <v>1054000</v>
      </c>
      <c r="S705" s="78">
        <v>0</v>
      </c>
      <c r="T705" s="78">
        <f t="shared" si="44"/>
        <v>799057.20000000019</v>
      </c>
      <c r="U705" s="78">
        <f t="shared" si="43"/>
        <v>602.07199948014818</v>
      </c>
      <c r="V705" s="78">
        <v>798.55741113782562</v>
      </c>
    </row>
    <row r="706" spans="1:22" s="79" customFormat="1" ht="36" customHeight="1" x14ac:dyDescent="0.25">
      <c r="A706" s="79">
        <v>1</v>
      </c>
      <c r="B706" s="80">
        <f>SUBTOTAL(103,$A$552:A706)</f>
        <v>153</v>
      </c>
      <c r="C706" s="77" t="s">
        <v>2504</v>
      </c>
      <c r="D706" s="233">
        <v>1996</v>
      </c>
      <c r="E706" s="233"/>
      <c r="F706" s="233" t="s">
        <v>2518</v>
      </c>
      <c r="G706" s="233" t="s">
        <v>343</v>
      </c>
      <c r="H706" s="233">
        <v>2</v>
      </c>
      <c r="I706" s="234">
        <v>5535.7</v>
      </c>
      <c r="J706" s="234">
        <v>5530.52</v>
      </c>
      <c r="K706" s="234">
        <v>5530.52</v>
      </c>
      <c r="L706" s="239">
        <v>278</v>
      </c>
      <c r="M706" s="233" t="s">
        <v>254</v>
      </c>
      <c r="N706" s="233" t="s">
        <v>258</v>
      </c>
      <c r="O706" s="236" t="s">
        <v>308</v>
      </c>
      <c r="P706" s="78">
        <v>3619242.2199999997</v>
      </c>
      <c r="Q706" s="78">
        <v>0</v>
      </c>
      <c r="R706" s="78">
        <v>2108000</v>
      </c>
      <c r="S706" s="78">
        <v>0</v>
      </c>
      <c r="T706" s="78">
        <f t="shared" si="44"/>
        <v>1511242.2199999997</v>
      </c>
      <c r="U706" s="78">
        <f t="shared" si="43"/>
        <v>653.80028180717886</v>
      </c>
      <c r="V706" s="78">
        <v>887.98164640424886</v>
      </c>
    </row>
    <row r="707" spans="1:22" s="79" customFormat="1" ht="36" customHeight="1" x14ac:dyDescent="0.25">
      <c r="A707" s="79">
        <v>1</v>
      </c>
      <c r="B707" s="80">
        <f>SUBTOTAL(103,$A$552:A707)</f>
        <v>154</v>
      </c>
      <c r="C707" s="77" t="s">
        <v>2505</v>
      </c>
      <c r="D707" s="233">
        <v>1996</v>
      </c>
      <c r="E707" s="233"/>
      <c r="F707" s="233" t="s">
        <v>304</v>
      </c>
      <c r="G707" s="233" t="s">
        <v>343</v>
      </c>
      <c r="H707" s="233" t="s">
        <v>295</v>
      </c>
      <c r="I707" s="234">
        <v>8578.7000000000007</v>
      </c>
      <c r="J707" s="234">
        <v>8578</v>
      </c>
      <c r="K707" s="234">
        <v>7723</v>
      </c>
      <c r="L707" s="239" t="s">
        <v>2519</v>
      </c>
      <c r="M707" s="233" t="s">
        <v>254</v>
      </c>
      <c r="N707" s="233" t="s">
        <v>258</v>
      </c>
      <c r="O707" s="236" t="s">
        <v>1274</v>
      </c>
      <c r="P707" s="78">
        <v>5369834.1800000006</v>
      </c>
      <c r="Q707" s="78">
        <v>0</v>
      </c>
      <c r="R707" s="78">
        <v>3242304</v>
      </c>
      <c r="S707" s="78">
        <v>0</v>
      </c>
      <c r="T707" s="78">
        <f t="shared" si="44"/>
        <v>2127530.1800000006</v>
      </c>
      <c r="U707" s="78">
        <f t="shared" si="43"/>
        <v>625.94964038840385</v>
      </c>
      <c r="V707" s="78">
        <v>859.50085677317065</v>
      </c>
    </row>
    <row r="708" spans="1:22" s="79" customFormat="1" ht="36" customHeight="1" x14ac:dyDescent="0.25">
      <c r="A708" s="79">
        <v>1</v>
      </c>
      <c r="B708" s="80">
        <f>SUBTOTAL(103,$A$552:A708)</f>
        <v>155</v>
      </c>
      <c r="C708" s="77" t="s">
        <v>192</v>
      </c>
      <c r="D708" s="233">
        <v>1981</v>
      </c>
      <c r="E708" s="233"/>
      <c r="F708" s="233" t="s">
        <v>256</v>
      </c>
      <c r="G708" s="233">
        <v>2</v>
      </c>
      <c r="H708" s="233" t="s">
        <v>290</v>
      </c>
      <c r="I708" s="234">
        <v>946.6</v>
      </c>
      <c r="J708" s="234">
        <v>861.8</v>
      </c>
      <c r="K708" s="234">
        <v>861.8</v>
      </c>
      <c r="L708" s="239">
        <v>44</v>
      </c>
      <c r="M708" s="233" t="s">
        <v>254</v>
      </c>
      <c r="N708" s="233" t="s">
        <v>255</v>
      </c>
      <c r="O708" s="236" t="s">
        <v>257</v>
      </c>
      <c r="P708" s="78">
        <v>4651191.3999999994</v>
      </c>
      <c r="Q708" s="78">
        <v>0</v>
      </c>
      <c r="R708" s="78">
        <v>0</v>
      </c>
      <c r="S708" s="78">
        <v>0</v>
      </c>
      <c r="T708" s="78">
        <f t="shared" si="44"/>
        <v>4651191.3999999994</v>
      </c>
      <c r="U708" s="78">
        <f t="shared" si="43"/>
        <v>4913.5763786182115</v>
      </c>
      <c r="V708" s="78">
        <v>7042.351503908727</v>
      </c>
    </row>
    <row r="709" spans="1:22" s="79" customFormat="1" ht="36" customHeight="1" x14ac:dyDescent="0.25">
      <c r="A709" s="79">
        <v>1</v>
      </c>
      <c r="B709" s="80">
        <f>SUBTOTAL(103,$A$552:A709)</f>
        <v>156</v>
      </c>
      <c r="C709" s="77" t="s">
        <v>1590</v>
      </c>
      <c r="D709" s="233">
        <v>1980</v>
      </c>
      <c r="E709" s="233"/>
      <c r="F709" s="233" t="s">
        <v>256</v>
      </c>
      <c r="G709" s="233">
        <v>5</v>
      </c>
      <c r="H709" s="233" t="s">
        <v>290</v>
      </c>
      <c r="I709" s="234">
        <v>1589.4</v>
      </c>
      <c r="J709" s="234">
        <v>1176.4000000000001</v>
      </c>
      <c r="K709" s="234">
        <v>1117.8000000000002</v>
      </c>
      <c r="L709" s="239">
        <v>61</v>
      </c>
      <c r="M709" s="233" t="s">
        <v>254</v>
      </c>
      <c r="N709" s="233" t="s">
        <v>258</v>
      </c>
      <c r="O709" s="236" t="s">
        <v>311</v>
      </c>
      <c r="P709" s="78">
        <v>106040.56</v>
      </c>
      <c r="Q709" s="78">
        <v>0</v>
      </c>
      <c r="R709" s="78">
        <v>0</v>
      </c>
      <c r="S709" s="78">
        <v>0</v>
      </c>
      <c r="T709" s="78">
        <f t="shared" si="44"/>
        <v>106040.56</v>
      </c>
      <c r="U709" s="78">
        <f t="shared" si="43"/>
        <v>66.717352460047806</v>
      </c>
      <c r="V709" s="81">
        <v>66.717352460047806</v>
      </c>
    </row>
    <row r="710" spans="1:22" s="79" customFormat="1" ht="36" customHeight="1" x14ac:dyDescent="0.25">
      <c r="A710" s="79">
        <v>1</v>
      </c>
      <c r="B710" s="80">
        <f>SUBTOTAL(103,$A$552:A710)</f>
        <v>157</v>
      </c>
      <c r="C710" s="77" t="s">
        <v>194</v>
      </c>
      <c r="D710" s="233">
        <v>1983</v>
      </c>
      <c r="E710" s="233"/>
      <c r="F710" s="233" t="s">
        <v>256</v>
      </c>
      <c r="G710" s="233">
        <v>5</v>
      </c>
      <c r="H710" s="233" t="s">
        <v>295</v>
      </c>
      <c r="I710" s="234">
        <v>3097.1</v>
      </c>
      <c r="J710" s="234">
        <v>2812.2</v>
      </c>
      <c r="K710" s="234">
        <v>2810.6</v>
      </c>
      <c r="L710" s="239">
        <v>133</v>
      </c>
      <c r="M710" s="233" t="s">
        <v>254</v>
      </c>
      <c r="N710" s="233" t="s">
        <v>258</v>
      </c>
      <c r="O710" s="236" t="s">
        <v>934</v>
      </c>
      <c r="P710" s="78">
        <v>3291829.8200000003</v>
      </c>
      <c r="Q710" s="78">
        <v>0</v>
      </c>
      <c r="R710" s="78">
        <v>0</v>
      </c>
      <c r="S710" s="78">
        <v>0</v>
      </c>
      <c r="T710" s="78">
        <f t="shared" si="44"/>
        <v>3291829.8200000003</v>
      </c>
      <c r="U710" s="78">
        <f t="shared" si="43"/>
        <v>1062.8748894126766</v>
      </c>
      <c r="V710" s="78">
        <v>2191.3270943786129</v>
      </c>
    </row>
    <row r="711" spans="1:22" s="79" customFormat="1" ht="36" customHeight="1" x14ac:dyDescent="0.25">
      <c r="B711" s="77" t="s">
        <v>710</v>
      </c>
      <c r="C711" s="77"/>
      <c r="D711" s="233" t="s">
        <v>835</v>
      </c>
      <c r="E711" s="233" t="s">
        <v>835</v>
      </c>
      <c r="F711" s="233" t="s">
        <v>835</v>
      </c>
      <c r="G711" s="233" t="s">
        <v>835</v>
      </c>
      <c r="H711" s="233" t="s">
        <v>835</v>
      </c>
      <c r="I711" s="234">
        <f>SUM(I712:I765)</f>
        <v>401854.45999999996</v>
      </c>
      <c r="J711" s="234">
        <f>SUM(J712:J765)</f>
        <v>377670.7099999999</v>
      </c>
      <c r="K711" s="234">
        <f>SUM(K712:K765)</f>
        <v>307870.2</v>
      </c>
      <c r="L711" s="235">
        <f>SUM(L712:L765)</f>
        <v>4103</v>
      </c>
      <c r="M711" s="233" t="s">
        <v>835</v>
      </c>
      <c r="N711" s="233" t="s">
        <v>835</v>
      </c>
      <c r="O711" s="236" t="s">
        <v>835</v>
      </c>
      <c r="P711" s="237">
        <v>285849688.59999996</v>
      </c>
      <c r="Q711" s="234">
        <f>SUM(Q712:Q765)</f>
        <v>0</v>
      </c>
      <c r="R711" s="234">
        <f>SUM(R712:R765)</f>
        <v>119296640</v>
      </c>
      <c r="S711" s="234">
        <f>SUM(S712:S765)</f>
        <v>0</v>
      </c>
      <c r="T711" s="234">
        <f>SUM(T712:T765)</f>
        <v>166553048.59999999</v>
      </c>
      <c r="U711" s="78">
        <f t="shared" ref="U711:U768" si="45">P711/I711</f>
        <v>711.32640558474827</v>
      </c>
      <c r="V711" s="78">
        <f>MAX(V712:V765)</f>
        <v>6784.135496243799</v>
      </c>
    </row>
    <row r="712" spans="1:22" s="79" customFormat="1" ht="36" customHeight="1" x14ac:dyDescent="0.25">
      <c r="A712" s="79">
        <v>1</v>
      </c>
      <c r="B712" s="80">
        <f>SUBTOTAL(103,$A$552:A712)</f>
        <v>158</v>
      </c>
      <c r="C712" s="77" t="s">
        <v>722</v>
      </c>
      <c r="D712" s="233">
        <v>1959</v>
      </c>
      <c r="E712" s="233"/>
      <c r="F712" s="233" t="s">
        <v>322</v>
      </c>
      <c r="G712" s="233">
        <v>3</v>
      </c>
      <c r="H712" s="233" t="s">
        <v>290</v>
      </c>
      <c r="I712" s="234">
        <v>1267.5</v>
      </c>
      <c r="J712" s="234">
        <v>1160</v>
      </c>
      <c r="K712" s="234">
        <v>785.9</v>
      </c>
      <c r="L712" s="239">
        <v>31</v>
      </c>
      <c r="M712" s="233" t="s">
        <v>254</v>
      </c>
      <c r="N712" s="233" t="s">
        <v>255</v>
      </c>
      <c r="O712" s="236" t="s">
        <v>257</v>
      </c>
      <c r="P712" s="78">
        <v>96616</v>
      </c>
      <c r="Q712" s="78">
        <v>0</v>
      </c>
      <c r="R712" s="78">
        <v>0</v>
      </c>
      <c r="S712" s="78">
        <v>0</v>
      </c>
      <c r="T712" s="78">
        <f t="shared" ref="T712:T765" si="46">P712-R712-S712</f>
        <v>96616</v>
      </c>
      <c r="U712" s="78">
        <f t="shared" si="45"/>
        <v>76.225641025641025</v>
      </c>
      <c r="V712" s="78">
        <v>76.225641025641025</v>
      </c>
    </row>
    <row r="713" spans="1:22" s="79" customFormat="1" ht="36" customHeight="1" x14ac:dyDescent="0.25">
      <c r="A713" s="79">
        <v>1</v>
      </c>
      <c r="B713" s="80">
        <f>SUBTOTAL(103,$A$552:A713)</f>
        <v>159</v>
      </c>
      <c r="C713" s="77" t="s">
        <v>724</v>
      </c>
      <c r="D713" s="233">
        <v>1993</v>
      </c>
      <c r="E713" s="233"/>
      <c r="F713" s="233" t="s">
        <v>304</v>
      </c>
      <c r="G713" s="233">
        <v>9</v>
      </c>
      <c r="H713" s="233" t="s">
        <v>295</v>
      </c>
      <c r="I713" s="234">
        <v>11047.1</v>
      </c>
      <c r="J713" s="234">
        <v>7851.2</v>
      </c>
      <c r="K713" s="234">
        <v>7851.2</v>
      </c>
      <c r="L713" s="239">
        <v>267</v>
      </c>
      <c r="M713" s="233" t="s">
        <v>254</v>
      </c>
      <c r="N713" s="233" t="s">
        <v>258</v>
      </c>
      <c r="O713" s="236" t="s">
        <v>753</v>
      </c>
      <c r="P713" s="78">
        <v>6290060.6799999997</v>
      </c>
      <c r="Q713" s="78">
        <v>0</v>
      </c>
      <c r="R713" s="78">
        <v>0</v>
      </c>
      <c r="S713" s="78">
        <v>0</v>
      </c>
      <c r="T713" s="78">
        <f t="shared" si="46"/>
        <v>6290060.6799999997</v>
      </c>
      <c r="U713" s="78">
        <f t="shared" si="45"/>
        <v>569.38569217260635</v>
      </c>
      <c r="V713" s="78">
        <v>889.93491504557755</v>
      </c>
    </row>
    <row r="714" spans="1:22" s="79" customFormat="1" ht="36" customHeight="1" x14ac:dyDescent="0.25">
      <c r="A714" s="79">
        <v>1</v>
      </c>
      <c r="B714" s="80">
        <f>SUBTOTAL(103,$A$552:A714)</f>
        <v>160</v>
      </c>
      <c r="C714" s="77" t="s">
        <v>734</v>
      </c>
      <c r="D714" s="233">
        <v>1991</v>
      </c>
      <c r="E714" s="233"/>
      <c r="F714" s="233" t="s">
        <v>304</v>
      </c>
      <c r="G714" s="233">
        <v>9</v>
      </c>
      <c r="H714" s="233" t="s">
        <v>295</v>
      </c>
      <c r="I714" s="234">
        <v>10990.1</v>
      </c>
      <c r="J714" s="234">
        <v>7793.3</v>
      </c>
      <c r="K714" s="234">
        <v>7793.3</v>
      </c>
      <c r="L714" s="239">
        <v>318</v>
      </c>
      <c r="M714" s="233" t="s">
        <v>254</v>
      </c>
      <c r="N714" s="233" t="s">
        <v>258</v>
      </c>
      <c r="O714" s="236" t="s">
        <v>753</v>
      </c>
      <c r="P714" s="78">
        <v>7808742.25</v>
      </c>
      <c r="Q714" s="78">
        <v>0</v>
      </c>
      <c r="R714" s="78">
        <v>4320320</v>
      </c>
      <c r="S714" s="78">
        <v>0</v>
      </c>
      <c r="T714" s="78">
        <f t="shared" si="46"/>
        <v>3488422.25</v>
      </c>
      <c r="U714" s="78">
        <f t="shared" si="45"/>
        <v>710.52513170944758</v>
      </c>
      <c r="V714" s="78">
        <v>894.55055004049098</v>
      </c>
    </row>
    <row r="715" spans="1:22" s="79" customFormat="1" ht="36" customHeight="1" x14ac:dyDescent="0.25">
      <c r="A715" s="79">
        <v>1</v>
      </c>
      <c r="B715" s="80">
        <f>SUBTOTAL(103,$A$552:A715)</f>
        <v>161</v>
      </c>
      <c r="C715" s="77" t="s">
        <v>1014</v>
      </c>
      <c r="D715" s="233">
        <v>1960</v>
      </c>
      <c r="E715" s="233"/>
      <c r="F715" s="233" t="s">
        <v>256</v>
      </c>
      <c r="G715" s="233">
        <v>3</v>
      </c>
      <c r="H715" s="233" t="s">
        <v>290</v>
      </c>
      <c r="I715" s="234">
        <v>1377.9</v>
      </c>
      <c r="J715" s="234">
        <v>966.6</v>
      </c>
      <c r="K715" s="234">
        <v>764.1</v>
      </c>
      <c r="L715" s="239">
        <v>28</v>
      </c>
      <c r="M715" s="233" t="s">
        <v>254</v>
      </c>
      <c r="N715" s="233" t="s">
        <v>255</v>
      </c>
      <c r="O715" s="236" t="s">
        <v>257</v>
      </c>
      <c r="P715" s="78">
        <v>88143.9</v>
      </c>
      <c r="Q715" s="78">
        <v>0</v>
      </c>
      <c r="R715" s="78">
        <v>0</v>
      </c>
      <c r="S715" s="78">
        <v>0</v>
      </c>
      <c r="T715" s="78">
        <f t="shared" si="46"/>
        <v>88143.9</v>
      </c>
      <c r="U715" s="78">
        <f t="shared" si="45"/>
        <v>63.969736555628124</v>
      </c>
      <c r="V715" s="81">
        <v>63.969736555628124</v>
      </c>
    </row>
    <row r="716" spans="1:22" s="79" customFormat="1" ht="36" customHeight="1" x14ac:dyDescent="0.25">
      <c r="A716" s="79">
        <v>1</v>
      </c>
      <c r="B716" s="80">
        <f>SUBTOTAL(103,$A$552:A716)</f>
        <v>162</v>
      </c>
      <c r="C716" s="77" t="s">
        <v>727</v>
      </c>
      <c r="D716" s="233">
        <v>1966</v>
      </c>
      <c r="E716" s="233"/>
      <c r="F716" s="233" t="s">
        <v>256</v>
      </c>
      <c r="G716" s="233">
        <v>4</v>
      </c>
      <c r="H716" s="233" t="s">
        <v>295</v>
      </c>
      <c r="I716" s="234">
        <v>3436.5</v>
      </c>
      <c r="J716" s="234">
        <v>2673</v>
      </c>
      <c r="K716" s="234">
        <v>2483.9</v>
      </c>
      <c r="L716" s="239">
        <v>109</v>
      </c>
      <c r="M716" s="233" t="s">
        <v>254</v>
      </c>
      <c r="N716" s="233" t="s">
        <v>258</v>
      </c>
      <c r="O716" s="236" t="s">
        <v>749</v>
      </c>
      <c r="P716" s="78">
        <v>122961.97</v>
      </c>
      <c r="Q716" s="78">
        <v>0</v>
      </c>
      <c r="R716" s="78">
        <v>0</v>
      </c>
      <c r="S716" s="78">
        <v>0</v>
      </c>
      <c r="T716" s="78">
        <f t="shared" si="46"/>
        <v>122961.97</v>
      </c>
      <c r="U716" s="78">
        <f t="shared" si="45"/>
        <v>35.78116397497454</v>
      </c>
      <c r="V716" s="78">
        <v>35.78116397497454</v>
      </c>
    </row>
    <row r="717" spans="1:22" s="79" customFormat="1" ht="36" customHeight="1" x14ac:dyDescent="0.25">
      <c r="A717" s="79">
        <v>1</v>
      </c>
      <c r="B717" s="80">
        <f>SUBTOTAL(103,$A$552:A717)</f>
        <v>163</v>
      </c>
      <c r="C717" s="77" t="s">
        <v>1505</v>
      </c>
      <c r="D717" s="233">
        <v>1980</v>
      </c>
      <c r="E717" s="233"/>
      <c r="F717" s="233" t="s">
        <v>256</v>
      </c>
      <c r="G717" s="233">
        <v>5</v>
      </c>
      <c r="H717" s="233" t="s">
        <v>291</v>
      </c>
      <c r="I717" s="234">
        <v>2427.5</v>
      </c>
      <c r="J717" s="234">
        <v>2065.6999999999998</v>
      </c>
      <c r="K717" s="234">
        <v>2065.6999999999998</v>
      </c>
      <c r="L717" s="239">
        <v>58</v>
      </c>
      <c r="M717" s="233" t="s">
        <v>254</v>
      </c>
      <c r="N717" s="233" t="s">
        <v>255</v>
      </c>
      <c r="O717" s="236" t="s">
        <v>257</v>
      </c>
      <c r="P717" s="78">
        <v>2915751.56</v>
      </c>
      <c r="Q717" s="78">
        <v>0</v>
      </c>
      <c r="R717" s="78">
        <v>0</v>
      </c>
      <c r="S717" s="78">
        <v>0</v>
      </c>
      <c r="T717" s="78">
        <f t="shared" si="46"/>
        <v>2915751.56</v>
      </c>
      <c r="U717" s="78">
        <f t="shared" si="45"/>
        <v>1201.1334953656026</v>
      </c>
      <c r="V717" s="78">
        <v>2225.2009560453143</v>
      </c>
    </row>
    <row r="718" spans="1:22" s="79" customFormat="1" ht="36" customHeight="1" x14ac:dyDescent="0.25">
      <c r="A718" s="79">
        <v>1</v>
      </c>
      <c r="B718" s="80">
        <f>SUBTOTAL(103,$A$552:A718)</f>
        <v>164</v>
      </c>
      <c r="C718" s="77" t="s">
        <v>720</v>
      </c>
      <c r="D718" s="233">
        <v>1962</v>
      </c>
      <c r="E718" s="233"/>
      <c r="F718" s="233" t="s">
        <v>256</v>
      </c>
      <c r="G718" s="233">
        <v>6</v>
      </c>
      <c r="H718" s="233" t="s">
        <v>337</v>
      </c>
      <c r="I718" s="78">
        <v>5489.1</v>
      </c>
      <c r="J718" s="78">
        <v>4500.5</v>
      </c>
      <c r="K718" s="78">
        <v>4154.3</v>
      </c>
      <c r="L718" s="239">
        <v>130</v>
      </c>
      <c r="M718" s="233" t="s">
        <v>254</v>
      </c>
      <c r="N718" s="233" t="s">
        <v>258</v>
      </c>
      <c r="O718" s="236" t="s">
        <v>752</v>
      </c>
      <c r="P718" s="78">
        <v>5973712.9199999999</v>
      </c>
      <c r="Q718" s="78">
        <v>0</v>
      </c>
      <c r="R718" s="78">
        <v>0</v>
      </c>
      <c r="S718" s="78">
        <v>0</v>
      </c>
      <c r="T718" s="78">
        <f t="shared" si="46"/>
        <v>5973712.9199999999</v>
      </c>
      <c r="U718" s="78">
        <f t="shared" si="45"/>
        <v>1088.2864076078044</v>
      </c>
      <c r="V718" s="78">
        <v>2069.6123153158078</v>
      </c>
    </row>
    <row r="719" spans="1:22" s="79" customFormat="1" ht="36" customHeight="1" x14ac:dyDescent="0.25">
      <c r="A719" s="79">
        <v>1</v>
      </c>
      <c r="B719" s="80">
        <f>SUBTOTAL(103,$A$552:A719)</f>
        <v>165</v>
      </c>
      <c r="C719" s="77" t="s">
        <v>711</v>
      </c>
      <c r="D719" s="233">
        <v>1960</v>
      </c>
      <c r="E719" s="233"/>
      <c r="F719" s="233" t="s">
        <v>256</v>
      </c>
      <c r="G719" s="233">
        <v>4</v>
      </c>
      <c r="H719" s="233" t="s">
        <v>299</v>
      </c>
      <c r="I719" s="234">
        <v>2116.5</v>
      </c>
      <c r="J719" s="234">
        <v>1931.2</v>
      </c>
      <c r="K719" s="234">
        <v>1680.5</v>
      </c>
      <c r="L719" s="239">
        <v>73</v>
      </c>
      <c r="M719" s="233" t="s">
        <v>254</v>
      </c>
      <c r="N719" s="233" t="s">
        <v>258</v>
      </c>
      <c r="O719" s="236" t="s">
        <v>747</v>
      </c>
      <c r="P719" s="78">
        <v>10308962.380000001</v>
      </c>
      <c r="Q719" s="78">
        <v>0</v>
      </c>
      <c r="R719" s="78">
        <v>0</v>
      </c>
      <c r="S719" s="78">
        <v>0</v>
      </c>
      <c r="T719" s="78">
        <f>P719-R719-S719</f>
        <v>10308962.380000001</v>
      </c>
      <c r="U719" s="78">
        <f t="shared" si="45"/>
        <v>4870.7594519253489</v>
      </c>
      <c r="V719" s="78">
        <v>6784.135496243799</v>
      </c>
    </row>
    <row r="720" spans="1:22" s="79" customFormat="1" ht="36" customHeight="1" x14ac:dyDescent="0.25">
      <c r="A720" s="79">
        <v>1</v>
      </c>
      <c r="B720" s="80">
        <f>SUBTOTAL(103,$A$552:A720)</f>
        <v>166</v>
      </c>
      <c r="C720" s="77" t="s">
        <v>718</v>
      </c>
      <c r="D720" s="233">
        <v>1937</v>
      </c>
      <c r="E720" s="233"/>
      <c r="F720" s="233" t="s">
        <v>256</v>
      </c>
      <c r="G720" s="233">
        <v>3</v>
      </c>
      <c r="H720" s="233" t="s">
        <v>295</v>
      </c>
      <c r="I720" s="234">
        <v>2718</v>
      </c>
      <c r="J720" s="234">
        <v>2039</v>
      </c>
      <c r="K720" s="234">
        <v>2039</v>
      </c>
      <c r="L720" s="239">
        <v>62</v>
      </c>
      <c r="M720" s="233" t="s">
        <v>254</v>
      </c>
      <c r="N720" s="233" t="s">
        <v>258</v>
      </c>
      <c r="O720" s="236" t="s">
        <v>751</v>
      </c>
      <c r="P720" s="78">
        <v>3360171.32</v>
      </c>
      <c r="Q720" s="78">
        <v>0</v>
      </c>
      <c r="R720" s="78">
        <v>0</v>
      </c>
      <c r="S720" s="78">
        <v>0</v>
      </c>
      <c r="T720" s="78">
        <f t="shared" si="46"/>
        <v>3360171.32</v>
      </c>
      <c r="U720" s="78">
        <f t="shared" si="45"/>
        <v>1236.2661221486387</v>
      </c>
      <c r="V720" s="78">
        <v>4229.0600000000004</v>
      </c>
    </row>
    <row r="721" spans="1:22" s="79" customFormat="1" ht="36" customHeight="1" x14ac:dyDescent="0.25">
      <c r="A721" s="79">
        <v>1</v>
      </c>
      <c r="B721" s="80">
        <f>SUBTOTAL(103,$A$552:A721)</f>
        <v>167</v>
      </c>
      <c r="C721" s="77" t="s">
        <v>1098</v>
      </c>
      <c r="D721" s="233">
        <v>1965</v>
      </c>
      <c r="E721" s="233"/>
      <c r="F721" s="233" t="s">
        <v>256</v>
      </c>
      <c r="G721" s="233">
        <v>4</v>
      </c>
      <c r="H721" s="233" t="s">
        <v>290</v>
      </c>
      <c r="I721" s="234">
        <v>819</v>
      </c>
      <c r="J721" s="234">
        <v>819</v>
      </c>
      <c r="K721" s="234">
        <v>819</v>
      </c>
      <c r="L721" s="239">
        <v>55</v>
      </c>
      <c r="M721" s="233" t="s">
        <v>254</v>
      </c>
      <c r="N721" s="233" t="s">
        <v>258</v>
      </c>
      <c r="O721" s="236" t="s">
        <v>751</v>
      </c>
      <c r="P721" s="78">
        <v>438597.56</v>
      </c>
      <c r="Q721" s="78">
        <v>0</v>
      </c>
      <c r="R721" s="78">
        <v>0</v>
      </c>
      <c r="S721" s="78">
        <v>0</v>
      </c>
      <c r="T721" s="78">
        <f t="shared" si="46"/>
        <v>438597.56</v>
      </c>
      <c r="U721" s="78">
        <f t="shared" si="45"/>
        <v>535.52815628815631</v>
      </c>
      <c r="V721" s="78">
        <v>810.46</v>
      </c>
    </row>
    <row r="722" spans="1:22" s="79" customFormat="1" ht="36" customHeight="1" x14ac:dyDescent="0.25">
      <c r="A722" s="79">
        <v>1</v>
      </c>
      <c r="B722" s="80">
        <f>SUBTOTAL(103,$A$552:A722)</f>
        <v>168</v>
      </c>
      <c r="C722" s="77" t="s">
        <v>758</v>
      </c>
      <c r="D722" s="233">
        <v>1959</v>
      </c>
      <c r="E722" s="233"/>
      <c r="F722" s="233" t="s">
        <v>256</v>
      </c>
      <c r="G722" s="233">
        <v>2</v>
      </c>
      <c r="H722" s="233" t="s">
        <v>291</v>
      </c>
      <c r="I722" s="234">
        <v>309.2</v>
      </c>
      <c r="J722" s="234">
        <v>287.5</v>
      </c>
      <c r="K722" s="234">
        <v>287.5</v>
      </c>
      <c r="L722" s="239">
        <v>14</v>
      </c>
      <c r="M722" s="233" t="s">
        <v>254</v>
      </c>
      <c r="N722" s="233" t="s">
        <v>258</v>
      </c>
      <c r="O722" s="236" t="s">
        <v>931</v>
      </c>
      <c r="P722" s="78">
        <v>46416.4</v>
      </c>
      <c r="Q722" s="78">
        <v>0</v>
      </c>
      <c r="R722" s="78">
        <v>0</v>
      </c>
      <c r="S722" s="78">
        <v>0</v>
      </c>
      <c r="T722" s="78">
        <f>P722-R722-S722</f>
        <v>46416.4</v>
      </c>
      <c r="U722" s="78">
        <f t="shared" si="45"/>
        <v>150.117723156533</v>
      </c>
      <c r="V722" s="81">
        <v>150.117723156533</v>
      </c>
    </row>
    <row r="723" spans="1:22" s="79" customFormat="1" ht="36" customHeight="1" x14ac:dyDescent="0.25">
      <c r="A723" s="79">
        <v>1</v>
      </c>
      <c r="B723" s="80">
        <f>SUBTOTAL(103,$A$552:A723)</f>
        <v>169</v>
      </c>
      <c r="C723" s="77" t="s">
        <v>1801</v>
      </c>
      <c r="D723" s="233">
        <v>1989</v>
      </c>
      <c r="E723" s="233"/>
      <c r="F723" s="233" t="s">
        <v>304</v>
      </c>
      <c r="G723" s="233">
        <v>9</v>
      </c>
      <c r="H723" s="233" t="s">
        <v>290</v>
      </c>
      <c r="I723" s="234">
        <v>4406.3999999999996</v>
      </c>
      <c r="J723" s="234">
        <v>3895.4</v>
      </c>
      <c r="K723" s="234">
        <v>3895.4</v>
      </c>
      <c r="L723" s="239">
        <v>125</v>
      </c>
      <c r="M723" s="233" t="s">
        <v>254</v>
      </c>
      <c r="N723" s="233" t="s">
        <v>258</v>
      </c>
      <c r="O723" s="236" t="s">
        <v>747</v>
      </c>
      <c r="P723" s="78">
        <v>3490309.46</v>
      </c>
      <c r="Q723" s="78">
        <v>0</v>
      </c>
      <c r="R723" s="78">
        <v>2358400</v>
      </c>
      <c r="S723" s="78">
        <v>0</v>
      </c>
      <c r="T723" s="78">
        <f t="shared" si="46"/>
        <v>1131909.46</v>
      </c>
      <c r="U723" s="78">
        <f t="shared" si="45"/>
        <v>792.10000453885266</v>
      </c>
      <c r="V723" s="78">
        <v>1115.559186637618</v>
      </c>
    </row>
    <row r="724" spans="1:22" s="79" customFormat="1" ht="36" customHeight="1" x14ac:dyDescent="0.25">
      <c r="A724" s="79">
        <v>1</v>
      </c>
      <c r="B724" s="80">
        <f>SUBTOTAL(103,$A$552:A724)</f>
        <v>170</v>
      </c>
      <c r="C724" s="77" t="s">
        <v>1800</v>
      </c>
      <c r="D724" s="233">
        <v>1995</v>
      </c>
      <c r="E724" s="233"/>
      <c r="F724" s="233" t="s">
        <v>304</v>
      </c>
      <c r="G724" s="233">
        <v>9</v>
      </c>
      <c r="H724" s="233" t="s">
        <v>290</v>
      </c>
      <c r="I724" s="234">
        <v>5022.6000000000004</v>
      </c>
      <c r="J724" s="234">
        <v>3902.5</v>
      </c>
      <c r="K724" s="234">
        <v>3902.5</v>
      </c>
      <c r="L724" s="239">
        <v>111</v>
      </c>
      <c r="M724" s="233" t="s">
        <v>254</v>
      </c>
      <c r="N724" s="233" t="s">
        <v>258</v>
      </c>
      <c r="O724" s="236" t="s">
        <v>1570</v>
      </c>
      <c r="P724" s="78">
        <v>3492236.32</v>
      </c>
      <c r="Q724" s="78">
        <v>0</v>
      </c>
      <c r="R724" s="78">
        <v>2358400</v>
      </c>
      <c r="S724" s="78">
        <v>0</v>
      </c>
      <c r="T724" s="78">
        <f t="shared" si="46"/>
        <v>1133836.3199999998</v>
      </c>
      <c r="U724" s="78">
        <f t="shared" si="45"/>
        <v>695.30448771552574</v>
      </c>
      <c r="V724" s="78">
        <v>978.69629275673947</v>
      </c>
    </row>
    <row r="725" spans="1:22" s="79" customFormat="1" ht="36" customHeight="1" x14ac:dyDescent="0.25">
      <c r="A725" s="79">
        <v>1</v>
      </c>
      <c r="B725" s="80">
        <f>SUBTOTAL(103,$A$552:A725)</f>
        <v>171</v>
      </c>
      <c r="C725" s="77" t="s">
        <v>2154</v>
      </c>
      <c r="D725" s="233">
        <v>1980</v>
      </c>
      <c r="E725" s="233"/>
      <c r="F725" s="233" t="s">
        <v>304</v>
      </c>
      <c r="G725" s="233">
        <v>9</v>
      </c>
      <c r="H725" s="233">
        <v>2</v>
      </c>
      <c r="I725" s="234">
        <v>3931.7</v>
      </c>
      <c r="J725" s="234">
        <v>3931.7</v>
      </c>
      <c r="K725" s="234">
        <v>2282.6999999999998</v>
      </c>
      <c r="L725" s="239">
        <v>141</v>
      </c>
      <c r="M725" s="233" t="s">
        <v>254</v>
      </c>
      <c r="N725" s="233" t="s">
        <v>258</v>
      </c>
      <c r="O725" s="236" t="s">
        <v>2284</v>
      </c>
      <c r="P725" s="78">
        <v>4052575.69</v>
      </c>
      <c r="Q725" s="78">
        <v>0</v>
      </c>
      <c r="R725" s="78">
        <v>0</v>
      </c>
      <c r="S725" s="78">
        <v>0</v>
      </c>
      <c r="T725" s="78">
        <f t="shared" si="46"/>
        <v>4052575.69</v>
      </c>
      <c r="U725" s="78">
        <f t="shared" si="45"/>
        <v>1030.7438741511305</v>
      </c>
      <c r="V725" s="78">
        <v>1250.247984332477</v>
      </c>
    </row>
    <row r="726" spans="1:22" s="79" customFormat="1" ht="36" customHeight="1" x14ac:dyDescent="0.25">
      <c r="A726" s="79">
        <v>1</v>
      </c>
      <c r="B726" s="80">
        <f>SUBTOTAL(103,$A$552:A726)</f>
        <v>172</v>
      </c>
      <c r="C726" s="77" t="s">
        <v>2170</v>
      </c>
      <c r="D726" s="233">
        <v>1988</v>
      </c>
      <c r="E726" s="233"/>
      <c r="F726" s="233" t="s">
        <v>304</v>
      </c>
      <c r="G726" s="233">
        <v>9</v>
      </c>
      <c r="H726" s="233" t="s">
        <v>299</v>
      </c>
      <c r="I726" s="234">
        <v>6638.3</v>
      </c>
      <c r="J726" s="234">
        <v>5898.1</v>
      </c>
      <c r="K726" s="234">
        <v>5898.1</v>
      </c>
      <c r="L726" s="239">
        <v>226</v>
      </c>
      <c r="M726" s="233" t="s">
        <v>254</v>
      </c>
      <c r="N726" s="233" t="s">
        <v>258</v>
      </c>
      <c r="O726" s="236" t="s">
        <v>2285</v>
      </c>
      <c r="P726" s="78">
        <v>5773219.4600000009</v>
      </c>
      <c r="Q726" s="78">
        <v>0</v>
      </c>
      <c r="R726" s="78">
        <v>0</v>
      </c>
      <c r="S726" s="78">
        <v>0</v>
      </c>
      <c r="T726" s="78">
        <f t="shared" si="46"/>
        <v>5773219.4600000009</v>
      </c>
      <c r="U726" s="78">
        <f t="shared" si="45"/>
        <v>869.68342196044182</v>
      </c>
      <c r="V726" s="78">
        <v>1110.7361824563518</v>
      </c>
    </row>
    <row r="727" spans="1:22" s="79" customFormat="1" ht="36" customHeight="1" x14ac:dyDescent="0.25">
      <c r="A727" s="79">
        <v>1</v>
      </c>
      <c r="B727" s="80">
        <f>SUBTOTAL(103,$A$552:A727)</f>
        <v>173</v>
      </c>
      <c r="C727" s="77" t="s">
        <v>1953</v>
      </c>
      <c r="D727" s="233">
        <v>1990</v>
      </c>
      <c r="E727" s="233"/>
      <c r="F727" s="233" t="s">
        <v>304</v>
      </c>
      <c r="G727" s="233">
        <v>9</v>
      </c>
      <c r="H727" s="233" t="s">
        <v>2286</v>
      </c>
      <c r="I727" s="234">
        <v>28464.2</v>
      </c>
      <c r="J727" s="234">
        <v>22228.1</v>
      </c>
      <c r="K727" s="234">
        <v>22102.2</v>
      </c>
      <c r="L727" s="239">
        <v>895</v>
      </c>
      <c r="M727" s="233" t="s">
        <v>254</v>
      </c>
      <c r="N727" s="233" t="s">
        <v>258</v>
      </c>
      <c r="O727" s="236" t="s">
        <v>1570</v>
      </c>
      <c r="P727" s="78">
        <v>19066680.210000001</v>
      </c>
      <c r="Q727" s="78">
        <v>0</v>
      </c>
      <c r="R727" s="78">
        <v>0</v>
      </c>
      <c r="S727" s="78">
        <v>0</v>
      </c>
      <c r="T727" s="78">
        <f t="shared" si="46"/>
        <v>19066680.210000001</v>
      </c>
      <c r="U727" s="78">
        <f t="shared" si="45"/>
        <v>669.84774594051476</v>
      </c>
      <c r="V727" s="78">
        <v>863.47060518124522</v>
      </c>
    </row>
    <row r="728" spans="1:22" s="79" customFormat="1" ht="36" customHeight="1" x14ac:dyDescent="0.25">
      <c r="A728" s="79">
        <v>1</v>
      </c>
      <c r="B728" s="80">
        <f>SUBTOTAL(103,$A$552:A728)</f>
        <v>174</v>
      </c>
      <c r="C728" s="77" t="s">
        <v>2171</v>
      </c>
      <c r="D728" s="233">
        <v>1990</v>
      </c>
      <c r="E728" s="233"/>
      <c r="F728" s="233" t="s">
        <v>304</v>
      </c>
      <c r="G728" s="233">
        <v>9</v>
      </c>
      <c r="H728" s="233" t="s">
        <v>290</v>
      </c>
      <c r="I728" s="234">
        <v>4344</v>
      </c>
      <c r="J728" s="234">
        <v>3864.2</v>
      </c>
      <c r="K728" s="234">
        <v>3864.2</v>
      </c>
      <c r="L728" s="239">
        <v>169</v>
      </c>
      <c r="M728" s="233" t="s">
        <v>254</v>
      </c>
      <c r="N728" s="233" t="s">
        <v>258</v>
      </c>
      <c r="O728" s="236" t="s">
        <v>2285</v>
      </c>
      <c r="P728" s="78">
        <v>3958924.54</v>
      </c>
      <c r="Q728" s="78">
        <v>0</v>
      </c>
      <c r="R728" s="78">
        <v>0</v>
      </c>
      <c r="S728" s="78">
        <v>0</v>
      </c>
      <c r="T728" s="78">
        <f t="shared" si="46"/>
        <v>3958924.54</v>
      </c>
      <c r="U728" s="78">
        <f t="shared" si="45"/>
        <v>911.35463627992635</v>
      </c>
      <c r="V728" s="78">
        <v>1131.5837937384899</v>
      </c>
    </row>
    <row r="729" spans="1:22" s="79" customFormat="1" ht="36" customHeight="1" x14ac:dyDescent="0.25">
      <c r="A729" s="79">
        <v>1</v>
      </c>
      <c r="B729" s="80">
        <f>SUBTOTAL(103,$A$552:A729)</f>
        <v>175</v>
      </c>
      <c r="C729" s="77" t="s">
        <v>2172</v>
      </c>
      <c r="D729" s="233">
        <v>1989</v>
      </c>
      <c r="E729" s="233"/>
      <c r="F729" s="233" t="s">
        <v>304</v>
      </c>
      <c r="G729" s="233">
        <v>9</v>
      </c>
      <c r="H729" s="233" t="s">
        <v>290</v>
      </c>
      <c r="I729" s="234">
        <v>4374.3</v>
      </c>
      <c r="J729" s="234">
        <v>3893.6</v>
      </c>
      <c r="K729" s="234">
        <v>3893.6</v>
      </c>
      <c r="L729" s="239">
        <v>153</v>
      </c>
      <c r="M729" s="233" t="s">
        <v>254</v>
      </c>
      <c r="N729" s="233" t="s">
        <v>258</v>
      </c>
      <c r="O729" s="236" t="s">
        <v>2285</v>
      </c>
      <c r="P729" s="78">
        <v>3946831.02</v>
      </c>
      <c r="Q729" s="78">
        <v>0</v>
      </c>
      <c r="R729" s="78">
        <v>0</v>
      </c>
      <c r="S729" s="78">
        <v>0</v>
      </c>
      <c r="T729" s="78">
        <f t="shared" si="46"/>
        <v>3946831.02</v>
      </c>
      <c r="U729" s="78">
        <f t="shared" si="45"/>
        <v>902.27716891845546</v>
      </c>
      <c r="V729" s="78">
        <v>1123.7455135678852</v>
      </c>
    </row>
    <row r="730" spans="1:22" s="79" customFormat="1" ht="36" customHeight="1" x14ac:dyDescent="0.25">
      <c r="A730" s="79">
        <v>1</v>
      </c>
      <c r="B730" s="80">
        <f>SUBTOTAL(103,$A$552:A730)</f>
        <v>176</v>
      </c>
      <c r="C730" s="77" t="s">
        <v>2173</v>
      </c>
      <c r="D730" s="233">
        <v>1988</v>
      </c>
      <c r="E730" s="233"/>
      <c r="F730" s="233" t="s">
        <v>304</v>
      </c>
      <c r="G730" s="233">
        <v>9</v>
      </c>
      <c r="H730" s="233" t="s">
        <v>290</v>
      </c>
      <c r="I730" s="234">
        <v>4376.2</v>
      </c>
      <c r="J730" s="234">
        <v>4376.2</v>
      </c>
      <c r="K730" s="234">
        <v>2308.1999999999998</v>
      </c>
      <c r="L730" s="239">
        <v>146</v>
      </c>
      <c r="M730" s="233" t="s">
        <v>254</v>
      </c>
      <c r="N730" s="233" t="s">
        <v>258</v>
      </c>
      <c r="O730" s="236" t="s">
        <v>2284</v>
      </c>
      <c r="P730" s="78">
        <v>3947012.05</v>
      </c>
      <c r="Q730" s="78">
        <v>0</v>
      </c>
      <c r="R730" s="78">
        <v>0</v>
      </c>
      <c r="S730" s="78">
        <v>0</v>
      </c>
      <c r="T730" s="78">
        <f t="shared" si="46"/>
        <v>3947012.05</v>
      </c>
      <c r="U730" s="78">
        <f t="shared" si="45"/>
        <v>901.92679722133357</v>
      </c>
      <c r="V730" s="78">
        <v>1123.2576207668753</v>
      </c>
    </row>
    <row r="731" spans="1:22" s="79" customFormat="1" ht="36" customHeight="1" x14ac:dyDescent="0.25">
      <c r="A731" s="79">
        <v>1</v>
      </c>
      <c r="B731" s="80">
        <f>SUBTOTAL(103,$A$552:A731)</f>
        <v>177</v>
      </c>
      <c r="C731" s="77" t="s">
        <v>2174</v>
      </c>
      <c r="D731" s="233">
        <v>1987</v>
      </c>
      <c r="E731" s="233"/>
      <c r="F731" s="233" t="s">
        <v>304</v>
      </c>
      <c r="G731" s="233">
        <v>9</v>
      </c>
      <c r="H731" s="233" t="s">
        <v>295</v>
      </c>
      <c r="I731" s="234">
        <v>7835.6</v>
      </c>
      <c r="J731" s="234">
        <v>7835.6</v>
      </c>
      <c r="K731" s="234">
        <v>4668.3</v>
      </c>
      <c r="L731" s="239">
        <v>336</v>
      </c>
      <c r="M731" s="233" t="s">
        <v>254</v>
      </c>
      <c r="N731" s="233" t="s">
        <v>258</v>
      </c>
      <c r="O731" s="236" t="s">
        <v>2284</v>
      </c>
      <c r="P731" s="78">
        <v>7802836.8099999996</v>
      </c>
      <c r="Q731" s="78">
        <v>0</v>
      </c>
      <c r="R731" s="78">
        <v>0</v>
      </c>
      <c r="S731" s="78">
        <v>0</v>
      </c>
      <c r="T731" s="78">
        <f t="shared" si="46"/>
        <v>7802836.8099999996</v>
      </c>
      <c r="U731" s="78">
        <f t="shared" si="45"/>
        <v>995.81867502169575</v>
      </c>
      <c r="V731" s="78">
        <v>1254.6837510847924</v>
      </c>
    </row>
    <row r="732" spans="1:22" s="79" customFormat="1" ht="36" customHeight="1" x14ac:dyDescent="0.25">
      <c r="A732" s="79">
        <v>1</v>
      </c>
      <c r="B732" s="80">
        <f>SUBTOTAL(103,$A$552:A732)</f>
        <v>178</v>
      </c>
      <c r="C732" s="77" t="s">
        <v>2175</v>
      </c>
      <c r="D732" s="233">
        <v>1988</v>
      </c>
      <c r="E732" s="233"/>
      <c r="F732" s="233" t="s">
        <v>304</v>
      </c>
      <c r="G732" s="233">
        <v>9</v>
      </c>
      <c r="H732" s="233" t="s">
        <v>290</v>
      </c>
      <c r="I732" s="234">
        <v>3934.5</v>
      </c>
      <c r="J732" s="234">
        <v>3934.5</v>
      </c>
      <c r="K732" s="234">
        <v>2323.1</v>
      </c>
      <c r="L732" s="239">
        <v>164</v>
      </c>
      <c r="M732" s="233" t="s">
        <v>254</v>
      </c>
      <c r="N732" s="233" t="s">
        <v>258</v>
      </c>
      <c r="O732" s="236" t="s">
        <v>2284</v>
      </c>
      <c r="P732" s="78">
        <v>3947951.9499999997</v>
      </c>
      <c r="Q732" s="78">
        <v>0</v>
      </c>
      <c r="R732" s="78">
        <v>0</v>
      </c>
      <c r="S732" s="78">
        <v>0</v>
      </c>
      <c r="T732" s="78">
        <f t="shared" si="46"/>
        <v>3947951.9499999997</v>
      </c>
      <c r="U732" s="78">
        <f t="shared" si="45"/>
        <v>1003.4189731859194</v>
      </c>
      <c r="V732" s="78">
        <v>1249.3582411996442</v>
      </c>
    </row>
    <row r="733" spans="1:22" s="79" customFormat="1" ht="36" customHeight="1" x14ac:dyDescent="0.25">
      <c r="A733" s="79">
        <v>1</v>
      </c>
      <c r="B733" s="80">
        <f>SUBTOTAL(103,$A$552:A733)</f>
        <v>179</v>
      </c>
      <c r="C733" s="77" t="s">
        <v>2478</v>
      </c>
      <c r="D733" s="233">
        <v>1994</v>
      </c>
      <c r="E733" s="233"/>
      <c r="F733" s="233" t="s">
        <v>304</v>
      </c>
      <c r="G733" s="233" t="s">
        <v>343</v>
      </c>
      <c r="H733" s="233" t="s">
        <v>299</v>
      </c>
      <c r="I733" s="234">
        <v>7509.8</v>
      </c>
      <c r="J733" s="234">
        <v>7509.8</v>
      </c>
      <c r="K733" s="234">
        <v>5873.7</v>
      </c>
      <c r="L733" s="239" t="s">
        <v>2520</v>
      </c>
      <c r="M733" s="233" t="s">
        <v>254</v>
      </c>
      <c r="N733" s="233" t="s">
        <v>258</v>
      </c>
      <c r="O733" s="236" t="s">
        <v>2291</v>
      </c>
      <c r="P733" s="78">
        <v>5373483.8699999992</v>
      </c>
      <c r="Q733" s="78">
        <v>0</v>
      </c>
      <c r="R733" s="78">
        <v>3159120</v>
      </c>
      <c r="S733" s="78">
        <v>0</v>
      </c>
      <c r="T733" s="78">
        <f t="shared" si="46"/>
        <v>2214363.8699999992</v>
      </c>
      <c r="U733" s="78">
        <f t="shared" si="45"/>
        <v>715.52955737835885</v>
      </c>
      <c r="V733" s="78">
        <v>981.83706623345495</v>
      </c>
    </row>
    <row r="734" spans="1:22" s="79" customFormat="1" ht="36" customHeight="1" x14ac:dyDescent="0.25">
      <c r="A734" s="79">
        <v>1</v>
      </c>
      <c r="B734" s="80">
        <f>SUBTOTAL(103,$A$552:A734)</f>
        <v>180</v>
      </c>
      <c r="C734" s="77" t="s">
        <v>2479</v>
      </c>
      <c r="D734" s="233">
        <v>1995</v>
      </c>
      <c r="E734" s="233"/>
      <c r="F734" s="233" t="s">
        <v>304</v>
      </c>
      <c r="G734" s="233" t="s">
        <v>343</v>
      </c>
      <c r="H734" s="233" t="s">
        <v>290</v>
      </c>
      <c r="I734" s="234">
        <v>4981.6000000000004</v>
      </c>
      <c r="J734" s="234">
        <v>4981.6000000000004</v>
      </c>
      <c r="K734" s="234">
        <v>3855.3</v>
      </c>
      <c r="L734" s="239" t="s">
        <v>2521</v>
      </c>
      <c r="M734" s="233" t="s">
        <v>254</v>
      </c>
      <c r="N734" s="233" t="s">
        <v>258</v>
      </c>
      <c r="O734" s="236" t="s">
        <v>2291</v>
      </c>
      <c r="P734" s="78">
        <v>3599122.37</v>
      </c>
      <c r="Q734" s="78">
        <v>0</v>
      </c>
      <c r="R734" s="78">
        <v>2106080</v>
      </c>
      <c r="S734" s="78">
        <v>0</v>
      </c>
      <c r="T734" s="78">
        <f t="shared" si="46"/>
        <v>1493042.37</v>
      </c>
      <c r="U734" s="78">
        <f t="shared" si="45"/>
        <v>722.4832122209732</v>
      </c>
      <c r="V734" s="78">
        <v>986.7512445800545</v>
      </c>
    </row>
    <row r="735" spans="1:22" s="79" customFormat="1" ht="36" customHeight="1" x14ac:dyDescent="0.25">
      <c r="A735" s="79">
        <v>1</v>
      </c>
      <c r="B735" s="80">
        <f>SUBTOTAL(103,$A$552:A735)</f>
        <v>181</v>
      </c>
      <c r="C735" s="77" t="s">
        <v>2480</v>
      </c>
      <c r="D735" s="233">
        <v>1994</v>
      </c>
      <c r="E735" s="233"/>
      <c r="F735" s="233" t="s">
        <v>304</v>
      </c>
      <c r="G735" s="233" t="s">
        <v>343</v>
      </c>
      <c r="H735" s="233" t="s">
        <v>290</v>
      </c>
      <c r="I735" s="234">
        <v>4945.1000000000004</v>
      </c>
      <c r="J735" s="234">
        <v>4945.1000000000004</v>
      </c>
      <c r="K735" s="234">
        <v>3847</v>
      </c>
      <c r="L735" s="239" t="s">
        <v>2522</v>
      </c>
      <c r="M735" s="233" t="s">
        <v>254</v>
      </c>
      <c r="N735" s="233" t="s">
        <v>258</v>
      </c>
      <c r="O735" s="236" t="s">
        <v>2291</v>
      </c>
      <c r="P735" s="78">
        <v>3598898.38</v>
      </c>
      <c r="Q735" s="78">
        <v>0</v>
      </c>
      <c r="R735" s="78">
        <v>2106080</v>
      </c>
      <c r="S735" s="78">
        <v>0</v>
      </c>
      <c r="T735" s="78">
        <f t="shared" si="46"/>
        <v>1492818.38</v>
      </c>
      <c r="U735" s="78">
        <f t="shared" si="45"/>
        <v>727.77059715678138</v>
      </c>
      <c r="V735" s="78">
        <v>994.03449879678863</v>
      </c>
    </row>
    <row r="736" spans="1:22" s="79" customFormat="1" ht="36" customHeight="1" x14ac:dyDescent="0.25">
      <c r="A736" s="79">
        <v>1</v>
      </c>
      <c r="B736" s="80">
        <f>SUBTOTAL(103,$A$552:A736)</f>
        <v>182</v>
      </c>
      <c r="C736" s="77" t="s">
        <v>2481</v>
      </c>
      <c r="D736" s="233">
        <v>1989</v>
      </c>
      <c r="E736" s="233"/>
      <c r="F736" s="233" t="s">
        <v>304</v>
      </c>
      <c r="G736" s="233" t="s">
        <v>343</v>
      </c>
      <c r="H736" s="233">
        <v>12</v>
      </c>
      <c r="I736" s="234">
        <v>33058.300000000003</v>
      </c>
      <c r="J736" s="234">
        <v>32003.25</v>
      </c>
      <c r="K736" s="234">
        <v>22816.2</v>
      </c>
      <c r="L736" s="239" t="s">
        <v>2523</v>
      </c>
      <c r="M736" s="233" t="s">
        <v>254</v>
      </c>
      <c r="N736" s="233" t="s">
        <v>258</v>
      </c>
      <c r="O736" s="236" t="s">
        <v>2524</v>
      </c>
      <c r="P736" s="78">
        <v>16060948.73</v>
      </c>
      <c r="Q736" s="78">
        <v>0</v>
      </c>
      <c r="R736" s="78">
        <v>9509680</v>
      </c>
      <c r="S736" s="78">
        <v>0</v>
      </c>
      <c r="T736" s="78">
        <f t="shared" si="46"/>
        <v>6551268.7300000004</v>
      </c>
      <c r="U736" s="78">
        <f t="shared" si="45"/>
        <v>485.83710384381527</v>
      </c>
      <c r="V736" s="78">
        <v>669.12696660142831</v>
      </c>
    </row>
    <row r="737" spans="1:22" s="79" customFormat="1" ht="36" customHeight="1" x14ac:dyDescent="0.25">
      <c r="A737" s="79">
        <v>1</v>
      </c>
      <c r="B737" s="80">
        <f>SUBTOTAL(103,$A$552:A737)</f>
        <v>183</v>
      </c>
      <c r="C737" s="77" t="s">
        <v>2482</v>
      </c>
      <c r="D737" s="233">
        <v>1991</v>
      </c>
      <c r="E737" s="233"/>
      <c r="F737" s="233" t="s">
        <v>304</v>
      </c>
      <c r="G737" s="233" t="s">
        <v>343</v>
      </c>
      <c r="H737" s="233" t="s">
        <v>299</v>
      </c>
      <c r="I737" s="234">
        <v>7550.6</v>
      </c>
      <c r="J737" s="234">
        <v>7550.6</v>
      </c>
      <c r="K737" s="234">
        <v>5871.8</v>
      </c>
      <c r="L737" s="239" t="s">
        <v>2525</v>
      </c>
      <c r="M737" s="233" t="s">
        <v>254</v>
      </c>
      <c r="N737" s="233" t="s">
        <v>258</v>
      </c>
      <c r="O737" s="236" t="s">
        <v>2291</v>
      </c>
      <c r="P737" s="78">
        <v>5376050.21</v>
      </c>
      <c r="Q737" s="78">
        <v>0</v>
      </c>
      <c r="R737" s="78">
        <v>3159120</v>
      </c>
      <c r="S737" s="78">
        <v>0</v>
      </c>
      <c r="T737" s="78">
        <f t="shared" si="46"/>
        <v>2216930.21</v>
      </c>
      <c r="U737" s="78">
        <f t="shared" si="45"/>
        <v>712.00304743993854</v>
      </c>
      <c r="V737" s="78">
        <v>976.53166635764046</v>
      </c>
    </row>
    <row r="738" spans="1:22" s="79" customFormat="1" ht="36" customHeight="1" x14ac:dyDescent="0.25">
      <c r="A738" s="79">
        <v>1</v>
      </c>
      <c r="B738" s="80">
        <f>SUBTOTAL(103,$A$552:A738)</f>
        <v>184</v>
      </c>
      <c r="C738" s="77" t="s">
        <v>2483</v>
      </c>
      <c r="D738" s="233">
        <v>1984</v>
      </c>
      <c r="E738" s="233"/>
      <c r="F738" s="233" t="s">
        <v>304</v>
      </c>
      <c r="G738" s="233" t="s">
        <v>343</v>
      </c>
      <c r="H738" s="233" t="s">
        <v>299</v>
      </c>
      <c r="I738" s="234">
        <v>8008.7</v>
      </c>
      <c r="J738" s="234">
        <v>8008.3</v>
      </c>
      <c r="K738" s="234">
        <v>6267.8</v>
      </c>
      <c r="L738" s="239" t="s">
        <v>2526</v>
      </c>
      <c r="M738" s="233" t="s">
        <v>254</v>
      </c>
      <c r="N738" s="233" t="s">
        <v>258</v>
      </c>
      <c r="O738" s="236" t="s">
        <v>2291</v>
      </c>
      <c r="P738" s="78">
        <v>5513113.2000000002</v>
      </c>
      <c r="Q738" s="78">
        <v>0</v>
      </c>
      <c r="R738" s="78">
        <v>3207600</v>
      </c>
      <c r="S738" s="78">
        <v>0</v>
      </c>
      <c r="T738" s="78">
        <f t="shared" si="46"/>
        <v>2305513.2000000002</v>
      </c>
      <c r="U738" s="78">
        <f t="shared" si="45"/>
        <v>688.39052530373226</v>
      </c>
      <c r="V738" s="78">
        <v>920.67376727808505</v>
      </c>
    </row>
    <row r="739" spans="1:22" s="79" customFormat="1" ht="36" customHeight="1" x14ac:dyDescent="0.25">
      <c r="A739" s="79">
        <v>1</v>
      </c>
      <c r="B739" s="80">
        <f>SUBTOTAL(103,$A$552:A739)</f>
        <v>185</v>
      </c>
      <c r="C739" s="77" t="s">
        <v>2484</v>
      </c>
      <c r="D739" s="233">
        <v>1983</v>
      </c>
      <c r="E739" s="233"/>
      <c r="F739" s="233" t="s">
        <v>304</v>
      </c>
      <c r="G739" s="233" t="s">
        <v>343</v>
      </c>
      <c r="H739" s="233" t="s">
        <v>295</v>
      </c>
      <c r="I739" s="234">
        <v>9628.9</v>
      </c>
      <c r="J739" s="234">
        <v>9628.9</v>
      </c>
      <c r="K739" s="234">
        <v>7113.7</v>
      </c>
      <c r="L739" s="239" t="s">
        <v>2527</v>
      </c>
      <c r="M739" s="233" t="s">
        <v>254</v>
      </c>
      <c r="N739" s="233" t="s">
        <v>258</v>
      </c>
      <c r="O739" s="236" t="s">
        <v>2528</v>
      </c>
      <c r="P739" s="78">
        <v>5558725.9300000006</v>
      </c>
      <c r="Q739" s="78">
        <v>0</v>
      </c>
      <c r="R739" s="78">
        <v>3207600</v>
      </c>
      <c r="S739" s="78">
        <v>0</v>
      </c>
      <c r="T739" s="78">
        <f t="shared" si="46"/>
        <v>2351125.9300000006</v>
      </c>
      <c r="U739" s="78">
        <f t="shared" si="45"/>
        <v>577.29604939297337</v>
      </c>
      <c r="V739" s="78">
        <v>765.75725160714103</v>
      </c>
    </row>
    <row r="740" spans="1:22" s="79" customFormat="1" ht="36" customHeight="1" x14ac:dyDescent="0.25">
      <c r="A740" s="79">
        <v>1</v>
      </c>
      <c r="B740" s="80">
        <f>SUBTOTAL(103,$A$552:A740)</f>
        <v>186</v>
      </c>
      <c r="C740" s="77" t="s">
        <v>2485</v>
      </c>
      <c r="D740" s="233">
        <v>1982</v>
      </c>
      <c r="E740" s="233"/>
      <c r="F740" s="233" t="s">
        <v>304</v>
      </c>
      <c r="G740" s="233" t="s">
        <v>343</v>
      </c>
      <c r="H740" s="233" t="s">
        <v>295</v>
      </c>
      <c r="I740" s="234">
        <v>9581.2999999999993</v>
      </c>
      <c r="J740" s="234">
        <v>9581.2999999999993</v>
      </c>
      <c r="K740" s="234">
        <v>7107.6</v>
      </c>
      <c r="L740" s="239" t="s">
        <v>2529</v>
      </c>
      <c r="M740" s="233" t="s">
        <v>254</v>
      </c>
      <c r="N740" s="233" t="s">
        <v>258</v>
      </c>
      <c r="O740" s="236" t="s">
        <v>2530</v>
      </c>
      <c r="P740" s="78">
        <v>7380419.5899999999</v>
      </c>
      <c r="Q740" s="78">
        <v>0</v>
      </c>
      <c r="R740" s="78">
        <v>4276800</v>
      </c>
      <c r="S740" s="78">
        <v>0</v>
      </c>
      <c r="T740" s="78">
        <f t="shared" si="46"/>
        <v>3103619.59</v>
      </c>
      <c r="U740" s="78">
        <f t="shared" si="45"/>
        <v>770.29417615563659</v>
      </c>
      <c r="V740" s="78">
        <v>1026.0820556709425</v>
      </c>
    </row>
    <row r="741" spans="1:22" s="79" customFormat="1" ht="36" customHeight="1" x14ac:dyDescent="0.25">
      <c r="A741" s="79">
        <v>1</v>
      </c>
      <c r="B741" s="80">
        <f>SUBTOTAL(103,$A$552:A741)</f>
        <v>187</v>
      </c>
      <c r="C741" s="77" t="s">
        <v>2486</v>
      </c>
      <c r="D741" s="233">
        <v>1983</v>
      </c>
      <c r="E741" s="233"/>
      <c r="F741" s="233" t="s">
        <v>304</v>
      </c>
      <c r="G741" s="233" t="s">
        <v>343</v>
      </c>
      <c r="H741" s="233" t="s">
        <v>290</v>
      </c>
      <c r="I741" s="234">
        <v>4949.49</v>
      </c>
      <c r="J741" s="234">
        <v>4949.49</v>
      </c>
      <c r="K741" s="234">
        <v>3860.1</v>
      </c>
      <c r="L741" s="239" t="s">
        <v>2531</v>
      </c>
      <c r="M741" s="233" t="s">
        <v>254</v>
      </c>
      <c r="N741" s="233" t="s">
        <v>258</v>
      </c>
      <c r="O741" s="236" t="s">
        <v>2528</v>
      </c>
      <c r="P741" s="78">
        <v>3692617.6899999995</v>
      </c>
      <c r="Q741" s="78">
        <v>0</v>
      </c>
      <c r="R741" s="78">
        <v>2138400</v>
      </c>
      <c r="S741" s="78">
        <v>0</v>
      </c>
      <c r="T741" s="78">
        <f t="shared" si="46"/>
        <v>1554217.6899999995</v>
      </c>
      <c r="U741" s="78">
        <f t="shared" si="45"/>
        <v>746.06023852962619</v>
      </c>
      <c r="V741" s="78">
        <v>993.15282988752381</v>
      </c>
    </row>
    <row r="742" spans="1:22" s="79" customFormat="1" ht="36" customHeight="1" x14ac:dyDescent="0.25">
      <c r="A742" s="79">
        <v>1</v>
      </c>
      <c r="B742" s="80">
        <f>SUBTOTAL(103,$A$552:A742)</f>
        <v>188</v>
      </c>
      <c r="C742" s="77" t="s">
        <v>2487</v>
      </c>
      <c r="D742" s="233">
        <v>1982</v>
      </c>
      <c r="E742" s="233"/>
      <c r="F742" s="233" t="s">
        <v>304</v>
      </c>
      <c r="G742" s="233" t="s">
        <v>343</v>
      </c>
      <c r="H742" s="233" t="s">
        <v>290</v>
      </c>
      <c r="I742" s="234">
        <v>4951.76</v>
      </c>
      <c r="J742" s="234">
        <v>4951.76</v>
      </c>
      <c r="K742" s="234">
        <v>3868.4</v>
      </c>
      <c r="L742" s="239" t="s">
        <v>2532</v>
      </c>
      <c r="M742" s="233" t="s">
        <v>254</v>
      </c>
      <c r="N742" s="233" t="s">
        <v>258</v>
      </c>
      <c r="O742" s="236" t="s">
        <v>2528</v>
      </c>
      <c r="P742" s="78">
        <v>3742125.6799999997</v>
      </c>
      <c r="Q742" s="78">
        <v>0</v>
      </c>
      <c r="R742" s="78">
        <v>2138400</v>
      </c>
      <c r="S742" s="78">
        <v>0</v>
      </c>
      <c r="T742" s="78">
        <f t="shared" si="46"/>
        <v>1603725.6799999997</v>
      </c>
      <c r="U742" s="78">
        <f t="shared" si="45"/>
        <v>755.71628673441353</v>
      </c>
      <c r="V742" s="78">
        <v>992.69754592306572</v>
      </c>
    </row>
    <row r="743" spans="1:22" s="79" customFormat="1" ht="36" customHeight="1" x14ac:dyDescent="0.25">
      <c r="A743" s="79">
        <v>1</v>
      </c>
      <c r="B743" s="80">
        <f>SUBTOTAL(103,$A$552:A743)</f>
        <v>189</v>
      </c>
      <c r="C743" s="77" t="s">
        <v>1695</v>
      </c>
      <c r="D743" s="233">
        <v>1984</v>
      </c>
      <c r="E743" s="233"/>
      <c r="F743" s="233" t="s">
        <v>304</v>
      </c>
      <c r="G743" s="233" t="s">
        <v>343</v>
      </c>
      <c r="H743" s="233" t="s">
        <v>295</v>
      </c>
      <c r="I743" s="234">
        <v>9011.44</v>
      </c>
      <c r="J743" s="234">
        <v>9011.44</v>
      </c>
      <c r="K743" s="234">
        <v>6852.4</v>
      </c>
      <c r="L743" s="239" t="s">
        <v>2533</v>
      </c>
      <c r="M743" s="233" t="s">
        <v>254</v>
      </c>
      <c r="N743" s="233" t="s">
        <v>258</v>
      </c>
      <c r="O743" s="236" t="s">
        <v>2528</v>
      </c>
      <c r="P743" s="78">
        <v>5572583.540000001</v>
      </c>
      <c r="Q743" s="78">
        <v>0</v>
      </c>
      <c r="R743" s="78">
        <v>3207600</v>
      </c>
      <c r="S743" s="78">
        <v>0</v>
      </c>
      <c r="T743" s="78">
        <f t="shared" si="46"/>
        <v>2364983.540000001</v>
      </c>
      <c r="U743" s="78">
        <f t="shared" si="45"/>
        <v>618.38990660760112</v>
      </c>
      <c r="V743" s="78">
        <v>818.22660973162999</v>
      </c>
    </row>
    <row r="744" spans="1:22" s="79" customFormat="1" ht="36" customHeight="1" x14ac:dyDescent="0.25">
      <c r="A744" s="79">
        <v>1</v>
      </c>
      <c r="B744" s="80">
        <f>SUBTOTAL(103,$A$552:A744)</f>
        <v>190</v>
      </c>
      <c r="C744" s="77" t="s">
        <v>2488</v>
      </c>
      <c r="D744" s="233">
        <v>1986</v>
      </c>
      <c r="E744" s="233"/>
      <c r="F744" s="233" t="s">
        <v>304</v>
      </c>
      <c r="G744" s="233" t="s">
        <v>343</v>
      </c>
      <c r="H744" s="233" t="s">
        <v>295</v>
      </c>
      <c r="I744" s="234">
        <v>8922.0400000000009</v>
      </c>
      <c r="J744" s="234">
        <v>8922.0400000000009</v>
      </c>
      <c r="K744" s="234">
        <v>6888</v>
      </c>
      <c r="L744" s="239" t="s">
        <v>2534</v>
      </c>
      <c r="M744" s="233" t="s">
        <v>254</v>
      </c>
      <c r="N744" s="233" t="s">
        <v>258</v>
      </c>
      <c r="O744" s="236" t="s">
        <v>2528</v>
      </c>
      <c r="P744" s="78">
        <v>7416270.46</v>
      </c>
      <c r="Q744" s="78">
        <v>0</v>
      </c>
      <c r="R744" s="78">
        <v>4276800</v>
      </c>
      <c r="S744" s="78">
        <v>0</v>
      </c>
      <c r="T744" s="78">
        <f t="shared" si="46"/>
        <v>3139470.46</v>
      </c>
      <c r="U744" s="78">
        <f t="shared" si="45"/>
        <v>831.23035314793469</v>
      </c>
      <c r="V744" s="78">
        <v>1101.9004622261275</v>
      </c>
    </row>
    <row r="745" spans="1:22" s="79" customFormat="1" ht="36" customHeight="1" x14ac:dyDescent="0.25">
      <c r="A745" s="79">
        <v>1</v>
      </c>
      <c r="B745" s="80">
        <f>SUBTOTAL(103,$A$552:A745)</f>
        <v>191</v>
      </c>
      <c r="C745" s="77" t="s">
        <v>2388</v>
      </c>
      <c r="D745" s="233">
        <v>1983</v>
      </c>
      <c r="E745" s="233"/>
      <c r="F745" s="233" t="s">
        <v>304</v>
      </c>
      <c r="G745" s="233" t="s">
        <v>343</v>
      </c>
      <c r="H745" s="233" t="s">
        <v>295</v>
      </c>
      <c r="I745" s="234">
        <v>8995.5400000000009</v>
      </c>
      <c r="J745" s="234">
        <v>8995.5400000000009</v>
      </c>
      <c r="K745" s="234">
        <v>6957.5</v>
      </c>
      <c r="L745" s="239" t="s">
        <v>2535</v>
      </c>
      <c r="M745" s="233" t="s">
        <v>254</v>
      </c>
      <c r="N745" s="233" t="s">
        <v>258</v>
      </c>
      <c r="O745" s="236" t="s">
        <v>2528</v>
      </c>
      <c r="P745" s="78">
        <v>5572860.3200000003</v>
      </c>
      <c r="Q745" s="78">
        <v>0</v>
      </c>
      <c r="R745" s="78">
        <v>3207600</v>
      </c>
      <c r="S745" s="78">
        <v>0</v>
      </c>
      <c r="T745" s="78">
        <f t="shared" si="46"/>
        <v>2365260.3200000003</v>
      </c>
      <c r="U745" s="78">
        <f t="shared" si="45"/>
        <v>619.51370568081518</v>
      </c>
      <c r="V745" s="78">
        <v>819.67286010623036</v>
      </c>
    </row>
    <row r="746" spans="1:22" s="79" customFormat="1" ht="36" customHeight="1" x14ac:dyDescent="0.25">
      <c r="A746" s="79">
        <v>1</v>
      </c>
      <c r="B746" s="80">
        <f>SUBTOTAL(103,$A$552:A746)</f>
        <v>192</v>
      </c>
      <c r="C746" s="77" t="s">
        <v>2489</v>
      </c>
      <c r="D746" s="233">
        <v>1990</v>
      </c>
      <c r="E746" s="233"/>
      <c r="F746" s="233" t="s">
        <v>304</v>
      </c>
      <c r="G746" s="233" t="s">
        <v>343</v>
      </c>
      <c r="H746" s="233" t="s">
        <v>337</v>
      </c>
      <c r="I746" s="234">
        <v>12418.1</v>
      </c>
      <c r="J746" s="234">
        <v>12414.2</v>
      </c>
      <c r="K746" s="234">
        <v>9746.7999999999993</v>
      </c>
      <c r="L746" s="239" t="s">
        <v>2536</v>
      </c>
      <c r="M746" s="233" t="s">
        <v>254</v>
      </c>
      <c r="N746" s="233" t="s">
        <v>258</v>
      </c>
      <c r="O746" s="236" t="s">
        <v>2291</v>
      </c>
      <c r="P746" s="78">
        <v>8909170.0899999999</v>
      </c>
      <c r="Q746" s="78">
        <v>0</v>
      </c>
      <c r="R746" s="78">
        <v>5265200</v>
      </c>
      <c r="S746" s="78">
        <v>0</v>
      </c>
      <c r="T746" s="78">
        <f t="shared" si="46"/>
        <v>3643970.09</v>
      </c>
      <c r="U746" s="78">
        <f t="shared" si="45"/>
        <v>717.43423631634471</v>
      </c>
      <c r="V746" s="78">
        <v>989.6038846522415</v>
      </c>
    </row>
    <row r="747" spans="1:22" s="79" customFormat="1" ht="36" customHeight="1" x14ac:dyDescent="0.25">
      <c r="A747" s="79">
        <v>1</v>
      </c>
      <c r="B747" s="80">
        <f>SUBTOTAL(103,$A$552:A747)</f>
        <v>193</v>
      </c>
      <c r="C747" s="77" t="s">
        <v>2490</v>
      </c>
      <c r="D747" s="233">
        <v>1993</v>
      </c>
      <c r="E747" s="233"/>
      <c r="F747" s="233" t="s">
        <v>304</v>
      </c>
      <c r="G747" s="233" t="s">
        <v>343</v>
      </c>
      <c r="H747" s="233" t="s">
        <v>295</v>
      </c>
      <c r="I747" s="234">
        <v>10031.700000000001</v>
      </c>
      <c r="J747" s="234">
        <v>8599.4</v>
      </c>
      <c r="K747" s="234">
        <v>5931.8</v>
      </c>
      <c r="L747" s="239" t="s">
        <v>2537</v>
      </c>
      <c r="M747" s="233" t="s">
        <v>254</v>
      </c>
      <c r="N747" s="233" t="s">
        <v>258</v>
      </c>
      <c r="O747" s="236" t="s">
        <v>2291</v>
      </c>
      <c r="P747" s="78">
        <v>7143104.0700000003</v>
      </c>
      <c r="Q747" s="78">
        <v>0</v>
      </c>
      <c r="R747" s="78">
        <v>4212160</v>
      </c>
      <c r="S747" s="78">
        <v>0</v>
      </c>
      <c r="T747" s="78">
        <f t="shared" si="46"/>
        <v>2930944.0700000003</v>
      </c>
      <c r="U747" s="78">
        <f t="shared" si="45"/>
        <v>712.05319836119497</v>
      </c>
      <c r="V747" s="78">
        <v>980.01335765622969</v>
      </c>
    </row>
    <row r="748" spans="1:22" s="79" customFormat="1" ht="36" customHeight="1" x14ac:dyDescent="0.25">
      <c r="A748" s="79">
        <v>1</v>
      </c>
      <c r="B748" s="80">
        <f>SUBTOTAL(103,$A$552:A748)</f>
        <v>194</v>
      </c>
      <c r="C748" s="77" t="s">
        <v>2491</v>
      </c>
      <c r="D748" s="233">
        <v>1993</v>
      </c>
      <c r="E748" s="233"/>
      <c r="F748" s="233" t="s">
        <v>304</v>
      </c>
      <c r="G748" s="233" t="s">
        <v>343</v>
      </c>
      <c r="H748" s="233" t="s">
        <v>299</v>
      </c>
      <c r="I748" s="234">
        <v>8599.4</v>
      </c>
      <c r="J748" s="234">
        <v>8599.4</v>
      </c>
      <c r="K748" s="234">
        <v>5931.8</v>
      </c>
      <c r="L748" s="239" t="s">
        <v>2538</v>
      </c>
      <c r="M748" s="233" t="s">
        <v>254</v>
      </c>
      <c r="N748" s="233" t="s">
        <v>258</v>
      </c>
      <c r="O748" s="236" t="s">
        <v>2539</v>
      </c>
      <c r="P748" s="78">
        <v>5513685.3200000003</v>
      </c>
      <c r="Q748" s="78">
        <v>0</v>
      </c>
      <c r="R748" s="78">
        <v>3207600</v>
      </c>
      <c r="S748" s="78">
        <v>0</v>
      </c>
      <c r="T748" s="78">
        <f t="shared" si="46"/>
        <v>2306085.3200000003</v>
      </c>
      <c r="U748" s="78">
        <f t="shared" si="45"/>
        <v>641.17093285578073</v>
      </c>
      <c r="V748" s="78">
        <v>857.43191385445505</v>
      </c>
    </row>
    <row r="749" spans="1:22" s="79" customFormat="1" ht="36" customHeight="1" x14ac:dyDescent="0.25">
      <c r="A749" s="79">
        <v>1</v>
      </c>
      <c r="B749" s="80">
        <f>SUBTOTAL(103,$A$552:A749)</f>
        <v>195</v>
      </c>
      <c r="C749" s="77" t="s">
        <v>2492</v>
      </c>
      <c r="D749" s="233">
        <v>1983</v>
      </c>
      <c r="E749" s="233"/>
      <c r="F749" s="233" t="s">
        <v>2518</v>
      </c>
      <c r="G749" s="233" t="s">
        <v>343</v>
      </c>
      <c r="H749" s="233">
        <v>1</v>
      </c>
      <c r="I749" s="234">
        <v>4378.03</v>
      </c>
      <c r="J749" s="234">
        <v>4378.03</v>
      </c>
      <c r="K749" s="234">
        <v>3117.3</v>
      </c>
      <c r="L749" s="239" t="s">
        <v>2540</v>
      </c>
      <c r="M749" s="233" t="s">
        <v>254</v>
      </c>
      <c r="N749" s="233" t="s">
        <v>258</v>
      </c>
      <c r="O749" s="236" t="s">
        <v>2524</v>
      </c>
      <c r="P749" s="78">
        <v>1897149.8399999999</v>
      </c>
      <c r="Q749" s="78">
        <v>0</v>
      </c>
      <c r="R749" s="78">
        <v>1069200</v>
      </c>
      <c r="S749" s="78">
        <v>0</v>
      </c>
      <c r="T749" s="78">
        <f t="shared" si="46"/>
        <v>827949.83999999985</v>
      </c>
      <c r="U749" s="78">
        <f t="shared" si="45"/>
        <v>433.33413430241455</v>
      </c>
      <c r="V749" s="78">
        <v>561.39405166250572</v>
      </c>
    </row>
    <row r="750" spans="1:22" s="79" customFormat="1" ht="36" customHeight="1" x14ac:dyDescent="0.25">
      <c r="A750" s="79">
        <v>1</v>
      </c>
      <c r="B750" s="80">
        <f>SUBTOTAL(103,$A$552:A750)</f>
        <v>196</v>
      </c>
      <c r="C750" s="77" t="s">
        <v>2493</v>
      </c>
      <c r="D750" s="233">
        <v>1993</v>
      </c>
      <c r="E750" s="233"/>
      <c r="F750" s="233" t="s">
        <v>304</v>
      </c>
      <c r="G750" s="233" t="s">
        <v>343</v>
      </c>
      <c r="H750" s="233" t="s">
        <v>290</v>
      </c>
      <c r="I750" s="234">
        <v>4345.8</v>
      </c>
      <c r="J750" s="234">
        <v>4345.8</v>
      </c>
      <c r="K750" s="234">
        <v>3869.1</v>
      </c>
      <c r="L750" s="239" t="s">
        <v>2541</v>
      </c>
      <c r="M750" s="233" t="s">
        <v>254</v>
      </c>
      <c r="N750" s="233" t="s">
        <v>258</v>
      </c>
      <c r="O750" s="236" t="s">
        <v>2530</v>
      </c>
      <c r="P750" s="78">
        <v>3605355.24</v>
      </c>
      <c r="Q750" s="78">
        <v>0</v>
      </c>
      <c r="R750" s="78">
        <v>2106080</v>
      </c>
      <c r="S750" s="78">
        <v>0</v>
      </c>
      <c r="T750" s="78">
        <f t="shared" si="46"/>
        <v>1499275.2400000002</v>
      </c>
      <c r="U750" s="78">
        <f t="shared" si="45"/>
        <v>829.61830733121633</v>
      </c>
      <c r="V750" s="78">
        <v>1131.1150996364306</v>
      </c>
    </row>
    <row r="751" spans="1:22" s="82" customFormat="1" ht="36" customHeight="1" x14ac:dyDescent="0.25">
      <c r="A751" s="82">
        <v>1</v>
      </c>
      <c r="B751" s="80">
        <f>SUBTOTAL(103,$A$552:A751)</f>
        <v>197</v>
      </c>
      <c r="C751" s="246" t="s">
        <v>2289</v>
      </c>
      <c r="D751" s="247">
        <v>1988</v>
      </c>
      <c r="E751" s="247"/>
      <c r="F751" s="233" t="s">
        <v>304</v>
      </c>
      <c r="G751" s="247">
        <v>9</v>
      </c>
      <c r="H751" s="247">
        <v>2</v>
      </c>
      <c r="I751" s="248">
        <v>4409.1000000000004</v>
      </c>
      <c r="J751" s="248">
        <v>3904.2</v>
      </c>
      <c r="K751" s="248">
        <v>3904.2</v>
      </c>
      <c r="L751" s="249">
        <v>164</v>
      </c>
      <c r="M751" s="247" t="s">
        <v>254</v>
      </c>
      <c r="N751" s="247" t="s">
        <v>258</v>
      </c>
      <c r="O751" s="250" t="s">
        <v>1782</v>
      </c>
      <c r="P751" s="78">
        <v>79337.539999999994</v>
      </c>
      <c r="Q751" s="78">
        <v>0</v>
      </c>
      <c r="R751" s="78">
        <v>0</v>
      </c>
      <c r="S751" s="78">
        <v>0</v>
      </c>
      <c r="T751" s="78">
        <f t="shared" si="46"/>
        <v>79337.539999999994</v>
      </c>
      <c r="U751" s="78">
        <f t="shared" si="45"/>
        <v>17.994044135991469</v>
      </c>
      <c r="V751" s="81">
        <v>17.994044135991469</v>
      </c>
    </row>
    <row r="752" spans="1:22" s="82" customFormat="1" ht="36" customHeight="1" x14ac:dyDescent="0.25">
      <c r="A752" s="82">
        <v>1</v>
      </c>
      <c r="B752" s="80">
        <f>SUBTOTAL(103,$A$552:A752)</f>
        <v>198</v>
      </c>
      <c r="C752" s="246" t="s">
        <v>2290</v>
      </c>
      <c r="D752" s="247">
        <v>1989</v>
      </c>
      <c r="E752" s="247"/>
      <c r="F752" s="233" t="s">
        <v>256</v>
      </c>
      <c r="G752" s="247">
        <v>9</v>
      </c>
      <c r="H752" s="247">
        <v>2</v>
      </c>
      <c r="I752" s="248">
        <v>5092.8</v>
      </c>
      <c r="J752" s="248">
        <v>3984.1</v>
      </c>
      <c r="K752" s="248">
        <v>3984.1</v>
      </c>
      <c r="L752" s="249">
        <v>155</v>
      </c>
      <c r="M752" s="247" t="s">
        <v>254</v>
      </c>
      <c r="N752" s="247" t="s">
        <v>258</v>
      </c>
      <c r="O752" s="250" t="s">
        <v>2291</v>
      </c>
      <c r="P752" s="78">
        <v>80050.720000000001</v>
      </c>
      <c r="Q752" s="78">
        <v>0</v>
      </c>
      <c r="R752" s="78">
        <v>0</v>
      </c>
      <c r="S752" s="78">
        <v>0</v>
      </c>
      <c r="T752" s="78">
        <f t="shared" si="46"/>
        <v>80050.720000000001</v>
      </c>
      <c r="U752" s="78">
        <f t="shared" si="45"/>
        <v>15.718410304743951</v>
      </c>
      <c r="V752" s="81">
        <v>15.718410304743951</v>
      </c>
    </row>
    <row r="753" spans="1:22" s="79" customFormat="1" ht="36" customHeight="1" x14ac:dyDescent="0.25">
      <c r="A753" s="79">
        <v>1</v>
      </c>
      <c r="B753" s="80">
        <f>SUBTOTAL(103,$A$552:A753)</f>
        <v>199</v>
      </c>
      <c r="C753" s="77" t="s">
        <v>1988</v>
      </c>
      <c r="D753" s="233">
        <v>1979</v>
      </c>
      <c r="E753" s="233" t="s">
        <v>1435</v>
      </c>
      <c r="F753" s="233" t="s">
        <v>304</v>
      </c>
      <c r="G753" s="233" t="s">
        <v>343</v>
      </c>
      <c r="H753" s="233">
        <v>4</v>
      </c>
      <c r="I753" s="234">
        <v>8810.4</v>
      </c>
      <c r="J753" s="234">
        <v>8733.6</v>
      </c>
      <c r="K753" s="234">
        <v>7873.9</v>
      </c>
      <c r="L753" s="239" t="s">
        <v>2542</v>
      </c>
      <c r="M753" s="233" t="s">
        <v>254</v>
      </c>
      <c r="N753" s="233" t="s">
        <v>327</v>
      </c>
      <c r="O753" s="236" t="s">
        <v>2543</v>
      </c>
      <c r="P753" s="78">
        <v>7420651.3099999996</v>
      </c>
      <c r="Q753" s="78">
        <v>0</v>
      </c>
      <c r="R753" s="78">
        <v>4276800</v>
      </c>
      <c r="S753" s="78">
        <v>0</v>
      </c>
      <c r="T753" s="78">
        <f t="shared" si="46"/>
        <v>3143851.3099999996</v>
      </c>
      <c r="U753" s="78">
        <f t="shared" si="45"/>
        <v>842.26043198946695</v>
      </c>
      <c r="V753" s="78">
        <v>1115.8630709161901</v>
      </c>
    </row>
    <row r="754" spans="1:22" s="79" customFormat="1" ht="36" customHeight="1" x14ac:dyDescent="0.25">
      <c r="A754" s="79">
        <v>1</v>
      </c>
      <c r="B754" s="80">
        <f>SUBTOTAL(103,$A$552:A754)</f>
        <v>200</v>
      </c>
      <c r="C754" s="77" t="s">
        <v>2394</v>
      </c>
      <c r="D754" s="233">
        <v>1981</v>
      </c>
      <c r="E754" s="233"/>
      <c r="F754" s="233" t="s">
        <v>304</v>
      </c>
      <c r="G754" s="233" t="s">
        <v>343</v>
      </c>
      <c r="H754" s="233" t="s">
        <v>295</v>
      </c>
      <c r="I754" s="234">
        <v>8841</v>
      </c>
      <c r="J754" s="234">
        <v>8841</v>
      </c>
      <c r="K754" s="234">
        <v>7877.4</v>
      </c>
      <c r="L754" s="239" t="s">
        <v>2544</v>
      </c>
      <c r="M754" s="233" t="s">
        <v>254</v>
      </c>
      <c r="N754" s="233" t="s">
        <v>327</v>
      </c>
      <c r="O754" s="236" t="s">
        <v>2545</v>
      </c>
      <c r="P754" s="78">
        <v>7420668.29</v>
      </c>
      <c r="Q754" s="78">
        <v>0</v>
      </c>
      <c r="R754" s="78">
        <v>4276800</v>
      </c>
      <c r="S754" s="78">
        <v>0</v>
      </c>
      <c r="T754" s="78">
        <f t="shared" si="46"/>
        <v>3143868.29</v>
      </c>
      <c r="U754" s="78">
        <f t="shared" si="45"/>
        <v>839.34716547901826</v>
      </c>
      <c r="V754" s="78">
        <v>1112.0009048750142</v>
      </c>
    </row>
    <row r="755" spans="1:22" s="79" customFormat="1" ht="36" customHeight="1" x14ac:dyDescent="0.25">
      <c r="A755" s="79">
        <v>1</v>
      </c>
      <c r="B755" s="80">
        <f>SUBTOTAL(103,$A$552:A755)</f>
        <v>201</v>
      </c>
      <c r="C755" s="77" t="s">
        <v>1705</v>
      </c>
      <c r="D755" s="233">
        <v>1989</v>
      </c>
      <c r="E755" s="233"/>
      <c r="F755" s="233" t="s">
        <v>304</v>
      </c>
      <c r="G755" s="233" t="s">
        <v>343</v>
      </c>
      <c r="H755" s="233">
        <v>6</v>
      </c>
      <c r="I755" s="234">
        <v>13187.7</v>
      </c>
      <c r="J755" s="234">
        <v>13187.7</v>
      </c>
      <c r="K755" s="234">
        <v>10718.6</v>
      </c>
      <c r="L755" s="239" t="s">
        <v>2546</v>
      </c>
      <c r="M755" s="233" t="s">
        <v>254</v>
      </c>
      <c r="N755" s="233" t="s">
        <v>286</v>
      </c>
      <c r="O755" s="236" t="s">
        <v>2547</v>
      </c>
      <c r="P755" s="78">
        <v>10658255.35</v>
      </c>
      <c r="Q755" s="78">
        <v>0</v>
      </c>
      <c r="R755" s="78">
        <v>6318240</v>
      </c>
      <c r="S755" s="78">
        <v>0</v>
      </c>
      <c r="T755" s="78">
        <f t="shared" si="46"/>
        <v>4340015.3499999996</v>
      </c>
      <c r="U755" s="78">
        <f t="shared" si="45"/>
        <v>808.19667948163817</v>
      </c>
      <c r="V755" s="78">
        <v>1118.2237994494869</v>
      </c>
    </row>
    <row r="756" spans="1:22" s="79" customFormat="1" ht="36" customHeight="1" x14ac:dyDescent="0.25">
      <c r="A756" s="79">
        <v>1</v>
      </c>
      <c r="B756" s="80">
        <f>SUBTOTAL(103,$A$552:A756)</f>
        <v>202</v>
      </c>
      <c r="C756" s="77" t="s">
        <v>2494</v>
      </c>
      <c r="D756" s="233">
        <v>1995</v>
      </c>
      <c r="E756" s="233"/>
      <c r="F756" s="233" t="s">
        <v>304</v>
      </c>
      <c r="G756" s="233" t="s">
        <v>343</v>
      </c>
      <c r="H756" s="233">
        <v>2</v>
      </c>
      <c r="I756" s="234">
        <v>5399.54</v>
      </c>
      <c r="J756" s="234">
        <v>5399.54</v>
      </c>
      <c r="K756" s="234">
        <v>3926.7</v>
      </c>
      <c r="L756" s="239" t="s">
        <v>2548</v>
      </c>
      <c r="M756" s="233" t="s">
        <v>254</v>
      </c>
      <c r="N756" s="233" t="s">
        <v>258</v>
      </c>
      <c r="O756" s="236" t="s">
        <v>2524</v>
      </c>
      <c r="P756" s="78">
        <v>3606108.8899999997</v>
      </c>
      <c r="Q756" s="78">
        <v>0</v>
      </c>
      <c r="R756" s="78">
        <v>2106080</v>
      </c>
      <c r="S756" s="78">
        <v>0</v>
      </c>
      <c r="T756" s="78">
        <f t="shared" si="46"/>
        <v>1500028.8899999997</v>
      </c>
      <c r="U756" s="78">
        <f t="shared" si="45"/>
        <v>667.85483393029767</v>
      </c>
      <c r="V756" s="78">
        <v>910.37384666101184</v>
      </c>
    </row>
    <row r="757" spans="1:22" s="79" customFormat="1" ht="36" customHeight="1" x14ac:dyDescent="0.25">
      <c r="A757" s="79">
        <v>1</v>
      </c>
      <c r="B757" s="80">
        <f>SUBTOTAL(103,$A$552:A757)</f>
        <v>203</v>
      </c>
      <c r="C757" s="77" t="s">
        <v>2495</v>
      </c>
      <c r="D757" s="233">
        <v>1986</v>
      </c>
      <c r="E757" s="233" t="s">
        <v>2549</v>
      </c>
      <c r="F757" s="233" t="s">
        <v>304</v>
      </c>
      <c r="G757" s="233" t="s">
        <v>343</v>
      </c>
      <c r="H757" s="233" t="s">
        <v>295</v>
      </c>
      <c r="I757" s="234">
        <v>8758.7999999999993</v>
      </c>
      <c r="J757" s="234">
        <v>8758.8000000000011</v>
      </c>
      <c r="K757" s="234">
        <v>7796.6</v>
      </c>
      <c r="L757" s="239" t="s">
        <v>2550</v>
      </c>
      <c r="M757" s="233" t="s">
        <v>254</v>
      </c>
      <c r="N757" s="233" t="s">
        <v>258</v>
      </c>
      <c r="O757" s="236" t="s">
        <v>2551</v>
      </c>
      <c r="P757" s="78">
        <v>7421117.5899999999</v>
      </c>
      <c r="Q757" s="78">
        <v>0</v>
      </c>
      <c r="R757" s="78">
        <v>4276800</v>
      </c>
      <c r="S757" s="78">
        <v>0</v>
      </c>
      <c r="T757" s="78">
        <f t="shared" si="46"/>
        <v>3144317.59</v>
      </c>
      <c r="U757" s="78">
        <f t="shared" si="45"/>
        <v>847.27560738914008</v>
      </c>
      <c r="V757" s="78">
        <v>1122.4368634972827</v>
      </c>
    </row>
    <row r="758" spans="1:22" s="79" customFormat="1" ht="36" customHeight="1" x14ac:dyDescent="0.25">
      <c r="A758" s="79">
        <v>1</v>
      </c>
      <c r="B758" s="80">
        <f>SUBTOTAL(103,$A$552:A758)</f>
        <v>204</v>
      </c>
      <c r="C758" s="77" t="s">
        <v>2496</v>
      </c>
      <c r="D758" s="233">
        <v>1992</v>
      </c>
      <c r="E758" s="233"/>
      <c r="F758" s="233" t="s">
        <v>304</v>
      </c>
      <c r="G758" s="233" t="s">
        <v>343</v>
      </c>
      <c r="H758" s="233">
        <v>3</v>
      </c>
      <c r="I758" s="234">
        <v>7999.52</v>
      </c>
      <c r="J758" s="234">
        <v>7999.52</v>
      </c>
      <c r="K758" s="234">
        <v>5812.1</v>
      </c>
      <c r="L758" s="239" t="s">
        <v>2552</v>
      </c>
      <c r="M758" s="233" t="s">
        <v>254</v>
      </c>
      <c r="N758" s="233" t="s">
        <v>258</v>
      </c>
      <c r="O758" s="236" t="s">
        <v>2524</v>
      </c>
      <c r="P758" s="78">
        <v>3606935.17</v>
      </c>
      <c r="Q758" s="78">
        <v>0</v>
      </c>
      <c r="R758" s="78">
        <v>2106080</v>
      </c>
      <c r="S758" s="78">
        <v>0</v>
      </c>
      <c r="T758" s="78">
        <f t="shared" si="46"/>
        <v>1500855.17</v>
      </c>
      <c r="U758" s="78">
        <f t="shared" si="45"/>
        <v>450.8939498869932</v>
      </c>
      <c r="V758" s="78">
        <v>614.48686921215267</v>
      </c>
    </row>
    <row r="759" spans="1:22" s="79" customFormat="1" ht="36" customHeight="1" x14ac:dyDescent="0.25">
      <c r="A759" s="79">
        <v>1</v>
      </c>
      <c r="B759" s="80">
        <f>SUBTOTAL(103,$A$552:A759)</f>
        <v>205</v>
      </c>
      <c r="C759" s="77" t="s">
        <v>2497</v>
      </c>
      <c r="D759" s="233">
        <v>1983</v>
      </c>
      <c r="E759" s="233"/>
      <c r="F759" s="233" t="s">
        <v>2518</v>
      </c>
      <c r="G759" s="233" t="s">
        <v>343</v>
      </c>
      <c r="H759" s="233">
        <v>4</v>
      </c>
      <c r="I759" s="234">
        <v>8717.5</v>
      </c>
      <c r="J759" s="234">
        <v>8684.7999999999993</v>
      </c>
      <c r="K759" s="234">
        <v>7756.3</v>
      </c>
      <c r="L759" s="239" t="s">
        <v>2550</v>
      </c>
      <c r="M759" s="233" t="s">
        <v>254</v>
      </c>
      <c r="N759" s="233" t="s">
        <v>258</v>
      </c>
      <c r="O759" s="236" t="s">
        <v>2524</v>
      </c>
      <c r="P759" s="78">
        <v>7303041.5899999999</v>
      </c>
      <c r="Q759" s="78">
        <v>0</v>
      </c>
      <c r="R759" s="78">
        <v>4276800</v>
      </c>
      <c r="S759" s="78">
        <v>0</v>
      </c>
      <c r="T759" s="78">
        <f t="shared" si="46"/>
        <v>3026241.59</v>
      </c>
      <c r="U759" s="78">
        <f t="shared" si="45"/>
        <v>837.74494866647547</v>
      </c>
      <c r="V759" s="78">
        <v>1127.7545167765988</v>
      </c>
    </row>
    <row r="760" spans="1:22" s="82" customFormat="1" ht="36" customHeight="1" x14ac:dyDescent="0.25">
      <c r="A760" s="82">
        <v>1</v>
      </c>
      <c r="B760" s="80">
        <f>SUBTOTAL(103,$A$552:A760)</f>
        <v>206</v>
      </c>
      <c r="C760" s="246" t="s">
        <v>2012</v>
      </c>
      <c r="D760" s="247">
        <v>1989</v>
      </c>
      <c r="E760" s="247"/>
      <c r="F760" s="233" t="s">
        <v>304</v>
      </c>
      <c r="G760" s="247">
        <v>9</v>
      </c>
      <c r="H760" s="247">
        <v>2</v>
      </c>
      <c r="I760" s="248">
        <v>4433.1000000000004</v>
      </c>
      <c r="J760" s="248">
        <v>3943.6</v>
      </c>
      <c r="K760" s="248">
        <v>3943.6</v>
      </c>
      <c r="L760" s="249">
        <v>173</v>
      </c>
      <c r="M760" s="247" t="s">
        <v>254</v>
      </c>
      <c r="N760" s="247" t="s">
        <v>258</v>
      </c>
      <c r="O760" s="250" t="s">
        <v>2284</v>
      </c>
      <c r="P760" s="78">
        <v>79535.62</v>
      </c>
      <c r="Q760" s="78">
        <v>0</v>
      </c>
      <c r="R760" s="78">
        <v>0</v>
      </c>
      <c r="S760" s="78">
        <v>0</v>
      </c>
      <c r="T760" s="78">
        <f t="shared" si="46"/>
        <v>79535.62</v>
      </c>
      <c r="U760" s="78">
        <f t="shared" si="45"/>
        <v>17.941309692991357</v>
      </c>
      <c r="V760" s="81">
        <v>17.941309692991357</v>
      </c>
    </row>
    <row r="761" spans="1:22" s="79" customFormat="1" ht="36" customHeight="1" x14ac:dyDescent="0.25">
      <c r="A761" s="79">
        <v>1</v>
      </c>
      <c r="B761" s="80">
        <f>SUBTOTAL(103,$A$552:A761)</f>
        <v>207</v>
      </c>
      <c r="C761" s="77" t="s">
        <v>2498</v>
      </c>
      <c r="D761" s="233">
        <v>1995</v>
      </c>
      <c r="E761" s="233"/>
      <c r="F761" s="233" t="s">
        <v>304</v>
      </c>
      <c r="G761" s="233" t="s">
        <v>343</v>
      </c>
      <c r="H761" s="233" t="s">
        <v>299</v>
      </c>
      <c r="I761" s="234">
        <v>6546.6</v>
      </c>
      <c r="J761" s="234">
        <v>6546.6</v>
      </c>
      <c r="K761" s="234">
        <v>5802.2</v>
      </c>
      <c r="L761" s="239" t="s">
        <v>2553</v>
      </c>
      <c r="M761" s="233" t="s">
        <v>254</v>
      </c>
      <c r="N761" s="233" t="s">
        <v>258</v>
      </c>
      <c r="O761" s="236" t="s">
        <v>2551</v>
      </c>
      <c r="P761" s="78">
        <v>5374908.1000000006</v>
      </c>
      <c r="Q761" s="78">
        <v>0</v>
      </c>
      <c r="R761" s="78">
        <v>3159120</v>
      </c>
      <c r="S761" s="78">
        <v>0</v>
      </c>
      <c r="T761" s="78">
        <f t="shared" si="46"/>
        <v>2215788.1000000006</v>
      </c>
      <c r="U761" s="78">
        <f t="shared" si="45"/>
        <v>821.02283628142857</v>
      </c>
      <c r="V761" s="78">
        <v>1126.2945651177711</v>
      </c>
    </row>
    <row r="762" spans="1:22" s="79" customFormat="1" ht="36" customHeight="1" x14ac:dyDescent="0.25">
      <c r="A762" s="79">
        <v>1</v>
      </c>
      <c r="B762" s="80">
        <f>SUBTOTAL(103,$A$552:A762)</f>
        <v>208</v>
      </c>
      <c r="C762" s="77" t="s">
        <v>2499</v>
      </c>
      <c r="D762" s="233">
        <v>1994</v>
      </c>
      <c r="E762" s="233"/>
      <c r="F762" s="233" t="s">
        <v>304</v>
      </c>
      <c r="G762" s="233" t="s">
        <v>343</v>
      </c>
      <c r="H762" s="233" t="s">
        <v>290</v>
      </c>
      <c r="I762" s="234">
        <v>4979.8999999999996</v>
      </c>
      <c r="J762" s="234">
        <v>4979.8999999999996</v>
      </c>
      <c r="K762" s="234">
        <v>3884.9</v>
      </c>
      <c r="L762" s="239" t="s">
        <v>2554</v>
      </c>
      <c r="M762" s="233" t="s">
        <v>254</v>
      </c>
      <c r="N762" s="233" t="s">
        <v>258</v>
      </c>
      <c r="O762" s="236" t="s">
        <v>2291</v>
      </c>
      <c r="P762" s="78">
        <v>3607168.27</v>
      </c>
      <c r="Q762" s="78">
        <v>0</v>
      </c>
      <c r="R762" s="78">
        <v>2106080</v>
      </c>
      <c r="S762" s="78">
        <v>0</v>
      </c>
      <c r="T762" s="78">
        <f t="shared" si="46"/>
        <v>1501088.27</v>
      </c>
      <c r="U762" s="78">
        <f t="shared" si="45"/>
        <v>724.34552300247003</v>
      </c>
      <c r="V762" s="78">
        <v>987.08809413843653</v>
      </c>
    </row>
    <row r="763" spans="1:22" s="79" customFormat="1" ht="36" customHeight="1" x14ac:dyDescent="0.25">
      <c r="A763" s="79">
        <v>1</v>
      </c>
      <c r="B763" s="80">
        <f>SUBTOTAL(103,$A$552:A763)</f>
        <v>209</v>
      </c>
      <c r="C763" s="77" t="s">
        <v>2500</v>
      </c>
      <c r="D763" s="233">
        <v>1995</v>
      </c>
      <c r="E763" s="233"/>
      <c r="F763" s="233" t="s">
        <v>304</v>
      </c>
      <c r="G763" s="233" t="s">
        <v>343</v>
      </c>
      <c r="H763" s="233" t="s">
        <v>2124</v>
      </c>
      <c r="I763" s="234">
        <v>17475.599999999999</v>
      </c>
      <c r="J763" s="234">
        <v>17475.599999999999</v>
      </c>
      <c r="K763" s="234">
        <v>13470.3</v>
      </c>
      <c r="L763" s="239" t="s">
        <v>2555</v>
      </c>
      <c r="M763" s="233" t="s">
        <v>254</v>
      </c>
      <c r="N763" s="233" t="s">
        <v>258</v>
      </c>
      <c r="O763" s="236" t="s">
        <v>2291</v>
      </c>
      <c r="P763" s="78">
        <v>12449219.799999999</v>
      </c>
      <c r="Q763" s="78">
        <v>0</v>
      </c>
      <c r="R763" s="78">
        <v>7371280</v>
      </c>
      <c r="S763" s="78">
        <v>0</v>
      </c>
      <c r="T763" s="78">
        <f t="shared" si="46"/>
        <v>5077939.7999999989</v>
      </c>
      <c r="U763" s="78">
        <f t="shared" si="45"/>
        <v>712.37724598869283</v>
      </c>
      <c r="V763" s="78">
        <v>984.4926640573143</v>
      </c>
    </row>
    <row r="764" spans="1:22" s="79" customFormat="1" ht="36" customHeight="1" x14ac:dyDescent="0.25">
      <c r="A764" s="79">
        <v>1</v>
      </c>
      <c r="B764" s="80">
        <f>SUBTOTAL(103,$A$552:A764)</f>
        <v>210</v>
      </c>
      <c r="C764" s="77" t="s">
        <v>2501</v>
      </c>
      <c r="D764" s="233">
        <v>1995</v>
      </c>
      <c r="E764" s="233"/>
      <c r="F764" s="233" t="s">
        <v>304</v>
      </c>
      <c r="G764" s="233" t="s">
        <v>343</v>
      </c>
      <c r="H764" s="233" t="s">
        <v>299</v>
      </c>
      <c r="I764" s="234">
        <v>7478.1</v>
      </c>
      <c r="J764" s="234">
        <v>7478.1</v>
      </c>
      <c r="K764" s="234">
        <v>5774.8</v>
      </c>
      <c r="L764" s="239" t="s">
        <v>2556</v>
      </c>
      <c r="M764" s="233" t="s">
        <v>254</v>
      </c>
      <c r="N764" s="233" t="s">
        <v>258</v>
      </c>
      <c r="O764" s="236" t="s">
        <v>2291</v>
      </c>
      <c r="P764" s="78">
        <v>5380589.8799999999</v>
      </c>
      <c r="Q764" s="78">
        <v>0</v>
      </c>
      <c r="R764" s="78">
        <v>3159120</v>
      </c>
      <c r="S764" s="78">
        <v>0</v>
      </c>
      <c r="T764" s="78">
        <f t="shared" si="46"/>
        <v>2221469.88</v>
      </c>
      <c r="U764" s="78">
        <f t="shared" si="45"/>
        <v>719.51296184859791</v>
      </c>
      <c r="V764" s="78">
        <v>985.99911742287475</v>
      </c>
    </row>
    <row r="765" spans="1:22" s="79" customFormat="1" ht="36" customHeight="1" x14ac:dyDescent="0.25">
      <c r="A765" s="79">
        <v>1</v>
      </c>
      <c r="B765" s="80">
        <f>SUBTOTAL(103,$A$552:A765)</f>
        <v>211</v>
      </c>
      <c r="C765" s="77" t="s">
        <v>2502</v>
      </c>
      <c r="D765" s="233">
        <v>1992</v>
      </c>
      <c r="E765" s="233"/>
      <c r="F765" s="233" t="s">
        <v>304</v>
      </c>
      <c r="G765" s="233" t="s">
        <v>343</v>
      </c>
      <c r="H765" s="233" t="s">
        <v>337</v>
      </c>
      <c r="I765" s="234">
        <v>12531</v>
      </c>
      <c r="J765" s="234">
        <v>12530.8</v>
      </c>
      <c r="K765" s="234">
        <v>9705.5</v>
      </c>
      <c r="L765" s="239" t="s">
        <v>2557</v>
      </c>
      <c r="M765" s="233" t="s">
        <v>254</v>
      </c>
      <c r="N765" s="233" t="s">
        <v>258</v>
      </c>
      <c r="O765" s="236" t="s">
        <v>2291</v>
      </c>
      <c r="P765" s="78">
        <v>8907701.5</v>
      </c>
      <c r="Q765" s="78">
        <v>0</v>
      </c>
      <c r="R765" s="78">
        <v>5265200</v>
      </c>
      <c r="S765" s="78">
        <v>0</v>
      </c>
      <c r="T765" s="78">
        <f t="shared" si="46"/>
        <v>3642501.5</v>
      </c>
      <c r="U765" s="78">
        <f t="shared" si="45"/>
        <v>710.85320405394623</v>
      </c>
      <c r="V765" s="78">
        <v>980.68789402282334</v>
      </c>
    </row>
    <row r="766" spans="1:22" s="79" customFormat="1" ht="36" customHeight="1" x14ac:dyDescent="0.25">
      <c r="B766" s="77" t="s">
        <v>708</v>
      </c>
      <c r="C766" s="240"/>
      <c r="D766" s="233" t="s">
        <v>835</v>
      </c>
      <c r="E766" s="233" t="s">
        <v>835</v>
      </c>
      <c r="F766" s="233" t="s">
        <v>835</v>
      </c>
      <c r="G766" s="233" t="s">
        <v>835</v>
      </c>
      <c r="H766" s="233" t="s">
        <v>835</v>
      </c>
      <c r="I766" s="234">
        <f>SUM(I767:I781)</f>
        <v>117812.8</v>
      </c>
      <c r="J766" s="234">
        <f>SUM(J767:J781)</f>
        <v>102291.8</v>
      </c>
      <c r="K766" s="234">
        <f>SUM(K767:K781)</f>
        <v>96586</v>
      </c>
      <c r="L766" s="235">
        <f>SUM(L767:L781)</f>
        <v>2907</v>
      </c>
      <c r="M766" s="233" t="s">
        <v>835</v>
      </c>
      <c r="N766" s="233" t="s">
        <v>835</v>
      </c>
      <c r="O766" s="236" t="s">
        <v>835</v>
      </c>
      <c r="P766" s="237">
        <v>102296821.16</v>
      </c>
      <c r="Q766" s="234">
        <f>SUM(Q767:Q781)</f>
        <v>0</v>
      </c>
      <c r="R766" s="234">
        <f>SUM(R767:R781)</f>
        <v>26434432</v>
      </c>
      <c r="S766" s="234">
        <f>SUM(S767:S781)</f>
        <v>0</v>
      </c>
      <c r="T766" s="234">
        <f>SUM(T767:T781)</f>
        <v>75862389.159999996</v>
      </c>
      <c r="U766" s="78">
        <f t="shared" si="45"/>
        <v>868.2997192155691</v>
      </c>
      <c r="V766" s="78">
        <f>MAX(V767:V781)</f>
        <v>5886.86</v>
      </c>
    </row>
    <row r="767" spans="1:22" s="79" customFormat="1" ht="36" customHeight="1" x14ac:dyDescent="0.25">
      <c r="A767" s="79">
        <v>1</v>
      </c>
      <c r="B767" s="80">
        <f>SUBTOTAL(103,$A$552:A767)</f>
        <v>212</v>
      </c>
      <c r="C767" s="77" t="s">
        <v>363</v>
      </c>
      <c r="D767" s="233">
        <v>1982</v>
      </c>
      <c r="E767" s="233">
        <v>2015</v>
      </c>
      <c r="F767" s="233" t="s">
        <v>304</v>
      </c>
      <c r="G767" s="233">
        <v>9</v>
      </c>
      <c r="H767" s="233" t="s">
        <v>295</v>
      </c>
      <c r="I767" s="234">
        <v>8597.2000000000007</v>
      </c>
      <c r="J767" s="234">
        <v>7716.3</v>
      </c>
      <c r="K767" s="234">
        <v>7660.3</v>
      </c>
      <c r="L767" s="239">
        <v>370</v>
      </c>
      <c r="M767" s="233" t="s">
        <v>254</v>
      </c>
      <c r="N767" s="233" t="s">
        <v>258</v>
      </c>
      <c r="O767" s="236" t="s">
        <v>305</v>
      </c>
      <c r="P767" s="78">
        <v>6784672.5999999996</v>
      </c>
      <c r="Q767" s="78">
        <v>0</v>
      </c>
      <c r="R767" s="78">
        <v>4146432</v>
      </c>
      <c r="S767" s="78">
        <v>0</v>
      </c>
      <c r="T767" s="78">
        <f t="shared" ref="T767:T781" si="47">P767-R767-S767</f>
        <v>2638240.5999999996</v>
      </c>
      <c r="U767" s="78">
        <f t="shared" si="45"/>
        <v>789.17235844228344</v>
      </c>
      <c r="V767" s="78">
        <v>1143.5351044526124</v>
      </c>
    </row>
    <row r="768" spans="1:22" s="79" customFormat="1" ht="36" customHeight="1" x14ac:dyDescent="0.25">
      <c r="A768" s="79">
        <v>1</v>
      </c>
      <c r="B768" s="80">
        <f>SUBTOTAL(103,$A$552:A768)</f>
        <v>213</v>
      </c>
      <c r="C768" s="77" t="s">
        <v>1553</v>
      </c>
      <c r="D768" s="233">
        <v>1981</v>
      </c>
      <c r="E768" s="233">
        <v>2015</v>
      </c>
      <c r="F768" s="233" t="s">
        <v>304</v>
      </c>
      <c r="G768" s="233">
        <v>5</v>
      </c>
      <c r="H768" s="233" t="s">
        <v>337</v>
      </c>
      <c r="I768" s="234">
        <v>3965.2</v>
      </c>
      <c r="J768" s="234">
        <v>3485.8</v>
      </c>
      <c r="K768" s="234">
        <v>3424</v>
      </c>
      <c r="L768" s="239">
        <v>178</v>
      </c>
      <c r="M768" s="233" t="s">
        <v>254</v>
      </c>
      <c r="N768" s="233" t="s">
        <v>258</v>
      </c>
      <c r="O768" s="236" t="s">
        <v>306</v>
      </c>
      <c r="P768" s="78">
        <v>209745.8</v>
      </c>
      <c r="Q768" s="78">
        <v>0</v>
      </c>
      <c r="R768" s="78">
        <v>0</v>
      </c>
      <c r="S768" s="78">
        <v>0</v>
      </c>
      <c r="T768" s="78">
        <f t="shared" si="47"/>
        <v>209745.8</v>
      </c>
      <c r="U768" s="78">
        <f t="shared" si="45"/>
        <v>52.896650862503783</v>
      </c>
      <c r="V768" s="81">
        <v>52.896650862503783</v>
      </c>
    </row>
    <row r="769" spans="1:22" s="79" customFormat="1" ht="36" customHeight="1" x14ac:dyDescent="0.25">
      <c r="A769" s="79">
        <v>1</v>
      </c>
      <c r="B769" s="80">
        <f>SUBTOTAL(103,$A$552:A769)</f>
        <v>214</v>
      </c>
      <c r="C769" s="77" t="s">
        <v>364</v>
      </c>
      <c r="D769" s="233">
        <v>1973</v>
      </c>
      <c r="E769" s="233">
        <v>2017</v>
      </c>
      <c r="F769" s="233" t="s">
        <v>304</v>
      </c>
      <c r="G769" s="233">
        <v>5</v>
      </c>
      <c r="H769" s="233" t="s">
        <v>337</v>
      </c>
      <c r="I769" s="234">
        <v>3822.6</v>
      </c>
      <c r="J769" s="234">
        <v>3360.4</v>
      </c>
      <c r="K769" s="234">
        <v>3360.4</v>
      </c>
      <c r="L769" s="239">
        <v>155</v>
      </c>
      <c r="M769" s="233" t="s">
        <v>254</v>
      </c>
      <c r="N769" s="233" t="s">
        <v>258</v>
      </c>
      <c r="O769" s="236" t="s">
        <v>306</v>
      </c>
      <c r="P769" s="78">
        <v>100016.58</v>
      </c>
      <c r="Q769" s="78">
        <v>0</v>
      </c>
      <c r="R769" s="78">
        <v>0</v>
      </c>
      <c r="S769" s="78">
        <v>0</v>
      </c>
      <c r="T769" s="78">
        <f t="shared" si="47"/>
        <v>100016.58</v>
      </c>
      <c r="U769" s="78">
        <f t="shared" ref="U769:U781" si="48">P769/I769</f>
        <v>26.164542458012871</v>
      </c>
      <c r="V769" s="81">
        <v>26.164542458012871</v>
      </c>
    </row>
    <row r="770" spans="1:22" s="79" customFormat="1" ht="36" customHeight="1" x14ac:dyDescent="0.25">
      <c r="A770" s="79">
        <v>1</v>
      </c>
      <c r="B770" s="80">
        <f>SUBTOTAL(103,$A$552:A770)</f>
        <v>215</v>
      </c>
      <c r="C770" s="77" t="s">
        <v>1106</v>
      </c>
      <c r="D770" s="233">
        <v>1979</v>
      </c>
      <c r="E770" s="233">
        <v>2016</v>
      </c>
      <c r="F770" s="233" t="s">
        <v>304</v>
      </c>
      <c r="G770" s="233">
        <v>9</v>
      </c>
      <c r="H770" s="233" t="s">
        <v>295</v>
      </c>
      <c r="I770" s="78">
        <v>7590.3</v>
      </c>
      <c r="J770" s="78">
        <v>7004.9</v>
      </c>
      <c r="K770" s="78">
        <v>6957</v>
      </c>
      <c r="L770" s="239">
        <v>363</v>
      </c>
      <c r="M770" s="233" t="s">
        <v>254</v>
      </c>
      <c r="N770" s="233" t="s">
        <v>258</v>
      </c>
      <c r="O770" s="236" t="s">
        <v>305</v>
      </c>
      <c r="P770" s="78">
        <v>11924723.139999999</v>
      </c>
      <c r="Q770" s="78">
        <v>0</v>
      </c>
      <c r="R770" s="78">
        <v>0</v>
      </c>
      <c r="S770" s="78">
        <v>0</v>
      </c>
      <c r="T770" s="78">
        <f t="shared" si="47"/>
        <v>11924723.139999999</v>
      </c>
      <c r="U770" s="78">
        <f t="shared" si="48"/>
        <v>1571.047671370038</v>
      </c>
      <c r="V770" s="78">
        <v>5886.86</v>
      </c>
    </row>
    <row r="771" spans="1:22" s="79" customFormat="1" ht="36" customHeight="1" x14ac:dyDescent="0.25">
      <c r="A771" s="79">
        <v>1</v>
      </c>
      <c r="B771" s="80">
        <f>SUBTOTAL(103,$A$552:A771)</f>
        <v>216</v>
      </c>
      <c r="C771" s="77" t="s">
        <v>1107</v>
      </c>
      <c r="D771" s="233">
        <v>1985</v>
      </c>
      <c r="E771" s="233">
        <v>2018</v>
      </c>
      <c r="F771" s="233" t="s">
        <v>256</v>
      </c>
      <c r="G771" s="233">
        <v>9</v>
      </c>
      <c r="H771" s="233" t="s">
        <v>291</v>
      </c>
      <c r="I771" s="78">
        <v>5367.9</v>
      </c>
      <c r="J771" s="78">
        <v>4145.6000000000004</v>
      </c>
      <c r="K771" s="78">
        <v>3643.5</v>
      </c>
      <c r="L771" s="239">
        <v>300</v>
      </c>
      <c r="M771" s="233" t="s">
        <v>254</v>
      </c>
      <c r="N771" s="233" t="s">
        <v>258</v>
      </c>
      <c r="O771" s="236" t="s">
        <v>1267</v>
      </c>
      <c r="P771" s="78">
        <v>3601876.7</v>
      </c>
      <c r="Q771" s="78">
        <v>0</v>
      </c>
      <c r="R771" s="78">
        <v>0</v>
      </c>
      <c r="S771" s="78">
        <v>0</v>
      </c>
      <c r="T771" s="78">
        <f t="shared" si="47"/>
        <v>3601876.7</v>
      </c>
      <c r="U771" s="78">
        <f t="shared" si="48"/>
        <v>671.00294342294012</v>
      </c>
      <c r="V771" s="78">
        <v>915.73986102572712</v>
      </c>
    </row>
    <row r="772" spans="1:22" s="79" customFormat="1" ht="36" customHeight="1" x14ac:dyDescent="0.25">
      <c r="A772" s="79">
        <v>1</v>
      </c>
      <c r="B772" s="80">
        <f>SUBTOTAL(103,$A$552:A772)</f>
        <v>217</v>
      </c>
      <c r="C772" s="77" t="s">
        <v>1810</v>
      </c>
      <c r="D772" s="233">
        <v>1975</v>
      </c>
      <c r="E772" s="233"/>
      <c r="F772" s="233" t="s">
        <v>304</v>
      </c>
      <c r="G772" s="233" t="s">
        <v>337</v>
      </c>
      <c r="H772" s="233" t="s">
        <v>337</v>
      </c>
      <c r="I772" s="78">
        <v>5911.9</v>
      </c>
      <c r="J772" s="78">
        <v>3394.8</v>
      </c>
      <c r="K772" s="78">
        <v>3394.8</v>
      </c>
      <c r="L772" s="239">
        <v>170</v>
      </c>
      <c r="M772" s="233" t="s">
        <v>254</v>
      </c>
      <c r="N772" s="233" t="s">
        <v>258</v>
      </c>
      <c r="O772" s="236" t="s">
        <v>305</v>
      </c>
      <c r="P772" s="78">
        <v>199983.54</v>
      </c>
      <c r="Q772" s="78">
        <v>0</v>
      </c>
      <c r="R772" s="78">
        <v>0</v>
      </c>
      <c r="S772" s="78">
        <v>0</v>
      </c>
      <c r="T772" s="78">
        <f t="shared" si="47"/>
        <v>199983.54</v>
      </c>
      <c r="U772" s="78">
        <f t="shared" si="48"/>
        <v>33.827287335712718</v>
      </c>
      <c r="V772" s="81">
        <v>33.827287335712718</v>
      </c>
    </row>
    <row r="773" spans="1:22" s="79" customFormat="1" ht="36" customHeight="1" x14ac:dyDescent="0.25">
      <c r="A773" s="79">
        <v>1</v>
      </c>
      <c r="B773" s="80">
        <f>SUBTOTAL(103,$A$552:A773)</f>
        <v>218</v>
      </c>
      <c r="C773" s="77" t="s">
        <v>1379</v>
      </c>
      <c r="D773" s="233">
        <v>1981</v>
      </c>
      <c r="E773" s="233"/>
      <c r="F773" s="233" t="s">
        <v>304</v>
      </c>
      <c r="G773" s="233">
        <v>9</v>
      </c>
      <c r="H773" s="233" t="s">
        <v>295</v>
      </c>
      <c r="I773" s="234">
        <v>8719.1</v>
      </c>
      <c r="J773" s="234">
        <v>7825</v>
      </c>
      <c r="K773" s="234">
        <v>7825</v>
      </c>
      <c r="L773" s="239">
        <v>380</v>
      </c>
      <c r="M773" s="233" t="s">
        <v>254</v>
      </c>
      <c r="N773" s="233" t="s">
        <v>258</v>
      </c>
      <c r="O773" s="236" t="s">
        <v>305</v>
      </c>
      <c r="P773" s="78">
        <v>8888556.3200000022</v>
      </c>
      <c r="Q773" s="78">
        <v>0</v>
      </c>
      <c r="R773" s="78">
        <v>0</v>
      </c>
      <c r="S773" s="78">
        <v>0</v>
      </c>
      <c r="T773" s="78">
        <f t="shared" si="47"/>
        <v>8888556.3200000022</v>
      </c>
      <c r="U773" s="78">
        <f t="shared" si="48"/>
        <v>1019.4350701333856</v>
      </c>
      <c r="V773" s="78">
        <v>1127.547567982934</v>
      </c>
    </row>
    <row r="774" spans="1:22" s="79" customFormat="1" ht="36" customHeight="1" x14ac:dyDescent="0.25">
      <c r="A774" s="79">
        <v>1</v>
      </c>
      <c r="B774" s="80">
        <f>SUBTOTAL(103,$A$552:A774)</f>
        <v>219</v>
      </c>
      <c r="C774" s="77" t="s">
        <v>1380</v>
      </c>
      <c r="D774" s="233">
        <v>1983</v>
      </c>
      <c r="E774" s="233"/>
      <c r="F774" s="233" t="s">
        <v>304</v>
      </c>
      <c r="G774" s="233">
        <v>9</v>
      </c>
      <c r="H774" s="233" t="s">
        <v>295</v>
      </c>
      <c r="I774" s="234">
        <v>8604</v>
      </c>
      <c r="J774" s="234">
        <v>7732.2</v>
      </c>
      <c r="K774" s="234">
        <v>7732.2</v>
      </c>
      <c r="L774" s="239">
        <v>380</v>
      </c>
      <c r="M774" s="233" t="s">
        <v>254</v>
      </c>
      <c r="N774" s="233" t="s">
        <v>258</v>
      </c>
      <c r="O774" s="236" t="s">
        <v>305</v>
      </c>
      <c r="P774" s="78">
        <v>8888530.1400000006</v>
      </c>
      <c r="Q774" s="78">
        <v>0</v>
      </c>
      <c r="R774" s="78">
        <v>0</v>
      </c>
      <c r="S774" s="78">
        <v>0</v>
      </c>
      <c r="T774" s="78">
        <f t="shared" si="47"/>
        <v>8888530.1400000006</v>
      </c>
      <c r="U774" s="78">
        <f t="shared" si="48"/>
        <v>1033.0695188284519</v>
      </c>
      <c r="V774" s="78">
        <v>1142.6313342631333</v>
      </c>
    </row>
    <row r="775" spans="1:22" s="79" customFormat="1" ht="36" customHeight="1" x14ac:dyDescent="0.25">
      <c r="A775" s="79">
        <v>1</v>
      </c>
      <c r="B775" s="80">
        <f>SUBTOTAL(103,$A$552:A775)</f>
        <v>220</v>
      </c>
      <c r="C775" s="77" t="s">
        <v>2141</v>
      </c>
      <c r="D775" s="233">
        <v>1984</v>
      </c>
      <c r="E775" s="233"/>
      <c r="F775" s="233" t="s">
        <v>304</v>
      </c>
      <c r="G775" s="233">
        <v>9</v>
      </c>
      <c r="H775" s="233" t="s">
        <v>299</v>
      </c>
      <c r="I775" s="234">
        <v>9052.5</v>
      </c>
      <c r="J775" s="234">
        <v>5819.6</v>
      </c>
      <c r="K775" s="234">
        <v>5819.6</v>
      </c>
      <c r="L775" s="239">
        <v>262</v>
      </c>
      <c r="M775" s="233" t="s">
        <v>254</v>
      </c>
      <c r="N775" s="233" t="s">
        <v>258</v>
      </c>
      <c r="O775" s="236" t="s">
        <v>305</v>
      </c>
      <c r="P775" s="78">
        <v>6689445.79</v>
      </c>
      <c r="Q775" s="78">
        <v>0</v>
      </c>
      <c r="R775" s="78">
        <v>0</v>
      </c>
      <c r="S775" s="78">
        <v>0</v>
      </c>
      <c r="T775" s="78">
        <f t="shared" si="47"/>
        <v>6689445.79</v>
      </c>
      <c r="U775" s="78">
        <f t="shared" si="48"/>
        <v>738.96114774924058</v>
      </c>
      <c r="V775" s="78">
        <v>814.51532725766367</v>
      </c>
    </row>
    <row r="776" spans="1:22" s="79" customFormat="1" ht="36" customHeight="1" x14ac:dyDescent="0.25">
      <c r="A776" s="79">
        <v>1</v>
      </c>
      <c r="B776" s="80">
        <f>SUBTOTAL(103,$A$552:A776)</f>
        <v>221</v>
      </c>
      <c r="C776" s="77" t="s">
        <v>2176</v>
      </c>
      <c r="D776" s="233">
        <v>1986</v>
      </c>
      <c r="E776" s="233"/>
      <c r="F776" s="233" t="s">
        <v>304</v>
      </c>
      <c r="G776" s="233">
        <v>9</v>
      </c>
      <c r="H776" s="233" t="s">
        <v>295</v>
      </c>
      <c r="I776" s="234">
        <v>8634</v>
      </c>
      <c r="J776" s="234">
        <v>7746.5</v>
      </c>
      <c r="K776" s="234">
        <v>7730.1</v>
      </c>
      <c r="L776" s="239">
        <v>349</v>
      </c>
      <c r="M776" s="233" t="s">
        <v>254</v>
      </c>
      <c r="N776" s="233" t="s">
        <v>258</v>
      </c>
      <c r="O776" s="236" t="s">
        <v>305</v>
      </c>
      <c r="P776" s="78">
        <v>8888678.4400000013</v>
      </c>
      <c r="Q776" s="78">
        <v>0</v>
      </c>
      <c r="R776" s="78">
        <v>0</v>
      </c>
      <c r="S776" s="78">
        <v>0</v>
      </c>
      <c r="T776" s="78">
        <f t="shared" si="47"/>
        <v>8888678.4400000013</v>
      </c>
      <c r="U776" s="78">
        <f t="shared" si="48"/>
        <v>1029.4971554320132</v>
      </c>
      <c r="V776" s="78">
        <v>1138.6611072504054</v>
      </c>
    </row>
    <row r="777" spans="1:22" s="79" customFormat="1" ht="36" customHeight="1" x14ac:dyDescent="0.25">
      <c r="A777" s="79">
        <v>1</v>
      </c>
      <c r="B777" s="80">
        <f>SUBTOTAL(103,$A$552:A777)</f>
        <v>222</v>
      </c>
      <c r="C777" s="77" t="s">
        <v>2506</v>
      </c>
      <c r="D777" s="233">
        <v>1983</v>
      </c>
      <c r="E777" s="233"/>
      <c r="F777" s="233" t="s">
        <v>304</v>
      </c>
      <c r="G777" s="233" t="s">
        <v>2127</v>
      </c>
      <c r="H777" s="233">
        <v>3</v>
      </c>
      <c r="I777" s="234">
        <v>9222.1</v>
      </c>
      <c r="J777" s="234">
        <v>9222.1</v>
      </c>
      <c r="K777" s="234">
        <v>8177.3</v>
      </c>
      <c r="L777" s="239" t="s">
        <v>2513</v>
      </c>
      <c r="M777" s="233" t="s">
        <v>254</v>
      </c>
      <c r="N777" s="233" t="s">
        <v>258</v>
      </c>
      <c r="O777" s="236" t="s">
        <v>305</v>
      </c>
      <c r="P777" s="78">
        <v>15793403.27</v>
      </c>
      <c r="Q777" s="78">
        <v>0</v>
      </c>
      <c r="R777" s="78">
        <v>7800000</v>
      </c>
      <c r="S777" s="78">
        <v>0</v>
      </c>
      <c r="T777" s="78">
        <f t="shared" si="47"/>
        <v>7993403.2699999996</v>
      </c>
      <c r="U777" s="78">
        <f t="shared" si="48"/>
        <v>1712.5604005595253</v>
      </c>
      <c r="V777" s="78">
        <v>1853.8862081304692</v>
      </c>
    </row>
    <row r="778" spans="1:22" s="79" customFormat="1" ht="36" customHeight="1" x14ac:dyDescent="0.25">
      <c r="A778" s="79">
        <v>1</v>
      </c>
      <c r="B778" s="80">
        <f>SUBTOTAL(103,$A$552:A778)</f>
        <v>223</v>
      </c>
      <c r="C778" s="77" t="s">
        <v>2507</v>
      </c>
      <c r="D778" s="233">
        <v>1996</v>
      </c>
      <c r="E778" s="233" t="s">
        <v>1435</v>
      </c>
      <c r="F778" s="233" t="s">
        <v>304</v>
      </c>
      <c r="G778" s="233" t="s">
        <v>343</v>
      </c>
      <c r="H778" s="233">
        <v>3</v>
      </c>
      <c r="I778" s="234">
        <v>10830</v>
      </c>
      <c r="J778" s="234">
        <v>7342.6</v>
      </c>
      <c r="K778" s="234">
        <v>6528.8</v>
      </c>
      <c r="L778" s="239" t="s">
        <v>2514</v>
      </c>
      <c r="M778" s="233" t="s">
        <v>254</v>
      </c>
      <c r="N778" s="233" t="s">
        <v>258</v>
      </c>
      <c r="O778" s="236" t="s">
        <v>305</v>
      </c>
      <c r="P778" s="78">
        <v>2331279.67</v>
      </c>
      <c r="Q778" s="78">
        <v>0</v>
      </c>
      <c r="R778" s="78">
        <v>1062400</v>
      </c>
      <c r="S778" s="78">
        <v>0</v>
      </c>
      <c r="T778" s="78">
        <f t="shared" si="47"/>
        <v>1268879.67</v>
      </c>
      <c r="U778" s="78">
        <f t="shared" si="48"/>
        <v>215.26128070175437</v>
      </c>
      <c r="V778" s="78">
        <v>226.94367497691599</v>
      </c>
    </row>
    <row r="779" spans="1:22" s="79" customFormat="1" ht="36" customHeight="1" x14ac:dyDescent="0.25">
      <c r="A779" s="79">
        <v>1</v>
      </c>
      <c r="B779" s="80">
        <f>SUBTOTAL(103,$A$552:A779)</f>
        <v>224</v>
      </c>
      <c r="C779" s="77" t="s">
        <v>2508</v>
      </c>
      <c r="D779" s="233">
        <v>1995</v>
      </c>
      <c r="E779" s="233" t="s">
        <v>1435</v>
      </c>
      <c r="F779" s="233" t="s">
        <v>304</v>
      </c>
      <c r="G779" s="233" t="s">
        <v>343</v>
      </c>
      <c r="H779" s="233">
        <v>5</v>
      </c>
      <c r="I779" s="234">
        <v>12058.8</v>
      </c>
      <c r="J779" s="234">
        <v>12058.800000000001</v>
      </c>
      <c r="K779" s="234">
        <v>10739.7</v>
      </c>
      <c r="L779" s="239" t="s">
        <v>2515</v>
      </c>
      <c r="M779" s="233" t="s">
        <v>254</v>
      </c>
      <c r="N779" s="233" t="s">
        <v>258</v>
      </c>
      <c r="O779" s="236" t="s">
        <v>305</v>
      </c>
      <c r="P779" s="78">
        <v>11664872.390000001</v>
      </c>
      <c r="Q779" s="78">
        <v>0</v>
      </c>
      <c r="R779" s="78">
        <v>5608000</v>
      </c>
      <c r="S779" s="78">
        <v>0</v>
      </c>
      <c r="T779" s="78">
        <f t="shared" si="47"/>
        <v>6056872.3900000006</v>
      </c>
      <c r="U779" s="78">
        <f t="shared" si="48"/>
        <v>967.33276860052422</v>
      </c>
      <c r="V779" s="78">
        <v>1019.0897933459383</v>
      </c>
    </row>
    <row r="780" spans="1:22" s="79" customFormat="1" ht="36" customHeight="1" x14ac:dyDescent="0.25">
      <c r="A780" s="79">
        <v>1</v>
      </c>
      <c r="B780" s="80">
        <f>SUBTOTAL(103,$A$552:A780)</f>
        <v>225</v>
      </c>
      <c r="C780" s="77" t="s">
        <v>2509</v>
      </c>
      <c r="D780" s="233">
        <v>1987</v>
      </c>
      <c r="E780" s="233"/>
      <c r="F780" s="233" t="s">
        <v>304</v>
      </c>
      <c r="G780" s="233" t="s">
        <v>343</v>
      </c>
      <c r="H780" s="233">
        <v>4</v>
      </c>
      <c r="I780" s="234">
        <v>8661.7999999999993</v>
      </c>
      <c r="J780" s="234">
        <v>8661.7999999999993</v>
      </c>
      <c r="K780" s="234">
        <v>7775</v>
      </c>
      <c r="L780" s="239" t="s">
        <v>2516</v>
      </c>
      <c r="M780" s="233" t="s">
        <v>254</v>
      </c>
      <c r="N780" s="233" t="s">
        <v>258</v>
      </c>
      <c r="O780" s="236" t="s">
        <v>305</v>
      </c>
      <c r="P780" s="78">
        <v>9331381.5299999993</v>
      </c>
      <c r="Q780" s="78">
        <v>0</v>
      </c>
      <c r="R780" s="78">
        <v>4438400</v>
      </c>
      <c r="S780" s="78">
        <v>0</v>
      </c>
      <c r="T780" s="78">
        <f t="shared" si="47"/>
        <v>4892981.5299999993</v>
      </c>
      <c r="U780" s="78">
        <f t="shared" si="48"/>
        <v>1077.302815811956</v>
      </c>
      <c r="V780" s="78">
        <v>1135.0065806183472</v>
      </c>
    </row>
    <row r="781" spans="1:22" s="79" customFormat="1" ht="36" customHeight="1" x14ac:dyDescent="0.25">
      <c r="A781" s="79">
        <v>1</v>
      </c>
      <c r="B781" s="80">
        <f>SUBTOTAL(103,$A$552:A781)</f>
        <v>226</v>
      </c>
      <c r="C781" s="77" t="s">
        <v>2510</v>
      </c>
      <c r="D781" s="233">
        <v>1993</v>
      </c>
      <c r="E781" s="233"/>
      <c r="F781" s="233" t="s">
        <v>304</v>
      </c>
      <c r="G781" s="233" t="s">
        <v>343</v>
      </c>
      <c r="H781" s="233">
        <v>3</v>
      </c>
      <c r="I781" s="234">
        <v>6775.4000000000005</v>
      </c>
      <c r="J781" s="234">
        <v>6775.4000000000005</v>
      </c>
      <c r="K781" s="234">
        <v>5818.3</v>
      </c>
      <c r="L781" s="239" t="s">
        <v>2517</v>
      </c>
      <c r="M781" s="233" t="s">
        <v>254</v>
      </c>
      <c r="N781" s="233" t="s">
        <v>258</v>
      </c>
      <c r="O781" s="236" t="s">
        <v>305</v>
      </c>
      <c r="P781" s="78">
        <v>6999655.25</v>
      </c>
      <c r="Q781" s="78">
        <v>0</v>
      </c>
      <c r="R781" s="78">
        <v>3379200</v>
      </c>
      <c r="S781" s="78">
        <v>0</v>
      </c>
      <c r="T781" s="78">
        <f t="shared" si="47"/>
        <v>3620455.25</v>
      </c>
      <c r="U781" s="78">
        <f t="shared" si="48"/>
        <v>1033.0984517519259</v>
      </c>
      <c r="V781" s="78">
        <v>1088.2604717064673</v>
      </c>
    </row>
    <row r="782" spans="1:22" s="79" customFormat="1" ht="36" customHeight="1" x14ac:dyDescent="0.25">
      <c r="B782" s="77" t="s">
        <v>760</v>
      </c>
      <c r="C782" s="240"/>
      <c r="D782" s="233" t="s">
        <v>835</v>
      </c>
      <c r="E782" s="233" t="s">
        <v>835</v>
      </c>
      <c r="F782" s="233" t="s">
        <v>835</v>
      </c>
      <c r="G782" s="233" t="s">
        <v>835</v>
      </c>
      <c r="H782" s="233" t="s">
        <v>835</v>
      </c>
      <c r="I782" s="234">
        <f>SUM(I783:I803)</f>
        <v>40250.310000000005</v>
      </c>
      <c r="J782" s="234">
        <f t="shared" ref="J782:L782" si="49">SUM(J783:J803)</f>
        <v>32416.21</v>
      </c>
      <c r="K782" s="234">
        <f t="shared" si="49"/>
        <v>31511.319999999996</v>
      </c>
      <c r="L782" s="235">
        <f t="shared" si="49"/>
        <v>1696</v>
      </c>
      <c r="M782" s="233" t="s">
        <v>835</v>
      </c>
      <c r="N782" s="233" t="s">
        <v>835</v>
      </c>
      <c r="O782" s="236" t="s">
        <v>835</v>
      </c>
      <c r="P782" s="237">
        <v>67277055.319999993</v>
      </c>
      <c r="Q782" s="234">
        <f t="shared" ref="Q782:T782" si="50">SUM(Q783:Q803)</f>
        <v>0</v>
      </c>
      <c r="R782" s="234">
        <f t="shared" si="50"/>
        <v>0</v>
      </c>
      <c r="S782" s="234">
        <f t="shared" si="50"/>
        <v>0</v>
      </c>
      <c r="T782" s="234">
        <f t="shared" si="50"/>
        <v>67277055.319999993</v>
      </c>
      <c r="U782" s="78">
        <f t="shared" ref="U782:U859" si="51">P782/I782</f>
        <v>1671.466761870902</v>
      </c>
      <c r="V782" s="78">
        <f>MAX(V785:V803)</f>
        <v>8446.9489291598038</v>
      </c>
    </row>
    <row r="783" spans="1:22" s="79" customFormat="1" ht="36" customHeight="1" x14ac:dyDescent="0.25">
      <c r="A783" s="79">
        <v>1</v>
      </c>
      <c r="B783" s="80">
        <f>SUBTOTAL(103,$A$552:A783)</f>
        <v>227</v>
      </c>
      <c r="C783" s="77" t="s">
        <v>1802</v>
      </c>
      <c r="D783" s="233">
        <v>1963</v>
      </c>
      <c r="E783" s="233"/>
      <c r="F783" s="233" t="s">
        <v>1479</v>
      </c>
      <c r="G783" s="233" t="s">
        <v>290</v>
      </c>
      <c r="H783" s="233" t="s">
        <v>290</v>
      </c>
      <c r="I783" s="234">
        <v>695.5</v>
      </c>
      <c r="J783" s="234">
        <v>647.5</v>
      </c>
      <c r="K783" s="234">
        <v>647.5</v>
      </c>
      <c r="L783" s="239">
        <v>31</v>
      </c>
      <c r="M783" s="233" t="s">
        <v>254</v>
      </c>
      <c r="N783" s="233" t="s">
        <v>255</v>
      </c>
      <c r="O783" s="236" t="s">
        <v>257</v>
      </c>
      <c r="P783" s="78">
        <v>75549.039999999994</v>
      </c>
      <c r="Q783" s="78">
        <v>0</v>
      </c>
      <c r="R783" s="78">
        <v>0</v>
      </c>
      <c r="S783" s="78">
        <v>0</v>
      </c>
      <c r="T783" s="78">
        <f t="shared" ref="T783" si="52">P783-R783-S783</f>
        <v>75549.039999999994</v>
      </c>
      <c r="U783" s="78">
        <f t="shared" si="51"/>
        <v>108.62550682961897</v>
      </c>
      <c r="V783" s="78">
        <v>108.62550682961897</v>
      </c>
    </row>
    <row r="784" spans="1:22" s="79" customFormat="1" ht="36" customHeight="1" x14ac:dyDescent="0.25">
      <c r="A784" s="79">
        <v>1</v>
      </c>
      <c r="B784" s="80">
        <f>SUBTOTAL(103,$A$552:A784)</f>
        <v>228</v>
      </c>
      <c r="C784" s="77" t="s">
        <v>1803</v>
      </c>
      <c r="D784" s="233">
        <v>1955</v>
      </c>
      <c r="E784" s="233"/>
      <c r="F784" s="233" t="s">
        <v>1479</v>
      </c>
      <c r="G784" s="233" t="s">
        <v>290</v>
      </c>
      <c r="H784" s="233" t="s">
        <v>291</v>
      </c>
      <c r="I784" s="234">
        <v>349</v>
      </c>
      <c r="J784" s="234">
        <v>310.60000000000002</v>
      </c>
      <c r="K784" s="234">
        <v>310.60000000000002</v>
      </c>
      <c r="L784" s="239">
        <v>17</v>
      </c>
      <c r="M784" s="233" t="s">
        <v>254</v>
      </c>
      <c r="N784" s="233" t="s">
        <v>258</v>
      </c>
      <c r="O784" s="236" t="s">
        <v>1237</v>
      </c>
      <c r="P784" s="78">
        <v>55087.88</v>
      </c>
      <c r="Q784" s="78">
        <v>0</v>
      </c>
      <c r="R784" s="78">
        <v>0</v>
      </c>
      <c r="S784" s="78">
        <v>0</v>
      </c>
      <c r="T784" s="78">
        <f>P784-R784-S784</f>
        <v>55087.88</v>
      </c>
      <c r="U784" s="78">
        <f t="shared" si="51"/>
        <v>157.84492836676216</v>
      </c>
      <c r="V784" s="78">
        <v>157.84492836676216</v>
      </c>
    </row>
    <row r="785" spans="1:22" s="79" customFormat="1" ht="36" customHeight="1" x14ac:dyDescent="0.25">
      <c r="A785" s="79">
        <v>1</v>
      </c>
      <c r="B785" s="80">
        <f>SUBTOTAL(103,$A$552:A785)</f>
        <v>229</v>
      </c>
      <c r="C785" s="77" t="s">
        <v>570</v>
      </c>
      <c r="D785" s="233">
        <v>1966</v>
      </c>
      <c r="E785" s="233"/>
      <c r="F785" s="233" t="s">
        <v>256</v>
      </c>
      <c r="G785" s="233">
        <v>5</v>
      </c>
      <c r="H785" s="233" t="s">
        <v>299</v>
      </c>
      <c r="I785" s="234">
        <v>4109.6000000000004</v>
      </c>
      <c r="J785" s="234">
        <v>2516.14</v>
      </c>
      <c r="K785" s="234">
        <v>2269.44</v>
      </c>
      <c r="L785" s="239">
        <v>105</v>
      </c>
      <c r="M785" s="233" t="s">
        <v>254</v>
      </c>
      <c r="N785" s="233" t="s">
        <v>258</v>
      </c>
      <c r="O785" s="236" t="s">
        <v>1018</v>
      </c>
      <c r="P785" s="78">
        <v>5078568.7700000005</v>
      </c>
      <c r="Q785" s="78">
        <v>0</v>
      </c>
      <c r="R785" s="78">
        <v>0</v>
      </c>
      <c r="S785" s="78">
        <v>0</v>
      </c>
      <c r="T785" s="78">
        <f t="shared" ref="T785:T803" si="53">P785-R785-S785</f>
        <v>5078568.7700000005</v>
      </c>
      <c r="U785" s="78">
        <f t="shared" si="51"/>
        <v>1235.7817719486081</v>
      </c>
      <c r="V785" s="78">
        <v>1756.8929550321202</v>
      </c>
    </row>
    <row r="786" spans="1:22" s="79" customFormat="1" ht="36" customHeight="1" x14ac:dyDescent="0.25">
      <c r="A786" s="79">
        <v>1</v>
      </c>
      <c r="B786" s="80">
        <f>SUBTOTAL(103,$A$552:A786)</f>
        <v>230</v>
      </c>
      <c r="C786" s="77" t="s">
        <v>571</v>
      </c>
      <c r="D786" s="233">
        <v>1965</v>
      </c>
      <c r="E786" s="233"/>
      <c r="F786" s="233" t="s">
        <v>256</v>
      </c>
      <c r="G786" s="233" t="s">
        <v>337</v>
      </c>
      <c r="H786" s="233" t="s">
        <v>295</v>
      </c>
      <c r="I786" s="234">
        <v>4233.3599999999997</v>
      </c>
      <c r="J786" s="234">
        <v>3105.6</v>
      </c>
      <c r="K786" s="234">
        <v>3105.6</v>
      </c>
      <c r="L786" s="239">
        <v>208</v>
      </c>
      <c r="M786" s="233" t="s">
        <v>254</v>
      </c>
      <c r="N786" s="233" t="s">
        <v>258</v>
      </c>
      <c r="O786" s="236" t="s">
        <v>657</v>
      </c>
      <c r="P786" s="78">
        <v>6413646.6999999993</v>
      </c>
      <c r="Q786" s="78">
        <v>0</v>
      </c>
      <c r="R786" s="78">
        <v>0</v>
      </c>
      <c r="S786" s="78">
        <v>0</v>
      </c>
      <c r="T786" s="78">
        <f t="shared" si="53"/>
        <v>6413646.6999999993</v>
      </c>
      <c r="U786" s="78">
        <f t="shared" si="51"/>
        <v>1515.0251100780467</v>
      </c>
      <c r="V786" s="78">
        <v>2208.5332785305295</v>
      </c>
    </row>
    <row r="787" spans="1:22" s="79" customFormat="1" ht="36" customHeight="1" x14ac:dyDescent="0.25">
      <c r="A787" s="79">
        <v>1</v>
      </c>
      <c r="B787" s="80">
        <f>SUBTOTAL(103,$A$552:A787)</f>
        <v>231</v>
      </c>
      <c r="C787" s="77" t="s">
        <v>572</v>
      </c>
      <c r="D787" s="233">
        <v>1964</v>
      </c>
      <c r="E787" s="233"/>
      <c r="F787" s="233" t="s">
        <v>256</v>
      </c>
      <c r="G787" s="233" t="s">
        <v>295</v>
      </c>
      <c r="H787" s="233" t="s">
        <v>295</v>
      </c>
      <c r="I787" s="234">
        <v>3054.2</v>
      </c>
      <c r="J787" s="234">
        <v>2812.7</v>
      </c>
      <c r="K787" s="234">
        <v>2812.7</v>
      </c>
      <c r="L787" s="239">
        <v>156</v>
      </c>
      <c r="M787" s="233" t="s">
        <v>254</v>
      </c>
      <c r="N787" s="233" t="s">
        <v>258</v>
      </c>
      <c r="O787" s="236" t="s">
        <v>657</v>
      </c>
      <c r="P787" s="78">
        <v>5106188.7799999993</v>
      </c>
      <c r="Q787" s="78">
        <v>0</v>
      </c>
      <c r="R787" s="78">
        <v>0</v>
      </c>
      <c r="S787" s="78">
        <v>0</v>
      </c>
      <c r="T787" s="78">
        <f t="shared" si="53"/>
        <v>5106188.7799999993</v>
      </c>
      <c r="U787" s="78">
        <f t="shared" si="51"/>
        <v>1671.8580250147336</v>
      </c>
      <c r="V787" s="78">
        <v>2899.8627495252445</v>
      </c>
    </row>
    <row r="788" spans="1:22" s="79" customFormat="1" ht="36" customHeight="1" x14ac:dyDescent="0.25">
      <c r="A788" s="79">
        <v>1</v>
      </c>
      <c r="B788" s="80">
        <f>SUBTOTAL(103,$A$552:A788)</f>
        <v>232</v>
      </c>
      <c r="C788" s="77" t="s">
        <v>576</v>
      </c>
      <c r="D788" s="233">
        <v>1955</v>
      </c>
      <c r="E788" s="233"/>
      <c r="F788" s="233" t="s">
        <v>256</v>
      </c>
      <c r="G788" s="233">
        <v>2</v>
      </c>
      <c r="H788" s="233">
        <v>1</v>
      </c>
      <c r="I788" s="234">
        <v>424.9</v>
      </c>
      <c r="J788" s="234">
        <v>343.85</v>
      </c>
      <c r="K788" s="234">
        <v>248.25</v>
      </c>
      <c r="L788" s="239">
        <v>21</v>
      </c>
      <c r="M788" s="233" t="s">
        <v>254</v>
      </c>
      <c r="N788" s="233" t="s">
        <v>255</v>
      </c>
      <c r="O788" s="236" t="s">
        <v>257</v>
      </c>
      <c r="P788" s="78">
        <v>1761455.3699999999</v>
      </c>
      <c r="Q788" s="78">
        <v>0</v>
      </c>
      <c r="R788" s="78">
        <v>0</v>
      </c>
      <c r="S788" s="78">
        <v>0</v>
      </c>
      <c r="T788" s="78">
        <f t="shared" si="53"/>
        <v>1761455.3699999999</v>
      </c>
      <c r="U788" s="78">
        <f t="shared" si="51"/>
        <v>4145.5763003059546</v>
      </c>
      <c r="V788" s="78">
        <v>8446.9489291598038</v>
      </c>
    </row>
    <row r="789" spans="1:22" s="79" customFormat="1" ht="36" customHeight="1" x14ac:dyDescent="0.25">
      <c r="A789" s="79">
        <v>1</v>
      </c>
      <c r="B789" s="80">
        <f>SUBTOTAL(103,$A$552:A789)</f>
        <v>233</v>
      </c>
      <c r="C789" s="77" t="s">
        <v>577</v>
      </c>
      <c r="D789" s="233">
        <v>1977</v>
      </c>
      <c r="E789" s="233"/>
      <c r="F789" s="233" t="s">
        <v>256</v>
      </c>
      <c r="G789" s="233">
        <v>5</v>
      </c>
      <c r="H789" s="233" t="s">
        <v>355</v>
      </c>
      <c r="I789" s="234">
        <v>4398.3999999999996</v>
      </c>
      <c r="J789" s="234">
        <v>3962.5</v>
      </c>
      <c r="K789" s="234">
        <v>3962.5</v>
      </c>
      <c r="L789" s="239">
        <v>234</v>
      </c>
      <c r="M789" s="233" t="s">
        <v>254</v>
      </c>
      <c r="N789" s="233" t="s">
        <v>258</v>
      </c>
      <c r="O789" s="236" t="s">
        <v>1021</v>
      </c>
      <c r="P789" s="78">
        <v>5654807.2299999995</v>
      </c>
      <c r="Q789" s="78">
        <v>0</v>
      </c>
      <c r="R789" s="78">
        <v>0</v>
      </c>
      <c r="S789" s="78">
        <v>0</v>
      </c>
      <c r="T789" s="78">
        <f t="shared" si="53"/>
        <v>5654807.2299999995</v>
      </c>
      <c r="U789" s="78">
        <f t="shared" si="51"/>
        <v>1285.6509708075664</v>
      </c>
      <c r="V789" s="78">
        <v>2170.0617533648606</v>
      </c>
    </row>
    <row r="790" spans="1:22" s="79" customFormat="1" ht="36" customHeight="1" x14ac:dyDescent="0.25">
      <c r="A790" s="79">
        <v>1</v>
      </c>
      <c r="B790" s="80">
        <f>SUBTOTAL(103,$A$552:A790)</f>
        <v>234</v>
      </c>
      <c r="C790" s="77" t="s">
        <v>567</v>
      </c>
      <c r="D790" s="233">
        <v>1960</v>
      </c>
      <c r="E790" s="233"/>
      <c r="F790" s="233" t="s">
        <v>256</v>
      </c>
      <c r="G790" s="233">
        <v>2</v>
      </c>
      <c r="H790" s="233" t="s">
        <v>290</v>
      </c>
      <c r="I790" s="234">
        <v>676.9</v>
      </c>
      <c r="J790" s="234">
        <v>629.70000000000005</v>
      </c>
      <c r="K790" s="234">
        <v>629.70000000000005</v>
      </c>
      <c r="L790" s="239">
        <v>34</v>
      </c>
      <c r="M790" s="233" t="s">
        <v>254</v>
      </c>
      <c r="N790" s="233" t="s">
        <v>258</v>
      </c>
      <c r="O790" s="236" t="s">
        <v>655</v>
      </c>
      <c r="P790" s="78">
        <v>3419017.6999999997</v>
      </c>
      <c r="Q790" s="78">
        <v>0</v>
      </c>
      <c r="R790" s="78">
        <v>0</v>
      </c>
      <c r="S790" s="78">
        <v>0</v>
      </c>
      <c r="T790" s="78">
        <f t="shared" si="53"/>
        <v>3419017.6999999997</v>
      </c>
      <c r="U790" s="78">
        <f t="shared" si="51"/>
        <v>5050.9937952430191</v>
      </c>
      <c r="V790" s="78">
        <v>7284.8620475698035</v>
      </c>
    </row>
    <row r="791" spans="1:22" s="79" customFormat="1" ht="36" customHeight="1" x14ac:dyDescent="0.25">
      <c r="A791" s="79">
        <v>1</v>
      </c>
      <c r="B791" s="80">
        <f>SUBTOTAL(103,$A$552:A791)</f>
        <v>235</v>
      </c>
      <c r="C791" s="77" t="s">
        <v>581</v>
      </c>
      <c r="D791" s="233">
        <v>1959</v>
      </c>
      <c r="E791" s="233"/>
      <c r="F791" s="233" t="s">
        <v>256</v>
      </c>
      <c r="G791" s="233" t="s">
        <v>299</v>
      </c>
      <c r="H791" s="233" t="s">
        <v>291</v>
      </c>
      <c r="I791" s="234">
        <v>1671.6</v>
      </c>
      <c r="J791" s="234">
        <v>1327.3</v>
      </c>
      <c r="K791" s="234">
        <v>1327.3</v>
      </c>
      <c r="L791" s="239">
        <v>138</v>
      </c>
      <c r="M791" s="233" t="s">
        <v>254</v>
      </c>
      <c r="N791" s="233" t="s">
        <v>271</v>
      </c>
      <c r="O791" s="236" t="s">
        <v>257</v>
      </c>
      <c r="P791" s="78">
        <v>4894076.08</v>
      </c>
      <c r="Q791" s="78">
        <v>0</v>
      </c>
      <c r="R791" s="78">
        <v>0</v>
      </c>
      <c r="S791" s="78">
        <v>0</v>
      </c>
      <c r="T791" s="78">
        <f t="shared" si="53"/>
        <v>4894076.08</v>
      </c>
      <c r="U791" s="78">
        <f t="shared" si="51"/>
        <v>2927.7794209140943</v>
      </c>
      <c r="V791" s="78">
        <v>4147.5224934194785</v>
      </c>
    </row>
    <row r="792" spans="1:22" s="79" customFormat="1" ht="36" customHeight="1" x14ac:dyDescent="0.25">
      <c r="A792" s="79">
        <v>1</v>
      </c>
      <c r="B792" s="80">
        <f>SUBTOTAL(103,$A$552:A792)</f>
        <v>236</v>
      </c>
      <c r="C792" s="77" t="s">
        <v>580</v>
      </c>
      <c r="D792" s="233">
        <v>1956</v>
      </c>
      <c r="E792" s="233"/>
      <c r="F792" s="233" t="s">
        <v>256</v>
      </c>
      <c r="G792" s="233">
        <v>2</v>
      </c>
      <c r="H792" s="233">
        <v>1</v>
      </c>
      <c r="I792" s="234">
        <v>418.2</v>
      </c>
      <c r="J792" s="234">
        <v>378.1</v>
      </c>
      <c r="K792" s="234">
        <v>378.1</v>
      </c>
      <c r="L792" s="239">
        <v>21</v>
      </c>
      <c r="M792" s="233" t="s">
        <v>254</v>
      </c>
      <c r="N792" s="233" t="s">
        <v>255</v>
      </c>
      <c r="O792" s="236" t="s">
        <v>257</v>
      </c>
      <c r="P792" s="78">
        <v>1881436.15</v>
      </c>
      <c r="Q792" s="78">
        <v>0</v>
      </c>
      <c r="R792" s="78">
        <v>0</v>
      </c>
      <c r="S792" s="78">
        <v>0</v>
      </c>
      <c r="T792" s="78">
        <f t="shared" si="53"/>
        <v>1881436.15</v>
      </c>
      <c r="U792" s="78">
        <f t="shared" si="51"/>
        <v>4498.890841702535</v>
      </c>
      <c r="V792" s="78">
        <v>8170.7549689143952</v>
      </c>
    </row>
    <row r="793" spans="1:22" s="79" customFormat="1" ht="36" customHeight="1" x14ac:dyDescent="0.25">
      <c r="A793" s="79">
        <v>1</v>
      </c>
      <c r="B793" s="80">
        <f>SUBTOTAL(103,$A$552:A793)</f>
        <v>237</v>
      </c>
      <c r="C793" s="77" t="s">
        <v>585</v>
      </c>
      <c r="D793" s="233">
        <v>1994</v>
      </c>
      <c r="E793" s="233"/>
      <c r="F793" s="233" t="s">
        <v>256</v>
      </c>
      <c r="G793" s="233">
        <v>9</v>
      </c>
      <c r="H793" s="233" t="s">
        <v>291</v>
      </c>
      <c r="I793" s="234">
        <v>2814.2</v>
      </c>
      <c r="J793" s="234">
        <v>2472.3000000000002</v>
      </c>
      <c r="K793" s="234">
        <v>2197.6999999999998</v>
      </c>
      <c r="L793" s="239">
        <v>95</v>
      </c>
      <c r="M793" s="233" t="s">
        <v>254</v>
      </c>
      <c r="N793" s="233" t="s">
        <v>258</v>
      </c>
      <c r="O793" s="236" t="s">
        <v>655</v>
      </c>
      <c r="P793" s="78">
        <v>1652600.62</v>
      </c>
      <c r="Q793" s="78">
        <v>0</v>
      </c>
      <c r="R793" s="78">
        <v>0</v>
      </c>
      <c r="S793" s="78">
        <v>0</v>
      </c>
      <c r="T793" s="78">
        <f t="shared" si="53"/>
        <v>1652600.62</v>
      </c>
      <c r="U793" s="78">
        <f t="shared" si="51"/>
        <v>587.23637978821694</v>
      </c>
      <c r="V793" s="78">
        <v>873.35654893042431</v>
      </c>
    </row>
    <row r="794" spans="1:22" s="79" customFormat="1" ht="36" customHeight="1" x14ac:dyDescent="0.25">
      <c r="A794" s="79">
        <v>1</v>
      </c>
      <c r="B794" s="80">
        <f>SUBTOTAL(103,$A$552:A794)</f>
        <v>238</v>
      </c>
      <c r="C794" s="77" t="s">
        <v>583</v>
      </c>
      <c r="D794" s="233">
        <v>1981</v>
      </c>
      <c r="E794" s="233"/>
      <c r="F794" s="233" t="s">
        <v>256</v>
      </c>
      <c r="G794" s="233" t="s">
        <v>295</v>
      </c>
      <c r="H794" s="233" t="s">
        <v>295</v>
      </c>
      <c r="I794" s="234">
        <v>2423.8000000000002</v>
      </c>
      <c r="J794" s="234">
        <v>2218.9</v>
      </c>
      <c r="K794" s="234">
        <v>2218.9</v>
      </c>
      <c r="L794" s="239">
        <v>110</v>
      </c>
      <c r="M794" s="233" t="s">
        <v>254</v>
      </c>
      <c r="N794" s="233" t="s">
        <v>258</v>
      </c>
      <c r="O794" s="236" t="s">
        <v>655</v>
      </c>
      <c r="P794" s="78">
        <v>2629684.4900000002</v>
      </c>
      <c r="Q794" s="78">
        <v>0</v>
      </c>
      <c r="R794" s="78">
        <v>0</v>
      </c>
      <c r="S794" s="78">
        <v>0</v>
      </c>
      <c r="T794" s="78">
        <f t="shared" si="53"/>
        <v>2629684.4900000002</v>
      </c>
      <c r="U794" s="78">
        <f t="shared" si="51"/>
        <v>1084.9428541958907</v>
      </c>
      <c r="V794" s="78">
        <v>2894.1934968231708</v>
      </c>
    </row>
    <row r="795" spans="1:22" s="79" customFormat="1" ht="36" customHeight="1" x14ac:dyDescent="0.25">
      <c r="A795" s="79">
        <v>1</v>
      </c>
      <c r="B795" s="80">
        <f>SUBTOTAL(103,$A$552:A795)</f>
        <v>239</v>
      </c>
      <c r="C795" s="77" t="s">
        <v>1499</v>
      </c>
      <c r="D795" s="233">
        <v>1969</v>
      </c>
      <c r="E795" s="233"/>
      <c r="F795" s="233" t="s">
        <v>1500</v>
      </c>
      <c r="G795" s="233">
        <v>2</v>
      </c>
      <c r="H795" s="233" t="s">
        <v>290</v>
      </c>
      <c r="I795" s="78">
        <v>783.74</v>
      </c>
      <c r="J795" s="78">
        <v>722.64</v>
      </c>
      <c r="K795" s="78">
        <v>722.64</v>
      </c>
      <c r="L795" s="239">
        <v>28</v>
      </c>
      <c r="M795" s="233" t="s">
        <v>254</v>
      </c>
      <c r="N795" s="233" t="s">
        <v>258</v>
      </c>
      <c r="O795" s="236" t="s">
        <v>658</v>
      </c>
      <c r="P795" s="78">
        <v>3190209.33</v>
      </c>
      <c r="Q795" s="78">
        <v>0</v>
      </c>
      <c r="R795" s="78">
        <v>0</v>
      </c>
      <c r="S795" s="78">
        <v>0</v>
      </c>
      <c r="T795" s="78">
        <f t="shared" si="53"/>
        <v>3190209.33</v>
      </c>
      <c r="U795" s="78">
        <f t="shared" si="51"/>
        <v>4070.4944624492819</v>
      </c>
      <c r="V795" s="78">
        <v>7013.3485553882674</v>
      </c>
    </row>
    <row r="796" spans="1:22" s="79" customFormat="1" ht="36" customHeight="1" x14ac:dyDescent="0.25">
      <c r="A796" s="79">
        <v>1</v>
      </c>
      <c r="B796" s="80">
        <f>SUBTOTAL(103,$A$552:A796)</f>
        <v>240</v>
      </c>
      <c r="C796" s="77" t="s">
        <v>1519</v>
      </c>
      <c r="D796" s="233">
        <v>1978</v>
      </c>
      <c r="E796" s="233"/>
      <c r="F796" s="233" t="s">
        <v>304</v>
      </c>
      <c r="G796" s="233">
        <v>5</v>
      </c>
      <c r="H796" s="233" t="s">
        <v>295</v>
      </c>
      <c r="I796" s="234">
        <v>2991.2</v>
      </c>
      <c r="J796" s="234">
        <v>2708</v>
      </c>
      <c r="K796" s="234">
        <v>2708</v>
      </c>
      <c r="L796" s="239">
        <v>123</v>
      </c>
      <c r="M796" s="233" t="s">
        <v>254</v>
      </c>
      <c r="N796" s="233" t="s">
        <v>258</v>
      </c>
      <c r="O796" s="236" t="s">
        <v>1550</v>
      </c>
      <c r="P796" s="78">
        <v>3561457.25</v>
      </c>
      <c r="Q796" s="78">
        <v>0</v>
      </c>
      <c r="R796" s="78">
        <v>0</v>
      </c>
      <c r="S796" s="78">
        <v>0</v>
      </c>
      <c r="T796" s="78">
        <f t="shared" si="53"/>
        <v>3561457.25</v>
      </c>
      <c r="U796" s="78">
        <f t="shared" si="51"/>
        <v>1190.644975260765</v>
      </c>
      <c r="V796" s="78">
        <v>2036.9796175447982</v>
      </c>
    </row>
    <row r="797" spans="1:22" s="79" customFormat="1" ht="36" customHeight="1" x14ac:dyDescent="0.25">
      <c r="A797" s="79">
        <v>1</v>
      </c>
      <c r="B797" s="80">
        <f>SUBTOTAL(103,$A$552:A797)</f>
        <v>241</v>
      </c>
      <c r="C797" s="77" t="s">
        <v>1520</v>
      </c>
      <c r="D797" s="233">
        <v>1955</v>
      </c>
      <c r="E797" s="233"/>
      <c r="F797" s="233" t="s">
        <v>1263</v>
      </c>
      <c r="G797" s="233">
        <v>2</v>
      </c>
      <c r="H797" s="233" t="s">
        <v>291</v>
      </c>
      <c r="I797" s="234">
        <v>370.1</v>
      </c>
      <c r="J797" s="234">
        <v>335.1</v>
      </c>
      <c r="K797" s="234">
        <v>335.1</v>
      </c>
      <c r="L797" s="239">
        <v>28</v>
      </c>
      <c r="M797" s="233" t="s">
        <v>254</v>
      </c>
      <c r="N797" s="233" t="s">
        <v>258</v>
      </c>
      <c r="O797" s="236" t="s">
        <v>655</v>
      </c>
      <c r="P797" s="78">
        <v>1599599.44</v>
      </c>
      <c r="Q797" s="78">
        <v>0</v>
      </c>
      <c r="R797" s="78">
        <v>0</v>
      </c>
      <c r="S797" s="78">
        <v>0</v>
      </c>
      <c r="T797" s="78">
        <f t="shared" si="53"/>
        <v>1599599.44</v>
      </c>
      <c r="U797" s="78">
        <f t="shared" si="51"/>
        <v>4322.073601729262</v>
      </c>
      <c r="V797" s="78">
        <v>8100.9898924614972</v>
      </c>
    </row>
    <row r="798" spans="1:22" s="79" customFormat="1" ht="36" customHeight="1" x14ac:dyDescent="0.25">
      <c r="A798" s="79">
        <v>1</v>
      </c>
      <c r="B798" s="80">
        <f>SUBTOTAL(103,$A$552:A798)</f>
        <v>242</v>
      </c>
      <c r="C798" s="77" t="s">
        <v>1521</v>
      </c>
      <c r="D798" s="233">
        <v>1962</v>
      </c>
      <c r="E798" s="233"/>
      <c r="F798" s="233" t="s">
        <v>1263</v>
      </c>
      <c r="G798" s="233">
        <v>2</v>
      </c>
      <c r="H798" s="233" t="s">
        <v>295</v>
      </c>
      <c r="I798" s="234">
        <v>1305.4000000000001</v>
      </c>
      <c r="J798" s="234">
        <v>709.6</v>
      </c>
      <c r="K798" s="234">
        <v>709.6</v>
      </c>
      <c r="L798" s="239">
        <v>27</v>
      </c>
      <c r="M798" s="233" t="s">
        <v>254</v>
      </c>
      <c r="N798" s="233" t="s">
        <v>255</v>
      </c>
      <c r="O798" s="236" t="s">
        <v>257</v>
      </c>
      <c r="P798" s="78">
        <v>4130824.7</v>
      </c>
      <c r="Q798" s="78">
        <v>0</v>
      </c>
      <c r="R798" s="78">
        <v>0</v>
      </c>
      <c r="S798" s="78">
        <v>0</v>
      </c>
      <c r="T798" s="78">
        <f t="shared" si="53"/>
        <v>4130824.7</v>
      </c>
      <c r="U798" s="78">
        <f t="shared" si="51"/>
        <v>3164.4129768653283</v>
      </c>
      <c r="V798" s="78">
        <v>4692.2729560288035</v>
      </c>
    </row>
    <row r="799" spans="1:22" s="79" customFormat="1" ht="36" customHeight="1" x14ac:dyDescent="0.25">
      <c r="A799" s="79">
        <v>1</v>
      </c>
      <c r="B799" s="80">
        <f>SUBTOTAL(103,$A$552:A799)</f>
        <v>243</v>
      </c>
      <c r="C799" s="77" t="s">
        <v>1522</v>
      </c>
      <c r="D799" s="233">
        <v>1954</v>
      </c>
      <c r="E799" s="233"/>
      <c r="F799" s="233" t="s">
        <v>1263</v>
      </c>
      <c r="G799" s="233">
        <v>2</v>
      </c>
      <c r="H799" s="233" t="s">
        <v>290</v>
      </c>
      <c r="I799" s="234">
        <v>510.78</v>
      </c>
      <c r="J799" s="234">
        <v>472.98</v>
      </c>
      <c r="K799" s="234">
        <v>472.98</v>
      </c>
      <c r="L799" s="239">
        <v>19</v>
      </c>
      <c r="M799" s="233" t="s">
        <v>254</v>
      </c>
      <c r="N799" s="233" t="s">
        <v>258</v>
      </c>
      <c r="O799" s="236" t="s">
        <v>1237</v>
      </c>
      <c r="P799" s="78">
        <v>2555076.9</v>
      </c>
      <c r="Q799" s="78">
        <v>0</v>
      </c>
      <c r="R799" s="78">
        <v>0</v>
      </c>
      <c r="S799" s="78">
        <v>0</v>
      </c>
      <c r="T799" s="78">
        <f t="shared" si="53"/>
        <v>2555076.9</v>
      </c>
      <c r="U799" s="78">
        <f t="shared" si="51"/>
        <v>5002.3041231058378</v>
      </c>
      <c r="V799" s="78">
        <v>8095.1318532440591</v>
      </c>
    </row>
    <row r="800" spans="1:22" s="79" customFormat="1" ht="36" customHeight="1" x14ac:dyDescent="0.25">
      <c r="A800" s="79">
        <v>1</v>
      </c>
      <c r="B800" s="80">
        <f>SUBTOTAL(103,$A$552:A800)</f>
        <v>244</v>
      </c>
      <c r="C800" s="77" t="s">
        <v>578</v>
      </c>
      <c r="D800" s="233">
        <v>1967</v>
      </c>
      <c r="E800" s="233"/>
      <c r="F800" s="233" t="s">
        <v>256</v>
      </c>
      <c r="G800" s="233">
        <v>5</v>
      </c>
      <c r="H800" s="233" t="s">
        <v>295</v>
      </c>
      <c r="I800" s="78">
        <v>3578.24</v>
      </c>
      <c r="J800" s="78">
        <v>3300</v>
      </c>
      <c r="K800" s="78">
        <v>3012.01</v>
      </c>
      <c r="L800" s="239">
        <v>117</v>
      </c>
      <c r="M800" s="233" t="s">
        <v>254</v>
      </c>
      <c r="N800" s="233" t="s">
        <v>258</v>
      </c>
      <c r="O800" s="236" t="s">
        <v>655</v>
      </c>
      <c r="P800" s="78">
        <v>5701591.5199999996</v>
      </c>
      <c r="Q800" s="78">
        <v>0</v>
      </c>
      <c r="R800" s="78">
        <v>0</v>
      </c>
      <c r="S800" s="78">
        <v>0</v>
      </c>
      <c r="T800" s="78">
        <f t="shared" si="53"/>
        <v>5701591.5199999996</v>
      </c>
      <c r="U800" s="78">
        <f t="shared" si="51"/>
        <v>1593.4066803791809</v>
      </c>
      <c r="V800" s="78">
        <v>1863.2628283178324</v>
      </c>
    </row>
    <row r="801" spans="1:22" s="79" customFormat="1" ht="36" customHeight="1" x14ac:dyDescent="0.25">
      <c r="A801" s="79">
        <v>1</v>
      </c>
      <c r="B801" s="80">
        <f>SUBTOTAL(103,$A$552:A801)</f>
        <v>245</v>
      </c>
      <c r="C801" s="77" t="s">
        <v>1461</v>
      </c>
      <c r="D801" s="233">
        <v>1965</v>
      </c>
      <c r="E801" s="233"/>
      <c r="F801" s="233" t="s">
        <v>1479</v>
      </c>
      <c r="G801" s="233">
        <v>5</v>
      </c>
      <c r="H801" s="233" t="s">
        <v>299</v>
      </c>
      <c r="I801" s="234">
        <v>4032.79</v>
      </c>
      <c r="J801" s="234">
        <v>2461.4</v>
      </c>
      <c r="K801" s="234">
        <v>2461.4</v>
      </c>
      <c r="L801" s="239">
        <v>120</v>
      </c>
      <c r="M801" s="233" t="s">
        <v>254</v>
      </c>
      <c r="N801" s="233" t="s">
        <v>258</v>
      </c>
      <c r="O801" s="236" t="s">
        <v>657</v>
      </c>
      <c r="P801" s="78">
        <v>3842812.35</v>
      </c>
      <c r="Q801" s="78">
        <v>0</v>
      </c>
      <c r="R801" s="78">
        <v>0</v>
      </c>
      <c r="S801" s="78">
        <v>0</v>
      </c>
      <c r="T801" s="78">
        <f t="shared" si="53"/>
        <v>3842812.35</v>
      </c>
      <c r="U801" s="78">
        <f t="shared" si="51"/>
        <v>952.89175731937451</v>
      </c>
      <c r="V801" s="78">
        <v>1833.6936145943628</v>
      </c>
    </row>
    <row r="802" spans="1:22" s="79" customFormat="1" ht="36" customHeight="1" x14ac:dyDescent="0.25">
      <c r="A802" s="79">
        <v>1</v>
      </c>
      <c r="B802" s="80">
        <f>SUBTOTAL(103,$A$552:A802)</f>
        <v>246</v>
      </c>
      <c r="C802" s="77" t="s">
        <v>1804</v>
      </c>
      <c r="D802" s="233">
        <v>1957</v>
      </c>
      <c r="E802" s="233"/>
      <c r="F802" s="233" t="s">
        <v>1479</v>
      </c>
      <c r="G802" s="233" t="s">
        <v>290</v>
      </c>
      <c r="H802" s="233" t="s">
        <v>290</v>
      </c>
      <c r="I802" s="78">
        <v>832.6</v>
      </c>
      <c r="J802" s="78">
        <v>448</v>
      </c>
      <c r="K802" s="78">
        <v>448</v>
      </c>
      <c r="L802" s="239">
        <v>22</v>
      </c>
      <c r="M802" s="233" t="s">
        <v>254</v>
      </c>
      <c r="N802" s="233" t="s">
        <v>258</v>
      </c>
      <c r="O802" s="236" t="s">
        <v>655</v>
      </c>
      <c r="P802" s="78">
        <v>77282.759999999995</v>
      </c>
      <c r="Q802" s="78">
        <v>0</v>
      </c>
      <c r="R802" s="78">
        <v>0</v>
      </c>
      <c r="S802" s="78">
        <v>0</v>
      </c>
      <c r="T802" s="78">
        <f t="shared" si="53"/>
        <v>77282.759999999995</v>
      </c>
      <c r="U802" s="78">
        <f t="shared" si="51"/>
        <v>92.820994475138107</v>
      </c>
      <c r="V802" s="81">
        <v>92.820994475138107</v>
      </c>
    </row>
    <row r="803" spans="1:22" s="79" customFormat="1" ht="36" customHeight="1" x14ac:dyDescent="0.25">
      <c r="A803" s="79">
        <v>1</v>
      </c>
      <c r="B803" s="80">
        <f>SUBTOTAL(103,$A$552:A803)</f>
        <v>247</v>
      </c>
      <c r="C803" s="77" t="s">
        <v>2161</v>
      </c>
      <c r="D803" s="233">
        <v>1959</v>
      </c>
      <c r="E803" s="233"/>
      <c r="F803" s="233" t="s">
        <v>1479</v>
      </c>
      <c r="G803" s="233" t="s">
        <v>290</v>
      </c>
      <c r="H803" s="233" t="s">
        <v>290</v>
      </c>
      <c r="I803" s="78">
        <v>575.79999999999995</v>
      </c>
      <c r="J803" s="78">
        <v>533.29999999999995</v>
      </c>
      <c r="K803" s="78">
        <v>533.29999999999995</v>
      </c>
      <c r="L803" s="239">
        <v>42</v>
      </c>
      <c r="M803" s="233" t="s">
        <v>254</v>
      </c>
      <c r="N803" s="233" t="s">
        <v>258</v>
      </c>
      <c r="O803" s="236" t="s">
        <v>658</v>
      </c>
      <c r="P803" s="78">
        <v>3996082.26</v>
      </c>
      <c r="Q803" s="78">
        <v>0</v>
      </c>
      <c r="R803" s="78">
        <v>0</v>
      </c>
      <c r="S803" s="78">
        <v>0</v>
      </c>
      <c r="T803" s="78">
        <f t="shared" si="53"/>
        <v>3996082.26</v>
      </c>
      <c r="U803" s="78">
        <f t="shared" si="51"/>
        <v>6940.0525529697816</v>
      </c>
      <c r="V803" s="78">
        <v>7974.0761833970137</v>
      </c>
    </row>
    <row r="804" spans="1:22" s="79" customFormat="1" ht="36" customHeight="1" x14ac:dyDescent="0.25">
      <c r="B804" s="77" t="s">
        <v>761</v>
      </c>
      <c r="C804" s="77"/>
      <c r="D804" s="233" t="s">
        <v>835</v>
      </c>
      <c r="E804" s="233" t="s">
        <v>835</v>
      </c>
      <c r="F804" s="233" t="s">
        <v>835</v>
      </c>
      <c r="G804" s="233" t="s">
        <v>835</v>
      </c>
      <c r="H804" s="233" t="s">
        <v>835</v>
      </c>
      <c r="I804" s="234">
        <f>SUM(I805:I811)</f>
        <v>35250.9</v>
      </c>
      <c r="J804" s="234">
        <f>SUM(J805:J811)</f>
        <v>20149</v>
      </c>
      <c r="K804" s="234">
        <f>SUM(K805:K811)</f>
        <v>19981.8</v>
      </c>
      <c r="L804" s="235">
        <f>SUM(L805:L811)</f>
        <v>902</v>
      </c>
      <c r="M804" s="233" t="s">
        <v>835</v>
      </c>
      <c r="N804" s="233" t="s">
        <v>835</v>
      </c>
      <c r="O804" s="236" t="s">
        <v>835</v>
      </c>
      <c r="P804" s="237">
        <v>8413669.7699999996</v>
      </c>
      <c r="Q804" s="234">
        <f>SUM(Q805:Q811)</f>
        <v>0</v>
      </c>
      <c r="R804" s="234">
        <f>SUM(R805:R811)</f>
        <v>0</v>
      </c>
      <c r="S804" s="234">
        <f>SUM(S805:S811)</f>
        <v>0</v>
      </c>
      <c r="T804" s="234">
        <f>SUM(T805:T811)</f>
        <v>8413669.7699999996</v>
      </c>
      <c r="U804" s="78">
        <f t="shared" si="51"/>
        <v>238.67957328749051</v>
      </c>
      <c r="V804" s="78">
        <f>MAX(V805:V811)</f>
        <v>5076.3999999999996</v>
      </c>
    </row>
    <row r="805" spans="1:22" s="79" customFormat="1" ht="36" customHeight="1" x14ac:dyDescent="0.25">
      <c r="A805" s="79">
        <v>1</v>
      </c>
      <c r="B805" s="80">
        <f>SUBTOTAL(103,$A$552:A805)</f>
        <v>248</v>
      </c>
      <c r="C805" s="77" t="s">
        <v>2915</v>
      </c>
      <c r="D805" s="233">
        <v>1986</v>
      </c>
      <c r="E805" s="233"/>
      <c r="F805" s="233" t="s">
        <v>298</v>
      </c>
      <c r="G805" s="233">
        <v>5</v>
      </c>
      <c r="H805" s="233" t="s">
        <v>355</v>
      </c>
      <c r="I805" s="234">
        <v>7160.5</v>
      </c>
      <c r="J805" s="234">
        <v>3872.4</v>
      </c>
      <c r="K805" s="234">
        <v>3872.4</v>
      </c>
      <c r="L805" s="239">
        <v>185</v>
      </c>
      <c r="M805" s="233" t="s">
        <v>254</v>
      </c>
      <c r="N805" s="233" t="s">
        <v>258</v>
      </c>
      <c r="O805" s="236" t="s">
        <v>660</v>
      </c>
      <c r="P805" s="78">
        <v>3924906.3200000003</v>
      </c>
      <c r="Q805" s="78">
        <v>0</v>
      </c>
      <c r="R805" s="78">
        <v>0</v>
      </c>
      <c r="S805" s="78">
        <v>0</v>
      </c>
      <c r="T805" s="78">
        <f t="shared" ref="T805:T811" si="54">P805-R805-S805</f>
        <v>3924906.3200000003</v>
      </c>
      <c r="U805" s="78">
        <f t="shared" si="51"/>
        <v>548.13299629914115</v>
      </c>
      <c r="V805" s="78">
        <v>1275.0725865512186</v>
      </c>
    </row>
    <row r="806" spans="1:22" s="79" customFormat="1" ht="36" customHeight="1" x14ac:dyDescent="0.25">
      <c r="A806" s="79">
        <v>1</v>
      </c>
      <c r="B806" s="80">
        <f>SUBTOTAL(103,$A$552:A806)</f>
        <v>249</v>
      </c>
      <c r="C806" s="77" t="s">
        <v>2906</v>
      </c>
      <c r="D806" s="233">
        <v>2002</v>
      </c>
      <c r="E806" s="233"/>
      <c r="F806" s="233" t="s">
        <v>256</v>
      </c>
      <c r="G806" s="233">
        <v>5</v>
      </c>
      <c r="H806" s="233" t="s">
        <v>299</v>
      </c>
      <c r="I806" s="234">
        <v>5019</v>
      </c>
      <c r="J806" s="234">
        <v>2368</v>
      </c>
      <c r="K806" s="234">
        <v>2368</v>
      </c>
      <c r="L806" s="239">
        <v>93</v>
      </c>
      <c r="M806" s="233" t="s">
        <v>254</v>
      </c>
      <c r="N806" s="233" t="s">
        <v>258</v>
      </c>
      <c r="O806" s="236" t="s">
        <v>660</v>
      </c>
      <c r="P806" s="78">
        <v>105626.75</v>
      </c>
      <c r="Q806" s="78">
        <v>0</v>
      </c>
      <c r="R806" s="78">
        <v>0</v>
      </c>
      <c r="S806" s="78">
        <v>0</v>
      </c>
      <c r="T806" s="78">
        <f t="shared" si="54"/>
        <v>105626.75</v>
      </c>
      <c r="U806" s="78">
        <f t="shared" si="51"/>
        <v>21.045377565252043</v>
      </c>
      <c r="V806" s="81">
        <v>21.045377565252043</v>
      </c>
    </row>
    <row r="807" spans="1:22" s="79" customFormat="1" ht="36" customHeight="1" x14ac:dyDescent="0.25">
      <c r="A807" s="79">
        <v>1</v>
      </c>
      <c r="B807" s="80">
        <f>SUBTOTAL(103,$A$552:A807)</f>
        <v>250</v>
      </c>
      <c r="C807" s="77" t="s">
        <v>2909</v>
      </c>
      <c r="D807" s="233">
        <v>1994</v>
      </c>
      <c r="E807" s="233"/>
      <c r="F807" s="233" t="s">
        <v>304</v>
      </c>
      <c r="G807" s="233" t="s">
        <v>337</v>
      </c>
      <c r="H807" s="233" t="s">
        <v>299</v>
      </c>
      <c r="I807" s="234">
        <v>5512.6</v>
      </c>
      <c r="J807" s="234">
        <v>3370.2</v>
      </c>
      <c r="K807" s="234">
        <v>3370.2</v>
      </c>
      <c r="L807" s="239">
        <v>137</v>
      </c>
      <c r="M807" s="233" t="s">
        <v>254</v>
      </c>
      <c r="N807" s="233" t="s">
        <v>258</v>
      </c>
      <c r="O807" s="236" t="s">
        <v>660</v>
      </c>
      <c r="P807" s="78">
        <v>176363.02</v>
      </c>
      <c r="Q807" s="78">
        <v>0</v>
      </c>
      <c r="R807" s="78">
        <v>0</v>
      </c>
      <c r="S807" s="78">
        <v>0</v>
      </c>
      <c r="T807" s="78">
        <f t="shared" si="54"/>
        <v>176363.02</v>
      </c>
      <c r="U807" s="78">
        <f t="shared" si="51"/>
        <v>31.992711243333449</v>
      </c>
      <c r="V807" s="78">
        <v>31.992711243333449</v>
      </c>
    </row>
    <row r="808" spans="1:22" s="79" customFormat="1" ht="36" customHeight="1" x14ac:dyDescent="0.25">
      <c r="A808" s="79">
        <v>1</v>
      </c>
      <c r="B808" s="80">
        <f>SUBTOTAL(103,$A$552:A808)</f>
        <v>251</v>
      </c>
      <c r="C808" s="77" t="s">
        <v>2916</v>
      </c>
      <c r="D808" s="233">
        <v>1989</v>
      </c>
      <c r="E808" s="233">
        <v>2015</v>
      </c>
      <c r="F808" s="233" t="s">
        <v>256</v>
      </c>
      <c r="G808" s="233">
        <v>9</v>
      </c>
      <c r="H808" s="233" t="s">
        <v>290</v>
      </c>
      <c r="I808" s="78">
        <v>6378.7</v>
      </c>
      <c r="J808" s="78">
        <v>3794.9</v>
      </c>
      <c r="K808" s="78">
        <v>3627.7</v>
      </c>
      <c r="L808" s="239">
        <v>187</v>
      </c>
      <c r="M808" s="233" t="s">
        <v>254</v>
      </c>
      <c r="N808" s="233" t="s">
        <v>258</v>
      </c>
      <c r="O808" s="236" t="s">
        <v>660</v>
      </c>
      <c r="P808" s="78">
        <v>1081603.1399999999</v>
      </c>
      <c r="Q808" s="78">
        <v>0</v>
      </c>
      <c r="R808" s="78">
        <v>0</v>
      </c>
      <c r="S808" s="78">
        <v>0</v>
      </c>
      <c r="T808" s="78">
        <f t="shared" si="54"/>
        <v>1081603.1399999999</v>
      </c>
      <c r="U808" s="78">
        <f t="shared" si="51"/>
        <v>169.56482355338861</v>
      </c>
      <c r="V808" s="78">
        <v>5076.3999999999996</v>
      </c>
    </row>
    <row r="809" spans="1:22" s="79" customFormat="1" ht="36" customHeight="1" x14ac:dyDescent="0.25">
      <c r="A809" s="79">
        <v>1</v>
      </c>
      <c r="B809" s="80">
        <f>SUBTOTAL(103,$A$552:A809)</f>
        <v>252</v>
      </c>
      <c r="C809" s="77" t="s">
        <v>2907</v>
      </c>
      <c r="D809" s="233">
        <v>1964</v>
      </c>
      <c r="E809" s="233"/>
      <c r="F809" s="233" t="s">
        <v>256</v>
      </c>
      <c r="G809" s="233">
        <v>2</v>
      </c>
      <c r="H809" s="233" t="s">
        <v>290</v>
      </c>
      <c r="I809" s="234">
        <v>680.2</v>
      </c>
      <c r="J809" s="234">
        <v>356</v>
      </c>
      <c r="K809" s="234">
        <v>356</v>
      </c>
      <c r="L809" s="239">
        <v>22</v>
      </c>
      <c r="M809" s="233" t="s">
        <v>254</v>
      </c>
      <c r="N809" s="233" t="s">
        <v>258</v>
      </c>
      <c r="O809" s="236" t="s">
        <v>660</v>
      </c>
      <c r="P809" s="78">
        <v>84899.97</v>
      </c>
      <c r="Q809" s="78">
        <v>0</v>
      </c>
      <c r="R809" s="78">
        <v>0</v>
      </c>
      <c r="S809" s="78">
        <v>0</v>
      </c>
      <c r="T809" s="78">
        <f t="shared" si="54"/>
        <v>84899.97</v>
      </c>
      <c r="U809" s="78">
        <f t="shared" si="51"/>
        <v>124.81618641576006</v>
      </c>
      <c r="V809" s="81">
        <v>124.81618641576006</v>
      </c>
    </row>
    <row r="810" spans="1:22" s="79" customFormat="1" ht="36" customHeight="1" x14ac:dyDescent="0.25">
      <c r="A810" s="79">
        <v>1</v>
      </c>
      <c r="B810" s="80">
        <f>SUBTOTAL(103,$A$552:A810)</f>
        <v>253</v>
      </c>
      <c r="C810" s="77" t="s">
        <v>2908</v>
      </c>
      <c r="D810" s="233">
        <v>1983</v>
      </c>
      <c r="E810" s="233"/>
      <c r="F810" s="233" t="s">
        <v>256</v>
      </c>
      <c r="G810" s="233">
        <v>5</v>
      </c>
      <c r="H810" s="233" t="s">
        <v>295</v>
      </c>
      <c r="I810" s="78">
        <v>4169.3</v>
      </c>
      <c r="J810" s="78">
        <v>2760.1</v>
      </c>
      <c r="K810" s="78">
        <v>2760.1</v>
      </c>
      <c r="L810" s="239">
        <v>121</v>
      </c>
      <c r="M810" s="233" t="s">
        <v>254</v>
      </c>
      <c r="N810" s="233" t="s">
        <v>258</v>
      </c>
      <c r="O810" s="236" t="s">
        <v>1278</v>
      </c>
      <c r="P810" s="78">
        <v>108323.22</v>
      </c>
      <c r="Q810" s="78">
        <v>0</v>
      </c>
      <c r="R810" s="78">
        <v>0</v>
      </c>
      <c r="S810" s="78">
        <v>0</v>
      </c>
      <c r="T810" s="78">
        <f t="shared" si="54"/>
        <v>108323.22</v>
      </c>
      <c r="U810" s="78">
        <f t="shared" si="51"/>
        <v>25.981152711486338</v>
      </c>
      <c r="V810" s="81">
        <v>25.981152711486338</v>
      </c>
    </row>
    <row r="811" spans="1:22" s="79" customFormat="1" ht="36" customHeight="1" x14ac:dyDescent="0.25">
      <c r="A811" s="79">
        <v>1</v>
      </c>
      <c r="B811" s="80">
        <f>SUBTOTAL(103,$A$552:A811)</f>
        <v>254</v>
      </c>
      <c r="C811" s="77" t="s">
        <v>2917</v>
      </c>
      <c r="D811" s="233">
        <v>2001</v>
      </c>
      <c r="E811" s="233"/>
      <c r="F811" s="233" t="s">
        <v>256</v>
      </c>
      <c r="G811" s="233">
        <v>5</v>
      </c>
      <c r="H811" s="233" t="s">
        <v>337</v>
      </c>
      <c r="I811" s="234">
        <v>6330.6</v>
      </c>
      <c r="J811" s="234">
        <v>3627.4</v>
      </c>
      <c r="K811" s="234">
        <v>3627.4</v>
      </c>
      <c r="L811" s="239">
        <v>157</v>
      </c>
      <c r="M811" s="233" t="s">
        <v>254</v>
      </c>
      <c r="N811" s="233" t="s">
        <v>258</v>
      </c>
      <c r="O811" s="236" t="s">
        <v>660</v>
      </c>
      <c r="P811" s="78">
        <v>2931947.35</v>
      </c>
      <c r="Q811" s="78">
        <v>0</v>
      </c>
      <c r="R811" s="78">
        <v>0</v>
      </c>
      <c r="S811" s="78">
        <v>0</v>
      </c>
      <c r="T811" s="78">
        <f t="shared" si="54"/>
        <v>2931947.35</v>
      </c>
      <c r="U811" s="78">
        <f t="shared" si="51"/>
        <v>463.13893627776196</v>
      </c>
      <c r="V811" s="78">
        <v>1564.9119261997284</v>
      </c>
    </row>
    <row r="812" spans="1:22" s="79" customFormat="1" ht="36" customHeight="1" x14ac:dyDescent="0.25">
      <c r="B812" s="77" t="s">
        <v>762</v>
      </c>
      <c r="C812" s="77"/>
      <c r="D812" s="233" t="s">
        <v>835</v>
      </c>
      <c r="E812" s="233" t="s">
        <v>835</v>
      </c>
      <c r="F812" s="233" t="s">
        <v>835</v>
      </c>
      <c r="G812" s="233" t="s">
        <v>835</v>
      </c>
      <c r="H812" s="233" t="s">
        <v>835</v>
      </c>
      <c r="I812" s="234">
        <f>SUM(I813:I817)</f>
        <v>5268.6</v>
      </c>
      <c r="J812" s="234">
        <f>SUM(J813:J817)</f>
        <v>4273.6000000000004</v>
      </c>
      <c r="K812" s="234">
        <f>SUM(K813:K817)</f>
        <v>4114.7000000000007</v>
      </c>
      <c r="L812" s="235">
        <f>SUM(L813:L817)</f>
        <v>209</v>
      </c>
      <c r="M812" s="233" t="s">
        <v>835</v>
      </c>
      <c r="N812" s="233" t="s">
        <v>835</v>
      </c>
      <c r="O812" s="236" t="s">
        <v>835</v>
      </c>
      <c r="P812" s="237">
        <v>7749775.5699999994</v>
      </c>
      <c r="Q812" s="234">
        <f>SUM(Q813:Q817)</f>
        <v>0</v>
      </c>
      <c r="R812" s="234">
        <f>SUM(R813:R817)</f>
        <v>0</v>
      </c>
      <c r="S812" s="234">
        <f>SUM(S813:S817)</f>
        <v>0</v>
      </c>
      <c r="T812" s="234">
        <f>SUM(T813:T817)</f>
        <v>7749775.5699999994</v>
      </c>
      <c r="U812" s="78">
        <f t="shared" si="51"/>
        <v>1470.9364100520061</v>
      </c>
      <c r="V812" s="78">
        <f>MAX(V813:V817)</f>
        <v>4689.6684446737181</v>
      </c>
    </row>
    <row r="813" spans="1:22" s="79" customFormat="1" ht="36" customHeight="1" x14ac:dyDescent="0.25">
      <c r="A813" s="79">
        <v>1</v>
      </c>
      <c r="B813" s="80">
        <f>SUBTOTAL(103,$A$552:A813)</f>
        <v>255</v>
      </c>
      <c r="C813" s="77" t="s">
        <v>599</v>
      </c>
      <c r="D813" s="233">
        <v>1937</v>
      </c>
      <c r="E813" s="233"/>
      <c r="F813" s="233" t="s">
        <v>316</v>
      </c>
      <c r="G813" s="233">
        <v>2</v>
      </c>
      <c r="H813" s="233" t="s">
        <v>290</v>
      </c>
      <c r="I813" s="234">
        <v>423.5</v>
      </c>
      <c r="J813" s="234">
        <v>301.89999999999998</v>
      </c>
      <c r="K813" s="234">
        <v>301.89999999999998</v>
      </c>
      <c r="L813" s="239">
        <v>26</v>
      </c>
      <c r="M813" s="233" t="s">
        <v>254</v>
      </c>
      <c r="N813" s="233" t="s">
        <v>271</v>
      </c>
      <c r="O813" s="236" t="s">
        <v>257</v>
      </c>
      <c r="P813" s="78">
        <v>55616.21</v>
      </c>
      <c r="Q813" s="78">
        <v>0</v>
      </c>
      <c r="R813" s="78">
        <v>0</v>
      </c>
      <c r="S813" s="78">
        <v>0</v>
      </c>
      <c r="T813" s="78">
        <f>P813-R813-S813</f>
        <v>55616.21</v>
      </c>
      <c r="U813" s="78">
        <f t="shared" si="51"/>
        <v>131.32517119244392</v>
      </c>
      <c r="V813" s="81">
        <v>131.32517119244392</v>
      </c>
    </row>
    <row r="814" spans="1:22" s="79" customFormat="1" ht="36" customHeight="1" x14ac:dyDescent="0.25">
      <c r="A814" s="79">
        <v>1</v>
      </c>
      <c r="B814" s="80">
        <f>SUBTOTAL(103,$A$552:A814)</f>
        <v>256</v>
      </c>
      <c r="C814" s="77" t="s">
        <v>1815</v>
      </c>
      <c r="D814" s="233">
        <v>1972</v>
      </c>
      <c r="E814" s="233"/>
      <c r="F814" s="233" t="s">
        <v>1479</v>
      </c>
      <c r="G814" s="233" t="s">
        <v>290</v>
      </c>
      <c r="H814" s="233" t="s">
        <v>290</v>
      </c>
      <c r="I814" s="234">
        <v>770.7</v>
      </c>
      <c r="J814" s="234">
        <v>710.1</v>
      </c>
      <c r="K814" s="234">
        <v>710.1</v>
      </c>
      <c r="L814" s="239">
        <v>29</v>
      </c>
      <c r="M814" s="233" t="s">
        <v>254</v>
      </c>
      <c r="N814" s="233" t="s">
        <v>258</v>
      </c>
      <c r="O814" s="236" t="s">
        <v>661</v>
      </c>
      <c r="P814" s="78">
        <v>84253.17</v>
      </c>
      <c r="Q814" s="78">
        <v>0</v>
      </c>
      <c r="R814" s="78">
        <v>0</v>
      </c>
      <c r="S814" s="78">
        <v>0</v>
      </c>
      <c r="T814" s="78">
        <f t="shared" ref="T814" si="55">P814-R814-S814</f>
        <v>84253.17</v>
      </c>
      <c r="U814" s="78">
        <f t="shared" si="51"/>
        <v>109.32031919034642</v>
      </c>
      <c r="V814" s="78">
        <v>109.32031919034642</v>
      </c>
    </row>
    <row r="815" spans="1:22" s="79" customFormat="1" ht="36" customHeight="1" x14ac:dyDescent="0.25">
      <c r="A815" s="79">
        <v>1</v>
      </c>
      <c r="B815" s="80">
        <f>SUBTOTAL(103,$A$552:A815)</f>
        <v>257</v>
      </c>
      <c r="C815" s="77" t="s">
        <v>600</v>
      </c>
      <c r="D815" s="233">
        <v>1975</v>
      </c>
      <c r="E815" s="233"/>
      <c r="F815" s="233" t="s">
        <v>256</v>
      </c>
      <c r="G815" s="233">
        <v>3</v>
      </c>
      <c r="H815" s="233" t="s">
        <v>290</v>
      </c>
      <c r="I815" s="234">
        <v>1248.5999999999999</v>
      </c>
      <c r="J815" s="234">
        <v>1155.9000000000001</v>
      </c>
      <c r="K815" s="234">
        <v>1155.9000000000001</v>
      </c>
      <c r="L815" s="239">
        <v>53</v>
      </c>
      <c r="M815" s="233" t="s">
        <v>254</v>
      </c>
      <c r="N815" s="233" t="s">
        <v>258</v>
      </c>
      <c r="O815" s="236" t="s">
        <v>655</v>
      </c>
      <c r="P815" s="78">
        <v>3479820.42</v>
      </c>
      <c r="Q815" s="78">
        <v>0</v>
      </c>
      <c r="R815" s="78">
        <v>0</v>
      </c>
      <c r="S815" s="78">
        <v>0</v>
      </c>
      <c r="T815" s="78">
        <f>P815-R815-S815</f>
        <v>3479820.42</v>
      </c>
      <c r="U815" s="78">
        <f t="shared" si="51"/>
        <v>2786.977751081211</v>
      </c>
      <c r="V815" s="78">
        <v>4363.5363126701914</v>
      </c>
    </row>
    <row r="816" spans="1:22" s="79" customFormat="1" ht="36" customHeight="1" x14ac:dyDescent="0.25">
      <c r="A816" s="79">
        <v>1</v>
      </c>
      <c r="B816" s="80">
        <f>SUBTOTAL(103,$A$552:A816)</f>
        <v>258</v>
      </c>
      <c r="C816" s="77" t="s">
        <v>598</v>
      </c>
      <c r="D816" s="233">
        <v>1959</v>
      </c>
      <c r="E816" s="233"/>
      <c r="F816" s="233" t="s">
        <v>256</v>
      </c>
      <c r="G816" s="233">
        <v>3</v>
      </c>
      <c r="H816" s="233" t="s">
        <v>299</v>
      </c>
      <c r="I816" s="234">
        <v>1163.0999999999999</v>
      </c>
      <c r="J816" s="234">
        <v>1058.9000000000001</v>
      </c>
      <c r="K816" s="234">
        <v>996.7</v>
      </c>
      <c r="L816" s="239">
        <v>42</v>
      </c>
      <c r="M816" s="233" t="s">
        <v>254</v>
      </c>
      <c r="N816" s="233" t="s">
        <v>258</v>
      </c>
      <c r="O816" s="236" t="s">
        <v>661</v>
      </c>
      <c r="P816" s="78">
        <v>4016621.56</v>
      </c>
      <c r="Q816" s="78">
        <v>0</v>
      </c>
      <c r="R816" s="78">
        <v>0</v>
      </c>
      <c r="S816" s="78">
        <v>0</v>
      </c>
      <c r="T816" s="78">
        <f>P816-R816-S816</f>
        <v>4016621.56</v>
      </c>
      <c r="U816" s="78">
        <f t="shared" si="51"/>
        <v>3453.3759435990028</v>
      </c>
      <c r="V816" s="78">
        <v>4689.6684446737181</v>
      </c>
    </row>
    <row r="817" spans="1:22" s="79" customFormat="1" ht="36" customHeight="1" x14ac:dyDescent="0.25">
      <c r="A817" s="79">
        <v>1</v>
      </c>
      <c r="B817" s="80">
        <f>SUBTOTAL(103,$A$552:A817)</f>
        <v>259</v>
      </c>
      <c r="C817" s="77" t="s">
        <v>1816</v>
      </c>
      <c r="D817" s="233">
        <v>1959</v>
      </c>
      <c r="E817" s="233"/>
      <c r="F817" s="233" t="s">
        <v>1479</v>
      </c>
      <c r="G817" s="233" t="s">
        <v>299</v>
      </c>
      <c r="H817" s="233" t="s">
        <v>299</v>
      </c>
      <c r="I817" s="234">
        <v>1662.7</v>
      </c>
      <c r="J817" s="234">
        <v>1046.8</v>
      </c>
      <c r="K817" s="234">
        <v>950.1</v>
      </c>
      <c r="L817" s="239">
        <v>59</v>
      </c>
      <c r="M817" s="233" t="s">
        <v>254</v>
      </c>
      <c r="N817" s="233" t="s">
        <v>258</v>
      </c>
      <c r="O817" s="236" t="s">
        <v>661</v>
      </c>
      <c r="P817" s="78">
        <v>113464.21</v>
      </c>
      <c r="Q817" s="78">
        <v>0</v>
      </c>
      <c r="R817" s="78">
        <v>0</v>
      </c>
      <c r="S817" s="78">
        <v>0</v>
      </c>
      <c r="T817" s="78">
        <f t="shared" ref="T817" si="56">P817-R817-S817</f>
        <v>113464.21</v>
      </c>
      <c r="U817" s="78">
        <f t="shared" si="51"/>
        <v>68.240939435857342</v>
      </c>
      <c r="V817" s="78">
        <v>68.240939435857342</v>
      </c>
    </row>
    <row r="818" spans="1:22" s="79" customFormat="1" ht="36" customHeight="1" x14ac:dyDescent="0.25">
      <c r="B818" s="77" t="s">
        <v>763</v>
      </c>
      <c r="C818" s="77"/>
      <c r="D818" s="233" t="s">
        <v>835</v>
      </c>
      <c r="E818" s="233" t="s">
        <v>835</v>
      </c>
      <c r="F818" s="233" t="s">
        <v>835</v>
      </c>
      <c r="G818" s="233" t="s">
        <v>835</v>
      </c>
      <c r="H818" s="233" t="s">
        <v>835</v>
      </c>
      <c r="I818" s="234">
        <f>SUM(I819:I822)</f>
        <v>11803.32</v>
      </c>
      <c r="J818" s="234">
        <f>SUM(J819:J822)</f>
        <v>8101.62</v>
      </c>
      <c r="K818" s="234">
        <f>SUM(K819:K822)</f>
        <v>8101.62</v>
      </c>
      <c r="L818" s="235">
        <f>SUM(L819:L822)</f>
        <v>483</v>
      </c>
      <c r="M818" s="233" t="s">
        <v>835</v>
      </c>
      <c r="N818" s="233" t="s">
        <v>835</v>
      </c>
      <c r="O818" s="236" t="s">
        <v>835</v>
      </c>
      <c r="P818" s="237">
        <v>8707199.9100000001</v>
      </c>
      <c r="Q818" s="234">
        <f>SUM(Q819:Q822)</f>
        <v>0</v>
      </c>
      <c r="R818" s="234">
        <f>SUM(R819:R822)</f>
        <v>0</v>
      </c>
      <c r="S818" s="234">
        <f>SUM(S819:S822)</f>
        <v>0</v>
      </c>
      <c r="T818" s="234">
        <f>SUM(T819:T822)</f>
        <v>8707199.9100000001</v>
      </c>
      <c r="U818" s="78">
        <f t="shared" si="51"/>
        <v>737.69074379073015</v>
      </c>
      <c r="V818" s="78">
        <f>MAX(V819:V822)</f>
        <v>3505.7206376523254</v>
      </c>
    </row>
    <row r="819" spans="1:22" s="79" customFormat="1" ht="36" customHeight="1" x14ac:dyDescent="0.25">
      <c r="A819" s="79">
        <v>1</v>
      </c>
      <c r="B819" s="80">
        <f>SUBTOTAL(103,$A$552:A819)</f>
        <v>260</v>
      </c>
      <c r="C819" s="77" t="s">
        <v>605</v>
      </c>
      <c r="D819" s="233">
        <v>1978</v>
      </c>
      <c r="E819" s="233"/>
      <c r="F819" s="233" t="s">
        <v>256</v>
      </c>
      <c r="G819" s="233">
        <v>3</v>
      </c>
      <c r="H819" s="233" t="s">
        <v>290</v>
      </c>
      <c r="I819" s="234">
        <v>1608.4</v>
      </c>
      <c r="J819" s="234">
        <v>1122.9000000000001</v>
      </c>
      <c r="K819" s="234">
        <v>1122.9000000000001</v>
      </c>
      <c r="L819" s="239">
        <v>53</v>
      </c>
      <c r="M819" s="233" t="s">
        <v>254</v>
      </c>
      <c r="N819" s="233" t="s">
        <v>258</v>
      </c>
      <c r="O819" s="236" t="s">
        <v>935</v>
      </c>
      <c r="P819" s="78">
        <v>4280600.08</v>
      </c>
      <c r="Q819" s="78">
        <v>0</v>
      </c>
      <c r="R819" s="78">
        <v>0</v>
      </c>
      <c r="S819" s="78">
        <v>0</v>
      </c>
      <c r="T819" s="78">
        <f>P819-R819-S819</f>
        <v>4280600.08</v>
      </c>
      <c r="U819" s="78">
        <f t="shared" si="51"/>
        <v>2661.4026858990301</v>
      </c>
      <c r="V819" s="78">
        <v>3505.7206376523254</v>
      </c>
    </row>
    <row r="820" spans="1:22" s="79" customFormat="1" ht="36" customHeight="1" x14ac:dyDescent="0.25">
      <c r="A820" s="79">
        <v>1</v>
      </c>
      <c r="B820" s="80">
        <f>SUBTOTAL(103,$A$552:A820)</f>
        <v>261</v>
      </c>
      <c r="C820" s="77" t="s">
        <v>608</v>
      </c>
      <c r="D820" s="233">
        <v>1986</v>
      </c>
      <c r="E820" s="233"/>
      <c r="F820" s="233" t="s">
        <v>256</v>
      </c>
      <c r="G820" s="233">
        <v>5</v>
      </c>
      <c r="H820" s="233" t="s">
        <v>355</v>
      </c>
      <c r="I820" s="234">
        <v>5164.1000000000004</v>
      </c>
      <c r="J820" s="234">
        <v>3835.7</v>
      </c>
      <c r="K820" s="234">
        <v>3835.7</v>
      </c>
      <c r="L820" s="239">
        <v>196</v>
      </c>
      <c r="M820" s="233" t="s">
        <v>254</v>
      </c>
      <c r="N820" s="233" t="s">
        <v>258</v>
      </c>
      <c r="O820" s="236" t="s">
        <v>665</v>
      </c>
      <c r="P820" s="78">
        <v>4194843.93</v>
      </c>
      <c r="Q820" s="78">
        <v>0</v>
      </c>
      <c r="R820" s="78">
        <v>0</v>
      </c>
      <c r="S820" s="78">
        <v>0</v>
      </c>
      <c r="T820" s="78">
        <f>P820-R820-S820</f>
        <v>4194843.93</v>
      </c>
      <c r="U820" s="78">
        <f t="shared" si="51"/>
        <v>812.30881082860503</v>
      </c>
      <c r="V820" s="78">
        <v>1839.4751344087063</v>
      </c>
    </row>
    <row r="821" spans="1:22" s="79" customFormat="1" ht="36" customHeight="1" x14ac:dyDescent="0.25">
      <c r="A821" s="79">
        <v>1</v>
      </c>
      <c r="B821" s="80">
        <f>SUBTOTAL(103,$A$552:A821)</f>
        <v>262</v>
      </c>
      <c r="C821" s="77" t="s">
        <v>1790</v>
      </c>
      <c r="D821" s="233">
        <v>1965</v>
      </c>
      <c r="E821" s="233"/>
      <c r="F821" s="233" t="s">
        <v>256</v>
      </c>
      <c r="G821" s="233">
        <v>4</v>
      </c>
      <c r="H821" s="233" t="s">
        <v>299</v>
      </c>
      <c r="I821" s="234">
        <v>3674.31</v>
      </c>
      <c r="J821" s="234">
        <v>2209.41</v>
      </c>
      <c r="K821" s="234">
        <v>2209.41</v>
      </c>
      <c r="L821" s="239">
        <v>170</v>
      </c>
      <c r="M821" s="233" t="s">
        <v>254</v>
      </c>
      <c r="N821" s="233" t="s">
        <v>258</v>
      </c>
      <c r="O821" s="236" t="s">
        <v>1791</v>
      </c>
      <c r="P821" s="78">
        <v>175453.56</v>
      </c>
      <c r="Q821" s="78">
        <v>0</v>
      </c>
      <c r="R821" s="78">
        <v>0</v>
      </c>
      <c r="S821" s="78">
        <v>0</v>
      </c>
      <c r="T821" s="78">
        <f>P821-R821-S821</f>
        <v>175453.56</v>
      </c>
      <c r="U821" s="78">
        <f t="shared" si="51"/>
        <v>47.751430880900088</v>
      </c>
      <c r="V821" s="81">
        <v>47.751430880900088</v>
      </c>
    </row>
    <row r="822" spans="1:22" s="79" customFormat="1" ht="36" customHeight="1" x14ac:dyDescent="0.25">
      <c r="A822" s="79">
        <v>1</v>
      </c>
      <c r="B822" s="80">
        <f>SUBTOTAL(103,$A$552:A822)</f>
        <v>263</v>
      </c>
      <c r="C822" s="77" t="s">
        <v>1805</v>
      </c>
      <c r="D822" s="233">
        <v>1962</v>
      </c>
      <c r="E822" s="233"/>
      <c r="F822" s="233" t="s">
        <v>1479</v>
      </c>
      <c r="G822" s="233" t="s">
        <v>299</v>
      </c>
      <c r="H822" s="233" t="s">
        <v>290</v>
      </c>
      <c r="I822" s="234">
        <v>1356.51</v>
      </c>
      <c r="J822" s="234">
        <v>933.61</v>
      </c>
      <c r="K822" s="234">
        <v>933.61</v>
      </c>
      <c r="L822" s="239">
        <v>64</v>
      </c>
      <c r="M822" s="233" t="s">
        <v>254</v>
      </c>
      <c r="N822" s="233" t="s">
        <v>258</v>
      </c>
      <c r="O822" s="236" t="s">
        <v>1238</v>
      </c>
      <c r="P822" s="78">
        <v>56302.34</v>
      </c>
      <c r="Q822" s="78">
        <v>0</v>
      </c>
      <c r="R822" s="78">
        <v>0</v>
      </c>
      <c r="S822" s="78">
        <v>0</v>
      </c>
      <c r="T822" s="78">
        <f>P822-R822-S822</f>
        <v>56302.34</v>
      </c>
      <c r="U822" s="78">
        <f t="shared" si="51"/>
        <v>41.505289308593376</v>
      </c>
      <c r="V822" s="81">
        <v>41.505289308593376</v>
      </c>
    </row>
    <row r="823" spans="1:22" s="79" customFormat="1" ht="36" customHeight="1" x14ac:dyDescent="0.25">
      <c r="B823" s="77" t="s">
        <v>764</v>
      </c>
      <c r="C823" s="240"/>
      <c r="D823" s="233" t="s">
        <v>835</v>
      </c>
      <c r="E823" s="233" t="s">
        <v>835</v>
      </c>
      <c r="F823" s="233" t="s">
        <v>835</v>
      </c>
      <c r="G823" s="233" t="s">
        <v>835</v>
      </c>
      <c r="H823" s="233" t="s">
        <v>835</v>
      </c>
      <c r="I823" s="234">
        <f>SUM(I824:I824)</f>
        <v>2782.7</v>
      </c>
      <c r="J823" s="234">
        <f>SUM(J824:J824)</f>
        <v>2782.7</v>
      </c>
      <c r="K823" s="234">
        <f>SUM(K824:K824)</f>
        <v>2782.7</v>
      </c>
      <c r="L823" s="235">
        <f>SUM(L824:L824)</f>
        <v>103</v>
      </c>
      <c r="M823" s="233" t="s">
        <v>835</v>
      </c>
      <c r="N823" s="233" t="s">
        <v>835</v>
      </c>
      <c r="O823" s="236" t="s">
        <v>835</v>
      </c>
      <c r="P823" s="237">
        <v>3324897.97</v>
      </c>
      <c r="Q823" s="234">
        <f>SUM(Q824:Q824)</f>
        <v>0</v>
      </c>
      <c r="R823" s="234">
        <f>SUM(R824:R824)</f>
        <v>0</v>
      </c>
      <c r="S823" s="234">
        <f>SUM(S824:S824)</f>
        <v>0</v>
      </c>
      <c r="T823" s="234">
        <f>SUM(T824:T824)</f>
        <v>3324897.97</v>
      </c>
      <c r="U823" s="78">
        <f t="shared" si="51"/>
        <v>1194.8460020843067</v>
      </c>
      <c r="V823" s="78">
        <f>MAX(V824:V824)</f>
        <v>2504.3465342293457</v>
      </c>
    </row>
    <row r="824" spans="1:22" s="79" customFormat="1" ht="36" customHeight="1" x14ac:dyDescent="0.25">
      <c r="A824" s="79">
        <v>1</v>
      </c>
      <c r="B824" s="80">
        <f>SUBTOTAL(103,$A$552:A824)</f>
        <v>264</v>
      </c>
      <c r="C824" s="77" t="s">
        <v>709</v>
      </c>
      <c r="D824" s="233">
        <v>1985</v>
      </c>
      <c r="E824" s="233"/>
      <c r="F824" s="233" t="s">
        <v>256</v>
      </c>
      <c r="G824" s="233">
        <v>5</v>
      </c>
      <c r="H824" s="233" t="s">
        <v>295</v>
      </c>
      <c r="I824" s="234">
        <v>2782.7</v>
      </c>
      <c r="J824" s="234">
        <v>2782.7</v>
      </c>
      <c r="K824" s="234">
        <v>2782.7</v>
      </c>
      <c r="L824" s="239">
        <v>103</v>
      </c>
      <c r="M824" s="233" t="s">
        <v>254</v>
      </c>
      <c r="N824" s="233" t="s">
        <v>327</v>
      </c>
      <c r="O824" s="236" t="s">
        <v>670</v>
      </c>
      <c r="P824" s="78">
        <v>3324897.97</v>
      </c>
      <c r="Q824" s="78">
        <v>0</v>
      </c>
      <c r="R824" s="78">
        <v>0</v>
      </c>
      <c r="S824" s="78">
        <v>0</v>
      </c>
      <c r="T824" s="78">
        <f>P824-R824-S824</f>
        <v>3324897.97</v>
      </c>
      <c r="U824" s="78">
        <f t="shared" si="51"/>
        <v>1194.8460020843067</v>
      </c>
      <c r="V824" s="78">
        <v>2504.3465342293457</v>
      </c>
    </row>
    <row r="825" spans="1:22" s="79" customFormat="1" ht="36" customHeight="1" x14ac:dyDescent="0.25">
      <c r="B825" s="77" t="s">
        <v>766</v>
      </c>
      <c r="C825" s="77"/>
      <c r="D825" s="233" t="s">
        <v>835</v>
      </c>
      <c r="E825" s="233" t="s">
        <v>835</v>
      </c>
      <c r="F825" s="233" t="s">
        <v>835</v>
      </c>
      <c r="G825" s="233" t="s">
        <v>835</v>
      </c>
      <c r="H825" s="233" t="s">
        <v>835</v>
      </c>
      <c r="I825" s="234">
        <f>SUM(I826:I827)</f>
        <v>1151.5</v>
      </c>
      <c r="J825" s="234">
        <f>SUM(J826:J827)</f>
        <v>984.9</v>
      </c>
      <c r="K825" s="234">
        <f>SUM(K826:K827)</f>
        <v>984.9</v>
      </c>
      <c r="L825" s="235">
        <f>SUM(L826:L827)</f>
        <v>39</v>
      </c>
      <c r="M825" s="233" t="s">
        <v>835</v>
      </c>
      <c r="N825" s="233" t="s">
        <v>835</v>
      </c>
      <c r="O825" s="236" t="s">
        <v>835</v>
      </c>
      <c r="P825" s="237">
        <v>221036.09999999998</v>
      </c>
      <c r="Q825" s="234">
        <f>SUM(Q826:Q827)</f>
        <v>0</v>
      </c>
      <c r="R825" s="234">
        <f>SUM(R826:R827)</f>
        <v>0</v>
      </c>
      <c r="S825" s="234">
        <f>SUM(S826:S827)</f>
        <v>0</v>
      </c>
      <c r="T825" s="234">
        <f>SUM(T826:T827)</f>
        <v>221036.09999999998</v>
      </c>
      <c r="U825" s="78">
        <f t="shared" si="51"/>
        <v>191.95492835432043</v>
      </c>
      <c r="V825" s="78">
        <f>MAX(V826:V827)</f>
        <v>810.46</v>
      </c>
    </row>
    <row r="826" spans="1:22" s="79" customFormat="1" ht="36" customHeight="1" x14ac:dyDescent="0.25">
      <c r="A826" s="79">
        <v>1</v>
      </c>
      <c r="B826" s="80">
        <f>SUBTOTAL(103,$A$552:A826)</f>
        <v>265</v>
      </c>
      <c r="C826" s="77" t="s">
        <v>637</v>
      </c>
      <c r="D826" s="233">
        <v>1975</v>
      </c>
      <c r="E826" s="233"/>
      <c r="F826" s="233" t="s">
        <v>256</v>
      </c>
      <c r="G826" s="233">
        <v>2</v>
      </c>
      <c r="H826" s="233" t="s">
        <v>290</v>
      </c>
      <c r="I826" s="234">
        <v>850.7</v>
      </c>
      <c r="J826" s="234">
        <v>705.9</v>
      </c>
      <c r="K826" s="234">
        <v>705.9</v>
      </c>
      <c r="L826" s="239">
        <v>22</v>
      </c>
      <c r="M826" s="233" t="s">
        <v>254</v>
      </c>
      <c r="N826" s="233" t="s">
        <v>255</v>
      </c>
      <c r="O826" s="236" t="s">
        <v>257</v>
      </c>
      <c r="P826" s="78">
        <v>77608.14</v>
      </c>
      <c r="Q826" s="78">
        <v>0</v>
      </c>
      <c r="R826" s="78">
        <v>0</v>
      </c>
      <c r="S826" s="78">
        <v>0</v>
      </c>
      <c r="T826" s="78">
        <f>P826-R826-S826</f>
        <v>77608.14</v>
      </c>
      <c r="U826" s="78">
        <f t="shared" si="51"/>
        <v>91.228564711414123</v>
      </c>
      <c r="V826" s="81">
        <v>91.228564711414123</v>
      </c>
    </row>
    <row r="827" spans="1:22" s="79" customFormat="1" ht="36" customHeight="1" x14ac:dyDescent="0.25">
      <c r="A827" s="79">
        <v>1</v>
      </c>
      <c r="B827" s="80">
        <f>SUBTOTAL(103,$A$552:A827)</f>
        <v>266</v>
      </c>
      <c r="C827" s="77" t="s">
        <v>629</v>
      </c>
      <c r="D827" s="233">
        <v>1961</v>
      </c>
      <c r="E827" s="233"/>
      <c r="F827" s="233" t="s">
        <v>256</v>
      </c>
      <c r="G827" s="233">
        <v>2</v>
      </c>
      <c r="H827" s="233" t="s">
        <v>291</v>
      </c>
      <c r="I827" s="234">
        <v>300.8</v>
      </c>
      <c r="J827" s="234">
        <v>279</v>
      </c>
      <c r="K827" s="234">
        <v>279</v>
      </c>
      <c r="L827" s="239">
        <v>17</v>
      </c>
      <c r="M827" s="233" t="s">
        <v>254</v>
      </c>
      <c r="N827" s="233" t="s">
        <v>255</v>
      </c>
      <c r="O827" s="236" t="s">
        <v>257</v>
      </c>
      <c r="P827" s="78">
        <v>143427.96</v>
      </c>
      <c r="Q827" s="78">
        <v>0</v>
      </c>
      <c r="R827" s="78">
        <v>0</v>
      </c>
      <c r="S827" s="78">
        <v>0</v>
      </c>
      <c r="T827" s="78">
        <f>P827-R827-S827</f>
        <v>143427.96</v>
      </c>
      <c r="U827" s="78">
        <f t="shared" si="51"/>
        <v>476.82167553191482</v>
      </c>
      <c r="V827" s="78">
        <v>810.46</v>
      </c>
    </row>
    <row r="828" spans="1:22" s="79" customFormat="1" ht="36" customHeight="1" x14ac:dyDescent="0.25">
      <c r="B828" s="77" t="s">
        <v>811</v>
      </c>
      <c r="C828" s="77"/>
      <c r="D828" s="233" t="s">
        <v>835</v>
      </c>
      <c r="E828" s="233" t="s">
        <v>835</v>
      </c>
      <c r="F828" s="233" t="s">
        <v>835</v>
      </c>
      <c r="G828" s="233" t="s">
        <v>835</v>
      </c>
      <c r="H828" s="233" t="s">
        <v>835</v>
      </c>
      <c r="I828" s="234">
        <f>I829</f>
        <v>618.29999999999995</v>
      </c>
      <c r="J828" s="234">
        <f>J829</f>
        <v>561.1</v>
      </c>
      <c r="K828" s="234">
        <f>K829</f>
        <v>561.1</v>
      </c>
      <c r="L828" s="235">
        <f>L829</f>
        <v>24</v>
      </c>
      <c r="M828" s="233" t="s">
        <v>835</v>
      </c>
      <c r="N828" s="233" t="s">
        <v>835</v>
      </c>
      <c r="O828" s="236" t="s">
        <v>835</v>
      </c>
      <c r="P828" s="237">
        <v>63207.3</v>
      </c>
      <c r="Q828" s="234">
        <f>Q829</f>
        <v>0</v>
      </c>
      <c r="R828" s="234">
        <f>R829</f>
        <v>0</v>
      </c>
      <c r="S828" s="234">
        <f>S829</f>
        <v>0</v>
      </c>
      <c r="T828" s="234">
        <f>T829</f>
        <v>63207.3</v>
      </c>
      <c r="U828" s="78">
        <f t="shared" si="51"/>
        <v>102.22755943716643</v>
      </c>
      <c r="V828" s="78">
        <f>V829</f>
        <v>102.22755943716643</v>
      </c>
    </row>
    <row r="829" spans="1:22" s="79" customFormat="1" ht="36" customHeight="1" x14ac:dyDescent="0.25">
      <c r="A829" s="79">
        <v>1</v>
      </c>
      <c r="B829" s="80">
        <f>SUBTOTAL(103,$A$552:A829)</f>
        <v>267</v>
      </c>
      <c r="C829" s="77" t="s">
        <v>624</v>
      </c>
      <c r="D829" s="233">
        <v>1984</v>
      </c>
      <c r="E829" s="233"/>
      <c r="F829" s="233" t="s">
        <v>304</v>
      </c>
      <c r="G829" s="233">
        <v>2</v>
      </c>
      <c r="H829" s="233" t="s">
        <v>290</v>
      </c>
      <c r="I829" s="234">
        <v>618.29999999999995</v>
      </c>
      <c r="J829" s="234">
        <v>561.1</v>
      </c>
      <c r="K829" s="234">
        <v>561.1</v>
      </c>
      <c r="L829" s="239">
        <v>24</v>
      </c>
      <c r="M829" s="233" t="s">
        <v>254</v>
      </c>
      <c r="N829" s="233" t="s">
        <v>255</v>
      </c>
      <c r="O829" s="236" t="s">
        <v>257</v>
      </c>
      <c r="P829" s="78">
        <v>63207.3</v>
      </c>
      <c r="Q829" s="78">
        <v>0</v>
      </c>
      <c r="R829" s="78">
        <v>0</v>
      </c>
      <c r="S829" s="78">
        <v>0</v>
      </c>
      <c r="T829" s="78">
        <f>P829-R829-S829</f>
        <v>63207.3</v>
      </c>
      <c r="U829" s="78">
        <f t="shared" si="51"/>
        <v>102.22755943716643</v>
      </c>
      <c r="V829" s="81">
        <v>102.22755943716643</v>
      </c>
    </row>
    <row r="830" spans="1:22" s="79" customFormat="1" ht="36" customHeight="1" x14ac:dyDescent="0.25">
      <c r="B830" s="77" t="s">
        <v>767</v>
      </c>
      <c r="C830" s="77"/>
      <c r="D830" s="233" t="s">
        <v>835</v>
      </c>
      <c r="E830" s="233" t="s">
        <v>835</v>
      </c>
      <c r="F830" s="233" t="s">
        <v>835</v>
      </c>
      <c r="G830" s="233" t="s">
        <v>835</v>
      </c>
      <c r="H830" s="233" t="s">
        <v>835</v>
      </c>
      <c r="I830" s="234">
        <f>SUM(I831:I831)</f>
        <v>4097</v>
      </c>
      <c r="J830" s="234">
        <f>SUM(J831:J831)</f>
        <v>3097</v>
      </c>
      <c r="K830" s="234">
        <f>SUM(K831:K831)</f>
        <v>3097</v>
      </c>
      <c r="L830" s="235">
        <f>SUM(L831:L831)</f>
        <v>158</v>
      </c>
      <c r="M830" s="233" t="s">
        <v>835</v>
      </c>
      <c r="N830" s="233" t="s">
        <v>835</v>
      </c>
      <c r="O830" s="236" t="s">
        <v>835</v>
      </c>
      <c r="P830" s="237">
        <v>105310.57</v>
      </c>
      <c r="Q830" s="234">
        <f>SUM(Q831:Q831)</f>
        <v>0</v>
      </c>
      <c r="R830" s="234">
        <f>SUM(R831:R831)</f>
        <v>0</v>
      </c>
      <c r="S830" s="234">
        <f>SUM(S831:S831)</f>
        <v>0</v>
      </c>
      <c r="T830" s="234">
        <f>SUM(T831:T831)</f>
        <v>105310.57</v>
      </c>
      <c r="U830" s="78">
        <f t="shared" si="51"/>
        <v>25.704312911886749</v>
      </c>
      <c r="V830" s="78">
        <f>V831</f>
        <v>25.704312911886749</v>
      </c>
    </row>
    <row r="831" spans="1:22" s="23" customFormat="1" ht="36" customHeight="1" x14ac:dyDescent="0.25">
      <c r="A831" s="79">
        <v>1</v>
      </c>
      <c r="B831" s="80">
        <f>SUBTOTAL(103,$A$552:A831)</f>
        <v>268</v>
      </c>
      <c r="C831" s="251" t="s">
        <v>630</v>
      </c>
      <c r="D831" s="233">
        <v>1979</v>
      </c>
      <c r="E831" s="233"/>
      <c r="F831" s="236" t="s">
        <v>674</v>
      </c>
      <c r="G831" s="233">
        <v>5</v>
      </c>
      <c r="H831" s="233" t="s">
        <v>295</v>
      </c>
      <c r="I831" s="234">
        <v>4097</v>
      </c>
      <c r="J831" s="234">
        <v>3097</v>
      </c>
      <c r="K831" s="234">
        <v>3097</v>
      </c>
      <c r="L831" s="252">
        <v>158</v>
      </c>
      <c r="M831" s="233" t="s">
        <v>254</v>
      </c>
      <c r="N831" s="233" t="s">
        <v>258</v>
      </c>
      <c r="O831" s="233" t="s">
        <v>671</v>
      </c>
      <c r="P831" s="234">
        <v>105310.57</v>
      </c>
      <c r="Q831" s="78">
        <v>0</v>
      </c>
      <c r="R831" s="234">
        <v>0</v>
      </c>
      <c r="S831" s="234">
        <v>0</v>
      </c>
      <c r="T831" s="234">
        <f>P831-R831-S831</f>
        <v>105310.57</v>
      </c>
      <c r="U831" s="78">
        <f t="shared" si="51"/>
        <v>25.704312911886749</v>
      </c>
      <c r="V831" s="81">
        <v>25.704312911886749</v>
      </c>
    </row>
    <row r="832" spans="1:22" s="79" customFormat="1" ht="36" customHeight="1" x14ac:dyDescent="0.25">
      <c r="B832" s="77" t="s">
        <v>768</v>
      </c>
      <c r="C832" s="77"/>
      <c r="D832" s="233" t="s">
        <v>835</v>
      </c>
      <c r="E832" s="233" t="s">
        <v>835</v>
      </c>
      <c r="F832" s="233" t="s">
        <v>835</v>
      </c>
      <c r="G832" s="233" t="s">
        <v>835</v>
      </c>
      <c r="H832" s="233" t="s">
        <v>835</v>
      </c>
      <c r="I832" s="234">
        <f>SUM(I833:I845)</f>
        <v>29874.799999999999</v>
      </c>
      <c r="J832" s="234">
        <f>SUM(J833:J845)</f>
        <v>28277.999999999996</v>
      </c>
      <c r="K832" s="234">
        <f>SUM(K833:K845)</f>
        <v>27026.5</v>
      </c>
      <c r="L832" s="235">
        <f>SUM(L833:L845)</f>
        <v>1418</v>
      </c>
      <c r="M832" s="233" t="s">
        <v>835</v>
      </c>
      <c r="N832" s="233" t="s">
        <v>835</v>
      </c>
      <c r="O832" s="236" t="s">
        <v>835</v>
      </c>
      <c r="P832" s="237">
        <v>29546394.850000001</v>
      </c>
      <c r="Q832" s="234">
        <f>SUM(Q833:Q845)</f>
        <v>0</v>
      </c>
      <c r="R832" s="234">
        <f>SUM(R833:R845)</f>
        <v>0</v>
      </c>
      <c r="S832" s="234">
        <f>SUM(S833:S845)</f>
        <v>0</v>
      </c>
      <c r="T832" s="234">
        <f>SUM(T833:T845)</f>
        <v>29546394.850000001</v>
      </c>
      <c r="U832" s="78">
        <f t="shared" si="51"/>
        <v>989.00728540442117</v>
      </c>
      <c r="V832" s="78">
        <f>MAX(V833:V845)</f>
        <v>8318.4105800023735</v>
      </c>
    </row>
    <row r="833" spans="1:22" s="79" customFormat="1" ht="36" customHeight="1" x14ac:dyDescent="0.25">
      <c r="A833" s="79">
        <v>1</v>
      </c>
      <c r="B833" s="80">
        <f>SUBTOTAL(103,$A$552:A833)</f>
        <v>269</v>
      </c>
      <c r="C833" s="77" t="s">
        <v>622</v>
      </c>
      <c r="D833" s="233">
        <v>1993</v>
      </c>
      <c r="E833" s="233"/>
      <c r="F833" s="233" t="s">
        <v>298</v>
      </c>
      <c r="G833" s="233">
        <v>5</v>
      </c>
      <c r="H833" s="233" t="s">
        <v>299</v>
      </c>
      <c r="I833" s="234">
        <v>3247.3</v>
      </c>
      <c r="J833" s="234">
        <v>3247.3</v>
      </c>
      <c r="K833" s="234">
        <v>3247.3</v>
      </c>
      <c r="L833" s="239">
        <v>133</v>
      </c>
      <c r="M833" s="233" t="s">
        <v>254</v>
      </c>
      <c r="N833" s="233" t="s">
        <v>327</v>
      </c>
      <c r="O833" s="236" t="s">
        <v>672</v>
      </c>
      <c r="P833" s="78">
        <v>132374.42000000001</v>
      </c>
      <c r="Q833" s="78">
        <v>0</v>
      </c>
      <c r="R833" s="78">
        <v>0</v>
      </c>
      <c r="S833" s="78">
        <v>0</v>
      </c>
      <c r="T833" s="78">
        <f>P833-R833-S833</f>
        <v>132374.42000000001</v>
      </c>
      <c r="U833" s="78">
        <f t="shared" si="51"/>
        <v>40.764456625504266</v>
      </c>
      <c r="V833" s="81">
        <v>40.764456625504266</v>
      </c>
    </row>
    <row r="834" spans="1:22" s="79" customFormat="1" ht="36" customHeight="1" x14ac:dyDescent="0.25">
      <c r="A834" s="79">
        <v>1</v>
      </c>
      <c r="B834" s="80">
        <f>SUBTOTAL(103,$A$552:A834)</f>
        <v>270</v>
      </c>
      <c r="C834" s="77" t="s">
        <v>610</v>
      </c>
      <c r="D834" s="233">
        <v>1972</v>
      </c>
      <c r="E834" s="233"/>
      <c r="F834" s="233" t="s">
        <v>256</v>
      </c>
      <c r="G834" s="233">
        <v>5</v>
      </c>
      <c r="H834" s="233" t="s">
        <v>355</v>
      </c>
      <c r="I834" s="234">
        <v>4860.8999999999996</v>
      </c>
      <c r="J834" s="234">
        <v>4466.5</v>
      </c>
      <c r="K834" s="234">
        <v>4344.3</v>
      </c>
      <c r="L834" s="239">
        <v>257</v>
      </c>
      <c r="M834" s="233" t="s">
        <v>254</v>
      </c>
      <c r="N834" s="233" t="s">
        <v>258</v>
      </c>
      <c r="O834" s="236" t="s">
        <v>1022</v>
      </c>
      <c r="P834" s="78">
        <v>5104924.47</v>
      </c>
      <c r="Q834" s="78">
        <v>0</v>
      </c>
      <c r="R834" s="78">
        <v>0</v>
      </c>
      <c r="S834" s="78">
        <v>0</v>
      </c>
      <c r="T834" s="78">
        <f>P834-R834-S834</f>
        <v>5104924.47</v>
      </c>
      <c r="U834" s="78">
        <f t="shared" si="51"/>
        <v>1050.2014997222736</v>
      </c>
      <c r="V834" s="78">
        <v>2338.271726634986</v>
      </c>
    </row>
    <row r="835" spans="1:22" s="79" customFormat="1" ht="36" customHeight="1" x14ac:dyDescent="0.25">
      <c r="A835" s="79">
        <v>1</v>
      </c>
      <c r="B835" s="80">
        <f>SUBTOTAL(103,$A$552:A835)</f>
        <v>271</v>
      </c>
      <c r="C835" s="77" t="s">
        <v>636</v>
      </c>
      <c r="D835" s="233">
        <v>1981</v>
      </c>
      <c r="E835" s="233"/>
      <c r="F835" s="233" t="s">
        <v>256</v>
      </c>
      <c r="G835" s="233">
        <v>2</v>
      </c>
      <c r="H835" s="233">
        <v>3</v>
      </c>
      <c r="I835" s="234">
        <v>843.1</v>
      </c>
      <c r="J835" s="234">
        <v>843.1</v>
      </c>
      <c r="K835" s="234">
        <v>843.1</v>
      </c>
      <c r="L835" s="239">
        <v>47</v>
      </c>
      <c r="M835" s="233" t="s">
        <v>254</v>
      </c>
      <c r="N835" s="233" t="s">
        <v>255</v>
      </c>
      <c r="O835" s="236" t="s">
        <v>257</v>
      </c>
      <c r="P835" s="78">
        <v>4285842.99</v>
      </c>
      <c r="Q835" s="78">
        <v>0</v>
      </c>
      <c r="R835" s="78">
        <v>0</v>
      </c>
      <c r="S835" s="78">
        <v>0</v>
      </c>
      <c r="T835" s="78">
        <f t="shared" ref="T835:T845" si="57">P835-R835-S835</f>
        <v>4285842.99</v>
      </c>
      <c r="U835" s="78">
        <f t="shared" si="51"/>
        <v>5083.4337445142928</v>
      </c>
      <c r="V835" s="78">
        <v>8318.4105800023735</v>
      </c>
    </row>
    <row r="836" spans="1:22" s="79" customFormat="1" ht="36" customHeight="1" x14ac:dyDescent="0.25">
      <c r="A836" s="79">
        <v>1</v>
      </c>
      <c r="B836" s="80">
        <f>SUBTOTAL(103,$A$552:A836)</f>
        <v>272</v>
      </c>
      <c r="C836" s="77" t="s">
        <v>615</v>
      </c>
      <c r="D836" s="233">
        <v>1940</v>
      </c>
      <c r="E836" s="233"/>
      <c r="F836" s="233" t="s">
        <v>256</v>
      </c>
      <c r="G836" s="233" t="s">
        <v>295</v>
      </c>
      <c r="H836" s="233">
        <v>3</v>
      </c>
      <c r="I836" s="234">
        <v>2521.1999999999998</v>
      </c>
      <c r="J836" s="234">
        <v>2421.1999999999998</v>
      </c>
      <c r="K836" s="234">
        <v>2421.1999999999998</v>
      </c>
      <c r="L836" s="239">
        <v>94</v>
      </c>
      <c r="M836" s="233" t="s">
        <v>254</v>
      </c>
      <c r="N836" s="233" t="s">
        <v>327</v>
      </c>
      <c r="O836" s="236" t="s">
        <v>673</v>
      </c>
      <c r="P836" s="78">
        <v>182408.64</v>
      </c>
      <c r="Q836" s="78">
        <v>0</v>
      </c>
      <c r="R836" s="78">
        <v>0</v>
      </c>
      <c r="S836" s="78">
        <v>0</v>
      </c>
      <c r="T836" s="78">
        <f t="shared" si="57"/>
        <v>182408.64</v>
      </c>
      <c r="U836" s="78">
        <f t="shared" si="51"/>
        <v>72.349928605426001</v>
      </c>
      <c r="V836" s="78">
        <v>72.349928605426001</v>
      </c>
    </row>
    <row r="837" spans="1:22" s="79" customFormat="1" ht="36" customHeight="1" x14ac:dyDescent="0.25">
      <c r="A837" s="79">
        <v>1</v>
      </c>
      <c r="B837" s="80">
        <f>SUBTOTAL(103,$A$552:A837)</f>
        <v>273</v>
      </c>
      <c r="C837" s="77" t="s">
        <v>620</v>
      </c>
      <c r="D837" s="233">
        <v>1979</v>
      </c>
      <c r="E837" s="233"/>
      <c r="F837" s="233" t="s">
        <v>256</v>
      </c>
      <c r="G837" s="233">
        <v>2</v>
      </c>
      <c r="H837" s="233" t="s">
        <v>299</v>
      </c>
      <c r="I837" s="234">
        <v>1052.4000000000001</v>
      </c>
      <c r="J837" s="234">
        <v>934.4</v>
      </c>
      <c r="K837" s="234">
        <v>934.4</v>
      </c>
      <c r="L837" s="239">
        <v>57</v>
      </c>
      <c r="M837" s="233" t="s">
        <v>254</v>
      </c>
      <c r="N837" s="233" t="s">
        <v>285</v>
      </c>
      <c r="O837" s="236" t="s">
        <v>1019</v>
      </c>
      <c r="P837" s="78">
        <v>100139.03</v>
      </c>
      <c r="Q837" s="78">
        <v>0</v>
      </c>
      <c r="R837" s="78">
        <v>0</v>
      </c>
      <c r="S837" s="78">
        <v>0</v>
      </c>
      <c r="T837" s="78">
        <f t="shared" si="57"/>
        <v>100139.03</v>
      </c>
      <c r="U837" s="78">
        <f t="shared" si="51"/>
        <v>95.153012162675779</v>
      </c>
      <c r="V837" s="78">
        <v>95.153012162675779</v>
      </c>
    </row>
    <row r="838" spans="1:22" s="79" customFormat="1" ht="36" customHeight="1" x14ac:dyDescent="0.25">
      <c r="A838" s="79">
        <v>1</v>
      </c>
      <c r="B838" s="80">
        <f>SUBTOTAL(103,$A$552:A838)</f>
        <v>274</v>
      </c>
      <c r="C838" s="77" t="s">
        <v>619</v>
      </c>
      <c r="D838" s="233">
        <v>1977</v>
      </c>
      <c r="E838" s="233"/>
      <c r="F838" s="233" t="s">
        <v>256</v>
      </c>
      <c r="G838" s="233">
        <v>5</v>
      </c>
      <c r="H838" s="233" t="s">
        <v>295</v>
      </c>
      <c r="I838" s="234">
        <v>2827.6</v>
      </c>
      <c r="J838" s="234">
        <v>2827.6</v>
      </c>
      <c r="K838" s="234">
        <v>2827.6</v>
      </c>
      <c r="L838" s="239">
        <v>156</v>
      </c>
      <c r="M838" s="233" t="s">
        <v>254</v>
      </c>
      <c r="N838" s="233" t="s">
        <v>258</v>
      </c>
      <c r="O838" s="236" t="s">
        <v>669</v>
      </c>
      <c r="P838" s="78">
        <v>3276117.4600000004</v>
      </c>
      <c r="Q838" s="78">
        <v>0</v>
      </c>
      <c r="R838" s="78">
        <v>0</v>
      </c>
      <c r="S838" s="78">
        <v>0</v>
      </c>
      <c r="T838" s="78">
        <f t="shared" si="57"/>
        <v>3276117.4600000004</v>
      </c>
      <c r="U838" s="78">
        <f t="shared" si="51"/>
        <v>1158.6212547743671</v>
      </c>
      <c r="V838" s="78">
        <v>2487.9159700099026</v>
      </c>
    </row>
    <row r="839" spans="1:22" s="79" customFormat="1" ht="36" customHeight="1" x14ac:dyDescent="0.25">
      <c r="A839" s="79">
        <v>1</v>
      </c>
      <c r="B839" s="80">
        <f>SUBTOTAL(103,$A$552:A839)</f>
        <v>275</v>
      </c>
      <c r="C839" s="77" t="s">
        <v>635</v>
      </c>
      <c r="D839" s="233">
        <v>1981</v>
      </c>
      <c r="E839" s="233"/>
      <c r="F839" s="233" t="s">
        <v>256</v>
      </c>
      <c r="G839" s="233">
        <v>2</v>
      </c>
      <c r="H839" s="233">
        <v>3</v>
      </c>
      <c r="I839" s="234">
        <v>975</v>
      </c>
      <c r="J839" s="234">
        <v>975</v>
      </c>
      <c r="K839" s="234">
        <v>975</v>
      </c>
      <c r="L839" s="239">
        <v>47</v>
      </c>
      <c r="M839" s="233" t="s">
        <v>254</v>
      </c>
      <c r="N839" s="233" t="s">
        <v>255</v>
      </c>
      <c r="O839" s="236" t="s">
        <v>257</v>
      </c>
      <c r="P839" s="78">
        <v>4306090.1500000004</v>
      </c>
      <c r="Q839" s="78">
        <v>0</v>
      </c>
      <c r="R839" s="78">
        <v>0</v>
      </c>
      <c r="S839" s="78">
        <v>0</v>
      </c>
      <c r="T839" s="78">
        <f t="shared" si="57"/>
        <v>4306090.1500000004</v>
      </c>
      <c r="U839" s="78">
        <f t="shared" si="51"/>
        <v>4416.5027179487188</v>
      </c>
      <c r="V839" s="78">
        <v>7956.7433846153854</v>
      </c>
    </row>
    <row r="840" spans="1:22" s="79" customFormat="1" ht="36" customHeight="1" x14ac:dyDescent="0.25">
      <c r="A840" s="79">
        <v>1</v>
      </c>
      <c r="B840" s="80">
        <f>SUBTOTAL(103,$A$552:A840)</f>
        <v>276</v>
      </c>
      <c r="C840" s="77" t="s">
        <v>612</v>
      </c>
      <c r="D840" s="233">
        <v>1963</v>
      </c>
      <c r="E840" s="233"/>
      <c r="F840" s="233" t="s">
        <v>256</v>
      </c>
      <c r="G840" s="233">
        <v>3</v>
      </c>
      <c r="H840" s="233" t="s">
        <v>290</v>
      </c>
      <c r="I840" s="234">
        <v>1703.8</v>
      </c>
      <c r="J840" s="234">
        <v>1339.8</v>
      </c>
      <c r="K840" s="234">
        <v>1339.8</v>
      </c>
      <c r="L840" s="239">
        <v>62</v>
      </c>
      <c r="M840" s="233" t="s">
        <v>254</v>
      </c>
      <c r="N840" s="233" t="s">
        <v>258</v>
      </c>
      <c r="O840" s="236" t="s">
        <v>669</v>
      </c>
      <c r="P840" s="78">
        <v>5118136.7</v>
      </c>
      <c r="Q840" s="78">
        <v>0</v>
      </c>
      <c r="R840" s="78">
        <v>0</v>
      </c>
      <c r="S840" s="78">
        <v>0</v>
      </c>
      <c r="T840" s="78">
        <f t="shared" si="57"/>
        <v>5118136.7</v>
      </c>
      <c r="U840" s="78">
        <f t="shared" si="51"/>
        <v>3003.953926517197</v>
      </c>
      <c r="V840" s="78">
        <v>5319.9736823570847</v>
      </c>
    </row>
    <row r="841" spans="1:22" s="79" customFormat="1" ht="36" customHeight="1" x14ac:dyDescent="0.25">
      <c r="A841" s="79">
        <v>1</v>
      </c>
      <c r="B841" s="80">
        <f>SUBTOTAL(103,$A$552:A841)</f>
        <v>277</v>
      </c>
      <c r="C841" s="77" t="s">
        <v>1132</v>
      </c>
      <c r="D841" s="233">
        <v>1957</v>
      </c>
      <c r="E841" s="233"/>
      <c r="F841" s="233" t="s">
        <v>256</v>
      </c>
      <c r="G841" s="233" t="s">
        <v>299</v>
      </c>
      <c r="H841" s="233" t="s">
        <v>299</v>
      </c>
      <c r="I841" s="234">
        <v>988</v>
      </c>
      <c r="J841" s="234">
        <v>627.1</v>
      </c>
      <c r="K841" s="234">
        <v>627.1</v>
      </c>
      <c r="L841" s="239">
        <v>55</v>
      </c>
      <c r="M841" s="233" t="s">
        <v>254</v>
      </c>
      <c r="N841" s="233" t="s">
        <v>258</v>
      </c>
      <c r="O841" s="236" t="s">
        <v>1009</v>
      </c>
      <c r="P841" s="78">
        <v>2630502.91</v>
      </c>
      <c r="Q841" s="78">
        <v>0</v>
      </c>
      <c r="R841" s="78">
        <v>0</v>
      </c>
      <c r="S841" s="78">
        <v>0</v>
      </c>
      <c r="T841" s="78">
        <f t="shared" si="57"/>
        <v>2630502.91</v>
      </c>
      <c r="U841" s="78">
        <f t="shared" si="51"/>
        <v>2662.4523380566802</v>
      </c>
      <c r="V841" s="78">
        <v>6668.8267773279358</v>
      </c>
    </row>
    <row r="842" spans="1:22" s="79" customFormat="1" ht="36" customHeight="1" x14ac:dyDescent="0.25">
      <c r="A842" s="79">
        <v>1</v>
      </c>
      <c r="B842" s="80">
        <f>SUBTOTAL(103,$A$552:A842)</f>
        <v>278</v>
      </c>
      <c r="C842" s="77" t="s">
        <v>1811</v>
      </c>
      <c r="D842" s="233">
        <v>1947</v>
      </c>
      <c r="E842" s="233"/>
      <c r="F842" s="233" t="s">
        <v>256</v>
      </c>
      <c r="G842" s="233">
        <v>2</v>
      </c>
      <c r="H842" s="233" t="s">
        <v>291</v>
      </c>
      <c r="I842" s="234">
        <v>511.5</v>
      </c>
      <c r="J842" s="234">
        <v>511.5</v>
      </c>
      <c r="K842" s="234">
        <f>J842</f>
        <v>511.5</v>
      </c>
      <c r="L842" s="239">
        <v>31</v>
      </c>
      <c r="M842" s="233" t="s">
        <v>254</v>
      </c>
      <c r="N842" s="233" t="s">
        <v>255</v>
      </c>
      <c r="O842" s="236" t="s">
        <v>257</v>
      </c>
      <c r="P842" s="78">
        <v>81858.100000000006</v>
      </c>
      <c r="Q842" s="78">
        <v>0</v>
      </c>
      <c r="R842" s="78">
        <v>0</v>
      </c>
      <c r="S842" s="78">
        <v>0</v>
      </c>
      <c r="T842" s="78">
        <f t="shared" si="57"/>
        <v>81858.100000000006</v>
      </c>
      <c r="U842" s="78">
        <f t="shared" si="51"/>
        <v>160.03538611925711</v>
      </c>
      <c r="V842" s="81">
        <v>160.03538611925711</v>
      </c>
    </row>
    <row r="843" spans="1:22" s="79" customFormat="1" ht="36" customHeight="1" x14ac:dyDescent="0.25">
      <c r="A843" s="79">
        <v>1</v>
      </c>
      <c r="B843" s="80">
        <f>SUBTOTAL(103,$A$552:A843)</f>
        <v>279</v>
      </c>
      <c r="C843" s="77" t="s">
        <v>609</v>
      </c>
      <c r="D843" s="233">
        <v>1983</v>
      </c>
      <c r="E843" s="233"/>
      <c r="F843" s="233" t="s">
        <v>304</v>
      </c>
      <c r="G843" s="233">
        <v>9</v>
      </c>
      <c r="H843" s="233" t="s">
        <v>290</v>
      </c>
      <c r="I843" s="78">
        <v>3834</v>
      </c>
      <c r="J843" s="78">
        <v>3834</v>
      </c>
      <c r="K843" s="78">
        <v>3802</v>
      </c>
      <c r="L843" s="239">
        <v>141</v>
      </c>
      <c r="M843" s="233" t="s">
        <v>254</v>
      </c>
      <c r="N843" s="233" t="s">
        <v>327</v>
      </c>
      <c r="O843" s="236" t="s">
        <v>2287</v>
      </c>
      <c r="P843" s="78">
        <v>4070229.64</v>
      </c>
      <c r="Q843" s="78">
        <v>0</v>
      </c>
      <c r="R843" s="78">
        <v>0</v>
      </c>
      <c r="S843" s="78">
        <v>0</v>
      </c>
      <c r="T843" s="78">
        <f>P843-R843-S843</f>
        <v>4070229.64</v>
      </c>
      <c r="U843" s="78">
        <f t="shared" si="51"/>
        <v>1061.6144079290559</v>
      </c>
      <c r="V843" s="78">
        <v>1282.1074595722482</v>
      </c>
    </row>
    <row r="844" spans="1:22" s="23" customFormat="1" ht="36" customHeight="1" x14ac:dyDescent="0.25">
      <c r="A844" s="79">
        <v>1</v>
      </c>
      <c r="B844" s="80">
        <f>SUBTOTAL(103,$A$552:A844)</f>
        <v>280</v>
      </c>
      <c r="C844" s="251" t="s">
        <v>614</v>
      </c>
      <c r="D844" s="233">
        <v>1981</v>
      </c>
      <c r="E844" s="233"/>
      <c r="F844" s="236" t="s">
        <v>256</v>
      </c>
      <c r="G844" s="233">
        <v>5</v>
      </c>
      <c r="H844" s="233" t="s">
        <v>295</v>
      </c>
      <c r="I844" s="234">
        <v>2798</v>
      </c>
      <c r="J844" s="234">
        <v>2798</v>
      </c>
      <c r="K844" s="234">
        <v>1700.7</v>
      </c>
      <c r="L844" s="252">
        <v>156</v>
      </c>
      <c r="M844" s="233" t="s">
        <v>254</v>
      </c>
      <c r="N844" s="233" t="s">
        <v>258</v>
      </c>
      <c r="O844" s="233" t="s">
        <v>669</v>
      </c>
      <c r="P844" s="234">
        <v>126963.15</v>
      </c>
      <c r="Q844" s="78">
        <v>0</v>
      </c>
      <c r="R844" s="234">
        <v>0</v>
      </c>
      <c r="S844" s="234">
        <v>0</v>
      </c>
      <c r="T844" s="234">
        <f>P844-R844-S844</f>
        <v>126963.15</v>
      </c>
      <c r="U844" s="78">
        <f t="shared" si="51"/>
        <v>45.376393852751967</v>
      </c>
      <c r="V844" s="78">
        <v>45.376393852751967</v>
      </c>
    </row>
    <row r="845" spans="1:22" s="23" customFormat="1" ht="36" customHeight="1" x14ac:dyDescent="0.25">
      <c r="A845" s="79">
        <v>1</v>
      </c>
      <c r="B845" s="80">
        <f>SUBTOTAL(103,$A$552:A845)</f>
        <v>281</v>
      </c>
      <c r="C845" s="251" t="s">
        <v>2293</v>
      </c>
      <c r="D845" s="233">
        <v>1972</v>
      </c>
      <c r="E845" s="233"/>
      <c r="F845" s="236" t="s">
        <v>1479</v>
      </c>
      <c r="G845" s="233">
        <v>5</v>
      </c>
      <c r="H845" s="233">
        <v>4</v>
      </c>
      <c r="I845" s="234">
        <v>3712</v>
      </c>
      <c r="J845" s="234">
        <v>3452.5</v>
      </c>
      <c r="K845" s="234">
        <v>3452.5</v>
      </c>
      <c r="L845" s="252">
        <v>182</v>
      </c>
      <c r="M845" s="233" t="s">
        <v>254</v>
      </c>
      <c r="N845" s="233" t="s">
        <v>258</v>
      </c>
      <c r="O845" s="233" t="s">
        <v>1022</v>
      </c>
      <c r="P845" s="234">
        <v>130807.19</v>
      </c>
      <c r="Q845" s="78">
        <v>0</v>
      </c>
      <c r="R845" s="234">
        <v>0</v>
      </c>
      <c r="S845" s="234">
        <v>0</v>
      </c>
      <c r="T845" s="234">
        <f t="shared" si="57"/>
        <v>130807.19</v>
      </c>
      <c r="U845" s="78">
        <f t="shared" si="51"/>
        <v>35.23900592672414</v>
      </c>
      <c r="V845" s="81">
        <v>35.23900592672414</v>
      </c>
    </row>
    <row r="846" spans="1:22" s="79" customFormat="1" ht="36" customHeight="1" x14ac:dyDescent="0.25">
      <c r="B846" s="77" t="s">
        <v>769</v>
      </c>
      <c r="C846" s="240"/>
      <c r="D846" s="233" t="s">
        <v>835</v>
      </c>
      <c r="E846" s="233" t="s">
        <v>835</v>
      </c>
      <c r="F846" s="233" t="s">
        <v>835</v>
      </c>
      <c r="G846" s="233" t="s">
        <v>835</v>
      </c>
      <c r="H846" s="233" t="s">
        <v>835</v>
      </c>
      <c r="I846" s="234">
        <f>SUM(I847:I852)</f>
        <v>10319.11</v>
      </c>
      <c r="J846" s="234">
        <f>SUM(J847:J852)</f>
        <v>9746.81</v>
      </c>
      <c r="K846" s="234">
        <f>SUM(K847:K852)</f>
        <v>7306.8099999999995</v>
      </c>
      <c r="L846" s="235">
        <f>SUM(L847:L852)</f>
        <v>712</v>
      </c>
      <c r="M846" s="233" t="s">
        <v>835</v>
      </c>
      <c r="N846" s="233" t="s">
        <v>835</v>
      </c>
      <c r="O846" s="236" t="s">
        <v>835</v>
      </c>
      <c r="P846" s="237">
        <v>19474666.420000002</v>
      </c>
      <c r="Q846" s="234">
        <f>SUM(Q847:Q852)</f>
        <v>0</v>
      </c>
      <c r="R846" s="234">
        <f>SUM(R847:R852)</f>
        <v>0</v>
      </c>
      <c r="S846" s="234">
        <f>SUM(S847:S852)</f>
        <v>0</v>
      </c>
      <c r="T846" s="234">
        <f>SUM(T847:T852)</f>
        <v>19474666.420000002</v>
      </c>
      <c r="U846" s="78">
        <f t="shared" si="51"/>
        <v>1887.242835864721</v>
      </c>
      <c r="V846" s="78">
        <f>MAX(V847:V852)</f>
        <v>8385.320207407407</v>
      </c>
    </row>
    <row r="847" spans="1:22" s="79" customFormat="1" ht="36" customHeight="1" x14ac:dyDescent="0.25">
      <c r="A847" s="79">
        <v>1</v>
      </c>
      <c r="B847" s="80">
        <f>SUBTOTAL(103,$A$552:A847)</f>
        <v>282</v>
      </c>
      <c r="C847" s="77" t="s">
        <v>224</v>
      </c>
      <c r="D847" s="233">
        <v>1973</v>
      </c>
      <c r="E847" s="233"/>
      <c r="F847" s="233" t="s">
        <v>256</v>
      </c>
      <c r="G847" s="233">
        <v>5</v>
      </c>
      <c r="H847" s="233" t="s">
        <v>355</v>
      </c>
      <c r="I847" s="234">
        <v>4741.1099999999997</v>
      </c>
      <c r="J847" s="234">
        <v>4403.51</v>
      </c>
      <c r="K847" s="234">
        <v>4403.51</v>
      </c>
      <c r="L847" s="239">
        <v>260</v>
      </c>
      <c r="M847" s="233" t="s">
        <v>254</v>
      </c>
      <c r="N847" s="233" t="s">
        <v>258</v>
      </c>
      <c r="O847" s="236" t="s">
        <v>320</v>
      </c>
      <c r="P847" s="78">
        <v>7716315.5500000007</v>
      </c>
      <c r="Q847" s="78">
        <v>0</v>
      </c>
      <c r="R847" s="78">
        <v>0</v>
      </c>
      <c r="S847" s="78">
        <v>0</v>
      </c>
      <c r="T847" s="78">
        <f t="shared" ref="T847:T852" si="58">P847-R847-S847</f>
        <v>7716315.5500000007</v>
      </c>
      <c r="U847" s="78">
        <f t="shared" si="51"/>
        <v>1627.5335417233521</v>
      </c>
      <c r="V847" s="78">
        <v>2699.2745300573079</v>
      </c>
    </row>
    <row r="848" spans="1:22" s="79" customFormat="1" ht="36" customHeight="1" x14ac:dyDescent="0.25">
      <c r="A848" s="79">
        <v>1</v>
      </c>
      <c r="B848" s="80">
        <f>SUBTOTAL(103,$A$552:A848)</f>
        <v>283</v>
      </c>
      <c r="C848" s="77" t="s">
        <v>229</v>
      </c>
      <c r="D848" s="233">
        <v>1989</v>
      </c>
      <c r="E848" s="233"/>
      <c r="F848" s="233" t="s">
        <v>256</v>
      </c>
      <c r="G848" s="233">
        <v>2</v>
      </c>
      <c r="H848" s="233" t="s">
        <v>299</v>
      </c>
      <c r="I848" s="234">
        <v>946.8</v>
      </c>
      <c r="J848" s="234">
        <v>859.3</v>
      </c>
      <c r="K848" s="234">
        <v>816</v>
      </c>
      <c r="L848" s="239">
        <v>40</v>
      </c>
      <c r="M848" s="233" t="s">
        <v>254</v>
      </c>
      <c r="N848" s="233" t="s">
        <v>258</v>
      </c>
      <c r="O848" s="236" t="s">
        <v>319</v>
      </c>
      <c r="P848" s="78">
        <v>4844326.3099999996</v>
      </c>
      <c r="Q848" s="78">
        <v>0</v>
      </c>
      <c r="R848" s="78">
        <v>0</v>
      </c>
      <c r="S848" s="78">
        <v>0</v>
      </c>
      <c r="T848" s="78">
        <f t="shared" si="58"/>
        <v>4844326.3099999996</v>
      </c>
      <c r="U848" s="78">
        <f t="shared" si="51"/>
        <v>5116.5254647232787</v>
      </c>
      <c r="V848" s="78">
        <v>5229.2012779890156</v>
      </c>
    </row>
    <row r="849" spans="1:22" s="79" customFormat="1" ht="36" customHeight="1" x14ac:dyDescent="0.25">
      <c r="A849" s="79">
        <v>1</v>
      </c>
      <c r="B849" s="80">
        <f>SUBTOTAL(103,$A$552:A849)</f>
        <v>284</v>
      </c>
      <c r="C849" s="77" t="s">
        <v>1510</v>
      </c>
      <c r="D849" s="233">
        <v>1940</v>
      </c>
      <c r="E849" s="233"/>
      <c r="F849" s="233" t="s">
        <v>316</v>
      </c>
      <c r="G849" s="233">
        <v>2</v>
      </c>
      <c r="H849" s="233" t="s">
        <v>291</v>
      </c>
      <c r="I849" s="234">
        <v>324</v>
      </c>
      <c r="J849" s="234">
        <v>303.10000000000002</v>
      </c>
      <c r="K849" s="234">
        <v>250.5</v>
      </c>
      <c r="L849" s="239">
        <v>15</v>
      </c>
      <c r="M849" s="233" t="s">
        <v>254</v>
      </c>
      <c r="N849" s="233" t="s">
        <v>258</v>
      </c>
      <c r="O849" s="236" t="s">
        <v>319</v>
      </c>
      <c r="P849" s="78">
        <v>1255062.24</v>
      </c>
      <c r="Q849" s="78">
        <v>0</v>
      </c>
      <c r="R849" s="78">
        <v>0</v>
      </c>
      <c r="S849" s="78">
        <v>0</v>
      </c>
      <c r="T849" s="78">
        <f t="shared" si="58"/>
        <v>1255062.24</v>
      </c>
      <c r="U849" s="78">
        <f t="shared" si="51"/>
        <v>3873.6488888888889</v>
      </c>
      <c r="V849" s="78">
        <v>8385.320207407407</v>
      </c>
    </row>
    <row r="850" spans="1:22" s="79" customFormat="1" ht="36" customHeight="1" x14ac:dyDescent="0.25">
      <c r="A850" s="79">
        <v>1</v>
      </c>
      <c r="B850" s="80">
        <f>SUBTOTAL(103,$A$552:A850)</f>
        <v>285</v>
      </c>
      <c r="C850" s="77" t="s">
        <v>1138</v>
      </c>
      <c r="D850" s="233">
        <v>1955</v>
      </c>
      <c r="E850" s="233"/>
      <c r="F850" s="233" t="s">
        <v>1232</v>
      </c>
      <c r="G850" s="233">
        <v>2</v>
      </c>
      <c r="H850" s="233" t="s">
        <v>290</v>
      </c>
      <c r="I850" s="234">
        <v>805.7</v>
      </c>
      <c r="J850" s="234">
        <v>731</v>
      </c>
      <c r="K850" s="234">
        <v>705.2</v>
      </c>
      <c r="L850" s="239">
        <v>37</v>
      </c>
      <c r="M850" s="233" t="s">
        <v>254</v>
      </c>
      <c r="N850" s="233" t="s">
        <v>258</v>
      </c>
      <c r="O850" s="236" t="s">
        <v>319</v>
      </c>
      <c r="P850" s="78">
        <v>3076469.21</v>
      </c>
      <c r="Q850" s="78">
        <v>0</v>
      </c>
      <c r="R850" s="78">
        <v>0</v>
      </c>
      <c r="S850" s="78">
        <v>0</v>
      </c>
      <c r="T850" s="78">
        <f t="shared" si="58"/>
        <v>3076469.21</v>
      </c>
      <c r="U850" s="78">
        <f t="shared" si="51"/>
        <v>3818.3805510736001</v>
      </c>
      <c r="V850" s="78">
        <v>7963.026287700136</v>
      </c>
    </row>
    <row r="851" spans="1:22" s="79" customFormat="1" ht="36" customHeight="1" x14ac:dyDescent="0.25">
      <c r="A851" s="79">
        <v>1</v>
      </c>
      <c r="B851" s="80">
        <f>SUBTOTAL(103,$A$552:A851)</f>
        <v>286</v>
      </c>
      <c r="C851" s="77" t="s">
        <v>1136</v>
      </c>
      <c r="D851" s="233">
        <v>1977</v>
      </c>
      <c r="E851" s="233"/>
      <c r="F851" s="233" t="s">
        <v>256</v>
      </c>
      <c r="G851" s="233">
        <v>5</v>
      </c>
      <c r="H851" s="233" t="s">
        <v>291</v>
      </c>
      <c r="I851" s="234">
        <v>3019</v>
      </c>
      <c r="J851" s="234">
        <v>3019</v>
      </c>
      <c r="K851" s="234">
        <v>764.2</v>
      </c>
      <c r="L851" s="239">
        <v>333</v>
      </c>
      <c r="M851" s="233" t="s">
        <v>254</v>
      </c>
      <c r="N851" s="233" t="s">
        <v>258</v>
      </c>
      <c r="O851" s="236" t="s">
        <v>1231</v>
      </c>
      <c r="P851" s="78">
        <v>702264.35000000009</v>
      </c>
      <c r="Q851" s="78">
        <v>0</v>
      </c>
      <c r="R851" s="78">
        <v>0</v>
      </c>
      <c r="S851" s="78">
        <v>0</v>
      </c>
      <c r="T851" s="78">
        <f t="shared" si="58"/>
        <v>702264.35000000009</v>
      </c>
      <c r="U851" s="78">
        <f t="shared" si="51"/>
        <v>232.6148890361047</v>
      </c>
      <c r="V851" s="78">
        <v>449.59999999999997</v>
      </c>
    </row>
    <row r="852" spans="1:22" s="79" customFormat="1" ht="36" customHeight="1" x14ac:dyDescent="0.25">
      <c r="A852" s="79">
        <v>1</v>
      </c>
      <c r="B852" s="80">
        <f>SUBTOTAL(103,$A$552:A852)</f>
        <v>287</v>
      </c>
      <c r="C852" s="77" t="s">
        <v>1139</v>
      </c>
      <c r="D852" s="233">
        <v>1958</v>
      </c>
      <c r="E852" s="233"/>
      <c r="F852" s="233" t="s">
        <v>256</v>
      </c>
      <c r="G852" s="233">
        <v>2</v>
      </c>
      <c r="H852" s="233" t="s">
        <v>290</v>
      </c>
      <c r="I852" s="234">
        <v>482.5</v>
      </c>
      <c r="J852" s="234">
        <v>430.9</v>
      </c>
      <c r="K852" s="234">
        <v>367.4</v>
      </c>
      <c r="L852" s="239">
        <v>27</v>
      </c>
      <c r="M852" s="233" t="s">
        <v>254</v>
      </c>
      <c r="N852" s="233" t="s">
        <v>258</v>
      </c>
      <c r="O852" s="236" t="s">
        <v>319</v>
      </c>
      <c r="P852" s="78">
        <v>1880228.76</v>
      </c>
      <c r="Q852" s="78">
        <v>0</v>
      </c>
      <c r="R852" s="78">
        <v>0</v>
      </c>
      <c r="S852" s="78">
        <v>0</v>
      </c>
      <c r="T852" s="78">
        <f t="shared" si="58"/>
        <v>1880228.76</v>
      </c>
      <c r="U852" s="78">
        <f t="shared" si="51"/>
        <v>3896.8471709844562</v>
      </c>
      <c r="V852" s="78">
        <v>5900.6680414507764</v>
      </c>
    </row>
    <row r="853" spans="1:22" s="79" customFormat="1" ht="36" customHeight="1" x14ac:dyDescent="0.25">
      <c r="B853" s="77" t="s">
        <v>1201</v>
      </c>
      <c r="C853" s="77"/>
      <c r="D853" s="233" t="s">
        <v>835</v>
      </c>
      <c r="E853" s="233" t="s">
        <v>835</v>
      </c>
      <c r="F853" s="233" t="s">
        <v>835</v>
      </c>
      <c r="G853" s="233" t="s">
        <v>835</v>
      </c>
      <c r="H853" s="233" t="s">
        <v>835</v>
      </c>
      <c r="I853" s="234">
        <f>SUM(I854:I855)</f>
        <v>2334.1999999999998</v>
      </c>
      <c r="J853" s="234">
        <f>SUM(J854:J855)</f>
        <v>2120.1999999999998</v>
      </c>
      <c r="K853" s="234">
        <f>SUM(K854:K855)</f>
        <v>1964.1000000000001</v>
      </c>
      <c r="L853" s="235">
        <f>SUM(L854:L855)</f>
        <v>72</v>
      </c>
      <c r="M853" s="233" t="s">
        <v>835</v>
      </c>
      <c r="N853" s="233" t="s">
        <v>835</v>
      </c>
      <c r="O853" s="236" t="s">
        <v>835</v>
      </c>
      <c r="P853" s="241">
        <v>189626.95</v>
      </c>
      <c r="Q853" s="78">
        <f>SUM(Q854:Q855)</f>
        <v>0</v>
      </c>
      <c r="R853" s="78">
        <f>SUM(R854:R855)</f>
        <v>0</v>
      </c>
      <c r="S853" s="78">
        <f>SUM(S854:S855)</f>
        <v>0</v>
      </c>
      <c r="T853" s="78">
        <f>SUM(T854:T855)</f>
        <v>189626.95</v>
      </c>
      <c r="U853" s="78">
        <f t="shared" si="51"/>
        <v>81.238518550252778</v>
      </c>
      <c r="V853" s="78">
        <f>MAX(V854:V855)</f>
        <v>82.848389009685718</v>
      </c>
    </row>
    <row r="854" spans="1:22" s="79" customFormat="1" ht="36" customHeight="1" x14ac:dyDescent="0.25">
      <c r="A854" s="79">
        <v>1</v>
      </c>
      <c r="B854" s="80">
        <f>SUBTOTAL(103,$A$552:A854)</f>
        <v>288</v>
      </c>
      <c r="C854" s="77" t="s">
        <v>1202</v>
      </c>
      <c r="D854" s="233">
        <v>1981</v>
      </c>
      <c r="E854" s="233"/>
      <c r="F854" s="233" t="s">
        <v>304</v>
      </c>
      <c r="G854" s="233">
        <v>2</v>
      </c>
      <c r="H854" s="233" t="s">
        <v>295</v>
      </c>
      <c r="I854" s="234">
        <v>1322.4</v>
      </c>
      <c r="J854" s="234">
        <v>1191.4000000000001</v>
      </c>
      <c r="K854" s="234">
        <v>1136.8000000000002</v>
      </c>
      <c r="L854" s="239">
        <v>36</v>
      </c>
      <c r="M854" s="233" t="s">
        <v>254</v>
      </c>
      <c r="N854" s="233" t="s">
        <v>255</v>
      </c>
      <c r="O854" s="236" t="s">
        <v>257</v>
      </c>
      <c r="P854" s="78">
        <v>105800.95</v>
      </c>
      <c r="Q854" s="78">
        <v>0</v>
      </c>
      <c r="R854" s="78">
        <v>0</v>
      </c>
      <c r="S854" s="78">
        <v>0</v>
      </c>
      <c r="T854" s="78">
        <f>P854-R854-S854</f>
        <v>105800.95</v>
      </c>
      <c r="U854" s="78">
        <f t="shared" si="51"/>
        <v>80.006767997580155</v>
      </c>
      <c r="V854" s="81">
        <v>80.006767997580155</v>
      </c>
    </row>
    <row r="855" spans="1:22" s="23" customFormat="1" ht="36" customHeight="1" x14ac:dyDescent="0.25">
      <c r="A855" s="79">
        <v>1</v>
      </c>
      <c r="B855" s="80">
        <f>SUBTOTAL(103,$A$552:A855)</f>
        <v>289</v>
      </c>
      <c r="C855" s="251" t="s">
        <v>234</v>
      </c>
      <c r="D855" s="233">
        <v>1979</v>
      </c>
      <c r="E855" s="233"/>
      <c r="F855" s="236" t="s">
        <v>298</v>
      </c>
      <c r="G855" s="233">
        <v>3</v>
      </c>
      <c r="H855" s="233" t="s">
        <v>290</v>
      </c>
      <c r="I855" s="234">
        <v>1011.8</v>
      </c>
      <c r="J855" s="234">
        <v>928.8</v>
      </c>
      <c r="K855" s="234">
        <v>827.3</v>
      </c>
      <c r="L855" s="252">
        <v>36</v>
      </c>
      <c r="M855" s="233" t="s">
        <v>254</v>
      </c>
      <c r="N855" s="233" t="s">
        <v>255</v>
      </c>
      <c r="O855" s="233" t="s">
        <v>257</v>
      </c>
      <c r="P855" s="234">
        <v>83826</v>
      </c>
      <c r="Q855" s="78">
        <v>0</v>
      </c>
      <c r="R855" s="234">
        <v>0</v>
      </c>
      <c r="S855" s="234">
        <v>0</v>
      </c>
      <c r="T855" s="234">
        <f>P855-R855-S855</f>
        <v>83826</v>
      </c>
      <c r="U855" s="78">
        <f t="shared" si="51"/>
        <v>82.848389009685718</v>
      </c>
      <c r="V855" s="81">
        <v>82.848389009685718</v>
      </c>
    </row>
    <row r="856" spans="1:22" s="79" customFormat="1" ht="36" customHeight="1" x14ac:dyDescent="0.25">
      <c r="B856" s="77" t="s">
        <v>770</v>
      </c>
      <c r="C856" s="77"/>
      <c r="D856" s="233" t="s">
        <v>835</v>
      </c>
      <c r="E856" s="233" t="s">
        <v>835</v>
      </c>
      <c r="F856" s="233" t="s">
        <v>835</v>
      </c>
      <c r="G856" s="233" t="s">
        <v>835</v>
      </c>
      <c r="H856" s="233" t="s">
        <v>835</v>
      </c>
      <c r="I856" s="234">
        <f>SUM(I857:I857)</f>
        <v>383.8</v>
      </c>
      <c r="J856" s="234">
        <f>SUM(J857:J857)</f>
        <v>334.9</v>
      </c>
      <c r="K856" s="234">
        <f>SUM(K857:K857)</f>
        <v>302.2</v>
      </c>
      <c r="L856" s="235">
        <f>SUM(L857:L857)</f>
        <v>16</v>
      </c>
      <c r="M856" s="233" t="s">
        <v>835</v>
      </c>
      <c r="N856" s="233" t="s">
        <v>835</v>
      </c>
      <c r="O856" s="236" t="s">
        <v>835</v>
      </c>
      <c r="P856" s="241">
        <v>379110.22000000003</v>
      </c>
      <c r="Q856" s="78">
        <f>SUM(Q857:Q857)</f>
        <v>0</v>
      </c>
      <c r="R856" s="78">
        <f>SUM(R857:R857)</f>
        <v>0</v>
      </c>
      <c r="S856" s="78">
        <f>SUM(S857:S857)</f>
        <v>0</v>
      </c>
      <c r="T856" s="78">
        <f>SUM(T857:T857)</f>
        <v>379110.22000000003</v>
      </c>
      <c r="U856" s="78">
        <f t="shared" si="51"/>
        <v>987.78066701406988</v>
      </c>
      <c r="V856" s="78">
        <f>MAX(V857:V857)</f>
        <v>3660.6590932777485</v>
      </c>
    </row>
    <row r="857" spans="1:22" s="79" customFormat="1" ht="36" customHeight="1" x14ac:dyDescent="0.25">
      <c r="A857" s="79">
        <v>1</v>
      </c>
      <c r="B857" s="80">
        <f>SUBTOTAL(103,$A$552:A857)</f>
        <v>290</v>
      </c>
      <c r="C857" s="77" t="s">
        <v>1143</v>
      </c>
      <c r="D857" s="233">
        <v>1973</v>
      </c>
      <c r="E857" s="233"/>
      <c r="F857" s="233" t="s">
        <v>256</v>
      </c>
      <c r="G857" s="233">
        <v>2</v>
      </c>
      <c r="H857" s="233" t="s">
        <v>291</v>
      </c>
      <c r="I857" s="78">
        <v>383.8</v>
      </c>
      <c r="J857" s="78">
        <v>334.9</v>
      </c>
      <c r="K857" s="78">
        <v>302.2</v>
      </c>
      <c r="L857" s="239">
        <v>16</v>
      </c>
      <c r="M857" s="233" t="s">
        <v>254</v>
      </c>
      <c r="N857" s="233" t="s">
        <v>255</v>
      </c>
      <c r="O857" s="236" t="s">
        <v>257</v>
      </c>
      <c r="P857" s="78">
        <v>379110.22000000003</v>
      </c>
      <c r="Q857" s="78">
        <v>0</v>
      </c>
      <c r="R857" s="78">
        <v>0</v>
      </c>
      <c r="S857" s="78">
        <v>0</v>
      </c>
      <c r="T857" s="78">
        <f>P857-R857-S857</f>
        <v>379110.22000000003</v>
      </c>
      <c r="U857" s="78">
        <f t="shared" si="51"/>
        <v>987.78066701406988</v>
      </c>
      <c r="V857" s="78">
        <v>3660.6590932777485</v>
      </c>
    </row>
    <row r="858" spans="1:22" s="79" customFormat="1" ht="36" customHeight="1" x14ac:dyDescent="0.25">
      <c r="B858" s="77" t="s">
        <v>812</v>
      </c>
      <c r="C858" s="77"/>
      <c r="D858" s="233" t="s">
        <v>835</v>
      </c>
      <c r="E858" s="233" t="s">
        <v>835</v>
      </c>
      <c r="F858" s="233" t="s">
        <v>835</v>
      </c>
      <c r="G858" s="233" t="s">
        <v>835</v>
      </c>
      <c r="H858" s="233" t="s">
        <v>835</v>
      </c>
      <c r="I858" s="234">
        <f>I859</f>
        <v>924.3</v>
      </c>
      <c r="J858" s="234">
        <f>J859</f>
        <v>558.9</v>
      </c>
      <c r="K858" s="234">
        <f>K859</f>
        <v>527.1</v>
      </c>
      <c r="L858" s="235">
        <f>L859</f>
        <v>22</v>
      </c>
      <c r="M858" s="233" t="s">
        <v>835</v>
      </c>
      <c r="N858" s="233" t="s">
        <v>835</v>
      </c>
      <c r="O858" s="236" t="s">
        <v>835</v>
      </c>
      <c r="P858" s="241">
        <v>62038.82</v>
      </c>
      <c r="Q858" s="78">
        <f>Q859</f>
        <v>0</v>
      </c>
      <c r="R858" s="78">
        <f>R859</f>
        <v>0</v>
      </c>
      <c r="S858" s="78">
        <f>S859</f>
        <v>0</v>
      </c>
      <c r="T858" s="78">
        <f>T859</f>
        <v>62038.82</v>
      </c>
      <c r="U858" s="78">
        <f t="shared" si="51"/>
        <v>67.119787947636055</v>
      </c>
      <c r="V858" s="78">
        <f>V859</f>
        <v>67.119787947636055</v>
      </c>
    </row>
    <row r="859" spans="1:22" s="79" customFormat="1" ht="36" customHeight="1" x14ac:dyDescent="0.25">
      <c r="A859" s="79">
        <v>1</v>
      </c>
      <c r="B859" s="80">
        <f>SUBTOTAL(103,$A$552:A859)</f>
        <v>291</v>
      </c>
      <c r="C859" s="77" t="s">
        <v>231</v>
      </c>
      <c r="D859" s="233">
        <v>1986</v>
      </c>
      <c r="E859" s="233"/>
      <c r="F859" s="233" t="s">
        <v>298</v>
      </c>
      <c r="G859" s="233">
        <v>2</v>
      </c>
      <c r="H859" s="233" t="s">
        <v>290</v>
      </c>
      <c r="I859" s="234">
        <v>924.3</v>
      </c>
      <c r="J859" s="234">
        <v>558.9</v>
      </c>
      <c r="K859" s="234">
        <v>527.1</v>
      </c>
      <c r="L859" s="239">
        <v>22</v>
      </c>
      <c r="M859" s="233" t="s">
        <v>254</v>
      </c>
      <c r="N859" s="233" t="s">
        <v>255</v>
      </c>
      <c r="O859" s="236" t="s">
        <v>257</v>
      </c>
      <c r="P859" s="78">
        <v>62038.82</v>
      </c>
      <c r="Q859" s="78">
        <v>0</v>
      </c>
      <c r="R859" s="78">
        <v>0</v>
      </c>
      <c r="S859" s="78">
        <v>0</v>
      </c>
      <c r="T859" s="78">
        <f>P859-R859-S859</f>
        <v>62038.82</v>
      </c>
      <c r="U859" s="78">
        <f t="shared" si="51"/>
        <v>67.119787947636055</v>
      </c>
      <c r="V859" s="81">
        <v>67.119787947636055</v>
      </c>
    </row>
    <row r="860" spans="1:22" s="79" customFormat="1" ht="36" customHeight="1" x14ac:dyDescent="0.25">
      <c r="B860" s="77" t="s">
        <v>813</v>
      </c>
      <c r="C860" s="243"/>
      <c r="D860" s="233" t="s">
        <v>835</v>
      </c>
      <c r="E860" s="233" t="s">
        <v>835</v>
      </c>
      <c r="F860" s="233" t="s">
        <v>835</v>
      </c>
      <c r="G860" s="233" t="s">
        <v>835</v>
      </c>
      <c r="H860" s="233" t="s">
        <v>835</v>
      </c>
      <c r="I860" s="234">
        <f>I861</f>
        <v>672</v>
      </c>
      <c r="J860" s="234">
        <f>J861</f>
        <v>625.9</v>
      </c>
      <c r="K860" s="234">
        <f>K861</f>
        <v>453.4</v>
      </c>
      <c r="L860" s="235">
        <f>L861</f>
        <v>35</v>
      </c>
      <c r="M860" s="233" t="s">
        <v>835</v>
      </c>
      <c r="N860" s="233" t="s">
        <v>835</v>
      </c>
      <c r="O860" s="236" t="s">
        <v>835</v>
      </c>
      <c r="P860" s="241">
        <v>2713692.58</v>
      </c>
      <c r="Q860" s="78">
        <f>Q861</f>
        <v>0</v>
      </c>
      <c r="R860" s="78">
        <f>R861</f>
        <v>0</v>
      </c>
      <c r="S860" s="78">
        <f>S861</f>
        <v>0</v>
      </c>
      <c r="T860" s="78">
        <f>T861</f>
        <v>2713692.58</v>
      </c>
      <c r="U860" s="78">
        <f t="shared" ref="U860:U918" si="59">P860/I860</f>
        <v>4038.2330059523811</v>
      </c>
      <c r="V860" s="78">
        <f>V861</f>
        <v>8173.2898630952386</v>
      </c>
    </row>
    <row r="861" spans="1:22" s="79" customFormat="1" ht="36" customHeight="1" x14ac:dyDescent="0.25">
      <c r="A861" s="79">
        <v>1</v>
      </c>
      <c r="B861" s="80">
        <f>SUBTOTAL(103,$A$552:A861)</f>
        <v>292</v>
      </c>
      <c r="C861" s="244" t="s">
        <v>2</v>
      </c>
      <c r="D861" s="233">
        <v>1963</v>
      </c>
      <c r="E861" s="233"/>
      <c r="F861" s="233" t="s">
        <v>256</v>
      </c>
      <c r="G861" s="233">
        <v>2</v>
      </c>
      <c r="H861" s="233" t="s">
        <v>290</v>
      </c>
      <c r="I861" s="234">
        <v>672</v>
      </c>
      <c r="J861" s="234">
        <v>625.9</v>
      </c>
      <c r="K861" s="234">
        <v>453.4</v>
      </c>
      <c r="L861" s="239">
        <v>35</v>
      </c>
      <c r="M861" s="233" t="s">
        <v>254</v>
      </c>
      <c r="N861" s="233" t="s">
        <v>255</v>
      </c>
      <c r="O861" s="236" t="s">
        <v>257</v>
      </c>
      <c r="P861" s="78">
        <v>2713692.58</v>
      </c>
      <c r="Q861" s="78">
        <v>0</v>
      </c>
      <c r="R861" s="78">
        <v>0</v>
      </c>
      <c r="S861" s="78">
        <v>0</v>
      </c>
      <c r="T861" s="78">
        <f>P861-R861-S861</f>
        <v>2713692.58</v>
      </c>
      <c r="U861" s="78">
        <f t="shared" si="59"/>
        <v>4038.2330059523811</v>
      </c>
      <c r="V861" s="78">
        <v>8173.2898630952386</v>
      </c>
    </row>
    <row r="862" spans="1:22" s="79" customFormat="1" ht="36" customHeight="1" x14ac:dyDescent="0.25">
      <c r="B862" s="77" t="s">
        <v>814</v>
      </c>
      <c r="C862" s="244"/>
      <c r="D862" s="233" t="s">
        <v>835</v>
      </c>
      <c r="E862" s="233" t="s">
        <v>835</v>
      </c>
      <c r="F862" s="233" t="s">
        <v>835</v>
      </c>
      <c r="G862" s="233" t="s">
        <v>835</v>
      </c>
      <c r="H862" s="233" t="s">
        <v>835</v>
      </c>
      <c r="I862" s="234">
        <f>I863</f>
        <v>531.9</v>
      </c>
      <c r="J862" s="234">
        <f>J863</f>
        <v>471.5</v>
      </c>
      <c r="K862" s="234">
        <f>K863</f>
        <v>438.4</v>
      </c>
      <c r="L862" s="235">
        <f>L863</f>
        <v>14</v>
      </c>
      <c r="M862" s="233" t="s">
        <v>835</v>
      </c>
      <c r="N862" s="233" t="s">
        <v>835</v>
      </c>
      <c r="O862" s="236" t="s">
        <v>835</v>
      </c>
      <c r="P862" s="241">
        <v>2079679.89</v>
      </c>
      <c r="Q862" s="78">
        <f>Q863</f>
        <v>0</v>
      </c>
      <c r="R862" s="78">
        <f>R863</f>
        <v>0</v>
      </c>
      <c r="S862" s="78">
        <f>S863</f>
        <v>0</v>
      </c>
      <c r="T862" s="78">
        <f>T863</f>
        <v>2079679.89</v>
      </c>
      <c r="U862" s="78">
        <f t="shared" si="59"/>
        <v>3909.9076706147771</v>
      </c>
      <c r="V862" s="78">
        <f>V863</f>
        <v>7928.2695183305141</v>
      </c>
    </row>
    <row r="863" spans="1:22" s="79" customFormat="1" ht="36" customHeight="1" x14ac:dyDescent="0.25">
      <c r="A863" s="79">
        <v>1</v>
      </c>
      <c r="B863" s="80">
        <f>SUBTOTAL(103,$A$552:A863)</f>
        <v>293</v>
      </c>
      <c r="C863" s="244" t="s">
        <v>1</v>
      </c>
      <c r="D863" s="233">
        <v>1962</v>
      </c>
      <c r="E863" s="233"/>
      <c r="F863" s="233" t="s">
        <v>256</v>
      </c>
      <c r="G863" s="233">
        <v>2</v>
      </c>
      <c r="H863" s="233" t="s">
        <v>290</v>
      </c>
      <c r="I863" s="234">
        <v>531.9</v>
      </c>
      <c r="J863" s="234">
        <v>471.5</v>
      </c>
      <c r="K863" s="234">
        <v>438.4</v>
      </c>
      <c r="L863" s="239">
        <v>14</v>
      </c>
      <c r="M863" s="233" t="s">
        <v>254</v>
      </c>
      <c r="N863" s="233" t="s">
        <v>255</v>
      </c>
      <c r="O863" s="236" t="s">
        <v>257</v>
      </c>
      <c r="P863" s="78">
        <v>2079679.89</v>
      </c>
      <c r="Q863" s="78">
        <v>0</v>
      </c>
      <c r="R863" s="78">
        <v>0</v>
      </c>
      <c r="S863" s="78">
        <v>0</v>
      </c>
      <c r="T863" s="78">
        <f>P863-R863-S863</f>
        <v>2079679.89</v>
      </c>
      <c r="U863" s="78">
        <f t="shared" si="59"/>
        <v>3909.9076706147771</v>
      </c>
      <c r="V863" s="78">
        <v>7928.2695183305141</v>
      </c>
    </row>
    <row r="864" spans="1:22" s="79" customFormat="1" ht="36" customHeight="1" x14ac:dyDescent="0.25">
      <c r="B864" s="77" t="s">
        <v>773</v>
      </c>
      <c r="C864" s="240"/>
      <c r="D864" s="233" t="s">
        <v>835</v>
      </c>
      <c r="E864" s="233" t="s">
        <v>835</v>
      </c>
      <c r="F864" s="233" t="s">
        <v>835</v>
      </c>
      <c r="G864" s="233" t="s">
        <v>835</v>
      </c>
      <c r="H864" s="233" t="s">
        <v>835</v>
      </c>
      <c r="I864" s="234">
        <f>I865</f>
        <v>7845.75</v>
      </c>
      <c r="J864" s="234">
        <f>J865</f>
        <v>6103.15</v>
      </c>
      <c r="K864" s="234">
        <f>K865</f>
        <v>5920.85</v>
      </c>
      <c r="L864" s="235">
        <f>L865</f>
        <v>252</v>
      </c>
      <c r="M864" s="233" t="s">
        <v>835</v>
      </c>
      <c r="N864" s="233" t="s">
        <v>835</v>
      </c>
      <c r="O864" s="236" t="s">
        <v>835</v>
      </c>
      <c r="P864" s="241">
        <v>105976.66</v>
      </c>
      <c r="Q864" s="78">
        <f>Q865</f>
        <v>0</v>
      </c>
      <c r="R864" s="78">
        <f>R865</f>
        <v>0</v>
      </c>
      <c r="S864" s="78">
        <f>S865</f>
        <v>0</v>
      </c>
      <c r="T864" s="78">
        <f>T865</f>
        <v>105976.66</v>
      </c>
      <c r="U864" s="78">
        <f t="shared" si="59"/>
        <v>13.507524455915624</v>
      </c>
      <c r="V864" s="78">
        <f>V865</f>
        <v>13.507524455915624</v>
      </c>
    </row>
    <row r="865" spans="1:22" s="79" customFormat="1" ht="36" customHeight="1" x14ac:dyDescent="0.25">
      <c r="A865" s="79">
        <v>1</v>
      </c>
      <c r="B865" s="80">
        <f>SUBTOTAL(103,$A$552:A865)</f>
        <v>294</v>
      </c>
      <c r="C865" s="77" t="s">
        <v>645</v>
      </c>
      <c r="D865" s="233">
        <v>1973</v>
      </c>
      <c r="E865" s="233">
        <v>1973</v>
      </c>
      <c r="F865" s="233" t="s">
        <v>304</v>
      </c>
      <c r="G865" s="233">
        <v>5</v>
      </c>
      <c r="H865" s="233" t="s">
        <v>2123</v>
      </c>
      <c r="I865" s="234">
        <v>7845.75</v>
      </c>
      <c r="J865" s="234">
        <v>6103.15</v>
      </c>
      <c r="K865" s="234">
        <v>5920.85</v>
      </c>
      <c r="L865" s="239">
        <v>252</v>
      </c>
      <c r="M865" s="233" t="s">
        <v>254</v>
      </c>
      <c r="N865" s="233" t="s">
        <v>258</v>
      </c>
      <c r="O865" s="236" t="s">
        <v>678</v>
      </c>
      <c r="P865" s="78">
        <v>105976.66</v>
      </c>
      <c r="Q865" s="78">
        <v>0</v>
      </c>
      <c r="R865" s="78">
        <v>0</v>
      </c>
      <c r="S865" s="78">
        <v>0</v>
      </c>
      <c r="T865" s="78">
        <f>P865-R865-S865</f>
        <v>105976.66</v>
      </c>
      <c r="U865" s="78">
        <f t="shared" si="59"/>
        <v>13.507524455915624</v>
      </c>
      <c r="V865" s="81">
        <v>13.507524455915624</v>
      </c>
    </row>
    <row r="866" spans="1:22" s="79" customFormat="1" ht="36" customHeight="1" x14ac:dyDescent="0.25">
      <c r="B866" s="77" t="s">
        <v>815</v>
      </c>
      <c r="C866" s="77"/>
      <c r="D866" s="233" t="s">
        <v>835</v>
      </c>
      <c r="E866" s="233" t="s">
        <v>835</v>
      </c>
      <c r="F866" s="233" t="s">
        <v>835</v>
      </c>
      <c r="G866" s="233" t="s">
        <v>835</v>
      </c>
      <c r="H866" s="233" t="s">
        <v>835</v>
      </c>
      <c r="I866" s="234">
        <f>I867</f>
        <v>550.20000000000005</v>
      </c>
      <c r="J866" s="234">
        <f>J867</f>
        <v>517.6</v>
      </c>
      <c r="K866" s="234">
        <f>K867</f>
        <v>517.6</v>
      </c>
      <c r="L866" s="235">
        <f>L867</f>
        <v>20</v>
      </c>
      <c r="M866" s="233" t="s">
        <v>835</v>
      </c>
      <c r="N866" s="233" t="s">
        <v>835</v>
      </c>
      <c r="O866" s="236" t="s">
        <v>835</v>
      </c>
      <c r="P866" s="241">
        <v>65297.52</v>
      </c>
      <c r="Q866" s="78">
        <f>Q867</f>
        <v>0</v>
      </c>
      <c r="R866" s="78">
        <f>R867</f>
        <v>0</v>
      </c>
      <c r="S866" s="78">
        <f>S867</f>
        <v>0</v>
      </c>
      <c r="T866" s="78">
        <f>T867</f>
        <v>65297.52</v>
      </c>
      <c r="U866" s="78">
        <f t="shared" si="59"/>
        <v>118.67960741548526</v>
      </c>
      <c r="V866" s="78">
        <f>V867</f>
        <v>118.67960741548526</v>
      </c>
    </row>
    <row r="867" spans="1:22" s="79" customFormat="1" ht="36" customHeight="1" x14ac:dyDescent="0.25">
      <c r="A867" s="79">
        <v>1</v>
      </c>
      <c r="B867" s="80">
        <f>SUBTOTAL(103,$A$552:A867)</f>
        <v>295</v>
      </c>
      <c r="C867" s="77" t="s">
        <v>651</v>
      </c>
      <c r="D867" s="233">
        <v>1970</v>
      </c>
      <c r="E867" s="233"/>
      <c r="F867" s="233" t="s">
        <v>256</v>
      </c>
      <c r="G867" s="233">
        <v>2</v>
      </c>
      <c r="H867" s="233" t="s">
        <v>290</v>
      </c>
      <c r="I867" s="234">
        <v>550.20000000000005</v>
      </c>
      <c r="J867" s="234">
        <v>517.6</v>
      </c>
      <c r="K867" s="234">
        <v>517.6</v>
      </c>
      <c r="L867" s="239">
        <v>20</v>
      </c>
      <c r="M867" s="233" t="s">
        <v>254</v>
      </c>
      <c r="N867" s="233" t="s">
        <v>255</v>
      </c>
      <c r="O867" s="236" t="s">
        <v>257</v>
      </c>
      <c r="P867" s="78">
        <v>65297.52</v>
      </c>
      <c r="Q867" s="78">
        <v>0</v>
      </c>
      <c r="R867" s="78">
        <v>0</v>
      </c>
      <c r="S867" s="78">
        <v>0</v>
      </c>
      <c r="T867" s="78">
        <f>P867-R867-S867</f>
        <v>65297.52</v>
      </c>
      <c r="U867" s="78">
        <f t="shared" si="59"/>
        <v>118.67960741548526</v>
      </c>
      <c r="V867" s="81">
        <v>118.67960741548526</v>
      </c>
    </row>
    <row r="868" spans="1:22" s="79" customFormat="1" ht="36" customHeight="1" x14ac:dyDescent="0.25">
      <c r="B868" s="77" t="s">
        <v>774</v>
      </c>
      <c r="C868" s="77"/>
      <c r="D868" s="233" t="s">
        <v>835</v>
      </c>
      <c r="E868" s="233" t="s">
        <v>835</v>
      </c>
      <c r="F868" s="233" t="s">
        <v>835</v>
      </c>
      <c r="G868" s="233" t="s">
        <v>835</v>
      </c>
      <c r="H868" s="233" t="s">
        <v>835</v>
      </c>
      <c r="I868" s="234">
        <f>SUM(I869:I870)</f>
        <v>4299.2</v>
      </c>
      <c r="J868" s="234">
        <f>SUM(J869:J870)</f>
        <v>4200.2</v>
      </c>
      <c r="K868" s="234">
        <f>SUM(K869:K870)</f>
        <v>4200.2</v>
      </c>
      <c r="L868" s="235">
        <f>SUM(L869:L870)</f>
        <v>181</v>
      </c>
      <c r="M868" s="233" t="s">
        <v>835</v>
      </c>
      <c r="N868" s="233" t="s">
        <v>835</v>
      </c>
      <c r="O868" s="236" t="s">
        <v>835</v>
      </c>
      <c r="P868" s="241">
        <v>3106581.3099999996</v>
      </c>
      <c r="Q868" s="78">
        <f>SUM(Q869:Q870)</f>
        <v>0</v>
      </c>
      <c r="R868" s="78">
        <f>SUM(R869:R870)</f>
        <v>0</v>
      </c>
      <c r="S868" s="78">
        <f>SUM(S869:S870)</f>
        <v>0</v>
      </c>
      <c r="T868" s="78">
        <f>SUM(T869:T870)</f>
        <v>3106581.3099999996</v>
      </c>
      <c r="U868" s="78">
        <f t="shared" si="59"/>
        <v>722.59520608485298</v>
      </c>
      <c r="V868" s="78">
        <f>MAX(V869:V870)</f>
        <v>2199.5596016039322</v>
      </c>
    </row>
    <row r="869" spans="1:22" s="79" customFormat="1" ht="36" customHeight="1" x14ac:dyDescent="0.25">
      <c r="A869" s="79">
        <v>1</v>
      </c>
      <c r="B869" s="80">
        <f>SUBTOTAL(103,$A$552:A869)</f>
        <v>296</v>
      </c>
      <c r="C869" s="77" t="s">
        <v>648</v>
      </c>
      <c r="D869" s="233">
        <v>1973</v>
      </c>
      <c r="E869" s="233">
        <v>2006</v>
      </c>
      <c r="F869" s="233" t="s">
        <v>256</v>
      </c>
      <c r="G869" s="233">
        <v>3</v>
      </c>
      <c r="H869" s="233" t="s">
        <v>290</v>
      </c>
      <c r="I869" s="234">
        <v>1206.8</v>
      </c>
      <c r="J869" s="234">
        <v>1107.8</v>
      </c>
      <c r="K869" s="234">
        <v>1107.8</v>
      </c>
      <c r="L869" s="239">
        <v>30</v>
      </c>
      <c r="M869" s="233" t="s">
        <v>254</v>
      </c>
      <c r="N869" s="233" t="s">
        <v>258</v>
      </c>
      <c r="O869" s="236" t="s">
        <v>679</v>
      </c>
      <c r="P869" s="78">
        <v>105796.8</v>
      </c>
      <c r="Q869" s="78">
        <v>0</v>
      </c>
      <c r="R869" s="78">
        <v>0</v>
      </c>
      <c r="S869" s="78">
        <v>0</v>
      </c>
      <c r="T869" s="78">
        <f>P869-R869-S869</f>
        <v>105796.8</v>
      </c>
      <c r="U869" s="78">
        <f t="shared" si="59"/>
        <v>87.667219091813067</v>
      </c>
      <c r="V869" s="81">
        <v>87.667219091813067</v>
      </c>
    </row>
    <row r="870" spans="1:22" s="79" customFormat="1" ht="36" customHeight="1" x14ac:dyDescent="0.25">
      <c r="A870" s="79">
        <v>1</v>
      </c>
      <c r="B870" s="80">
        <f>SUBTOTAL(103,$A$552:A870)</f>
        <v>297</v>
      </c>
      <c r="C870" s="77" t="s">
        <v>1459</v>
      </c>
      <c r="D870" s="233">
        <v>1978</v>
      </c>
      <c r="E870" s="233"/>
      <c r="F870" s="233" t="s">
        <v>304</v>
      </c>
      <c r="G870" s="233">
        <v>5</v>
      </c>
      <c r="H870" s="233" t="s">
        <v>295</v>
      </c>
      <c r="I870" s="234">
        <v>3092.4</v>
      </c>
      <c r="J870" s="234">
        <v>3092.4</v>
      </c>
      <c r="K870" s="234">
        <v>3092.4</v>
      </c>
      <c r="L870" s="239">
        <v>151</v>
      </c>
      <c r="M870" s="233" t="s">
        <v>254</v>
      </c>
      <c r="N870" s="233" t="s">
        <v>258</v>
      </c>
      <c r="O870" s="236" t="s">
        <v>1484</v>
      </c>
      <c r="P870" s="78">
        <v>3000784.51</v>
      </c>
      <c r="Q870" s="78">
        <v>0</v>
      </c>
      <c r="R870" s="78">
        <v>0</v>
      </c>
      <c r="S870" s="78">
        <v>0</v>
      </c>
      <c r="T870" s="78">
        <f>P870-S870-R870</f>
        <v>3000784.51</v>
      </c>
      <c r="U870" s="78">
        <f t="shared" si="59"/>
        <v>970.37398460742452</v>
      </c>
      <c r="V870" s="78">
        <v>2199.5596016039322</v>
      </c>
    </row>
    <row r="871" spans="1:22" s="79" customFormat="1" ht="36" customHeight="1" x14ac:dyDescent="0.25">
      <c r="B871" s="77" t="s">
        <v>776</v>
      </c>
      <c r="C871" s="240"/>
      <c r="D871" s="233" t="s">
        <v>835</v>
      </c>
      <c r="E871" s="233" t="s">
        <v>835</v>
      </c>
      <c r="F871" s="233" t="s">
        <v>835</v>
      </c>
      <c r="G871" s="233" t="s">
        <v>835</v>
      </c>
      <c r="H871" s="233" t="s">
        <v>835</v>
      </c>
      <c r="I871" s="234">
        <f>SUM(I872:I882)</f>
        <v>16744.129999999997</v>
      </c>
      <c r="J871" s="234">
        <f>SUM(J872:J882)</f>
        <v>13873.08</v>
      </c>
      <c r="K871" s="234">
        <f>SUM(K872:K882)</f>
        <v>13602.8</v>
      </c>
      <c r="L871" s="235">
        <f>SUM(L872:L882)</f>
        <v>660</v>
      </c>
      <c r="M871" s="233" t="s">
        <v>835</v>
      </c>
      <c r="N871" s="233" t="s">
        <v>835</v>
      </c>
      <c r="O871" s="236" t="s">
        <v>835</v>
      </c>
      <c r="P871" s="241">
        <v>22316439.620000001</v>
      </c>
      <c r="Q871" s="78">
        <f>SUM(Q872:Q882)</f>
        <v>0</v>
      </c>
      <c r="R871" s="78">
        <f>SUM(R872:R882)</f>
        <v>0</v>
      </c>
      <c r="S871" s="78">
        <f>SUM(S872:S882)</f>
        <v>0</v>
      </c>
      <c r="T871" s="78">
        <f>SUM(T872:T882)</f>
        <v>22316439.620000001</v>
      </c>
      <c r="U871" s="78">
        <f t="shared" si="59"/>
        <v>1332.7918273448668</v>
      </c>
      <c r="V871" s="78">
        <f>MAX(V872:V882)</f>
        <v>7603.5888839670815</v>
      </c>
    </row>
    <row r="872" spans="1:22" s="79" customFormat="1" ht="36" customHeight="1" x14ac:dyDescent="0.25">
      <c r="A872" s="79">
        <v>1</v>
      </c>
      <c r="B872" s="80">
        <f>SUBTOTAL(103,$A$552:A872)</f>
        <v>298</v>
      </c>
      <c r="C872" s="77" t="s">
        <v>120</v>
      </c>
      <c r="D872" s="233">
        <v>1992</v>
      </c>
      <c r="E872" s="233"/>
      <c r="F872" s="233" t="s">
        <v>256</v>
      </c>
      <c r="G872" s="233">
        <v>3</v>
      </c>
      <c r="H872" s="233" t="s">
        <v>290</v>
      </c>
      <c r="I872" s="234">
        <v>1555.9</v>
      </c>
      <c r="J872" s="234">
        <v>1062.8</v>
      </c>
      <c r="K872" s="234">
        <v>1019.8</v>
      </c>
      <c r="L872" s="239">
        <v>50</v>
      </c>
      <c r="M872" s="233" t="s">
        <v>254</v>
      </c>
      <c r="N872" s="233" t="s">
        <v>258</v>
      </c>
      <c r="O872" s="236" t="s">
        <v>272</v>
      </c>
      <c r="P872" s="78">
        <v>119941.93</v>
      </c>
      <c r="Q872" s="78">
        <v>0</v>
      </c>
      <c r="R872" s="78">
        <v>0</v>
      </c>
      <c r="S872" s="78">
        <v>0</v>
      </c>
      <c r="T872" s="78">
        <f t="shared" ref="T872:T882" si="60">P872-R872-S872</f>
        <v>119941.93</v>
      </c>
      <c r="U872" s="78">
        <f t="shared" si="59"/>
        <v>77.088456841699326</v>
      </c>
      <c r="V872" s="81">
        <v>77.088456841699326</v>
      </c>
    </row>
    <row r="873" spans="1:22" s="79" customFormat="1" ht="36" customHeight="1" x14ac:dyDescent="0.25">
      <c r="A873" s="79">
        <v>1</v>
      </c>
      <c r="B873" s="80">
        <f>SUBTOTAL(103,$A$552:A873)</f>
        <v>299</v>
      </c>
      <c r="C873" s="77" t="s">
        <v>125</v>
      </c>
      <c r="D873" s="233">
        <v>1983</v>
      </c>
      <c r="E873" s="233"/>
      <c r="F873" s="233" t="s">
        <v>256</v>
      </c>
      <c r="G873" s="233">
        <v>2</v>
      </c>
      <c r="H873" s="233" t="s">
        <v>299</v>
      </c>
      <c r="I873" s="234">
        <v>1039.7</v>
      </c>
      <c r="J873" s="234">
        <v>968.1</v>
      </c>
      <c r="K873" s="234">
        <v>908.6</v>
      </c>
      <c r="L873" s="239">
        <v>39</v>
      </c>
      <c r="M873" s="233" t="s">
        <v>254</v>
      </c>
      <c r="N873" s="233" t="s">
        <v>258</v>
      </c>
      <c r="O873" s="236" t="s">
        <v>272</v>
      </c>
      <c r="P873" s="78">
        <v>5544364.6500000004</v>
      </c>
      <c r="Q873" s="78">
        <v>0</v>
      </c>
      <c r="R873" s="78">
        <v>0</v>
      </c>
      <c r="S873" s="78">
        <v>0</v>
      </c>
      <c r="T873" s="78">
        <f t="shared" si="60"/>
        <v>5544364.6500000004</v>
      </c>
      <c r="U873" s="78">
        <f t="shared" si="59"/>
        <v>5332.6581225353466</v>
      </c>
      <c r="V873" s="81">
        <v>5332.6581225353466</v>
      </c>
    </row>
    <row r="874" spans="1:22" s="79" customFormat="1" ht="36" customHeight="1" x14ac:dyDescent="0.25">
      <c r="A874" s="79">
        <v>1</v>
      </c>
      <c r="B874" s="80">
        <f>SUBTOTAL(103,$A$552:A874)</f>
        <v>300</v>
      </c>
      <c r="C874" s="77" t="s">
        <v>123</v>
      </c>
      <c r="D874" s="233">
        <v>1981</v>
      </c>
      <c r="E874" s="233"/>
      <c r="F874" s="233" t="s">
        <v>256</v>
      </c>
      <c r="G874" s="233">
        <v>2</v>
      </c>
      <c r="H874" s="233" t="s">
        <v>299</v>
      </c>
      <c r="I874" s="234">
        <v>1572.8</v>
      </c>
      <c r="J874" s="234">
        <v>986.3</v>
      </c>
      <c r="K874" s="234">
        <v>925.2</v>
      </c>
      <c r="L874" s="239">
        <v>49</v>
      </c>
      <c r="M874" s="233" t="s">
        <v>254</v>
      </c>
      <c r="N874" s="233" t="s">
        <v>258</v>
      </c>
      <c r="O874" s="236" t="s">
        <v>272</v>
      </c>
      <c r="P874" s="78">
        <v>4164322.15</v>
      </c>
      <c r="Q874" s="78">
        <v>0</v>
      </c>
      <c r="R874" s="78">
        <v>0</v>
      </c>
      <c r="S874" s="78">
        <v>0</v>
      </c>
      <c r="T874" s="78">
        <f t="shared" si="60"/>
        <v>4164322.15</v>
      </c>
      <c r="U874" s="78">
        <f t="shared" si="59"/>
        <v>2647.7124554933876</v>
      </c>
      <c r="V874" s="78">
        <v>5088.8018774160746</v>
      </c>
    </row>
    <row r="875" spans="1:22" s="79" customFormat="1" ht="36" customHeight="1" x14ac:dyDescent="0.25">
      <c r="A875" s="79">
        <v>1</v>
      </c>
      <c r="B875" s="80">
        <f>SUBTOTAL(103,$A$552:A875)</f>
        <v>301</v>
      </c>
      <c r="C875" s="77" t="s">
        <v>126</v>
      </c>
      <c r="D875" s="233">
        <v>1975</v>
      </c>
      <c r="E875" s="233"/>
      <c r="F875" s="233" t="s">
        <v>256</v>
      </c>
      <c r="G875" s="233">
        <v>2</v>
      </c>
      <c r="H875" s="233" t="s">
        <v>299</v>
      </c>
      <c r="I875" s="234">
        <v>786.44</v>
      </c>
      <c r="J875" s="234">
        <v>726.3</v>
      </c>
      <c r="K875" s="234">
        <v>726.3</v>
      </c>
      <c r="L875" s="239">
        <v>32</v>
      </c>
      <c r="M875" s="233" t="s">
        <v>254</v>
      </c>
      <c r="N875" s="233" t="s">
        <v>258</v>
      </c>
      <c r="O875" s="236" t="s">
        <v>272</v>
      </c>
      <c r="P875" s="78">
        <v>3561345.98</v>
      </c>
      <c r="Q875" s="78">
        <v>0</v>
      </c>
      <c r="R875" s="78">
        <v>0</v>
      </c>
      <c r="S875" s="78">
        <v>0</v>
      </c>
      <c r="T875" s="78">
        <f t="shared" si="60"/>
        <v>3561345.98</v>
      </c>
      <c r="U875" s="78">
        <f t="shared" si="59"/>
        <v>4528.4395249478657</v>
      </c>
      <c r="V875" s="78">
        <v>7291.78122170795</v>
      </c>
    </row>
    <row r="876" spans="1:22" s="79" customFormat="1" ht="36" customHeight="1" x14ac:dyDescent="0.25">
      <c r="A876" s="79">
        <v>1</v>
      </c>
      <c r="B876" s="80">
        <f>SUBTOTAL(103,$A$552:A876)</f>
        <v>302</v>
      </c>
      <c r="C876" s="77" t="s">
        <v>124</v>
      </c>
      <c r="D876" s="233">
        <v>1972</v>
      </c>
      <c r="E876" s="233"/>
      <c r="F876" s="233" t="s">
        <v>256</v>
      </c>
      <c r="G876" s="233">
        <v>2</v>
      </c>
      <c r="H876" s="233" t="s">
        <v>290</v>
      </c>
      <c r="I876" s="234">
        <v>669.61</v>
      </c>
      <c r="J876" s="234">
        <v>669.61</v>
      </c>
      <c r="K876" s="234">
        <v>621.29</v>
      </c>
      <c r="L876" s="239">
        <v>12</v>
      </c>
      <c r="M876" s="233" t="s">
        <v>254</v>
      </c>
      <c r="N876" s="233" t="s">
        <v>258</v>
      </c>
      <c r="O876" s="236" t="s">
        <v>273</v>
      </c>
      <c r="P876" s="78">
        <v>2858655.04</v>
      </c>
      <c r="Q876" s="78">
        <v>0</v>
      </c>
      <c r="R876" s="78">
        <v>0</v>
      </c>
      <c r="S876" s="78">
        <v>0</v>
      </c>
      <c r="T876" s="78">
        <f t="shared" si="60"/>
        <v>2858655.04</v>
      </c>
      <c r="U876" s="78">
        <f t="shared" si="59"/>
        <v>4269.1343319245534</v>
      </c>
      <c r="V876" s="78">
        <v>7419.8359451023725</v>
      </c>
    </row>
    <row r="877" spans="1:22" s="79" customFormat="1" ht="36" customHeight="1" x14ac:dyDescent="0.25">
      <c r="A877" s="79">
        <v>1</v>
      </c>
      <c r="B877" s="80">
        <f>SUBTOTAL(103,$A$552:A877)</f>
        <v>303</v>
      </c>
      <c r="C877" s="77" t="s">
        <v>121</v>
      </c>
      <c r="D877" s="233">
        <v>1978</v>
      </c>
      <c r="E877" s="233"/>
      <c r="F877" s="233" t="s">
        <v>275</v>
      </c>
      <c r="G877" s="233">
        <v>5</v>
      </c>
      <c r="H877" s="233" t="s">
        <v>295</v>
      </c>
      <c r="I877" s="234">
        <v>4027.2</v>
      </c>
      <c r="J877" s="234">
        <v>3079.4</v>
      </c>
      <c r="K877" s="234">
        <v>3079.4</v>
      </c>
      <c r="L877" s="239">
        <v>157</v>
      </c>
      <c r="M877" s="233" t="s">
        <v>254</v>
      </c>
      <c r="N877" s="233" t="s">
        <v>258</v>
      </c>
      <c r="O877" s="236" t="s">
        <v>273</v>
      </c>
      <c r="P877" s="78">
        <v>120068.08</v>
      </c>
      <c r="Q877" s="78">
        <v>0</v>
      </c>
      <c r="R877" s="78">
        <v>0</v>
      </c>
      <c r="S877" s="78">
        <v>0</v>
      </c>
      <c r="T877" s="78">
        <f t="shared" si="60"/>
        <v>120068.08</v>
      </c>
      <c r="U877" s="78">
        <f t="shared" si="59"/>
        <v>29.81428287644021</v>
      </c>
      <c r="V877" s="81">
        <v>29.81428287644021</v>
      </c>
    </row>
    <row r="878" spans="1:22" s="79" customFormat="1" ht="36" customHeight="1" x14ac:dyDescent="0.25">
      <c r="A878" s="79">
        <v>1</v>
      </c>
      <c r="B878" s="80">
        <f>SUBTOTAL(103,$A$552:A878)</f>
        <v>304</v>
      </c>
      <c r="C878" s="77" t="s">
        <v>122</v>
      </c>
      <c r="D878" s="233">
        <v>1986</v>
      </c>
      <c r="E878" s="233"/>
      <c r="F878" s="233" t="s">
        <v>256</v>
      </c>
      <c r="G878" s="233">
        <v>5</v>
      </c>
      <c r="H878" s="233" t="s">
        <v>291</v>
      </c>
      <c r="I878" s="234">
        <v>2851.99</v>
      </c>
      <c r="J878" s="234">
        <v>2360.59</v>
      </c>
      <c r="K878" s="234">
        <v>2342</v>
      </c>
      <c r="L878" s="239">
        <v>145</v>
      </c>
      <c r="M878" s="233" t="s">
        <v>254</v>
      </c>
      <c r="N878" s="233" t="s">
        <v>258</v>
      </c>
      <c r="O878" s="236" t="s">
        <v>273</v>
      </c>
      <c r="P878" s="78">
        <v>119926.1</v>
      </c>
      <c r="Q878" s="78">
        <v>0</v>
      </c>
      <c r="R878" s="78">
        <v>0</v>
      </c>
      <c r="S878" s="78">
        <v>0</v>
      </c>
      <c r="T878" s="78">
        <f>P878-R878-S878</f>
        <v>119926.1</v>
      </c>
      <c r="U878" s="78">
        <f t="shared" si="59"/>
        <v>42.049972124726949</v>
      </c>
      <c r="V878" s="81">
        <v>42.049972124726949</v>
      </c>
    </row>
    <row r="879" spans="1:22" s="79" customFormat="1" ht="36" customHeight="1" x14ac:dyDescent="0.25">
      <c r="A879" s="79">
        <v>1</v>
      </c>
      <c r="B879" s="80">
        <f>SUBTOTAL(103,$A$552:A879)</f>
        <v>305</v>
      </c>
      <c r="C879" s="77" t="s">
        <v>127</v>
      </c>
      <c r="D879" s="233">
        <v>1978</v>
      </c>
      <c r="E879" s="233"/>
      <c r="F879" s="233" t="s">
        <v>256</v>
      </c>
      <c r="G879" s="233">
        <v>3</v>
      </c>
      <c r="H879" s="233" t="s">
        <v>299</v>
      </c>
      <c r="I879" s="234">
        <v>1582.3</v>
      </c>
      <c r="J879" s="234">
        <v>1471.8</v>
      </c>
      <c r="K879" s="234">
        <v>1471.8</v>
      </c>
      <c r="L879" s="239">
        <v>69</v>
      </c>
      <c r="M879" s="233" t="s">
        <v>254</v>
      </c>
      <c r="N879" s="233" t="s">
        <v>258</v>
      </c>
      <c r="O879" s="236" t="s">
        <v>273</v>
      </c>
      <c r="P879" s="78">
        <v>194982.26</v>
      </c>
      <c r="Q879" s="78">
        <v>0</v>
      </c>
      <c r="R879" s="78">
        <v>0</v>
      </c>
      <c r="S879" s="78">
        <v>0</v>
      </c>
      <c r="T879" s="78">
        <f t="shared" si="60"/>
        <v>194982.26</v>
      </c>
      <c r="U879" s="78">
        <f t="shared" si="59"/>
        <v>123.22711243127094</v>
      </c>
      <c r="V879" s="81">
        <v>123.22711243127094</v>
      </c>
    </row>
    <row r="880" spans="1:22" s="79" customFormat="1" ht="36" customHeight="1" x14ac:dyDescent="0.25">
      <c r="A880" s="79">
        <v>1</v>
      </c>
      <c r="B880" s="80">
        <f>SUBTOTAL(103,$A$552:A880)</f>
        <v>306</v>
      </c>
      <c r="C880" s="77" t="s">
        <v>112</v>
      </c>
      <c r="D880" s="233">
        <v>1973</v>
      </c>
      <c r="E880" s="233"/>
      <c r="F880" s="233" t="s">
        <v>256</v>
      </c>
      <c r="G880" s="233">
        <v>2</v>
      </c>
      <c r="H880" s="233" t="s">
        <v>290</v>
      </c>
      <c r="I880" s="234">
        <v>781.06</v>
      </c>
      <c r="J880" s="234">
        <v>721</v>
      </c>
      <c r="K880" s="234">
        <v>681.23</v>
      </c>
      <c r="L880" s="239">
        <v>38</v>
      </c>
      <c r="M880" s="233" t="s">
        <v>254</v>
      </c>
      <c r="N880" s="233" t="s">
        <v>258</v>
      </c>
      <c r="O880" s="236" t="s">
        <v>272</v>
      </c>
      <c r="P880" s="78">
        <v>2512737.2000000002</v>
      </c>
      <c r="Q880" s="78">
        <v>0</v>
      </c>
      <c r="R880" s="78">
        <v>0</v>
      </c>
      <c r="S880" s="78">
        <v>0</v>
      </c>
      <c r="T880" s="78">
        <f t="shared" si="60"/>
        <v>2512737.2000000002</v>
      </c>
      <c r="U880" s="78">
        <f t="shared" si="59"/>
        <v>3217.0860113179529</v>
      </c>
      <c r="V880" s="78">
        <v>7267.7997388164813</v>
      </c>
    </row>
    <row r="881" spans="1:22" s="79" customFormat="1" ht="36" customHeight="1" x14ac:dyDescent="0.25">
      <c r="A881" s="79">
        <v>1</v>
      </c>
      <c r="B881" s="80">
        <f>SUBTOTAL(103,$A$552:A881)</f>
        <v>307</v>
      </c>
      <c r="C881" s="77" t="s">
        <v>1150</v>
      </c>
      <c r="D881" s="233">
        <v>1987</v>
      </c>
      <c r="E881" s="233"/>
      <c r="F881" s="233" t="s">
        <v>256</v>
      </c>
      <c r="G881" s="233">
        <v>2</v>
      </c>
      <c r="H881" s="233" t="s">
        <v>299</v>
      </c>
      <c r="I881" s="78">
        <v>1448.2</v>
      </c>
      <c r="J881" s="78">
        <v>1448.2</v>
      </c>
      <c r="K881" s="78">
        <v>1448.2</v>
      </c>
      <c r="L881" s="239">
        <v>53</v>
      </c>
      <c r="M881" s="233" t="s">
        <v>254</v>
      </c>
      <c r="N881" s="233" t="s">
        <v>258</v>
      </c>
      <c r="O881" s="236" t="s">
        <v>1251</v>
      </c>
      <c r="P881" s="78">
        <v>892035.32000000007</v>
      </c>
      <c r="Q881" s="78">
        <v>0</v>
      </c>
      <c r="R881" s="78">
        <v>0</v>
      </c>
      <c r="S881" s="78">
        <v>0</v>
      </c>
      <c r="T881" s="78">
        <f t="shared" si="60"/>
        <v>892035.32000000007</v>
      </c>
      <c r="U881" s="78">
        <f t="shared" si="59"/>
        <v>615.96141416931368</v>
      </c>
      <c r="V881" s="78">
        <v>4500.21</v>
      </c>
    </row>
    <row r="882" spans="1:22" s="79" customFormat="1" ht="36" customHeight="1" x14ac:dyDescent="0.25">
      <c r="A882" s="79">
        <v>1</v>
      </c>
      <c r="B882" s="80">
        <f>SUBTOTAL(103,$A$552:A882)</f>
        <v>308</v>
      </c>
      <c r="C882" s="77" t="s">
        <v>2163</v>
      </c>
      <c r="D882" s="233">
        <v>1959</v>
      </c>
      <c r="E882" s="233"/>
      <c r="F882" s="233" t="s">
        <v>256</v>
      </c>
      <c r="G882" s="233">
        <v>2</v>
      </c>
      <c r="H882" s="233">
        <v>1</v>
      </c>
      <c r="I882" s="78">
        <v>428.93</v>
      </c>
      <c r="J882" s="78">
        <v>378.98</v>
      </c>
      <c r="K882" s="78">
        <v>378.98</v>
      </c>
      <c r="L882" s="239">
        <v>16</v>
      </c>
      <c r="M882" s="233" t="s">
        <v>254</v>
      </c>
      <c r="N882" s="233" t="s">
        <v>255</v>
      </c>
      <c r="O882" s="236" t="s">
        <v>257</v>
      </c>
      <c r="P882" s="78">
        <v>2228060.91</v>
      </c>
      <c r="Q882" s="78">
        <v>0</v>
      </c>
      <c r="R882" s="78">
        <v>0</v>
      </c>
      <c r="S882" s="78">
        <v>0</v>
      </c>
      <c r="T882" s="78">
        <f t="shared" si="60"/>
        <v>2228060.91</v>
      </c>
      <c r="U882" s="78">
        <f t="shared" si="59"/>
        <v>5194.4627561606794</v>
      </c>
      <c r="V882" s="78">
        <v>7603.5888839670815</v>
      </c>
    </row>
    <row r="883" spans="1:22" s="79" customFormat="1" ht="36" customHeight="1" x14ac:dyDescent="0.25">
      <c r="B883" s="77" t="s">
        <v>779</v>
      </c>
      <c r="C883" s="77"/>
      <c r="D883" s="233" t="s">
        <v>835</v>
      </c>
      <c r="E883" s="233" t="s">
        <v>835</v>
      </c>
      <c r="F883" s="233" t="s">
        <v>835</v>
      </c>
      <c r="G883" s="233" t="s">
        <v>835</v>
      </c>
      <c r="H883" s="233" t="s">
        <v>835</v>
      </c>
      <c r="I883" s="78">
        <f>SUM(I884:I885)</f>
        <v>1443.4</v>
      </c>
      <c r="J883" s="78">
        <f>SUM(J884:J885)</f>
        <v>1238.9000000000001</v>
      </c>
      <c r="K883" s="78">
        <f>SUM(K884:K885)</f>
        <v>1204.5999999999999</v>
      </c>
      <c r="L883" s="235">
        <f>SUM(L884:L885)</f>
        <v>68</v>
      </c>
      <c r="M883" s="233" t="s">
        <v>835</v>
      </c>
      <c r="N883" s="233" t="s">
        <v>835</v>
      </c>
      <c r="O883" s="236" t="s">
        <v>835</v>
      </c>
      <c r="P883" s="241">
        <v>5513180.9399999995</v>
      </c>
      <c r="Q883" s="78">
        <f>SUM(Q884:Q885)</f>
        <v>0</v>
      </c>
      <c r="R883" s="78">
        <f>SUM(R884:R885)</f>
        <v>0</v>
      </c>
      <c r="S883" s="78">
        <f>SUM(S884:S885)</f>
        <v>0</v>
      </c>
      <c r="T883" s="78">
        <f>SUM(T884:T885)</f>
        <v>5513180.9399999995</v>
      </c>
      <c r="U883" s="78">
        <f t="shared" si="59"/>
        <v>3819.5794235832059</v>
      </c>
      <c r="V883" s="78">
        <f>MAX(V884:V885)</f>
        <v>6548.1020551378451</v>
      </c>
    </row>
    <row r="884" spans="1:22" s="79" customFormat="1" ht="36" customHeight="1" x14ac:dyDescent="0.25">
      <c r="A884" s="79">
        <v>1</v>
      </c>
      <c r="B884" s="80">
        <f>SUBTOTAL(103,$A$552:A884)</f>
        <v>309</v>
      </c>
      <c r="C884" s="77" t="s">
        <v>163</v>
      </c>
      <c r="D884" s="233">
        <v>1983</v>
      </c>
      <c r="E884" s="233"/>
      <c r="F884" s="233" t="s">
        <v>256</v>
      </c>
      <c r="G884" s="233">
        <v>2</v>
      </c>
      <c r="H884" s="233" t="s">
        <v>299</v>
      </c>
      <c r="I884" s="234">
        <v>1044.4000000000001</v>
      </c>
      <c r="J884" s="234">
        <v>943.9</v>
      </c>
      <c r="K884" s="234">
        <v>943.9</v>
      </c>
      <c r="L884" s="239">
        <v>47</v>
      </c>
      <c r="M884" s="233" t="s">
        <v>254</v>
      </c>
      <c r="N884" s="233" t="s">
        <v>323</v>
      </c>
      <c r="O884" s="236" t="s">
        <v>756</v>
      </c>
      <c r="P884" s="78">
        <v>4365745.54</v>
      </c>
      <c r="Q884" s="78">
        <v>0</v>
      </c>
      <c r="R884" s="78">
        <v>0</v>
      </c>
      <c r="S884" s="78">
        <v>0</v>
      </c>
      <c r="T884" s="78">
        <f>P884-R884-S884</f>
        <v>4365745.54</v>
      </c>
      <c r="U884" s="78">
        <f t="shared" si="59"/>
        <v>4180.1470126388358</v>
      </c>
      <c r="V884" s="78">
        <v>4564.9340291076214</v>
      </c>
    </row>
    <row r="885" spans="1:22" s="79" customFormat="1" ht="36" customHeight="1" x14ac:dyDescent="0.25">
      <c r="A885" s="79">
        <v>1</v>
      </c>
      <c r="B885" s="80">
        <f>SUBTOTAL(103,$A$552:A885)</f>
        <v>310</v>
      </c>
      <c r="C885" s="77" t="s">
        <v>1477</v>
      </c>
      <c r="D885" s="233">
        <v>1967</v>
      </c>
      <c r="E885" s="233"/>
      <c r="F885" s="233" t="s">
        <v>1479</v>
      </c>
      <c r="G885" s="233">
        <v>2</v>
      </c>
      <c r="H885" s="233" t="s">
        <v>291</v>
      </c>
      <c r="I885" s="234">
        <v>399</v>
      </c>
      <c r="J885" s="234">
        <v>295</v>
      </c>
      <c r="K885" s="234">
        <v>260.7</v>
      </c>
      <c r="L885" s="239">
        <v>21</v>
      </c>
      <c r="M885" s="233" t="s">
        <v>254</v>
      </c>
      <c r="N885" s="233" t="s">
        <v>323</v>
      </c>
      <c r="O885" s="236" t="s">
        <v>756</v>
      </c>
      <c r="P885" s="78">
        <v>1147435.3999999999</v>
      </c>
      <c r="Q885" s="78">
        <v>0</v>
      </c>
      <c r="R885" s="78">
        <v>0</v>
      </c>
      <c r="S885" s="78">
        <v>0</v>
      </c>
      <c r="T885" s="78">
        <f>P885-R885-S885</f>
        <v>1147435.3999999999</v>
      </c>
      <c r="U885" s="78">
        <f t="shared" si="59"/>
        <v>2875.777944862155</v>
      </c>
      <c r="V885" s="78">
        <v>6548.1020551378451</v>
      </c>
    </row>
    <row r="886" spans="1:22" s="79" customFormat="1" ht="36" customHeight="1" x14ac:dyDescent="0.25">
      <c r="B886" s="77" t="s">
        <v>781</v>
      </c>
      <c r="C886" s="240"/>
      <c r="D886" s="233" t="s">
        <v>835</v>
      </c>
      <c r="E886" s="233" t="s">
        <v>835</v>
      </c>
      <c r="F886" s="233" t="s">
        <v>835</v>
      </c>
      <c r="G886" s="233" t="s">
        <v>835</v>
      </c>
      <c r="H886" s="233" t="s">
        <v>835</v>
      </c>
      <c r="I886" s="234">
        <f>SUM(I887:I889)</f>
        <v>1854.1999999999998</v>
      </c>
      <c r="J886" s="234">
        <f>SUM(J887:J889)</f>
        <v>1598.8000000000002</v>
      </c>
      <c r="K886" s="234">
        <f>SUM(K887:K889)</f>
        <v>1394.4</v>
      </c>
      <c r="L886" s="235">
        <f>SUM(L887:L889)</f>
        <v>87</v>
      </c>
      <c r="M886" s="233" t="s">
        <v>835</v>
      </c>
      <c r="N886" s="233" t="s">
        <v>835</v>
      </c>
      <c r="O886" s="236" t="s">
        <v>835</v>
      </c>
      <c r="P886" s="241">
        <v>4300110.49</v>
      </c>
      <c r="Q886" s="78">
        <f>SUM(Q887:Q889)</f>
        <v>0</v>
      </c>
      <c r="R886" s="78">
        <f>SUM(R887:R889)</f>
        <v>0</v>
      </c>
      <c r="S886" s="78">
        <f>SUM(S887:S889)</f>
        <v>0</v>
      </c>
      <c r="T886" s="78">
        <f>SUM(T887:T889)</f>
        <v>4300110.49</v>
      </c>
      <c r="U886" s="78">
        <f t="shared" si="59"/>
        <v>2319.1190216805094</v>
      </c>
      <c r="V886" s="78">
        <f>MAX(V887:V889)</f>
        <v>8468.2797569648083</v>
      </c>
    </row>
    <row r="887" spans="1:22" s="79" customFormat="1" ht="36" customHeight="1" x14ac:dyDescent="0.25">
      <c r="A887" s="79">
        <v>1</v>
      </c>
      <c r="B887" s="80">
        <f>SUBTOTAL(103,$A$552:A887)</f>
        <v>311</v>
      </c>
      <c r="C887" s="77" t="s">
        <v>170</v>
      </c>
      <c r="D887" s="233">
        <v>1968</v>
      </c>
      <c r="E887" s="233">
        <v>2009</v>
      </c>
      <c r="F887" s="233" t="s">
        <v>256</v>
      </c>
      <c r="G887" s="233">
        <v>2</v>
      </c>
      <c r="H887" s="233" t="s">
        <v>290</v>
      </c>
      <c r="I887" s="234">
        <v>791.5</v>
      </c>
      <c r="J887" s="234">
        <v>725.1</v>
      </c>
      <c r="K887" s="234">
        <v>725.1</v>
      </c>
      <c r="L887" s="239">
        <v>42</v>
      </c>
      <c r="M887" s="233" t="s">
        <v>254</v>
      </c>
      <c r="N887" s="233" t="s">
        <v>255</v>
      </c>
      <c r="O887" s="236" t="s">
        <v>257</v>
      </c>
      <c r="P887" s="78">
        <v>78851.77</v>
      </c>
      <c r="Q887" s="78">
        <v>0</v>
      </c>
      <c r="R887" s="78">
        <v>0</v>
      </c>
      <c r="S887" s="78">
        <v>0</v>
      </c>
      <c r="T887" s="78">
        <f>P887-R887-S887</f>
        <v>78851.77</v>
      </c>
      <c r="U887" s="78">
        <f t="shared" si="59"/>
        <v>99.623209096651934</v>
      </c>
      <c r="V887" s="81">
        <v>99.623209096651934</v>
      </c>
    </row>
    <row r="888" spans="1:22" s="79" customFormat="1" ht="36" customHeight="1" x14ac:dyDescent="0.25">
      <c r="A888" s="79">
        <v>1</v>
      </c>
      <c r="B888" s="80">
        <f>SUBTOTAL(103,$A$552:A888)</f>
        <v>312</v>
      </c>
      <c r="C888" s="77" t="s">
        <v>174</v>
      </c>
      <c r="D888" s="233">
        <v>1955</v>
      </c>
      <c r="E888" s="233"/>
      <c r="F888" s="233" t="s">
        <v>256</v>
      </c>
      <c r="G888" s="233">
        <v>2</v>
      </c>
      <c r="H888" s="233" t="s">
        <v>291</v>
      </c>
      <c r="I888" s="234">
        <v>545.6</v>
      </c>
      <c r="J888" s="234">
        <v>501.6</v>
      </c>
      <c r="K888" s="234">
        <v>384.3</v>
      </c>
      <c r="L888" s="239">
        <v>27</v>
      </c>
      <c r="M888" s="233" t="s">
        <v>254</v>
      </c>
      <c r="N888" s="233" t="s">
        <v>255</v>
      </c>
      <c r="O888" s="236" t="s">
        <v>257</v>
      </c>
      <c r="P888" s="78">
        <v>2382611.2400000002</v>
      </c>
      <c r="Q888" s="78">
        <v>0</v>
      </c>
      <c r="R888" s="78">
        <v>0</v>
      </c>
      <c r="S888" s="78">
        <v>0</v>
      </c>
      <c r="T888" s="78">
        <f>P888-R888-S888</f>
        <v>2382611.2400000002</v>
      </c>
      <c r="U888" s="78">
        <f t="shared" si="59"/>
        <v>4366.9560850439884</v>
      </c>
      <c r="V888" s="78">
        <v>8468.2797569648083</v>
      </c>
    </row>
    <row r="889" spans="1:22" s="79" customFormat="1" ht="36" customHeight="1" x14ac:dyDescent="0.25">
      <c r="A889" s="79">
        <v>1</v>
      </c>
      <c r="B889" s="80">
        <f>SUBTOTAL(103,$A$552:A889)</f>
        <v>313</v>
      </c>
      <c r="C889" s="77" t="s">
        <v>1476</v>
      </c>
      <c r="D889" s="233">
        <v>1976</v>
      </c>
      <c r="E889" s="233"/>
      <c r="F889" s="233" t="s">
        <v>1479</v>
      </c>
      <c r="G889" s="233">
        <v>2</v>
      </c>
      <c r="H889" s="233" t="s">
        <v>291</v>
      </c>
      <c r="I889" s="234">
        <v>517.1</v>
      </c>
      <c r="J889" s="234">
        <v>372.1</v>
      </c>
      <c r="K889" s="234">
        <v>285</v>
      </c>
      <c r="L889" s="239">
        <v>18</v>
      </c>
      <c r="M889" s="233" t="s">
        <v>254</v>
      </c>
      <c r="N889" s="233" t="s">
        <v>255</v>
      </c>
      <c r="O889" s="236" t="s">
        <v>257</v>
      </c>
      <c r="P889" s="78">
        <v>1838647.48</v>
      </c>
      <c r="Q889" s="78">
        <v>0</v>
      </c>
      <c r="R889" s="78">
        <v>0</v>
      </c>
      <c r="S889" s="78">
        <v>0</v>
      </c>
      <c r="T889" s="78">
        <f>P889-R889-S889</f>
        <v>1838647.48</v>
      </c>
      <c r="U889" s="78">
        <f t="shared" si="59"/>
        <v>3555.6903500290077</v>
      </c>
      <c r="V889" s="78">
        <v>3555.6903500290077</v>
      </c>
    </row>
    <row r="890" spans="1:22" s="79" customFormat="1" ht="36" customHeight="1" x14ac:dyDescent="0.25">
      <c r="B890" s="77" t="s">
        <v>780</v>
      </c>
      <c r="C890" s="77"/>
      <c r="D890" s="233" t="s">
        <v>835</v>
      </c>
      <c r="E890" s="233" t="s">
        <v>835</v>
      </c>
      <c r="F890" s="233" t="s">
        <v>835</v>
      </c>
      <c r="G890" s="233" t="s">
        <v>835</v>
      </c>
      <c r="H890" s="233" t="s">
        <v>835</v>
      </c>
      <c r="I890" s="78">
        <f>SUM(I891:I891)</f>
        <v>448.2</v>
      </c>
      <c r="J890" s="78">
        <f>SUM(J891:J891)</f>
        <v>401.4</v>
      </c>
      <c r="K890" s="78">
        <f>SUM(K891:K891)</f>
        <v>358.5</v>
      </c>
      <c r="L890" s="235">
        <f>SUM(L891:L891)</f>
        <v>21</v>
      </c>
      <c r="M890" s="233" t="s">
        <v>835</v>
      </c>
      <c r="N890" s="233" t="s">
        <v>835</v>
      </c>
      <c r="O890" s="236" t="s">
        <v>835</v>
      </c>
      <c r="P890" s="241">
        <v>63914.7</v>
      </c>
      <c r="Q890" s="78">
        <f>SUM(Q891:Q891)</f>
        <v>0</v>
      </c>
      <c r="R890" s="78">
        <f>SUM(R891:R891)</f>
        <v>0</v>
      </c>
      <c r="S890" s="78">
        <f>SUM(S891:S891)</f>
        <v>0</v>
      </c>
      <c r="T890" s="78">
        <f>SUM(T891:T891)</f>
        <v>63914.7</v>
      </c>
      <c r="U890" s="78">
        <f t="shared" si="59"/>
        <v>142.60307898259705</v>
      </c>
      <c r="V890" s="78">
        <f>MAX(V891:V891)</f>
        <v>142.60307898259705</v>
      </c>
    </row>
    <row r="891" spans="1:22" s="79" customFormat="1" ht="36" customHeight="1" x14ac:dyDescent="0.25">
      <c r="A891" s="79">
        <v>1</v>
      </c>
      <c r="B891" s="80">
        <f>SUBTOTAL(103,$A$552:A891)</f>
        <v>314</v>
      </c>
      <c r="C891" s="77" t="s">
        <v>169</v>
      </c>
      <c r="D891" s="233">
        <v>1955</v>
      </c>
      <c r="E891" s="233">
        <v>2010</v>
      </c>
      <c r="F891" s="233" t="s">
        <v>256</v>
      </c>
      <c r="G891" s="233">
        <v>2</v>
      </c>
      <c r="H891" s="233" t="s">
        <v>290</v>
      </c>
      <c r="I891" s="234">
        <v>448.2</v>
      </c>
      <c r="J891" s="234">
        <v>401.4</v>
      </c>
      <c r="K891" s="234">
        <v>358.5</v>
      </c>
      <c r="L891" s="239">
        <v>21</v>
      </c>
      <c r="M891" s="233" t="s">
        <v>254</v>
      </c>
      <c r="N891" s="233" t="s">
        <v>323</v>
      </c>
      <c r="O891" s="236" t="s">
        <v>325</v>
      </c>
      <c r="P891" s="78">
        <v>63914.7</v>
      </c>
      <c r="Q891" s="78">
        <v>0</v>
      </c>
      <c r="R891" s="78">
        <v>0</v>
      </c>
      <c r="S891" s="78">
        <v>0</v>
      </c>
      <c r="T891" s="78">
        <f>P891-R891-S891</f>
        <v>63914.7</v>
      </c>
      <c r="U891" s="78">
        <f t="shared" si="59"/>
        <v>142.60307898259705</v>
      </c>
      <c r="V891" s="81">
        <v>142.60307898259705</v>
      </c>
    </row>
    <row r="892" spans="1:22" s="79" customFormat="1" ht="36" customHeight="1" x14ac:dyDescent="0.25">
      <c r="B892" s="77" t="s">
        <v>816</v>
      </c>
      <c r="C892" s="77"/>
      <c r="D892" s="233" t="s">
        <v>835</v>
      </c>
      <c r="E892" s="233" t="s">
        <v>835</v>
      </c>
      <c r="F892" s="233" t="s">
        <v>835</v>
      </c>
      <c r="G892" s="233" t="s">
        <v>835</v>
      </c>
      <c r="H892" s="233" t="s">
        <v>835</v>
      </c>
      <c r="I892" s="78">
        <f>SUM(I893:I894)</f>
        <v>1323.09</v>
      </c>
      <c r="J892" s="78">
        <f>SUM(J893:J894)</f>
        <v>1207.72</v>
      </c>
      <c r="K892" s="78">
        <f>SUM(K893:K894)</f>
        <v>1207.72</v>
      </c>
      <c r="L892" s="235">
        <f>SUM(L893:L894)</f>
        <v>68</v>
      </c>
      <c r="M892" s="233" t="s">
        <v>835</v>
      </c>
      <c r="N892" s="233" t="s">
        <v>835</v>
      </c>
      <c r="O892" s="236" t="s">
        <v>835</v>
      </c>
      <c r="P892" s="241">
        <v>5200378.79</v>
      </c>
      <c r="Q892" s="78">
        <f>SUM(Q893:Q894)</f>
        <v>0</v>
      </c>
      <c r="R892" s="78">
        <f>SUM(R893:R894)</f>
        <v>0</v>
      </c>
      <c r="S892" s="78">
        <f>SUM(S893:S894)</f>
        <v>0</v>
      </c>
      <c r="T892" s="78">
        <f>SUM(T893:T894)</f>
        <v>5200378.79</v>
      </c>
      <c r="U892" s="78">
        <f t="shared" si="59"/>
        <v>3930.4800051394845</v>
      </c>
      <c r="V892" s="78">
        <f>MAX(V893:V894)</f>
        <v>7358.2130176282562</v>
      </c>
    </row>
    <row r="893" spans="1:22" s="79" customFormat="1" ht="36" customHeight="1" x14ac:dyDescent="0.25">
      <c r="A893" s="79">
        <v>1</v>
      </c>
      <c r="B893" s="80">
        <f>SUBTOTAL(103,$A$552:A893)</f>
        <v>315</v>
      </c>
      <c r="C893" s="77" t="s">
        <v>167</v>
      </c>
      <c r="D893" s="233">
        <v>1969</v>
      </c>
      <c r="E893" s="233"/>
      <c r="F893" s="233" t="s">
        <v>256</v>
      </c>
      <c r="G893" s="233">
        <v>2</v>
      </c>
      <c r="H893" s="233" t="s">
        <v>299</v>
      </c>
      <c r="I893" s="234">
        <v>960.39</v>
      </c>
      <c r="J893" s="234">
        <v>880.42</v>
      </c>
      <c r="K893" s="234">
        <v>880.42</v>
      </c>
      <c r="L893" s="239">
        <v>47</v>
      </c>
      <c r="M893" s="233" t="s">
        <v>254</v>
      </c>
      <c r="N893" s="233" t="s">
        <v>323</v>
      </c>
      <c r="O893" s="236" t="s">
        <v>324</v>
      </c>
      <c r="P893" s="78">
        <v>5103668.53</v>
      </c>
      <c r="Q893" s="78">
        <v>0</v>
      </c>
      <c r="R893" s="78">
        <v>0</v>
      </c>
      <c r="S893" s="78">
        <v>0</v>
      </c>
      <c r="T893" s="78">
        <f>P893-R893-S893</f>
        <v>5103668.53</v>
      </c>
      <c r="U893" s="78">
        <f t="shared" si="59"/>
        <v>5314.1625068982394</v>
      </c>
      <c r="V893" s="78">
        <v>7358.2130176282562</v>
      </c>
    </row>
    <row r="894" spans="1:22" s="79" customFormat="1" ht="36" customHeight="1" x14ac:dyDescent="0.25">
      <c r="A894" s="79">
        <v>1</v>
      </c>
      <c r="B894" s="80">
        <f>SUBTOTAL(103,$A$552:A894)</f>
        <v>316</v>
      </c>
      <c r="C894" s="77" t="s">
        <v>1819</v>
      </c>
      <c r="D894" s="233">
        <v>1966</v>
      </c>
      <c r="E894" s="233"/>
      <c r="F894" s="233" t="s">
        <v>1479</v>
      </c>
      <c r="G894" s="233" t="s">
        <v>290</v>
      </c>
      <c r="H894" s="233" t="s">
        <v>291</v>
      </c>
      <c r="I894" s="234">
        <v>362.7</v>
      </c>
      <c r="J894" s="234">
        <v>327.3</v>
      </c>
      <c r="K894" s="234">
        <v>327.3</v>
      </c>
      <c r="L894" s="239">
        <v>21</v>
      </c>
      <c r="M894" s="233" t="s">
        <v>254</v>
      </c>
      <c r="N894" s="233" t="s">
        <v>258</v>
      </c>
      <c r="O894" s="236" t="s">
        <v>2130</v>
      </c>
      <c r="P894" s="78">
        <v>96710.26</v>
      </c>
      <c r="Q894" s="78">
        <v>0</v>
      </c>
      <c r="R894" s="78">
        <v>0</v>
      </c>
      <c r="S894" s="78">
        <v>0</v>
      </c>
      <c r="T894" s="78">
        <f>P894-R894-S894</f>
        <v>96710.26</v>
      </c>
      <c r="U894" s="78">
        <f t="shared" si="59"/>
        <v>266.63981251723186</v>
      </c>
      <c r="V894" s="81">
        <v>266.63981251723186</v>
      </c>
    </row>
    <row r="895" spans="1:22" s="79" customFormat="1" ht="36" customHeight="1" x14ac:dyDescent="0.25">
      <c r="B895" s="77" t="s">
        <v>782</v>
      </c>
      <c r="C895" s="77"/>
      <c r="D895" s="233" t="s">
        <v>835</v>
      </c>
      <c r="E895" s="233" t="s">
        <v>835</v>
      </c>
      <c r="F895" s="233" t="s">
        <v>835</v>
      </c>
      <c r="G895" s="233" t="s">
        <v>835</v>
      </c>
      <c r="H895" s="233" t="s">
        <v>835</v>
      </c>
      <c r="I895" s="78">
        <f>SUM(I896:I897)</f>
        <v>804.7</v>
      </c>
      <c r="J895" s="78">
        <f>SUM(J896:J897)</f>
        <v>706.5</v>
      </c>
      <c r="K895" s="78">
        <f>SUM(K896:K897)</f>
        <v>662.5</v>
      </c>
      <c r="L895" s="235">
        <f>SUM(L896:L897)</f>
        <v>36</v>
      </c>
      <c r="M895" s="233" t="s">
        <v>835</v>
      </c>
      <c r="N895" s="233" t="s">
        <v>835</v>
      </c>
      <c r="O895" s="236" t="s">
        <v>835</v>
      </c>
      <c r="P895" s="241">
        <v>1314396.72</v>
      </c>
      <c r="Q895" s="78">
        <f>SUM(Q896:Q897)</f>
        <v>0</v>
      </c>
      <c r="R895" s="78">
        <f>SUM(R896:R897)</f>
        <v>0</v>
      </c>
      <c r="S895" s="78">
        <f>SUM(S896:S897)</f>
        <v>0</v>
      </c>
      <c r="T895" s="78">
        <f>SUM(T896:T897)</f>
        <v>1314396.72</v>
      </c>
      <c r="U895" s="78">
        <f t="shared" si="59"/>
        <v>1633.3996768982229</v>
      </c>
      <c r="V895" s="78">
        <f>MAX(V896:V897)</f>
        <v>7783.1178014219186</v>
      </c>
    </row>
    <row r="896" spans="1:22" s="79" customFormat="1" ht="36" customHeight="1" x14ac:dyDescent="0.25">
      <c r="A896" s="79">
        <v>1</v>
      </c>
      <c r="B896" s="80">
        <f>SUBTOTAL(103,$A$552:A896)</f>
        <v>317</v>
      </c>
      <c r="C896" s="77" t="s">
        <v>166</v>
      </c>
      <c r="D896" s="233">
        <v>1969</v>
      </c>
      <c r="E896" s="233"/>
      <c r="F896" s="233" t="s">
        <v>256</v>
      </c>
      <c r="G896" s="233">
        <v>2</v>
      </c>
      <c r="H896" s="233" t="s">
        <v>291</v>
      </c>
      <c r="I896" s="234">
        <v>396.8</v>
      </c>
      <c r="J896" s="234">
        <v>354.2</v>
      </c>
      <c r="K896" s="234">
        <v>354.2</v>
      </c>
      <c r="L896" s="239">
        <v>15</v>
      </c>
      <c r="M896" s="233" t="s">
        <v>254</v>
      </c>
      <c r="N896" s="233" t="s">
        <v>323</v>
      </c>
      <c r="O896" s="236" t="s">
        <v>324</v>
      </c>
      <c r="P896" s="78">
        <v>55280.160000000003</v>
      </c>
      <c r="Q896" s="78">
        <v>0</v>
      </c>
      <c r="R896" s="78">
        <v>0</v>
      </c>
      <c r="S896" s="78">
        <v>0</v>
      </c>
      <c r="T896" s="78">
        <f>P896-R896-S896</f>
        <v>55280.160000000003</v>
      </c>
      <c r="U896" s="78">
        <f t="shared" si="59"/>
        <v>139.31491935483871</v>
      </c>
      <c r="V896" s="81">
        <v>139.31491935483871</v>
      </c>
    </row>
    <row r="897" spans="1:22" s="79" customFormat="1" ht="36" customHeight="1" x14ac:dyDescent="0.25">
      <c r="A897" s="79">
        <v>1</v>
      </c>
      <c r="B897" s="80">
        <f>SUBTOTAL(103,$A$552:A897)</f>
        <v>318</v>
      </c>
      <c r="C897" s="77" t="s">
        <v>161</v>
      </c>
      <c r="D897" s="233">
        <v>1954</v>
      </c>
      <c r="E897" s="233"/>
      <c r="F897" s="233" t="s">
        <v>256</v>
      </c>
      <c r="G897" s="233">
        <v>2</v>
      </c>
      <c r="H897" s="233" t="s">
        <v>291</v>
      </c>
      <c r="I897" s="234">
        <v>407.9</v>
      </c>
      <c r="J897" s="234">
        <v>352.3</v>
      </c>
      <c r="K897" s="234">
        <v>308.3</v>
      </c>
      <c r="L897" s="239">
        <v>21</v>
      </c>
      <c r="M897" s="233" t="s">
        <v>254</v>
      </c>
      <c r="N897" s="233" t="s">
        <v>255</v>
      </c>
      <c r="O897" s="236" t="s">
        <v>257</v>
      </c>
      <c r="P897" s="78">
        <v>1259116.56</v>
      </c>
      <c r="Q897" s="78">
        <v>0</v>
      </c>
      <c r="R897" s="78">
        <v>0</v>
      </c>
      <c r="S897" s="78">
        <v>0</v>
      </c>
      <c r="T897" s="78">
        <f>P897-R897-S897</f>
        <v>1259116.56</v>
      </c>
      <c r="U897" s="78">
        <f t="shared" si="59"/>
        <v>3086.8265751409663</v>
      </c>
      <c r="V897" s="78">
        <v>7783.1178014219186</v>
      </c>
    </row>
    <row r="898" spans="1:22" s="79" customFormat="1" ht="36" customHeight="1" x14ac:dyDescent="0.25">
      <c r="B898" s="77" t="s">
        <v>783</v>
      </c>
      <c r="C898" s="240"/>
      <c r="D898" s="233" t="s">
        <v>835</v>
      </c>
      <c r="E898" s="233" t="s">
        <v>835</v>
      </c>
      <c r="F898" s="233" t="s">
        <v>835</v>
      </c>
      <c r="G898" s="233" t="s">
        <v>835</v>
      </c>
      <c r="H898" s="233" t="s">
        <v>835</v>
      </c>
      <c r="I898" s="234">
        <f>SUM(I899:I906)</f>
        <v>6122.7</v>
      </c>
      <c r="J898" s="234">
        <f>SUM(J899:J906)</f>
        <v>5641.0999999999995</v>
      </c>
      <c r="K898" s="234">
        <f>SUM(K899:K906)</f>
        <v>4582.5999999999995</v>
      </c>
      <c r="L898" s="235">
        <f>SUM(L899:L906)</f>
        <v>226</v>
      </c>
      <c r="M898" s="233" t="s">
        <v>835</v>
      </c>
      <c r="N898" s="233" t="s">
        <v>835</v>
      </c>
      <c r="O898" s="236" t="s">
        <v>835</v>
      </c>
      <c r="P898" s="241">
        <v>21705858.420000002</v>
      </c>
      <c r="Q898" s="78">
        <f>SUM(Q899:Q906)</f>
        <v>0</v>
      </c>
      <c r="R898" s="78">
        <f>SUM(R899:R906)</f>
        <v>0</v>
      </c>
      <c r="S898" s="78">
        <f>SUM(S899:S906)</f>
        <v>0</v>
      </c>
      <c r="T898" s="78">
        <f>SUM(T899:T906)</f>
        <v>21705858.420000002</v>
      </c>
      <c r="U898" s="78">
        <f t="shared" si="59"/>
        <v>3545.1448576608364</v>
      </c>
      <c r="V898" s="78">
        <f>MAX(V899:V906)</f>
        <v>8527.6300612388332</v>
      </c>
    </row>
    <row r="899" spans="1:22" s="79" customFormat="1" ht="36" customHeight="1" x14ac:dyDescent="0.25">
      <c r="A899" s="79">
        <v>1</v>
      </c>
      <c r="B899" s="80">
        <f>SUBTOTAL(103,$A$552:A899)</f>
        <v>319</v>
      </c>
      <c r="C899" s="77" t="s">
        <v>1572</v>
      </c>
      <c r="D899" s="233">
        <v>1982</v>
      </c>
      <c r="E899" s="233"/>
      <c r="F899" s="233" t="s">
        <v>304</v>
      </c>
      <c r="G899" s="233">
        <v>2</v>
      </c>
      <c r="H899" s="233" t="s">
        <v>290</v>
      </c>
      <c r="I899" s="234">
        <v>626.1</v>
      </c>
      <c r="J899" s="234">
        <v>566.6</v>
      </c>
      <c r="K899" s="234">
        <v>566.6</v>
      </c>
      <c r="L899" s="239">
        <v>21</v>
      </c>
      <c r="M899" s="233" t="s">
        <v>254</v>
      </c>
      <c r="N899" s="233" t="s">
        <v>255</v>
      </c>
      <c r="O899" s="236" t="s">
        <v>257</v>
      </c>
      <c r="P899" s="78">
        <v>2926372.8400000003</v>
      </c>
      <c r="Q899" s="78">
        <v>0</v>
      </c>
      <c r="R899" s="78">
        <v>0</v>
      </c>
      <c r="S899" s="78">
        <v>0</v>
      </c>
      <c r="T899" s="78">
        <f t="shared" ref="T899:T905" si="61">P899-R899-S899</f>
        <v>2926372.8400000003</v>
      </c>
      <c r="U899" s="78">
        <f t="shared" si="59"/>
        <v>4673.9703561731358</v>
      </c>
      <c r="V899" s="78">
        <v>6209.5982111483791</v>
      </c>
    </row>
    <row r="900" spans="1:22" s="79" customFormat="1" ht="36" customHeight="1" x14ac:dyDescent="0.25">
      <c r="A900" s="79">
        <v>1</v>
      </c>
      <c r="B900" s="80">
        <f>SUBTOTAL(103,$A$552:A900)</f>
        <v>320</v>
      </c>
      <c r="C900" s="77" t="s">
        <v>77</v>
      </c>
      <c r="D900" s="233">
        <v>1962</v>
      </c>
      <c r="E900" s="233"/>
      <c r="F900" s="233" t="s">
        <v>256</v>
      </c>
      <c r="G900" s="233">
        <v>2</v>
      </c>
      <c r="H900" s="233" t="s">
        <v>290</v>
      </c>
      <c r="I900" s="234">
        <v>355.8</v>
      </c>
      <c r="J900" s="234">
        <v>326.10000000000002</v>
      </c>
      <c r="K900" s="234">
        <v>212</v>
      </c>
      <c r="L900" s="239">
        <v>21</v>
      </c>
      <c r="M900" s="233" t="s">
        <v>254</v>
      </c>
      <c r="N900" s="233" t="s">
        <v>255</v>
      </c>
      <c r="O900" s="236" t="s">
        <v>257</v>
      </c>
      <c r="P900" s="78">
        <v>1606349.41</v>
      </c>
      <c r="Q900" s="78">
        <v>0</v>
      </c>
      <c r="R900" s="78">
        <v>0</v>
      </c>
      <c r="S900" s="78">
        <v>0</v>
      </c>
      <c r="T900" s="78">
        <f t="shared" si="61"/>
        <v>1606349.41</v>
      </c>
      <c r="U900" s="78">
        <f t="shared" si="59"/>
        <v>4514.7538223721185</v>
      </c>
      <c r="V900" s="78">
        <v>8195.2559865092753</v>
      </c>
    </row>
    <row r="901" spans="1:22" s="79" customFormat="1" ht="36" customHeight="1" x14ac:dyDescent="0.25">
      <c r="A901" s="79">
        <v>1</v>
      </c>
      <c r="B901" s="80">
        <f>SUBTOTAL(103,$A$552:A901)</f>
        <v>321</v>
      </c>
      <c r="C901" s="77" t="s">
        <v>78</v>
      </c>
      <c r="D901" s="233">
        <v>1964</v>
      </c>
      <c r="E901" s="233"/>
      <c r="F901" s="233" t="s">
        <v>256</v>
      </c>
      <c r="G901" s="233">
        <v>2</v>
      </c>
      <c r="H901" s="233" t="s">
        <v>290</v>
      </c>
      <c r="I901" s="234">
        <v>651.6</v>
      </c>
      <c r="J901" s="234">
        <v>628.9</v>
      </c>
      <c r="K901" s="234">
        <v>385</v>
      </c>
      <c r="L901" s="239">
        <v>42</v>
      </c>
      <c r="M901" s="233" t="s">
        <v>254</v>
      </c>
      <c r="N901" s="233" t="s">
        <v>255</v>
      </c>
      <c r="O901" s="236" t="s">
        <v>257</v>
      </c>
      <c r="P901" s="78">
        <v>2453934.3199999998</v>
      </c>
      <c r="Q901" s="78">
        <v>0</v>
      </c>
      <c r="R901" s="78">
        <v>0</v>
      </c>
      <c r="S901" s="78">
        <v>0</v>
      </c>
      <c r="T901" s="78">
        <f t="shared" si="61"/>
        <v>2453934.3199999998</v>
      </c>
      <c r="U901" s="78">
        <f t="shared" si="59"/>
        <v>3766.0133824432164</v>
      </c>
      <c r="V901" s="78">
        <v>7266.6486187845303</v>
      </c>
    </row>
    <row r="902" spans="1:22" s="79" customFormat="1" ht="36" customHeight="1" x14ac:dyDescent="0.25">
      <c r="A902" s="79">
        <v>1</v>
      </c>
      <c r="B902" s="80">
        <f>SUBTOTAL(103,$A$552:A902)</f>
        <v>322</v>
      </c>
      <c r="C902" s="77" t="s">
        <v>76</v>
      </c>
      <c r="D902" s="233">
        <v>1929</v>
      </c>
      <c r="E902" s="233"/>
      <c r="F902" s="233" t="s">
        <v>256</v>
      </c>
      <c r="G902" s="233" t="s">
        <v>290</v>
      </c>
      <c r="H902" s="233" t="s">
        <v>291</v>
      </c>
      <c r="I902" s="234">
        <v>475.3</v>
      </c>
      <c r="J902" s="234">
        <v>435.5</v>
      </c>
      <c r="K902" s="234">
        <v>253</v>
      </c>
      <c r="L902" s="239">
        <v>5</v>
      </c>
      <c r="M902" s="233" t="s">
        <v>254</v>
      </c>
      <c r="N902" s="233" t="s">
        <v>255</v>
      </c>
      <c r="O902" s="236" t="s">
        <v>257</v>
      </c>
      <c r="P902" s="78">
        <v>85575.03</v>
      </c>
      <c r="Q902" s="78">
        <v>0</v>
      </c>
      <c r="R902" s="78">
        <v>0</v>
      </c>
      <c r="S902" s="78">
        <v>0</v>
      </c>
      <c r="T902" s="78">
        <f t="shared" si="61"/>
        <v>85575.03</v>
      </c>
      <c r="U902" s="78">
        <f t="shared" si="59"/>
        <v>180.04424573953293</v>
      </c>
      <c r="V902" s="81">
        <v>180.04424573953293</v>
      </c>
    </row>
    <row r="903" spans="1:22" s="79" customFormat="1" ht="36" customHeight="1" x14ac:dyDescent="0.25">
      <c r="A903" s="79">
        <v>1</v>
      </c>
      <c r="B903" s="80">
        <f>SUBTOTAL(103,$A$552:A903)</f>
        <v>323</v>
      </c>
      <c r="C903" s="77" t="s">
        <v>1571</v>
      </c>
      <c r="D903" s="233">
        <v>1953</v>
      </c>
      <c r="E903" s="233"/>
      <c r="F903" s="233" t="s">
        <v>256</v>
      </c>
      <c r="G903" s="233">
        <v>2</v>
      </c>
      <c r="H903" s="233" t="s">
        <v>299</v>
      </c>
      <c r="I903" s="234">
        <v>996.1</v>
      </c>
      <c r="J903" s="234">
        <v>882.6</v>
      </c>
      <c r="K903" s="234">
        <v>782.6</v>
      </c>
      <c r="L903" s="239">
        <v>30</v>
      </c>
      <c r="M903" s="233" t="s">
        <v>254</v>
      </c>
      <c r="N903" s="233" t="s">
        <v>255</v>
      </c>
      <c r="O903" s="236" t="s">
        <v>257</v>
      </c>
      <c r="P903" s="78">
        <v>5741880.5099999998</v>
      </c>
      <c r="Q903" s="78">
        <v>0</v>
      </c>
      <c r="R903" s="78">
        <v>0</v>
      </c>
      <c r="S903" s="78">
        <v>0</v>
      </c>
      <c r="T903" s="78">
        <f t="shared" si="61"/>
        <v>5741880.5099999998</v>
      </c>
      <c r="U903" s="78">
        <f t="shared" si="59"/>
        <v>5764.3615199277174</v>
      </c>
      <c r="V903" s="78">
        <v>8527.6300612388332</v>
      </c>
    </row>
    <row r="904" spans="1:22" s="79" customFormat="1" ht="36" customHeight="1" x14ac:dyDescent="0.25">
      <c r="A904" s="79">
        <v>1</v>
      </c>
      <c r="B904" s="80">
        <f>SUBTOTAL(103,$A$552:A904)</f>
        <v>324</v>
      </c>
      <c r="C904" s="77" t="s">
        <v>74</v>
      </c>
      <c r="D904" s="233">
        <v>1948</v>
      </c>
      <c r="E904" s="233"/>
      <c r="F904" s="233" t="s">
        <v>256</v>
      </c>
      <c r="G904" s="233">
        <v>4</v>
      </c>
      <c r="H904" s="233" t="s">
        <v>299</v>
      </c>
      <c r="I904" s="234">
        <v>1954.5</v>
      </c>
      <c r="J904" s="234">
        <v>1781</v>
      </c>
      <c r="K904" s="234">
        <v>1540</v>
      </c>
      <c r="L904" s="239">
        <v>58</v>
      </c>
      <c r="M904" s="233" t="s">
        <v>254</v>
      </c>
      <c r="N904" s="233" t="s">
        <v>258</v>
      </c>
      <c r="O904" s="236" t="s">
        <v>266</v>
      </c>
      <c r="P904" s="78">
        <v>4099254.73</v>
      </c>
      <c r="Q904" s="78">
        <v>0</v>
      </c>
      <c r="R904" s="78">
        <v>0</v>
      </c>
      <c r="S904" s="78">
        <v>0</v>
      </c>
      <c r="T904" s="78">
        <f t="shared" si="61"/>
        <v>4099254.73</v>
      </c>
      <c r="U904" s="78">
        <f t="shared" si="59"/>
        <v>2097.3418930672806</v>
      </c>
      <c r="V904" s="78">
        <v>3554.041524686621</v>
      </c>
    </row>
    <row r="905" spans="1:22" s="79" customFormat="1" ht="36" customHeight="1" x14ac:dyDescent="0.25">
      <c r="A905" s="79">
        <v>1</v>
      </c>
      <c r="B905" s="80">
        <f>SUBTOTAL(103,$A$552:A905)</f>
        <v>325</v>
      </c>
      <c r="C905" s="77" t="s">
        <v>1158</v>
      </c>
      <c r="D905" s="233">
        <v>1955</v>
      </c>
      <c r="E905" s="233"/>
      <c r="F905" s="233" t="s">
        <v>256</v>
      </c>
      <c r="G905" s="233">
        <v>2</v>
      </c>
      <c r="H905" s="233" t="s">
        <v>290</v>
      </c>
      <c r="I905" s="234">
        <v>640</v>
      </c>
      <c r="J905" s="234">
        <v>629</v>
      </c>
      <c r="K905" s="234">
        <v>452</v>
      </c>
      <c r="L905" s="239">
        <v>27</v>
      </c>
      <c r="M905" s="233" t="s">
        <v>254</v>
      </c>
      <c r="N905" s="233" t="s">
        <v>258</v>
      </c>
      <c r="O905" s="236" t="s">
        <v>1226</v>
      </c>
      <c r="P905" s="78">
        <v>2057864.07</v>
      </c>
      <c r="Q905" s="78">
        <v>0</v>
      </c>
      <c r="R905" s="78">
        <v>0</v>
      </c>
      <c r="S905" s="78">
        <v>0</v>
      </c>
      <c r="T905" s="78">
        <f t="shared" si="61"/>
        <v>2057864.07</v>
      </c>
      <c r="U905" s="78">
        <f t="shared" si="59"/>
        <v>3215.4126093750001</v>
      </c>
      <c r="V905" s="78">
        <v>8359.7250000000022</v>
      </c>
    </row>
    <row r="906" spans="1:22" s="79" customFormat="1" ht="36" customHeight="1" x14ac:dyDescent="0.25">
      <c r="A906" s="79">
        <v>1</v>
      </c>
      <c r="B906" s="80">
        <f>SUBTOTAL(103,$A$552:A906)</f>
        <v>326</v>
      </c>
      <c r="C906" s="77" t="s">
        <v>2133</v>
      </c>
      <c r="D906" s="233">
        <v>1958</v>
      </c>
      <c r="E906" s="233"/>
      <c r="F906" s="233" t="s">
        <v>256</v>
      </c>
      <c r="G906" s="233">
        <v>2</v>
      </c>
      <c r="H906" s="233">
        <v>1</v>
      </c>
      <c r="I906" s="234">
        <v>423.3</v>
      </c>
      <c r="J906" s="234">
        <v>391.4</v>
      </c>
      <c r="K906" s="234">
        <f>J906</f>
        <v>391.4</v>
      </c>
      <c r="L906" s="239">
        <v>22</v>
      </c>
      <c r="M906" s="233" t="s">
        <v>254</v>
      </c>
      <c r="N906" s="233" t="s">
        <v>258</v>
      </c>
      <c r="O906" s="236" t="s">
        <v>2134</v>
      </c>
      <c r="P906" s="78">
        <v>2734627.5100000002</v>
      </c>
      <c r="Q906" s="78">
        <v>0</v>
      </c>
      <c r="R906" s="78">
        <v>0</v>
      </c>
      <c r="S906" s="78">
        <v>0</v>
      </c>
      <c r="T906" s="78">
        <f>P906-R906-S906</f>
        <v>2734627.5100000002</v>
      </c>
      <c r="U906" s="78">
        <f t="shared" si="59"/>
        <v>6460.2587054098749</v>
      </c>
      <c r="V906" s="78">
        <v>7988.0500070871731</v>
      </c>
    </row>
    <row r="907" spans="1:22" s="79" customFormat="1" ht="36" customHeight="1" x14ac:dyDescent="0.25">
      <c r="B907" s="77" t="s">
        <v>817</v>
      </c>
      <c r="C907" s="77"/>
      <c r="D907" s="233" t="s">
        <v>835</v>
      </c>
      <c r="E907" s="233" t="s">
        <v>835</v>
      </c>
      <c r="F907" s="233" t="s">
        <v>835</v>
      </c>
      <c r="G907" s="233" t="s">
        <v>835</v>
      </c>
      <c r="H907" s="233" t="s">
        <v>835</v>
      </c>
      <c r="I907" s="78">
        <f>SUM(I908:I910)</f>
        <v>1222.5999999999999</v>
      </c>
      <c r="J907" s="78">
        <f>SUM(J908:J910)</f>
        <v>1134.8</v>
      </c>
      <c r="K907" s="78">
        <f>SUM(K908:K910)</f>
        <v>1109.2</v>
      </c>
      <c r="L907" s="235">
        <f>SUM(L908:L910)</f>
        <v>66</v>
      </c>
      <c r="M907" s="233" t="s">
        <v>835</v>
      </c>
      <c r="N907" s="233" t="s">
        <v>835</v>
      </c>
      <c r="O907" s="236" t="s">
        <v>835</v>
      </c>
      <c r="P907" s="241">
        <v>2242341.23</v>
      </c>
      <c r="Q907" s="78">
        <f>SUM(Q908:Q910)</f>
        <v>0</v>
      </c>
      <c r="R907" s="78">
        <f>SUM(R908:R910)</f>
        <v>0</v>
      </c>
      <c r="S907" s="78">
        <f>SUM(S908:S910)</f>
        <v>0</v>
      </c>
      <c r="T907" s="78">
        <f>SUM(T908:T910)</f>
        <v>2242341.23</v>
      </c>
      <c r="U907" s="78">
        <f t="shared" si="59"/>
        <v>1834.0759283494194</v>
      </c>
      <c r="V907" s="78">
        <f>MAX(V908:V909)</f>
        <v>7811.1306635757755</v>
      </c>
    </row>
    <row r="908" spans="1:22" s="79" customFormat="1" ht="36" customHeight="1" x14ac:dyDescent="0.25">
      <c r="A908" s="79">
        <v>1</v>
      </c>
      <c r="B908" s="80">
        <f>SUBTOTAL(103,$A$552:A908)</f>
        <v>327</v>
      </c>
      <c r="C908" s="77" t="s">
        <v>79</v>
      </c>
      <c r="D908" s="233">
        <v>1931</v>
      </c>
      <c r="E908" s="233"/>
      <c r="F908" s="233" t="s">
        <v>256</v>
      </c>
      <c r="G908" s="233">
        <v>2</v>
      </c>
      <c r="H908" s="233" t="s">
        <v>291</v>
      </c>
      <c r="I908" s="234">
        <v>345.1</v>
      </c>
      <c r="J908" s="234">
        <v>319.60000000000002</v>
      </c>
      <c r="K908" s="234">
        <v>297</v>
      </c>
      <c r="L908" s="239">
        <v>9</v>
      </c>
      <c r="M908" s="233" t="s">
        <v>254</v>
      </c>
      <c r="N908" s="233" t="s">
        <v>255</v>
      </c>
      <c r="O908" s="236" t="s">
        <v>257</v>
      </c>
      <c r="P908" s="78">
        <v>1196861.55</v>
      </c>
      <c r="Q908" s="78">
        <v>0</v>
      </c>
      <c r="R908" s="78">
        <v>0</v>
      </c>
      <c r="S908" s="78">
        <v>0</v>
      </c>
      <c r="T908" s="78">
        <f>P908-R908-S908</f>
        <v>1196861.55</v>
      </c>
      <c r="U908" s="78">
        <f t="shared" si="59"/>
        <v>3468.1586496667633</v>
      </c>
      <c r="V908" s="78">
        <v>7811.1306635757755</v>
      </c>
    </row>
    <row r="909" spans="1:22" s="79" customFormat="1" ht="36" customHeight="1" x14ac:dyDescent="0.25">
      <c r="A909" s="79">
        <v>1</v>
      </c>
      <c r="B909" s="80">
        <f>SUBTOTAL(103,$A$552:A909)</f>
        <v>328</v>
      </c>
      <c r="C909" s="77" t="s">
        <v>80</v>
      </c>
      <c r="D909" s="233">
        <v>1965</v>
      </c>
      <c r="E909" s="233"/>
      <c r="F909" s="233" t="s">
        <v>256</v>
      </c>
      <c r="G909" s="233">
        <v>2</v>
      </c>
      <c r="H909" s="233" t="s">
        <v>291</v>
      </c>
      <c r="I909" s="234">
        <v>210.5</v>
      </c>
      <c r="J909" s="234">
        <v>187.3</v>
      </c>
      <c r="K909" s="234">
        <v>184.3</v>
      </c>
      <c r="L909" s="239">
        <v>15</v>
      </c>
      <c r="M909" s="233" t="s">
        <v>254</v>
      </c>
      <c r="N909" s="233" t="s">
        <v>258</v>
      </c>
      <c r="O909" s="236" t="s">
        <v>267</v>
      </c>
      <c r="P909" s="78">
        <v>811618.83</v>
      </c>
      <c r="Q909" s="78">
        <v>0</v>
      </c>
      <c r="R909" s="78">
        <v>0</v>
      </c>
      <c r="S909" s="78">
        <v>0</v>
      </c>
      <c r="T909" s="78">
        <f>P909-R909-S909</f>
        <v>811618.83</v>
      </c>
      <c r="U909" s="78">
        <f t="shared" si="59"/>
        <v>3855.6714014251779</v>
      </c>
      <c r="V909" s="78">
        <v>7650.4390688836111</v>
      </c>
    </row>
    <row r="910" spans="1:22" s="79" customFormat="1" ht="36" customHeight="1" x14ac:dyDescent="0.25">
      <c r="A910" s="79">
        <v>1</v>
      </c>
      <c r="B910" s="80">
        <f>SUBTOTAL(103,$A$552:A910)</f>
        <v>329</v>
      </c>
      <c r="C910" s="77" t="s">
        <v>2135</v>
      </c>
      <c r="D910" s="233">
        <v>1966</v>
      </c>
      <c r="E910" s="233"/>
      <c r="F910" s="233" t="s">
        <v>256</v>
      </c>
      <c r="G910" s="233">
        <v>2</v>
      </c>
      <c r="H910" s="233">
        <v>2</v>
      </c>
      <c r="I910" s="234">
        <v>667</v>
      </c>
      <c r="J910" s="234">
        <v>627.9</v>
      </c>
      <c r="K910" s="234">
        <f>J910</f>
        <v>627.9</v>
      </c>
      <c r="L910" s="239">
        <v>42</v>
      </c>
      <c r="M910" s="233" t="s">
        <v>254</v>
      </c>
      <c r="N910" s="233" t="s">
        <v>255</v>
      </c>
      <c r="O910" s="236" t="s">
        <v>257</v>
      </c>
      <c r="P910" s="78">
        <v>233860.85</v>
      </c>
      <c r="Q910" s="78">
        <v>0</v>
      </c>
      <c r="R910" s="78">
        <v>0</v>
      </c>
      <c r="S910" s="78">
        <v>0</v>
      </c>
      <c r="T910" s="78">
        <f>P910-R910-S910</f>
        <v>233860.85</v>
      </c>
      <c r="U910" s="78">
        <f t="shared" si="59"/>
        <v>350.61596701649177</v>
      </c>
      <c r="V910" s="78">
        <v>350.61596701649177</v>
      </c>
    </row>
    <row r="911" spans="1:22" s="79" customFormat="1" ht="36" customHeight="1" x14ac:dyDescent="0.25">
      <c r="B911" s="77" t="s">
        <v>818</v>
      </c>
      <c r="C911" s="77"/>
      <c r="D911" s="233" t="s">
        <v>835</v>
      </c>
      <c r="E911" s="233" t="s">
        <v>835</v>
      </c>
      <c r="F911" s="233" t="s">
        <v>835</v>
      </c>
      <c r="G911" s="233" t="s">
        <v>835</v>
      </c>
      <c r="H911" s="233" t="s">
        <v>835</v>
      </c>
      <c r="I911" s="234">
        <f>I912</f>
        <v>654.5</v>
      </c>
      <c r="J911" s="234">
        <f>J912</f>
        <v>614.5</v>
      </c>
      <c r="K911" s="234">
        <f>K912</f>
        <v>614.5</v>
      </c>
      <c r="L911" s="235">
        <f>L912</f>
        <v>32</v>
      </c>
      <c r="M911" s="233" t="s">
        <v>835</v>
      </c>
      <c r="N911" s="233" t="s">
        <v>835</v>
      </c>
      <c r="O911" s="236" t="s">
        <v>835</v>
      </c>
      <c r="P911" s="241">
        <v>3520710.77</v>
      </c>
      <c r="Q911" s="78">
        <f>Q912</f>
        <v>0</v>
      </c>
      <c r="R911" s="78">
        <f>R912</f>
        <v>0</v>
      </c>
      <c r="S911" s="78">
        <f>S912</f>
        <v>0</v>
      </c>
      <c r="T911" s="78">
        <f>T912</f>
        <v>3520710.77</v>
      </c>
      <c r="U911" s="78">
        <f t="shared" si="59"/>
        <v>5379.2372345301756</v>
      </c>
      <c r="V911" s="78">
        <f>V912</f>
        <v>7503.2565915966397</v>
      </c>
    </row>
    <row r="912" spans="1:22" s="79" customFormat="1" ht="36" customHeight="1" x14ac:dyDescent="0.25">
      <c r="A912" s="79">
        <v>1</v>
      </c>
      <c r="B912" s="80">
        <f>SUBTOTAL(103,$A$552:A912)</f>
        <v>330</v>
      </c>
      <c r="C912" s="77" t="s">
        <v>81</v>
      </c>
      <c r="D912" s="233">
        <v>1964</v>
      </c>
      <c r="E912" s="233"/>
      <c r="F912" s="233" t="s">
        <v>256</v>
      </c>
      <c r="G912" s="233">
        <v>2</v>
      </c>
      <c r="H912" s="233" t="s">
        <v>290</v>
      </c>
      <c r="I912" s="234">
        <v>654.5</v>
      </c>
      <c r="J912" s="234">
        <v>614.5</v>
      </c>
      <c r="K912" s="234">
        <v>614.5</v>
      </c>
      <c r="L912" s="239">
        <v>32</v>
      </c>
      <c r="M912" s="233" t="s">
        <v>254</v>
      </c>
      <c r="N912" s="233" t="s">
        <v>255</v>
      </c>
      <c r="O912" s="236" t="s">
        <v>257</v>
      </c>
      <c r="P912" s="78">
        <v>3520710.77</v>
      </c>
      <c r="Q912" s="78">
        <v>0</v>
      </c>
      <c r="R912" s="78">
        <v>0</v>
      </c>
      <c r="S912" s="78">
        <v>0</v>
      </c>
      <c r="T912" s="78">
        <f>P912-R912-S912</f>
        <v>3520710.77</v>
      </c>
      <c r="U912" s="78">
        <f t="shared" si="59"/>
        <v>5379.2372345301756</v>
      </c>
      <c r="V912" s="78">
        <v>7503.2565915966397</v>
      </c>
    </row>
    <row r="913" spans="1:22" s="79" customFormat="1" ht="36" customHeight="1" x14ac:dyDescent="0.25">
      <c r="B913" s="77" t="s">
        <v>785</v>
      </c>
      <c r="C913" s="240"/>
      <c r="D913" s="233" t="s">
        <v>835</v>
      </c>
      <c r="E913" s="233" t="s">
        <v>835</v>
      </c>
      <c r="F913" s="233" t="s">
        <v>835</v>
      </c>
      <c r="G913" s="233" t="s">
        <v>835</v>
      </c>
      <c r="H913" s="233" t="s">
        <v>835</v>
      </c>
      <c r="I913" s="234">
        <f>SUM(I914:I916)</f>
        <v>6768.3</v>
      </c>
      <c r="J913" s="234">
        <f>SUM(J914:J916)</f>
        <v>4169.8999999999996</v>
      </c>
      <c r="K913" s="234">
        <f>SUM(K914:K916)</f>
        <v>3718.0999999999995</v>
      </c>
      <c r="L913" s="235">
        <f>SUM(L914:L916)</f>
        <v>187</v>
      </c>
      <c r="M913" s="233" t="s">
        <v>835</v>
      </c>
      <c r="N913" s="233" t="s">
        <v>835</v>
      </c>
      <c r="O913" s="236" t="s">
        <v>835</v>
      </c>
      <c r="P913" s="241">
        <v>4927013.3100000005</v>
      </c>
      <c r="Q913" s="78">
        <f>SUM(Q914:Q916)</f>
        <v>0</v>
      </c>
      <c r="R913" s="78">
        <f>SUM(R914:R916)</f>
        <v>0</v>
      </c>
      <c r="S913" s="78">
        <f>SUM(S914:S916)</f>
        <v>0</v>
      </c>
      <c r="T913" s="78">
        <f>SUM(T914:T916)</f>
        <v>4927013.3100000005</v>
      </c>
      <c r="U913" s="78">
        <f t="shared" si="59"/>
        <v>727.95433269801879</v>
      </c>
      <c r="V913" s="78">
        <f>MAX(V914:V916)</f>
        <v>1289.8216539016105</v>
      </c>
    </row>
    <row r="914" spans="1:22" s="79" customFormat="1" ht="36" customHeight="1" x14ac:dyDescent="0.25">
      <c r="A914" s="79">
        <v>1</v>
      </c>
      <c r="B914" s="80">
        <f>SUBTOTAL(103,$A$552:A914)</f>
        <v>331</v>
      </c>
      <c r="C914" s="77" t="s">
        <v>104</v>
      </c>
      <c r="D914" s="233">
        <v>1975</v>
      </c>
      <c r="E914" s="233"/>
      <c r="F914" s="233" t="s">
        <v>256</v>
      </c>
      <c r="G914" s="233">
        <v>2</v>
      </c>
      <c r="H914" s="233" t="s">
        <v>290</v>
      </c>
      <c r="I914" s="234">
        <v>1244.4000000000001</v>
      </c>
      <c r="J914" s="234">
        <v>727.8</v>
      </c>
      <c r="K914" s="234">
        <v>584.79999999999995</v>
      </c>
      <c r="L914" s="239">
        <v>34</v>
      </c>
      <c r="M914" s="233" t="s">
        <v>254</v>
      </c>
      <c r="N914" s="233" t="s">
        <v>255</v>
      </c>
      <c r="O914" s="236" t="s">
        <v>257</v>
      </c>
      <c r="P914" s="78">
        <v>79698.36</v>
      </c>
      <c r="Q914" s="78">
        <v>0</v>
      </c>
      <c r="R914" s="78">
        <v>0</v>
      </c>
      <c r="S914" s="78">
        <v>0</v>
      </c>
      <c r="T914" s="78">
        <f>P914-R914-S914</f>
        <v>79698.36</v>
      </c>
      <c r="U914" s="78">
        <f t="shared" si="59"/>
        <v>64.045612343297975</v>
      </c>
      <c r="V914" s="81">
        <v>64.045612343297975</v>
      </c>
    </row>
    <row r="915" spans="1:22" s="79" customFormat="1" ht="36" customHeight="1" x14ac:dyDescent="0.25">
      <c r="A915" s="79">
        <v>1</v>
      </c>
      <c r="B915" s="80">
        <f>SUBTOTAL(103,$A$552:A915)</f>
        <v>332</v>
      </c>
      <c r="C915" s="77" t="s">
        <v>1161</v>
      </c>
      <c r="D915" s="233">
        <v>1985</v>
      </c>
      <c r="E915" s="233"/>
      <c r="F915" s="233" t="s">
        <v>256</v>
      </c>
      <c r="G915" s="233">
        <v>5</v>
      </c>
      <c r="H915" s="233" t="s">
        <v>295</v>
      </c>
      <c r="I915" s="78">
        <v>4091.9</v>
      </c>
      <c r="J915" s="78">
        <v>2619.4</v>
      </c>
      <c r="K915" s="78">
        <v>2310.6</v>
      </c>
      <c r="L915" s="239">
        <v>119</v>
      </c>
      <c r="M915" s="233" t="s">
        <v>254</v>
      </c>
      <c r="N915" s="233" t="s">
        <v>258</v>
      </c>
      <c r="O915" s="236" t="s">
        <v>1259</v>
      </c>
      <c r="P915" s="78">
        <v>4756503.38</v>
      </c>
      <c r="Q915" s="78">
        <v>0</v>
      </c>
      <c r="R915" s="78">
        <v>0</v>
      </c>
      <c r="S915" s="78">
        <v>0</v>
      </c>
      <c r="T915" s="78">
        <f>P915-R915-S915</f>
        <v>4756503.38</v>
      </c>
      <c r="U915" s="78">
        <f t="shared" si="59"/>
        <v>1162.4192624453187</v>
      </c>
      <c r="V915" s="78">
        <v>1289.8216539016105</v>
      </c>
    </row>
    <row r="916" spans="1:22" s="79" customFormat="1" ht="36" customHeight="1" x14ac:dyDescent="0.25">
      <c r="A916" s="79">
        <v>1</v>
      </c>
      <c r="B916" s="80">
        <f>SUBTOTAL(103,$A$552:A916)</f>
        <v>333</v>
      </c>
      <c r="C916" s="77" t="s">
        <v>2168</v>
      </c>
      <c r="D916" s="233">
        <v>1979</v>
      </c>
      <c r="E916" s="233"/>
      <c r="F916" s="233" t="s">
        <v>256</v>
      </c>
      <c r="G916" s="233">
        <v>2</v>
      </c>
      <c r="H916" s="233">
        <v>3</v>
      </c>
      <c r="I916" s="78">
        <v>1432</v>
      </c>
      <c r="J916" s="78">
        <v>822.7</v>
      </c>
      <c r="K916" s="78">
        <v>822.7</v>
      </c>
      <c r="L916" s="239">
        <v>34</v>
      </c>
      <c r="M916" s="233" t="s">
        <v>254</v>
      </c>
      <c r="N916" s="233" t="s">
        <v>255</v>
      </c>
      <c r="O916" s="236" t="s">
        <v>257</v>
      </c>
      <c r="P916" s="78">
        <v>90811.57</v>
      </c>
      <c r="Q916" s="78">
        <v>0</v>
      </c>
      <c r="R916" s="78">
        <v>0</v>
      </c>
      <c r="S916" s="78">
        <v>0</v>
      </c>
      <c r="T916" s="78">
        <f>P916-R916-S916</f>
        <v>90811.57</v>
      </c>
      <c r="U916" s="78">
        <f t="shared" si="59"/>
        <v>63.415900837988829</v>
      </c>
      <c r="V916" s="81">
        <v>63.415900837988829</v>
      </c>
    </row>
    <row r="917" spans="1:22" s="79" customFormat="1" ht="36" customHeight="1" x14ac:dyDescent="0.25">
      <c r="B917" s="77" t="s">
        <v>2165</v>
      </c>
      <c r="C917" s="77"/>
      <c r="D917" s="233" t="s">
        <v>835</v>
      </c>
      <c r="E917" s="233" t="s">
        <v>835</v>
      </c>
      <c r="F917" s="233" t="s">
        <v>835</v>
      </c>
      <c r="G917" s="233" t="s">
        <v>835</v>
      </c>
      <c r="H917" s="233" t="s">
        <v>835</v>
      </c>
      <c r="I917" s="234">
        <f>I918</f>
        <v>327.60000000000002</v>
      </c>
      <c r="J917" s="234">
        <f>J918</f>
        <v>295.2</v>
      </c>
      <c r="K917" s="234">
        <f>K918</f>
        <v>295.2</v>
      </c>
      <c r="L917" s="235">
        <f>L918</f>
        <v>21</v>
      </c>
      <c r="M917" s="233" t="s">
        <v>835</v>
      </c>
      <c r="N917" s="233" t="s">
        <v>835</v>
      </c>
      <c r="O917" s="236" t="s">
        <v>835</v>
      </c>
      <c r="P917" s="241">
        <v>52057.33</v>
      </c>
      <c r="Q917" s="78">
        <f>Q918</f>
        <v>0</v>
      </c>
      <c r="R917" s="78">
        <f>R918</f>
        <v>0</v>
      </c>
      <c r="S917" s="78">
        <f>S918</f>
        <v>0</v>
      </c>
      <c r="T917" s="78">
        <f>T918</f>
        <v>52057.33</v>
      </c>
      <c r="U917" s="78">
        <f t="shared" si="59"/>
        <v>158.90515873015872</v>
      </c>
      <c r="V917" s="78">
        <f>V918</f>
        <v>158.90515873015872</v>
      </c>
    </row>
    <row r="918" spans="1:22" s="79" customFormat="1" ht="36" customHeight="1" x14ac:dyDescent="0.25">
      <c r="A918" s="79">
        <v>1</v>
      </c>
      <c r="B918" s="80">
        <f>SUBTOTAL(103,$A$552:A918)</f>
        <v>334</v>
      </c>
      <c r="C918" s="77" t="s">
        <v>2166</v>
      </c>
      <c r="D918" s="233">
        <v>1964</v>
      </c>
      <c r="E918" s="233"/>
      <c r="F918" s="233" t="s">
        <v>256</v>
      </c>
      <c r="G918" s="233">
        <v>2</v>
      </c>
      <c r="H918" s="233">
        <v>1</v>
      </c>
      <c r="I918" s="234">
        <v>327.60000000000002</v>
      </c>
      <c r="J918" s="234">
        <v>295.2</v>
      </c>
      <c r="K918" s="234">
        <v>295.2</v>
      </c>
      <c r="L918" s="239">
        <v>21</v>
      </c>
      <c r="M918" s="233" t="s">
        <v>254</v>
      </c>
      <c r="N918" s="233" t="s">
        <v>255</v>
      </c>
      <c r="O918" s="236" t="s">
        <v>257</v>
      </c>
      <c r="P918" s="78">
        <v>52057.33</v>
      </c>
      <c r="Q918" s="78">
        <v>0</v>
      </c>
      <c r="R918" s="78">
        <v>0</v>
      </c>
      <c r="S918" s="78">
        <v>0</v>
      </c>
      <c r="T918" s="78">
        <f>P918-R918-S918</f>
        <v>52057.33</v>
      </c>
      <c r="U918" s="78">
        <f t="shared" si="59"/>
        <v>158.90515873015872</v>
      </c>
      <c r="V918" s="81">
        <v>158.90515873015872</v>
      </c>
    </row>
    <row r="919" spans="1:22" s="79" customFormat="1" ht="36" customHeight="1" x14ac:dyDescent="0.25">
      <c r="B919" s="77" t="s">
        <v>819</v>
      </c>
      <c r="C919" s="77"/>
      <c r="D919" s="233" t="s">
        <v>835</v>
      </c>
      <c r="E919" s="233" t="s">
        <v>835</v>
      </c>
      <c r="F919" s="233" t="s">
        <v>835</v>
      </c>
      <c r="G919" s="233" t="s">
        <v>835</v>
      </c>
      <c r="H919" s="233" t="s">
        <v>835</v>
      </c>
      <c r="I919" s="234">
        <f>I920</f>
        <v>948.3</v>
      </c>
      <c r="J919" s="234">
        <f>J920</f>
        <v>848.3</v>
      </c>
      <c r="K919" s="234">
        <f>K920</f>
        <v>803.9</v>
      </c>
      <c r="L919" s="235">
        <f>L920</f>
        <v>64</v>
      </c>
      <c r="M919" s="233" t="s">
        <v>835</v>
      </c>
      <c r="N919" s="233" t="s">
        <v>835</v>
      </c>
      <c r="O919" s="236" t="s">
        <v>835</v>
      </c>
      <c r="P919" s="241">
        <v>3760087.36</v>
      </c>
      <c r="Q919" s="78">
        <f>Q920</f>
        <v>0</v>
      </c>
      <c r="R919" s="78">
        <f>R920</f>
        <v>0</v>
      </c>
      <c r="S919" s="78">
        <f>S920</f>
        <v>0</v>
      </c>
      <c r="T919" s="78">
        <f>T920</f>
        <v>3760087.36</v>
      </c>
      <c r="U919" s="78">
        <f t="shared" ref="U919:U985" si="62">P919/I919</f>
        <v>3965.0821048191501</v>
      </c>
      <c r="V919" s="78">
        <f>V920</f>
        <v>7880.4329246019206</v>
      </c>
    </row>
    <row r="920" spans="1:22" s="79" customFormat="1" ht="36" customHeight="1" x14ac:dyDescent="0.25">
      <c r="A920" s="79">
        <v>1</v>
      </c>
      <c r="B920" s="80">
        <f>SUBTOTAL(103,$A$552:A920)</f>
        <v>335</v>
      </c>
      <c r="C920" s="77" t="s">
        <v>110</v>
      </c>
      <c r="D920" s="233">
        <v>1978</v>
      </c>
      <c r="E920" s="233"/>
      <c r="F920" s="233" t="s">
        <v>256</v>
      </c>
      <c r="G920" s="233">
        <v>2</v>
      </c>
      <c r="H920" s="233" t="s">
        <v>299</v>
      </c>
      <c r="I920" s="234">
        <v>948.3</v>
      </c>
      <c r="J920" s="234">
        <v>848.3</v>
      </c>
      <c r="K920" s="234">
        <v>803.9</v>
      </c>
      <c r="L920" s="239">
        <v>64</v>
      </c>
      <c r="M920" s="233" t="s">
        <v>254</v>
      </c>
      <c r="N920" s="233" t="s">
        <v>255</v>
      </c>
      <c r="O920" s="236" t="s">
        <v>257</v>
      </c>
      <c r="P920" s="78">
        <v>3760087.36</v>
      </c>
      <c r="Q920" s="78">
        <v>0</v>
      </c>
      <c r="R920" s="78">
        <v>0</v>
      </c>
      <c r="S920" s="78">
        <v>0</v>
      </c>
      <c r="T920" s="78">
        <f>P920-R920-S920</f>
        <v>3760087.36</v>
      </c>
      <c r="U920" s="78">
        <f t="shared" si="62"/>
        <v>3965.0821048191501</v>
      </c>
      <c r="V920" s="78">
        <v>7880.4329246019206</v>
      </c>
    </row>
    <row r="921" spans="1:22" s="79" customFormat="1" ht="36" customHeight="1" x14ac:dyDescent="0.25">
      <c r="B921" s="77" t="s">
        <v>820</v>
      </c>
      <c r="C921" s="77"/>
      <c r="D921" s="233" t="s">
        <v>835</v>
      </c>
      <c r="E921" s="233" t="s">
        <v>835</v>
      </c>
      <c r="F921" s="233" t="s">
        <v>835</v>
      </c>
      <c r="G921" s="233" t="s">
        <v>835</v>
      </c>
      <c r="H921" s="233" t="s">
        <v>835</v>
      </c>
      <c r="I921" s="234">
        <f>I922</f>
        <v>779.2</v>
      </c>
      <c r="J921" s="234">
        <f>J922</f>
        <v>778.9</v>
      </c>
      <c r="K921" s="234">
        <f>K922</f>
        <v>720.2</v>
      </c>
      <c r="L921" s="235">
        <f>L922</f>
        <v>33</v>
      </c>
      <c r="M921" s="233" t="s">
        <v>835</v>
      </c>
      <c r="N921" s="233" t="s">
        <v>835</v>
      </c>
      <c r="O921" s="236" t="s">
        <v>835</v>
      </c>
      <c r="P921" s="241">
        <v>2964091.65</v>
      </c>
      <c r="Q921" s="78">
        <f>Q922</f>
        <v>0</v>
      </c>
      <c r="R921" s="78">
        <f>R922</f>
        <v>0</v>
      </c>
      <c r="S921" s="78">
        <f>S922</f>
        <v>0</v>
      </c>
      <c r="T921" s="78">
        <f>T922</f>
        <v>2964091.65</v>
      </c>
      <c r="U921" s="78">
        <f t="shared" si="62"/>
        <v>3804.0190580082131</v>
      </c>
      <c r="V921" s="78">
        <f>V922</f>
        <v>7335.7302114989725</v>
      </c>
    </row>
    <row r="922" spans="1:22" s="79" customFormat="1" ht="36" customHeight="1" x14ac:dyDescent="0.25">
      <c r="A922" s="79">
        <v>1</v>
      </c>
      <c r="B922" s="80">
        <f>SUBTOTAL(103,$A$552:A922)</f>
        <v>336</v>
      </c>
      <c r="C922" s="77" t="s">
        <v>109</v>
      </c>
      <c r="D922" s="233">
        <v>1974</v>
      </c>
      <c r="E922" s="233"/>
      <c r="F922" s="233" t="s">
        <v>256</v>
      </c>
      <c r="G922" s="233">
        <v>2</v>
      </c>
      <c r="H922" s="233" t="s">
        <v>290</v>
      </c>
      <c r="I922" s="234">
        <v>779.2</v>
      </c>
      <c r="J922" s="234">
        <v>778.9</v>
      </c>
      <c r="K922" s="234">
        <v>720.2</v>
      </c>
      <c r="L922" s="239">
        <v>33</v>
      </c>
      <c r="M922" s="233" t="s">
        <v>254</v>
      </c>
      <c r="N922" s="233" t="s">
        <v>255</v>
      </c>
      <c r="O922" s="236" t="s">
        <v>257</v>
      </c>
      <c r="P922" s="78">
        <v>2964091.65</v>
      </c>
      <c r="Q922" s="78">
        <v>0</v>
      </c>
      <c r="R922" s="78">
        <v>0</v>
      </c>
      <c r="S922" s="78">
        <v>0</v>
      </c>
      <c r="T922" s="78">
        <f>P922-R922-S922</f>
        <v>2964091.65</v>
      </c>
      <c r="U922" s="78">
        <f t="shared" si="62"/>
        <v>3804.0190580082131</v>
      </c>
      <c r="V922" s="78">
        <v>7335.7302114989725</v>
      </c>
    </row>
    <row r="923" spans="1:22" s="79" customFormat="1" ht="36" customHeight="1" x14ac:dyDescent="0.25">
      <c r="B923" s="77" t="s">
        <v>787</v>
      </c>
      <c r="C923" s="77"/>
      <c r="D923" s="233" t="s">
        <v>835</v>
      </c>
      <c r="E923" s="233" t="s">
        <v>835</v>
      </c>
      <c r="F923" s="233" t="s">
        <v>835</v>
      </c>
      <c r="G923" s="233" t="s">
        <v>835</v>
      </c>
      <c r="H923" s="233" t="s">
        <v>835</v>
      </c>
      <c r="I923" s="234">
        <f>SUM(I924:I926)</f>
        <v>17933</v>
      </c>
      <c r="J923" s="234">
        <f>SUM(J924:J926)</f>
        <v>14074.539999999999</v>
      </c>
      <c r="K923" s="234">
        <f>SUM(K924:K926)</f>
        <v>10685.55</v>
      </c>
      <c r="L923" s="235">
        <f>SUM(L924:L926)</f>
        <v>625</v>
      </c>
      <c r="M923" s="233" t="s">
        <v>835</v>
      </c>
      <c r="N923" s="233" t="s">
        <v>835</v>
      </c>
      <c r="O923" s="236" t="s">
        <v>835</v>
      </c>
      <c r="P923" s="241">
        <v>11207892.280000001</v>
      </c>
      <c r="Q923" s="78">
        <f>SUM(Q924:Q926)</f>
        <v>0</v>
      </c>
      <c r="R923" s="78">
        <f>SUM(R924:R926)</f>
        <v>0</v>
      </c>
      <c r="S923" s="78">
        <f>SUM(S924:S926)</f>
        <v>0</v>
      </c>
      <c r="T923" s="78">
        <f>SUM(T924:T926)</f>
        <v>11207892.280000001</v>
      </c>
      <c r="U923" s="78">
        <f t="shared" si="62"/>
        <v>624.98702280711541</v>
      </c>
      <c r="V923" s="78">
        <f>MAX(V926:V926)</f>
        <v>1738.8274632360633</v>
      </c>
    </row>
    <row r="924" spans="1:22" s="79" customFormat="1" ht="36" customHeight="1" x14ac:dyDescent="0.25">
      <c r="A924" s="79">
        <v>1</v>
      </c>
      <c r="B924" s="80">
        <f>SUBTOTAL(103,$A$552:A924)</f>
        <v>337</v>
      </c>
      <c r="C924" s="77" t="s">
        <v>41</v>
      </c>
      <c r="D924" s="233">
        <v>1974</v>
      </c>
      <c r="E924" s="233"/>
      <c r="F924" s="233" t="s">
        <v>256</v>
      </c>
      <c r="G924" s="233">
        <v>5</v>
      </c>
      <c r="H924" s="233" t="s">
        <v>355</v>
      </c>
      <c r="I924" s="234">
        <v>5979.1</v>
      </c>
      <c r="J924" s="234">
        <v>4563.9399999999996</v>
      </c>
      <c r="K924" s="234">
        <v>4563.9399999999996</v>
      </c>
      <c r="L924" s="239">
        <v>217</v>
      </c>
      <c r="M924" s="233" t="s">
        <v>254</v>
      </c>
      <c r="N924" s="233" t="s">
        <v>258</v>
      </c>
      <c r="O924" s="236" t="s">
        <v>259</v>
      </c>
      <c r="P924" s="78">
        <v>176342.49</v>
      </c>
      <c r="Q924" s="78">
        <v>0</v>
      </c>
      <c r="R924" s="78">
        <v>0</v>
      </c>
      <c r="S924" s="78">
        <v>0</v>
      </c>
      <c r="T924" s="78">
        <f>P924-R924-S924</f>
        <v>176342.49</v>
      </c>
      <c r="U924" s="78">
        <f t="shared" si="62"/>
        <v>29.493149470656114</v>
      </c>
      <c r="V924" s="78">
        <v>29.493149470656114</v>
      </c>
    </row>
    <row r="925" spans="1:22" s="79" customFormat="1" ht="36" customHeight="1" x14ac:dyDescent="0.25">
      <c r="A925" s="79">
        <v>1</v>
      </c>
      <c r="B925" s="80">
        <f>SUBTOTAL(103,$A$552:A925)</f>
        <v>338</v>
      </c>
      <c r="C925" s="77" t="s">
        <v>63</v>
      </c>
      <c r="D925" s="233">
        <v>1976</v>
      </c>
      <c r="E925" s="233"/>
      <c r="F925" s="233" t="s">
        <v>256</v>
      </c>
      <c r="G925" s="233">
        <v>5</v>
      </c>
      <c r="H925" s="233" t="s">
        <v>355</v>
      </c>
      <c r="I925" s="78">
        <v>4783.1499999999996</v>
      </c>
      <c r="J925" s="78">
        <v>4417.7</v>
      </c>
      <c r="K925" s="78">
        <v>3106.56</v>
      </c>
      <c r="L925" s="239">
        <v>190</v>
      </c>
      <c r="M925" s="233" t="s">
        <v>254</v>
      </c>
      <c r="N925" s="233" t="s">
        <v>258</v>
      </c>
      <c r="O925" s="236" t="s">
        <v>259</v>
      </c>
      <c r="P925" s="78">
        <v>7536748.7000000002</v>
      </c>
      <c r="Q925" s="78">
        <v>0</v>
      </c>
      <c r="R925" s="78">
        <v>0</v>
      </c>
      <c r="S925" s="78">
        <v>0</v>
      </c>
      <c r="T925" s="78">
        <f>P925-S925-R925</f>
        <v>7536748.7000000002</v>
      </c>
      <c r="U925" s="78">
        <f t="shared" si="62"/>
        <v>1575.6872981194404</v>
      </c>
      <c r="V925" s="78">
        <v>2353.0702336326485</v>
      </c>
    </row>
    <row r="926" spans="1:22" s="79" customFormat="1" ht="36" customHeight="1" x14ac:dyDescent="0.25">
      <c r="A926" s="79">
        <v>1</v>
      </c>
      <c r="B926" s="80">
        <f>SUBTOTAL(103,$A$552:A926)</f>
        <v>339</v>
      </c>
      <c r="C926" s="77" t="s">
        <v>52</v>
      </c>
      <c r="D926" s="233">
        <v>1981</v>
      </c>
      <c r="E926" s="233"/>
      <c r="F926" s="233" t="s">
        <v>256</v>
      </c>
      <c r="G926" s="233">
        <v>5</v>
      </c>
      <c r="H926" s="233" t="s">
        <v>2123</v>
      </c>
      <c r="I926" s="78">
        <v>7170.75</v>
      </c>
      <c r="J926" s="78">
        <v>5092.8999999999996</v>
      </c>
      <c r="K926" s="78">
        <v>3015.05</v>
      </c>
      <c r="L926" s="239">
        <v>218</v>
      </c>
      <c r="M926" s="233" t="s">
        <v>254</v>
      </c>
      <c r="N926" s="233" t="s">
        <v>258</v>
      </c>
      <c r="O926" s="236" t="s">
        <v>259</v>
      </c>
      <c r="P926" s="78">
        <v>3494801.0900000003</v>
      </c>
      <c r="Q926" s="78">
        <v>0</v>
      </c>
      <c r="R926" s="78">
        <v>0</v>
      </c>
      <c r="S926" s="78">
        <v>0</v>
      </c>
      <c r="T926" s="78">
        <f>P926-S926-R926</f>
        <v>3494801.0900000003</v>
      </c>
      <c r="U926" s="78">
        <f t="shared" si="62"/>
        <v>487.36897674580769</v>
      </c>
      <c r="V926" s="78">
        <v>1738.8274632360633</v>
      </c>
    </row>
    <row r="927" spans="1:22" s="79" customFormat="1" ht="36" customHeight="1" x14ac:dyDescent="0.25">
      <c r="B927" s="77" t="s">
        <v>788</v>
      </c>
      <c r="C927" s="77"/>
      <c r="D927" s="233" t="s">
        <v>835</v>
      </c>
      <c r="E927" s="233" t="s">
        <v>835</v>
      </c>
      <c r="F927" s="233" t="s">
        <v>835</v>
      </c>
      <c r="G927" s="233" t="s">
        <v>835</v>
      </c>
      <c r="H927" s="233" t="s">
        <v>835</v>
      </c>
      <c r="I927" s="234">
        <f>SUM(I928:I932)</f>
        <v>13217.54</v>
      </c>
      <c r="J927" s="234">
        <f>SUM(J928:J932)</f>
        <v>11365.689999999999</v>
      </c>
      <c r="K927" s="234">
        <f>SUM(K928:K932)</f>
        <v>10013.82</v>
      </c>
      <c r="L927" s="235">
        <f>SUM(L928:L932)</f>
        <v>505</v>
      </c>
      <c r="M927" s="233" t="s">
        <v>835</v>
      </c>
      <c r="N927" s="233" t="s">
        <v>835</v>
      </c>
      <c r="O927" s="236" t="s">
        <v>835</v>
      </c>
      <c r="P927" s="241">
        <v>20102541.969999999</v>
      </c>
      <c r="Q927" s="78">
        <f>SUM(Q928:Q932)</f>
        <v>0</v>
      </c>
      <c r="R927" s="78">
        <f>SUM(R928:R932)</f>
        <v>0</v>
      </c>
      <c r="S927" s="78">
        <f>SUM(S928:S932)</f>
        <v>0</v>
      </c>
      <c r="T927" s="78">
        <f>SUM(T928:T932)</f>
        <v>20102541.969999999</v>
      </c>
      <c r="U927" s="78">
        <f t="shared" si="62"/>
        <v>1520.8988941966506</v>
      </c>
      <c r="V927" s="78">
        <f>MAX(V928:V932)</f>
        <v>8028.9456337241763</v>
      </c>
    </row>
    <row r="928" spans="1:22" s="79" customFormat="1" ht="36" customHeight="1" x14ac:dyDescent="0.25">
      <c r="A928" s="79">
        <v>1</v>
      </c>
      <c r="B928" s="80">
        <f>SUBTOTAL(103,$A$552:A928)</f>
        <v>340</v>
      </c>
      <c r="C928" s="77" t="s">
        <v>56</v>
      </c>
      <c r="D928" s="233">
        <v>1972</v>
      </c>
      <c r="E928" s="233"/>
      <c r="F928" s="233" t="s">
        <v>256</v>
      </c>
      <c r="G928" s="233">
        <v>5</v>
      </c>
      <c r="H928" s="233" t="s">
        <v>2123</v>
      </c>
      <c r="I928" s="234">
        <v>4571.29</v>
      </c>
      <c r="J928" s="234">
        <v>4234.29</v>
      </c>
      <c r="K928" s="234">
        <v>2975.61</v>
      </c>
      <c r="L928" s="239">
        <v>227</v>
      </c>
      <c r="M928" s="233" t="s">
        <v>254</v>
      </c>
      <c r="N928" s="233" t="s">
        <v>258</v>
      </c>
      <c r="O928" s="236" t="s">
        <v>260</v>
      </c>
      <c r="P928" s="78">
        <v>3715287.42</v>
      </c>
      <c r="Q928" s="78">
        <v>0</v>
      </c>
      <c r="R928" s="78">
        <v>0</v>
      </c>
      <c r="S928" s="78">
        <v>0</v>
      </c>
      <c r="T928" s="78">
        <f>P928-R928-S928</f>
        <v>3715287.42</v>
      </c>
      <c r="U928" s="78">
        <f t="shared" si="62"/>
        <v>812.74375942020743</v>
      </c>
      <c r="V928" s="78">
        <v>4500.21</v>
      </c>
    </row>
    <row r="929" spans="1:22" s="79" customFormat="1" ht="36" customHeight="1" x14ac:dyDescent="0.25">
      <c r="A929" s="79">
        <v>1</v>
      </c>
      <c r="B929" s="80">
        <f>SUBTOTAL(103,$A$552:A929)</f>
        <v>341</v>
      </c>
      <c r="C929" s="77" t="s">
        <v>46</v>
      </c>
      <c r="D929" s="233">
        <v>1972</v>
      </c>
      <c r="E929" s="233"/>
      <c r="F929" s="233" t="s">
        <v>256</v>
      </c>
      <c r="G929" s="233">
        <v>2</v>
      </c>
      <c r="H929" s="233" t="s">
        <v>290</v>
      </c>
      <c r="I929" s="234">
        <v>716.4</v>
      </c>
      <c r="J929" s="234">
        <v>656.7</v>
      </c>
      <c r="K929" s="234">
        <v>656.7</v>
      </c>
      <c r="L929" s="239">
        <v>28</v>
      </c>
      <c r="M929" s="233" t="s">
        <v>254</v>
      </c>
      <c r="N929" s="233" t="s">
        <v>258</v>
      </c>
      <c r="O929" s="236" t="s">
        <v>260</v>
      </c>
      <c r="P929" s="78">
        <v>3174297.4299999997</v>
      </c>
      <c r="Q929" s="78">
        <v>0</v>
      </c>
      <c r="R929" s="78">
        <v>0</v>
      </c>
      <c r="S929" s="78">
        <v>0</v>
      </c>
      <c r="T929" s="78">
        <f>P929-R929-S929</f>
        <v>3174297.4299999997</v>
      </c>
      <c r="U929" s="78">
        <f t="shared" si="62"/>
        <v>4430.9009352317134</v>
      </c>
      <c r="V929" s="78">
        <v>8028.9456337241763</v>
      </c>
    </row>
    <row r="930" spans="1:22" s="79" customFormat="1" ht="36" customHeight="1" x14ac:dyDescent="0.25">
      <c r="A930" s="79">
        <v>1</v>
      </c>
      <c r="B930" s="80">
        <f>SUBTOTAL(103,$A$552:A930)</f>
        <v>342</v>
      </c>
      <c r="C930" s="77" t="s">
        <v>1501</v>
      </c>
      <c r="D930" s="233">
        <v>1963</v>
      </c>
      <c r="E930" s="233"/>
      <c r="F930" s="233" t="s">
        <v>256</v>
      </c>
      <c r="G930" s="233">
        <v>2</v>
      </c>
      <c r="H930" s="233" t="s">
        <v>290</v>
      </c>
      <c r="I930" s="78">
        <v>636.79999999999995</v>
      </c>
      <c r="J930" s="78">
        <v>636.79999999999995</v>
      </c>
      <c r="K930" s="78">
        <v>591.59999999999991</v>
      </c>
      <c r="L930" s="239">
        <v>27</v>
      </c>
      <c r="M930" s="233" t="s">
        <v>254</v>
      </c>
      <c r="N930" s="233" t="s">
        <v>255</v>
      </c>
      <c r="O930" s="236" t="s">
        <v>257</v>
      </c>
      <c r="P930" s="78">
        <v>2627345.86</v>
      </c>
      <c r="Q930" s="78">
        <v>0</v>
      </c>
      <c r="R930" s="78">
        <v>0</v>
      </c>
      <c r="S930" s="78">
        <v>0</v>
      </c>
      <c r="T930" s="78">
        <f>P930-R930-S930</f>
        <v>2627345.86</v>
      </c>
      <c r="U930" s="78">
        <f t="shared" si="62"/>
        <v>4125.857192211055</v>
      </c>
      <c r="V930" s="78">
        <v>7963.4432286432184</v>
      </c>
    </row>
    <row r="931" spans="1:22" s="79" customFormat="1" ht="36" customHeight="1" x14ac:dyDescent="0.25">
      <c r="A931" s="79">
        <v>1</v>
      </c>
      <c r="B931" s="80">
        <f>SUBTOTAL(103,$A$552:A931)</f>
        <v>343</v>
      </c>
      <c r="C931" s="77" t="s">
        <v>47</v>
      </c>
      <c r="D931" s="233">
        <v>1964</v>
      </c>
      <c r="E931" s="233"/>
      <c r="F931" s="233" t="s">
        <v>256</v>
      </c>
      <c r="G931" s="233">
        <v>3</v>
      </c>
      <c r="H931" s="233" t="s">
        <v>290</v>
      </c>
      <c r="I931" s="234">
        <v>961.6</v>
      </c>
      <c r="J931" s="234">
        <v>723.4</v>
      </c>
      <c r="K931" s="234">
        <v>723.4</v>
      </c>
      <c r="L931" s="239">
        <v>25</v>
      </c>
      <c r="M931" s="233" t="s">
        <v>254</v>
      </c>
      <c r="N931" s="233" t="s">
        <v>258</v>
      </c>
      <c r="O931" s="236" t="s">
        <v>260</v>
      </c>
      <c r="P931" s="78">
        <v>3912999.78</v>
      </c>
      <c r="Q931" s="78">
        <v>0</v>
      </c>
      <c r="R931" s="78">
        <v>0</v>
      </c>
      <c r="S931" s="78">
        <v>0</v>
      </c>
      <c r="T931" s="78">
        <f>P931-R931-S931</f>
        <v>3912999.78</v>
      </c>
      <c r="U931" s="78">
        <f t="shared" si="62"/>
        <v>4069.2593386023291</v>
      </c>
      <c r="V931" s="78">
        <v>5466.509026622296</v>
      </c>
    </row>
    <row r="932" spans="1:22" s="79" customFormat="1" ht="36" customHeight="1" x14ac:dyDescent="0.25">
      <c r="A932" s="79">
        <v>1</v>
      </c>
      <c r="B932" s="80">
        <f>SUBTOTAL(103,$A$552:A932)</f>
        <v>344</v>
      </c>
      <c r="C932" s="77" t="s">
        <v>1165</v>
      </c>
      <c r="D932" s="233">
        <v>1982</v>
      </c>
      <c r="E932" s="233"/>
      <c r="F932" s="233" t="s">
        <v>256</v>
      </c>
      <c r="G932" s="233">
        <v>5</v>
      </c>
      <c r="H932" s="233" t="s">
        <v>2124</v>
      </c>
      <c r="I932" s="78">
        <v>6331.45</v>
      </c>
      <c r="J932" s="78">
        <v>5114.5</v>
      </c>
      <c r="K932" s="78">
        <v>5066.51</v>
      </c>
      <c r="L932" s="239">
        <v>198</v>
      </c>
      <c r="M932" s="233" t="s">
        <v>254</v>
      </c>
      <c r="N932" s="233" t="s">
        <v>258</v>
      </c>
      <c r="O932" s="236" t="s">
        <v>260</v>
      </c>
      <c r="P932" s="78">
        <v>6672611.4800000004</v>
      </c>
      <c r="Q932" s="78">
        <v>0</v>
      </c>
      <c r="R932" s="78">
        <v>0</v>
      </c>
      <c r="S932" s="78">
        <v>0</v>
      </c>
      <c r="T932" s="78">
        <f>P932-R932-S932</f>
        <v>6672611.4800000004</v>
      </c>
      <c r="U932" s="78">
        <f t="shared" si="62"/>
        <v>1053.8836253938673</v>
      </c>
      <c r="V932" s="78">
        <v>5886.86</v>
      </c>
    </row>
    <row r="933" spans="1:22" s="79" customFormat="1" ht="36" customHeight="1" x14ac:dyDescent="0.25">
      <c r="B933" s="77" t="s">
        <v>789</v>
      </c>
      <c r="C933" s="77"/>
      <c r="D933" s="233" t="s">
        <v>835</v>
      </c>
      <c r="E933" s="233" t="s">
        <v>835</v>
      </c>
      <c r="F933" s="233" t="s">
        <v>835</v>
      </c>
      <c r="G933" s="233" t="s">
        <v>835</v>
      </c>
      <c r="H933" s="233" t="s">
        <v>835</v>
      </c>
      <c r="I933" s="234">
        <f>SUM(I934:I936)</f>
        <v>8831.67</v>
      </c>
      <c r="J933" s="234">
        <f>SUM(J934:J936)</f>
        <v>7120.7900000000009</v>
      </c>
      <c r="K933" s="234">
        <f>SUM(K934:K936)</f>
        <v>6353.68</v>
      </c>
      <c r="L933" s="235">
        <f>SUM(L934:L936)</f>
        <v>282</v>
      </c>
      <c r="M933" s="233" t="s">
        <v>835</v>
      </c>
      <c r="N933" s="233" t="s">
        <v>835</v>
      </c>
      <c r="O933" s="236" t="s">
        <v>835</v>
      </c>
      <c r="P933" s="241">
        <v>462525.75</v>
      </c>
      <c r="Q933" s="78">
        <f>SUM(Q934:Q936)</f>
        <v>0</v>
      </c>
      <c r="R933" s="78">
        <f>SUM(R934:R936)</f>
        <v>0</v>
      </c>
      <c r="S933" s="78">
        <f>SUM(S934:S936)</f>
        <v>0</v>
      </c>
      <c r="T933" s="78">
        <f>SUM(T934:T936)</f>
        <v>462525.75</v>
      </c>
      <c r="U933" s="78">
        <f t="shared" si="62"/>
        <v>52.371267268817789</v>
      </c>
      <c r="V933" s="78">
        <f>MAX(V934:V936)</f>
        <v>271.14999999999998</v>
      </c>
    </row>
    <row r="934" spans="1:22" s="79" customFormat="1" ht="36" customHeight="1" x14ac:dyDescent="0.25">
      <c r="A934" s="79">
        <v>1</v>
      </c>
      <c r="B934" s="80">
        <f>SUBTOTAL(103,$A$552:A934)</f>
        <v>345</v>
      </c>
      <c r="C934" s="77" t="s">
        <v>1577</v>
      </c>
      <c r="D934" s="233">
        <v>1958</v>
      </c>
      <c r="E934" s="233"/>
      <c r="F934" s="233" t="s">
        <v>256</v>
      </c>
      <c r="G934" s="233">
        <v>2</v>
      </c>
      <c r="H934" s="233" t="s">
        <v>290</v>
      </c>
      <c r="I934" s="234">
        <v>796.13</v>
      </c>
      <c r="J934" s="234">
        <v>704.01</v>
      </c>
      <c r="K934" s="234">
        <v>474.19</v>
      </c>
      <c r="L934" s="239">
        <v>11</v>
      </c>
      <c r="M934" s="233" t="s">
        <v>254</v>
      </c>
      <c r="N934" s="233" t="s">
        <v>258</v>
      </c>
      <c r="O934" s="236" t="s">
        <v>261</v>
      </c>
      <c r="P934" s="78">
        <v>83194.759999999995</v>
      </c>
      <c r="Q934" s="78">
        <v>0</v>
      </c>
      <c r="R934" s="78">
        <v>0</v>
      </c>
      <c r="S934" s="78">
        <v>0</v>
      </c>
      <c r="T934" s="78">
        <f>P934-R934-S934</f>
        <v>83194.759999999995</v>
      </c>
      <c r="U934" s="78">
        <f t="shared" si="62"/>
        <v>104.49896373707811</v>
      </c>
      <c r="V934" s="81">
        <v>104.49896373707811</v>
      </c>
    </row>
    <row r="935" spans="1:22" s="79" customFormat="1" ht="36" customHeight="1" x14ac:dyDescent="0.25">
      <c r="A935" s="79">
        <v>1</v>
      </c>
      <c r="B935" s="80">
        <f>SUBTOTAL(103,$A$552:A935)</f>
        <v>346</v>
      </c>
      <c r="C935" s="77" t="s">
        <v>54</v>
      </c>
      <c r="D935" s="233">
        <v>1989</v>
      </c>
      <c r="E935" s="233"/>
      <c r="F935" s="233" t="s">
        <v>256</v>
      </c>
      <c r="G935" s="233">
        <v>5</v>
      </c>
      <c r="H935" s="233" t="s">
        <v>355</v>
      </c>
      <c r="I935" s="234">
        <v>5889.36</v>
      </c>
      <c r="J935" s="234">
        <v>4270.6000000000004</v>
      </c>
      <c r="K935" s="234">
        <v>4123.1000000000004</v>
      </c>
      <c r="L935" s="239">
        <v>193</v>
      </c>
      <c r="M935" s="233" t="s">
        <v>254</v>
      </c>
      <c r="N935" s="233" t="s">
        <v>258</v>
      </c>
      <c r="O935" s="236" t="s">
        <v>261</v>
      </c>
      <c r="P935" s="78">
        <v>176330.99</v>
      </c>
      <c r="Q935" s="78">
        <v>0</v>
      </c>
      <c r="R935" s="78">
        <v>0</v>
      </c>
      <c r="S935" s="78">
        <v>0</v>
      </c>
      <c r="T935" s="78">
        <f>P935-R935-S935</f>
        <v>176330.99</v>
      </c>
      <c r="U935" s="78">
        <f t="shared" si="62"/>
        <v>29.940603053642501</v>
      </c>
      <c r="V935" s="78">
        <v>29.940603053642501</v>
      </c>
    </row>
    <row r="936" spans="1:22" s="79" customFormat="1" ht="36" customHeight="1" x14ac:dyDescent="0.25">
      <c r="A936" s="79">
        <v>1</v>
      </c>
      <c r="B936" s="80">
        <f>SUBTOTAL(103,$A$552:A936)</f>
        <v>347</v>
      </c>
      <c r="C936" s="77" t="s">
        <v>1171</v>
      </c>
      <c r="D936" s="233">
        <v>1974</v>
      </c>
      <c r="E936" s="233"/>
      <c r="F936" s="233" t="s">
        <v>256</v>
      </c>
      <c r="G936" s="233">
        <v>5</v>
      </c>
      <c r="H936" s="233" t="s">
        <v>290</v>
      </c>
      <c r="I936" s="78">
        <v>2146.1799999999998</v>
      </c>
      <c r="J936" s="78">
        <v>2146.1799999999998</v>
      </c>
      <c r="K936" s="78">
        <v>1756.39</v>
      </c>
      <c r="L936" s="239">
        <v>78</v>
      </c>
      <c r="M936" s="233" t="s">
        <v>254</v>
      </c>
      <c r="N936" s="233" t="s">
        <v>258</v>
      </c>
      <c r="O936" s="236" t="s">
        <v>261</v>
      </c>
      <c r="P936" s="78">
        <v>203000</v>
      </c>
      <c r="Q936" s="78">
        <v>0</v>
      </c>
      <c r="R936" s="78">
        <v>0</v>
      </c>
      <c r="S936" s="78">
        <v>0</v>
      </c>
      <c r="T936" s="78">
        <f>P936-R936-S936</f>
        <v>203000</v>
      </c>
      <c r="U936" s="78">
        <f t="shared" si="62"/>
        <v>94.586660951085193</v>
      </c>
      <c r="V936" s="78">
        <v>271.14999999999998</v>
      </c>
    </row>
    <row r="937" spans="1:22" s="79" customFormat="1" ht="36" customHeight="1" x14ac:dyDescent="0.25">
      <c r="B937" s="77" t="s">
        <v>790</v>
      </c>
      <c r="C937" s="77"/>
      <c r="D937" s="233" t="s">
        <v>835</v>
      </c>
      <c r="E937" s="233" t="s">
        <v>835</v>
      </c>
      <c r="F937" s="233" t="s">
        <v>835</v>
      </c>
      <c r="G937" s="233" t="s">
        <v>835</v>
      </c>
      <c r="H937" s="233" t="s">
        <v>835</v>
      </c>
      <c r="I937" s="234">
        <f>I938</f>
        <v>485.3</v>
      </c>
      <c r="J937" s="234">
        <f>J938</f>
        <v>441.3</v>
      </c>
      <c r="K937" s="234">
        <f>K938</f>
        <v>441.3</v>
      </c>
      <c r="L937" s="235">
        <f>L938</f>
        <v>16</v>
      </c>
      <c r="M937" s="233" t="s">
        <v>835</v>
      </c>
      <c r="N937" s="233" t="s">
        <v>835</v>
      </c>
      <c r="O937" s="236" t="s">
        <v>835</v>
      </c>
      <c r="P937" s="241">
        <v>2077656.16</v>
      </c>
      <c r="Q937" s="78">
        <f>Q938</f>
        <v>0</v>
      </c>
      <c r="R937" s="78">
        <f>R938</f>
        <v>0</v>
      </c>
      <c r="S937" s="78">
        <f>S938</f>
        <v>0</v>
      </c>
      <c r="T937" s="78">
        <f>T938</f>
        <v>2077656.16</v>
      </c>
      <c r="U937" s="78">
        <f t="shared" si="62"/>
        <v>4281.1789820729446</v>
      </c>
      <c r="V937" s="78">
        <f>V938</f>
        <v>7970.9481195137032</v>
      </c>
    </row>
    <row r="938" spans="1:22" s="79" customFormat="1" ht="36" customHeight="1" x14ac:dyDescent="0.25">
      <c r="A938" s="79">
        <v>1</v>
      </c>
      <c r="B938" s="80">
        <f>SUBTOTAL(103,$A$552:A938)</f>
        <v>348</v>
      </c>
      <c r="C938" s="77" t="s">
        <v>53</v>
      </c>
      <c r="D938" s="233">
        <v>1952</v>
      </c>
      <c r="E938" s="233"/>
      <c r="F938" s="233" t="s">
        <v>256</v>
      </c>
      <c r="G938" s="233">
        <v>2</v>
      </c>
      <c r="H938" s="233" t="s">
        <v>290</v>
      </c>
      <c r="I938" s="234">
        <v>485.3</v>
      </c>
      <c r="J938" s="234">
        <v>441.3</v>
      </c>
      <c r="K938" s="234">
        <v>441.3</v>
      </c>
      <c r="L938" s="239">
        <v>16</v>
      </c>
      <c r="M938" s="233" t="s">
        <v>254</v>
      </c>
      <c r="N938" s="233" t="s">
        <v>258</v>
      </c>
      <c r="O938" s="236" t="s">
        <v>262</v>
      </c>
      <c r="P938" s="78">
        <v>2077656.16</v>
      </c>
      <c r="Q938" s="78">
        <v>0</v>
      </c>
      <c r="R938" s="78">
        <v>0</v>
      </c>
      <c r="S938" s="78">
        <v>0</v>
      </c>
      <c r="T938" s="78">
        <f>P938-R938-S938</f>
        <v>2077656.16</v>
      </c>
      <c r="U938" s="78">
        <f t="shared" si="62"/>
        <v>4281.1789820729446</v>
      </c>
      <c r="V938" s="78">
        <v>7970.9481195137032</v>
      </c>
    </row>
    <row r="939" spans="1:22" s="79" customFormat="1" ht="36" customHeight="1" x14ac:dyDescent="0.25">
      <c r="B939" s="77" t="s">
        <v>791</v>
      </c>
      <c r="C939" s="77"/>
      <c r="D939" s="233" t="s">
        <v>835</v>
      </c>
      <c r="E939" s="233" t="s">
        <v>835</v>
      </c>
      <c r="F939" s="233" t="s">
        <v>835</v>
      </c>
      <c r="G939" s="233" t="s">
        <v>835</v>
      </c>
      <c r="H939" s="233" t="s">
        <v>835</v>
      </c>
      <c r="I939" s="234">
        <f>SUM(I940:I945)</f>
        <v>6797.2400000000007</v>
      </c>
      <c r="J939" s="234">
        <f>SUM(J940:J945)</f>
        <v>6359.41</v>
      </c>
      <c r="K939" s="234">
        <f>SUM(K940:K945)</f>
        <v>5432.18</v>
      </c>
      <c r="L939" s="235">
        <f>SUM(L940:L945)</f>
        <v>308</v>
      </c>
      <c r="M939" s="233" t="s">
        <v>835</v>
      </c>
      <c r="N939" s="233" t="s">
        <v>835</v>
      </c>
      <c r="O939" s="236" t="s">
        <v>835</v>
      </c>
      <c r="P939" s="241">
        <v>20595957.049999997</v>
      </c>
      <c r="Q939" s="78">
        <f>SUM(Q940:Q945)</f>
        <v>0</v>
      </c>
      <c r="R939" s="78">
        <f>SUM(R940:R945)</f>
        <v>0</v>
      </c>
      <c r="S939" s="78">
        <f>SUM(S940:S945)</f>
        <v>0</v>
      </c>
      <c r="T939" s="78">
        <f>SUM(T940:T945)</f>
        <v>20595957.049999997</v>
      </c>
      <c r="U939" s="78">
        <f t="shared" si="62"/>
        <v>3030.0470558638499</v>
      </c>
      <c r="V939" s="78">
        <f>MAX(V940:V945)</f>
        <v>9246.4054218908841</v>
      </c>
    </row>
    <row r="940" spans="1:22" s="79" customFormat="1" ht="36" customHeight="1" x14ac:dyDescent="0.25">
      <c r="A940" s="79">
        <v>1</v>
      </c>
      <c r="B940" s="80">
        <f>SUBTOTAL(103,$A$552:A940)</f>
        <v>349</v>
      </c>
      <c r="C940" s="77" t="s">
        <v>60</v>
      </c>
      <c r="D940" s="233">
        <v>1970</v>
      </c>
      <c r="E940" s="233"/>
      <c r="F940" s="233" t="s">
        <v>256</v>
      </c>
      <c r="G940" s="233">
        <v>5</v>
      </c>
      <c r="H940" s="233" t="s">
        <v>290</v>
      </c>
      <c r="I940" s="234">
        <v>2323.8000000000002</v>
      </c>
      <c r="J940" s="234">
        <v>2094.89</v>
      </c>
      <c r="K940" s="234">
        <v>1789.25</v>
      </c>
      <c r="L940" s="239">
        <v>79</v>
      </c>
      <c r="M940" s="233" t="s">
        <v>254</v>
      </c>
      <c r="N940" s="233" t="s">
        <v>258</v>
      </c>
      <c r="O940" s="236" t="s">
        <v>263</v>
      </c>
      <c r="P940" s="78">
        <v>4272225.54</v>
      </c>
      <c r="Q940" s="78">
        <v>0</v>
      </c>
      <c r="R940" s="78">
        <v>0</v>
      </c>
      <c r="S940" s="78">
        <v>0</v>
      </c>
      <c r="T940" s="78">
        <f t="shared" ref="T940:T945" si="63">P940-R940-S940</f>
        <v>4272225.54</v>
      </c>
      <c r="U940" s="78">
        <f t="shared" si="62"/>
        <v>1838.4652465788793</v>
      </c>
      <c r="V940" s="78">
        <v>2182.6372114639812</v>
      </c>
    </row>
    <row r="941" spans="1:22" s="79" customFormat="1" ht="36" customHeight="1" x14ac:dyDescent="0.25">
      <c r="A941" s="79">
        <v>1</v>
      </c>
      <c r="B941" s="80">
        <f>SUBTOTAL(103,$A$552:A941)</f>
        <v>350</v>
      </c>
      <c r="C941" s="77" t="s">
        <v>61</v>
      </c>
      <c r="D941" s="233">
        <v>1972</v>
      </c>
      <c r="E941" s="233"/>
      <c r="F941" s="233" t="s">
        <v>256</v>
      </c>
      <c r="G941" s="233">
        <v>2</v>
      </c>
      <c r="H941" s="233" t="s">
        <v>290</v>
      </c>
      <c r="I941" s="234">
        <v>590.20000000000005</v>
      </c>
      <c r="J941" s="234">
        <v>590.20000000000005</v>
      </c>
      <c r="K941" s="234">
        <v>529.79999999999995</v>
      </c>
      <c r="L941" s="239">
        <v>36</v>
      </c>
      <c r="M941" s="233" t="s">
        <v>254</v>
      </c>
      <c r="N941" s="233" t="s">
        <v>255</v>
      </c>
      <c r="O941" s="236" t="s">
        <v>257</v>
      </c>
      <c r="P941" s="78">
        <v>3672377.8499999996</v>
      </c>
      <c r="Q941" s="78">
        <v>0</v>
      </c>
      <c r="R941" s="78">
        <v>0</v>
      </c>
      <c r="S941" s="78">
        <v>0</v>
      </c>
      <c r="T941" s="78">
        <f t="shared" si="63"/>
        <v>3672377.8499999996</v>
      </c>
      <c r="U941" s="78">
        <f t="shared" si="62"/>
        <v>6222.2599966113166</v>
      </c>
      <c r="V941" s="78">
        <v>9246.4054218908841</v>
      </c>
    </row>
    <row r="942" spans="1:22" s="79" customFormat="1" ht="36" customHeight="1" x14ac:dyDescent="0.25">
      <c r="A942" s="79">
        <v>1</v>
      </c>
      <c r="B942" s="80">
        <f>SUBTOTAL(103,$A$552:A942)</f>
        <v>351</v>
      </c>
      <c r="C942" s="77" t="s">
        <v>59</v>
      </c>
      <c r="D942" s="233">
        <v>1973</v>
      </c>
      <c r="E942" s="233"/>
      <c r="F942" s="233" t="s">
        <v>256</v>
      </c>
      <c r="G942" s="233">
        <v>2</v>
      </c>
      <c r="H942" s="233" t="s">
        <v>290</v>
      </c>
      <c r="I942" s="234">
        <v>701.7</v>
      </c>
      <c r="J942" s="234">
        <v>600.70000000000005</v>
      </c>
      <c r="K942" s="234">
        <v>482.5</v>
      </c>
      <c r="L942" s="239">
        <v>31</v>
      </c>
      <c r="M942" s="233" t="s">
        <v>254</v>
      </c>
      <c r="N942" s="233" t="s">
        <v>255</v>
      </c>
      <c r="O942" s="236" t="s">
        <v>257</v>
      </c>
      <c r="P942" s="78">
        <v>2799677.08</v>
      </c>
      <c r="Q942" s="78">
        <v>0</v>
      </c>
      <c r="R942" s="78">
        <v>0</v>
      </c>
      <c r="S942" s="78">
        <v>0</v>
      </c>
      <c r="T942" s="78">
        <f t="shared" si="63"/>
        <v>2799677.08</v>
      </c>
      <c r="U942" s="78">
        <f t="shared" si="62"/>
        <v>3989.849052301553</v>
      </c>
      <c r="V942" s="78">
        <v>7653.506741912498</v>
      </c>
    </row>
    <row r="943" spans="1:22" s="79" customFormat="1" ht="36" customHeight="1" x14ac:dyDescent="0.25">
      <c r="A943" s="79">
        <v>1</v>
      </c>
      <c r="B943" s="80">
        <f>SUBTOTAL(103,$A$552:A943)</f>
        <v>352</v>
      </c>
      <c r="C943" s="77" t="s">
        <v>62</v>
      </c>
      <c r="D943" s="233">
        <v>1982</v>
      </c>
      <c r="E943" s="233"/>
      <c r="F943" s="233" t="s">
        <v>256</v>
      </c>
      <c r="G943" s="233">
        <v>2</v>
      </c>
      <c r="H943" s="233" t="s">
        <v>290</v>
      </c>
      <c r="I943" s="234">
        <v>549.6</v>
      </c>
      <c r="J943" s="234">
        <v>502.6</v>
      </c>
      <c r="K943" s="234">
        <v>318.10000000000002</v>
      </c>
      <c r="L943" s="239">
        <v>28</v>
      </c>
      <c r="M943" s="233" t="s">
        <v>254</v>
      </c>
      <c r="N943" s="233" t="s">
        <v>255</v>
      </c>
      <c r="O943" s="236" t="s">
        <v>257</v>
      </c>
      <c r="P943" s="78">
        <v>2844503.1199999996</v>
      </c>
      <c r="Q943" s="78">
        <v>0</v>
      </c>
      <c r="R943" s="78">
        <v>0</v>
      </c>
      <c r="S943" s="78">
        <v>0</v>
      </c>
      <c r="T943" s="78">
        <f t="shared" si="63"/>
        <v>2844503.1199999996</v>
      </c>
      <c r="U943" s="78">
        <f t="shared" si="62"/>
        <v>5175.5879184861706</v>
      </c>
      <c r="V943" s="78">
        <v>8968.6342270742352</v>
      </c>
    </row>
    <row r="944" spans="1:22" s="79" customFormat="1" ht="36" customHeight="1" x14ac:dyDescent="0.25">
      <c r="A944" s="79">
        <v>1</v>
      </c>
      <c r="B944" s="80">
        <f>SUBTOTAL(103,$A$552:A944)</f>
        <v>353</v>
      </c>
      <c r="C944" s="77" t="s">
        <v>58</v>
      </c>
      <c r="D944" s="233">
        <v>1970</v>
      </c>
      <c r="E944" s="233"/>
      <c r="F944" s="233" t="s">
        <v>256</v>
      </c>
      <c r="G944" s="233">
        <v>2</v>
      </c>
      <c r="H944" s="233" t="s">
        <v>290</v>
      </c>
      <c r="I944" s="234">
        <v>726.6</v>
      </c>
      <c r="J944" s="234">
        <v>665.68</v>
      </c>
      <c r="K944" s="234">
        <v>482.19</v>
      </c>
      <c r="L944" s="239">
        <v>33</v>
      </c>
      <c r="M944" s="233" t="s">
        <v>254</v>
      </c>
      <c r="N944" s="233" t="s">
        <v>255</v>
      </c>
      <c r="O944" s="236" t="s">
        <v>257</v>
      </c>
      <c r="P944" s="78">
        <v>2708720.47</v>
      </c>
      <c r="Q944" s="78">
        <v>0</v>
      </c>
      <c r="R944" s="78">
        <v>0</v>
      </c>
      <c r="S944" s="78">
        <v>0</v>
      </c>
      <c r="T944" s="78">
        <f t="shared" si="63"/>
        <v>2708720.47</v>
      </c>
      <c r="U944" s="78">
        <f t="shared" si="62"/>
        <v>3727.9389898155796</v>
      </c>
      <c r="V944" s="78">
        <v>7829.7158271401049</v>
      </c>
    </row>
    <row r="945" spans="1:22" s="79" customFormat="1" ht="36" customHeight="1" x14ac:dyDescent="0.25">
      <c r="A945" s="79">
        <v>1</v>
      </c>
      <c r="B945" s="80">
        <f>SUBTOTAL(103,$A$552:A945)</f>
        <v>354</v>
      </c>
      <c r="C945" s="77" t="s">
        <v>49</v>
      </c>
      <c r="D945" s="233">
        <v>1962</v>
      </c>
      <c r="E945" s="233"/>
      <c r="F945" s="233" t="s">
        <v>256</v>
      </c>
      <c r="G945" s="233">
        <v>4</v>
      </c>
      <c r="H945" s="233" t="s">
        <v>299</v>
      </c>
      <c r="I945" s="78">
        <v>1905.34</v>
      </c>
      <c r="J945" s="78">
        <v>1905.34</v>
      </c>
      <c r="K945" s="78">
        <v>1830.34</v>
      </c>
      <c r="L945" s="239">
        <v>101</v>
      </c>
      <c r="M945" s="233" t="s">
        <v>254</v>
      </c>
      <c r="N945" s="233" t="s">
        <v>255</v>
      </c>
      <c r="O945" s="236" t="s">
        <v>257</v>
      </c>
      <c r="P945" s="78">
        <v>4298452.99</v>
      </c>
      <c r="Q945" s="78">
        <v>0</v>
      </c>
      <c r="R945" s="78">
        <v>0</v>
      </c>
      <c r="S945" s="78">
        <v>0</v>
      </c>
      <c r="T945" s="78">
        <f t="shared" si="63"/>
        <v>4298452.99</v>
      </c>
      <c r="U945" s="78">
        <f t="shared" si="62"/>
        <v>2256.0031228022299</v>
      </c>
      <c r="V945" s="78">
        <v>4276.7478052211163</v>
      </c>
    </row>
    <row r="946" spans="1:22" s="79" customFormat="1" ht="36" customHeight="1" x14ac:dyDescent="0.25">
      <c r="B946" s="77" t="s">
        <v>786</v>
      </c>
      <c r="C946" s="240"/>
      <c r="D946" s="233" t="s">
        <v>701</v>
      </c>
      <c r="E946" s="233" t="s">
        <v>701</v>
      </c>
      <c r="F946" s="233" t="s">
        <v>701</v>
      </c>
      <c r="G946" s="233" t="s">
        <v>701</v>
      </c>
      <c r="H946" s="233" t="s">
        <v>701</v>
      </c>
      <c r="I946" s="234">
        <f>SUM(I947:I948)</f>
        <v>1752.3000000000002</v>
      </c>
      <c r="J946" s="234">
        <f t="shared" ref="J946:L946" si="64">SUM(J947:J948)</f>
        <v>948.3</v>
      </c>
      <c r="K946" s="234">
        <f t="shared" si="64"/>
        <v>945.1</v>
      </c>
      <c r="L946" s="235">
        <f t="shared" si="64"/>
        <v>86</v>
      </c>
      <c r="M946" s="233" t="s">
        <v>835</v>
      </c>
      <c r="N946" s="233" t="s">
        <v>835</v>
      </c>
      <c r="O946" s="236" t="s">
        <v>835</v>
      </c>
      <c r="P946" s="241">
        <v>166016.51999999999</v>
      </c>
      <c r="Q946" s="78">
        <f t="shared" ref="Q946:T946" si="65">SUM(Q947:Q948)</f>
        <v>0</v>
      </c>
      <c r="R946" s="78">
        <f t="shared" si="65"/>
        <v>0</v>
      </c>
      <c r="S946" s="78">
        <f t="shared" si="65"/>
        <v>0</v>
      </c>
      <c r="T946" s="78">
        <f t="shared" si="65"/>
        <v>166016.51999999999</v>
      </c>
      <c r="U946" s="78">
        <f t="shared" si="62"/>
        <v>94.742064714946054</v>
      </c>
      <c r="V946" s="78">
        <f>MAX(V947)</f>
        <v>102.47674765847698</v>
      </c>
    </row>
    <row r="947" spans="1:22" s="23" customFormat="1" ht="36" customHeight="1" x14ac:dyDescent="0.25">
      <c r="A947" s="79">
        <v>1</v>
      </c>
      <c r="B947" s="80">
        <f>SUBTOTAL(103,$A$552:A947)</f>
        <v>355</v>
      </c>
      <c r="C947" s="251" t="s">
        <v>66</v>
      </c>
      <c r="D947" s="233">
        <v>1978</v>
      </c>
      <c r="E947" s="233"/>
      <c r="F947" s="236" t="s">
        <v>256</v>
      </c>
      <c r="G947" s="233">
        <v>2</v>
      </c>
      <c r="H947" s="233" t="s">
        <v>290</v>
      </c>
      <c r="I947" s="234">
        <v>736.7</v>
      </c>
      <c r="J947" s="234">
        <v>450.8</v>
      </c>
      <c r="K947" s="234">
        <v>447.6</v>
      </c>
      <c r="L947" s="252">
        <v>41</v>
      </c>
      <c r="M947" s="233" t="s">
        <v>254</v>
      </c>
      <c r="N947" s="233" t="s">
        <v>255</v>
      </c>
      <c r="O947" s="233" t="s">
        <v>257</v>
      </c>
      <c r="P947" s="234">
        <v>75494.62</v>
      </c>
      <c r="Q947" s="78">
        <v>0</v>
      </c>
      <c r="R947" s="234">
        <v>0</v>
      </c>
      <c r="S947" s="234">
        <v>0</v>
      </c>
      <c r="T947" s="234">
        <f>P947-R947-S947</f>
        <v>75494.62</v>
      </c>
      <c r="U947" s="78">
        <f t="shared" si="62"/>
        <v>102.47674765847698</v>
      </c>
      <c r="V947" s="81">
        <v>102.47674765847698</v>
      </c>
    </row>
    <row r="948" spans="1:22" s="79" customFormat="1" ht="36" customHeight="1" x14ac:dyDescent="0.25">
      <c r="A948" s="79">
        <v>1</v>
      </c>
      <c r="B948" s="80">
        <f>SUBTOTAL(103,$A$552:A948)</f>
        <v>356</v>
      </c>
      <c r="C948" s="77" t="s">
        <v>57</v>
      </c>
      <c r="D948" s="233">
        <v>1972</v>
      </c>
      <c r="E948" s="233"/>
      <c r="F948" s="233" t="s">
        <v>256</v>
      </c>
      <c r="G948" s="233">
        <v>2</v>
      </c>
      <c r="H948" s="233" t="s">
        <v>299</v>
      </c>
      <c r="I948" s="234">
        <v>1015.6</v>
      </c>
      <c r="J948" s="234">
        <v>497.5</v>
      </c>
      <c r="K948" s="234">
        <v>497.5</v>
      </c>
      <c r="L948" s="239">
        <v>45</v>
      </c>
      <c r="M948" s="233" t="s">
        <v>254</v>
      </c>
      <c r="N948" s="233" t="s">
        <v>255</v>
      </c>
      <c r="O948" s="236" t="s">
        <v>257</v>
      </c>
      <c r="P948" s="78">
        <v>90521.9</v>
      </c>
      <c r="Q948" s="78">
        <v>0</v>
      </c>
      <c r="R948" s="78">
        <v>0</v>
      </c>
      <c r="S948" s="78">
        <v>0</v>
      </c>
      <c r="T948" s="78">
        <f>P948-R948-S948</f>
        <v>90521.9</v>
      </c>
      <c r="U948" s="78">
        <f t="shared" si="62"/>
        <v>89.131449389523425</v>
      </c>
      <c r="V948" s="78">
        <v>89.131449389523425</v>
      </c>
    </row>
    <row r="949" spans="1:22" s="79" customFormat="1" ht="36" customHeight="1" x14ac:dyDescent="0.25">
      <c r="B949" s="77" t="s">
        <v>821</v>
      </c>
      <c r="C949" s="77"/>
      <c r="D949" s="233" t="s">
        <v>701</v>
      </c>
      <c r="E949" s="233" t="s">
        <v>701</v>
      </c>
      <c r="F949" s="233" t="s">
        <v>701</v>
      </c>
      <c r="G949" s="233" t="s">
        <v>701</v>
      </c>
      <c r="H949" s="233" t="s">
        <v>701</v>
      </c>
      <c r="I949" s="234">
        <f>SUM(I950)</f>
        <v>822.2</v>
      </c>
      <c r="J949" s="234">
        <f t="shared" ref="J949:L949" si="66">SUM(J950)</f>
        <v>760.8</v>
      </c>
      <c r="K949" s="234">
        <f t="shared" si="66"/>
        <v>760.8</v>
      </c>
      <c r="L949" s="235">
        <f t="shared" si="66"/>
        <v>36</v>
      </c>
      <c r="M949" s="233" t="s">
        <v>835</v>
      </c>
      <c r="N949" s="233" t="s">
        <v>835</v>
      </c>
      <c r="O949" s="236" t="s">
        <v>835</v>
      </c>
      <c r="P949" s="241">
        <v>79976.490000000005</v>
      </c>
      <c r="Q949" s="78">
        <f t="shared" ref="Q949:T949" si="67">SUM(Q950)</f>
        <v>0</v>
      </c>
      <c r="R949" s="78">
        <f t="shared" si="67"/>
        <v>0</v>
      </c>
      <c r="S949" s="78">
        <f t="shared" si="67"/>
        <v>0</v>
      </c>
      <c r="T949" s="78">
        <f t="shared" si="67"/>
        <v>79976.490000000005</v>
      </c>
      <c r="U949" s="78">
        <f t="shared" si="62"/>
        <v>97.271333009000244</v>
      </c>
      <c r="V949" s="78">
        <f>MAX(V950)</f>
        <v>97.271333009000244</v>
      </c>
    </row>
    <row r="950" spans="1:22" s="79" customFormat="1" ht="36" customHeight="1" x14ac:dyDescent="0.25">
      <c r="A950" s="79">
        <v>1</v>
      </c>
      <c r="B950" s="80">
        <f>SUBTOTAL(103,$A$552:A950)</f>
        <v>357</v>
      </c>
      <c r="C950" s="77" t="s">
        <v>55</v>
      </c>
      <c r="D950" s="233">
        <v>1968</v>
      </c>
      <c r="E950" s="233"/>
      <c r="F950" s="233" t="s">
        <v>256</v>
      </c>
      <c r="G950" s="233">
        <v>2</v>
      </c>
      <c r="H950" s="233" t="s">
        <v>290</v>
      </c>
      <c r="I950" s="234">
        <v>822.2</v>
      </c>
      <c r="J950" s="234">
        <v>760.8</v>
      </c>
      <c r="K950" s="234">
        <v>760.8</v>
      </c>
      <c r="L950" s="239">
        <v>36</v>
      </c>
      <c r="M950" s="233" t="s">
        <v>254</v>
      </c>
      <c r="N950" s="233" t="s">
        <v>258</v>
      </c>
      <c r="O950" s="236" t="s">
        <v>2685</v>
      </c>
      <c r="P950" s="78">
        <v>79976.490000000005</v>
      </c>
      <c r="Q950" s="78">
        <v>0</v>
      </c>
      <c r="R950" s="78">
        <v>0</v>
      </c>
      <c r="S950" s="78">
        <v>0</v>
      </c>
      <c r="T950" s="78">
        <f>P950-R950-S950</f>
        <v>79976.490000000005</v>
      </c>
      <c r="U950" s="78">
        <f t="shared" si="62"/>
        <v>97.271333009000244</v>
      </c>
      <c r="V950" s="78">
        <v>97.271333009000244</v>
      </c>
    </row>
    <row r="951" spans="1:22" s="79" customFormat="1" ht="36" customHeight="1" x14ac:dyDescent="0.25">
      <c r="B951" s="77" t="s">
        <v>792</v>
      </c>
      <c r="C951" s="240"/>
      <c r="D951" s="233" t="s">
        <v>835</v>
      </c>
      <c r="E951" s="233" t="s">
        <v>835</v>
      </c>
      <c r="F951" s="233" t="s">
        <v>835</v>
      </c>
      <c r="G951" s="233" t="s">
        <v>835</v>
      </c>
      <c r="H951" s="233" t="s">
        <v>835</v>
      </c>
      <c r="I951" s="234">
        <f>SUM(I952:I954)</f>
        <v>4675.3</v>
      </c>
      <c r="J951" s="234">
        <f>SUM(J952:J954)</f>
        <v>3635.9999999999995</v>
      </c>
      <c r="K951" s="234">
        <f>SUM(K952:K954)</f>
        <v>3472.5999999999995</v>
      </c>
      <c r="L951" s="235">
        <f>SUM(L952:L954)</f>
        <v>143</v>
      </c>
      <c r="M951" s="233" t="s">
        <v>835</v>
      </c>
      <c r="N951" s="233" t="s">
        <v>835</v>
      </c>
      <c r="O951" s="236" t="s">
        <v>835</v>
      </c>
      <c r="P951" s="241">
        <v>4904419.7699999996</v>
      </c>
      <c r="Q951" s="78">
        <f>SUM(Q952:Q954)</f>
        <v>0</v>
      </c>
      <c r="R951" s="78">
        <f>SUM(R952:R954)</f>
        <v>0</v>
      </c>
      <c r="S951" s="78">
        <f>SUM(S952:S954)</f>
        <v>0</v>
      </c>
      <c r="T951" s="78">
        <f>SUM(T952:T954)</f>
        <v>4904419.7699999996</v>
      </c>
      <c r="U951" s="78">
        <f t="shared" si="62"/>
        <v>1049.0064316728337</v>
      </c>
      <c r="V951" s="78">
        <f>MAX(V952:V954)</f>
        <v>7543.8386166028104</v>
      </c>
    </row>
    <row r="952" spans="1:22" s="79" customFormat="1" ht="36" customHeight="1" x14ac:dyDescent="0.25">
      <c r="A952" s="79">
        <v>1</v>
      </c>
      <c r="B952" s="80">
        <f>SUBTOTAL(103,$A$552:A952)</f>
        <v>358</v>
      </c>
      <c r="C952" s="77" t="s">
        <v>218</v>
      </c>
      <c r="D952" s="233">
        <v>1988</v>
      </c>
      <c r="E952" s="233"/>
      <c r="F952" s="233" t="s">
        <v>256</v>
      </c>
      <c r="G952" s="233">
        <v>5</v>
      </c>
      <c r="H952" s="233" t="s">
        <v>295</v>
      </c>
      <c r="I952" s="234">
        <v>3662.2</v>
      </c>
      <c r="J952" s="234">
        <v>2766.2</v>
      </c>
      <c r="K952" s="234">
        <v>2766.2</v>
      </c>
      <c r="L952" s="239">
        <v>110</v>
      </c>
      <c r="M952" s="233" t="s">
        <v>254</v>
      </c>
      <c r="N952" s="233" t="s">
        <v>258</v>
      </c>
      <c r="O952" s="236" t="s">
        <v>653</v>
      </c>
      <c r="P952" s="78">
        <v>3453753.26</v>
      </c>
      <c r="Q952" s="78">
        <v>0</v>
      </c>
      <c r="R952" s="78">
        <v>0</v>
      </c>
      <c r="S952" s="78">
        <v>0</v>
      </c>
      <c r="T952" s="78">
        <f>P952-R952-S952</f>
        <v>3453753.26</v>
      </c>
      <c r="U952" s="78">
        <f t="shared" si="62"/>
        <v>943.08155207252469</v>
      </c>
      <c r="V952" s="78">
        <v>2062.3972532357602</v>
      </c>
    </row>
    <row r="953" spans="1:22" s="79" customFormat="1" ht="36" customHeight="1" x14ac:dyDescent="0.25">
      <c r="A953" s="79">
        <v>1</v>
      </c>
      <c r="B953" s="80">
        <f>SUBTOTAL(103,$A$552:A953)</f>
        <v>359</v>
      </c>
      <c r="C953" s="77" t="s">
        <v>217</v>
      </c>
      <c r="D953" s="233">
        <v>1966</v>
      </c>
      <c r="E953" s="233"/>
      <c r="F953" s="233" t="s">
        <v>256</v>
      </c>
      <c r="G953" s="233">
        <v>2</v>
      </c>
      <c r="H953" s="233" t="s">
        <v>291</v>
      </c>
      <c r="I953" s="234">
        <v>391.5</v>
      </c>
      <c r="J953" s="234">
        <v>367.2</v>
      </c>
      <c r="K953" s="234">
        <v>367.2</v>
      </c>
      <c r="L953" s="239">
        <v>8</v>
      </c>
      <c r="M953" s="233" t="s">
        <v>254</v>
      </c>
      <c r="N953" s="233" t="s">
        <v>258</v>
      </c>
      <c r="O953" s="236" t="s">
        <v>653</v>
      </c>
      <c r="P953" s="78">
        <v>1378909.68</v>
      </c>
      <c r="Q953" s="78">
        <v>0</v>
      </c>
      <c r="R953" s="78">
        <v>0</v>
      </c>
      <c r="S953" s="78">
        <v>0</v>
      </c>
      <c r="T953" s="78">
        <f>P953-R953-S953</f>
        <v>1378909.68</v>
      </c>
      <c r="U953" s="78">
        <f t="shared" si="62"/>
        <v>3522.1192337164748</v>
      </c>
      <c r="V953" s="78">
        <v>7543.8386166028104</v>
      </c>
    </row>
    <row r="954" spans="1:22" s="79" customFormat="1" ht="36" customHeight="1" x14ac:dyDescent="0.25">
      <c r="A954" s="79">
        <v>1</v>
      </c>
      <c r="B954" s="80">
        <f>SUBTOTAL(103,$A$552:A954)</f>
        <v>360</v>
      </c>
      <c r="C954" s="77" t="s">
        <v>1786</v>
      </c>
      <c r="D954" s="233">
        <v>1987</v>
      </c>
      <c r="E954" s="233"/>
      <c r="F954" s="233" t="s">
        <v>256</v>
      </c>
      <c r="G954" s="233">
        <v>2</v>
      </c>
      <c r="H954" s="233" t="s">
        <v>290</v>
      </c>
      <c r="I954" s="234">
        <v>621.6</v>
      </c>
      <c r="J954" s="234">
        <v>502.6</v>
      </c>
      <c r="K954" s="234">
        <v>339.2</v>
      </c>
      <c r="L954" s="239">
        <v>25</v>
      </c>
      <c r="M954" s="233" t="s">
        <v>254</v>
      </c>
      <c r="N954" s="233" t="s">
        <v>255</v>
      </c>
      <c r="O954" s="236" t="s">
        <v>257</v>
      </c>
      <c r="P954" s="78">
        <v>71756.83</v>
      </c>
      <c r="Q954" s="78">
        <v>0</v>
      </c>
      <c r="R954" s="78">
        <v>0</v>
      </c>
      <c r="S954" s="78">
        <v>0</v>
      </c>
      <c r="T954" s="78">
        <f>P954-R954-S954</f>
        <v>71756.83</v>
      </c>
      <c r="U954" s="78">
        <f t="shared" si="62"/>
        <v>115.4389157014157</v>
      </c>
      <c r="V954" s="81">
        <v>115.4389157014157</v>
      </c>
    </row>
    <row r="955" spans="1:22" s="79" customFormat="1" ht="36" customHeight="1" x14ac:dyDescent="0.25">
      <c r="B955" s="77" t="s">
        <v>1211</v>
      </c>
      <c r="C955" s="240"/>
      <c r="D955" s="233" t="s">
        <v>835</v>
      </c>
      <c r="E955" s="233" t="s">
        <v>835</v>
      </c>
      <c r="F955" s="233" t="s">
        <v>835</v>
      </c>
      <c r="G955" s="233" t="s">
        <v>835</v>
      </c>
      <c r="H955" s="233" t="s">
        <v>835</v>
      </c>
      <c r="I955" s="234">
        <f>I956</f>
        <v>953.9</v>
      </c>
      <c r="J955" s="234">
        <f>J956</f>
        <v>865.7</v>
      </c>
      <c r="K955" s="234">
        <f>K956</f>
        <v>857.7</v>
      </c>
      <c r="L955" s="235">
        <f>L956</f>
        <v>28</v>
      </c>
      <c r="M955" s="233" t="s">
        <v>835</v>
      </c>
      <c r="N955" s="233" t="s">
        <v>835</v>
      </c>
      <c r="O955" s="236" t="s">
        <v>835</v>
      </c>
      <c r="P955" s="241">
        <v>3567998.53</v>
      </c>
      <c r="Q955" s="78">
        <f>Q956</f>
        <v>0</v>
      </c>
      <c r="R955" s="78">
        <f>R956</f>
        <v>0</v>
      </c>
      <c r="S955" s="78">
        <f>S956</f>
        <v>0</v>
      </c>
      <c r="T955" s="78">
        <f>T956</f>
        <v>3567998.53</v>
      </c>
      <c r="U955" s="78">
        <f t="shared" si="62"/>
        <v>3740.4324667155884</v>
      </c>
      <c r="V955" s="78">
        <f>V956</f>
        <v>7197.9461159450684</v>
      </c>
    </row>
    <row r="956" spans="1:22" s="79" customFormat="1" ht="36" customHeight="1" x14ac:dyDescent="0.25">
      <c r="A956" s="79">
        <v>1</v>
      </c>
      <c r="B956" s="80">
        <f>SUBTOTAL(103,$A$552:A956)</f>
        <v>361</v>
      </c>
      <c r="C956" s="77" t="s">
        <v>1212</v>
      </c>
      <c r="D956" s="233">
        <v>1984</v>
      </c>
      <c r="E956" s="233"/>
      <c r="F956" s="233" t="s">
        <v>256</v>
      </c>
      <c r="G956" s="233">
        <v>2</v>
      </c>
      <c r="H956" s="233" t="s">
        <v>299</v>
      </c>
      <c r="I956" s="234">
        <v>953.9</v>
      </c>
      <c r="J956" s="234">
        <v>865.7</v>
      </c>
      <c r="K956" s="234">
        <v>857.7</v>
      </c>
      <c r="L956" s="239">
        <v>28</v>
      </c>
      <c r="M956" s="233" t="s">
        <v>254</v>
      </c>
      <c r="N956" s="233" t="s">
        <v>255</v>
      </c>
      <c r="O956" s="236" t="s">
        <v>257</v>
      </c>
      <c r="P956" s="78">
        <v>3567998.53</v>
      </c>
      <c r="Q956" s="78">
        <v>0</v>
      </c>
      <c r="R956" s="78">
        <v>0</v>
      </c>
      <c r="S956" s="78">
        <v>0</v>
      </c>
      <c r="T956" s="78">
        <f>P956-R956-S956</f>
        <v>3567998.53</v>
      </c>
      <c r="U956" s="78">
        <f t="shared" si="62"/>
        <v>3740.4324667155884</v>
      </c>
      <c r="V956" s="78">
        <v>7197.9461159450684</v>
      </c>
    </row>
    <row r="957" spans="1:22" s="79" customFormat="1" ht="36" customHeight="1" x14ac:dyDescent="0.25">
      <c r="B957" s="77" t="s">
        <v>794</v>
      </c>
      <c r="C957" s="240"/>
      <c r="D957" s="233" t="s">
        <v>835</v>
      </c>
      <c r="E957" s="233" t="s">
        <v>835</v>
      </c>
      <c r="F957" s="233" t="s">
        <v>835</v>
      </c>
      <c r="G957" s="233" t="s">
        <v>835</v>
      </c>
      <c r="H957" s="233" t="s">
        <v>835</v>
      </c>
      <c r="I957" s="234">
        <f>SUM(I958:I958)</f>
        <v>1446.38</v>
      </c>
      <c r="J957" s="234">
        <f>SUM(J958:J958)</f>
        <v>996.18</v>
      </c>
      <c r="K957" s="234">
        <f>SUM(K958:K958)</f>
        <v>229.3</v>
      </c>
      <c r="L957" s="235">
        <f>SUM(L958:L958)</f>
        <v>78</v>
      </c>
      <c r="M957" s="233" t="s">
        <v>835</v>
      </c>
      <c r="N957" s="233" t="s">
        <v>835</v>
      </c>
      <c r="O957" s="236" t="s">
        <v>835</v>
      </c>
      <c r="P957" s="241">
        <v>3892974.33</v>
      </c>
      <c r="Q957" s="78">
        <f>SUM(Q958:Q958)</f>
        <v>0</v>
      </c>
      <c r="R957" s="78">
        <f>SUM(R958:R958)</f>
        <v>0</v>
      </c>
      <c r="S957" s="78">
        <f>SUM(S958:S958)</f>
        <v>0</v>
      </c>
      <c r="T957" s="78">
        <f>SUM(T958:T958)</f>
        <v>3892974.33</v>
      </c>
      <c r="U957" s="78">
        <f t="shared" si="62"/>
        <v>2691.5294251856358</v>
      </c>
      <c r="V957" s="78">
        <f>MAX(V958:V958)</f>
        <v>6361.3701472642042</v>
      </c>
    </row>
    <row r="958" spans="1:22" s="79" customFormat="1" ht="36" customHeight="1" x14ac:dyDescent="0.25">
      <c r="A958" s="79">
        <v>1</v>
      </c>
      <c r="B958" s="80">
        <f>SUBTOTAL(103,$A$552:A958)</f>
        <v>362</v>
      </c>
      <c r="C958" s="77" t="s">
        <v>135</v>
      </c>
      <c r="D958" s="233">
        <v>1969</v>
      </c>
      <c r="E958" s="233"/>
      <c r="F958" s="233" t="s">
        <v>256</v>
      </c>
      <c r="G958" s="233">
        <v>2</v>
      </c>
      <c r="H958" s="233" t="s">
        <v>291</v>
      </c>
      <c r="I958" s="234">
        <v>1446.38</v>
      </c>
      <c r="J958" s="234">
        <v>996.18</v>
      </c>
      <c r="K958" s="234">
        <v>229.3</v>
      </c>
      <c r="L958" s="239">
        <v>78</v>
      </c>
      <c r="M958" s="233" t="s">
        <v>254</v>
      </c>
      <c r="N958" s="233" t="s">
        <v>258</v>
      </c>
      <c r="O958" s="236" t="s">
        <v>937</v>
      </c>
      <c r="P958" s="78">
        <v>3892974.33</v>
      </c>
      <c r="Q958" s="78">
        <v>0</v>
      </c>
      <c r="R958" s="78">
        <v>0</v>
      </c>
      <c r="S958" s="78">
        <v>0</v>
      </c>
      <c r="T958" s="78">
        <f>P958-R958-S958</f>
        <v>3892974.33</v>
      </c>
      <c r="U958" s="78">
        <f t="shared" si="62"/>
        <v>2691.5294251856358</v>
      </c>
      <c r="V958" s="78">
        <v>6361.3701472642042</v>
      </c>
    </row>
    <row r="959" spans="1:22" s="79" customFormat="1" ht="36" customHeight="1" x14ac:dyDescent="0.25">
      <c r="B959" s="77" t="s">
        <v>827</v>
      </c>
      <c r="C959" s="240"/>
      <c r="D959" s="233" t="s">
        <v>835</v>
      </c>
      <c r="E959" s="233" t="s">
        <v>835</v>
      </c>
      <c r="F959" s="233" t="s">
        <v>835</v>
      </c>
      <c r="G959" s="233" t="s">
        <v>835</v>
      </c>
      <c r="H959" s="233" t="s">
        <v>835</v>
      </c>
      <c r="I959" s="234">
        <f>I960</f>
        <v>3554.5</v>
      </c>
      <c r="J959" s="234">
        <f>J960</f>
        <v>3554.5</v>
      </c>
      <c r="K959" s="234">
        <f>K960</f>
        <v>3220.4</v>
      </c>
      <c r="L959" s="235">
        <f>L960</f>
        <v>158</v>
      </c>
      <c r="M959" s="233" t="s">
        <v>835</v>
      </c>
      <c r="N959" s="233" t="s">
        <v>835</v>
      </c>
      <c r="O959" s="236" t="s">
        <v>835</v>
      </c>
      <c r="P959" s="241">
        <v>7815780.1500000004</v>
      </c>
      <c r="Q959" s="78">
        <f>Q960</f>
        <v>0</v>
      </c>
      <c r="R959" s="78">
        <f>R960</f>
        <v>0</v>
      </c>
      <c r="S959" s="78">
        <f>S960</f>
        <v>0</v>
      </c>
      <c r="T959" s="78">
        <f>T960</f>
        <v>7815780.1500000004</v>
      </c>
      <c r="U959" s="78">
        <f t="shared" si="62"/>
        <v>2198.8409480939654</v>
      </c>
      <c r="V959" s="78">
        <f>V960</f>
        <v>3446.9019440146294</v>
      </c>
    </row>
    <row r="960" spans="1:22" s="23" customFormat="1" ht="36" customHeight="1" x14ac:dyDescent="0.25">
      <c r="A960" s="79">
        <v>1</v>
      </c>
      <c r="B960" s="80">
        <f>SUBTOTAL(103,$A$552:A960)</f>
        <v>363</v>
      </c>
      <c r="C960" s="251" t="s">
        <v>154</v>
      </c>
      <c r="D960" s="233">
        <v>1987</v>
      </c>
      <c r="E960" s="233"/>
      <c r="F960" s="236" t="s">
        <v>275</v>
      </c>
      <c r="G960" s="233">
        <v>3</v>
      </c>
      <c r="H960" s="233" t="s">
        <v>2124</v>
      </c>
      <c r="I960" s="234">
        <v>3554.5</v>
      </c>
      <c r="J960" s="234">
        <v>3554.5</v>
      </c>
      <c r="K960" s="234">
        <v>3220.4</v>
      </c>
      <c r="L960" s="252">
        <v>158</v>
      </c>
      <c r="M960" s="233" t="s">
        <v>254</v>
      </c>
      <c r="N960" s="233" t="s">
        <v>258</v>
      </c>
      <c r="O960" s="233" t="s">
        <v>937</v>
      </c>
      <c r="P960" s="234">
        <v>7815780.1500000004</v>
      </c>
      <c r="Q960" s="78">
        <v>0</v>
      </c>
      <c r="R960" s="234">
        <v>0</v>
      </c>
      <c r="S960" s="234">
        <v>0</v>
      </c>
      <c r="T960" s="234">
        <f>P960-R960-S960</f>
        <v>7815780.1500000004</v>
      </c>
      <c r="U960" s="78">
        <f t="shared" si="62"/>
        <v>2198.8409480939654</v>
      </c>
      <c r="V960" s="78">
        <v>3446.9019440146294</v>
      </c>
    </row>
    <row r="961" spans="1:22" s="79" customFormat="1" ht="36" customHeight="1" x14ac:dyDescent="0.25">
      <c r="B961" s="77" t="s">
        <v>822</v>
      </c>
      <c r="C961" s="77"/>
      <c r="D961" s="233" t="s">
        <v>835</v>
      </c>
      <c r="E961" s="233" t="s">
        <v>835</v>
      </c>
      <c r="F961" s="233" t="s">
        <v>835</v>
      </c>
      <c r="G961" s="233" t="s">
        <v>835</v>
      </c>
      <c r="H961" s="233" t="s">
        <v>835</v>
      </c>
      <c r="I961" s="234">
        <f>I962</f>
        <v>938.37</v>
      </c>
      <c r="J961" s="234">
        <f>J962</f>
        <v>938.37</v>
      </c>
      <c r="K961" s="234">
        <f>K962</f>
        <v>458.1</v>
      </c>
      <c r="L961" s="235">
        <f>L962</f>
        <v>47</v>
      </c>
      <c r="M961" s="233" t="s">
        <v>835</v>
      </c>
      <c r="N961" s="233" t="s">
        <v>835</v>
      </c>
      <c r="O961" s="236" t="s">
        <v>835</v>
      </c>
      <c r="P961" s="241">
        <v>4539478.7399999993</v>
      </c>
      <c r="Q961" s="78">
        <f>Q962</f>
        <v>0</v>
      </c>
      <c r="R961" s="78">
        <f>R962</f>
        <v>0</v>
      </c>
      <c r="S961" s="78">
        <f>S962</f>
        <v>0</v>
      </c>
      <c r="T961" s="78">
        <f>T962</f>
        <v>4539478.7399999993</v>
      </c>
      <c r="U961" s="78">
        <f t="shared" si="62"/>
        <v>4837.6213433933299</v>
      </c>
      <c r="V961" s="78">
        <f>V962</f>
        <v>8011.6236171233113</v>
      </c>
    </row>
    <row r="962" spans="1:22" s="79" customFormat="1" ht="36" customHeight="1" x14ac:dyDescent="0.25">
      <c r="A962" s="79">
        <v>1</v>
      </c>
      <c r="B962" s="80">
        <f>SUBTOTAL(103,$A$552:A962)</f>
        <v>364</v>
      </c>
      <c r="C962" s="77" t="s">
        <v>146</v>
      </c>
      <c r="D962" s="233">
        <v>1979</v>
      </c>
      <c r="E962" s="233"/>
      <c r="F962" s="233" t="s">
        <v>256</v>
      </c>
      <c r="G962" s="233">
        <v>2</v>
      </c>
      <c r="H962" s="233" t="s">
        <v>299</v>
      </c>
      <c r="I962" s="234">
        <v>938.37</v>
      </c>
      <c r="J962" s="234">
        <v>938.37</v>
      </c>
      <c r="K962" s="234">
        <v>458.1</v>
      </c>
      <c r="L962" s="239">
        <v>47</v>
      </c>
      <c r="M962" s="233" t="s">
        <v>254</v>
      </c>
      <c r="N962" s="233" t="s">
        <v>258</v>
      </c>
      <c r="O962" s="236" t="s">
        <v>276</v>
      </c>
      <c r="P962" s="78">
        <v>4539478.7399999993</v>
      </c>
      <c r="Q962" s="78">
        <v>0</v>
      </c>
      <c r="R962" s="78">
        <v>0</v>
      </c>
      <c r="S962" s="78">
        <v>0</v>
      </c>
      <c r="T962" s="78">
        <f>P962-R962-S962</f>
        <v>4539478.7399999993</v>
      </c>
      <c r="U962" s="78">
        <f t="shared" si="62"/>
        <v>4837.6213433933299</v>
      </c>
      <c r="V962" s="78">
        <v>8011.6236171233113</v>
      </c>
    </row>
    <row r="963" spans="1:22" s="79" customFormat="1" ht="36" customHeight="1" x14ac:dyDescent="0.25">
      <c r="B963" s="77" t="s">
        <v>823</v>
      </c>
      <c r="C963" s="77"/>
      <c r="D963" s="233" t="s">
        <v>835</v>
      </c>
      <c r="E963" s="233" t="s">
        <v>835</v>
      </c>
      <c r="F963" s="233" t="s">
        <v>835</v>
      </c>
      <c r="G963" s="233" t="s">
        <v>835</v>
      </c>
      <c r="H963" s="233" t="s">
        <v>835</v>
      </c>
      <c r="I963" s="234">
        <f>SUM(I964:I965)</f>
        <v>2587.6400000000003</v>
      </c>
      <c r="J963" s="234">
        <f>SUM(J964:J965)</f>
        <v>1639.5</v>
      </c>
      <c r="K963" s="234">
        <f>SUM(K964:K965)</f>
        <v>1037.6999999999998</v>
      </c>
      <c r="L963" s="235">
        <f>SUM(L964:L965)</f>
        <v>123</v>
      </c>
      <c r="M963" s="233" t="s">
        <v>835</v>
      </c>
      <c r="N963" s="233" t="s">
        <v>835</v>
      </c>
      <c r="O963" s="236" t="s">
        <v>835</v>
      </c>
      <c r="P963" s="241">
        <v>147928.20000000001</v>
      </c>
      <c r="Q963" s="78">
        <f>SUM(Q964:Q965)</f>
        <v>0</v>
      </c>
      <c r="R963" s="78">
        <f>SUM(R964:R965)</f>
        <v>0</v>
      </c>
      <c r="S963" s="78">
        <f>SUM(S964:S965)</f>
        <v>0</v>
      </c>
      <c r="T963" s="78">
        <f>SUM(T964:T965)</f>
        <v>147928.20000000001</v>
      </c>
      <c r="U963" s="78">
        <f t="shared" si="62"/>
        <v>57.167225734646237</v>
      </c>
      <c r="V963" s="78">
        <f>MAX(V964:V965)</f>
        <v>61.551215832882413</v>
      </c>
    </row>
    <row r="964" spans="1:22" s="23" customFormat="1" ht="36" customHeight="1" x14ac:dyDescent="0.25">
      <c r="A964" s="79">
        <v>1</v>
      </c>
      <c r="B964" s="80">
        <f>SUBTOTAL(103,$A$552:A964)</f>
        <v>365</v>
      </c>
      <c r="C964" s="251" t="s">
        <v>158</v>
      </c>
      <c r="D964" s="233">
        <v>1978</v>
      </c>
      <c r="E964" s="233"/>
      <c r="F964" s="236" t="s">
        <v>256</v>
      </c>
      <c r="G964" s="233">
        <v>2</v>
      </c>
      <c r="H964" s="233" t="s">
        <v>290</v>
      </c>
      <c r="I964" s="234">
        <v>1219.74</v>
      </c>
      <c r="J964" s="234">
        <v>712.8</v>
      </c>
      <c r="K964" s="234">
        <v>712.8</v>
      </c>
      <c r="L964" s="252">
        <v>45</v>
      </c>
      <c r="M964" s="233" t="s">
        <v>254</v>
      </c>
      <c r="N964" s="233" t="s">
        <v>258</v>
      </c>
      <c r="O964" s="233" t="s">
        <v>937</v>
      </c>
      <c r="P964" s="234">
        <v>75076.479999999996</v>
      </c>
      <c r="Q964" s="78">
        <v>0</v>
      </c>
      <c r="R964" s="234">
        <v>0</v>
      </c>
      <c r="S964" s="234">
        <v>0</v>
      </c>
      <c r="T964" s="234">
        <f>P964-R964-S964</f>
        <v>75076.479999999996</v>
      </c>
      <c r="U964" s="78">
        <f t="shared" si="62"/>
        <v>61.551215832882413</v>
      </c>
      <c r="V964" s="81">
        <v>61.551215832882413</v>
      </c>
    </row>
    <row r="965" spans="1:22" s="79" customFormat="1" ht="36" customHeight="1" x14ac:dyDescent="0.25">
      <c r="A965" s="79">
        <v>1</v>
      </c>
      <c r="B965" s="80">
        <f>SUBTOTAL(103,$A$552:A965)</f>
        <v>366</v>
      </c>
      <c r="C965" s="77" t="s">
        <v>151</v>
      </c>
      <c r="D965" s="233">
        <v>1974</v>
      </c>
      <c r="E965" s="233"/>
      <c r="F965" s="233" t="s">
        <v>256</v>
      </c>
      <c r="G965" s="233">
        <v>2</v>
      </c>
      <c r="H965" s="233" t="s">
        <v>291</v>
      </c>
      <c r="I965" s="234">
        <v>1367.9</v>
      </c>
      <c r="J965" s="234">
        <v>926.7</v>
      </c>
      <c r="K965" s="234">
        <v>324.89999999999998</v>
      </c>
      <c r="L965" s="239">
        <v>78</v>
      </c>
      <c r="M965" s="233" t="s">
        <v>254</v>
      </c>
      <c r="N965" s="233" t="s">
        <v>258</v>
      </c>
      <c r="O965" s="236" t="s">
        <v>937</v>
      </c>
      <c r="P965" s="78">
        <v>72851.72</v>
      </c>
      <c r="Q965" s="78">
        <v>0</v>
      </c>
      <c r="R965" s="78">
        <v>0</v>
      </c>
      <c r="S965" s="78">
        <v>0</v>
      </c>
      <c r="T965" s="78">
        <f>P965-R965-S965</f>
        <v>72851.72</v>
      </c>
      <c r="U965" s="78">
        <f t="shared" si="62"/>
        <v>53.258074420644782</v>
      </c>
      <c r="V965" s="81">
        <v>53.258074420644782</v>
      </c>
    </row>
    <row r="966" spans="1:22" s="79" customFormat="1" ht="36" customHeight="1" x14ac:dyDescent="0.25">
      <c r="B966" s="77" t="s">
        <v>795</v>
      </c>
      <c r="C966" s="77"/>
      <c r="D966" s="233" t="s">
        <v>835</v>
      </c>
      <c r="E966" s="233" t="s">
        <v>835</v>
      </c>
      <c r="F966" s="233" t="s">
        <v>835</v>
      </c>
      <c r="G966" s="233" t="s">
        <v>835</v>
      </c>
      <c r="H966" s="233" t="s">
        <v>835</v>
      </c>
      <c r="I966" s="234">
        <f>I967</f>
        <v>676.3</v>
      </c>
      <c r="J966" s="234">
        <f>J967</f>
        <v>633.29999999999995</v>
      </c>
      <c r="K966" s="234">
        <f>K967</f>
        <v>546.79</v>
      </c>
      <c r="L966" s="235">
        <f>L967</f>
        <v>32</v>
      </c>
      <c r="M966" s="233" t="s">
        <v>835</v>
      </c>
      <c r="N966" s="233" t="s">
        <v>835</v>
      </c>
      <c r="O966" s="236" t="s">
        <v>835</v>
      </c>
      <c r="P966" s="241">
        <v>2352260.79</v>
      </c>
      <c r="Q966" s="78">
        <f>Q967</f>
        <v>0</v>
      </c>
      <c r="R966" s="78">
        <f>R967</f>
        <v>0</v>
      </c>
      <c r="S966" s="78">
        <f>S967</f>
        <v>0</v>
      </c>
      <c r="T966" s="78">
        <f>T967</f>
        <v>2352260.79</v>
      </c>
      <c r="U966" s="78">
        <f t="shared" si="62"/>
        <v>3478.1321750702355</v>
      </c>
      <c r="V966" s="78">
        <f>V967</f>
        <v>7348.9436415791815</v>
      </c>
    </row>
    <row r="967" spans="1:22" s="79" customFormat="1" ht="36" customHeight="1" x14ac:dyDescent="0.25">
      <c r="A967" s="79">
        <v>1</v>
      </c>
      <c r="B967" s="80">
        <f>SUBTOTAL(103,$A$552:A967)</f>
        <v>367</v>
      </c>
      <c r="C967" s="77" t="s">
        <v>140</v>
      </c>
      <c r="D967" s="233">
        <v>1965</v>
      </c>
      <c r="E967" s="233"/>
      <c r="F967" s="233" t="s">
        <v>256</v>
      </c>
      <c r="G967" s="233">
        <v>2</v>
      </c>
      <c r="H967" s="233" t="s">
        <v>290</v>
      </c>
      <c r="I967" s="234">
        <v>676.3</v>
      </c>
      <c r="J967" s="234">
        <v>633.29999999999995</v>
      </c>
      <c r="K967" s="234">
        <v>546.79</v>
      </c>
      <c r="L967" s="239">
        <v>32</v>
      </c>
      <c r="M967" s="233" t="s">
        <v>254</v>
      </c>
      <c r="N967" s="233" t="s">
        <v>258</v>
      </c>
      <c r="O967" s="236" t="s">
        <v>276</v>
      </c>
      <c r="P967" s="78">
        <v>2352260.79</v>
      </c>
      <c r="Q967" s="78">
        <v>0</v>
      </c>
      <c r="R967" s="78">
        <v>0</v>
      </c>
      <c r="S967" s="78">
        <v>0</v>
      </c>
      <c r="T967" s="78">
        <f>P967-R967-S967</f>
        <v>2352260.79</v>
      </c>
      <c r="U967" s="78">
        <f t="shared" si="62"/>
        <v>3478.1321750702355</v>
      </c>
      <c r="V967" s="78">
        <v>7348.9436415791815</v>
      </c>
    </row>
    <row r="968" spans="1:22" s="79" customFormat="1" ht="36" customHeight="1" x14ac:dyDescent="0.25">
      <c r="B968" s="77" t="s">
        <v>796</v>
      </c>
      <c r="C968" s="77"/>
      <c r="D968" s="233" t="s">
        <v>835</v>
      </c>
      <c r="E968" s="233" t="s">
        <v>835</v>
      </c>
      <c r="F968" s="233" t="s">
        <v>835</v>
      </c>
      <c r="G968" s="233" t="s">
        <v>835</v>
      </c>
      <c r="H968" s="233" t="s">
        <v>835</v>
      </c>
      <c r="I968" s="234">
        <f>SUM(I969:I971)</f>
        <v>5970.39</v>
      </c>
      <c r="J968" s="234">
        <f>SUM(J969:J971)</f>
        <v>5933</v>
      </c>
      <c r="K968" s="234">
        <f>SUM(K969:K971)</f>
        <v>4027.59</v>
      </c>
      <c r="L968" s="235">
        <f>SUM(L969:L971)</f>
        <v>236</v>
      </c>
      <c r="M968" s="233" t="s">
        <v>835</v>
      </c>
      <c r="N968" s="233" t="s">
        <v>835</v>
      </c>
      <c r="O968" s="236" t="s">
        <v>835</v>
      </c>
      <c r="P968" s="241">
        <v>2721719.48</v>
      </c>
      <c r="Q968" s="78">
        <f>SUM(Q969:Q971)</f>
        <v>0</v>
      </c>
      <c r="R968" s="78">
        <f>SUM(R969:R971)</f>
        <v>0</v>
      </c>
      <c r="S968" s="78">
        <f>SUM(S969:S971)</f>
        <v>0</v>
      </c>
      <c r="T968" s="78">
        <f>SUM(T969:T971)</f>
        <v>2721719.48</v>
      </c>
      <c r="U968" s="78">
        <f t="shared" si="62"/>
        <v>455.86962995717192</v>
      </c>
      <c r="V968" s="78">
        <f>MAX(V969:V971)</f>
        <v>7443.3162862129147</v>
      </c>
    </row>
    <row r="969" spans="1:22" s="79" customFormat="1" ht="36" customHeight="1" x14ac:dyDescent="0.25">
      <c r="A969" s="79">
        <v>1</v>
      </c>
      <c r="B969" s="80">
        <f>SUBTOTAL(103,$A$552:A969)</f>
        <v>368</v>
      </c>
      <c r="C969" s="77" t="s">
        <v>150</v>
      </c>
      <c r="D969" s="233">
        <v>1970</v>
      </c>
      <c r="E969" s="233"/>
      <c r="F969" s="233" t="s">
        <v>256</v>
      </c>
      <c r="G969" s="233" t="s">
        <v>295</v>
      </c>
      <c r="H969" s="233" t="s">
        <v>299</v>
      </c>
      <c r="I969" s="234">
        <v>2208.39</v>
      </c>
      <c r="J969" s="234">
        <v>2171</v>
      </c>
      <c r="K969" s="234">
        <v>446.69</v>
      </c>
      <c r="L969" s="239">
        <v>73</v>
      </c>
      <c r="M969" s="233" t="s">
        <v>254</v>
      </c>
      <c r="N969" s="233" t="s">
        <v>258</v>
      </c>
      <c r="O969" s="236" t="s">
        <v>277</v>
      </c>
      <c r="P969" s="78">
        <v>105919.15</v>
      </c>
      <c r="Q969" s="78">
        <v>0</v>
      </c>
      <c r="R969" s="78">
        <v>0</v>
      </c>
      <c r="S969" s="78">
        <v>0</v>
      </c>
      <c r="T969" s="78">
        <f>P969-R969-S969</f>
        <v>105919.15</v>
      </c>
      <c r="U969" s="78">
        <f t="shared" si="62"/>
        <v>47.9621579521733</v>
      </c>
      <c r="V969" s="81">
        <v>47.9621579521733</v>
      </c>
    </row>
    <row r="970" spans="1:22" s="23" customFormat="1" ht="36" customHeight="1" x14ac:dyDescent="0.25">
      <c r="A970" s="79">
        <v>1</v>
      </c>
      <c r="B970" s="80">
        <f>SUBTOTAL(103,$A$552:A970)</f>
        <v>369</v>
      </c>
      <c r="C970" s="251" t="s">
        <v>1813</v>
      </c>
      <c r="D970" s="233">
        <v>1986</v>
      </c>
      <c r="E970" s="233"/>
      <c r="F970" s="236" t="s">
        <v>256</v>
      </c>
      <c r="G970" s="233">
        <v>5</v>
      </c>
      <c r="H970" s="233" t="s">
        <v>295</v>
      </c>
      <c r="I970" s="234">
        <v>2959.8</v>
      </c>
      <c r="J970" s="234">
        <v>2959.8</v>
      </c>
      <c r="K970" s="234">
        <f>J970-113.1</f>
        <v>2846.7000000000003</v>
      </c>
      <c r="L970" s="252">
        <v>127</v>
      </c>
      <c r="M970" s="233" t="s">
        <v>254</v>
      </c>
      <c r="N970" s="233" t="s">
        <v>258</v>
      </c>
      <c r="O970" s="233" t="s">
        <v>277</v>
      </c>
      <c r="P970" s="234">
        <v>129278.19</v>
      </c>
      <c r="Q970" s="78">
        <v>0</v>
      </c>
      <c r="R970" s="234">
        <v>0</v>
      </c>
      <c r="S970" s="234">
        <v>0</v>
      </c>
      <c r="T970" s="234">
        <f>P970-R970-S970</f>
        <v>129278.19</v>
      </c>
      <c r="U970" s="78">
        <f t="shared" si="62"/>
        <v>43.678015406446377</v>
      </c>
      <c r="V970" s="81">
        <v>43.678015406446377</v>
      </c>
    </row>
    <row r="971" spans="1:22" s="79" customFormat="1" ht="36" customHeight="1" x14ac:dyDescent="0.25">
      <c r="A971" s="79">
        <v>1</v>
      </c>
      <c r="B971" s="80">
        <f>SUBTOTAL(103,$A$552:A971)</f>
        <v>370</v>
      </c>
      <c r="C971" s="77" t="s">
        <v>1218</v>
      </c>
      <c r="D971" s="233">
        <v>1974</v>
      </c>
      <c r="E971" s="233"/>
      <c r="F971" s="233" t="s">
        <v>256</v>
      </c>
      <c r="G971" s="233">
        <v>2</v>
      </c>
      <c r="H971" s="233" t="s">
        <v>290</v>
      </c>
      <c r="I971" s="234">
        <v>802.2</v>
      </c>
      <c r="J971" s="234">
        <v>802.2</v>
      </c>
      <c r="K971" s="234">
        <v>734.2</v>
      </c>
      <c r="L971" s="239">
        <v>36</v>
      </c>
      <c r="M971" s="233" t="s">
        <v>254</v>
      </c>
      <c r="N971" s="233" t="s">
        <v>255</v>
      </c>
      <c r="O971" s="236" t="s">
        <v>257</v>
      </c>
      <c r="P971" s="78">
        <v>2486522.14</v>
      </c>
      <c r="Q971" s="78">
        <v>0</v>
      </c>
      <c r="R971" s="78">
        <v>0</v>
      </c>
      <c r="S971" s="78">
        <v>0</v>
      </c>
      <c r="T971" s="78">
        <f>P971-R971-S971</f>
        <v>2486522.14</v>
      </c>
      <c r="U971" s="78">
        <f t="shared" si="62"/>
        <v>3099.6286960857642</v>
      </c>
      <c r="V971" s="78">
        <v>7443.3162862129147</v>
      </c>
    </row>
    <row r="972" spans="1:22" s="79" customFormat="1" ht="36" customHeight="1" x14ac:dyDescent="0.25">
      <c r="B972" s="77" t="s">
        <v>797</v>
      </c>
      <c r="C972" s="77"/>
      <c r="D972" s="233" t="s">
        <v>835</v>
      </c>
      <c r="E972" s="233" t="s">
        <v>835</v>
      </c>
      <c r="F972" s="233" t="s">
        <v>835</v>
      </c>
      <c r="G972" s="233" t="s">
        <v>835</v>
      </c>
      <c r="H972" s="233" t="s">
        <v>835</v>
      </c>
      <c r="I972" s="234">
        <f>SUM(I973:I976)</f>
        <v>13232.08</v>
      </c>
      <c r="J972" s="234">
        <f>SUM(J973:J976)</f>
        <v>8246.6</v>
      </c>
      <c r="K972" s="234">
        <f>SUM(K973:K976)</f>
        <v>1007.55</v>
      </c>
      <c r="L972" s="235">
        <f>SUM(L973:L976)</f>
        <v>508</v>
      </c>
      <c r="M972" s="233" t="s">
        <v>835</v>
      </c>
      <c r="N972" s="233" t="s">
        <v>835</v>
      </c>
      <c r="O972" s="236" t="s">
        <v>835</v>
      </c>
      <c r="P972" s="237">
        <v>8302059.419999999</v>
      </c>
      <c r="Q972" s="234">
        <f>SUM(Q973:Q976)</f>
        <v>0</v>
      </c>
      <c r="R972" s="234">
        <f>SUM(R973:R976)</f>
        <v>0</v>
      </c>
      <c r="S972" s="234">
        <f>SUM(S973:S976)</f>
        <v>0</v>
      </c>
      <c r="T972" s="234">
        <f>SUM(T973:T976)</f>
        <v>8302059.419999999</v>
      </c>
      <c r="U972" s="78">
        <f t="shared" si="62"/>
        <v>627.41907697051397</v>
      </c>
      <c r="V972" s="78">
        <f>MAX(V973:V976)</f>
        <v>3914.3488714190544</v>
      </c>
    </row>
    <row r="973" spans="1:22" s="79" customFormat="1" ht="36" customHeight="1" x14ac:dyDescent="0.25">
      <c r="A973" s="79">
        <v>1</v>
      </c>
      <c r="B973" s="80">
        <f>SUBTOTAL(103,$A$552:A973)</f>
        <v>371</v>
      </c>
      <c r="C973" s="77" t="s">
        <v>149</v>
      </c>
      <c r="D973" s="233">
        <v>1978</v>
      </c>
      <c r="E973" s="233"/>
      <c r="F973" s="233" t="s">
        <v>256</v>
      </c>
      <c r="G973" s="233">
        <v>2</v>
      </c>
      <c r="H973" s="233" t="s">
        <v>290</v>
      </c>
      <c r="I973" s="234">
        <v>1501</v>
      </c>
      <c r="J973" s="234">
        <v>739.5</v>
      </c>
      <c r="K973" s="234">
        <v>358.85</v>
      </c>
      <c r="L973" s="239">
        <v>42</v>
      </c>
      <c r="M973" s="233" t="s">
        <v>254</v>
      </c>
      <c r="N973" s="233" t="s">
        <v>258</v>
      </c>
      <c r="O973" s="236" t="s">
        <v>282</v>
      </c>
      <c r="P973" s="78">
        <v>4714362.1499999994</v>
      </c>
      <c r="Q973" s="78">
        <v>0</v>
      </c>
      <c r="R973" s="78">
        <v>0</v>
      </c>
      <c r="S973" s="78">
        <v>0</v>
      </c>
      <c r="T973" s="78">
        <f>P973-R973-S973</f>
        <v>4714362.1499999994</v>
      </c>
      <c r="U973" s="78">
        <f t="shared" si="62"/>
        <v>3140.8142238507658</v>
      </c>
      <c r="V973" s="78">
        <v>3914.3488714190544</v>
      </c>
    </row>
    <row r="974" spans="1:22" s="79" customFormat="1" ht="36" customHeight="1" x14ac:dyDescent="0.25">
      <c r="A974" s="79">
        <v>1</v>
      </c>
      <c r="B974" s="80">
        <f>SUBTOTAL(103,$A$552:A974)</f>
        <v>372</v>
      </c>
      <c r="C974" s="77" t="s">
        <v>1176</v>
      </c>
      <c r="D974" s="233">
        <v>1964</v>
      </c>
      <c r="E974" s="233"/>
      <c r="F974" s="233" t="s">
        <v>256</v>
      </c>
      <c r="G974" s="233">
        <v>2</v>
      </c>
      <c r="H974" s="233" t="s">
        <v>295</v>
      </c>
      <c r="I974" s="234">
        <v>768.3</v>
      </c>
      <c r="J974" s="234">
        <v>297</v>
      </c>
      <c r="K974" s="234">
        <v>253.5</v>
      </c>
      <c r="L974" s="239">
        <v>80</v>
      </c>
      <c r="M974" s="233" t="s">
        <v>254</v>
      </c>
      <c r="N974" s="233" t="s">
        <v>258</v>
      </c>
      <c r="O974" s="236" t="s">
        <v>276</v>
      </c>
      <c r="P974" s="78">
        <v>23660.13</v>
      </c>
      <c r="Q974" s="78">
        <v>0</v>
      </c>
      <c r="R974" s="78">
        <v>0</v>
      </c>
      <c r="S974" s="78">
        <v>0</v>
      </c>
      <c r="T974" s="78">
        <f>P974-R974-S974</f>
        <v>23660.13</v>
      </c>
      <c r="U974" s="78">
        <f t="shared" si="62"/>
        <v>30.795431472081223</v>
      </c>
      <c r="V974" s="81">
        <v>30.795431472081223</v>
      </c>
    </row>
    <row r="975" spans="1:22" s="23" customFormat="1" ht="36" customHeight="1" x14ac:dyDescent="0.25">
      <c r="A975" s="79">
        <v>1</v>
      </c>
      <c r="B975" s="80">
        <f>SUBTOTAL(103,$A$552:A975)</f>
        <v>373</v>
      </c>
      <c r="C975" s="251" t="s">
        <v>156</v>
      </c>
      <c r="D975" s="233">
        <v>1985</v>
      </c>
      <c r="E975" s="233"/>
      <c r="F975" s="236" t="s">
        <v>256</v>
      </c>
      <c r="G975" s="233">
        <v>5</v>
      </c>
      <c r="H975" s="233" t="s">
        <v>337</v>
      </c>
      <c r="I975" s="234">
        <v>4844.24</v>
      </c>
      <c r="J975" s="234">
        <v>2814.6</v>
      </c>
      <c r="K975" s="234">
        <v>192.4</v>
      </c>
      <c r="L975" s="252">
        <v>152</v>
      </c>
      <c r="M975" s="233" t="s">
        <v>254</v>
      </c>
      <c r="N975" s="233" t="s">
        <v>258</v>
      </c>
      <c r="O975" s="233" t="s">
        <v>278</v>
      </c>
      <c r="P975" s="234">
        <v>3412382.8</v>
      </c>
      <c r="Q975" s="78">
        <v>0</v>
      </c>
      <c r="R975" s="234">
        <v>0</v>
      </c>
      <c r="S975" s="234">
        <v>0</v>
      </c>
      <c r="T975" s="234">
        <f>P975-R975-S975</f>
        <v>3412382.8</v>
      </c>
      <c r="U975" s="78">
        <f t="shared" si="62"/>
        <v>704.42067279903551</v>
      </c>
      <c r="V975" s="78">
        <v>1398.602668736479</v>
      </c>
    </row>
    <row r="976" spans="1:22" s="23" customFormat="1" ht="36" customHeight="1" x14ac:dyDescent="0.25">
      <c r="A976" s="79">
        <v>1</v>
      </c>
      <c r="B976" s="80">
        <f>SUBTOTAL(103,$A$552:A976)</f>
        <v>374</v>
      </c>
      <c r="C976" s="251" t="s">
        <v>155</v>
      </c>
      <c r="D976" s="233">
        <v>1988</v>
      </c>
      <c r="E976" s="233"/>
      <c r="F976" s="236" t="s">
        <v>256</v>
      </c>
      <c r="G976" s="233">
        <v>5</v>
      </c>
      <c r="H976" s="233" t="s">
        <v>355</v>
      </c>
      <c r="I976" s="234">
        <v>6118.54</v>
      </c>
      <c r="J976" s="234">
        <v>4395.5</v>
      </c>
      <c r="K976" s="234">
        <v>202.8</v>
      </c>
      <c r="L976" s="252">
        <v>234</v>
      </c>
      <c r="M976" s="233" t="s">
        <v>254</v>
      </c>
      <c r="N976" s="233" t="s">
        <v>258</v>
      </c>
      <c r="O976" s="233" t="s">
        <v>278</v>
      </c>
      <c r="P976" s="234">
        <v>151654.34</v>
      </c>
      <c r="Q976" s="78">
        <v>0</v>
      </c>
      <c r="R976" s="234">
        <v>0</v>
      </c>
      <c r="S976" s="234">
        <v>0</v>
      </c>
      <c r="T976" s="234">
        <f>P976-R976-S976</f>
        <v>151654.34</v>
      </c>
      <c r="U976" s="78">
        <f t="shared" si="62"/>
        <v>24.786033923125451</v>
      </c>
      <c r="V976" s="81">
        <v>24.786033923125451</v>
      </c>
    </row>
    <row r="977" spans="1:22" s="79" customFormat="1" ht="36" customHeight="1" x14ac:dyDescent="0.25">
      <c r="B977" s="77" t="s">
        <v>798</v>
      </c>
      <c r="C977" s="77"/>
      <c r="D977" s="233" t="s">
        <v>835</v>
      </c>
      <c r="E977" s="233" t="s">
        <v>835</v>
      </c>
      <c r="F977" s="233" t="s">
        <v>835</v>
      </c>
      <c r="G977" s="233" t="s">
        <v>835</v>
      </c>
      <c r="H977" s="233" t="s">
        <v>835</v>
      </c>
      <c r="I977" s="234">
        <f>SUM(I978:I984)</f>
        <v>24169.11</v>
      </c>
      <c r="J977" s="234">
        <f>SUM(J978:J984)</f>
        <v>19441.37</v>
      </c>
      <c r="K977" s="234">
        <f>SUM(K978:K984)</f>
        <v>16258.310000000001</v>
      </c>
      <c r="L977" s="235">
        <f>SUM(L978:L984)</f>
        <v>990</v>
      </c>
      <c r="M977" s="233" t="s">
        <v>835</v>
      </c>
      <c r="N977" s="233" t="s">
        <v>835</v>
      </c>
      <c r="O977" s="236" t="s">
        <v>835</v>
      </c>
      <c r="P977" s="241">
        <v>26351691.239999998</v>
      </c>
      <c r="Q977" s="78">
        <f>SUM(Q978:Q984)</f>
        <v>0</v>
      </c>
      <c r="R977" s="78">
        <f>SUM(R978:R984)</f>
        <v>0</v>
      </c>
      <c r="S977" s="78">
        <f>SUM(S978:S984)</f>
        <v>0</v>
      </c>
      <c r="T977" s="78">
        <f>SUM(T978:T984)</f>
        <v>26351691.239999998</v>
      </c>
      <c r="U977" s="78">
        <f t="shared" si="62"/>
        <v>1090.3045763786915</v>
      </c>
      <c r="V977" s="78">
        <f>MAX(V978:V984)</f>
        <v>5312.0740416331228</v>
      </c>
    </row>
    <row r="978" spans="1:22" s="79" customFormat="1" ht="36" customHeight="1" x14ac:dyDescent="0.25">
      <c r="A978" s="79">
        <v>1</v>
      </c>
      <c r="B978" s="80">
        <f>SUBTOTAL(103,$A$552:A978)</f>
        <v>375</v>
      </c>
      <c r="C978" s="77" t="s">
        <v>142</v>
      </c>
      <c r="D978" s="233">
        <v>1989</v>
      </c>
      <c r="E978" s="233"/>
      <c r="F978" s="233" t="s">
        <v>275</v>
      </c>
      <c r="G978" s="233">
        <v>5</v>
      </c>
      <c r="H978" s="233" t="s">
        <v>337</v>
      </c>
      <c r="I978" s="234">
        <v>3901.1</v>
      </c>
      <c r="J978" s="234">
        <v>3901.1</v>
      </c>
      <c r="K978" s="234">
        <v>2252.1999999999998</v>
      </c>
      <c r="L978" s="239">
        <v>188</v>
      </c>
      <c r="M978" s="233" t="s">
        <v>254</v>
      </c>
      <c r="N978" s="233" t="s">
        <v>279</v>
      </c>
      <c r="O978" s="236" t="s">
        <v>283</v>
      </c>
      <c r="P978" s="78">
        <v>3146708.2800000003</v>
      </c>
      <c r="Q978" s="78">
        <v>0</v>
      </c>
      <c r="R978" s="78">
        <v>0</v>
      </c>
      <c r="S978" s="78">
        <v>0</v>
      </c>
      <c r="T978" s="78">
        <f t="shared" ref="T978:T984" si="68">P978-R978-S978</f>
        <v>3146708.2800000003</v>
      </c>
      <c r="U978" s="78">
        <f t="shared" si="62"/>
        <v>806.62076850119206</v>
      </c>
      <c r="V978" s="78">
        <v>2228.6314116531235</v>
      </c>
    </row>
    <row r="979" spans="1:22" s="79" customFormat="1" ht="36" customHeight="1" x14ac:dyDescent="0.25">
      <c r="A979" s="79">
        <v>1</v>
      </c>
      <c r="B979" s="80">
        <f>SUBTOTAL(103,$A$552:A979)</f>
        <v>376</v>
      </c>
      <c r="C979" s="77" t="s">
        <v>152</v>
      </c>
      <c r="D979" s="233">
        <v>1975</v>
      </c>
      <c r="E979" s="233"/>
      <c r="F979" s="233" t="s">
        <v>275</v>
      </c>
      <c r="G979" s="233">
        <v>5</v>
      </c>
      <c r="H979" s="233" t="s">
        <v>2123</v>
      </c>
      <c r="I979" s="234">
        <v>8270.9699999999993</v>
      </c>
      <c r="J979" s="234">
        <v>6155.11</v>
      </c>
      <c r="K979" s="234">
        <v>6155.11</v>
      </c>
      <c r="L979" s="239">
        <v>231</v>
      </c>
      <c r="M979" s="233" t="s">
        <v>254</v>
      </c>
      <c r="N979" s="233" t="s">
        <v>258</v>
      </c>
      <c r="O979" s="236" t="s">
        <v>282</v>
      </c>
      <c r="P979" s="78">
        <v>7292390.2700000005</v>
      </c>
      <c r="Q979" s="78">
        <v>0</v>
      </c>
      <c r="R979" s="78">
        <v>0</v>
      </c>
      <c r="S979" s="78">
        <v>0</v>
      </c>
      <c r="T979" s="78">
        <f t="shared" si="68"/>
        <v>7292390.2700000005</v>
      </c>
      <c r="U979" s="78">
        <f t="shared" si="62"/>
        <v>881.68501034340602</v>
      </c>
      <c r="V979" s="78">
        <v>1588.5994556865764</v>
      </c>
    </row>
    <row r="980" spans="1:22" s="23" customFormat="1" ht="36" customHeight="1" x14ac:dyDescent="0.25">
      <c r="A980" s="79">
        <v>1</v>
      </c>
      <c r="B980" s="80">
        <f>SUBTOTAL(103,$A$552:A980)</f>
        <v>377</v>
      </c>
      <c r="C980" s="251" t="s">
        <v>153</v>
      </c>
      <c r="D980" s="233">
        <v>1979</v>
      </c>
      <c r="E980" s="233"/>
      <c r="F980" s="236" t="s">
        <v>256</v>
      </c>
      <c r="G980" s="233">
        <v>2</v>
      </c>
      <c r="H980" s="233" t="s">
        <v>299</v>
      </c>
      <c r="I980" s="234">
        <v>1556.1</v>
      </c>
      <c r="J980" s="234">
        <v>863</v>
      </c>
      <c r="K980" s="234">
        <v>863</v>
      </c>
      <c r="L980" s="252">
        <v>32</v>
      </c>
      <c r="M980" s="233" t="s">
        <v>254</v>
      </c>
      <c r="N980" s="233" t="s">
        <v>258</v>
      </c>
      <c r="O980" s="233" t="s">
        <v>282</v>
      </c>
      <c r="P980" s="234">
        <v>4803024.51</v>
      </c>
      <c r="Q980" s="78">
        <v>0</v>
      </c>
      <c r="R980" s="234">
        <v>0</v>
      </c>
      <c r="S980" s="234">
        <v>0</v>
      </c>
      <c r="T980" s="234">
        <f t="shared" si="68"/>
        <v>4803024.51</v>
      </c>
      <c r="U980" s="78">
        <f t="shared" si="62"/>
        <v>3086.5783111625219</v>
      </c>
      <c r="V980" s="78">
        <v>4616.2772850073916</v>
      </c>
    </row>
    <row r="981" spans="1:22" s="79" customFormat="1" ht="36" customHeight="1" x14ac:dyDescent="0.25">
      <c r="A981" s="79">
        <v>1</v>
      </c>
      <c r="B981" s="80">
        <f>SUBTOTAL(103,$A$552:A981)</f>
        <v>378</v>
      </c>
      <c r="C981" s="77" t="s">
        <v>1179</v>
      </c>
      <c r="D981" s="233">
        <v>1928</v>
      </c>
      <c r="E981" s="233"/>
      <c r="F981" s="233" t="s">
        <v>256</v>
      </c>
      <c r="G981" s="233">
        <v>3</v>
      </c>
      <c r="H981" s="233" t="s">
        <v>299</v>
      </c>
      <c r="I981" s="234">
        <v>1739</v>
      </c>
      <c r="J981" s="234">
        <v>1665.2</v>
      </c>
      <c r="K981" s="234">
        <v>538.29999999999995</v>
      </c>
      <c r="L981" s="239">
        <v>235</v>
      </c>
      <c r="M981" s="233" t="s">
        <v>254</v>
      </c>
      <c r="N981" s="233" t="s">
        <v>258</v>
      </c>
      <c r="O981" s="236" t="s">
        <v>276</v>
      </c>
      <c r="P981" s="78">
        <v>5140591.66</v>
      </c>
      <c r="Q981" s="78">
        <v>0</v>
      </c>
      <c r="R981" s="78">
        <v>0</v>
      </c>
      <c r="S981" s="78">
        <v>0</v>
      </c>
      <c r="T981" s="78">
        <f t="shared" si="68"/>
        <v>5140591.66</v>
      </c>
      <c r="U981" s="78">
        <f t="shared" si="62"/>
        <v>2956.0619091431859</v>
      </c>
      <c r="V981" s="78">
        <v>5312.0740416331228</v>
      </c>
    </row>
    <row r="982" spans="1:22" s="23" customFormat="1" ht="36" customHeight="1" x14ac:dyDescent="0.25">
      <c r="A982" s="79">
        <v>1</v>
      </c>
      <c r="B982" s="80">
        <f>SUBTOTAL(103,$A$552:A982)</f>
        <v>379</v>
      </c>
      <c r="C982" s="251" t="s">
        <v>1818</v>
      </c>
      <c r="D982" s="233">
        <v>1991</v>
      </c>
      <c r="E982" s="233"/>
      <c r="F982" s="236" t="s">
        <v>304</v>
      </c>
      <c r="G982" s="233" t="s">
        <v>337</v>
      </c>
      <c r="H982" s="233" t="s">
        <v>355</v>
      </c>
      <c r="I982" s="234">
        <v>6396.71</v>
      </c>
      <c r="J982" s="234">
        <v>4687.3900000000003</v>
      </c>
      <c r="K982" s="234">
        <v>4687.3900000000003</v>
      </c>
      <c r="L982" s="252">
        <v>185</v>
      </c>
      <c r="M982" s="233" t="s">
        <v>254</v>
      </c>
      <c r="N982" s="233" t="s">
        <v>258</v>
      </c>
      <c r="O982" s="233" t="s">
        <v>282</v>
      </c>
      <c r="P982" s="234">
        <v>5748598.1299999999</v>
      </c>
      <c r="Q982" s="78">
        <v>0</v>
      </c>
      <c r="R982" s="234">
        <v>0</v>
      </c>
      <c r="S982" s="234">
        <v>0</v>
      </c>
      <c r="T982" s="234">
        <f t="shared" si="68"/>
        <v>5748598.1299999999</v>
      </c>
      <c r="U982" s="78">
        <f t="shared" si="62"/>
        <v>898.68043572398938</v>
      </c>
      <c r="V982" s="78">
        <v>1719.1137426583355</v>
      </c>
    </row>
    <row r="983" spans="1:22" s="23" customFormat="1" ht="36" customHeight="1" x14ac:dyDescent="0.25">
      <c r="A983" s="79">
        <v>1</v>
      </c>
      <c r="B983" s="80">
        <f>SUBTOTAL(103,$A$552:A983)</f>
        <v>380</v>
      </c>
      <c r="C983" s="251" t="s">
        <v>2164</v>
      </c>
      <c r="D983" s="233">
        <v>1956</v>
      </c>
      <c r="E983" s="233"/>
      <c r="F983" s="233" t="s">
        <v>256</v>
      </c>
      <c r="G983" s="233">
        <v>2</v>
      </c>
      <c r="H983" s="233">
        <v>2</v>
      </c>
      <c r="I983" s="234">
        <v>586.9</v>
      </c>
      <c r="J983" s="234">
        <v>537.87</v>
      </c>
      <c r="K983" s="234">
        <v>537.87</v>
      </c>
      <c r="L983" s="252">
        <v>34</v>
      </c>
      <c r="M983" s="233" t="s">
        <v>254</v>
      </c>
      <c r="N983" s="233" t="s">
        <v>255</v>
      </c>
      <c r="O983" s="236" t="s">
        <v>257</v>
      </c>
      <c r="P983" s="234">
        <v>70859.63</v>
      </c>
      <c r="Q983" s="78">
        <v>0</v>
      </c>
      <c r="R983" s="234">
        <v>0</v>
      </c>
      <c r="S983" s="234">
        <v>0</v>
      </c>
      <c r="T983" s="234">
        <f t="shared" si="68"/>
        <v>70859.63</v>
      </c>
      <c r="U983" s="78">
        <f t="shared" si="62"/>
        <v>120.73544044982111</v>
      </c>
      <c r="V983" s="81">
        <v>120.73544044982111</v>
      </c>
    </row>
    <row r="984" spans="1:22" s="79" customFormat="1" ht="36" customHeight="1" x14ac:dyDescent="0.25">
      <c r="A984" s="79">
        <v>1</v>
      </c>
      <c r="B984" s="80">
        <f>SUBTOTAL(103,$A$552:A984)</f>
        <v>381</v>
      </c>
      <c r="C984" s="77" t="s">
        <v>144</v>
      </c>
      <c r="D984" s="233">
        <v>1928</v>
      </c>
      <c r="E984" s="233"/>
      <c r="F984" s="233" t="s">
        <v>256</v>
      </c>
      <c r="G984" s="233">
        <v>3</v>
      </c>
      <c r="H984" s="233" t="s">
        <v>295</v>
      </c>
      <c r="I984" s="234">
        <v>1718.33</v>
      </c>
      <c r="J984" s="234">
        <v>1631.7</v>
      </c>
      <c r="K984" s="234">
        <v>1224.44</v>
      </c>
      <c r="L984" s="239">
        <v>85</v>
      </c>
      <c r="M984" s="233" t="s">
        <v>254</v>
      </c>
      <c r="N984" s="233" t="s">
        <v>258</v>
      </c>
      <c r="O984" s="236" t="s">
        <v>284</v>
      </c>
      <c r="P984" s="78">
        <v>149518.76</v>
      </c>
      <c r="Q984" s="78">
        <v>0</v>
      </c>
      <c r="R984" s="78">
        <v>0</v>
      </c>
      <c r="S984" s="78">
        <v>0</v>
      </c>
      <c r="T984" s="78">
        <f t="shared" si="68"/>
        <v>149518.76</v>
      </c>
      <c r="U984" s="78">
        <f t="shared" si="62"/>
        <v>87.013996147422219</v>
      </c>
      <c r="V984" s="81">
        <v>87.013996147422219</v>
      </c>
    </row>
    <row r="985" spans="1:22" s="79" customFormat="1" ht="36" customHeight="1" x14ac:dyDescent="0.25">
      <c r="B985" s="77" t="s">
        <v>799</v>
      </c>
      <c r="C985" s="240"/>
      <c r="D985" s="233" t="s">
        <v>835</v>
      </c>
      <c r="E985" s="233" t="s">
        <v>835</v>
      </c>
      <c r="F985" s="233" t="s">
        <v>835</v>
      </c>
      <c r="G985" s="233" t="s">
        <v>835</v>
      </c>
      <c r="H985" s="233" t="s">
        <v>835</v>
      </c>
      <c r="I985" s="234">
        <f>SUM(I986:I988)</f>
        <v>4721.28</v>
      </c>
      <c r="J985" s="234">
        <f>SUM(J986:J988)</f>
        <v>3756.3999999999996</v>
      </c>
      <c r="K985" s="234">
        <f>SUM(K986:K988)</f>
        <v>3632.2</v>
      </c>
      <c r="L985" s="235">
        <f>SUM(L986:L988)</f>
        <v>152</v>
      </c>
      <c r="M985" s="233" t="s">
        <v>835</v>
      </c>
      <c r="N985" s="233" t="s">
        <v>835</v>
      </c>
      <c r="O985" s="236" t="s">
        <v>835</v>
      </c>
      <c r="P985" s="241">
        <v>2052551.4100000001</v>
      </c>
      <c r="Q985" s="78">
        <f>SUM(Q986:Q988)</f>
        <v>0</v>
      </c>
      <c r="R985" s="78">
        <f>SUM(R986:R988)</f>
        <v>0</v>
      </c>
      <c r="S985" s="78">
        <f>SUM(S986:S988)</f>
        <v>0</v>
      </c>
      <c r="T985" s="78">
        <f>SUM(T986:T988)</f>
        <v>2052551.4100000001</v>
      </c>
      <c r="U985" s="78">
        <f t="shared" si="62"/>
        <v>434.74468999932225</v>
      </c>
      <c r="V985" s="78">
        <f>MAX(V986:V988)</f>
        <v>9734.5674287503916</v>
      </c>
    </row>
    <row r="986" spans="1:22" s="79" customFormat="1" ht="36" customHeight="1" x14ac:dyDescent="0.25">
      <c r="A986" s="79">
        <v>1</v>
      </c>
      <c r="B986" s="80">
        <f>SUBTOTAL(103,$A$552:A986)</f>
        <v>382</v>
      </c>
      <c r="C986" s="77" t="s">
        <v>94</v>
      </c>
      <c r="D986" s="233">
        <v>1967</v>
      </c>
      <c r="E986" s="233"/>
      <c r="F986" s="233" t="s">
        <v>256</v>
      </c>
      <c r="G986" s="233">
        <v>2</v>
      </c>
      <c r="H986" s="233" t="s">
        <v>299</v>
      </c>
      <c r="I986" s="234">
        <v>987</v>
      </c>
      <c r="J986" s="234">
        <v>987</v>
      </c>
      <c r="K986" s="234">
        <v>915.8</v>
      </c>
      <c r="L986" s="239">
        <v>20</v>
      </c>
      <c r="M986" s="233" t="s">
        <v>254</v>
      </c>
      <c r="N986" s="233" t="s">
        <v>258</v>
      </c>
      <c r="O986" s="236" t="s">
        <v>270</v>
      </c>
      <c r="P986" s="78">
        <v>95382.85</v>
      </c>
      <c r="Q986" s="78">
        <v>0</v>
      </c>
      <c r="R986" s="78">
        <v>0</v>
      </c>
      <c r="S986" s="78">
        <v>0</v>
      </c>
      <c r="T986" s="78">
        <f>P986-R986-S986</f>
        <v>95382.85</v>
      </c>
      <c r="U986" s="78">
        <f t="shared" ref="U986:U988" si="69">P986/I986</f>
        <v>96.639159067882474</v>
      </c>
      <c r="V986" s="81">
        <v>96.639159067882474</v>
      </c>
    </row>
    <row r="987" spans="1:22" s="79" customFormat="1" ht="36" customHeight="1" x14ac:dyDescent="0.25">
      <c r="A987" s="79">
        <v>1</v>
      </c>
      <c r="B987" s="80">
        <f>SUBTOTAL(103,$A$552:A987)</f>
        <v>383</v>
      </c>
      <c r="C987" s="77" t="s">
        <v>93</v>
      </c>
      <c r="D987" s="233">
        <v>1971</v>
      </c>
      <c r="E987" s="233"/>
      <c r="F987" s="233" t="s">
        <v>256</v>
      </c>
      <c r="G987" s="233">
        <v>5</v>
      </c>
      <c r="H987" s="233" t="s">
        <v>295</v>
      </c>
      <c r="I987" s="234">
        <v>3414.98</v>
      </c>
      <c r="J987" s="234">
        <v>2564.1999999999998</v>
      </c>
      <c r="K987" s="234">
        <v>2564.1999999999998</v>
      </c>
      <c r="L987" s="239">
        <v>118</v>
      </c>
      <c r="M987" s="233" t="s">
        <v>254</v>
      </c>
      <c r="N987" s="233" t="s">
        <v>258</v>
      </c>
      <c r="O987" s="236" t="s">
        <v>268</v>
      </c>
      <c r="P987" s="78">
        <v>105656.02</v>
      </c>
      <c r="Q987" s="78">
        <v>0</v>
      </c>
      <c r="R987" s="78">
        <v>0</v>
      </c>
      <c r="S987" s="78">
        <v>0</v>
      </c>
      <c r="T987" s="78">
        <f>P987-R987-S987</f>
        <v>105656.02</v>
      </c>
      <c r="U987" s="78">
        <f t="shared" si="69"/>
        <v>30.938986465513707</v>
      </c>
      <c r="V987" s="81">
        <v>30.938986465513707</v>
      </c>
    </row>
    <row r="988" spans="1:22" s="79" customFormat="1" ht="36" customHeight="1" x14ac:dyDescent="0.25">
      <c r="A988" s="79">
        <v>1</v>
      </c>
      <c r="B988" s="80">
        <f>SUBTOTAL(103,$A$552:A988)</f>
        <v>384</v>
      </c>
      <c r="C988" s="77" t="s">
        <v>1185</v>
      </c>
      <c r="D988" s="233">
        <v>1917</v>
      </c>
      <c r="E988" s="233"/>
      <c r="F988" s="233" t="s">
        <v>256</v>
      </c>
      <c r="G988" s="233">
        <v>2</v>
      </c>
      <c r="H988" s="233" t="s">
        <v>291</v>
      </c>
      <c r="I988" s="78">
        <v>319.3</v>
      </c>
      <c r="J988" s="78">
        <v>205.2</v>
      </c>
      <c r="K988" s="78">
        <v>152.19999999999999</v>
      </c>
      <c r="L988" s="239">
        <v>14</v>
      </c>
      <c r="M988" s="233" t="s">
        <v>254</v>
      </c>
      <c r="N988" s="233" t="s">
        <v>255</v>
      </c>
      <c r="O988" s="236" t="s">
        <v>257</v>
      </c>
      <c r="P988" s="78">
        <v>1851512.54</v>
      </c>
      <c r="Q988" s="78">
        <v>0</v>
      </c>
      <c r="R988" s="78">
        <v>0</v>
      </c>
      <c r="S988" s="78">
        <v>0</v>
      </c>
      <c r="T988" s="78">
        <f>P988-R988-S988</f>
        <v>1851512.54</v>
      </c>
      <c r="U988" s="78">
        <f t="shared" si="69"/>
        <v>5798.6612590040713</v>
      </c>
      <c r="V988" s="78">
        <v>9734.5674287503916</v>
      </c>
    </row>
    <row r="989" spans="1:22" s="79" customFormat="1" ht="36" customHeight="1" x14ac:dyDescent="0.25">
      <c r="B989" s="77" t="s">
        <v>800</v>
      </c>
      <c r="C989" s="77"/>
      <c r="D989" s="233" t="s">
        <v>835</v>
      </c>
      <c r="E989" s="233" t="s">
        <v>835</v>
      </c>
      <c r="F989" s="233" t="s">
        <v>835</v>
      </c>
      <c r="G989" s="233" t="s">
        <v>835</v>
      </c>
      <c r="H989" s="233" t="s">
        <v>835</v>
      </c>
      <c r="I989" s="234">
        <f>I990</f>
        <v>708.1</v>
      </c>
      <c r="J989" s="234">
        <f>J990</f>
        <v>708.1</v>
      </c>
      <c r="K989" s="234">
        <f>K990</f>
        <v>650.9</v>
      </c>
      <c r="L989" s="235">
        <f>L990</f>
        <v>42</v>
      </c>
      <c r="M989" s="233" t="s">
        <v>835</v>
      </c>
      <c r="N989" s="233" t="s">
        <v>835</v>
      </c>
      <c r="O989" s="236" t="s">
        <v>835</v>
      </c>
      <c r="P989" s="241">
        <v>3784795.35</v>
      </c>
      <c r="Q989" s="78">
        <f>Q990</f>
        <v>0</v>
      </c>
      <c r="R989" s="78">
        <f>R990</f>
        <v>0</v>
      </c>
      <c r="S989" s="78">
        <f>S990</f>
        <v>0</v>
      </c>
      <c r="T989" s="78">
        <f>T990</f>
        <v>3784795.35</v>
      </c>
      <c r="U989" s="78">
        <f t="shared" ref="U989:U1023" si="70">P989/I989</f>
        <v>5345.0012003954243</v>
      </c>
      <c r="V989" s="78">
        <f>V990</f>
        <v>7772.3444259285425</v>
      </c>
    </row>
    <row r="990" spans="1:22" s="79" customFormat="1" ht="36" customHeight="1" x14ac:dyDescent="0.25">
      <c r="A990" s="79">
        <v>1</v>
      </c>
      <c r="B990" s="80">
        <f>SUBTOTAL(103,$A$552:A990)</f>
        <v>385</v>
      </c>
      <c r="C990" s="77" t="s">
        <v>95</v>
      </c>
      <c r="D990" s="233">
        <v>1969</v>
      </c>
      <c r="E990" s="233"/>
      <c r="F990" s="233" t="s">
        <v>256</v>
      </c>
      <c r="G990" s="233">
        <v>2</v>
      </c>
      <c r="H990" s="233" t="s">
        <v>290</v>
      </c>
      <c r="I990" s="234">
        <v>708.1</v>
      </c>
      <c r="J990" s="234">
        <v>708.1</v>
      </c>
      <c r="K990" s="234">
        <v>650.9</v>
      </c>
      <c r="L990" s="239">
        <v>42</v>
      </c>
      <c r="M990" s="233" t="s">
        <v>254</v>
      </c>
      <c r="N990" s="233" t="s">
        <v>258</v>
      </c>
      <c r="O990" s="236" t="s">
        <v>938</v>
      </c>
      <c r="P990" s="78">
        <v>3784795.35</v>
      </c>
      <c r="Q990" s="78">
        <v>0</v>
      </c>
      <c r="R990" s="78">
        <v>0</v>
      </c>
      <c r="S990" s="78">
        <v>0</v>
      </c>
      <c r="T990" s="78">
        <f>P990-R990-S990</f>
        <v>3784795.35</v>
      </c>
      <c r="U990" s="78">
        <f t="shared" si="70"/>
        <v>5345.0012003954243</v>
      </c>
      <c r="V990" s="78">
        <v>7772.3444259285425</v>
      </c>
    </row>
    <row r="991" spans="1:22" s="79" customFormat="1" ht="36" customHeight="1" x14ac:dyDescent="0.25">
      <c r="B991" s="77" t="s">
        <v>824</v>
      </c>
      <c r="C991" s="77"/>
      <c r="D991" s="233" t="s">
        <v>835</v>
      </c>
      <c r="E991" s="233" t="s">
        <v>835</v>
      </c>
      <c r="F991" s="233" t="s">
        <v>835</v>
      </c>
      <c r="G991" s="233" t="s">
        <v>835</v>
      </c>
      <c r="H991" s="233" t="s">
        <v>835</v>
      </c>
      <c r="I991" s="234">
        <f>I992</f>
        <v>788.3</v>
      </c>
      <c r="J991" s="234">
        <f>J992</f>
        <v>726.9</v>
      </c>
      <c r="K991" s="234">
        <f>K992</f>
        <v>726.9</v>
      </c>
      <c r="L991" s="235">
        <f>L992</f>
        <v>16</v>
      </c>
      <c r="M991" s="233" t="s">
        <v>835</v>
      </c>
      <c r="N991" s="233" t="s">
        <v>835</v>
      </c>
      <c r="O991" s="236" t="s">
        <v>835</v>
      </c>
      <c r="P991" s="241">
        <v>3354785.3899999997</v>
      </c>
      <c r="Q991" s="78">
        <f>Q992</f>
        <v>0</v>
      </c>
      <c r="R991" s="78">
        <f>R992</f>
        <v>0</v>
      </c>
      <c r="S991" s="78">
        <f>S992</f>
        <v>0</v>
      </c>
      <c r="T991" s="78">
        <f>T992</f>
        <v>3354785.3899999997</v>
      </c>
      <c r="U991" s="78">
        <f t="shared" si="70"/>
        <v>4255.721666878092</v>
      </c>
      <c r="V991" s="78">
        <f>V992</f>
        <v>7490.6303285551203</v>
      </c>
    </row>
    <row r="992" spans="1:22" s="79" customFormat="1" ht="36" customHeight="1" x14ac:dyDescent="0.25">
      <c r="A992" s="79">
        <v>1</v>
      </c>
      <c r="B992" s="80">
        <f>SUBTOTAL(103,$A$552:A992)</f>
        <v>386</v>
      </c>
      <c r="C992" s="77" t="s">
        <v>96</v>
      </c>
      <c r="D992" s="233">
        <v>1972</v>
      </c>
      <c r="E992" s="233"/>
      <c r="F992" s="233" t="s">
        <v>256</v>
      </c>
      <c r="G992" s="233">
        <v>2</v>
      </c>
      <c r="H992" s="233" t="s">
        <v>290</v>
      </c>
      <c r="I992" s="234">
        <v>788.3</v>
      </c>
      <c r="J992" s="234">
        <v>726.9</v>
      </c>
      <c r="K992" s="234">
        <v>726.9</v>
      </c>
      <c r="L992" s="239">
        <v>16</v>
      </c>
      <c r="M992" s="233" t="s">
        <v>254</v>
      </c>
      <c r="N992" s="233" t="s">
        <v>271</v>
      </c>
      <c r="O992" s="236" t="s">
        <v>257</v>
      </c>
      <c r="P992" s="78">
        <v>3354785.3899999997</v>
      </c>
      <c r="Q992" s="78">
        <v>0</v>
      </c>
      <c r="R992" s="78">
        <v>0</v>
      </c>
      <c r="S992" s="78">
        <v>0</v>
      </c>
      <c r="T992" s="78">
        <f>P992-R992-S992</f>
        <v>3354785.3899999997</v>
      </c>
      <c r="U992" s="78">
        <f t="shared" si="70"/>
        <v>4255.721666878092</v>
      </c>
      <c r="V992" s="78">
        <v>7490.6303285551203</v>
      </c>
    </row>
    <row r="993" spans="1:22" s="79" customFormat="1" ht="36" customHeight="1" x14ac:dyDescent="0.25">
      <c r="B993" s="77" t="s">
        <v>801</v>
      </c>
      <c r="C993" s="77"/>
      <c r="D993" s="233" t="s">
        <v>835</v>
      </c>
      <c r="E993" s="233" t="s">
        <v>835</v>
      </c>
      <c r="F993" s="233" t="s">
        <v>835</v>
      </c>
      <c r="G993" s="233" t="s">
        <v>835</v>
      </c>
      <c r="H993" s="233" t="s">
        <v>835</v>
      </c>
      <c r="I993" s="234">
        <f>I994</f>
        <v>758.5</v>
      </c>
      <c r="J993" s="234">
        <f>J994</f>
        <v>758.5</v>
      </c>
      <c r="K993" s="234">
        <f>K994</f>
        <v>400</v>
      </c>
      <c r="L993" s="235">
        <f>L994</f>
        <v>31</v>
      </c>
      <c r="M993" s="233" t="s">
        <v>835</v>
      </c>
      <c r="N993" s="233" t="s">
        <v>835</v>
      </c>
      <c r="O993" s="236" t="s">
        <v>835</v>
      </c>
      <c r="P993" s="241">
        <v>163805.13999999998</v>
      </c>
      <c r="Q993" s="78">
        <f>Q994</f>
        <v>0</v>
      </c>
      <c r="R993" s="78">
        <f>R994</f>
        <v>0</v>
      </c>
      <c r="S993" s="78">
        <f>S994</f>
        <v>0</v>
      </c>
      <c r="T993" s="78">
        <f>T994</f>
        <v>163805.13999999998</v>
      </c>
      <c r="U993" s="78">
        <f t="shared" si="70"/>
        <v>215.95931443638759</v>
      </c>
      <c r="V993" s="78">
        <f>V994</f>
        <v>271.14999999999998</v>
      </c>
    </row>
    <row r="994" spans="1:22" s="79" customFormat="1" ht="36" customHeight="1" x14ac:dyDescent="0.25">
      <c r="A994" s="79">
        <v>1</v>
      </c>
      <c r="B994" s="80">
        <f>SUBTOTAL(103,$A$552:A994)</f>
        <v>387</v>
      </c>
      <c r="C994" s="77" t="s">
        <v>1511</v>
      </c>
      <c r="D994" s="233">
        <v>1974</v>
      </c>
      <c r="E994" s="233"/>
      <c r="F994" s="233" t="s">
        <v>1263</v>
      </c>
      <c r="G994" s="233">
        <v>2</v>
      </c>
      <c r="H994" s="233" t="s">
        <v>299</v>
      </c>
      <c r="I994" s="234">
        <v>758.5</v>
      </c>
      <c r="J994" s="234">
        <v>758.5</v>
      </c>
      <c r="K994" s="234">
        <v>400</v>
      </c>
      <c r="L994" s="239">
        <v>31</v>
      </c>
      <c r="M994" s="233" t="s">
        <v>254</v>
      </c>
      <c r="N994" s="233" t="s">
        <v>255</v>
      </c>
      <c r="O994" s="236" t="s">
        <v>257</v>
      </c>
      <c r="P994" s="78">
        <v>163805.13999999998</v>
      </c>
      <c r="Q994" s="78">
        <v>0</v>
      </c>
      <c r="R994" s="78">
        <v>0</v>
      </c>
      <c r="S994" s="78">
        <v>0</v>
      </c>
      <c r="T994" s="78">
        <f>P994-R994-S994</f>
        <v>163805.13999999998</v>
      </c>
      <c r="U994" s="78">
        <f t="shared" si="70"/>
        <v>215.95931443638759</v>
      </c>
      <c r="V994" s="78">
        <v>271.14999999999998</v>
      </c>
    </row>
    <row r="995" spans="1:22" s="79" customFormat="1" ht="36" customHeight="1" x14ac:dyDescent="0.25">
      <c r="B995" s="77" t="s">
        <v>802</v>
      </c>
      <c r="C995" s="77"/>
      <c r="D995" s="233" t="s">
        <v>835</v>
      </c>
      <c r="E995" s="233" t="s">
        <v>835</v>
      </c>
      <c r="F995" s="233" t="s">
        <v>835</v>
      </c>
      <c r="G995" s="233" t="s">
        <v>835</v>
      </c>
      <c r="H995" s="233" t="s">
        <v>835</v>
      </c>
      <c r="I995" s="234">
        <f>I996</f>
        <v>707.1</v>
      </c>
      <c r="J995" s="234">
        <f>J996</f>
        <v>649.5</v>
      </c>
      <c r="K995" s="234">
        <f>K996</f>
        <v>464</v>
      </c>
      <c r="L995" s="235">
        <f>L996</f>
        <v>16</v>
      </c>
      <c r="M995" s="233" t="s">
        <v>835</v>
      </c>
      <c r="N995" s="233" t="s">
        <v>835</v>
      </c>
      <c r="O995" s="236" t="s">
        <v>835</v>
      </c>
      <c r="P995" s="241">
        <v>2903691.31</v>
      </c>
      <c r="Q995" s="78">
        <f>Q996</f>
        <v>0</v>
      </c>
      <c r="R995" s="78">
        <f>R996</f>
        <v>0</v>
      </c>
      <c r="S995" s="78">
        <f>S996</f>
        <v>0</v>
      </c>
      <c r="T995" s="78">
        <f>T996</f>
        <v>2903691.31</v>
      </c>
      <c r="U995" s="78">
        <f t="shared" si="70"/>
        <v>4106.4790128694667</v>
      </c>
      <c r="V995" s="78">
        <f>V996</f>
        <v>8285.2429359355119</v>
      </c>
    </row>
    <row r="996" spans="1:22" s="79" customFormat="1" ht="36" customHeight="1" x14ac:dyDescent="0.25">
      <c r="A996" s="79">
        <v>1</v>
      </c>
      <c r="B996" s="80">
        <f>SUBTOTAL(103,$A$552:A996)</f>
        <v>388</v>
      </c>
      <c r="C996" s="77" t="s">
        <v>97</v>
      </c>
      <c r="D996" s="233">
        <v>1971</v>
      </c>
      <c r="E996" s="233"/>
      <c r="F996" s="233" t="s">
        <v>256</v>
      </c>
      <c r="G996" s="233">
        <v>2</v>
      </c>
      <c r="H996" s="233" t="s">
        <v>290</v>
      </c>
      <c r="I996" s="234">
        <v>707.1</v>
      </c>
      <c r="J996" s="234">
        <v>649.5</v>
      </c>
      <c r="K996" s="234">
        <v>464</v>
      </c>
      <c r="L996" s="239">
        <v>16</v>
      </c>
      <c r="M996" s="233" t="s">
        <v>254</v>
      </c>
      <c r="N996" s="233" t="s">
        <v>258</v>
      </c>
      <c r="O996" s="236" t="s">
        <v>270</v>
      </c>
      <c r="P996" s="78">
        <v>2903691.31</v>
      </c>
      <c r="Q996" s="78">
        <v>0</v>
      </c>
      <c r="R996" s="78">
        <v>0</v>
      </c>
      <c r="S996" s="78">
        <v>0</v>
      </c>
      <c r="T996" s="78">
        <f>P996-R996-S996</f>
        <v>2903691.31</v>
      </c>
      <c r="U996" s="78">
        <f t="shared" si="70"/>
        <v>4106.4790128694667</v>
      </c>
      <c r="V996" s="78">
        <v>8285.2429359355119</v>
      </c>
    </row>
    <row r="997" spans="1:22" s="79" customFormat="1" ht="36" customHeight="1" x14ac:dyDescent="0.25">
      <c r="B997" s="77" t="s">
        <v>803</v>
      </c>
      <c r="C997" s="240"/>
      <c r="D997" s="233" t="s">
        <v>835</v>
      </c>
      <c r="E997" s="233" t="s">
        <v>835</v>
      </c>
      <c r="F997" s="233" t="s">
        <v>835</v>
      </c>
      <c r="G997" s="233" t="s">
        <v>835</v>
      </c>
      <c r="H997" s="233" t="s">
        <v>835</v>
      </c>
      <c r="I997" s="234">
        <f>SUM(I998:I1002)</f>
        <v>4001.3</v>
      </c>
      <c r="J997" s="234">
        <f>SUM(J998:J1002)</f>
        <v>3229.2999999999997</v>
      </c>
      <c r="K997" s="234">
        <f>SUM(K998:K1002)</f>
        <v>2888.5</v>
      </c>
      <c r="L997" s="235">
        <f>SUM(L998:L1002)</f>
        <v>145</v>
      </c>
      <c r="M997" s="233" t="s">
        <v>835</v>
      </c>
      <c r="N997" s="233" t="s">
        <v>835</v>
      </c>
      <c r="O997" s="236" t="s">
        <v>835</v>
      </c>
      <c r="P997" s="241">
        <v>5215743.3599999994</v>
      </c>
      <c r="Q997" s="78">
        <f>SUM(Q998:Q1002)</f>
        <v>0</v>
      </c>
      <c r="R997" s="78">
        <f>SUM(R998:R1002)</f>
        <v>0</v>
      </c>
      <c r="S997" s="78">
        <f>SUM(S998:S1002)</f>
        <v>0</v>
      </c>
      <c r="T997" s="78">
        <f>SUM(T998:T1002)</f>
        <v>5215743.3599999994</v>
      </c>
      <c r="U997" s="78">
        <f t="shared" si="70"/>
        <v>1303.5121985354758</v>
      </c>
      <c r="V997" s="78">
        <f>MAX(V998:V1002)</f>
        <v>5486.6033592782969</v>
      </c>
    </row>
    <row r="998" spans="1:22" s="79" customFormat="1" ht="36" customHeight="1" x14ac:dyDescent="0.25">
      <c r="A998" s="79">
        <v>1</v>
      </c>
      <c r="B998" s="80">
        <f>SUBTOTAL(103,$A$552:A998)</f>
        <v>389</v>
      </c>
      <c r="C998" s="77" t="s">
        <v>180</v>
      </c>
      <c r="D998" s="233" t="s">
        <v>296</v>
      </c>
      <c r="E998" s="233"/>
      <c r="F998" s="233" t="s">
        <v>256</v>
      </c>
      <c r="G998" s="233" t="s">
        <v>290</v>
      </c>
      <c r="H998" s="233" t="s">
        <v>290</v>
      </c>
      <c r="I998" s="234">
        <v>953.3</v>
      </c>
      <c r="J998" s="234">
        <v>668.7</v>
      </c>
      <c r="K998" s="234">
        <v>542.29999999999995</v>
      </c>
      <c r="L998" s="239">
        <v>31</v>
      </c>
      <c r="M998" s="233" t="s">
        <v>254</v>
      </c>
      <c r="N998" s="233" t="s">
        <v>255</v>
      </c>
      <c r="O998" s="236" t="s">
        <v>257</v>
      </c>
      <c r="P998" s="78">
        <v>2426773.7500000005</v>
      </c>
      <c r="Q998" s="78">
        <v>0</v>
      </c>
      <c r="R998" s="78">
        <v>0</v>
      </c>
      <c r="S998" s="78">
        <v>0</v>
      </c>
      <c r="T998" s="78">
        <f>P998-R998-S998</f>
        <v>2426773.7500000005</v>
      </c>
      <c r="U998" s="78">
        <f t="shared" si="70"/>
        <v>2545.6558795762094</v>
      </c>
      <c r="V998" s="78">
        <v>5486.6033592782969</v>
      </c>
    </row>
    <row r="999" spans="1:22" s="79" customFormat="1" ht="36" customHeight="1" x14ac:dyDescent="0.25">
      <c r="A999" s="79">
        <v>1</v>
      </c>
      <c r="B999" s="80">
        <f>SUBTOTAL(103,$A$552:A999)</f>
        <v>390</v>
      </c>
      <c r="C999" s="77" t="s">
        <v>182</v>
      </c>
      <c r="D999" s="233" t="s">
        <v>294</v>
      </c>
      <c r="E999" s="233"/>
      <c r="F999" s="233" t="s">
        <v>304</v>
      </c>
      <c r="G999" s="233" t="s">
        <v>290</v>
      </c>
      <c r="H999" s="233" t="s">
        <v>290</v>
      </c>
      <c r="I999" s="234">
        <v>1058.5999999999999</v>
      </c>
      <c r="J999" s="234">
        <v>653.79999999999995</v>
      </c>
      <c r="K999" s="234">
        <v>608.29999999999995</v>
      </c>
      <c r="L999" s="239">
        <v>42</v>
      </c>
      <c r="M999" s="233" t="s">
        <v>254</v>
      </c>
      <c r="N999" s="233" t="s">
        <v>255</v>
      </c>
      <c r="O999" s="236" t="s">
        <v>257</v>
      </c>
      <c r="P999" s="78">
        <v>2025661.5499999998</v>
      </c>
      <c r="Q999" s="78">
        <v>0</v>
      </c>
      <c r="R999" s="78">
        <v>0</v>
      </c>
      <c r="S999" s="78">
        <v>0</v>
      </c>
      <c r="T999" s="78">
        <f>P999-R999-S999</f>
        <v>2025661.5499999998</v>
      </c>
      <c r="U999" s="78">
        <f t="shared" si="70"/>
        <v>1913.5287644058189</v>
      </c>
      <c r="V999" s="78">
        <v>4594.5181782542986</v>
      </c>
    </row>
    <row r="1000" spans="1:22" s="79" customFormat="1" ht="36" customHeight="1" x14ac:dyDescent="0.25">
      <c r="A1000" s="79">
        <v>1</v>
      </c>
      <c r="B1000" s="80">
        <f>SUBTOTAL(103,$A$552:A1000)</f>
        <v>391</v>
      </c>
      <c r="C1000" s="77" t="s">
        <v>1192</v>
      </c>
      <c r="D1000" s="233">
        <v>1967</v>
      </c>
      <c r="E1000" s="233">
        <v>2014</v>
      </c>
      <c r="F1000" s="233" t="s">
        <v>256</v>
      </c>
      <c r="G1000" s="233">
        <v>2</v>
      </c>
      <c r="H1000" s="233" t="s">
        <v>295</v>
      </c>
      <c r="I1000" s="78">
        <v>925.4</v>
      </c>
      <c r="J1000" s="78">
        <v>925</v>
      </c>
      <c r="K1000" s="78">
        <v>759.4</v>
      </c>
      <c r="L1000" s="239">
        <v>28</v>
      </c>
      <c r="M1000" s="233" t="s">
        <v>254</v>
      </c>
      <c r="N1000" s="233" t="s">
        <v>258</v>
      </c>
      <c r="O1000" s="236" t="s">
        <v>1269</v>
      </c>
      <c r="P1000" s="78">
        <v>638882.93999999994</v>
      </c>
      <c r="Q1000" s="78">
        <v>0</v>
      </c>
      <c r="R1000" s="78">
        <v>0</v>
      </c>
      <c r="S1000" s="78">
        <v>0</v>
      </c>
      <c r="T1000" s="78">
        <f>P1000-R1000-S1000</f>
        <v>638882.93999999994</v>
      </c>
      <c r="U1000" s="78">
        <f t="shared" si="70"/>
        <v>690.38571428571424</v>
      </c>
      <c r="V1000" s="78">
        <v>810.46</v>
      </c>
    </row>
    <row r="1001" spans="1:22" s="23" customFormat="1" ht="36" customHeight="1" x14ac:dyDescent="0.25">
      <c r="A1001" s="79">
        <v>1</v>
      </c>
      <c r="B1001" s="80">
        <f>SUBTOTAL(103,$A$552:A1001)</f>
        <v>392</v>
      </c>
      <c r="C1001" s="251" t="s">
        <v>186</v>
      </c>
      <c r="D1001" s="233" t="s">
        <v>301</v>
      </c>
      <c r="E1001" s="233"/>
      <c r="F1001" s="236" t="s">
        <v>304</v>
      </c>
      <c r="G1001" s="233" t="s">
        <v>299</v>
      </c>
      <c r="H1001" s="233" t="s">
        <v>291</v>
      </c>
      <c r="I1001" s="234">
        <v>533.70000000000005</v>
      </c>
      <c r="J1001" s="234">
        <v>492.1</v>
      </c>
      <c r="K1001" s="234">
        <v>488.8</v>
      </c>
      <c r="L1001" s="252">
        <v>13</v>
      </c>
      <c r="M1001" s="233" t="s">
        <v>254</v>
      </c>
      <c r="N1001" s="233" t="s">
        <v>255</v>
      </c>
      <c r="O1001" s="233" t="s">
        <v>257</v>
      </c>
      <c r="P1001" s="234">
        <v>58730.77</v>
      </c>
      <c r="Q1001" s="78">
        <v>0</v>
      </c>
      <c r="R1001" s="234">
        <v>0</v>
      </c>
      <c r="S1001" s="234">
        <v>0</v>
      </c>
      <c r="T1001" s="234">
        <f>P1001-R1001-S1001</f>
        <v>58730.77</v>
      </c>
      <c r="U1001" s="78">
        <f t="shared" si="70"/>
        <v>110.04453813003559</v>
      </c>
      <c r="V1001" s="81">
        <v>110.04453813003559</v>
      </c>
    </row>
    <row r="1002" spans="1:22" s="23" customFormat="1" ht="36" customHeight="1" x14ac:dyDescent="0.25">
      <c r="A1002" s="79">
        <v>1</v>
      </c>
      <c r="B1002" s="80">
        <f>SUBTOTAL(103,$A$552:A1002)</f>
        <v>393</v>
      </c>
      <c r="C1002" s="251" t="s">
        <v>187</v>
      </c>
      <c r="D1002" s="233">
        <v>1971</v>
      </c>
      <c r="E1002" s="233"/>
      <c r="F1002" s="236" t="s">
        <v>304</v>
      </c>
      <c r="G1002" s="233" t="s">
        <v>299</v>
      </c>
      <c r="H1002" s="233" t="s">
        <v>291</v>
      </c>
      <c r="I1002" s="234">
        <v>530.29999999999995</v>
      </c>
      <c r="J1002" s="234">
        <v>489.7</v>
      </c>
      <c r="K1002" s="234">
        <v>489.7</v>
      </c>
      <c r="L1002" s="252">
        <v>31</v>
      </c>
      <c r="M1002" s="233" t="s">
        <v>254</v>
      </c>
      <c r="N1002" s="233" t="s">
        <v>255</v>
      </c>
      <c r="O1002" s="233" t="s">
        <v>257</v>
      </c>
      <c r="P1002" s="234">
        <v>65694.350000000006</v>
      </c>
      <c r="Q1002" s="78">
        <v>0</v>
      </c>
      <c r="R1002" s="234">
        <v>0</v>
      </c>
      <c r="S1002" s="234">
        <v>0</v>
      </c>
      <c r="T1002" s="234">
        <f>P1002-R1002-S1002</f>
        <v>65694.350000000006</v>
      </c>
      <c r="U1002" s="78">
        <f t="shared" si="70"/>
        <v>123.8814821798982</v>
      </c>
      <c r="V1002" s="81">
        <v>123.8814821798982</v>
      </c>
    </row>
    <row r="1003" spans="1:22" s="79" customFormat="1" ht="36" customHeight="1" x14ac:dyDescent="0.25">
      <c r="B1003" s="77" t="s">
        <v>804</v>
      </c>
      <c r="C1003" s="77"/>
      <c r="D1003" s="233" t="s">
        <v>835</v>
      </c>
      <c r="E1003" s="233" t="s">
        <v>835</v>
      </c>
      <c r="F1003" s="233" t="s">
        <v>835</v>
      </c>
      <c r="G1003" s="233" t="s">
        <v>835</v>
      </c>
      <c r="H1003" s="233" t="s">
        <v>835</v>
      </c>
      <c r="I1003" s="234">
        <f>I1004</f>
        <v>1492</v>
      </c>
      <c r="J1003" s="234">
        <f>J1004</f>
        <v>1369.9</v>
      </c>
      <c r="K1003" s="234">
        <f>K1004</f>
        <v>1369.9</v>
      </c>
      <c r="L1003" s="235">
        <f>L1004</f>
        <v>70</v>
      </c>
      <c r="M1003" s="233" t="s">
        <v>835</v>
      </c>
      <c r="N1003" s="233" t="s">
        <v>835</v>
      </c>
      <c r="O1003" s="236" t="s">
        <v>835</v>
      </c>
      <c r="P1003" s="241">
        <v>68452.92</v>
      </c>
      <c r="Q1003" s="78">
        <f>Q1004</f>
        <v>0</v>
      </c>
      <c r="R1003" s="78">
        <f>R1004</f>
        <v>0</v>
      </c>
      <c r="S1003" s="78">
        <f>S1004</f>
        <v>0</v>
      </c>
      <c r="T1003" s="78">
        <f>T1004</f>
        <v>68452.92</v>
      </c>
      <c r="U1003" s="78">
        <f>P1003/I1003</f>
        <v>45.879973190348522</v>
      </c>
      <c r="V1003" s="78">
        <f>V1004</f>
        <v>45.879973190348522</v>
      </c>
    </row>
    <row r="1004" spans="1:22" s="79" customFormat="1" ht="36" customHeight="1" x14ac:dyDescent="0.25">
      <c r="A1004" s="79">
        <v>1</v>
      </c>
      <c r="B1004" s="80">
        <f>SUBTOTAL(103,$A$552:A1004)</f>
        <v>394</v>
      </c>
      <c r="C1004" s="77" t="s">
        <v>2153</v>
      </c>
      <c r="D1004" s="233">
        <v>1982</v>
      </c>
      <c r="E1004" s="233"/>
      <c r="F1004" s="233" t="s">
        <v>304</v>
      </c>
      <c r="G1004" s="233">
        <v>3</v>
      </c>
      <c r="H1004" s="233" t="s">
        <v>299</v>
      </c>
      <c r="I1004" s="234">
        <v>1492</v>
      </c>
      <c r="J1004" s="234">
        <v>1369.9</v>
      </c>
      <c r="K1004" s="234">
        <v>1369.9</v>
      </c>
      <c r="L1004" s="239">
        <v>70</v>
      </c>
      <c r="M1004" s="233" t="s">
        <v>254</v>
      </c>
      <c r="N1004" s="233" t="s">
        <v>255</v>
      </c>
      <c r="O1004" s="236" t="s">
        <v>257</v>
      </c>
      <c r="P1004" s="78">
        <v>68452.92</v>
      </c>
      <c r="Q1004" s="78">
        <v>0</v>
      </c>
      <c r="R1004" s="78">
        <v>0</v>
      </c>
      <c r="S1004" s="78">
        <v>0</v>
      </c>
      <c r="T1004" s="78">
        <f>P1004-R1004-S1004</f>
        <v>68452.92</v>
      </c>
      <c r="U1004" s="78">
        <f t="shared" ref="U1004" si="71">P1004/I1004</f>
        <v>45.879973190348522</v>
      </c>
      <c r="V1004" s="78">
        <v>45.879973190348522</v>
      </c>
    </row>
    <row r="1005" spans="1:22" s="79" customFormat="1" ht="36" customHeight="1" x14ac:dyDescent="0.25">
      <c r="B1005" s="77" t="s">
        <v>805</v>
      </c>
      <c r="C1005" s="77"/>
      <c r="D1005" s="233" t="s">
        <v>835</v>
      </c>
      <c r="E1005" s="233" t="s">
        <v>835</v>
      </c>
      <c r="F1005" s="233" t="s">
        <v>835</v>
      </c>
      <c r="G1005" s="233" t="s">
        <v>835</v>
      </c>
      <c r="H1005" s="233" t="s">
        <v>835</v>
      </c>
      <c r="I1005" s="234">
        <f>I1006</f>
        <v>834.7</v>
      </c>
      <c r="J1005" s="234">
        <f>J1006</f>
        <v>476.3</v>
      </c>
      <c r="K1005" s="234">
        <f>K1006</f>
        <v>476.3</v>
      </c>
      <c r="L1005" s="235">
        <f>L1006</f>
        <v>56</v>
      </c>
      <c r="M1005" s="233" t="s">
        <v>835</v>
      </c>
      <c r="N1005" s="233" t="s">
        <v>835</v>
      </c>
      <c r="O1005" s="236" t="s">
        <v>835</v>
      </c>
      <c r="P1005" s="241">
        <v>3897762.39</v>
      </c>
      <c r="Q1005" s="78">
        <f>Q1006</f>
        <v>0</v>
      </c>
      <c r="R1005" s="78">
        <f>R1006</f>
        <v>0</v>
      </c>
      <c r="S1005" s="78">
        <f>S1006</f>
        <v>0</v>
      </c>
      <c r="T1005" s="78">
        <f>T1006</f>
        <v>3897762.39</v>
      </c>
      <c r="U1005" s="78">
        <f t="shared" si="70"/>
        <v>4669.6566311249553</v>
      </c>
      <c r="V1005" s="78">
        <f>V1006</f>
        <v>45.879973190348522</v>
      </c>
    </row>
    <row r="1006" spans="1:22" s="79" customFormat="1" ht="36" customHeight="1" x14ac:dyDescent="0.25">
      <c r="A1006" s="79">
        <v>1</v>
      </c>
      <c r="B1006" s="80">
        <f>SUBTOTAL(103,$A$552:A1006)</f>
        <v>395</v>
      </c>
      <c r="C1006" s="77" t="s">
        <v>184</v>
      </c>
      <c r="D1006" s="233" t="s">
        <v>297</v>
      </c>
      <c r="E1006" s="233"/>
      <c r="F1006" s="233" t="s">
        <v>298</v>
      </c>
      <c r="G1006" s="233" t="s">
        <v>290</v>
      </c>
      <c r="H1006" s="233" t="s">
        <v>299</v>
      </c>
      <c r="I1006" s="234">
        <v>834.7</v>
      </c>
      <c r="J1006" s="234">
        <v>476.3</v>
      </c>
      <c r="K1006" s="234">
        <v>476.3</v>
      </c>
      <c r="L1006" s="239">
        <v>56</v>
      </c>
      <c r="M1006" s="233" t="s">
        <v>254</v>
      </c>
      <c r="N1006" s="233" t="s">
        <v>255</v>
      </c>
      <c r="O1006" s="236" t="s">
        <v>257</v>
      </c>
      <c r="P1006" s="78">
        <v>3897762.39</v>
      </c>
      <c r="Q1006" s="78">
        <v>0</v>
      </c>
      <c r="R1006" s="78">
        <v>0</v>
      </c>
      <c r="S1006" s="78">
        <v>0</v>
      </c>
      <c r="T1006" s="78">
        <f>P1006-R1006-S1006</f>
        <v>3897762.39</v>
      </c>
      <c r="U1006" s="78">
        <f t="shared" si="70"/>
        <v>4669.6566311249553</v>
      </c>
      <c r="V1006" s="78">
        <v>45.879973190348522</v>
      </c>
    </row>
    <row r="1007" spans="1:22" s="79" customFormat="1" ht="36" customHeight="1" x14ac:dyDescent="0.25">
      <c r="B1007" s="77" t="s">
        <v>806</v>
      </c>
      <c r="C1007" s="77"/>
      <c r="D1007" s="233" t="s">
        <v>835</v>
      </c>
      <c r="E1007" s="233" t="s">
        <v>835</v>
      </c>
      <c r="F1007" s="233" t="s">
        <v>835</v>
      </c>
      <c r="G1007" s="233" t="s">
        <v>835</v>
      </c>
      <c r="H1007" s="233" t="s">
        <v>835</v>
      </c>
      <c r="I1007" s="234">
        <f>I1008</f>
        <v>350.9</v>
      </c>
      <c r="J1007" s="234">
        <f>J1008</f>
        <v>350.9</v>
      </c>
      <c r="K1007" s="234">
        <f>K1008</f>
        <v>266.79999999999995</v>
      </c>
      <c r="L1007" s="235">
        <f>L1008</f>
        <v>18</v>
      </c>
      <c r="M1007" s="233" t="s">
        <v>835</v>
      </c>
      <c r="N1007" s="233" t="s">
        <v>835</v>
      </c>
      <c r="O1007" s="236" t="s">
        <v>835</v>
      </c>
      <c r="P1007" s="241">
        <v>2331009.67</v>
      </c>
      <c r="Q1007" s="78">
        <f>Q1008</f>
        <v>0</v>
      </c>
      <c r="R1007" s="78">
        <f>R1008</f>
        <v>0</v>
      </c>
      <c r="S1007" s="78">
        <f>S1008</f>
        <v>0</v>
      </c>
      <c r="T1007" s="78">
        <f>T1008</f>
        <v>2331009.67</v>
      </c>
      <c r="U1007" s="78">
        <f t="shared" si="70"/>
        <v>6642.9457680250789</v>
      </c>
      <c r="V1007" s="78">
        <f>V1008</f>
        <v>7620.5242382445149</v>
      </c>
    </row>
    <row r="1008" spans="1:22" s="79" customFormat="1" ht="36" customHeight="1" x14ac:dyDescent="0.25">
      <c r="A1008" s="79">
        <v>1</v>
      </c>
      <c r="B1008" s="80">
        <f>SUBTOTAL(103,$A$552:A1008)</f>
        <v>396</v>
      </c>
      <c r="C1008" s="77" t="s">
        <v>740</v>
      </c>
      <c r="D1008" s="233">
        <v>1930</v>
      </c>
      <c r="E1008" s="233"/>
      <c r="F1008" s="233" t="s">
        <v>256</v>
      </c>
      <c r="G1008" s="233">
        <v>2</v>
      </c>
      <c r="H1008" s="233" t="s">
        <v>291</v>
      </c>
      <c r="I1008" s="234">
        <v>350.9</v>
      </c>
      <c r="J1008" s="234">
        <v>350.9</v>
      </c>
      <c r="K1008" s="234">
        <v>266.79999999999995</v>
      </c>
      <c r="L1008" s="239">
        <v>18</v>
      </c>
      <c r="M1008" s="233" t="s">
        <v>254</v>
      </c>
      <c r="N1008" s="233" t="s">
        <v>255</v>
      </c>
      <c r="O1008" s="236" t="s">
        <v>257</v>
      </c>
      <c r="P1008" s="78">
        <v>2331009.67</v>
      </c>
      <c r="Q1008" s="78">
        <v>0</v>
      </c>
      <c r="R1008" s="78">
        <v>0</v>
      </c>
      <c r="S1008" s="78">
        <v>0</v>
      </c>
      <c r="T1008" s="78">
        <f>P1008-R1008-S1008</f>
        <v>2331009.67</v>
      </c>
      <c r="U1008" s="78">
        <f t="shared" si="70"/>
        <v>6642.9457680250789</v>
      </c>
      <c r="V1008" s="78">
        <v>7620.5242382445149</v>
      </c>
    </row>
    <row r="1009" spans="1:22" s="79" customFormat="1" ht="36" customHeight="1" x14ac:dyDescent="0.25">
      <c r="B1009" s="77" t="s">
        <v>807</v>
      </c>
      <c r="C1009" s="240"/>
      <c r="D1009" s="233" t="s">
        <v>835</v>
      </c>
      <c r="E1009" s="233" t="s">
        <v>835</v>
      </c>
      <c r="F1009" s="233" t="s">
        <v>835</v>
      </c>
      <c r="G1009" s="233" t="s">
        <v>835</v>
      </c>
      <c r="H1009" s="233" t="s">
        <v>835</v>
      </c>
      <c r="I1009" s="234">
        <f>SUM(I1010:I1015)</f>
        <v>6192.18</v>
      </c>
      <c r="J1009" s="234">
        <f>SUM(J1010:J1015)</f>
        <v>5216.08</v>
      </c>
      <c r="K1009" s="234">
        <f>SUM(K1010:K1015)</f>
        <v>4834.8999999999996</v>
      </c>
      <c r="L1009" s="235">
        <f>SUM(L1010:L1015)</f>
        <v>315</v>
      </c>
      <c r="M1009" s="233" t="s">
        <v>835</v>
      </c>
      <c r="N1009" s="233" t="s">
        <v>835</v>
      </c>
      <c r="O1009" s="236" t="s">
        <v>835</v>
      </c>
      <c r="P1009" s="241">
        <v>6143252.4500000002</v>
      </c>
      <c r="Q1009" s="78">
        <f>SUM(Q1010:Q1015)</f>
        <v>0</v>
      </c>
      <c r="R1009" s="78">
        <f>SUM(R1010:R1015)</f>
        <v>0</v>
      </c>
      <c r="S1009" s="78">
        <f>SUM(S1010:S1015)</f>
        <v>0</v>
      </c>
      <c r="T1009" s="78">
        <f>SUM(T1010:T1015)</f>
        <v>6143252.4500000002</v>
      </c>
      <c r="U1009" s="78">
        <f t="shared" si="70"/>
        <v>992.09849358384281</v>
      </c>
      <c r="V1009" s="78">
        <f>MAX(V1010:V1015)</f>
        <v>7210.8352945570978</v>
      </c>
    </row>
    <row r="1010" spans="1:22" s="79" customFormat="1" ht="36" customHeight="1" x14ac:dyDescent="0.25">
      <c r="A1010" s="79">
        <v>1</v>
      </c>
      <c r="B1010" s="80">
        <f>SUBTOTAL(103,$A$552:A1010)</f>
        <v>397</v>
      </c>
      <c r="C1010" s="77" t="s">
        <v>201</v>
      </c>
      <c r="D1010" s="233">
        <v>1974</v>
      </c>
      <c r="E1010" s="233"/>
      <c r="F1010" s="233" t="s">
        <v>256</v>
      </c>
      <c r="G1010" s="233">
        <v>2</v>
      </c>
      <c r="H1010" s="233" t="s">
        <v>290</v>
      </c>
      <c r="I1010" s="234">
        <v>749.6</v>
      </c>
      <c r="J1010" s="234">
        <v>685.4</v>
      </c>
      <c r="K1010" s="234">
        <v>685.4</v>
      </c>
      <c r="L1010" s="239">
        <v>36</v>
      </c>
      <c r="M1010" s="233" t="s">
        <v>254</v>
      </c>
      <c r="N1010" s="233" t="s">
        <v>258</v>
      </c>
      <c r="O1010" s="236" t="s">
        <v>318</v>
      </c>
      <c r="P1010" s="78">
        <v>2703387.9099999997</v>
      </c>
      <c r="Q1010" s="78">
        <v>0</v>
      </c>
      <c r="R1010" s="78">
        <v>0</v>
      </c>
      <c r="S1010" s="78">
        <v>0</v>
      </c>
      <c r="T1010" s="78">
        <f>P1010-R1010-S1010</f>
        <v>2703387.9099999997</v>
      </c>
      <c r="U1010" s="78">
        <f t="shared" si="70"/>
        <v>3606.4406483457838</v>
      </c>
      <c r="V1010" s="78">
        <v>7210.8352945570978</v>
      </c>
    </row>
    <row r="1011" spans="1:22" s="79" customFormat="1" ht="36" customHeight="1" x14ac:dyDescent="0.25">
      <c r="A1011" s="79">
        <v>1</v>
      </c>
      <c r="B1011" s="80">
        <f>SUBTOTAL(103,$A$552:A1011)</f>
        <v>398</v>
      </c>
      <c r="C1011" s="77" t="s">
        <v>206</v>
      </c>
      <c r="D1011" s="233">
        <v>1992</v>
      </c>
      <c r="E1011" s="233"/>
      <c r="F1011" s="233" t="s">
        <v>298</v>
      </c>
      <c r="G1011" s="233">
        <v>2</v>
      </c>
      <c r="H1011" s="233" t="s">
        <v>290</v>
      </c>
      <c r="I1011" s="78">
        <v>690.3</v>
      </c>
      <c r="J1011" s="78">
        <v>630.29999999999995</v>
      </c>
      <c r="K1011" s="78">
        <v>630.29999999999995</v>
      </c>
      <c r="L1011" s="239">
        <v>29</v>
      </c>
      <c r="M1011" s="233" t="s">
        <v>254</v>
      </c>
      <c r="N1011" s="233" t="s">
        <v>258</v>
      </c>
      <c r="O1011" s="236" t="s">
        <v>318</v>
      </c>
      <c r="P1011" s="78">
        <v>355250</v>
      </c>
      <c r="Q1011" s="78">
        <v>0</v>
      </c>
      <c r="R1011" s="78">
        <v>0</v>
      </c>
      <c r="S1011" s="78">
        <v>0</v>
      </c>
      <c r="T1011" s="78">
        <f>P1011-R1011-S1011</f>
        <v>355250</v>
      </c>
      <c r="U1011" s="78">
        <f t="shared" si="70"/>
        <v>514.63131971606549</v>
      </c>
      <c r="V1011" s="78">
        <v>4229.0600000000004</v>
      </c>
    </row>
    <row r="1012" spans="1:22" s="79" customFormat="1" ht="36" customHeight="1" x14ac:dyDescent="0.25">
      <c r="A1012" s="79">
        <v>1</v>
      </c>
      <c r="B1012" s="80">
        <f>SUBTOTAL(103,$A$552:A1012)</f>
        <v>399</v>
      </c>
      <c r="C1012" s="77" t="s">
        <v>1465</v>
      </c>
      <c r="D1012" s="233">
        <v>1981</v>
      </c>
      <c r="E1012" s="233"/>
      <c r="F1012" s="233" t="s">
        <v>1479</v>
      </c>
      <c r="G1012" s="233">
        <v>2</v>
      </c>
      <c r="H1012" s="233" t="s">
        <v>299</v>
      </c>
      <c r="I1012" s="78">
        <v>922.9</v>
      </c>
      <c r="J1012" s="78">
        <v>838.7</v>
      </c>
      <c r="K1012" s="78">
        <v>838.7</v>
      </c>
      <c r="L1012" s="239">
        <v>43</v>
      </c>
      <c r="M1012" s="233" t="s">
        <v>254</v>
      </c>
      <c r="N1012" s="233" t="s">
        <v>255</v>
      </c>
      <c r="O1012" s="236" t="s">
        <v>257</v>
      </c>
      <c r="P1012" s="78">
        <v>683859.98</v>
      </c>
      <c r="Q1012" s="78">
        <v>0</v>
      </c>
      <c r="R1012" s="78">
        <v>0</v>
      </c>
      <c r="S1012" s="78">
        <v>0</v>
      </c>
      <c r="T1012" s="78">
        <f>P1012-R1012-S1012</f>
        <v>683859.98</v>
      </c>
      <c r="U1012" s="78">
        <f t="shared" si="70"/>
        <v>740.99033481417268</v>
      </c>
      <c r="V1012" s="78">
        <v>4229.0600000000004</v>
      </c>
    </row>
    <row r="1013" spans="1:22" s="79" customFormat="1" ht="36" customHeight="1" x14ac:dyDescent="0.25">
      <c r="A1013" s="79">
        <v>1</v>
      </c>
      <c r="B1013" s="80">
        <f>SUBTOTAL(103,$A$552:A1013)</f>
        <v>400</v>
      </c>
      <c r="C1013" s="77" t="s">
        <v>1466</v>
      </c>
      <c r="D1013" s="233">
        <v>1980</v>
      </c>
      <c r="E1013" s="233"/>
      <c r="F1013" s="233" t="s">
        <v>1479</v>
      </c>
      <c r="G1013" s="233">
        <v>2</v>
      </c>
      <c r="H1013" s="233" t="s">
        <v>299</v>
      </c>
      <c r="I1013" s="78">
        <v>1035.4000000000001</v>
      </c>
      <c r="J1013" s="78">
        <v>947.5</v>
      </c>
      <c r="K1013" s="78">
        <v>795.4</v>
      </c>
      <c r="L1013" s="239">
        <v>35</v>
      </c>
      <c r="M1013" s="233" t="s">
        <v>254</v>
      </c>
      <c r="N1013" s="233" t="s">
        <v>255</v>
      </c>
      <c r="O1013" s="236" t="s">
        <v>257</v>
      </c>
      <c r="P1013" s="78">
        <v>839768.86</v>
      </c>
      <c r="Q1013" s="78">
        <v>0</v>
      </c>
      <c r="R1013" s="78">
        <v>0</v>
      </c>
      <c r="S1013" s="78">
        <v>0</v>
      </c>
      <c r="T1013" s="78">
        <f>P1013-S1013-R1013</f>
        <v>839768.86</v>
      </c>
      <c r="U1013" s="78">
        <f t="shared" si="70"/>
        <v>811.05742708132118</v>
      </c>
      <c r="V1013" s="78">
        <v>4229.0600000000004</v>
      </c>
    </row>
    <row r="1014" spans="1:22" s="79" customFormat="1" ht="36" customHeight="1" x14ac:dyDescent="0.25">
      <c r="A1014" s="79">
        <v>1</v>
      </c>
      <c r="B1014" s="80">
        <f>SUBTOTAL(103,$A$552:A1014)</f>
        <v>401</v>
      </c>
      <c r="C1014" s="77" t="s">
        <v>1196</v>
      </c>
      <c r="D1014" s="233">
        <v>1964</v>
      </c>
      <c r="E1014" s="233"/>
      <c r="F1014" s="233" t="s">
        <v>256</v>
      </c>
      <c r="G1014" s="233">
        <v>2</v>
      </c>
      <c r="H1014" s="233" t="s">
        <v>295</v>
      </c>
      <c r="I1014" s="78">
        <v>1853.08</v>
      </c>
      <c r="J1014" s="78">
        <v>1215.3800000000001</v>
      </c>
      <c r="K1014" s="78">
        <v>986.3</v>
      </c>
      <c r="L1014" s="239">
        <v>115</v>
      </c>
      <c r="M1014" s="233" t="s">
        <v>254</v>
      </c>
      <c r="N1014" s="233" t="s">
        <v>258</v>
      </c>
      <c r="O1014" s="236" t="s">
        <v>1221</v>
      </c>
      <c r="P1014" s="78">
        <v>1468290.6199999999</v>
      </c>
      <c r="Q1014" s="78">
        <v>0</v>
      </c>
      <c r="R1014" s="78">
        <v>0</v>
      </c>
      <c r="S1014" s="78">
        <v>0</v>
      </c>
      <c r="T1014" s="78">
        <f>P1014-S1014-R1014</f>
        <v>1468290.6199999999</v>
      </c>
      <c r="U1014" s="78">
        <f t="shared" si="70"/>
        <v>792.35144732013725</v>
      </c>
      <c r="V1014" s="78">
        <v>4229.0600000000004</v>
      </c>
    </row>
    <row r="1015" spans="1:22" s="79" customFormat="1" ht="36" customHeight="1" x14ac:dyDescent="0.25">
      <c r="A1015" s="79">
        <v>1</v>
      </c>
      <c r="B1015" s="80">
        <f>SUBTOTAL(103,$A$552:A1015)</f>
        <v>402</v>
      </c>
      <c r="C1015" s="77" t="s">
        <v>2301</v>
      </c>
      <c r="D1015" s="233">
        <v>1969</v>
      </c>
      <c r="E1015" s="233"/>
      <c r="F1015" s="233" t="s">
        <v>256</v>
      </c>
      <c r="G1015" s="233">
        <v>2</v>
      </c>
      <c r="H1015" s="233">
        <v>3</v>
      </c>
      <c r="I1015" s="78">
        <v>940.9</v>
      </c>
      <c r="J1015" s="78">
        <v>898.8</v>
      </c>
      <c r="K1015" s="78">
        <v>898.8</v>
      </c>
      <c r="L1015" s="239">
        <v>57</v>
      </c>
      <c r="M1015" s="233" t="s">
        <v>254</v>
      </c>
      <c r="N1015" s="233" t="s">
        <v>258</v>
      </c>
      <c r="O1015" s="236" t="s">
        <v>1221</v>
      </c>
      <c r="P1015" s="78">
        <v>92695.08</v>
      </c>
      <c r="Q1015" s="78">
        <v>0</v>
      </c>
      <c r="R1015" s="78">
        <v>0</v>
      </c>
      <c r="S1015" s="78">
        <v>0</v>
      </c>
      <c r="T1015" s="78">
        <f>P1015-S1015-R1015</f>
        <v>92695.08</v>
      </c>
      <c r="U1015" s="78">
        <f t="shared" si="70"/>
        <v>98.517462004463809</v>
      </c>
      <c r="V1015" s="81">
        <v>98.517462004463809</v>
      </c>
    </row>
    <row r="1016" spans="1:22" s="79" customFormat="1" ht="36" customHeight="1" x14ac:dyDescent="0.25">
      <c r="B1016" s="77" t="s">
        <v>808</v>
      </c>
      <c r="C1016" s="77"/>
      <c r="D1016" s="233" t="s">
        <v>835</v>
      </c>
      <c r="E1016" s="233" t="s">
        <v>835</v>
      </c>
      <c r="F1016" s="233" t="s">
        <v>835</v>
      </c>
      <c r="G1016" s="233" t="s">
        <v>835</v>
      </c>
      <c r="H1016" s="233" t="s">
        <v>835</v>
      </c>
      <c r="I1016" s="234">
        <f>SUM(I1017:I1019)</f>
        <v>1971.3</v>
      </c>
      <c r="J1016" s="234">
        <f>SUM(J1017:J1019)</f>
        <v>1826.3</v>
      </c>
      <c r="K1016" s="234">
        <f>SUM(K1017:K1019)</f>
        <v>1801.3</v>
      </c>
      <c r="L1016" s="235">
        <f>SUM(L1017:L1019)</f>
        <v>85</v>
      </c>
      <c r="M1016" s="233" t="s">
        <v>835</v>
      </c>
      <c r="N1016" s="233" t="s">
        <v>835</v>
      </c>
      <c r="O1016" s="236" t="s">
        <v>835</v>
      </c>
      <c r="P1016" s="241">
        <v>3501111.27</v>
      </c>
      <c r="Q1016" s="78">
        <f>SUM(Q1017:Q1019)</f>
        <v>0</v>
      </c>
      <c r="R1016" s="78">
        <f>SUM(R1017:R1019)</f>
        <v>0</v>
      </c>
      <c r="S1016" s="78">
        <f>SUM(S1017:S1019)</f>
        <v>0</v>
      </c>
      <c r="T1016" s="78">
        <f>SUM(T1017:T1019)</f>
        <v>3501111.27</v>
      </c>
      <c r="U1016" s="78">
        <f t="shared" si="70"/>
        <v>1776.0418353370872</v>
      </c>
      <c r="V1016" s="78">
        <f>MAX(V1017:V1019)</f>
        <v>7164.8679439528032</v>
      </c>
    </row>
    <row r="1017" spans="1:22" s="79" customFormat="1" ht="36" customHeight="1" x14ac:dyDescent="0.25">
      <c r="A1017" s="79">
        <v>1</v>
      </c>
      <c r="B1017" s="80">
        <f>SUBTOTAL(103,$A$552:A1017)</f>
        <v>403</v>
      </c>
      <c r="C1017" s="77" t="s">
        <v>213</v>
      </c>
      <c r="D1017" s="233">
        <v>1973</v>
      </c>
      <c r="E1017" s="233"/>
      <c r="F1017" s="233" t="s">
        <v>256</v>
      </c>
      <c r="G1017" s="233">
        <v>2</v>
      </c>
      <c r="H1017" s="233" t="s">
        <v>290</v>
      </c>
      <c r="I1017" s="78">
        <v>813.6</v>
      </c>
      <c r="J1017" s="78">
        <v>752.3</v>
      </c>
      <c r="K1017" s="78">
        <v>752.3</v>
      </c>
      <c r="L1017" s="239">
        <v>39</v>
      </c>
      <c r="M1017" s="233" t="s">
        <v>254</v>
      </c>
      <c r="N1017" s="233" t="s">
        <v>255</v>
      </c>
      <c r="O1017" s="236" t="s">
        <v>257</v>
      </c>
      <c r="P1017" s="78">
        <v>3138281.45</v>
      </c>
      <c r="Q1017" s="78">
        <v>0</v>
      </c>
      <c r="R1017" s="78">
        <v>0</v>
      </c>
      <c r="S1017" s="78">
        <v>0</v>
      </c>
      <c r="T1017" s="78">
        <f>P1017-R1017-S1017</f>
        <v>3138281.45</v>
      </c>
      <c r="U1017" s="78">
        <f t="shared" si="70"/>
        <v>3857.2780850540807</v>
      </c>
      <c r="V1017" s="78">
        <v>7164.8679439528032</v>
      </c>
    </row>
    <row r="1018" spans="1:22" s="79" customFormat="1" ht="36" customHeight="1" x14ac:dyDescent="0.25">
      <c r="A1018" s="79">
        <v>1</v>
      </c>
      <c r="B1018" s="80">
        <f>SUBTOTAL(103,$A$552:A1018)</f>
        <v>404</v>
      </c>
      <c r="C1018" s="77" t="s">
        <v>208</v>
      </c>
      <c r="D1018" s="233">
        <v>1973</v>
      </c>
      <c r="E1018" s="233"/>
      <c r="F1018" s="233" t="s">
        <v>256</v>
      </c>
      <c r="G1018" s="233">
        <v>2</v>
      </c>
      <c r="H1018" s="233" t="s">
        <v>290</v>
      </c>
      <c r="I1018" s="78">
        <v>775.5</v>
      </c>
      <c r="J1018" s="78">
        <v>715.8</v>
      </c>
      <c r="K1018" s="78">
        <v>715.8</v>
      </c>
      <c r="L1018" s="239">
        <v>31</v>
      </c>
      <c r="M1018" s="233" t="s">
        <v>254</v>
      </c>
      <c r="N1018" s="233" t="s">
        <v>258</v>
      </c>
      <c r="O1018" s="236" t="s">
        <v>318</v>
      </c>
      <c r="P1018" s="78">
        <v>241809.67</v>
      </c>
      <c r="Q1018" s="78">
        <v>0</v>
      </c>
      <c r="R1018" s="78">
        <v>0</v>
      </c>
      <c r="S1018" s="78">
        <v>0</v>
      </c>
      <c r="T1018" s="78">
        <f>P1018-S1018-R1018</f>
        <v>241809.67</v>
      </c>
      <c r="U1018" s="78">
        <f t="shared" si="70"/>
        <v>311.81130883301097</v>
      </c>
      <c r="V1018" s="78">
        <v>311.81130883301097</v>
      </c>
    </row>
    <row r="1019" spans="1:22" s="79" customFormat="1" ht="36" customHeight="1" x14ac:dyDescent="0.25">
      <c r="A1019" s="79">
        <v>1</v>
      </c>
      <c r="B1019" s="80">
        <f>SUBTOTAL(103,$A$552:A1019)</f>
        <v>405</v>
      </c>
      <c r="C1019" s="77" t="s">
        <v>1197</v>
      </c>
      <c r="D1019" s="233">
        <v>1970</v>
      </c>
      <c r="E1019" s="233"/>
      <c r="F1019" s="233" t="s">
        <v>256</v>
      </c>
      <c r="G1019" s="233">
        <v>2</v>
      </c>
      <c r="H1019" s="233" t="s">
        <v>291</v>
      </c>
      <c r="I1019" s="234">
        <v>382.2</v>
      </c>
      <c r="J1019" s="234">
        <v>358.2</v>
      </c>
      <c r="K1019" s="234">
        <v>333.2</v>
      </c>
      <c r="L1019" s="239">
        <v>15</v>
      </c>
      <c r="M1019" s="233" t="s">
        <v>254</v>
      </c>
      <c r="N1019" s="233" t="s">
        <v>258</v>
      </c>
      <c r="O1019" s="236" t="s">
        <v>1270</v>
      </c>
      <c r="P1019" s="78">
        <v>121020.15</v>
      </c>
      <c r="Q1019" s="78">
        <v>0</v>
      </c>
      <c r="R1019" s="78">
        <v>0</v>
      </c>
      <c r="S1019" s="78">
        <v>0</v>
      </c>
      <c r="T1019" s="78">
        <f>P1019-R1019-S1019</f>
        <v>121020.15</v>
      </c>
      <c r="U1019" s="78">
        <f t="shared" si="70"/>
        <v>316.64089481946627</v>
      </c>
      <c r="V1019" s="78">
        <v>319.96899529042383</v>
      </c>
    </row>
    <row r="1020" spans="1:22" s="79" customFormat="1" ht="36" customHeight="1" x14ac:dyDescent="0.25">
      <c r="B1020" s="77" t="s">
        <v>810</v>
      </c>
      <c r="C1020" s="77"/>
      <c r="D1020" s="233" t="s">
        <v>835</v>
      </c>
      <c r="E1020" s="233" t="s">
        <v>835</v>
      </c>
      <c r="F1020" s="233" t="s">
        <v>835</v>
      </c>
      <c r="G1020" s="233" t="s">
        <v>835</v>
      </c>
      <c r="H1020" s="233" t="s">
        <v>835</v>
      </c>
      <c r="I1020" s="234">
        <f>I1021</f>
        <v>791.9</v>
      </c>
      <c r="J1020" s="234">
        <f>J1021</f>
        <v>736.9</v>
      </c>
      <c r="K1020" s="234">
        <f>K1021</f>
        <v>695.3</v>
      </c>
      <c r="L1020" s="235">
        <f>L1021</f>
        <v>27</v>
      </c>
      <c r="M1020" s="233" t="s">
        <v>835</v>
      </c>
      <c r="N1020" s="233" t="s">
        <v>835</v>
      </c>
      <c r="O1020" s="236" t="s">
        <v>835</v>
      </c>
      <c r="P1020" s="241">
        <v>2772593.48</v>
      </c>
      <c r="Q1020" s="78">
        <f>Q1021</f>
        <v>0</v>
      </c>
      <c r="R1020" s="78">
        <f>R1021</f>
        <v>0</v>
      </c>
      <c r="S1020" s="78">
        <f>S1021</f>
        <v>0</v>
      </c>
      <c r="T1020" s="78">
        <f>T1021</f>
        <v>2772593.48</v>
      </c>
      <c r="U1020" s="78">
        <f t="shared" si="70"/>
        <v>3501.191413057204</v>
      </c>
      <c r="V1020" s="78">
        <f>V1021</f>
        <v>7136.1092683419629</v>
      </c>
    </row>
    <row r="1021" spans="1:22" s="79" customFormat="1" ht="36" customHeight="1" x14ac:dyDescent="0.25">
      <c r="A1021" s="79">
        <v>1</v>
      </c>
      <c r="B1021" s="80">
        <f>SUBTOTAL(103,$A$552:A1021)</f>
        <v>406</v>
      </c>
      <c r="C1021" s="77" t="s">
        <v>207</v>
      </c>
      <c r="D1021" s="233">
        <v>1979</v>
      </c>
      <c r="E1021" s="233"/>
      <c r="F1021" s="233" t="s">
        <v>256</v>
      </c>
      <c r="G1021" s="233">
        <v>2</v>
      </c>
      <c r="H1021" s="233" t="s">
        <v>290</v>
      </c>
      <c r="I1021" s="234">
        <v>791.9</v>
      </c>
      <c r="J1021" s="234">
        <v>736.9</v>
      </c>
      <c r="K1021" s="234">
        <v>695.3</v>
      </c>
      <c r="L1021" s="239">
        <v>27</v>
      </c>
      <c r="M1021" s="233" t="s">
        <v>254</v>
      </c>
      <c r="N1021" s="233" t="s">
        <v>255</v>
      </c>
      <c r="O1021" s="236" t="s">
        <v>257</v>
      </c>
      <c r="P1021" s="78">
        <v>2772593.48</v>
      </c>
      <c r="Q1021" s="78">
        <v>0</v>
      </c>
      <c r="R1021" s="78">
        <v>0</v>
      </c>
      <c r="S1021" s="78">
        <v>0</v>
      </c>
      <c r="T1021" s="78">
        <f>P1021-R1021-S1021</f>
        <v>2772593.48</v>
      </c>
      <c r="U1021" s="78">
        <f t="shared" si="70"/>
        <v>3501.191413057204</v>
      </c>
      <c r="V1021" s="78">
        <v>7136.1092683419629</v>
      </c>
    </row>
    <row r="1022" spans="1:22" s="79" customFormat="1" ht="36" customHeight="1" x14ac:dyDescent="0.25">
      <c r="B1022" s="77" t="s">
        <v>809</v>
      </c>
      <c r="C1022" s="77"/>
      <c r="D1022" s="233" t="s">
        <v>835</v>
      </c>
      <c r="E1022" s="233" t="s">
        <v>835</v>
      </c>
      <c r="F1022" s="233" t="s">
        <v>835</v>
      </c>
      <c r="G1022" s="233" t="s">
        <v>835</v>
      </c>
      <c r="H1022" s="233" t="s">
        <v>835</v>
      </c>
      <c r="I1022" s="234">
        <f>I1023</f>
        <v>212.1</v>
      </c>
      <c r="J1022" s="234">
        <f>J1023</f>
        <v>212.1</v>
      </c>
      <c r="K1022" s="234">
        <f>K1023</f>
        <v>187.1</v>
      </c>
      <c r="L1022" s="235">
        <f>L1023</f>
        <v>7</v>
      </c>
      <c r="M1022" s="233" t="s">
        <v>835</v>
      </c>
      <c r="N1022" s="233" t="s">
        <v>835</v>
      </c>
      <c r="O1022" s="236" t="s">
        <v>835</v>
      </c>
      <c r="P1022" s="241">
        <v>47652.14</v>
      </c>
      <c r="Q1022" s="78">
        <f>Q1023</f>
        <v>0</v>
      </c>
      <c r="R1022" s="78">
        <f>R1023</f>
        <v>0</v>
      </c>
      <c r="S1022" s="78">
        <f>S1023</f>
        <v>0</v>
      </c>
      <c r="T1022" s="78">
        <f>T1023</f>
        <v>47652.14</v>
      </c>
      <c r="U1022" s="78">
        <f t="shared" si="70"/>
        <v>224.66826968411127</v>
      </c>
      <c r="V1022" s="78">
        <f>V1023</f>
        <v>224.66826968411127</v>
      </c>
    </row>
    <row r="1023" spans="1:22" s="79" customFormat="1" ht="36" customHeight="1" x14ac:dyDescent="0.25">
      <c r="A1023" s="79">
        <v>1</v>
      </c>
      <c r="B1023" s="80">
        <f>SUBTOTAL(103,$A$552:A1023)</f>
        <v>407</v>
      </c>
      <c r="C1023" s="77" t="s">
        <v>212</v>
      </c>
      <c r="D1023" s="233">
        <v>1962</v>
      </c>
      <c r="E1023" s="233"/>
      <c r="F1023" s="233" t="s">
        <v>256</v>
      </c>
      <c r="G1023" s="233">
        <v>2</v>
      </c>
      <c r="H1023" s="233" t="s">
        <v>291</v>
      </c>
      <c r="I1023" s="234">
        <v>212.1</v>
      </c>
      <c r="J1023" s="234">
        <v>212.1</v>
      </c>
      <c r="K1023" s="234">
        <v>187.1</v>
      </c>
      <c r="L1023" s="239">
        <v>7</v>
      </c>
      <c r="M1023" s="233" t="s">
        <v>254</v>
      </c>
      <c r="N1023" s="233" t="s">
        <v>255</v>
      </c>
      <c r="O1023" s="236" t="s">
        <v>257</v>
      </c>
      <c r="P1023" s="78">
        <v>47652.14</v>
      </c>
      <c r="Q1023" s="78">
        <v>0</v>
      </c>
      <c r="R1023" s="78">
        <v>0</v>
      </c>
      <c r="S1023" s="78">
        <v>0</v>
      </c>
      <c r="T1023" s="78">
        <f>P1023-R1023-S1023</f>
        <v>47652.14</v>
      </c>
      <c r="U1023" s="78">
        <f t="shared" si="70"/>
        <v>224.66826968411127</v>
      </c>
      <c r="V1023" s="81">
        <v>224.66826968411127</v>
      </c>
    </row>
    <row r="1024" spans="1:22" s="79" customFormat="1" ht="36" customHeight="1" x14ac:dyDescent="0.25">
      <c r="B1024" s="77" t="s">
        <v>705</v>
      </c>
      <c r="C1024" s="232"/>
      <c r="D1024" s="233" t="s">
        <v>835</v>
      </c>
      <c r="E1024" s="233" t="s">
        <v>835</v>
      </c>
      <c r="F1024" s="233" t="s">
        <v>835</v>
      </c>
      <c r="G1024" s="233" t="s">
        <v>835</v>
      </c>
      <c r="H1024" s="233" t="s">
        <v>835</v>
      </c>
      <c r="I1024" s="234">
        <f>I1025+I1105+I1126+I1175+I1212+I1224+I1245+I1251+I1258+I1262+I1264+I1268+I1271+I1274+I1287+I1289+I1295+I1298+I1302+I1304+I1306+I1308+I1310+I1313+I1318+I1321+I1325+I1330+I1332+I1335+I1353+I1356+I1358+I1363+I1372+I1365+I1374+I1376+I1380+I1382+I1384+I1386+I1390+I1393+I1395+I1397+I1402+I1405+I1407+I1409+I1413+I1418+I1422+I1425+I1428+I1430+I1432+I1435+I1440+I1444+I1446+I1448+I1454+I1351+I1328</f>
        <v>1109627.1700000002</v>
      </c>
      <c r="J1024" s="234">
        <f>J1025+J1105+J1126+J1175+J1212+J1224+J1245+J1251+J1258+J1262+J1264+J1268+J1271+J1274+J1287+J1289+J1295+J1298+J1302+J1304+J1306+J1308+J1310+J1313+J1318+J1321+J1325+J1330+J1332+J1335+J1353+J1356+J1358+J1363+J1372+J1365+J1374+J1376+J1380+J1382+J1384+J1386+J1390+J1393+J1395+J1397+J1402+J1405+J1407+J1409+J1413+J1418+J1422+J1425+J1428+J1430+J1432+J1435+J1440+J1444+J1446+J1448+J1454+J1351+J1328</f>
        <v>972039.45</v>
      </c>
      <c r="K1024" s="234">
        <f>K1025+K1105+K1126+K1175+K1212+K1224+K1245+K1251+K1258+K1262+K1264+K1268+K1271+K1274+K1287+K1289+K1295+K1298+K1302+K1304+K1306+K1308+K1310+K1313+K1318+K1321+K1325+K1330+K1332+K1335+K1353+K1356+K1358+K1363+K1372+K1365+K1374+K1376+K1380+K1382+K1384+K1386+K1390+K1393+K1395+K1397+K1402+K1405+K1407+K1409+K1413+K1418+K1422+K1425+K1428+K1430+K1432+K1435+K1440+K1444+K1446+K1448+K1454+K1351+K1328</f>
        <v>886650.51</v>
      </c>
      <c r="L1024" s="235">
        <f>L1025+L1105+L1126+L1175+L1212+L1224+L1245+L1251+L1258+L1262+L1264+L1268+L1271+L1274+L1287+L1289+L1295+L1298+L1302+L1304+L1306+L1308+L1310+L1313+L1318+L1321+L1325+L1330+L1332+L1335+L1353+L1356+L1358+L1363+L1372+L1365+L1374+L1376+L1380+L1382+L1384+L1386+L1390+L1393+L1395+L1397+L1402+L1405+L1407+L1409+L1413+L1418+L1422+L1425+L1428+L1430+L1432+L1435+L1440+L1444+L1446+L1448+L1454+L1351+L1328</f>
        <v>41842</v>
      </c>
      <c r="M1024" s="233" t="s">
        <v>835</v>
      </c>
      <c r="N1024" s="233" t="s">
        <v>835</v>
      </c>
      <c r="O1024" s="236" t="s">
        <v>835</v>
      </c>
      <c r="P1024" s="237">
        <f>P1025+P1105+P1126+P1175+P1212+P1224+P1245+P1251+P1258+P1262+P1264+P1268+P1271+P1274+P1287+P1289+P1295+P1298+P1302+P1304+P1306+P1308+P1310+P1313+P1318+P1321+P1325+P1330+P1332+P1335+P1353+P1356+P1358+P1363+P1372+P1365+P1374+P1376+P1380+P1382+P1384+P1386+P1390+P1393+P1395+P1397+P1402+P1405+P1407+P1409+P1413+P1418+P1422+P1425+P1428+P1430+P1432+P1435+P1440+P1444+P1446+P1448+P1454+P1351+P1328</f>
        <v>1849135283.1183746</v>
      </c>
      <c r="Q1024" s="234">
        <f>Q1025+Q1105+Q1126+Q1175+Q1212+Q1224+Q1245+Q1251+Q1258+Q1262+Q1264+Q1268+Q1271+Q1274+Q1287+Q1289+Q1295+Q1298+Q1302+Q1304+Q1306+Q1308+Q1310+Q1313+Q1318+Q1321+Q1325+Q1330+Q1332+Q1335+Q1353+Q1356+Q1358+Q1363+Q1372+Q1365+Q1374+Q1376+Q1380+Q1382+Q1384+Q1386+Q1390+Q1393+Q1395+Q1397+Q1402+Q1405+Q1407+Q1409+Q1413+Q1418+Q1422+Q1425+Q1428+Q1430+Q1432+Q1435+Q1440+Q1444+Q1446+Q1448+Q1454+Q1351+Q1328</f>
        <v>20444962.709999997</v>
      </c>
      <c r="R1024" s="234">
        <f>R1025+R1105+R1126+R1175+R1212+R1224+R1245+R1251+R1258+R1262+R1264+R1268+R1271+R1274+R1287+R1289+R1295+R1298+R1302+R1304+R1306+R1308+R1310+R1313+R1318+R1321+R1325+R1330+R1332+R1335+R1353+R1356+R1358+R1363+R1372+R1365+R1374+R1376+R1380+R1382+R1384+R1386+R1390+R1393+R1395+R1397+R1402+R1405+R1407+R1409+R1413+R1418+R1422+R1425+R1428+R1430+R1432+R1435+R1440+R1444+R1446+R1448+R1454+R1351+R1328</f>
        <v>0</v>
      </c>
      <c r="S1024" s="234">
        <f>S1025+S1105+S1126+S1175+S1212+S1224+S1245+S1251+S1258+S1262+S1264+S1268+S1271+S1274+S1287+S1289+S1295+S1298+S1302+S1304+S1306+S1308+S1310+S1313+S1318+S1321+S1325+S1330+S1332+S1335+S1353+S1356+S1358+S1363+S1372+S1365+S1374+S1376+S1380+S1382+S1384+S1386+S1390+S1393+S1395+S1397+S1402+S1405+S1407+S1409+S1413+S1418+S1422+S1425+S1428+S1430+S1432+S1435+S1440+S1444+S1446+S1448+S1454+S1351+S1328</f>
        <v>2032439.7500000012</v>
      </c>
      <c r="T1024" s="234">
        <f>T1025+T1105+T1126+T1175+T1212+T1224+T1245+T1251+T1258+T1262+T1264+T1268+T1271+T1274+T1287+T1289+T1295+T1298+T1302+T1304+T1306+T1308+T1310+T1313+T1318+T1321+T1325+T1330+T1332+T1335+T1353+T1356+T1358+T1363+T1372+T1365+T1374+T1376+T1380+T1382+T1384+T1386+T1390+T1393+T1395+T1397+T1402+T1405+T1407+T1409+T1413+T1418+T1422+T1425+T1428+T1430+T1432+T1435+T1440+T1444+T1446+T1448+T1454+T1351+T1328</f>
        <v>1826657880.6583745</v>
      </c>
      <c r="U1024" s="234">
        <f>P1024/I1024</f>
        <v>1666.4473735970023</v>
      </c>
      <c r="V1024" s="78">
        <f>MAX(V1025:V1456)</f>
        <v>15846.65335387776</v>
      </c>
    </row>
    <row r="1025" spans="1:22" s="79" customFormat="1" ht="36" customHeight="1" x14ac:dyDescent="0.5">
      <c r="B1025" s="83" t="s">
        <v>1027</v>
      </c>
      <c r="C1025" s="253"/>
      <c r="D1025" s="233" t="s">
        <v>835</v>
      </c>
      <c r="E1025" s="233" t="s">
        <v>835</v>
      </c>
      <c r="F1025" s="233" t="s">
        <v>835</v>
      </c>
      <c r="G1025" s="233" t="s">
        <v>835</v>
      </c>
      <c r="H1025" s="233" t="s">
        <v>835</v>
      </c>
      <c r="I1025" s="234">
        <f>SUM(I1026:I1104)</f>
        <v>297958</v>
      </c>
      <c r="J1025" s="234">
        <f>SUM(J1026:J1104)</f>
        <v>245186.15000000002</v>
      </c>
      <c r="K1025" s="234">
        <f>SUM(K1026:K1104)</f>
        <v>213581.88999999998</v>
      </c>
      <c r="L1025" s="235">
        <f>SUM(L1026:L1104)</f>
        <v>11897</v>
      </c>
      <c r="M1025" s="233" t="s">
        <v>835</v>
      </c>
      <c r="N1025" s="233" t="s">
        <v>835</v>
      </c>
      <c r="O1025" s="236" t="s">
        <v>835</v>
      </c>
      <c r="P1025" s="138">
        <v>408360563.59999985</v>
      </c>
      <c r="Q1025" s="84">
        <f>SUM(Q1026:Q1104)</f>
        <v>6099501.29</v>
      </c>
      <c r="R1025" s="84">
        <f>SUM(R1026:R1104)</f>
        <v>0</v>
      </c>
      <c r="S1025" s="84">
        <f>SUM(S1026:S1104)</f>
        <v>0</v>
      </c>
      <c r="T1025" s="84">
        <f>SUM(T1026:T1104)</f>
        <v>402261062.30999982</v>
      </c>
      <c r="U1025" s="234">
        <f>P1025/I1025</f>
        <v>1370.5306237791899</v>
      </c>
      <c r="V1025" s="78">
        <f>MAX(V1026:V1104)</f>
        <v>13394.181106521737</v>
      </c>
    </row>
    <row r="1026" spans="1:22" s="79" customFormat="1" ht="36" customHeight="1" x14ac:dyDescent="0.5">
      <c r="A1026" s="79">
        <v>1</v>
      </c>
      <c r="B1026" s="85">
        <f>SUBTOTAL(103,$A1026:A$1026)</f>
        <v>1</v>
      </c>
      <c r="C1026" s="83" t="s">
        <v>1005</v>
      </c>
      <c r="D1026" s="233">
        <v>1962</v>
      </c>
      <c r="E1026" s="233"/>
      <c r="F1026" s="233" t="s">
        <v>256</v>
      </c>
      <c r="G1026" s="233">
        <v>3</v>
      </c>
      <c r="H1026" s="233" t="s">
        <v>290</v>
      </c>
      <c r="I1026" s="234">
        <v>970.2</v>
      </c>
      <c r="J1026" s="234">
        <v>615</v>
      </c>
      <c r="K1026" s="234">
        <v>615</v>
      </c>
      <c r="L1026" s="235">
        <v>53</v>
      </c>
      <c r="M1026" s="233" t="s">
        <v>254</v>
      </c>
      <c r="N1026" s="233" t="s">
        <v>258</v>
      </c>
      <c r="O1026" s="236" t="s">
        <v>1545</v>
      </c>
      <c r="P1026" s="84">
        <v>106635.74</v>
      </c>
      <c r="Q1026" s="234">
        <v>0</v>
      </c>
      <c r="R1026" s="234">
        <v>0</v>
      </c>
      <c r="S1026" s="234">
        <v>0</v>
      </c>
      <c r="T1026" s="234">
        <f>P1026-Q1026-R1026-S1026</f>
        <v>106635.74</v>
      </c>
      <c r="U1026" s="234">
        <f t="shared" ref="U1026:U1080" si="72">P1026/I1026</f>
        <v>109.91109049680479</v>
      </c>
      <c r="V1026" s="78">
        <v>109.91109049680479</v>
      </c>
    </row>
    <row r="1027" spans="1:22" s="79" customFormat="1" ht="36" customHeight="1" x14ac:dyDescent="0.5">
      <c r="A1027" s="79">
        <v>1</v>
      </c>
      <c r="B1027" s="85">
        <f>SUBTOTAL(103,$A$1026:A1027)</f>
        <v>2</v>
      </c>
      <c r="C1027" s="83" t="s">
        <v>539</v>
      </c>
      <c r="D1027" s="233" t="s">
        <v>301</v>
      </c>
      <c r="E1027" s="233"/>
      <c r="F1027" s="233" t="s">
        <v>298</v>
      </c>
      <c r="G1027" s="233" t="s">
        <v>337</v>
      </c>
      <c r="H1027" s="233" t="s">
        <v>299</v>
      </c>
      <c r="I1027" s="234">
        <v>2819.1</v>
      </c>
      <c r="J1027" s="234">
        <v>2572.5</v>
      </c>
      <c r="K1027" s="234">
        <v>1698</v>
      </c>
      <c r="L1027" s="235">
        <v>109</v>
      </c>
      <c r="M1027" s="233" t="s">
        <v>254</v>
      </c>
      <c r="N1027" s="233" t="s">
        <v>258</v>
      </c>
      <c r="O1027" s="236" t="s">
        <v>1011</v>
      </c>
      <c r="P1027" s="84">
        <v>5344964.5</v>
      </c>
      <c r="Q1027" s="234">
        <v>0</v>
      </c>
      <c r="R1027" s="234">
        <v>0</v>
      </c>
      <c r="S1027" s="234">
        <v>0</v>
      </c>
      <c r="T1027" s="234">
        <f t="shared" ref="T1027:T1081" si="73">P1027-Q1027-R1027-S1027</f>
        <v>5344964.5</v>
      </c>
      <c r="U1027" s="234">
        <f t="shared" si="72"/>
        <v>1895.9825830938953</v>
      </c>
      <c r="V1027" s="78">
        <v>2783.6853482317051</v>
      </c>
    </row>
    <row r="1028" spans="1:22" s="79" customFormat="1" ht="36" customHeight="1" x14ac:dyDescent="0.5">
      <c r="A1028" s="79">
        <v>1</v>
      </c>
      <c r="B1028" s="85">
        <f>SUBTOTAL(103,$A$1026:A1028)</f>
        <v>3</v>
      </c>
      <c r="C1028" s="83" t="s">
        <v>2698</v>
      </c>
      <c r="D1028" s="233" t="s">
        <v>338</v>
      </c>
      <c r="E1028" s="233"/>
      <c r="F1028" s="233" t="s">
        <v>256</v>
      </c>
      <c r="G1028" s="233" t="s">
        <v>343</v>
      </c>
      <c r="H1028" s="233" t="s">
        <v>291</v>
      </c>
      <c r="I1028" s="234">
        <v>2826.2</v>
      </c>
      <c r="J1028" s="234">
        <v>2826.2</v>
      </c>
      <c r="K1028" s="234">
        <v>1324.2</v>
      </c>
      <c r="L1028" s="235">
        <v>97</v>
      </c>
      <c r="M1028" s="233" t="s">
        <v>254</v>
      </c>
      <c r="N1028" s="233" t="s">
        <v>258</v>
      </c>
      <c r="O1028" s="236" t="s">
        <v>1011</v>
      </c>
      <c r="P1028" s="84">
        <v>4911514.4400000004</v>
      </c>
      <c r="Q1028" s="234">
        <v>0</v>
      </c>
      <c r="R1028" s="234">
        <v>0</v>
      </c>
      <c r="S1028" s="234">
        <v>0</v>
      </c>
      <c r="T1028" s="234">
        <f t="shared" si="73"/>
        <v>4911514.4400000004</v>
      </c>
      <c r="U1028" s="234">
        <f t="shared" si="72"/>
        <v>1737.8509801146417</v>
      </c>
      <c r="V1028" s="78">
        <v>3006.9579902342371</v>
      </c>
    </row>
    <row r="1029" spans="1:22" s="79" customFormat="1" ht="36" customHeight="1" x14ac:dyDescent="0.5">
      <c r="A1029" s="79">
        <v>1</v>
      </c>
      <c r="B1029" s="85">
        <f>SUBTOTAL(103,$A$1026:A1029)</f>
        <v>4</v>
      </c>
      <c r="C1029" s="83" t="s">
        <v>540</v>
      </c>
      <c r="D1029" s="233" t="s">
        <v>303</v>
      </c>
      <c r="E1029" s="233"/>
      <c r="F1029" s="233" t="s">
        <v>298</v>
      </c>
      <c r="G1029" s="233" t="s">
        <v>337</v>
      </c>
      <c r="H1029" s="233" t="s">
        <v>299</v>
      </c>
      <c r="I1029" s="234">
        <v>2495.6</v>
      </c>
      <c r="J1029" s="234">
        <v>2297</v>
      </c>
      <c r="K1029" s="234">
        <v>2070.8000000000002</v>
      </c>
      <c r="L1029" s="235">
        <v>117</v>
      </c>
      <c r="M1029" s="233" t="s">
        <v>254</v>
      </c>
      <c r="N1029" s="233" t="s">
        <v>258</v>
      </c>
      <c r="O1029" s="236" t="s">
        <v>1548</v>
      </c>
      <c r="P1029" s="84">
        <v>4015583.8299999996</v>
      </c>
      <c r="Q1029" s="234">
        <v>0</v>
      </c>
      <c r="R1029" s="234">
        <v>0</v>
      </c>
      <c r="S1029" s="234">
        <v>0</v>
      </c>
      <c r="T1029" s="234">
        <f t="shared" si="73"/>
        <v>4015583.8299999996</v>
      </c>
      <c r="U1029" s="234">
        <f t="shared" si="72"/>
        <v>1609.0654872575733</v>
      </c>
      <c r="V1029" s="78">
        <v>2372.8775576214139</v>
      </c>
    </row>
    <row r="1030" spans="1:22" s="79" customFormat="1" ht="36" customHeight="1" x14ac:dyDescent="0.5">
      <c r="A1030" s="79">
        <v>1</v>
      </c>
      <c r="B1030" s="85">
        <f>SUBTOTAL(103,$A$1026:A1030)</f>
        <v>5</v>
      </c>
      <c r="C1030" s="83" t="s">
        <v>1530</v>
      </c>
      <c r="D1030" s="233">
        <v>1986</v>
      </c>
      <c r="E1030" s="233"/>
      <c r="F1030" s="233" t="s">
        <v>298</v>
      </c>
      <c r="G1030" s="233">
        <v>9</v>
      </c>
      <c r="H1030" s="233" t="s">
        <v>290</v>
      </c>
      <c r="I1030" s="234">
        <v>4308.3999999999996</v>
      </c>
      <c r="J1030" s="234">
        <v>3920.4</v>
      </c>
      <c r="K1030" s="234">
        <v>3608.2</v>
      </c>
      <c r="L1030" s="235">
        <v>108</v>
      </c>
      <c r="M1030" s="233" t="s">
        <v>254</v>
      </c>
      <c r="N1030" s="233" t="s">
        <v>258</v>
      </c>
      <c r="O1030" s="236" t="s">
        <v>1302</v>
      </c>
      <c r="P1030" s="84">
        <v>3691296.54</v>
      </c>
      <c r="Q1030" s="234">
        <v>0</v>
      </c>
      <c r="R1030" s="234">
        <v>0</v>
      </c>
      <c r="S1030" s="234">
        <v>0</v>
      </c>
      <c r="T1030" s="234">
        <f t="shared" si="73"/>
        <v>3691296.54</v>
      </c>
      <c r="U1030" s="234">
        <f t="shared" si="72"/>
        <v>856.76737071766786</v>
      </c>
      <c r="V1030" s="78">
        <v>1367.487106118281</v>
      </c>
    </row>
    <row r="1031" spans="1:22" s="79" customFormat="1" ht="36" customHeight="1" x14ac:dyDescent="0.5">
      <c r="A1031" s="79">
        <v>1</v>
      </c>
      <c r="B1031" s="85">
        <f>SUBTOTAL(103,$A$1026:A1031)</f>
        <v>6</v>
      </c>
      <c r="C1031" s="83" t="s">
        <v>541</v>
      </c>
      <c r="D1031" s="233" t="s">
        <v>353</v>
      </c>
      <c r="E1031" s="233"/>
      <c r="F1031" s="233" t="s">
        <v>256</v>
      </c>
      <c r="G1031" s="233" t="s">
        <v>343</v>
      </c>
      <c r="H1031" s="233" t="s">
        <v>291</v>
      </c>
      <c r="I1031" s="234">
        <v>6352.8</v>
      </c>
      <c r="J1031" s="234">
        <v>4687.3999999999996</v>
      </c>
      <c r="K1031" s="234">
        <v>2543.4</v>
      </c>
      <c r="L1031" s="235">
        <v>201</v>
      </c>
      <c r="M1031" s="233" t="s">
        <v>254</v>
      </c>
      <c r="N1031" s="233" t="s">
        <v>258</v>
      </c>
      <c r="O1031" s="236" t="s">
        <v>1026</v>
      </c>
      <c r="P1031" s="84">
        <v>3957228.27</v>
      </c>
      <c r="Q1031" s="234">
        <v>0</v>
      </c>
      <c r="R1031" s="234">
        <v>0</v>
      </c>
      <c r="S1031" s="234">
        <v>0</v>
      </c>
      <c r="T1031" s="234">
        <f t="shared" si="73"/>
        <v>3957228.27</v>
      </c>
      <c r="U1031" s="234">
        <f t="shared" si="72"/>
        <v>622.91088496411032</v>
      </c>
      <c r="V1031" s="78">
        <v>1253.744654073794</v>
      </c>
    </row>
    <row r="1032" spans="1:22" s="79" customFormat="1" ht="36" customHeight="1" x14ac:dyDescent="0.5">
      <c r="A1032" s="79">
        <v>1</v>
      </c>
      <c r="B1032" s="85">
        <f>SUBTOTAL(103,$A$1026:A1032)</f>
        <v>7</v>
      </c>
      <c r="C1032" s="83" t="s">
        <v>1531</v>
      </c>
      <c r="D1032" s="233">
        <v>1986</v>
      </c>
      <c r="E1032" s="233"/>
      <c r="F1032" s="233" t="s">
        <v>256</v>
      </c>
      <c r="G1032" s="233">
        <v>5</v>
      </c>
      <c r="H1032" s="233" t="s">
        <v>355</v>
      </c>
      <c r="I1032" s="234">
        <v>5760.4</v>
      </c>
      <c r="J1032" s="234">
        <v>4094.2</v>
      </c>
      <c r="K1032" s="234">
        <v>3478.1</v>
      </c>
      <c r="L1032" s="235">
        <v>194</v>
      </c>
      <c r="M1032" s="233" t="s">
        <v>254</v>
      </c>
      <c r="N1032" s="233" t="s">
        <v>258</v>
      </c>
      <c r="O1032" s="236" t="s">
        <v>1026</v>
      </c>
      <c r="P1032" s="84">
        <v>88144.87</v>
      </c>
      <c r="Q1032" s="234">
        <v>0</v>
      </c>
      <c r="R1032" s="234">
        <v>0</v>
      </c>
      <c r="S1032" s="234">
        <v>0</v>
      </c>
      <c r="T1032" s="234">
        <f t="shared" si="73"/>
        <v>88144.87</v>
      </c>
      <c r="U1032" s="234">
        <f t="shared" si="72"/>
        <v>15.301866189847928</v>
      </c>
      <c r="V1032" s="78">
        <v>15.301866189847928</v>
      </c>
    </row>
    <row r="1033" spans="1:22" s="79" customFormat="1" ht="36" customHeight="1" x14ac:dyDescent="0.5">
      <c r="A1033" s="79">
        <v>1</v>
      </c>
      <c r="B1033" s="85">
        <f>SUBTOTAL(103,$A$1026:A1033)</f>
        <v>8</v>
      </c>
      <c r="C1033" s="83" t="s">
        <v>543</v>
      </c>
      <c r="D1033" s="233">
        <v>1971</v>
      </c>
      <c r="E1033" s="233"/>
      <c r="F1033" s="233" t="s">
        <v>256</v>
      </c>
      <c r="G1033" s="233">
        <v>5</v>
      </c>
      <c r="H1033" s="233" t="s">
        <v>355</v>
      </c>
      <c r="I1033" s="234">
        <v>4541.8</v>
      </c>
      <c r="J1033" s="234">
        <v>4541.8</v>
      </c>
      <c r="K1033" s="234">
        <v>4403.2</v>
      </c>
      <c r="L1033" s="235">
        <v>240</v>
      </c>
      <c r="M1033" s="233" t="s">
        <v>254</v>
      </c>
      <c r="N1033" s="233" t="s">
        <v>258</v>
      </c>
      <c r="O1033" s="236" t="s">
        <v>1303</v>
      </c>
      <c r="P1033" s="84">
        <v>10036108.140000001</v>
      </c>
      <c r="Q1033" s="234">
        <v>0</v>
      </c>
      <c r="R1033" s="234">
        <v>0</v>
      </c>
      <c r="S1033" s="234">
        <v>0</v>
      </c>
      <c r="T1033" s="234">
        <f t="shared" si="73"/>
        <v>10036108.140000001</v>
      </c>
      <c r="U1033" s="234">
        <f t="shared" si="72"/>
        <v>2209.7204060064291</v>
      </c>
      <c r="V1033" s="78">
        <v>3745.5916332731513</v>
      </c>
    </row>
    <row r="1034" spans="1:22" s="79" customFormat="1" ht="36" customHeight="1" x14ac:dyDescent="0.5">
      <c r="A1034" s="79">
        <v>1</v>
      </c>
      <c r="B1034" s="85">
        <f>SUBTOTAL(103,$A$1026:A1034)</f>
        <v>9</v>
      </c>
      <c r="C1034" s="83" t="s">
        <v>544</v>
      </c>
      <c r="D1034" s="233" t="s">
        <v>296</v>
      </c>
      <c r="E1034" s="233"/>
      <c r="F1034" s="233" t="s">
        <v>298</v>
      </c>
      <c r="G1034" s="233" t="s">
        <v>337</v>
      </c>
      <c r="H1034" s="233" t="s">
        <v>355</v>
      </c>
      <c r="I1034" s="234">
        <v>6071.1</v>
      </c>
      <c r="J1034" s="234">
        <v>4547.3999999999996</v>
      </c>
      <c r="K1034" s="234">
        <v>4155.2</v>
      </c>
      <c r="L1034" s="235">
        <v>218</v>
      </c>
      <c r="M1034" s="233" t="s">
        <v>254</v>
      </c>
      <c r="N1034" s="233" t="s">
        <v>258</v>
      </c>
      <c r="O1034" s="236" t="s">
        <v>1241</v>
      </c>
      <c r="P1034" s="84">
        <v>5714386.5</v>
      </c>
      <c r="Q1034" s="234">
        <v>0</v>
      </c>
      <c r="R1034" s="234">
        <v>0</v>
      </c>
      <c r="S1034" s="234">
        <v>0</v>
      </c>
      <c r="T1034" s="234">
        <f t="shared" si="73"/>
        <v>5714386.5</v>
      </c>
      <c r="U1034" s="234">
        <f t="shared" si="72"/>
        <v>941.24400849928338</v>
      </c>
      <c r="V1034" s="78">
        <v>2012.510963087414</v>
      </c>
    </row>
    <row r="1035" spans="1:22" s="79" customFormat="1" ht="36" customHeight="1" x14ac:dyDescent="0.5">
      <c r="A1035" s="79">
        <v>1</v>
      </c>
      <c r="B1035" s="85">
        <f>SUBTOTAL(103,$A$1026:A1035)</f>
        <v>10</v>
      </c>
      <c r="C1035" s="83" t="s">
        <v>545</v>
      </c>
      <c r="D1035" s="233" t="s">
        <v>300</v>
      </c>
      <c r="E1035" s="233"/>
      <c r="F1035" s="233" t="s">
        <v>298</v>
      </c>
      <c r="G1035" s="233" t="s">
        <v>355</v>
      </c>
      <c r="H1035" s="233" t="s">
        <v>290</v>
      </c>
      <c r="I1035" s="234">
        <v>2482.1</v>
      </c>
      <c r="J1035" s="234">
        <v>2181.1</v>
      </c>
      <c r="K1035" s="234">
        <v>1858.6</v>
      </c>
      <c r="L1035" s="235">
        <v>130</v>
      </c>
      <c r="M1035" s="233" t="s">
        <v>254</v>
      </c>
      <c r="N1035" s="233" t="s">
        <v>258</v>
      </c>
      <c r="O1035" s="236" t="s">
        <v>1301</v>
      </c>
      <c r="P1035" s="84">
        <v>3241043.41</v>
      </c>
      <c r="Q1035" s="234">
        <v>0</v>
      </c>
      <c r="R1035" s="234">
        <v>0</v>
      </c>
      <c r="S1035" s="234">
        <v>0</v>
      </c>
      <c r="T1035" s="234">
        <f t="shared" si="73"/>
        <v>3241043.41</v>
      </c>
      <c r="U1035" s="234">
        <f t="shared" si="72"/>
        <v>1305.7666532371784</v>
      </c>
      <c r="V1035" s="78">
        <v>1968.215623866887</v>
      </c>
    </row>
    <row r="1036" spans="1:22" s="79" customFormat="1" ht="36" customHeight="1" x14ac:dyDescent="0.5">
      <c r="A1036" s="79">
        <v>1</v>
      </c>
      <c r="B1036" s="85">
        <f>SUBTOTAL(103,$A$1026:A1036)</f>
        <v>11</v>
      </c>
      <c r="C1036" s="83" t="s">
        <v>548</v>
      </c>
      <c r="D1036" s="233" t="s">
        <v>297</v>
      </c>
      <c r="E1036" s="233"/>
      <c r="F1036" s="233" t="s">
        <v>256</v>
      </c>
      <c r="G1036" s="233" t="s">
        <v>337</v>
      </c>
      <c r="H1036" s="233" t="s">
        <v>291</v>
      </c>
      <c r="I1036" s="234">
        <v>867.9</v>
      </c>
      <c r="J1036" s="234">
        <v>809.2</v>
      </c>
      <c r="K1036" s="234">
        <v>766.2</v>
      </c>
      <c r="L1036" s="235">
        <v>39</v>
      </c>
      <c r="M1036" s="233" t="s">
        <v>254</v>
      </c>
      <c r="N1036" s="233" t="s">
        <v>258</v>
      </c>
      <c r="O1036" s="236" t="s">
        <v>1315</v>
      </c>
      <c r="P1036" s="84">
        <v>1851333.0499999998</v>
      </c>
      <c r="Q1036" s="234">
        <v>0</v>
      </c>
      <c r="R1036" s="234">
        <v>0</v>
      </c>
      <c r="S1036" s="234">
        <v>0</v>
      </c>
      <c r="T1036" s="234">
        <f t="shared" si="73"/>
        <v>1851333.0499999998</v>
      </c>
      <c r="U1036" s="234">
        <f t="shared" si="72"/>
        <v>2133.1179283327569</v>
      </c>
      <c r="V1036" s="78">
        <v>2759.5288701463301</v>
      </c>
    </row>
    <row r="1037" spans="1:22" s="79" customFormat="1" ht="36" customHeight="1" x14ac:dyDescent="0.5">
      <c r="A1037" s="79">
        <v>1</v>
      </c>
      <c r="B1037" s="85">
        <f>SUBTOTAL(103,$A$1026:A1037)</f>
        <v>12</v>
      </c>
      <c r="C1037" s="83" t="s">
        <v>549</v>
      </c>
      <c r="D1037" s="233" t="s">
        <v>356</v>
      </c>
      <c r="E1037" s="233"/>
      <c r="F1037" s="233" t="s">
        <v>298</v>
      </c>
      <c r="G1037" s="233" t="s">
        <v>337</v>
      </c>
      <c r="H1037" s="233" t="s">
        <v>299</v>
      </c>
      <c r="I1037" s="234">
        <v>2653.8</v>
      </c>
      <c r="J1037" s="234">
        <v>2355.5</v>
      </c>
      <c r="K1037" s="234">
        <v>2354.1</v>
      </c>
      <c r="L1037" s="235">
        <v>102</v>
      </c>
      <c r="M1037" s="233" t="s">
        <v>254</v>
      </c>
      <c r="N1037" s="233" t="s">
        <v>258</v>
      </c>
      <c r="O1037" s="236" t="s">
        <v>1011</v>
      </c>
      <c r="P1037" s="84">
        <v>4200614.99</v>
      </c>
      <c r="Q1037" s="234">
        <v>0</v>
      </c>
      <c r="R1037" s="234">
        <v>0</v>
      </c>
      <c r="S1037" s="234">
        <v>0</v>
      </c>
      <c r="T1037" s="234">
        <f t="shared" si="73"/>
        <v>4200614.99</v>
      </c>
      <c r="U1037" s="234">
        <f t="shared" si="72"/>
        <v>1582.8679591529128</v>
      </c>
      <c r="V1037" s="78">
        <v>2393.1345240786791</v>
      </c>
    </row>
    <row r="1038" spans="1:22" s="79" customFormat="1" ht="36" customHeight="1" x14ac:dyDescent="0.5">
      <c r="A1038" s="79">
        <v>1</v>
      </c>
      <c r="B1038" s="85">
        <f>SUBTOTAL(103,$A$1026:A1038)</f>
        <v>13</v>
      </c>
      <c r="C1038" s="83" t="s">
        <v>550</v>
      </c>
      <c r="D1038" s="233" t="s">
        <v>356</v>
      </c>
      <c r="E1038" s="233"/>
      <c r="F1038" s="233" t="s">
        <v>298</v>
      </c>
      <c r="G1038" s="233" t="s">
        <v>337</v>
      </c>
      <c r="H1038" s="233" t="s">
        <v>299</v>
      </c>
      <c r="I1038" s="234">
        <v>2632.8</v>
      </c>
      <c r="J1038" s="234">
        <v>2335.8000000000002</v>
      </c>
      <c r="K1038" s="234">
        <v>2335.8000000000002</v>
      </c>
      <c r="L1038" s="235">
        <v>107</v>
      </c>
      <c r="M1038" s="233" t="s">
        <v>254</v>
      </c>
      <c r="N1038" s="233" t="s">
        <v>258</v>
      </c>
      <c r="O1038" s="236" t="s">
        <v>1011</v>
      </c>
      <c r="P1038" s="84">
        <v>2821206.23</v>
      </c>
      <c r="Q1038" s="234">
        <v>0</v>
      </c>
      <c r="R1038" s="234">
        <v>0</v>
      </c>
      <c r="S1038" s="234">
        <v>0</v>
      </c>
      <c r="T1038" s="234">
        <f t="shared" si="73"/>
        <v>2821206.23</v>
      </c>
      <c r="U1038" s="234">
        <f t="shared" si="72"/>
        <v>1071.5611630203584</v>
      </c>
      <c r="V1038" s="78">
        <v>2630.7661501063503</v>
      </c>
    </row>
    <row r="1039" spans="1:22" s="79" customFormat="1" ht="36" customHeight="1" x14ac:dyDescent="0.5">
      <c r="A1039" s="79">
        <v>1</v>
      </c>
      <c r="B1039" s="85">
        <f>SUBTOTAL(103,$A$1026:A1039)</f>
        <v>14</v>
      </c>
      <c r="C1039" s="83" t="s">
        <v>551</v>
      </c>
      <c r="D1039" s="233" t="s">
        <v>357</v>
      </c>
      <c r="E1039" s="233"/>
      <c r="F1039" s="233" t="s">
        <v>298</v>
      </c>
      <c r="G1039" s="233" t="s">
        <v>337</v>
      </c>
      <c r="H1039" s="233" t="s">
        <v>295</v>
      </c>
      <c r="I1039" s="234">
        <v>3861</v>
      </c>
      <c r="J1039" s="234">
        <v>3552.1</v>
      </c>
      <c r="K1039" s="234">
        <v>3552.1</v>
      </c>
      <c r="L1039" s="235">
        <v>165</v>
      </c>
      <c r="M1039" s="233" t="s">
        <v>254</v>
      </c>
      <c r="N1039" s="233" t="s">
        <v>258</v>
      </c>
      <c r="O1039" s="236" t="s">
        <v>1011</v>
      </c>
      <c r="P1039" s="84">
        <v>4775363.16</v>
      </c>
      <c r="Q1039" s="234">
        <v>0</v>
      </c>
      <c r="R1039" s="234">
        <v>0</v>
      </c>
      <c r="S1039" s="234">
        <v>0</v>
      </c>
      <c r="T1039" s="234">
        <f t="shared" si="73"/>
        <v>4775363.16</v>
      </c>
      <c r="U1039" s="234">
        <f t="shared" si="72"/>
        <v>1236.8202952602953</v>
      </c>
      <c r="V1039" s="78">
        <v>2685.2393680393679</v>
      </c>
    </row>
    <row r="1040" spans="1:22" s="79" customFormat="1" ht="36" customHeight="1" x14ac:dyDescent="0.5">
      <c r="A1040" s="79">
        <v>1</v>
      </c>
      <c r="B1040" s="85">
        <f>SUBTOTAL(103,$A$1026:A1040)</f>
        <v>15</v>
      </c>
      <c r="C1040" s="83" t="s">
        <v>553</v>
      </c>
      <c r="D1040" s="233">
        <v>1962</v>
      </c>
      <c r="E1040" s="233"/>
      <c r="F1040" s="233" t="s">
        <v>256</v>
      </c>
      <c r="G1040" s="233">
        <v>5</v>
      </c>
      <c r="H1040" s="233" t="s">
        <v>295</v>
      </c>
      <c r="I1040" s="234">
        <v>4073.9</v>
      </c>
      <c r="J1040" s="234">
        <v>3163.1</v>
      </c>
      <c r="K1040" s="234">
        <v>2004.3</v>
      </c>
      <c r="L1040" s="235">
        <v>146</v>
      </c>
      <c r="M1040" s="233" t="s">
        <v>254</v>
      </c>
      <c r="N1040" s="233" t="s">
        <v>258</v>
      </c>
      <c r="O1040" s="236" t="s">
        <v>1026</v>
      </c>
      <c r="P1040" s="84">
        <v>6535844</v>
      </c>
      <c r="Q1040" s="234">
        <v>0</v>
      </c>
      <c r="R1040" s="234">
        <v>0</v>
      </c>
      <c r="S1040" s="234">
        <v>0</v>
      </c>
      <c r="T1040" s="234">
        <f t="shared" si="73"/>
        <v>6535844</v>
      </c>
      <c r="U1040" s="234">
        <f t="shared" si="72"/>
        <v>1604.3211664498392</v>
      </c>
      <c r="V1040" s="78">
        <v>2718.1238616559067</v>
      </c>
    </row>
    <row r="1041" spans="1:22" s="79" customFormat="1" ht="36" customHeight="1" x14ac:dyDescent="0.5">
      <c r="A1041" s="79">
        <v>1</v>
      </c>
      <c r="B1041" s="85">
        <f>SUBTOTAL(103,$A$1026:A1041)</f>
        <v>16</v>
      </c>
      <c r="C1041" s="83" t="s">
        <v>1532</v>
      </c>
      <c r="D1041" s="233">
        <v>1962</v>
      </c>
      <c r="E1041" s="233"/>
      <c r="F1041" s="233" t="s">
        <v>256</v>
      </c>
      <c r="G1041" s="233">
        <v>4</v>
      </c>
      <c r="H1041" s="233" t="s">
        <v>299</v>
      </c>
      <c r="I1041" s="234">
        <v>2843.6</v>
      </c>
      <c r="J1041" s="234">
        <v>2001.7</v>
      </c>
      <c r="K1041" s="234">
        <v>1691.5</v>
      </c>
      <c r="L1041" s="235">
        <v>91</v>
      </c>
      <c r="M1041" s="233" t="s">
        <v>254</v>
      </c>
      <c r="N1041" s="233" t="s">
        <v>258</v>
      </c>
      <c r="O1041" s="236" t="s">
        <v>1026</v>
      </c>
      <c r="P1041" s="84">
        <v>5096758.1500000004</v>
      </c>
      <c r="Q1041" s="234">
        <v>0</v>
      </c>
      <c r="R1041" s="234">
        <v>0</v>
      </c>
      <c r="S1041" s="234">
        <v>0</v>
      </c>
      <c r="T1041" s="234">
        <f t="shared" si="73"/>
        <v>5096758.1500000004</v>
      </c>
      <c r="U1041" s="234">
        <f t="shared" si="72"/>
        <v>1792.3611443240964</v>
      </c>
      <c r="V1041" s="78">
        <v>3237.4776761851176</v>
      </c>
    </row>
    <row r="1042" spans="1:22" s="79" customFormat="1" ht="36" customHeight="1" x14ac:dyDescent="0.5">
      <c r="A1042" s="79">
        <v>1</v>
      </c>
      <c r="B1042" s="85">
        <f>SUBTOTAL(103,$A$1026:A1042)</f>
        <v>17</v>
      </c>
      <c r="C1042" s="83" t="s">
        <v>554</v>
      </c>
      <c r="D1042" s="233" t="s">
        <v>345</v>
      </c>
      <c r="E1042" s="233"/>
      <c r="F1042" s="233" t="s">
        <v>298</v>
      </c>
      <c r="G1042" s="233" t="s">
        <v>337</v>
      </c>
      <c r="H1042" s="233" t="s">
        <v>295</v>
      </c>
      <c r="I1042" s="234">
        <v>4425.6000000000004</v>
      </c>
      <c r="J1042" s="234">
        <v>3128.2</v>
      </c>
      <c r="K1042" s="234">
        <v>1799.3</v>
      </c>
      <c r="L1042" s="235">
        <v>135</v>
      </c>
      <c r="M1042" s="233" t="s">
        <v>254</v>
      </c>
      <c r="N1042" s="233" t="s">
        <v>258</v>
      </c>
      <c r="O1042" s="236" t="s">
        <v>1026</v>
      </c>
      <c r="P1042" s="84">
        <v>5478843.0599999996</v>
      </c>
      <c r="Q1042" s="234">
        <v>0</v>
      </c>
      <c r="R1042" s="234">
        <v>0</v>
      </c>
      <c r="S1042" s="234">
        <v>0</v>
      </c>
      <c r="T1042" s="234">
        <f t="shared" si="73"/>
        <v>5478843.0599999996</v>
      </c>
      <c r="U1042" s="234">
        <f t="shared" si="72"/>
        <v>1237.9887608459867</v>
      </c>
      <c r="V1042" s="78">
        <v>1960.923068329718</v>
      </c>
    </row>
    <row r="1043" spans="1:22" s="79" customFormat="1" ht="36" customHeight="1" x14ac:dyDescent="0.5">
      <c r="A1043" s="79">
        <v>1</v>
      </c>
      <c r="B1043" s="85">
        <f>SUBTOTAL(103,$A$1026:A1043)</f>
        <v>18</v>
      </c>
      <c r="C1043" s="83" t="s">
        <v>1589</v>
      </c>
      <c r="D1043" s="233" t="s">
        <v>300</v>
      </c>
      <c r="E1043" s="233"/>
      <c r="F1043" s="233" t="s">
        <v>298</v>
      </c>
      <c r="G1043" s="233" t="s">
        <v>337</v>
      </c>
      <c r="H1043" s="233" t="s">
        <v>337</v>
      </c>
      <c r="I1043" s="234">
        <v>4700.6000000000004</v>
      </c>
      <c r="J1043" s="234">
        <v>3460</v>
      </c>
      <c r="K1043" s="234">
        <v>3460</v>
      </c>
      <c r="L1043" s="235">
        <v>148</v>
      </c>
      <c r="M1043" s="233" t="s">
        <v>254</v>
      </c>
      <c r="N1043" s="233" t="s">
        <v>258</v>
      </c>
      <c r="O1043" s="236" t="s">
        <v>1549</v>
      </c>
      <c r="P1043" s="84">
        <v>5431231.8099999996</v>
      </c>
      <c r="Q1043" s="234">
        <v>0</v>
      </c>
      <c r="R1043" s="234">
        <v>0</v>
      </c>
      <c r="S1043" s="234">
        <v>0</v>
      </c>
      <c r="T1043" s="234">
        <f t="shared" si="73"/>
        <v>5431231.8099999996</v>
      </c>
      <c r="U1043" s="234">
        <f t="shared" si="72"/>
        <v>1155.4337339914052</v>
      </c>
      <c r="V1043" s="78">
        <v>2079.8362697527973</v>
      </c>
    </row>
    <row r="1044" spans="1:22" s="79" customFormat="1" ht="36" customHeight="1" x14ac:dyDescent="0.5">
      <c r="A1044" s="79">
        <v>1</v>
      </c>
      <c r="B1044" s="85">
        <f>SUBTOTAL(103,$A$1026:A1044)</f>
        <v>19</v>
      </c>
      <c r="C1044" s="83" t="s">
        <v>1529</v>
      </c>
      <c r="D1044" s="233" t="s">
        <v>347</v>
      </c>
      <c r="E1044" s="233"/>
      <c r="F1044" s="233" t="s">
        <v>256</v>
      </c>
      <c r="G1044" s="233" t="s">
        <v>290</v>
      </c>
      <c r="H1044" s="233" t="s">
        <v>299</v>
      </c>
      <c r="I1044" s="234">
        <v>574.1</v>
      </c>
      <c r="J1044" s="234">
        <v>444.8</v>
      </c>
      <c r="K1044" s="234">
        <v>444.8</v>
      </c>
      <c r="L1044" s="235">
        <v>19</v>
      </c>
      <c r="M1044" s="233" t="s">
        <v>254</v>
      </c>
      <c r="N1044" s="233" t="s">
        <v>258</v>
      </c>
      <c r="O1044" s="236" t="s">
        <v>1543</v>
      </c>
      <c r="P1044" s="84">
        <v>2163955.4500000002</v>
      </c>
      <c r="Q1044" s="234">
        <v>0</v>
      </c>
      <c r="R1044" s="234">
        <v>0</v>
      </c>
      <c r="S1044" s="234">
        <v>0</v>
      </c>
      <c r="T1044" s="234">
        <f t="shared" si="73"/>
        <v>2163955.4500000002</v>
      </c>
      <c r="U1044" s="234">
        <f t="shared" si="72"/>
        <v>3769.3005573941823</v>
      </c>
      <c r="V1044" s="78">
        <v>9246.997665911862</v>
      </c>
    </row>
    <row r="1045" spans="1:22" s="79" customFormat="1" ht="36" customHeight="1" x14ac:dyDescent="0.5">
      <c r="A1045" s="79">
        <v>1</v>
      </c>
      <c r="B1045" s="85">
        <f>SUBTOTAL(103,$A$1026:A1045)</f>
        <v>20</v>
      </c>
      <c r="C1045" s="83" t="s">
        <v>560</v>
      </c>
      <c r="D1045" s="233" t="s">
        <v>336</v>
      </c>
      <c r="E1045" s="233"/>
      <c r="F1045" s="233" t="s">
        <v>256</v>
      </c>
      <c r="G1045" s="233" t="s">
        <v>343</v>
      </c>
      <c r="H1045" s="233" t="s">
        <v>291</v>
      </c>
      <c r="I1045" s="234">
        <v>2154.4</v>
      </c>
      <c r="J1045" s="234">
        <v>1828.2</v>
      </c>
      <c r="K1045" s="234">
        <v>1783.4</v>
      </c>
      <c r="L1045" s="235">
        <v>76</v>
      </c>
      <c r="M1045" s="233" t="s">
        <v>254</v>
      </c>
      <c r="N1045" s="233" t="s">
        <v>258</v>
      </c>
      <c r="O1045" s="236" t="s">
        <v>1536</v>
      </c>
      <c r="P1045" s="84">
        <v>88250.57</v>
      </c>
      <c r="Q1045" s="234">
        <v>0</v>
      </c>
      <c r="R1045" s="234">
        <v>0</v>
      </c>
      <c r="S1045" s="234">
        <v>0</v>
      </c>
      <c r="T1045" s="234">
        <f t="shared" si="73"/>
        <v>88250.57</v>
      </c>
      <c r="U1045" s="234">
        <f t="shared" si="72"/>
        <v>40.962945599702934</v>
      </c>
      <c r="V1045" s="78">
        <f>U1045</f>
        <v>40.962945599702934</v>
      </c>
    </row>
    <row r="1046" spans="1:22" s="79" customFormat="1" ht="36" customHeight="1" x14ac:dyDescent="0.5">
      <c r="A1046" s="79">
        <v>1</v>
      </c>
      <c r="B1046" s="85">
        <f>SUBTOTAL(103,$A$1026:A1046)</f>
        <v>21</v>
      </c>
      <c r="C1046" s="83" t="s">
        <v>562</v>
      </c>
      <c r="D1046" s="233" t="s">
        <v>353</v>
      </c>
      <c r="E1046" s="233"/>
      <c r="F1046" s="233" t="s">
        <v>256</v>
      </c>
      <c r="G1046" s="233" t="s">
        <v>337</v>
      </c>
      <c r="H1046" s="233" t="s">
        <v>291</v>
      </c>
      <c r="I1046" s="234">
        <v>1129.8</v>
      </c>
      <c r="J1046" s="234">
        <v>1033.3</v>
      </c>
      <c r="K1046" s="234">
        <v>841.7</v>
      </c>
      <c r="L1046" s="235">
        <v>42</v>
      </c>
      <c r="M1046" s="233" t="s">
        <v>254</v>
      </c>
      <c r="N1046" s="233" t="s">
        <v>258</v>
      </c>
      <c r="O1046" s="236" t="s">
        <v>1315</v>
      </c>
      <c r="P1046" s="84">
        <v>88247.65</v>
      </c>
      <c r="Q1046" s="234">
        <v>0</v>
      </c>
      <c r="R1046" s="234">
        <v>0</v>
      </c>
      <c r="S1046" s="234">
        <v>0</v>
      </c>
      <c r="T1046" s="234">
        <f t="shared" si="73"/>
        <v>88247.65</v>
      </c>
      <c r="U1046" s="234">
        <f t="shared" si="72"/>
        <v>78.109090104443268</v>
      </c>
      <c r="V1046" s="78">
        <f>U1046</f>
        <v>78.109090104443268</v>
      </c>
    </row>
    <row r="1047" spans="1:22" s="79" customFormat="1" ht="36" customHeight="1" x14ac:dyDescent="0.5">
      <c r="A1047" s="79">
        <v>1</v>
      </c>
      <c r="B1047" s="85">
        <f>SUBTOTAL(103,$A$1026:A1047)</f>
        <v>22</v>
      </c>
      <c r="C1047" s="83" t="s">
        <v>563</v>
      </c>
      <c r="D1047" s="233" t="s">
        <v>296</v>
      </c>
      <c r="E1047" s="233"/>
      <c r="F1047" s="233" t="s">
        <v>298</v>
      </c>
      <c r="G1047" s="233" t="s">
        <v>337</v>
      </c>
      <c r="H1047" s="233" t="s">
        <v>295</v>
      </c>
      <c r="I1047" s="234">
        <v>4027.5</v>
      </c>
      <c r="J1047" s="234">
        <v>3037.2</v>
      </c>
      <c r="K1047" s="234">
        <v>3035.5</v>
      </c>
      <c r="L1047" s="235">
        <v>127</v>
      </c>
      <c r="M1047" s="233" t="s">
        <v>254</v>
      </c>
      <c r="N1047" s="233" t="s">
        <v>258</v>
      </c>
      <c r="O1047" s="236" t="s">
        <v>1241</v>
      </c>
      <c r="P1047" s="84">
        <v>5160784.71</v>
      </c>
      <c r="Q1047" s="234">
        <v>0</v>
      </c>
      <c r="R1047" s="234">
        <v>0</v>
      </c>
      <c r="S1047" s="234">
        <v>0</v>
      </c>
      <c r="T1047" s="234">
        <f t="shared" si="73"/>
        <v>5160784.71</v>
      </c>
      <c r="U1047" s="234">
        <f t="shared" si="72"/>
        <v>1281.386644320298</v>
      </c>
      <c r="V1047" s="78">
        <v>2165.9108540782122</v>
      </c>
    </row>
    <row r="1048" spans="1:22" s="79" customFormat="1" ht="36" customHeight="1" x14ac:dyDescent="0.5">
      <c r="A1048" s="79">
        <v>1</v>
      </c>
      <c r="B1048" s="85">
        <f>SUBTOTAL(103,$A$1026:A1048)</f>
        <v>23</v>
      </c>
      <c r="C1048" s="83" t="s">
        <v>1533</v>
      </c>
      <c r="D1048" s="233">
        <v>1970</v>
      </c>
      <c r="E1048" s="233"/>
      <c r="F1048" s="233" t="s">
        <v>256</v>
      </c>
      <c r="G1048" s="233">
        <v>5</v>
      </c>
      <c r="H1048" s="233" t="s">
        <v>355</v>
      </c>
      <c r="I1048" s="234">
        <v>5849.4</v>
      </c>
      <c r="J1048" s="234">
        <v>4434.8999999999996</v>
      </c>
      <c r="K1048" s="234">
        <v>4190</v>
      </c>
      <c r="L1048" s="235">
        <v>242</v>
      </c>
      <c r="M1048" s="233" t="s">
        <v>254</v>
      </c>
      <c r="N1048" s="233" t="s">
        <v>258</v>
      </c>
      <c r="O1048" s="236" t="s">
        <v>1026</v>
      </c>
      <c r="P1048" s="84">
        <v>9555035.5499999989</v>
      </c>
      <c r="Q1048" s="234">
        <v>0</v>
      </c>
      <c r="R1048" s="234">
        <v>0</v>
      </c>
      <c r="S1048" s="234">
        <v>0</v>
      </c>
      <c r="T1048" s="234">
        <f t="shared" si="73"/>
        <v>9555035.5499999989</v>
      </c>
      <c r="U1048" s="234">
        <f t="shared" si="72"/>
        <v>1633.5069494307108</v>
      </c>
      <c r="V1048" s="78">
        <v>2885.3463523780219</v>
      </c>
    </row>
    <row r="1049" spans="1:22" s="79" customFormat="1" ht="36" customHeight="1" x14ac:dyDescent="0.5">
      <c r="A1049" s="79">
        <v>1</v>
      </c>
      <c r="B1049" s="85">
        <f>SUBTOTAL(103,$A$1026:A1049)</f>
        <v>24</v>
      </c>
      <c r="C1049" s="83" t="s">
        <v>565</v>
      </c>
      <c r="D1049" s="233">
        <v>1981</v>
      </c>
      <c r="E1049" s="233"/>
      <c r="F1049" s="233" t="s">
        <v>256</v>
      </c>
      <c r="G1049" s="233">
        <v>2</v>
      </c>
      <c r="H1049" s="233" t="s">
        <v>299</v>
      </c>
      <c r="I1049" s="234">
        <v>940.2</v>
      </c>
      <c r="J1049" s="234">
        <v>850.3</v>
      </c>
      <c r="K1049" s="234">
        <v>850.3</v>
      </c>
      <c r="L1049" s="235">
        <v>36</v>
      </c>
      <c r="M1049" s="233" t="s">
        <v>254</v>
      </c>
      <c r="N1049" s="233" t="s">
        <v>258</v>
      </c>
      <c r="O1049" s="236" t="s">
        <v>1534</v>
      </c>
      <c r="P1049" s="84">
        <v>6477040.1400000006</v>
      </c>
      <c r="Q1049" s="234">
        <v>0</v>
      </c>
      <c r="R1049" s="234">
        <v>0</v>
      </c>
      <c r="S1049" s="234">
        <v>0</v>
      </c>
      <c r="T1049" s="234">
        <f t="shared" si="73"/>
        <v>6477040.1400000006</v>
      </c>
      <c r="U1049" s="234">
        <f t="shared" si="72"/>
        <v>6889.0024888321641</v>
      </c>
      <c r="V1049" s="78">
        <v>9643.7173852371834</v>
      </c>
    </row>
    <row r="1050" spans="1:22" s="79" customFormat="1" ht="36" customHeight="1" x14ac:dyDescent="0.5">
      <c r="A1050" s="79">
        <v>1</v>
      </c>
      <c r="B1050" s="85">
        <f>SUBTOTAL(103,$A$1026:A1050)</f>
        <v>25</v>
      </c>
      <c r="C1050" s="83" t="s">
        <v>566</v>
      </c>
      <c r="D1050" s="233" t="s">
        <v>354</v>
      </c>
      <c r="E1050" s="233"/>
      <c r="F1050" s="233" t="s">
        <v>298</v>
      </c>
      <c r="G1050" s="233" t="s">
        <v>337</v>
      </c>
      <c r="H1050" s="233" t="s">
        <v>337</v>
      </c>
      <c r="I1050" s="234">
        <v>5067.1000000000004</v>
      </c>
      <c r="J1050" s="234">
        <v>3815.6</v>
      </c>
      <c r="K1050" s="234">
        <v>3768.9</v>
      </c>
      <c r="L1050" s="235">
        <v>163</v>
      </c>
      <c r="M1050" s="233" t="s">
        <v>254</v>
      </c>
      <c r="N1050" s="233" t="s">
        <v>258</v>
      </c>
      <c r="O1050" s="236" t="s">
        <v>1241</v>
      </c>
      <c r="P1050" s="84">
        <v>4590224.1900000004</v>
      </c>
      <c r="Q1050" s="234">
        <v>0</v>
      </c>
      <c r="R1050" s="234">
        <v>0</v>
      </c>
      <c r="S1050" s="234">
        <v>0</v>
      </c>
      <c r="T1050" s="234">
        <f t="shared" si="73"/>
        <v>4590224.1900000004</v>
      </c>
      <c r="U1050" s="234">
        <f t="shared" si="72"/>
        <v>905.88782340983994</v>
      </c>
      <c r="V1050" s="78">
        <v>1975.3810424108462</v>
      </c>
    </row>
    <row r="1051" spans="1:22" s="79" customFormat="1" ht="36" customHeight="1" x14ac:dyDescent="0.5">
      <c r="A1051" s="79">
        <v>1</v>
      </c>
      <c r="B1051" s="85">
        <f>SUBTOTAL(103,$A$1026:A1051)</f>
        <v>26</v>
      </c>
      <c r="C1051" s="83" t="s">
        <v>1006</v>
      </c>
      <c r="D1051" s="233">
        <v>1994</v>
      </c>
      <c r="E1051" s="233"/>
      <c r="F1051" s="233" t="s">
        <v>256</v>
      </c>
      <c r="G1051" s="233">
        <v>9</v>
      </c>
      <c r="H1051" s="233" t="s">
        <v>355</v>
      </c>
      <c r="I1051" s="234">
        <v>11615.7</v>
      </c>
      <c r="J1051" s="234">
        <v>9319.2999999999993</v>
      </c>
      <c r="K1051" s="234">
        <v>5667.8</v>
      </c>
      <c r="L1051" s="235">
        <v>441</v>
      </c>
      <c r="M1051" s="233" t="s">
        <v>254</v>
      </c>
      <c r="N1051" s="233" t="s">
        <v>258</v>
      </c>
      <c r="O1051" s="236" t="s">
        <v>1013</v>
      </c>
      <c r="P1051" s="84">
        <v>5542713</v>
      </c>
      <c r="Q1051" s="234">
        <v>0</v>
      </c>
      <c r="R1051" s="234">
        <v>0</v>
      </c>
      <c r="S1051" s="234">
        <v>0</v>
      </c>
      <c r="T1051" s="234">
        <f t="shared" si="73"/>
        <v>5542713</v>
      </c>
      <c r="U1051" s="234">
        <f t="shared" si="72"/>
        <v>477.17425553345902</v>
      </c>
      <c r="V1051" s="78">
        <v>838.52835042227321</v>
      </c>
    </row>
    <row r="1052" spans="1:22" s="79" customFormat="1" ht="36" customHeight="1" x14ac:dyDescent="0.5">
      <c r="A1052" s="79">
        <v>1</v>
      </c>
      <c r="B1052" s="85">
        <f>SUBTOTAL(103,$A$1026:A1052)</f>
        <v>27</v>
      </c>
      <c r="C1052" s="83" t="s">
        <v>515</v>
      </c>
      <c r="D1052" s="233" t="s">
        <v>300</v>
      </c>
      <c r="E1052" s="233"/>
      <c r="F1052" s="233" t="s">
        <v>298</v>
      </c>
      <c r="G1052" s="233" t="s">
        <v>343</v>
      </c>
      <c r="H1052" s="233" t="s">
        <v>290</v>
      </c>
      <c r="I1052" s="234">
        <v>4990.2</v>
      </c>
      <c r="J1052" s="234">
        <v>3973.4</v>
      </c>
      <c r="K1052" s="234">
        <v>3799.4</v>
      </c>
      <c r="L1052" s="235">
        <v>190</v>
      </c>
      <c r="M1052" s="233" t="s">
        <v>254</v>
      </c>
      <c r="N1052" s="233" t="s">
        <v>258</v>
      </c>
      <c r="O1052" s="236" t="s">
        <v>1241</v>
      </c>
      <c r="P1052" s="84">
        <v>2502121.0499999998</v>
      </c>
      <c r="Q1052" s="234">
        <v>0</v>
      </c>
      <c r="R1052" s="234">
        <v>0</v>
      </c>
      <c r="S1052" s="234">
        <v>0</v>
      </c>
      <c r="T1052" s="234">
        <f t="shared" si="73"/>
        <v>2502121.0499999998</v>
      </c>
      <c r="U1052" s="234">
        <f t="shared" si="72"/>
        <v>501.40696765660692</v>
      </c>
      <c r="V1052" s="78">
        <v>1263.4068409282193</v>
      </c>
    </row>
    <row r="1053" spans="1:22" s="79" customFormat="1" ht="36" customHeight="1" x14ac:dyDescent="0.5">
      <c r="A1053" s="79">
        <v>1</v>
      </c>
      <c r="B1053" s="85">
        <f>SUBTOTAL(103,$A$1026:A1053)</f>
        <v>28</v>
      </c>
      <c r="C1053" s="83" t="s">
        <v>503</v>
      </c>
      <c r="D1053" s="233" t="s">
        <v>336</v>
      </c>
      <c r="E1053" s="233"/>
      <c r="F1053" s="233" t="s">
        <v>256</v>
      </c>
      <c r="G1053" s="233" t="s">
        <v>337</v>
      </c>
      <c r="H1053" s="233" t="s">
        <v>295</v>
      </c>
      <c r="I1053" s="234">
        <v>3486.3</v>
      </c>
      <c r="J1053" s="234">
        <v>3486.3</v>
      </c>
      <c r="K1053" s="234">
        <v>2123</v>
      </c>
      <c r="L1053" s="235">
        <v>136</v>
      </c>
      <c r="M1053" s="233" t="s">
        <v>254</v>
      </c>
      <c r="N1053" s="233" t="s">
        <v>258</v>
      </c>
      <c r="O1053" s="236" t="s">
        <v>1011</v>
      </c>
      <c r="P1053" s="84">
        <v>5483469.1499999994</v>
      </c>
      <c r="Q1053" s="234">
        <v>0</v>
      </c>
      <c r="R1053" s="234">
        <v>0</v>
      </c>
      <c r="S1053" s="234">
        <v>0</v>
      </c>
      <c r="T1053" s="234">
        <f t="shared" si="73"/>
        <v>5483469.1499999994</v>
      </c>
      <c r="U1053" s="234">
        <f t="shared" si="72"/>
        <v>1572.8621030892348</v>
      </c>
      <c r="V1053" s="78">
        <v>2584.5966210595757</v>
      </c>
    </row>
    <row r="1054" spans="1:22" s="79" customFormat="1" ht="36" customHeight="1" x14ac:dyDescent="0.5">
      <c r="A1054" s="79">
        <v>1</v>
      </c>
      <c r="B1054" s="85">
        <f>SUBTOTAL(103,$A$1026:A1054)</f>
        <v>29</v>
      </c>
      <c r="C1054" s="83" t="s">
        <v>460</v>
      </c>
      <c r="D1054" s="233">
        <v>1969</v>
      </c>
      <c r="E1054" s="233"/>
      <c r="F1054" s="233" t="s">
        <v>256</v>
      </c>
      <c r="G1054" s="233">
        <v>5</v>
      </c>
      <c r="H1054" s="233" t="s">
        <v>295</v>
      </c>
      <c r="I1054" s="234">
        <v>3463.9</v>
      </c>
      <c r="J1054" s="234">
        <v>3172.1</v>
      </c>
      <c r="K1054" s="234">
        <v>2927.7</v>
      </c>
      <c r="L1054" s="235">
        <v>132</v>
      </c>
      <c r="M1054" s="233" t="s">
        <v>254</v>
      </c>
      <c r="N1054" s="233" t="s">
        <v>258</v>
      </c>
      <c r="O1054" s="236" t="s">
        <v>1026</v>
      </c>
      <c r="P1054" s="84">
        <v>6461336.8399999999</v>
      </c>
      <c r="Q1054" s="234">
        <v>0</v>
      </c>
      <c r="R1054" s="234">
        <v>0</v>
      </c>
      <c r="S1054" s="234">
        <v>0</v>
      </c>
      <c r="T1054" s="234">
        <f t="shared" si="73"/>
        <v>6461336.8399999999</v>
      </c>
      <c r="U1054" s="234">
        <f t="shared" si="72"/>
        <v>1865.3358468777967</v>
      </c>
      <c r="V1054" s="78">
        <v>3374.2757213545428</v>
      </c>
    </row>
    <row r="1055" spans="1:22" s="79" customFormat="1" ht="36" customHeight="1" x14ac:dyDescent="0.5">
      <c r="A1055" s="79">
        <v>1</v>
      </c>
      <c r="B1055" s="85">
        <f>SUBTOTAL(103,$A$1026:A1055)</f>
        <v>30</v>
      </c>
      <c r="C1055" s="83" t="s">
        <v>1054</v>
      </c>
      <c r="D1055" s="233">
        <v>1991</v>
      </c>
      <c r="E1055" s="233">
        <v>2016</v>
      </c>
      <c r="F1055" s="233" t="s">
        <v>1240</v>
      </c>
      <c r="G1055" s="233">
        <v>13</v>
      </c>
      <c r="H1055" s="233" t="s">
        <v>291</v>
      </c>
      <c r="I1055" s="234">
        <v>4135.3</v>
      </c>
      <c r="J1055" s="234">
        <v>3928.6</v>
      </c>
      <c r="K1055" s="234">
        <v>3680.79</v>
      </c>
      <c r="L1055" s="235">
        <v>204</v>
      </c>
      <c r="M1055" s="233" t="s">
        <v>254</v>
      </c>
      <c r="N1055" s="233" t="s">
        <v>258</v>
      </c>
      <c r="O1055" s="236" t="s">
        <v>1303</v>
      </c>
      <c r="P1055" s="84">
        <v>199991.42</v>
      </c>
      <c r="Q1055" s="234">
        <v>0</v>
      </c>
      <c r="R1055" s="234">
        <v>0</v>
      </c>
      <c r="S1055" s="234">
        <v>0</v>
      </c>
      <c r="T1055" s="234">
        <f t="shared" si="73"/>
        <v>199991.42</v>
      </c>
      <c r="U1055" s="234">
        <f t="shared" si="72"/>
        <v>48.362010011365562</v>
      </c>
      <c r="V1055" s="78">
        <v>48.362010011365562</v>
      </c>
    </row>
    <row r="1056" spans="1:22" s="79" customFormat="1" ht="36" customHeight="1" x14ac:dyDescent="0.5">
      <c r="A1056" s="79">
        <v>1</v>
      </c>
      <c r="B1056" s="85">
        <f>SUBTOTAL(103,$A$1026:A1056)</f>
        <v>31</v>
      </c>
      <c r="C1056" s="83" t="s">
        <v>2145</v>
      </c>
      <c r="D1056" s="233">
        <v>1963</v>
      </c>
      <c r="E1056" s="233"/>
      <c r="F1056" s="233" t="s">
        <v>256</v>
      </c>
      <c r="G1056" s="233">
        <v>2</v>
      </c>
      <c r="H1056" s="233">
        <v>1</v>
      </c>
      <c r="I1056" s="234">
        <v>368</v>
      </c>
      <c r="J1056" s="234">
        <v>239.5</v>
      </c>
      <c r="K1056" s="234">
        <v>185.4</v>
      </c>
      <c r="L1056" s="235">
        <v>20</v>
      </c>
      <c r="M1056" s="233" t="s">
        <v>254</v>
      </c>
      <c r="N1056" s="233" t="s">
        <v>258</v>
      </c>
      <c r="O1056" s="236" t="s">
        <v>1545</v>
      </c>
      <c r="P1056" s="84">
        <v>3073917.76</v>
      </c>
      <c r="Q1056" s="234">
        <v>0</v>
      </c>
      <c r="R1056" s="234">
        <v>0</v>
      </c>
      <c r="S1056" s="234">
        <v>0</v>
      </c>
      <c r="T1056" s="234">
        <f t="shared" si="73"/>
        <v>3073917.76</v>
      </c>
      <c r="U1056" s="234">
        <f t="shared" si="72"/>
        <v>8353.0373913043477</v>
      </c>
      <c r="V1056" s="78">
        <v>13394.181106521737</v>
      </c>
    </row>
    <row r="1057" spans="1:22" s="79" customFormat="1" ht="36" customHeight="1" x14ac:dyDescent="0.5">
      <c r="A1057" s="79">
        <v>1</v>
      </c>
      <c r="B1057" s="85">
        <f>SUBTOTAL(103,$A$1026:A1057)</f>
        <v>32</v>
      </c>
      <c r="C1057" s="83" t="s">
        <v>2148</v>
      </c>
      <c r="D1057" s="233">
        <v>1959</v>
      </c>
      <c r="E1057" s="233"/>
      <c r="F1057" s="233" t="s">
        <v>256</v>
      </c>
      <c r="G1057" s="233">
        <v>3</v>
      </c>
      <c r="H1057" s="233">
        <v>3</v>
      </c>
      <c r="I1057" s="234">
        <v>1142.4000000000001</v>
      </c>
      <c r="J1057" s="234">
        <v>950.3</v>
      </c>
      <c r="K1057" s="234">
        <v>950.3</v>
      </c>
      <c r="L1057" s="235">
        <v>45</v>
      </c>
      <c r="M1057" s="233" t="s">
        <v>254</v>
      </c>
      <c r="N1057" s="233" t="s">
        <v>258</v>
      </c>
      <c r="O1057" s="236" t="s">
        <v>1012</v>
      </c>
      <c r="P1057" s="84">
        <v>3881918.58</v>
      </c>
      <c r="Q1057" s="234">
        <v>0</v>
      </c>
      <c r="R1057" s="234">
        <v>0</v>
      </c>
      <c r="S1057" s="234">
        <v>0</v>
      </c>
      <c r="T1057" s="234">
        <f t="shared" si="73"/>
        <v>3881918.58</v>
      </c>
      <c r="U1057" s="234">
        <f t="shared" si="72"/>
        <v>3398.0379726890756</v>
      </c>
      <c r="V1057" s="78">
        <v>6677.1058018207286</v>
      </c>
    </row>
    <row r="1058" spans="1:22" s="79" customFormat="1" ht="36" customHeight="1" x14ac:dyDescent="0.5">
      <c r="A1058" s="79">
        <v>1</v>
      </c>
      <c r="B1058" s="85">
        <f>SUBTOTAL(103,$A$1026:A1058)</f>
        <v>33</v>
      </c>
      <c r="C1058" s="83" t="s">
        <v>2149</v>
      </c>
      <c r="D1058" s="233">
        <v>1989</v>
      </c>
      <c r="E1058" s="233"/>
      <c r="F1058" s="233" t="s">
        <v>256</v>
      </c>
      <c r="G1058" s="233">
        <v>9</v>
      </c>
      <c r="H1058" s="233">
        <v>1</v>
      </c>
      <c r="I1058" s="234">
        <v>3924.5</v>
      </c>
      <c r="J1058" s="234">
        <v>1948.1</v>
      </c>
      <c r="K1058" s="234">
        <v>1858.3</v>
      </c>
      <c r="L1058" s="235">
        <v>90</v>
      </c>
      <c r="M1058" s="233" t="s">
        <v>254</v>
      </c>
      <c r="N1058" s="233" t="s">
        <v>258</v>
      </c>
      <c r="O1058" s="236" t="s">
        <v>1301</v>
      </c>
      <c r="P1058" s="84">
        <v>4571398.28</v>
      </c>
      <c r="Q1058" s="234">
        <v>0</v>
      </c>
      <c r="R1058" s="234">
        <v>0</v>
      </c>
      <c r="S1058" s="234">
        <v>0</v>
      </c>
      <c r="T1058" s="234">
        <f t="shared" si="73"/>
        <v>4571398.28</v>
      </c>
      <c r="U1058" s="234">
        <f t="shared" si="72"/>
        <v>1164.8358466046632</v>
      </c>
      <c r="V1058" s="78">
        <v>2190.8885412154414</v>
      </c>
    </row>
    <row r="1059" spans="1:22" s="79" customFormat="1" ht="36" customHeight="1" x14ac:dyDescent="0.5">
      <c r="A1059" s="79">
        <v>1</v>
      </c>
      <c r="B1059" s="85">
        <f>SUBTOTAL(103,$A$1026:A1059)</f>
        <v>34</v>
      </c>
      <c r="C1059" s="83" t="s">
        <v>2150</v>
      </c>
      <c r="D1059" s="233">
        <v>1963</v>
      </c>
      <c r="E1059" s="233"/>
      <c r="F1059" s="233" t="s">
        <v>256</v>
      </c>
      <c r="G1059" s="233">
        <v>5</v>
      </c>
      <c r="H1059" s="233">
        <v>3</v>
      </c>
      <c r="I1059" s="234">
        <v>2516.1</v>
      </c>
      <c r="J1059" s="234">
        <v>2179.8000000000002</v>
      </c>
      <c r="K1059" s="234">
        <v>2179.8000000000002</v>
      </c>
      <c r="L1059" s="235">
        <v>130</v>
      </c>
      <c r="M1059" s="233" t="s">
        <v>254</v>
      </c>
      <c r="N1059" s="233" t="s">
        <v>258</v>
      </c>
      <c r="O1059" s="236" t="s">
        <v>1012</v>
      </c>
      <c r="P1059" s="84">
        <v>227428.61</v>
      </c>
      <c r="Q1059" s="234">
        <v>0</v>
      </c>
      <c r="R1059" s="234">
        <v>0</v>
      </c>
      <c r="S1059" s="234">
        <v>0</v>
      </c>
      <c r="T1059" s="234">
        <f t="shared" si="73"/>
        <v>227428.61</v>
      </c>
      <c r="U1059" s="234">
        <f t="shared" si="72"/>
        <v>90.389336671833391</v>
      </c>
      <c r="V1059" s="78">
        <v>90.389336671833391</v>
      </c>
    </row>
    <row r="1060" spans="1:22" s="79" customFormat="1" ht="36" customHeight="1" x14ac:dyDescent="0.5">
      <c r="A1060" s="79">
        <v>1</v>
      </c>
      <c r="B1060" s="85">
        <f>SUBTOTAL(103,$A$1026:A1060)</f>
        <v>35</v>
      </c>
      <c r="C1060" s="83" t="s">
        <v>2151</v>
      </c>
      <c r="D1060" s="233">
        <v>1976</v>
      </c>
      <c r="E1060" s="233"/>
      <c r="F1060" s="233" t="s">
        <v>298</v>
      </c>
      <c r="G1060" s="233">
        <v>5</v>
      </c>
      <c r="H1060" s="233">
        <v>6</v>
      </c>
      <c r="I1060" s="234">
        <v>4602</v>
      </c>
      <c r="J1060" s="234">
        <v>4550.8999999999996</v>
      </c>
      <c r="K1060" s="234">
        <v>4397.8999999999996</v>
      </c>
      <c r="L1060" s="235">
        <v>225</v>
      </c>
      <c r="M1060" s="233" t="s">
        <v>254</v>
      </c>
      <c r="N1060" s="233" t="s">
        <v>258</v>
      </c>
      <c r="O1060" s="236" t="s">
        <v>1301</v>
      </c>
      <c r="P1060" s="84">
        <v>8300644.2100000009</v>
      </c>
      <c r="Q1060" s="234">
        <v>0</v>
      </c>
      <c r="R1060" s="234">
        <v>0</v>
      </c>
      <c r="S1060" s="234">
        <v>0</v>
      </c>
      <c r="T1060" s="234">
        <f t="shared" si="73"/>
        <v>8300644.2100000009</v>
      </c>
      <c r="U1060" s="234">
        <f t="shared" si="72"/>
        <v>1803.7036527596699</v>
      </c>
      <c r="V1060" s="78">
        <v>2561.9027900912647</v>
      </c>
    </row>
    <row r="1061" spans="1:22" s="79" customFormat="1" ht="36" customHeight="1" x14ac:dyDescent="0.5">
      <c r="A1061" s="79">
        <v>1</v>
      </c>
      <c r="B1061" s="85">
        <f>SUBTOTAL(103,$A$1026:A1061)</f>
        <v>36</v>
      </c>
      <c r="C1061" s="83" t="s">
        <v>2308</v>
      </c>
      <c r="D1061" s="233">
        <v>1976</v>
      </c>
      <c r="E1061" s="233"/>
      <c r="F1061" s="233" t="s">
        <v>256</v>
      </c>
      <c r="G1061" s="233">
        <v>4</v>
      </c>
      <c r="H1061" s="233">
        <v>2</v>
      </c>
      <c r="I1061" s="234">
        <v>1667.6</v>
      </c>
      <c r="J1061" s="234">
        <v>1233.5</v>
      </c>
      <c r="K1061" s="234">
        <v>1233.5</v>
      </c>
      <c r="L1061" s="235">
        <v>57</v>
      </c>
      <c r="M1061" s="233" t="s">
        <v>254</v>
      </c>
      <c r="N1061" s="233" t="s">
        <v>258</v>
      </c>
      <c r="O1061" s="236" t="s">
        <v>1301</v>
      </c>
      <c r="P1061" s="84">
        <v>2794958.12</v>
      </c>
      <c r="Q1061" s="234">
        <v>0</v>
      </c>
      <c r="R1061" s="234">
        <v>0</v>
      </c>
      <c r="S1061" s="234">
        <v>0</v>
      </c>
      <c r="T1061" s="234">
        <f t="shared" si="73"/>
        <v>2794958.12</v>
      </c>
      <c r="U1061" s="234">
        <f t="shared" si="72"/>
        <v>1676.0362916766612</v>
      </c>
      <c r="V1061" s="78">
        <v>3089.8228764691776</v>
      </c>
    </row>
    <row r="1062" spans="1:22" s="79" customFormat="1" ht="36" customHeight="1" x14ac:dyDescent="0.5">
      <c r="A1062" s="79">
        <v>1</v>
      </c>
      <c r="B1062" s="85">
        <f>SUBTOTAL(103,$A$1026:A1062)</f>
        <v>37</v>
      </c>
      <c r="C1062" s="83" t="s">
        <v>2309</v>
      </c>
      <c r="D1062" s="233">
        <v>1988</v>
      </c>
      <c r="E1062" s="233"/>
      <c r="F1062" s="233" t="s">
        <v>256</v>
      </c>
      <c r="G1062" s="233">
        <v>9</v>
      </c>
      <c r="H1062" s="233">
        <v>1</v>
      </c>
      <c r="I1062" s="234">
        <v>2645.9</v>
      </c>
      <c r="J1062" s="234">
        <v>1463.3</v>
      </c>
      <c r="K1062" s="234">
        <v>1128</v>
      </c>
      <c r="L1062" s="235">
        <v>110</v>
      </c>
      <c r="M1062" s="233" t="s">
        <v>254</v>
      </c>
      <c r="N1062" s="233" t="s">
        <v>258</v>
      </c>
      <c r="O1062" s="236" t="s">
        <v>1545</v>
      </c>
      <c r="P1062" s="84">
        <v>1654261.91</v>
      </c>
      <c r="Q1062" s="234">
        <v>0</v>
      </c>
      <c r="R1062" s="234">
        <v>0</v>
      </c>
      <c r="S1062" s="234">
        <v>0</v>
      </c>
      <c r="T1062" s="234">
        <f t="shared" si="73"/>
        <v>1654261.91</v>
      </c>
      <c r="U1062" s="234">
        <f t="shared" si="72"/>
        <v>625.21709437242521</v>
      </c>
      <c r="V1062" s="78">
        <v>1780.7204202728751</v>
      </c>
    </row>
    <row r="1063" spans="1:22" s="79" customFormat="1" ht="36" customHeight="1" x14ac:dyDescent="0.5">
      <c r="A1063" s="79">
        <v>1</v>
      </c>
      <c r="B1063" s="85">
        <f>SUBTOTAL(103,$A$1026:A1063)</f>
        <v>38</v>
      </c>
      <c r="C1063" s="83" t="s">
        <v>2310</v>
      </c>
      <c r="D1063" s="233">
        <v>1969</v>
      </c>
      <c r="E1063" s="233"/>
      <c r="F1063" s="233" t="s">
        <v>256</v>
      </c>
      <c r="G1063" s="233">
        <v>5</v>
      </c>
      <c r="H1063" s="233">
        <v>6</v>
      </c>
      <c r="I1063" s="234">
        <v>4534.3</v>
      </c>
      <c r="J1063" s="234">
        <v>4534.3</v>
      </c>
      <c r="K1063" s="234">
        <v>4452.3</v>
      </c>
      <c r="L1063" s="235">
        <v>250</v>
      </c>
      <c r="M1063" s="233" t="s">
        <v>254</v>
      </c>
      <c r="N1063" s="233" t="s">
        <v>258</v>
      </c>
      <c r="O1063" s="236" t="s">
        <v>1303</v>
      </c>
      <c r="P1063" s="84">
        <v>9933195.0500000007</v>
      </c>
      <c r="Q1063" s="234">
        <v>0</v>
      </c>
      <c r="R1063" s="234">
        <v>0</v>
      </c>
      <c r="S1063" s="234">
        <v>0</v>
      </c>
      <c r="T1063" s="234">
        <f t="shared" si="73"/>
        <v>9933195.0500000007</v>
      </c>
      <c r="U1063" s="234">
        <f t="shared" si="72"/>
        <v>2190.6788368656685</v>
      </c>
      <c r="V1063" s="78">
        <v>3705.4823012151824</v>
      </c>
    </row>
    <row r="1064" spans="1:22" s="79" customFormat="1" ht="36" customHeight="1" x14ac:dyDescent="0.5">
      <c r="A1064" s="79">
        <v>1</v>
      </c>
      <c r="B1064" s="85">
        <f>SUBTOTAL(103,$A$1026:A1064)</f>
        <v>39</v>
      </c>
      <c r="C1064" s="83" t="s">
        <v>2311</v>
      </c>
      <c r="D1064" s="233">
        <v>1980</v>
      </c>
      <c r="E1064" s="233"/>
      <c r="F1064" s="233" t="s">
        <v>256</v>
      </c>
      <c r="G1064" s="233">
        <v>5</v>
      </c>
      <c r="H1064" s="233">
        <v>2</v>
      </c>
      <c r="I1064" s="234">
        <v>4698.3</v>
      </c>
      <c r="J1064" s="234">
        <v>1951.7</v>
      </c>
      <c r="K1064" s="234">
        <v>1745</v>
      </c>
      <c r="L1064" s="235">
        <v>350</v>
      </c>
      <c r="M1064" s="233" t="s">
        <v>254</v>
      </c>
      <c r="N1064" s="233" t="s">
        <v>258</v>
      </c>
      <c r="O1064" s="236" t="s">
        <v>1301</v>
      </c>
      <c r="P1064" s="84">
        <v>8897815.5099999998</v>
      </c>
      <c r="Q1064" s="234">
        <v>0</v>
      </c>
      <c r="R1064" s="234">
        <v>0</v>
      </c>
      <c r="S1064" s="234">
        <v>0</v>
      </c>
      <c r="T1064" s="234">
        <f t="shared" si="73"/>
        <v>8897815.5099999998</v>
      </c>
      <c r="U1064" s="234">
        <f t="shared" si="72"/>
        <v>1893.8372411297703</v>
      </c>
      <c r="V1064" s="78">
        <v>3454.4577400336289</v>
      </c>
    </row>
    <row r="1065" spans="1:22" s="79" customFormat="1" ht="36" customHeight="1" x14ac:dyDescent="0.5">
      <c r="A1065" s="79">
        <v>1</v>
      </c>
      <c r="B1065" s="85">
        <f>SUBTOTAL(103,$A$1026:A1065)</f>
        <v>40</v>
      </c>
      <c r="C1065" s="83" t="s">
        <v>2313</v>
      </c>
      <c r="D1065" s="233">
        <v>1974</v>
      </c>
      <c r="E1065" s="233"/>
      <c r="F1065" s="233" t="s">
        <v>298</v>
      </c>
      <c r="G1065" s="233">
        <v>9</v>
      </c>
      <c r="H1065" s="233">
        <v>4</v>
      </c>
      <c r="I1065" s="234">
        <v>7765.2</v>
      </c>
      <c r="J1065" s="234">
        <v>7765.2</v>
      </c>
      <c r="K1065" s="234">
        <v>7643.8</v>
      </c>
      <c r="L1065" s="235">
        <v>360</v>
      </c>
      <c r="M1065" s="233" t="s">
        <v>254</v>
      </c>
      <c r="N1065" s="233" t="s">
        <v>258</v>
      </c>
      <c r="O1065" s="236" t="s">
        <v>1303</v>
      </c>
      <c r="P1065" s="84">
        <v>8329339.1400000006</v>
      </c>
      <c r="Q1065" s="234">
        <v>0</v>
      </c>
      <c r="R1065" s="234">
        <v>0</v>
      </c>
      <c r="S1065" s="234">
        <v>0</v>
      </c>
      <c r="T1065" s="234">
        <f t="shared" si="73"/>
        <v>8329339.1400000006</v>
      </c>
      <c r="U1065" s="234">
        <f t="shared" si="72"/>
        <v>1072.6496600216351</v>
      </c>
      <c r="V1065" s="78">
        <v>1859.4239942306701</v>
      </c>
    </row>
    <row r="1066" spans="1:22" s="79" customFormat="1" ht="36" customHeight="1" x14ac:dyDescent="0.5">
      <c r="A1066" s="79">
        <v>1</v>
      </c>
      <c r="B1066" s="85">
        <f>SUBTOTAL(103,$A$1026:A1066)</f>
        <v>41</v>
      </c>
      <c r="C1066" s="83" t="s">
        <v>2314</v>
      </c>
      <c r="D1066" s="233">
        <v>1980</v>
      </c>
      <c r="E1066" s="233"/>
      <c r="F1066" s="233" t="s">
        <v>256</v>
      </c>
      <c r="G1066" s="233">
        <v>5</v>
      </c>
      <c r="H1066" s="233">
        <v>1</v>
      </c>
      <c r="I1066" s="234">
        <v>3667.4</v>
      </c>
      <c r="J1066" s="234">
        <v>2482.3000000000002</v>
      </c>
      <c r="K1066" s="234">
        <v>2285.5</v>
      </c>
      <c r="L1066" s="235">
        <v>410</v>
      </c>
      <c r="M1066" s="233" t="s">
        <v>254</v>
      </c>
      <c r="N1066" s="233" t="s">
        <v>258</v>
      </c>
      <c r="O1066" s="236" t="s">
        <v>1301</v>
      </c>
      <c r="P1066" s="84">
        <v>4609885.78</v>
      </c>
      <c r="Q1066" s="234">
        <v>0</v>
      </c>
      <c r="R1066" s="234">
        <v>0</v>
      </c>
      <c r="S1066" s="234">
        <v>0</v>
      </c>
      <c r="T1066" s="234">
        <f t="shared" si="73"/>
        <v>4609885.78</v>
      </c>
      <c r="U1066" s="234">
        <f t="shared" si="72"/>
        <v>1256.9901783279709</v>
      </c>
      <c r="V1066" s="78">
        <v>3049.5987478867864</v>
      </c>
    </row>
    <row r="1067" spans="1:22" s="79" customFormat="1" ht="36" customHeight="1" x14ac:dyDescent="0.5">
      <c r="A1067" s="79">
        <v>1</v>
      </c>
      <c r="B1067" s="85">
        <f>SUBTOTAL(103,$A$1026:A1067)</f>
        <v>42</v>
      </c>
      <c r="C1067" s="83" t="s">
        <v>542</v>
      </c>
      <c r="D1067" s="233" t="s">
        <v>354</v>
      </c>
      <c r="E1067" s="233"/>
      <c r="F1067" s="233" t="s">
        <v>298</v>
      </c>
      <c r="G1067" s="233" t="s">
        <v>337</v>
      </c>
      <c r="H1067" s="233" t="s">
        <v>295</v>
      </c>
      <c r="I1067" s="234">
        <v>4042.4</v>
      </c>
      <c r="J1067" s="234">
        <v>3045.4</v>
      </c>
      <c r="K1067" s="234">
        <v>2978.7</v>
      </c>
      <c r="L1067" s="235">
        <v>118</v>
      </c>
      <c r="M1067" s="233" t="s">
        <v>254</v>
      </c>
      <c r="N1067" s="233" t="s">
        <v>258</v>
      </c>
      <c r="O1067" s="236" t="s">
        <v>1241</v>
      </c>
      <c r="P1067" s="84">
        <v>5205529.72</v>
      </c>
      <c r="Q1067" s="234">
        <v>0</v>
      </c>
      <c r="R1067" s="234">
        <v>0</v>
      </c>
      <c r="S1067" s="234">
        <v>0</v>
      </c>
      <c r="T1067" s="234">
        <f t="shared" si="73"/>
        <v>5205529.72</v>
      </c>
      <c r="U1067" s="234">
        <f t="shared" si="72"/>
        <v>1287.7324658618641</v>
      </c>
      <c r="V1067" s="78">
        <v>1990.5613219869385</v>
      </c>
    </row>
    <row r="1068" spans="1:22" s="79" customFormat="1" ht="36" customHeight="1" x14ac:dyDescent="0.5">
      <c r="A1068" s="79">
        <v>1</v>
      </c>
      <c r="B1068" s="85">
        <f>SUBTOTAL(103,$A$1026:A1068)</f>
        <v>43</v>
      </c>
      <c r="C1068" s="83" t="s">
        <v>1795</v>
      </c>
      <c r="D1068" s="233">
        <v>1970</v>
      </c>
      <c r="E1068" s="233"/>
      <c r="F1068" s="233" t="s">
        <v>1479</v>
      </c>
      <c r="G1068" s="233" t="s">
        <v>295</v>
      </c>
      <c r="H1068" s="233" t="s">
        <v>291</v>
      </c>
      <c r="I1068" s="234">
        <v>1694.4</v>
      </c>
      <c r="J1068" s="234">
        <v>1418.1</v>
      </c>
      <c r="K1068" s="234">
        <v>1418.1</v>
      </c>
      <c r="L1068" s="235">
        <v>111</v>
      </c>
      <c r="M1068" s="233" t="s">
        <v>254</v>
      </c>
      <c r="N1068" s="233" t="s">
        <v>258</v>
      </c>
      <c r="O1068" s="236" t="s">
        <v>2126</v>
      </c>
      <c r="P1068" s="84">
        <v>7074085.5300000003</v>
      </c>
      <c r="Q1068" s="234">
        <v>0</v>
      </c>
      <c r="R1068" s="234">
        <v>0</v>
      </c>
      <c r="S1068" s="234">
        <v>0</v>
      </c>
      <c r="T1068" s="234">
        <f t="shared" si="73"/>
        <v>7074085.5300000003</v>
      </c>
      <c r="U1068" s="234">
        <f t="shared" si="72"/>
        <v>4174.9796565155802</v>
      </c>
      <c r="V1068" s="78">
        <v>4373.8268626062318</v>
      </c>
    </row>
    <row r="1069" spans="1:22" s="79" customFormat="1" ht="36" customHeight="1" x14ac:dyDescent="0.5">
      <c r="A1069" s="79">
        <v>1</v>
      </c>
      <c r="B1069" s="85">
        <f>SUBTOTAL(103,$A$1026:A1069)</f>
        <v>44</v>
      </c>
      <c r="C1069" s="83" t="s">
        <v>547</v>
      </c>
      <c r="D1069" s="233" t="s">
        <v>297</v>
      </c>
      <c r="E1069" s="233"/>
      <c r="F1069" s="233" t="s">
        <v>298</v>
      </c>
      <c r="G1069" s="233" t="s">
        <v>337</v>
      </c>
      <c r="H1069" s="233" t="s">
        <v>299</v>
      </c>
      <c r="I1069" s="234">
        <v>2249.1</v>
      </c>
      <c r="J1069" s="234">
        <v>2046.7</v>
      </c>
      <c r="K1069" s="234">
        <v>2046.7</v>
      </c>
      <c r="L1069" s="235">
        <v>100</v>
      </c>
      <c r="M1069" s="233" t="s">
        <v>254</v>
      </c>
      <c r="N1069" s="233" t="s">
        <v>258</v>
      </c>
      <c r="O1069" s="236" t="s">
        <v>1302</v>
      </c>
      <c r="P1069" s="84">
        <v>1796938.32</v>
      </c>
      <c r="Q1069" s="234">
        <v>0</v>
      </c>
      <c r="R1069" s="234">
        <v>0</v>
      </c>
      <c r="S1069" s="234">
        <v>0</v>
      </c>
      <c r="T1069" s="234">
        <f t="shared" si="73"/>
        <v>1796938.32</v>
      </c>
      <c r="U1069" s="234">
        <f t="shared" si="72"/>
        <v>798.95883686808065</v>
      </c>
      <c r="V1069" s="78">
        <v>2476.213205282113</v>
      </c>
    </row>
    <row r="1070" spans="1:22" s="79" customFormat="1" ht="36" customHeight="1" x14ac:dyDescent="0.5">
      <c r="A1070" s="79">
        <v>1</v>
      </c>
      <c r="B1070" s="85">
        <f>SUBTOTAL(103,$A$1026:A1070)</f>
        <v>45</v>
      </c>
      <c r="C1070" s="83" t="s">
        <v>471</v>
      </c>
      <c r="D1070" s="233">
        <v>1995</v>
      </c>
      <c r="E1070" s="233"/>
      <c r="F1070" s="233" t="s">
        <v>256</v>
      </c>
      <c r="G1070" s="233">
        <v>9</v>
      </c>
      <c r="H1070" s="233" t="s">
        <v>291</v>
      </c>
      <c r="I1070" s="234">
        <v>6176.6</v>
      </c>
      <c r="J1070" s="234">
        <v>5017.5</v>
      </c>
      <c r="K1070" s="234">
        <v>4212.5</v>
      </c>
      <c r="L1070" s="235">
        <v>299</v>
      </c>
      <c r="M1070" s="233" t="s">
        <v>254</v>
      </c>
      <c r="N1070" s="233" t="s">
        <v>258</v>
      </c>
      <c r="O1070" s="236" t="s">
        <v>1011</v>
      </c>
      <c r="P1070" s="84">
        <v>3861909.9</v>
      </c>
      <c r="Q1070" s="234">
        <v>0</v>
      </c>
      <c r="R1070" s="234">
        <v>0</v>
      </c>
      <c r="S1070" s="234">
        <v>0</v>
      </c>
      <c r="T1070" s="234">
        <f t="shared" si="73"/>
        <v>3861909.9</v>
      </c>
      <c r="U1070" s="234">
        <f t="shared" si="72"/>
        <v>625.24850241233037</v>
      </c>
      <c r="V1070" s="78">
        <v>1463.1650989864972</v>
      </c>
    </row>
    <row r="1071" spans="1:22" s="79" customFormat="1" ht="36" customHeight="1" x14ac:dyDescent="0.5">
      <c r="A1071" s="79">
        <v>1</v>
      </c>
      <c r="B1071" s="85">
        <f>SUBTOTAL(103,$A$1026:A1071)</f>
        <v>46</v>
      </c>
      <c r="C1071" s="83" t="s">
        <v>472</v>
      </c>
      <c r="D1071" s="233">
        <v>1988</v>
      </c>
      <c r="E1071" s="233"/>
      <c r="F1071" s="233" t="s">
        <v>256</v>
      </c>
      <c r="G1071" s="233">
        <v>5</v>
      </c>
      <c r="H1071" s="233" t="s">
        <v>290</v>
      </c>
      <c r="I1071" s="234">
        <v>1410.8</v>
      </c>
      <c r="J1071" s="234">
        <v>1242.3</v>
      </c>
      <c r="K1071" s="234">
        <v>1242.3</v>
      </c>
      <c r="L1071" s="235">
        <v>70</v>
      </c>
      <c r="M1071" s="233" t="s">
        <v>254</v>
      </c>
      <c r="N1071" s="233" t="s">
        <v>258</v>
      </c>
      <c r="O1071" s="236" t="s">
        <v>1011</v>
      </c>
      <c r="P1071" s="84">
        <v>2017630.48</v>
      </c>
      <c r="Q1071" s="234">
        <v>0</v>
      </c>
      <c r="R1071" s="234">
        <v>0</v>
      </c>
      <c r="S1071" s="234">
        <v>0</v>
      </c>
      <c r="T1071" s="234">
        <f t="shared" si="73"/>
        <v>2017630.48</v>
      </c>
      <c r="U1071" s="234">
        <f t="shared" si="72"/>
        <v>1430.1321803232208</v>
      </c>
      <c r="V1071" s="78">
        <v>3090.8888012475195</v>
      </c>
    </row>
    <row r="1072" spans="1:22" s="79" customFormat="1" ht="36" customHeight="1" x14ac:dyDescent="0.5">
      <c r="A1072" s="79">
        <v>1</v>
      </c>
      <c r="B1072" s="85">
        <f>SUBTOTAL(103,$A$1026:A1072)</f>
        <v>47</v>
      </c>
      <c r="C1072" s="83" t="s">
        <v>1518</v>
      </c>
      <c r="D1072" s="233">
        <v>1959</v>
      </c>
      <c r="E1072" s="233"/>
      <c r="F1072" s="233" t="s">
        <v>256</v>
      </c>
      <c r="G1072" s="233">
        <v>3</v>
      </c>
      <c r="H1072" s="233" t="s">
        <v>299</v>
      </c>
      <c r="I1072" s="234">
        <v>1365.9</v>
      </c>
      <c r="J1072" s="234">
        <v>1149.9000000000001</v>
      </c>
      <c r="K1072" s="234">
        <v>1149.9000000000001</v>
      </c>
      <c r="L1072" s="235">
        <v>40</v>
      </c>
      <c r="M1072" s="233" t="s">
        <v>254</v>
      </c>
      <c r="N1072" s="233" t="s">
        <v>258</v>
      </c>
      <c r="O1072" s="236" t="s">
        <v>1315</v>
      </c>
      <c r="P1072" s="84">
        <v>6818257.3399999999</v>
      </c>
      <c r="Q1072" s="234">
        <v>0</v>
      </c>
      <c r="R1072" s="234">
        <v>0</v>
      </c>
      <c r="S1072" s="234">
        <v>0</v>
      </c>
      <c r="T1072" s="234">
        <f t="shared" si="73"/>
        <v>6818257.3399999999</v>
      </c>
      <c r="U1072" s="234">
        <f t="shared" si="72"/>
        <v>4991.7690460502226</v>
      </c>
      <c r="V1072" s="78">
        <v>5328.8771688996267</v>
      </c>
    </row>
    <row r="1073" spans="1:22" s="79" customFormat="1" ht="36" customHeight="1" x14ac:dyDescent="0.5">
      <c r="A1073" s="79">
        <v>1</v>
      </c>
      <c r="B1073" s="85">
        <f>SUBTOTAL(103,$A$1026:A1073)</f>
        <v>48</v>
      </c>
      <c r="C1073" s="83" t="s">
        <v>746</v>
      </c>
      <c r="D1073" s="233">
        <v>1987</v>
      </c>
      <c r="E1073" s="233"/>
      <c r="F1073" s="233" t="s">
        <v>298</v>
      </c>
      <c r="G1073" s="233">
        <v>9</v>
      </c>
      <c r="H1073" s="233" t="s">
        <v>337</v>
      </c>
      <c r="I1073" s="234">
        <v>10923.8</v>
      </c>
      <c r="J1073" s="234">
        <v>9687.5</v>
      </c>
      <c r="K1073" s="234">
        <v>9446.6</v>
      </c>
      <c r="L1073" s="235">
        <v>489</v>
      </c>
      <c r="M1073" s="233" t="s">
        <v>254</v>
      </c>
      <c r="N1073" s="233" t="s">
        <v>258</v>
      </c>
      <c r="O1073" s="236" t="s">
        <v>1301</v>
      </c>
      <c r="P1073" s="84">
        <v>10890309.390000001</v>
      </c>
      <c r="Q1073" s="234">
        <v>0</v>
      </c>
      <c r="R1073" s="234">
        <v>0</v>
      </c>
      <c r="S1073" s="234">
        <v>0</v>
      </c>
      <c r="T1073" s="234">
        <f t="shared" si="73"/>
        <v>10890309.390000001</v>
      </c>
      <c r="U1073" s="234">
        <f t="shared" si="72"/>
        <v>996.93416118932987</v>
      </c>
      <c r="V1073" s="78">
        <v>1403.7840426225307</v>
      </c>
    </row>
    <row r="1074" spans="1:22" s="79" customFormat="1" ht="36" customHeight="1" x14ac:dyDescent="0.5">
      <c r="A1074" s="79">
        <v>1</v>
      </c>
      <c r="B1074" s="85">
        <f>SUBTOTAL(103,$A$1026:A1074)</f>
        <v>49</v>
      </c>
      <c r="C1074" s="83" t="s">
        <v>527</v>
      </c>
      <c r="D1074" s="233">
        <v>1985</v>
      </c>
      <c r="E1074" s="233"/>
      <c r="F1074" s="233" t="s">
        <v>298</v>
      </c>
      <c r="G1074" s="233">
        <v>2</v>
      </c>
      <c r="H1074" s="233" t="s">
        <v>290</v>
      </c>
      <c r="I1074" s="234">
        <v>626.1</v>
      </c>
      <c r="J1074" s="234">
        <v>568.4</v>
      </c>
      <c r="K1074" s="234">
        <v>568.4</v>
      </c>
      <c r="L1074" s="235">
        <v>44</v>
      </c>
      <c r="M1074" s="233" t="s">
        <v>254</v>
      </c>
      <c r="N1074" s="233" t="s">
        <v>258</v>
      </c>
      <c r="O1074" s="236" t="s">
        <v>1301</v>
      </c>
      <c r="P1074" s="84">
        <v>2761337.88</v>
      </c>
      <c r="Q1074" s="234">
        <v>0</v>
      </c>
      <c r="R1074" s="234">
        <v>0</v>
      </c>
      <c r="S1074" s="234">
        <v>0</v>
      </c>
      <c r="T1074" s="234">
        <f t="shared" si="73"/>
        <v>2761337.88</v>
      </c>
      <c r="U1074" s="234">
        <f t="shared" si="72"/>
        <v>4410.3783421178723</v>
      </c>
      <c r="V1074" s="78">
        <v>8557.2001316083679</v>
      </c>
    </row>
    <row r="1075" spans="1:22" s="79" customFormat="1" ht="36" customHeight="1" x14ac:dyDescent="0.5">
      <c r="A1075" s="79">
        <v>1</v>
      </c>
      <c r="B1075" s="85">
        <f>SUBTOTAL(103,$A$1026:A1075)</f>
        <v>50</v>
      </c>
      <c r="C1075" s="83" t="s">
        <v>533</v>
      </c>
      <c r="D1075" s="233" t="s">
        <v>346</v>
      </c>
      <c r="E1075" s="233"/>
      <c r="F1075" s="233" t="s">
        <v>256</v>
      </c>
      <c r="G1075" s="233" t="s">
        <v>295</v>
      </c>
      <c r="H1075" s="233" t="s">
        <v>299</v>
      </c>
      <c r="I1075" s="234">
        <v>2170</v>
      </c>
      <c r="J1075" s="234">
        <v>2000.7</v>
      </c>
      <c r="K1075" s="234">
        <v>2000.7</v>
      </c>
      <c r="L1075" s="235">
        <v>125</v>
      </c>
      <c r="M1075" s="233" t="s">
        <v>254</v>
      </c>
      <c r="N1075" s="233" t="s">
        <v>258</v>
      </c>
      <c r="O1075" s="236" t="s">
        <v>1012</v>
      </c>
      <c r="P1075" s="84">
        <v>5836755.5700000003</v>
      </c>
      <c r="Q1075" s="234">
        <v>0</v>
      </c>
      <c r="R1075" s="234">
        <v>0</v>
      </c>
      <c r="S1075" s="234">
        <v>0</v>
      </c>
      <c r="T1075" s="234">
        <f t="shared" si="73"/>
        <v>5836755.5700000003</v>
      </c>
      <c r="U1075" s="234">
        <f t="shared" si="72"/>
        <v>2689.7491105990784</v>
      </c>
      <c r="V1075" s="78">
        <v>4072.8910352073731</v>
      </c>
    </row>
    <row r="1076" spans="1:22" s="79" customFormat="1" ht="36" customHeight="1" x14ac:dyDescent="0.5">
      <c r="A1076" s="79">
        <v>1</v>
      </c>
      <c r="B1076" s="85">
        <f>SUBTOTAL(103,$A$1026:A1076)</f>
        <v>51</v>
      </c>
      <c r="C1076" s="83" t="s">
        <v>2320</v>
      </c>
      <c r="D1076" s="233">
        <v>1975</v>
      </c>
      <c r="E1076" s="233"/>
      <c r="F1076" s="233" t="s">
        <v>304</v>
      </c>
      <c r="G1076" s="233">
        <v>5</v>
      </c>
      <c r="H1076" s="233">
        <v>4</v>
      </c>
      <c r="I1076" s="234">
        <v>4051.1</v>
      </c>
      <c r="J1076" s="234">
        <v>3064</v>
      </c>
      <c r="K1076" s="234">
        <v>2752.8</v>
      </c>
      <c r="L1076" s="235">
        <v>143</v>
      </c>
      <c r="M1076" s="233" t="s">
        <v>254</v>
      </c>
      <c r="N1076" s="233" t="s">
        <v>258</v>
      </c>
      <c r="O1076" s="236" t="s">
        <v>1241</v>
      </c>
      <c r="P1076" s="84">
        <v>3064413.28</v>
      </c>
      <c r="Q1076" s="234">
        <v>0</v>
      </c>
      <c r="R1076" s="234">
        <v>0</v>
      </c>
      <c r="S1076" s="234">
        <v>0</v>
      </c>
      <c r="T1076" s="234">
        <f t="shared" si="73"/>
        <v>3064413.28</v>
      </c>
      <c r="U1076" s="234">
        <f t="shared" si="72"/>
        <v>756.43980153538541</v>
      </c>
      <c r="V1076" s="78">
        <v>1996.4697983263804</v>
      </c>
    </row>
    <row r="1077" spans="1:22" s="79" customFormat="1" ht="36" customHeight="1" x14ac:dyDescent="0.5">
      <c r="A1077" s="79">
        <v>1</v>
      </c>
      <c r="B1077" s="85">
        <f>SUBTOTAL(103,$A$1026:A1077)</f>
        <v>52</v>
      </c>
      <c r="C1077" s="83" t="s">
        <v>1300</v>
      </c>
      <c r="D1077" s="233">
        <v>1976</v>
      </c>
      <c r="E1077" s="233"/>
      <c r="F1077" s="233" t="s">
        <v>256</v>
      </c>
      <c r="G1077" s="233">
        <v>5</v>
      </c>
      <c r="H1077" s="233" t="s">
        <v>2125</v>
      </c>
      <c r="I1077" s="234">
        <v>18701</v>
      </c>
      <c r="J1077" s="234">
        <v>10438.450000000001</v>
      </c>
      <c r="K1077" s="234">
        <v>6661.1</v>
      </c>
      <c r="L1077" s="235">
        <v>448</v>
      </c>
      <c r="M1077" s="233" t="s">
        <v>254</v>
      </c>
      <c r="N1077" s="233" t="s">
        <v>258</v>
      </c>
      <c r="O1077" s="236" t="s">
        <v>1317</v>
      </c>
      <c r="P1077" s="84">
        <v>25975098.710000001</v>
      </c>
      <c r="Q1077" s="234">
        <v>0</v>
      </c>
      <c r="R1077" s="234">
        <v>0</v>
      </c>
      <c r="S1077" s="234">
        <v>0</v>
      </c>
      <c r="T1077" s="234">
        <f t="shared" si="73"/>
        <v>25975098.710000001</v>
      </c>
      <c r="U1077" s="234">
        <f t="shared" si="72"/>
        <v>1388.9684353777873</v>
      </c>
      <c r="V1077" s="78">
        <v>2139.842054649484</v>
      </c>
    </row>
    <row r="1078" spans="1:22" s="79" customFormat="1" ht="36" customHeight="1" x14ac:dyDescent="0.5">
      <c r="A1078" s="79">
        <v>1</v>
      </c>
      <c r="B1078" s="85">
        <f>SUBTOTAL(103,$A$1026:A1078)</f>
        <v>53</v>
      </c>
      <c r="C1078" s="83" t="s">
        <v>510</v>
      </c>
      <c r="D1078" s="233" t="s">
        <v>340</v>
      </c>
      <c r="E1078" s="233"/>
      <c r="F1078" s="233" t="s">
        <v>256</v>
      </c>
      <c r="G1078" s="233" t="s">
        <v>299</v>
      </c>
      <c r="H1078" s="233" t="s">
        <v>290</v>
      </c>
      <c r="I1078" s="234">
        <v>944.2</v>
      </c>
      <c r="J1078" s="234">
        <v>863.6</v>
      </c>
      <c r="K1078" s="234">
        <v>863.6</v>
      </c>
      <c r="L1078" s="235">
        <v>47</v>
      </c>
      <c r="M1078" s="233" t="s">
        <v>254</v>
      </c>
      <c r="N1078" s="233" t="s">
        <v>258</v>
      </c>
      <c r="O1078" s="236" t="s">
        <v>1315</v>
      </c>
      <c r="P1078" s="84">
        <v>3535766.8</v>
      </c>
      <c r="Q1078" s="234">
        <v>0</v>
      </c>
      <c r="R1078" s="234">
        <v>0</v>
      </c>
      <c r="S1078" s="234">
        <v>0</v>
      </c>
      <c r="T1078" s="234">
        <f t="shared" si="73"/>
        <v>3535766.8</v>
      </c>
      <c r="U1078" s="234">
        <f t="shared" si="72"/>
        <v>3744.7223045964834</v>
      </c>
      <c r="V1078" s="78">
        <v>5780.8730641813172</v>
      </c>
    </row>
    <row r="1079" spans="1:22" s="79" customFormat="1" ht="36" customHeight="1" x14ac:dyDescent="0.5">
      <c r="A1079" s="79">
        <v>1</v>
      </c>
      <c r="B1079" s="85">
        <f>SUBTOTAL(103,$A$1026:A1079)</f>
        <v>54</v>
      </c>
      <c r="C1079" s="83" t="s">
        <v>743</v>
      </c>
      <c r="D1079" s="233">
        <v>1961</v>
      </c>
      <c r="E1079" s="233"/>
      <c r="F1079" s="233" t="s">
        <v>256</v>
      </c>
      <c r="G1079" s="233">
        <v>4</v>
      </c>
      <c r="H1079" s="233" t="s">
        <v>290</v>
      </c>
      <c r="I1079" s="234">
        <v>1116.9000000000001</v>
      </c>
      <c r="J1079" s="234">
        <v>860.4</v>
      </c>
      <c r="K1079" s="234">
        <v>748.8</v>
      </c>
      <c r="L1079" s="235">
        <v>36</v>
      </c>
      <c r="M1079" s="233" t="s">
        <v>254</v>
      </c>
      <c r="N1079" s="233" t="s">
        <v>258</v>
      </c>
      <c r="O1079" s="236" t="s">
        <v>1494</v>
      </c>
      <c r="P1079" s="84">
        <v>3645099.71</v>
      </c>
      <c r="Q1079" s="234">
        <v>0</v>
      </c>
      <c r="R1079" s="234">
        <v>0</v>
      </c>
      <c r="S1079" s="234">
        <v>0</v>
      </c>
      <c r="T1079" s="234">
        <f t="shared" si="73"/>
        <v>3645099.71</v>
      </c>
      <c r="U1079" s="234">
        <f t="shared" si="72"/>
        <v>3263.5864535768642</v>
      </c>
      <c r="V1079" s="78">
        <v>5030.0870265914582</v>
      </c>
    </row>
    <row r="1080" spans="1:22" s="79" customFormat="1" ht="36" customHeight="1" x14ac:dyDescent="0.5">
      <c r="A1080" s="79">
        <v>1</v>
      </c>
      <c r="B1080" s="85">
        <f>SUBTOTAL(103,$A$1026:A1080)</f>
        <v>55</v>
      </c>
      <c r="C1080" s="83" t="s">
        <v>525</v>
      </c>
      <c r="D1080" s="233" t="s">
        <v>348</v>
      </c>
      <c r="E1080" s="233"/>
      <c r="F1080" s="233" t="s">
        <v>316</v>
      </c>
      <c r="G1080" s="233" t="s">
        <v>290</v>
      </c>
      <c r="H1080" s="233" t="s">
        <v>290</v>
      </c>
      <c r="I1080" s="234">
        <v>583.5</v>
      </c>
      <c r="J1080" s="234">
        <v>558.1</v>
      </c>
      <c r="K1080" s="234">
        <v>558.1</v>
      </c>
      <c r="L1080" s="235">
        <v>39</v>
      </c>
      <c r="M1080" s="233" t="s">
        <v>254</v>
      </c>
      <c r="N1080" s="233" t="s">
        <v>258</v>
      </c>
      <c r="O1080" s="236" t="s">
        <v>1544</v>
      </c>
      <c r="P1080" s="84">
        <v>2744367.54</v>
      </c>
      <c r="Q1080" s="234">
        <v>0</v>
      </c>
      <c r="R1080" s="234">
        <v>0</v>
      </c>
      <c r="S1080" s="234">
        <v>0</v>
      </c>
      <c r="T1080" s="234">
        <f t="shared" si="73"/>
        <v>2744367.54</v>
      </c>
      <c r="U1080" s="234">
        <f t="shared" si="72"/>
        <v>4703.2862724935731</v>
      </c>
      <c r="V1080" s="78">
        <v>10086.907482433589</v>
      </c>
    </row>
    <row r="1081" spans="1:22" s="79" customFormat="1" ht="36" customHeight="1" x14ac:dyDescent="0.5">
      <c r="A1081" s="79">
        <v>1</v>
      </c>
      <c r="B1081" s="85">
        <f>SUBTOTAL(103,$A$1026:A1081)</f>
        <v>56</v>
      </c>
      <c r="C1081" s="83" t="s">
        <v>1041</v>
      </c>
      <c r="D1081" s="233">
        <v>1959</v>
      </c>
      <c r="E1081" s="233"/>
      <c r="F1081" s="233" t="s">
        <v>256</v>
      </c>
      <c r="G1081" s="233" t="s">
        <v>299</v>
      </c>
      <c r="H1081" s="233" t="s">
        <v>299</v>
      </c>
      <c r="I1081" s="234">
        <v>1764.5</v>
      </c>
      <c r="J1081" s="234">
        <v>2310</v>
      </c>
      <c r="K1081" s="234">
        <v>1604.9</v>
      </c>
      <c r="L1081" s="235">
        <v>64</v>
      </c>
      <c r="M1081" s="233" t="s">
        <v>254</v>
      </c>
      <c r="N1081" s="233" t="s">
        <v>258</v>
      </c>
      <c r="O1081" s="236" t="s">
        <v>1316</v>
      </c>
      <c r="P1081" s="84">
        <v>4372140.37</v>
      </c>
      <c r="Q1081" s="234">
        <v>0</v>
      </c>
      <c r="R1081" s="234">
        <v>0</v>
      </c>
      <c r="S1081" s="234">
        <v>0</v>
      </c>
      <c r="T1081" s="234">
        <f t="shared" si="73"/>
        <v>4372140.37</v>
      </c>
      <c r="U1081" s="234">
        <f t="shared" ref="U1081:U1141" si="74">P1081/I1081</f>
        <v>2477.8352904505527</v>
      </c>
      <c r="V1081" s="78">
        <v>7095.9931926324734</v>
      </c>
    </row>
    <row r="1082" spans="1:22" s="79" customFormat="1" ht="36" customHeight="1" x14ac:dyDescent="0.5">
      <c r="A1082" s="79">
        <v>1</v>
      </c>
      <c r="B1082" s="85">
        <f>SUBTOTAL(103,$A$1026:A1082)</f>
        <v>57</v>
      </c>
      <c r="C1082" s="83" t="s">
        <v>744</v>
      </c>
      <c r="D1082" s="233">
        <v>1963</v>
      </c>
      <c r="E1082" s="233"/>
      <c r="F1082" s="233" t="s">
        <v>256</v>
      </c>
      <c r="G1082" s="233">
        <v>4</v>
      </c>
      <c r="H1082" s="233" t="s">
        <v>290</v>
      </c>
      <c r="I1082" s="234">
        <v>1438.7</v>
      </c>
      <c r="J1082" s="234">
        <v>1260.7</v>
      </c>
      <c r="K1082" s="234">
        <v>1260.7</v>
      </c>
      <c r="L1082" s="235">
        <v>54</v>
      </c>
      <c r="M1082" s="233" t="s">
        <v>254</v>
      </c>
      <c r="N1082" s="233" t="s">
        <v>286</v>
      </c>
      <c r="O1082" s="236" t="s">
        <v>757</v>
      </c>
      <c r="P1082" s="84">
        <v>3969907.78</v>
      </c>
      <c r="Q1082" s="234">
        <v>0</v>
      </c>
      <c r="R1082" s="234">
        <v>0</v>
      </c>
      <c r="S1082" s="234">
        <v>0</v>
      </c>
      <c r="T1082" s="234">
        <f t="shared" ref="T1082:T1104" si="75">P1082-Q1082-R1082-S1082</f>
        <v>3969907.78</v>
      </c>
      <c r="U1082" s="234">
        <f t="shared" si="74"/>
        <v>2759.3715020504619</v>
      </c>
      <c r="V1082" s="78">
        <v>3999.3099325780217</v>
      </c>
    </row>
    <row r="1083" spans="1:22" s="79" customFormat="1" ht="36" customHeight="1" x14ac:dyDescent="0.5">
      <c r="A1083" s="79">
        <v>1</v>
      </c>
      <c r="B1083" s="85">
        <f>SUBTOTAL(103,$A$1026:A1083)</f>
        <v>58</v>
      </c>
      <c r="C1083" s="83" t="s">
        <v>528</v>
      </c>
      <c r="D1083" s="233">
        <v>1977</v>
      </c>
      <c r="E1083" s="233"/>
      <c r="F1083" s="233" t="s">
        <v>256</v>
      </c>
      <c r="G1083" s="233">
        <v>2</v>
      </c>
      <c r="H1083" s="233" t="s">
        <v>290</v>
      </c>
      <c r="I1083" s="234">
        <v>814.4</v>
      </c>
      <c r="J1083" s="234">
        <v>814.4</v>
      </c>
      <c r="K1083" s="234">
        <v>814.4</v>
      </c>
      <c r="L1083" s="235">
        <v>45</v>
      </c>
      <c r="M1083" s="233" t="s">
        <v>254</v>
      </c>
      <c r="N1083" s="233" t="s">
        <v>258</v>
      </c>
      <c r="O1083" s="236" t="s">
        <v>1534</v>
      </c>
      <c r="P1083" s="84">
        <v>4502243.3600000003</v>
      </c>
      <c r="Q1083" s="234">
        <v>0</v>
      </c>
      <c r="R1083" s="234">
        <v>0</v>
      </c>
      <c r="S1083" s="234">
        <v>0</v>
      </c>
      <c r="T1083" s="234">
        <f t="shared" si="75"/>
        <v>4502243.3600000003</v>
      </c>
      <c r="U1083" s="234">
        <f t="shared" si="74"/>
        <v>5528.2948919449909</v>
      </c>
      <c r="V1083" s="78">
        <v>9011.3190569744602</v>
      </c>
    </row>
    <row r="1084" spans="1:22" s="79" customFormat="1" ht="36" customHeight="1" x14ac:dyDescent="0.5">
      <c r="A1084" s="79">
        <v>1</v>
      </c>
      <c r="B1084" s="85">
        <f>SUBTOTAL(103,$A$1026:A1084)</f>
        <v>59</v>
      </c>
      <c r="C1084" s="83" t="s">
        <v>1515</v>
      </c>
      <c r="D1084" s="233">
        <v>1985</v>
      </c>
      <c r="E1084" s="233"/>
      <c r="F1084" s="233" t="s">
        <v>256</v>
      </c>
      <c r="G1084" s="233">
        <v>7</v>
      </c>
      <c r="H1084" s="233" t="s">
        <v>355</v>
      </c>
      <c r="I1084" s="234">
        <v>11373.5</v>
      </c>
      <c r="J1084" s="234">
        <v>10283</v>
      </c>
      <c r="K1084" s="234">
        <v>9429.1</v>
      </c>
      <c r="L1084" s="235">
        <v>450</v>
      </c>
      <c r="M1084" s="233" t="s">
        <v>254</v>
      </c>
      <c r="N1084" s="233" t="s">
        <v>258</v>
      </c>
      <c r="O1084" s="236" t="s">
        <v>1302</v>
      </c>
      <c r="P1084" s="84">
        <v>7333136.1200000001</v>
      </c>
      <c r="Q1084" s="234">
        <v>0</v>
      </c>
      <c r="R1084" s="234">
        <v>0</v>
      </c>
      <c r="S1084" s="234">
        <v>0</v>
      </c>
      <c r="T1084" s="234">
        <f t="shared" si="75"/>
        <v>7333136.1200000001</v>
      </c>
      <c r="U1084" s="234">
        <f t="shared" si="74"/>
        <v>644.75633006550311</v>
      </c>
      <c r="V1084" s="78">
        <v>2386.3014903064141</v>
      </c>
    </row>
    <row r="1085" spans="1:22" s="79" customFormat="1" ht="36" customHeight="1" x14ac:dyDescent="0.5">
      <c r="A1085" s="79">
        <v>1</v>
      </c>
      <c r="B1085" s="85">
        <f>SUBTOTAL(103,$A$1026:A1085)</f>
        <v>60</v>
      </c>
      <c r="C1085" s="83" t="s">
        <v>1064</v>
      </c>
      <c r="D1085" s="233">
        <v>1962</v>
      </c>
      <c r="E1085" s="233"/>
      <c r="F1085" s="233" t="s">
        <v>256</v>
      </c>
      <c r="G1085" s="233">
        <v>2</v>
      </c>
      <c r="H1085" s="233" t="s">
        <v>290</v>
      </c>
      <c r="I1085" s="234">
        <v>628.29999999999995</v>
      </c>
      <c r="J1085" s="234">
        <v>628.29999999999995</v>
      </c>
      <c r="K1085" s="234">
        <v>628.29999999999995</v>
      </c>
      <c r="L1085" s="235">
        <v>38</v>
      </c>
      <c r="M1085" s="233" t="s">
        <v>254</v>
      </c>
      <c r="N1085" s="233" t="s">
        <v>255</v>
      </c>
      <c r="O1085" s="236" t="s">
        <v>1242</v>
      </c>
      <c r="P1085" s="84">
        <v>3049899.01</v>
      </c>
      <c r="Q1085" s="234">
        <v>0</v>
      </c>
      <c r="R1085" s="234">
        <v>0</v>
      </c>
      <c r="S1085" s="234">
        <v>0</v>
      </c>
      <c r="T1085" s="234">
        <f t="shared" si="75"/>
        <v>3049899.01</v>
      </c>
      <c r="U1085" s="234">
        <f t="shared" si="74"/>
        <v>4854.2081967213117</v>
      </c>
      <c r="V1085" s="78">
        <v>9157.7386598758567</v>
      </c>
    </row>
    <row r="1086" spans="1:22" s="79" customFormat="1" ht="36" customHeight="1" x14ac:dyDescent="0.5">
      <c r="A1086" s="79">
        <v>1</v>
      </c>
      <c r="B1086" s="85">
        <f>SUBTOTAL(103,$A$1026:A1086)</f>
        <v>61</v>
      </c>
      <c r="C1086" s="83" t="s">
        <v>1065</v>
      </c>
      <c r="D1086" s="233">
        <v>1964</v>
      </c>
      <c r="E1086" s="233"/>
      <c r="F1086" s="233" t="s">
        <v>256</v>
      </c>
      <c r="G1086" s="233">
        <v>2</v>
      </c>
      <c r="H1086" s="233" t="s">
        <v>290</v>
      </c>
      <c r="I1086" s="234">
        <v>669.2</v>
      </c>
      <c r="J1086" s="234">
        <v>667</v>
      </c>
      <c r="K1086" s="234">
        <v>667</v>
      </c>
      <c r="L1086" s="235">
        <v>30</v>
      </c>
      <c r="M1086" s="233" t="s">
        <v>254</v>
      </c>
      <c r="N1086" s="233" t="s">
        <v>258</v>
      </c>
      <c r="O1086" s="236" t="s">
        <v>1242</v>
      </c>
      <c r="P1086" s="84">
        <v>3604235.71</v>
      </c>
      <c r="Q1086" s="234">
        <v>0</v>
      </c>
      <c r="R1086" s="234">
        <v>0</v>
      </c>
      <c r="S1086" s="234">
        <v>0</v>
      </c>
      <c r="T1086" s="234">
        <f t="shared" si="75"/>
        <v>3604235.71</v>
      </c>
      <c r="U1086" s="234">
        <f t="shared" si="74"/>
        <v>5385.8871936640762</v>
      </c>
      <c r="V1086" s="78">
        <v>9395.2224052600104</v>
      </c>
    </row>
    <row r="1087" spans="1:22" s="79" customFormat="1" ht="36" customHeight="1" x14ac:dyDescent="0.5">
      <c r="A1087" s="79">
        <v>1</v>
      </c>
      <c r="B1087" s="85">
        <f>SUBTOTAL(103,$A$1026:A1087)</f>
        <v>62</v>
      </c>
      <c r="C1087" s="83" t="s">
        <v>530</v>
      </c>
      <c r="D1087" s="233">
        <v>1960</v>
      </c>
      <c r="E1087" s="233"/>
      <c r="F1087" s="233" t="s">
        <v>256</v>
      </c>
      <c r="G1087" s="233">
        <v>2</v>
      </c>
      <c r="H1087" s="233" t="s">
        <v>290</v>
      </c>
      <c r="I1087" s="234">
        <v>614.9</v>
      </c>
      <c r="J1087" s="234">
        <v>438</v>
      </c>
      <c r="K1087" s="234">
        <v>438</v>
      </c>
      <c r="L1087" s="235">
        <v>34</v>
      </c>
      <c r="M1087" s="233" t="s">
        <v>254</v>
      </c>
      <c r="N1087" s="233" t="s">
        <v>1546</v>
      </c>
      <c r="O1087" s="236" t="s">
        <v>1242</v>
      </c>
      <c r="P1087" s="84">
        <v>4343177.3</v>
      </c>
      <c r="Q1087" s="234">
        <v>0</v>
      </c>
      <c r="R1087" s="234">
        <v>0</v>
      </c>
      <c r="S1087" s="234">
        <v>0</v>
      </c>
      <c r="T1087" s="234">
        <f t="shared" si="75"/>
        <v>4343177.3</v>
      </c>
      <c r="U1087" s="234">
        <f t="shared" si="74"/>
        <v>7063.2254025044722</v>
      </c>
      <c r="V1087" s="78">
        <v>10293.036135957067</v>
      </c>
    </row>
    <row r="1088" spans="1:22" s="79" customFormat="1" ht="36" customHeight="1" x14ac:dyDescent="0.5">
      <c r="A1088" s="79">
        <v>1</v>
      </c>
      <c r="B1088" s="85">
        <f>SUBTOTAL(103,$A$1026:A1088)</f>
        <v>63</v>
      </c>
      <c r="C1088" s="83" t="s">
        <v>456</v>
      </c>
      <c r="D1088" s="233">
        <v>1984</v>
      </c>
      <c r="E1088" s="233"/>
      <c r="F1088" s="233" t="s">
        <v>256</v>
      </c>
      <c r="G1088" s="233">
        <v>12</v>
      </c>
      <c r="H1088" s="233" t="s">
        <v>291</v>
      </c>
      <c r="I1088" s="234">
        <v>6206.9</v>
      </c>
      <c r="J1088" s="234">
        <v>5104.59</v>
      </c>
      <c r="K1088" s="234">
        <v>5104.59</v>
      </c>
      <c r="L1088" s="235">
        <v>242</v>
      </c>
      <c r="M1088" s="233" t="s">
        <v>254</v>
      </c>
      <c r="N1088" s="233" t="s">
        <v>258</v>
      </c>
      <c r="O1088" s="236" t="s">
        <v>1011</v>
      </c>
      <c r="P1088" s="84">
        <v>106034.89</v>
      </c>
      <c r="Q1088" s="234">
        <v>0</v>
      </c>
      <c r="R1088" s="234">
        <v>0</v>
      </c>
      <c r="S1088" s="234">
        <v>0</v>
      </c>
      <c r="T1088" s="234">
        <f t="shared" si="75"/>
        <v>106034.89</v>
      </c>
      <c r="U1088" s="234">
        <f t="shared" si="74"/>
        <v>17.083389453672527</v>
      </c>
      <c r="V1088" s="78">
        <v>17.083389453672527</v>
      </c>
    </row>
    <row r="1089" spans="1:22" s="79" customFormat="1" ht="36" customHeight="1" x14ac:dyDescent="0.5">
      <c r="A1089" s="79">
        <v>1</v>
      </c>
      <c r="B1089" s="85">
        <f>SUBTOTAL(103,$A$1026:A1089)</f>
        <v>64</v>
      </c>
      <c r="C1089" s="83" t="s">
        <v>500</v>
      </c>
      <c r="D1089" s="233">
        <v>1997</v>
      </c>
      <c r="E1089" s="233"/>
      <c r="F1089" s="233" t="s">
        <v>256</v>
      </c>
      <c r="G1089" s="233">
        <v>4</v>
      </c>
      <c r="H1089" s="233" t="s">
        <v>299</v>
      </c>
      <c r="I1089" s="234">
        <v>2862.3</v>
      </c>
      <c r="J1089" s="234">
        <v>2046.7</v>
      </c>
      <c r="K1089" s="234">
        <v>2046.7</v>
      </c>
      <c r="L1089" s="235">
        <v>95</v>
      </c>
      <c r="M1089" s="233" t="s">
        <v>254</v>
      </c>
      <c r="N1089" s="233" t="s">
        <v>258</v>
      </c>
      <c r="O1089" s="236" t="s">
        <v>1317</v>
      </c>
      <c r="P1089" s="84">
        <v>2706466.5500000003</v>
      </c>
      <c r="Q1089" s="234">
        <v>0</v>
      </c>
      <c r="R1089" s="234">
        <v>0</v>
      </c>
      <c r="S1089" s="234">
        <v>0</v>
      </c>
      <c r="T1089" s="234">
        <f t="shared" si="75"/>
        <v>2706466.5500000003</v>
      </c>
      <c r="U1089" s="234">
        <f t="shared" si="74"/>
        <v>945.55656290395837</v>
      </c>
      <c r="V1089" s="78">
        <v>3312.5129323970232</v>
      </c>
    </row>
    <row r="1090" spans="1:22" s="79" customFormat="1" ht="36" customHeight="1" x14ac:dyDescent="0.5">
      <c r="A1090" s="79">
        <v>1</v>
      </c>
      <c r="B1090" s="85">
        <f>SUBTOTAL(103,$A$1026:A1090)</f>
        <v>65</v>
      </c>
      <c r="C1090" s="83" t="s">
        <v>2900</v>
      </c>
      <c r="D1090" s="233">
        <v>1982</v>
      </c>
      <c r="E1090" s="233"/>
      <c r="F1090" s="233" t="s">
        <v>256</v>
      </c>
      <c r="G1090" s="233">
        <v>9</v>
      </c>
      <c r="H1090" s="233">
        <v>2</v>
      </c>
      <c r="I1090" s="234">
        <v>5753.7</v>
      </c>
      <c r="J1090" s="234">
        <v>5112.3999999999996</v>
      </c>
      <c r="K1090" s="234">
        <v>5112.3999999999996</v>
      </c>
      <c r="L1090" s="235">
        <v>208</v>
      </c>
      <c r="M1090" s="233" t="s">
        <v>254</v>
      </c>
      <c r="N1090" s="233" t="s">
        <v>258</v>
      </c>
      <c r="O1090" s="236" t="s">
        <v>2899</v>
      </c>
      <c r="P1090" s="84">
        <v>3991811.92</v>
      </c>
      <c r="Q1090" s="234">
        <v>0</v>
      </c>
      <c r="R1090" s="234">
        <v>0</v>
      </c>
      <c r="S1090" s="234">
        <v>0</v>
      </c>
      <c r="T1090" s="234">
        <f t="shared" si="75"/>
        <v>3991811.92</v>
      </c>
      <c r="U1090" s="234">
        <f t="shared" si="74"/>
        <v>693.78172654118225</v>
      </c>
      <c r="V1090" s="78">
        <v>1595.1806634339641</v>
      </c>
    </row>
    <row r="1091" spans="1:22" s="79" customFormat="1" ht="36" customHeight="1" x14ac:dyDescent="0.5">
      <c r="A1091" s="79">
        <v>1</v>
      </c>
      <c r="B1091" s="85">
        <f>SUBTOTAL(103,$A$1026:A1091)</f>
        <v>66</v>
      </c>
      <c r="C1091" s="83" t="s">
        <v>2901</v>
      </c>
      <c r="D1091" s="233">
        <v>1963</v>
      </c>
      <c r="E1091" s="233"/>
      <c r="F1091" s="233" t="s">
        <v>256</v>
      </c>
      <c r="G1091" s="233">
        <v>2</v>
      </c>
      <c r="H1091" s="233">
        <v>2</v>
      </c>
      <c r="I1091" s="234">
        <v>943</v>
      </c>
      <c r="J1091" s="234">
        <v>515.70000000000005</v>
      </c>
      <c r="K1091" s="234">
        <v>403.8</v>
      </c>
      <c r="L1091" s="235">
        <v>47</v>
      </c>
      <c r="M1091" s="233" t="s">
        <v>254</v>
      </c>
      <c r="N1091" s="233" t="s">
        <v>258</v>
      </c>
      <c r="O1091" s="236" t="s">
        <v>1304</v>
      </c>
      <c r="P1091" s="84">
        <v>97794.52</v>
      </c>
      <c r="Q1091" s="234">
        <v>0</v>
      </c>
      <c r="R1091" s="234">
        <v>0</v>
      </c>
      <c r="S1091" s="234">
        <v>0</v>
      </c>
      <c r="T1091" s="234">
        <f t="shared" si="75"/>
        <v>97794.52</v>
      </c>
      <c r="U1091" s="234">
        <f t="shared" si="74"/>
        <v>103.70574761399789</v>
      </c>
      <c r="V1091" s="78">
        <v>103.70574761399789</v>
      </c>
    </row>
    <row r="1092" spans="1:22" s="79" customFormat="1" ht="36" customHeight="1" x14ac:dyDescent="0.5">
      <c r="A1092" s="79">
        <v>1</v>
      </c>
      <c r="B1092" s="85">
        <f>SUBTOTAL(103,$A$1026:A1092)</f>
        <v>67</v>
      </c>
      <c r="C1092" s="83" t="s">
        <v>2902</v>
      </c>
      <c r="D1092" s="233">
        <v>1961</v>
      </c>
      <c r="E1092" s="233"/>
      <c r="F1092" s="233" t="s">
        <v>256</v>
      </c>
      <c r="G1092" s="233">
        <v>2</v>
      </c>
      <c r="H1092" s="233">
        <v>2</v>
      </c>
      <c r="I1092" s="234">
        <v>1132.2</v>
      </c>
      <c r="J1092" s="234">
        <v>634</v>
      </c>
      <c r="K1092" s="234">
        <v>634</v>
      </c>
      <c r="L1092" s="235">
        <v>42</v>
      </c>
      <c r="M1092" s="233" t="s">
        <v>254</v>
      </c>
      <c r="N1092" s="233" t="s">
        <v>258</v>
      </c>
      <c r="O1092" s="236" t="s">
        <v>1547</v>
      </c>
      <c r="P1092" s="84">
        <v>92769.52</v>
      </c>
      <c r="Q1092" s="234">
        <v>0</v>
      </c>
      <c r="R1092" s="234">
        <v>0</v>
      </c>
      <c r="S1092" s="234">
        <v>0</v>
      </c>
      <c r="T1092" s="234">
        <f t="shared" si="75"/>
        <v>92769.52</v>
      </c>
      <c r="U1092" s="234">
        <f t="shared" si="74"/>
        <v>81.937396219749161</v>
      </c>
      <c r="V1092" s="78">
        <v>81.937396219749161</v>
      </c>
    </row>
    <row r="1093" spans="1:22" s="79" customFormat="1" ht="36" customHeight="1" x14ac:dyDescent="0.5">
      <c r="A1093" s="79">
        <v>1</v>
      </c>
      <c r="B1093" s="85">
        <f>SUBTOTAL(103,$A$1026:A1093)</f>
        <v>68</v>
      </c>
      <c r="C1093" s="83" t="s">
        <v>1821</v>
      </c>
      <c r="D1093" s="233">
        <v>1982</v>
      </c>
      <c r="E1093" s="233"/>
      <c r="F1093" s="233" t="s">
        <v>304</v>
      </c>
      <c r="G1093" s="233">
        <v>9</v>
      </c>
      <c r="H1093" s="233">
        <v>3</v>
      </c>
      <c r="I1093" s="234">
        <v>5811.9</v>
      </c>
      <c r="J1093" s="234">
        <v>5761.5</v>
      </c>
      <c r="K1093" s="234">
        <v>5761.5</v>
      </c>
      <c r="L1093" s="235">
        <v>281</v>
      </c>
      <c r="M1093" s="233" t="s">
        <v>254</v>
      </c>
      <c r="N1093" s="233" t="s">
        <v>258</v>
      </c>
      <c r="O1093" s="236" t="s">
        <v>3231</v>
      </c>
      <c r="P1093" s="84">
        <v>349319.53</v>
      </c>
      <c r="Q1093" s="234">
        <v>0</v>
      </c>
      <c r="R1093" s="234">
        <v>0</v>
      </c>
      <c r="S1093" s="234">
        <v>0</v>
      </c>
      <c r="T1093" s="234">
        <f t="shared" si="75"/>
        <v>349319.53</v>
      </c>
      <c r="U1093" s="234">
        <f t="shared" si="74"/>
        <v>60.104187959187193</v>
      </c>
      <c r="V1093" s="78">
        <f>U1093</f>
        <v>60.104187959187193</v>
      </c>
    </row>
    <row r="1094" spans="1:22" s="79" customFormat="1" ht="36" customHeight="1" x14ac:dyDescent="0.5">
      <c r="A1094" s="79">
        <v>1</v>
      </c>
      <c r="B1094" s="85">
        <f>SUBTOTAL(103,$A$1026:A1094)</f>
        <v>69</v>
      </c>
      <c r="C1094" s="83" t="s">
        <v>3225</v>
      </c>
      <c r="D1094" s="233">
        <v>1999</v>
      </c>
      <c r="E1094" s="233"/>
      <c r="F1094" s="233" t="s">
        <v>304</v>
      </c>
      <c r="G1094" s="233">
        <v>10</v>
      </c>
      <c r="H1094" s="233">
        <v>3</v>
      </c>
      <c r="I1094" s="234">
        <v>7576.1</v>
      </c>
      <c r="J1094" s="234">
        <v>6473.7</v>
      </c>
      <c r="K1094" s="234" t="s">
        <v>3229</v>
      </c>
      <c r="L1094" s="235">
        <v>269</v>
      </c>
      <c r="M1094" s="233" t="s">
        <v>254</v>
      </c>
      <c r="N1094" s="233" t="s">
        <v>258</v>
      </c>
      <c r="O1094" s="236" t="s">
        <v>3232</v>
      </c>
      <c r="P1094" s="84">
        <v>40092462.82</v>
      </c>
      <c r="Q1094" s="234">
        <v>5000000</v>
      </c>
      <c r="R1094" s="234">
        <v>0</v>
      </c>
      <c r="S1094" s="234">
        <v>0</v>
      </c>
      <c r="T1094" s="234">
        <f t="shared" si="75"/>
        <v>35092462.82</v>
      </c>
      <c r="U1094" s="234">
        <f t="shared" si="74"/>
        <v>5291.9658953815288</v>
      </c>
      <c r="V1094" s="78">
        <v>7162.2984663613197</v>
      </c>
    </row>
    <row r="1095" spans="1:22" s="79" customFormat="1" ht="36" customHeight="1" x14ac:dyDescent="0.5">
      <c r="A1095" s="79">
        <v>1</v>
      </c>
      <c r="B1095" s="85">
        <f>SUBTOTAL(103,$A$1026:A1095)</f>
        <v>70</v>
      </c>
      <c r="C1095" s="83" t="s">
        <v>2205</v>
      </c>
      <c r="D1095" s="233">
        <v>1979</v>
      </c>
      <c r="E1095" s="233"/>
      <c r="F1095" s="233" t="s">
        <v>304</v>
      </c>
      <c r="G1095" s="233">
        <v>5</v>
      </c>
      <c r="H1095" s="233">
        <v>4</v>
      </c>
      <c r="I1095" s="234">
        <v>3063.8</v>
      </c>
      <c r="J1095" s="234">
        <v>1955.6</v>
      </c>
      <c r="K1095" s="234">
        <v>1955.6</v>
      </c>
      <c r="L1095" s="235">
        <v>122</v>
      </c>
      <c r="M1095" s="233" t="s">
        <v>254</v>
      </c>
      <c r="N1095" s="233" t="s">
        <v>258</v>
      </c>
      <c r="O1095" s="236" t="s">
        <v>3230</v>
      </c>
      <c r="P1095" s="84">
        <v>15844096.42</v>
      </c>
      <c r="Q1095" s="234">
        <v>1099501.29</v>
      </c>
      <c r="R1095" s="234">
        <v>0</v>
      </c>
      <c r="S1095" s="234">
        <v>0</v>
      </c>
      <c r="T1095" s="234">
        <f t="shared" si="75"/>
        <v>14744595.129999999</v>
      </c>
      <c r="U1095" s="234">
        <f t="shared" si="74"/>
        <v>5171.3873033487826</v>
      </c>
      <c r="V1095" s="78">
        <v>4467.1550035903128</v>
      </c>
    </row>
    <row r="1096" spans="1:22" s="79" customFormat="1" ht="36" customHeight="1" x14ac:dyDescent="0.5">
      <c r="A1096" s="79">
        <v>1</v>
      </c>
      <c r="B1096" s="85">
        <f>SUBTOTAL(103,$A$1026:A1096)</f>
        <v>71</v>
      </c>
      <c r="C1096" s="83" t="s">
        <v>3226</v>
      </c>
      <c r="D1096" s="233">
        <v>1985</v>
      </c>
      <c r="E1096" s="233"/>
      <c r="F1096" s="233" t="s">
        <v>304</v>
      </c>
      <c r="G1096" s="233">
        <v>16</v>
      </c>
      <c r="H1096" s="233">
        <v>1</v>
      </c>
      <c r="I1096" s="234">
        <v>4729.8</v>
      </c>
      <c r="J1096" s="234">
        <v>4661.5</v>
      </c>
      <c r="K1096" s="234">
        <v>4661.5</v>
      </c>
      <c r="L1096" s="235">
        <v>208</v>
      </c>
      <c r="M1096" s="233" t="s">
        <v>254</v>
      </c>
      <c r="N1096" s="233" t="s">
        <v>258</v>
      </c>
      <c r="O1096" s="236" t="s">
        <v>334</v>
      </c>
      <c r="P1096" s="84">
        <v>2890775.6799999997</v>
      </c>
      <c r="Q1096" s="234">
        <v>0</v>
      </c>
      <c r="R1096" s="234">
        <v>0</v>
      </c>
      <c r="S1096" s="234">
        <v>0</v>
      </c>
      <c r="T1096" s="234">
        <f t="shared" si="75"/>
        <v>2890775.6799999997</v>
      </c>
      <c r="U1096" s="234">
        <f t="shared" si="74"/>
        <v>611.18349190240599</v>
      </c>
      <c r="V1096" s="78">
        <f>U1096</f>
        <v>611.18349190240599</v>
      </c>
    </row>
    <row r="1097" spans="1:22" s="79" customFormat="1" ht="36" customHeight="1" x14ac:dyDescent="0.5">
      <c r="A1097" s="79">
        <v>1</v>
      </c>
      <c r="B1097" s="85">
        <f>SUBTOTAL(103,$A$1026:A1097)</f>
        <v>72</v>
      </c>
      <c r="C1097" s="83" t="s">
        <v>1578</v>
      </c>
      <c r="D1097" s="233">
        <v>1969</v>
      </c>
      <c r="E1097" s="233"/>
      <c r="F1097" s="233" t="s">
        <v>256</v>
      </c>
      <c r="G1097" s="233">
        <v>5</v>
      </c>
      <c r="H1097" s="233" t="s">
        <v>295</v>
      </c>
      <c r="I1097" s="234">
        <v>3567.4</v>
      </c>
      <c r="J1097" s="234">
        <v>3567.4</v>
      </c>
      <c r="K1097" s="234">
        <v>3567.4</v>
      </c>
      <c r="L1097" s="235">
        <v>111</v>
      </c>
      <c r="M1097" s="233" t="s">
        <v>254</v>
      </c>
      <c r="N1097" s="233" t="s">
        <v>258</v>
      </c>
      <c r="O1097" s="236" t="s">
        <v>1583</v>
      </c>
      <c r="P1097" s="84">
        <v>99991.4</v>
      </c>
      <c r="Q1097" s="234">
        <v>0</v>
      </c>
      <c r="R1097" s="234">
        <v>0</v>
      </c>
      <c r="S1097" s="234">
        <v>0</v>
      </c>
      <c r="T1097" s="234">
        <f t="shared" si="75"/>
        <v>99991.4</v>
      </c>
      <c r="U1097" s="234">
        <f t="shared" si="74"/>
        <v>28.029208947692997</v>
      </c>
      <c r="V1097" s="78">
        <v>28.029208947692997</v>
      </c>
    </row>
    <row r="1098" spans="1:22" s="79" customFormat="1" ht="36" customHeight="1" x14ac:dyDescent="0.5">
      <c r="A1098" s="79">
        <v>1</v>
      </c>
      <c r="B1098" s="85">
        <f>SUBTOTAL(103,$A$1026:A1098)</f>
        <v>73</v>
      </c>
      <c r="C1098" s="83" t="s">
        <v>558</v>
      </c>
      <c r="D1098" s="233" t="s">
        <v>359</v>
      </c>
      <c r="E1098" s="233"/>
      <c r="F1098" s="233" t="s">
        <v>298</v>
      </c>
      <c r="G1098" s="233" t="s">
        <v>337</v>
      </c>
      <c r="H1098" s="233" t="s">
        <v>299</v>
      </c>
      <c r="I1098" s="234">
        <v>2812.6</v>
      </c>
      <c r="J1098" s="234">
        <v>2039.4</v>
      </c>
      <c r="K1098" s="234">
        <v>2039.4</v>
      </c>
      <c r="L1098" s="235">
        <v>98</v>
      </c>
      <c r="M1098" s="233" t="s">
        <v>254</v>
      </c>
      <c r="N1098" s="233" t="s">
        <v>258</v>
      </c>
      <c r="O1098" s="236" t="s">
        <v>1543</v>
      </c>
      <c r="P1098" s="84">
        <v>4619289.84</v>
      </c>
      <c r="Q1098" s="234">
        <v>0</v>
      </c>
      <c r="R1098" s="234">
        <v>0</v>
      </c>
      <c r="S1098" s="234">
        <v>0</v>
      </c>
      <c r="T1098" s="234">
        <f t="shared" si="75"/>
        <v>4619289.84</v>
      </c>
      <c r="U1098" s="234">
        <f t="shared" si="74"/>
        <v>1642.3557704614948</v>
      </c>
      <c r="V1098" s="78">
        <v>2190.2771058806798</v>
      </c>
    </row>
    <row r="1099" spans="1:22" s="79" customFormat="1" ht="36" customHeight="1" x14ac:dyDescent="0.5">
      <c r="A1099" s="79">
        <v>1</v>
      </c>
      <c r="B1099" s="85">
        <f>SUBTOTAL(103,$A$1026:A1099)</f>
        <v>74</v>
      </c>
      <c r="C1099" s="83" t="s">
        <v>555</v>
      </c>
      <c r="D1099" s="233" t="s">
        <v>354</v>
      </c>
      <c r="E1099" s="233"/>
      <c r="F1099" s="233" t="s">
        <v>298</v>
      </c>
      <c r="G1099" s="233" t="s">
        <v>337</v>
      </c>
      <c r="H1099" s="233" t="s">
        <v>299</v>
      </c>
      <c r="I1099" s="234">
        <v>2899.7</v>
      </c>
      <c r="J1099" s="234">
        <v>2899.7</v>
      </c>
      <c r="K1099" s="234">
        <v>2899.7</v>
      </c>
      <c r="L1099" s="235">
        <v>83</v>
      </c>
      <c r="M1099" s="233" t="s">
        <v>254</v>
      </c>
      <c r="N1099" s="233" t="s">
        <v>258</v>
      </c>
      <c r="O1099" s="236" t="s">
        <v>1011</v>
      </c>
      <c r="P1099" s="84">
        <v>4618519.68</v>
      </c>
      <c r="Q1099" s="234">
        <v>0</v>
      </c>
      <c r="R1099" s="234">
        <v>0</v>
      </c>
      <c r="S1099" s="234">
        <v>0</v>
      </c>
      <c r="T1099" s="234">
        <f t="shared" si="75"/>
        <v>4618519.68</v>
      </c>
      <c r="U1099" s="234">
        <f t="shared" si="74"/>
        <v>1592.757761147705</v>
      </c>
      <c r="V1099" s="78">
        <v>2130.8885603338276</v>
      </c>
    </row>
    <row r="1100" spans="1:22" s="79" customFormat="1" ht="36" customHeight="1" x14ac:dyDescent="0.5">
      <c r="A1100" s="79">
        <v>1</v>
      </c>
      <c r="B1100" s="85">
        <f>SUBTOTAL(103,$A$1026:A1100)</f>
        <v>75</v>
      </c>
      <c r="C1100" s="83" t="s">
        <v>523</v>
      </c>
      <c r="D1100" s="233" t="s">
        <v>293</v>
      </c>
      <c r="E1100" s="233"/>
      <c r="F1100" s="233" t="s">
        <v>256</v>
      </c>
      <c r="G1100" s="233" t="s">
        <v>337</v>
      </c>
      <c r="H1100" s="233" t="s">
        <v>295</v>
      </c>
      <c r="I1100" s="234">
        <v>3951</v>
      </c>
      <c r="J1100" s="234">
        <v>3662.3</v>
      </c>
      <c r="K1100" s="234">
        <v>2494.3000000000002</v>
      </c>
      <c r="L1100" s="235">
        <v>140</v>
      </c>
      <c r="M1100" s="233" t="s">
        <v>254</v>
      </c>
      <c r="N1100" s="233" t="s">
        <v>258</v>
      </c>
      <c r="O1100" s="236" t="s">
        <v>1012</v>
      </c>
      <c r="P1100" s="84">
        <v>9754759.1500000004</v>
      </c>
      <c r="Q1100" s="234">
        <v>0</v>
      </c>
      <c r="R1100" s="234">
        <v>0</v>
      </c>
      <c r="S1100" s="234">
        <v>0</v>
      </c>
      <c r="T1100" s="234">
        <f t="shared" si="75"/>
        <v>9754759.1500000004</v>
      </c>
      <c r="U1100" s="234">
        <f t="shared" si="74"/>
        <v>2468.9342318400404</v>
      </c>
      <c r="V1100" s="78">
        <v>2887.1938097696784</v>
      </c>
    </row>
    <row r="1101" spans="1:22" s="79" customFormat="1" ht="36" customHeight="1" x14ac:dyDescent="0.5">
      <c r="A1101" s="79">
        <v>1</v>
      </c>
      <c r="B1101" s="85">
        <f>SUBTOTAL(103,$A$1026:A1101)</f>
        <v>76</v>
      </c>
      <c r="C1101" s="83" t="s">
        <v>464</v>
      </c>
      <c r="D1101" s="233">
        <v>1995</v>
      </c>
      <c r="E1101" s="233">
        <v>2020</v>
      </c>
      <c r="F1101" s="233" t="s">
        <v>3270</v>
      </c>
      <c r="G1101" s="233">
        <v>9</v>
      </c>
      <c r="H1101" s="233">
        <v>1</v>
      </c>
      <c r="I1101" s="234">
        <v>5292.9</v>
      </c>
      <c r="J1101" s="234">
        <v>4362.41</v>
      </c>
      <c r="K1101" s="234">
        <v>4297.01</v>
      </c>
      <c r="L1101" s="235">
        <v>203</v>
      </c>
      <c r="M1101" s="233" t="s">
        <v>254</v>
      </c>
      <c r="N1101" s="233" t="s">
        <v>258</v>
      </c>
      <c r="O1101" s="236" t="s">
        <v>1542</v>
      </c>
      <c r="P1101" s="84">
        <v>6256737.96</v>
      </c>
      <c r="Q1101" s="234">
        <v>0</v>
      </c>
      <c r="R1101" s="234">
        <v>0</v>
      </c>
      <c r="S1101" s="234">
        <v>0</v>
      </c>
      <c r="T1101" s="234">
        <f t="shared" si="75"/>
        <v>6256737.96</v>
      </c>
      <c r="U1101" s="234">
        <f t="shared" si="74"/>
        <v>1182.1001643711388</v>
      </c>
      <c r="V1101" s="78">
        <v>1226.8124922065408</v>
      </c>
    </row>
    <row r="1102" spans="1:22" s="79" customFormat="1" ht="36" customHeight="1" x14ac:dyDescent="0.5">
      <c r="A1102" s="79">
        <v>1</v>
      </c>
      <c r="B1102" s="85">
        <f>SUBTOTAL(103,$A$1026:A1102)</f>
        <v>77</v>
      </c>
      <c r="C1102" s="83" t="s">
        <v>3250</v>
      </c>
      <c r="D1102" s="233">
        <v>1997</v>
      </c>
      <c r="E1102" s="233"/>
      <c r="F1102" s="233" t="s">
        <v>3270</v>
      </c>
      <c r="G1102" s="233">
        <v>9</v>
      </c>
      <c r="H1102" s="233">
        <v>2</v>
      </c>
      <c r="I1102" s="234">
        <v>5737.8</v>
      </c>
      <c r="J1102" s="234">
        <v>4816.5</v>
      </c>
      <c r="K1102" s="234">
        <v>4816.5</v>
      </c>
      <c r="L1102" s="235">
        <v>109</v>
      </c>
      <c r="M1102" s="233" t="s">
        <v>254</v>
      </c>
      <c r="N1102" s="233" t="s">
        <v>258</v>
      </c>
      <c r="O1102" s="236" t="s">
        <v>1542</v>
      </c>
      <c r="P1102" s="84">
        <v>3122244.4299999997</v>
      </c>
      <c r="Q1102" s="234">
        <v>0</v>
      </c>
      <c r="R1102" s="234">
        <v>0</v>
      </c>
      <c r="S1102" s="234">
        <v>0</v>
      </c>
      <c r="T1102" s="234">
        <f t="shared" si="75"/>
        <v>3122244.4299999997</v>
      </c>
      <c r="U1102" s="234">
        <f t="shared" si="74"/>
        <v>544.15358325490604</v>
      </c>
      <c r="V1102" s="78">
        <v>565.84368921886437</v>
      </c>
    </row>
    <row r="1103" spans="1:22" s="79" customFormat="1" ht="36" customHeight="1" x14ac:dyDescent="0.5">
      <c r="A1103" s="79">
        <v>1</v>
      </c>
      <c r="B1103" s="85">
        <f>SUBTOTAL(103,$A$1026:A1103)</f>
        <v>78</v>
      </c>
      <c r="C1103" s="83" t="s">
        <v>529</v>
      </c>
      <c r="D1103" s="233">
        <v>1999</v>
      </c>
      <c r="E1103" s="233">
        <v>2021</v>
      </c>
      <c r="F1103" s="233" t="s">
        <v>3270</v>
      </c>
      <c r="G1103" s="233">
        <v>9</v>
      </c>
      <c r="H1103" s="233">
        <v>3</v>
      </c>
      <c r="I1103" s="234">
        <v>6810.7</v>
      </c>
      <c r="J1103" s="234">
        <v>6388.4</v>
      </c>
      <c r="K1103" s="234">
        <v>6295.2999999999993</v>
      </c>
      <c r="L1103" s="235">
        <v>302</v>
      </c>
      <c r="M1103" s="233" t="s">
        <v>254</v>
      </c>
      <c r="N1103" s="233" t="s">
        <v>258</v>
      </c>
      <c r="O1103" s="236" t="s">
        <v>1542</v>
      </c>
      <c r="P1103" s="84">
        <v>9091518.3899999987</v>
      </c>
      <c r="Q1103" s="234">
        <v>0</v>
      </c>
      <c r="R1103" s="234">
        <v>0</v>
      </c>
      <c r="S1103" s="234">
        <v>0</v>
      </c>
      <c r="T1103" s="234">
        <f t="shared" si="75"/>
        <v>9091518.3899999987</v>
      </c>
      <c r="U1103" s="234">
        <f t="shared" si="74"/>
        <v>1334.8875137651048</v>
      </c>
      <c r="V1103" s="78">
        <v>1430.1163991953838</v>
      </c>
    </row>
    <row r="1104" spans="1:22" s="79" customFormat="1" ht="36" customHeight="1" x14ac:dyDescent="0.5">
      <c r="A1104" s="79">
        <v>1</v>
      </c>
      <c r="B1104" s="85">
        <f>SUBTOTAL(103,$A$1026:A1104)</f>
        <v>79</v>
      </c>
      <c r="C1104" s="83" t="s">
        <v>1592</v>
      </c>
      <c r="D1104" s="233">
        <v>1998</v>
      </c>
      <c r="E1104" s="233">
        <v>2021</v>
      </c>
      <c r="F1104" s="233" t="s">
        <v>3270</v>
      </c>
      <c r="G1104" s="233">
        <v>10</v>
      </c>
      <c r="H1104" s="233">
        <v>2</v>
      </c>
      <c r="I1104" s="234">
        <v>5794.4</v>
      </c>
      <c r="J1104" s="234">
        <v>5110.3999999999996</v>
      </c>
      <c r="K1104" s="234">
        <v>5110.3999999999996</v>
      </c>
      <c r="L1104" s="235">
        <v>258</v>
      </c>
      <c r="M1104" s="233" t="s">
        <v>254</v>
      </c>
      <c r="N1104" s="233" t="s">
        <v>258</v>
      </c>
      <c r="O1104" s="236" t="s">
        <v>3271</v>
      </c>
      <c r="P1104" s="84">
        <v>6337697.7199999997</v>
      </c>
      <c r="Q1104" s="234">
        <v>0</v>
      </c>
      <c r="R1104" s="234">
        <v>0</v>
      </c>
      <c r="S1104" s="234">
        <v>0</v>
      </c>
      <c r="T1104" s="234">
        <f t="shared" si="75"/>
        <v>6337697.7199999997</v>
      </c>
      <c r="U1104" s="234">
        <f t="shared" si="74"/>
        <v>1093.7625500483225</v>
      </c>
      <c r="V1104" s="78">
        <v>1159.2946638133371</v>
      </c>
    </row>
    <row r="1105" spans="1:22" s="79" customFormat="1" ht="36" customHeight="1" x14ac:dyDescent="0.5">
      <c r="B1105" s="83" t="s">
        <v>706</v>
      </c>
      <c r="C1105" s="253"/>
      <c r="D1105" s="233" t="s">
        <v>835</v>
      </c>
      <c r="E1105" s="233" t="s">
        <v>835</v>
      </c>
      <c r="F1105" s="233" t="s">
        <v>835</v>
      </c>
      <c r="G1105" s="233" t="s">
        <v>835</v>
      </c>
      <c r="H1105" s="233" t="s">
        <v>835</v>
      </c>
      <c r="I1105" s="234">
        <f>SUM(I1106:I1125)</f>
        <v>27980.399999999998</v>
      </c>
      <c r="J1105" s="234">
        <f t="shared" ref="J1105:L1105" si="76">SUM(J1106:J1125)</f>
        <v>26369.500000000004</v>
      </c>
      <c r="K1105" s="234">
        <f t="shared" si="76"/>
        <v>23612.5</v>
      </c>
      <c r="L1105" s="235">
        <f t="shared" si="76"/>
        <v>1352</v>
      </c>
      <c r="M1105" s="233" t="s">
        <v>835</v>
      </c>
      <c r="N1105" s="233" t="s">
        <v>835</v>
      </c>
      <c r="O1105" s="236" t="s">
        <v>835</v>
      </c>
      <c r="P1105" s="138">
        <v>65786031.790000014</v>
      </c>
      <c r="Q1105" s="234">
        <f>SUM(Q1106:Q1125)</f>
        <v>0</v>
      </c>
      <c r="R1105" s="234">
        <f t="shared" ref="R1105:T1105" si="77">SUM(R1106:R1125)</f>
        <v>0</v>
      </c>
      <c r="S1105" s="234">
        <f t="shared" si="77"/>
        <v>0</v>
      </c>
      <c r="T1105" s="234">
        <f t="shared" si="77"/>
        <v>65786031.790000014</v>
      </c>
      <c r="U1105" s="234">
        <f t="shared" si="74"/>
        <v>2351.1469382138935</v>
      </c>
      <c r="V1105" s="78">
        <f>MAX(V1106:V1125)</f>
        <v>10512.204225352114</v>
      </c>
    </row>
    <row r="1106" spans="1:22" s="79" customFormat="1" ht="36" customHeight="1" x14ac:dyDescent="0.5">
      <c r="A1106" s="79">
        <v>1</v>
      </c>
      <c r="B1106" s="85">
        <f>SUBTOTAL(103,$A$1026:A1106)</f>
        <v>80</v>
      </c>
      <c r="C1106" s="83" t="s">
        <v>441</v>
      </c>
      <c r="D1106" s="233">
        <v>1962</v>
      </c>
      <c r="E1106" s="233"/>
      <c r="F1106" s="233" t="s">
        <v>256</v>
      </c>
      <c r="G1106" s="233">
        <v>2</v>
      </c>
      <c r="H1106" s="233" t="s">
        <v>290</v>
      </c>
      <c r="I1106" s="234">
        <v>784.2</v>
      </c>
      <c r="J1106" s="234">
        <v>784.2</v>
      </c>
      <c r="K1106" s="234">
        <v>715.8</v>
      </c>
      <c r="L1106" s="235">
        <v>47</v>
      </c>
      <c r="M1106" s="233" t="s">
        <v>254</v>
      </c>
      <c r="N1106" s="233" t="s">
        <v>255</v>
      </c>
      <c r="O1106" s="236" t="s">
        <v>257</v>
      </c>
      <c r="P1106" s="84">
        <v>4687131.57</v>
      </c>
      <c r="Q1106" s="234">
        <v>0</v>
      </c>
      <c r="R1106" s="234">
        <v>0</v>
      </c>
      <c r="S1106" s="234">
        <v>0</v>
      </c>
      <c r="T1106" s="234">
        <f t="shared" ref="T1106:T1125" si="78">P1106-Q1106-R1106-S1106</f>
        <v>4687131.57</v>
      </c>
      <c r="U1106" s="234">
        <f t="shared" si="74"/>
        <v>5976.9594108645751</v>
      </c>
      <c r="V1106" s="78">
        <v>9708.5961642438142</v>
      </c>
    </row>
    <row r="1107" spans="1:22" s="79" customFormat="1" ht="36" customHeight="1" x14ac:dyDescent="0.5">
      <c r="A1107" s="79">
        <v>1</v>
      </c>
      <c r="B1107" s="85">
        <f>SUBTOTAL(103,$A$1026:A1107)</f>
        <v>81</v>
      </c>
      <c r="C1107" s="83" t="s">
        <v>442</v>
      </c>
      <c r="D1107" s="233">
        <v>1959</v>
      </c>
      <c r="E1107" s="233"/>
      <c r="F1107" s="233" t="s">
        <v>256</v>
      </c>
      <c r="G1107" s="233">
        <v>2</v>
      </c>
      <c r="H1107" s="233" t="s">
        <v>290</v>
      </c>
      <c r="I1107" s="234">
        <v>611</v>
      </c>
      <c r="J1107" s="234">
        <v>564.20000000000005</v>
      </c>
      <c r="K1107" s="234">
        <v>492.1</v>
      </c>
      <c r="L1107" s="235">
        <v>36</v>
      </c>
      <c r="M1107" s="233" t="s">
        <v>254</v>
      </c>
      <c r="N1107" s="233" t="s">
        <v>258</v>
      </c>
      <c r="O1107" s="236" t="s">
        <v>332</v>
      </c>
      <c r="P1107" s="84">
        <v>62510.7</v>
      </c>
      <c r="Q1107" s="234">
        <v>0</v>
      </c>
      <c r="R1107" s="234">
        <v>0</v>
      </c>
      <c r="S1107" s="234">
        <v>0</v>
      </c>
      <c r="T1107" s="234">
        <f t="shared" si="78"/>
        <v>62510.7</v>
      </c>
      <c r="U1107" s="234">
        <f t="shared" si="74"/>
        <v>102.3088379705401</v>
      </c>
      <c r="V1107" s="78">
        <v>131.63212765957445</v>
      </c>
    </row>
    <row r="1108" spans="1:22" s="79" customFormat="1" ht="36" customHeight="1" x14ac:dyDescent="0.5">
      <c r="A1108" s="79">
        <v>1</v>
      </c>
      <c r="B1108" s="85">
        <f>SUBTOTAL(103,$A$1026:A1108)</f>
        <v>82</v>
      </c>
      <c r="C1108" s="83" t="s">
        <v>443</v>
      </c>
      <c r="D1108" s="233">
        <v>1960</v>
      </c>
      <c r="E1108" s="233"/>
      <c r="F1108" s="233" t="s">
        <v>256</v>
      </c>
      <c r="G1108" s="233">
        <v>2</v>
      </c>
      <c r="H1108" s="233" t="s">
        <v>290</v>
      </c>
      <c r="I1108" s="234">
        <v>549.79999999999995</v>
      </c>
      <c r="J1108" s="234">
        <v>549.79999999999995</v>
      </c>
      <c r="K1108" s="234">
        <v>404</v>
      </c>
      <c r="L1108" s="235">
        <v>27</v>
      </c>
      <c r="M1108" s="233" t="s">
        <v>254</v>
      </c>
      <c r="N1108" s="233" t="s">
        <v>271</v>
      </c>
      <c r="O1108" s="236" t="s">
        <v>257</v>
      </c>
      <c r="P1108" s="84">
        <v>3502604.0100000002</v>
      </c>
      <c r="Q1108" s="234">
        <v>0</v>
      </c>
      <c r="R1108" s="234">
        <v>0</v>
      </c>
      <c r="S1108" s="234">
        <v>0</v>
      </c>
      <c r="T1108" s="234">
        <f t="shared" si="78"/>
        <v>3502604.0100000002</v>
      </c>
      <c r="U1108" s="234">
        <f t="shared" si="74"/>
        <v>6370.6875409239738</v>
      </c>
      <c r="V1108" s="78">
        <v>10435.2595765733</v>
      </c>
    </row>
    <row r="1109" spans="1:22" s="79" customFormat="1" ht="36" customHeight="1" x14ac:dyDescent="0.5">
      <c r="A1109" s="79">
        <v>1</v>
      </c>
      <c r="B1109" s="85">
        <f>SUBTOTAL(103,$A$1026:A1109)</f>
        <v>83</v>
      </c>
      <c r="C1109" s="83" t="s">
        <v>444</v>
      </c>
      <c r="D1109" s="233">
        <v>1968</v>
      </c>
      <c r="E1109" s="233"/>
      <c r="F1109" s="233" t="s">
        <v>256</v>
      </c>
      <c r="G1109" s="233">
        <v>5</v>
      </c>
      <c r="H1109" s="233" t="s">
        <v>295</v>
      </c>
      <c r="I1109" s="234">
        <v>3425.4</v>
      </c>
      <c r="J1109" s="234">
        <v>3385.7</v>
      </c>
      <c r="K1109" s="234">
        <v>2995.5</v>
      </c>
      <c r="L1109" s="235">
        <v>208</v>
      </c>
      <c r="M1109" s="233" t="s">
        <v>254</v>
      </c>
      <c r="N1109" s="233" t="s">
        <v>255</v>
      </c>
      <c r="O1109" s="236" t="s">
        <v>257</v>
      </c>
      <c r="P1109" s="84">
        <v>8925202.2800000012</v>
      </c>
      <c r="Q1109" s="234">
        <v>0</v>
      </c>
      <c r="R1109" s="234">
        <v>0</v>
      </c>
      <c r="S1109" s="234">
        <v>0</v>
      </c>
      <c r="T1109" s="234">
        <f t="shared" si="78"/>
        <v>8925202.2800000012</v>
      </c>
      <c r="U1109" s="234">
        <f t="shared" si="74"/>
        <v>2605.5941729433061</v>
      </c>
      <c r="V1109" s="78">
        <v>3257.6960270917266</v>
      </c>
    </row>
    <row r="1110" spans="1:22" s="79" customFormat="1" ht="36" customHeight="1" x14ac:dyDescent="0.5">
      <c r="A1110" s="79">
        <v>1</v>
      </c>
      <c r="B1110" s="85">
        <f>SUBTOTAL(103,$A$1026:A1110)</f>
        <v>84</v>
      </c>
      <c r="C1110" s="83" t="s">
        <v>445</v>
      </c>
      <c r="D1110" s="233">
        <v>1966</v>
      </c>
      <c r="E1110" s="233"/>
      <c r="F1110" s="233" t="s">
        <v>256</v>
      </c>
      <c r="G1110" s="233">
        <v>5</v>
      </c>
      <c r="H1110" s="233" t="s">
        <v>299</v>
      </c>
      <c r="I1110" s="234">
        <v>2708.5</v>
      </c>
      <c r="J1110" s="234">
        <v>2523.1</v>
      </c>
      <c r="K1110" s="234">
        <v>2195.4</v>
      </c>
      <c r="L1110" s="235">
        <v>137</v>
      </c>
      <c r="M1110" s="233" t="s">
        <v>254</v>
      </c>
      <c r="N1110" s="233" t="s">
        <v>255</v>
      </c>
      <c r="O1110" s="236" t="s">
        <v>257</v>
      </c>
      <c r="P1110" s="84">
        <v>176360.14</v>
      </c>
      <c r="Q1110" s="234">
        <v>0</v>
      </c>
      <c r="R1110" s="234">
        <v>0</v>
      </c>
      <c r="S1110" s="234">
        <v>0</v>
      </c>
      <c r="T1110" s="234">
        <f t="shared" si="78"/>
        <v>176360.14</v>
      </c>
      <c r="U1110" s="234">
        <f t="shared" si="74"/>
        <v>65.113583164112981</v>
      </c>
      <c r="V1110" s="78">
        <v>65.113583164112981</v>
      </c>
    </row>
    <row r="1111" spans="1:22" s="79" customFormat="1" ht="36" customHeight="1" x14ac:dyDescent="0.5">
      <c r="A1111" s="79">
        <v>1</v>
      </c>
      <c r="B1111" s="85">
        <f>SUBTOTAL(103,$A$1026:A1111)</f>
        <v>85</v>
      </c>
      <c r="C1111" s="83" t="s">
        <v>446</v>
      </c>
      <c r="D1111" s="233">
        <v>1964</v>
      </c>
      <c r="E1111" s="233">
        <v>2008</v>
      </c>
      <c r="F1111" s="233" t="s">
        <v>256</v>
      </c>
      <c r="G1111" s="233">
        <v>4</v>
      </c>
      <c r="H1111" s="233" t="s">
        <v>290</v>
      </c>
      <c r="I1111" s="234">
        <v>1368.5</v>
      </c>
      <c r="J1111" s="234">
        <v>1271.5</v>
      </c>
      <c r="K1111" s="234">
        <v>1271.5</v>
      </c>
      <c r="L1111" s="235">
        <v>43</v>
      </c>
      <c r="M1111" s="233" t="s">
        <v>254</v>
      </c>
      <c r="N1111" s="233" t="s">
        <v>330</v>
      </c>
      <c r="O1111" s="236" t="s">
        <v>331</v>
      </c>
      <c r="P1111" s="84">
        <v>724821.19</v>
      </c>
      <c r="Q1111" s="234">
        <v>0</v>
      </c>
      <c r="R1111" s="234">
        <v>0</v>
      </c>
      <c r="S1111" s="234">
        <v>0</v>
      </c>
      <c r="T1111" s="234">
        <f t="shared" si="78"/>
        <v>724821.19</v>
      </c>
      <c r="U1111" s="234">
        <f t="shared" si="74"/>
        <v>529.64646693459986</v>
      </c>
      <c r="V1111" s="78">
        <v>529.64646693459986</v>
      </c>
    </row>
    <row r="1112" spans="1:22" s="79" customFormat="1" ht="36" customHeight="1" x14ac:dyDescent="0.5">
      <c r="A1112" s="79">
        <v>1</v>
      </c>
      <c r="B1112" s="85">
        <f>SUBTOTAL(103,$A$1026:A1112)</f>
        <v>86</v>
      </c>
      <c r="C1112" s="83" t="s">
        <v>447</v>
      </c>
      <c r="D1112" s="233">
        <v>1960</v>
      </c>
      <c r="E1112" s="233"/>
      <c r="F1112" s="233" t="s">
        <v>256</v>
      </c>
      <c r="G1112" s="233">
        <v>2</v>
      </c>
      <c r="H1112" s="233" t="s">
        <v>290</v>
      </c>
      <c r="I1112" s="234">
        <v>646.1</v>
      </c>
      <c r="J1112" s="234">
        <v>646.1</v>
      </c>
      <c r="K1112" s="234">
        <v>646.1</v>
      </c>
      <c r="L1112" s="235">
        <v>42</v>
      </c>
      <c r="M1112" s="233" t="s">
        <v>254</v>
      </c>
      <c r="N1112" s="233" t="s">
        <v>255</v>
      </c>
      <c r="O1112" s="236" t="s">
        <v>257</v>
      </c>
      <c r="P1112" s="84">
        <v>4579396.6399999997</v>
      </c>
      <c r="Q1112" s="234">
        <v>0</v>
      </c>
      <c r="R1112" s="234">
        <v>0</v>
      </c>
      <c r="S1112" s="234">
        <v>0</v>
      </c>
      <c r="T1112" s="234">
        <f t="shared" si="78"/>
        <v>4579396.6399999997</v>
      </c>
      <c r="U1112" s="234">
        <f t="shared" si="74"/>
        <v>7087.7521126760557</v>
      </c>
      <c r="V1112" s="78">
        <v>10025.345296393747</v>
      </c>
    </row>
    <row r="1113" spans="1:22" s="79" customFormat="1" ht="36" customHeight="1" x14ac:dyDescent="0.5">
      <c r="A1113" s="79">
        <v>1</v>
      </c>
      <c r="B1113" s="85">
        <f>SUBTOTAL(103,$A$1026:A1113)</f>
        <v>87</v>
      </c>
      <c r="C1113" s="83" t="s">
        <v>448</v>
      </c>
      <c r="D1113" s="233">
        <v>1961</v>
      </c>
      <c r="E1113" s="233"/>
      <c r="F1113" s="233" t="s">
        <v>256</v>
      </c>
      <c r="G1113" s="233">
        <v>2</v>
      </c>
      <c r="H1113" s="233" t="s">
        <v>290</v>
      </c>
      <c r="I1113" s="234">
        <v>579.4</v>
      </c>
      <c r="J1113" s="234">
        <v>538.1</v>
      </c>
      <c r="K1113" s="234">
        <v>470.3</v>
      </c>
      <c r="L1113" s="235">
        <v>35</v>
      </c>
      <c r="M1113" s="233" t="s">
        <v>254</v>
      </c>
      <c r="N1113" s="233" t="s">
        <v>271</v>
      </c>
      <c r="O1113" s="236" t="s">
        <v>257</v>
      </c>
      <c r="P1113" s="84">
        <v>3819406.8400000003</v>
      </c>
      <c r="Q1113" s="234">
        <v>0</v>
      </c>
      <c r="R1113" s="234">
        <v>0</v>
      </c>
      <c r="S1113" s="234">
        <v>0</v>
      </c>
      <c r="T1113" s="234">
        <f t="shared" si="78"/>
        <v>3819406.8400000003</v>
      </c>
      <c r="U1113" s="234">
        <f t="shared" si="74"/>
        <v>6592.0035208836734</v>
      </c>
      <c r="V1113" s="78">
        <v>9637.7703983431147</v>
      </c>
    </row>
    <row r="1114" spans="1:22" s="79" customFormat="1" ht="36" customHeight="1" x14ac:dyDescent="0.5">
      <c r="A1114" s="79">
        <v>1</v>
      </c>
      <c r="B1114" s="85">
        <f>SUBTOTAL(103,$A$1026:A1114)</f>
        <v>88</v>
      </c>
      <c r="C1114" s="83" t="s">
        <v>449</v>
      </c>
      <c r="D1114" s="233">
        <v>1960</v>
      </c>
      <c r="E1114" s="233"/>
      <c r="F1114" s="233" t="s">
        <v>256</v>
      </c>
      <c r="G1114" s="233">
        <v>2</v>
      </c>
      <c r="H1114" s="233" t="s">
        <v>290</v>
      </c>
      <c r="I1114" s="234">
        <v>591.29999999999995</v>
      </c>
      <c r="J1114" s="234">
        <v>543.1</v>
      </c>
      <c r="K1114" s="234">
        <v>477.6</v>
      </c>
      <c r="L1114" s="235">
        <v>28</v>
      </c>
      <c r="M1114" s="233" t="s">
        <v>254</v>
      </c>
      <c r="N1114" s="233" t="s">
        <v>255</v>
      </c>
      <c r="O1114" s="236" t="s">
        <v>257</v>
      </c>
      <c r="P1114" s="84">
        <v>4131585.97</v>
      </c>
      <c r="Q1114" s="234">
        <v>0</v>
      </c>
      <c r="R1114" s="234">
        <v>0</v>
      </c>
      <c r="S1114" s="234">
        <v>0</v>
      </c>
      <c r="T1114" s="234">
        <f t="shared" si="78"/>
        <v>4131585.97</v>
      </c>
      <c r="U1114" s="234">
        <f t="shared" si="74"/>
        <v>6987.2923558261464</v>
      </c>
      <c r="V1114" s="78">
        <v>9034.3818988669027</v>
      </c>
    </row>
    <row r="1115" spans="1:22" s="79" customFormat="1" ht="36" customHeight="1" x14ac:dyDescent="0.5">
      <c r="A1115" s="79">
        <v>1</v>
      </c>
      <c r="B1115" s="85">
        <f>SUBTOTAL(103,$A$1026:A1115)</f>
        <v>89</v>
      </c>
      <c r="C1115" s="83" t="s">
        <v>450</v>
      </c>
      <c r="D1115" s="233">
        <v>1962</v>
      </c>
      <c r="E1115" s="233"/>
      <c r="F1115" s="233" t="s">
        <v>256</v>
      </c>
      <c r="G1115" s="233">
        <v>2</v>
      </c>
      <c r="H1115" s="233" t="s">
        <v>290</v>
      </c>
      <c r="I1115" s="234">
        <v>540</v>
      </c>
      <c r="J1115" s="234">
        <v>540</v>
      </c>
      <c r="K1115" s="234">
        <v>500</v>
      </c>
      <c r="L1115" s="235">
        <v>26</v>
      </c>
      <c r="M1115" s="233" t="s">
        <v>254</v>
      </c>
      <c r="N1115" s="233" t="s">
        <v>255</v>
      </c>
      <c r="O1115" s="236" t="s">
        <v>257</v>
      </c>
      <c r="P1115" s="84">
        <v>4168708.62</v>
      </c>
      <c r="Q1115" s="234">
        <v>0</v>
      </c>
      <c r="R1115" s="234">
        <v>0</v>
      </c>
      <c r="S1115" s="234">
        <v>0</v>
      </c>
      <c r="T1115" s="234">
        <f t="shared" si="78"/>
        <v>4168708.62</v>
      </c>
      <c r="U1115" s="234">
        <f t="shared" si="74"/>
        <v>7719.8307777777782</v>
      </c>
      <c r="V1115" s="78">
        <v>10163.048971851851</v>
      </c>
    </row>
    <row r="1116" spans="1:22" s="79" customFormat="1" ht="36" customHeight="1" x14ac:dyDescent="0.5">
      <c r="A1116" s="79">
        <v>1</v>
      </c>
      <c r="B1116" s="85">
        <f>SUBTOTAL(103,$A$1026:A1116)</f>
        <v>90</v>
      </c>
      <c r="C1116" s="83" t="s">
        <v>1588</v>
      </c>
      <c r="D1116" s="233">
        <v>1964</v>
      </c>
      <c r="E1116" s="233"/>
      <c r="F1116" s="233" t="s">
        <v>256</v>
      </c>
      <c r="G1116" s="233">
        <v>2</v>
      </c>
      <c r="H1116" s="233" t="s">
        <v>290</v>
      </c>
      <c r="I1116" s="234">
        <v>420</v>
      </c>
      <c r="J1116" s="234">
        <v>380.1</v>
      </c>
      <c r="K1116" s="234">
        <v>337</v>
      </c>
      <c r="L1116" s="235">
        <v>21</v>
      </c>
      <c r="M1116" s="233" t="s">
        <v>254</v>
      </c>
      <c r="N1116" s="233" t="s">
        <v>255</v>
      </c>
      <c r="O1116" s="236" t="s">
        <v>257</v>
      </c>
      <c r="P1116" s="84">
        <v>2676109.96</v>
      </c>
      <c r="Q1116" s="234">
        <v>0</v>
      </c>
      <c r="R1116" s="234">
        <v>0</v>
      </c>
      <c r="S1116" s="234">
        <v>0</v>
      </c>
      <c r="T1116" s="234">
        <f t="shared" si="78"/>
        <v>2676109.96</v>
      </c>
      <c r="U1116" s="234">
        <f t="shared" si="74"/>
        <v>6371.690380952381</v>
      </c>
      <c r="V1116" s="78">
        <v>9225.2191809523811</v>
      </c>
    </row>
    <row r="1117" spans="1:22" s="79" customFormat="1" ht="83.25" customHeight="1" x14ac:dyDescent="0.5">
      <c r="A1117" s="79">
        <v>1</v>
      </c>
      <c r="B1117" s="85">
        <f>SUBTOTAL(103,$A$1026:A1117)</f>
        <v>91</v>
      </c>
      <c r="C1117" s="83" t="s">
        <v>452</v>
      </c>
      <c r="D1117" s="233">
        <v>1965</v>
      </c>
      <c r="E1117" s="233"/>
      <c r="F1117" s="233" t="s">
        <v>256</v>
      </c>
      <c r="G1117" s="233">
        <v>4</v>
      </c>
      <c r="H1117" s="233" t="s">
        <v>299</v>
      </c>
      <c r="I1117" s="234">
        <v>2024.1</v>
      </c>
      <c r="J1117" s="234">
        <v>1904.5</v>
      </c>
      <c r="K1117" s="234">
        <v>1691</v>
      </c>
      <c r="L1117" s="235">
        <v>86</v>
      </c>
      <c r="M1117" s="233" t="s">
        <v>254</v>
      </c>
      <c r="N1117" s="233" t="s">
        <v>258</v>
      </c>
      <c r="O1117" s="236" t="s">
        <v>326</v>
      </c>
      <c r="P1117" s="84">
        <v>167850.81</v>
      </c>
      <c r="Q1117" s="234">
        <v>0</v>
      </c>
      <c r="R1117" s="234">
        <v>0</v>
      </c>
      <c r="S1117" s="234">
        <v>0</v>
      </c>
      <c r="T1117" s="234">
        <f t="shared" si="78"/>
        <v>167850.81</v>
      </c>
      <c r="U1117" s="234">
        <f t="shared" si="74"/>
        <v>82.926144953312587</v>
      </c>
      <c r="V1117" s="78">
        <v>82.926144953312587</v>
      </c>
    </row>
    <row r="1118" spans="1:22" s="79" customFormat="1" ht="36" customHeight="1" x14ac:dyDescent="0.5">
      <c r="A1118" s="79">
        <v>1</v>
      </c>
      <c r="B1118" s="85">
        <f>SUBTOTAL(103,$A$1026:A1118)</f>
        <v>92</v>
      </c>
      <c r="C1118" s="83" t="s">
        <v>453</v>
      </c>
      <c r="D1118" s="233">
        <v>1951</v>
      </c>
      <c r="E1118" s="233"/>
      <c r="F1118" s="233" t="s">
        <v>310</v>
      </c>
      <c r="G1118" s="233">
        <v>2</v>
      </c>
      <c r="H1118" s="233" t="s">
        <v>290</v>
      </c>
      <c r="I1118" s="234">
        <v>421.2</v>
      </c>
      <c r="J1118" s="234">
        <v>379.5</v>
      </c>
      <c r="K1118" s="234">
        <v>379.5</v>
      </c>
      <c r="L1118" s="235">
        <v>21</v>
      </c>
      <c r="M1118" s="233" t="s">
        <v>254</v>
      </c>
      <c r="N1118" s="233" t="s">
        <v>255</v>
      </c>
      <c r="O1118" s="236" t="s">
        <v>257</v>
      </c>
      <c r="P1118" s="84">
        <v>3027712.64</v>
      </c>
      <c r="Q1118" s="234">
        <v>0</v>
      </c>
      <c r="R1118" s="234">
        <v>0</v>
      </c>
      <c r="S1118" s="234">
        <v>0</v>
      </c>
      <c r="T1118" s="234">
        <f t="shared" si="78"/>
        <v>3027712.64</v>
      </c>
      <c r="U1118" s="234">
        <f t="shared" si="74"/>
        <v>7188.3016144349485</v>
      </c>
      <c r="V1118" s="78">
        <v>9945.3674415954429</v>
      </c>
    </row>
    <row r="1119" spans="1:22" s="79" customFormat="1" ht="36" customHeight="1" x14ac:dyDescent="0.5">
      <c r="A1119" s="79">
        <v>1</v>
      </c>
      <c r="B1119" s="85">
        <f>SUBTOTAL(103,$A$1026:A1119)</f>
        <v>93</v>
      </c>
      <c r="C1119" s="83" t="s">
        <v>1496</v>
      </c>
      <c r="D1119" s="233">
        <v>1887</v>
      </c>
      <c r="E1119" s="233"/>
      <c r="F1119" s="233" t="s">
        <v>1500</v>
      </c>
      <c r="G1119" s="233">
        <v>2</v>
      </c>
      <c r="H1119" s="233" t="s">
        <v>290</v>
      </c>
      <c r="I1119" s="234">
        <v>323</v>
      </c>
      <c r="J1119" s="234">
        <v>291.7</v>
      </c>
      <c r="K1119" s="234">
        <v>291.7</v>
      </c>
      <c r="L1119" s="235">
        <v>16</v>
      </c>
      <c r="M1119" s="233" t="s">
        <v>254</v>
      </c>
      <c r="N1119" s="233" t="s">
        <v>255</v>
      </c>
      <c r="O1119" s="236" t="s">
        <v>257</v>
      </c>
      <c r="P1119" s="84">
        <v>47459.45</v>
      </c>
      <c r="Q1119" s="234">
        <v>0</v>
      </c>
      <c r="R1119" s="234">
        <v>0</v>
      </c>
      <c r="S1119" s="234">
        <v>0</v>
      </c>
      <c r="T1119" s="234">
        <f t="shared" si="78"/>
        <v>47459.45</v>
      </c>
      <c r="U1119" s="234">
        <f t="shared" si="74"/>
        <v>146.93328173374613</v>
      </c>
      <c r="V1119" s="78">
        <v>180.69659442724458</v>
      </c>
    </row>
    <row r="1120" spans="1:22" s="79" customFormat="1" ht="36" customHeight="1" x14ac:dyDescent="0.5">
      <c r="A1120" s="79">
        <v>1</v>
      </c>
      <c r="B1120" s="85">
        <f>SUBTOTAL(103,$A$1026:A1120)</f>
        <v>94</v>
      </c>
      <c r="C1120" s="83" t="s">
        <v>1799</v>
      </c>
      <c r="D1120" s="233">
        <v>1976</v>
      </c>
      <c r="E1120" s="233"/>
      <c r="F1120" s="233" t="s">
        <v>1479</v>
      </c>
      <c r="G1120" s="233" t="s">
        <v>337</v>
      </c>
      <c r="H1120" s="233" t="s">
        <v>355</v>
      </c>
      <c r="I1120" s="234">
        <v>4908.2</v>
      </c>
      <c r="J1120" s="234">
        <v>4507.3</v>
      </c>
      <c r="K1120" s="234">
        <v>4121.8</v>
      </c>
      <c r="L1120" s="235">
        <v>252</v>
      </c>
      <c r="M1120" s="233" t="s">
        <v>254</v>
      </c>
      <c r="N1120" s="233" t="s">
        <v>255</v>
      </c>
      <c r="O1120" s="236" t="s">
        <v>257</v>
      </c>
      <c r="P1120" s="84">
        <v>9201351.4100000001</v>
      </c>
      <c r="Q1120" s="234">
        <v>0</v>
      </c>
      <c r="R1120" s="234">
        <v>0</v>
      </c>
      <c r="S1120" s="234">
        <v>0</v>
      </c>
      <c r="T1120" s="234">
        <f t="shared" si="78"/>
        <v>9201351.4100000001</v>
      </c>
      <c r="U1120" s="234">
        <f t="shared" si="74"/>
        <v>1874.6895827390897</v>
      </c>
      <c r="V1120" s="78">
        <v>3185.6280632411067</v>
      </c>
    </row>
    <row r="1121" spans="1:22" s="79" customFormat="1" ht="36" customHeight="1" x14ac:dyDescent="0.5">
      <c r="A1121" s="79">
        <v>1</v>
      </c>
      <c r="B1121" s="85">
        <f>SUBTOTAL(103,$A$1026:A1121)</f>
        <v>95</v>
      </c>
      <c r="C1121" s="83" t="s">
        <v>432</v>
      </c>
      <c r="D1121" s="233">
        <v>1963</v>
      </c>
      <c r="E1121" s="233"/>
      <c r="F1121" s="233" t="s">
        <v>256</v>
      </c>
      <c r="G1121" s="233">
        <v>4</v>
      </c>
      <c r="H1121" s="233" t="s">
        <v>299</v>
      </c>
      <c r="I1121" s="234">
        <v>2171.1999999999998</v>
      </c>
      <c r="J1121" s="234">
        <v>2025.5</v>
      </c>
      <c r="K1121" s="234">
        <v>2025.5</v>
      </c>
      <c r="L1121" s="235">
        <v>84</v>
      </c>
      <c r="M1121" s="233" t="s">
        <v>254</v>
      </c>
      <c r="N1121" s="233" t="s">
        <v>255</v>
      </c>
      <c r="O1121" s="236" t="s">
        <v>257</v>
      </c>
      <c r="P1121" s="84">
        <v>6112874.1299999999</v>
      </c>
      <c r="Q1121" s="234">
        <v>0</v>
      </c>
      <c r="R1121" s="234">
        <v>0</v>
      </c>
      <c r="S1121" s="234">
        <v>0</v>
      </c>
      <c r="T1121" s="234">
        <f t="shared" si="78"/>
        <v>6112874.1299999999</v>
      </c>
      <c r="U1121" s="234">
        <f t="shared" si="74"/>
        <v>2815.4357636330142</v>
      </c>
      <c r="V1121" s="78">
        <v>4080.3902056005895</v>
      </c>
    </row>
    <row r="1122" spans="1:22" s="79" customFormat="1" ht="36" customHeight="1" x14ac:dyDescent="0.5">
      <c r="A1122" s="79">
        <v>1</v>
      </c>
      <c r="B1122" s="85">
        <f>SUBTOTAL(103,$A$1026:A1122)</f>
        <v>96</v>
      </c>
      <c r="C1122" s="83" t="s">
        <v>2160</v>
      </c>
      <c r="D1122" s="233">
        <v>1961</v>
      </c>
      <c r="E1122" s="233" t="s">
        <v>680</v>
      </c>
      <c r="F1122" s="233" t="s">
        <v>256</v>
      </c>
      <c r="G1122" s="233">
        <v>2</v>
      </c>
      <c r="H1122" s="233">
        <v>2</v>
      </c>
      <c r="I1122" s="234">
        <v>624.79999999999995</v>
      </c>
      <c r="J1122" s="234">
        <v>617.70000000000005</v>
      </c>
      <c r="K1122" s="234">
        <v>617.70000000000005</v>
      </c>
      <c r="L1122" s="235">
        <v>32</v>
      </c>
      <c r="M1122" s="233" t="s">
        <v>254</v>
      </c>
      <c r="N1122" s="233" t="s">
        <v>255</v>
      </c>
      <c r="O1122" s="236" t="s">
        <v>257</v>
      </c>
      <c r="P1122" s="84">
        <v>3279704.4600000004</v>
      </c>
      <c r="Q1122" s="234">
        <v>0</v>
      </c>
      <c r="R1122" s="234">
        <v>0</v>
      </c>
      <c r="S1122" s="234">
        <v>0</v>
      </c>
      <c r="T1122" s="234">
        <f t="shared" si="78"/>
        <v>3279704.4600000004</v>
      </c>
      <c r="U1122" s="234">
        <f t="shared" si="74"/>
        <v>5249.2068822023057</v>
      </c>
      <c r="V1122" s="78">
        <v>10512.204225352114</v>
      </c>
    </row>
    <row r="1123" spans="1:22" s="79" customFormat="1" ht="36" customHeight="1" x14ac:dyDescent="0.5">
      <c r="A1123" s="79">
        <v>1</v>
      </c>
      <c r="B1123" s="85">
        <f>SUBTOTAL(103,$A$1026:A1123)</f>
        <v>97</v>
      </c>
      <c r="C1123" s="83" t="s">
        <v>1078</v>
      </c>
      <c r="D1123" s="233">
        <v>1977</v>
      </c>
      <c r="E1123" s="233">
        <v>2014</v>
      </c>
      <c r="F1123" s="233" t="s">
        <v>256</v>
      </c>
      <c r="G1123" s="233">
        <v>5</v>
      </c>
      <c r="H1123" s="233" t="s">
        <v>295</v>
      </c>
      <c r="I1123" s="234">
        <v>3912.3</v>
      </c>
      <c r="J1123" s="234">
        <v>3639.1</v>
      </c>
      <c r="K1123" s="234">
        <v>2732.3</v>
      </c>
      <c r="L1123" s="235">
        <v>140</v>
      </c>
      <c r="M1123" s="233" t="s">
        <v>254</v>
      </c>
      <c r="N1123" s="233" t="s">
        <v>258</v>
      </c>
      <c r="O1123" s="236" t="s">
        <v>1222</v>
      </c>
      <c r="P1123" s="84">
        <v>933154.1</v>
      </c>
      <c r="Q1123" s="234">
        <v>0</v>
      </c>
      <c r="R1123" s="234">
        <v>0</v>
      </c>
      <c r="S1123" s="234">
        <v>0</v>
      </c>
      <c r="T1123" s="234">
        <f t="shared" si="78"/>
        <v>933154.1</v>
      </c>
      <c r="U1123" s="234">
        <f t="shared" si="74"/>
        <v>238.51803287068986</v>
      </c>
      <c r="V1123" s="78">
        <v>5674.57</v>
      </c>
    </row>
    <row r="1124" spans="1:22" s="79" customFormat="1" ht="36" customHeight="1" x14ac:dyDescent="0.5">
      <c r="A1124" s="79">
        <v>1</v>
      </c>
      <c r="B1124" s="85">
        <f>SUBTOTAL(103,$A$1026:A1124)</f>
        <v>98</v>
      </c>
      <c r="C1124" s="83" t="s">
        <v>433</v>
      </c>
      <c r="D1124" s="233">
        <v>1959</v>
      </c>
      <c r="E1124" s="233"/>
      <c r="F1124" s="233" t="s">
        <v>256</v>
      </c>
      <c r="G1124" s="233">
        <v>2</v>
      </c>
      <c r="H1124" s="233" t="s">
        <v>290</v>
      </c>
      <c r="I1124" s="234">
        <v>679.1</v>
      </c>
      <c r="J1124" s="234">
        <v>632.4</v>
      </c>
      <c r="K1124" s="234">
        <v>632.4</v>
      </c>
      <c r="L1124" s="235">
        <v>43</v>
      </c>
      <c r="M1124" s="233" t="s">
        <v>254</v>
      </c>
      <c r="N1124" s="233" t="s">
        <v>255</v>
      </c>
      <c r="O1124" s="236" t="s">
        <v>257</v>
      </c>
      <c r="P1124" s="84">
        <v>2752467.2</v>
      </c>
      <c r="Q1124" s="234">
        <v>0</v>
      </c>
      <c r="R1124" s="234">
        <v>0</v>
      </c>
      <c r="S1124" s="234">
        <v>0</v>
      </c>
      <c r="T1124" s="234">
        <f t="shared" si="78"/>
        <v>2752467.2</v>
      </c>
      <c r="U1124" s="234">
        <f t="shared" si="74"/>
        <v>4053.1102930348993</v>
      </c>
      <c r="V1124" s="78">
        <v>9348.8995941687517</v>
      </c>
    </row>
    <row r="1125" spans="1:22" s="79" customFormat="1" ht="36" customHeight="1" x14ac:dyDescent="0.5">
      <c r="A1125" s="79">
        <v>1</v>
      </c>
      <c r="B1125" s="85">
        <f>SUBTOTAL(103,$A$1026:A1125)</f>
        <v>99</v>
      </c>
      <c r="C1125" s="83" t="s">
        <v>434</v>
      </c>
      <c r="D1125" s="233">
        <v>1959</v>
      </c>
      <c r="E1125" s="233"/>
      <c r="F1125" s="233" t="s">
        <v>256</v>
      </c>
      <c r="G1125" s="233">
        <v>2</v>
      </c>
      <c r="H1125" s="233" t="s">
        <v>290</v>
      </c>
      <c r="I1125" s="234">
        <v>692.3</v>
      </c>
      <c r="J1125" s="234">
        <v>645.9</v>
      </c>
      <c r="K1125" s="234">
        <v>615.29999999999995</v>
      </c>
      <c r="L1125" s="235">
        <v>28</v>
      </c>
      <c r="M1125" s="233" t="s">
        <v>254</v>
      </c>
      <c r="N1125" s="233" t="s">
        <v>255</v>
      </c>
      <c r="O1125" s="236" t="s">
        <v>257</v>
      </c>
      <c r="P1125" s="84">
        <v>2809619.67</v>
      </c>
      <c r="Q1125" s="234">
        <v>0</v>
      </c>
      <c r="R1125" s="234">
        <v>0</v>
      </c>
      <c r="S1125" s="234">
        <v>0</v>
      </c>
      <c r="T1125" s="234">
        <f t="shared" si="78"/>
        <v>2809619.67</v>
      </c>
      <c r="U1125" s="234">
        <f t="shared" si="74"/>
        <v>4058.384616495739</v>
      </c>
      <c r="V1125" s="78">
        <v>9618.3495109056767</v>
      </c>
    </row>
    <row r="1126" spans="1:22" s="79" customFormat="1" ht="36" customHeight="1" x14ac:dyDescent="0.5">
      <c r="B1126" s="83" t="s">
        <v>707</v>
      </c>
      <c r="C1126" s="253"/>
      <c r="D1126" s="233" t="s">
        <v>835</v>
      </c>
      <c r="E1126" s="233" t="s">
        <v>835</v>
      </c>
      <c r="F1126" s="233" t="s">
        <v>835</v>
      </c>
      <c r="G1126" s="233" t="s">
        <v>835</v>
      </c>
      <c r="H1126" s="233" t="s">
        <v>835</v>
      </c>
      <c r="I1126" s="234">
        <f>SUM(I1127:I1174)</f>
        <v>164369.99000000002</v>
      </c>
      <c r="J1126" s="234">
        <f t="shared" ref="J1126:L1126" si="79">SUM(J1127:J1174)</f>
        <v>143042.69000000003</v>
      </c>
      <c r="K1126" s="234">
        <f t="shared" si="79"/>
        <v>130828.57000000002</v>
      </c>
      <c r="L1126" s="235">
        <f t="shared" si="79"/>
        <v>6132</v>
      </c>
      <c r="M1126" s="233" t="s">
        <v>835</v>
      </c>
      <c r="N1126" s="233" t="s">
        <v>835</v>
      </c>
      <c r="O1126" s="236" t="s">
        <v>835</v>
      </c>
      <c r="P1126" s="138">
        <v>211099083.16000006</v>
      </c>
      <c r="Q1126" s="84">
        <f t="shared" ref="Q1126:T1126" si="80">SUM(Q1127:Q1174)</f>
        <v>10712323.609999999</v>
      </c>
      <c r="R1126" s="84">
        <f t="shared" si="80"/>
        <v>0</v>
      </c>
      <c r="S1126" s="84">
        <f t="shared" si="80"/>
        <v>0</v>
      </c>
      <c r="T1126" s="84">
        <f t="shared" si="80"/>
        <v>200386759.54999998</v>
      </c>
      <c r="U1126" s="234">
        <f t="shared" si="74"/>
        <v>1284.2921214511239</v>
      </c>
      <c r="V1126" s="78">
        <f>MAX(V1127:V1174)</f>
        <v>10137.663718024571</v>
      </c>
    </row>
    <row r="1127" spans="1:22" s="79" customFormat="1" ht="36" customHeight="1" x14ac:dyDescent="0.5">
      <c r="A1127" s="79">
        <v>1</v>
      </c>
      <c r="B1127" s="85">
        <f>SUBTOTAL(103,$A$1026:A1127)</f>
        <v>100</v>
      </c>
      <c r="C1127" s="83" t="s">
        <v>402</v>
      </c>
      <c r="D1127" s="233">
        <v>1972</v>
      </c>
      <c r="E1127" s="233"/>
      <c r="F1127" s="233" t="s">
        <v>256</v>
      </c>
      <c r="G1127" s="233">
        <v>5</v>
      </c>
      <c r="H1127" s="233" t="s">
        <v>295</v>
      </c>
      <c r="I1127" s="234">
        <v>3577.12</v>
      </c>
      <c r="J1127" s="234">
        <v>3306.9</v>
      </c>
      <c r="K1127" s="234">
        <v>2940.98</v>
      </c>
      <c r="L1127" s="235">
        <v>152</v>
      </c>
      <c r="M1127" s="233" t="s">
        <v>254</v>
      </c>
      <c r="N1127" s="233" t="s">
        <v>258</v>
      </c>
      <c r="O1127" s="236" t="s">
        <v>314</v>
      </c>
      <c r="P1127" s="84">
        <v>9581338.1000000015</v>
      </c>
      <c r="Q1127" s="234">
        <v>0</v>
      </c>
      <c r="R1127" s="234">
        <v>0</v>
      </c>
      <c r="S1127" s="234">
        <v>0</v>
      </c>
      <c r="T1127" s="234">
        <f t="shared" ref="T1127:T1174" si="81">P1127-Q1127-R1127-S1127</f>
        <v>9581338.1000000015</v>
      </c>
      <c r="U1127" s="234">
        <f t="shared" si="74"/>
        <v>2678.5062005188538</v>
      </c>
      <c r="V1127" s="78">
        <v>3271.7552023974595</v>
      </c>
    </row>
    <row r="1128" spans="1:22" s="79" customFormat="1" ht="36" customHeight="1" x14ac:dyDescent="0.5">
      <c r="A1128" s="79">
        <v>1</v>
      </c>
      <c r="B1128" s="85">
        <f>SUBTOTAL(103,$A$1026:A1128)</f>
        <v>101</v>
      </c>
      <c r="C1128" s="83" t="s">
        <v>404</v>
      </c>
      <c r="D1128" s="233">
        <v>1969</v>
      </c>
      <c r="E1128" s="233"/>
      <c r="F1128" s="233" t="s">
        <v>256</v>
      </c>
      <c r="G1128" s="233">
        <v>5</v>
      </c>
      <c r="H1128" s="233" t="s">
        <v>355</v>
      </c>
      <c r="I1128" s="234">
        <v>4890.1099999999997</v>
      </c>
      <c r="J1128" s="234">
        <v>4490.3999999999996</v>
      </c>
      <c r="K1128" s="234">
        <v>4177.2300000000005</v>
      </c>
      <c r="L1128" s="235">
        <v>210</v>
      </c>
      <c r="M1128" s="233" t="s">
        <v>254</v>
      </c>
      <c r="N1128" s="233" t="s">
        <v>258</v>
      </c>
      <c r="O1128" s="236" t="s">
        <v>307</v>
      </c>
      <c r="P1128" s="84">
        <v>12531024.01</v>
      </c>
      <c r="Q1128" s="234">
        <v>0</v>
      </c>
      <c r="R1128" s="234">
        <v>0</v>
      </c>
      <c r="S1128" s="234">
        <v>0</v>
      </c>
      <c r="T1128" s="234">
        <f t="shared" si="81"/>
        <v>12531024.01</v>
      </c>
      <c r="U1128" s="234">
        <f t="shared" si="74"/>
        <v>2562.5239534489001</v>
      </c>
      <c r="V1128" s="78">
        <v>3402.7663713086208</v>
      </c>
    </row>
    <row r="1129" spans="1:22" s="79" customFormat="1" ht="36" customHeight="1" x14ac:dyDescent="0.5">
      <c r="A1129" s="79">
        <v>1</v>
      </c>
      <c r="B1129" s="85">
        <f>SUBTOTAL(103,$A$1026:A1129)</f>
        <v>102</v>
      </c>
      <c r="C1129" s="83" t="s">
        <v>405</v>
      </c>
      <c r="D1129" s="233">
        <v>1961</v>
      </c>
      <c r="E1129" s="233"/>
      <c r="F1129" s="233" t="s">
        <v>256</v>
      </c>
      <c r="G1129" s="233">
        <v>2</v>
      </c>
      <c r="H1129" s="233" t="s">
        <v>290</v>
      </c>
      <c r="I1129" s="234">
        <v>824.04</v>
      </c>
      <c r="J1129" s="234">
        <v>777.74</v>
      </c>
      <c r="K1129" s="234">
        <v>728.73</v>
      </c>
      <c r="L1129" s="235">
        <v>37</v>
      </c>
      <c r="M1129" s="233" t="s">
        <v>254</v>
      </c>
      <c r="N1129" s="233" t="s">
        <v>258</v>
      </c>
      <c r="O1129" s="236" t="s">
        <v>311</v>
      </c>
      <c r="P1129" s="84">
        <v>4836895.78</v>
      </c>
      <c r="Q1129" s="234">
        <v>0</v>
      </c>
      <c r="R1129" s="234">
        <v>0</v>
      </c>
      <c r="S1129" s="234">
        <v>0</v>
      </c>
      <c r="T1129" s="234">
        <f t="shared" si="81"/>
        <v>4836895.78</v>
      </c>
      <c r="U1129" s="234">
        <f t="shared" si="74"/>
        <v>5869.7342119314599</v>
      </c>
      <c r="V1129" s="78">
        <v>8010.0406776370082</v>
      </c>
    </row>
    <row r="1130" spans="1:22" s="79" customFormat="1" ht="36" customHeight="1" x14ac:dyDescent="0.5">
      <c r="A1130" s="79">
        <v>1</v>
      </c>
      <c r="B1130" s="85">
        <f>SUBTOTAL(103,$A$1026:A1130)</f>
        <v>103</v>
      </c>
      <c r="C1130" s="83" t="s">
        <v>1590</v>
      </c>
      <c r="D1130" s="233">
        <v>1980</v>
      </c>
      <c r="E1130" s="233"/>
      <c r="F1130" s="233" t="s">
        <v>256</v>
      </c>
      <c r="G1130" s="233">
        <v>5</v>
      </c>
      <c r="H1130" s="233" t="s">
        <v>290</v>
      </c>
      <c r="I1130" s="234">
        <v>1589.4</v>
      </c>
      <c r="J1130" s="234">
        <v>1176.4000000000001</v>
      </c>
      <c r="K1130" s="234">
        <v>1117.8000000000002</v>
      </c>
      <c r="L1130" s="235">
        <v>61</v>
      </c>
      <c r="M1130" s="233" t="s">
        <v>254</v>
      </c>
      <c r="N1130" s="233" t="s">
        <v>258</v>
      </c>
      <c r="O1130" s="236" t="s">
        <v>311</v>
      </c>
      <c r="P1130" s="84">
        <v>1838216.12</v>
      </c>
      <c r="Q1130" s="234">
        <v>0</v>
      </c>
      <c r="R1130" s="234">
        <v>0</v>
      </c>
      <c r="S1130" s="234">
        <v>0</v>
      </c>
      <c r="T1130" s="234">
        <f t="shared" si="81"/>
        <v>1838216.12</v>
      </c>
      <c r="U1130" s="234">
        <f t="shared" si="74"/>
        <v>1156.5472002013339</v>
      </c>
      <c r="V1130" s="78">
        <v>2154.6501245753111</v>
      </c>
    </row>
    <row r="1131" spans="1:22" s="79" customFormat="1" ht="36" customHeight="1" x14ac:dyDescent="0.5">
      <c r="A1131" s="79">
        <v>1</v>
      </c>
      <c r="B1131" s="85">
        <f>SUBTOTAL(103,$A$1026:A1131)</f>
        <v>104</v>
      </c>
      <c r="C1131" s="83" t="s">
        <v>195</v>
      </c>
      <c r="D1131" s="233">
        <v>1963</v>
      </c>
      <c r="E1131" s="233"/>
      <c r="F1131" s="233" t="s">
        <v>256</v>
      </c>
      <c r="G1131" s="233">
        <v>2</v>
      </c>
      <c r="H1131" s="233" t="s">
        <v>290</v>
      </c>
      <c r="I1131" s="234">
        <v>444.9</v>
      </c>
      <c r="J1131" s="234">
        <v>444.9</v>
      </c>
      <c r="K1131" s="234">
        <v>442.2</v>
      </c>
      <c r="L1131" s="235">
        <v>17</v>
      </c>
      <c r="M1131" s="233" t="s">
        <v>254</v>
      </c>
      <c r="N1131" s="233" t="s">
        <v>258</v>
      </c>
      <c r="O1131" s="236" t="s">
        <v>312</v>
      </c>
      <c r="P1131" s="84">
        <v>241594</v>
      </c>
      <c r="Q1131" s="234">
        <v>0</v>
      </c>
      <c r="R1131" s="234">
        <v>0</v>
      </c>
      <c r="S1131" s="234">
        <v>0</v>
      </c>
      <c r="T1131" s="234">
        <f t="shared" si="81"/>
        <v>241594</v>
      </c>
      <c r="U1131" s="234">
        <f t="shared" si="74"/>
        <v>543.02989435828283</v>
      </c>
      <c r="V1131" s="78">
        <v>1051.81</v>
      </c>
    </row>
    <row r="1132" spans="1:22" s="79" customFormat="1" ht="36" customHeight="1" x14ac:dyDescent="0.5">
      <c r="A1132" s="79">
        <v>1</v>
      </c>
      <c r="B1132" s="85">
        <f>SUBTOTAL(103,$A$1026:A1132)</f>
        <v>105</v>
      </c>
      <c r="C1132" s="83" t="s">
        <v>196</v>
      </c>
      <c r="D1132" s="233">
        <v>1969</v>
      </c>
      <c r="E1132" s="233"/>
      <c r="F1132" s="233" t="s">
        <v>256</v>
      </c>
      <c r="G1132" s="233">
        <v>2</v>
      </c>
      <c r="H1132" s="233" t="s">
        <v>290</v>
      </c>
      <c r="I1132" s="234">
        <v>589.1</v>
      </c>
      <c r="J1132" s="234">
        <v>589.1</v>
      </c>
      <c r="K1132" s="234">
        <v>537.5</v>
      </c>
      <c r="L1132" s="235">
        <v>31</v>
      </c>
      <c r="M1132" s="233" t="s">
        <v>254</v>
      </c>
      <c r="N1132" s="233" t="s">
        <v>258</v>
      </c>
      <c r="O1132" s="236" t="s">
        <v>312</v>
      </c>
      <c r="P1132" s="84">
        <v>234307.91999999998</v>
      </c>
      <c r="Q1132" s="234">
        <v>0</v>
      </c>
      <c r="R1132" s="234">
        <v>0</v>
      </c>
      <c r="S1132" s="234">
        <v>0</v>
      </c>
      <c r="T1132" s="234">
        <f t="shared" si="81"/>
        <v>234307.91999999998</v>
      </c>
      <c r="U1132" s="234">
        <f t="shared" si="74"/>
        <v>397.73878798166692</v>
      </c>
      <c r="V1132" s="78">
        <v>1051.81</v>
      </c>
    </row>
    <row r="1133" spans="1:22" s="79" customFormat="1" ht="36" customHeight="1" x14ac:dyDescent="0.5">
      <c r="A1133" s="79">
        <v>1</v>
      </c>
      <c r="B1133" s="85">
        <f>SUBTOTAL(103,$A$1026:A1133)</f>
        <v>106</v>
      </c>
      <c r="C1133" s="83" t="s">
        <v>197</v>
      </c>
      <c r="D1133" s="233">
        <v>1966</v>
      </c>
      <c r="E1133" s="233"/>
      <c r="F1133" s="233" t="s">
        <v>256</v>
      </c>
      <c r="G1133" s="233">
        <v>2</v>
      </c>
      <c r="H1133" s="233" t="s">
        <v>290</v>
      </c>
      <c r="I1133" s="234">
        <v>719.9</v>
      </c>
      <c r="J1133" s="234">
        <v>719.9</v>
      </c>
      <c r="K1133" s="234">
        <v>670.3</v>
      </c>
      <c r="L1133" s="235">
        <v>26</v>
      </c>
      <c r="M1133" s="233" t="s">
        <v>254</v>
      </c>
      <c r="N1133" s="233" t="s">
        <v>258</v>
      </c>
      <c r="O1133" s="236" t="s">
        <v>312</v>
      </c>
      <c r="P1133" s="84">
        <v>426062.41000000003</v>
      </c>
      <c r="Q1133" s="234">
        <v>0</v>
      </c>
      <c r="R1133" s="234">
        <v>0</v>
      </c>
      <c r="S1133" s="234">
        <v>0</v>
      </c>
      <c r="T1133" s="234">
        <f t="shared" si="81"/>
        <v>426062.41000000003</v>
      </c>
      <c r="U1133" s="234">
        <f t="shared" si="74"/>
        <v>591.83554660369498</v>
      </c>
      <c r="V1133" s="78">
        <v>2183.1838776218924</v>
      </c>
    </row>
    <row r="1134" spans="1:22" s="79" customFormat="1" ht="36" customHeight="1" x14ac:dyDescent="0.5">
      <c r="A1134" s="79">
        <v>1</v>
      </c>
      <c r="B1134" s="85">
        <f>SUBTOTAL(103,$A$1026:A1134)</f>
        <v>107</v>
      </c>
      <c r="C1134" s="83" t="s">
        <v>406</v>
      </c>
      <c r="D1134" s="233">
        <v>1963</v>
      </c>
      <c r="E1134" s="233"/>
      <c r="F1134" s="233" t="s">
        <v>256</v>
      </c>
      <c r="G1134" s="233">
        <v>4</v>
      </c>
      <c r="H1134" s="233" t="s">
        <v>299</v>
      </c>
      <c r="I1134" s="234">
        <v>2141.94</v>
      </c>
      <c r="J1134" s="234">
        <v>1876.78</v>
      </c>
      <c r="K1134" s="234">
        <v>1544.6799999999998</v>
      </c>
      <c r="L1134" s="235">
        <v>77</v>
      </c>
      <c r="M1134" s="233" t="s">
        <v>254</v>
      </c>
      <c r="N1134" s="233" t="s">
        <v>258</v>
      </c>
      <c r="O1134" s="236" t="s">
        <v>934</v>
      </c>
      <c r="P1134" s="84">
        <v>7617574.75</v>
      </c>
      <c r="Q1134" s="234">
        <v>0</v>
      </c>
      <c r="R1134" s="234">
        <v>0</v>
      </c>
      <c r="S1134" s="234">
        <v>0</v>
      </c>
      <c r="T1134" s="234">
        <f t="shared" si="81"/>
        <v>7617574.75</v>
      </c>
      <c r="U1134" s="234">
        <f t="shared" si="74"/>
        <v>3556.39035173721</v>
      </c>
      <c r="V1134" s="78">
        <v>4074.2450880977058</v>
      </c>
    </row>
    <row r="1135" spans="1:22" s="79" customFormat="1" ht="36" customHeight="1" x14ac:dyDescent="0.5">
      <c r="A1135" s="79">
        <v>1</v>
      </c>
      <c r="B1135" s="85">
        <f>SUBTOTAL(103,$A$1026:A1135)</f>
        <v>108</v>
      </c>
      <c r="C1135" s="83" t="s">
        <v>408</v>
      </c>
      <c r="D1135" s="233">
        <v>1958</v>
      </c>
      <c r="E1135" s="233"/>
      <c r="F1135" s="233" t="s">
        <v>256</v>
      </c>
      <c r="G1135" s="233">
        <v>2</v>
      </c>
      <c r="H1135" s="233" t="s">
        <v>290</v>
      </c>
      <c r="I1135" s="234">
        <v>717.8</v>
      </c>
      <c r="J1135" s="234">
        <v>649.4</v>
      </c>
      <c r="K1135" s="234">
        <v>507.29999999999995</v>
      </c>
      <c r="L1135" s="235">
        <v>46</v>
      </c>
      <c r="M1135" s="233" t="s">
        <v>254</v>
      </c>
      <c r="N1135" s="233" t="s">
        <v>258</v>
      </c>
      <c r="O1135" s="236" t="s">
        <v>311</v>
      </c>
      <c r="P1135" s="84">
        <v>5006850.82</v>
      </c>
      <c r="Q1135" s="234">
        <v>0</v>
      </c>
      <c r="R1135" s="234">
        <v>0</v>
      </c>
      <c r="S1135" s="234">
        <v>0</v>
      </c>
      <c r="T1135" s="234">
        <f t="shared" si="81"/>
        <v>5006850.82</v>
      </c>
      <c r="U1135" s="234">
        <f t="shared" si="74"/>
        <v>6975.2728057954873</v>
      </c>
      <c r="V1135" s="78">
        <v>9286.3351351351357</v>
      </c>
    </row>
    <row r="1136" spans="1:22" s="79" customFormat="1" ht="36" customHeight="1" x14ac:dyDescent="0.5">
      <c r="A1136" s="79">
        <v>1</v>
      </c>
      <c r="B1136" s="85">
        <f>SUBTOTAL(103,$A$1026:A1136)</f>
        <v>109</v>
      </c>
      <c r="C1136" s="83" t="s">
        <v>409</v>
      </c>
      <c r="D1136" s="233">
        <v>1968</v>
      </c>
      <c r="E1136" s="233"/>
      <c r="F1136" s="233" t="s">
        <v>256</v>
      </c>
      <c r="G1136" s="233">
        <v>3</v>
      </c>
      <c r="H1136" s="233" t="s">
        <v>290</v>
      </c>
      <c r="I1136" s="234">
        <v>1032.5</v>
      </c>
      <c r="J1136" s="234">
        <v>644</v>
      </c>
      <c r="K1136" s="234">
        <v>445.9</v>
      </c>
      <c r="L1136" s="235">
        <v>83</v>
      </c>
      <c r="M1136" s="233" t="s">
        <v>254</v>
      </c>
      <c r="N1136" s="233" t="s">
        <v>258</v>
      </c>
      <c r="O1136" s="236" t="s">
        <v>314</v>
      </c>
      <c r="P1136" s="84">
        <v>91659.07</v>
      </c>
      <c r="Q1136" s="234">
        <v>0</v>
      </c>
      <c r="R1136" s="234">
        <v>0</v>
      </c>
      <c r="S1136" s="234">
        <v>0</v>
      </c>
      <c r="T1136" s="234">
        <f t="shared" si="81"/>
        <v>91659.07</v>
      </c>
      <c r="U1136" s="234">
        <f t="shared" si="74"/>
        <v>88.773917675544794</v>
      </c>
      <c r="V1136" s="78">
        <v>94.94694430992736</v>
      </c>
    </row>
    <row r="1137" spans="1:22" s="79" customFormat="1" ht="36" customHeight="1" x14ac:dyDescent="0.5">
      <c r="A1137" s="79">
        <v>1</v>
      </c>
      <c r="B1137" s="85">
        <f>SUBTOTAL(103,$A$1026:A1137)</f>
        <v>110</v>
      </c>
      <c r="C1137" s="83" t="s">
        <v>410</v>
      </c>
      <c r="D1137" s="233">
        <v>1969</v>
      </c>
      <c r="E1137" s="233"/>
      <c r="F1137" s="233" t="s">
        <v>256</v>
      </c>
      <c r="G1137" s="233">
        <v>5</v>
      </c>
      <c r="H1137" s="233" t="s">
        <v>355</v>
      </c>
      <c r="I1137" s="234">
        <v>5048.3</v>
      </c>
      <c r="J1137" s="234">
        <v>4655.2</v>
      </c>
      <c r="K1137" s="234">
        <v>3957.13</v>
      </c>
      <c r="L1137" s="235">
        <v>217</v>
      </c>
      <c r="M1137" s="233" t="s">
        <v>254</v>
      </c>
      <c r="N1137" s="233" t="s">
        <v>258</v>
      </c>
      <c r="O1137" s="236" t="s">
        <v>314</v>
      </c>
      <c r="P1137" s="84">
        <v>176337.2</v>
      </c>
      <c r="Q1137" s="234">
        <v>0</v>
      </c>
      <c r="R1137" s="234">
        <v>0</v>
      </c>
      <c r="S1137" s="234">
        <v>0</v>
      </c>
      <c r="T1137" s="234">
        <f t="shared" si="81"/>
        <v>176337.2</v>
      </c>
      <c r="U1137" s="234">
        <f t="shared" si="74"/>
        <v>34.930016045005253</v>
      </c>
      <c r="V1137" s="78">
        <v>34.930016045005253</v>
      </c>
    </row>
    <row r="1138" spans="1:22" s="79" customFormat="1" ht="36" customHeight="1" x14ac:dyDescent="0.5">
      <c r="A1138" s="79">
        <v>1</v>
      </c>
      <c r="B1138" s="85">
        <f>SUBTOTAL(103,$A$1026:A1138)</f>
        <v>111</v>
      </c>
      <c r="C1138" s="83" t="s">
        <v>411</v>
      </c>
      <c r="D1138" s="233">
        <v>1943</v>
      </c>
      <c r="E1138" s="233"/>
      <c r="F1138" s="233" t="s">
        <v>256</v>
      </c>
      <c r="G1138" s="233">
        <v>2</v>
      </c>
      <c r="H1138" s="233" t="s">
        <v>291</v>
      </c>
      <c r="I1138" s="234">
        <v>722.9</v>
      </c>
      <c r="J1138" s="234">
        <v>653.9</v>
      </c>
      <c r="K1138" s="234">
        <v>547.55999999999995</v>
      </c>
      <c r="L1138" s="235">
        <v>34</v>
      </c>
      <c r="M1138" s="233" t="s">
        <v>254</v>
      </c>
      <c r="N1138" s="233" t="s">
        <v>258</v>
      </c>
      <c r="O1138" s="236" t="s">
        <v>311</v>
      </c>
      <c r="P1138" s="84">
        <v>5452572.3399999999</v>
      </c>
      <c r="Q1138" s="234">
        <v>0</v>
      </c>
      <c r="R1138" s="234">
        <v>0</v>
      </c>
      <c r="S1138" s="234">
        <v>0</v>
      </c>
      <c r="T1138" s="234">
        <f t="shared" si="81"/>
        <v>5452572.3399999999</v>
      </c>
      <c r="U1138" s="234">
        <f t="shared" si="74"/>
        <v>7542.6370729008158</v>
      </c>
      <c r="V1138" s="78">
        <v>8439.9043851155075</v>
      </c>
    </row>
    <row r="1139" spans="1:22" s="79" customFormat="1" ht="36" customHeight="1" x14ac:dyDescent="0.5">
      <c r="A1139" s="79">
        <v>1</v>
      </c>
      <c r="B1139" s="85">
        <f>SUBTOTAL(103,$A$1026:A1139)</f>
        <v>112</v>
      </c>
      <c r="C1139" s="83" t="s">
        <v>412</v>
      </c>
      <c r="D1139" s="233">
        <v>1917</v>
      </c>
      <c r="E1139" s="233"/>
      <c r="F1139" s="233" t="s">
        <v>316</v>
      </c>
      <c r="G1139" s="233">
        <v>2</v>
      </c>
      <c r="H1139" s="233" t="s">
        <v>290</v>
      </c>
      <c r="I1139" s="234">
        <v>643.4</v>
      </c>
      <c r="J1139" s="234">
        <v>615.9</v>
      </c>
      <c r="K1139" s="234">
        <v>423.09999999999997</v>
      </c>
      <c r="L1139" s="235">
        <v>21</v>
      </c>
      <c r="M1139" s="233" t="s">
        <v>254</v>
      </c>
      <c r="N1139" s="233" t="s">
        <v>258</v>
      </c>
      <c r="O1139" s="236" t="s">
        <v>307</v>
      </c>
      <c r="P1139" s="84">
        <v>3756819.94</v>
      </c>
      <c r="Q1139" s="234">
        <v>0</v>
      </c>
      <c r="R1139" s="234">
        <v>0</v>
      </c>
      <c r="S1139" s="234">
        <v>0</v>
      </c>
      <c r="T1139" s="234">
        <f t="shared" si="81"/>
        <v>3756819.94</v>
      </c>
      <c r="U1139" s="234">
        <f t="shared" si="74"/>
        <v>5839.0114081442334</v>
      </c>
      <c r="V1139" s="78">
        <v>8419.7447311159467</v>
      </c>
    </row>
    <row r="1140" spans="1:22" s="79" customFormat="1" ht="36" customHeight="1" x14ac:dyDescent="0.5">
      <c r="A1140" s="79">
        <v>1</v>
      </c>
      <c r="B1140" s="85">
        <f>SUBTOTAL(103,$A$1026:A1140)</f>
        <v>113</v>
      </c>
      <c r="C1140" s="83" t="s">
        <v>198</v>
      </c>
      <c r="D1140" s="233">
        <v>1975</v>
      </c>
      <c r="E1140" s="233"/>
      <c r="F1140" s="233" t="s">
        <v>256</v>
      </c>
      <c r="G1140" s="233">
        <v>2</v>
      </c>
      <c r="H1140" s="233" t="s">
        <v>290</v>
      </c>
      <c r="I1140" s="234">
        <v>817.4</v>
      </c>
      <c r="J1140" s="234">
        <v>755.8</v>
      </c>
      <c r="K1140" s="234">
        <v>652</v>
      </c>
      <c r="L1140" s="235">
        <v>43</v>
      </c>
      <c r="M1140" s="233" t="s">
        <v>254</v>
      </c>
      <c r="N1140" s="233" t="s">
        <v>258</v>
      </c>
      <c r="O1140" s="236" t="s">
        <v>313</v>
      </c>
      <c r="P1140" s="84">
        <v>5373460.6599999992</v>
      </c>
      <c r="Q1140" s="234">
        <v>0</v>
      </c>
      <c r="R1140" s="234">
        <v>0</v>
      </c>
      <c r="S1140" s="234">
        <v>0</v>
      </c>
      <c r="T1140" s="234">
        <f t="shared" si="81"/>
        <v>5373460.6599999992</v>
      </c>
      <c r="U1140" s="234">
        <f t="shared" si="74"/>
        <v>6573.8447027159282</v>
      </c>
      <c r="V1140" s="78">
        <v>8453.6295081967219</v>
      </c>
    </row>
    <row r="1141" spans="1:22" s="79" customFormat="1" ht="36" customHeight="1" x14ac:dyDescent="0.5">
      <c r="A1141" s="79">
        <v>1</v>
      </c>
      <c r="B1141" s="85">
        <f>SUBTOTAL(103,$A$1026:A1141)</f>
        <v>114</v>
      </c>
      <c r="C1141" s="83" t="s">
        <v>414</v>
      </c>
      <c r="D1141" s="233">
        <v>1950</v>
      </c>
      <c r="E1141" s="233"/>
      <c r="F1141" s="233" t="s">
        <v>256</v>
      </c>
      <c r="G1141" s="233">
        <v>2</v>
      </c>
      <c r="H1141" s="233" t="s">
        <v>291</v>
      </c>
      <c r="I1141" s="234">
        <v>411.15</v>
      </c>
      <c r="J1141" s="234">
        <v>411.15</v>
      </c>
      <c r="K1141" s="234">
        <v>369.45</v>
      </c>
      <c r="L1141" s="235">
        <v>18</v>
      </c>
      <c r="M1141" s="233" t="s">
        <v>254</v>
      </c>
      <c r="N1141" s="233" t="s">
        <v>258</v>
      </c>
      <c r="O1141" s="236" t="s">
        <v>307</v>
      </c>
      <c r="P1141" s="84">
        <v>2640369.8299999996</v>
      </c>
      <c r="Q1141" s="234">
        <v>0</v>
      </c>
      <c r="R1141" s="234">
        <v>0</v>
      </c>
      <c r="S1141" s="234">
        <v>0</v>
      </c>
      <c r="T1141" s="234">
        <f t="shared" si="81"/>
        <v>2640369.8299999996</v>
      </c>
      <c r="U1141" s="234">
        <f t="shared" si="74"/>
        <v>6421.9137297823172</v>
      </c>
      <c r="V1141" s="78">
        <v>9400.0278243949906</v>
      </c>
    </row>
    <row r="1142" spans="1:22" s="79" customFormat="1" ht="36" customHeight="1" x14ac:dyDescent="0.5">
      <c r="A1142" s="79">
        <v>1</v>
      </c>
      <c r="B1142" s="85">
        <f>SUBTOTAL(103,$A$1026:A1142)</f>
        <v>115</v>
      </c>
      <c r="C1142" s="83" t="s">
        <v>415</v>
      </c>
      <c r="D1142" s="233">
        <v>1966</v>
      </c>
      <c r="E1142" s="233"/>
      <c r="F1142" s="233" t="s">
        <v>256</v>
      </c>
      <c r="G1142" s="233">
        <v>2</v>
      </c>
      <c r="H1142" s="233" t="s">
        <v>290</v>
      </c>
      <c r="I1142" s="234">
        <v>667.6</v>
      </c>
      <c r="J1142" s="234">
        <v>667.6</v>
      </c>
      <c r="K1142" s="234">
        <v>586.70000000000005</v>
      </c>
      <c r="L1142" s="235">
        <v>39</v>
      </c>
      <c r="M1142" s="233" t="s">
        <v>254</v>
      </c>
      <c r="N1142" s="233" t="s">
        <v>258</v>
      </c>
      <c r="O1142" s="236" t="s">
        <v>313</v>
      </c>
      <c r="P1142" s="84">
        <v>4721695.24</v>
      </c>
      <c r="Q1142" s="234">
        <v>0</v>
      </c>
      <c r="R1142" s="234">
        <v>0</v>
      </c>
      <c r="S1142" s="234">
        <v>0</v>
      </c>
      <c r="T1142" s="234">
        <f t="shared" si="81"/>
        <v>4721695.24</v>
      </c>
      <c r="U1142" s="234">
        <f t="shared" ref="U1142:U1205" si="82">P1142/I1142</f>
        <v>7072.6411623726781</v>
      </c>
      <c r="V1142" s="78">
        <v>9090.2309167165968</v>
      </c>
    </row>
    <row r="1143" spans="1:22" s="79" customFormat="1" ht="36" customHeight="1" x14ac:dyDescent="0.5">
      <c r="A1143" s="79">
        <v>1</v>
      </c>
      <c r="B1143" s="85">
        <f>SUBTOTAL(103,$A$1026:A1143)</f>
        <v>116</v>
      </c>
      <c r="C1143" s="83" t="s">
        <v>416</v>
      </c>
      <c r="D1143" s="233">
        <v>1977</v>
      </c>
      <c r="E1143" s="233"/>
      <c r="F1143" s="233" t="s">
        <v>256</v>
      </c>
      <c r="G1143" s="233">
        <v>9</v>
      </c>
      <c r="H1143" s="233" t="s">
        <v>291</v>
      </c>
      <c r="I1143" s="234">
        <v>2576</v>
      </c>
      <c r="J1143" s="234">
        <v>2271.29</v>
      </c>
      <c r="K1143" s="234">
        <v>2123.6999999999998</v>
      </c>
      <c r="L1143" s="235">
        <v>119</v>
      </c>
      <c r="M1143" s="233" t="s">
        <v>254</v>
      </c>
      <c r="N1143" s="233" t="s">
        <v>258</v>
      </c>
      <c r="O1143" s="236" t="s">
        <v>313</v>
      </c>
      <c r="P1143" s="84">
        <v>2183133.91</v>
      </c>
      <c r="Q1143" s="234">
        <v>0</v>
      </c>
      <c r="R1143" s="234">
        <v>0</v>
      </c>
      <c r="S1143" s="234">
        <v>0</v>
      </c>
      <c r="T1143" s="234">
        <f t="shared" si="81"/>
        <v>2183133.91</v>
      </c>
      <c r="U1143" s="234">
        <f t="shared" si="82"/>
        <v>847.48987189441004</v>
      </c>
      <c r="V1143" s="78">
        <v>1483.8828043478261</v>
      </c>
    </row>
    <row r="1144" spans="1:22" s="79" customFormat="1" ht="36" customHeight="1" x14ac:dyDescent="0.5">
      <c r="A1144" s="79">
        <v>1</v>
      </c>
      <c r="B1144" s="85">
        <f>SUBTOTAL(103,$A$1026:A1144)</f>
        <v>117</v>
      </c>
      <c r="C1144" s="83" t="s">
        <v>2583</v>
      </c>
      <c r="D1144" s="233">
        <v>1957</v>
      </c>
      <c r="E1144" s="233"/>
      <c r="F1144" s="233" t="s">
        <v>256</v>
      </c>
      <c r="G1144" s="233">
        <v>3</v>
      </c>
      <c r="H1144" s="233">
        <v>4</v>
      </c>
      <c r="I1144" s="234">
        <v>3060.3</v>
      </c>
      <c r="J1144" s="234">
        <v>2813.7</v>
      </c>
      <c r="K1144" s="234">
        <v>2689.8999999999996</v>
      </c>
      <c r="L1144" s="235">
        <v>100</v>
      </c>
      <c r="M1144" s="233" t="s">
        <v>254</v>
      </c>
      <c r="N1144" s="233" t="s">
        <v>258</v>
      </c>
      <c r="O1144" s="236" t="s">
        <v>313</v>
      </c>
      <c r="P1144" s="84">
        <v>352640.91</v>
      </c>
      <c r="Q1144" s="234">
        <v>0</v>
      </c>
      <c r="R1144" s="234">
        <v>0</v>
      </c>
      <c r="S1144" s="234">
        <v>0</v>
      </c>
      <c r="T1144" s="234">
        <f t="shared" si="81"/>
        <v>352640.91</v>
      </c>
      <c r="U1144" s="234">
        <f t="shared" si="82"/>
        <v>115.23083031075383</v>
      </c>
      <c r="V1144" s="78">
        <v>115.23083031075383</v>
      </c>
    </row>
    <row r="1145" spans="1:22" s="79" customFormat="1" ht="36" customHeight="1" x14ac:dyDescent="0.5">
      <c r="A1145" s="79">
        <v>1</v>
      </c>
      <c r="B1145" s="85">
        <f>SUBTOTAL(103,$A$1026:A1145)</f>
        <v>118</v>
      </c>
      <c r="C1145" s="83" t="s">
        <v>2582</v>
      </c>
      <c r="D1145" s="233">
        <v>1994</v>
      </c>
      <c r="E1145" s="233"/>
      <c r="F1145" s="233" t="s">
        <v>256</v>
      </c>
      <c r="G1145" s="233">
        <v>4</v>
      </c>
      <c r="H1145" s="233" t="s">
        <v>291</v>
      </c>
      <c r="I1145" s="234">
        <v>935</v>
      </c>
      <c r="J1145" s="234">
        <v>845.2</v>
      </c>
      <c r="K1145" s="234">
        <v>845.2</v>
      </c>
      <c r="L1145" s="235">
        <v>25</v>
      </c>
      <c r="M1145" s="233" t="s">
        <v>254</v>
      </c>
      <c r="N1145" s="233" t="s">
        <v>258</v>
      </c>
      <c r="O1145" s="236" t="s">
        <v>313</v>
      </c>
      <c r="P1145" s="84">
        <v>110015.62</v>
      </c>
      <c r="Q1145" s="234">
        <v>0</v>
      </c>
      <c r="R1145" s="234">
        <v>0</v>
      </c>
      <c r="S1145" s="234">
        <v>0</v>
      </c>
      <c r="T1145" s="234">
        <f t="shared" si="81"/>
        <v>110015.62</v>
      </c>
      <c r="U1145" s="234">
        <f t="shared" si="82"/>
        <v>117.66376470588234</v>
      </c>
      <c r="V1145" s="78">
        <v>117.66376470588234</v>
      </c>
    </row>
    <row r="1146" spans="1:22" s="79" customFormat="1" ht="36" customHeight="1" x14ac:dyDescent="0.5">
      <c r="A1146" s="79">
        <v>1</v>
      </c>
      <c r="B1146" s="85">
        <f>SUBTOTAL(103,$A$1026:A1146)</f>
        <v>119</v>
      </c>
      <c r="C1146" s="83" t="s">
        <v>2962</v>
      </c>
      <c r="D1146" s="233">
        <v>1973</v>
      </c>
      <c r="E1146" s="233"/>
      <c r="F1146" s="233" t="s">
        <v>256</v>
      </c>
      <c r="G1146" s="233">
        <v>5</v>
      </c>
      <c r="H1146" s="233">
        <v>6</v>
      </c>
      <c r="I1146" s="234">
        <v>4885.2</v>
      </c>
      <c r="J1146" s="234">
        <v>4486.7</v>
      </c>
      <c r="K1146" s="234">
        <v>4486.7</v>
      </c>
      <c r="L1146" s="235">
        <v>260</v>
      </c>
      <c r="M1146" s="233" t="s">
        <v>254</v>
      </c>
      <c r="N1146" s="233" t="s">
        <v>258</v>
      </c>
      <c r="O1146" s="236" t="s">
        <v>307</v>
      </c>
      <c r="P1146" s="84">
        <v>176562.58</v>
      </c>
      <c r="Q1146" s="234">
        <v>0</v>
      </c>
      <c r="R1146" s="234">
        <v>0</v>
      </c>
      <c r="S1146" s="234">
        <v>0</v>
      </c>
      <c r="T1146" s="234">
        <f t="shared" si="81"/>
        <v>176562.58</v>
      </c>
      <c r="U1146" s="234">
        <f t="shared" si="82"/>
        <v>36.142344223368539</v>
      </c>
      <c r="V1146" s="78">
        <f>U1146</f>
        <v>36.142344223368539</v>
      </c>
    </row>
    <row r="1147" spans="1:22" s="79" customFormat="1" ht="36" customHeight="1" x14ac:dyDescent="0.5">
      <c r="A1147" s="79">
        <v>1</v>
      </c>
      <c r="B1147" s="85">
        <f>SUBTOTAL(103,$A$1026:A1147)</f>
        <v>120</v>
      </c>
      <c r="C1147" s="83" t="s">
        <v>2966</v>
      </c>
      <c r="D1147" s="233">
        <v>1980</v>
      </c>
      <c r="E1147" s="233"/>
      <c r="F1147" s="233" t="s">
        <v>256</v>
      </c>
      <c r="G1147" s="233">
        <v>2</v>
      </c>
      <c r="H1147" s="233" t="s">
        <v>299</v>
      </c>
      <c r="I1147" s="234">
        <v>968.5</v>
      </c>
      <c r="J1147" s="234">
        <v>854.5</v>
      </c>
      <c r="K1147" s="234">
        <v>759.8</v>
      </c>
      <c r="L1147" s="235">
        <v>39</v>
      </c>
      <c r="M1147" s="233" t="s">
        <v>254</v>
      </c>
      <c r="N1147" s="233" t="s">
        <v>258</v>
      </c>
      <c r="O1147" s="236" t="s">
        <v>313</v>
      </c>
      <c r="P1147" s="84">
        <v>6173517.3900000006</v>
      </c>
      <c r="Q1147" s="234">
        <v>0</v>
      </c>
      <c r="R1147" s="234">
        <v>0</v>
      </c>
      <c r="S1147" s="234">
        <v>0</v>
      </c>
      <c r="T1147" s="234">
        <f t="shared" si="81"/>
        <v>6173517.3900000006</v>
      </c>
      <c r="U1147" s="234">
        <f t="shared" si="82"/>
        <v>6374.3080949922569</v>
      </c>
      <c r="V1147" s="78">
        <v>8688.9152669075884</v>
      </c>
    </row>
    <row r="1148" spans="1:22" s="79" customFormat="1" ht="36" customHeight="1" x14ac:dyDescent="0.5">
      <c r="A1148" s="79">
        <v>1</v>
      </c>
      <c r="B1148" s="85">
        <f>SUBTOTAL(103,$A$1026:A1148)</f>
        <v>121</v>
      </c>
      <c r="C1148" s="83" t="s">
        <v>193</v>
      </c>
      <c r="D1148" s="233">
        <v>1981</v>
      </c>
      <c r="E1148" s="233"/>
      <c r="F1148" s="233" t="s">
        <v>256</v>
      </c>
      <c r="G1148" s="233">
        <v>2</v>
      </c>
      <c r="H1148" s="233" t="s">
        <v>299</v>
      </c>
      <c r="I1148" s="234">
        <v>955.1</v>
      </c>
      <c r="J1148" s="234">
        <v>865.5</v>
      </c>
      <c r="K1148" s="234">
        <v>865.5</v>
      </c>
      <c r="L1148" s="235">
        <v>44</v>
      </c>
      <c r="M1148" s="233" t="s">
        <v>254</v>
      </c>
      <c r="N1148" s="233" t="s">
        <v>258</v>
      </c>
      <c r="O1148" s="236" t="s">
        <v>313</v>
      </c>
      <c r="P1148" s="84">
        <v>6220336.3899999997</v>
      </c>
      <c r="Q1148" s="234">
        <v>0</v>
      </c>
      <c r="R1148" s="234">
        <v>0</v>
      </c>
      <c r="S1148" s="234">
        <v>0</v>
      </c>
      <c r="T1148" s="234">
        <f t="shared" si="81"/>
        <v>6220336.3899999997</v>
      </c>
      <c r="U1148" s="234">
        <f t="shared" si="82"/>
        <v>6512.7592817506011</v>
      </c>
      <c r="V1148" s="78">
        <v>8456.7506648518465</v>
      </c>
    </row>
    <row r="1149" spans="1:22" s="79" customFormat="1" ht="36" customHeight="1" x14ac:dyDescent="0.5">
      <c r="A1149" s="79">
        <v>1</v>
      </c>
      <c r="B1149" s="85">
        <f>SUBTOTAL(103,$A$1026:A1149)</f>
        <v>122</v>
      </c>
      <c r="C1149" s="83" t="s">
        <v>381</v>
      </c>
      <c r="D1149" s="233">
        <v>1985</v>
      </c>
      <c r="E1149" s="233"/>
      <c r="F1149" s="233" t="s">
        <v>256</v>
      </c>
      <c r="G1149" s="233">
        <v>5</v>
      </c>
      <c r="H1149" s="233" t="s">
        <v>355</v>
      </c>
      <c r="I1149" s="234">
        <v>4537.2</v>
      </c>
      <c r="J1149" s="234">
        <v>4163</v>
      </c>
      <c r="K1149" s="234">
        <v>4163</v>
      </c>
      <c r="L1149" s="235">
        <v>198</v>
      </c>
      <c r="M1149" s="233" t="s">
        <v>254</v>
      </c>
      <c r="N1149" s="233" t="s">
        <v>258</v>
      </c>
      <c r="O1149" s="236" t="s">
        <v>934</v>
      </c>
      <c r="P1149" s="84">
        <v>3242141.4699999997</v>
      </c>
      <c r="Q1149" s="234">
        <v>999947.44</v>
      </c>
      <c r="R1149" s="234">
        <v>0</v>
      </c>
      <c r="S1149" s="234">
        <v>0</v>
      </c>
      <c r="T1149" s="234">
        <f t="shared" si="81"/>
        <v>2242194.0299999998</v>
      </c>
      <c r="U1149" s="234">
        <f t="shared" si="82"/>
        <v>714.5687803050339</v>
      </c>
      <c r="V1149" s="78">
        <v>5674.57</v>
      </c>
    </row>
    <row r="1150" spans="1:22" s="79" customFormat="1" ht="36" customHeight="1" x14ac:dyDescent="0.5">
      <c r="A1150" s="79">
        <v>1</v>
      </c>
      <c r="B1150" s="85">
        <f>SUBTOTAL(103,$A$1026:A1150)</f>
        <v>123</v>
      </c>
      <c r="C1150" s="83" t="s">
        <v>366</v>
      </c>
      <c r="D1150" s="233">
        <v>1974</v>
      </c>
      <c r="E1150" s="233"/>
      <c r="F1150" s="233" t="s">
        <v>298</v>
      </c>
      <c r="G1150" s="233">
        <v>5</v>
      </c>
      <c r="H1150" s="233" t="s">
        <v>355</v>
      </c>
      <c r="I1150" s="234">
        <v>4987.2</v>
      </c>
      <c r="J1150" s="234">
        <v>4580.7</v>
      </c>
      <c r="K1150" s="234">
        <v>4580.7</v>
      </c>
      <c r="L1150" s="235">
        <v>117</v>
      </c>
      <c r="M1150" s="233" t="s">
        <v>254</v>
      </c>
      <c r="N1150" s="233" t="s">
        <v>258</v>
      </c>
      <c r="O1150" s="236" t="s">
        <v>307</v>
      </c>
      <c r="P1150" s="84">
        <v>2769575.78</v>
      </c>
      <c r="Q1150" s="234">
        <v>619505.06999999995</v>
      </c>
      <c r="R1150" s="234">
        <v>0</v>
      </c>
      <c r="S1150" s="234">
        <v>0</v>
      </c>
      <c r="T1150" s="234">
        <f t="shared" si="81"/>
        <v>2150070.71</v>
      </c>
      <c r="U1150" s="234">
        <f t="shared" si="82"/>
        <v>555.33681825473207</v>
      </c>
      <c r="V1150" s="78">
        <v>5674.57</v>
      </c>
    </row>
    <row r="1151" spans="1:22" s="79" customFormat="1" ht="36" customHeight="1" x14ac:dyDescent="0.5">
      <c r="A1151" s="79">
        <v>1</v>
      </c>
      <c r="B1151" s="85">
        <f>SUBTOTAL(103,$A$1026:A1151)</f>
        <v>124</v>
      </c>
      <c r="C1151" s="83" t="s">
        <v>759</v>
      </c>
      <c r="D1151" s="233">
        <v>1988</v>
      </c>
      <c r="E1151" s="233"/>
      <c r="F1151" s="233" t="s">
        <v>256</v>
      </c>
      <c r="G1151" s="233">
        <v>9</v>
      </c>
      <c r="H1151" s="233" t="s">
        <v>299</v>
      </c>
      <c r="I1151" s="234">
        <v>7219.38</v>
      </c>
      <c r="J1151" s="234">
        <v>5477.3</v>
      </c>
      <c r="K1151" s="234">
        <v>1142.98</v>
      </c>
      <c r="L1151" s="235">
        <v>245</v>
      </c>
      <c r="M1151" s="233" t="s">
        <v>254</v>
      </c>
      <c r="N1151" s="233" t="s">
        <v>258</v>
      </c>
      <c r="O1151" s="236" t="s">
        <v>934</v>
      </c>
      <c r="P1151" s="84">
        <v>5567571.0200000005</v>
      </c>
      <c r="Q1151" s="234">
        <v>0</v>
      </c>
      <c r="R1151" s="234">
        <v>0</v>
      </c>
      <c r="S1151" s="234">
        <v>0</v>
      </c>
      <c r="T1151" s="234">
        <f t="shared" si="81"/>
        <v>5567571.0200000005</v>
      </c>
      <c r="U1151" s="234">
        <f t="shared" si="82"/>
        <v>771.19794497588441</v>
      </c>
      <c r="V1151" s="78">
        <v>1349.1593128495799</v>
      </c>
    </row>
    <row r="1152" spans="1:22" s="79" customFormat="1" ht="36" customHeight="1" x14ac:dyDescent="0.5">
      <c r="A1152" s="79">
        <v>1</v>
      </c>
      <c r="B1152" s="85">
        <f>SUBTOTAL(103,$A$1026:A1152)</f>
        <v>125</v>
      </c>
      <c r="C1152" s="83" t="s">
        <v>369</v>
      </c>
      <c r="D1152" s="233">
        <v>1975</v>
      </c>
      <c r="E1152" s="233"/>
      <c r="F1152" s="233" t="s">
        <v>256</v>
      </c>
      <c r="G1152" s="233">
        <v>5</v>
      </c>
      <c r="H1152" s="233" t="s">
        <v>295</v>
      </c>
      <c r="I1152" s="234">
        <v>3325.2</v>
      </c>
      <c r="J1152" s="234">
        <v>3325.2</v>
      </c>
      <c r="K1152" s="234">
        <v>3325.2</v>
      </c>
      <c r="L1152" s="235">
        <v>111</v>
      </c>
      <c r="M1152" s="233" t="s">
        <v>254</v>
      </c>
      <c r="N1152" s="233" t="s">
        <v>258</v>
      </c>
      <c r="O1152" s="236" t="s">
        <v>308</v>
      </c>
      <c r="P1152" s="84">
        <v>1909175.5</v>
      </c>
      <c r="Q1152" s="234">
        <v>391788.07</v>
      </c>
      <c r="R1152" s="234">
        <v>0</v>
      </c>
      <c r="S1152" s="234">
        <v>0</v>
      </c>
      <c r="T1152" s="234">
        <f t="shared" si="81"/>
        <v>1517387.43</v>
      </c>
      <c r="U1152" s="234">
        <f t="shared" si="82"/>
        <v>574.15358474678214</v>
      </c>
      <c r="V1152" s="78">
        <v>5674.57</v>
      </c>
    </row>
    <row r="1153" spans="1:22" s="79" customFormat="1" ht="36" customHeight="1" x14ac:dyDescent="0.5">
      <c r="A1153" s="79">
        <v>1</v>
      </c>
      <c r="B1153" s="85">
        <f>SUBTOTAL(103,$A$1026:A1153)</f>
        <v>126</v>
      </c>
      <c r="C1153" s="83" t="s">
        <v>2315</v>
      </c>
      <c r="D1153" s="233">
        <v>1967</v>
      </c>
      <c r="E1153" s="233"/>
      <c r="F1153" s="233" t="s">
        <v>256</v>
      </c>
      <c r="G1153" s="233">
        <v>5</v>
      </c>
      <c r="H1153" s="233">
        <v>4</v>
      </c>
      <c r="I1153" s="234">
        <v>3656.6</v>
      </c>
      <c r="J1153" s="234">
        <v>3333.6</v>
      </c>
      <c r="K1153" s="234">
        <v>3333.6</v>
      </c>
      <c r="L1153" s="235">
        <v>174</v>
      </c>
      <c r="M1153" s="233" t="s">
        <v>254</v>
      </c>
      <c r="N1153" s="233" t="s">
        <v>258</v>
      </c>
      <c r="O1153" s="236" t="s">
        <v>308</v>
      </c>
      <c r="P1153" s="84">
        <v>1509801.43</v>
      </c>
      <c r="Q1153" s="234">
        <v>1588329.52</v>
      </c>
      <c r="R1153" s="234">
        <v>0</v>
      </c>
      <c r="S1153" s="234">
        <v>0</v>
      </c>
      <c r="T1153" s="234">
        <f t="shared" si="81"/>
        <v>-78528.090000000084</v>
      </c>
      <c r="U1153" s="234">
        <f t="shared" si="82"/>
        <v>412.89761800579771</v>
      </c>
      <c r="V1153" s="78">
        <v>5674.57</v>
      </c>
    </row>
    <row r="1154" spans="1:22" s="79" customFormat="1" ht="36" customHeight="1" x14ac:dyDescent="0.5">
      <c r="A1154" s="79">
        <v>1</v>
      </c>
      <c r="B1154" s="85">
        <f>SUBTOTAL(103,$A$1026:A1154)</f>
        <v>127</v>
      </c>
      <c r="C1154" s="83" t="s">
        <v>2316</v>
      </c>
      <c r="D1154" s="233">
        <v>1977</v>
      </c>
      <c r="E1154" s="233"/>
      <c r="F1154" s="233" t="s">
        <v>304</v>
      </c>
      <c r="G1154" s="233">
        <v>5</v>
      </c>
      <c r="H1154" s="233">
        <v>6</v>
      </c>
      <c r="I1154" s="234">
        <v>4961.7</v>
      </c>
      <c r="J1154" s="234">
        <v>4559</v>
      </c>
      <c r="K1154" s="234">
        <v>4559</v>
      </c>
      <c r="L1154" s="235">
        <v>234</v>
      </c>
      <c r="M1154" s="233" t="s">
        <v>254</v>
      </c>
      <c r="N1154" s="233" t="s">
        <v>258</v>
      </c>
      <c r="O1154" s="236" t="s">
        <v>314</v>
      </c>
      <c r="P1154" s="84">
        <v>3186513.2</v>
      </c>
      <c r="Q1154" s="234">
        <v>463143.23</v>
      </c>
      <c r="R1154" s="234">
        <v>0</v>
      </c>
      <c r="S1154" s="234">
        <v>0</v>
      </c>
      <c r="T1154" s="234">
        <f t="shared" si="81"/>
        <v>2723369.97</v>
      </c>
      <c r="U1154" s="234">
        <f t="shared" si="82"/>
        <v>642.22206098716174</v>
      </c>
      <c r="V1154" s="78">
        <v>5674.57</v>
      </c>
    </row>
    <row r="1155" spans="1:22" s="79" customFormat="1" ht="36" customHeight="1" x14ac:dyDescent="0.5">
      <c r="A1155" s="79">
        <v>1</v>
      </c>
      <c r="B1155" s="85">
        <f>SUBTOTAL(103,$A$1026:A1155)</f>
        <v>128</v>
      </c>
      <c r="C1155" s="83" t="s">
        <v>370</v>
      </c>
      <c r="D1155" s="233">
        <v>1966</v>
      </c>
      <c r="E1155" s="233"/>
      <c r="F1155" s="233" t="s">
        <v>256</v>
      </c>
      <c r="G1155" s="233">
        <v>4</v>
      </c>
      <c r="H1155" s="233" t="s">
        <v>295</v>
      </c>
      <c r="I1155" s="234">
        <v>2747.7</v>
      </c>
      <c r="J1155" s="234">
        <v>2553.9</v>
      </c>
      <c r="K1155" s="234">
        <v>2553.9</v>
      </c>
      <c r="L1155" s="235">
        <v>120</v>
      </c>
      <c r="M1155" s="233" t="s">
        <v>254</v>
      </c>
      <c r="N1155" s="233" t="s">
        <v>258</v>
      </c>
      <c r="O1155" s="236" t="s">
        <v>934</v>
      </c>
      <c r="P1155" s="84">
        <v>2326787.9000000004</v>
      </c>
      <c r="Q1155" s="234">
        <v>345067.24</v>
      </c>
      <c r="R1155" s="234">
        <v>0</v>
      </c>
      <c r="S1155" s="234">
        <v>0</v>
      </c>
      <c r="T1155" s="234">
        <f t="shared" si="81"/>
        <v>1981720.6600000004</v>
      </c>
      <c r="U1155" s="234">
        <f t="shared" si="82"/>
        <v>846.81293445427104</v>
      </c>
      <c r="V1155" s="78">
        <v>5674.57</v>
      </c>
    </row>
    <row r="1156" spans="1:22" s="79" customFormat="1" ht="36" customHeight="1" x14ac:dyDescent="0.5">
      <c r="A1156" s="79">
        <v>1</v>
      </c>
      <c r="B1156" s="85">
        <f>SUBTOTAL(103,$A$1026:A1156)</f>
        <v>129</v>
      </c>
      <c r="C1156" s="83" t="s">
        <v>1213</v>
      </c>
      <c r="D1156" s="233">
        <v>1958</v>
      </c>
      <c r="E1156" s="233"/>
      <c r="F1156" s="233" t="s">
        <v>256</v>
      </c>
      <c r="G1156" s="233">
        <v>4</v>
      </c>
      <c r="H1156" s="233" t="s">
        <v>295</v>
      </c>
      <c r="I1156" s="234">
        <v>5856.4</v>
      </c>
      <c r="J1156" s="234">
        <v>3235.1</v>
      </c>
      <c r="K1156" s="234">
        <v>2625</v>
      </c>
      <c r="L1156" s="235">
        <v>86</v>
      </c>
      <c r="M1156" s="233" t="s">
        <v>254</v>
      </c>
      <c r="N1156" s="233" t="s">
        <v>258</v>
      </c>
      <c r="O1156" s="236" t="s">
        <v>307</v>
      </c>
      <c r="P1156" s="84">
        <v>2612757.39</v>
      </c>
      <c r="Q1156" s="234">
        <v>0</v>
      </c>
      <c r="R1156" s="234">
        <v>0</v>
      </c>
      <c r="S1156" s="234">
        <v>0</v>
      </c>
      <c r="T1156" s="234">
        <f t="shared" si="81"/>
        <v>2612757.39</v>
      </c>
      <c r="U1156" s="234">
        <f t="shared" si="82"/>
        <v>446.13711324363095</v>
      </c>
      <c r="V1156" s="78">
        <v>5674.57</v>
      </c>
    </row>
    <row r="1157" spans="1:22" s="79" customFormat="1" ht="36" customHeight="1" x14ac:dyDescent="0.5">
      <c r="A1157" s="79">
        <v>1</v>
      </c>
      <c r="B1157" s="85">
        <f>SUBTOTAL(103,$A$1026:A1157)</f>
        <v>130</v>
      </c>
      <c r="C1157" s="83" t="s">
        <v>375</v>
      </c>
      <c r="D1157" s="233">
        <v>1974</v>
      </c>
      <c r="E1157" s="233"/>
      <c r="F1157" s="233" t="s">
        <v>256</v>
      </c>
      <c r="G1157" s="233">
        <v>5</v>
      </c>
      <c r="H1157" s="233" t="s">
        <v>295</v>
      </c>
      <c r="I1157" s="234">
        <v>3647.3</v>
      </c>
      <c r="J1157" s="234">
        <v>3647.3</v>
      </c>
      <c r="K1157" s="234">
        <v>2672.9</v>
      </c>
      <c r="L1157" s="235">
        <v>113</v>
      </c>
      <c r="M1157" s="233" t="s">
        <v>254</v>
      </c>
      <c r="N1157" s="233" t="s">
        <v>258</v>
      </c>
      <c r="O1157" s="236" t="s">
        <v>312</v>
      </c>
      <c r="P1157" s="84">
        <v>2610781.9700000002</v>
      </c>
      <c r="Q1157" s="234">
        <v>369031.51</v>
      </c>
      <c r="R1157" s="234">
        <v>0</v>
      </c>
      <c r="S1157" s="234">
        <v>0</v>
      </c>
      <c r="T1157" s="234">
        <f t="shared" si="81"/>
        <v>2241750.46</v>
      </c>
      <c r="U1157" s="234">
        <f t="shared" si="82"/>
        <v>715.81223644887996</v>
      </c>
      <c r="V1157" s="78">
        <v>5674.57</v>
      </c>
    </row>
    <row r="1158" spans="1:22" s="79" customFormat="1" ht="36" customHeight="1" x14ac:dyDescent="0.5">
      <c r="A1158" s="79">
        <v>1</v>
      </c>
      <c r="B1158" s="85">
        <f>SUBTOTAL(103,$A$1026:A1158)</f>
        <v>131</v>
      </c>
      <c r="C1158" s="83" t="s">
        <v>2307</v>
      </c>
      <c r="D1158" s="233">
        <v>1980</v>
      </c>
      <c r="E1158" s="233"/>
      <c r="F1158" s="233" t="s">
        <v>304</v>
      </c>
      <c r="G1158" s="233">
        <v>5</v>
      </c>
      <c r="H1158" s="233">
        <v>5</v>
      </c>
      <c r="I1158" s="234">
        <v>5220.8</v>
      </c>
      <c r="J1158" s="234">
        <v>3874.4</v>
      </c>
      <c r="K1158" s="234">
        <v>3874.4</v>
      </c>
      <c r="L1158" s="235">
        <v>195</v>
      </c>
      <c r="M1158" s="233" t="s">
        <v>254</v>
      </c>
      <c r="N1158" s="233" t="s">
        <v>258</v>
      </c>
      <c r="O1158" s="236" t="s">
        <v>934</v>
      </c>
      <c r="P1158" s="84">
        <v>2229333.56</v>
      </c>
      <c r="Q1158" s="234">
        <v>389166.86</v>
      </c>
      <c r="R1158" s="234">
        <v>0</v>
      </c>
      <c r="S1158" s="234">
        <v>0</v>
      </c>
      <c r="T1158" s="234">
        <f t="shared" si="81"/>
        <v>1840166.7000000002</v>
      </c>
      <c r="U1158" s="234">
        <f t="shared" si="82"/>
        <v>427.00995249770148</v>
      </c>
      <c r="V1158" s="78">
        <v>5674.57</v>
      </c>
    </row>
    <row r="1159" spans="1:22" s="79" customFormat="1" ht="36" customHeight="1" x14ac:dyDescent="0.5">
      <c r="A1159" s="79">
        <v>1</v>
      </c>
      <c r="B1159" s="85">
        <f>SUBTOTAL(103,$A$1026:A1159)</f>
        <v>132</v>
      </c>
      <c r="C1159" s="83" t="s">
        <v>391</v>
      </c>
      <c r="D1159" s="233">
        <v>1961</v>
      </c>
      <c r="E1159" s="233"/>
      <c r="F1159" s="233" t="s">
        <v>256</v>
      </c>
      <c r="G1159" s="233">
        <v>4</v>
      </c>
      <c r="H1159" s="233" t="s">
        <v>295</v>
      </c>
      <c r="I1159" s="234">
        <v>2700.93</v>
      </c>
      <c r="J1159" s="234">
        <v>2461.3000000000002</v>
      </c>
      <c r="K1159" s="234">
        <v>2280.6999999999998</v>
      </c>
      <c r="L1159" s="235">
        <v>87</v>
      </c>
      <c r="M1159" s="233" t="s">
        <v>254</v>
      </c>
      <c r="N1159" s="233" t="s">
        <v>258</v>
      </c>
      <c r="O1159" s="236" t="s">
        <v>307</v>
      </c>
      <c r="P1159" s="84">
        <v>11577884.399999999</v>
      </c>
      <c r="Q1159" s="234">
        <v>386762.48</v>
      </c>
      <c r="R1159" s="234">
        <v>0</v>
      </c>
      <c r="S1159" s="234">
        <v>0</v>
      </c>
      <c r="T1159" s="234">
        <f t="shared" si="81"/>
        <v>11191121.919999998</v>
      </c>
      <c r="U1159" s="234">
        <f t="shared" si="82"/>
        <v>4286.6288278481852</v>
      </c>
      <c r="V1159" s="78">
        <v>10137.118787861958</v>
      </c>
    </row>
    <row r="1160" spans="1:22" s="79" customFormat="1" ht="36" customHeight="1" x14ac:dyDescent="0.5">
      <c r="A1160" s="79">
        <v>1</v>
      </c>
      <c r="B1160" s="85">
        <f>SUBTOTAL(103,$A$1026:A1160)</f>
        <v>133</v>
      </c>
      <c r="C1160" s="83" t="s">
        <v>392</v>
      </c>
      <c r="D1160" s="233">
        <v>1960</v>
      </c>
      <c r="E1160" s="233"/>
      <c r="F1160" s="233" t="s">
        <v>256</v>
      </c>
      <c r="G1160" s="233">
        <v>4</v>
      </c>
      <c r="H1160" s="233" t="s">
        <v>290</v>
      </c>
      <c r="I1160" s="234">
        <v>1374.8</v>
      </c>
      <c r="J1160" s="234">
        <v>1203.9000000000001</v>
      </c>
      <c r="K1160" s="234">
        <v>773.1</v>
      </c>
      <c r="L1160" s="235">
        <v>43</v>
      </c>
      <c r="M1160" s="233" t="s">
        <v>254</v>
      </c>
      <c r="N1160" s="233" t="s">
        <v>258</v>
      </c>
      <c r="O1160" s="236" t="s">
        <v>307</v>
      </c>
      <c r="P1160" s="84">
        <v>4436512.1500000004</v>
      </c>
      <c r="Q1160" s="234">
        <v>0</v>
      </c>
      <c r="R1160" s="234">
        <v>0</v>
      </c>
      <c r="S1160" s="234">
        <v>0</v>
      </c>
      <c r="T1160" s="234">
        <f t="shared" si="81"/>
        <v>4436512.1500000004</v>
      </c>
      <c r="U1160" s="234">
        <f t="shared" si="82"/>
        <v>3227.0236761710798</v>
      </c>
      <c r="V1160" s="78">
        <v>4508.9562409077689</v>
      </c>
    </row>
    <row r="1161" spans="1:22" s="79" customFormat="1" ht="36" customHeight="1" x14ac:dyDescent="0.5">
      <c r="A1161" s="79">
        <v>1</v>
      </c>
      <c r="B1161" s="85">
        <f>SUBTOTAL(103,$A$1026:A1161)</f>
        <v>134</v>
      </c>
      <c r="C1161" s="83" t="s">
        <v>389</v>
      </c>
      <c r="D1161" s="233">
        <v>1950</v>
      </c>
      <c r="E1161" s="233"/>
      <c r="F1161" s="233" t="s">
        <v>256</v>
      </c>
      <c r="G1161" s="233">
        <v>3</v>
      </c>
      <c r="H1161" s="233" t="s">
        <v>290</v>
      </c>
      <c r="I1161" s="234">
        <v>786.1</v>
      </c>
      <c r="J1161" s="234">
        <v>786.1</v>
      </c>
      <c r="K1161" s="234">
        <v>527.79999999999995</v>
      </c>
      <c r="L1161" s="235">
        <v>18</v>
      </c>
      <c r="M1161" s="233" t="s">
        <v>254</v>
      </c>
      <c r="N1161" s="233" t="s">
        <v>258</v>
      </c>
      <c r="O1161" s="236" t="s">
        <v>312</v>
      </c>
      <c r="P1161" s="84">
        <v>3067366.83</v>
      </c>
      <c r="Q1161" s="234">
        <v>0</v>
      </c>
      <c r="R1161" s="234">
        <v>0</v>
      </c>
      <c r="S1161" s="234">
        <v>0</v>
      </c>
      <c r="T1161" s="234">
        <f t="shared" si="81"/>
        <v>3067366.83</v>
      </c>
      <c r="U1161" s="234">
        <f t="shared" si="82"/>
        <v>3902.0058898358989</v>
      </c>
      <c r="V1161" s="78">
        <v>6000.5549930034349</v>
      </c>
    </row>
    <row r="1162" spans="1:22" s="79" customFormat="1" ht="36" customHeight="1" x14ac:dyDescent="0.5">
      <c r="A1162" s="79">
        <v>1</v>
      </c>
      <c r="B1162" s="85">
        <f>SUBTOTAL(103,$A$1026:A1162)</f>
        <v>135</v>
      </c>
      <c r="C1162" s="83" t="s">
        <v>2317</v>
      </c>
      <c r="D1162" s="233">
        <v>1961</v>
      </c>
      <c r="E1162" s="233"/>
      <c r="F1162" s="233" t="s">
        <v>256</v>
      </c>
      <c r="G1162" s="233">
        <v>4</v>
      </c>
      <c r="H1162" s="233">
        <v>4</v>
      </c>
      <c r="I1162" s="234">
        <v>2517.6</v>
      </c>
      <c r="J1162" s="234">
        <v>2441.11</v>
      </c>
      <c r="K1162" s="234">
        <v>2441.11</v>
      </c>
      <c r="L1162" s="235">
        <v>108</v>
      </c>
      <c r="M1162" s="233" t="s">
        <v>254</v>
      </c>
      <c r="N1162" s="233" t="s">
        <v>258</v>
      </c>
      <c r="O1162" s="236" t="s">
        <v>934</v>
      </c>
      <c r="P1162" s="84">
        <v>1907633.4</v>
      </c>
      <c r="Q1162" s="234">
        <v>474649.25</v>
      </c>
      <c r="R1162" s="234">
        <v>0</v>
      </c>
      <c r="S1162" s="234">
        <v>0</v>
      </c>
      <c r="T1162" s="234">
        <f t="shared" si="81"/>
        <v>1432984.15</v>
      </c>
      <c r="U1162" s="234">
        <f t="shared" si="82"/>
        <v>757.71901811248813</v>
      </c>
      <c r="V1162" s="78">
        <v>5674.57</v>
      </c>
    </row>
    <row r="1163" spans="1:22" s="79" customFormat="1" ht="36" customHeight="1" x14ac:dyDescent="0.5">
      <c r="A1163" s="79">
        <v>1</v>
      </c>
      <c r="B1163" s="85">
        <f>SUBTOTAL(103,$A$1026:A1163)</f>
        <v>136</v>
      </c>
      <c r="C1163" s="83" t="s">
        <v>407</v>
      </c>
      <c r="D1163" s="233">
        <v>1974</v>
      </c>
      <c r="E1163" s="233"/>
      <c r="F1163" s="233" t="s">
        <v>256</v>
      </c>
      <c r="G1163" s="233">
        <v>9</v>
      </c>
      <c r="H1163" s="233" t="s">
        <v>290</v>
      </c>
      <c r="I1163" s="234">
        <v>5409.4</v>
      </c>
      <c r="J1163" s="234">
        <v>5101.5</v>
      </c>
      <c r="K1163" s="234">
        <v>4227.7</v>
      </c>
      <c r="L1163" s="235">
        <v>198</v>
      </c>
      <c r="M1163" s="233" t="s">
        <v>254</v>
      </c>
      <c r="N1163" s="233" t="s">
        <v>258</v>
      </c>
      <c r="O1163" s="236" t="s">
        <v>934</v>
      </c>
      <c r="P1163" s="84">
        <v>3695938.96</v>
      </c>
      <c r="Q1163" s="234">
        <v>0</v>
      </c>
      <c r="R1163" s="234">
        <v>0</v>
      </c>
      <c r="S1163" s="234">
        <v>0</v>
      </c>
      <c r="T1163" s="234">
        <f t="shared" si="81"/>
        <v>3695938.96</v>
      </c>
      <c r="U1163" s="234">
        <f t="shared" si="82"/>
        <v>683.24379043886574</v>
      </c>
      <c r="V1163" s="78">
        <v>1200.3911413465451</v>
      </c>
    </row>
    <row r="1164" spans="1:22" s="79" customFormat="1" ht="36" customHeight="1" x14ac:dyDescent="0.5">
      <c r="A1164" s="79">
        <v>1</v>
      </c>
      <c r="B1164" s="85">
        <f>SUBTOTAL(103,$A$1026:A1164)</f>
        <v>137</v>
      </c>
      <c r="C1164" s="83" t="s">
        <v>395</v>
      </c>
      <c r="D1164" s="233">
        <v>1971</v>
      </c>
      <c r="E1164" s="233"/>
      <c r="F1164" s="233" t="s">
        <v>256</v>
      </c>
      <c r="G1164" s="233">
        <v>5</v>
      </c>
      <c r="H1164" s="233" t="s">
        <v>355</v>
      </c>
      <c r="I1164" s="234">
        <v>5077.5</v>
      </c>
      <c r="J1164" s="234">
        <v>4703.1000000000004</v>
      </c>
      <c r="K1164" s="234">
        <v>3712.4</v>
      </c>
      <c r="L1164" s="235">
        <v>180</v>
      </c>
      <c r="M1164" s="233" t="s">
        <v>254</v>
      </c>
      <c r="N1164" s="233" t="s">
        <v>258</v>
      </c>
      <c r="O1164" s="236" t="s">
        <v>314</v>
      </c>
      <c r="P1164" s="84">
        <v>16076832.93</v>
      </c>
      <c r="Q1164" s="234">
        <v>981897.82</v>
      </c>
      <c r="R1164" s="234">
        <v>0</v>
      </c>
      <c r="S1164" s="234">
        <v>0</v>
      </c>
      <c r="T1164" s="234">
        <f t="shared" si="81"/>
        <v>15094935.109999999</v>
      </c>
      <c r="U1164" s="234">
        <f t="shared" si="82"/>
        <v>3166.2891048744459</v>
      </c>
      <c r="V1164" s="78">
        <v>9115.8537577548013</v>
      </c>
    </row>
    <row r="1165" spans="1:22" s="79" customFormat="1" ht="36" customHeight="1" x14ac:dyDescent="0.5">
      <c r="A1165" s="79">
        <v>1</v>
      </c>
      <c r="B1165" s="85">
        <f>SUBTOTAL(103,$A$1026:A1165)</f>
        <v>138</v>
      </c>
      <c r="C1165" s="83" t="s">
        <v>2318</v>
      </c>
      <c r="D1165" s="233">
        <v>1968</v>
      </c>
      <c r="E1165" s="233"/>
      <c r="F1165" s="233" t="s">
        <v>256</v>
      </c>
      <c r="G1165" s="233">
        <v>5</v>
      </c>
      <c r="H1165" s="233">
        <v>6</v>
      </c>
      <c r="I1165" s="234">
        <v>4930.09</v>
      </c>
      <c r="J1165" s="234">
        <v>4536.6899999999996</v>
      </c>
      <c r="K1165" s="234">
        <v>4536.6899999999996</v>
      </c>
      <c r="L1165" s="235">
        <v>236</v>
      </c>
      <c r="M1165" s="233" t="s">
        <v>254</v>
      </c>
      <c r="N1165" s="233" t="s">
        <v>258</v>
      </c>
      <c r="O1165" s="236" t="s">
        <v>314</v>
      </c>
      <c r="P1165" s="84">
        <v>2798496.53</v>
      </c>
      <c r="Q1165" s="234">
        <v>859245.84</v>
      </c>
      <c r="R1165" s="234">
        <v>0</v>
      </c>
      <c r="S1165" s="234">
        <v>0</v>
      </c>
      <c r="T1165" s="234">
        <f t="shared" si="81"/>
        <v>1939250.69</v>
      </c>
      <c r="U1165" s="234">
        <f t="shared" si="82"/>
        <v>567.63599244638533</v>
      </c>
      <c r="V1165" s="78">
        <v>5674.57</v>
      </c>
    </row>
    <row r="1166" spans="1:22" s="79" customFormat="1" ht="36" customHeight="1" x14ac:dyDescent="0.5">
      <c r="A1166" s="79">
        <v>1</v>
      </c>
      <c r="B1166" s="85">
        <f>SUBTOTAL(103,$A$1026:A1166)</f>
        <v>139</v>
      </c>
      <c r="C1166" s="83" t="s">
        <v>2319</v>
      </c>
      <c r="D1166" s="233">
        <v>1985</v>
      </c>
      <c r="E1166" s="233"/>
      <c r="F1166" s="233" t="s">
        <v>304</v>
      </c>
      <c r="G1166" s="233">
        <v>5</v>
      </c>
      <c r="H1166" s="233">
        <v>5</v>
      </c>
      <c r="I1166" s="234">
        <v>4339.8</v>
      </c>
      <c r="J1166" s="234">
        <v>3919.2</v>
      </c>
      <c r="K1166" s="234">
        <v>3919.2</v>
      </c>
      <c r="L1166" s="235">
        <v>143</v>
      </c>
      <c r="M1166" s="233" t="s">
        <v>254</v>
      </c>
      <c r="N1166" s="233" t="s">
        <v>258</v>
      </c>
      <c r="O1166" s="236" t="s">
        <v>314</v>
      </c>
      <c r="P1166" s="84">
        <v>2951005.87</v>
      </c>
      <c r="Q1166" s="234">
        <v>358073.33</v>
      </c>
      <c r="R1166" s="234">
        <v>0</v>
      </c>
      <c r="S1166" s="234">
        <v>0</v>
      </c>
      <c r="T1166" s="234">
        <f t="shared" si="81"/>
        <v>2592932.54</v>
      </c>
      <c r="U1166" s="234">
        <f t="shared" si="82"/>
        <v>679.98660537351952</v>
      </c>
      <c r="V1166" s="78">
        <v>5674.57</v>
      </c>
    </row>
    <row r="1167" spans="1:22" s="79" customFormat="1" ht="36" customHeight="1" x14ac:dyDescent="0.5">
      <c r="A1167" s="79">
        <v>1</v>
      </c>
      <c r="B1167" s="85">
        <f>SUBTOTAL(103,$A$1026:A1167)</f>
        <v>140</v>
      </c>
      <c r="C1167" s="83" t="s">
        <v>380</v>
      </c>
      <c r="D1167" s="233">
        <v>1972</v>
      </c>
      <c r="E1167" s="233"/>
      <c r="F1167" s="233" t="s">
        <v>256</v>
      </c>
      <c r="G1167" s="233">
        <v>5</v>
      </c>
      <c r="H1167" s="233" t="s">
        <v>2123</v>
      </c>
      <c r="I1167" s="234">
        <v>6552.34</v>
      </c>
      <c r="J1167" s="234">
        <v>6023.94</v>
      </c>
      <c r="K1167" s="234">
        <v>6023.94</v>
      </c>
      <c r="L1167" s="235">
        <v>307</v>
      </c>
      <c r="M1167" s="233" t="s">
        <v>254</v>
      </c>
      <c r="N1167" s="233" t="s">
        <v>258</v>
      </c>
      <c r="O1167" s="236" t="s">
        <v>314</v>
      </c>
      <c r="P1167" s="84">
        <v>4161163.68</v>
      </c>
      <c r="Q1167" s="234">
        <v>1225603.45</v>
      </c>
      <c r="R1167" s="234">
        <v>0</v>
      </c>
      <c r="S1167" s="234">
        <v>0</v>
      </c>
      <c r="T1167" s="234">
        <f t="shared" si="81"/>
        <v>2935560.2300000004</v>
      </c>
      <c r="U1167" s="234">
        <f t="shared" si="82"/>
        <v>635.0652865999017</v>
      </c>
      <c r="V1167" s="78">
        <v>5674.57</v>
      </c>
    </row>
    <row r="1168" spans="1:22" s="79" customFormat="1" ht="36" customHeight="1" x14ac:dyDescent="0.5">
      <c r="A1168" s="79">
        <v>1</v>
      </c>
      <c r="B1168" s="85">
        <f>SUBTOTAL(103,$A$1026:A1168)</f>
        <v>141</v>
      </c>
      <c r="C1168" s="83" t="s">
        <v>2622</v>
      </c>
      <c r="D1168" s="233">
        <v>1991</v>
      </c>
      <c r="E1168" s="233"/>
      <c r="F1168" s="233" t="s">
        <v>304</v>
      </c>
      <c r="G1168" s="233">
        <v>5</v>
      </c>
      <c r="H1168" s="233">
        <v>4</v>
      </c>
      <c r="I1168" s="234">
        <v>2873.3</v>
      </c>
      <c r="J1168" s="234">
        <v>2596.6</v>
      </c>
      <c r="K1168" s="234">
        <v>2596.6</v>
      </c>
      <c r="L1168" s="235">
        <v>134</v>
      </c>
      <c r="M1168" s="233" t="s">
        <v>254</v>
      </c>
      <c r="N1168" s="233" t="s">
        <v>258</v>
      </c>
      <c r="O1168" s="236" t="s">
        <v>1274</v>
      </c>
      <c r="P1168" s="84">
        <v>14992755.4</v>
      </c>
      <c r="Q1168" s="234">
        <v>1260112.5</v>
      </c>
      <c r="R1168" s="234">
        <v>0</v>
      </c>
      <c r="S1168" s="234">
        <v>0</v>
      </c>
      <c r="T1168" s="234">
        <f t="shared" si="81"/>
        <v>13732642.9</v>
      </c>
      <c r="U1168" s="234">
        <f t="shared" si="82"/>
        <v>5217.9568440469147</v>
      </c>
      <c r="V1168" s="78">
        <v>10137.663718024571</v>
      </c>
    </row>
    <row r="1169" spans="1:22" s="79" customFormat="1" ht="36" customHeight="1" x14ac:dyDescent="0.5">
      <c r="A1169" s="79">
        <v>1</v>
      </c>
      <c r="B1169" s="85">
        <f>SUBTOTAL(103,$A$1026:A1169)</f>
        <v>142</v>
      </c>
      <c r="C1169" s="83" t="s">
        <v>403</v>
      </c>
      <c r="D1169" s="233">
        <v>1880</v>
      </c>
      <c r="E1169" s="233"/>
      <c r="F1169" s="233" t="s">
        <v>256</v>
      </c>
      <c r="G1169" s="233">
        <v>2</v>
      </c>
      <c r="H1169" s="233" t="s">
        <v>291</v>
      </c>
      <c r="I1169" s="234">
        <v>646.49</v>
      </c>
      <c r="J1169" s="234">
        <v>646.49</v>
      </c>
      <c r="K1169" s="234">
        <v>646.49</v>
      </c>
      <c r="L1169" s="235">
        <v>37</v>
      </c>
      <c r="M1169" s="233" t="s">
        <v>254</v>
      </c>
      <c r="N1169" s="233" t="s">
        <v>255</v>
      </c>
      <c r="O1169" s="236" t="s">
        <v>257</v>
      </c>
      <c r="P1169" s="84">
        <v>174784.11</v>
      </c>
      <c r="Q1169" s="234">
        <v>0</v>
      </c>
      <c r="R1169" s="234">
        <v>0</v>
      </c>
      <c r="S1169" s="234">
        <v>0</v>
      </c>
      <c r="T1169" s="234">
        <f t="shared" si="81"/>
        <v>174784.11</v>
      </c>
      <c r="U1169" s="234">
        <f t="shared" si="82"/>
        <v>270.35856703119924</v>
      </c>
      <c r="V1169" s="78">
        <v>270.35856703119924</v>
      </c>
    </row>
    <row r="1170" spans="1:22" s="79" customFormat="1" ht="36" customHeight="1" x14ac:dyDescent="0.5">
      <c r="A1170" s="79">
        <v>1</v>
      </c>
      <c r="B1170" s="85">
        <f>SUBTOTAL(103,$A$1026:A1170)</f>
        <v>143</v>
      </c>
      <c r="C1170" s="83" t="s">
        <v>3261</v>
      </c>
      <c r="D1170" s="233">
        <v>1997</v>
      </c>
      <c r="E1170" s="233"/>
      <c r="F1170" s="233" t="s">
        <v>304</v>
      </c>
      <c r="G1170" s="233">
        <v>9</v>
      </c>
      <c r="H1170" s="233" t="s">
        <v>290</v>
      </c>
      <c r="I1170" s="234">
        <v>4855.8</v>
      </c>
      <c r="J1170" s="234">
        <v>3891.3</v>
      </c>
      <c r="K1170" s="234">
        <v>3891.3</v>
      </c>
      <c r="L1170" s="235">
        <v>130</v>
      </c>
      <c r="M1170" s="233" t="s">
        <v>254</v>
      </c>
      <c r="N1170" s="233" t="s">
        <v>258</v>
      </c>
      <c r="O1170" s="236" t="s">
        <v>934</v>
      </c>
      <c r="P1170" s="254">
        <v>4959585.82</v>
      </c>
      <c r="Q1170" s="234">
        <v>0</v>
      </c>
      <c r="R1170" s="234">
        <v>0</v>
      </c>
      <c r="S1170" s="234">
        <v>0</v>
      </c>
      <c r="T1170" s="234">
        <f t="shared" si="81"/>
        <v>4959585.82</v>
      </c>
      <c r="U1170" s="234">
        <f t="shared" si="82"/>
        <v>1021.3735779892088</v>
      </c>
      <c r="V1170" s="78">
        <v>1337.2453231187444</v>
      </c>
    </row>
    <row r="1171" spans="1:22" s="79" customFormat="1" ht="36" customHeight="1" x14ac:dyDescent="0.5">
      <c r="A1171" s="79">
        <v>1</v>
      </c>
      <c r="B1171" s="85">
        <f>SUBTOTAL(103,$A$1026:A1171)</f>
        <v>144</v>
      </c>
      <c r="C1171" s="83" t="s">
        <v>2505</v>
      </c>
      <c r="D1171" s="233">
        <v>1995</v>
      </c>
      <c r="E1171" s="233">
        <v>2021</v>
      </c>
      <c r="F1171" s="233" t="s">
        <v>304</v>
      </c>
      <c r="G1171" s="233">
        <v>9</v>
      </c>
      <c r="H1171" s="233" t="s">
        <v>295</v>
      </c>
      <c r="I1171" s="234">
        <v>10288.06</v>
      </c>
      <c r="J1171" s="234">
        <v>7717.7</v>
      </c>
      <c r="K1171" s="234">
        <v>7717.7</v>
      </c>
      <c r="L1171" s="235">
        <v>297</v>
      </c>
      <c r="M1171" s="233" t="s">
        <v>254</v>
      </c>
      <c r="N1171" s="233" t="s">
        <v>258</v>
      </c>
      <c r="O1171" s="236" t="s">
        <v>307</v>
      </c>
      <c r="P1171" s="254">
        <v>2982481.6599999997</v>
      </c>
      <c r="Q1171" s="234">
        <v>0</v>
      </c>
      <c r="R1171" s="234">
        <v>0</v>
      </c>
      <c r="S1171" s="234">
        <v>0</v>
      </c>
      <c r="T1171" s="234">
        <f t="shared" si="81"/>
        <v>2982481.6599999997</v>
      </c>
      <c r="U1171" s="234">
        <f t="shared" si="82"/>
        <v>289.89738201371296</v>
      </c>
      <c r="V1171" s="78">
        <v>315.57921707299533</v>
      </c>
    </row>
    <row r="1172" spans="1:22" s="79" customFormat="1" ht="36" customHeight="1" x14ac:dyDescent="0.5">
      <c r="A1172" s="79">
        <v>1</v>
      </c>
      <c r="B1172" s="85">
        <f>SUBTOTAL(103,$A$1026:A1172)</f>
        <v>145</v>
      </c>
      <c r="C1172" s="83" t="s">
        <v>2045</v>
      </c>
      <c r="D1172" s="233">
        <v>1994</v>
      </c>
      <c r="E1172" s="233">
        <v>2020</v>
      </c>
      <c r="F1172" s="233" t="s">
        <v>3270</v>
      </c>
      <c r="G1172" s="233">
        <v>9</v>
      </c>
      <c r="H1172" s="233" t="s">
        <v>295</v>
      </c>
      <c r="I1172" s="234">
        <v>9197</v>
      </c>
      <c r="J1172" s="234">
        <v>8283.2000000000007</v>
      </c>
      <c r="K1172" s="234">
        <v>8283.2000000000007</v>
      </c>
      <c r="L1172" s="235">
        <v>366</v>
      </c>
      <c r="M1172" s="233" t="s">
        <v>254</v>
      </c>
      <c r="N1172" s="233" t="s">
        <v>258</v>
      </c>
      <c r="O1172" s="236" t="s">
        <v>308</v>
      </c>
      <c r="P1172" s="254">
        <v>12128529.299999999</v>
      </c>
      <c r="Q1172" s="234">
        <v>0</v>
      </c>
      <c r="R1172" s="234">
        <v>0</v>
      </c>
      <c r="S1172" s="234">
        <v>0</v>
      </c>
      <c r="T1172" s="234">
        <f t="shared" si="81"/>
        <v>12128529.299999999</v>
      </c>
      <c r="U1172" s="234">
        <f t="shared" si="82"/>
        <v>1318.7484288354897</v>
      </c>
      <c r="V1172" s="78">
        <v>1412.0682483418507</v>
      </c>
    </row>
    <row r="1173" spans="1:22" s="79" customFormat="1" ht="36" customHeight="1" x14ac:dyDescent="0.5">
      <c r="A1173" s="79">
        <v>1</v>
      </c>
      <c r="B1173" s="85">
        <f>SUBTOTAL(103,$A$1026:A1173)</f>
        <v>146</v>
      </c>
      <c r="C1173" s="83" t="s">
        <v>3262</v>
      </c>
      <c r="D1173" s="233">
        <v>1996</v>
      </c>
      <c r="E1173" s="233"/>
      <c r="F1173" s="233" t="s">
        <v>304</v>
      </c>
      <c r="G1173" s="233">
        <v>9</v>
      </c>
      <c r="H1173" s="233" t="s">
        <v>299</v>
      </c>
      <c r="I1173" s="234">
        <v>7689.44</v>
      </c>
      <c r="J1173" s="234">
        <v>5766.9</v>
      </c>
      <c r="K1173" s="234">
        <v>5599.3</v>
      </c>
      <c r="L1173" s="235">
        <v>187</v>
      </c>
      <c r="M1173" s="233" t="s">
        <v>254</v>
      </c>
      <c r="N1173" s="233" t="s">
        <v>258</v>
      </c>
      <c r="O1173" s="236" t="s">
        <v>307</v>
      </c>
      <c r="P1173" s="254">
        <v>8744140.8499999996</v>
      </c>
      <c r="Q1173" s="234">
        <v>0</v>
      </c>
      <c r="R1173" s="234">
        <v>0</v>
      </c>
      <c r="S1173" s="234">
        <v>0</v>
      </c>
      <c r="T1173" s="234">
        <f t="shared" si="81"/>
        <v>8744140.8499999996</v>
      </c>
      <c r="U1173" s="234">
        <f t="shared" si="82"/>
        <v>1137.1622445847813</v>
      </c>
      <c r="V1173" s="78">
        <v>1266.6844087475811</v>
      </c>
    </row>
    <row r="1174" spans="1:22" s="79" customFormat="1" ht="36" customHeight="1" x14ac:dyDescent="0.5">
      <c r="A1174" s="79">
        <v>1</v>
      </c>
      <c r="B1174" s="85">
        <f>SUBTOTAL(103,$A$1026:A1174)</f>
        <v>147</v>
      </c>
      <c r="C1174" s="83" t="s">
        <v>2266</v>
      </c>
      <c r="D1174" s="233">
        <v>1998</v>
      </c>
      <c r="E1174" s="233">
        <v>2020</v>
      </c>
      <c r="F1174" s="233" t="s">
        <v>304</v>
      </c>
      <c r="G1174" s="233">
        <v>9</v>
      </c>
      <c r="H1174" s="233" t="s">
        <v>337</v>
      </c>
      <c r="I1174" s="234">
        <v>10754.2</v>
      </c>
      <c r="J1174" s="234">
        <v>9642.2000000000007</v>
      </c>
      <c r="K1174" s="234">
        <v>9401.3000000000011</v>
      </c>
      <c r="L1174" s="235">
        <v>369</v>
      </c>
      <c r="M1174" s="233" t="s">
        <v>254</v>
      </c>
      <c r="N1174" s="233" t="s">
        <v>258</v>
      </c>
      <c r="O1174" s="236" t="s">
        <v>314</v>
      </c>
      <c r="P1174" s="254">
        <v>8736547.0599999987</v>
      </c>
      <c r="Q1174" s="234">
        <v>0</v>
      </c>
      <c r="R1174" s="234">
        <v>0</v>
      </c>
      <c r="S1174" s="234">
        <v>0</v>
      </c>
      <c r="T1174" s="234">
        <f t="shared" si="81"/>
        <v>8736547.0599999987</v>
      </c>
      <c r="U1174" s="234">
        <f t="shared" si="82"/>
        <v>812.38465529746497</v>
      </c>
      <c r="V1174" s="78">
        <v>905.70137806624382</v>
      </c>
    </row>
    <row r="1175" spans="1:22" s="79" customFormat="1" ht="36" customHeight="1" x14ac:dyDescent="0.5">
      <c r="B1175" s="83" t="s">
        <v>730</v>
      </c>
      <c r="C1175" s="83"/>
      <c r="D1175" s="233" t="s">
        <v>835</v>
      </c>
      <c r="E1175" s="233" t="s">
        <v>835</v>
      </c>
      <c r="F1175" s="233" t="s">
        <v>835</v>
      </c>
      <c r="G1175" s="233" t="s">
        <v>835</v>
      </c>
      <c r="H1175" s="233" t="s">
        <v>835</v>
      </c>
      <c r="I1175" s="234">
        <f>SUM(I1176:I1211)</f>
        <v>179393.89</v>
      </c>
      <c r="J1175" s="234">
        <f t="shared" ref="J1175:L1175" si="83">SUM(J1176:J1211)</f>
        <v>152527.74999999997</v>
      </c>
      <c r="K1175" s="234">
        <f t="shared" si="83"/>
        <v>146725.69999999998</v>
      </c>
      <c r="L1175" s="235">
        <f t="shared" si="83"/>
        <v>6032</v>
      </c>
      <c r="M1175" s="233" t="s">
        <v>835</v>
      </c>
      <c r="N1175" s="233" t="s">
        <v>835</v>
      </c>
      <c r="O1175" s="236" t="s">
        <v>835</v>
      </c>
      <c r="P1175" s="138">
        <v>240294268.03000003</v>
      </c>
      <c r="Q1175" s="234">
        <f t="shared" ref="Q1175" si="84">SUM(Q1176:Q1211)</f>
        <v>0</v>
      </c>
      <c r="R1175" s="234">
        <f t="shared" ref="R1175" si="85">SUM(R1176:R1211)</f>
        <v>0</v>
      </c>
      <c r="S1175" s="234">
        <f t="shared" ref="S1175" si="86">SUM(S1176:S1211)</f>
        <v>0</v>
      </c>
      <c r="T1175" s="234">
        <f t="shared" ref="T1175" si="87">SUM(T1176:T1211)</f>
        <v>240294268.03000003</v>
      </c>
      <c r="U1175" s="234">
        <f t="shared" si="82"/>
        <v>1339.4785520844662</v>
      </c>
      <c r="V1175" s="78">
        <f>MAX(V1176:V1211)</f>
        <v>10336.147417237858</v>
      </c>
    </row>
    <row r="1176" spans="1:22" s="79" customFormat="1" ht="36" customHeight="1" x14ac:dyDescent="0.5">
      <c r="A1176" s="79">
        <v>1</v>
      </c>
      <c r="B1176" s="85">
        <f>SUBTOTAL(103,$A$1026:A1176)</f>
        <v>148</v>
      </c>
      <c r="C1176" s="83" t="s">
        <v>731</v>
      </c>
      <c r="D1176" s="233">
        <v>1961</v>
      </c>
      <c r="E1176" s="233"/>
      <c r="F1176" s="233" t="s">
        <v>256</v>
      </c>
      <c r="G1176" s="233">
        <v>3</v>
      </c>
      <c r="H1176" s="233" t="s">
        <v>290</v>
      </c>
      <c r="I1176" s="234">
        <v>1044</v>
      </c>
      <c r="J1176" s="234">
        <v>968.1</v>
      </c>
      <c r="K1176" s="234">
        <v>968.1</v>
      </c>
      <c r="L1176" s="235">
        <v>40</v>
      </c>
      <c r="M1176" s="233" t="s">
        <v>254</v>
      </c>
      <c r="N1176" s="233" t="s">
        <v>258</v>
      </c>
      <c r="O1176" s="236" t="s">
        <v>747</v>
      </c>
      <c r="P1176" s="84">
        <v>3568200.4699999997</v>
      </c>
      <c r="Q1176" s="234">
        <v>0</v>
      </c>
      <c r="R1176" s="234">
        <v>0</v>
      </c>
      <c r="S1176" s="234">
        <v>0</v>
      </c>
      <c r="T1176" s="234">
        <f t="shared" ref="T1176:T1211" si="88">P1176-Q1176-R1176-S1176</f>
        <v>3568200.4699999997</v>
      </c>
      <c r="U1176" s="234">
        <f t="shared" si="82"/>
        <v>3417.8165421455938</v>
      </c>
      <c r="V1176" s="78">
        <v>5387.9810283524903</v>
      </c>
    </row>
    <row r="1177" spans="1:22" s="79" customFormat="1" ht="36" customHeight="1" x14ac:dyDescent="0.5">
      <c r="A1177" s="79">
        <v>1</v>
      </c>
      <c r="B1177" s="85">
        <f>SUBTOTAL(103,$A$1026:A1177)</f>
        <v>149</v>
      </c>
      <c r="C1177" s="83" t="s">
        <v>732</v>
      </c>
      <c r="D1177" s="233">
        <v>1960</v>
      </c>
      <c r="E1177" s="233"/>
      <c r="F1177" s="233" t="s">
        <v>256</v>
      </c>
      <c r="G1177" s="233">
        <v>2</v>
      </c>
      <c r="H1177" s="233" t="s">
        <v>290</v>
      </c>
      <c r="I1177" s="234">
        <v>711.5</v>
      </c>
      <c r="J1177" s="234">
        <v>515.1</v>
      </c>
      <c r="K1177" s="234">
        <v>515.1</v>
      </c>
      <c r="L1177" s="235">
        <v>13</v>
      </c>
      <c r="M1177" s="233" t="s">
        <v>254</v>
      </c>
      <c r="N1177" s="233" t="s">
        <v>255</v>
      </c>
      <c r="O1177" s="236" t="s">
        <v>257</v>
      </c>
      <c r="P1177" s="84">
        <v>2921391.4099999997</v>
      </c>
      <c r="Q1177" s="234">
        <v>0</v>
      </c>
      <c r="R1177" s="234">
        <v>0</v>
      </c>
      <c r="S1177" s="234">
        <v>0</v>
      </c>
      <c r="T1177" s="234">
        <f t="shared" si="88"/>
        <v>2921391.4099999997</v>
      </c>
      <c r="U1177" s="234">
        <f t="shared" si="82"/>
        <v>4105.9612227687976</v>
      </c>
      <c r="V1177" s="78">
        <v>6812.1952359803226</v>
      </c>
    </row>
    <row r="1178" spans="1:22" s="79" customFormat="1" ht="36" customHeight="1" x14ac:dyDescent="0.5">
      <c r="A1178" s="79">
        <v>1</v>
      </c>
      <c r="B1178" s="85">
        <f>SUBTOTAL(103,$A$1026:A1178)</f>
        <v>150</v>
      </c>
      <c r="C1178" s="83" t="s">
        <v>736</v>
      </c>
      <c r="D1178" s="233">
        <v>1959</v>
      </c>
      <c r="E1178" s="233"/>
      <c r="F1178" s="233" t="s">
        <v>256</v>
      </c>
      <c r="G1178" s="233">
        <v>4</v>
      </c>
      <c r="H1178" s="233" t="s">
        <v>290</v>
      </c>
      <c r="I1178" s="234">
        <v>1406.5</v>
      </c>
      <c r="J1178" s="234">
        <v>1307.5</v>
      </c>
      <c r="K1178" s="234">
        <v>809</v>
      </c>
      <c r="L1178" s="235">
        <v>67</v>
      </c>
      <c r="M1178" s="233" t="s">
        <v>254</v>
      </c>
      <c r="N1178" s="233" t="s">
        <v>258</v>
      </c>
      <c r="O1178" s="236" t="s">
        <v>751</v>
      </c>
      <c r="P1178" s="84">
        <v>4549999.6099999994</v>
      </c>
      <c r="Q1178" s="234">
        <v>0</v>
      </c>
      <c r="R1178" s="234">
        <v>0</v>
      </c>
      <c r="S1178" s="234">
        <v>0</v>
      </c>
      <c r="T1178" s="234">
        <f t="shared" si="88"/>
        <v>4549999.6099999994</v>
      </c>
      <c r="U1178" s="234">
        <f t="shared" si="82"/>
        <v>3234.980170636331</v>
      </c>
      <c r="V1178" s="78">
        <v>4262.0679724137926</v>
      </c>
    </row>
    <row r="1179" spans="1:22" s="79" customFormat="1" ht="36" customHeight="1" x14ac:dyDescent="0.5">
      <c r="A1179" s="79">
        <v>1</v>
      </c>
      <c r="B1179" s="85">
        <f>SUBTOTAL(103,$A$1026:A1179)</f>
        <v>151</v>
      </c>
      <c r="C1179" s="83" t="s">
        <v>737</v>
      </c>
      <c r="D1179" s="233">
        <v>1965</v>
      </c>
      <c r="E1179" s="233"/>
      <c r="F1179" s="233" t="s">
        <v>256</v>
      </c>
      <c r="G1179" s="233">
        <v>5</v>
      </c>
      <c r="H1179" s="233" t="s">
        <v>290</v>
      </c>
      <c r="I1179" s="234">
        <v>2042.45</v>
      </c>
      <c r="J1179" s="234">
        <v>1565</v>
      </c>
      <c r="K1179" s="234">
        <v>1565</v>
      </c>
      <c r="L1179" s="235">
        <v>65</v>
      </c>
      <c r="M1179" s="233" t="s">
        <v>254</v>
      </c>
      <c r="N1179" s="233" t="s">
        <v>258</v>
      </c>
      <c r="O1179" s="236" t="s">
        <v>749</v>
      </c>
      <c r="P1179" s="84">
        <v>3689742.7800000003</v>
      </c>
      <c r="Q1179" s="234">
        <v>0</v>
      </c>
      <c r="R1179" s="234">
        <v>0</v>
      </c>
      <c r="S1179" s="234">
        <v>0</v>
      </c>
      <c r="T1179" s="234">
        <f t="shared" si="88"/>
        <v>3689742.7800000003</v>
      </c>
      <c r="U1179" s="234">
        <f t="shared" si="82"/>
        <v>1806.5278366667483</v>
      </c>
      <c r="V1179" s="78">
        <v>2810.413149697667</v>
      </c>
    </row>
    <row r="1180" spans="1:22" s="79" customFormat="1" ht="36" customHeight="1" x14ac:dyDescent="0.5">
      <c r="A1180" s="79">
        <v>1</v>
      </c>
      <c r="B1180" s="85">
        <f>SUBTOTAL(103,$A$1026:A1180)</f>
        <v>152</v>
      </c>
      <c r="C1180" s="83" t="s">
        <v>738</v>
      </c>
      <c r="D1180" s="233">
        <v>1955</v>
      </c>
      <c r="E1180" s="233"/>
      <c r="F1180" s="233" t="s">
        <v>322</v>
      </c>
      <c r="G1180" s="233">
        <v>2</v>
      </c>
      <c r="H1180" s="233" t="s">
        <v>290</v>
      </c>
      <c r="I1180" s="234">
        <v>685.7</v>
      </c>
      <c r="J1180" s="234">
        <v>629.20000000000005</v>
      </c>
      <c r="K1180" s="234">
        <v>629.20000000000005</v>
      </c>
      <c r="L1180" s="235">
        <v>28</v>
      </c>
      <c r="M1180" s="233" t="s">
        <v>254</v>
      </c>
      <c r="N1180" s="233" t="s">
        <v>255</v>
      </c>
      <c r="O1180" s="236" t="s">
        <v>257</v>
      </c>
      <c r="P1180" s="84">
        <v>5881455.8600000003</v>
      </c>
      <c r="Q1180" s="234">
        <v>0</v>
      </c>
      <c r="R1180" s="234">
        <v>0</v>
      </c>
      <c r="S1180" s="234">
        <v>0</v>
      </c>
      <c r="T1180" s="234">
        <f t="shared" si="88"/>
        <v>5881455.8600000003</v>
      </c>
      <c r="U1180" s="234">
        <f t="shared" si="82"/>
        <v>8577.3018229546451</v>
      </c>
      <c r="V1180" s="78">
        <v>10336.147417237858</v>
      </c>
    </row>
    <row r="1181" spans="1:22" s="79" customFormat="1" ht="36" customHeight="1" x14ac:dyDescent="0.5">
      <c r="A1181" s="79">
        <v>1</v>
      </c>
      <c r="B1181" s="85">
        <f>SUBTOTAL(103,$A$1026:A1181)</f>
        <v>153</v>
      </c>
      <c r="C1181" s="83" t="s">
        <v>739</v>
      </c>
      <c r="D1181" s="233">
        <v>1975</v>
      </c>
      <c r="E1181" s="233"/>
      <c r="F1181" s="233" t="s">
        <v>256</v>
      </c>
      <c r="G1181" s="233">
        <v>5</v>
      </c>
      <c r="H1181" s="233" t="s">
        <v>355</v>
      </c>
      <c r="I1181" s="234">
        <v>6824.86</v>
      </c>
      <c r="J1181" s="234">
        <v>4475.3999999999996</v>
      </c>
      <c r="K1181" s="234">
        <v>4306.8999999999996</v>
      </c>
      <c r="L1181" s="235">
        <v>160</v>
      </c>
      <c r="M1181" s="233" t="s">
        <v>254</v>
      </c>
      <c r="N1181" s="233" t="s">
        <v>258</v>
      </c>
      <c r="O1181" s="236" t="s">
        <v>756</v>
      </c>
      <c r="P1181" s="84">
        <v>318640.98</v>
      </c>
      <c r="Q1181" s="234">
        <v>0</v>
      </c>
      <c r="R1181" s="234">
        <v>0</v>
      </c>
      <c r="S1181" s="234">
        <v>0</v>
      </c>
      <c r="T1181" s="234">
        <f t="shared" si="88"/>
        <v>318640.98</v>
      </c>
      <c r="U1181" s="234">
        <f t="shared" si="82"/>
        <v>46.688280785246874</v>
      </c>
      <c r="V1181" s="78">
        <f>U1181</f>
        <v>46.688280785246874</v>
      </c>
    </row>
    <row r="1182" spans="1:22" s="79" customFormat="1" ht="36" customHeight="1" x14ac:dyDescent="0.5">
      <c r="A1182" s="79">
        <v>1</v>
      </c>
      <c r="B1182" s="85">
        <f>SUBTOTAL(103,$A$1026:A1182)</f>
        <v>154</v>
      </c>
      <c r="C1182" s="83" t="s">
        <v>758</v>
      </c>
      <c r="D1182" s="233">
        <v>1959</v>
      </c>
      <c r="E1182" s="233"/>
      <c r="F1182" s="233" t="s">
        <v>256</v>
      </c>
      <c r="G1182" s="233">
        <v>2</v>
      </c>
      <c r="H1182" s="233" t="s">
        <v>291</v>
      </c>
      <c r="I1182" s="234">
        <v>309.2</v>
      </c>
      <c r="J1182" s="234">
        <v>287.5</v>
      </c>
      <c r="K1182" s="234">
        <v>287.5</v>
      </c>
      <c r="L1182" s="235">
        <v>14</v>
      </c>
      <c r="M1182" s="233" t="s">
        <v>254</v>
      </c>
      <c r="N1182" s="233" t="s">
        <v>258</v>
      </c>
      <c r="O1182" s="236" t="s">
        <v>931</v>
      </c>
      <c r="P1182" s="84">
        <v>2279479.42</v>
      </c>
      <c r="Q1182" s="234">
        <v>0</v>
      </c>
      <c r="R1182" s="234">
        <v>0</v>
      </c>
      <c r="S1182" s="234">
        <v>0</v>
      </c>
      <c r="T1182" s="234">
        <f t="shared" si="88"/>
        <v>2279479.42</v>
      </c>
      <c r="U1182" s="234">
        <f t="shared" si="82"/>
        <v>7372.1844113842171</v>
      </c>
      <c r="V1182" s="78">
        <v>9121.0937904269085</v>
      </c>
    </row>
    <row r="1183" spans="1:22" s="79" customFormat="1" ht="36" customHeight="1" x14ac:dyDescent="0.5">
      <c r="A1183" s="79">
        <v>1</v>
      </c>
      <c r="B1183" s="85">
        <f>SUBTOTAL(103,$A$1026:A1183)</f>
        <v>155</v>
      </c>
      <c r="C1183" s="83" t="s">
        <v>1506</v>
      </c>
      <c r="D1183" s="233">
        <v>1958</v>
      </c>
      <c r="E1183" s="233"/>
      <c r="F1183" s="233" t="s">
        <v>256</v>
      </c>
      <c r="G1183" s="233">
        <v>2</v>
      </c>
      <c r="H1183" s="233" t="s">
        <v>290</v>
      </c>
      <c r="I1183" s="234">
        <v>446.8</v>
      </c>
      <c r="J1183" s="234">
        <v>446.8</v>
      </c>
      <c r="K1183" s="234">
        <v>297.3</v>
      </c>
      <c r="L1183" s="235">
        <v>17</v>
      </c>
      <c r="M1183" s="233" t="s">
        <v>254</v>
      </c>
      <c r="N1183" s="233" t="s">
        <v>255</v>
      </c>
      <c r="O1183" s="236" t="s">
        <v>257</v>
      </c>
      <c r="P1183" s="84">
        <v>2749299.98</v>
      </c>
      <c r="Q1183" s="234">
        <v>0</v>
      </c>
      <c r="R1183" s="234">
        <v>0</v>
      </c>
      <c r="S1183" s="234">
        <v>0</v>
      </c>
      <c r="T1183" s="234">
        <f t="shared" si="88"/>
        <v>2749299.98</v>
      </c>
      <c r="U1183" s="234">
        <f t="shared" si="82"/>
        <v>6153.3123992837955</v>
      </c>
      <c r="V1183" s="78">
        <v>9233.1495076096671</v>
      </c>
    </row>
    <row r="1184" spans="1:22" s="79" customFormat="1" ht="36" customHeight="1" x14ac:dyDescent="0.5">
      <c r="A1184" s="79">
        <v>1</v>
      </c>
      <c r="B1184" s="85">
        <f>SUBTOTAL(103,$A$1026:A1184)</f>
        <v>156</v>
      </c>
      <c r="C1184" s="83" t="s">
        <v>1199</v>
      </c>
      <c r="D1184" s="233">
        <v>1931</v>
      </c>
      <c r="E1184" s="233"/>
      <c r="F1184" s="233" t="s">
        <v>256</v>
      </c>
      <c r="G1184" s="233">
        <v>4</v>
      </c>
      <c r="H1184" s="233" t="s">
        <v>355</v>
      </c>
      <c r="I1184" s="234">
        <v>4408.1000000000004</v>
      </c>
      <c r="J1184" s="234">
        <v>4408.1000000000004</v>
      </c>
      <c r="K1184" s="234">
        <v>2703.21</v>
      </c>
      <c r="L1184" s="235">
        <v>109</v>
      </c>
      <c r="M1184" s="233" t="s">
        <v>254</v>
      </c>
      <c r="N1184" s="233" t="s">
        <v>258</v>
      </c>
      <c r="O1184" s="236" t="s">
        <v>1275</v>
      </c>
      <c r="P1184" s="84">
        <v>10732501.01</v>
      </c>
      <c r="Q1184" s="234">
        <v>0</v>
      </c>
      <c r="R1184" s="234">
        <v>0</v>
      </c>
      <c r="S1184" s="234">
        <v>0</v>
      </c>
      <c r="T1184" s="234">
        <f t="shared" si="88"/>
        <v>10732501.01</v>
      </c>
      <c r="U1184" s="234">
        <f t="shared" si="82"/>
        <v>2434.7226718994575</v>
      </c>
      <c r="V1184" s="78">
        <v>3606.6625599237764</v>
      </c>
    </row>
    <row r="1185" spans="1:22" s="79" customFormat="1" ht="36" customHeight="1" x14ac:dyDescent="0.5">
      <c r="A1185" s="79">
        <v>1</v>
      </c>
      <c r="B1185" s="85">
        <f>SUBTOTAL(103,$A$1026:A1185)</f>
        <v>157</v>
      </c>
      <c r="C1185" s="83" t="s">
        <v>718</v>
      </c>
      <c r="D1185" s="233">
        <v>1937</v>
      </c>
      <c r="E1185" s="233"/>
      <c r="F1185" s="233" t="s">
        <v>256</v>
      </c>
      <c r="G1185" s="233">
        <v>3</v>
      </c>
      <c r="H1185" s="233" t="s">
        <v>295</v>
      </c>
      <c r="I1185" s="234">
        <v>2718</v>
      </c>
      <c r="J1185" s="234">
        <v>2039</v>
      </c>
      <c r="K1185" s="234">
        <v>2039</v>
      </c>
      <c r="L1185" s="235">
        <v>62</v>
      </c>
      <c r="M1185" s="233" t="s">
        <v>254</v>
      </c>
      <c r="N1185" s="233" t="s">
        <v>258</v>
      </c>
      <c r="O1185" s="236" t="s">
        <v>751</v>
      </c>
      <c r="P1185" s="84">
        <v>783784.96000000008</v>
      </c>
      <c r="Q1185" s="234">
        <v>0</v>
      </c>
      <c r="R1185" s="234">
        <v>0</v>
      </c>
      <c r="S1185" s="234">
        <v>0</v>
      </c>
      <c r="T1185" s="234">
        <f t="shared" si="88"/>
        <v>783784.96000000008</v>
      </c>
      <c r="U1185" s="234">
        <f t="shared" si="82"/>
        <v>288.36827078734365</v>
      </c>
      <c r="V1185" s="78">
        <v>937.29</v>
      </c>
    </row>
    <row r="1186" spans="1:22" s="79" customFormat="1" ht="36" customHeight="1" x14ac:dyDescent="0.5">
      <c r="A1186" s="79">
        <v>1</v>
      </c>
      <c r="B1186" s="85">
        <f>SUBTOTAL(103,$A$1026:A1186)</f>
        <v>158</v>
      </c>
      <c r="C1186" s="83" t="s">
        <v>2289</v>
      </c>
      <c r="D1186" s="233">
        <v>1988</v>
      </c>
      <c r="E1186" s="233"/>
      <c r="F1186" s="233" t="s">
        <v>304</v>
      </c>
      <c r="G1186" s="233">
        <v>9</v>
      </c>
      <c r="H1186" s="233">
        <v>2</v>
      </c>
      <c r="I1186" s="234">
        <v>4409.1000000000004</v>
      </c>
      <c r="J1186" s="234">
        <v>3904.2</v>
      </c>
      <c r="K1186" s="234">
        <v>3904.2</v>
      </c>
      <c r="L1186" s="235">
        <v>164</v>
      </c>
      <c r="M1186" s="233" t="s">
        <v>254</v>
      </c>
      <c r="N1186" s="233" t="s">
        <v>258</v>
      </c>
      <c r="O1186" s="236" t="s">
        <v>1782</v>
      </c>
      <c r="P1186" s="84">
        <v>3559079.3</v>
      </c>
      <c r="Q1186" s="234">
        <v>0</v>
      </c>
      <c r="R1186" s="234">
        <v>0</v>
      </c>
      <c r="S1186" s="234">
        <v>0</v>
      </c>
      <c r="T1186" s="234">
        <f t="shared" si="88"/>
        <v>3559079.3</v>
      </c>
      <c r="U1186" s="234">
        <f t="shared" si="82"/>
        <v>807.21219750062357</v>
      </c>
      <c r="V1186" s="78">
        <v>1472.7259168537796</v>
      </c>
    </row>
    <row r="1187" spans="1:22" s="79" customFormat="1" ht="36" customHeight="1" x14ac:dyDescent="0.5">
      <c r="A1187" s="79">
        <v>1</v>
      </c>
      <c r="B1187" s="85">
        <f>SUBTOTAL(103,$A$1026:A1187)</f>
        <v>159</v>
      </c>
      <c r="C1187" s="83" t="s">
        <v>2290</v>
      </c>
      <c r="D1187" s="233">
        <v>1989</v>
      </c>
      <c r="E1187" s="233"/>
      <c r="F1187" s="233" t="s">
        <v>256</v>
      </c>
      <c r="G1187" s="233">
        <v>9</v>
      </c>
      <c r="H1187" s="233">
        <v>2</v>
      </c>
      <c r="I1187" s="234">
        <v>5092.8</v>
      </c>
      <c r="J1187" s="234">
        <v>3984.1</v>
      </c>
      <c r="K1187" s="234">
        <v>3984.1</v>
      </c>
      <c r="L1187" s="235">
        <v>155</v>
      </c>
      <c r="M1187" s="233" t="s">
        <v>254</v>
      </c>
      <c r="N1187" s="233" t="s">
        <v>258</v>
      </c>
      <c r="O1187" s="236" t="s">
        <v>2291</v>
      </c>
      <c r="P1187" s="84">
        <v>3684263.84</v>
      </c>
      <c r="Q1187" s="234">
        <v>0</v>
      </c>
      <c r="R1187" s="234">
        <v>0</v>
      </c>
      <c r="S1187" s="234">
        <v>0</v>
      </c>
      <c r="T1187" s="234">
        <f t="shared" si="88"/>
        <v>3684263.84</v>
      </c>
      <c r="U1187" s="234">
        <f t="shared" si="82"/>
        <v>723.42598177819661</v>
      </c>
      <c r="V1187" s="78">
        <v>1275.0148916116871</v>
      </c>
    </row>
    <row r="1188" spans="1:22" s="79" customFormat="1" ht="36" customHeight="1" x14ac:dyDescent="0.5">
      <c r="A1188" s="79">
        <v>1</v>
      </c>
      <c r="B1188" s="85">
        <f>SUBTOTAL(103,$A$1026:A1188)</f>
        <v>160</v>
      </c>
      <c r="C1188" s="83" t="s">
        <v>1014</v>
      </c>
      <c r="D1188" s="233">
        <v>1960</v>
      </c>
      <c r="E1188" s="233"/>
      <c r="F1188" s="233" t="s">
        <v>256</v>
      </c>
      <c r="G1188" s="233">
        <v>3</v>
      </c>
      <c r="H1188" s="233" t="s">
        <v>290</v>
      </c>
      <c r="I1188" s="234">
        <v>1377.9</v>
      </c>
      <c r="J1188" s="234">
        <v>966.6</v>
      </c>
      <c r="K1188" s="234">
        <v>764.1</v>
      </c>
      <c r="L1188" s="235">
        <v>28</v>
      </c>
      <c r="M1188" s="233" t="s">
        <v>254</v>
      </c>
      <c r="N1188" s="233" t="s">
        <v>255</v>
      </c>
      <c r="O1188" s="236" t="s">
        <v>257</v>
      </c>
      <c r="P1188" s="84">
        <v>3606770.59</v>
      </c>
      <c r="Q1188" s="234">
        <v>0</v>
      </c>
      <c r="R1188" s="234">
        <v>0</v>
      </c>
      <c r="S1188" s="234">
        <v>0</v>
      </c>
      <c r="T1188" s="234">
        <f t="shared" si="88"/>
        <v>3606770.59</v>
      </c>
      <c r="U1188" s="234">
        <f t="shared" si="82"/>
        <v>2617.5851585746423</v>
      </c>
      <c r="V1188" s="78">
        <v>4710.1222126424263</v>
      </c>
    </row>
    <row r="1189" spans="1:22" s="79" customFormat="1" ht="36" customHeight="1" x14ac:dyDescent="0.5">
      <c r="A1189" s="79">
        <v>1</v>
      </c>
      <c r="B1189" s="85">
        <f>SUBTOTAL(103,$A$1026:A1189)</f>
        <v>161</v>
      </c>
      <c r="C1189" s="83" t="s">
        <v>2012</v>
      </c>
      <c r="D1189" s="233">
        <v>1989</v>
      </c>
      <c r="E1189" s="233"/>
      <c r="F1189" s="233" t="s">
        <v>304</v>
      </c>
      <c r="G1189" s="233">
        <v>9</v>
      </c>
      <c r="H1189" s="233">
        <v>2</v>
      </c>
      <c r="I1189" s="234">
        <v>4433.1000000000004</v>
      </c>
      <c r="J1189" s="234">
        <v>3943.6</v>
      </c>
      <c r="K1189" s="234">
        <v>3943.6</v>
      </c>
      <c r="L1189" s="235">
        <v>173</v>
      </c>
      <c r="M1189" s="233" t="s">
        <v>254</v>
      </c>
      <c r="N1189" s="233" t="s">
        <v>258</v>
      </c>
      <c r="O1189" s="236" t="s">
        <v>2284</v>
      </c>
      <c r="P1189" s="84">
        <v>3566490.02</v>
      </c>
      <c r="Q1189" s="234">
        <v>0</v>
      </c>
      <c r="R1189" s="234">
        <v>0</v>
      </c>
      <c r="S1189" s="234">
        <v>0</v>
      </c>
      <c r="T1189" s="234">
        <f t="shared" si="88"/>
        <v>3566490.02</v>
      </c>
      <c r="U1189" s="234">
        <f t="shared" si="82"/>
        <v>804.51377591301787</v>
      </c>
      <c r="V1189" s="78">
        <v>1464.7528456384921</v>
      </c>
    </row>
    <row r="1190" spans="1:22" s="79" customFormat="1" ht="36" customHeight="1" x14ac:dyDescent="0.5">
      <c r="A1190" s="79">
        <v>1</v>
      </c>
      <c r="B1190" s="85">
        <f>SUBTOTAL(103,$A$1026:A1190)</f>
        <v>162</v>
      </c>
      <c r="C1190" s="83" t="s">
        <v>713</v>
      </c>
      <c r="D1190" s="233">
        <v>1961</v>
      </c>
      <c r="E1190" s="233"/>
      <c r="F1190" s="233" t="s">
        <v>256</v>
      </c>
      <c r="G1190" s="233">
        <v>2</v>
      </c>
      <c r="H1190" s="233" t="s">
        <v>291</v>
      </c>
      <c r="I1190" s="234">
        <v>296.39999999999998</v>
      </c>
      <c r="J1190" s="234">
        <v>275.5</v>
      </c>
      <c r="K1190" s="234">
        <v>275.5</v>
      </c>
      <c r="L1190" s="235">
        <v>8</v>
      </c>
      <c r="M1190" s="233" t="s">
        <v>254</v>
      </c>
      <c r="N1190" s="233" t="s">
        <v>258</v>
      </c>
      <c r="O1190" s="236" t="s">
        <v>748</v>
      </c>
      <c r="P1190" s="84">
        <v>2397627.48</v>
      </c>
      <c r="Q1190" s="234">
        <v>0</v>
      </c>
      <c r="R1190" s="234">
        <v>0</v>
      </c>
      <c r="S1190" s="234">
        <v>0</v>
      </c>
      <c r="T1190" s="234">
        <f t="shared" si="88"/>
        <v>2397627.48</v>
      </c>
      <c r="U1190" s="234">
        <f t="shared" si="82"/>
        <v>8089.1615384615388</v>
      </c>
      <c r="V1190" s="78">
        <v>9281.2794062078283</v>
      </c>
    </row>
    <row r="1191" spans="1:22" s="79" customFormat="1" ht="36" customHeight="1" x14ac:dyDescent="0.5">
      <c r="A1191" s="79">
        <v>1</v>
      </c>
      <c r="B1191" s="85">
        <f>SUBTOTAL(103,$A$1026:A1191)</f>
        <v>163</v>
      </c>
      <c r="C1191" s="83" t="s">
        <v>721</v>
      </c>
      <c r="D1191" s="233">
        <v>1962</v>
      </c>
      <c r="E1191" s="233"/>
      <c r="F1191" s="233" t="s">
        <v>256</v>
      </c>
      <c r="G1191" s="233">
        <v>4</v>
      </c>
      <c r="H1191" s="233" t="s">
        <v>299</v>
      </c>
      <c r="I1191" s="234">
        <v>2946.2</v>
      </c>
      <c r="J1191" s="234">
        <v>1967.3</v>
      </c>
      <c r="K1191" s="234">
        <v>1810.2</v>
      </c>
      <c r="L1191" s="235">
        <v>95</v>
      </c>
      <c r="M1191" s="233" t="s">
        <v>254</v>
      </c>
      <c r="N1191" s="233" t="s">
        <v>258</v>
      </c>
      <c r="O1191" s="236" t="s">
        <v>749</v>
      </c>
      <c r="P1191" s="84">
        <v>8267506.5599999996</v>
      </c>
      <c r="Q1191" s="234">
        <v>0</v>
      </c>
      <c r="R1191" s="234">
        <v>0</v>
      </c>
      <c r="S1191" s="234">
        <v>0</v>
      </c>
      <c r="T1191" s="234">
        <f t="shared" si="88"/>
        <v>8267506.5599999996</v>
      </c>
      <c r="U1191" s="234">
        <f t="shared" si="82"/>
        <v>2806.159310298011</v>
      </c>
      <c r="V1191" s="78">
        <v>3477.2615575317354</v>
      </c>
    </row>
    <row r="1192" spans="1:22" s="79" customFormat="1" ht="36" customHeight="1" x14ac:dyDescent="0.5">
      <c r="A1192" s="79">
        <v>1</v>
      </c>
      <c r="B1192" s="85">
        <f>SUBTOTAL(103,$A$1026:A1192)</f>
        <v>164</v>
      </c>
      <c r="C1192" s="83" t="s">
        <v>722</v>
      </c>
      <c r="D1192" s="233">
        <v>1959</v>
      </c>
      <c r="E1192" s="233"/>
      <c r="F1192" s="233" t="s">
        <v>322</v>
      </c>
      <c r="G1192" s="233">
        <v>3</v>
      </c>
      <c r="H1192" s="233" t="s">
        <v>290</v>
      </c>
      <c r="I1192" s="234">
        <v>1267.5</v>
      </c>
      <c r="J1192" s="234">
        <v>1160</v>
      </c>
      <c r="K1192" s="234">
        <v>785.9</v>
      </c>
      <c r="L1192" s="235">
        <v>31</v>
      </c>
      <c r="M1192" s="233" t="s">
        <v>254</v>
      </c>
      <c r="N1192" s="233" t="s">
        <v>255</v>
      </c>
      <c r="O1192" s="236" t="s">
        <v>257</v>
      </c>
      <c r="P1192" s="84">
        <v>3696006.93</v>
      </c>
      <c r="Q1192" s="234">
        <v>0</v>
      </c>
      <c r="R1192" s="234">
        <v>0</v>
      </c>
      <c r="S1192" s="234">
        <v>0</v>
      </c>
      <c r="T1192" s="234">
        <f t="shared" si="88"/>
        <v>3696006.93</v>
      </c>
      <c r="U1192" s="234">
        <f t="shared" si="82"/>
        <v>2915.9817988165682</v>
      </c>
      <c r="V1192" s="78">
        <v>5328.7650619329388</v>
      </c>
    </row>
    <row r="1193" spans="1:22" s="79" customFormat="1" ht="36" customHeight="1" x14ac:dyDescent="0.5">
      <c r="A1193" s="79">
        <v>1</v>
      </c>
      <c r="B1193" s="85">
        <f>SUBTOTAL(103,$A$1026:A1193)</f>
        <v>165</v>
      </c>
      <c r="C1193" s="83" t="s">
        <v>727</v>
      </c>
      <c r="D1193" s="233">
        <v>1966</v>
      </c>
      <c r="E1193" s="233"/>
      <c r="F1193" s="233" t="s">
        <v>256</v>
      </c>
      <c r="G1193" s="233">
        <v>4</v>
      </c>
      <c r="H1193" s="233" t="s">
        <v>295</v>
      </c>
      <c r="I1193" s="234">
        <v>3436.5</v>
      </c>
      <c r="J1193" s="234">
        <v>2673</v>
      </c>
      <c r="K1193" s="234">
        <v>2483.9</v>
      </c>
      <c r="L1193" s="235">
        <v>109</v>
      </c>
      <c r="M1193" s="233" t="s">
        <v>254</v>
      </c>
      <c r="N1193" s="233" t="s">
        <v>258</v>
      </c>
      <c r="O1193" s="236" t="s">
        <v>749</v>
      </c>
      <c r="P1193" s="84">
        <v>5400690.3099999996</v>
      </c>
      <c r="Q1193" s="234">
        <v>0</v>
      </c>
      <c r="R1193" s="234">
        <v>0</v>
      </c>
      <c r="S1193" s="234">
        <v>0</v>
      </c>
      <c r="T1193" s="234">
        <f t="shared" si="88"/>
        <v>5400690.3099999996</v>
      </c>
      <c r="U1193" s="234">
        <f t="shared" si="82"/>
        <v>1571.5670915175322</v>
      </c>
      <c r="V1193" s="78">
        <v>3403.2645975847518</v>
      </c>
    </row>
    <row r="1194" spans="1:22" s="79" customFormat="1" ht="36" customHeight="1" x14ac:dyDescent="0.5">
      <c r="A1194" s="79">
        <v>1</v>
      </c>
      <c r="B1194" s="85">
        <f>SUBTOTAL(103,$A$1026:A1194)</f>
        <v>166</v>
      </c>
      <c r="C1194" s="83" t="s">
        <v>2131</v>
      </c>
      <c r="D1194" s="233">
        <v>1962</v>
      </c>
      <c r="E1194" s="233"/>
      <c r="F1194" s="233" t="s">
        <v>256</v>
      </c>
      <c r="G1194" s="233">
        <v>4</v>
      </c>
      <c r="H1194" s="233" t="s">
        <v>290</v>
      </c>
      <c r="I1194" s="234">
        <v>1599.4</v>
      </c>
      <c r="J1194" s="234">
        <v>1280.9000000000001</v>
      </c>
      <c r="K1194" s="234">
        <v>975</v>
      </c>
      <c r="L1194" s="235">
        <v>60</v>
      </c>
      <c r="M1194" s="233" t="s">
        <v>254</v>
      </c>
      <c r="N1194" s="233" t="s">
        <v>258</v>
      </c>
      <c r="O1194" s="236" t="s">
        <v>751</v>
      </c>
      <c r="P1194" s="84">
        <v>151078.81</v>
      </c>
      <c r="Q1194" s="234">
        <v>0</v>
      </c>
      <c r="R1194" s="234">
        <v>0</v>
      </c>
      <c r="S1194" s="234">
        <v>0</v>
      </c>
      <c r="T1194" s="234">
        <f t="shared" si="88"/>
        <v>151078.81</v>
      </c>
      <c r="U1194" s="234">
        <f t="shared" si="82"/>
        <v>94.459678629486049</v>
      </c>
      <c r="V1194" s="78">
        <v>94.459678629486049</v>
      </c>
    </row>
    <row r="1195" spans="1:22" s="79" customFormat="1" ht="36" customHeight="1" x14ac:dyDescent="0.5">
      <c r="A1195" s="79">
        <v>1</v>
      </c>
      <c r="B1195" s="85">
        <f>SUBTOTAL(103,$A$1026:A1195)</f>
        <v>167</v>
      </c>
      <c r="C1195" s="83" t="s">
        <v>735</v>
      </c>
      <c r="D1195" s="233">
        <v>1937</v>
      </c>
      <c r="E1195" s="233"/>
      <c r="F1195" s="233" t="s">
        <v>256</v>
      </c>
      <c r="G1195" s="233">
        <v>3</v>
      </c>
      <c r="H1195" s="233" t="s">
        <v>295</v>
      </c>
      <c r="I1195" s="234">
        <v>2758</v>
      </c>
      <c r="J1195" s="234">
        <v>1462.7</v>
      </c>
      <c r="K1195" s="234">
        <v>1347.2</v>
      </c>
      <c r="L1195" s="235">
        <v>62</v>
      </c>
      <c r="M1195" s="233" t="s">
        <v>254</v>
      </c>
      <c r="N1195" s="233" t="s">
        <v>258</v>
      </c>
      <c r="O1195" s="236" t="s">
        <v>751</v>
      </c>
      <c r="P1195" s="84">
        <v>10763863.199999999</v>
      </c>
      <c r="Q1195" s="234">
        <v>0</v>
      </c>
      <c r="R1195" s="234">
        <v>0</v>
      </c>
      <c r="S1195" s="234">
        <v>0</v>
      </c>
      <c r="T1195" s="234">
        <f t="shared" si="88"/>
        <v>10763863.199999999</v>
      </c>
      <c r="U1195" s="234">
        <f t="shared" si="82"/>
        <v>3902.7785351704129</v>
      </c>
      <c r="V1195" s="78">
        <v>4932.6219973894122</v>
      </c>
    </row>
    <row r="1196" spans="1:22" s="79" customFormat="1" ht="36" customHeight="1" x14ac:dyDescent="0.5">
      <c r="A1196" s="79">
        <v>1</v>
      </c>
      <c r="B1196" s="85">
        <f>SUBTOTAL(103,$A$1026:A1196)</f>
        <v>168</v>
      </c>
      <c r="C1196" s="83" t="s">
        <v>2155</v>
      </c>
      <c r="D1196" s="233">
        <v>1961</v>
      </c>
      <c r="E1196" s="233"/>
      <c r="F1196" s="233" t="s">
        <v>256</v>
      </c>
      <c r="G1196" s="233">
        <v>2</v>
      </c>
      <c r="H1196" s="233">
        <v>1</v>
      </c>
      <c r="I1196" s="234">
        <v>283.5</v>
      </c>
      <c r="J1196" s="234">
        <v>283.5</v>
      </c>
      <c r="K1196" s="234">
        <v>283.5</v>
      </c>
      <c r="L1196" s="235">
        <v>10</v>
      </c>
      <c r="M1196" s="233" t="s">
        <v>254</v>
      </c>
      <c r="N1196" s="233" t="s">
        <v>258</v>
      </c>
      <c r="O1196" s="236" t="s">
        <v>1220</v>
      </c>
      <c r="P1196" s="84">
        <v>2336541.27</v>
      </c>
      <c r="Q1196" s="234">
        <v>0</v>
      </c>
      <c r="R1196" s="234">
        <v>0</v>
      </c>
      <c r="S1196" s="234">
        <v>0</v>
      </c>
      <c r="T1196" s="234">
        <f t="shared" si="88"/>
        <v>2336541.27</v>
      </c>
      <c r="U1196" s="234">
        <f t="shared" si="82"/>
        <v>8241.7681481481486</v>
      </c>
      <c r="V1196" s="78">
        <v>10093.431178835977</v>
      </c>
    </row>
    <row r="1197" spans="1:22" s="79" customFormat="1" ht="36" customHeight="1" x14ac:dyDescent="0.5">
      <c r="A1197" s="79">
        <v>1</v>
      </c>
      <c r="B1197" s="85">
        <f>SUBTOTAL(103,$A$1026:A1197)</f>
        <v>169</v>
      </c>
      <c r="C1197" s="83" t="s">
        <v>2385</v>
      </c>
      <c r="D1197" s="233">
        <v>1989</v>
      </c>
      <c r="E1197" s="233">
        <v>2020</v>
      </c>
      <c r="F1197" s="233" t="s">
        <v>304</v>
      </c>
      <c r="G1197" s="233">
        <v>9</v>
      </c>
      <c r="H1197" s="233" t="s">
        <v>290</v>
      </c>
      <c r="I1197" s="234">
        <v>4476.7</v>
      </c>
      <c r="J1197" s="234">
        <v>3986.6</v>
      </c>
      <c r="K1197" s="234">
        <v>3922.9</v>
      </c>
      <c r="L1197" s="235">
        <v>150</v>
      </c>
      <c r="M1197" s="233" t="s">
        <v>254</v>
      </c>
      <c r="N1197" s="233" t="s">
        <v>258</v>
      </c>
      <c r="O1197" s="236" t="s">
        <v>1311</v>
      </c>
      <c r="P1197" s="84">
        <v>5849650.5499999998</v>
      </c>
      <c r="Q1197" s="234">
        <v>0</v>
      </c>
      <c r="R1197" s="234">
        <v>0</v>
      </c>
      <c r="S1197" s="234">
        <v>0</v>
      </c>
      <c r="T1197" s="234">
        <f t="shared" si="88"/>
        <v>5849650.5499999998</v>
      </c>
      <c r="U1197" s="234">
        <f t="shared" si="82"/>
        <v>1306.6880849733063</v>
      </c>
      <c r="V1197" s="78">
        <v>1450.4871534835929</v>
      </c>
    </row>
    <row r="1198" spans="1:22" s="79" customFormat="1" ht="36" customHeight="1" x14ac:dyDescent="0.5">
      <c r="A1198" s="79">
        <v>1</v>
      </c>
      <c r="B1198" s="85">
        <f>SUBTOTAL(103,$A$1026:A1198)</f>
        <v>170</v>
      </c>
      <c r="C1198" s="83" t="s">
        <v>3251</v>
      </c>
      <c r="D1198" s="233">
        <v>1984</v>
      </c>
      <c r="E1198" s="233">
        <v>2018</v>
      </c>
      <c r="F1198" s="233" t="s">
        <v>304</v>
      </c>
      <c r="G1198" s="233">
        <v>9</v>
      </c>
      <c r="H1198" s="233" t="s">
        <v>299</v>
      </c>
      <c r="I1198" s="234">
        <v>6548.1</v>
      </c>
      <c r="J1198" s="234">
        <v>5833.8</v>
      </c>
      <c r="K1198" s="234">
        <v>5716.6</v>
      </c>
      <c r="L1198" s="235">
        <v>226</v>
      </c>
      <c r="M1198" s="233" t="s">
        <v>254</v>
      </c>
      <c r="N1198" s="233" t="s">
        <v>258</v>
      </c>
      <c r="O1198" s="236" t="s">
        <v>1509</v>
      </c>
      <c r="P1198" s="84">
        <v>9149005.4800000004</v>
      </c>
      <c r="Q1198" s="234">
        <v>0</v>
      </c>
      <c r="R1198" s="234">
        <v>0</v>
      </c>
      <c r="S1198" s="234">
        <v>0</v>
      </c>
      <c r="T1198" s="234">
        <f t="shared" si="88"/>
        <v>9149005.4800000004</v>
      </c>
      <c r="U1198" s="234">
        <f t="shared" si="82"/>
        <v>1397.2000244345688</v>
      </c>
      <c r="V1198" s="78">
        <v>1487.4686947358775</v>
      </c>
    </row>
    <row r="1199" spans="1:22" s="79" customFormat="1" ht="36" customHeight="1" x14ac:dyDescent="0.5">
      <c r="A1199" s="79">
        <v>1</v>
      </c>
      <c r="B1199" s="85">
        <f>SUBTOTAL(103,$A$1026:A1199)</f>
        <v>171</v>
      </c>
      <c r="C1199" s="83" t="s">
        <v>2389</v>
      </c>
      <c r="D1199" s="233">
        <v>1990</v>
      </c>
      <c r="E1199" s="233"/>
      <c r="F1199" s="233" t="s">
        <v>3270</v>
      </c>
      <c r="G1199" s="233">
        <v>9</v>
      </c>
      <c r="H1199" s="233">
        <v>4</v>
      </c>
      <c r="I1199" s="234">
        <v>8708.1</v>
      </c>
      <c r="J1199" s="234">
        <v>7872.9</v>
      </c>
      <c r="K1199" s="234">
        <v>7762.4</v>
      </c>
      <c r="L1199" s="235">
        <v>356</v>
      </c>
      <c r="M1199" s="233" t="s">
        <v>254</v>
      </c>
      <c r="N1199" s="233" t="s">
        <v>258</v>
      </c>
      <c r="O1199" s="236" t="s">
        <v>1781</v>
      </c>
      <c r="P1199" s="84">
        <v>6077158.7199999997</v>
      </c>
      <c r="Q1199" s="234">
        <v>0</v>
      </c>
      <c r="R1199" s="234">
        <v>0</v>
      </c>
      <c r="S1199" s="234">
        <v>0</v>
      </c>
      <c r="T1199" s="234">
        <f t="shared" si="88"/>
        <v>6077158.7199999997</v>
      </c>
      <c r="U1199" s="234">
        <f t="shared" si="82"/>
        <v>697.87424581711275</v>
      </c>
      <c r="V1199" s="78">
        <v>745.67309057084776</v>
      </c>
    </row>
    <row r="1200" spans="1:22" s="79" customFormat="1" ht="36" customHeight="1" x14ac:dyDescent="0.5">
      <c r="A1200" s="79">
        <v>1</v>
      </c>
      <c r="B1200" s="85">
        <f>SUBTOTAL(103,$A$1026:A1200)</f>
        <v>172</v>
      </c>
      <c r="C1200" s="83" t="s">
        <v>3252</v>
      </c>
      <c r="D1200" s="233">
        <v>1988</v>
      </c>
      <c r="E1200" s="233">
        <v>2017</v>
      </c>
      <c r="F1200" s="233" t="s">
        <v>304</v>
      </c>
      <c r="G1200" s="233">
        <v>9</v>
      </c>
      <c r="H1200" s="233" t="s">
        <v>295</v>
      </c>
      <c r="I1200" s="234">
        <v>8406.5</v>
      </c>
      <c r="J1200" s="234">
        <v>6978.4</v>
      </c>
      <c r="K1200" s="234">
        <v>6839</v>
      </c>
      <c r="L1200" s="235">
        <v>333</v>
      </c>
      <c r="M1200" s="233" t="s">
        <v>254</v>
      </c>
      <c r="N1200" s="233" t="s">
        <v>258</v>
      </c>
      <c r="O1200" s="236" t="s">
        <v>1781</v>
      </c>
      <c r="P1200" s="84">
        <v>9169647.7799999993</v>
      </c>
      <c r="Q1200" s="234">
        <v>0</v>
      </c>
      <c r="R1200" s="234">
        <v>0</v>
      </c>
      <c r="S1200" s="234">
        <v>0</v>
      </c>
      <c r="T1200" s="234">
        <f t="shared" si="88"/>
        <v>9169647.7799999993</v>
      </c>
      <c r="U1200" s="234">
        <f t="shared" si="82"/>
        <v>1090.7806792363051</v>
      </c>
      <c r="V1200" s="78">
        <v>1158.6384059953607</v>
      </c>
    </row>
    <row r="1201" spans="1:22" s="79" customFormat="1" ht="36" customHeight="1" x14ac:dyDescent="0.5">
      <c r="A1201" s="79">
        <v>1</v>
      </c>
      <c r="B1201" s="85">
        <f>SUBTOTAL(103,$A$1026:A1201)</f>
        <v>173</v>
      </c>
      <c r="C1201" s="83" t="s">
        <v>3253</v>
      </c>
      <c r="D1201" s="233">
        <v>1989</v>
      </c>
      <c r="E1201" s="233">
        <v>2016</v>
      </c>
      <c r="F1201" s="233" t="s">
        <v>304</v>
      </c>
      <c r="G1201" s="233">
        <v>9</v>
      </c>
      <c r="H1201" s="233" t="s">
        <v>295</v>
      </c>
      <c r="I1201" s="234">
        <v>7986.1</v>
      </c>
      <c r="J1201" s="234">
        <v>7470</v>
      </c>
      <c r="K1201" s="234">
        <v>7093.8</v>
      </c>
      <c r="L1201" s="235">
        <v>324</v>
      </c>
      <c r="M1201" s="233" t="s">
        <v>254</v>
      </c>
      <c r="N1201" s="233" t="s">
        <v>258</v>
      </c>
      <c r="O1201" s="236" t="s">
        <v>1781</v>
      </c>
      <c r="P1201" s="84">
        <v>12255481.440000001</v>
      </c>
      <c r="Q1201" s="234">
        <v>0</v>
      </c>
      <c r="R1201" s="234">
        <v>0</v>
      </c>
      <c r="S1201" s="234">
        <v>0</v>
      </c>
      <c r="T1201" s="234">
        <f t="shared" si="88"/>
        <v>12255481.440000001</v>
      </c>
      <c r="U1201" s="234">
        <f t="shared" si="82"/>
        <v>1534.6015501934612</v>
      </c>
      <c r="V1201" s="78">
        <v>1626.1744380861746</v>
      </c>
    </row>
    <row r="1202" spans="1:22" s="79" customFormat="1" ht="36" customHeight="1" x14ac:dyDescent="0.5">
      <c r="A1202" s="79">
        <v>1</v>
      </c>
      <c r="B1202" s="85">
        <f>SUBTOTAL(103,$A$1026:A1202)</f>
        <v>174</v>
      </c>
      <c r="C1202" s="83" t="s">
        <v>3254</v>
      </c>
      <c r="D1202" s="233">
        <v>1991</v>
      </c>
      <c r="E1202" s="233">
        <v>2016</v>
      </c>
      <c r="F1202" s="233" t="s">
        <v>304</v>
      </c>
      <c r="G1202" s="233">
        <v>9</v>
      </c>
      <c r="H1202" s="233" t="s">
        <v>337</v>
      </c>
      <c r="I1202" s="234">
        <v>10925.6</v>
      </c>
      <c r="J1202" s="234">
        <v>9742.1</v>
      </c>
      <c r="K1202" s="234">
        <v>9742.1</v>
      </c>
      <c r="L1202" s="235">
        <v>408</v>
      </c>
      <c r="M1202" s="233" t="s">
        <v>254</v>
      </c>
      <c r="N1202" s="233" t="s">
        <v>327</v>
      </c>
      <c r="O1202" s="236" t="s">
        <v>3272</v>
      </c>
      <c r="P1202" s="84">
        <v>14462666.060000002</v>
      </c>
      <c r="Q1202" s="234">
        <v>0</v>
      </c>
      <c r="R1202" s="234">
        <v>0</v>
      </c>
      <c r="S1202" s="234">
        <v>0</v>
      </c>
      <c r="T1202" s="234">
        <f t="shared" si="88"/>
        <v>14462666.060000002</v>
      </c>
      <c r="U1202" s="234">
        <f t="shared" si="82"/>
        <v>1323.7411272607455</v>
      </c>
      <c r="V1202" s="78">
        <v>1485.8213370432745</v>
      </c>
    </row>
    <row r="1203" spans="1:22" s="79" customFormat="1" ht="36" customHeight="1" x14ac:dyDescent="0.5">
      <c r="A1203" s="79">
        <v>1</v>
      </c>
      <c r="B1203" s="85">
        <f>SUBTOTAL(103,$A$1026:A1203)</f>
        <v>175</v>
      </c>
      <c r="C1203" s="83" t="s">
        <v>1989</v>
      </c>
      <c r="D1203" s="233">
        <v>1984</v>
      </c>
      <c r="E1203" s="233">
        <v>2020</v>
      </c>
      <c r="F1203" s="233" t="s">
        <v>304</v>
      </c>
      <c r="G1203" s="233">
        <v>9</v>
      </c>
      <c r="H1203" s="233" t="s">
        <v>295</v>
      </c>
      <c r="I1203" s="234">
        <v>8903.4</v>
      </c>
      <c r="J1203" s="234">
        <v>7850.95</v>
      </c>
      <c r="K1203" s="234">
        <v>7713.19</v>
      </c>
      <c r="L1203" s="235">
        <v>290</v>
      </c>
      <c r="M1203" s="233" t="s">
        <v>254</v>
      </c>
      <c r="N1203" s="233" t="s">
        <v>327</v>
      </c>
      <c r="O1203" s="236" t="s">
        <v>3273</v>
      </c>
      <c r="P1203" s="84">
        <v>12207467.899999999</v>
      </c>
      <c r="Q1203" s="234">
        <v>0</v>
      </c>
      <c r="R1203" s="234">
        <v>0</v>
      </c>
      <c r="S1203" s="234">
        <v>0</v>
      </c>
      <c r="T1203" s="234">
        <f t="shared" si="88"/>
        <v>12207467.899999999</v>
      </c>
      <c r="U1203" s="234">
        <f t="shared" si="82"/>
        <v>1371.1018150369521</v>
      </c>
      <c r="V1203" s="78">
        <v>1458.6328458791024</v>
      </c>
    </row>
    <row r="1204" spans="1:22" s="79" customFormat="1" ht="36" customHeight="1" x14ac:dyDescent="0.5">
      <c r="A1204" s="79">
        <v>1</v>
      </c>
      <c r="B1204" s="85">
        <f>SUBTOTAL(103,$A$1026:A1204)</f>
        <v>176</v>
      </c>
      <c r="C1204" s="83" t="s">
        <v>3255</v>
      </c>
      <c r="D1204" s="233">
        <v>1988</v>
      </c>
      <c r="E1204" s="233">
        <v>2019</v>
      </c>
      <c r="F1204" s="233" t="s">
        <v>3270</v>
      </c>
      <c r="G1204" s="233">
        <v>9</v>
      </c>
      <c r="H1204" s="233" t="s">
        <v>337</v>
      </c>
      <c r="I1204" s="234">
        <v>10884.9</v>
      </c>
      <c r="J1204" s="234">
        <v>9290.7999999999993</v>
      </c>
      <c r="K1204" s="234">
        <v>9242.9</v>
      </c>
      <c r="L1204" s="235">
        <v>380</v>
      </c>
      <c r="M1204" s="233" t="s">
        <v>254</v>
      </c>
      <c r="N1204" s="233" t="s">
        <v>327</v>
      </c>
      <c r="O1204" s="236" t="s">
        <v>3274</v>
      </c>
      <c r="P1204" s="84">
        <v>15139642.390000001</v>
      </c>
      <c r="Q1204" s="234">
        <v>0</v>
      </c>
      <c r="R1204" s="234">
        <v>0</v>
      </c>
      <c r="S1204" s="234">
        <v>0</v>
      </c>
      <c r="T1204" s="234">
        <f t="shared" si="88"/>
        <v>15139642.390000001</v>
      </c>
      <c r="U1204" s="234">
        <f t="shared" si="82"/>
        <v>1390.8848395483653</v>
      </c>
      <c r="V1204" s="78">
        <v>1491.3770085163851</v>
      </c>
    </row>
    <row r="1205" spans="1:22" s="79" customFormat="1" ht="36" customHeight="1" x14ac:dyDescent="0.5">
      <c r="A1205" s="79">
        <v>1</v>
      </c>
      <c r="B1205" s="85">
        <f>SUBTOTAL(103,$A$1026:A1205)</f>
        <v>177</v>
      </c>
      <c r="C1205" s="83" t="s">
        <v>3256</v>
      </c>
      <c r="D1205" s="233">
        <v>1990</v>
      </c>
      <c r="E1205" s="233"/>
      <c r="F1205" s="233" t="s">
        <v>304</v>
      </c>
      <c r="G1205" s="233">
        <v>9</v>
      </c>
      <c r="H1205" s="233" t="s">
        <v>299</v>
      </c>
      <c r="I1205" s="234">
        <v>8303.14</v>
      </c>
      <c r="J1205" s="234">
        <v>5856.2</v>
      </c>
      <c r="K1205" s="234">
        <v>5730.4</v>
      </c>
      <c r="L1205" s="235">
        <v>188</v>
      </c>
      <c r="M1205" s="233" t="s">
        <v>254</v>
      </c>
      <c r="N1205" s="233" t="s">
        <v>258</v>
      </c>
      <c r="O1205" s="236" t="s">
        <v>749</v>
      </c>
      <c r="P1205" s="84">
        <v>5850149.0899999999</v>
      </c>
      <c r="Q1205" s="234">
        <v>0</v>
      </c>
      <c r="R1205" s="234">
        <v>0</v>
      </c>
      <c r="S1205" s="234">
        <v>0</v>
      </c>
      <c r="T1205" s="234">
        <f t="shared" si="88"/>
        <v>5850149.0899999999</v>
      </c>
      <c r="U1205" s="234">
        <f t="shared" si="82"/>
        <v>704.57069132882259</v>
      </c>
      <c r="V1205" s="78">
        <v>782.04099172120425</v>
      </c>
    </row>
    <row r="1206" spans="1:22" s="79" customFormat="1" ht="36" customHeight="1" x14ac:dyDescent="0.5">
      <c r="A1206" s="79">
        <v>1</v>
      </c>
      <c r="B1206" s="85">
        <f>SUBTOTAL(103,$A$1026:A1206)</f>
        <v>178</v>
      </c>
      <c r="C1206" s="83" t="s">
        <v>3257</v>
      </c>
      <c r="D1206" s="233">
        <v>1988</v>
      </c>
      <c r="E1206" s="233">
        <v>2016</v>
      </c>
      <c r="F1206" s="233" t="s">
        <v>304</v>
      </c>
      <c r="G1206" s="233">
        <v>9</v>
      </c>
      <c r="H1206" s="233" t="s">
        <v>337</v>
      </c>
      <c r="I1206" s="234">
        <v>10890.4</v>
      </c>
      <c r="J1206" s="234">
        <v>9705.9</v>
      </c>
      <c r="K1206" s="234">
        <v>9476.6</v>
      </c>
      <c r="L1206" s="235">
        <v>424</v>
      </c>
      <c r="M1206" s="233" t="s">
        <v>254</v>
      </c>
      <c r="N1206" s="233" t="s">
        <v>258</v>
      </c>
      <c r="O1206" s="236" t="s">
        <v>1265</v>
      </c>
      <c r="P1206" s="84">
        <v>14483552.310000001</v>
      </c>
      <c r="Q1206" s="234">
        <v>0</v>
      </c>
      <c r="R1206" s="234">
        <v>0</v>
      </c>
      <c r="S1206" s="234">
        <v>0</v>
      </c>
      <c r="T1206" s="234">
        <f t="shared" si="88"/>
        <v>14483552.310000001</v>
      </c>
      <c r="U1206" s="234">
        <f t="shared" ref="U1206:U1268" si="89">P1206/I1206</f>
        <v>1329.9375881510323</v>
      </c>
      <c r="V1206" s="78">
        <v>1490.6238154705061</v>
      </c>
    </row>
    <row r="1207" spans="1:22" s="79" customFormat="1" ht="36" customHeight="1" x14ac:dyDescent="0.5">
      <c r="A1207" s="79">
        <v>1</v>
      </c>
      <c r="B1207" s="85">
        <f>SUBTOTAL(103,$A$1026:A1207)</f>
        <v>179</v>
      </c>
      <c r="C1207" s="83" t="s">
        <v>2400</v>
      </c>
      <c r="D1207" s="233">
        <v>1991</v>
      </c>
      <c r="E1207" s="233">
        <v>2020</v>
      </c>
      <c r="F1207" s="233" t="s">
        <v>304</v>
      </c>
      <c r="G1207" s="233">
        <v>9</v>
      </c>
      <c r="H1207" s="233" t="s">
        <v>337</v>
      </c>
      <c r="I1207" s="234">
        <v>10983.4</v>
      </c>
      <c r="J1207" s="234">
        <v>9742.5</v>
      </c>
      <c r="K1207" s="234">
        <v>9422.5</v>
      </c>
      <c r="L1207" s="235">
        <v>422</v>
      </c>
      <c r="M1207" s="233" t="s">
        <v>254</v>
      </c>
      <c r="N1207" s="233" t="s">
        <v>258</v>
      </c>
      <c r="O1207" s="236" t="s">
        <v>2284</v>
      </c>
      <c r="P1207" s="84">
        <v>14479148.699999999</v>
      </c>
      <c r="Q1207" s="234">
        <v>0</v>
      </c>
      <c r="R1207" s="234">
        <v>0</v>
      </c>
      <c r="S1207" s="234">
        <v>0</v>
      </c>
      <c r="T1207" s="234">
        <f t="shared" si="88"/>
        <v>14479148.699999999</v>
      </c>
      <c r="U1207" s="234">
        <f t="shared" si="89"/>
        <v>1318.2756432434401</v>
      </c>
      <c r="V1207" s="78">
        <v>1478.0022215343154</v>
      </c>
    </row>
    <row r="1208" spans="1:22" s="79" customFormat="1" ht="36" customHeight="1" x14ac:dyDescent="0.5">
      <c r="A1208" s="79">
        <v>1</v>
      </c>
      <c r="B1208" s="85">
        <f>SUBTOTAL(103,$A$1026:A1208)</f>
        <v>180</v>
      </c>
      <c r="C1208" s="83" t="s">
        <v>3258</v>
      </c>
      <c r="D1208" s="233">
        <v>1994</v>
      </c>
      <c r="E1208" s="233">
        <v>2017</v>
      </c>
      <c r="F1208" s="233" t="s">
        <v>304</v>
      </c>
      <c r="G1208" s="233">
        <v>9</v>
      </c>
      <c r="H1208" s="233" t="s">
        <v>343</v>
      </c>
      <c r="I1208" s="234">
        <v>18241.8</v>
      </c>
      <c r="J1208" s="234">
        <v>17655.3</v>
      </c>
      <c r="K1208" s="234">
        <v>17655.3</v>
      </c>
      <c r="L1208" s="235">
        <v>592</v>
      </c>
      <c r="M1208" s="233" t="s">
        <v>254</v>
      </c>
      <c r="N1208" s="233" t="s">
        <v>258</v>
      </c>
      <c r="O1208" s="236" t="s">
        <v>3275</v>
      </c>
      <c r="P1208" s="84">
        <v>22978585.390000004</v>
      </c>
      <c r="Q1208" s="234">
        <v>0</v>
      </c>
      <c r="R1208" s="234">
        <v>0</v>
      </c>
      <c r="S1208" s="234">
        <v>0</v>
      </c>
      <c r="T1208" s="234">
        <f t="shared" si="88"/>
        <v>22978585.390000004</v>
      </c>
      <c r="U1208" s="234">
        <f t="shared" si="89"/>
        <v>1259.6665564801722</v>
      </c>
      <c r="V1208" s="78">
        <v>1423.8498042956287</v>
      </c>
    </row>
    <row r="1209" spans="1:22" s="79" customFormat="1" ht="36" customHeight="1" x14ac:dyDescent="0.5">
      <c r="A1209" s="79">
        <v>1</v>
      </c>
      <c r="B1209" s="85">
        <f>SUBTOTAL(103,$A$1026:A1209)</f>
        <v>181</v>
      </c>
      <c r="C1209" s="83" t="s">
        <v>3259</v>
      </c>
      <c r="D1209" s="233">
        <v>1989</v>
      </c>
      <c r="E1209" s="233">
        <v>2017</v>
      </c>
      <c r="F1209" s="233" t="s">
        <v>304</v>
      </c>
      <c r="G1209" s="233">
        <v>9</v>
      </c>
      <c r="H1209" s="233" t="s">
        <v>299</v>
      </c>
      <c r="I1209" s="234">
        <v>6732.4</v>
      </c>
      <c r="J1209" s="234">
        <v>5736.5</v>
      </c>
      <c r="K1209" s="234">
        <v>5648.6</v>
      </c>
      <c r="L1209" s="235">
        <v>242</v>
      </c>
      <c r="M1209" s="233" t="s">
        <v>254</v>
      </c>
      <c r="N1209" s="233" t="s">
        <v>327</v>
      </c>
      <c r="O1209" s="236" t="s">
        <v>3276</v>
      </c>
      <c r="P1209" s="84">
        <v>7386646.6600000011</v>
      </c>
      <c r="Q1209" s="234">
        <v>0</v>
      </c>
      <c r="R1209" s="234">
        <v>0</v>
      </c>
      <c r="S1209" s="234">
        <v>0</v>
      </c>
      <c r="T1209" s="234">
        <f t="shared" si="88"/>
        <v>7386646.6600000011</v>
      </c>
      <c r="U1209" s="234">
        <f t="shared" si="89"/>
        <v>1097.1788158754682</v>
      </c>
      <c r="V1209" s="78">
        <v>1446.7491176994831</v>
      </c>
    </row>
    <row r="1210" spans="1:22" s="79" customFormat="1" ht="36" customHeight="1" x14ac:dyDescent="0.5">
      <c r="A1210" s="79">
        <v>1</v>
      </c>
      <c r="B1210" s="85">
        <f>SUBTOTAL(103,$A$1026:A1210)</f>
        <v>182</v>
      </c>
      <c r="C1210" s="83" t="s">
        <v>3260</v>
      </c>
      <c r="D1210" s="233">
        <v>1989</v>
      </c>
      <c r="E1210" s="233">
        <v>2019</v>
      </c>
      <c r="F1210" s="233" t="s">
        <v>304</v>
      </c>
      <c r="G1210" s="233">
        <v>9</v>
      </c>
      <c r="H1210" s="233" t="s">
        <v>299</v>
      </c>
      <c r="I1210" s="234">
        <v>8504.14</v>
      </c>
      <c r="J1210" s="234">
        <v>5912.4</v>
      </c>
      <c r="K1210" s="234">
        <v>5783</v>
      </c>
      <c r="L1210" s="235">
        <v>211</v>
      </c>
      <c r="M1210" s="233" t="s">
        <v>254</v>
      </c>
      <c r="N1210" s="233" t="s">
        <v>258</v>
      </c>
      <c r="O1210" s="236" t="s">
        <v>749</v>
      </c>
      <c r="P1210" s="84">
        <v>5846429.3399999999</v>
      </c>
      <c r="Q1210" s="234">
        <v>0</v>
      </c>
      <c r="R1210" s="234">
        <v>0</v>
      </c>
      <c r="S1210" s="234">
        <v>0</v>
      </c>
      <c r="T1210" s="234">
        <f t="shared" si="88"/>
        <v>5846429.3399999999</v>
      </c>
      <c r="U1210" s="234">
        <f t="shared" si="89"/>
        <v>687.48037308887206</v>
      </c>
      <c r="V1210" s="78">
        <v>763.55702516656595</v>
      </c>
    </row>
    <row r="1211" spans="1:22" s="79" customFormat="1" ht="36" customHeight="1" x14ac:dyDescent="0.5">
      <c r="A1211" s="79">
        <v>1</v>
      </c>
      <c r="B1211" s="85">
        <f>SUBTOTAL(103,$A$1026:A1211)</f>
        <v>183</v>
      </c>
      <c r="C1211" s="83" t="s">
        <v>3269</v>
      </c>
      <c r="D1211" s="233">
        <v>1928</v>
      </c>
      <c r="E1211" s="233"/>
      <c r="F1211" s="233" t="s">
        <v>316</v>
      </c>
      <c r="G1211" s="233">
        <v>2</v>
      </c>
      <c r="H1211" s="233" t="s">
        <v>290</v>
      </c>
      <c r="I1211" s="234">
        <v>401.7</v>
      </c>
      <c r="J1211" s="234">
        <v>350.3</v>
      </c>
      <c r="K1211" s="234">
        <v>298.90000000000003</v>
      </c>
      <c r="L1211" s="235">
        <v>16</v>
      </c>
      <c r="M1211" s="233" t="s">
        <v>254</v>
      </c>
      <c r="N1211" s="233" t="s">
        <v>255</v>
      </c>
      <c r="O1211" s="236" t="s">
        <v>257</v>
      </c>
      <c r="P1211" s="254">
        <v>54621.43</v>
      </c>
      <c r="Q1211" s="234">
        <v>0</v>
      </c>
      <c r="R1211" s="234">
        <v>0</v>
      </c>
      <c r="S1211" s="234">
        <v>0</v>
      </c>
      <c r="T1211" s="234">
        <f t="shared" si="88"/>
        <v>54621.43</v>
      </c>
      <c r="U1211" s="234">
        <f t="shared" si="89"/>
        <v>135.97567836694051</v>
      </c>
      <c r="V1211" s="78">
        <v>168.44839432412249</v>
      </c>
    </row>
    <row r="1212" spans="1:22" s="79" customFormat="1" ht="36" customHeight="1" x14ac:dyDescent="0.5">
      <c r="B1212" s="83" t="s">
        <v>708</v>
      </c>
      <c r="C1212" s="253"/>
      <c r="D1212" s="233" t="s">
        <v>835</v>
      </c>
      <c r="E1212" s="233" t="s">
        <v>835</v>
      </c>
      <c r="F1212" s="233" t="s">
        <v>835</v>
      </c>
      <c r="G1212" s="233" t="s">
        <v>835</v>
      </c>
      <c r="H1212" s="233" t="s">
        <v>835</v>
      </c>
      <c r="I1212" s="234">
        <f>SUM(I1213:I1223)</f>
        <v>86541.39999999998</v>
      </c>
      <c r="J1212" s="234">
        <f>SUM(J1213:J1223)</f>
        <v>76461.499999999985</v>
      </c>
      <c r="K1212" s="234">
        <f>SUM(K1213:K1223)</f>
        <v>74635</v>
      </c>
      <c r="L1212" s="235">
        <f>SUM(L1213:L1223)</f>
        <v>3458</v>
      </c>
      <c r="M1212" s="233" t="s">
        <v>835</v>
      </c>
      <c r="N1212" s="233" t="s">
        <v>835</v>
      </c>
      <c r="O1212" s="236" t="s">
        <v>835</v>
      </c>
      <c r="P1212" s="138">
        <v>156774054.77999997</v>
      </c>
      <c r="Q1212" s="234">
        <f>SUM(Q1213:Q1223)</f>
        <v>0</v>
      </c>
      <c r="R1212" s="234">
        <f>SUM(R1213:R1223)</f>
        <v>0</v>
      </c>
      <c r="S1212" s="234">
        <f>SUM(S1213:S1223)</f>
        <v>0</v>
      </c>
      <c r="T1212" s="234">
        <f>SUM(T1213:T1223)</f>
        <v>156774054.77999997</v>
      </c>
      <c r="U1212" s="234">
        <f t="shared" si="89"/>
        <v>1811.549787500549</v>
      </c>
      <c r="V1212" s="78">
        <f>MAX(V1213:V1223)</f>
        <v>7037.1126419335496</v>
      </c>
    </row>
    <row r="1213" spans="1:22" s="79" customFormat="1" ht="36" customHeight="1" x14ac:dyDescent="0.5">
      <c r="A1213" s="79">
        <v>1</v>
      </c>
      <c r="B1213" s="85">
        <f>SUBTOTAL(103,$A$1026:A1213)</f>
        <v>184</v>
      </c>
      <c r="C1213" s="83" t="s">
        <v>365</v>
      </c>
      <c r="D1213" s="233">
        <v>1999</v>
      </c>
      <c r="E1213" s="233">
        <v>2016</v>
      </c>
      <c r="F1213" s="233" t="s">
        <v>298</v>
      </c>
      <c r="G1213" s="233">
        <v>9</v>
      </c>
      <c r="H1213" s="233" t="s">
        <v>295</v>
      </c>
      <c r="I1213" s="234">
        <v>9730.2999999999993</v>
      </c>
      <c r="J1213" s="234">
        <v>8665.1</v>
      </c>
      <c r="K1213" s="234">
        <v>8342.7000000000007</v>
      </c>
      <c r="L1213" s="235">
        <v>382</v>
      </c>
      <c r="M1213" s="233" t="s">
        <v>254</v>
      </c>
      <c r="N1213" s="233" t="s">
        <v>258</v>
      </c>
      <c r="O1213" s="236" t="s">
        <v>305</v>
      </c>
      <c r="P1213" s="84">
        <v>12487846.700000001</v>
      </c>
      <c r="Q1213" s="234">
        <v>0</v>
      </c>
      <c r="R1213" s="234">
        <v>0</v>
      </c>
      <c r="S1213" s="234">
        <v>0</v>
      </c>
      <c r="T1213" s="234">
        <f t="shared" ref="T1213:T1223" si="90">P1213-Q1213-R1213-S1213</f>
        <v>12487846.700000001</v>
      </c>
      <c r="U1213" s="234">
        <f t="shared" si="89"/>
        <v>1283.3979116779547</v>
      </c>
      <c r="V1213" s="78">
        <v>1334.6753625273629</v>
      </c>
    </row>
    <row r="1214" spans="1:22" s="79" customFormat="1" ht="36" customHeight="1" x14ac:dyDescent="0.5">
      <c r="A1214" s="79">
        <v>1</v>
      </c>
      <c r="B1214" s="85">
        <f>SUBTOTAL(103,$A$1026:A1214)</f>
        <v>185</v>
      </c>
      <c r="C1214" s="83" t="s">
        <v>364</v>
      </c>
      <c r="D1214" s="233">
        <v>1973</v>
      </c>
      <c r="E1214" s="233">
        <v>2017</v>
      </c>
      <c r="F1214" s="233" t="s">
        <v>304</v>
      </c>
      <c r="G1214" s="233">
        <v>5</v>
      </c>
      <c r="H1214" s="233" t="s">
        <v>337</v>
      </c>
      <c r="I1214" s="234">
        <v>3822.6</v>
      </c>
      <c r="J1214" s="234">
        <v>3360.4</v>
      </c>
      <c r="K1214" s="234">
        <v>3360.4</v>
      </c>
      <c r="L1214" s="235">
        <v>155</v>
      </c>
      <c r="M1214" s="233" t="s">
        <v>254</v>
      </c>
      <c r="N1214" s="233" t="s">
        <v>258</v>
      </c>
      <c r="O1214" s="236" t="s">
        <v>306</v>
      </c>
      <c r="P1214" s="84">
        <v>6393602.3000000007</v>
      </c>
      <c r="Q1214" s="234">
        <v>0</v>
      </c>
      <c r="R1214" s="234">
        <v>0</v>
      </c>
      <c r="S1214" s="234">
        <v>0</v>
      </c>
      <c r="T1214" s="234">
        <f t="shared" si="90"/>
        <v>6393602.3000000007</v>
      </c>
      <c r="U1214" s="234">
        <f t="shared" si="89"/>
        <v>1672.5794747030818</v>
      </c>
      <c r="V1214" s="78">
        <v>6392.6566159158692</v>
      </c>
    </row>
    <row r="1215" spans="1:22" s="79" customFormat="1" ht="36" customHeight="1" x14ac:dyDescent="0.5">
      <c r="A1215" s="79">
        <v>1</v>
      </c>
      <c r="B1215" s="85">
        <f>SUBTOTAL(103,$A$1026:A1215)</f>
        <v>186</v>
      </c>
      <c r="C1215" s="83" t="s">
        <v>2169</v>
      </c>
      <c r="D1215" s="233">
        <v>2004</v>
      </c>
      <c r="E1215" s="233"/>
      <c r="F1215" s="233" t="s">
        <v>304</v>
      </c>
      <c r="G1215" s="233" t="s">
        <v>337</v>
      </c>
      <c r="H1215" s="233" t="s">
        <v>337</v>
      </c>
      <c r="I1215" s="234">
        <v>6988.9</v>
      </c>
      <c r="J1215" s="234">
        <v>6308.3</v>
      </c>
      <c r="K1215" s="234">
        <v>6308.3</v>
      </c>
      <c r="L1215" s="235">
        <v>305</v>
      </c>
      <c r="M1215" s="233" t="s">
        <v>254</v>
      </c>
      <c r="N1215" s="233" t="s">
        <v>258</v>
      </c>
      <c r="O1215" s="236" t="s">
        <v>305</v>
      </c>
      <c r="P1215" s="84">
        <v>17444819.759999998</v>
      </c>
      <c r="Q1215" s="234">
        <v>0</v>
      </c>
      <c r="R1215" s="234">
        <v>0</v>
      </c>
      <c r="S1215" s="234">
        <v>0</v>
      </c>
      <c r="T1215" s="234">
        <f t="shared" si="90"/>
        <v>17444819.759999998</v>
      </c>
      <c r="U1215" s="234">
        <f t="shared" si="89"/>
        <v>2496.0751706277097</v>
      </c>
      <c r="V1215" s="78">
        <v>3417.3801313511426</v>
      </c>
    </row>
    <row r="1216" spans="1:22" s="79" customFormat="1" ht="36" customHeight="1" x14ac:dyDescent="0.5">
      <c r="A1216" s="79">
        <v>1</v>
      </c>
      <c r="B1216" s="85">
        <f>SUBTOTAL(103,$A$1026:A1216)</f>
        <v>187</v>
      </c>
      <c r="C1216" s="83" t="s">
        <v>362</v>
      </c>
      <c r="D1216" s="233">
        <v>1995</v>
      </c>
      <c r="E1216" s="233">
        <v>2015</v>
      </c>
      <c r="F1216" s="233" t="s">
        <v>298</v>
      </c>
      <c r="G1216" s="233">
        <v>9</v>
      </c>
      <c r="H1216" s="233" t="s">
        <v>337</v>
      </c>
      <c r="I1216" s="234">
        <v>12180.7</v>
      </c>
      <c r="J1216" s="234">
        <v>10849.3</v>
      </c>
      <c r="K1216" s="234">
        <v>10849.3</v>
      </c>
      <c r="L1216" s="235">
        <v>500</v>
      </c>
      <c r="M1216" s="233" t="s">
        <v>254</v>
      </c>
      <c r="N1216" s="233" t="s">
        <v>258</v>
      </c>
      <c r="O1216" s="236" t="s">
        <v>305</v>
      </c>
      <c r="P1216" s="84">
        <v>37296067.979999997</v>
      </c>
      <c r="Q1216" s="234">
        <v>0</v>
      </c>
      <c r="R1216" s="234">
        <v>0</v>
      </c>
      <c r="S1216" s="234">
        <v>0</v>
      </c>
      <c r="T1216" s="234">
        <f t="shared" si="90"/>
        <v>37296067.979999997</v>
      </c>
      <c r="U1216" s="234">
        <f t="shared" si="89"/>
        <v>3061.8985756155225</v>
      </c>
      <c r="V1216" s="78">
        <v>7037.1126419335496</v>
      </c>
    </row>
    <row r="1217" spans="1:22" s="79" customFormat="1" ht="36" customHeight="1" x14ac:dyDescent="0.5">
      <c r="A1217" s="79">
        <v>1</v>
      </c>
      <c r="B1217" s="85">
        <f>SUBTOTAL(103,$A$1026:A1217)</f>
        <v>188</v>
      </c>
      <c r="C1217" s="83" t="s">
        <v>3263</v>
      </c>
      <c r="D1217" s="233">
        <v>1998</v>
      </c>
      <c r="E1217" s="233">
        <v>2016</v>
      </c>
      <c r="F1217" s="233" t="s">
        <v>3270</v>
      </c>
      <c r="G1217" s="233">
        <v>12</v>
      </c>
      <c r="H1217" s="233" t="s">
        <v>291</v>
      </c>
      <c r="I1217" s="234">
        <v>4658.1000000000004</v>
      </c>
      <c r="J1217" s="234">
        <v>3558.5</v>
      </c>
      <c r="K1217" s="234">
        <v>3297</v>
      </c>
      <c r="L1217" s="235">
        <v>150</v>
      </c>
      <c r="M1217" s="233" t="s">
        <v>254</v>
      </c>
      <c r="N1217" s="233" t="s">
        <v>258</v>
      </c>
      <c r="O1217" s="236" t="s">
        <v>305</v>
      </c>
      <c r="P1217" s="84">
        <v>7084977.7300000004</v>
      </c>
      <c r="Q1217" s="234">
        <v>0</v>
      </c>
      <c r="R1217" s="234">
        <v>0</v>
      </c>
      <c r="S1217" s="234">
        <v>0</v>
      </c>
      <c r="T1217" s="234">
        <f t="shared" si="90"/>
        <v>7084977.7300000004</v>
      </c>
      <c r="U1217" s="234">
        <f t="shared" si="89"/>
        <v>1521.0016380069126</v>
      </c>
      <c r="V1217" s="78">
        <v>1626.4206092612867</v>
      </c>
    </row>
    <row r="1218" spans="1:22" s="79" customFormat="1" ht="36" customHeight="1" x14ac:dyDescent="0.5">
      <c r="A1218" s="79">
        <v>1</v>
      </c>
      <c r="B1218" s="85">
        <f>SUBTOTAL(103,$A$1026:A1218)</f>
        <v>189</v>
      </c>
      <c r="C1218" s="83" t="s">
        <v>3146</v>
      </c>
      <c r="D1218" s="233">
        <v>1993</v>
      </c>
      <c r="E1218" s="233">
        <v>2016</v>
      </c>
      <c r="F1218" s="233" t="s">
        <v>304</v>
      </c>
      <c r="G1218" s="233">
        <v>9</v>
      </c>
      <c r="H1218" s="233" t="s">
        <v>299</v>
      </c>
      <c r="I1218" s="234">
        <v>7257</v>
      </c>
      <c r="J1218" s="234">
        <v>6464</v>
      </c>
      <c r="K1218" s="234">
        <v>6343.4</v>
      </c>
      <c r="L1218" s="235">
        <v>282</v>
      </c>
      <c r="M1218" s="233" t="s">
        <v>254</v>
      </c>
      <c r="N1218" s="233" t="s">
        <v>258</v>
      </c>
      <c r="O1218" s="236" t="s">
        <v>305</v>
      </c>
      <c r="P1218" s="84">
        <v>9118700.5499999989</v>
      </c>
      <c r="Q1218" s="234">
        <v>0</v>
      </c>
      <c r="R1218" s="234">
        <v>0</v>
      </c>
      <c r="S1218" s="234">
        <v>0</v>
      </c>
      <c r="T1218" s="234">
        <f t="shared" si="90"/>
        <v>9118700.5499999989</v>
      </c>
      <c r="U1218" s="234">
        <f t="shared" si="89"/>
        <v>1256.538590326581</v>
      </c>
      <c r="V1218" s="78">
        <v>1342.165324514262</v>
      </c>
    </row>
    <row r="1219" spans="1:22" s="79" customFormat="1" ht="36" customHeight="1" x14ac:dyDescent="0.5">
      <c r="A1219" s="79">
        <v>1</v>
      </c>
      <c r="B1219" s="85">
        <f>SUBTOTAL(103,$A$1026:A1219)</f>
        <v>190</v>
      </c>
      <c r="C1219" s="83" t="s">
        <v>2507</v>
      </c>
      <c r="D1219" s="233">
        <v>1995</v>
      </c>
      <c r="E1219" s="233">
        <v>2021</v>
      </c>
      <c r="F1219" s="233" t="s">
        <v>304</v>
      </c>
      <c r="G1219" s="233">
        <v>9</v>
      </c>
      <c r="H1219" s="233" t="s">
        <v>299</v>
      </c>
      <c r="I1219" s="234">
        <v>7342.6</v>
      </c>
      <c r="J1219" s="234">
        <v>6528.8</v>
      </c>
      <c r="K1219" s="234">
        <v>6528.8</v>
      </c>
      <c r="L1219" s="235">
        <v>259</v>
      </c>
      <c r="M1219" s="233" t="s">
        <v>254</v>
      </c>
      <c r="N1219" s="233" t="s">
        <v>258</v>
      </c>
      <c r="O1219" s="236" t="s">
        <v>305</v>
      </c>
      <c r="P1219" s="84">
        <v>6123136.5699999994</v>
      </c>
      <c r="Q1219" s="234">
        <v>0</v>
      </c>
      <c r="R1219" s="234">
        <v>0</v>
      </c>
      <c r="S1219" s="234">
        <v>0</v>
      </c>
      <c r="T1219" s="234">
        <f t="shared" si="90"/>
        <v>6123136.5699999994</v>
      </c>
      <c r="U1219" s="234">
        <f t="shared" si="89"/>
        <v>833.91939776101094</v>
      </c>
      <c r="V1219" s="78">
        <v>884.3455778607032</v>
      </c>
    </row>
    <row r="1220" spans="1:22" s="79" customFormat="1" ht="36" customHeight="1" x14ac:dyDescent="0.5">
      <c r="A1220" s="79">
        <v>1</v>
      </c>
      <c r="B1220" s="85">
        <f>SUBTOTAL(103,$A$1026:A1220)</f>
        <v>191</v>
      </c>
      <c r="C1220" s="83" t="s">
        <v>3147</v>
      </c>
      <c r="D1220" s="233">
        <v>1985</v>
      </c>
      <c r="E1220" s="233">
        <v>2015</v>
      </c>
      <c r="F1220" s="233" t="s">
        <v>304</v>
      </c>
      <c r="G1220" s="233">
        <v>9</v>
      </c>
      <c r="H1220" s="233" t="s">
        <v>299</v>
      </c>
      <c r="I1220" s="234">
        <v>6480.5</v>
      </c>
      <c r="J1220" s="234">
        <v>5809.7</v>
      </c>
      <c r="K1220" s="234">
        <v>5694.4</v>
      </c>
      <c r="L1220" s="235">
        <v>279</v>
      </c>
      <c r="M1220" s="233" t="s">
        <v>254</v>
      </c>
      <c r="N1220" s="233" t="s">
        <v>258</v>
      </c>
      <c r="O1220" s="236" t="s">
        <v>305</v>
      </c>
      <c r="P1220" s="84">
        <v>9144576.9600000009</v>
      </c>
      <c r="Q1220" s="234">
        <v>0</v>
      </c>
      <c r="R1220" s="234">
        <v>0</v>
      </c>
      <c r="S1220" s="234">
        <v>0</v>
      </c>
      <c r="T1220" s="234">
        <f t="shared" si="90"/>
        <v>9144576.9600000009</v>
      </c>
      <c r="U1220" s="234">
        <f t="shared" si="89"/>
        <v>1411.0912676491014</v>
      </c>
      <c r="V1220" s="78">
        <v>1502.9849178304144</v>
      </c>
    </row>
    <row r="1221" spans="1:22" s="79" customFormat="1" ht="36" customHeight="1" x14ac:dyDescent="0.5">
      <c r="A1221" s="79">
        <v>1</v>
      </c>
      <c r="B1221" s="85">
        <f>SUBTOTAL(103,$A$1026:A1221)</f>
        <v>192</v>
      </c>
      <c r="C1221" s="83" t="s">
        <v>3145</v>
      </c>
      <c r="D1221" s="233">
        <v>1982</v>
      </c>
      <c r="E1221" s="233">
        <v>2016</v>
      </c>
      <c r="F1221" s="233" t="s">
        <v>304</v>
      </c>
      <c r="G1221" s="233">
        <v>12</v>
      </c>
      <c r="H1221" s="233" t="s">
        <v>299</v>
      </c>
      <c r="I1221" s="234">
        <v>9199.4</v>
      </c>
      <c r="J1221" s="234">
        <v>8154.6</v>
      </c>
      <c r="K1221" s="234">
        <v>7846.2000000000007</v>
      </c>
      <c r="L1221" s="235">
        <v>382</v>
      </c>
      <c r="M1221" s="233" t="s">
        <v>254</v>
      </c>
      <c r="N1221" s="233" t="s">
        <v>258</v>
      </c>
      <c r="O1221" s="236" t="s">
        <v>306</v>
      </c>
      <c r="P1221" s="84">
        <v>19780622.879999999</v>
      </c>
      <c r="Q1221" s="234">
        <v>0</v>
      </c>
      <c r="R1221" s="234">
        <v>0</v>
      </c>
      <c r="S1221" s="234">
        <v>0</v>
      </c>
      <c r="T1221" s="234">
        <f t="shared" si="90"/>
        <v>19780622.879999999</v>
      </c>
      <c r="U1221" s="234">
        <f t="shared" si="89"/>
        <v>2150.2079353001282</v>
      </c>
      <c r="V1221" s="78">
        <v>2470.6056394982284</v>
      </c>
    </row>
    <row r="1222" spans="1:22" s="79" customFormat="1" ht="36" customHeight="1" x14ac:dyDescent="0.5">
      <c r="A1222" s="79">
        <v>1</v>
      </c>
      <c r="B1222" s="85">
        <f>SUBTOTAL(103,$A$1026:A1222)</f>
        <v>193</v>
      </c>
      <c r="C1222" s="83" t="s">
        <v>2877</v>
      </c>
      <c r="D1222" s="233">
        <v>1984</v>
      </c>
      <c r="E1222" s="233">
        <v>2016</v>
      </c>
      <c r="F1222" s="233" t="s">
        <v>304</v>
      </c>
      <c r="G1222" s="233">
        <v>12</v>
      </c>
      <c r="H1222" s="233" t="s">
        <v>299</v>
      </c>
      <c r="I1222" s="234">
        <v>9171.9</v>
      </c>
      <c r="J1222" s="234">
        <v>8119.4</v>
      </c>
      <c r="K1222" s="234">
        <v>7902.2999999999993</v>
      </c>
      <c r="L1222" s="235">
        <v>391</v>
      </c>
      <c r="M1222" s="233" t="s">
        <v>254</v>
      </c>
      <c r="N1222" s="233" t="s">
        <v>258</v>
      </c>
      <c r="O1222" s="236" t="s">
        <v>305</v>
      </c>
      <c r="P1222" s="84">
        <v>19786703.68</v>
      </c>
      <c r="Q1222" s="234">
        <v>0</v>
      </c>
      <c r="R1222" s="234">
        <v>0</v>
      </c>
      <c r="S1222" s="234">
        <v>0</v>
      </c>
      <c r="T1222" s="234">
        <f t="shared" si="90"/>
        <v>19786703.68</v>
      </c>
      <c r="U1222" s="234">
        <f t="shared" si="89"/>
        <v>2157.31785998539</v>
      </c>
      <c r="V1222" s="78">
        <v>2478.0132273574723</v>
      </c>
    </row>
    <row r="1223" spans="1:22" s="79" customFormat="1" ht="36" customHeight="1" x14ac:dyDescent="0.5">
      <c r="A1223" s="79">
        <v>1</v>
      </c>
      <c r="B1223" s="85">
        <f>SUBTOTAL(103,$A$1026:A1223)</f>
        <v>194</v>
      </c>
      <c r="C1223" s="83" t="s">
        <v>2089</v>
      </c>
      <c r="D1223" s="233">
        <v>1997</v>
      </c>
      <c r="E1223" s="233">
        <v>2020</v>
      </c>
      <c r="F1223" s="233" t="s">
        <v>304</v>
      </c>
      <c r="G1223" s="233">
        <v>9</v>
      </c>
      <c r="H1223" s="233" t="s">
        <v>295</v>
      </c>
      <c r="I1223" s="234">
        <v>9709.4</v>
      </c>
      <c r="J1223" s="234">
        <v>8643.4</v>
      </c>
      <c r="K1223" s="234">
        <v>8162.2</v>
      </c>
      <c r="L1223" s="235">
        <v>373</v>
      </c>
      <c r="M1223" s="233" t="s">
        <v>254</v>
      </c>
      <c r="N1223" s="233" t="s">
        <v>258</v>
      </c>
      <c r="O1223" s="236" t="s">
        <v>305</v>
      </c>
      <c r="P1223" s="84">
        <v>12112999.67</v>
      </c>
      <c r="Q1223" s="234">
        <v>0</v>
      </c>
      <c r="R1223" s="234">
        <v>0</v>
      </c>
      <c r="S1223" s="234">
        <v>0</v>
      </c>
      <c r="T1223" s="234">
        <f t="shared" si="90"/>
        <v>12112999.67</v>
      </c>
      <c r="U1223" s="234">
        <f t="shared" si="89"/>
        <v>1247.5538828351907</v>
      </c>
      <c r="V1223" s="78">
        <v>1337.5483222444229</v>
      </c>
    </row>
    <row r="1224" spans="1:22" s="79" customFormat="1" ht="36" customHeight="1" x14ac:dyDescent="0.5">
      <c r="B1224" s="83" t="s">
        <v>760</v>
      </c>
      <c r="C1224" s="253"/>
      <c r="D1224" s="233" t="s">
        <v>835</v>
      </c>
      <c r="E1224" s="233" t="s">
        <v>835</v>
      </c>
      <c r="F1224" s="233" t="s">
        <v>835</v>
      </c>
      <c r="G1224" s="233" t="s">
        <v>835</v>
      </c>
      <c r="H1224" s="233" t="s">
        <v>835</v>
      </c>
      <c r="I1224" s="234">
        <f>SUM(I1225:I1244)</f>
        <v>90165.8</v>
      </c>
      <c r="J1224" s="234">
        <f t="shared" ref="J1224:L1224" si="91">SUM(J1225:J1244)</f>
        <v>73343.839999999997</v>
      </c>
      <c r="K1224" s="234">
        <f t="shared" si="91"/>
        <v>67477.929999999993</v>
      </c>
      <c r="L1224" s="235">
        <f t="shared" si="91"/>
        <v>3091</v>
      </c>
      <c r="M1224" s="233" t="s">
        <v>835</v>
      </c>
      <c r="N1224" s="233" t="s">
        <v>835</v>
      </c>
      <c r="O1224" s="236" t="s">
        <v>835</v>
      </c>
      <c r="P1224" s="138">
        <v>91127881.199999988</v>
      </c>
      <c r="Q1224" s="234">
        <f t="shared" ref="Q1224" si="92">SUM(Q1225:Q1244)</f>
        <v>0</v>
      </c>
      <c r="R1224" s="234">
        <f t="shared" ref="R1224" si="93">SUM(R1225:R1244)</f>
        <v>0</v>
      </c>
      <c r="S1224" s="234">
        <f t="shared" ref="S1224" si="94">SUM(S1225:S1244)</f>
        <v>0</v>
      </c>
      <c r="T1224" s="234">
        <f t="shared" ref="T1224" si="95">SUM(T1225:T1244)</f>
        <v>91127881.199999988</v>
      </c>
      <c r="U1224" s="234">
        <f t="shared" si="89"/>
        <v>1010.6701343524927</v>
      </c>
      <c r="V1224" s="78">
        <f>MAX(V1225:V1244)</f>
        <v>10646.580809169054</v>
      </c>
    </row>
    <row r="1225" spans="1:22" s="79" customFormat="1" ht="36" customHeight="1" x14ac:dyDescent="0.5">
      <c r="A1225" s="79">
        <v>1</v>
      </c>
      <c r="B1225" s="85">
        <f>SUBTOTAL(103,$A$1026:A1225)</f>
        <v>195</v>
      </c>
      <c r="C1225" s="83" t="s">
        <v>568</v>
      </c>
      <c r="D1225" s="233">
        <v>1967</v>
      </c>
      <c r="E1225" s="233"/>
      <c r="F1225" s="233" t="s">
        <v>256</v>
      </c>
      <c r="G1225" s="233">
        <v>5</v>
      </c>
      <c r="H1225" s="233" t="s">
        <v>295</v>
      </c>
      <c r="I1225" s="234">
        <v>5264.54</v>
      </c>
      <c r="J1225" s="234">
        <v>3236.74</v>
      </c>
      <c r="K1225" s="234">
        <v>2547.17</v>
      </c>
      <c r="L1225" s="235">
        <v>119</v>
      </c>
      <c r="M1225" s="233" t="s">
        <v>254</v>
      </c>
      <c r="N1225" s="233" t="s">
        <v>258</v>
      </c>
      <c r="O1225" s="236" t="s">
        <v>656</v>
      </c>
      <c r="P1225" s="84">
        <v>9548279.1899999995</v>
      </c>
      <c r="Q1225" s="234">
        <v>0</v>
      </c>
      <c r="R1225" s="234">
        <v>0</v>
      </c>
      <c r="S1225" s="234">
        <v>0</v>
      </c>
      <c r="T1225" s="234">
        <f t="shared" ref="T1225:T1244" si="96">P1225-Q1225-R1225-S1225</f>
        <v>9548279.1899999995</v>
      </c>
      <c r="U1225" s="234">
        <f t="shared" si="89"/>
        <v>1813.6967693283743</v>
      </c>
      <c r="V1225" s="78">
        <v>2243.9633245829646</v>
      </c>
    </row>
    <row r="1226" spans="1:22" s="79" customFormat="1" ht="36" customHeight="1" x14ac:dyDescent="0.5">
      <c r="A1226" s="79">
        <v>1</v>
      </c>
      <c r="B1226" s="85">
        <f>SUBTOTAL(103,$A$1026:A1226)</f>
        <v>196</v>
      </c>
      <c r="C1226" s="83" t="s">
        <v>569</v>
      </c>
      <c r="D1226" s="233">
        <v>1969</v>
      </c>
      <c r="E1226" s="233"/>
      <c r="F1226" s="233" t="s">
        <v>256</v>
      </c>
      <c r="G1226" s="233">
        <v>5</v>
      </c>
      <c r="H1226" s="233" t="s">
        <v>2123</v>
      </c>
      <c r="I1226" s="234">
        <v>8212.5400000000009</v>
      </c>
      <c r="J1226" s="234">
        <v>5998.64</v>
      </c>
      <c r="K1226" s="234">
        <v>5998.64</v>
      </c>
      <c r="L1226" s="235">
        <v>252</v>
      </c>
      <c r="M1226" s="233" t="s">
        <v>254</v>
      </c>
      <c r="N1226" s="233" t="s">
        <v>258</v>
      </c>
      <c r="O1226" s="236" t="s">
        <v>656</v>
      </c>
      <c r="P1226" s="84">
        <v>11385976.74</v>
      </c>
      <c r="Q1226" s="234">
        <v>0</v>
      </c>
      <c r="R1226" s="234">
        <v>0</v>
      </c>
      <c r="S1226" s="234">
        <v>0</v>
      </c>
      <c r="T1226" s="234">
        <f t="shared" si="96"/>
        <v>11385976.74</v>
      </c>
      <c r="U1226" s="234">
        <f t="shared" si="89"/>
        <v>1386.4135504971664</v>
      </c>
      <c r="V1226" s="78">
        <v>2083.9913546844214</v>
      </c>
    </row>
    <row r="1227" spans="1:22" s="79" customFormat="1" ht="36" customHeight="1" x14ac:dyDescent="0.5">
      <c r="A1227" s="79">
        <v>1</v>
      </c>
      <c r="B1227" s="85">
        <f>SUBTOTAL(103,$A$1026:A1227)</f>
        <v>197</v>
      </c>
      <c r="C1227" s="83" t="s">
        <v>3479</v>
      </c>
      <c r="D1227" s="233">
        <v>1990</v>
      </c>
      <c r="E1227" s="233"/>
      <c r="F1227" s="233" t="s">
        <v>304</v>
      </c>
      <c r="G1227" s="233">
        <v>2</v>
      </c>
      <c r="H1227" s="233" t="s">
        <v>290</v>
      </c>
      <c r="I1227" s="234">
        <v>630.29999999999995</v>
      </c>
      <c r="J1227" s="234">
        <v>568.70000000000005</v>
      </c>
      <c r="K1227" s="234">
        <v>568.70000000000005</v>
      </c>
      <c r="L1227" s="235">
        <v>25</v>
      </c>
      <c r="M1227" s="233" t="s">
        <v>254</v>
      </c>
      <c r="N1227" s="233" t="s">
        <v>258</v>
      </c>
      <c r="O1227" s="236" t="s">
        <v>658</v>
      </c>
      <c r="P1227" s="84">
        <v>2637666.9299999997</v>
      </c>
      <c r="Q1227" s="234">
        <v>0</v>
      </c>
      <c r="R1227" s="234">
        <v>0</v>
      </c>
      <c r="S1227" s="234">
        <v>0</v>
      </c>
      <c r="T1227" s="234">
        <f t="shared" si="96"/>
        <v>2637666.9299999997</v>
      </c>
      <c r="U1227" s="234">
        <f t="shared" si="89"/>
        <v>4184.7801523084245</v>
      </c>
      <c r="V1227" s="78">
        <v>8255.4273076312875</v>
      </c>
    </row>
    <row r="1228" spans="1:22" s="79" customFormat="1" ht="36" customHeight="1" x14ac:dyDescent="0.5">
      <c r="A1228" s="79">
        <v>1</v>
      </c>
      <c r="B1228" s="85">
        <f>SUBTOTAL(103,$A$1026:A1228)</f>
        <v>198</v>
      </c>
      <c r="C1228" s="83" t="s">
        <v>573</v>
      </c>
      <c r="D1228" s="233">
        <v>1982</v>
      </c>
      <c r="E1228" s="233"/>
      <c r="F1228" s="233" t="s">
        <v>256</v>
      </c>
      <c r="G1228" s="233">
        <v>9</v>
      </c>
      <c r="H1228" s="233" t="s">
        <v>355</v>
      </c>
      <c r="I1228" s="234">
        <v>12113.01</v>
      </c>
      <c r="J1228" s="234">
        <v>10694</v>
      </c>
      <c r="K1228" s="234">
        <v>10692.21</v>
      </c>
      <c r="L1228" s="235">
        <v>559</v>
      </c>
      <c r="M1228" s="233" t="s">
        <v>254</v>
      </c>
      <c r="N1228" s="233" t="s">
        <v>258</v>
      </c>
      <c r="O1228" s="236" t="s">
        <v>658</v>
      </c>
      <c r="P1228" s="84">
        <v>9666164.410000002</v>
      </c>
      <c r="Q1228" s="234">
        <v>0</v>
      </c>
      <c r="R1228" s="234">
        <v>0</v>
      </c>
      <c r="S1228" s="234">
        <v>0</v>
      </c>
      <c r="T1228" s="234">
        <f t="shared" si="96"/>
        <v>9666164.410000002</v>
      </c>
      <c r="U1228" s="234">
        <f t="shared" si="89"/>
        <v>797.99854949347866</v>
      </c>
      <c r="V1228" s="78">
        <v>1267.292222164433</v>
      </c>
    </row>
    <row r="1229" spans="1:22" s="79" customFormat="1" ht="36" customHeight="1" x14ac:dyDescent="0.5">
      <c r="A1229" s="79">
        <v>1</v>
      </c>
      <c r="B1229" s="85">
        <f>SUBTOTAL(103,$A$1026:A1229)</f>
        <v>199</v>
      </c>
      <c r="C1229" s="83" t="s">
        <v>586</v>
      </c>
      <c r="D1229" s="233">
        <v>1975</v>
      </c>
      <c r="E1229" s="233"/>
      <c r="F1229" s="233" t="s">
        <v>256</v>
      </c>
      <c r="G1229" s="233">
        <v>5</v>
      </c>
      <c r="H1229" s="233" t="s">
        <v>291</v>
      </c>
      <c r="I1229" s="234">
        <v>2310.5</v>
      </c>
      <c r="J1229" s="234">
        <v>1287.55</v>
      </c>
      <c r="K1229" s="234">
        <v>830.8</v>
      </c>
      <c r="L1229" s="235">
        <v>86</v>
      </c>
      <c r="M1229" s="233" t="s">
        <v>254</v>
      </c>
      <c r="N1229" s="233" t="s">
        <v>258</v>
      </c>
      <c r="O1229" s="236" t="s">
        <v>655</v>
      </c>
      <c r="P1229" s="84">
        <v>70395.23</v>
      </c>
      <c r="Q1229" s="234">
        <v>0</v>
      </c>
      <c r="R1229" s="234">
        <v>0</v>
      </c>
      <c r="S1229" s="234">
        <v>0</v>
      </c>
      <c r="T1229" s="234">
        <f t="shared" si="96"/>
        <v>70395.23</v>
      </c>
      <c r="U1229" s="234">
        <f t="shared" si="89"/>
        <v>30.467530837481064</v>
      </c>
      <c r="V1229" s="78">
        <v>30.467530837481064</v>
      </c>
    </row>
    <row r="1230" spans="1:22" s="79" customFormat="1" ht="36" customHeight="1" x14ac:dyDescent="0.5">
      <c r="A1230" s="79">
        <v>1</v>
      </c>
      <c r="B1230" s="85">
        <f>SUBTOTAL(103,$A$1026:A1230)</f>
        <v>200</v>
      </c>
      <c r="C1230" s="83" t="s">
        <v>590</v>
      </c>
      <c r="D1230" s="233">
        <v>1982</v>
      </c>
      <c r="E1230" s="233"/>
      <c r="F1230" s="233" t="s">
        <v>256</v>
      </c>
      <c r="G1230" s="233">
        <v>9</v>
      </c>
      <c r="H1230" s="233" t="s">
        <v>295</v>
      </c>
      <c r="I1230" s="234">
        <v>9363</v>
      </c>
      <c r="J1230" s="234">
        <v>9363</v>
      </c>
      <c r="K1230" s="234">
        <v>5631</v>
      </c>
      <c r="L1230" s="235">
        <v>419</v>
      </c>
      <c r="M1230" s="233" t="s">
        <v>254</v>
      </c>
      <c r="N1230" s="233" t="s">
        <v>258</v>
      </c>
      <c r="O1230" s="236" t="s">
        <v>663</v>
      </c>
      <c r="P1230" s="84">
        <v>147986.14000000001</v>
      </c>
      <c r="Q1230" s="234">
        <v>0</v>
      </c>
      <c r="R1230" s="234">
        <v>0</v>
      </c>
      <c r="S1230" s="234">
        <v>0</v>
      </c>
      <c r="T1230" s="234">
        <f t="shared" si="96"/>
        <v>147986.14000000001</v>
      </c>
      <c r="U1230" s="234">
        <f t="shared" si="89"/>
        <v>15.805419203246824</v>
      </c>
      <c r="V1230" s="78">
        <v>16.940726262949909</v>
      </c>
    </row>
    <row r="1231" spans="1:22" s="79" customFormat="1" ht="36" customHeight="1" x14ac:dyDescent="0.5">
      <c r="A1231" s="79">
        <v>1</v>
      </c>
      <c r="B1231" s="85">
        <f>SUBTOTAL(103,$A$1026:A1231)</f>
        <v>201</v>
      </c>
      <c r="C1231" s="83" t="s">
        <v>594</v>
      </c>
      <c r="D1231" s="233">
        <v>1966</v>
      </c>
      <c r="E1231" s="233"/>
      <c r="F1231" s="233" t="s">
        <v>256</v>
      </c>
      <c r="G1231" s="233">
        <v>5</v>
      </c>
      <c r="H1231" s="233" t="s">
        <v>295</v>
      </c>
      <c r="I1231" s="234">
        <v>3420.4</v>
      </c>
      <c r="J1231" s="234">
        <v>3164.9</v>
      </c>
      <c r="K1231" s="234">
        <v>2916.6</v>
      </c>
      <c r="L1231" s="235">
        <v>75</v>
      </c>
      <c r="M1231" s="233" t="s">
        <v>254</v>
      </c>
      <c r="N1231" s="233" t="s">
        <v>258</v>
      </c>
      <c r="O1231" s="236" t="s">
        <v>662</v>
      </c>
      <c r="P1231" s="84">
        <v>9617147</v>
      </c>
      <c r="Q1231" s="234">
        <v>0</v>
      </c>
      <c r="R1231" s="234">
        <v>0</v>
      </c>
      <c r="S1231" s="234">
        <v>0</v>
      </c>
      <c r="T1231" s="234">
        <f t="shared" si="96"/>
        <v>9617147</v>
      </c>
      <c r="U1231" s="234">
        <f t="shared" si="89"/>
        <v>2811.7024324640392</v>
      </c>
      <c r="V1231" s="78">
        <v>3460.2598666822596</v>
      </c>
    </row>
    <row r="1232" spans="1:22" s="79" customFormat="1" ht="36" customHeight="1" x14ac:dyDescent="0.5">
      <c r="A1232" s="79">
        <v>1</v>
      </c>
      <c r="B1232" s="85">
        <f>SUBTOTAL(103,$A$1026:A1232)</f>
        <v>202</v>
      </c>
      <c r="C1232" s="83" t="s">
        <v>593</v>
      </c>
      <c r="D1232" s="233">
        <v>1972</v>
      </c>
      <c r="E1232" s="233"/>
      <c r="F1232" s="233" t="s">
        <v>256</v>
      </c>
      <c r="G1232" s="233">
        <v>5</v>
      </c>
      <c r="H1232" s="233" t="s">
        <v>295</v>
      </c>
      <c r="I1232" s="234">
        <v>3089.21</v>
      </c>
      <c r="J1232" s="234">
        <v>2785.21</v>
      </c>
      <c r="K1232" s="234">
        <v>2785.21</v>
      </c>
      <c r="L1232" s="235">
        <v>208</v>
      </c>
      <c r="M1232" s="233" t="s">
        <v>254</v>
      </c>
      <c r="N1232" s="233" t="s">
        <v>258</v>
      </c>
      <c r="O1232" s="236" t="s">
        <v>658</v>
      </c>
      <c r="P1232" s="84">
        <v>4267849.1499999994</v>
      </c>
      <c r="Q1232" s="234">
        <v>0</v>
      </c>
      <c r="R1232" s="234">
        <v>0</v>
      </c>
      <c r="S1232" s="234">
        <v>0</v>
      </c>
      <c r="T1232" s="234">
        <f t="shared" si="96"/>
        <v>4267849.1499999994</v>
      </c>
      <c r="U1232" s="234">
        <f t="shared" si="89"/>
        <v>1381.5341624557732</v>
      </c>
      <c r="V1232" s="78">
        <v>3077.1078387030984</v>
      </c>
    </row>
    <row r="1233" spans="1:22" s="79" customFormat="1" ht="36" customHeight="1" x14ac:dyDescent="0.5">
      <c r="A1233" s="79">
        <v>1</v>
      </c>
      <c r="B1233" s="85">
        <f>SUBTOTAL(103,$A$1026:A1233)</f>
        <v>203</v>
      </c>
      <c r="C1233" s="83" t="s">
        <v>575</v>
      </c>
      <c r="D1233" s="233">
        <v>2001</v>
      </c>
      <c r="E1233" s="233"/>
      <c r="F1233" s="233" t="s">
        <v>298</v>
      </c>
      <c r="G1233" s="233" t="s">
        <v>337</v>
      </c>
      <c r="H1233" s="233" t="s">
        <v>290</v>
      </c>
      <c r="I1233" s="234">
        <v>4008</v>
      </c>
      <c r="J1233" s="234">
        <v>2472.3000000000002</v>
      </c>
      <c r="K1233" s="234">
        <v>2472.3000000000002</v>
      </c>
      <c r="L1233" s="235">
        <v>92</v>
      </c>
      <c r="M1233" s="233" t="s">
        <v>254</v>
      </c>
      <c r="N1233" s="233" t="s">
        <v>258</v>
      </c>
      <c r="O1233" s="236" t="s">
        <v>1018</v>
      </c>
      <c r="P1233" s="84">
        <v>175609.68</v>
      </c>
      <c r="Q1233" s="234">
        <v>0</v>
      </c>
      <c r="R1233" s="234">
        <v>0</v>
      </c>
      <c r="S1233" s="234">
        <v>0</v>
      </c>
      <c r="T1233" s="234">
        <f t="shared" si="96"/>
        <v>175609.68</v>
      </c>
      <c r="U1233" s="234">
        <f t="shared" si="89"/>
        <v>43.814790419161675</v>
      </c>
      <c r="V1233" s="78">
        <v>44.077272954091818</v>
      </c>
    </row>
    <row r="1234" spans="1:22" s="79" customFormat="1" ht="36" customHeight="1" x14ac:dyDescent="0.5">
      <c r="A1234" s="79">
        <v>1</v>
      </c>
      <c r="B1234" s="85">
        <f>SUBTOTAL(103,$A$1026:A1234)</f>
        <v>204</v>
      </c>
      <c r="C1234" s="83" t="s">
        <v>1120</v>
      </c>
      <c r="D1234" s="233">
        <v>1957</v>
      </c>
      <c r="E1234" s="233"/>
      <c r="F1234" s="233" t="s">
        <v>256</v>
      </c>
      <c r="G1234" s="233">
        <v>2</v>
      </c>
      <c r="H1234" s="233" t="s">
        <v>290</v>
      </c>
      <c r="I1234" s="234">
        <v>821.4</v>
      </c>
      <c r="J1234" s="234">
        <v>442.9</v>
      </c>
      <c r="K1234" s="234">
        <v>442.9</v>
      </c>
      <c r="L1234" s="235">
        <v>17</v>
      </c>
      <c r="M1234" s="233" t="s">
        <v>254</v>
      </c>
      <c r="N1234" s="233" t="s">
        <v>258</v>
      </c>
      <c r="O1234" s="236" t="s">
        <v>1235</v>
      </c>
      <c r="P1234" s="84">
        <v>133954.5</v>
      </c>
      <c r="Q1234" s="234">
        <v>0</v>
      </c>
      <c r="R1234" s="234">
        <v>0</v>
      </c>
      <c r="S1234" s="234">
        <v>0</v>
      </c>
      <c r="T1234" s="234">
        <f t="shared" si="96"/>
        <v>133954.5</v>
      </c>
      <c r="U1234" s="234">
        <f t="shared" si="89"/>
        <v>163.08071585098614</v>
      </c>
      <c r="V1234" s="78">
        <v>527.63</v>
      </c>
    </row>
    <row r="1235" spans="1:22" s="79" customFormat="1" ht="36" customHeight="1" x14ac:dyDescent="0.5">
      <c r="A1235" s="79">
        <v>1</v>
      </c>
      <c r="B1235" s="85">
        <f>SUBTOTAL(103,$A$1026:A1235)</f>
        <v>205</v>
      </c>
      <c r="C1235" s="83" t="s">
        <v>1802</v>
      </c>
      <c r="D1235" s="233">
        <v>1963</v>
      </c>
      <c r="E1235" s="233"/>
      <c r="F1235" s="233" t="s">
        <v>1479</v>
      </c>
      <c r="G1235" s="233" t="s">
        <v>290</v>
      </c>
      <c r="H1235" s="233" t="s">
        <v>290</v>
      </c>
      <c r="I1235" s="234">
        <v>695.5</v>
      </c>
      <c r="J1235" s="234">
        <v>647.5</v>
      </c>
      <c r="K1235" s="234">
        <v>647.5</v>
      </c>
      <c r="L1235" s="235">
        <v>31</v>
      </c>
      <c r="M1235" s="233" t="s">
        <v>254</v>
      </c>
      <c r="N1235" s="233" t="s">
        <v>255</v>
      </c>
      <c r="O1235" s="236" t="s">
        <v>257</v>
      </c>
      <c r="P1235" s="84">
        <v>3952910.92</v>
      </c>
      <c r="Q1235" s="234">
        <v>0</v>
      </c>
      <c r="R1235" s="234">
        <v>0</v>
      </c>
      <c r="S1235" s="234">
        <v>0</v>
      </c>
      <c r="T1235" s="234">
        <f t="shared" si="96"/>
        <v>3952910.92</v>
      </c>
      <c r="U1235" s="234">
        <f t="shared" si="89"/>
        <v>5683.5527246585189</v>
      </c>
      <c r="V1235" s="78">
        <v>8884.7905219266722</v>
      </c>
    </row>
    <row r="1236" spans="1:22" s="79" customFormat="1" ht="36" customHeight="1" x14ac:dyDescent="0.5">
      <c r="A1236" s="79">
        <v>1</v>
      </c>
      <c r="B1236" s="85">
        <f>SUBTOTAL(103,$A$1026:A1236)</f>
        <v>206</v>
      </c>
      <c r="C1236" s="83" t="s">
        <v>1803</v>
      </c>
      <c r="D1236" s="233">
        <v>1955</v>
      </c>
      <c r="E1236" s="233"/>
      <c r="F1236" s="233" t="s">
        <v>1479</v>
      </c>
      <c r="G1236" s="233" t="s">
        <v>290</v>
      </c>
      <c r="H1236" s="233" t="s">
        <v>291</v>
      </c>
      <c r="I1236" s="234">
        <v>349</v>
      </c>
      <c r="J1236" s="234">
        <v>310.60000000000002</v>
      </c>
      <c r="K1236" s="234">
        <v>310.60000000000002</v>
      </c>
      <c r="L1236" s="235">
        <v>17</v>
      </c>
      <c r="M1236" s="233" t="s">
        <v>254</v>
      </c>
      <c r="N1236" s="233" t="s">
        <v>258</v>
      </c>
      <c r="O1236" s="236" t="s">
        <v>1237</v>
      </c>
      <c r="P1236" s="84">
        <v>2306378.9300000002</v>
      </c>
      <c r="Q1236" s="234">
        <v>0</v>
      </c>
      <c r="R1236" s="234">
        <v>0</v>
      </c>
      <c r="S1236" s="234">
        <v>0</v>
      </c>
      <c r="T1236" s="234">
        <f t="shared" si="96"/>
        <v>2306378.9300000002</v>
      </c>
      <c r="U1236" s="234">
        <f t="shared" si="89"/>
        <v>6608.5356160458459</v>
      </c>
      <c r="V1236" s="78">
        <v>10646.580809169054</v>
      </c>
    </row>
    <row r="1237" spans="1:22" s="79" customFormat="1" ht="36" customHeight="1" x14ac:dyDescent="0.5">
      <c r="A1237" s="79">
        <v>1</v>
      </c>
      <c r="B1237" s="85">
        <f>SUBTOTAL(103,$A$1026:A1237)</f>
        <v>207</v>
      </c>
      <c r="C1237" s="83" t="s">
        <v>1804</v>
      </c>
      <c r="D1237" s="233">
        <v>1957</v>
      </c>
      <c r="E1237" s="233"/>
      <c r="F1237" s="233" t="s">
        <v>1479</v>
      </c>
      <c r="G1237" s="233" t="s">
        <v>290</v>
      </c>
      <c r="H1237" s="233" t="s">
        <v>290</v>
      </c>
      <c r="I1237" s="234">
        <v>832.6</v>
      </c>
      <c r="J1237" s="234">
        <v>448</v>
      </c>
      <c r="K1237" s="234">
        <v>448</v>
      </c>
      <c r="L1237" s="235">
        <v>22</v>
      </c>
      <c r="M1237" s="233" t="s">
        <v>254</v>
      </c>
      <c r="N1237" s="233" t="s">
        <v>258</v>
      </c>
      <c r="O1237" s="236" t="s">
        <v>655</v>
      </c>
      <c r="P1237" s="84">
        <v>2696762.69</v>
      </c>
      <c r="Q1237" s="234">
        <v>0</v>
      </c>
      <c r="R1237" s="234">
        <v>0</v>
      </c>
      <c r="S1237" s="234">
        <v>0</v>
      </c>
      <c r="T1237" s="234">
        <f t="shared" si="96"/>
        <v>2696762.69</v>
      </c>
      <c r="U1237" s="234">
        <f t="shared" si="89"/>
        <v>3238.9655176555366</v>
      </c>
      <c r="V1237" s="78">
        <v>5767.9153571943307</v>
      </c>
    </row>
    <row r="1238" spans="1:22" s="79" customFormat="1" ht="36" customHeight="1" x14ac:dyDescent="0.5">
      <c r="A1238" s="79">
        <v>1</v>
      </c>
      <c r="B1238" s="85">
        <f>SUBTOTAL(103,$A$1026:A1238)</f>
        <v>208</v>
      </c>
      <c r="C1238" s="83" t="s">
        <v>592</v>
      </c>
      <c r="D1238" s="233">
        <v>1972</v>
      </c>
      <c r="E1238" s="233"/>
      <c r="F1238" s="233" t="s">
        <v>256</v>
      </c>
      <c r="G1238" s="233" t="s">
        <v>337</v>
      </c>
      <c r="H1238" s="233" t="s">
        <v>295</v>
      </c>
      <c r="I1238" s="234">
        <v>2806.29</v>
      </c>
      <c r="J1238" s="234">
        <v>2806.29</v>
      </c>
      <c r="K1238" s="234">
        <v>2806.29</v>
      </c>
      <c r="L1238" s="235">
        <v>150</v>
      </c>
      <c r="M1238" s="233" t="s">
        <v>254</v>
      </c>
      <c r="N1238" s="233" t="s">
        <v>255</v>
      </c>
      <c r="O1238" s="236" t="s">
        <v>257</v>
      </c>
      <c r="P1238" s="84">
        <v>135446.01999999999</v>
      </c>
      <c r="Q1238" s="234">
        <v>0</v>
      </c>
      <c r="R1238" s="234">
        <v>0</v>
      </c>
      <c r="S1238" s="234">
        <v>0</v>
      </c>
      <c r="T1238" s="234">
        <f t="shared" si="96"/>
        <v>135446.01999999999</v>
      </c>
      <c r="U1238" s="234">
        <f t="shared" si="89"/>
        <v>48.265154349693006</v>
      </c>
      <c r="V1238" s="78">
        <v>54.626727815015556</v>
      </c>
    </row>
    <row r="1239" spans="1:22" s="79" customFormat="1" ht="36" customHeight="1" x14ac:dyDescent="0.5">
      <c r="A1239" s="79">
        <v>1</v>
      </c>
      <c r="B1239" s="85">
        <f>SUBTOTAL(103,$A$1026:A1239)</f>
        <v>209</v>
      </c>
      <c r="C1239" s="83" t="s">
        <v>3480</v>
      </c>
      <c r="D1239" s="233">
        <v>1984</v>
      </c>
      <c r="E1239" s="233"/>
      <c r="F1239" s="233" t="s">
        <v>1479</v>
      </c>
      <c r="G1239" s="233" t="s">
        <v>290</v>
      </c>
      <c r="H1239" s="233">
        <v>4</v>
      </c>
      <c r="I1239" s="234">
        <v>1145.3</v>
      </c>
      <c r="J1239" s="234">
        <v>645.70000000000005</v>
      </c>
      <c r="K1239" s="234">
        <v>645.70000000000005</v>
      </c>
      <c r="L1239" s="235">
        <v>48</v>
      </c>
      <c r="M1239" s="233" t="s">
        <v>254</v>
      </c>
      <c r="N1239" s="233" t="s">
        <v>255</v>
      </c>
      <c r="O1239" s="236" t="s">
        <v>257</v>
      </c>
      <c r="P1239" s="84">
        <v>121335.91</v>
      </c>
      <c r="Q1239" s="234">
        <v>0</v>
      </c>
      <c r="R1239" s="234">
        <v>0</v>
      </c>
      <c r="S1239" s="234">
        <v>0</v>
      </c>
      <c r="T1239" s="234">
        <f t="shared" si="96"/>
        <v>121335.91</v>
      </c>
      <c r="U1239" s="234">
        <f t="shared" si="89"/>
        <v>105.9424692220379</v>
      </c>
      <c r="V1239" s="78">
        <v>105.9424692220379</v>
      </c>
    </row>
    <row r="1240" spans="1:22" s="79" customFormat="1" ht="36" customHeight="1" x14ac:dyDescent="0.5">
      <c r="A1240" s="79">
        <v>1</v>
      </c>
      <c r="B1240" s="85">
        <f>SUBTOTAL(103,$A$1026:A1240)</f>
        <v>210</v>
      </c>
      <c r="C1240" s="83" t="s">
        <v>2696</v>
      </c>
      <c r="D1240" s="233">
        <v>1969</v>
      </c>
      <c r="E1240" s="233"/>
      <c r="F1240" s="233" t="s">
        <v>256</v>
      </c>
      <c r="G1240" s="233" t="s">
        <v>337</v>
      </c>
      <c r="H1240" s="233" t="s">
        <v>295</v>
      </c>
      <c r="I1240" s="234">
        <v>3946.1</v>
      </c>
      <c r="J1240" s="234">
        <v>2833.41</v>
      </c>
      <c r="K1240" s="234">
        <v>2833.41</v>
      </c>
      <c r="L1240" s="235">
        <v>126</v>
      </c>
      <c r="M1240" s="233" t="s">
        <v>254</v>
      </c>
      <c r="N1240" s="233" t="s">
        <v>258</v>
      </c>
      <c r="O1240" s="236" t="s">
        <v>1234</v>
      </c>
      <c r="P1240" s="84">
        <v>6723835.2599999998</v>
      </c>
      <c r="Q1240" s="234">
        <v>0</v>
      </c>
      <c r="R1240" s="234">
        <v>0</v>
      </c>
      <c r="S1240" s="234">
        <v>0</v>
      </c>
      <c r="T1240" s="234">
        <f t="shared" si="96"/>
        <v>6723835.2599999998</v>
      </c>
      <c r="U1240" s="234">
        <f t="shared" si="89"/>
        <v>1703.9191252122348</v>
      </c>
      <c r="V1240" s="78">
        <v>2187.2045626821418</v>
      </c>
    </row>
    <row r="1241" spans="1:22" s="79" customFormat="1" ht="36" customHeight="1" x14ac:dyDescent="0.5">
      <c r="A1241" s="79">
        <v>1</v>
      </c>
      <c r="B1241" s="85">
        <f>SUBTOTAL(103,$A$1026:A1241)</f>
        <v>211</v>
      </c>
      <c r="C1241" s="83" t="s">
        <v>3264</v>
      </c>
      <c r="D1241" s="233">
        <v>1999</v>
      </c>
      <c r="E1241" s="233"/>
      <c r="F1241" s="233" t="s">
        <v>3270</v>
      </c>
      <c r="G1241" s="233">
        <v>10</v>
      </c>
      <c r="H1241" s="233" t="s">
        <v>290</v>
      </c>
      <c r="I1241" s="234">
        <v>6232.31</v>
      </c>
      <c r="J1241" s="234">
        <v>4725</v>
      </c>
      <c r="K1241" s="234">
        <v>4343.7</v>
      </c>
      <c r="L1241" s="235">
        <v>171</v>
      </c>
      <c r="M1241" s="233" t="s">
        <v>254</v>
      </c>
      <c r="N1241" s="233" t="s">
        <v>258</v>
      </c>
      <c r="O1241" s="236" t="s">
        <v>657</v>
      </c>
      <c r="P1241" s="84">
        <v>6292936.6299999999</v>
      </c>
      <c r="Q1241" s="234">
        <v>0</v>
      </c>
      <c r="R1241" s="234">
        <v>0</v>
      </c>
      <c r="S1241" s="234">
        <v>0</v>
      </c>
      <c r="T1241" s="234">
        <f t="shared" si="96"/>
        <v>6292936.6299999999</v>
      </c>
      <c r="U1241" s="234">
        <f t="shared" si="89"/>
        <v>1009.7277943491257</v>
      </c>
      <c r="V1241" s="78">
        <v>1077.837431064886</v>
      </c>
    </row>
    <row r="1242" spans="1:22" s="79" customFormat="1" ht="36" customHeight="1" x14ac:dyDescent="0.5">
      <c r="A1242" s="79">
        <v>1</v>
      </c>
      <c r="B1242" s="85">
        <f>SUBTOTAL(103,$A$1026:A1242)</f>
        <v>212</v>
      </c>
      <c r="C1242" s="83" t="s">
        <v>3265</v>
      </c>
      <c r="D1242" s="233">
        <v>1999</v>
      </c>
      <c r="E1242" s="233"/>
      <c r="F1242" s="233" t="s">
        <v>3270</v>
      </c>
      <c r="G1242" s="233">
        <v>9</v>
      </c>
      <c r="H1242" s="233" t="s">
        <v>299</v>
      </c>
      <c r="I1242" s="234">
        <v>6506.1</v>
      </c>
      <c r="J1242" s="234">
        <v>4708.5</v>
      </c>
      <c r="K1242" s="234">
        <v>4646.7</v>
      </c>
      <c r="L1242" s="235">
        <v>142</v>
      </c>
      <c r="M1242" s="233" t="s">
        <v>254</v>
      </c>
      <c r="N1242" s="233" t="s">
        <v>258</v>
      </c>
      <c r="O1242" s="236" t="s">
        <v>1550</v>
      </c>
      <c r="P1242" s="84">
        <v>3090946.6</v>
      </c>
      <c r="Q1242" s="234">
        <v>0</v>
      </c>
      <c r="R1242" s="234">
        <v>0</v>
      </c>
      <c r="S1242" s="234">
        <v>0</v>
      </c>
      <c r="T1242" s="234">
        <f t="shared" si="96"/>
        <v>3090946.6</v>
      </c>
      <c r="U1242" s="234">
        <f t="shared" si="89"/>
        <v>475.08439771906365</v>
      </c>
      <c r="V1242" s="78">
        <v>499.02367316825746</v>
      </c>
    </row>
    <row r="1243" spans="1:22" s="79" customFormat="1" ht="36" customHeight="1" x14ac:dyDescent="0.5">
      <c r="A1243" s="79">
        <v>1</v>
      </c>
      <c r="B1243" s="85">
        <f>SUBTOTAL(103,$A$1026:A1243)</f>
        <v>213</v>
      </c>
      <c r="C1243" s="83" t="s">
        <v>3266</v>
      </c>
      <c r="D1243" s="233">
        <v>1999</v>
      </c>
      <c r="E1243" s="233"/>
      <c r="F1243" s="233" t="s">
        <v>3270</v>
      </c>
      <c r="G1243" s="233">
        <v>9</v>
      </c>
      <c r="H1243" s="233" t="s">
        <v>290</v>
      </c>
      <c r="I1243" s="234">
        <v>6363.3</v>
      </c>
      <c r="J1243" s="234">
        <v>4895.7</v>
      </c>
      <c r="K1243" s="234">
        <v>4895.7</v>
      </c>
      <c r="L1243" s="235">
        <v>144</v>
      </c>
      <c r="M1243" s="233" t="s">
        <v>254</v>
      </c>
      <c r="N1243" s="233" t="s">
        <v>258</v>
      </c>
      <c r="O1243" s="236" t="s">
        <v>657</v>
      </c>
      <c r="P1243" s="84">
        <v>6085731.9100000001</v>
      </c>
      <c r="Q1243" s="234">
        <v>0</v>
      </c>
      <c r="R1243" s="234">
        <v>0</v>
      </c>
      <c r="S1243" s="234">
        <v>0</v>
      </c>
      <c r="T1243" s="234">
        <f t="shared" si="96"/>
        <v>6085731.9100000001</v>
      </c>
      <c r="U1243" s="234">
        <f t="shared" si="89"/>
        <v>956.37985164930149</v>
      </c>
      <c r="V1243" s="78">
        <v>1020.4447126490971</v>
      </c>
    </row>
    <row r="1244" spans="1:22" s="79" customFormat="1" ht="36" customHeight="1" x14ac:dyDescent="0.5">
      <c r="A1244" s="79">
        <v>1</v>
      </c>
      <c r="B1244" s="85">
        <f>SUBTOTAL(103,$A$1026:A1244)</f>
        <v>214</v>
      </c>
      <c r="C1244" s="83" t="s">
        <v>3267</v>
      </c>
      <c r="D1244" s="233">
        <v>1996</v>
      </c>
      <c r="E1244" s="233"/>
      <c r="F1244" s="233" t="s">
        <v>3270</v>
      </c>
      <c r="G1244" s="233">
        <v>9</v>
      </c>
      <c r="H1244" s="233" t="s">
        <v>337</v>
      </c>
      <c r="I1244" s="234">
        <v>12056.4</v>
      </c>
      <c r="J1244" s="234">
        <v>11309.2</v>
      </c>
      <c r="K1244" s="234">
        <v>11014.800000000001</v>
      </c>
      <c r="L1244" s="235">
        <v>388</v>
      </c>
      <c r="M1244" s="233" t="s">
        <v>254</v>
      </c>
      <c r="N1244" s="233" t="s">
        <v>258</v>
      </c>
      <c r="O1244" s="236" t="s">
        <v>1550</v>
      </c>
      <c r="P1244" s="84">
        <v>12070567.359999999</v>
      </c>
      <c r="Q1244" s="234">
        <v>0</v>
      </c>
      <c r="R1244" s="234">
        <v>0</v>
      </c>
      <c r="S1244" s="234">
        <v>0</v>
      </c>
      <c r="T1244" s="234">
        <f t="shared" si="96"/>
        <v>12070567.359999999</v>
      </c>
      <c r="U1244" s="234">
        <f t="shared" si="89"/>
        <v>1001.1750904084138</v>
      </c>
      <c r="V1244" s="78">
        <v>1077.1699412760029</v>
      </c>
    </row>
    <row r="1245" spans="1:22" s="79" customFormat="1" ht="36" customHeight="1" x14ac:dyDescent="0.5">
      <c r="B1245" s="83" t="s">
        <v>761</v>
      </c>
      <c r="C1245" s="83"/>
      <c r="D1245" s="233" t="s">
        <v>835</v>
      </c>
      <c r="E1245" s="233" t="s">
        <v>835</v>
      </c>
      <c r="F1245" s="233" t="s">
        <v>835</v>
      </c>
      <c r="G1245" s="233" t="s">
        <v>835</v>
      </c>
      <c r="H1245" s="233" t="s">
        <v>835</v>
      </c>
      <c r="I1245" s="234">
        <f>SUM(I1246:I1250)</f>
        <v>16514</v>
      </c>
      <c r="J1245" s="234">
        <f t="shared" ref="J1245:L1245" si="97">SUM(J1246:J1250)</f>
        <v>10140.299999999999</v>
      </c>
      <c r="K1245" s="234">
        <f t="shared" si="97"/>
        <v>9883.1</v>
      </c>
      <c r="L1245" s="235">
        <f t="shared" si="97"/>
        <v>438</v>
      </c>
      <c r="M1245" s="233" t="s">
        <v>835</v>
      </c>
      <c r="N1245" s="233" t="s">
        <v>835</v>
      </c>
      <c r="O1245" s="236" t="s">
        <v>835</v>
      </c>
      <c r="P1245" s="138">
        <v>15279394.32</v>
      </c>
      <c r="Q1245" s="234">
        <f>SUM(Q1246:Q1250)</f>
        <v>0</v>
      </c>
      <c r="R1245" s="234">
        <f t="shared" ref="R1245:T1245" si="98">SUM(R1246:R1250)</f>
        <v>0</v>
      </c>
      <c r="S1245" s="234">
        <f t="shared" si="98"/>
        <v>0</v>
      </c>
      <c r="T1245" s="234">
        <f t="shared" si="98"/>
        <v>15279394.32</v>
      </c>
      <c r="U1245" s="234">
        <f t="shared" si="89"/>
        <v>925.23884703887609</v>
      </c>
      <c r="V1245" s="78">
        <f>MAX(V1246:V1250)</f>
        <v>5571.7632813878272</v>
      </c>
    </row>
    <row r="1246" spans="1:22" s="79" customFormat="1" ht="36" customHeight="1" x14ac:dyDescent="0.5">
      <c r="A1246" s="79">
        <v>1</v>
      </c>
      <c r="B1246" s="85">
        <f>SUBTOTAL(103,$A$1026:A1246)</f>
        <v>215</v>
      </c>
      <c r="C1246" s="83" t="s">
        <v>2904</v>
      </c>
      <c r="D1246" s="233">
        <v>1993</v>
      </c>
      <c r="E1246" s="233"/>
      <c r="F1246" s="233" t="s">
        <v>298</v>
      </c>
      <c r="G1246" s="233">
        <v>5</v>
      </c>
      <c r="H1246" s="233" t="s">
        <v>299</v>
      </c>
      <c r="I1246" s="234">
        <v>5482.2</v>
      </c>
      <c r="J1246" s="234">
        <v>3303.8</v>
      </c>
      <c r="K1246" s="234">
        <v>3096.3</v>
      </c>
      <c r="L1246" s="235">
        <v>147</v>
      </c>
      <c r="M1246" s="233" t="s">
        <v>254</v>
      </c>
      <c r="N1246" s="233" t="s">
        <v>258</v>
      </c>
      <c r="O1246" s="236" t="s">
        <v>660</v>
      </c>
      <c r="P1246" s="84">
        <v>165181.18</v>
      </c>
      <c r="Q1246" s="234">
        <v>0</v>
      </c>
      <c r="R1246" s="234">
        <v>0</v>
      </c>
      <c r="S1246" s="234">
        <v>0</v>
      </c>
      <c r="T1246" s="234">
        <f t="shared" ref="T1246:T1249" si="99">P1246-Q1246-R1246-S1246</f>
        <v>165181.18</v>
      </c>
      <c r="U1246" s="234">
        <f t="shared" si="89"/>
        <v>30.130454926854181</v>
      </c>
      <c r="V1246" s="78">
        <v>30.130454926854181</v>
      </c>
    </row>
    <row r="1247" spans="1:22" s="79" customFormat="1" ht="36" customHeight="1" x14ac:dyDescent="0.5">
      <c r="A1247" s="79">
        <v>1</v>
      </c>
      <c r="B1247" s="85">
        <f>SUBTOTAL(103,$A$1026:A1247)</f>
        <v>216</v>
      </c>
      <c r="C1247" s="83" t="s">
        <v>2905</v>
      </c>
      <c r="D1247" s="233">
        <v>1964</v>
      </c>
      <c r="E1247" s="233"/>
      <c r="F1247" s="233" t="s">
        <v>256</v>
      </c>
      <c r="G1247" s="233">
        <v>2</v>
      </c>
      <c r="H1247" s="233" t="s">
        <v>290</v>
      </c>
      <c r="I1247" s="234">
        <v>669.7</v>
      </c>
      <c r="J1247" s="234">
        <v>350.2</v>
      </c>
      <c r="K1247" s="234">
        <v>300.5</v>
      </c>
      <c r="L1247" s="235">
        <v>11</v>
      </c>
      <c r="M1247" s="233" t="s">
        <v>254</v>
      </c>
      <c r="N1247" s="233" t="s">
        <v>258</v>
      </c>
      <c r="O1247" s="236" t="s">
        <v>660</v>
      </c>
      <c r="P1247" s="84">
        <v>51330.64</v>
      </c>
      <c r="Q1247" s="234">
        <v>0</v>
      </c>
      <c r="R1247" s="234">
        <v>0</v>
      </c>
      <c r="S1247" s="234">
        <v>0</v>
      </c>
      <c r="T1247" s="234">
        <f t="shared" si="99"/>
        <v>51330.64</v>
      </c>
      <c r="U1247" s="234">
        <f t="shared" si="89"/>
        <v>76.647215170972075</v>
      </c>
      <c r="V1247" s="78">
        <v>76.647215170972075</v>
      </c>
    </row>
    <row r="1248" spans="1:22" s="79" customFormat="1" ht="36" customHeight="1" x14ac:dyDescent="0.5">
      <c r="A1248" s="79">
        <v>1</v>
      </c>
      <c r="B1248" s="85">
        <f>SUBTOTAL(103,$A$1026:A1248)</f>
        <v>217</v>
      </c>
      <c r="C1248" s="83" t="s">
        <v>2907</v>
      </c>
      <c r="D1248" s="233">
        <v>1964</v>
      </c>
      <c r="E1248" s="233"/>
      <c r="F1248" s="233" t="s">
        <v>256</v>
      </c>
      <c r="G1248" s="233">
        <v>2</v>
      </c>
      <c r="H1248" s="233" t="s">
        <v>290</v>
      </c>
      <c r="I1248" s="234">
        <v>680.2</v>
      </c>
      <c r="J1248" s="234">
        <v>356</v>
      </c>
      <c r="K1248" s="234">
        <v>356</v>
      </c>
      <c r="L1248" s="235">
        <v>22</v>
      </c>
      <c r="M1248" s="233" t="s">
        <v>254</v>
      </c>
      <c r="N1248" s="233" t="s">
        <v>258</v>
      </c>
      <c r="O1248" s="236" t="s">
        <v>660</v>
      </c>
      <c r="P1248" s="84">
        <v>2132302.91</v>
      </c>
      <c r="Q1248" s="234">
        <v>0</v>
      </c>
      <c r="R1248" s="234">
        <v>0</v>
      </c>
      <c r="S1248" s="234">
        <v>0</v>
      </c>
      <c r="T1248" s="234">
        <f t="shared" si="99"/>
        <v>2132302.91</v>
      </c>
      <c r="U1248" s="234">
        <f t="shared" si="89"/>
        <v>3134.8175683622462</v>
      </c>
      <c r="V1248" s="78">
        <v>5571.7632813878272</v>
      </c>
    </row>
    <row r="1249" spans="1:22" s="79" customFormat="1" ht="36" customHeight="1" x14ac:dyDescent="0.5">
      <c r="A1249" s="79">
        <v>1</v>
      </c>
      <c r="B1249" s="85">
        <f>SUBTOTAL(103,$A$1026:A1249)</f>
        <v>218</v>
      </c>
      <c r="C1249" s="83" t="s">
        <v>2909</v>
      </c>
      <c r="D1249" s="233">
        <v>1994</v>
      </c>
      <c r="E1249" s="233"/>
      <c r="F1249" s="233" t="s">
        <v>304</v>
      </c>
      <c r="G1249" s="233" t="s">
        <v>337</v>
      </c>
      <c r="H1249" s="233" t="s">
        <v>299</v>
      </c>
      <c r="I1249" s="234">
        <v>5512.6</v>
      </c>
      <c r="J1249" s="234">
        <v>3370.2</v>
      </c>
      <c r="K1249" s="234">
        <v>3370.2</v>
      </c>
      <c r="L1249" s="235">
        <v>137</v>
      </c>
      <c r="M1249" s="233" t="s">
        <v>254</v>
      </c>
      <c r="N1249" s="233" t="s">
        <v>258</v>
      </c>
      <c r="O1249" s="236" t="s">
        <v>660</v>
      </c>
      <c r="P1249" s="84">
        <v>7242575.8499999996</v>
      </c>
      <c r="Q1249" s="234">
        <v>0</v>
      </c>
      <c r="R1249" s="234">
        <v>0</v>
      </c>
      <c r="S1249" s="234">
        <v>0</v>
      </c>
      <c r="T1249" s="234">
        <f t="shared" si="99"/>
        <v>7242575.8499999996</v>
      </c>
      <c r="U1249" s="234">
        <f t="shared" si="89"/>
        <v>1313.8221256757245</v>
      </c>
      <c r="V1249" s="78">
        <v>2093.0647964299965</v>
      </c>
    </row>
    <row r="1250" spans="1:22" s="79" customFormat="1" ht="36" customHeight="1" x14ac:dyDescent="0.5">
      <c r="A1250" s="79">
        <v>1</v>
      </c>
      <c r="B1250" s="85">
        <f>SUBTOTAL(103,$A$1026:A1250)</f>
        <v>219</v>
      </c>
      <c r="C1250" s="77" t="s">
        <v>2908</v>
      </c>
      <c r="D1250" s="233">
        <v>1983</v>
      </c>
      <c r="E1250" s="233"/>
      <c r="F1250" s="233" t="s">
        <v>256</v>
      </c>
      <c r="G1250" s="233">
        <v>5</v>
      </c>
      <c r="H1250" s="233" t="s">
        <v>295</v>
      </c>
      <c r="I1250" s="78">
        <v>4169.3</v>
      </c>
      <c r="J1250" s="78">
        <v>2760.1</v>
      </c>
      <c r="K1250" s="78">
        <v>2760.1</v>
      </c>
      <c r="L1250" s="239">
        <v>121</v>
      </c>
      <c r="M1250" s="233" t="s">
        <v>254</v>
      </c>
      <c r="N1250" s="233" t="s">
        <v>258</v>
      </c>
      <c r="O1250" s="236" t="s">
        <v>1278</v>
      </c>
      <c r="P1250" s="78">
        <v>5688003.7400000002</v>
      </c>
      <c r="Q1250" s="78">
        <v>0</v>
      </c>
      <c r="R1250" s="78">
        <v>0</v>
      </c>
      <c r="S1250" s="78">
        <v>0</v>
      </c>
      <c r="T1250" s="78">
        <f t="shared" ref="T1250" si="100">P1250-R1250-S1250</f>
        <v>5688003.7400000002</v>
      </c>
      <c r="U1250" s="78">
        <f t="shared" si="89"/>
        <v>1364.2586861103782</v>
      </c>
      <c r="V1250" s="78">
        <v>2082.5608020531022</v>
      </c>
    </row>
    <row r="1251" spans="1:22" s="79" customFormat="1" ht="36" customHeight="1" x14ac:dyDescent="0.5">
      <c r="B1251" s="83" t="s">
        <v>762</v>
      </c>
      <c r="C1251" s="83"/>
      <c r="D1251" s="233" t="s">
        <v>835</v>
      </c>
      <c r="E1251" s="233" t="s">
        <v>835</v>
      </c>
      <c r="F1251" s="233" t="s">
        <v>835</v>
      </c>
      <c r="G1251" s="233" t="s">
        <v>835</v>
      </c>
      <c r="H1251" s="233" t="s">
        <v>835</v>
      </c>
      <c r="I1251" s="234">
        <f>SUM(I1252:I1257)</f>
        <v>18138.79</v>
      </c>
      <c r="J1251" s="234">
        <f t="shared" ref="J1251:L1251" si="101">SUM(J1252:J1257)</f>
        <v>14332.099999999999</v>
      </c>
      <c r="K1251" s="234">
        <f t="shared" si="101"/>
        <v>10096.6</v>
      </c>
      <c r="L1251" s="235">
        <f t="shared" si="101"/>
        <v>628</v>
      </c>
      <c r="M1251" s="233" t="s">
        <v>835</v>
      </c>
      <c r="N1251" s="233" t="s">
        <v>835</v>
      </c>
      <c r="O1251" s="236" t="s">
        <v>835</v>
      </c>
      <c r="P1251" s="138">
        <v>23633693.809999999</v>
      </c>
      <c r="Q1251" s="234">
        <f t="shared" ref="Q1251" si="102">SUM(Q1252:Q1257)</f>
        <v>0</v>
      </c>
      <c r="R1251" s="234">
        <f t="shared" ref="R1251" si="103">SUM(R1252:R1257)</f>
        <v>0</v>
      </c>
      <c r="S1251" s="234">
        <f t="shared" ref="S1251" si="104">SUM(S1252:S1257)</f>
        <v>0</v>
      </c>
      <c r="T1251" s="234">
        <f t="shared" ref="T1251" si="105">SUM(T1252:T1257)</f>
        <v>23633693.809999999</v>
      </c>
      <c r="U1251" s="234">
        <f t="shared" si="89"/>
        <v>1302.9366242180431</v>
      </c>
      <c r="V1251" s="78">
        <f>MAX(V1252:V1257)</f>
        <v>9033.4847696898905</v>
      </c>
    </row>
    <row r="1252" spans="1:22" s="79" customFormat="1" ht="36" customHeight="1" x14ac:dyDescent="0.5">
      <c r="A1252" s="79">
        <v>1</v>
      </c>
      <c r="B1252" s="85">
        <f>SUBTOTAL(103,$A$1026:A1252)</f>
        <v>220</v>
      </c>
      <c r="C1252" s="83" t="s">
        <v>596</v>
      </c>
      <c r="D1252" s="233">
        <v>1882</v>
      </c>
      <c r="E1252" s="233"/>
      <c r="F1252" s="233" t="s">
        <v>256</v>
      </c>
      <c r="G1252" s="233">
        <v>3</v>
      </c>
      <c r="H1252" s="233" t="s">
        <v>299</v>
      </c>
      <c r="I1252" s="234">
        <v>3501.8</v>
      </c>
      <c r="J1252" s="234">
        <v>2939.7</v>
      </c>
      <c r="K1252" s="234">
        <v>1028.9000000000001</v>
      </c>
      <c r="L1252" s="235">
        <v>88</v>
      </c>
      <c r="M1252" s="233" t="s">
        <v>254</v>
      </c>
      <c r="N1252" s="233" t="s">
        <v>258</v>
      </c>
      <c r="O1252" s="236" t="s">
        <v>661</v>
      </c>
      <c r="P1252" s="84">
        <v>123167.03</v>
      </c>
      <c r="Q1252" s="234">
        <v>0</v>
      </c>
      <c r="R1252" s="234">
        <v>0</v>
      </c>
      <c r="S1252" s="234">
        <v>0</v>
      </c>
      <c r="T1252" s="234">
        <f t="shared" ref="T1252:T1257" si="106">P1252-Q1252-R1252-S1252</f>
        <v>123167.03</v>
      </c>
      <c r="U1252" s="234">
        <f t="shared" si="89"/>
        <v>35.172491290193612</v>
      </c>
      <c r="V1252" s="78">
        <v>35.172491290193612</v>
      </c>
    </row>
    <row r="1253" spans="1:22" s="79" customFormat="1" ht="36" customHeight="1" x14ac:dyDescent="0.5">
      <c r="A1253" s="79">
        <v>1</v>
      </c>
      <c r="B1253" s="85">
        <f>SUBTOTAL(103,$A$1026:A1253)</f>
        <v>221</v>
      </c>
      <c r="C1253" s="83" t="s">
        <v>2963</v>
      </c>
      <c r="D1253" s="233">
        <v>1952</v>
      </c>
      <c r="E1253" s="233"/>
      <c r="F1253" s="233" t="s">
        <v>256</v>
      </c>
      <c r="G1253" s="233" t="s">
        <v>290</v>
      </c>
      <c r="H1253" s="233" t="s">
        <v>290</v>
      </c>
      <c r="I1253" s="234">
        <v>1469.29</v>
      </c>
      <c r="J1253" s="234">
        <v>832.5</v>
      </c>
      <c r="K1253" s="234">
        <v>832.5</v>
      </c>
      <c r="L1253" s="235">
        <v>36</v>
      </c>
      <c r="M1253" s="233" t="s">
        <v>254</v>
      </c>
      <c r="N1253" s="233" t="s">
        <v>258</v>
      </c>
      <c r="O1253" s="236" t="s">
        <v>661</v>
      </c>
      <c r="P1253" s="84">
        <v>5225973.03</v>
      </c>
      <c r="Q1253" s="234">
        <v>0</v>
      </c>
      <c r="R1253" s="234">
        <v>0</v>
      </c>
      <c r="S1253" s="234">
        <v>0</v>
      </c>
      <c r="T1253" s="234">
        <f t="shared" si="106"/>
        <v>5225973.03</v>
      </c>
      <c r="U1253" s="234">
        <f t="shared" si="89"/>
        <v>3556.8016048567679</v>
      </c>
      <c r="V1253" s="78">
        <v>5104.5289929149458</v>
      </c>
    </row>
    <row r="1254" spans="1:22" s="79" customFormat="1" ht="36" customHeight="1" x14ac:dyDescent="0.5">
      <c r="A1254" s="79">
        <v>1</v>
      </c>
      <c r="B1254" s="85">
        <f>SUBTOTAL(103,$A$1026:A1254)</f>
        <v>222</v>
      </c>
      <c r="C1254" s="83" t="s">
        <v>2156</v>
      </c>
      <c r="D1254" s="233">
        <v>1977</v>
      </c>
      <c r="E1254" s="233"/>
      <c r="F1254" s="233" t="s">
        <v>256</v>
      </c>
      <c r="G1254" s="233">
        <v>5</v>
      </c>
      <c r="H1254" s="233">
        <v>2</v>
      </c>
      <c r="I1254" s="234">
        <v>4074.3</v>
      </c>
      <c r="J1254" s="234">
        <v>4074.3</v>
      </c>
      <c r="K1254" s="234">
        <v>1846.3</v>
      </c>
      <c r="L1254" s="235">
        <v>209</v>
      </c>
      <c r="M1254" s="233" t="s">
        <v>254</v>
      </c>
      <c r="N1254" s="233" t="s">
        <v>258</v>
      </c>
      <c r="O1254" s="236" t="s">
        <v>2288</v>
      </c>
      <c r="P1254" s="84">
        <v>95471.679999999993</v>
      </c>
      <c r="Q1254" s="234">
        <v>0</v>
      </c>
      <c r="R1254" s="234">
        <v>0</v>
      </c>
      <c r="S1254" s="234">
        <v>0</v>
      </c>
      <c r="T1254" s="234">
        <f t="shared" si="106"/>
        <v>95471.679999999993</v>
      </c>
      <c r="U1254" s="234">
        <f t="shared" si="89"/>
        <v>23.432658370763072</v>
      </c>
      <c r="V1254" s="78">
        <v>23.432658370763072</v>
      </c>
    </row>
    <row r="1255" spans="1:22" s="79" customFormat="1" ht="36" customHeight="1" x14ac:dyDescent="0.5">
      <c r="A1255" s="79">
        <v>1</v>
      </c>
      <c r="B1255" s="85">
        <f>SUBTOTAL(103,$A$1026:A1255)</f>
        <v>223</v>
      </c>
      <c r="C1255" s="83" t="s">
        <v>1815</v>
      </c>
      <c r="D1255" s="233">
        <v>1972</v>
      </c>
      <c r="E1255" s="233"/>
      <c r="F1255" s="233" t="s">
        <v>1479</v>
      </c>
      <c r="G1255" s="233" t="s">
        <v>290</v>
      </c>
      <c r="H1255" s="233" t="s">
        <v>290</v>
      </c>
      <c r="I1255" s="234">
        <v>770.7</v>
      </c>
      <c r="J1255" s="234">
        <v>710.1</v>
      </c>
      <c r="K1255" s="234">
        <v>710.1</v>
      </c>
      <c r="L1255" s="235">
        <v>29</v>
      </c>
      <c r="M1255" s="233" t="s">
        <v>254</v>
      </c>
      <c r="N1255" s="233" t="s">
        <v>258</v>
      </c>
      <c r="O1255" s="236" t="s">
        <v>661</v>
      </c>
      <c r="P1255" s="84">
        <v>4667875.53</v>
      </c>
      <c r="Q1255" s="234">
        <v>0</v>
      </c>
      <c r="R1255" s="234">
        <v>0</v>
      </c>
      <c r="S1255" s="234">
        <v>0</v>
      </c>
      <c r="T1255" s="234">
        <f t="shared" si="106"/>
        <v>4667875.53</v>
      </c>
      <c r="U1255" s="234">
        <f t="shared" si="89"/>
        <v>6056.6699493966526</v>
      </c>
      <c r="V1255" s="78">
        <v>9033.4847696898905</v>
      </c>
    </row>
    <row r="1256" spans="1:22" s="79" customFormat="1" ht="36" customHeight="1" x14ac:dyDescent="0.5">
      <c r="A1256" s="79">
        <v>1</v>
      </c>
      <c r="B1256" s="85">
        <f>SUBTOTAL(103,$A$1026:A1256)</f>
        <v>224</v>
      </c>
      <c r="C1256" s="83" t="s">
        <v>1814</v>
      </c>
      <c r="D1256" s="233">
        <v>1990</v>
      </c>
      <c r="E1256" s="233"/>
      <c r="F1256" s="233" t="s">
        <v>304</v>
      </c>
      <c r="G1256" s="233" t="s">
        <v>337</v>
      </c>
      <c r="H1256" s="233" t="s">
        <v>355</v>
      </c>
      <c r="I1256" s="234">
        <v>6660</v>
      </c>
      <c r="J1256" s="234">
        <v>4728.7</v>
      </c>
      <c r="K1256" s="234">
        <v>4728.7</v>
      </c>
      <c r="L1256" s="235">
        <v>207</v>
      </c>
      <c r="M1256" s="233" t="s">
        <v>254</v>
      </c>
      <c r="N1256" s="233" t="s">
        <v>258</v>
      </c>
      <c r="O1256" s="236" t="s">
        <v>661</v>
      </c>
      <c r="P1256" s="84">
        <v>9075276.9199999999</v>
      </c>
      <c r="Q1256" s="234">
        <v>0</v>
      </c>
      <c r="R1256" s="234">
        <v>0</v>
      </c>
      <c r="S1256" s="234">
        <v>0</v>
      </c>
      <c r="T1256" s="234">
        <f t="shared" si="106"/>
        <v>9075276.9199999999</v>
      </c>
      <c r="U1256" s="234">
        <f t="shared" si="89"/>
        <v>1362.6541921921921</v>
      </c>
      <c r="V1256" s="78">
        <v>2036.6371442642644</v>
      </c>
    </row>
    <row r="1257" spans="1:22" s="79" customFormat="1" ht="36" customHeight="1" x14ac:dyDescent="0.5">
      <c r="A1257" s="79">
        <v>1</v>
      </c>
      <c r="B1257" s="85">
        <f>SUBTOTAL(103,$A$1026:A1257)</f>
        <v>225</v>
      </c>
      <c r="C1257" s="83" t="s">
        <v>1816</v>
      </c>
      <c r="D1257" s="233">
        <v>1959</v>
      </c>
      <c r="E1257" s="233"/>
      <c r="F1257" s="233" t="s">
        <v>1479</v>
      </c>
      <c r="G1257" s="233" t="s">
        <v>299</v>
      </c>
      <c r="H1257" s="233" t="s">
        <v>299</v>
      </c>
      <c r="I1257" s="234">
        <v>1662.7</v>
      </c>
      <c r="J1257" s="234">
        <v>1046.8</v>
      </c>
      <c r="K1257" s="234">
        <v>950.1</v>
      </c>
      <c r="L1257" s="235">
        <v>59</v>
      </c>
      <c r="M1257" s="233" t="s">
        <v>254</v>
      </c>
      <c r="N1257" s="233" t="s">
        <v>258</v>
      </c>
      <c r="O1257" s="236" t="s">
        <v>661</v>
      </c>
      <c r="P1257" s="84">
        <v>4445929.62</v>
      </c>
      <c r="Q1257" s="234">
        <v>0</v>
      </c>
      <c r="R1257" s="234">
        <v>0</v>
      </c>
      <c r="S1257" s="234">
        <v>0</v>
      </c>
      <c r="T1257" s="234">
        <f t="shared" si="106"/>
        <v>4445929.62</v>
      </c>
      <c r="U1257" s="234">
        <f t="shared" si="89"/>
        <v>2673.9217056594694</v>
      </c>
      <c r="V1257" s="78">
        <v>3951.5224923317501</v>
      </c>
    </row>
    <row r="1258" spans="1:22" s="79" customFormat="1" ht="36" customHeight="1" x14ac:dyDescent="0.5">
      <c r="B1258" s="83" t="s">
        <v>763</v>
      </c>
      <c r="C1258" s="83"/>
      <c r="D1258" s="233" t="s">
        <v>835</v>
      </c>
      <c r="E1258" s="233" t="s">
        <v>835</v>
      </c>
      <c r="F1258" s="233" t="s">
        <v>835</v>
      </c>
      <c r="G1258" s="233" t="s">
        <v>835</v>
      </c>
      <c r="H1258" s="233" t="s">
        <v>835</v>
      </c>
      <c r="I1258" s="234">
        <f>SUM(I1259:I1261)</f>
        <v>7799.16</v>
      </c>
      <c r="J1258" s="234">
        <f t="shared" ref="J1258:L1258" si="107">SUM(J1259:J1261)</f>
        <v>5773.11</v>
      </c>
      <c r="K1258" s="234">
        <f t="shared" si="107"/>
        <v>5688.9099999999989</v>
      </c>
      <c r="L1258" s="235">
        <f t="shared" si="107"/>
        <v>252</v>
      </c>
      <c r="M1258" s="233" t="s">
        <v>835</v>
      </c>
      <c r="N1258" s="233" t="s">
        <v>835</v>
      </c>
      <c r="O1258" s="236" t="s">
        <v>835</v>
      </c>
      <c r="P1258" s="138">
        <v>4843377.25</v>
      </c>
      <c r="Q1258" s="234">
        <f t="shared" ref="Q1258" si="108">SUM(Q1259:Q1261)</f>
        <v>0</v>
      </c>
      <c r="R1258" s="234">
        <f t="shared" ref="R1258" si="109">SUM(R1259:R1261)</f>
        <v>0</v>
      </c>
      <c r="S1258" s="234">
        <f t="shared" ref="S1258" si="110">SUM(S1259:S1261)</f>
        <v>0</v>
      </c>
      <c r="T1258" s="234">
        <f t="shared" ref="T1258" si="111">SUM(T1259:T1261)</f>
        <v>4843377.25</v>
      </c>
      <c r="U1258" s="234">
        <f t="shared" si="89"/>
        <v>621.01267957062043</v>
      </c>
      <c r="V1258" s="78">
        <f>MAX(V1259:V1261)</f>
        <v>2287.9273508532237</v>
      </c>
    </row>
    <row r="1259" spans="1:22" s="79" customFormat="1" ht="36" customHeight="1" x14ac:dyDescent="0.5">
      <c r="A1259" s="79">
        <v>1</v>
      </c>
      <c r="B1259" s="85">
        <f>SUBTOTAL(103,$A$1026:A1259)</f>
        <v>226</v>
      </c>
      <c r="C1259" s="83" t="s">
        <v>604</v>
      </c>
      <c r="D1259" s="233">
        <v>1986</v>
      </c>
      <c r="E1259" s="233"/>
      <c r="F1259" s="233" t="s">
        <v>256</v>
      </c>
      <c r="G1259" s="233">
        <v>5</v>
      </c>
      <c r="H1259" s="233" t="s">
        <v>295</v>
      </c>
      <c r="I1259" s="234">
        <v>3732.9</v>
      </c>
      <c r="J1259" s="234">
        <v>2826.7</v>
      </c>
      <c r="K1259" s="234">
        <v>2826.7</v>
      </c>
      <c r="L1259" s="235">
        <v>115</v>
      </c>
      <c r="M1259" s="233" t="s">
        <v>254</v>
      </c>
      <c r="N1259" s="233" t="s">
        <v>258</v>
      </c>
      <c r="O1259" s="236" t="s">
        <v>664</v>
      </c>
      <c r="P1259" s="84">
        <v>4201300.96</v>
      </c>
      <c r="Q1259" s="234">
        <v>0</v>
      </c>
      <c r="R1259" s="234">
        <v>0</v>
      </c>
      <c r="S1259" s="234">
        <v>0</v>
      </c>
      <c r="T1259" s="234">
        <f t="shared" ref="T1259:T1261" si="112">P1259-Q1259-R1259-S1259</f>
        <v>4201300.96</v>
      </c>
      <c r="U1259" s="234">
        <f t="shared" si="89"/>
        <v>1125.4791073963943</v>
      </c>
      <c r="V1259" s="78">
        <v>2287.9273508532237</v>
      </c>
    </row>
    <row r="1260" spans="1:22" s="79" customFormat="1" ht="36" customHeight="1" x14ac:dyDescent="0.5">
      <c r="A1260" s="79">
        <v>1</v>
      </c>
      <c r="B1260" s="85">
        <f>SUBTOTAL(103,$A$1026:A1260)</f>
        <v>227</v>
      </c>
      <c r="C1260" s="83" t="s">
        <v>607</v>
      </c>
      <c r="D1260" s="233">
        <v>1964</v>
      </c>
      <c r="E1260" s="233"/>
      <c r="F1260" s="233" t="s">
        <v>256</v>
      </c>
      <c r="G1260" s="233">
        <v>4</v>
      </c>
      <c r="H1260" s="233" t="s">
        <v>299</v>
      </c>
      <c r="I1260" s="234">
        <v>2709.75</v>
      </c>
      <c r="J1260" s="234">
        <v>2012.8</v>
      </c>
      <c r="K1260" s="234">
        <v>1928.6</v>
      </c>
      <c r="L1260" s="235">
        <v>73</v>
      </c>
      <c r="M1260" s="233" t="s">
        <v>254</v>
      </c>
      <c r="N1260" s="233" t="s">
        <v>258</v>
      </c>
      <c r="O1260" s="236" t="s">
        <v>935</v>
      </c>
      <c r="P1260" s="84">
        <v>128119.05</v>
      </c>
      <c r="Q1260" s="234">
        <v>0</v>
      </c>
      <c r="R1260" s="234">
        <v>0</v>
      </c>
      <c r="S1260" s="234">
        <v>0</v>
      </c>
      <c r="T1260" s="234">
        <f t="shared" si="112"/>
        <v>128119.05</v>
      </c>
      <c r="U1260" s="234">
        <f t="shared" si="89"/>
        <v>47.280763908109606</v>
      </c>
      <c r="V1260" s="78">
        <v>47.280763908109606</v>
      </c>
    </row>
    <row r="1261" spans="1:22" s="79" customFormat="1" ht="36" customHeight="1" x14ac:dyDescent="0.5">
      <c r="A1261" s="79">
        <v>1</v>
      </c>
      <c r="B1261" s="85">
        <f>SUBTOTAL(103,$A$1026:A1261)</f>
        <v>228</v>
      </c>
      <c r="C1261" s="83" t="s">
        <v>1805</v>
      </c>
      <c r="D1261" s="233">
        <v>1962</v>
      </c>
      <c r="E1261" s="233"/>
      <c r="F1261" s="233" t="s">
        <v>1479</v>
      </c>
      <c r="G1261" s="233" t="s">
        <v>299</v>
      </c>
      <c r="H1261" s="233" t="s">
        <v>290</v>
      </c>
      <c r="I1261" s="234">
        <v>1356.51</v>
      </c>
      <c r="J1261" s="234">
        <v>933.61</v>
      </c>
      <c r="K1261" s="234">
        <v>933.61</v>
      </c>
      <c r="L1261" s="235">
        <v>64</v>
      </c>
      <c r="M1261" s="233" t="s">
        <v>254</v>
      </c>
      <c r="N1261" s="233" t="s">
        <v>258</v>
      </c>
      <c r="O1261" s="236" t="s">
        <v>1238</v>
      </c>
      <c r="P1261" s="84">
        <v>513957.24</v>
      </c>
      <c r="Q1261" s="234">
        <v>0</v>
      </c>
      <c r="R1261" s="234">
        <v>0</v>
      </c>
      <c r="S1261" s="234">
        <v>0</v>
      </c>
      <c r="T1261" s="234">
        <f t="shared" si="112"/>
        <v>513957.24</v>
      </c>
      <c r="U1261" s="234">
        <f t="shared" si="89"/>
        <v>378.88201340203904</v>
      </c>
      <c r="V1261" s="78">
        <v>1051.81</v>
      </c>
    </row>
    <row r="1262" spans="1:22" s="79" customFormat="1" ht="36" customHeight="1" x14ac:dyDescent="0.5">
      <c r="B1262" s="83" t="s">
        <v>764</v>
      </c>
      <c r="C1262" s="253"/>
      <c r="D1262" s="233" t="s">
        <v>835</v>
      </c>
      <c r="E1262" s="233" t="s">
        <v>835</v>
      </c>
      <c r="F1262" s="233" t="s">
        <v>835</v>
      </c>
      <c r="G1262" s="233" t="s">
        <v>835</v>
      </c>
      <c r="H1262" s="233" t="s">
        <v>835</v>
      </c>
      <c r="I1262" s="234">
        <f>I1263</f>
        <v>783.5</v>
      </c>
      <c r="J1262" s="234">
        <f t="shared" ref="J1262:L1262" si="113">J1263</f>
        <v>724.4</v>
      </c>
      <c r="K1262" s="234">
        <f t="shared" si="113"/>
        <v>724.4</v>
      </c>
      <c r="L1262" s="235">
        <f t="shared" si="113"/>
        <v>35</v>
      </c>
      <c r="M1262" s="233" t="s">
        <v>835</v>
      </c>
      <c r="N1262" s="233" t="s">
        <v>835</v>
      </c>
      <c r="O1262" s="236" t="s">
        <v>835</v>
      </c>
      <c r="P1262" s="138">
        <v>323625.23</v>
      </c>
      <c r="Q1262" s="234">
        <f t="shared" ref="Q1262" si="114">Q1263</f>
        <v>0</v>
      </c>
      <c r="R1262" s="234">
        <f t="shared" ref="R1262" si="115">R1263</f>
        <v>0</v>
      </c>
      <c r="S1262" s="234">
        <f t="shared" ref="S1262" si="116">S1263</f>
        <v>0</v>
      </c>
      <c r="T1262" s="234">
        <f t="shared" ref="T1262" si="117">T1263</f>
        <v>323625.23</v>
      </c>
      <c r="U1262" s="234">
        <f t="shared" si="89"/>
        <v>413.05070835992342</v>
      </c>
      <c r="V1262" s="78">
        <f>V1263</f>
        <v>413.05070835992342</v>
      </c>
    </row>
    <row r="1263" spans="1:22" s="79" customFormat="1" ht="36" customHeight="1" x14ac:dyDescent="0.5">
      <c r="A1263" s="79">
        <v>1</v>
      </c>
      <c r="B1263" s="85">
        <f>SUBTOTAL(103,$A$1026:A1263)</f>
        <v>229</v>
      </c>
      <c r="C1263" s="251" t="s">
        <v>2585</v>
      </c>
      <c r="D1263" s="233">
        <v>1971</v>
      </c>
      <c r="E1263" s="233"/>
      <c r="F1263" s="233" t="s">
        <v>256</v>
      </c>
      <c r="G1263" s="233">
        <v>2</v>
      </c>
      <c r="H1263" s="233">
        <v>2</v>
      </c>
      <c r="I1263" s="234">
        <v>783.5</v>
      </c>
      <c r="J1263" s="234">
        <v>724.4</v>
      </c>
      <c r="K1263" s="234">
        <v>724.4</v>
      </c>
      <c r="L1263" s="235">
        <v>35</v>
      </c>
      <c r="M1263" s="233" t="s">
        <v>254</v>
      </c>
      <c r="N1263" s="233" t="s">
        <v>255</v>
      </c>
      <c r="O1263" s="236" t="s">
        <v>257</v>
      </c>
      <c r="P1263" s="84">
        <v>323625.23</v>
      </c>
      <c r="Q1263" s="234">
        <v>0</v>
      </c>
      <c r="R1263" s="234">
        <v>0</v>
      </c>
      <c r="S1263" s="234">
        <v>0</v>
      </c>
      <c r="T1263" s="234">
        <f>P1263-Q1263-R1263-S1263</f>
        <v>323625.23</v>
      </c>
      <c r="U1263" s="234">
        <f t="shared" si="89"/>
        <v>413.05070835992342</v>
      </c>
      <c r="V1263" s="78">
        <v>413.05070835992342</v>
      </c>
    </row>
    <row r="1264" spans="1:22" s="79" customFormat="1" ht="36" customHeight="1" x14ac:dyDescent="0.5">
      <c r="B1264" s="83" t="s">
        <v>766</v>
      </c>
      <c r="C1264" s="83"/>
      <c r="D1264" s="233" t="s">
        <v>835</v>
      </c>
      <c r="E1264" s="233" t="s">
        <v>835</v>
      </c>
      <c r="F1264" s="233" t="s">
        <v>835</v>
      </c>
      <c r="G1264" s="233" t="s">
        <v>835</v>
      </c>
      <c r="H1264" s="233" t="s">
        <v>835</v>
      </c>
      <c r="I1264" s="234">
        <f>SUM(I1265:I1267)</f>
        <v>2397.8000000000002</v>
      </c>
      <c r="J1264" s="234">
        <f t="shared" ref="J1264:L1264" si="118">SUM(J1265:J1267)</f>
        <v>2132.6999999999998</v>
      </c>
      <c r="K1264" s="234">
        <f t="shared" si="118"/>
        <v>981.3</v>
      </c>
      <c r="L1264" s="235">
        <f t="shared" si="118"/>
        <v>94</v>
      </c>
      <c r="M1264" s="233" t="s">
        <v>835</v>
      </c>
      <c r="N1264" s="233" t="s">
        <v>835</v>
      </c>
      <c r="O1264" s="236" t="s">
        <v>835</v>
      </c>
      <c r="P1264" s="138">
        <v>10155116.859999999</v>
      </c>
      <c r="Q1264" s="234">
        <f t="shared" ref="Q1264" si="119">SUM(Q1265:Q1267)</f>
        <v>0</v>
      </c>
      <c r="R1264" s="234">
        <f t="shared" ref="R1264" si="120">SUM(R1265:R1267)</f>
        <v>0</v>
      </c>
      <c r="S1264" s="234">
        <f t="shared" ref="S1264" si="121">SUM(S1265:S1267)</f>
        <v>0</v>
      </c>
      <c r="T1264" s="234">
        <f t="shared" ref="T1264" si="122">SUM(T1265:T1267)</f>
        <v>10155116.859999999</v>
      </c>
      <c r="U1264" s="234">
        <f t="shared" si="89"/>
        <v>4235.1809408624567</v>
      </c>
      <c r="V1264" s="78">
        <f>MAX(V1265:V1267)</f>
        <v>8243.9532620195132</v>
      </c>
    </row>
    <row r="1265" spans="1:22" s="79" customFormat="1" ht="36" customHeight="1" x14ac:dyDescent="0.5">
      <c r="A1265" s="79">
        <v>1</v>
      </c>
      <c r="B1265" s="85">
        <f>SUBTOTAL(103,$A$1026:A1265)</f>
        <v>230</v>
      </c>
      <c r="C1265" s="251" t="s">
        <v>632</v>
      </c>
      <c r="D1265" s="233">
        <v>1971</v>
      </c>
      <c r="E1265" s="233"/>
      <c r="F1265" s="233" t="s">
        <v>256</v>
      </c>
      <c r="G1265" s="233">
        <v>3</v>
      </c>
      <c r="H1265" s="233" t="s">
        <v>290</v>
      </c>
      <c r="I1265" s="234">
        <v>1082.2</v>
      </c>
      <c r="J1265" s="234">
        <v>1018.1</v>
      </c>
      <c r="K1265" s="234">
        <v>114.5</v>
      </c>
      <c r="L1265" s="235">
        <v>44</v>
      </c>
      <c r="M1265" s="233" t="s">
        <v>254</v>
      </c>
      <c r="N1265" s="233" t="s">
        <v>255</v>
      </c>
      <c r="O1265" s="236" t="s">
        <v>257</v>
      </c>
      <c r="P1265" s="84">
        <v>5166073.3</v>
      </c>
      <c r="Q1265" s="234">
        <v>0</v>
      </c>
      <c r="R1265" s="234">
        <v>0</v>
      </c>
      <c r="S1265" s="234">
        <v>0</v>
      </c>
      <c r="T1265" s="234">
        <f t="shared" ref="T1265:T1267" si="123">P1265-Q1265-R1265-S1265</f>
        <v>5166073.3</v>
      </c>
      <c r="U1265" s="234">
        <f t="shared" si="89"/>
        <v>4773.6770467566066</v>
      </c>
      <c r="V1265" s="78">
        <v>6159.4265015708734</v>
      </c>
    </row>
    <row r="1266" spans="1:22" s="79" customFormat="1" ht="36" customHeight="1" x14ac:dyDescent="0.5">
      <c r="A1266" s="79">
        <v>1</v>
      </c>
      <c r="B1266" s="85">
        <f>SUBTOTAL(103,$A$1026:A1266)</f>
        <v>231</v>
      </c>
      <c r="C1266" s="251" t="s">
        <v>642</v>
      </c>
      <c r="D1266" s="233">
        <v>1968</v>
      </c>
      <c r="E1266" s="233"/>
      <c r="F1266" s="233" t="s">
        <v>256</v>
      </c>
      <c r="G1266" s="233">
        <v>2</v>
      </c>
      <c r="H1266" s="233" t="s">
        <v>290</v>
      </c>
      <c r="I1266" s="234">
        <v>464.9</v>
      </c>
      <c r="J1266" s="234">
        <v>408.7</v>
      </c>
      <c r="K1266" s="234">
        <v>160.9</v>
      </c>
      <c r="L1266" s="235">
        <v>28</v>
      </c>
      <c r="M1266" s="233" t="s">
        <v>254</v>
      </c>
      <c r="N1266" s="233" t="s">
        <v>255</v>
      </c>
      <c r="O1266" s="236" t="s">
        <v>257</v>
      </c>
      <c r="P1266" s="84">
        <v>63739.95</v>
      </c>
      <c r="Q1266" s="234">
        <v>0</v>
      </c>
      <c r="R1266" s="234">
        <v>0</v>
      </c>
      <c r="S1266" s="234">
        <v>0</v>
      </c>
      <c r="T1266" s="234">
        <f t="shared" si="123"/>
        <v>63739.95</v>
      </c>
      <c r="U1266" s="234">
        <f t="shared" si="89"/>
        <v>137.10464616046463</v>
      </c>
      <c r="V1266" s="78">
        <v>145.83757797375782</v>
      </c>
    </row>
    <row r="1267" spans="1:22" s="79" customFormat="1" ht="36" customHeight="1" x14ac:dyDescent="0.5">
      <c r="A1267" s="79">
        <v>1</v>
      </c>
      <c r="B1267" s="85">
        <f>SUBTOTAL(103,$A$1026:A1267)</f>
        <v>232</v>
      </c>
      <c r="C1267" s="83" t="s">
        <v>637</v>
      </c>
      <c r="D1267" s="233">
        <v>1975</v>
      </c>
      <c r="E1267" s="233"/>
      <c r="F1267" s="233" t="s">
        <v>256</v>
      </c>
      <c r="G1267" s="233">
        <v>2</v>
      </c>
      <c r="H1267" s="233" t="s">
        <v>290</v>
      </c>
      <c r="I1267" s="234">
        <v>850.7</v>
      </c>
      <c r="J1267" s="234">
        <v>705.9</v>
      </c>
      <c r="K1267" s="234">
        <v>705.9</v>
      </c>
      <c r="L1267" s="235">
        <v>22</v>
      </c>
      <c r="M1267" s="233" t="s">
        <v>254</v>
      </c>
      <c r="N1267" s="233" t="s">
        <v>255</v>
      </c>
      <c r="O1267" s="236" t="s">
        <v>257</v>
      </c>
      <c r="P1267" s="84">
        <v>4925303.6100000003</v>
      </c>
      <c r="Q1267" s="234">
        <v>0</v>
      </c>
      <c r="R1267" s="234">
        <v>0</v>
      </c>
      <c r="S1267" s="234">
        <v>0</v>
      </c>
      <c r="T1267" s="234">
        <f t="shared" si="123"/>
        <v>4925303.6100000003</v>
      </c>
      <c r="U1267" s="234">
        <f t="shared" si="89"/>
        <v>5789.7068414247087</v>
      </c>
      <c r="V1267" s="78">
        <v>8243.9532620195132</v>
      </c>
    </row>
    <row r="1268" spans="1:22" s="79" customFormat="1" ht="36" customHeight="1" x14ac:dyDescent="0.5">
      <c r="B1268" s="83" t="s">
        <v>829</v>
      </c>
      <c r="C1268" s="83"/>
      <c r="D1268" s="233" t="s">
        <v>835</v>
      </c>
      <c r="E1268" s="233" t="s">
        <v>835</v>
      </c>
      <c r="F1268" s="233" t="s">
        <v>835</v>
      </c>
      <c r="G1268" s="233" t="s">
        <v>835</v>
      </c>
      <c r="H1268" s="233" t="s">
        <v>835</v>
      </c>
      <c r="I1268" s="234">
        <f>SUM(I1269:I1270)</f>
        <v>1139.0999999999999</v>
      </c>
      <c r="J1268" s="234">
        <f t="shared" ref="J1268:L1268" si="124">SUM(J1269:J1270)</f>
        <v>1016.2</v>
      </c>
      <c r="K1268" s="234">
        <f t="shared" si="124"/>
        <v>974.7</v>
      </c>
      <c r="L1268" s="235">
        <f t="shared" si="124"/>
        <v>56</v>
      </c>
      <c r="M1268" s="233" t="s">
        <v>835</v>
      </c>
      <c r="N1268" s="233" t="s">
        <v>835</v>
      </c>
      <c r="O1268" s="236" t="s">
        <v>835</v>
      </c>
      <c r="P1268" s="138">
        <v>8088613.6699999999</v>
      </c>
      <c r="Q1268" s="234">
        <f t="shared" ref="Q1268" si="125">SUM(Q1269:Q1270)</f>
        <v>0</v>
      </c>
      <c r="R1268" s="234">
        <f t="shared" ref="R1268" si="126">SUM(R1269:R1270)</f>
        <v>0</v>
      </c>
      <c r="S1268" s="234">
        <f t="shared" ref="S1268" si="127">SUM(S1269:S1270)</f>
        <v>0</v>
      </c>
      <c r="T1268" s="234">
        <f t="shared" ref="T1268" si="128">SUM(T1269:T1270)</f>
        <v>8088613.6699999999</v>
      </c>
      <c r="U1268" s="234">
        <f t="shared" si="89"/>
        <v>7100.8811078921963</v>
      </c>
      <c r="V1268" s="78">
        <f>MAX(V1269:V1270)</f>
        <v>10005.751152073733</v>
      </c>
    </row>
    <row r="1269" spans="1:22" s="79" customFormat="1" ht="36" customHeight="1" x14ac:dyDescent="0.5">
      <c r="A1269" s="79">
        <v>1</v>
      </c>
      <c r="B1269" s="85">
        <f>SUBTOTAL(103,$A$1026:A1269)</f>
        <v>233</v>
      </c>
      <c r="C1269" s="251" t="s">
        <v>625</v>
      </c>
      <c r="D1269" s="233">
        <v>1962</v>
      </c>
      <c r="E1269" s="233"/>
      <c r="F1269" s="233" t="s">
        <v>256</v>
      </c>
      <c r="G1269" s="233">
        <v>2</v>
      </c>
      <c r="H1269" s="233" t="s">
        <v>290</v>
      </c>
      <c r="I1269" s="234">
        <v>520.79999999999995</v>
      </c>
      <c r="J1269" s="234">
        <v>455.1</v>
      </c>
      <c r="K1269" s="234">
        <v>413.6</v>
      </c>
      <c r="L1269" s="235">
        <v>32</v>
      </c>
      <c r="M1269" s="233" t="s">
        <v>254</v>
      </c>
      <c r="N1269" s="233" t="s">
        <v>255</v>
      </c>
      <c r="O1269" s="236" t="s">
        <v>257</v>
      </c>
      <c r="P1269" s="84">
        <v>4609244.12</v>
      </c>
      <c r="Q1269" s="234">
        <v>0</v>
      </c>
      <c r="R1269" s="234">
        <v>0</v>
      </c>
      <c r="S1269" s="234">
        <v>0</v>
      </c>
      <c r="T1269" s="234">
        <f t="shared" ref="T1269:T1270" si="129">P1269-Q1269-R1269-S1269</f>
        <v>4609244.12</v>
      </c>
      <c r="U1269" s="234">
        <f t="shared" ref="U1269:U1336" si="130">P1269/I1269</f>
        <v>8850.3151305683568</v>
      </c>
      <c r="V1269" s="78">
        <v>10005.751152073733</v>
      </c>
    </row>
    <row r="1270" spans="1:22" s="79" customFormat="1" ht="36" customHeight="1" x14ac:dyDescent="0.5">
      <c r="A1270" s="79">
        <v>1</v>
      </c>
      <c r="B1270" s="85">
        <f>SUBTOTAL(103,$A$1026:A1270)</f>
        <v>234</v>
      </c>
      <c r="C1270" s="83" t="s">
        <v>624</v>
      </c>
      <c r="D1270" s="233">
        <v>1984</v>
      </c>
      <c r="E1270" s="233"/>
      <c r="F1270" s="233" t="s">
        <v>304</v>
      </c>
      <c r="G1270" s="233">
        <v>2</v>
      </c>
      <c r="H1270" s="233" t="s">
        <v>290</v>
      </c>
      <c r="I1270" s="234">
        <v>618.29999999999995</v>
      </c>
      <c r="J1270" s="234">
        <v>561.1</v>
      </c>
      <c r="K1270" s="234">
        <v>561.1</v>
      </c>
      <c r="L1270" s="235">
        <v>24</v>
      </c>
      <c r="M1270" s="233" t="s">
        <v>254</v>
      </c>
      <c r="N1270" s="233" t="s">
        <v>255</v>
      </c>
      <c r="O1270" s="236" t="s">
        <v>257</v>
      </c>
      <c r="P1270" s="84">
        <v>3479369.55</v>
      </c>
      <c r="Q1270" s="234">
        <v>0</v>
      </c>
      <c r="R1270" s="234">
        <v>0</v>
      </c>
      <c r="S1270" s="234">
        <v>0</v>
      </c>
      <c r="T1270" s="234">
        <f t="shared" si="129"/>
        <v>3479369.55</v>
      </c>
      <c r="U1270" s="234">
        <f t="shared" si="130"/>
        <v>5627.3161086851042</v>
      </c>
      <c r="V1270" s="78">
        <v>8410.3816270418902</v>
      </c>
    </row>
    <row r="1271" spans="1:22" s="79" customFormat="1" ht="36" customHeight="1" x14ac:dyDescent="0.5">
      <c r="B1271" s="83" t="s">
        <v>767</v>
      </c>
      <c r="C1271" s="83"/>
      <c r="D1271" s="233" t="s">
        <v>835</v>
      </c>
      <c r="E1271" s="233" t="s">
        <v>835</v>
      </c>
      <c r="F1271" s="233" t="s">
        <v>835</v>
      </c>
      <c r="G1271" s="233" t="s">
        <v>835</v>
      </c>
      <c r="H1271" s="233" t="s">
        <v>835</v>
      </c>
      <c r="I1271" s="234">
        <f>SUM(I1272:I1273)</f>
        <v>7253.2</v>
      </c>
      <c r="J1271" s="234">
        <f t="shared" ref="J1271:K1271" si="131">SUM(J1272:J1273)</f>
        <v>5908.5</v>
      </c>
      <c r="K1271" s="234">
        <f t="shared" si="131"/>
        <v>3856.56</v>
      </c>
      <c r="L1271" s="235">
        <f>SUM(L1272:L1273)</f>
        <v>309</v>
      </c>
      <c r="M1271" s="233" t="s">
        <v>835</v>
      </c>
      <c r="N1271" s="233" t="s">
        <v>835</v>
      </c>
      <c r="O1271" s="236" t="s">
        <v>835</v>
      </c>
      <c r="P1271" s="138">
        <v>10343227.370000001</v>
      </c>
      <c r="Q1271" s="234">
        <f>SUM(Q1272:Q1273)</f>
        <v>0</v>
      </c>
      <c r="R1271" s="234">
        <f t="shared" ref="R1271:T1271" si="132">SUM(R1272:R1273)</f>
        <v>0</v>
      </c>
      <c r="S1271" s="234">
        <f t="shared" si="132"/>
        <v>0</v>
      </c>
      <c r="T1271" s="234">
        <f t="shared" si="132"/>
        <v>10343227.370000001</v>
      </c>
      <c r="U1271" s="234">
        <f t="shared" si="130"/>
        <v>1426.0226341476866</v>
      </c>
      <c r="V1271" s="78">
        <f>MAX(V1272:V1273)</f>
        <v>2749.4196562955453</v>
      </c>
    </row>
    <row r="1272" spans="1:22" s="79" customFormat="1" ht="36" customHeight="1" x14ac:dyDescent="0.5">
      <c r="A1272" s="79">
        <v>1</v>
      </c>
      <c r="B1272" s="85">
        <f>SUBTOTAL(103,$A$1026:A1272)</f>
        <v>235</v>
      </c>
      <c r="C1272" s="83" t="s">
        <v>638</v>
      </c>
      <c r="D1272" s="233">
        <v>1990</v>
      </c>
      <c r="E1272" s="233"/>
      <c r="F1272" s="233" t="s">
        <v>674</v>
      </c>
      <c r="G1272" s="233">
        <v>5</v>
      </c>
      <c r="H1272" s="233" t="s">
        <v>295</v>
      </c>
      <c r="I1272" s="234">
        <v>3156.2</v>
      </c>
      <c r="J1272" s="234">
        <v>2811.5</v>
      </c>
      <c r="K1272" s="234">
        <v>759.56</v>
      </c>
      <c r="L1272" s="235">
        <v>151</v>
      </c>
      <c r="M1272" s="233" t="s">
        <v>254</v>
      </c>
      <c r="N1272" s="233" t="s">
        <v>258</v>
      </c>
      <c r="O1272" s="236" t="s">
        <v>671</v>
      </c>
      <c r="P1272" s="84">
        <v>5346762.28</v>
      </c>
      <c r="Q1272" s="234">
        <v>0</v>
      </c>
      <c r="R1272" s="234">
        <v>0</v>
      </c>
      <c r="S1272" s="234">
        <v>0</v>
      </c>
      <c r="T1272" s="234">
        <f t="shared" ref="T1272:T1273" si="133">P1272-Q1272-R1272-S1272</f>
        <v>5346762.28</v>
      </c>
      <c r="U1272" s="234">
        <f t="shared" si="130"/>
        <v>1694.0505291172931</v>
      </c>
      <c r="V1272" s="78">
        <v>2749.4196562955453</v>
      </c>
    </row>
    <row r="1273" spans="1:22" s="79" customFormat="1" ht="36" customHeight="1" x14ac:dyDescent="0.5">
      <c r="A1273" s="79">
        <v>1</v>
      </c>
      <c r="B1273" s="85">
        <f>SUBTOTAL(103,$A$1026:A1273)</f>
        <v>236</v>
      </c>
      <c r="C1273" s="251" t="s">
        <v>630</v>
      </c>
      <c r="D1273" s="233">
        <v>1979</v>
      </c>
      <c r="E1273" s="233"/>
      <c r="F1273" s="233" t="s">
        <v>674</v>
      </c>
      <c r="G1273" s="233">
        <v>5</v>
      </c>
      <c r="H1273" s="233" t="s">
        <v>295</v>
      </c>
      <c r="I1273" s="234">
        <v>4097</v>
      </c>
      <c r="J1273" s="234">
        <v>3097</v>
      </c>
      <c r="K1273" s="234">
        <v>3097</v>
      </c>
      <c r="L1273" s="235">
        <v>158</v>
      </c>
      <c r="M1273" s="233" t="s">
        <v>254</v>
      </c>
      <c r="N1273" s="233" t="s">
        <v>258</v>
      </c>
      <c r="O1273" s="236" t="s">
        <v>671</v>
      </c>
      <c r="P1273" s="84">
        <v>4996465.09</v>
      </c>
      <c r="Q1273" s="234">
        <v>0</v>
      </c>
      <c r="R1273" s="234">
        <v>0</v>
      </c>
      <c r="S1273" s="234">
        <v>0</v>
      </c>
      <c r="T1273" s="234">
        <f t="shared" si="133"/>
        <v>4996465.09</v>
      </c>
      <c r="U1273" s="234">
        <f t="shared" si="130"/>
        <v>1219.5423700268489</v>
      </c>
      <c r="V1273" s="78">
        <v>1998.9048587747131</v>
      </c>
    </row>
    <row r="1274" spans="1:22" s="79" customFormat="1" ht="36" customHeight="1" x14ac:dyDescent="0.5">
      <c r="B1274" s="83" t="s">
        <v>768</v>
      </c>
      <c r="C1274" s="83"/>
      <c r="D1274" s="233" t="s">
        <v>835</v>
      </c>
      <c r="E1274" s="233" t="s">
        <v>835</v>
      </c>
      <c r="F1274" s="233" t="s">
        <v>835</v>
      </c>
      <c r="G1274" s="233" t="s">
        <v>835</v>
      </c>
      <c r="H1274" s="233" t="s">
        <v>835</v>
      </c>
      <c r="I1274" s="234">
        <f>SUM(I1275:I1286)</f>
        <v>24685.600000000002</v>
      </c>
      <c r="J1274" s="234">
        <f t="shared" ref="J1274:L1274" si="134">SUM(J1275:J1286)</f>
        <v>20620.5</v>
      </c>
      <c r="K1274" s="234">
        <f t="shared" si="134"/>
        <v>19402.699999999997</v>
      </c>
      <c r="L1274" s="235">
        <f t="shared" si="134"/>
        <v>1039</v>
      </c>
      <c r="M1274" s="233" t="s">
        <v>835</v>
      </c>
      <c r="N1274" s="233" t="s">
        <v>835</v>
      </c>
      <c r="O1274" s="236" t="s">
        <v>835</v>
      </c>
      <c r="P1274" s="138">
        <v>66278905.200000003</v>
      </c>
      <c r="Q1274" s="234">
        <f t="shared" ref="Q1274" si="135">SUM(Q1275:Q1286)</f>
        <v>0</v>
      </c>
      <c r="R1274" s="234">
        <f t="shared" ref="R1274" si="136">SUM(R1275:R1286)</f>
        <v>0</v>
      </c>
      <c r="S1274" s="234">
        <f t="shared" ref="S1274" si="137">SUM(S1275:S1286)</f>
        <v>0</v>
      </c>
      <c r="T1274" s="234">
        <f t="shared" ref="T1274" si="138">SUM(T1275:T1286)</f>
        <v>66278905.200000003</v>
      </c>
      <c r="U1274" s="234">
        <f t="shared" si="130"/>
        <v>2684.9217843601127</v>
      </c>
      <c r="V1274" s="78">
        <f>MAX(V1275:V1286)</f>
        <v>15846.65335387776</v>
      </c>
    </row>
    <row r="1275" spans="1:22" s="79" customFormat="1" ht="36" customHeight="1" x14ac:dyDescent="0.5">
      <c r="A1275" s="79">
        <v>1</v>
      </c>
      <c r="B1275" s="85">
        <f>SUBTOTAL(103,$A$1026:A1275)</f>
        <v>237</v>
      </c>
      <c r="C1275" s="251" t="s">
        <v>613</v>
      </c>
      <c r="D1275" s="233">
        <v>1963</v>
      </c>
      <c r="E1275" s="233"/>
      <c r="F1275" s="233" t="s">
        <v>316</v>
      </c>
      <c r="G1275" s="233">
        <v>2</v>
      </c>
      <c r="H1275" s="233" t="s">
        <v>290</v>
      </c>
      <c r="I1275" s="234">
        <v>279.7</v>
      </c>
      <c r="J1275" s="234">
        <v>175.8</v>
      </c>
      <c r="K1275" s="234">
        <v>175.8</v>
      </c>
      <c r="L1275" s="235">
        <v>24</v>
      </c>
      <c r="M1275" s="233" t="s">
        <v>254</v>
      </c>
      <c r="N1275" s="233" t="s">
        <v>255</v>
      </c>
      <c r="O1275" s="236" t="s">
        <v>257</v>
      </c>
      <c r="P1275" s="84">
        <v>2632371.0700000003</v>
      </c>
      <c r="Q1275" s="234">
        <v>0</v>
      </c>
      <c r="R1275" s="234">
        <v>0</v>
      </c>
      <c r="S1275" s="234">
        <v>0</v>
      </c>
      <c r="T1275" s="234">
        <f t="shared" ref="T1275:T1286" si="139">P1275-Q1275-R1275-S1275</f>
        <v>2632371.0700000003</v>
      </c>
      <c r="U1275" s="234">
        <f t="shared" si="130"/>
        <v>9411.4089023954257</v>
      </c>
      <c r="V1275" s="78">
        <v>10518.559313550233</v>
      </c>
    </row>
    <row r="1276" spans="1:22" s="79" customFormat="1" ht="36" customHeight="1" x14ac:dyDescent="0.5">
      <c r="A1276" s="79">
        <v>1</v>
      </c>
      <c r="B1276" s="85">
        <f>SUBTOTAL(103,$A$1026:A1276)</f>
        <v>238</v>
      </c>
      <c r="C1276" s="251" t="s">
        <v>614</v>
      </c>
      <c r="D1276" s="233">
        <v>1981</v>
      </c>
      <c r="E1276" s="233"/>
      <c r="F1276" s="233" t="s">
        <v>256</v>
      </c>
      <c r="G1276" s="233">
        <v>5</v>
      </c>
      <c r="H1276" s="233" t="s">
        <v>295</v>
      </c>
      <c r="I1276" s="234">
        <v>2798</v>
      </c>
      <c r="J1276" s="234">
        <v>2798</v>
      </c>
      <c r="K1276" s="234">
        <v>1700.7</v>
      </c>
      <c r="L1276" s="235">
        <v>156</v>
      </c>
      <c r="M1276" s="233" t="s">
        <v>254</v>
      </c>
      <c r="N1276" s="233" t="s">
        <v>258</v>
      </c>
      <c r="O1276" s="236" t="s">
        <v>669</v>
      </c>
      <c r="P1276" s="84">
        <v>4578482.49</v>
      </c>
      <c r="Q1276" s="234">
        <v>0</v>
      </c>
      <c r="R1276" s="234">
        <v>0</v>
      </c>
      <c r="S1276" s="234">
        <v>0</v>
      </c>
      <c r="T1276" s="234">
        <f t="shared" si="139"/>
        <v>4578482.49</v>
      </c>
      <c r="U1276" s="234">
        <f t="shared" si="130"/>
        <v>1636.3411329521086</v>
      </c>
      <c r="V1276" s="78">
        <v>3153.1595999999995</v>
      </c>
    </row>
    <row r="1277" spans="1:22" s="79" customFormat="1" ht="36" customHeight="1" x14ac:dyDescent="0.5">
      <c r="A1277" s="79">
        <v>1</v>
      </c>
      <c r="B1277" s="85">
        <f>SUBTOTAL(103,$A$1026:A1277)</f>
        <v>239</v>
      </c>
      <c r="C1277" s="251" t="s">
        <v>2132</v>
      </c>
      <c r="D1277" s="233">
        <v>1980</v>
      </c>
      <c r="E1277" s="233"/>
      <c r="F1277" s="233" t="s">
        <v>256</v>
      </c>
      <c r="G1277" s="233">
        <v>2</v>
      </c>
      <c r="H1277" s="233" t="s">
        <v>299</v>
      </c>
      <c r="I1277" s="234">
        <v>939.9</v>
      </c>
      <c r="J1277" s="234">
        <v>858</v>
      </c>
      <c r="K1277" s="234">
        <v>830.3</v>
      </c>
      <c r="L1277" s="235">
        <v>47</v>
      </c>
      <c r="M1277" s="233" t="s">
        <v>254</v>
      </c>
      <c r="N1277" s="233" t="s">
        <v>258</v>
      </c>
      <c r="O1277" s="236" t="s">
        <v>1022</v>
      </c>
      <c r="P1277" s="84">
        <v>72611.94</v>
      </c>
      <c r="Q1277" s="234">
        <v>0</v>
      </c>
      <c r="R1277" s="234">
        <v>0</v>
      </c>
      <c r="S1277" s="234">
        <v>0</v>
      </c>
      <c r="T1277" s="234">
        <f t="shared" si="139"/>
        <v>72611.94</v>
      </c>
      <c r="U1277" s="234">
        <f t="shared" si="130"/>
        <v>77.25496329396745</v>
      </c>
      <c r="V1277" s="78">
        <v>77.25496329396745</v>
      </c>
    </row>
    <row r="1278" spans="1:22" s="79" customFormat="1" ht="36" customHeight="1" x14ac:dyDescent="0.5">
      <c r="A1278" s="79">
        <v>1</v>
      </c>
      <c r="B1278" s="85">
        <f>SUBTOTAL(103,$A$1026:A1278)</f>
        <v>240</v>
      </c>
      <c r="C1278" s="251" t="s">
        <v>622</v>
      </c>
      <c r="D1278" s="233">
        <v>1993</v>
      </c>
      <c r="E1278" s="233"/>
      <c r="F1278" s="233" t="s">
        <v>298</v>
      </c>
      <c r="G1278" s="233">
        <v>5</v>
      </c>
      <c r="H1278" s="233" t="s">
        <v>299</v>
      </c>
      <c r="I1278" s="234">
        <v>3247.3</v>
      </c>
      <c r="J1278" s="234">
        <v>3247.3</v>
      </c>
      <c r="K1278" s="234">
        <v>3245</v>
      </c>
      <c r="L1278" s="235">
        <v>133</v>
      </c>
      <c r="M1278" s="233" t="s">
        <v>254</v>
      </c>
      <c r="N1278" s="233" t="s">
        <v>327</v>
      </c>
      <c r="O1278" s="236" t="s">
        <v>672</v>
      </c>
      <c r="P1278" s="84">
        <v>5436164.6900000004</v>
      </c>
      <c r="Q1278" s="234">
        <v>0</v>
      </c>
      <c r="R1278" s="234">
        <v>0</v>
      </c>
      <c r="S1278" s="234">
        <v>0</v>
      </c>
      <c r="T1278" s="234">
        <f t="shared" si="139"/>
        <v>5436164.6900000004</v>
      </c>
      <c r="U1278" s="234">
        <f t="shared" si="130"/>
        <v>1674.0568133526315</v>
      </c>
      <c r="V1278" s="78">
        <v>2747.0736944538539</v>
      </c>
    </row>
    <row r="1279" spans="1:22" s="79" customFormat="1" ht="36" customHeight="1" x14ac:dyDescent="0.5">
      <c r="A1279" s="79">
        <v>1</v>
      </c>
      <c r="B1279" s="85">
        <f>SUBTOTAL(103,$A$1026:A1279)</f>
        <v>241</v>
      </c>
      <c r="C1279" s="255" t="s">
        <v>2686</v>
      </c>
      <c r="D1279" s="233">
        <v>1980</v>
      </c>
      <c r="E1279" s="233"/>
      <c r="F1279" s="233" t="s">
        <v>256</v>
      </c>
      <c r="G1279" s="233">
        <v>2</v>
      </c>
      <c r="H1279" s="233">
        <v>3</v>
      </c>
      <c r="I1279" s="234">
        <v>845.5</v>
      </c>
      <c r="J1279" s="234">
        <v>845.5</v>
      </c>
      <c r="K1279" s="234">
        <v>845.5</v>
      </c>
      <c r="L1279" s="235">
        <v>47</v>
      </c>
      <c r="M1279" s="233" t="s">
        <v>254</v>
      </c>
      <c r="N1279" s="233" t="s">
        <v>255</v>
      </c>
      <c r="O1279" s="236" t="s">
        <v>257</v>
      </c>
      <c r="P1279" s="84">
        <v>7319523.4100000001</v>
      </c>
      <c r="Q1279" s="234">
        <v>0</v>
      </c>
      <c r="R1279" s="234">
        <v>0</v>
      </c>
      <c r="S1279" s="234">
        <v>0</v>
      </c>
      <c r="T1279" s="234">
        <f t="shared" si="139"/>
        <v>7319523.4100000001</v>
      </c>
      <c r="U1279" s="234">
        <f t="shared" si="130"/>
        <v>8657.0353755174456</v>
      </c>
      <c r="V1279" s="78">
        <v>10602.264332111175</v>
      </c>
    </row>
    <row r="1280" spans="1:22" s="79" customFormat="1" ht="36" customHeight="1" x14ac:dyDescent="0.5">
      <c r="A1280" s="79">
        <v>1</v>
      </c>
      <c r="B1280" s="85">
        <f>SUBTOTAL(103,$A$1026:A1280)</f>
        <v>242</v>
      </c>
      <c r="C1280" s="251" t="s">
        <v>1812</v>
      </c>
      <c r="D1280" s="233">
        <v>1959</v>
      </c>
      <c r="E1280" s="233"/>
      <c r="F1280" s="233" t="s">
        <v>1479</v>
      </c>
      <c r="G1280" s="233" t="s">
        <v>290</v>
      </c>
      <c r="H1280" s="233">
        <v>1</v>
      </c>
      <c r="I1280" s="234">
        <v>194.7</v>
      </c>
      <c r="J1280" s="234">
        <v>194.7</v>
      </c>
      <c r="K1280" s="234">
        <v>194.7</v>
      </c>
      <c r="L1280" s="235">
        <v>21</v>
      </c>
      <c r="M1280" s="233" t="s">
        <v>254</v>
      </c>
      <c r="N1280" s="233" t="s">
        <v>255</v>
      </c>
      <c r="O1280" s="236" t="s">
        <v>257</v>
      </c>
      <c r="P1280" s="84">
        <v>2677591.7400000002</v>
      </c>
      <c r="Q1280" s="234">
        <v>0</v>
      </c>
      <c r="R1280" s="234">
        <v>0</v>
      </c>
      <c r="S1280" s="234">
        <v>0</v>
      </c>
      <c r="T1280" s="234">
        <f t="shared" si="139"/>
        <v>2677591.7400000002</v>
      </c>
      <c r="U1280" s="234">
        <f t="shared" si="130"/>
        <v>13752.397226502313</v>
      </c>
      <c r="V1280" s="78">
        <v>15846.65335387776</v>
      </c>
    </row>
    <row r="1281" spans="1:22" s="79" customFormat="1" ht="36" customHeight="1" x14ac:dyDescent="0.5">
      <c r="A1281" s="79">
        <v>1</v>
      </c>
      <c r="B1281" s="85">
        <f>SUBTOTAL(103,$A$1026:A1281)</f>
        <v>243</v>
      </c>
      <c r="C1281" s="83" t="s">
        <v>2293</v>
      </c>
      <c r="D1281" s="233">
        <v>1972</v>
      </c>
      <c r="E1281" s="233"/>
      <c r="F1281" s="233" t="s">
        <v>1479</v>
      </c>
      <c r="G1281" s="233">
        <v>5</v>
      </c>
      <c r="H1281" s="233">
        <v>4</v>
      </c>
      <c r="I1281" s="234">
        <v>3712</v>
      </c>
      <c r="J1281" s="234">
        <v>3452.5</v>
      </c>
      <c r="K1281" s="234">
        <v>3452.5</v>
      </c>
      <c r="L1281" s="235">
        <v>182</v>
      </c>
      <c r="M1281" s="233" t="s">
        <v>254</v>
      </c>
      <c r="N1281" s="233" t="s">
        <v>258</v>
      </c>
      <c r="O1281" s="236" t="s">
        <v>1022</v>
      </c>
      <c r="P1281" s="84">
        <v>5242761.4400000004</v>
      </c>
      <c r="Q1281" s="234">
        <v>0</v>
      </c>
      <c r="R1281" s="234">
        <v>0</v>
      </c>
      <c r="S1281" s="234">
        <v>0</v>
      </c>
      <c r="T1281" s="234">
        <f t="shared" si="139"/>
        <v>5242761.4400000004</v>
      </c>
      <c r="U1281" s="234">
        <f t="shared" si="130"/>
        <v>1412.3818534482759</v>
      </c>
      <c r="V1281" s="78">
        <v>2596.6067137931036</v>
      </c>
    </row>
    <row r="1282" spans="1:22" s="79" customFormat="1" ht="36" customHeight="1" x14ac:dyDescent="0.5">
      <c r="A1282" s="79">
        <v>1</v>
      </c>
      <c r="B1282" s="85">
        <f>SUBTOTAL(103,$A$1026:A1282)</f>
        <v>244</v>
      </c>
      <c r="C1282" s="83" t="s">
        <v>2162</v>
      </c>
      <c r="D1282" s="233">
        <v>1955</v>
      </c>
      <c r="E1282" s="233"/>
      <c r="F1282" s="233" t="s">
        <v>256</v>
      </c>
      <c r="G1282" s="233">
        <v>2</v>
      </c>
      <c r="H1282" s="233" t="s">
        <v>290</v>
      </c>
      <c r="I1282" s="234">
        <v>852.1</v>
      </c>
      <c r="J1282" s="234">
        <v>560.6</v>
      </c>
      <c r="K1282" s="234">
        <v>560.6</v>
      </c>
      <c r="L1282" s="235">
        <v>31</v>
      </c>
      <c r="M1282" s="233" t="s">
        <v>254</v>
      </c>
      <c r="N1282" s="233" t="s">
        <v>258</v>
      </c>
      <c r="O1282" s="236" t="s">
        <v>1009</v>
      </c>
      <c r="P1282" s="84">
        <v>5756049.7299999995</v>
      </c>
      <c r="Q1282" s="234">
        <v>0</v>
      </c>
      <c r="R1282" s="234">
        <v>0</v>
      </c>
      <c r="S1282" s="234">
        <v>0</v>
      </c>
      <c r="T1282" s="234">
        <f t="shared" si="139"/>
        <v>5756049.7299999995</v>
      </c>
      <c r="U1282" s="234">
        <f t="shared" si="130"/>
        <v>6755.1340570355587</v>
      </c>
      <c r="V1282" s="78">
        <v>10332.602558385166</v>
      </c>
    </row>
    <row r="1283" spans="1:22" s="79" customFormat="1" ht="36" customHeight="1" x14ac:dyDescent="0.5">
      <c r="A1283" s="79">
        <v>1</v>
      </c>
      <c r="B1283" s="85">
        <f>SUBTOTAL(103,$A$1026:A1283)</f>
        <v>245</v>
      </c>
      <c r="C1283" s="255" t="s">
        <v>1811</v>
      </c>
      <c r="D1283" s="233">
        <v>1947</v>
      </c>
      <c r="E1283" s="233"/>
      <c r="F1283" s="233" t="s">
        <v>256</v>
      </c>
      <c r="G1283" s="233">
        <v>2</v>
      </c>
      <c r="H1283" s="233" t="s">
        <v>291</v>
      </c>
      <c r="I1283" s="234">
        <v>511.5</v>
      </c>
      <c r="J1283" s="234">
        <v>511.5</v>
      </c>
      <c r="K1283" s="234">
        <v>511.5</v>
      </c>
      <c r="L1283" s="235">
        <v>31</v>
      </c>
      <c r="M1283" s="233" t="s">
        <v>254</v>
      </c>
      <c r="N1283" s="233" t="s">
        <v>255</v>
      </c>
      <c r="O1283" s="236" t="s">
        <v>257</v>
      </c>
      <c r="P1283" s="84">
        <v>3104991.07</v>
      </c>
      <c r="Q1283" s="234">
        <v>0</v>
      </c>
      <c r="R1283" s="234">
        <v>0</v>
      </c>
      <c r="S1283" s="234">
        <v>0</v>
      </c>
      <c r="T1283" s="234">
        <f t="shared" si="139"/>
        <v>3104991.07</v>
      </c>
      <c r="U1283" s="234">
        <f t="shared" si="130"/>
        <v>6070.3637732160314</v>
      </c>
      <c r="V1283" s="78">
        <v>9763.1874877810351</v>
      </c>
    </row>
    <row r="1284" spans="1:22" s="79" customFormat="1" ht="36" customHeight="1" x14ac:dyDescent="0.5">
      <c r="A1284" s="79">
        <v>1</v>
      </c>
      <c r="B1284" s="85">
        <f>SUBTOTAL(103,$A$1026:A1284)</f>
        <v>246</v>
      </c>
      <c r="C1284" s="83" t="s">
        <v>615</v>
      </c>
      <c r="D1284" s="233">
        <v>1940</v>
      </c>
      <c r="E1284" s="233"/>
      <c r="F1284" s="233" t="s">
        <v>256</v>
      </c>
      <c r="G1284" s="233" t="s">
        <v>295</v>
      </c>
      <c r="H1284" s="233">
        <v>3</v>
      </c>
      <c r="I1284" s="234">
        <v>2521.1999999999998</v>
      </c>
      <c r="J1284" s="234">
        <v>2421.1999999999998</v>
      </c>
      <c r="K1284" s="234">
        <v>2421.1999999999998</v>
      </c>
      <c r="L1284" s="235">
        <v>94</v>
      </c>
      <c r="M1284" s="233" t="s">
        <v>254</v>
      </c>
      <c r="N1284" s="233" t="s">
        <v>327</v>
      </c>
      <c r="O1284" s="236" t="s">
        <v>673</v>
      </c>
      <c r="P1284" s="84">
        <v>10287876.26</v>
      </c>
      <c r="Q1284" s="234">
        <v>0</v>
      </c>
      <c r="R1284" s="234">
        <v>0</v>
      </c>
      <c r="S1284" s="234">
        <v>0</v>
      </c>
      <c r="T1284" s="234">
        <f t="shared" si="139"/>
        <v>10287876.26</v>
      </c>
      <c r="U1284" s="234">
        <f t="shared" si="130"/>
        <v>4080.5474615262574</v>
      </c>
      <c r="V1284" s="78">
        <v>5515.4022405203868</v>
      </c>
    </row>
    <row r="1285" spans="1:22" s="79" customFormat="1" ht="36" customHeight="1" x14ac:dyDescent="0.5">
      <c r="A1285" s="79">
        <v>1</v>
      </c>
      <c r="B1285" s="85">
        <f>SUBTOTAL(103,$A$1026:A1285)</f>
        <v>247</v>
      </c>
      <c r="C1285" s="83" t="s">
        <v>620</v>
      </c>
      <c r="D1285" s="233">
        <v>1979</v>
      </c>
      <c r="E1285" s="233"/>
      <c r="F1285" s="233" t="s">
        <v>256</v>
      </c>
      <c r="G1285" s="233">
        <v>2</v>
      </c>
      <c r="H1285" s="233" t="s">
        <v>299</v>
      </c>
      <c r="I1285" s="234">
        <v>1052.4000000000001</v>
      </c>
      <c r="J1285" s="234">
        <v>934.4</v>
      </c>
      <c r="K1285" s="234">
        <v>934.4</v>
      </c>
      <c r="L1285" s="235">
        <v>57</v>
      </c>
      <c r="M1285" s="233" t="s">
        <v>254</v>
      </c>
      <c r="N1285" s="233" t="s">
        <v>285</v>
      </c>
      <c r="O1285" s="236" t="s">
        <v>1019</v>
      </c>
      <c r="P1285" s="84">
        <v>7527851.6799999997</v>
      </c>
      <c r="Q1285" s="234">
        <v>0</v>
      </c>
      <c r="R1285" s="234">
        <v>0</v>
      </c>
      <c r="S1285" s="234">
        <v>0</v>
      </c>
      <c r="T1285" s="234">
        <f t="shared" si="139"/>
        <v>7527851.6799999997</v>
      </c>
      <c r="U1285" s="234">
        <f t="shared" si="130"/>
        <v>7153.0327632079052</v>
      </c>
      <c r="V1285" s="78">
        <v>9793.9294762447716</v>
      </c>
    </row>
    <row r="1286" spans="1:22" s="79" customFormat="1" ht="36" customHeight="1" x14ac:dyDescent="0.5">
      <c r="A1286" s="79">
        <v>1</v>
      </c>
      <c r="B1286" s="85">
        <f>SUBTOTAL(103,$A$1026:A1286)</f>
        <v>248</v>
      </c>
      <c r="C1286" s="83" t="s">
        <v>3268</v>
      </c>
      <c r="D1286" s="233">
        <v>1998</v>
      </c>
      <c r="E1286" s="233"/>
      <c r="F1286" s="233" t="s">
        <v>304</v>
      </c>
      <c r="G1286" s="233">
        <v>9</v>
      </c>
      <c r="H1286" s="233" t="s">
        <v>295</v>
      </c>
      <c r="I1286" s="234">
        <v>7731.3</v>
      </c>
      <c r="J1286" s="234">
        <v>4621</v>
      </c>
      <c r="K1286" s="234">
        <v>4530.5</v>
      </c>
      <c r="L1286" s="235">
        <v>216</v>
      </c>
      <c r="M1286" s="233" t="s">
        <v>254</v>
      </c>
      <c r="N1286" s="233" t="s">
        <v>327</v>
      </c>
      <c r="O1286" s="236" t="s">
        <v>3277</v>
      </c>
      <c r="P1286" s="254">
        <v>11642629.68</v>
      </c>
      <c r="Q1286" s="234">
        <v>0</v>
      </c>
      <c r="R1286" s="234">
        <v>0</v>
      </c>
      <c r="S1286" s="234">
        <v>0</v>
      </c>
      <c r="T1286" s="234">
        <f t="shared" si="139"/>
        <v>11642629.68</v>
      </c>
      <c r="U1286" s="234">
        <f t="shared" si="130"/>
        <v>1505.9084086764192</v>
      </c>
      <c r="V1286" s="78">
        <v>1679.7681735283845</v>
      </c>
    </row>
    <row r="1287" spans="1:22" s="79" customFormat="1" ht="36" customHeight="1" x14ac:dyDescent="0.5">
      <c r="B1287" s="83" t="s">
        <v>765</v>
      </c>
      <c r="C1287" s="253"/>
      <c r="D1287" s="233" t="s">
        <v>835</v>
      </c>
      <c r="E1287" s="233" t="s">
        <v>835</v>
      </c>
      <c r="F1287" s="233" t="s">
        <v>835</v>
      </c>
      <c r="G1287" s="233" t="s">
        <v>835</v>
      </c>
      <c r="H1287" s="233" t="s">
        <v>835</v>
      </c>
      <c r="I1287" s="234">
        <f>I1288</f>
        <v>1070.8</v>
      </c>
      <c r="J1287" s="234">
        <f t="shared" ref="J1287:L1287" si="140">J1288</f>
        <v>1070.8</v>
      </c>
      <c r="K1287" s="234">
        <f t="shared" si="140"/>
        <v>942</v>
      </c>
      <c r="L1287" s="235">
        <f t="shared" si="140"/>
        <v>57</v>
      </c>
      <c r="M1287" s="233" t="s">
        <v>835</v>
      </c>
      <c r="N1287" s="233" t="s">
        <v>835</v>
      </c>
      <c r="O1287" s="236" t="s">
        <v>835</v>
      </c>
      <c r="P1287" s="138">
        <v>92390.85</v>
      </c>
      <c r="Q1287" s="234">
        <f t="shared" ref="Q1287" si="141">Q1288</f>
        <v>0</v>
      </c>
      <c r="R1287" s="234">
        <f t="shared" ref="R1287" si="142">R1288</f>
        <v>0</v>
      </c>
      <c r="S1287" s="234">
        <f t="shared" ref="S1287" si="143">S1288</f>
        <v>0</v>
      </c>
      <c r="T1287" s="234">
        <f t="shared" ref="T1287" si="144">T1288</f>
        <v>92390.85</v>
      </c>
      <c r="U1287" s="234">
        <f t="shared" si="130"/>
        <v>86.282078819574153</v>
      </c>
      <c r="V1287" s="78">
        <f>V1288</f>
        <v>86.282078819574153</v>
      </c>
    </row>
    <row r="1288" spans="1:22" s="79" customFormat="1" ht="36" customHeight="1" x14ac:dyDescent="0.5">
      <c r="A1288" s="79">
        <v>1</v>
      </c>
      <c r="B1288" s="85">
        <f>SUBTOTAL(103,$A$1026:A1288)</f>
        <v>249</v>
      </c>
      <c r="C1288" s="83" t="s">
        <v>639</v>
      </c>
      <c r="D1288" s="233">
        <v>1979</v>
      </c>
      <c r="E1288" s="233"/>
      <c r="F1288" s="233" t="s">
        <v>256</v>
      </c>
      <c r="G1288" s="233">
        <v>2</v>
      </c>
      <c r="H1288" s="233" t="s">
        <v>299</v>
      </c>
      <c r="I1288" s="234">
        <v>1070.8</v>
      </c>
      <c r="J1288" s="234">
        <v>1070.8</v>
      </c>
      <c r="K1288" s="234">
        <v>942</v>
      </c>
      <c r="L1288" s="235">
        <v>57</v>
      </c>
      <c r="M1288" s="233" t="s">
        <v>254</v>
      </c>
      <c r="N1288" s="233" t="s">
        <v>327</v>
      </c>
      <c r="O1288" s="236" t="s">
        <v>675</v>
      </c>
      <c r="P1288" s="84">
        <v>92390.85</v>
      </c>
      <c r="Q1288" s="234">
        <v>0</v>
      </c>
      <c r="R1288" s="234">
        <v>0</v>
      </c>
      <c r="S1288" s="234">
        <v>0</v>
      </c>
      <c r="T1288" s="234">
        <f>P1288-Q1288-R1288-S1288</f>
        <v>92390.85</v>
      </c>
      <c r="U1288" s="234">
        <f t="shared" si="130"/>
        <v>86.282078819574153</v>
      </c>
      <c r="V1288" s="78">
        <v>86.282078819574153</v>
      </c>
    </row>
    <row r="1289" spans="1:22" s="79" customFormat="1" ht="36" customHeight="1" x14ac:dyDescent="0.5">
      <c r="B1289" s="83" t="s">
        <v>769</v>
      </c>
      <c r="C1289" s="253"/>
      <c r="D1289" s="233" t="s">
        <v>835</v>
      </c>
      <c r="E1289" s="233" t="s">
        <v>835</v>
      </c>
      <c r="F1289" s="233" t="s">
        <v>835</v>
      </c>
      <c r="G1289" s="233" t="s">
        <v>835</v>
      </c>
      <c r="H1289" s="233" t="s">
        <v>835</v>
      </c>
      <c r="I1289" s="234">
        <f>SUM(I1290:I1294)</f>
        <v>7710.2999999999993</v>
      </c>
      <c r="J1289" s="234">
        <f t="shared" ref="J1289:L1289" si="145">SUM(J1290:J1294)</f>
        <v>7307.0999999999995</v>
      </c>
      <c r="K1289" s="234">
        <f t="shared" si="145"/>
        <v>6710.3</v>
      </c>
      <c r="L1289" s="235">
        <f t="shared" si="145"/>
        <v>328</v>
      </c>
      <c r="M1289" s="233" t="s">
        <v>835</v>
      </c>
      <c r="N1289" s="233" t="s">
        <v>835</v>
      </c>
      <c r="O1289" s="236" t="s">
        <v>835</v>
      </c>
      <c r="P1289" s="138">
        <v>22883458.140000001</v>
      </c>
      <c r="Q1289" s="234">
        <f t="shared" ref="Q1289" si="146">SUM(Q1290:Q1294)</f>
        <v>0</v>
      </c>
      <c r="R1289" s="234">
        <f t="shared" ref="R1289" si="147">SUM(R1290:R1294)</f>
        <v>0</v>
      </c>
      <c r="S1289" s="234">
        <f t="shared" ref="S1289" si="148">SUM(S1290:S1294)</f>
        <v>0</v>
      </c>
      <c r="T1289" s="234">
        <f t="shared" ref="T1289" si="149">SUM(T1290:T1294)</f>
        <v>22883458.140000001</v>
      </c>
      <c r="U1289" s="234">
        <f t="shared" si="130"/>
        <v>2967.9076222715071</v>
      </c>
      <c r="V1289" s="78">
        <f>MAX(V1290:V1294)</f>
        <v>9981.8236057842059</v>
      </c>
    </row>
    <row r="1290" spans="1:22" s="79" customFormat="1" ht="36" customHeight="1" x14ac:dyDescent="0.5">
      <c r="A1290" s="79">
        <v>1</v>
      </c>
      <c r="B1290" s="85">
        <f>SUBTOTAL(103,$A$1026:A1290)</f>
        <v>250</v>
      </c>
      <c r="C1290" s="251" t="s">
        <v>223</v>
      </c>
      <c r="D1290" s="233">
        <v>1954</v>
      </c>
      <c r="E1290" s="233"/>
      <c r="F1290" s="233" t="s">
        <v>322</v>
      </c>
      <c r="G1290" s="233">
        <v>2</v>
      </c>
      <c r="H1290" s="233" t="s">
        <v>290</v>
      </c>
      <c r="I1290" s="234">
        <v>825.3</v>
      </c>
      <c r="J1290" s="234">
        <v>751.4</v>
      </c>
      <c r="K1290" s="234">
        <v>638.6</v>
      </c>
      <c r="L1290" s="235">
        <v>32</v>
      </c>
      <c r="M1290" s="233" t="s">
        <v>254</v>
      </c>
      <c r="N1290" s="233" t="s">
        <v>258</v>
      </c>
      <c r="O1290" s="236" t="s">
        <v>321</v>
      </c>
      <c r="P1290" s="84">
        <v>30598.44</v>
      </c>
      <c r="Q1290" s="234">
        <v>0</v>
      </c>
      <c r="R1290" s="234">
        <v>0</v>
      </c>
      <c r="S1290" s="234">
        <v>0</v>
      </c>
      <c r="T1290" s="234">
        <f t="shared" ref="T1290:T1294" si="150">P1290-Q1290-R1290-S1290</f>
        <v>30598.44</v>
      </c>
      <c r="U1290" s="234">
        <f t="shared" si="130"/>
        <v>37.075536168665941</v>
      </c>
      <c r="V1290" s="78">
        <v>37.075536168665941</v>
      </c>
    </row>
    <row r="1291" spans="1:22" s="79" customFormat="1" ht="36" customHeight="1" x14ac:dyDescent="0.5">
      <c r="A1291" s="79">
        <v>1</v>
      </c>
      <c r="B1291" s="85">
        <f>SUBTOTAL(103,$A$1026:A1291)</f>
        <v>251</v>
      </c>
      <c r="C1291" s="251" t="s">
        <v>227</v>
      </c>
      <c r="D1291" s="233">
        <v>1970</v>
      </c>
      <c r="E1291" s="233"/>
      <c r="F1291" s="233" t="s">
        <v>256</v>
      </c>
      <c r="G1291" s="233">
        <v>5</v>
      </c>
      <c r="H1291" s="233" t="s">
        <v>355</v>
      </c>
      <c r="I1291" s="234">
        <v>5003.8999999999996</v>
      </c>
      <c r="J1291" s="234">
        <v>4809</v>
      </c>
      <c r="K1291" s="234">
        <v>4326.2</v>
      </c>
      <c r="L1291" s="235">
        <v>185</v>
      </c>
      <c r="M1291" s="233" t="s">
        <v>254</v>
      </c>
      <c r="N1291" s="233" t="s">
        <v>258</v>
      </c>
      <c r="O1291" s="236" t="s">
        <v>319</v>
      </c>
      <c r="P1291" s="84">
        <v>12558618.360000001</v>
      </c>
      <c r="Q1291" s="234">
        <v>0</v>
      </c>
      <c r="R1291" s="234">
        <v>0</v>
      </c>
      <c r="S1291" s="234">
        <v>0</v>
      </c>
      <c r="T1291" s="234">
        <f t="shared" si="150"/>
        <v>12558618.360000001</v>
      </c>
      <c r="U1291" s="234">
        <f t="shared" si="130"/>
        <v>2509.7660544775081</v>
      </c>
      <c r="V1291" s="78">
        <v>3030.8693778852494</v>
      </c>
    </row>
    <row r="1292" spans="1:22" s="79" customFormat="1" ht="36" customHeight="1" x14ac:dyDescent="0.5">
      <c r="A1292" s="79">
        <v>1</v>
      </c>
      <c r="B1292" s="85">
        <f>SUBTOTAL(103,$A$1026:A1292)</f>
        <v>252</v>
      </c>
      <c r="C1292" s="83" t="s">
        <v>222</v>
      </c>
      <c r="D1292" s="233">
        <v>1964</v>
      </c>
      <c r="E1292" s="233"/>
      <c r="F1292" s="233" t="s">
        <v>256</v>
      </c>
      <c r="G1292" s="233">
        <v>2</v>
      </c>
      <c r="H1292" s="233" t="s">
        <v>290</v>
      </c>
      <c r="I1292" s="234">
        <v>645.4</v>
      </c>
      <c r="J1292" s="234">
        <v>597.4</v>
      </c>
      <c r="K1292" s="234">
        <v>596.20000000000005</v>
      </c>
      <c r="L1292" s="235">
        <v>42</v>
      </c>
      <c r="M1292" s="233" t="s">
        <v>254</v>
      </c>
      <c r="N1292" s="233" t="s">
        <v>258</v>
      </c>
      <c r="O1292" s="236" t="s">
        <v>320</v>
      </c>
      <c r="P1292" s="84">
        <v>2726027.12</v>
      </c>
      <c r="Q1292" s="234">
        <v>0</v>
      </c>
      <c r="R1292" s="234">
        <v>0</v>
      </c>
      <c r="S1292" s="234">
        <v>0</v>
      </c>
      <c r="T1292" s="234">
        <f t="shared" si="150"/>
        <v>2726027.12</v>
      </c>
      <c r="U1292" s="234">
        <f t="shared" si="130"/>
        <v>4223.779237682058</v>
      </c>
      <c r="V1292" s="78">
        <v>7672.267921908895</v>
      </c>
    </row>
    <row r="1293" spans="1:22" s="79" customFormat="1" ht="36" customHeight="1" x14ac:dyDescent="0.5">
      <c r="A1293" s="79">
        <v>1</v>
      </c>
      <c r="B1293" s="85">
        <f>SUBTOTAL(103,$A$1026:A1293)</f>
        <v>253</v>
      </c>
      <c r="C1293" s="83" t="s">
        <v>226</v>
      </c>
      <c r="D1293" s="233">
        <v>1963</v>
      </c>
      <c r="E1293" s="233"/>
      <c r="F1293" s="233" t="s">
        <v>256</v>
      </c>
      <c r="G1293" s="233">
        <v>2</v>
      </c>
      <c r="H1293" s="233" t="s">
        <v>291</v>
      </c>
      <c r="I1293" s="234">
        <v>336.7</v>
      </c>
      <c r="J1293" s="234">
        <v>304.3</v>
      </c>
      <c r="K1293" s="234">
        <v>304.3</v>
      </c>
      <c r="L1293" s="235">
        <v>15</v>
      </c>
      <c r="M1293" s="233" t="s">
        <v>254</v>
      </c>
      <c r="N1293" s="233" t="s">
        <v>258</v>
      </c>
      <c r="O1293" s="236" t="s">
        <v>319</v>
      </c>
      <c r="P1293" s="84">
        <v>2146645.06</v>
      </c>
      <c r="Q1293" s="234">
        <v>0</v>
      </c>
      <c r="R1293" s="234">
        <v>0</v>
      </c>
      <c r="S1293" s="234">
        <v>0</v>
      </c>
      <c r="T1293" s="234">
        <f t="shared" si="150"/>
        <v>2146645.06</v>
      </c>
      <c r="U1293" s="234">
        <f t="shared" si="130"/>
        <v>6375.542203742204</v>
      </c>
      <c r="V1293" s="78">
        <v>9725.7981395901388</v>
      </c>
    </row>
    <row r="1294" spans="1:22" s="79" customFormat="1" ht="36" customHeight="1" x14ac:dyDescent="0.5">
      <c r="A1294" s="79">
        <v>1</v>
      </c>
      <c r="B1294" s="85">
        <f>SUBTOTAL(103,$A$1026:A1294)</f>
        <v>254</v>
      </c>
      <c r="C1294" s="83" t="s">
        <v>228</v>
      </c>
      <c r="D1294" s="233">
        <v>1972</v>
      </c>
      <c r="E1294" s="233"/>
      <c r="F1294" s="233" t="s">
        <v>256</v>
      </c>
      <c r="G1294" s="233">
        <v>2</v>
      </c>
      <c r="H1294" s="233" t="s">
        <v>299</v>
      </c>
      <c r="I1294" s="234">
        <v>899</v>
      </c>
      <c r="J1294" s="234">
        <v>845</v>
      </c>
      <c r="K1294" s="234">
        <v>845</v>
      </c>
      <c r="L1294" s="235">
        <v>54</v>
      </c>
      <c r="M1294" s="233" t="s">
        <v>254</v>
      </c>
      <c r="N1294" s="233" t="s">
        <v>258</v>
      </c>
      <c r="O1294" s="236" t="s">
        <v>319</v>
      </c>
      <c r="P1294" s="84">
        <v>5421569.1600000001</v>
      </c>
      <c r="Q1294" s="234">
        <v>0</v>
      </c>
      <c r="R1294" s="234">
        <v>0</v>
      </c>
      <c r="S1294" s="234">
        <v>0</v>
      </c>
      <c r="T1294" s="234">
        <f t="shared" si="150"/>
        <v>5421569.1600000001</v>
      </c>
      <c r="U1294" s="234">
        <f t="shared" si="130"/>
        <v>6030.6664738598447</v>
      </c>
      <c r="V1294" s="78">
        <v>9981.8236057842059</v>
      </c>
    </row>
    <row r="1295" spans="1:22" s="79" customFormat="1" ht="36" customHeight="1" x14ac:dyDescent="0.5">
      <c r="B1295" s="83" t="s">
        <v>770</v>
      </c>
      <c r="C1295" s="83"/>
      <c r="D1295" s="233" t="s">
        <v>835</v>
      </c>
      <c r="E1295" s="233" t="s">
        <v>835</v>
      </c>
      <c r="F1295" s="233" t="s">
        <v>835</v>
      </c>
      <c r="G1295" s="233" t="s">
        <v>835</v>
      </c>
      <c r="H1295" s="233" t="s">
        <v>835</v>
      </c>
      <c r="I1295" s="234">
        <f>SUM(I1296:I1297)</f>
        <v>780.8</v>
      </c>
      <c r="J1295" s="234">
        <f t="shared" ref="J1295:L1295" si="151">SUM(J1296:J1297)</f>
        <v>707.4</v>
      </c>
      <c r="K1295" s="234">
        <f t="shared" si="151"/>
        <v>547.79999999999995</v>
      </c>
      <c r="L1295" s="235">
        <f t="shared" si="151"/>
        <v>38</v>
      </c>
      <c r="M1295" s="233" t="s">
        <v>835</v>
      </c>
      <c r="N1295" s="233" t="s">
        <v>835</v>
      </c>
      <c r="O1295" s="236" t="s">
        <v>835</v>
      </c>
      <c r="P1295" s="138">
        <v>4515124.67</v>
      </c>
      <c r="Q1295" s="234">
        <f t="shared" ref="Q1295" si="152">SUM(Q1296:Q1297)</f>
        <v>0</v>
      </c>
      <c r="R1295" s="234">
        <f t="shared" ref="R1295" si="153">SUM(R1296:R1297)</f>
        <v>0</v>
      </c>
      <c r="S1295" s="234">
        <f t="shared" ref="S1295" si="154">SUM(S1296:S1297)</f>
        <v>0</v>
      </c>
      <c r="T1295" s="234">
        <f t="shared" ref="T1295" si="155">SUM(T1296:T1297)</f>
        <v>4515124.67</v>
      </c>
      <c r="U1295" s="234">
        <f t="shared" si="130"/>
        <v>5782.6904072745901</v>
      </c>
      <c r="V1295" s="78">
        <f>MAX(V1296:V1297)</f>
        <v>8969.6874406865227</v>
      </c>
    </row>
    <row r="1296" spans="1:22" s="79" customFormat="1" ht="36" customHeight="1" x14ac:dyDescent="0.5">
      <c r="A1296" s="79">
        <v>1</v>
      </c>
      <c r="B1296" s="85">
        <f>SUBTOTAL(103,$A$1026:A1296)</f>
        <v>255</v>
      </c>
      <c r="C1296" s="251" t="s">
        <v>232</v>
      </c>
      <c r="D1296" s="233">
        <v>1977</v>
      </c>
      <c r="E1296" s="233"/>
      <c r="F1296" s="233" t="s">
        <v>256</v>
      </c>
      <c r="G1296" s="233">
        <v>2</v>
      </c>
      <c r="H1296" s="233" t="s">
        <v>291</v>
      </c>
      <c r="I1296" s="234">
        <v>396.2</v>
      </c>
      <c r="J1296" s="234">
        <v>347.5</v>
      </c>
      <c r="K1296" s="234">
        <v>187.9</v>
      </c>
      <c r="L1296" s="235">
        <v>20</v>
      </c>
      <c r="M1296" s="233" t="s">
        <v>254</v>
      </c>
      <c r="N1296" s="233" t="s">
        <v>255</v>
      </c>
      <c r="O1296" s="236" t="s">
        <v>257</v>
      </c>
      <c r="P1296" s="84">
        <v>2930447.14</v>
      </c>
      <c r="Q1296" s="234">
        <v>0</v>
      </c>
      <c r="R1296" s="234">
        <v>0</v>
      </c>
      <c r="S1296" s="234">
        <v>0</v>
      </c>
      <c r="T1296" s="234">
        <f t="shared" ref="T1296:T1297" si="156">P1296-Q1296-R1296-S1296</f>
        <v>2930447.14</v>
      </c>
      <c r="U1296" s="234">
        <f t="shared" si="130"/>
        <v>7396.3834931852607</v>
      </c>
      <c r="V1296" s="78">
        <v>8969.6874406865227</v>
      </c>
    </row>
    <row r="1297" spans="1:22" s="79" customFormat="1" ht="36" customHeight="1" x14ac:dyDescent="0.5">
      <c r="A1297" s="79">
        <v>1</v>
      </c>
      <c r="B1297" s="85">
        <f>SUBTOTAL(103,$A$1026:A1297)</f>
        <v>256</v>
      </c>
      <c r="C1297" s="83" t="s">
        <v>233</v>
      </c>
      <c r="D1297" s="233">
        <v>1969</v>
      </c>
      <c r="E1297" s="233"/>
      <c r="F1297" s="233" t="s">
        <v>256</v>
      </c>
      <c r="G1297" s="233">
        <v>2</v>
      </c>
      <c r="H1297" s="233" t="s">
        <v>291</v>
      </c>
      <c r="I1297" s="234">
        <v>384.6</v>
      </c>
      <c r="J1297" s="234">
        <v>359.9</v>
      </c>
      <c r="K1297" s="234">
        <v>359.9</v>
      </c>
      <c r="L1297" s="235">
        <v>18</v>
      </c>
      <c r="M1297" s="233" t="s">
        <v>254</v>
      </c>
      <c r="N1297" s="233" t="s">
        <v>255</v>
      </c>
      <c r="O1297" s="236" t="s">
        <v>257</v>
      </c>
      <c r="P1297" s="84">
        <v>1584677.53</v>
      </c>
      <c r="Q1297" s="234">
        <v>0</v>
      </c>
      <c r="R1297" s="234">
        <v>0</v>
      </c>
      <c r="S1297" s="234">
        <v>0</v>
      </c>
      <c r="T1297" s="234">
        <f t="shared" si="156"/>
        <v>1584677.53</v>
      </c>
      <c r="U1297" s="234">
        <f t="shared" si="130"/>
        <v>4120.3263910556425</v>
      </c>
      <c r="V1297" s="78">
        <v>8798.6449474778983</v>
      </c>
    </row>
    <row r="1298" spans="1:22" s="79" customFormat="1" ht="36" customHeight="1" x14ac:dyDescent="0.5">
      <c r="B1298" s="83" t="s">
        <v>771</v>
      </c>
      <c r="C1298" s="83"/>
      <c r="D1298" s="233" t="s">
        <v>835</v>
      </c>
      <c r="E1298" s="233" t="s">
        <v>835</v>
      </c>
      <c r="F1298" s="233" t="s">
        <v>835</v>
      </c>
      <c r="G1298" s="233" t="s">
        <v>835</v>
      </c>
      <c r="H1298" s="233" t="s">
        <v>835</v>
      </c>
      <c r="I1298" s="234">
        <f>SUM(I1299:I1301)</f>
        <v>2825.4</v>
      </c>
      <c r="J1298" s="234">
        <f t="shared" ref="J1298:L1298" si="157">SUM(J1299:J1301)</f>
        <v>2555.9</v>
      </c>
      <c r="K1298" s="234">
        <f t="shared" si="157"/>
        <v>2399.8000000000002</v>
      </c>
      <c r="L1298" s="235">
        <f t="shared" si="157"/>
        <v>104</v>
      </c>
      <c r="M1298" s="233" t="s">
        <v>835</v>
      </c>
      <c r="N1298" s="233" t="s">
        <v>835</v>
      </c>
      <c r="O1298" s="236" t="s">
        <v>835</v>
      </c>
      <c r="P1298" s="138">
        <v>10739170.039999999</v>
      </c>
      <c r="Q1298" s="84">
        <f t="shared" ref="Q1298:T1298" si="158">SUM(Q1299:Q1301)</f>
        <v>0</v>
      </c>
      <c r="R1298" s="84">
        <f t="shared" si="158"/>
        <v>0</v>
      </c>
      <c r="S1298" s="84">
        <f t="shared" si="158"/>
        <v>0</v>
      </c>
      <c r="T1298" s="84">
        <f t="shared" si="158"/>
        <v>10739170.039999999</v>
      </c>
      <c r="U1298" s="234">
        <f t="shared" si="130"/>
        <v>3800.9379344517588</v>
      </c>
      <c r="V1298" s="78">
        <f>MAX(V1299:V1301)</f>
        <v>8629.1482124925878</v>
      </c>
    </row>
    <row r="1299" spans="1:22" s="79" customFormat="1" ht="36" customHeight="1" x14ac:dyDescent="0.5">
      <c r="A1299" s="79">
        <v>1</v>
      </c>
      <c r="B1299" s="85">
        <f>SUBTOTAL(103,$A$1026:A1299)</f>
        <v>257</v>
      </c>
      <c r="C1299" s="251" t="s">
        <v>234</v>
      </c>
      <c r="D1299" s="233">
        <v>1979</v>
      </c>
      <c r="E1299" s="233"/>
      <c r="F1299" s="233" t="s">
        <v>298</v>
      </c>
      <c r="G1299" s="233">
        <v>3</v>
      </c>
      <c r="H1299" s="233" t="s">
        <v>290</v>
      </c>
      <c r="I1299" s="234">
        <v>1011.8</v>
      </c>
      <c r="J1299" s="234">
        <v>928.8</v>
      </c>
      <c r="K1299" s="234">
        <v>827.3</v>
      </c>
      <c r="L1299" s="235">
        <v>36</v>
      </c>
      <c r="M1299" s="233" t="s">
        <v>254</v>
      </c>
      <c r="N1299" s="233" t="s">
        <v>255</v>
      </c>
      <c r="O1299" s="236" t="s">
        <v>257</v>
      </c>
      <c r="P1299" s="84">
        <v>4000081.71</v>
      </c>
      <c r="Q1299" s="234">
        <v>0</v>
      </c>
      <c r="R1299" s="234">
        <v>0</v>
      </c>
      <c r="S1299" s="234">
        <v>0</v>
      </c>
      <c r="T1299" s="234">
        <f t="shared" ref="T1299:T1300" si="159">P1299-Q1299-R1299-S1299</f>
        <v>4000081.71</v>
      </c>
      <c r="U1299" s="234">
        <f t="shared" si="130"/>
        <v>3953.4312215852938</v>
      </c>
      <c r="V1299" s="78">
        <v>8629.1482124925878</v>
      </c>
    </row>
    <row r="1300" spans="1:22" s="79" customFormat="1" ht="36" customHeight="1" x14ac:dyDescent="0.5">
      <c r="A1300" s="79">
        <v>1</v>
      </c>
      <c r="B1300" s="85">
        <f>SUBTOTAL(103,$A$1026:A1300)</f>
        <v>258</v>
      </c>
      <c r="C1300" s="83" t="s">
        <v>1142</v>
      </c>
      <c r="D1300" s="233">
        <v>1967</v>
      </c>
      <c r="E1300" s="233"/>
      <c r="F1300" s="233" t="s">
        <v>256</v>
      </c>
      <c r="G1300" s="233">
        <v>2</v>
      </c>
      <c r="H1300" s="233" t="s">
        <v>290</v>
      </c>
      <c r="I1300" s="234">
        <v>491.2</v>
      </c>
      <c r="J1300" s="234">
        <v>435.7</v>
      </c>
      <c r="K1300" s="234">
        <v>435.7</v>
      </c>
      <c r="L1300" s="235">
        <v>32</v>
      </c>
      <c r="M1300" s="233" t="s">
        <v>254</v>
      </c>
      <c r="N1300" s="233" t="s">
        <v>255</v>
      </c>
      <c r="O1300" s="236" t="s">
        <v>257</v>
      </c>
      <c r="P1300" s="84">
        <v>2690219.79</v>
      </c>
      <c r="Q1300" s="234">
        <v>0</v>
      </c>
      <c r="R1300" s="234">
        <v>0</v>
      </c>
      <c r="S1300" s="234">
        <v>0</v>
      </c>
      <c r="T1300" s="234">
        <f t="shared" si="159"/>
        <v>2690219.79</v>
      </c>
      <c r="U1300" s="234">
        <f t="shared" si="130"/>
        <v>5476.8318200325739</v>
      </c>
      <c r="V1300" s="78">
        <v>8389.0587284201956</v>
      </c>
    </row>
    <row r="1301" spans="1:22" s="79" customFormat="1" ht="36" customHeight="1" x14ac:dyDescent="0.5">
      <c r="A1301" s="79">
        <v>1</v>
      </c>
      <c r="B1301" s="85">
        <f>SUBTOTAL(103,$A$1026:A1301)</f>
        <v>259</v>
      </c>
      <c r="C1301" s="256" t="s">
        <v>1202</v>
      </c>
      <c r="D1301" s="86">
        <v>1981</v>
      </c>
      <c r="E1301" s="86"/>
      <c r="F1301" s="86" t="s">
        <v>304</v>
      </c>
      <c r="G1301" s="86">
        <v>2</v>
      </c>
      <c r="H1301" s="86" t="s">
        <v>295</v>
      </c>
      <c r="I1301" s="84">
        <v>1322.4</v>
      </c>
      <c r="J1301" s="84">
        <v>1191.4000000000001</v>
      </c>
      <c r="K1301" s="84">
        <v>1136.8000000000002</v>
      </c>
      <c r="L1301" s="257">
        <v>36</v>
      </c>
      <c r="M1301" s="86" t="s">
        <v>254</v>
      </c>
      <c r="N1301" s="86" t="s">
        <v>255</v>
      </c>
      <c r="O1301" s="258" t="s">
        <v>257</v>
      </c>
      <c r="P1301" s="254">
        <v>4048868.54</v>
      </c>
      <c r="Q1301" s="254">
        <v>0</v>
      </c>
      <c r="R1301" s="254">
        <v>0</v>
      </c>
      <c r="S1301" s="254">
        <v>0</v>
      </c>
      <c r="T1301" s="254">
        <f t="shared" ref="T1301" si="160">P1301-R1301-S1301</f>
        <v>4048868.54</v>
      </c>
      <c r="U1301" s="259">
        <f t="shared" si="130"/>
        <v>3061.7578191167572</v>
      </c>
      <c r="V1301" s="254">
        <v>7531.5224813218383</v>
      </c>
    </row>
    <row r="1302" spans="1:22" s="79" customFormat="1" ht="36" customHeight="1" x14ac:dyDescent="0.5">
      <c r="B1302" s="83" t="s">
        <v>812</v>
      </c>
      <c r="C1302" s="83"/>
      <c r="D1302" s="233" t="s">
        <v>835</v>
      </c>
      <c r="E1302" s="233" t="s">
        <v>835</v>
      </c>
      <c r="F1302" s="233" t="s">
        <v>835</v>
      </c>
      <c r="G1302" s="233" t="s">
        <v>835</v>
      </c>
      <c r="H1302" s="233" t="s">
        <v>835</v>
      </c>
      <c r="I1302" s="234">
        <f>I1303</f>
        <v>924.3</v>
      </c>
      <c r="J1302" s="234">
        <f t="shared" ref="J1302:L1302" si="161">J1303</f>
        <v>558.9</v>
      </c>
      <c r="K1302" s="234">
        <f t="shared" si="161"/>
        <v>527.1</v>
      </c>
      <c r="L1302" s="235">
        <f t="shared" si="161"/>
        <v>22</v>
      </c>
      <c r="M1302" s="233" t="s">
        <v>835</v>
      </c>
      <c r="N1302" s="233" t="s">
        <v>835</v>
      </c>
      <c r="O1302" s="236" t="s">
        <v>835</v>
      </c>
      <c r="P1302" s="138">
        <v>3187631.38</v>
      </c>
      <c r="Q1302" s="234">
        <f>Q1303</f>
        <v>0</v>
      </c>
      <c r="R1302" s="234">
        <f t="shared" ref="R1302:T1302" si="162">R1303</f>
        <v>0</v>
      </c>
      <c r="S1302" s="234">
        <f t="shared" si="162"/>
        <v>0</v>
      </c>
      <c r="T1302" s="234">
        <f t="shared" si="162"/>
        <v>3187631.38</v>
      </c>
      <c r="U1302" s="234">
        <f t="shared" si="130"/>
        <v>3448.6978037433732</v>
      </c>
      <c r="V1302" s="78">
        <f>V1303</f>
        <v>5442.3318905117385</v>
      </c>
    </row>
    <row r="1303" spans="1:22" s="79" customFormat="1" ht="36" customHeight="1" x14ac:dyDescent="0.5">
      <c r="A1303" s="79">
        <v>1</v>
      </c>
      <c r="B1303" s="85">
        <f>SUBTOTAL(103,$A$1026:A1303)</f>
        <v>260</v>
      </c>
      <c r="C1303" s="83" t="s">
        <v>231</v>
      </c>
      <c r="D1303" s="233">
        <v>1986</v>
      </c>
      <c r="E1303" s="233"/>
      <c r="F1303" s="233" t="s">
        <v>298</v>
      </c>
      <c r="G1303" s="233">
        <v>2</v>
      </c>
      <c r="H1303" s="233" t="s">
        <v>290</v>
      </c>
      <c r="I1303" s="234">
        <v>924.3</v>
      </c>
      <c r="J1303" s="234">
        <v>558.9</v>
      </c>
      <c r="K1303" s="234">
        <v>527.1</v>
      </c>
      <c r="L1303" s="235">
        <v>22</v>
      </c>
      <c r="M1303" s="233" t="s">
        <v>254</v>
      </c>
      <c r="N1303" s="233" t="s">
        <v>255</v>
      </c>
      <c r="O1303" s="236" t="s">
        <v>257</v>
      </c>
      <c r="P1303" s="84">
        <v>3187631.38</v>
      </c>
      <c r="Q1303" s="234">
        <v>0</v>
      </c>
      <c r="R1303" s="234">
        <v>0</v>
      </c>
      <c r="S1303" s="234">
        <v>0</v>
      </c>
      <c r="T1303" s="234">
        <f>P1303-Q1303-R1303-S1303</f>
        <v>3187631.38</v>
      </c>
      <c r="U1303" s="234">
        <f t="shared" si="130"/>
        <v>3448.6978037433732</v>
      </c>
      <c r="V1303" s="78">
        <v>5442.3318905117385</v>
      </c>
    </row>
    <row r="1304" spans="1:22" s="79" customFormat="1" ht="36" customHeight="1" x14ac:dyDescent="0.5">
      <c r="B1304" s="83" t="s">
        <v>830</v>
      </c>
      <c r="C1304" s="243"/>
      <c r="D1304" s="233" t="s">
        <v>835</v>
      </c>
      <c r="E1304" s="233" t="s">
        <v>835</v>
      </c>
      <c r="F1304" s="233" t="s">
        <v>835</v>
      </c>
      <c r="G1304" s="233" t="s">
        <v>835</v>
      </c>
      <c r="H1304" s="233" t="s">
        <v>835</v>
      </c>
      <c r="I1304" s="234">
        <f>I1305</f>
        <v>594.20000000000005</v>
      </c>
      <c r="J1304" s="234">
        <f t="shared" ref="J1304:L1304" si="163">J1305</f>
        <v>550.6</v>
      </c>
      <c r="K1304" s="234">
        <f t="shared" si="163"/>
        <v>550.6</v>
      </c>
      <c r="L1304" s="235">
        <f t="shared" si="163"/>
        <v>21</v>
      </c>
      <c r="M1304" s="233" t="s">
        <v>835</v>
      </c>
      <c r="N1304" s="233" t="s">
        <v>835</v>
      </c>
      <c r="O1304" s="236" t="s">
        <v>835</v>
      </c>
      <c r="P1304" s="138">
        <v>3606627.71</v>
      </c>
      <c r="Q1304" s="234">
        <f>Q1305</f>
        <v>0</v>
      </c>
      <c r="R1304" s="234">
        <f t="shared" ref="R1304:T1304" si="164">R1305</f>
        <v>0</v>
      </c>
      <c r="S1304" s="234">
        <f t="shared" si="164"/>
        <v>0</v>
      </c>
      <c r="T1304" s="234">
        <f t="shared" si="164"/>
        <v>3606627.71</v>
      </c>
      <c r="U1304" s="234">
        <f t="shared" si="130"/>
        <v>6069.7201447324132</v>
      </c>
      <c r="V1304" s="78">
        <f>V1305</f>
        <v>9573.1135523392786</v>
      </c>
    </row>
    <row r="1305" spans="1:22" s="79" customFormat="1" ht="36" customHeight="1" x14ac:dyDescent="0.5">
      <c r="A1305" s="79">
        <v>1</v>
      </c>
      <c r="B1305" s="85">
        <f>SUBTOTAL(103,$A$1026:A1305)</f>
        <v>261</v>
      </c>
      <c r="C1305" s="251" t="s">
        <v>4</v>
      </c>
      <c r="D1305" s="233">
        <v>1977</v>
      </c>
      <c r="E1305" s="233"/>
      <c r="F1305" s="233" t="s">
        <v>256</v>
      </c>
      <c r="G1305" s="233">
        <v>2</v>
      </c>
      <c r="H1305" s="233" t="s">
        <v>290</v>
      </c>
      <c r="I1305" s="234">
        <v>594.20000000000005</v>
      </c>
      <c r="J1305" s="234">
        <v>550.6</v>
      </c>
      <c r="K1305" s="234">
        <v>550.6</v>
      </c>
      <c r="L1305" s="235">
        <v>21</v>
      </c>
      <c r="M1305" s="233" t="s">
        <v>254</v>
      </c>
      <c r="N1305" s="233" t="s">
        <v>255</v>
      </c>
      <c r="O1305" s="236" t="s">
        <v>257</v>
      </c>
      <c r="P1305" s="84">
        <v>3606627.71</v>
      </c>
      <c r="Q1305" s="234">
        <v>0</v>
      </c>
      <c r="R1305" s="234">
        <v>0</v>
      </c>
      <c r="S1305" s="234">
        <v>0</v>
      </c>
      <c r="T1305" s="234">
        <f>P1305-Q1305-R1305-S1305</f>
        <v>3606627.71</v>
      </c>
      <c r="U1305" s="234">
        <f t="shared" si="130"/>
        <v>6069.7201447324132</v>
      </c>
      <c r="V1305" s="78">
        <v>9573.1135523392786</v>
      </c>
    </row>
    <row r="1306" spans="1:22" s="79" customFormat="1" ht="36" customHeight="1" x14ac:dyDescent="0.5">
      <c r="B1306" s="83" t="s">
        <v>772</v>
      </c>
      <c r="C1306" s="243"/>
      <c r="D1306" s="233" t="s">
        <v>835</v>
      </c>
      <c r="E1306" s="233" t="s">
        <v>835</v>
      </c>
      <c r="F1306" s="233" t="s">
        <v>835</v>
      </c>
      <c r="G1306" s="233" t="s">
        <v>835</v>
      </c>
      <c r="H1306" s="233" t="s">
        <v>835</v>
      </c>
      <c r="I1306" s="234">
        <f>I1307</f>
        <v>467.8</v>
      </c>
      <c r="J1306" s="234">
        <f t="shared" ref="J1306:L1306" si="165">J1307</f>
        <v>430.5</v>
      </c>
      <c r="K1306" s="234">
        <f t="shared" si="165"/>
        <v>430.5</v>
      </c>
      <c r="L1306" s="235">
        <f t="shared" si="165"/>
        <v>24</v>
      </c>
      <c r="M1306" s="233" t="s">
        <v>835</v>
      </c>
      <c r="N1306" s="233" t="s">
        <v>835</v>
      </c>
      <c r="O1306" s="236" t="s">
        <v>835</v>
      </c>
      <c r="P1306" s="138">
        <v>2589358</v>
      </c>
      <c r="Q1306" s="234">
        <f t="shared" ref="Q1306" si="166">Q1307</f>
        <v>0</v>
      </c>
      <c r="R1306" s="234">
        <f t="shared" ref="R1306" si="167">R1307</f>
        <v>0</v>
      </c>
      <c r="S1306" s="234">
        <f t="shared" ref="S1306" si="168">S1307</f>
        <v>0</v>
      </c>
      <c r="T1306" s="234">
        <f t="shared" ref="T1306" si="169">T1307</f>
        <v>2589358</v>
      </c>
      <c r="U1306" s="234">
        <f t="shared" si="130"/>
        <v>5535.1817015818724</v>
      </c>
      <c r="V1306" s="78">
        <f>V1307</f>
        <v>9524.1575374091481</v>
      </c>
    </row>
    <row r="1307" spans="1:22" s="79" customFormat="1" ht="36" customHeight="1" x14ac:dyDescent="0.5">
      <c r="A1307" s="79">
        <v>1</v>
      </c>
      <c r="B1307" s="85">
        <f>SUBTOTAL(103,$A$1026:A1307)</f>
        <v>262</v>
      </c>
      <c r="C1307" s="244" t="s">
        <v>2142</v>
      </c>
      <c r="D1307" s="233">
        <v>1980</v>
      </c>
      <c r="E1307" s="233"/>
      <c r="F1307" s="233" t="s">
        <v>256</v>
      </c>
      <c r="G1307" s="233">
        <v>2</v>
      </c>
      <c r="H1307" s="233">
        <v>1</v>
      </c>
      <c r="I1307" s="234">
        <v>467.8</v>
      </c>
      <c r="J1307" s="234">
        <v>430.5</v>
      </c>
      <c r="K1307" s="234">
        <v>430.5</v>
      </c>
      <c r="L1307" s="235">
        <v>24</v>
      </c>
      <c r="M1307" s="233" t="s">
        <v>254</v>
      </c>
      <c r="N1307" s="233" t="s">
        <v>255</v>
      </c>
      <c r="O1307" s="236" t="s">
        <v>257</v>
      </c>
      <c r="P1307" s="84">
        <v>2589358</v>
      </c>
      <c r="Q1307" s="234">
        <v>0</v>
      </c>
      <c r="R1307" s="234">
        <v>0</v>
      </c>
      <c r="S1307" s="234">
        <v>0</v>
      </c>
      <c r="T1307" s="234">
        <f>P1307-Q1307-R1307-S1307</f>
        <v>2589358</v>
      </c>
      <c r="U1307" s="234">
        <f t="shared" si="130"/>
        <v>5535.1817015818724</v>
      </c>
      <c r="V1307" s="78">
        <v>9524.1575374091481</v>
      </c>
    </row>
    <row r="1308" spans="1:22" s="79" customFormat="1" ht="36" customHeight="1" x14ac:dyDescent="0.5">
      <c r="B1308" s="83" t="s">
        <v>2304</v>
      </c>
      <c r="C1308" s="244"/>
      <c r="D1308" s="233" t="s">
        <v>835</v>
      </c>
      <c r="E1308" s="233" t="s">
        <v>835</v>
      </c>
      <c r="F1308" s="233" t="s">
        <v>835</v>
      </c>
      <c r="G1308" s="233" t="s">
        <v>835</v>
      </c>
      <c r="H1308" s="233" t="s">
        <v>835</v>
      </c>
      <c r="I1308" s="234">
        <f>I1309</f>
        <v>886.1</v>
      </c>
      <c r="J1308" s="234">
        <f t="shared" ref="J1308:L1308" si="170">J1309</f>
        <v>802.4</v>
      </c>
      <c r="K1308" s="234">
        <f t="shared" si="170"/>
        <v>743.5</v>
      </c>
      <c r="L1308" s="235">
        <f t="shared" si="170"/>
        <v>26</v>
      </c>
      <c r="M1308" s="233" t="s">
        <v>835</v>
      </c>
      <c r="N1308" s="233" t="s">
        <v>835</v>
      </c>
      <c r="O1308" s="236" t="s">
        <v>835</v>
      </c>
      <c r="P1308" s="138">
        <v>4205955.12</v>
      </c>
      <c r="Q1308" s="234">
        <f>Q1309</f>
        <v>0</v>
      </c>
      <c r="R1308" s="234">
        <f t="shared" ref="R1308:T1308" si="171">R1309</f>
        <v>0</v>
      </c>
      <c r="S1308" s="234">
        <f t="shared" si="171"/>
        <v>0</v>
      </c>
      <c r="T1308" s="234">
        <f t="shared" si="171"/>
        <v>4205955.12</v>
      </c>
      <c r="U1308" s="234">
        <f t="shared" si="130"/>
        <v>4746.5919422187117</v>
      </c>
      <c r="V1308" s="78">
        <f>V1309</f>
        <v>7396.4796867170753</v>
      </c>
    </row>
    <row r="1309" spans="1:22" s="79" customFormat="1" ht="36" customHeight="1" x14ac:dyDescent="0.5">
      <c r="A1309" s="79">
        <v>1</v>
      </c>
      <c r="B1309" s="85">
        <f>SUBTOTAL(103,$A$1026:A1309)</f>
        <v>263</v>
      </c>
      <c r="C1309" s="244" t="s">
        <v>2305</v>
      </c>
      <c r="D1309" s="233">
        <v>1968</v>
      </c>
      <c r="E1309" s="233"/>
      <c r="F1309" s="233" t="s">
        <v>256</v>
      </c>
      <c r="G1309" s="233">
        <v>2</v>
      </c>
      <c r="H1309" s="233" t="s">
        <v>290</v>
      </c>
      <c r="I1309" s="234">
        <v>886.1</v>
      </c>
      <c r="J1309" s="234">
        <v>802.4</v>
      </c>
      <c r="K1309" s="234">
        <v>743.5</v>
      </c>
      <c r="L1309" s="235">
        <v>26</v>
      </c>
      <c r="M1309" s="233" t="s">
        <v>254</v>
      </c>
      <c r="N1309" s="233" t="s">
        <v>255</v>
      </c>
      <c r="O1309" s="236" t="s">
        <v>257</v>
      </c>
      <c r="P1309" s="84">
        <v>4205955.12</v>
      </c>
      <c r="Q1309" s="234">
        <v>0</v>
      </c>
      <c r="R1309" s="234">
        <v>0</v>
      </c>
      <c r="S1309" s="234">
        <v>0</v>
      </c>
      <c r="T1309" s="234">
        <f>P1309-Q1309-R1309-S1309</f>
        <v>4205955.12</v>
      </c>
      <c r="U1309" s="234">
        <f t="shared" si="130"/>
        <v>4746.5919422187117</v>
      </c>
      <c r="V1309" s="78">
        <v>7396.4796867170753</v>
      </c>
    </row>
    <row r="1310" spans="1:22" s="79" customFormat="1" ht="36" customHeight="1" x14ac:dyDescent="0.5">
      <c r="B1310" s="83" t="s">
        <v>831</v>
      </c>
      <c r="C1310" s="244"/>
      <c r="D1310" s="233" t="s">
        <v>835</v>
      </c>
      <c r="E1310" s="233" t="s">
        <v>835</v>
      </c>
      <c r="F1310" s="233" t="s">
        <v>835</v>
      </c>
      <c r="G1310" s="233" t="s">
        <v>835</v>
      </c>
      <c r="H1310" s="233" t="s">
        <v>835</v>
      </c>
      <c r="I1310" s="234">
        <f>SUM(I1311:I1312)</f>
        <v>1532.1</v>
      </c>
      <c r="J1310" s="234">
        <f t="shared" ref="J1310:L1310" si="172">SUM(J1311:J1312)</f>
        <v>1325.8000000000002</v>
      </c>
      <c r="K1310" s="234">
        <f t="shared" si="172"/>
        <v>1325.8000000000002</v>
      </c>
      <c r="L1310" s="235">
        <f t="shared" si="172"/>
        <v>39</v>
      </c>
      <c r="M1310" s="233" t="s">
        <v>835</v>
      </c>
      <c r="N1310" s="233" t="s">
        <v>835</v>
      </c>
      <c r="O1310" s="236" t="s">
        <v>835</v>
      </c>
      <c r="P1310" s="138">
        <v>128495.95999999999</v>
      </c>
      <c r="Q1310" s="234">
        <f t="shared" ref="Q1310" si="173">SUM(Q1311:Q1312)</f>
        <v>0</v>
      </c>
      <c r="R1310" s="234">
        <f t="shared" ref="R1310" si="174">SUM(R1311:R1312)</f>
        <v>0</v>
      </c>
      <c r="S1310" s="234">
        <f t="shared" ref="S1310" si="175">SUM(S1311:S1312)</f>
        <v>0</v>
      </c>
      <c r="T1310" s="234">
        <f t="shared" ref="T1310" si="176">SUM(T1311:T1312)</f>
        <v>128495.95999999999</v>
      </c>
      <c r="U1310" s="234">
        <f t="shared" si="130"/>
        <v>83.869173030481036</v>
      </c>
      <c r="V1310" s="78">
        <f>MAX(V1311:V1312)</f>
        <v>154.23593779276746</v>
      </c>
    </row>
    <row r="1311" spans="1:22" s="79" customFormat="1" ht="36" customHeight="1" x14ac:dyDescent="0.5">
      <c r="A1311" s="79">
        <v>1</v>
      </c>
      <c r="B1311" s="85">
        <f>SUBTOTAL(103,$A$1026:A1311)</f>
        <v>264</v>
      </c>
      <c r="C1311" s="251" t="s">
        <v>1585</v>
      </c>
      <c r="D1311" s="233">
        <v>1984</v>
      </c>
      <c r="E1311" s="233"/>
      <c r="F1311" s="233" t="s">
        <v>298</v>
      </c>
      <c r="G1311" s="233">
        <v>2</v>
      </c>
      <c r="H1311" s="233" t="s">
        <v>290</v>
      </c>
      <c r="I1311" s="234">
        <v>998.4</v>
      </c>
      <c r="J1311" s="234">
        <v>805.1</v>
      </c>
      <c r="K1311" s="234">
        <v>805.1</v>
      </c>
      <c r="L1311" s="235">
        <v>19</v>
      </c>
      <c r="M1311" s="233" t="s">
        <v>254</v>
      </c>
      <c r="N1311" s="233" t="s">
        <v>255</v>
      </c>
      <c r="O1311" s="236" t="s">
        <v>257</v>
      </c>
      <c r="P1311" s="84">
        <v>64867.34</v>
      </c>
      <c r="Q1311" s="234">
        <v>0</v>
      </c>
      <c r="R1311" s="234">
        <v>0</v>
      </c>
      <c r="S1311" s="234">
        <v>0</v>
      </c>
      <c r="T1311" s="234">
        <f t="shared" ref="T1311:T1312" si="177">P1311-Q1311-R1311-S1311</f>
        <v>64867.34</v>
      </c>
      <c r="U1311" s="234">
        <f t="shared" si="130"/>
        <v>64.971294070512812</v>
      </c>
      <c r="V1311" s="78">
        <v>73.674709535256412</v>
      </c>
    </row>
    <row r="1312" spans="1:22" s="79" customFormat="1" ht="36" customHeight="1" x14ac:dyDescent="0.5">
      <c r="A1312" s="79">
        <v>1</v>
      </c>
      <c r="B1312" s="85">
        <f>SUBTOTAL(103,$A$1026:A1312)</f>
        <v>265</v>
      </c>
      <c r="C1312" s="251" t="s">
        <v>1586</v>
      </c>
      <c r="D1312" s="233">
        <v>1982</v>
      </c>
      <c r="E1312" s="233"/>
      <c r="F1312" s="233" t="s">
        <v>256</v>
      </c>
      <c r="G1312" s="233">
        <v>2</v>
      </c>
      <c r="H1312" s="233" t="s">
        <v>290</v>
      </c>
      <c r="I1312" s="234">
        <v>533.70000000000005</v>
      </c>
      <c r="J1312" s="234">
        <v>520.70000000000005</v>
      </c>
      <c r="K1312" s="234">
        <v>520.70000000000005</v>
      </c>
      <c r="L1312" s="235">
        <v>20</v>
      </c>
      <c r="M1312" s="233" t="s">
        <v>254</v>
      </c>
      <c r="N1312" s="233" t="s">
        <v>255</v>
      </c>
      <c r="O1312" s="236" t="s">
        <v>257</v>
      </c>
      <c r="P1312" s="84">
        <v>63628.62</v>
      </c>
      <c r="Q1312" s="234">
        <v>0</v>
      </c>
      <c r="R1312" s="234">
        <v>0</v>
      </c>
      <c r="S1312" s="234">
        <v>0</v>
      </c>
      <c r="T1312" s="234">
        <f t="shared" si="177"/>
        <v>63628.62</v>
      </c>
      <c r="U1312" s="234">
        <f t="shared" si="130"/>
        <v>119.22169758291174</v>
      </c>
      <c r="V1312" s="78">
        <v>154.23593779276746</v>
      </c>
    </row>
    <row r="1313" spans="1:22" s="79" customFormat="1" ht="36" customHeight="1" x14ac:dyDescent="0.5">
      <c r="B1313" s="83" t="s">
        <v>773</v>
      </c>
      <c r="C1313" s="253"/>
      <c r="D1313" s="233" t="s">
        <v>835</v>
      </c>
      <c r="E1313" s="233" t="s">
        <v>835</v>
      </c>
      <c r="F1313" s="233" t="s">
        <v>835</v>
      </c>
      <c r="G1313" s="233" t="s">
        <v>835</v>
      </c>
      <c r="H1313" s="233" t="s">
        <v>835</v>
      </c>
      <c r="I1313" s="234">
        <f>SUM(I1314:I1317)</f>
        <v>10992.95</v>
      </c>
      <c r="J1313" s="234">
        <f t="shared" ref="J1313:L1313" si="178">SUM(J1314:J1317)</f>
        <v>8793.4499999999989</v>
      </c>
      <c r="K1313" s="234">
        <f t="shared" si="178"/>
        <v>8407.15</v>
      </c>
      <c r="L1313" s="235">
        <f t="shared" si="178"/>
        <v>347</v>
      </c>
      <c r="M1313" s="233" t="s">
        <v>835</v>
      </c>
      <c r="N1313" s="233" t="s">
        <v>835</v>
      </c>
      <c r="O1313" s="236" t="s">
        <v>835</v>
      </c>
      <c r="P1313" s="138">
        <v>24901406.080000002</v>
      </c>
      <c r="Q1313" s="234">
        <f t="shared" ref="Q1313" si="179">SUM(Q1314:Q1317)</f>
        <v>0</v>
      </c>
      <c r="R1313" s="234">
        <f t="shared" ref="R1313" si="180">SUM(R1314:R1317)</f>
        <v>0</v>
      </c>
      <c r="S1313" s="234">
        <f t="shared" ref="S1313" si="181">SUM(S1314:S1317)</f>
        <v>0</v>
      </c>
      <c r="T1313" s="234">
        <f t="shared" ref="T1313" si="182">SUM(T1314:T1317)</f>
        <v>24901406.080000002</v>
      </c>
      <c r="U1313" s="234">
        <f t="shared" si="130"/>
        <v>2265.2159866095999</v>
      </c>
      <c r="V1313" s="78">
        <f>MAX(V1314:V1317)</f>
        <v>9898.6547109634539</v>
      </c>
    </row>
    <row r="1314" spans="1:22" s="79" customFormat="1" ht="36" customHeight="1" x14ac:dyDescent="0.5">
      <c r="A1314" s="79">
        <v>1</v>
      </c>
      <c r="B1314" s="85">
        <f>SUBTOTAL(103,$A$1026:A1314)</f>
        <v>266</v>
      </c>
      <c r="C1314" s="251" t="s">
        <v>646</v>
      </c>
      <c r="D1314" s="233">
        <v>1985</v>
      </c>
      <c r="E1314" s="233"/>
      <c r="F1314" s="233" t="s">
        <v>256</v>
      </c>
      <c r="G1314" s="233">
        <v>5</v>
      </c>
      <c r="H1314" s="233" t="s">
        <v>290</v>
      </c>
      <c r="I1314" s="234">
        <v>1568.1</v>
      </c>
      <c r="J1314" s="234">
        <v>1442.7</v>
      </c>
      <c r="K1314" s="234">
        <v>1238.7</v>
      </c>
      <c r="L1314" s="235">
        <v>43</v>
      </c>
      <c r="M1314" s="233" t="s">
        <v>254</v>
      </c>
      <c r="N1314" s="233" t="s">
        <v>258</v>
      </c>
      <c r="O1314" s="236" t="s">
        <v>678</v>
      </c>
      <c r="P1314" s="84">
        <v>1353409.2100000002</v>
      </c>
      <c r="Q1314" s="234">
        <v>0</v>
      </c>
      <c r="R1314" s="234">
        <v>0</v>
      </c>
      <c r="S1314" s="234">
        <v>0</v>
      </c>
      <c r="T1314" s="234">
        <f t="shared" ref="T1314:T1317" si="183">P1314-Q1314-R1314-S1314</f>
        <v>1353409.2100000002</v>
      </c>
      <c r="U1314" s="234">
        <f t="shared" si="130"/>
        <v>863.08858491167678</v>
      </c>
      <c r="V1314" s="78">
        <v>2338.0966601619798</v>
      </c>
    </row>
    <row r="1315" spans="1:22" s="79" customFormat="1" ht="36" customHeight="1" x14ac:dyDescent="0.5">
      <c r="A1315" s="79">
        <v>1</v>
      </c>
      <c r="B1315" s="85">
        <f>SUBTOTAL(103,$A$1026:A1315)</f>
        <v>267</v>
      </c>
      <c r="C1315" s="251" t="s">
        <v>644</v>
      </c>
      <c r="D1315" s="233">
        <v>1988</v>
      </c>
      <c r="E1315" s="233" t="s">
        <v>680</v>
      </c>
      <c r="F1315" s="233" t="s">
        <v>256</v>
      </c>
      <c r="G1315" s="233">
        <v>2</v>
      </c>
      <c r="H1315" s="233" t="s">
        <v>291</v>
      </c>
      <c r="I1315" s="234">
        <v>615.9</v>
      </c>
      <c r="J1315" s="234">
        <v>368</v>
      </c>
      <c r="K1315" s="234">
        <v>368</v>
      </c>
      <c r="L1315" s="235">
        <v>18</v>
      </c>
      <c r="M1315" s="233" t="s">
        <v>254</v>
      </c>
      <c r="N1315" s="233" t="s">
        <v>258</v>
      </c>
      <c r="O1315" s="236" t="s">
        <v>678</v>
      </c>
      <c r="P1315" s="84">
        <v>2861276.3200000003</v>
      </c>
      <c r="Q1315" s="234">
        <v>0</v>
      </c>
      <c r="R1315" s="234">
        <v>0</v>
      </c>
      <c r="S1315" s="234">
        <v>0</v>
      </c>
      <c r="T1315" s="234">
        <f t="shared" si="183"/>
        <v>2861276.3200000003</v>
      </c>
      <c r="U1315" s="234">
        <f t="shared" si="130"/>
        <v>4645.6832602695249</v>
      </c>
      <c r="V1315" s="78">
        <v>6437.9495008930026</v>
      </c>
    </row>
    <row r="1316" spans="1:22" s="79" customFormat="1" ht="36" customHeight="1" x14ac:dyDescent="0.5">
      <c r="A1316" s="79">
        <v>1</v>
      </c>
      <c r="B1316" s="85">
        <f>SUBTOTAL(103,$A$1026:A1316)</f>
        <v>268</v>
      </c>
      <c r="C1316" s="83" t="s">
        <v>645</v>
      </c>
      <c r="D1316" s="233">
        <v>1973</v>
      </c>
      <c r="E1316" s="233">
        <v>1973</v>
      </c>
      <c r="F1316" s="233" t="s">
        <v>304</v>
      </c>
      <c r="G1316" s="233">
        <v>5</v>
      </c>
      <c r="H1316" s="233" t="s">
        <v>2123</v>
      </c>
      <c r="I1316" s="234">
        <v>7845.75</v>
      </c>
      <c r="J1316" s="234">
        <v>6103.15</v>
      </c>
      <c r="K1316" s="234">
        <v>5920.85</v>
      </c>
      <c r="L1316" s="235">
        <v>252</v>
      </c>
      <c r="M1316" s="233" t="s">
        <v>254</v>
      </c>
      <c r="N1316" s="233" t="s">
        <v>258</v>
      </c>
      <c r="O1316" s="236" t="s">
        <v>678</v>
      </c>
      <c r="P1316" s="84">
        <v>13954382.34</v>
      </c>
      <c r="Q1316" s="234">
        <v>0</v>
      </c>
      <c r="R1316" s="234">
        <v>0</v>
      </c>
      <c r="S1316" s="234">
        <v>0</v>
      </c>
      <c r="T1316" s="234">
        <f t="shared" si="183"/>
        <v>13954382.34</v>
      </c>
      <c r="U1316" s="234">
        <f t="shared" si="130"/>
        <v>1778.5912551381321</v>
      </c>
      <c r="V1316" s="78">
        <v>2718.9894656342603</v>
      </c>
    </row>
    <row r="1317" spans="1:22" s="79" customFormat="1" ht="36" customHeight="1" x14ac:dyDescent="0.5">
      <c r="A1317" s="79">
        <v>1</v>
      </c>
      <c r="B1317" s="85">
        <f>SUBTOTAL(103,$A$1026:A1317)</f>
        <v>269</v>
      </c>
      <c r="C1317" s="83" t="s">
        <v>2299</v>
      </c>
      <c r="D1317" s="233">
        <v>1981</v>
      </c>
      <c r="E1317" s="233"/>
      <c r="F1317" s="233" t="s">
        <v>256</v>
      </c>
      <c r="G1317" s="233">
        <v>2</v>
      </c>
      <c r="H1317" s="233">
        <v>3</v>
      </c>
      <c r="I1317" s="234">
        <v>963.2</v>
      </c>
      <c r="J1317" s="234">
        <v>879.6</v>
      </c>
      <c r="K1317" s="234">
        <v>879.6</v>
      </c>
      <c r="L1317" s="235">
        <v>34</v>
      </c>
      <c r="M1317" s="233" t="s">
        <v>254</v>
      </c>
      <c r="N1317" s="233" t="s">
        <v>258</v>
      </c>
      <c r="O1317" s="236" t="s">
        <v>2300</v>
      </c>
      <c r="P1317" s="84">
        <v>6732338.21</v>
      </c>
      <c r="Q1317" s="234">
        <v>0</v>
      </c>
      <c r="R1317" s="234">
        <v>0</v>
      </c>
      <c r="S1317" s="234">
        <v>0</v>
      </c>
      <c r="T1317" s="234">
        <f t="shared" si="183"/>
        <v>6732338.21</v>
      </c>
      <c r="U1317" s="234">
        <f t="shared" si="130"/>
        <v>6989.5537894518266</v>
      </c>
      <c r="V1317" s="78">
        <v>9898.6547109634539</v>
      </c>
    </row>
    <row r="1318" spans="1:22" s="79" customFormat="1" ht="36" customHeight="1" x14ac:dyDescent="0.5">
      <c r="B1318" s="83" t="s">
        <v>815</v>
      </c>
      <c r="C1318" s="83"/>
      <c r="D1318" s="233" t="s">
        <v>835</v>
      </c>
      <c r="E1318" s="233" t="s">
        <v>835</v>
      </c>
      <c r="F1318" s="233" t="s">
        <v>835</v>
      </c>
      <c r="G1318" s="233" t="s">
        <v>835</v>
      </c>
      <c r="H1318" s="233" t="s">
        <v>835</v>
      </c>
      <c r="I1318" s="234">
        <f>SUM(I1319:I1320)</f>
        <v>1619.7</v>
      </c>
      <c r="J1318" s="234">
        <f t="shared" ref="J1318:L1318" si="184">SUM(J1319:J1320)</f>
        <v>1552.8000000000002</v>
      </c>
      <c r="K1318" s="234">
        <f t="shared" si="184"/>
        <v>1552.8000000000002</v>
      </c>
      <c r="L1318" s="235">
        <f t="shared" si="184"/>
        <v>54</v>
      </c>
      <c r="M1318" s="233" t="s">
        <v>835</v>
      </c>
      <c r="N1318" s="233" t="s">
        <v>835</v>
      </c>
      <c r="O1318" s="236" t="s">
        <v>835</v>
      </c>
      <c r="P1318" s="138">
        <v>10485759.58</v>
      </c>
      <c r="Q1318" s="234">
        <f t="shared" ref="Q1318" si="185">SUM(Q1319:Q1320)</f>
        <v>0</v>
      </c>
      <c r="R1318" s="234">
        <f t="shared" ref="R1318" si="186">SUM(R1319:R1320)</f>
        <v>0</v>
      </c>
      <c r="S1318" s="234">
        <f t="shared" ref="S1318" si="187">SUM(S1319:S1320)</f>
        <v>0</v>
      </c>
      <c r="T1318" s="234">
        <f t="shared" ref="T1318" si="188">SUM(T1319:T1320)</f>
        <v>10485759.58</v>
      </c>
      <c r="U1318" s="234">
        <f t="shared" si="130"/>
        <v>6473.8899672778907</v>
      </c>
      <c r="V1318" s="78">
        <f>MAX(V1319:V1320)</f>
        <v>9763.9073093420557</v>
      </c>
    </row>
    <row r="1319" spans="1:22" s="79" customFormat="1" ht="36" customHeight="1" x14ac:dyDescent="0.5">
      <c r="A1319" s="79">
        <v>1</v>
      </c>
      <c r="B1319" s="85">
        <f>SUBTOTAL(103,$A$1026:A1319)</f>
        <v>270</v>
      </c>
      <c r="C1319" s="251" t="s">
        <v>652</v>
      </c>
      <c r="D1319" s="233">
        <v>1995</v>
      </c>
      <c r="E1319" s="233"/>
      <c r="F1319" s="233" t="s">
        <v>256</v>
      </c>
      <c r="G1319" s="233">
        <v>2</v>
      </c>
      <c r="H1319" s="233" t="s">
        <v>299</v>
      </c>
      <c r="I1319" s="234">
        <v>1069.5</v>
      </c>
      <c r="J1319" s="234">
        <v>1035.2</v>
      </c>
      <c r="K1319" s="234">
        <v>1035.2</v>
      </c>
      <c r="L1319" s="235">
        <v>34</v>
      </c>
      <c r="M1319" s="233" t="s">
        <v>254</v>
      </c>
      <c r="N1319" s="233" t="s">
        <v>255</v>
      </c>
      <c r="O1319" s="236" t="s">
        <v>257</v>
      </c>
      <c r="P1319" s="84">
        <v>6834104.0599999996</v>
      </c>
      <c r="Q1319" s="234">
        <v>0</v>
      </c>
      <c r="R1319" s="234">
        <v>0</v>
      </c>
      <c r="S1319" s="234">
        <v>0</v>
      </c>
      <c r="T1319" s="234">
        <f t="shared" ref="T1319:T1320" si="189">P1319-Q1319-R1319-S1319</f>
        <v>6834104.0599999996</v>
      </c>
      <c r="U1319" s="234">
        <f t="shared" si="130"/>
        <v>6389.9991210846183</v>
      </c>
      <c r="V1319" s="78">
        <v>9587.3947452080411</v>
      </c>
    </row>
    <row r="1320" spans="1:22" s="79" customFormat="1" ht="36" customHeight="1" x14ac:dyDescent="0.5">
      <c r="A1320" s="79">
        <v>1</v>
      </c>
      <c r="B1320" s="85">
        <f>SUBTOTAL(103,$A$1026:A1320)</f>
        <v>271</v>
      </c>
      <c r="C1320" s="83" t="s">
        <v>651</v>
      </c>
      <c r="D1320" s="233">
        <v>1970</v>
      </c>
      <c r="E1320" s="233"/>
      <c r="F1320" s="233" t="s">
        <v>256</v>
      </c>
      <c r="G1320" s="233">
        <v>2</v>
      </c>
      <c r="H1320" s="233" t="s">
        <v>290</v>
      </c>
      <c r="I1320" s="234">
        <v>550.20000000000005</v>
      </c>
      <c r="J1320" s="234">
        <v>517.6</v>
      </c>
      <c r="K1320" s="234">
        <v>517.6</v>
      </c>
      <c r="L1320" s="235">
        <v>20</v>
      </c>
      <c r="M1320" s="233" t="s">
        <v>254</v>
      </c>
      <c r="N1320" s="233" t="s">
        <v>255</v>
      </c>
      <c r="O1320" s="236" t="s">
        <v>257</v>
      </c>
      <c r="P1320" s="84">
        <v>3651655.52</v>
      </c>
      <c r="Q1320" s="234">
        <v>0</v>
      </c>
      <c r="R1320" s="234">
        <v>0</v>
      </c>
      <c r="S1320" s="234">
        <v>0</v>
      </c>
      <c r="T1320" s="234">
        <f t="shared" si="189"/>
        <v>3651655.52</v>
      </c>
      <c r="U1320" s="234">
        <f t="shared" si="130"/>
        <v>6636.9602326426748</v>
      </c>
      <c r="V1320" s="78">
        <v>9763.9073093420557</v>
      </c>
    </row>
    <row r="1321" spans="1:22" s="79" customFormat="1" ht="36" customHeight="1" x14ac:dyDescent="0.5">
      <c r="B1321" s="83" t="s">
        <v>774</v>
      </c>
      <c r="C1321" s="83"/>
      <c r="D1321" s="233" t="s">
        <v>835</v>
      </c>
      <c r="E1321" s="233" t="s">
        <v>835</v>
      </c>
      <c r="F1321" s="233" t="s">
        <v>835</v>
      </c>
      <c r="G1321" s="233" t="s">
        <v>835</v>
      </c>
      <c r="H1321" s="233" t="s">
        <v>835</v>
      </c>
      <c r="I1321" s="234">
        <f>SUM(I1322:I1324)</f>
        <v>7109.9</v>
      </c>
      <c r="J1321" s="234">
        <f t="shared" ref="J1321:L1321" si="190">SUM(J1322:J1324)</f>
        <v>5229.7999999999993</v>
      </c>
      <c r="K1321" s="234">
        <f t="shared" si="190"/>
        <v>3960.2</v>
      </c>
      <c r="L1321" s="235">
        <f t="shared" si="190"/>
        <v>209</v>
      </c>
      <c r="M1321" s="233" t="s">
        <v>835</v>
      </c>
      <c r="N1321" s="233" t="s">
        <v>835</v>
      </c>
      <c r="O1321" s="236" t="s">
        <v>835</v>
      </c>
      <c r="P1321" s="138">
        <v>7120721.04</v>
      </c>
      <c r="Q1321" s="234">
        <f t="shared" ref="Q1321" si="191">SUM(Q1322:Q1324)</f>
        <v>0</v>
      </c>
      <c r="R1321" s="234">
        <f t="shared" ref="R1321" si="192">SUM(R1322:R1324)</f>
        <v>0</v>
      </c>
      <c r="S1321" s="234">
        <f t="shared" ref="S1321" si="193">SUM(S1322:S1324)</f>
        <v>0</v>
      </c>
      <c r="T1321" s="234">
        <f t="shared" ref="T1321" si="194">SUM(T1322:T1324)</f>
        <v>7120721.04</v>
      </c>
      <c r="U1321" s="234">
        <f t="shared" si="130"/>
        <v>1001.5219679601682</v>
      </c>
      <c r="V1321" s="78">
        <f>MAX(V1322:V1324)</f>
        <v>7140.8042237252857</v>
      </c>
    </row>
    <row r="1322" spans="1:22" s="79" customFormat="1" ht="36" customHeight="1" x14ac:dyDescent="0.5">
      <c r="A1322" s="79">
        <v>1</v>
      </c>
      <c r="B1322" s="85">
        <f>SUBTOTAL(103,$A$1026:A1322)</f>
        <v>272</v>
      </c>
      <c r="C1322" s="83" t="s">
        <v>648</v>
      </c>
      <c r="D1322" s="233">
        <v>1973</v>
      </c>
      <c r="E1322" s="233">
        <v>2006</v>
      </c>
      <c r="F1322" s="233" t="s">
        <v>256</v>
      </c>
      <c r="G1322" s="233">
        <v>3</v>
      </c>
      <c r="H1322" s="233" t="s">
        <v>290</v>
      </c>
      <c r="I1322" s="234">
        <v>1206.8</v>
      </c>
      <c r="J1322" s="234">
        <v>1107.8</v>
      </c>
      <c r="K1322" s="234">
        <v>1107.8</v>
      </c>
      <c r="L1322" s="235">
        <v>30</v>
      </c>
      <c r="M1322" s="233" t="s">
        <v>254</v>
      </c>
      <c r="N1322" s="233" t="s">
        <v>258</v>
      </c>
      <c r="O1322" s="236" t="s">
        <v>679</v>
      </c>
      <c r="P1322" s="84">
        <v>4895729.87</v>
      </c>
      <c r="Q1322" s="234">
        <v>0</v>
      </c>
      <c r="R1322" s="234">
        <v>0</v>
      </c>
      <c r="S1322" s="234">
        <v>0</v>
      </c>
      <c r="T1322" s="234">
        <f t="shared" ref="T1322:T1324" si="195">P1322-Q1322-R1322-S1322</f>
        <v>4895729.87</v>
      </c>
      <c r="U1322" s="234">
        <f t="shared" si="130"/>
        <v>4056.7864352005304</v>
      </c>
      <c r="V1322" s="78">
        <v>5577.4517732847198</v>
      </c>
    </row>
    <row r="1323" spans="1:22" s="79" customFormat="1" ht="36" customHeight="1" x14ac:dyDescent="0.5">
      <c r="A1323" s="79">
        <v>1</v>
      </c>
      <c r="B1323" s="85">
        <f>SUBTOTAL(103,$A$1026:A1323)</f>
        <v>273</v>
      </c>
      <c r="C1323" s="83" t="s">
        <v>1817</v>
      </c>
      <c r="D1323" s="233">
        <v>1994</v>
      </c>
      <c r="E1323" s="233"/>
      <c r="F1323" s="233" t="s">
        <v>1479</v>
      </c>
      <c r="G1323" s="233" t="s">
        <v>290</v>
      </c>
      <c r="H1323" s="233" t="s">
        <v>295</v>
      </c>
      <c r="I1323" s="234">
        <v>1922</v>
      </c>
      <c r="J1323" s="234">
        <v>1573.4</v>
      </c>
      <c r="K1323" s="234">
        <v>1573.4</v>
      </c>
      <c r="L1323" s="235">
        <v>41</v>
      </c>
      <c r="M1323" s="233" t="s">
        <v>254</v>
      </c>
      <c r="N1323" s="233" t="s">
        <v>258</v>
      </c>
      <c r="O1323" s="236" t="s">
        <v>2129</v>
      </c>
      <c r="P1323" s="84">
        <v>1449281.26</v>
      </c>
      <c r="Q1323" s="234">
        <v>0</v>
      </c>
      <c r="R1323" s="234">
        <v>0</v>
      </c>
      <c r="S1323" s="234">
        <v>0</v>
      </c>
      <c r="T1323" s="234">
        <f t="shared" si="195"/>
        <v>1449281.26</v>
      </c>
      <c r="U1323" s="234">
        <f t="shared" si="130"/>
        <v>754.04852237252862</v>
      </c>
      <c r="V1323" s="78">
        <v>7140.8042237252857</v>
      </c>
    </row>
    <row r="1324" spans="1:22" s="79" customFormat="1" ht="36" customHeight="1" x14ac:dyDescent="0.5">
      <c r="A1324" s="79">
        <v>1</v>
      </c>
      <c r="B1324" s="85">
        <f>SUBTOTAL(103,$A$1026:A1324)</f>
        <v>274</v>
      </c>
      <c r="C1324" s="83" t="s">
        <v>1145</v>
      </c>
      <c r="D1324" s="233">
        <v>1975</v>
      </c>
      <c r="E1324" s="233">
        <v>2015</v>
      </c>
      <c r="F1324" s="233" t="s">
        <v>256</v>
      </c>
      <c r="G1324" s="233">
        <v>3</v>
      </c>
      <c r="H1324" s="233" t="s">
        <v>290</v>
      </c>
      <c r="I1324" s="234">
        <v>3981.1</v>
      </c>
      <c r="J1324" s="234">
        <v>2548.6</v>
      </c>
      <c r="K1324" s="234">
        <v>1279</v>
      </c>
      <c r="L1324" s="235">
        <v>138</v>
      </c>
      <c r="M1324" s="233" t="s">
        <v>254</v>
      </c>
      <c r="N1324" s="233" t="s">
        <v>258</v>
      </c>
      <c r="O1324" s="236" t="s">
        <v>676</v>
      </c>
      <c r="P1324" s="84">
        <v>775709.90999999992</v>
      </c>
      <c r="Q1324" s="234">
        <v>0</v>
      </c>
      <c r="R1324" s="234">
        <v>0</v>
      </c>
      <c r="S1324" s="234">
        <v>0</v>
      </c>
      <c r="T1324" s="234">
        <f t="shared" si="195"/>
        <v>775709.90999999992</v>
      </c>
      <c r="U1324" s="234">
        <f t="shared" si="130"/>
        <v>194.84813493758006</v>
      </c>
      <c r="V1324" s="78">
        <v>409.66</v>
      </c>
    </row>
    <row r="1325" spans="1:22" s="79" customFormat="1" ht="36" customHeight="1" x14ac:dyDescent="0.5">
      <c r="B1325" s="83" t="s">
        <v>775</v>
      </c>
      <c r="C1325" s="83"/>
      <c r="D1325" s="233" t="s">
        <v>835</v>
      </c>
      <c r="E1325" s="233" t="s">
        <v>835</v>
      </c>
      <c r="F1325" s="233" t="s">
        <v>835</v>
      </c>
      <c r="G1325" s="233" t="s">
        <v>835</v>
      </c>
      <c r="H1325" s="233" t="s">
        <v>835</v>
      </c>
      <c r="I1325" s="234">
        <f>SUM(I1326:I1327)</f>
        <v>1513.8</v>
      </c>
      <c r="J1325" s="234">
        <f t="shared" ref="J1325:L1325" si="196">SUM(J1326:J1327)</f>
        <v>1370.8000000000002</v>
      </c>
      <c r="K1325" s="234">
        <f t="shared" si="196"/>
        <v>1219.5</v>
      </c>
      <c r="L1325" s="235">
        <f t="shared" si="196"/>
        <v>58</v>
      </c>
      <c r="M1325" s="233" t="s">
        <v>835</v>
      </c>
      <c r="N1325" s="233" t="s">
        <v>835</v>
      </c>
      <c r="O1325" s="236" t="s">
        <v>835</v>
      </c>
      <c r="P1325" s="138">
        <v>9997953.2300000004</v>
      </c>
      <c r="Q1325" s="234">
        <f t="shared" ref="Q1325" si="197">SUM(Q1326:Q1327)</f>
        <v>0</v>
      </c>
      <c r="R1325" s="234">
        <f t="shared" ref="R1325" si="198">SUM(R1326:R1327)</f>
        <v>0</v>
      </c>
      <c r="S1325" s="234">
        <f t="shared" ref="S1325" si="199">SUM(S1326:S1327)</f>
        <v>0</v>
      </c>
      <c r="T1325" s="234">
        <f t="shared" ref="T1325" si="200">SUM(T1326:T1327)</f>
        <v>9997953.2300000004</v>
      </c>
      <c r="U1325" s="234">
        <f t="shared" si="130"/>
        <v>6604.5403818205841</v>
      </c>
      <c r="V1325" s="78">
        <f>MAX(V1326:V1327)</f>
        <v>9353.5437890320645</v>
      </c>
    </row>
    <row r="1326" spans="1:22" s="79" customFormat="1" ht="36" customHeight="1" x14ac:dyDescent="0.5">
      <c r="A1326" s="79">
        <v>1</v>
      </c>
      <c r="B1326" s="85">
        <f>SUBTOTAL(103,$A$1026:A1326)</f>
        <v>275</v>
      </c>
      <c r="C1326" s="251" t="s">
        <v>650</v>
      </c>
      <c r="D1326" s="233">
        <v>1987</v>
      </c>
      <c r="E1326" s="233"/>
      <c r="F1326" s="233" t="s">
        <v>256</v>
      </c>
      <c r="G1326" s="233">
        <v>2</v>
      </c>
      <c r="H1326" s="233" t="s">
        <v>290</v>
      </c>
      <c r="I1326" s="234">
        <v>667.4</v>
      </c>
      <c r="J1326" s="234">
        <v>576.1</v>
      </c>
      <c r="K1326" s="234">
        <v>424.8</v>
      </c>
      <c r="L1326" s="235">
        <v>32</v>
      </c>
      <c r="M1326" s="233" t="s">
        <v>254</v>
      </c>
      <c r="N1326" s="233" t="s">
        <v>255</v>
      </c>
      <c r="O1326" s="236" t="s">
        <v>257</v>
      </c>
      <c r="P1326" s="84">
        <v>4978391.57</v>
      </c>
      <c r="Q1326" s="234">
        <v>0</v>
      </c>
      <c r="R1326" s="234">
        <v>0</v>
      </c>
      <c r="S1326" s="234">
        <v>0</v>
      </c>
      <c r="T1326" s="234">
        <f t="shared" ref="T1326:T1327" si="201">P1326-Q1326-R1326-S1326</f>
        <v>4978391.57</v>
      </c>
      <c r="U1326" s="234">
        <f t="shared" si="130"/>
        <v>7459.382034761763</v>
      </c>
      <c r="V1326" s="78">
        <v>9353.5437890320645</v>
      </c>
    </row>
    <row r="1327" spans="1:22" s="79" customFormat="1" ht="36" customHeight="1" x14ac:dyDescent="0.5">
      <c r="A1327" s="79">
        <v>1</v>
      </c>
      <c r="B1327" s="85">
        <f>SUBTOTAL(103,$A$1026:A1327)</f>
        <v>276</v>
      </c>
      <c r="C1327" s="83" t="s">
        <v>741</v>
      </c>
      <c r="D1327" s="233">
        <v>1981</v>
      </c>
      <c r="E1327" s="233"/>
      <c r="F1327" s="233" t="s">
        <v>256</v>
      </c>
      <c r="G1327" s="233">
        <v>2</v>
      </c>
      <c r="H1327" s="233" t="s">
        <v>299</v>
      </c>
      <c r="I1327" s="234">
        <v>846.4</v>
      </c>
      <c r="J1327" s="234">
        <v>794.7</v>
      </c>
      <c r="K1327" s="234">
        <v>794.7</v>
      </c>
      <c r="L1327" s="235">
        <v>26</v>
      </c>
      <c r="M1327" s="233" t="s">
        <v>254</v>
      </c>
      <c r="N1327" s="233" t="s">
        <v>258</v>
      </c>
      <c r="O1327" s="236" t="s">
        <v>676</v>
      </c>
      <c r="P1327" s="84">
        <v>5019561.66</v>
      </c>
      <c r="Q1327" s="234">
        <v>0</v>
      </c>
      <c r="R1327" s="234">
        <v>0</v>
      </c>
      <c r="S1327" s="234">
        <v>0</v>
      </c>
      <c r="T1327" s="234">
        <f t="shared" si="201"/>
        <v>5019561.66</v>
      </c>
      <c r="U1327" s="234">
        <f t="shared" si="130"/>
        <v>5930.4840028355393</v>
      </c>
      <c r="V1327" s="78">
        <v>7251.4673322306244</v>
      </c>
    </row>
    <row r="1328" spans="1:22" s="79" customFormat="1" ht="36" customHeight="1" x14ac:dyDescent="0.5">
      <c r="B1328" s="83" t="s">
        <v>1326</v>
      </c>
      <c r="C1328" s="83"/>
      <c r="D1328" s="233" t="s">
        <v>835</v>
      </c>
      <c r="E1328" s="233" t="s">
        <v>835</v>
      </c>
      <c r="F1328" s="233" t="s">
        <v>835</v>
      </c>
      <c r="G1328" s="233" t="s">
        <v>835</v>
      </c>
      <c r="H1328" s="233" t="s">
        <v>835</v>
      </c>
      <c r="I1328" s="234">
        <f>I1329</f>
        <v>833.7</v>
      </c>
      <c r="J1328" s="234">
        <f t="shared" ref="J1328:L1328" si="202">J1329</f>
        <v>771.9</v>
      </c>
      <c r="K1328" s="234">
        <f t="shared" si="202"/>
        <v>771.9</v>
      </c>
      <c r="L1328" s="235">
        <f t="shared" si="202"/>
        <v>33</v>
      </c>
      <c r="M1328" s="233" t="s">
        <v>835</v>
      </c>
      <c r="N1328" s="233" t="s">
        <v>835</v>
      </c>
      <c r="O1328" s="236" t="s">
        <v>835</v>
      </c>
      <c r="P1328" s="138">
        <v>5407057.6483750008</v>
      </c>
      <c r="Q1328" s="234">
        <f>Q1329</f>
        <v>0</v>
      </c>
      <c r="R1328" s="234">
        <f t="shared" ref="R1328:T1328" si="203">R1329</f>
        <v>0</v>
      </c>
      <c r="S1328" s="234">
        <f t="shared" si="203"/>
        <v>0</v>
      </c>
      <c r="T1328" s="234">
        <f t="shared" si="203"/>
        <v>5407057.6483750008</v>
      </c>
      <c r="U1328" s="234">
        <f>T1328/I1328</f>
        <v>6485.6155072268211</v>
      </c>
      <c r="V1328" s="78">
        <f>V1329</f>
        <v>7879.7264589180759</v>
      </c>
    </row>
    <row r="1329" spans="1:22" s="79" customFormat="1" ht="36" customHeight="1" x14ac:dyDescent="0.5">
      <c r="A1329" s="79">
        <v>1</v>
      </c>
      <c r="B1329" s="85">
        <f>SUBTOTAL(103,$A$1026:A1329)</f>
        <v>277</v>
      </c>
      <c r="C1329" s="251" t="s">
        <v>2294</v>
      </c>
      <c r="D1329" s="260">
        <v>1969</v>
      </c>
      <c r="E1329" s="260"/>
      <c r="F1329" s="260" t="s">
        <v>3270</v>
      </c>
      <c r="G1329" s="260">
        <v>2</v>
      </c>
      <c r="H1329" s="260">
        <v>2</v>
      </c>
      <c r="I1329" s="234">
        <v>833.7</v>
      </c>
      <c r="J1329" s="234">
        <v>771.9</v>
      </c>
      <c r="K1329" s="234">
        <v>771.9</v>
      </c>
      <c r="L1329" s="235">
        <v>33</v>
      </c>
      <c r="M1329" s="260" t="s">
        <v>254</v>
      </c>
      <c r="N1329" s="260" t="s">
        <v>258</v>
      </c>
      <c r="O1329" s="261" t="s">
        <v>1783</v>
      </c>
      <c r="P1329" s="84">
        <v>5407057.6483750008</v>
      </c>
      <c r="Q1329" s="234">
        <v>0</v>
      </c>
      <c r="R1329" s="234">
        <v>0</v>
      </c>
      <c r="S1329" s="234">
        <v>0</v>
      </c>
      <c r="T1329" s="234">
        <f>P1329-Q1329-R1329-S1329</f>
        <v>5407057.6483750008</v>
      </c>
      <c r="U1329" s="234">
        <f>T1329/I1329</f>
        <v>6485.6155072268211</v>
      </c>
      <c r="V1329" s="78">
        <v>7879.7264589180759</v>
      </c>
    </row>
    <row r="1330" spans="1:22" s="79" customFormat="1" ht="36" customHeight="1" x14ac:dyDescent="0.5">
      <c r="B1330" s="83" t="s">
        <v>832</v>
      </c>
      <c r="C1330" s="83"/>
      <c r="D1330" s="233" t="s">
        <v>835</v>
      </c>
      <c r="E1330" s="233" t="s">
        <v>835</v>
      </c>
      <c r="F1330" s="233" t="s">
        <v>835</v>
      </c>
      <c r="G1330" s="233" t="s">
        <v>835</v>
      </c>
      <c r="H1330" s="233" t="s">
        <v>835</v>
      </c>
      <c r="I1330" s="234">
        <f>I1331</f>
        <v>569.20000000000005</v>
      </c>
      <c r="J1330" s="234">
        <f t="shared" ref="J1330:L1330" si="204">J1331</f>
        <v>569.20000000000005</v>
      </c>
      <c r="K1330" s="234">
        <f t="shared" si="204"/>
        <v>569.20000000000005</v>
      </c>
      <c r="L1330" s="235">
        <f t="shared" si="204"/>
        <v>29</v>
      </c>
      <c r="M1330" s="233" t="s">
        <v>835</v>
      </c>
      <c r="N1330" s="233" t="s">
        <v>835</v>
      </c>
      <c r="O1330" s="236" t="s">
        <v>835</v>
      </c>
      <c r="P1330" s="138">
        <v>4936038.4099999992</v>
      </c>
      <c r="Q1330" s="234">
        <f t="shared" ref="Q1330" si="205">Q1331</f>
        <v>0</v>
      </c>
      <c r="R1330" s="234">
        <f t="shared" ref="R1330" si="206">R1331</f>
        <v>0</v>
      </c>
      <c r="S1330" s="234">
        <f t="shared" ref="S1330" si="207">S1331</f>
        <v>0</v>
      </c>
      <c r="T1330" s="234">
        <f t="shared" ref="T1330" si="208">T1331</f>
        <v>4936038.4099999992</v>
      </c>
      <c r="U1330" s="234">
        <f t="shared" si="130"/>
        <v>8671.8875790583261</v>
      </c>
      <c r="V1330" s="78">
        <f>V1331</f>
        <v>10372.17223612087</v>
      </c>
    </row>
    <row r="1331" spans="1:22" s="79" customFormat="1" ht="36" customHeight="1" x14ac:dyDescent="0.5">
      <c r="A1331" s="79">
        <v>1</v>
      </c>
      <c r="B1331" s="85">
        <f>SUBTOTAL(103,$A$1026:A1331)</f>
        <v>278</v>
      </c>
      <c r="C1331" s="251" t="s">
        <v>647</v>
      </c>
      <c r="D1331" s="233">
        <v>1978</v>
      </c>
      <c r="E1331" s="233"/>
      <c r="F1331" s="233" t="s">
        <v>256</v>
      </c>
      <c r="G1331" s="233">
        <v>2</v>
      </c>
      <c r="H1331" s="233" t="s">
        <v>290</v>
      </c>
      <c r="I1331" s="234">
        <v>569.20000000000005</v>
      </c>
      <c r="J1331" s="234">
        <v>569.20000000000005</v>
      </c>
      <c r="K1331" s="234">
        <v>569.20000000000005</v>
      </c>
      <c r="L1331" s="235">
        <v>29</v>
      </c>
      <c r="M1331" s="233" t="s">
        <v>254</v>
      </c>
      <c r="N1331" s="233" t="s">
        <v>255</v>
      </c>
      <c r="O1331" s="236" t="s">
        <v>257</v>
      </c>
      <c r="P1331" s="84">
        <v>4936038.4099999992</v>
      </c>
      <c r="Q1331" s="234">
        <v>0</v>
      </c>
      <c r="R1331" s="234">
        <v>0</v>
      </c>
      <c r="S1331" s="234">
        <v>0</v>
      </c>
      <c r="T1331" s="234">
        <f>P1331-Q1331-R1331-S1331</f>
        <v>4936038.4099999992</v>
      </c>
      <c r="U1331" s="234">
        <f t="shared" si="130"/>
        <v>8671.8875790583261</v>
      </c>
      <c r="V1331" s="78">
        <v>10372.17223612087</v>
      </c>
    </row>
    <row r="1332" spans="1:22" s="79" customFormat="1" ht="36" customHeight="1" x14ac:dyDescent="0.5">
      <c r="B1332" s="83" t="s">
        <v>778</v>
      </c>
      <c r="C1332" s="83"/>
      <c r="D1332" s="233" t="s">
        <v>835</v>
      </c>
      <c r="E1332" s="233" t="s">
        <v>835</v>
      </c>
      <c r="F1332" s="233" t="s">
        <v>835</v>
      </c>
      <c r="G1332" s="233" t="s">
        <v>835</v>
      </c>
      <c r="H1332" s="233" t="s">
        <v>835</v>
      </c>
      <c r="I1332" s="234">
        <f>I1333+I1334</f>
        <v>1298.4099999999999</v>
      </c>
      <c r="J1332" s="234">
        <f t="shared" ref="J1332:L1332" si="209">J1333+J1334</f>
        <v>1150.48</v>
      </c>
      <c r="K1332" s="234">
        <f t="shared" si="209"/>
        <v>822.97</v>
      </c>
      <c r="L1332" s="235">
        <f t="shared" si="209"/>
        <v>85</v>
      </c>
      <c r="M1332" s="233" t="s">
        <v>835</v>
      </c>
      <c r="N1332" s="233" t="s">
        <v>835</v>
      </c>
      <c r="O1332" s="236" t="s">
        <v>835</v>
      </c>
      <c r="P1332" s="138">
        <v>4599239.16</v>
      </c>
      <c r="Q1332" s="84">
        <f t="shared" ref="Q1332:T1332" si="210">Q1333+Q1334</f>
        <v>0</v>
      </c>
      <c r="R1332" s="84">
        <f t="shared" si="210"/>
        <v>0</v>
      </c>
      <c r="S1332" s="84">
        <f t="shared" si="210"/>
        <v>0</v>
      </c>
      <c r="T1332" s="84">
        <f t="shared" si="210"/>
        <v>4599239.16</v>
      </c>
      <c r="U1332" s="234">
        <f t="shared" si="130"/>
        <v>3542.2086706048171</v>
      </c>
      <c r="V1332" s="78">
        <f>MAX(V1333:V1334)</f>
        <v>14412.063683582088</v>
      </c>
    </row>
    <row r="1333" spans="1:22" s="79" customFormat="1" ht="36" customHeight="1" x14ac:dyDescent="0.5">
      <c r="A1333" s="79">
        <v>1</v>
      </c>
      <c r="B1333" s="85">
        <f>SUBTOTAL(103,$A$1026:A1333)</f>
        <v>279</v>
      </c>
      <c r="C1333" s="251" t="s">
        <v>2699</v>
      </c>
      <c r="D1333" s="233">
        <v>1989</v>
      </c>
      <c r="E1333" s="233"/>
      <c r="F1333" s="233" t="s">
        <v>256</v>
      </c>
      <c r="G1333" s="233">
        <v>2</v>
      </c>
      <c r="H1333" s="233" t="s">
        <v>290</v>
      </c>
      <c r="I1333" s="234">
        <v>402</v>
      </c>
      <c r="J1333" s="234">
        <v>338.77</v>
      </c>
      <c r="K1333" s="234">
        <v>338.77</v>
      </c>
      <c r="L1333" s="235">
        <v>29</v>
      </c>
      <c r="M1333" s="233" t="s">
        <v>254</v>
      </c>
      <c r="N1333" s="233" t="s">
        <v>255</v>
      </c>
      <c r="O1333" s="236" t="s">
        <v>257</v>
      </c>
      <c r="P1333" s="84">
        <v>4495619.53</v>
      </c>
      <c r="Q1333" s="234">
        <v>0</v>
      </c>
      <c r="R1333" s="234">
        <v>0</v>
      </c>
      <c r="S1333" s="234">
        <v>0</v>
      </c>
      <c r="T1333" s="234">
        <f>P1333-Q1333-R1333-S1333</f>
        <v>4495619.53</v>
      </c>
      <c r="U1333" s="234">
        <f t="shared" si="130"/>
        <v>11183.133159203981</v>
      </c>
      <c r="V1333" s="78">
        <v>14412.063683582088</v>
      </c>
    </row>
    <row r="1334" spans="1:22" s="79" customFormat="1" ht="36" customHeight="1" x14ac:dyDescent="0.5">
      <c r="A1334" s="79">
        <v>1</v>
      </c>
      <c r="B1334" s="85">
        <f>SUBTOTAL(103,$A$1026:A1334)</f>
        <v>280</v>
      </c>
      <c r="C1334" s="251" t="s">
        <v>3297</v>
      </c>
      <c r="D1334" s="86">
        <v>1989</v>
      </c>
      <c r="E1334" s="86"/>
      <c r="F1334" s="86" t="s">
        <v>3270</v>
      </c>
      <c r="G1334" s="86">
        <v>2</v>
      </c>
      <c r="H1334" s="86" t="s">
        <v>299</v>
      </c>
      <c r="I1334" s="87">
        <v>896.41</v>
      </c>
      <c r="J1334" s="87">
        <v>811.71</v>
      </c>
      <c r="K1334" s="87">
        <v>484.2</v>
      </c>
      <c r="L1334" s="88">
        <v>56</v>
      </c>
      <c r="M1334" s="86" t="s">
        <v>254</v>
      </c>
      <c r="N1334" s="86" t="s">
        <v>255</v>
      </c>
      <c r="O1334" s="258" t="s">
        <v>257</v>
      </c>
      <c r="P1334" s="84">
        <v>103619.63</v>
      </c>
      <c r="Q1334" s="234">
        <v>0</v>
      </c>
      <c r="R1334" s="234">
        <v>0</v>
      </c>
      <c r="S1334" s="234">
        <v>0</v>
      </c>
      <c r="T1334" s="234">
        <f>P1334-Q1334-R1334-S1334</f>
        <v>103619.63</v>
      </c>
      <c r="U1334" s="234">
        <f t="shared" si="130"/>
        <v>115.59401389988957</v>
      </c>
      <c r="V1334" s="78">
        <f>U1334</f>
        <v>115.59401389988957</v>
      </c>
    </row>
    <row r="1335" spans="1:22" s="79" customFormat="1" ht="36" customHeight="1" x14ac:dyDescent="0.5">
      <c r="B1335" s="83" t="s">
        <v>776</v>
      </c>
      <c r="C1335" s="253"/>
      <c r="D1335" s="233" t="s">
        <v>835</v>
      </c>
      <c r="E1335" s="233" t="s">
        <v>835</v>
      </c>
      <c r="F1335" s="233" t="s">
        <v>835</v>
      </c>
      <c r="G1335" s="233" t="s">
        <v>835</v>
      </c>
      <c r="H1335" s="233" t="s">
        <v>835</v>
      </c>
      <c r="I1335" s="234">
        <f>SUM(I1336:I1350)</f>
        <v>41927.1</v>
      </c>
      <c r="J1335" s="234">
        <f t="shared" ref="J1335:L1335" si="211">SUM(J1336:J1350)</f>
        <v>76133.689999999988</v>
      </c>
      <c r="K1335" s="234">
        <f t="shared" si="211"/>
        <v>72595.72</v>
      </c>
      <c r="L1335" s="235">
        <f t="shared" si="211"/>
        <v>1657</v>
      </c>
      <c r="M1335" s="233" t="s">
        <v>835</v>
      </c>
      <c r="N1335" s="233" t="s">
        <v>835</v>
      </c>
      <c r="O1335" s="236" t="s">
        <v>835</v>
      </c>
      <c r="P1335" s="237">
        <v>92252648.390000015</v>
      </c>
      <c r="Q1335" s="234">
        <f t="shared" ref="Q1335:T1335" si="212">SUM(Q1336:Q1350)</f>
        <v>0</v>
      </c>
      <c r="R1335" s="234">
        <f t="shared" si="212"/>
        <v>0</v>
      </c>
      <c r="S1335" s="234">
        <f t="shared" si="212"/>
        <v>0</v>
      </c>
      <c r="T1335" s="234">
        <f t="shared" si="212"/>
        <v>92252648.390000015</v>
      </c>
      <c r="U1335" s="234">
        <f t="shared" si="130"/>
        <v>2200.3107391162284</v>
      </c>
      <c r="V1335" s="78">
        <f>MAX(V1336:V1350)</f>
        <v>10591.298079137054</v>
      </c>
    </row>
    <row r="1336" spans="1:22" s="79" customFormat="1" ht="36" customHeight="1" x14ac:dyDescent="0.5">
      <c r="A1336" s="79">
        <v>1</v>
      </c>
      <c r="B1336" s="85">
        <f>SUBTOTAL(103,$A$1026:A1336)</f>
        <v>281</v>
      </c>
      <c r="C1336" s="251" t="s">
        <v>130</v>
      </c>
      <c r="D1336" s="233">
        <v>1994</v>
      </c>
      <c r="E1336" s="233"/>
      <c r="F1336" s="233" t="s">
        <v>256</v>
      </c>
      <c r="G1336" s="233">
        <v>4</v>
      </c>
      <c r="H1336" s="233" t="s">
        <v>299</v>
      </c>
      <c r="I1336" s="234">
        <v>3731.88</v>
      </c>
      <c r="J1336" s="234">
        <v>2769.88</v>
      </c>
      <c r="K1336" s="234">
        <v>2769.88</v>
      </c>
      <c r="L1336" s="235">
        <v>111</v>
      </c>
      <c r="M1336" s="233" t="s">
        <v>254</v>
      </c>
      <c r="N1336" s="233" t="s">
        <v>258</v>
      </c>
      <c r="O1336" s="236" t="s">
        <v>272</v>
      </c>
      <c r="P1336" s="84">
        <v>11850968.07</v>
      </c>
      <c r="Q1336" s="234">
        <v>0</v>
      </c>
      <c r="R1336" s="234">
        <v>0</v>
      </c>
      <c r="S1336" s="234">
        <v>0</v>
      </c>
      <c r="T1336" s="234">
        <f t="shared" ref="T1336:T1345" si="213">P1336-Q1336-R1336-S1336</f>
        <v>11850968.07</v>
      </c>
      <c r="U1336" s="234">
        <f t="shared" si="130"/>
        <v>3175.6026640727996</v>
      </c>
      <c r="V1336" s="78">
        <v>3460.9014030461858</v>
      </c>
    </row>
    <row r="1337" spans="1:22" s="79" customFormat="1" ht="36" customHeight="1" x14ac:dyDescent="0.5">
      <c r="A1337" s="79">
        <v>1</v>
      </c>
      <c r="B1337" s="85">
        <f>SUBTOTAL(103,$A$1026:A1337)</f>
        <v>282</v>
      </c>
      <c r="C1337" s="251" t="s">
        <v>3477</v>
      </c>
      <c r="D1337" s="233">
        <v>1992</v>
      </c>
      <c r="E1337" s="233"/>
      <c r="F1337" s="233" t="s">
        <v>256</v>
      </c>
      <c r="G1337" s="233">
        <v>2</v>
      </c>
      <c r="H1337" s="233" t="s">
        <v>299</v>
      </c>
      <c r="I1337" s="234">
        <v>1621.8</v>
      </c>
      <c r="J1337" s="234">
        <v>965.3</v>
      </c>
      <c r="K1337" s="234">
        <v>915.9</v>
      </c>
      <c r="L1337" s="235">
        <v>39</v>
      </c>
      <c r="M1337" s="233" t="s">
        <v>254</v>
      </c>
      <c r="N1337" s="233" t="s">
        <v>258</v>
      </c>
      <c r="O1337" s="236" t="s">
        <v>272</v>
      </c>
      <c r="P1337" s="84">
        <v>7024948.8600000003</v>
      </c>
      <c r="Q1337" s="234">
        <v>0</v>
      </c>
      <c r="R1337" s="234">
        <v>0</v>
      </c>
      <c r="S1337" s="234">
        <v>0</v>
      </c>
      <c r="T1337" s="234">
        <f t="shared" si="213"/>
        <v>7024948.8600000003</v>
      </c>
      <c r="U1337" s="234">
        <f t="shared" ref="U1337:U1402" si="214">P1337/I1337</f>
        <v>4331.5753237143917</v>
      </c>
      <c r="V1337" s="78">
        <v>5370.318962140831</v>
      </c>
    </row>
    <row r="1338" spans="1:22" s="79" customFormat="1" ht="36" customHeight="1" x14ac:dyDescent="0.5">
      <c r="A1338" s="79">
        <v>1</v>
      </c>
      <c r="B1338" s="85">
        <f>SUBTOTAL(103,$A$1026:A1338)</f>
        <v>283</v>
      </c>
      <c r="C1338" s="251" t="s">
        <v>132</v>
      </c>
      <c r="D1338" s="233">
        <v>1986</v>
      </c>
      <c r="E1338" s="233"/>
      <c r="F1338" s="233" t="s">
        <v>256</v>
      </c>
      <c r="G1338" s="233">
        <v>2</v>
      </c>
      <c r="H1338" s="233" t="s">
        <v>299</v>
      </c>
      <c r="I1338" s="234">
        <v>923.9</v>
      </c>
      <c r="J1338" s="234">
        <v>841.9</v>
      </c>
      <c r="K1338" s="234">
        <v>646.1</v>
      </c>
      <c r="L1338" s="235">
        <v>45</v>
      </c>
      <c r="M1338" s="233" t="s">
        <v>254</v>
      </c>
      <c r="N1338" s="233" t="s">
        <v>258</v>
      </c>
      <c r="O1338" s="236" t="s">
        <v>272</v>
      </c>
      <c r="P1338" s="84">
        <v>6841799.6499999994</v>
      </c>
      <c r="Q1338" s="234">
        <v>0</v>
      </c>
      <c r="R1338" s="234">
        <v>0</v>
      </c>
      <c r="S1338" s="234">
        <v>0</v>
      </c>
      <c r="T1338" s="234">
        <f t="shared" si="213"/>
        <v>6841799.6499999994</v>
      </c>
      <c r="U1338" s="234">
        <f t="shared" si="214"/>
        <v>7405.3465201861673</v>
      </c>
      <c r="V1338" s="78">
        <v>9655.6966069921</v>
      </c>
    </row>
    <row r="1339" spans="1:22" s="79" customFormat="1" ht="36" customHeight="1" x14ac:dyDescent="0.5">
      <c r="A1339" s="79">
        <v>1</v>
      </c>
      <c r="B1339" s="85">
        <f>SUBTOTAL(103,$A$1026:A1339)</f>
        <v>284</v>
      </c>
      <c r="C1339" s="251" t="s">
        <v>128</v>
      </c>
      <c r="D1339" s="233">
        <v>1972</v>
      </c>
      <c r="E1339" s="233"/>
      <c r="F1339" s="233" t="s">
        <v>256</v>
      </c>
      <c r="G1339" s="233">
        <v>5</v>
      </c>
      <c r="H1339" s="233" t="s">
        <v>295</v>
      </c>
      <c r="I1339" s="234">
        <v>3740.78</v>
      </c>
      <c r="J1339" s="234">
        <v>3740.78</v>
      </c>
      <c r="K1339" s="234">
        <v>2819.7</v>
      </c>
      <c r="L1339" s="235">
        <v>124</v>
      </c>
      <c r="M1339" s="233" t="s">
        <v>254</v>
      </c>
      <c r="N1339" s="233" t="s">
        <v>258</v>
      </c>
      <c r="O1339" s="236" t="s">
        <v>273</v>
      </c>
      <c r="P1339" s="84">
        <v>8164150.0600000005</v>
      </c>
      <c r="Q1339" s="234">
        <v>0</v>
      </c>
      <c r="R1339" s="234">
        <v>0</v>
      </c>
      <c r="S1339" s="234">
        <v>0</v>
      </c>
      <c r="T1339" s="234">
        <f t="shared" si="213"/>
        <v>8164150.0600000005</v>
      </c>
      <c r="U1339" s="234">
        <f t="shared" si="214"/>
        <v>2182.4726554354975</v>
      </c>
      <c r="V1339" s="78">
        <v>2757.6355226450096</v>
      </c>
    </row>
    <row r="1340" spans="1:22" s="79" customFormat="1" ht="36" customHeight="1" x14ac:dyDescent="0.5">
      <c r="A1340" s="79">
        <v>1</v>
      </c>
      <c r="B1340" s="85">
        <f>SUBTOTAL(103,$A$1026:A1340)</f>
        <v>285</v>
      </c>
      <c r="C1340" s="251" t="s">
        <v>1498</v>
      </c>
      <c r="D1340" s="233">
        <v>1967</v>
      </c>
      <c r="E1340" s="233"/>
      <c r="F1340" s="233" t="s">
        <v>304</v>
      </c>
      <c r="G1340" s="233">
        <v>2</v>
      </c>
      <c r="H1340" s="233" t="s">
        <v>290</v>
      </c>
      <c r="I1340" s="234">
        <v>638</v>
      </c>
      <c r="J1340" s="234">
        <v>425.5</v>
      </c>
      <c r="K1340" s="234">
        <v>395.11</v>
      </c>
      <c r="L1340" s="235">
        <v>22</v>
      </c>
      <c r="M1340" s="233" t="s">
        <v>254</v>
      </c>
      <c r="N1340" s="233" t="s">
        <v>258</v>
      </c>
      <c r="O1340" s="236" t="s">
        <v>1485</v>
      </c>
      <c r="P1340" s="84">
        <v>3831063.5300000003</v>
      </c>
      <c r="Q1340" s="234">
        <v>0</v>
      </c>
      <c r="R1340" s="234">
        <v>0</v>
      </c>
      <c r="S1340" s="234">
        <v>0</v>
      </c>
      <c r="T1340" s="234">
        <f t="shared" si="213"/>
        <v>3831063.5300000003</v>
      </c>
      <c r="U1340" s="234">
        <f t="shared" si="214"/>
        <v>6004.801771159875</v>
      </c>
      <c r="V1340" s="78">
        <v>7721.8089028213171</v>
      </c>
    </row>
    <row r="1341" spans="1:22" s="79" customFormat="1" ht="36" customHeight="1" x14ac:dyDescent="0.5">
      <c r="A1341" s="79">
        <v>1</v>
      </c>
      <c r="B1341" s="85">
        <f>SUBTOTAL(103,$A$1026:A1341)</f>
        <v>286</v>
      </c>
      <c r="C1341" s="83" t="s">
        <v>120</v>
      </c>
      <c r="D1341" s="233">
        <v>1992</v>
      </c>
      <c r="E1341" s="233"/>
      <c r="F1341" s="233" t="s">
        <v>256</v>
      </c>
      <c r="G1341" s="233">
        <v>3</v>
      </c>
      <c r="H1341" s="233" t="s">
        <v>290</v>
      </c>
      <c r="I1341" s="234">
        <v>1555.9</v>
      </c>
      <c r="J1341" s="234">
        <v>1062.8</v>
      </c>
      <c r="K1341" s="234">
        <v>1019.8</v>
      </c>
      <c r="L1341" s="235">
        <v>50</v>
      </c>
      <c r="M1341" s="233" t="s">
        <v>254</v>
      </c>
      <c r="N1341" s="233" t="s">
        <v>258</v>
      </c>
      <c r="O1341" s="236" t="s">
        <v>272</v>
      </c>
      <c r="P1341" s="84">
        <v>4292647.13</v>
      </c>
      <c r="Q1341" s="234">
        <v>0</v>
      </c>
      <c r="R1341" s="234">
        <v>0</v>
      </c>
      <c r="S1341" s="234">
        <v>0</v>
      </c>
      <c r="T1341" s="234">
        <f t="shared" si="213"/>
        <v>4292647.13</v>
      </c>
      <c r="U1341" s="234">
        <f t="shared" si="214"/>
        <v>2758.9479593804226</v>
      </c>
      <c r="V1341" s="78">
        <v>4534.6554251558573</v>
      </c>
    </row>
    <row r="1342" spans="1:22" s="79" customFormat="1" ht="36" customHeight="1" x14ac:dyDescent="0.5">
      <c r="A1342" s="79">
        <v>1</v>
      </c>
      <c r="B1342" s="85">
        <f>SUBTOTAL(103,$A$1026:A1342)</f>
        <v>287</v>
      </c>
      <c r="C1342" s="83" t="s">
        <v>121</v>
      </c>
      <c r="D1342" s="233">
        <v>1978</v>
      </c>
      <c r="E1342" s="233"/>
      <c r="F1342" s="233" t="s">
        <v>275</v>
      </c>
      <c r="G1342" s="233">
        <v>5</v>
      </c>
      <c r="H1342" s="233" t="s">
        <v>295</v>
      </c>
      <c r="I1342" s="234">
        <v>4027.2</v>
      </c>
      <c r="J1342" s="234">
        <v>3079.4</v>
      </c>
      <c r="K1342" s="234">
        <v>3079.4</v>
      </c>
      <c r="L1342" s="235">
        <v>157</v>
      </c>
      <c r="M1342" s="233" t="s">
        <v>254</v>
      </c>
      <c r="N1342" s="233" t="s">
        <v>258</v>
      </c>
      <c r="O1342" s="236" t="s">
        <v>273</v>
      </c>
      <c r="P1342" s="84">
        <v>5751653.6699999999</v>
      </c>
      <c r="Q1342" s="234">
        <v>0</v>
      </c>
      <c r="R1342" s="234">
        <v>0</v>
      </c>
      <c r="S1342" s="234">
        <v>0</v>
      </c>
      <c r="T1342" s="234">
        <f t="shared" si="213"/>
        <v>5751653.6699999999</v>
      </c>
      <c r="U1342" s="234">
        <f t="shared" si="214"/>
        <v>1428.2016463051252</v>
      </c>
      <c r="V1342" s="78">
        <v>2087.8421434247116</v>
      </c>
    </row>
    <row r="1343" spans="1:22" s="79" customFormat="1" ht="36" customHeight="1" x14ac:dyDescent="0.5">
      <c r="A1343" s="79">
        <v>1</v>
      </c>
      <c r="B1343" s="85">
        <f>SUBTOTAL(103,$A$1026:A1343)</f>
        <v>288</v>
      </c>
      <c r="C1343" s="83" t="s">
        <v>122</v>
      </c>
      <c r="D1343" s="233">
        <v>1986</v>
      </c>
      <c r="E1343" s="233"/>
      <c r="F1343" s="233" t="s">
        <v>256</v>
      </c>
      <c r="G1343" s="233">
        <v>5</v>
      </c>
      <c r="H1343" s="233" t="s">
        <v>291</v>
      </c>
      <c r="I1343" s="234">
        <v>2851.99</v>
      </c>
      <c r="J1343" s="234">
        <v>2360.59</v>
      </c>
      <c r="K1343" s="234">
        <v>2342</v>
      </c>
      <c r="L1343" s="235">
        <v>145</v>
      </c>
      <c r="M1343" s="233" t="s">
        <v>254</v>
      </c>
      <c r="N1343" s="233" t="s">
        <v>258</v>
      </c>
      <c r="O1343" s="236" t="s">
        <v>273</v>
      </c>
      <c r="P1343" s="84">
        <v>6124243.5199999996</v>
      </c>
      <c r="Q1343" s="234">
        <v>0</v>
      </c>
      <c r="R1343" s="234">
        <v>0</v>
      </c>
      <c r="S1343" s="234">
        <v>0</v>
      </c>
      <c r="T1343" s="234">
        <f t="shared" si="213"/>
        <v>6124243.5199999996</v>
      </c>
      <c r="U1343" s="234">
        <f t="shared" si="214"/>
        <v>2147.3579921388223</v>
      </c>
      <c r="V1343" s="78">
        <v>3412.9519332115474</v>
      </c>
    </row>
    <row r="1344" spans="1:22" s="79" customFormat="1" ht="36" customHeight="1" x14ac:dyDescent="0.5">
      <c r="A1344" s="79">
        <v>1</v>
      </c>
      <c r="B1344" s="85">
        <f>SUBTOTAL(103,$A$1026:A1344)</f>
        <v>289</v>
      </c>
      <c r="C1344" s="83" t="s">
        <v>129</v>
      </c>
      <c r="D1344" s="233">
        <v>1979</v>
      </c>
      <c r="E1344" s="233"/>
      <c r="F1344" s="233" t="s">
        <v>256</v>
      </c>
      <c r="G1344" s="233">
        <v>5</v>
      </c>
      <c r="H1344" s="233" t="s">
        <v>295</v>
      </c>
      <c r="I1344" s="234">
        <v>4025.6</v>
      </c>
      <c r="J1344" s="234">
        <v>4025.6</v>
      </c>
      <c r="K1344" s="234">
        <v>3076</v>
      </c>
      <c r="L1344" s="235">
        <v>133</v>
      </c>
      <c r="M1344" s="233" t="s">
        <v>254</v>
      </c>
      <c r="N1344" s="233" t="s">
        <v>258</v>
      </c>
      <c r="O1344" s="236" t="s">
        <v>273</v>
      </c>
      <c r="P1344" s="84">
        <v>127918.52999999998</v>
      </c>
      <c r="Q1344" s="234">
        <v>0</v>
      </c>
      <c r="R1344" s="234">
        <v>0</v>
      </c>
      <c r="S1344" s="234">
        <v>0</v>
      </c>
      <c r="T1344" s="234">
        <f t="shared" si="213"/>
        <v>127918.52999999998</v>
      </c>
      <c r="U1344" s="234">
        <f t="shared" si="214"/>
        <v>31.776264407790141</v>
      </c>
      <c r="V1344" s="78">
        <v>36.004963235294113</v>
      </c>
    </row>
    <row r="1345" spans="1:22" s="79" customFormat="1" ht="36" customHeight="1" x14ac:dyDescent="0.5">
      <c r="A1345" s="79">
        <v>1</v>
      </c>
      <c r="B1345" s="85">
        <f>SUBTOTAL(103,$A$1026:A1345)</f>
        <v>290</v>
      </c>
      <c r="C1345" s="83" t="s">
        <v>2697</v>
      </c>
      <c r="D1345" s="233">
        <v>1970</v>
      </c>
      <c r="E1345" s="233"/>
      <c r="F1345" s="233" t="s">
        <v>256</v>
      </c>
      <c r="G1345" s="233">
        <v>2</v>
      </c>
      <c r="H1345" s="233">
        <v>2</v>
      </c>
      <c r="I1345" s="234">
        <v>747.1</v>
      </c>
      <c r="J1345" s="234">
        <v>747.1</v>
      </c>
      <c r="K1345" s="234">
        <v>747.1</v>
      </c>
      <c r="L1345" s="235">
        <v>16</v>
      </c>
      <c r="M1345" s="233" t="s">
        <v>254</v>
      </c>
      <c r="N1345" s="233" t="s">
        <v>255</v>
      </c>
      <c r="O1345" s="236" t="s">
        <v>257</v>
      </c>
      <c r="P1345" s="84">
        <v>3597747.39</v>
      </c>
      <c r="Q1345" s="234">
        <v>0</v>
      </c>
      <c r="R1345" s="234">
        <v>0</v>
      </c>
      <c r="S1345" s="234">
        <v>0</v>
      </c>
      <c r="T1345" s="234">
        <f t="shared" si="213"/>
        <v>3597747.39</v>
      </c>
      <c r="U1345" s="234">
        <f t="shared" si="214"/>
        <v>4815.6169053674212</v>
      </c>
      <c r="V1345" s="78">
        <v>9439.3052357114175</v>
      </c>
    </row>
    <row r="1346" spans="1:22" s="79" customFormat="1" ht="36" customHeight="1" x14ac:dyDescent="0.5">
      <c r="A1346" s="79">
        <v>1</v>
      </c>
      <c r="B1346" s="85">
        <f>SUBTOTAL(103,$A$1026:A1346)</f>
        <v>291</v>
      </c>
      <c r="C1346" s="83" t="s">
        <v>3294</v>
      </c>
      <c r="D1346" s="233">
        <v>1970</v>
      </c>
      <c r="E1346" s="233"/>
      <c r="F1346" s="233" t="s">
        <v>3270</v>
      </c>
      <c r="G1346" s="233">
        <v>5</v>
      </c>
      <c r="H1346" s="233">
        <v>1</v>
      </c>
      <c r="I1346" s="234">
        <v>1983.9</v>
      </c>
      <c r="J1346" s="234">
        <v>1407.08</v>
      </c>
      <c r="K1346" s="234">
        <v>1143.8800000000001</v>
      </c>
      <c r="L1346" s="235">
        <v>143</v>
      </c>
      <c r="M1346" s="233" t="s">
        <v>254</v>
      </c>
      <c r="N1346" s="233" t="s">
        <v>258</v>
      </c>
      <c r="O1346" s="236" t="s">
        <v>273</v>
      </c>
      <c r="P1346" s="84">
        <v>19936501.620000001</v>
      </c>
      <c r="Q1346" s="234">
        <v>0</v>
      </c>
      <c r="R1346" s="234">
        <v>0</v>
      </c>
      <c r="S1346" s="234">
        <v>0</v>
      </c>
      <c r="T1346" s="234">
        <f t="shared" ref="T1346:T1347" si="215">P1346-Q1346-R1346-S1346</f>
        <v>19936501.620000001</v>
      </c>
      <c r="U1346" s="234">
        <f t="shared" si="214"/>
        <v>10049.146438832602</v>
      </c>
      <c r="V1346" s="78">
        <v>10591.298079137054</v>
      </c>
    </row>
    <row r="1347" spans="1:22" s="79" customFormat="1" ht="36" customHeight="1" x14ac:dyDescent="0.5">
      <c r="A1347" s="79">
        <v>1</v>
      </c>
      <c r="B1347" s="85">
        <f>SUBTOTAL(103,$A$1026:A1347)</f>
        <v>292</v>
      </c>
      <c r="C1347" s="83" t="s">
        <v>3295</v>
      </c>
      <c r="D1347" s="233">
        <v>1970</v>
      </c>
      <c r="E1347" s="233"/>
      <c r="F1347" s="233" t="s">
        <v>3270</v>
      </c>
      <c r="G1347" s="233">
        <v>5</v>
      </c>
      <c r="H1347" s="233">
        <v>1</v>
      </c>
      <c r="I1347" s="234">
        <v>2121.5</v>
      </c>
      <c r="J1347" s="234">
        <v>1453.96</v>
      </c>
      <c r="K1347" s="234">
        <v>1166.5999999999999</v>
      </c>
      <c r="L1347" s="235">
        <v>160</v>
      </c>
      <c r="M1347" s="233" t="s">
        <v>254</v>
      </c>
      <c r="N1347" s="233" t="s">
        <v>258</v>
      </c>
      <c r="O1347" s="236" t="s">
        <v>273</v>
      </c>
      <c r="P1347" s="84">
        <v>14254289.73</v>
      </c>
      <c r="Q1347" s="234">
        <v>0</v>
      </c>
      <c r="R1347" s="234">
        <v>0</v>
      </c>
      <c r="S1347" s="234">
        <v>0</v>
      </c>
      <c r="T1347" s="234">
        <f t="shared" si="215"/>
        <v>14254289.73</v>
      </c>
      <c r="U1347" s="234">
        <f t="shared" si="214"/>
        <v>6718.9675842564229</v>
      </c>
      <c r="V1347" s="78">
        <f>U1347</f>
        <v>6718.9675842564229</v>
      </c>
    </row>
    <row r="1348" spans="1:22" s="79" customFormat="1" ht="36" customHeight="1" x14ac:dyDescent="0.5">
      <c r="A1348" s="79">
        <v>1</v>
      </c>
      <c r="B1348" s="85">
        <f>SUBTOTAL(103,$A$1026:A1348)</f>
        <v>293</v>
      </c>
      <c r="C1348" s="251" t="s">
        <v>3291</v>
      </c>
      <c r="D1348" s="260">
        <v>1971</v>
      </c>
      <c r="E1348" s="260"/>
      <c r="F1348" s="260" t="s">
        <v>304</v>
      </c>
      <c r="G1348" s="260">
        <v>5</v>
      </c>
      <c r="H1348" s="260" t="s">
        <v>337</v>
      </c>
      <c r="I1348" s="262">
        <v>4815.57</v>
      </c>
      <c r="J1348" s="262">
        <v>44878.67</v>
      </c>
      <c r="K1348" s="262">
        <v>44563.46</v>
      </c>
      <c r="L1348" s="263">
        <v>188</v>
      </c>
      <c r="M1348" s="260" t="s">
        <v>254</v>
      </c>
      <c r="N1348" s="260" t="s">
        <v>258</v>
      </c>
      <c r="O1348" s="261" t="s">
        <v>273</v>
      </c>
      <c r="P1348" s="264">
        <v>152299.62</v>
      </c>
      <c r="Q1348" s="264">
        <v>0</v>
      </c>
      <c r="R1348" s="264">
        <v>0</v>
      </c>
      <c r="S1348" s="264">
        <v>0</v>
      </c>
      <c r="T1348" s="264">
        <f t="shared" ref="T1348:T1350" si="216">P1348-R1348-S1348</f>
        <v>152299.62</v>
      </c>
      <c r="U1348" s="265">
        <f t="shared" si="214"/>
        <v>31.626499043726913</v>
      </c>
      <c r="V1348" s="264">
        <f>U1348</f>
        <v>31.626499043726913</v>
      </c>
    </row>
    <row r="1349" spans="1:22" s="79" customFormat="1" ht="36" customHeight="1" x14ac:dyDescent="0.5">
      <c r="A1349" s="79">
        <v>1</v>
      </c>
      <c r="B1349" s="85">
        <f>SUBTOTAL(103,$A$1026:A1349)</f>
        <v>294</v>
      </c>
      <c r="C1349" s="251" t="s">
        <v>3292</v>
      </c>
      <c r="D1349" s="260">
        <v>1985</v>
      </c>
      <c r="E1349" s="260"/>
      <c r="F1349" s="260" t="s">
        <v>304</v>
      </c>
      <c r="G1349" s="260">
        <v>5</v>
      </c>
      <c r="H1349" s="260" t="s">
        <v>355</v>
      </c>
      <c r="I1349" s="262">
        <v>5355</v>
      </c>
      <c r="J1349" s="262">
        <v>4859.7</v>
      </c>
      <c r="K1349" s="262">
        <v>4572.3</v>
      </c>
      <c r="L1349" s="263">
        <v>187</v>
      </c>
      <c r="M1349" s="260" t="s">
        <v>254</v>
      </c>
      <c r="N1349" s="260" t="s">
        <v>258</v>
      </c>
      <c r="O1349" s="261" t="s">
        <v>273</v>
      </c>
      <c r="P1349" s="264">
        <v>158674.07</v>
      </c>
      <c r="Q1349" s="264">
        <v>0</v>
      </c>
      <c r="R1349" s="264">
        <v>0</v>
      </c>
      <c r="S1349" s="264">
        <v>0</v>
      </c>
      <c r="T1349" s="264">
        <f t="shared" si="216"/>
        <v>158674.07</v>
      </c>
      <c r="U1349" s="265">
        <f t="shared" si="214"/>
        <v>29.631012138188609</v>
      </c>
      <c r="V1349" s="264">
        <f t="shared" ref="V1349:V1350" si="217">U1349</f>
        <v>29.631012138188609</v>
      </c>
    </row>
    <row r="1350" spans="1:22" s="79" customFormat="1" ht="36" customHeight="1" x14ac:dyDescent="0.5">
      <c r="A1350" s="79">
        <v>1</v>
      </c>
      <c r="B1350" s="85">
        <f>SUBTOTAL(103,$A$1026:A1350)</f>
        <v>295</v>
      </c>
      <c r="C1350" s="251" t="s">
        <v>3293</v>
      </c>
      <c r="D1350" s="260">
        <v>1972</v>
      </c>
      <c r="E1350" s="260"/>
      <c r="F1350" s="260" t="s">
        <v>304</v>
      </c>
      <c r="G1350" s="260">
        <v>5</v>
      </c>
      <c r="H1350" s="260" t="s">
        <v>295</v>
      </c>
      <c r="I1350" s="262">
        <v>3786.98</v>
      </c>
      <c r="J1350" s="262">
        <v>3515.43</v>
      </c>
      <c r="K1350" s="262">
        <v>3338.49</v>
      </c>
      <c r="L1350" s="263">
        <v>137</v>
      </c>
      <c r="M1350" s="260" t="s">
        <v>254</v>
      </c>
      <c r="N1350" s="260" t="s">
        <v>258</v>
      </c>
      <c r="O1350" s="261" t="s">
        <v>273</v>
      </c>
      <c r="P1350" s="264">
        <v>143742.94</v>
      </c>
      <c r="Q1350" s="264">
        <v>0</v>
      </c>
      <c r="R1350" s="264">
        <v>0</v>
      </c>
      <c r="S1350" s="264">
        <v>0</v>
      </c>
      <c r="T1350" s="264">
        <f t="shared" si="216"/>
        <v>143742.94</v>
      </c>
      <c r="U1350" s="265">
        <f t="shared" si="214"/>
        <v>37.957142630803439</v>
      </c>
      <c r="V1350" s="264">
        <f t="shared" si="217"/>
        <v>37.957142630803439</v>
      </c>
    </row>
    <row r="1351" spans="1:22" s="79" customFormat="1" ht="36" customHeight="1" x14ac:dyDescent="0.5">
      <c r="B1351" s="83" t="s">
        <v>836</v>
      </c>
      <c r="C1351" s="253"/>
      <c r="D1351" s="233" t="s">
        <v>835</v>
      </c>
      <c r="E1351" s="233" t="s">
        <v>835</v>
      </c>
      <c r="F1351" s="233" t="s">
        <v>835</v>
      </c>
      <c r="G1351" s="233" t="s">
        <v>835</v>
      </c>
      <c r="H1351" s="233" t="s">
        <v>835</v>
      </c>
      <c r="I1351" s="234">
        <f>I1352</f>
        <v>460</v>
      </c>
      <c r="J1351" s="234">
        <f t="shared" ref="J1351:L1351" si="218">J1352</f>
        <v>262.7</v>
      </c>
      <c r="K1351" s="234">
        <f t="shared" si="218"/>
        <v>262.7</v>
      </c>
      <c r="L1351" s="235">
        <f t="shared" si="218"/>
        <v>17</v>
      </c>
      <c r="M1351" s="233" t="s">
        <v>835</v>
      </c>
      <c r="N1351" s="233" t="s">
        <v>835</v>
      </c>
      <c r="O1351" s="236" t="s">
        <v>835</v>
      </c>
      <c r="P1351" s="138">
        <v>69723.88</v>
      </c>
      <c r="Q1351" s="84">
        <f t="shared" ref="Q1351:T1351" si="219">Q1352</f>
        <v>0</v>
      </c>
      <c r="R1351" s="84">
        <f t="shared" si="219"/>
        <v>0</v>
      </c>
      <c r="S1351" s="84">
        <f t="shared" si="219"/>
        <v>0</v>
      </c>
      <c r="T1351" s="84">
        <f t="shared" si="219"/>
        <v>69723.88</v>
      </c>
      <c r="U1351" s="234">
        <f t="shared" si="214"/>
        <v>151.57365217391305</v>
      </c>
      <c r="V1351" s="78">
        <f>V1352</f>
        <v>151.57365217391305</v>
      </c>
    </row>
    <row r="1352" spans="1:22" s="79" customFormat="1" ht="36" customHeight="1" x14ac:dyDescent="0.5">
      <c r="A1352" s="79">
        <v>1</v>
      </c>
      <c r="B1352" s="85">
        <f>SUBTOTAL(103,$A$1026:A1352)</f>
        <v>296</v>
      </c>
      <c r="C1352" s="83" t="s">
        <v>3296</v>
      </c>
      <c r="D1352" s="233">
        <v>1969</v>
      </c>
      <c r="E1352" s="233"/>
      <c r="F1352" s="233" t="s">
        <v>3270</v>
      </c>
      <c r="G1352" s="233">
        <v>2</v>
      </c>
      <c r="H1352" s="233" t="s">
        <v>290</v>
      </c>
      <c r="I1352" s="234">
        <v>460</v>
      </c>
      <c r="J1352" s="234">
        <v>262.7</v>
      </c>
      <c r="K1352" s="234">
        <v>262.7</v>
      </c>
      <c r="L1352" s="235">
        <v>17</v>
      </c>
      <c r="M1352" s="233" t="s">
        <v>254</v>
      </c>
      <c r="N1352" s="233" t="s">
        <v>255</v>
      </c>
      <c r="O1352" s="236" t="s">
        <v>257</v>
      </c>
      <c r="P1352" s="84">
        <v>69723.88</v>
      </c>
      <c r="Q1352" s="234">
        <v>0</v>
      </c>
      <c r="R1352" s="234">
        <v>0</v>
      </c>
      <c r="S1352" s="234">
        <v>0</v>
      </c>
      <c r="T1352" s="234">
        <f>P1352-S1352-R1352-Q1352</f>
        <v>69723.88</v>
      </c>
      <c r="U1352" s="234">
        <f t="shared" si="214"/>
        <v>151.57365217391305</v>
      </c>
      <c r="V1352" s="78">
        <f>U1352</f>
        <v>151.57365217391305</v>
      </c>
    </row>
    <row r="1353" spans="1:22" s="79" customFormat="1" ht="36" customHeight="1" x14ac:dyDescent="0.5">
      <c r="B1353" s="83" t="s">
        <v>782</v>
      </c>
      <c r="C1353" s="253"/>
      <c r="D1353" s="233" t="s">
        <v>835</v>
      </c>
      <c r="E1353" s="233" t="s">
        <v>835</v>
      </c>
      <c r="F1353" s="233" t="s">
        <v>835</v>
      </c>
      <c r="G1353" s="233" t="s">
        <v>835</v>
      </c>
      <c r="H1353" s="233" t="s">
        <v>835</v>
      </c>
      <c r="I1353" s="234">
        <f>SUM(I1354:I1355)</f>
        <v>1355.2</v>
      </c>
      <c r="J1353" s="234">
        <f>SUM(J1354:J1355)</f>
        <v>1212.3</v>
      </c>
      <c r="K1353" s="234">
        <f>SUM(K1354:K1355)</f>
        <v>1212.3</v>
      </c>
      <c r="L1353" s="235">
        <f>SUM(L1354:L1355)</f>
        <v>78</v>
      </c>
      <c r="M1353" s="233" t="s">
        <v>835</v>
      </c>
      <c r="N1353" s="233" t="s">
        <v>835</v>
      </c>
      <c r="O1353" s="236" t="s">
        <v>835</v>
      </c>
      <c r="P1353" s="138">
        <v>5930127.7200000007</v>
      </c>
      <c r="Q1353" s="234">
        <f>SUM(Q1354:Q1355)</f>
        <v>0</v>
      </c>
      <c r="R1353" s="234">
        <f>SUM(R1354:R1355)</f>
        <v>0</v>
      </c>
      <c r="S1353" s="234">
        <f>SUM(S1354:S1355)</f>
        <v>0</v>
      </c>
      <c r="T1353" s="234">
        <f>SUM(T1354:T1355)</f>
        <v>5930127.7200000007</v>
      </c>
      <c r="U1353" s="234">
        <f t="shared" si="214"/>
        <v>4375.8321428571435</v>
      </c>
      <c r="V1353" s="78">
        <f>MAX(V1354:V1355)</f>
        <v>9698.6605786290311</v>
      </c>
    </row>
    <row r="1354" spans="1:22" s="79" customFormat="1" ht="36" customHeight="1" x14ac:dyDescent="0.5">
      <c r="A1354" s="79">
        <v>1</v>
      </c>
      <c r="B1354" s="85">
        <f>SUBTOTAL(103,$A$1026:A1354)</f>
        <v>297</v>
      </c>
      <c r="C1354" s="251" t="s">
        <v>172</v>
      </c>
      <c r="D1354" s="233">
        <v>1985</v>
      </c>
      <c r="E1354" s="233">
        <v>2009</v>
      </c>
      <c r="F1354" s="233" t="s">
        <v>256</v>
      </c>
      <c r="G1354" s="233">
        <v>2</v>
      </c>
      <c r="H1354" s="233" t="s">
        <v>290</v>
      </c>
      <c r="I1354" s="234">
        <v>958.4</v>
      </c>
      <c r="J1354" s="234">
        <v>858.1</v>
      </c>
      <c r="K1354" s="234">
        <v>858.1</v>
      </c>
      <c r="L1354" s="235">
        <v>63</v>
      </c>
      <c r="M1354" s="233" t="s">
        <v>254</v>
      </c>
      <c r="N1354" s="233" t="s">
        <v>255</v>
      </c>
      <c r="O1354" s="236" t="s">
        <v>257</v>
      </c>
      <c r="P1354" s="84">
        <v>3491931.5700000003</v>
      </c>
      <c r="Q1354" s="234">
        <v>0</v>
      </c>
      <c r="R1354" s="234">
        <v>0</v>
      </c>
      <c r="S1354" s="234">
        <v>0</v>
      </c>
      <c r="T1354" s="234">
        <f t="shared" ref="T1354:T1355" si="220">P1354-Q1354-R1354-S1354</f>
        <v>3491931.5700000003</v>
      </c>
      <c r="U1354" s="234">
        <f t="shared" si="214"/>
        <v>3643.5012207846416</v>
      </c>
      <c r="V1354" s="78">
        <v>8140.2543313856431</v>
      </c>
    </row>
    <row r="1355" spans="1:22" s="79" customFormat="1" ht="36" customHeight="1" x14ac:dyDescent="0.5">
      <c r="A1355" s="79">
        <v>1</v>
      </c>
      <c r="B1355" s="85">
        <f>SUBTOTAL(103,$A$1026:A1355)</f>
        <v>298</v>
      </c>
      <c r="C1355" s="266" t="s">
        <v>166</v>
      </c>
      <c r="D1355" s="233">
        <v>1969</v>
      </c>
      <c r="E1355" s="233"/>
      <c r="F1355" s="233" t="s">
        <v>256</v>
      </c>
      <c r="G1355" s="233">
        <v>2</v>
      </c>
      <c r="H1355" s="233" t="s">
        <v>291</v>
      </c>
      <c r="I1355" s="234">
        <v>396.8</v>
      </c>
      <c r="J1355" s="234">
        <v>354.2</v>
      </c>
      <c r="K1355" s="234">
        <v>354.2</v>
      </c>
      <c r="L1355" s="235">
        <v>15</v>
      </c>
      <c r="M1355" s="233" t="s">
        <v>254</v>
      </c>
      <c r="N1355" s="233" t="s">
        <v>323</v>
      </c>
      <c r="O1355" s="236" t="s">
        <v>324</v>
      </c>
      <c r="P1355" s="234">
        <v>2438196.15</v>
      </c>
      <c r="Q1355" s="234">
        <v>0</v>
      </c>
      <c r="R1355" s="234">
        <v>0</v>
      </c>
      <c r="S1355" s="234">
        <v>0</v>
      </c>
      <c r="T1355" s="234">
        <f t="shared" si="220"/>
        <v>2438196.15</v>
      </c>
      <c r="U1355" s="234">
        <f t="shared" si="214"/>
        <v>6144.6475554435483</v>
      </c>
      <c r="V1355" s="78">
        <v>9698.6605786290311</v>
      </c>
    </row>
    <row r="1356" spans="1:22" s="79" customFormat="1" ht="36" customHeight="1" x14ac:dyDescent="0.5">
      <c r="B1356" s="83" t="s">
        <v>779</v>
      </c>
      <c r="C1356" s="253"/>
      <c r="D1356" s="233" t="s">
        <v>835</v>
      </c>
      <c r="E1356" s="233" t="s">
        <v>835</v>
      </c>
      <c r="F1356" s="233" t="s">
        <v>835</v>
      </c>
      <c r="G1356" s="233" t="s">
        <v>835</v>
      </c>
      <c r="H1356" s="233" t="s">
        <v>835</v>
      </c>
      <c r="I1356" s="234">
        <f>SUM(I1357:I1357)</f>
        <v>380.8</v>
      </c>
      <c r="J1356" s="234">
        <f>SUM(J1357:J1357)</f>
        <v>351.2</v>
      </c>
      <c r="K1356" s="234">
        <f>SUM(K1357:K1357)</f>
        <v>328.3</v>
      </c>
      <c r="L1356" s="235">
        <f>SUM(L1357:L1357)</f>
        <v>21</v>
      </c>
      <c r="M1356" s="233" t="s">
        <v>835</v>
      </c>
      <c r="N1356" s="233" t="s">
        <v>835</v>
      </c>
      <c r="O1356" s="236" t="s">
        <v>835</v>
      </c>
      <c r="P1356" s="138">
        <v>63011.21</v>
      </c>
      <c r="Q1356" s="234">
        <f>SUM(Q1357:Q1357)</f>
        <v>0</v>
      </c>
      <c r="R1356" s="234">
        <f>SUM(R1357:R1357)</f>
        <v>0</v>
      </c>
      <c r="S1356" s="234">
        <f>SUM(S1357:S1357)</f>
        <v>0</v>
      </c>
      <c r="T1356" s="234">
        <f>SUM(T1357:T1357)</f>
        <v>63011.21</v>
      </c>
      <c r="U1356" s="234">
        <f t="shared" si="214"/>
        <v>165.47061449579832</v>
      </c>
      <c r="V1356" s="78">
        <f>MAX(V1357:V1357)</f>
        <v>165.47061449579832</v>
      </c>
    </row>
    <row r="1357" spans="1:22" s="79" customFormat="1" ht="36" customHeight="1" x14ac:dyDescent="0.5">
      <c r="A1357" s="79">
        <v>1</v>
      </c>
      <c r="B1357" s="85">
        <f>SUBTOTAL(103,$A$1026:A1357)</f>
        <v>299</v>
      </c>
      <c r="C1357" s="266" t="s">
        <v>173</v>
      </c>
      <c r="D1357" s="233">
        <v>1968</v>
      </c>
      <c r="E1357" s="233"/>
      <c r="F1357" s="233" t="s">
        <v>256</v>
      </c>
      <c r="G1357" s="233">
        <v>2</v>
      </c>
      <c r="H1357" s="233" t="s">
        <v>291</v>
      </c>
      <c r="I1357" s="234">
        <v>380.8</v>
      </c>
      <c r="J1357" s="234">
        <v>351.2</v>
      </c>
      <c r="K1357" s="234">
        <v>328.3</v>
      </c>
      <c r="L1357" s="235">
        <v>21</v>
      </c>
      <c r="M1357" s="233" t="s">
        <v>254</v>
      </c>
      <c r="N1357" s="233" t="s">
        <v>323</v>
      </c>
      <c r="O1357" s="236" t="s">
        <v>324</v>
      </c>
      <c r="P1357" s="234">
        <v>63011.21</v>
      </c>
      <c r="Q1357" s="234">
        <v>0</v>
      </c>
      <c r="R1357" s="234">
        <v>0</v>
      </c>
      <c r="S1357" s="234">
        <v>0</v>
      </c>
      <c r="T1357" s="234">
        <f t="shared" ref="T1357" si="221">P1357-Q1357-R1357-S1357</f>
        <v>63011.21</v>
      </c>
      <c r="U1357" s="234">
        <f t="shared" si="214"/>
        <v>165.47061449579832</v>
      </c>
      <c r="V1357" s="78">
        <v>165.47061449579832</v>
      </c>
    </row>
    <row r="1358" spans="1:22" s="79" customFormat="1" ht="36" customHeight="1" x14ac:dyDescent="0.5">
      <c r="B1358" s="83" t="s">
        <v>780</v>
      </c>
      <c r="C1358" s="83"/>
      <c r="D1358" s="233" t="s">
        <v>835</v>
      </c>
      <c r="E1358" s="233" t="s">
        <v>835</v>
      </c>
      <c r="F1358" s="233" t="s">
        <v>835</v>
      </c>
      <c r="G1358" s="233" t="s">
        <v>835</v>
      </c>
      <c r="H1358" s="233" t="s">
        <v>835</v>
      </c>
      <c r="I1358" s="234">
        <f>SUM(I1359:I1362)</f>
        <v>1555.6</v>
      </c>
      <c r="J1358" s="234">
        <f t="shared" ref="J1358:L1358" si="222">SUM(J1359:J1362)</f>
        <v>1405.1</v>
      </c>
      <c r="K1358" s="234">
        <f t="shared" si="222"/>
        <v>1183.9000000000001</v>
      </c>
      <c r="L1358" s="235">
        <f t="shared" si="222"/>
        <v>81</v>
      </c>
      <c r="M1358" s="233" t="s">
        <v>835</v>
      </c>
      <c r="N1358" s="233" t="s">
        <v>835</v>
      </c>
      <c r="O1358" s="236" t="s">
        <v>835</v>
      </c>
      <c r="P1358" s="138">
        <v>5519889.7699999996</v>
      </c>
      <c r="Q1358" s="84">
        <f t="shared" ref="Q1358:T1358" si="223">SUM(Q1359:Q1362)</f>
        <v>0</v>
      </c>
      <c r="R1358" s="84">
        <f t="shared" si="223"/>
        <v>0</v>
      </c>
      <c r="S1358" s="84">
        <f t="shared" si="223"/>
        <v>0</v>
      </c>
      <c r="T1358" s="84">
        <f t="shared" si="223"/>
        <v>5519889.7699999996</v>
      </c>
      <c r="U1358" s="234">
        <f t="shared" si="214"/>
        <v>3548.3991835947545</v>
      </c>
      <c r="V1358" s="78">
        <f>MAX(V1359:V1362)</f>
        <v>9449.032359945566</v>
      </c>
    </row>
    <row r="1359" spans="1:22" s="79" customFormat="1" ht="36" customHeight="1" x14ac:dyDescent="0.5">
      <c r="A1359" s="79">
        <v>1</v>
      </c>
      <c r="B1359" s="85">
        <f>SUBTOTAL(103,$A$1026:A1359)</f>
        <v>300</v>
      </c>
      <c r="C1359" s="251" t="s">
        <v>1587</v>
      </c>
      <c r="D1359" s="233">
        <v>1968</v>
      </c>
      <c r="E1359" s="233"/>
      <c r="F1359" s="233" t="s">
        <v>256</v>
      </c>
      <c r="G1359" s="233">
        <v>2</v>
      </c>
      <c r="H1359" s="233" t="s">
        <v>291</v>
      </c>
      <c r="I1359" s="234">
        <v>323</v>
      </c>
      <c r="J1359" s="234">
        <v>293</v>
      </c>
      <c r="K1359" s="234">
        <v>114.7</v>
      </c>
      <c r="L1359" s="235">
        <v>17</v>
      </c>
      <c r="M1359" s="233" t="s">
        <v>254</v>
      </c>
      <c r="N1359" s="233" t="s">
        <v>323</v>
      </c>
      <c r="O1359" s="236" t="s">
        <v>325</v>
      </c>
      <c r="P1359" s="84">
        <v>41487.11</v>
      </c>
      <c r="Q1359" s="234">
        <v>0</v>
      </c>
      <c r="R1359" s="234">
        <v>0</v>
      </c>
      <c r="S1359" s="234">
        <v>0</v>
      </c>
      <c r="T1359" s="234">
        <f t="shared" ref="T1359:T1362" si="224">P1359-Q1359-R1359-S1359</f>
        <v>41487.11</v>
      </c>
      <c r="U1359" s="234">
        <f t="shared" si="214"/>
        <v>128.44306501547987</v>
      </c>
      <c r="V1359" s="78">
        <v>128.44306501547987</v>
      </c>
    </row>
    <row r="1360" spans="1:22" s="79" customFormat="1" ht="36" customHeight="1" x14ac:dyDescent="0.5">
      <c r="A1360" s="79">
        <v>1</v>
      </c>
      <c r="B1360" s="85">
        <f>SUBTOTAL(103,$A$1026:A1360)</f>
        <v>301</v>
      </c>
      <c r="C1360" s="83" t="s">
        <v>168</v>
      </c>
      <c r="D1360" s="233">
        <v>1955</v>
      </c>
      <c r="E1360" s="233"/>
      <c r="F1360" s="233" t="s">
        <v>256</v>
      </c>
      <c r="G1360" s="233">
        <v>2</v>
      </c>
      <c r="H1360" s="233" t="s">
        <v>290</v>
      </c>
      <c r="I1360" s="234">
        <v>440.9</v>
      </c>
      <c r="J1360" s="234">
        <v>395.2</v>
      </c>
      <c r="K1360" s="234">
        <v>395.2</v>
      </c>
      <c r="L1360" s="235">
        <v>23</v>
      </c>
      <c r="M1360" s="233" t="s">
        <v>254</v>
      </c>
      <c r="N1360" s="233" t="s">
        <v>323</v>
      </c>
      <c r="O1360" s="236" t="s">
        <v>325</v>
      </c>
      <c r="P1360" s="84">
        <v>2688596.23</v>
      </c>
      <c r="Q1360" s="234">
        <v>0</v>
      </c>
      <c r="R1360" s="234">
        <v>0</v>
      </c>
      <c r="S1360" s="234">
        <v>0</v>
      </c>
      <c r="T1360" s="234">
        <f t="shared" si="224"/>
        <v>2688596.23</v>
      </c>
      <c r="U1360" s="234">
        <f t="shared" si="214"/>
        <v>6097.9728509866181</v>
      </c>
      <c r="V1360" s="78">
        <v>9449.032359945566</v>
      </c>
    </row>
    <row r="1361" spans="1:22" s="79" customFormat="1" ht="36" customHeight="1" x14ac:dyDescent="0.5">
      <c r="A1361" s="79">
        <v>1</v>
      </c>
      <c r="B1361" s="85">
        <f>SUBTOTAL(103,$A$1026:A1361)</f>
        <v>302</v>
      </c>
      <c r="C1361" s="83" t="s">
        <v>169</v>
      </c>
      <c r="D1361" s="233">
        <v>1955</v>
      </c>
      <c r="E1361" s="233">
        <v>2010</v>
      </c>
      <c r="F1361" s="233" t="s">
        <v>256</v>
      </c>
      <c r="G1361" s="233">
        <v>2</v>
      </c>
      <c r="H1361" s="233" t="s">
        <v>290</v>
      </c>
      <c r="I1361" s="234">
        <v>448.2</v>
      </c>
      <c r="J1361" s="234">
        <v>401.4</v>
      </c>
      <c r="K1361" s="234">
        <v>358.5</v>
      </c>
      <c r="L1361" s="235">
        <v>21</v>
      </c>
      <c r="M1361" s="233" t="s">
        <v>254</v>
      </c>
      <c r="N1361" s="233" t="s">
        <v>323</v>
      </c>
      <c r="O1361" s="236" t="s">
        <v>325</v>
      </c>
      <c r="P1361" s="84">
        <v>2729114.43</v>
      </c>
      <c r="Q1361" s="234">
        <v>0</v>
      </c>
      <c r="R1361" s="234">
        <v>0</v>
      </c>
      <c r="S1361" s="234">
        <v>0</v>
      </c>
      <c r="T1361" s="234">
        <f t="shared" si="224"/>
        <v>2729114.43</v>
      </c>
      <c r="U1361" s="234">
        <f t="shared" si="214"/>
        <v>6089.0549531459174</v>
      </c>
      <c r="V1361" s="78">
        <v>9108.2119243641228</v>
      </c>
    </row>
    <row r="1362" spans="1:22" s="79" customFormat="1" ht="36" customHeight="1" x14ac:dyDescent="0.5">
      <c r="A1362" s="79">
        <v>1</v>
      </c>
      <c r="B1362" s="85">
        <f>SUBTOTAL(103,$A$1026:A1362)</f>
        <v>303</v>
      </c>
      <c r="C1362" s="83" t="s">
        <v>171</v>
      </c>
      <c r="D1362" s="233">
        <v>1970</v>
      </c>
      <c r="E1362" s="233"/>
      <c r="F1362" s="233" t="s">
        <v>256</v>
      </c>
      <c r="G1362" s="233">
        <v>2</v>
      </c>
      <c r="H1362" s="233" t="s">
        <v>291</v>
      </c>
      <c r="I1362" s="234">
        <v>343.5</v>
      </c>
      <c r="J1362" s="234">
        <v>315.5</v>
      </c>
      <c r="K1362" s="234">
        <v>315.5</v>
      </c>
      <c r="L1362" s="235">
        <v>20</v>
      </c>
      <c r="M1362" s="233" t="s">
        <v>254</v>
      </c>
      <c r="N1362" s="233" t="s">
        <v>323</v>
      </c>
      <c r="O1362" s="236" t="s">
        <v>325</v>
      </c>
      <c r="P1362" s="84">
        <v>60692</v>
      </c>
      <c r="Q1362" s="234">
        <v>0</v>
      </c>
      <c r="R1362" s="234">
        <v>0</v>
      </c>
      <c r="S1362" s="234">
        <v>0</v>
      </c>
      <c r="T1362" s="234">
        <f t="shared" si="224"/>
        <v>60692</v>
      </c>
      <c r="U1362" s="234">
        <f t="shared" si="214"/>
        <v>176.68704512372634</v>
      </c>
      <c r="V1362" s="78">
        <f>U1362</f>
        <v>176.68704512372634</v>
      </c>
    </row>
    <row r="1363" spans="1:22" s="79" customFormat="1" ht="36" customHeight="1" x14ac:dyDescent="0.5">
      <c r="B1363" s="83" t="s">
        <v>781</v>
      </c>
      <c r="C1363" s="83"/>
      <c r="D1363" s="233" t="s">
        <v>835</v>
      </c>
      <c r="E1363" s="233" t="s">
        <v>835</v>
      </c>
      <c r="F1363" s="233" t="s">
        <v>835</v>
      </c>
      <c r="G1363" s="233" t="s">
        <v>835</v>
      </c>
      <c r="H1363" s="233" t="s">
        <v>835</v>
      </c>
      <c r="I1363" s="234">
        <f>SUM(I1364:I1364)</f>
        <v>791.5</v>
      </c>
      <c r="J1363" s="234">
        <f>SUM(J1364:J1364)</f>
        <v>725.1</v>
      </c>
      <c r="K1363" s="234">
        <f>SUM(K1364:K1364)</f>
        <v>725.1</v>
      </c>
      <c r="L1363" s="235">
        <f>SUM(L1364:L1364)</f>
        <v>42</v>
      </c>
      <c r="M1363" s="233" t="s">
        <v>835</v>
      </c>
      <c r="N1363" s="233" t="s">
        <v>835</v>
      </c>
      <c r="O1363" s="236" t="s">
        <v>835</v>
      </c>
      <c r="P1363" s="138">
        <v>4951746.71</v>
      </c>
      <c r="Q1363" s="234">
        <f>SUM(Q1364:Q1364)</f>
        <v>0</v>
      </c>
      <c r="R1363" s="234">
        <f>SUM(R1364:R1364)</f>
        <v>0</v>
      </c>
      <c r="S1363" s="234">
        <f>SUM(S1364:S1364)</f>
        <v>0</v>
      </c>
      <c r="T1363" s="234">
        <f>SUM(T1364:T1364)</f>
        <v>4951746.71</v>
      </c>
      <c r="U1363" s="234">
        <f t="shared" si="214"/>
        <v>6256.1550347441562</v>
      </c>
      <c r="V1363" s="78">
        <f>MAX(V1364:V1364)</f>
        <v>8665.7895540113695</v>
      </c>
    </row>
    <row r="1364" spans="1:22" s="79" customFormat="1" ht="36" customHeight="1" x14ac:dyDescent="0.5">
      <c r="A1364" s="79">
        <v>1</v>
      </c>
      <c r="B1364" s="85">
        <f>SUBTOTAL(103,$A$1026:A1364)</f>
        <v>304</v>
      </c>
      <c r="C1364" s="83" t="s">
        <v>170</v>
      </c>
      <c r="D1364" s="233">
        <v>1968</v>
      </c>
      <c r="E1364" s="233">
        <v>2009</v>
      </c>
      <c r="F1364" s="233" t="s">
        <v>256</v>
      </c>
      <c r="G1364" s="233">
        <v>2</v>
      </c>
      <c r="H1364" s="233" t="s">
        <v>290</v>
      </c>
      <c r="I1364" s="234">
        <v>791.5</v>
      </c>
      <c r="J1364" s="234">
        <v>725.1</v>
      </c>
      <c r="K1364" s="234">
        <v>725.1</v>
      </c>
      <c r="L1364" s="235">
        <v>42</v>
      </c>
      <c r="M1364" s="233" t="s">
        <v>254</v>
      </c>
      <c r="N1364" s="233" t="s">
        <v>255</v>
      </c>
      <c r="O1364" s="236" t="s">
        <v>257</v>
      </c>
      <c r="P1364" s="84">
        <v>4951746.71</v>
      </c>
      <c r="Q1364" s="234">
        <v>0</v>
      </c>
      <c r="R1364" s="234">
        <v>0</v>
      </c>
      <c r="S1364" s="234">
        <v>0</v>
      </c>
      <c r="T1364" s="234">
        <f t="shared" ref="T1364" si="225">P1364-Q1364-R1364-S1364</f>
        <v>4951746.71</v>
      </c>
      <c r="U1364" s="234">
        <f t="shared" si="214"/>
        <v>6256.1550347441562</v>
      </c>
      <c r="V1364" s="78">
        <v>8665.7895540113695</v>
      </c>
    </row>
    <row r="1365" spans="1:22" s="79" customFormat="1" ht="36" customHeight="1" x14ac:dyDescent="0.5">
      <c r="B1365" s="83" t="s">
        <v>783</v>
      </c>
      <c r="C1365" s="253"/>
      <c r="D1365" s="233" t="s">
        <v>835</v>
      </c>
      <c r="E1365" s="233" t="s">
        <v>835</v>
      </c>
      <c r="F1365" s="233" t="s">
        <v>835</v>
      </c>
      <c r="G1365" s="233" t="s">
        <v>835</v>
      </c>
      <c r="H1365" s="233" t="s">
        <v>835</v>
      </c>
      <c r="I1365" s="234">
        <f>SUM(I1366:I1371)</f>
        <v>7351.1</v>
      </c>
      <c r="J1365" s="234">
        <f t="shared" ref="J1365:L1365" si="226">SUM(J1366:J1371)</f>
        <v>6591.6</v>
      </c>
      <c r="K1365" s="234">
        <f t="shared" si="226"/>
        <v>6506</v>
      </c>
      <c r="L1365" s="235">
        <f t="shared" si="226"/>
        <v>313</v>
      </c>
      <c r="M1365" s="233" t="s">
        <v>835</v>
      </c>
      <c r="N1365" s="233" t="s">
        <v>835</v>
      </c>
      <c r="O1365" s="236" t="s">
        <v>835</v>
      </c>
      <c r="P1365" s="138">
        <v>55283563.039999999</v>
      </c>
      <c r="Q1365" s="234">
        <f t="shared" ref="Q1365" si="227">SUM(Q1366:Q1371)</f>
        <v>3633137.81</v>
      </c>
      <c r="R1365" s="234">
        <f t="shared" ref="R1365" si="228">SUM(R1366:R1371)</f>
        <v>0</v>
      </c>
      <c r="S1365" s="234">
        <f t="shared" ref="S1365" si="229">SUM(S1366:S1371)</f>
        <v>0</v>
      </c>
      <c r="T1365" s="234">
        <f t="shared" ref="T1365" si="230">SUM(T1366:T1371)</f>
        <v>51650425.229999997</v>
      </c>
      <c r="U1365" s="234">
        <f t="shared" si="214"/>
        <v>7520.4476935424627</v>
      </c>
      <c r="V1365" s="78">
        <f>MAX(V1366:V1371)</f>
        <v>13466.955508960575</v>
      </c>
    </row>
    <row r="1366" spans="1:22" s="79" customFormat="1" ht="36" customHeight="1" x14ac:dyDescent="0.5">
      <c r="A1366" s="79">
        <v>1</v>
      </c>
      <c r="B1366" s="85">
        <f>SUBTOTAL(103,$A$1026:A1366)</f>
        <v>305</v>
      </c>
      <c r="C1366" s="251" t="s">
        <v>83</v>
      </c>
      <c r="D1366" s="233">
        <v>1952</v>
      </c>
      <c r="E1366" s="233"/>
      <c r="F1366" s="233" t="s">
        <v>256</v>
      </c>
      <c r="G1366" s="233">
        <v>2</v>
      </c>
      <c r="H1366" s="233" t="s">
        <v>290</v>
      </c>
      <c r="I1366" s="234">
        <v>744</v>
      </c>
      <c r="J1366" s="234">
        <v>669.9</v>
      </c>
      <c r="K1366" s="234">
        <v>617</v>
      </c>
      <c r="L1366" s="235">
        <v>23</v>
      </c>
      <c r="M1366" s="233" t="s">
        <v>254</v>
      </c>
      <c r="N1366" s="233" t="s">
        <v>255</v>
      </c>
      <c r="O1366" s="236" t="s">
        <v>257</v>
      </c>
      <c r="P1366" s="84">
        <v>4954929.54</v>
      </c>
      <c r="Q1366" s="234">
        <v>0</v>
      </c>
      <c r="R1366" s="234">
        <v>0</v>
      </c>
      <c r="S1366" s="234">
        <v>0</v>
      </c>
      <c r="T1366" s="234">
        <f t="shared" ref="T1366:T1371" si="231">P1366-Q1366-R1366-S1366</f>
        <v>4954929.54</v>
      </c>
      <c r="U1366" s="234">
        <f t="shared" si="214"/>
        <v>6659.8515322580643</v>
      </c>
      <c r="V1366" s="78">
        <v>9134.4169892473128</v>
      </c>
    </row>
    <row r="1367" spans="1:22" s="79" customFormat="1" ht="36" customHeight="1" x14ac:dyDescent="0.5">
      <c r="A1367" s="79">
        <v>1</v>
      </c>
      <c r="B1367" s="85">
        <f>SUBTOTAL(103,$A$1026:A1367)</f>
        <v>306</v>
      </c>
      <c r="C1367" s="251" t="s">
        <v>84</v>
      </c>
      <c r="D1367" s="233">
        <v>1951</v>
      </c>
      <c r="E1367" s="233"/>
      <c r="F1367" s="233" t="s">
        <v>256</v>
      </c>
      <c r="G1367" s="233">
        <v>2</v>
      </c>
      <c r="H1367" s="233" t="s">
        <v>290</v>
      </c>
      <c r="I1367" s="234">
        <v>625.79999999999995</v>
      </c>
      <c r="J1367" s="234">
        <v>578.70000000000005</v>
      </c>
      <c r="K1367" s="234">
        <v>546</v>
      </c>
      <c r="L1367" s="235">
        <v>42</v>
      </c>
      <c r="M1367" s="233" t="s">
        <v>254</v>
      </c>
      <c r="N1367" s="233" t="s">
        <v>255</v>
      </c>
      <c r="O1367" s="236" t="s">
        <v>257</v>
      </c>
      <c r="P1367" s="84">
        <v>5041280.8500000006</v>
      </c>
      <c r="Q1367" s="234">
        <v>0</v>
      </c>
      <c r="R1367" s="234">
        <v>0</v>
      </c>
      <c r="S1367" s="234">
        <v>0</v>
      </c>
      <c r="T1367" s="234">
        <f t="shared" si="231"/>
        <v>5041280.8500000006</v>
      </c>
      <c r="U1367" s="234">
        <f t="shared" si="214"/>
        <v>8055.7380153403656</v>
      </c>
      <c r="V1367" s="254">
        <v>9593.3217002237143</v>
      </c>
    </row>
    <row r="1368" spans="1:22" s="79" customFormat="1" ht="36" customHeight="1" x14ac:dyDescent="0.5">
      <c r="A1368" s="79">
        <v>1</v>
      </c>
      <c r="B1368" s="85">
        <f>SUBTOTAL(103,$A$1026:A1368)</f>
        <v>307</v>
      </c>
      <c r="C1368" s="251" t="s">
        <v>82</v>
      </c>
      <c r="D1368" s="233">
        <v>1951</v>
      </c>
      <c r="E1368" s="233"/>
      <c r="F1368" s="233" t="s">
        <v>256</v>
      </c>
      <c r="G1368" s="233">
        <v>2</v>
      </c>
      <c r="H1368" s="233" t="s">
        <v>290</v>
      </c>
      <c r="I1368" s="234">
        <v>404.2</v>
      </c>
      <c r="J1368" s="234">
        <v>363.7</v>
      </c>
      <c r="K1368" s="234">
        <v>363.7</v>
      </c>
      <c r="L1368" s="235">
        <v>15</v>
      </c>
      <c r="M1368" s="233" t="s">
        <v>254</v>
      </c>
      <c r="N1368" s="233" t="s">
        <v>255</v>
      </c>
      <c r="O1368" s="236" t="s">
        <v>257</v>
      </c>
      <c r="P1368" s="84">
        <v>3806417.43</v>
      </c>
      <c r="Q1368" s="234">
        <v>0</v>
      </c>
      <c r="R1368" s="234">
        <v>0</v>
      </c>
      <c r="S1368" s="234">
        <v>0</v>
      </c>
      <c r="T1368" s="234">
        <f t="shared" si="231"/>
        <v>3806417.43</v>
      </c>
      <c r="U1368" s="234">
        <f t="shared" si="214"/>
        <v>9417.1633597229102</v>
      </c>
      <c r="V1368" s="78">
        <v>10026.309727857497</v>
      </c>
    </row>
    <row r="1369" spans="1:22" s="79" customFormat="1" ht="36" customHeight="1" x14ac:dyDescent="0.5">
      <c r="A1369" s="79">
        <v>1</v>
      </c>
      <c r="B1369" s="85">
        <f>SUBTOTAL(103,$A$1026:A1369)</f>
        <v>308</v>
      </c>
      <c r="C1369" s="83" t="s">
        <v>3227</v>
      </c>
      <c r="D1369" s="233">
        <v>1988</v>
      </c>
      <c r="E1369" s="233"/>
      <c r="F1369" s="233" t="s">
        <v>304</v>
      </c>
      <c r="G1369" s="233">
        <v>4</v>
      </c>
      <c r="H1369" s="233">
        <v>2</v>
      </c>
      <c r="I1369" s="234">
        <v>1116</v>
      </c>
      <c r="J1369" s="234">
        <v>1000</v>
      </c>
      <c r="K1369" s="234">
        <v>1000</v>
      </c>
      <c r="L1369" s="235">
        <v>53</v>
      </c>
      <c r="M1369" s="233" t="s">
        <v>254</v>
      </c>
      <c r="N1369" s="233" t="s">
        <v>258</v>
      </c>
      <c r="O1369" s="236" t="s">
        <v>1764</v>
      </c>
      <c r="P1369" s="84">
        <v>14947606.249999998</v>
      </c>
      <c r="Q1369" s="234">
        <v>998538.04</v>
      </c>
      <c r="R1369" s="234">
        <v>0</v>
      </c>
      <c r="S1369" s="234">
        <v>0</v>
      </c>
      <c r="T1369" s="234">
        <f t="shared" si="231"/>
        <v>13949068.209999997</v>
      </c>
      <c r="U1369" s="234">
        <f t="shared" si="214"/>
        <v>13393.912410394263</v>
      </c>
      <c r="V1369" s="78">
        <v>13466.955508960575</v>
      </c>
    </row>
    <row r="1370" spans="1:22" s="79" customFormat="1" ht="36" customHeight="1" x14ac:dyDescent="0.5">
      <c r="A1370" s="79">
        <v>1</v>
      </c>
      <c r="B1370" s="85">
        <f>SUBTOTAL(103,$A$1026:A1370)</f>
        <v>309</v>
      </c>
      <c r="C1370" s="83" t="s">
        <v>3228</v>
      </c>
      <c r="D1370" s="233">
        <v>1989</v>
      </c>
      <c r="E1370" s="233"/>
      <c r="F1370" s="233" t="s">
        <v>304</v>
      </c>
      <c r="G1370" s="233">
        <v>4</v>
      </c>
      <c r="H1370" s="233">
        <v>2</v>
      </c>
      <c r="I1370" s="234">
        <v>1248.7</v>
      </c>
      <c r="J1370" s="234">
        <v>1134.5999999999999</v>
      </c>
      <c r="K1370" s="234">
        <v>1134.5999999999999</v>
      </c>
      <c r="L1370" s="235">
        <v>55</v>
      </c>
      <c r="M1370" s="233" t="s">
        <v>254</v>
      </c>
      <c r="N1370" s="233" t="s">
        <v>258</v>
      </c>
      <c r="O1370" s="236" t="s">
        <v>265</v>
      </c>
      <c r="P1370" s="84">
        <v>10471507</v>
      </c>
      <c r="Q1370" s="234">
        <v>1064746.44</v>
      </c>
      <c r="R1370" s="234">
        <v>0</v>
      </c>
      <c r="S1370" s="234">
        <v>0</v>
      </c>
      <c r="T1370" s="234">
        <f t="shared" si="231"/>
        <v>9406760.5600000005</v>
      </c>
      <c r="U1370" s="234">
        <f t="shared" si="214"/>
        <v>8385.9269640426046</v>
      </c>
      <c r="V1370" s="78">
        <v>8385.9266116761428</v>
      </c>
    </row>
    <row r="1371" spans="1:22" s="79" customFormat="1" ht="36" customHeight="1" x14ac:dyDescent="0.5">
      <c r="A1371" s="79">
        <v>1</v>
      </c>
      <c r="B1371" s="85">
        <f>SUBTOTAL(103,$A$1026:A1371)</f>
        <v>310</v>
      </c>
      <c r="C1371" s="83" t="s">
        <v>2669</v>
      </c>
      <c r="D1371" s="233">
        <v>1988</v>
      </c>
      <c r="E1371" s="233"/>
      <c r="F1371" s="233" t="s">
        <v>304</v>
      </c>
      <c r="G1371" s="233">
        <v>5</v>
      </c>
      <c r="H1371" s="233">
        <v>4</v>
      </c>
      <c r="I1371" s="234">
        <v>3212.4</v>
      </c>
      <c r="J1371" s="234">
        <v>2844.7</v>
      </c>
      <c r="K1371" s="234">
        <v>2844.7</v>
      </c>
      <c r="L1371" s="235">
        <v>125</v>
      </c>
      <c r="M1371" s="233" t="s">
        <v>254</v>
      </c>
      <c r="N1371" s="233" t="s">
        <v>258</v>
      </c>
      <c r="O1371" s="236" t="s">
        <v>265</v>
      </c>
      <c r="P1371" s="84">
        <v>16061821.969999999</v>
      </c>
      <c r="Q1371" s="234">
        <v>1569853.33</v>
      </c>
      <c r="R1371" s="234">
        <v>0</v>
      </c>
      <c r="S1371" s="234">
        <v>0</v>
      </c>
      <c r="T1371" s="234">
        <f t="shared" si="231"/>
        <v>14491968.639999999</v>
      </c>
      <c r="U1371" s="234">
        <f t="shared" si="214"/>
        <v>4999.9445803760427</v>
      </c>
      <c r="V1371" s="78">
        <v>5422.4701158012704</v>
      </c>
    </row>
    <row r="1372" spans="1:22" s="79" customFormat="1" ht="36" customHeight="1" x14ac:dyDescent="0.5">
      <c r="B1372" s="83" t="s">
        <v>784</v>
      </c>
      <c r="C1372" s="83"/>
      <c r="D1372" s="233" t="s">
        <v>835</v>
      </c>
      <c r="E1372" s="233" t="s">
        <v>835</v>
      </c>
      <c r="F1372" s="233" t="s">
        <v>835</v>
      </c>
      <c r="G1372" s="233" t="s">
        <v>835</v>
      </c>
      <c r="H1372" s="233" t="s">
        <v>835</v>
      </c>
      <c r="I1372" s="234">
        <f>I1373</f>
        <v>609</v>
      </c>
      <c r="J1372" s="234">
        <f t="shared" ref="J1372:L1372" si="232">J1373</f>
        <v>579</v>
      </c>
      <c r="K1372" s="234">
        <f t="shared" si="232"/>
        <v>387.6</v>
      </c>
      <c r="L1372" s="235">
        <f t="shared" si="232"/>
        <v>32</v>
      </c>
      <c r="M1372" s="233" t="s">
        <v>835</v>
      </c>
      <c r="N1372" s="233" t="s">
        <v>835</v>
      </c>
      <c r="O1372" s="236" t="s">
        <v>835</v>
      </c>
      <c r="P1372" s="138">
        <v>5382331.3300000001</v>
      </c>
      <c r="Q1372" s="234">
        <f>Q1373</f>
        <v>0</v>
      </c>
      <c r="R1372" s="234">
        <f t="shared" ref="R1372:T1372" si="233">R1373</f>
        <v>0</v>
      </c>
      <c r="S1372" s="234">
        <f t="shared" si="233"/>
        <v>0</v>
      </c>
      <c r="T1372" s="234">
        <f t="shared" si="233"/>
        <v>5382331.3300000001</v>
      </c>
      <c r="U1372" s="234">
        <f t="shared" si="214"/>
        <v>8837.9824794745491</v>
      </c>
      <c r="V1372" s="78">
        <f>V1373</f>
        <v>9920.3572413793099</v>
      </c>
    </row>
    <row r="1373" spans="1:22" s="79" customFormat="1" ht="36" customHeight="1" x14ac:dyDescent="0.5">
      <c r="A1373" s="79">
        <v>1</v>
      </c>
      <c r="B1373" s="85">
        <f>SUBTOTAL(103,$A$1026:A1373)</f>
        <v>311</v>
      </c>
      <c r="C1373" s="251" t="s">
        <v>86</v>
      </c>
      <c r="D1373" s="233">
        <v>1967</v>
      </c>
      <c r="E1373" s="233"/>
      <c r="F1373" s="233" t="s">
        <v>256</v>
      </c>
      <c r="G1373" s="233">
        <v>2</v>
      </c>
      <c r="H1373" s="233" t="s">
        <v>290</v>
      </c>
      <c r="I1373" s="234">
        <v>609</v>
      </c>
      <c r="J1373" s="234">
        <v>579</v>
      </c>
      <c r="K1373" s="234">
        <v>387.6</v>
      </c>
      <c r="L1373" s="235">
        <v>32</v>
      </c>
      <c r="M1373" s="233" t="s">
        <v>254</v>
      </c>
      <c r="N1373" s="233" t="s">
        <v>255</v>
      </c>
      <c r="O1373" s="236" t="s">
        <v>257</v>
      </c>
      <c r="P1373" s="84">
        <v>5382331.3300000001</v>
      </c>
      <c r="Q1373" s="234">
        <v>0</v>
      </c>
      <c r="R1373" s="234">
        <v>0</v>
      </c>
      <c r="S1373" s="234">
        <v>0</v>
      </c>
      <c r="T1373" s="234">
        <f>P1373-Q1373-R1373-S1373</f>
        <v>5382331.3300000001</v>
      </c>
      <c r="U1373" s="234">
        <f t="shared" si="214"/>
        <v>8837.9824794745491</v>
      </c>
      <c r="V1373" s="78">
        <v>9920.3572413793099</v>
      </c>
    </row>
    <row r="1374" spans="1:22" s="79" customFormat="1" ht="36" customHeight="1" x14ac:dyDescent="0.5">
      <c r="B1374" s="83" t="s">
        <v>833</v>
      </c>
      <c r="C1374" s="83"/>
      <c r="D1374" s="233" t="s">
        <v>835</v>
      </c>
      <c r="E1374" s="233" t="s">
        <v>835</v>
      </c>
      <c r="F1374" s="233" t="s">
        <v>835</v>
      </c>
      <c r="G1374" s="233" t="s">
        <v>835</v>
      </c>
      <c r="H1374" s="233" t="s">
        <v>835</v>
      </c>
      <c r="I1374" s="234">
        <f>I1375</f>
        <v>616.20000000000005</v>
      </c>
      <c r="J1374" s="234">
        <f t="shared" ref="J1374:L1374" si="234">J1375</f>
        <v>540.1</v>
      </c>
      <c r="K1374" s="234">
        <f t="shared" si="234"/>
        <v>315</v>
      </c>
      <c r="L1374" s="235">
        <f t="shared" si="234"/>
        <v>21</v>
      </c>
      <c r="M1374" s="233" t="s">
        <v>835</v>
      </c>
      <c r="N1374" s="233" t="s">
        <v>835</v>
      </c>
      <c r="O1374" s="236" t="s">
        <v>835</v>
      </c>
      <c r="P1374" s="138">
        <v>4171786.63</v>
      </c>
      <c r="Q1374" s="234">
        <f>Q1375</f>
        <v>0</v>
      </c>
      <c r="R1374" s="234">
        <f t="shared" ref="R1374:T1374" si="235">R1375</f>
        <v>0</v>
      </c>
      <c r="S1374" s="234">
        <f t="shared" si="235"/>
        <v>0</v>
      </c>
      <c r="T1374" s="234">
        <f t="shared" si="235"/>
        <v>4171786.63</v>
      </c>
      <c r="U1374" s="234">
        <f t="shared" si="214"/>
        <v>6770.1827815644265</v>
      </c>
      <c r="V1374" s="78">
        <f>V1375</f>
        <v>8731.5036416747807</v>
      </c>
    </row>
    <row r="1375" spans="1:22" s="79" customFormat="1" ht="36" customHeight="1" x14ac:dyDescent="0.5">
      <c r="A1375" s="79">
        <v>1</v>
      </c>
      <c r="B1375" s="85">
        <f>SUBTOTAL(103,$A$1026:A1375)</f>
        <v>312</v>
      </c>
      <c r="C1375" s="251" t="s">
        <v>85</v>
      </c>
      <c r="D1375" s="233">
        <v>1982</v>
      </c>
      <c r="E1375" s="233"/>
      <c r="F1375" s="233" t="s">
        <v>256</v>
      </c>
      <c r="G1375" s="233">
        <v>2</v>
      </c>
      <c r="H1375" s="233" t="s">
        <v>290</v>
      </c>
      <c r="I1375" s="234">
        <v>616.20000000000005</v>
      </c>
      <c r="J1375" s="234">
        <v>540.1</v>
      </c>
      <c r="K1375" s="234">
        <v>315</v>
      </c>
      <c r="L1375" s="235">
        <v>21</v>
      </c>
      <c r="M1375" s="233" t="s">
        <v>254</v>
      </c>
      <c r="N1375" s="233" t="s">
        <v>255</v>
      </c>
      <c r="O1375" s="236" t="s">
        <v>257</v>
      </c>
      <c r="P1375" s="84">
        <v>4171786.63</v>
      </c>
      <c r="Q1375" s="234">
        <v>0</v>
      </c>
      <c r="R1375" s="234">
        <v>0</v>
      </c>
      <c r="S1375" s="234">
        <v>0</v>
      </c>
      <c r="T1375" s="234">
        <f>P1375-Q1375-R1375-S1375</f>
        <v>4171786.63</v>
      </c>
      <c r="U1375" s="234">
        <f t="shared" si="214"/>
        <v>6770.1827815644265</v>
      </c>
      <c r="V1375" s="78">
        <v>8731.5036416747807</v>
      </c>
    </row>
    <row r="1376" spans="1:22" s="79" customFormat="1" ht="36" customHeight="1" x14ac:dyDescent="0.5">
      <c r="B1376" s="83" t="s">
        <v>785</v>
      </c>
      <c r="C1376" s="253"/>
      <c r="D1376" s="233" t="s">
        <v>835</v>
      </c>
      <c r="E1376" s="233" t="s">
        <v>835</v>
      </c>
      <c r="F1376" s="233" t="s">
        <v>835</v>
      </c>
      <c r="G1376" s="233" t="s">
        <v>835</v>
      </c>
      <c r="H1376" s="233" t="s">
        <v>835</v>
      </c>
      <c r="I1376" s="234">
        <f>SUM(I1377:I1379)</f>
        <v>3449.3</v>
      </c>
      <c r="J1376" s="234">
        <f t="shared" ref="J1376:L1376" si="236">SUM(J1377:J1379)</f>
        <v>2279.3999999999996</v>
      </c>
      <c r="K1376" s="234">
        <f t="shared" si="236"/>
        <v>2057.6999999999998</v>
      </c>
      <c r="L1376" s="235">
        <f t="shared" si="236"/>
        <v>98</v>
      </c>
      <c r="M1376" s="233" t="s">
        <v>835</v>
      </c>
      <c r="N1376" s="233" t="s">
        <v>835</v>
      </c>
      <c r="O1376" s="236" t="s">
        <v>835</v>
      </c>
      <c r="P1376" s="138">
        <v>8833581.9100000001</v>
      </c>
      <c r="Q1376" s="234">
        <f t="shared" ref="Q1376" si="237">SUM(Q1377:Q1379)</f>
        <v>0</v>
      </c>
      <c r="R1376" s="234">
        <f t="shared" ref="R1376" si="238">SUM(R1377:R1379)</f>
        <v>0</v>
      </c>
      <c r="S1376" s="234">
        <f t="shared" ref="S1376" si="239">SUM(S1377:S1379)</f>
        <v>0</v>
      </c>
      <c r="T1376" s="234">
        <f t="shared" ref="T1376" si="240">SUM(T1377:T1379)</f>
        <v>8833581.9100000001</v>
      </c>
      <c r="U1376" s="234">
        <f t="shared" si="214"/>
        <v>2560.9781433914127</v>
      </c>
      <c r="V1376" s="78">
        <f>MAX(V1377:V1379)</f>
        <v>5908.7663798882686</v>
      </c>
    </row>
    <row r="1377" spans="1:22" s="79" customFormat="1" ht="36" customHeight="1" x14ac:dyDescent="0.5">
      <c r="A1377" s="79">
        <v>1</v>
      </c>
      <c r="B1377" s="85">
        <f>SUBTOTAL(103,$A$1026:A1377)</f>
        <v>313</v>
      </c>
      <c r="C1377" s="251" t="s">
        <v>106</v>
      </c>
      <c r="D1377" s="233">
        <v>1971</v>
      </c>
      <c r="E1377" s="233"/>
      <c r="F1377" s="233" t="s">
        <v>256</v>
      </c>
      <c r="G1377" s="233">
        <v>2</v>
      </c>
      <c r="H1377" s="233" t="s">
        <v>291</v>
      </c>
      <c r="I1377" s="234">
        <v>772.9</v>
      </c>
      <c r="J1377" s="234">
        <v>728.9</v>
      </c>
      <c r="K1377" s="234">
        <v>650.20000000000005</v>
      </c>
      <c r="L1377" s="235">
        <v>30</v>
      </c>
      <c r="M1377" s="233" t="s">
        <v>254</v>
      </c>
      <c r="N1377" s="233" t="s">
        <v>255</v>
      </c>
      <c r="O1377" s="236" t="s">
        <v>257</v>
      </c>
      <c r="P1377" s="84">
        <v>65110.91</v>
      </c>
      <c r="Q1377" s="234">
        <v>0</v>
      </c>
      <c r="R1377" s="234">
        <v>0</v>
      </c>
      <c r="S1377" s="234">
        <v>0</v>
      </c>
      <c r="T1377" s="234">
        <f t="shared" ref="T1377:T1379" si="241">P1377-Q1377-R1377-S1377</f>
        <v>65110.91</v>
      </c>
      <c r="U1377" s="234">
        <f t="shared" si="214"/>
        <v>84.242347004787177</v>
      </c>
      <c r="V1377" s="78">
        <v>84.242347004787177</v>
      </c>
    </row>
    <row r="1378" spans="1:22" s="79" customFormat="1" ht="36" customHeight="1" x14ac:dyDescent="0.5">
      <c r="A1378" s="79">
        <v>1</v>
      </c>
      <c r="B1378" s="85">
        <f>SUBTOTAL(103,$A$1026:A1378)</f>
        <v>314</v>
      </c>
      <c r="C1378" s="83" t="s">
        <v>2168</v>
      </c>
      <c r="D1378" s="233">
        <v>1979</v>
      </c>
      <c r="E1378" s="233"/>
      <c r="F1378" s="233" t="s">
        <v>256</v>
      </c>
      <c r="G1378" s="233">
        <v>2</v>
      </c>
      <c r="H1378" s="233">
        <v>3</v>
      </c>
      <c r="I1378" s="234">
        <v>1432</v>
      </c>
      <c r="J1378" s="234">
        <v>822.7</v>
      </c>
      <c r="K1378" s="234">
        <v>822.7</v>
      </c>
      <c r="L1378" s="235">
        <v>34</v>
      </c>
      <c r="M1378" s="233" t="s">
        <v>254</v>
      </c>
      <c r="N1378" s="233" t="s">
        <v>255</v>
      </c>
      <c r="O1378" s="236" t="s">
        <v>257</v>
      </c>
      <c r="P1378" s="84">
        <v>4828319.18</v>
      </c>
      <c r="Q1378" s="234">
        <v>0</v>
      </c>
      <c r="R1378" s="234">
        <v>0</v>
      </c>
      <c r="S1378" s="234">
        <v>0</v>
      </c>
      <c r="T1378" s="234">
        <f t="shared" si="241"/>
        <v>4828319.18</v>
      </c>
      <c r="U1378" s="234">
        <f t="shared" si="214"/>
        <v>3371.7312709497205</v>
      </c>
      <c r="V1378" s="78">
        <v>5908.7663798882686</v>
      </c>
    </row>
    <row r="1379" spans="1:22" s="79" customFormat="1" ht="36" customHeight="1" x14ac:dyDescent="0.5">
      <c r="A1379" s="79">
        <v>1</v>
      </c>
      <c r="B1379" s="85">
        <f>SUBTOTAL(103,$A$1026:A1379)</f>
        <v>315</v>
      </c>
      <c r="C1379" s="83" t="s">
        <v>104</v>
      </c>
      <c r="D1379" s="233">
        <v>1975</v>
      </c>
      <c r="E1379" s="233"/>
      <c r="F1379" s="233" t="s">
        <v>256</v>
      </c>
      <c r="G1379" s="233">
        <v>2</v>
      </c>
      <c r="H1379" s="233" t="s">
        <v>290</v>
      </c>
      <c r="I1379" s="234">
        <v>1244.4000000000001</v>
      </c>
      <c r="J1379" s="234">
        <v>727.8</v>
      </c>
      <c r="K1379" s="234">
        <v>584.79999999999995</v>
      </c>
      <c r="L1379" s="235">
        <v>34</v>
      </c>
      <c r="M1379" s="233" t="s">
        <v>254</v>
      </c>
      <c r="N1379" s="233" t="s">
        <v>255</v>
      </c>
      <c r="O1379" s="236" t="s">
        <v>257</v>
      </c>
      <c r="P1379" s="84">
        <v>3940151.82</v>
      </c>
      <c r="Q1379" s="234">
        <v>0</v>
      </c>
      <c r="R1379" s="234">
        <v>0</v>
      </c>
      <c r="S1379" s="234">
        <v>0</v>
      </c>
      <c r="T1379" s="234">
        <f t="shared" si="241"/>
        <v>3940151.82</v>
      </c>
      <c r="U1379" s="234">
        <f t="shared" si="214"/>
        <v>3166.306509161041</v>
      </c>
      <c r="V1379" s="78">
        <v>5522.3400192864028</v>
      </c>
    </row>
    <row r="1380" spans="1:22" s="79" customFormat="1" ht="36" customHeight="1" x14ac:dyDescent="0.5">
      <c r="B1380" s="83" t="s">
        <v>820</v>
      </c>
      <c r="C1380" s="83"/>
      <c r="D1380" s="233" t="s">
        <v>835</v>
      </c>
      <c r="E1380" s="233" t="s">
        <v>835</v>
      </c>
      <c r="F1380" s="233" t="s">
        <v>835</v>
      </c>
      <c r="G1380" s="233" t="s">
        <v>835</v>
      </c>
      <c r="H1380" s="233" t="s">
        <v>835</v>
      </c>
      <c r="I1380" s="234">
        <f>I1381</f>
        <v>976.3</v>
      </c>
      <c r="J1380" s="234">
        <f t="shared" ref="J1380:K1380" si="242">J1381</f>
        <v>976.3</v>
      </c>
      <c r="K1380" s="234">
        <f t="shared" si="242"/>
        <v>880.1</v>
      </c>
      <c r="L1380" s="235">
        <f>L1381</f>
        <v>36</v>
      </c>
      <c r="M1380" s="233" t="s">
        <v>835</v>
      </c>
      <c r="N1380" s="233" t="s">
        <v>835</v>
      </c>
      <c r="O1380" s="236" t="s">
        <v>835</v>
      </c>
      <c r="P1380" s="138">
        <v>73606.8</v>
      </c>
      <c r="Q1380" s="234">
        <f>Q1381</f>
        <v>0</v>
      </c>
      <c r="R1380" s="234">
        <f t="shared" ref="R1380:T1380" si="243">R1381</f>
        <v>0</v>
      </c>
      <c r="S1380" s="234">
        <f t="shared" si="243"/>
        <v>0</v>
      </c>
      <c r="T1380" s="234">
        <f t="shared" si="243"/>
        <v>73606.8</v>
      </c>
      <c r="U1380" s="234">
        <f t="shared" si="214"/>
        <v>75.393629007477216</v>
      </c>
      <c r="V1380" s="78">
        <f>V1381</f>
        <v>75.393629007477216</v>
      </c>
    </row>
    <row r="1381" spans="1:22" s="79" customFormat="1" ht="36" customHeight="1" x14ac:dyDescent="0.5">
      <c r="A1381" s="79">
        <v>1</v>
      </c>
      <c r="B1381" s="85">
        <f>SUBTOTAL(103,$A$1026:A1381)</f>
        <v>316</v>
      </c>
      <c r="C1381" s="251" t="s">
        <v>108</v>
      </c>
      <c r="D1381" s="233">
        <v>1987</v>
      </c>
      <c r="E1381" s="233"/>
      <c r="F1381" s="233" t="s">
        <v>256</v>
      </c>
      <c r="G1381" s="233">
        <v>2</v>
      </c>
      <c r="H1381" s="233" t="s">
        <v>299</v>
      </c>
      <c r="I1381" s="234">
        <v>976.3</v>
      </c>
      <c r="J1381" s="234">
        <v>976.3</v>
      </c>
      <c r="K1381" s="234">
        <v>880.1</v>
      </c>
      <c r="L1381" s="235">
        <v>36</v>
      </c>
      <c r="M1381" s="233" t="s">
        <v>254</v>
      </c>
      <c r="N1381" s="233" t="s">
        <v>255</v>
      </c>
      <c r="O1381" s="236" t="s">
        <v>257</v>
      </c>
      <c r="P1381" s="84">
        <v>73606.8</v>
      </c>
      <c r="Q1381" s="234">
        <v>0</v>
      </c>
      <c r="R1381" s="234">
        <v>0</v>
      </c>
      <c r="S1381" s="234">
        <v>0</v>
      </c>
      <c r="T1381" s="234">
        <f>P1381-Q1381-R1381-S1381</f>
        <v>73606.8</v>
      </c>
      <c r="U1381" s="234">
        <f t="shared" si="214"/>
        <v>75.393629007477216</v>
      </c>
      <c r="V1381" s="78">
        <v>75.393629007477216</v>
      </c>
    </row>
    <row r="1382" spans="1:22" s="79" customFormat="1" ht="36" customHeight="1" x14ac:dyDescent="0.5">
      <c r="B1382" s="83" t="s">
        <v>834</v>
      </c>
      <c r="C1382" s="253"/>
      <c r="D1382" s="233" t="s">
        <v>835</v>
      </c>
      <c r="E1382" s="233" t="s">
        <v>835</v>
      </c>
      <c r="F1382" s="233" t="s">
        <v>835</v>
      </c>
      <c r="G1382" s="233" t="s">
        <v>835</v>
      </c>
      <c r="H1382" s="233" t="s">
        <v>835</v>
      </c>
      <c r="I1382" s="234">
        <f>I1383</f>
        <v>781.7</v>
      </c>
      <c r="J1382" s="234">
        <f t="shared" ref="J1382:L1382" si="244">J1383</f>
        <v>781.7</v>
      </c>
      <c r="K1382" s="234">
        <f t="shared" si="244"/>
        <v>505.6</v>
      </c>
      <c r="L1382" s="235">
        <f t="shared" si="244"/>
        <v>40</v>
      </c>
      <c r="M1382" s="233" t="s">
        <v>835</v>
      </c>
      <c r="N1382" s="233" t="s">
        <v>835</v>
      </c>
      <c r="O1382" s="236" t="s">
        <v>835</v>
      </c>
      <c r="P1382" s="138">
        <v>5356928.37</v>
      </c>
      <c r="Q1382" s="234">
        <f>Q1383</f>
        <v>0</v>
      </c>
      <c r="R1382" s="234">
        <f t="shared" ref="R1382:T1382" si="245">R1383</f>
        <v>0</v>
      </c>
      <c r="S1382" s="234">
        <f t="shared" si="245"/>
        <v>0</v>
      </c>
      <c r="T1382" s="234">
        <f t="shared" si="245"/>
        <v>5356928.37</v>
      </c>
      <c r="U1382" s="234">
        <f t="shared" si="214"/>
        <v>6852.9210310860944</v>
      </c>
      <c r="V1382" s="78">
        <f>V1383</f>
        <v>9332.7277472176029</v>
      </c>
    </row>
    <row r="1383" spans="1:22" s="79" customFormat="1" ht="36" customHeight="1" x14ac:dyDescent="0.5">
      <c r="A1383" s="79">
        <v>1</v>
      </c>
      <c r="B1383" s="85">
        <f>SUBTOTAL(103,$A$1026:A1383)</f>
        <v>317</v>
      </c>
      <c r="C1383" s="251" t="s">
        <v>199</v>
      </c>
      <c r="D1383" s="233">
        <v>1968</v>
      </c>
      <c r="E1383" s="233"/>
      <c r="F1383" s="233" t="s">
        <v>256</v>
      </c>
      <c r="G1383" s="233">
        <v>2</v>
      </c>
      <c r="H1383" s="233" t="s">
        <v>290</v>
      </c>
      <c r="I1383" s="234">
        <v>781.7</v>
      </c>
      <c r="J1383" s="234">
        <v>781.7</v>
      </c>
      <c r="K1383" s="234">
        <v>505.6</v>
      </c>
      <c r="L1383" s="235">
        <v>40</v>
      </c>
      <c r="M1383" s="233" t="s">
        <v>254</v>
      </c>
      <c r="N1383" s="233" t="s">
        <v>258</v>
      </c>
      <c r="O1383" s="236" t="s">
        <v>317</v>
      </c>
      <c r="P1383" s="84">
        <v>5356928.37</v>
      </c>
      <c r="Q1383" s="234">
        <v>0</v>
      </c>
      <c r="R1383" s="234">
        <v>0</v>
      </c>
      <c r="S1383" s="234">
        <v>0</v>
      </c>
      <c r="T1383" s="234">
        <f>P1383-Q1383-R1383-S1383</f>
        <v>5356928.37</v>
      </c>
      <c r="U1383" s="234">
        <f t="shared" si="214"/>
        <v>6852.9210310860944</v>
      </c>
      <c r="V1383" s="78">
        <v>9332.7277472176029</v>
      </c>
    </row>
    <row r="1384" spans="1:22" s="79" customFormat="1" ht="36" customHeight="1" x14ac:dyDescent="0.5">
      <c r="B1384" s="83" t="s">
        <v>786</v>
      </c>
      <c r="C1384" s="253"/>
      <c r="D1384" s="233" t="s">
        <v>835</v>
      </c>
      <c r="E1384" s="233" t="s">
        <v>835</v>
      </c>
      <c r="F1384" s="233" t="s">
        <v>835</v>
      </c>
      <c r="G1384" s="233" t="s">
        <v>835</v>
      </c>
      <c r="H1384" s="233" t="s">
        <v>835</v>
      </c>
      <c r="I1384" s="234">
        <f>I1385</f>
        <v>1015.6</v>
      </c>
      <c r="J1384" s="234">
        <f t="shared" ref="J1384:L1384" si="246">J1385</f>
        <v>497.5</v>
      </c>
      <c r="K1384" s="234">
        <f t="shared" si="246"/>
        <v>497.5</v>
      </c>
      <c r="L1384" s="235">
        <f t="shared" si="246"/>
        <v>45</v>
      </c>
      <c r="M1384" s="233" t="s">
        <v>835</v>
      </c>
      <c r="N1384" s="233" t="s">
        <v>835</v>
      </c>
      <c r="O1384" s="236" t="s">
        <v>835</v>
      </c>
      <c r="P1384" s="138">
        <v>6410579.2999999998</v>
      </c>
      <c r="Q1384" s="234">
        <f>Q1385</f>
        <v>0</v>
      </c>
      <c r="R1384" s="234">
        <f t="shared" ref="R1384:T1384" si="247">R1385</f>
        <v>0</v>
      </c>
      <c r="S1384" s="234">
        <f t="shared" si="247"/>
        <v>2032439.7500000012</v>
      </c>
      <c r="T1384" s="234">
        <f t="shared" si="247"/>
        <v>4378139.5499999989</v>
      </c>
      <c r="U1384" s="234">
        <f t="shared" si="214"/>
        <v>6312.1103781016145</v>
      </c>
      <c r="V1384" s="78">
        <f>V1385</f>
        <v>9107.4404096100825</v>
      </c>
    </row>
    <row r="1385" spans="1:22" s="79" customFormat="1" ht="36" customHeight="1" x14ac:dyDescent="0.5">
      <c r="A1385" s="79">
        <v>1</v>
      </c>
      <c r="B1385" s="85">
        <f>SUBTOTAL(103,$A$1026:A1385)</f>
        <v>318</v>
      </c>
      <c r="C1385" s="83" t="s">
        <v>57</v>
      </c>
      <c r="D1385" s="233">
        <v>1972</v>
      </c>
      <c r="E1385" s="233"/>
      <c r="F1385" s="233" t="s">
        <v>256</v>
      </c>
      <c r="G1385" s="233">
        <v>2</v>
      </c>
      <c r="H1385" s="233" t="s">
        <v>299</v>
      </c>
      <c r="I1385" s="234">
        <v>1015.6</v>
      </c>
      <c r="J1385" s="234">
        <v>497.5</v>
      </c>
      <c r="K1385" s="234">
        <v>497.5</v>
      </c>
      <c r="L1385" s="235">
        <v>45</v>
      </c>
      <c r="M1385" s="233" t="s">
        <v>254</v>
      </c>
      <c r="N1385" s="233" t="s">
        <v>255</v>
      </c>
      <c r="O1385" s="236" t="s">
        <v>257</v>
      </c>
      <c r="P1385" s="84">
        <v>6410579.2999999998</v>
      </c>
      <c r="Q1385" s="234">
        <v>0</v>
      </c>
      <c r="R1385" s="234">
        <v>0</v>
      </c>
      <c r="S1385" s="234">
        <v>2032439.7500000012</v>
      </c>
      <c r="T1385" s="234">
        <f>P1385-Q1385-R1385-S1385</f>
        <v>4378139.5499999989</v>
      </c>
      <c r="U1385" s="234">
        <f t="shared" si="214"/>
        <v>6312.1103781016145</v>
      </c>
      <c r="V1385" s="78">
        <v>9107.4404096100825</v>
      </c>
    </row>
    <row r="1386" spans="1:22" s="79" customFormat="1" ht="36" customHeight="1" x14ac:dyDescent="0.5">
      <c r="B1386" s="83" t="s">
        <v>788</v>
      </c>
      <c r="C1386" s="83"/>
      <c r="D1386" s="233" t="s">
        <v>835</v>
      </c>
      <c r="E1386" s="233" t="s">
        <v>835</v>
      </c>
      <c r="F1386" s="233" t="s">
        <v>835</v>
      </c>
      <c r="G1386" s="233" t="s">
        <v>835</v>
      </c>
      <c r="H1386" s="233" t="s">
        <v>835</v>
      </c>
      <c r="I1386" s="234">
        <f>SUM(I1387:I1389)</f>
        <v>9749.8000000000011</v>
      </c>
      <c r="J1386" s="234">
        <f>SUM(J1387:J1389)</f>
        <v>9005.9</v>
      </c>
      <c r="K1386" s="234">
        <f>SUM(K1387:K1389)</f>
        <v>8467.619999999999</v>
      </c>
      <c r="L1386" s="235">
        <f>SUM(L1387:L1389)</f>
        <v>446</v>
      </c>
      <c r="M1386" s="233" t="s">
        <v>835</v>
      </c>
      <c r="N1386" s="233" t="s">
        <v>835</v>
      </c>
      <c r="O1386" s="236" t="s">
        <v>835</v>
      </c>
      <c r="P1386" s="138">
        <v>15713847.800000001</v>
      </c>
      <c r="Q1386" s="234">
        <f>SUM(Q1387:Q1389)</f>
        <v>0</v>
      </c>
      <c r="R1386" s="234">
        <f>SUM(R1387:R1389)</f>
        <v>0</v>
      </c>
      <c r="S1386" s="234">
        <f>SUM(S1387:S1389)</f>
        <v>0</v>
      </c>
      <c r="T1386" s="234">
        <f>SUM(T1387:T1389)</f>
        <v>15713847.800000001</v>
      </c>
      <c r="U1386" s="234">
        <f t="shared" si="214"/>
        <v>1611.7097581488849</v>
      </c>
      <c r="V1386" s="78">
        <f>MAX(V1387:V1389)</f>
        <v>4803.2025277567745</v>
      </c>
    </row>
    <row r="1387" spans="1:22" s="79" customFormat="1" ht="36" customHeight="1" x14ac:dyDescent="0.5">
      <c r="A1387" s="79">
        <v>1</v>
      </c>
      <c r="B1387" s="85">
        <f>SUBTOTAL(103,$A$1026:A1387)</f>
        <v>319</v>
      </c>
      <c r="C1387" s="251" t="s">
        <v>2477</v>
      </c>
      <c r="D1387" s="233">
        <v>1986</v>
      </c>
      <c r="E1387" s="233"/>
      <c r="F1387" s="233" t="s">
        <v>256</v>
      </c>
      <c r="G1387" s="233">
        <v>5</v>
      </c>
      <c r="H1387" s="233">
        <v>1</v>
      </c>
      <c r="I1387" s="234">
        <v>2898.3</v>
      </c>
      <c r="J1387" s="234">
        <v>2419.9</v>
      </c>
      <c r="K1387" s="234">
        <v>2419.9</v>
      </c>
      <c r="L1387" s="235">
        <v>179</v>
      </c>
      <c r="M1387" s="233" t="s">
        <v>254</v>
      </c>
      <c r="N1387" s="233" t="s">
        <v>258</v>
      </c>
      <c r="O1387" s="236" t="s">
        <v>1225</v>
      </c>
      <c r="P1387" s="84">
        <v>4685364.78</v>
      </c>
      <c r="Q1387" s="234">
        <v>0</v>
      </c>
      <c r="R1387" s="234">
        <v>0</v>
      </c>
      <c r="S1387" s="234">
        <v>0</v>
      </c>
      <c r="T1387" s="234">
        <f t="shared" ref="T1387:T1389" si="248">P1387-Q1387-R1387-S1387</f>
        <v>4685364.78</v>
      </c>
      <c r="U1387" s="234">
        <f t="shared" si="214"/>
        <v>1616.5906841941828</v>
      </c>
      <c r="V1387" s="78">
        <v>3110.6762827864609</v>
      </c>
    </row>
    <row r="1388" spans="1:22" s="79" customFormat="1" ht="36" customHeight="1" x14ac:dyDescent="0.5">
      <c r="A1388" s="79">
        <v>1</v>
      </c>
      <c r="B1388" s="85">
        <f>SUBTOTAL(103,$A$1026:A1388)</f>
        <v>320</v>
      </c>
      <c r="C1388" s="251" t="s">
        <v>68</v>
      </c>
      <c r="D1388" s="233">
        <v>1977</v>
      </c>
      <c r="E1388" s="233"/>
      <c r="F1388" s="233" t="s">
        <v>256</v>
      </c>
      <c r="G1388" s="233">
        <v>5</v>
      </c>
      <c r="H1388" s="233" t="s">
        <v>355</v>
      </c>
      <c r="I1388" s="234">
        <v>4338.6000000000004</v>
      </c>
      <c r="J1388" s="234">
        <v>4154.6000000000004</v>
      </c>
      <c r="K1388" s="234">
        <v>3916.52</v>
      </c>
      <c r="L1388" s="235">
        <v>177</v>
      </c>
      <c r="M1388" s="233" t="s">
        <v>254</v>
      </c>
      <c r="N1388" s="233" t="s">
        <v>258</v>
      </c>
      <c r="O1388" s="236" t="s">
        <v>260</v>
      </c>
      <c r="P1388" s="84">
        <v>169400.76</v>
      </c>
      <c r="Q1388" s="234">
        <v>0</v>
      </c>
      <c r="R1388" s="234">
        <v>0</v>
      </c>
      <c r="S1388" s="234">
        <v>0</v>
      </c>
      <c r="T1388" s="234">
        <f t="shared" si="248"/>
        <v>169400.76</v>
      </c>
      <c r="U1388" s="234">
        <f t="shared" si="214"/>
        <v>39.045028350159036</v>
      </c>
      <c r="V1388" s="78">
        <v>39.045028350159036</v>
      </c>
    </row>
    <row r="1389" spans="1:22" s="79" customFormat="1" ht="36" customHeight="1" x14ac:dyDescent="0.5">
      <c r="A1389" s="79">
        <v>1</v>
      </c>
      <c r="B1389" s="85">
        <f>SUBTOTAL(103,$A$1026:A1389)</f>
        <v>321</v>
      </c>
      <c r="C1389" s="251" t="s">
        <v>67</v>
      </c>
      <c r="D1389" s="233">
        <v>1965</v>
      </c>
      <c r="E1389" s="233"/>
      <c r="F1389" s="233" t="s">
        <v>256</v>
      </c>
      <c r="G1389" s="233">
        <v>4</v>
      </c>
      <c r="H1389" s="233" t="s">
        <v>295</v>
      </c>
      <c r="I1389" s="234">
        <v>2512.9</v>
      </c>
      <c r="J1389" s="234">
        <v>2431.4</v>
      </c>
      <c r="K1389" s="234">
        <v>2131.1999999999998</v>
      </c>
      <c r="L1389" s="235">
        <v>90</v>
      </c>
      <c r="M1389" s="233" t="s">
        <v>254</v>
      </c>
      <c r="N1389" s="233" t="s">
        <v>258</v>
      </c>
      <c r="O1389" s="236" t="s">
        <v>260</v>
      </c>
      <c r="P1389" s="84">
        <v>10859082.260000002</v>
      </c>
      <c r="Q1389" s="234">
        <v>0</v>
      </c>
      <c r="R1389" s="234">
        <v>0</v>
      </c>
      <c r="S1389" s="234">
        <v>0</v>
      </c>
      <c r="T1389" s="234">
        <f t="shared" si="248"/>
        <v>10859082.260000002</v>
      </c>
      <c r="U1389" s="234">
        <f t="shared" si="214"/>
        <v>4321.3348163476467</v>
      </c>
      <c r="V1389" s="78">
        <v>4803.2025277567745</v>
      </c>
    </row>
    <row r="1390" spans="1:22" s="79" customFormat="1" ht="36" customHeight="1" x14ac:dyDescent="0.5">
      <c r="B1390" s="83" t="s">
        <v>789</v>
      </c>
      <c r="C1390" s="83"/>
      <c r="D1390" s="233" t="s">
        <v>835</v>
      </c>
      <c r="E1390" s="233" t="s">
        <v>835</v>
      </c>
      <c r="F1390" s="233" t="s">
        <v>835</v>
      </c>
      <c r="G1390" s="233" t="s">
        <v>835</v>
      </c>
      <c r="H1390" s="233" t="s">
        <v>835</v>
      </c>
      <c r="I1390" s="234">
        <f>SUM(I1391:I1392)</f>
        <v>8057.7699999999995</v>
      </c>
      <c r="J1390" s="234">
        <f t="shared" ref="J1390:L1390" si="249">SUM(J1391:J1392)</f>
        <v>5557.16</v>
      </c>
      <c r="K1390" s="234">
        <f t="shared" si="249"/>
        <v>5374.6100000000006</v>
      </c>
      <c r="L1390" s="235">
        <f t="shared" si="249"/>
        <v>256</v>
      </c>
      <c r="M1390" s="233" t="s">
        <v>835</v>
      </c>
      <c r="N1390" s="233" t="s">
        <v>835</v>
      </c>
      <c r="O1390" s="236" t="s">
        <v>835</v>
      </c>
      <c r="P1390" s="138">
        <v>20129505.800000001</v>
      </c>
      <c r="Q1390" s="234">
        <f t="shared" ref="Q1390" si="250">SUM(Q1391:Q1392)</f>
        <v>0</v>
      </c>
      <c r="R1390" s="234">
        <f t="shared" ref="R1390" si="251">SUM(R1391:R1392)</f>
        <v>0</v>
      </c>
      <c r="S1390" s="234">
        <f t="shared" ref="S1390" si="252">SUM(S1391:S1392)</f>
        <v>0</v>
      </c>
      <c r="T1390" s="234">
        <f t="shared" ref="T1390" si="253">SUM(T1391:T1392)</f>
        <v>20129505.800000001</v>
      </c>
      <c r="U1390" s="234">
        <f t="shared" si="214"/>
        <v>2498.1484703584247</v>
      </c>
      <c r="V1390" s="78">
        <f>MAX(V1391:V1392)</f>
        <v>4139.5607469067199</v>
      </c>
    </row>
    <row r="1391" spans="1:22" s="79" customFormat="1" ht="36" customHeight="1" x14ac:dyDescent="0.5">
      <c r="A1391" s="79">
        <v>1</v>
      </c>
      <c r="B1391" s="85">
        <f>SUBTOTAL(103,$A$1026:A1391)</f>
        <v>322</v>
      </c>
      <c r="C1391" s="251" t="s">
        <v>65</v>
      </c>
      <c r="D1391" s="233">
        <v>1954</v>
      </c>
      <c r="E1391" s="233"/>
      <c r="F1391" s="233" t="s">
        <v>256</v>
      </c>
      <c r="G1391" s="233">
        <v>3</v>
      </c>
      <c r="H1391" s="233" t="s">
        <v>299</v>
      </c>
      <c r="I1391" s="234">
        <v>2168.41</v>
      </c>
      <c r="J1391" s="234">
        <v>1286.56</v>
      </c>
      <c r="K1391" s="234">
        <v>1251.51</v>
      </c>
      <c r="L1391" s="235">
        <v>63</v>
      </c>
      <c r="M1391" s="233" t="s">
        <v>254</v>
      </c>
      <c r="N1391" s="233" t="s">
        <v>258</v>
      </c>
      <c r="O1391" s="236" t="s">
        <v>261</v>
      </c>
      <c r="P1391" s="84">
        <v>7489013.3799999999</v>
      </c>
      <c r="Q1391" s="234">
        <v>0</v>
      </c>
      <c r="R1391" s="234">
        <v>0</v>
      </c>
      <c r="S1391" s="234">
        <v>0</v>
      </c>
      <c r="T1391" s="234">
        <f t="shared" ref="T1391:T1392" si="254">P1391-Q1391-R1391-S1391</f>
        <v>7489013.3799999999</v>
      </c>
      <c r="U1391" s="234">
        <f t="shared" si="214"/>
        <v>3453.6888226857468</v>
      </c>
      <c r="V1391" s="78">
        <v>4139.5607469067199</v>
      </c>
    </row>
    <row r="1392" spans="1:22" s="79" customFormat="1" ht="36" customHeight="1" x14ac:dyDescent="0.5">
      <c r="A1392" s="79">
        <v>1</v>
      </c>
      <c r="B1392" s="85">
        <f>SUBTOTAL(103,$A$1026:A1392)</f>
        <v>323</v>
      </c>
      <c r="C1392" s="83" t="s">
        <v>54</v>
      </c>
      <c r="D1392" s="233">
        <v>1989</v>
      </c>
      <c r="E1392" s="233"/>
      <c r="F1392" s="233" t="s">
        <v>256</v>
      </c>
      <c r="G1392" s="233">
        <v>5</v>
      </c>
      <c r="H1392" s="233" t="s">
        <v>355</v>
      </c>
      <c r="I1392" s="234">
        <v>5889.36</v>
      </c>
      <c r="J1392" s="234">
        <v>4270.6000000000004</v>
      </c>
      <c r="K1392" s="234">
        <v>4123.1000000000004</v>
      </c>
      <c r="L1392" s="235">
        <v>193</v>
      </c>
      <c r="M1392" s="233" t="s">
        <v>254</v>
      </c>
      <c r="N1392" s="233" t="s">
        <v>258</v>
      </c>
      <c r="O1392" s="236" t="s">
        <v>261</v>
      </c>
      <c r="P1392" s="84">
        <v>12640492.42</v>
      </c>
      <c r="Q1392" s="234">
        <v>0</v>
      </c>
      <c r="R1392" s="234">
        <v>0</v>
      </c>
      <c r="S1392" s="234">
        <v>0</v>
      </c>
      <c r="T1392" s="234">
        <f t="shared" si="254"/>
        <v>12640492.42</v>
      </c>
      <c r="U1392" s="234">
        <f t="shared" si="214"/>
        <v>2146.327006669655</v>
      </c>
      <c r="V1392" s="78">
        <v>3175.1961843052554</v>
      </c>
    </row>
    <row r="1393" spans="1:22" s="79" customFormat="1" ht="36" customHeight="1" x14ac:dyDescent="0.5">
      <c r="B1393" s="83" t="s">
        <v>790</v>
      </c>
      <c r="C1393" s="83"/>
      <c r="D1393" s="233" t="s">
        <v>835</v>
      </c>
      <c r="E1393" s="233" t="s">
        <v>835</v>
      </c>
      <c r="F1393" s="233" t="s">
        <v>835</v>
      </c>
      <c r="G1393" s="233" t="s">
        <v>835</v>
      </c>
      <c r="H1393" s="233" t="s">
        <v>835</v>
      </c>
      <c r="I1393" s="234">
        <f>I1394</f>
        <v>780.3</v>
      </c>
      <c r="J1393" s="234">
        <f t="shared" ref="J1393:L1393" si="255">J1394</f>
        <v>720.3</v>
      </c>
      <c r="K1393" s="234">
        <f t="shared" si="255"/>
        <v>720.3</v>
      </c>
      <c r="L1393" s="235">
        <f t="shared" si="255"/>
        <v>40</v>
      </c>
      <c r="M1393" s="233" t="s">
        <v>835</v>
      </c>
      <c r="N1393" s="233" t="s">
        <v>835</v>
      </c>
      <c r="O1393" s="236" t="s">
        <v>835</v>
      </c>
      <c r="P1393" s="138">
        <v>97949.35</v>
      </c>
      <c r="Q1393" s="234">
        <f>Q1394</f>
        <v>0</v>
      </c>
      <c r="R1393" s="234">
        <f t="shared" ref="R1393:T1393" si="256">R1394</f>
        <v>0</v>
      </c>
      <c r="S1393" s="234">
        <f t="shared" si="256"/>
        <v>0</v>
      </c>
      <c r="T1393" s="234">
        <f t="shared" si="256"/>
        <v>97949.35</v>
      </c>
      <c r="U1393" s="234">
        <f t="shared" si="214"/>
        <v>125.52780981673716</v>
      </c>
      <c r="V1393" s="78">
        <f>V1394</f>
        <v>125.52780981673716</v>
      </c>
    </row>
    <row r="1394" spans="1:22" s="79" customFormat="1" ht="36" customHeight="1" x14ac:dyDescent="0.5">
      <c r="A1394" s="79">
        <v>1</v>
      </c>
      <c r="B1394" s="85">
        <f>SUBTOTAL(103,$A$1026:A1394)</f>
        <v>324</v>
      </c>
      <c r="C1394" s="251" t="s">
        <v>64</v>
      </c>
      <c r="D1394" s="233">
        <v>1961</v>
      </c>
      <c r="E1394" s="233"/>
      <c r="F1394" s="233" t="s">
        <v>256</v>
      </c>
      <c r="G1394" s="233">
        <v>2</v>
      </c>
      <c r="H1394" s="233" t="s">
        <v>290</v>
      </c>
      <c r="I1394" s="234">
        <v>780.3</v>
      </c>
      <c r="J1394" s="234">
        <v>720.3</v>
      </c>
      <c r="K1394" s="234">
        <v>720.3</v>
      </c>
      <c r="L1394" s="235">
        <v>40</v>
      </c>
      <c r="M1394" s="233" t="s">
        <v>254</v>
      </c>
      <c r="N1394" s="233" t="s">
        <v>258</v>
      </c>
      <c r="O1394" s="236" t="s">
        <v>262</v>
      </c>
      <c r="P1394" s="84">
        <v>97949.35</v>
      </c>
      <c r="Q1394" s="234">
        <v>0</v>
      </c>
      <c r="R1394" s="234">
        <v>0</v>
      </c>
      <c r="S1394" s="234">
        <v>0</v>
      </c>
      <c r="T1394" s="234">
        <f>P1394-Q1394-R1394-S1394</f>
        <v>97949.35</v>
      </c>
      <c r="U1394" s="234">
        <f t="shared" si="214"/>
        <v>125.52780981673716</v>
      </c>
      <c r="V1394" s="78">
        <v>125.52780981673716</v>
      </c>
    </row>
    <row r="1395" spans="1:22" s="79" customFormat="1" ht="36" customHeight="1" x14ac:dyDescent="0.5">
      <c r="B1395" s="83" t="s">
        <v>821</v>
      </c>
      <c r="C1395" s="83"/>
      <c r="D1395" s="233" t="s">
        <v>835</v>
      </c>
      <c r="E1395" s="233" t="s">
        <v>835</v>
      </c>
      <c r="F1395" s="233" t="s">
        <v>835</v>
      </c>
      <c r="G1395" s="233" t="s">
        <v>835</v>
      </c>
      <c r="H1395" s="233" t="s">
        <v>835</v>
      </c>
      <c r="I1395" s="234">
        <f>I1396</f>
        <v>822.2</v>
      </c>
      <c r="J1395" s="234">
        <f t="shared" ref="J1395:L1395" si="257">J1396</f>
        <v>760.8</v>
      </c>
      <c r="K1395" s="234">
        <f t="shared" si="257"/>
        <v>760.8</v>
      </c>
      <c r="L1395" s="235">
        <f t="shared" si="257"/>
        <v>36</v>
      </c>
      <c r="M1395" s="233" t="s">
        <v>835</v>
      </c>
      <c r="N1395" s="233" t="s">
        <v>835</v>
      </c>
      <c r="O1395" s="236" t="s">
        <v>835</v>
      </c>
      <c r="P1395" s="138">
        <v>4419668.6100000003</v>
      </c>
      <c r="Q1395" s="234">
        <f>Q1396</f>
        <v>0</v>
      </c>
      <c r="R1395" s="234">
        <f t="shared" ref="R1395:T1395" si="258">R1396</f>
        <v>0</v>
      </c>
      <c r="S1395" s="234">
        <f t="shared" si="258"/>
        <v>0</v>
      </c>
      <c r="T1395" s="234">
        <f t="shared" si="258"/>
        <v>4419668.6100000003</v>
      </c>
      <c r="U1395" s="234">
        <f t="shared" si="214"/>
        <v>5375.4179153490632</v>
      </c>
      <c r="V1395" s="78">
        <f>V1396</f>
        <v>7970.5294040379458</v>
      </c>
    </row>
    <row r="1396" spans="1:22" s="79" customFormat="1" ht="36" customHeight="1" x14ac:dyDescent="0.5">
      <c r="A1396" s="79">
        <v>1</v>
      </c>
      <c r="B1396" s="85">
        <f>SUBTOTAL(103,$A$1026:A1396)</f>
        <v>325</v>
      </c>
      <c r="C1396" s="83" t="s">
        <v>55</v>
      </c>
      <c r="D1396" s="233">
        <v>1968</v>
      </c>
      <c r="E1396" s="233"/>
      <c r="F1396" s="233" t="s">
        <v>256</v>
      </c>
      <c r="G1396" s="233">
        <v>2</v>
      </c>
      <c r="H1396" s="233" t="s">
        <v>290</v>
      </c>
      <c r="I1396" s="234">
        <v>822.2</v>
      </c>
      <c r="J1396" s="234">
        <v>760.8</v>
      </c>
      <c r="K1396" s="234">
        <v>760.8</v>
      </c>
      <c r="L1396" s="235">
        <v>36</v>
      </c>
      <c r="M1396" s="233" t="s">
        <v>254</v>
      </c>
      <c r="N1396" s="233" t="s">
        <v>258</v>
      </c>
      <c r="O1396" s="236" t="s">
        <v>2685</v>
      </c>
      <c r="P1396" s="84">
        <v>4419668.6100000003</v>
      </c>
      <c r="Q1396" s="234">
        <v>0</v>
      </c>
      <c r="R1396" s="234">
        <v>0</v>
      </c>
      <c r="S1396" s="234">
        <v>0</v>
      </c>
      <c r="T1396" s="234">
        <f>P1396-Q1396-R1396-S1396</f>
        <v>4419668.6100000003</v>
      </c>
      <c r="U1396" s="234">
        <f t="shared" si="214"/>
        <v>5375.4179153490632</v>
      </c>
      <c r="V1396" s="78">
        <v>7970.5294040379458</v>
      </c>
    </row>
    <row r="1397" spans="1:22" s="79" customFormat="1" ht="36" customHeight="1" x14ac:dyDescent="0.5">
      <c r="B1397" s="83" t="s">
        <v>791</v>
      </c>
      <c r="C1397" s="83"/>
      <c r="D1397" s="233" t="s">
        <v>835</v>
      </c>
      <c r="E1397" s="233" t="s">
        <v>835</v>
      </c>
      <c r="F1397" s="233" t="s">
        <v>835</v>
      </c>
      <c r="G1397" s="233" t="s">
        <v>835</v>
      </c>
      <c r="H1397" s="233" t="s">
        <v>835</v>
      </c>
      <c r="I1397" s="234">
        <f>SUM(I1398:I1401)</f>
        <v>3249.5</v>
      </c>
      <c r="J1397" s="234">
        <f t="shared" ref="J1397:L1397" si="259">SUM(J1398:J1401)</f>
        <v>3217.58</v>
      </c>
      <c r="K1397" s="234">
        <f t="shared" si="259"/>
        <v>2765.5200000000004</v>
      </c>
      <c r="L1397" s="235">
        <f t="shared" si="259"/>
        <v>168</v>
      </c>
      <c r="M1397" s="233" t="s">
        <v>835</v>
      </c>
      <c r="N1397" s="233" t="s">
        <v>835</v>
      </c>
      <c r="O1397" s="236" t="s">
        <v>835</v>
      </c>
      <c r="P1397" s="138">
        <v>21711068.34</v>
      </c>
      <c r="Q1397" s="234">
        <f>SUM(Q1398:Q1401)</f>
        <v>0</v>
      </c>
      <c r="R1397" s="234">
        <f t="shared" ref="R1397:T1397" si="260">SUM(R1398:R1401)</f>
        <v>0</v>
      </c>
      <c r="S1397" s="234">
        <f t="shared" si="260"/>
        <v>0</v>
      </c>
      <c r="T1397" s="234">
        <f t="shared" si="260"/>
        <v>21711068.34</v>
      </c>
      <c r="U1397" s="234">
        <f t="shared" si="214"/>
        <v>6681.3566210186182</v>
      </c>
      <c r="V1397" s="78">
        <f>MAX(V1398:V1401)</f>
        <v>10061.608</v>
      </c>
    </row>
    <row r="1398" spans="1:22" s="79" customFormat="1" ht="36" customHeight="1" x14ac:dyDescent="0.5">
      <c r="A1398" s="79">
        <v>1</v>
      </c>
      <c r="B1398" s="85">
        <f>SUBTOTAL(103,$A$1026:A1398)</f>
        <v>326</v>
      </c>
      <c r="C1398" s="251" t="s">
        <v>69</v>
      </c>
      <c r="D1398" s="233">
        <v>1977</v>
      </c>
      <c r="E1398" s="233"/>
      <c r="F1398" s="233" t="s">
        <v>256</v>
      </c>
      <c r="G1398" s="233">
        <v>3</v>
      </c>
      <c r="H1398" s="233" t="s">
        <v>290</v>
      </c>
      <c r="I1398" s="234">
        <v>850.1</v>
      </c>
      <c r="J1398" s="234">
        <v>850.1</v>
      </c>
      <c r="K1398" s="234">
        <v>745</v>
      </c>
      <c r="L1398" s="235">
        <v>38</v>
      </c>
      <c r="M1398" s="233" t="s">
        <v>254</v>
      </c>
      <c r="N1398" s="233" t="s">
        <v>255</v>
      </c>
      <c r="O1398" s="236" t="s">
        <v>257</v>
      </c>
      <c r="P1398" s="84">
        <v>3925055.15</v>
      </c>
      <c r="Q1398" s="234">
        <v>0</v>
      </c>
      <c r="R1398" s="234">
        <v>0</v>
      </c>
      <c r="S1398" s="234">
        <v>0</v>
      </c>
      <c r="T1398" s="234">
        <f t="shared" ref="T1398:T1401" si="261">P1398-Q1398-R1398-S1398</f>
        <v>3925055.15</v>
      </c>
      <c r="U1398" s="234">
        <f t="shared" si="214"/>
        <v>4617.1687448535467</v>
      </c>
      <c r="V1398" s="78">
        <v>6719.3497687330891</v>
      </c>
    </row>
    <row r="1399" spans="1:22" s="79" customFormat="1" ht="36" customHeight="1" x14ac:dyDescent="0.5">
      <c r="A1399" s="79">
        <v>1</v>
      </c>
      <c r="B1399" s="85">
        <f>SUBTOTAL(103,$A$1026:A1399)</f>
        <v>327</v>
      </c>
      <c r="C1399" s="251" t="s">
        <v>70</v>
      </c>
      <c r="D1399" s="233">
        <v>1980</v>
      </c>
      <c r="E1399" s="233"/>
      <c r="F1399" s="233" t="s">
        <v>256</v>
      </c>
      <c r="G1399" s="233">
        <v>2</v>
      </c>
      <c r="H1399" s="233" t="s">
        <v>299</v>
      </c>
      <c r="I1399" s="234">
        <v>970</v>
      </c>
      <c r="J1399" s="234">
        <v>970</v>
      </c>
      <c r="K1399" s="234">
        <v>826.90000000000009</v>
      </c>
      <c r="L1399" s="235">
        <v>68</v>
      </c>
      <c r="M1399" s="233" t="s">
        <v>254</v>
      </c>
      <c r="N1399" s="233" t="s">
        <v>255</v>
      </c>
      <c r="O1399" s="236" t="s">
        <v>257</v>
      </c>
      <c r="P1399" s="84">
        <v>8015688.3400000008</v>
      </c>
      <c r="Q1399" s="234">
        <v>0</v>
      </c>
      <c r="R1399" s="234">
        <v>0</v>
      </c>
      <c r="S1399" s="234">
        <v>0</v>
      </c>
      <c r="T1399" s="234">
        <f t="shared" si="261"/>
        <v>8015688.3400000008</v>
      </c>
      <c r="U1399" s="234">
        <f t="shared" si="214"/>
        <v>8263.5962268041239</v>
      </c>
      <c r="V1399" s="78">
        <v>10061.608</v>
      </c>
    </row>
    <row r="1400" spans="1:22" s="79" customFormat="1" ht="36" customHeight="1" x14ac:dyDescent="0.5">
      <c r="A1400" s="79">
        <v>1</v>
      </c>
      <c r="B1400" s="85">
        <f>SUBTOTAL(103,$A$1026:A1400)</f>
        <v>328</v>
      </c>
      <c r="C1400" s="251" t="s">
        <v>71</v>
      </c>
      <c r="D1400" s="233">
        <v>1969</v>
      </c>
      <c r="E1400" s="233"/>
      <c r="F1400" s="233" t="s">
        <v>256</v>
      </c>
      <c r="G1400" s="233">
        <v>2</v>
      </c>
      <c r="H1400" s="233" t="s">
        <v>290</v>
      </c>
      <c r="I1400" s="234">
        <v>730.6</v>
      </c>
      <c r="J1400" s="234">
        <v>700.68</v>
      </c>
      <c r="K1400" s="234">
        <v>496.82</v>
      </c>
      <c r="L1400" s="235">
        <v>34</v>
      </c>
      <c r="M1400" s="233" t="s">
        <v>254</v>
      </c>
      <c r="N1400" s="233" t="s">
        <v>255</v>
      </c>
      <c r="O1400" s="236" t="s">
        <v>257</v>
      </c>
      <c r="P1400" s="84">
        <v>5226630.33</v>
      </c>
      <c r="Q1400" s="234">
        <v>0</v>
      </c>
      <c r="R1400" s="234">
        <v>0</v>
      </c>
      <c r="S1400" s="234">
        <v>0</v>
      </c>
      <c r="T1400" s="234">
        <f t="shared" si="261"/>
        <v>5226630.33</v>
      </c>
      <c r="U1400" s="234">
        <f t="shared" si="214"/>
        <v>7153.8876676704076</v>
      </c>
      <c r="V1400" s="78">
        <v>9596.1672488365712</v>
      </c>
    </row>
    <row r="1401" spans="1:22" s="79" customFormat="1" ht="36" customHeight="1" x14ac:dyDescent="0.5">
      <c r="A1401" s="79">
        <v>1</v>
      </c>
      <c r="B1401" s="85">
        <f>SUBTOTAL(103,$A$1026:A1401)</f>
        <v>329</v>
      </c>
      <c r="C1401" s="83" t="s">
        <v>2157</v>
      </c>
      <c r="D1401" s="233">
        <v>1967</v>
      </c>
      <c r="E1401" s="233"/>
      <c r="F1401" s="233" t="s">
        <v>256</v>
      </c>
      <c r="G1401" s="233">
        <v>2</v>
      </c>
      <c r="H1401" s="233" t="s">
        <v>290</v>
      </c>
      <c r="I1401" s="234">
        <v>698.8</v>
      </c>
      <c r="J1401" s="234">
        <v>696.8</v>
      </c>
      <c r="K1401" s="234">
        <v>696.8</v>
      </c>
      <c r="L1401" s="235">
        <v>28</v>
      </c>
      <c r="M1401" s="233" t="s">
        <v>254</v>
      </c>
      <c r="N1401" s="233" t="s">
        <v>255</v>
      </c>
      <c r="O1401" s="236" t="s">
        <v>257</v>
      </c>
      <c r="P1401" s="84">
        <v>4543694.5199999996</v>
      </c>
      <c r="Q1401" s="234">
        <v>0</v>
      </c>
      <c r="R1401" s="234">
        <v>0</v>
      </c>
      <c r="S1401" s="234">
        <v>0</v>
      </c>
      <c r="T1401" s="234">
        <f t="shared" si="261"/>
        <v>4543694.5199999996</v>
      </c>
      <c r="U1401" s="234">
        <f t="shared" si="214"/>
        <v>6502.1386949055523</v>
      </c>
      <c r="V1401" s="78">
        <v>9798.2692730394974</v>
      </c>
    </row>
    <row r="1402" spans="1:22" s="79" customFormat="1" ht="36" customHeight="1" x14ac:dyDescent="0.5">
      <c r="B1402" s="83" t="s">
        <v>787</v>
      </c>
      <c r="C1402" s="83"/>
      <c r="D1402" s="233" t="s">
        <v>835</v>
      </c>
      <c r="E1402" s="233" t="s">
        <v>835</v>
      </c>
      <c r="F1402" s="233" t="s">
        <v>835</v>
      </c>
      <c r="G1402" s="233" t="s">
        <v>835</v>
      </c>
      <c r="H1402" s="233" t="s">
        <v>835</v>
      </c>
      <c r="I1402" s="234">
        <f>I1403+I1404</f>
        <v>13125.2</v>
      </c>
      <c r="J1402" s="234">
        <f t="shared" ref="J1402:L1402" si="262">J1403+J1404</f>
        <v>9557.64</v>
      </c>
      <c r="K1402" s="234">
        <f t="shared" si="262"/>
        <v>9557.64</v>
      </c>
      <c r="L1402" s="235">
        <f t="shared" si="262"/>
        <v>362</v>
      </c>
      <c r="M1402" s="233" t="s">
        <v>835</v>
      </c>
      <c r="N1402" s="233" t="s">
        <v>835</v>
      </c>
      <c r="O1402" s="236" t="s">
        <v>835</v>
      </c>
      <c r="P1402" s="138">
        <v>10299372.709999999</v>
      </c>
      <c r="Q1402" s="234">
        <f>Q1403+Q1404</f>
        <v>0</v>
      </c>
      <c r="R1402" s="234">
        <f t="shared" ref="R1402:T1402" si="263">R1403+R1404</f>
        <v>0</v>
      </c>
      <c r="S1402" s="234">
        <f t="shared" si="263"/>
        <v>0</v>
      </c>
      <c r="T1402" s="234">
        <f t="shared" si="263"/>
        <v>10299372.709999999</v>
      </c>
      <c r="U1402" s="234">
        <f t="shared" si="214"/>
        <v>784.70215387194094</v>
      </c>
      <c r="V1402" s="78">
        <f>MAX(V1403:V1404)</f>
        <v>2554.687106755197</v>
      </c>
    </row>
    <row r="1403" spans="1:22" s="79" customFormat="1" ht="36" customHeight="1" x14ac:dyDescent="0.5">
      <c r="A1403" s="79">
        <v>1</v>
      </c>
      <c r="B1403" s="85">
        <f>SUBTOTAL(103,$A$1026:A1403)</f>
        <v>330</v>
      </c>
      <c r="C1403" s="83" t="s">
        <v>41</v>
      </c>
      <c r="D1403" s="233">
        <v>1974</v>
      </c>
      <c r="E1403" s="233"/>
      <c r="F1403" s="233" t="s">
        <v>256</v>
      </c>
      <c r="G1403" s="233">
        <v>5</v>
      </c>
      <c r="H1403" s="233" t="s">
        <v>355</v>
      </c>
      <c r="I1403" s="234">
        <v>5979.1</v>
      </c>
      <c r="J1403" s="234">
        <v>4563.9399999999996</v>
      </c>
      <c r="K1403" s="234">
        <v>4563.9399999999996</v>
      </c>
      <c r="L1403" s="235">
        <v>217</v>
      </c>
      <c r="M1403" s="233" t="s">
        <v>254</v>
      </c>
      <c r="N1403" s="233" t="s">
        <v>258</v>
      </c>
      <c r="O1403" s="236" t="s">
        <v>259</v>
      </c>
      <c r="P1403" s="84">
        <v>10148818.949999999</v>
      </c>
      <c r="Q1403" s="234">
        <v>0</v>
      </c>
      <c r="R1403" s="234">
        <v>0</v>
      </c>
      <c r="S1403" s="234">
        <v>0</v>
      </c>
      <c r="T1403" s="234">
        <f>P1403-Q1403-R1403-S1403</f>
        <v>10148818.949999999</v>
      </c>
      <c r="U1403" s="234">
        <f t="shared" ref="U1403:U1456" si="264">P1403/I1403</f>
        <v>1697.3823736013778</v>
      </c>
      <c r="V1403" s="78">
        <v>2554.687106755197</v>
      </c>
    </row>
    <row r="1404" spans="1:22" s="79" customFormat="1" ht="36" customHeight="1" x14ac:dyDescent="0.5">
      <c r="A1404" s="79">
        <v>1</v>
      </c>
      <c r="B1404" s="85">
        <f>SUBTOTAL(103,$A$1026:A1404)</f>
        <v>331</v>
      </c>
      <c r="C1404" s="83" t="s">
        <v>3298</v>
      </c>
      <c r="D1404" s="233">
        <v>2007</v>
      </c>
      <c r="E1404" s="233"/>
      <c r="F1404" s="233" t="s">
        <v>3270</v>
      </c>
      <c r="G1404" s="233">
        <v>5</v>
      </c>
      <c r="H1404" s="233" t="s">
        <v>295</v>
      </c>
      <c r="I1404" s="234">
        <v>7146.1</v>
      </c>
      <c r="J1404" s="234">
        <v>4993.7</v>
      </c>
      <c r="K1404" s="234">
        <v>4993.7</v>
      </c>
      <c r="L1404" s="235">
        <v>145</v>
      </c>
      <c r="M1404" s="233" t="s">
        <v>254</v>
      </c>
      <c r="N1404" s="233" t="s">
        <v>258</v>
      </c>
      <c r="O1404" s="236" t="s">
        <v>1225</v>
      </c>
      <c r="P1404" s="84">
        <v>150553.76</v>
      </c>
      <c r="Q1404" s="234">
        <v>0</v>
      </c>
      <c r="R1404" s="234">
        <v>0</v>
      </c>
      <c r="S1404" s="234">
        <v>0</v>
      </c>
      <c r="T1404" s="234">
        <f>P1404-Q1404-R1404-S1404</f>
        <v>150553.76</v>
      </c>
      <c r="U1404" s="234">
        <f t="shared" si="264"/>
        <v>21.067961545458363</v>
      </c>
      <c r="V1404" s="78">
        <f>U1404</f>
        <v>21.067961545458363</v>
      </c>
    </row>
    <row r="1405" spans="1:22" s="79" customFormat="1" ht="36" customHeight="1" x14ac:dyDescent="0.5">
      <c r="B1405" s="83" t="s">
        <v>792</v>
      </c>
      <c r="C1405" s="253"/>
      <c r="D1405" s="233" t="s">
        <v>835</v>
      </c>
      <c r="E1405" s="233" t="s">
        <v>835</v>
      </c>
      <c r="F1405" s="233" t="s">
        <v>835</v>
      </c>
      <c r="G1405" s="233" t="s">
        <v>835</v>
      </c>
      <c r="H1405" s="233" t="s">
        <v>835</v>
      </c>
      <c r="I1405" s="234">
        <f>I1406</f>
        <v>1046.8</v>
      </c>
      <c r="J1405" s="234">
        <f t="shared" ref="J1405:L1405" si="265">J1406</f>
        <v>929.5</v>
      </c>
      <c r="K1405" s="234">
        <f t="shared" si="265"/>
        <v>929.5</v>
      </c>
      <c r="L1405" s="235">
        <f t="shared" si="265"/>
        <v>44</v>
      </c>
      <c r="M1405" s="233" t="s">
        <v>835</v>
      </c>
      <c r="N1405" s="233" t="s">
        <v>835</v>
      </c>
      <c r="O1405" s="236" t="s">
        <v>835</v>
      </c>
      <c r="P1405" s="138">
        <v>6289893.4800000004</v>
      </c>
      <c r="Q1405" s="234">
        <f>Q1406</f>
        <v>0</v>
      </c>
      <c r="R1405" s="234">
        <f t="shared" ref="R1405:T1405" si="266">R1406</f>
        <v>0</v>
      </c>
      <c r="S1405" s="234">
        <f t="shared" si="266"/>
        <v>0</v>
      </c>
      <c r="T1405" s="234">
        <f t="shared" si="266"/>
        <v>6289893.4800000004</v>
      </c>
      <c r="U1405" s="234">
        <f t="shared" si="264"/>
        <v>6008.6869316010707</v>
      </c>
      <c r="V1405" s="78">
        <f>V1406</f>
        <v>8732.2832250668707</v>
      </c>
    </row>
    <row r="1406" spans="1:22" s="79" customFormat="1" ht="36" customHeight="1" x14ac:dyDescent="0.5">
      <c r="A1406" s="79">
        <v>1</v>
      </c>
      <c r="B1406" s="85">
        <f>SUBTOTAL(103,$A$1026:A1406)</f>
        <v>332</v>
      </c>
      <c r="C1406" s="251" t="s">
        <v>215</v>
      </c>
      <c r="D1406" s="233">
        <v>1994</v>
      </c>
      <c r="E1406" s="233"/>
      <c r="F1406" s="233" t="s">
        <v>256</v>
      </c>
      <c r="G1406" s="233">
        <v>2</v>
      </c>
      <c r="H1406" s="233" t="s">
        <v>299</v>
      </c>
      <c r="I1406" s="234">
        <v>1046.8</v>
      </c>
      <c r="J1406" s="234">
        <v>929.5</v>
      </c>
      <c r="K1406" s="234">
        <v>929.5</v>
      </c>
      <c r="L1406" s="235">
        <v>44</v>
      </c>
      <c r="M1406" s="233" t="s">
        <v>254</v>
      </c>
      <c r="N1406" s="233" t="s">
        <v>258</v>
      </c>
      <c r="O1406" s="236" t="s">
        <v>653</v>
      </c>
      <c r="P1406" s="84">
        <v>6289893.4800000004</v>
      </c>
      <c r="Q1406" s="234">
        <v>0</v>
      </c>
      <c r="R1406" s="234">
        <v>0</v>
      </c>
      <c r="S1406" s="234">
        <v>0</v>
      </c>
      <c r="T1406" s="234">
        <f>P1406-Q1406-R1406-S1406</f>
        <v>6289893.4800000004</v>
      </c>
      <c r="U1406" s="234">
        <f t="shared" si="264"/>
        <v>6008.6869316010707</v>
      </c>
      <c r="V1406" s="78">
        <v>8732.2832250668707</v>
      </c>
    </row>
    <row r="1407" spans="1:22" s="79" customFormat="1" ht="36" customHeight="1" x14ac:dyDescent="0.5">
      <c r="B1407" s="83" t="s">
        <v>794</v>
      </c>
      <c r="C1407" s="253"/>
      <c r="D1407" s="233" t="s">
        <v>835</v>
      </c>
      <c r="E1407" s="233" t="s">
        <v>835</v>
      </c>
      <c r="F1407" s="233" t="s">
        <v>835</v>
      </c>
      <c r="G1407" s="233" t="s">
        <v>835</v>
      </c>
      <c r="H1407" s="233" t="s">
        <v>835</v>
      </c>
      <c r="I1407" s="234">
        <f>SUM(I1408:I1408)</f>
        <v>545.34</v>
      </c>
      <c r="J1407" s="234">
        <f>SUM(J1408:J1408)</f>
        <v>316.54000000000002</v>
      </c>
      <c r="K1407" s="234">
        <f>SUM(K1408:K1408)</f>
        <v>204.04</v>
      </c>
      <c r="L1407" s="235">
        <f>SUM(L1408:L1408)</f>
        <v>21</v>
      </c>
      <c r="M1407" s="233" t="s">
        <v>835</v>
      </c>
      <c r="N1407" s="233" t="s">
        <v>835</v>
      </c>
      <c r="O1407" s="236" t="s">
        <v>835</v>
      </c>
      <c r="P1407" s="138">
        <v>1969154.2</v>
      </c>
      <c r="Q1407" s="84">
        <f t="shared" ref="Q1407:T1407" si="267">Q1408</f>
        <v>0</v>
      </c>
      <c r="R1407" s="84">
        <f t="shared" si="267"/>
        <v>0</v>
      </c>
      <c r="S1407" s="84">
        <f t="shared" si="267"/>
        <v>0</v>
      </c>
      <c r="T1407" s="84">
        <f t="shared" si="267"/>
        <v>1969154.2</v>
      </c>
      <c r="U1407" s="234">
        <f t="shared" si="264"/>
        <v>3610.8743169398904</v>
      </c>
      <c r="V1407" s="78">
        <f>MAX(V1408:V1408)</f>
        <v>5917.2420464297502</v>
      </c>
    </row>
    <row r="1408" spans="1:22" s="79" customFormat="1" ht="36" customHeight="1" x14ac:dyDescent="0.5">
      <c r="A1408" s="79">
        <v>1</v>
      </c>
      <c r="B1408" s="85">
        <f>SUBTOTAL(103,$A$1026:A1408)</f>
        <v>333</v>
      </c>
      <c r="C1408" s="83" t="s">
        <v>145</v>
      </c>
      <c r="D1408" s="233">
        <v>1968</v>
      </c>
      <c r="E1408" s="233"/>
      <c r="F1408" s="233" t="s">
        <v>256</v>
      </c>
      <c r="G1408" s="233">
        <v>2</v>
      </c>
      <c r="H1408" s="233" t="s">
        <v>291</v>
      </c>
      <c r="I1408" s="234">
        <v>545.34</v>
      </c>
      <c r="J1408" s="234">
        <v>316.54000000000002</v>
      </c>
      <c r="K1408" s="234">
        <v>204.04</v>
      </c>
      <c r="L1408" s="235">
        <v>21</v>
      </c>
      <c r="M1408" s="233" t="s">
        <v>254</v>
      </c>
      <c r="N1408" s="233" t="s">
        <v>258</v>
      </c>
      <c r="O1408" s="236" t="s">
        <v>937</v>
      </c>
      <c r="P1408" s="84">
        <v>1969154.2</v>
      </c>
      <c r="Q1408" s="234">
        <v>0</v>
      </c>
      <c r="R1408" s="234">
        <v>0</v>
      </c>
      <c r="S1408" s="234">
        <v>0</v>
      </c>
      <c r="T1408" s="234">
        <f t="shared" ref="T1408" si="268">P1408-Q1408-R1408-S1408</f>
        <v>1969154.2</v>
      </c>
      <c r="U1408" s="234">
        <f t="shared" si="264"/>
        <v>3610.8743169398904</v>
      </c>
      <c r="V1408" s="78">
        <v>5917.2420464297502</v>
      </c>
    </row>
    <row r="1409" spans="1:22" s="79" customFormat="1" ht="36" customHeight="1" x14ac:dyDescent="0.5">
      <c r="B1409" s="83" t="s">
        <v>823</v>
      </c>
      <c r="C1409" s="83"/>
      <c r="D1409" s="233" t="s">
        <v>835</v>
      </c>
      <c r="E1409" s="233" t="s">
        <v>835</v>
      </c>
      <c r="F1409" s="233" t="s">
        <v>835</v>
      </c>
      <c r="G1409" s="233" t="s">
        <v>835</v>
      </c>
      <c r="H1409" s="233" t="s">
        <v>835</v>
      </c>
      <c r="I1409" s="234">
        <f>SUM(I1410:I1412)</f>
        <v>4008.84</v>
      </c>
      <c r="J1409" s="234">
        <f t="shared" ref="J1409:L1409" si="269">SUM(J1410:J1412)</f>
        <v>2511.3000000000002</v>
      </c>
      <c r="K1409" s="234">
        <f t="shared" si="269"/>
        <v>1768.8000000000002</v>
      </c>
      <c r="L1409" s="235">
        <f t="shared" si="269"/>
        <v>170</v>
      </c>
      <c r="M1409" s="233" t="s">
        <v>835</v>
      </c>
      <c r="N1409" s="233" t="s">
        <v>835</v>
      </c>
      <c r="O1409" s="236" t="s">
        <v>835</v>
      </c>
      <c r="P1409" s="138">
        <v>7685799.1900000004</v>
      </c>
      <c r="Q1409" s="234">
        <f t="shared" ref="Q1409" si="270">SUM(Q1410:Q1412)</f>
        <v>0</v>
      </c>
      <c r="R1409" s="234">
        <f t="shared" ref="R1409" si="271">SUM(R1410:R1412)</f>
        <v>0</v>
      </c>
      <c r="S1409" s="234">
        <f t="shared" ref="S1409" si="272">SUM(S1410:S1412)</f>
        <v>0</v>
      </c>
      <c r="T1409" s="234">
        <f t="shared" ref="T1409" si="273">SUM(T1410:T1412)</f>
        <v>7685799.1900000004</v>
      </c>
      <c r="U1409" s="234">
        <f t="shared" si="264"/>
        <v>1917.2127573063531</v>
      </c>
      <c r="V1409" s="78">
        <f>MAX(V1410:V1412)</f>
        <v>4790.5373646842772</v>
      </c>
    </row>
    <row r="1410" spans="1:22" s="79" customFormat="1" ht="36" customHeight="1" x14ac:dyDescent="0.5">
      <c r="A1410" s="79">
        <v>1</v>
      </c>
      <c r="B1410" s="85">
        <f>SUBTOTAL(103,$A$1026:A1410)</f>
        <v>334</v>
      </c>
      <c r="C1410" s="251" t="s">
        <v>158</v>
      </c>
      <c r="D1410" s="233">
        <v>1978</v>
      </c>
      <c r="E1410" s="233"/>
      <c r="F1410" s="233" t="s">
        <v>256</v>
      </c>
      <c r="G1410" s="233">
        <v>2</v>
      </c>
      <c r="H1410" s="233" t="s">
        <v>290</v>
      </c>
      <c r="I1410" s="234">
        <v>1219.74</v>
      </c>
      <c r="J1410" s="234">
        <v>712.8</v>
      </c>
      <c r="K1410" s="234">
        <v>712.8</v>
      </c>
      <c r="L1410" s="235">
        <v>45</v>
      </c>
      <c r="M1410" s="233" t="s">
        <v>254</v>
      </c>
      <c r="N1410" s="233" t="s">
        <v>258</v>
      </c>
      <c r="O1410" s="236" t="s">
        <v>937</v>
      </c>
      <c r="P1410" s="84">
        <v>3710089.49</v>
      </c>
      <c r="Q1410" s="234">
        <v>0</v>
      </c>
      <c r="R1410" s="234">
        <v>0</v>
      </c>
      <c r="S1410" s="234">
        <v>0</v>
      </c>
      <c r="T1410" s="234">
        <f t="shared" ref="T1410:T1412" si="274">P1410-Q1410-R1410-S1410</f>
        <v>3710089.49</v>
      </c>
      <c r="U1410" s="234">
        <f t="shared" si="264"/>
        <v>3041.7051912702709</v>
      </c>
      <c r="V1410" s="78">
        <v>4790.5373646842772</v>
      </c>
    </row>
    <row r="1411" spans="1:22" s="79" customFormat="1" ht="36" customHeight="1" x14ac:dyDescent="0.5">
      <c r="A1411" s="79">
        <v>1</v>
      </c>
      <c r="B1411" s="85">
        <f>SUBTOTAL(103,$A$1026:A1411)</f>
        <v>335</v>
      </c>
      <c r="C1411" s="251" t="s">
        <v>159</v>
      </c>
      <c r="D1411" s="233">
        <v>1989</v>
      </c>
      <c r="E1411" s="233"/>
      <c r="F1411" s="233" t="s">
        <v>256</v>
      </c>
      <c r="G1411" s="233">
        <v>2</v>
      </c>
      <c r="H1411" s="233" t="s">
        <v>299</v>
      </c>
      <c r="I1411" s="234">
        <v>1421.2</v>
      </c>
      <c r="J1411" s="234">
        <v>871.8</v>
      </c>
      <c r="K1411" s="234">
        <v>731.1</v>
      </c>
      <c r="L1411" s="235">
        <v>47</v>
      </c>
      <c r="M1411" s="233" t="s">
        <v>254</v>
      </c>
      <c r="N1411" s="233" t="s">
        <v>258</v>
      </c>
      <c r="O1411" s="236" t="s">
        <v>937</v>
      </c>
      <c r="P1411" s="84">
        <v>95169.25</v>
      </c>
      <c r="Q1411" s="234">
        <v>0</v>
      </c>
      <c r="R1411" s="234">
        <v>0</v>
      </c>
      <c r="S1411" s="234">
        <v>0</v>
      </c>
      <c r="T1411" s="234">
        <f t="shared" si="274"/>
        <v>95169.25</v>
      </c>
      <c r="U1411" s="234">
        <f t="shared" si="264"/>
        <v>66.964009287925691</v>
      </c>
      <c r="V1411" s="78">
        <v>75.851280607936957</v>
      </c>
    </row>
    <row r="1412" spans="1:22" s="79" customFormat="1" ht="36" customHeight="1" x14ac:dyDescent="0.5">
      <c r="A1412" s="79">
        <v>1</v>
      </c>
      <c r="B1412" s="85">
        <f>SUBTOTAL(103,$A$1026:A1412)</f>
        <v>336</v>
      </c>
      <c r="C1412" s="83" t="s">
        <v>151</v>
      </c>
      <c r="D1412" s="233">
        <v>1974</v>
      </c>
      <c r="E1412" s="233"/>
      <c r="F1412" s="233" t="s">
        <v>256</v>
      </c>
      <c r="G1412" s="233">
        <v>2</v>
      </c>
      <c r="H1412" s="233" t="s">
        <v>291</v>
      </c>
      <c r="I1412" s="234">
        <v>1367.9</v>
      </c>
      <c r="J1412" s="234">
        <v>926.7</v>
      </c>
      <c r="K1412" s="234">
        <v>324.89999999999998</v>
      </c>
      <c r="L1412" s="235">
        <v>78</v>
      </c>
      <c r="M1412" s="233" t="s">
        <v>254</v>
      </c>
      <c r="N1412" s="233" t="s">
        <v>258</v>
      </c>
      <c r="O1412" s="236" t="s">
        <v>937</v>
      </c>
      <c r="P1412" s="84">
        <v>3880540.45</v>
      </c>
      <c r="Q1412" s="234">
        <v>0</v>
      </c>
      <c r="R1412" s="234">
        <v>0</v>
      </c>
      <c r="S1412" s="234">
        <v>0</v>
      </c>
      <c r="T1412" s="234">
        <f t="shared" si="274"/>
        <v>3880540.45</v>
      </c>
      <c r="U1412" s="234">
        <f t="shared" si="264"/>
        <v>2836.8597485196287</v>
      </c>
      <c r="V1412" s="78">
        <v>4462.8916142992903</v>
      </c>
    </row>
    <row r="1413" spans="1:22" s="79" customFormat="1" ht="36" customHeight="1" x14ac:dyDescent="0.5">
      <c r="B1413" s="83" t="s">
        <v>796</v>
      </c>
      <c r="C1413" s="83"/>
      <c r="D1413" s="233" t="s">
        <v>835</v>
      </c>
      <c r="E1413" s="233" t="s">
        <v>835</v>
      </c>
      <c r="F1413" s="233" t="s">
        <v>835</v>
      </c>
      <c r="G1413" s="233" t="s">
        <v>835</v>
      </c>
      <c r="H1413" s="233" t="s">
        <v>835</v>
      </c>
      <c r="I1413" s="234">
        <f>SUM(I1414:I1417)</f>
        <v>5259.2</v>
      </c>
      <c r="J1413" s="234">
        <f t="shared" ref="J1413:L1413" si="275">SUM(J1414:J1417)</f>
        <v>5157.2</v>
      </c>
      <c r="K1413" s="234">
        <f t="shared" si="275"/>
        <v>5020.1000000000004</v>
      </c>
      <c r="L1413" s="235">
        <f t="shared" si="275"/>
        <v>221</v>
      </c>
      <c r="M1413" s="233" t="s">
        <v>835</v>
      </c>
      <c r="N1413" s="233" t="s">
        <v>835</v>
      </c>
      <c r="O1413" s="236" t="s">
        <v>835</v>
      </c>
      <c r="P1413" s="138">
        <v>11392883.550000001</v>
      </c>
      <c r="Q1413" s="234">
        <f t="shared" ref="Q1413" si="276">SUM(Q1414:Q1417)</f>
        <v>0</v>
      </c>
      <c r="R1413" s="234">
        <f t="shared" ref="R1413" si="277">SUM(R1414:R1417)</f>
        <v>0</v>
      </c>
      <c r="S1413" s="234">
        <f t="shared" ref="S1413" si="278">SUM(S1414:S1417)</f>
        <v>0</v>
      </c>
      <c r="T1413" s="234">
        <f t="shared" ref="T1413" si="279">SUM(T1414:T1417)</f>
        <v>11392883.550000001</v>
      </c>
      <c r="U1413" s="234">
        <f t="shared" si="264"/>
        <v>2166.2769147398844</v>
      </c>
      <c r="V1413" s="78">
        <f>MAX(V1414:V1417)</f>
        <v>9779.5233186741061</v>
      </c>
    </row>
    <row r="1414" spans="1:22" s="79" customFormat="1" ht="36" customHeight="1" x14ac:dyDescent="0.5">
      <c r="A1414" s="79">
        <v>1</v>
      </c>
      <c r="B1414" s="85">
        <f>SUBTOTAL(103,$A$1026:A1414)</f>
        <v>337</v>
      </c>
      <c r="C1414" s="251" t="s">
        <v>1813</v>
      </c>
      <c r="D1414" s="233">
        <v>1986</v>
      </c>
      <c r="E1414" s="233"/>
      <c r="F1414" s="233" t="s">
        <v>256</v>
      </c>
      <c r="G1414" s="233">
        <v>5</v>
      </c>
      <c r="H1414" s="233" t="s">
        <v>295</v>
      </c>
      <c r="I1414" s="234">
        <v>2959.8</v>
      </c>
      <c r="J1414" s="234">
        <v>2959.8</v>
      </c>
      <c r="K1414" s="234">
        <v>2846.7000000000003</v>
      </c>
      <c r="L1414" s="235">
        <v>127</v>
      </c>
      <c r="M1414" s="233" t="s">
        <v>254</v>
      </c>
      <c r="N1414" s="233" t="s">
        <v>258</v>
      </c>
      <c r="O1414" s="236" t="s">
        <v>277</v>
      </c>
      <c r="P1414" s="84">
        <v>4229345.41</v>
      </c>
      <c r="Q1414" s="234">
        <v>0</v>
      </c>
      <c r="R1414" s="234">
        <v>0</v>
      </c>
      <c r="S1414" s="234">
        <v>0</v>
      </c>
      <c r="T1414" s="234">
        <f t="shared" ref="T1414:T1417" si="280">P1414-Q1414-R1414-S1414</f>
        <v>4229345.41</v>
      </c>
      <c r="U1414" s="234">
        <f t="shared" si="264"/>
        <v>1428.9294580714914</v>
      </c>
      <c r="V1414" s="78">
        <v>2852.7431658895871</v>
      </c>
    </row>
    <row r="1415" spans="1:22" s="79" customFormat="1" ht="36" customHeight="1" x14ac:dyDescent="0.5">
      <c r="A1415" s="79">
        <v>1</v>
      </c>
      <c r="B1415" s="85">
        <f>SUBTOTAL(103,$A$1026:A1415)</f>
        <v>338</v>
      </c>
      <c r="C1415" s="251" t="s">
        <v>1820</v>
      </c>
      <c r="D1415" s="233">
        <v>1970</v>
      </c>
      <c r="E1415" s="233"/>
      <c r="F1415" s="233" t="s">
        <v>1479</v>
      </c>
      <c r="G1415" s="233" t="s">
        <v>295</v>
      </c>
      <c r="H1415" s="233" t="s">
        <v>291</v>
      </c>
      <c r="I1415" s="234">
        <v>607.6</v>
      </c>
      <c r="J1415" s="234">
        <v>607.6</v>
      </c>
      <c r="K1415" s="234">
        <v>607.6</v>
      </c>
      <c r="L1415" s="235">
        <v>25</v>
      </c>
      <c r="M1415" s="233" t="s">
        <v>254</v>
      </c>
      <c r="N1415" s="233" t="s">
        <v>258</v>
      </c>
      <c r="O1415" s="236" t="s">
        <v>277</v>
      </c>
      <c r="P1415" s="84">
        <v>99444.33</v>
      </c>
      <c r="Q1415" s="234">
        <v>0</v>
      </c>
      <c r="R1415" s="234">
        <v>0</v>
      </c>
      <c r="S1415" s="234">
        <v>0</v>
      </c>
      <c r="T1415" s="234">
        <f t="shared" si="280"/>
        <v>99444.33</v>
      </c>
      <c r="U1415" s="234">
        <f t="shared" si="264"/>
        <v>163.66742922975641</v>
      </c>
      <c r="V1415" s="78">
        <v>185.36747860434497</v>
      </c>
    </row>
    <row r="1416" spans="1:22" s="79" customFormat="1" ht="36" customHeight="1" x14ac:dyDescent="0.5">
      <c r="A1416" s="79">
        <v>1</v>
      </c>
      <c r="B1416" s="85">
        <f>SUBTOTAL(103,$A$1026:A1416)</f>
        <v>339</v>
      </c>
      <c r="C1416" s="251" t="s">
        <v>157</v>
      </c>
      <c r="D1416" s="233">
        <v>1973</v>
      </c>
      <c r="E1416" s="233"/>
      <c r="F1416" s="233" t="s">
        <v>256</v>
      </c>
      <c r="G1416" s="233">
        <v>2</v>
      </c>
      <c r="H1416" s="233" t="s">
        <v>291</v>
      </c>
      <c r="I1416" s="234">
        <v>304.7</v>
      </c>
      <c r="J1416" s="234">
        <v>304.7</v>
      </c>
      <c r="K1416" s="234">
        <v>280.7</v>
      </c>
      <c r="L1416" s="235">
        <v>11</v>
      </c>
      <c r="M1416" s="233" t="s">
        <v>254</v>
      </c>
      <c r="N1416" s="233" t="s">
        <v>258</v>
      </c>
      <c r="O1416" s="236" t="s">
        <v>277</v>
      </c>
      <c r="P1416" s="84">
        <v>2601289.4899999998</v>
      </c>
      <c r="Q1416" s="234">
        <v>0</v>
      </c>
      <c r="R1416" s="234">
        <v>0</v>
      </c>
      <c r="S1416" s="234">
        <v>0</v>
      </c>
      <c r="T1416" s="234">
        <f t="shared" si="280"/>
        <v>2601289.4899999998</v>
      </c>
      <c r="U1416" s="234">
        <f t="shared" si="264"/>
        <v>8537.2152609123732</v>
      </c>
      <c r="V1416" s="78">
        <v>9779.5233186741061</v>
      </c>
    </row>
    <row r="1417" spans="1:22" s="79" customFormat="1" ht="36" customHeight="1" x14ac:dyDescent="0.5">
      <c r="A1417" s="79">
        <v>1</v>
      </c>
      <c r="B1417" s="85">
        <f>SUBTOTAL(103,$A$1026:A1417)</f>
        <v>340</v>
      </c>
      <c r="C1417" s="83" t="s">
        <v>138</v>
      </c>
      <c r="D1417" s="233">
        <v>1983</v>
      </c>
      <c r="E1417" s="233"/>
      <c r="F1417" s="233" t="s">
        <v>256</v>
      </c>
      <c r="G1417" s="233">
        <v>3</v>
      </c>
      <c r="H1417" s="233" t="s">
        <v>290</v>
      </c>
      <c r="I1417" s="234">
        <v>1387.1</v>
      </c>
      <c r="J1417" s="234">
        <v>1285.0999999999999</v>
      </c>
      <c r="K1417" s="234">
        <v>1285.0999999999999</v>
      </c>
      <c r="L1417" s="235">
        <v>58</v>
      </c>
      <c r="M1417" s="233" t="s">
        <v>254</v>
      </c>
      <c r="N1417" s="233" t="s">
        <v>258</v>
      </c>
      <c r="O1417" s="236" t="s">
        <v>277</v>
      </c>
      <c r="P1417" s="84">
        <v>4462804.3199999994</v>
      </c>
      <c r="Q1417" s="234">
        <v>0</v>
      </c>
      <c r="R1417" s="234">
        <v>0</v>
      </c>
      <c r="S1417" s="234">
        <v>0</v>
      </c>
      <c r="T1417" s="234">
        <f t="shared" si="280"/>
        <v>4462804.3199999994</v>
      </c>
      <c r="U1417" s="234">
        <f t="shared" si="264"/>
        <v>3217.3630740393623</v>
      </c>
      <c r="V1417" s="78">
        <v>4886.105169057746</v>
      </c>
    </row>
    <row r="1418" spans="1:22" s="79" customFormat="1" ht="36" customHeight="1" x14ac:dyDescent="0.5">
      <c r="B1418" s="83" t="s">
        <v>797</v>
      </c>
      <c r="C1418" s="83"/>
      <c r="D1418" s="233" t="s">
        <v>835</v>
      </c>
      <c r="E1418" s="233" t="s">
        <v>835</v>
      </c>
      <c r="F1418" s="233" t="s">
        <v>835</v>
      </c>
      <c r="G1418" s="233" t="s">
        <v>835</v>
      </c>
      <c r="H1418" s="233" t="s">
        <v>835</v>
      </c>
      <c r="I1418" s="234">
        <f>SUM(I1419:I1421)</f>
        <v>11310.84</v>
      </c>
      <c r="J1418" s="234">
        <f t="shared" ref="J1418:K1418" si="281">SUM(J1419:J1421)</f>
        <v>7885.02</v>
      </c>
      <c r="K1418" s="234">
        <f t="shared" si="281"/>
        <v>3546.42</v>
      </c>
      <c r="L1418" s="235">
        <f>SUM(L1419:L1421)</f>
        <v>387</v>
      </c>
      <c r="M1418" s="233" t="s">
        <v>835</v>
      </c>
      <c r="N1418" s="233" t="s">
        <v>835</v>
      </c>
      <c r="O1418" s="236" t="s">
        <v>835</v>
      </c>
      <c r="P1418" s="237">
        <v>16786703.300000001</v>
      </c>
      <c r="Q1418" s="234">
        <f>SUM(Q1419:Q1421)</f>
        <v>0</v>
      </c>
      <c r="R1418" s="234">
        <f t="shared" ref="R1418:T1418" si="282">SUM(R1419:R1421)</f>
        <v>0</v>
      </c>
      <c r="S1418" s="234">
        <f t="shared" si="282"/>
        <v>0</v>
      </c>
      <c r="T1418" s="234">
        <f t="shared" si="282"/>
        <v>16786703.300000001</v>
      </c>
      <c r="U1418" s="234">
        <f t="shared" si="264"/>
        <v>1484.1252550650527</v>
      </c>
      <c r="V1418" s="78">
        <f>MAX(V1419:V1421)</f>
        <v>6039.0990883720933</v>
      </c>
    </row>
    <row r="1419" spans="1:22" s="79" customFormat="1" ht="36" customHeight="1" x14ac:dyDescent="0.5">
      <c r="A1419" s="79">
        <v>1</v>
      </c>
      <c r="B1419" s="85">
        <f>SUBTOTAL(103,$A$1026:A1419)</f>
        <v>341</v>
      </c>
      <c r="C1419" s="251" t="s">
        <v>155</v>
      </c>
      <c r="D1419" s="233">
        <v>1988</v>
      </c>
      <c r="E1419" s="233"/>
      <c r="F1419" s="233" t="s">
        <v>256</v>
      </c>
      <c r="G1419" s="233">
        <v>5</v>
      </c>
      <c r="H1419" s="233" t="s">
        <v>355</v>
      </c>
      <c r="I1419" s="234">
        <v>6118.54</v>
      </c>
      <c r="J1419" s="234">
        <v>4395.5</v>
      </c>
      <c r="K1419" s="234">
        <v>202.8</v>
      </c>
      <c r="L1419" s="235">
        <v>234</v>
      </c>
      <c r="M1419" s="233" t="s">
        <v>254</v>
      </c>
      <c r="N1419" s="233" t="s">
        <v>258</v>
      </c>
      <c r="O1419" s="236" t="s">
        <v>278</v>
      </c>
      <c r="P1419" s="84">
        <v>6737004.8399999999</v>
      </c>
      <c r="Q1419" s="234">
        <v>0</v>
      </c>
      <c r="R1419" s="234">
        <v>0</v>
      </c>
      <c r="S1419" s="234">
        <v>0</v>
      </c>
      <c r="T1419" s="234">
        <f t="shared" ref="T1419:T1421" si="283">P1419-Q1419-R1419-S1419</f>
        <v>6737004.8399999999</v>
      </c>
      <c r="U1419" s="234">
        <f t="shared" si="264"/>
        <v>1101.080460371265</v>
      </c>
      <c r="V1419" s="78">
        <v>2350.2625632912427</v>
      </c>
    </row>
    <row r="1420" spans="1:22" s="79" customFormat="1" ht="36" customHeight="1" x14ac:dyDescent="0.5">
      <c r="A1420" s="79">
        <v>1</v>
      </c>
      <c r="B1420" s="85">
        <f>SUBTOTAL(103,$A$1026:A1420)</f>
        <v>342</v>
      </c>
      <c r="C1420" s="251" t="s">
        <v>2967</v>
      </c>
      <c r="D1420" s="233">
        <v>1989</v>
      </c>
      <c r="E1420" s="233"/>
      <c r="F1420" s="233" t="s">
        <v>256</v>
      </c>
      <c r="G1420" s="233">
        <v>2</v>
      </c>
      <c r="H1420" s="233" t="s">
        <v>299</v>
      </c>
      <c r="I1420" s="234">
        <v>3128.3</v>
      </c>
      <c r="J1420" s="234">
        <v>1425.72</v>
      </c>
      <c r="K1420" s="234">
        <v>1279.82</v>
      </c>
      <c r="L1420" s="235">
        <v>73</v>
      </c>
      <c r="M1420" s="233" t="s">
        <v>254</v>
      </c>
      <c r="N1420" s="233" t="s">
        <v>258</v>
      </c>
      <c r="O1420" s="236" t="s">
        <v>282</v>
      </c>
      <c r="P1420" s="84">
        <v>138635.48000000001</v>
      </c>
      <c r="Q1420" s="234">
        <v>0</v>
      </c>
      <c r="R1420" s="234">
        <v>0</v>
      </c>
      <c r="S1420" s="234">
        <v>0</v>
      </c>
      <c r="T1420" s="234">
        <f t="shared" si="283"/>
        <v>138635.48000000001</v>
      </c>
      <c r="U1420" s="234">
        <f t="shared" si="264"/>
        <v>44.31655531758463</v>
      </c>
      <c r="V1420" s="78">
        <v>50.199533292842759</v>
      </c>
    </row>
    <row r="1421" spans="1:22" s="79" customFormat="1" ht="36" customHeight="1" x14ac:dyDescent="0.5">
      <c r="A1421" s="79">
        <v>1</v>
      </c>
      <c r="B1421" s="85">
        <f>SUBTOTAL(103,$A$1026:A1421)</f>
        <v>343</v>
      </c>
      <c r="C1421" s="83" t="s">
        <v>1809</v>
      </c>
      <c r="D1421" s="233">
        <v>1984</v>
      </c>
      <c r="E1421" s="233"/>
      <c r="F1421" s="233" t="s">
        <v>1479</v>
      </c>
      <c r="G1421" s="233" t="s">
        <v>299</v>
      </c>
      <c r="H1421" s="233" t="s">
        <v>299</v>
      </c>
      <c r="I1421" s="234">
        <v>2064</v>
      </c>
      <c r="J1421" s="234">
        <v>2063.8000000000002</v>
      </c>
      <c r="K1421" s="234">
        <v>2063.8000000000002</v>
      </c>
      <c r="L1421" s="235">
        <v>80</v>
      </c>
      <c r="M1421" s="233" t="s">
        <v>254</v>
      </c>
      <c r="N1421" s="233" t="s">
        <v>258</v>
      </c>
      <c r="O1421" s="236" t="s">
        <v>276</v>
      </c>
      <c r="P1421" s="84">
        <v>9911062.9800000004</v>
      </c>
      <c r="Q1421" s="234">
        <v>0</v>
      </c>
      <c r="R1421" s="234">
        <v>0</v>
      </c>
      <c r="S1421" s="234">
        <v>0</v>
      </c>
      <c r="T1421" s="234">
        <f t="shared" si="283"/>
        <v>9911062.9800000004</v>
      </c>
      <c r="U1421" s="234">
        <f t="shared" si="264"/>
        <v>4801.8715988372096</v>
      </c>
      <c r="V1421" s="78">
        <v>6039.0990883720933</v>
      </c>
    </row>
    <row r="1422" spans="1:22" s="79" customFormat="1" ht="36" customHeight="1" x14ac:dyDescent="0.5">
      <c r="B1422" s="83" t="s">
        <v>798</v>
      </c>
      <c r="C1422" s="83"/>
      <c r="D1422" s="233" t="s">
        <v>835</v>
      </c>
      <c r="E1422" s="233" t="s">
        <v>835</v>
      </c>
      <c r="F1422" s="233" t="s">
        <v>835</v>
      </c>
      <c r="G1422" s="233" t="s">
        <v>835</v>
      </c>
      <c r="H1422" s="233" t="s">
        <v>835</v>
      </c>
      <c r="I1422" s="234">
        <f>SUM(I1423:I1424)</f>
        <v>1000.38</v>
      </c>
      <c r="J1422" s="234">
        <f t="shared" ref="J1422:L1422" si="284">SUM(J1423:J1424)</f>
        <v>951.35</v>
      </c>
      <c r="K1422" s="234">
        <f t="shared" si="284"/>
        <v>918.56999999999994</v>
      </c>
      <c r="L1422" s="235">
        <f t="shared" si="284"/>
        <v>53</v>
      </c>
      <c r="M1422" s="233" t="s">
        <v>835</v>
      </c>
      <c r="N1422" s="233" t="s">
        <v>835</v>
      </c>
      <c r="O1422" s="236" t="s">
        <v>835</v>
      </c>
      <c r="P1422" s="138">
        <v>8615110.0099999998</v>
      </c>
      <c r="Q1422" s="234">
        <f t="shared" ref="Q1422" si="285">SUM(Q1423:Q1424)</f>
        <v>0</v>
      </c>
      <c r="R1422" s="234">
        <f t="shared" ref="R1422" si="286">SUM(R1423:R1424)</f>
        <v>0</v>
      </c>
      <c r="S1422" s="234">
        <f t="shared" ref="S1422" si="287">SUM(S1423:S1424)</f>
        <v>0</v>
      </c>
      <c r="T1422" s="234">
        <f t="shared" ref="T1422" si="288">SUM(T1423:T1424)</f>
        <v>8615110.0099999998</v>
      </c>
      <c r="U1422" s="234">
        <f t="shared" si="264"/>
        <v>8611.8375117455362</v>
      </c>
      <c r="V1422" s="78">
        <f>MAX(V1423:V1424)</f>
        <v>11511.054953143635</v>
      </c>
    </row>
    <row r="1423" spans="1:22" s="79" customFormat="1" ht="36" customHeight="1" x14ac:dyDescent="0.5">
      <c r="A1423" s="79">
        <v>1</v>
      </c>
      <c r="B1423" s="85">
        <f>SUBTOTAL(103,$A$1026:A1423)</f>
        <v>344</v>
      </c>
      <c r="C1423" s="251" t="s">
        <v>2152</v>
      </c>
      <c r="D1423" s="233">
        <v>1989</v>
      </c>
      <c r="E1423" s="233"/>
      <c r="F1423" s="233" t="s">
        <v>256</v>
      </c>
      <c r="G1423" s="233">
        <v>2</v>
      </c>
      <c r="H1423" s="233">
        <v>1</v>
      </c>
      <c r="I1423" s="234">
        <v>413.48</v>
      </c>
      <c r="J1423" s="234">
        <v>413.48</v>
      </c>
      <c r="K1423" s="234">
        <v>380.7</v>
      </c>
      <c r="L1423" s="235">
        <v>19</v>
      </c>
      <c r="M1423" s="233" t="s">
        <v>254</v>
      </c>
      <c r="N1423" s="233" t="s">
        <v>258</v>
      </c>
      <c r="O1423" s="236" t="s">
        <v>1785</v>
      </c>
      <c r="P1423" s="84">
        <v>3615143.88</v>
      </c>
      <c r="Q1423" s="234">
        <v>0</v>
      </c>
      <c r="R1423" s="234">
        <v>0</v>
      </c>
      <c r="S1423" s="234">
        <v>0</v>
      </c>
      <c r="T1423" s="234">
        <f t="shared" ref="T1423:T1424" si="289">P1423-Q1423-R1423-S1423</f>
        <v>3615143.88</v>
      </c>
      <c r="U1423" s="234">
        <f t="shared" si="264"/>
        <v>8743.2134081454969</v>
      </c>
      <c r="V1423" s="78">
        <v>10640.942602302406</v>
      </c>
    </row>
    <row r="1424" spans="1:22" s="79" customFormat="1" ht="36" customHeight="1" x14ac:dyDescent="0.5">
      <c r="A1424" s="79">
        <v>1</v>
      </c>
      <c r="B1424" s="85">
        <f>SUBTOTAL(103,$A$1026:A1424)</f>
        <v>345</v>
      </c>
      <c r="C1424" s="83" t="s">
        <v>2164</v>
      </c>
      <c r="D1424" s="233">
        <v>1956</v>
      </c>
      <c r="E1424" s="233"/>
      <c r="F1424" s="233" t="s">
        <v>256</v>
      </c>
      <c r="G1424" s="233">
        <v>2</v>
      </c>
      <c r="H1424" s="233">
        <v>2</v>
      </c>
      <c r="I1424" s="234">
        <v>586.9</v>
      </c>
      <c r="J1424" s="234">
        <v>537.87</v>
      </c>
      <c r="K1424" s="234">
        <v>537.87</v>
      </c>
      <c r="L1424" s="235">
        <v>34</v>
      </c>
      <c r="M1424" s="233" t="s">
        <v>254</v>
      </c>
      <c r="N1424" s="233" t="s">
        <v>255</v>
      </c>
      <c r="O1424" s="236" t="s">
        <v>257</v>
      </c>
      <c r="P1424" s="84">
        <v>4999966.13</v>
      </c>
      <c r="Q1424" s="234">
        <v>0</v>
      </c>
      <c r="R1424" s="234">
        <v>0</v>
      </c>
      <c r="S1424" s="234">
        <v>0</v>
      </c>
      <c r="T1424" s="234">
        <f t="shared" si="289"/>
        <v>4999966.13</v>
      </c>
      <c r="U1424" s="234">
        <f t="shared" si="264"/>
        <v>8519.2811892997106</v>
      </c>
      <c r="V1424" s="78">
        <v>11511.054953143635</v>
      </c>
    </row>
    <row r="1425" spans="1:22" s="79" customFormat="1" ht="36" customHeight="1" x14ac:dyDescent="0.5">
      <c r="B1425" s="83" t="s">
        <v>799</v>
      </c>
      <c r="C1425" s="253"/>
      <c r="D1425" s="233" t="s">
        <v>835</v>
      </c>
      <c r="E1425" s="233" t="s">
        <v>835</v>
      </c>
      <c r="F1425" s="233" t="s">
        <v>835</v>
      </c>
      <c r="G1425" s="233" t="s">
        <v>835</v>
      </c>
      <c r="H1425" s="233" t="s">
        <v>835</v>
      </c>
      <c r="I1425" s="234">
        <f>I1426+I1427</f>
        <v>5101.2</v>
      </c>
      <c r="J1425" s="234">
        <f t="shared" ref="J1425:L1425" si="290">J1426+J1427</f>
        <v>4028.2</v>
      </c>
      <c r="K1425" s="234">
        <f t="shared" si="290"/>
        <v>3874</v>
      </c>
      <c r="L1425" s="235">
        <f t="shared" si="290"/>
        <v>130</v>
      </c>
      <c r="M1425" s="233" t="s">
        <v>835</v>
      </c>
      <c r="N1425" s="233" t="s">
        <v>835</v>
      </c>
      <c r="O1425" s="236" t="s">
        <v>835</v>
      </c>
      <c r="P1425" s="138">
        <v>8079201.3499999996</v>
      </c>
      <c r="Q1425" s="234">
        <f t="shared" ref="Q1425" si="291">Q1426+Q1427</f>
        <v>0</v>
      </c>
      <c r="R1425" s="234">
        <f t="shared" ref="R1425" si="292">R1426+R1427</f>
        <v>0</v>
      </c>
      <c r="S1425" s="234">
        <f t="shared" ref="S1425" si="293">S1426+S1427</f>
        <v>0</v>
      </c>
      <c r="T1425" s="234">
        <f t="shared" ref="T1425" si="294">T1426+T1427</f>
        <v>8079201.3499999996</v>
      </c>
      <c r="U1425" s="234">
        <f t="shared" si="264"/>
        <v>1583.7844722810319</v>
      </c>
      <c r="V1425" s="78">
        <f>MAX(V1426:V1427)</f>
        <v>5756.4419226532718</v>
      </c>
    </row>
    <row r="1426" spans="1:22" s="79" customFormat="1" ht="36" customHeight="1" x14ac:dyDescent="0.5">
      <c r="A1426" s="79">
        <v>1</v>
      </c>
      <c r="B1426" s="85">
        <f>SUBTOTAL(103,$A$1026:A1426)</f>
        <v>346</v>
      </c>
      <c r="C1426" s="251" t="s">
        <v>98</v>
      </c>
      <c r="D1426" s="233">
        <v>1985</v>
      </c>
      <c r="E1426" s="233"/>
      <c r="F1426" s="233" t="s">
        <v>256</v>
      </c>
      <c r="G1426" s="233">
        <v>3</v>
      </c>
      <c r="H1426" s="233" t="s">
        <v>299</v>
      </c>
      <c r="I1426" s="234">
        <v>1652.3</v>
      </c>
      <c r="J1426" s="234">
        <v>1505</v>
      </c>
      <c r="K1426" s="234">
        <v>1350.8</v>
      </c>
      <c r="L1426" s="235">
        <v>25</v>
      </c>
      <c r="M1426" s="233" t="s">
        <v>254</v>
      </c>
      <c r="N1426" s="233" t="s">
        <v>258</v>
      </c>
      <c r="O1426" s="236" t="s">
        <v>270</v>
      </c>
      <c r="P1426" s="84">
        <v>7948338.0699999994</v>
      </c>
      <c r="Q1426" s="234">
        <v>0</v>
      </c>
      <c r="R1426" s="234">
        <v>0</v>
      </c>
      <c r="S1426" s="234">
        <v>0</v>
      </c>
      <c r="T1426" s="234">
        <f t="shared" ref="T1426:T1427" si="295">P1426-Q1426-R1426-S1426</f>
        <v>7948338.0699999994</v>
      </c>
      <c r="U1426" s="234">
        <f t="shared" si="264"/>
        <v>4810.4690855171575</v>
      </c>
      <c r="V1426" s="78">
        <v>5756.4419226532718</v>
      </c>
    </row>
    <row r="1427" spans="1:22" s="79" customFormat="1" ht="36" customHeight="1" x14ac:dyDescent="0.5">
      <c r="A1427" s="79">
        <v>1</v>
      </c>
      <c r="B1427" s="85">
        <f>SUBTOTAL(103,$A$1026:A1427)</f>
        <v>347</v>
      </c>
      <c r="C1427" s="251" t="s">
        <v>99</v>
      </c>
      <c r="D1427" s="233">
        <v>1972</v>
      </c>
      <c r="E1427" s="233"/>
      <c r="F1427" s="233" t="s">
        <v>256</v>
      </c>
      <c r="G1427" s="233">
        <v>5</v>
      </c>
      <c r="H1427" s="233" t="s">
        <v>295</v>
      </c>
      <c r="I1427" s="234">
        <v>3448.9</v>
      </c>
      <c r="J1427" s="234">
        <v>2523.1999999999998</v>
      </c>
      <c r="K1427" s="234">
        <v>2523.1999999999998</v>
      </c>
      <c r="L1427" s="235">
        <v>105</v>
      </c>
      <c r="M1427" s="233" t="s">
        <v>254</v>
      </c>
      <c r="N1427" s="233" t="s">
        <v>258</v>
      </c>
      <c r="O1427" s="236" t="s">
        <v>268</v>
      </c>
      <c r="P1427" s="84">
        <v>130863.28</v>
      </c>
      <c r="Q1427" s="234">
        <v>0</v>
      </c>
      <c r="R1427" s="234">
        <v>0</v>
      </c>
      <c r="S1427" s="234">
        <v>0</v>
      </c>
      <c r="T1427" s="234">
        <f t="shared" si="295"/>
        <v>130863.28</v>
      </c>
      <c r="U1427" s="234">
        <f t="shared" si="264"/>
        <v>37.94348342949926</v>
      </c>
      <c r="V1427" s="78">
        <v>37.94348342949926</v>
      </c>
    </row>
    <row r="1428" spans="1:22" s="79" customFormat="1" ht="36" customHeight="1" x14ac:dyDescent="0.5">
      <c r="B1428" s="83" t="s">
        <v>826</v>
      </c>
      <c r="C1428" s="83"/>
      <c r="D1428" s="233" t="s">
        <v>835</v>
      </c>
      <c r="E1428" s="233" t="s">
        <v>835</v>
      </c>
      <c r="F1428" s="233" t="s">
        <v>835</v>
      </c>
      <c r="G1428" s="233" t="s">
        <v>835</v>
      </c>
      <c r="H1428" s="233" t="s">
        <v>835</v>
      </c>
      <c r="I1428" s="234">
        <f>I1429</f>
        <v>783.81</v>
      </c>
      <c r="J1428" s="234">
        <f t="shared" ref="J1428:L1428" si="296">J1429</f>
        <v>726</v>
      </c>
      <c r="K1428" s="234">
        <f t="shared" si="296"/>
        <v>668.19</v>
      </c>
      <c r="L1428" s="235">
        <f t="shared" si="296"/>
        <v>16</v>
      </c>
      <c r="M1428" s="233" t="s">
        <v>835</v>
      </c>
      <c r="N1428" s="233" t="s">
        <v>835</v>
      </c>
      <c r="O1428" s="236" t="s">
        <v>835</v>
      </c>
      <c r="P1428" s="138">
        <v>5421765.7599999998</v>
      </c>
      <c r="Q1428" s="234">
        <f>Q1429</f>
        <v>0</v>
      </c>
      <c r="R1428" s="234">
        <f t="shared" ref="R1428:T1428" si="297">R1429</f>
        <v>0</v>
      </c>
      <c r="S1428" s="234">
        <f t="shared" si="297"/>
        <v>0</v>
      </c>
      <c r="T1428" s="234">
        <f t="shared" si="297"/>
        <v>5421765.7599999998</v>
      </c>
      <c r="U1428" s="234">
        <f t="shared" si="264"/>
        <v>6917.1939117898473</v>
      </c>
      <c r="V1428" s="78">
        <f>V1429</f>
        <v>8908.706916216941</v>
      </c>
    </row>
    <row r="1429" spans="1:22" s="79" customFormat="1" ht="36" customHeight="1" x14ac:dyDescent="0.5">
      <c r="A1429" s="79">
        <v>1</v>
      </c>
      <c r="B1429" s="85">
        <f>SUBTOTAL(103,$A$1026:A1429)</f>
        <v>348</v>
      </c>
      <c r="C1429" s="251" t="s">
        <v>103</v>
      </c>
      <c r="D1429" s="233">
        <v>1968</v>
      </c>
      <c r="E1429" s="233"/>
      <c r="F1429" s="233" t="s">
        <v>256</v>
      </c>
      <c r="G1429" s="233">
        <v>2</v>
      </c>
      <c r="H1429" s="233" t="s">
        <v>290</v>
      </c>
      <c r="I1429" s="234">
        <v>783.81</v>
      </c>
      <c r="J1429" s="234">
        <v>726</v>
      </c>
      <c r="K1429" s="234">
        <v>668.19</v>
      </c>
      <c r="L1429" s="235">
        <v>16</v>
      </c>
      <c r="M1429" s="233" t="s">
        <v>254</v>
      </c>
      <c r="N1429" s="233" t="s">
        <v>258</v>
      </c>
      <c r="O1429" s="236" t="s">
        <v>270</v>
      </c>
      <c r="P1429" s="84">
        <v>5421765.7599999998</v>
      </c>
      <c r="Q1429" s="234">
        <v>0</v>
      </c>
      <c r="R1429" s="234">
        <v>0</v>
      </c>
      <c r="S1429" s="234">
        <v>0</v>
      </c>
      <c r="T1429" s="234">
        <f>P1429-Q1429-R1429-S1429</f>
        <v>5421765.7599999998</v>
      </c>
      <c r="U1429" s="234">
        <f t="shared" si="264"/>
        <v>6917.1939117898473</v>
      </c>
      <c r="V1429" s="78">
        <v>8908.706916216941</v>
      </c>
    </row>
    <row r="1430" spans="1:22" s="79" customFormat="1" ht="36" customHeight="1" x14ac:dyDescent="0.5">
      <c r="B1430" s="83" t="s">
        <v>800</v>
      </c>
      <c r="C1430" s="83"/>
      <c r="D1430" s="233" t="s">
        <v>835</v>
      </c>
      <c r="E1430" s="233" t="s">
        <v>835</v>
      </c>
      <c r="F1430" s="233" t="s">
        <v>835</v>
      </c>
      <c r="G1430" s="233" t="s">
        <v>835</v>
      </c>
      <c r="H1430" s="233" t="s">
        <v>835</v>
      </c>
      <c r="I1430" s="234">
        <f>I1431</f>
        <v>680.2</v>
      </c>
      <c r="J1430" s="234">
        <f t="shared" ref="J1430:L1430" si="298">J1431</f>
        <v>680.2</v>
      </c>
      <c r="K1430" s="234">
        <f t="shared" si="298"/>
        <v>617.70000000000005</v>
      </c>
      <c r="L1430" s="235">
        <f t="shared" si="298"/>
        <v>33</v>
      </c>
      <c r="M1430" s="233" t="s">
        <v>835</v>
      </c>
      <c r="N1430" s="233" t="s">
        <v>835</v>
      </c>
      <c r="O1430" s="236" t="s">
        <v>835</v>
      </c>
      <c r="P1430" s="138">
        <v>4541696.47</v>
      </c>
      <c r="Q1430" s="234">
        <f>Q1431</f>
        <v>0</v>
      </c>
      <c r="R1430" s="234">
        <f t="shared" ref="R1430:T1430" si="299">R1431</f>
        <v>0</v>
      </c>
      <c r="S1430" s="234">
        <f t="shared" si="299"/>
        <v>0</v>
      </c>
      <c r="T1430" s="234">
        <f t="shared" si="299"/>
        <v>4541696.47</v>
      </c>
      <c r="U1430" s="234">
        <f t="shared" si="264"/>
        <v>6677.0015730667446</v>
      </c>
      <c r="V1430" s="78">
        <f>V1431</f>
        <v>9890.3187344898543</v>
      </c>
    </row>
    <row r="1431" spans="1:22" s="79" customFormat="1" ht="36" customHeight="1" x14ac:dyDescent="0.5">
      <c r="A1431" s="79">
        <v>1</v>
      </c>
      <c r="B1431" s="85">
        <f>SUBTOTAL(103,$A$1026:A1431)</f>
        <v>349</v>
      </c>
      <c r="C1431" s="251" t="s">
        <v>100</v>
      </c>
      <c r="D1431" s="233">
        <v>1969</v>
      </c>
      <c r="E1431" s="233"/>
      <c r="F1431" s="233" t="s">
        <v>256</v>
      </c>
      <c r="G1431" s="233">
        <v>2</v>
      </c>
      <c r="H1431" s="233" t="s">
        <v>290</v>
      </c>
      <c r="I1431" s="234">
        <v>680.2</v>
      </c>
      <c r="J1431" s="234">
        <v>680.2</v>
      </c>
      <c r="K1431" s="234">
        <v>617.70000000000005</v>
      </c>
      <c r="L1431" s="235">
        <v>33</v>
      </c>
      <c r="M1431" s="233" t="s">
        <v>254</v>
      </c>
      <c r="N1431" s="233" t="s">
        <v>258</v>
      </c>
      <c r="O1431" s="236" t="s">
        <v>938</v>
      </c>
      <c r="P1431" s="84">
        <v>4541696.47</v>
      </c>
      <c r="Q1431" s="234">
        <v>0</v>
      </c>
      <c r="R1431" s="234">
        <v>0</v>
      </c>
      <c r="S1431" s="234">
        <v>0</v>
      </c>
      <c r="T1431" s="234">
        <f>P1431-Q1431-R1431-S1431</f>
        <v>4541696.47</v>
      </c>
      <c r="U1431" s="234">
        <f t="shared" si="264"/>
        <v>6677.0015730667446</v>
      </c>
      <c r="V1431" s="78">
        <v>9890.3187344898543</v>
      </c>
    </row>
    <row r="1432" spans="1:22" s="79" customFormat="1" ht="36" customHeight="1" x14ac:dyDescent="0.5">
      <c r="B1432" s="83" t="s">
        <v>801</v>
      </c>
      <c r="C1432" s="83"/>
      <c r="D1432" s="233" t="s">
        <v>835</v>
      </c>
      <c r="E1432" s="233" t="s">
        <v>835</v>
      </c>
      <c r="F1432" s="233" t="s">
        <v>835</v>
      </c>
      <c r="G1432" s="233" t="s">
        <v>835</v>
      </c>
      <c r="H1432" s="233" t="s">
        <v>835</v>
      </c>
      <c r="I1432" s="234">
        <f>SUM(I1433:I1434)</f>
        <v>646.4</v>
      </c>
      <c r="J1432" s="234">
        <f t="shared" ref="J1432:L1432" si="300">SUM(J1433:J1434)</f>
        <v>612.5</v>
      </c>
      <c r="K1432" s="234">
        <f t="shared" si="300"/>
        <v>546.1</v>
      </c>
      <c r="L1432" s="235">
        <f t="shared" si="300"/>
        <v>15</v>
      </c>
      <c r="M1432" s="233" t="s">
        <v>835</v>
      </c>
      <c r="N1432" s="233" t="s">
        <v>835</v>
      </c>
      <c r="O1432" s="236" t="s">
        <v>835</v>
      </c>
      <c r="P1432" s="138">
        <v>4488379.8199999994</v>
      </c>
      <c r="Q1432" s="234">
        <f t="shared" ref="Q1432" si="301">SUM(Q1433:Q1434)</f>
        <v>0</v>
      </c>
      <c r="R1432" s="234">
        <f t="shared" ref="R1432" si="302">SUM(R1433:R1434)</f>
        <v>0</v>
      </c>
      <c r="S1432" s="234">
        <f t="shared" ref="S1432" si="303">SUM(S1433:S1434)</f>
        <v>0</v>
      </c>
      <c r="T1432" s="234">
        <f t="shared" ref="T1432" si="304">SUM(T1433:T1434)</f>
        <v>4488379.8199999994</v>
      </c>
      <c r="U1432" s="234">
        <f t="shared" si="264"/>
        <v>6943.6568997524746</v>
      </c>
      <c r="V1432" s="78">
        <f>MAX(V1433:V1434)</f>
        <v>10582.958538993091</v>
      </c>
    </row>
    <row r="1433" spans="1:22" s="79" customFormat="1" ht="36" customHeight="1" x14ac:dyDescent="0.5">
      <c r="A1433" s="79">
        <v>1</v>
      </c>
      <c r="B1433" s="85">
        <f>SUBTOTAL(103,$A$1026:A1433)</f>
        <v>350</v>
      </c>
      <c r="C1433" s="251" t="s">
        <v>101</v>
      </c>
      <c r="D1433" s="233">
        <v>1966</v>
      </c>
      <c r="E1433" s="233"/>
      <c r="F1433" s="233" t="s">
        <v>256</v>
      </c>
      <c r="G1433" s="233">
        <v>2</v>
      </c>
      <c r="H1433" s="233" t="s">
        <v>291</v>
      </c>
      <c r="I1433" s="234">
        <v>342.5</v>
      </c>
      <c r="J1433" s="234">
        <v>308.7</v>
      </c>
      <c r="K1433" s="234">
        <v>273.8</v>
      </c>
      <c r="L1433" s="235">
        <v>7</v>
      </c>
      <c r="M1433" s="233" t="s">
        <v>254</v>
      </c>
      <c r="N1433" s="233" t="s">
        <v>258</v>
      </c>
      <c r="O1433" s="236" t="s">
        <v>270</v>
      </c>
      <c r="P1433" s="84">
        <v>2038841.14</v>
      </c>
      <c r="Q1433" s="234">
        <v>0</v>
      </c>
      <c r="R1433" s="234">
        <v>0</v>
      </c>
      <c r="S1433" s="234">
        <v>0</v>
      </c>
      <c r="T1433" s="234">
        <f t="shared" ref="T1433:T1434" si="305">P1433-Q1433-R1433-S1433</f>
        <v>2038841.14</v>
      </c>
      <c r="U1433" s="234">
        <f t="shared" si="264"/>
        <v>5952.8208467153281</v>
      </c>
      <c r="V1433" s="78">
        <v>9857.7828905109491</v>
      </c>
    </row>
    <row r="1434" spans="1:22" s="79" customFormat="1" ht="36" customHeight="1" x14ac:dyDescent="0.5">
      <c r="A1434" s="79">
        <v>1</v>
      </c>
      <c r="B1434" s="85">
        <f>SUBTOTAL(103,$A$1026:A1434)</f>
        <v>351</v>
      </c>
      <c r="C1434" s="251" t="s">
        <v>102</v>
      </c>
      <c r="D1434" s="233">
        <v>1970</v>
      </c>
      <c r="E1434" s="233"/>
      <c r="F1434" s="233" t="s">
        <v>256</v>
      </c>
      <c r="G1434" s="233">
        <v>2</v>
      </c>
      <c r="H1434" s="233" t="s">
        <v>290</v>
      </c>
      <c r="I1434" s="234">
        <v>303.89999999999998</v>
      </c>
      <c r="J1434" s="234">
        <v>303.8</v>
      </c>
      <c r="K1434" s="234">
        <v>272.3</v>
      </c>
      <c r="L1434" s="235">
        <v>8</v>
      </c>
      <c r="M1434" s="233" t="s">
        <v>254</v>
      </c>
      <c r="N1434" s="233" t="s">
        <v>258</v>
      </c>
      <c r="O1434" s="236" t="s">
        <v>270</v>
      </c>
      <c r="P1434" s="84">
        <v>2449538.6799999997</v>
      </c>
      <c r="Q1434" s="234">
        <v>0</v>
      </c>
      <c r="R1434" s="234">
        <v>0</v>
      </c>
      <c r="S1434" s="234">
        <v>0</v>
      </c>
      <c r="T1434" s="234">
        <f t="shared" si="305"/>
        <v>2449538.6799999997</v>
      </c>
      <c r="U1434" s="234">
        <f t="shared" si="264"/>
        <v>8060.3444554129646</v>
      </c>
      <c r="V1434" s="78">
        <v>10582.958538993091</v>
      </c>
    </row>
    <row r="1435" spans="1:22" s="79" customFormat="1" ht="36" customHeight="1" x14ac:dyDescent="0.5">
      <c r="B1435" s="83" t="s">
        <v>803</v>
      </c>
      <c r="C1435" s="253"/>
      <c r="D1435" s="233" t="s">
        <v>835</v>
      </c>
      <c r="E1435" s="233" t="s">
        <v>835</v>
      </c>
      <c r="F1435" s="233" t="s">
        <v>835</v>
      </c>
      <c r="G1435" s="233" t="s">
        <v>835</v>
      </c>
      <c r="H1435" s="233" t="s">
        <v>835</v>
      </c>
      <c r="I1435" s="234">
        <f>SUM(I1436:I1439)</f>
        <v>2387</v>
      </c>
      <c r="J1435" s="234">
        <f t="shared" ref="J1435:L1435" si="306">SUM(J1436:J1439)</f>
        <v>1931.5</v>
      </c>
      <c r="K1435" s="234">
        <f t="shared" si="306"/>
        <v>1770.1</v>
      </c>
      <c r="L1435" s="235">
        <f t="shared" si="306"/>
        <v>96</v>
      </c>
      <c r="M1435" s="233" t="s">
        <v>835</v>
      </c>
      <c r="N1435" s="233" t="s">
        <v>835</v>
      </c>
      <c r="O1435" s="236" t="s">
        <v>835</v>
      </c>
      <c r="P1435" s="138">
        <v>11422652.180000002</v>
      </c>
      <c r="Q1435" s="234">
        <f t="shared" ref="Q1435" si="307">SUM(Q1436:Q1439)</f>
        <v>0</v>
      </c>
      <c r="R1435" s="234">
        <f t="shared" ref="R1435" si="308">SUM(R1436:R1439)</f>
        <v>0</v>
      </c>
      <c r="S1435" s="234">
        <f t="shared" ref="S1435" si="309">SUM(S1436:S1439)</f>
        <v>0</v>
      </c>
      <c r="T1435" s="234">
        <f t="shared" ref="T1435" si="310">SUM(T1436:T1439)</f>
        <v>11422652.180000002</v>
      </c>
      <c r="U1435" s="234">
        <f t="shared" si="264"/>
        <v>4785.3591034771689</v>
      </c>
      <c r="V1435" s="78">
        <f>MAX(V1436:V1439)</f>
        <v>9627.5087026211586</v>
      </c>
    </row>
    <row r="1436" spans="1:22" s="79" customFormat="1" ht="36" customHeight="1" x14ac:dyDescent="0.5">
      <c r="A1436" s="79">
        <v>1</v>
      </c>
      <c r="B1436" s="85">
        <f>SUBTOTAL(103,$A$1026:A1436)</f>
        <v>352</v>
      </c>
      <c r="C1436" s="251" t="s">
        <v>185</v>
      </c>
      <c r="D1436" s="233" t="s">
        <v>300</v>
      </c>
      <c r="E1436" s="233"/>
      <c r="F1436" s="233" t="s">
        <v>256</v>
      </c>
      <c r="G1436" s="233" t="s">
        <v>290</v>
      </c>
      <c r="H1436" s="233" t="s">
        <v>290</v>
      </c>
      <c r="I1436" s="234">
        <v>945.6</v>
      </c>
      <c r="J1436" s="234">
        <v>572.29999999999995</v>
      </c>
      <c r="K1436" s="234">
        <v>513.5</v>
      </c>
      <c r="L1436" s="235">
        <v>21</v>
      </c>
      <c r="M1436" s="233" t="s">
        <v>254</v>
      </c>
      <c r="N1436" s="233" t="s">
        <v>255</v>
      </c>
      <c r="O1436" s="236" t="s">
        <v>257</v>
      </c>
      <c r="P1436" s="84">
        <v>4071293.75</v>
      </c>
      <c r="Q1436" s="234">
        <v>0</v>
      </c>
      <c r="R1436" s="234">
        <v>0</v>
      </c>
      <c r="S1436" s="234">
        <v>0</v>
      </c>
      <c r="T1436" s="234">
        <f t="shared" ref="T1436:T1439" si="311">P1436-Q1436-R1436-S1436</f>
        <v>4071293.75</v>
      </c>
      <c r="U1436" s="234">
        <f t="shared" si="264"/>
        <v>4305.5136950084598</v>
      </c>
      <c r="V1436" s="78">
        <v>6297.2162013536372</v>
      </c>
    </row>
    <row r="1437" spans="1:22" s="79" customFormat="1" ht="36" customHeight="1" x14ac:dyDescent="0.5">
      <c r="A1437" s="79">
        <v>1</v>
      </c>
      <c r="B1437" s="85">
        <f>SUBTOTAL(103,$A$1026:A1437)</f>
        <v>353</v>
      </c>
      <c r="C1437" s="251" t="s">
        <v>186</v>
      </c>
      <c r="D1437" s="233" t="s">
        <v>301</v>
      </c>
      <c r="E1437" s="233"/>
      <c r="F1437" s="233" t="s">
        <v>304</v>
      </c>
      <c r="G1437" s="233" t="s">
        <v>299</v>
      </c>
      <c r="H1437" s="233" t="s">
        <v>291</v>
      </c>
      <c r="I1437" s="234">
        <v>533.70000000000005</v>
      </c>
      <c r="J1437" s="234">
        <v>492.1</v>
      </c>
      <c r="K1437" s="234">
        <v>488.8</v>
      </c>
      <c r="L1437" s="235">
        <v>13</v>
      </c>
      <c r="M1437" s="233" t="s">
        <v>254</v>
      </c>
      <c r="N1437" s="233" t="s">
        <v>255</v>
      </c>
      <c r="O1437" s="236" t="s">
        <v>257</v>
      </c>
      <c r="P1437" s="84">
        <v>3565958.0700000003</v>
      </c>
      <c r="Q1437" s="234">
        <v>0</v>
      </c>
      <c r="R1437" s="234">
        <v>0</v>
      </c>
      <c r="S1437" s="234">
        <v>0</v>
      </c>
      <c r="T1437" s="234">
        <f t="shared" si="311"/>
        <v>3565958.0700000003</v>
      </c>
      <c r="U1437" s="234">
        <f t="shared" si="264"/>
        <v>6681.5777965148964</v>
      </c>
      <c r="V1437" s="78">
        <v>9278.6462619449121</v>
      </c>
    </row>
    <row r="1438" spans="1:22" s="79" customFormat="1" ht="36" customHeight="1" x14ac:dyDescent="0.5">
      <c r="A1438" s="79">
        <v>1</v>
      </c>
      <c r="B1438" s="85">
        <f>SUBTOTAL(103,$A$1026:A1438)</f>
        <v>354</v>
      </c>
      <c r="C1438" s="251" t="s">
        <v>187</v>
      </c>
      <c r="D1438" s="233">
        <v>1971</v>
      </c>
      <c r="E1438" s="233"/>
      <c r="F1438" s="233" t="s">
        <v>304</v>
      </c>
      <c r="G1438" s="233" t="s">
        <v>299</v>
      </c>
      <c r="H1438" s="233" t="s">
        <v>291</v>
      </c>
      <c r="I1438" s="234">
        <v>530.29999999999995</v>
      </c>
      <c r="J1438" s="234">
        <v>489.7</v>
      </c>
      <c r="K1438" s="234">
        <v>489.7</v>
      </c>
      <c r="L1438" s="235">
        <v>31</v>
      </c>
      <c r="M1438" s="233" t="s">
        <v>254</v>
      </c>
      <c r="N1438" s="233" t="s">
        <v>255</v>
      </c>
      <c r="O1438" s="236" t="s">
        <v>257</v>
      </c>
      <c r="P1438" s="84">
        <v>3603252.3</v>
      </c>
      <c r="Q1438" s="234">
        <v>0</v>
      </c>
      <c r="R1438" s="234">
        <v>0</v>
      </c>
      <c r="S1438" s="234">
        <v>0</v>
      </c>
      <c r="T1438" s="234">
        <f t="shared" si="311"/>
        <v>3603252.3</v>
      </c>
      <c r="U1438" s="234">
        <f t="shared" si="264"/>
        <v>6794.7431642466527</v>
      </c>
      <c r="V1438" s="78">
        <v>9627.5087026211586</v>
      </c>
    </row>
    <row r="1439" spans="1:22" s="79" customFormat="1" ht="36" customHeight="1" x14ac:dyDescent="0.5">
      <c r="A1439" s="79">
        <v>1</v>
      </c>
      <c r="B1439" s="85">
        <f>SUBTOTAL(103,$A$1026:A1439)</f>
        <v>355</v>
      </c>
      <c r="C1439" s="83" t="s">
        <v>181</v>
      </c>
      <c r="D1439" s="233" t="s">
        <v>289</v>
      </c>
      <c r="E1439" s="233"/>
      <c r="F1439" s="233" t="s">
        <v>256</v>
      </c>
      <c r="G1439" s="233" t="s">
        <v>290</v>
      </c>
      <c r="H1439" s="233" t="s">
        <v>291</v>
      </c>
      <c r="I1439" s="234">
        <v>377.4</v>
      </c>
      <c r="J1439" s="234">
        <v>377.4</v>
      </c>
      <c r="K1439" s="234">
        <v>278.10000000000002</v>
      </c>
      <c r="L1439" s="235">
        <v>31</v>
      </c>
      <c r="M1439" s="233" t="s">
        <v>254</v>
      </c>
      <c r="N1439" s="233" t="s">
        <v>255</v>
      </c>
      <c r="O1439" s="236" t="s">
        <v>257</v>
      </c>
      <c r="P1439" s="84">
        <v>182148.06</v>
      </c>
      <c r="Q1439" s="234">
        <v>0</v>
      </c>
      <c r="R1439" s="234">
        <v>0</v>
      </c>
      <c r="S1439" s="234">
        <v>0</v>
      </c>
      <c r="T1439" s="234">
        <f t="shared" si="311"/>
        <v>182148.06</v>
      </c>
      <c r="U1439" s="234">
        <f t="shared" si="264"/>
        <v>482.63926868044518</v>
      </c>
      <c r="V1439" s="78">
        <v>482.63926868044518</v>
      </c>
    </row>
    <row r="1440" spans="1:22" s="79" customFormat="1" ht="36" customHeight="1" x14ac:dyDescent="0.5">
      <c r="B1440" s="83" t="s">
        <v>804</v>
      </c>
      <c r="C1440" s="83"/>
      <c r="D1440" s="233" t="s">
        <v>835</v>
      </c>
      <c r="E1440" s="233" t="s">
        <v>835</v>
      </c>
      <c r="F1440" s="233" t="s">
        <v>835</v>
      </c>
      <c r="G1440" s="233" t="s">
        <v>835</v>
      </c>
      <c r="H1440" s="233" t="s">
        <v>835</v>
      </c>
      <c r="I1440" s="234">
        <f>SUM(I1441:I1443)</f>
        <v>2925.5</v>
      </c>
      <c r="J1440" s="234">
        <f t="shared" ref="J1440:L1440" si="312">SUM(J1441:J1443)</f>
        <v>2746.7</v>
      </c>
      <c r="K1440" s="234">
        <f t="shared" si="312"/>
        <v>2269</v>
      </c>
      <c r="L1440" s="235">
        <f t="shared" si="312"/>
        <v>127</v>
      </c>
      <c r="M1440" s="233" t="s">
        <v>835</v>
      </c>
      <c r="N1440" s="233" t="s">
        <v>835</v>
      </c>
      <c r="O1440" s="236" t="s">
        <v>835</v>
      </c>
      <c r="P1440" s="138">
        <v>12049556.799999999</v>
      </c>
      <c r="Q1440" s="234">
        <f t="shared" ref="Q1440" si="313">SUM(Q1441:Q1443)</f>
        <v>0</v>
      </c>
      <c r="R1440" s="234">
        <f t="shared" ref="R1440" si="314">SUM(R1441:R1443)</f>
        <v>0</v>
      </c>
      <c r="S1440" s="234">
        <f t="shared" ref="S1440" si="315">SUM(S1441:S1443)</f>
        <v>0</v>
      </c>
      <c r="T1440" s="234">
        <f t="shared" ref="T1440" si="316">SUM(T1441:T1443)</f>
        <v>12049556.799999999</v>
      </c>
      <c r="U1440" s="234">
        <f t="shared" si="264"/>
        <v>4118.8025294821391</v>
      </c>
      <c r="V1440" s="78">
        <f>MAX(V1441:V1443)</f>
        <v>10269.848445862999</v>
      </c>
    </row>
    <row r="1441" spans="1:22" s="79" customFormat="1" ht="36" customHeight="1" x14ac:dyDescent="0.5">
      <c r="A1441" s="79">
        <v>1</v>
      </c>
      <c r="B1441" s="85">
        <f>SUBTOTAL(103,$A$1026:A1441)</f>
        <v>356</v>
      </c>
      <c r="C1441" s="251" t="s">
        <v>1289</v>
      </c>
      <c r="D1441" s="233">
        <v>1950</v>
      </c>
      <c r="E1441" s="233"/>
      <c r="F1441" s="233" t="s">
        <v>256</v>
      </c>
      <c r="G1441" s="233">
        <v>2</v>
      </c>
      <c r="H1441" s="233" t="s">
        <v>290</v>
      </c>
      <c r="I1441" s="234">
        <v>814.6</v>
      </c>
      <c r="J1441" s="234">
        <v>814.6</v>
      </c>
      <c r="K1441" s="234">
        <v>336.9</v>
      </c>
      <c r="L1441" s="235">
        <v>26</v>
      </c>
      <c r="M1441" s="233" t="s">
        <v>254</v>
      </c>
      <c r="N1441" s="233" t="s">
        <v>258</v>
      </c>
      <c r="O1441" s="236" t="s">
        <v>1219</v>
      </c>
      <c r="P1441" s="84">
        <v>6993810.7199999997</v>
      </c>
      <c r="Q1441" s="234">
        <v>0</v>
      </c>
      <c r="R1441" s="234">
        <v>0</v>
      </c>
      <c r="S1441" s="234">
        <v>0</v>
      </c>
      <c r="T1441" s="234">
        <f t="shared" ref="T1441:T1443" si="317">P1441-Q1441-R1441-S1441</f>
        <v>6993810.7199999997</v>
      </c>
      <c r="U1441" s="234">
        <f t="shared" si="264"/>
        <v>8585.5766265651855</v>
      </c>
      <c r="V1441" s="78">
        <v>10269.848445862999</v>
      </c>
    </row>
    <row r="1442" spans="1:22" s="79" customFormat="1" ht="36" customHeight="1" x14ac:dyDescent="0.5">
      <c r="A1442" s="79">
        <v>1</v>
      </c>
      <c r="B1442" s="85">
        <f>SUBTOTAL(103,$A$1026:A1442)</f>
        <v>357</v>
      </c>
      <c r="C1442" s="83" t="s">
        <v>2153</v>
      </c>
      <c r="D1442" s="233">
        <v>1982</v>
      </c>
      <c r="E1442" s="233"/>
      <c r="F1442" s="233" t="s">
        <v>304</v>
      </c>
      <c r="G1442" s="233">
        <v>3</v>
      </c>
      <c r="H1442" s="233" t="s">
        <v>299</v>
      </c>
      <c r="I1442" s="234">
        <v>1492</v>
      </c>
      <c r="J1442" s="234">
        <v>1369.9</v>
      </c>
      <c r="K1442" s="234">
        <v>1369.9</v>
      </c>
      <c r="L1442" s="235">
        <v>70</v>
      </c>
      <c r="M1442" s="233" t="s">
        <v>254</v>
      </c>
      <c r="N1442" s="233" t="s">
        <v>255</v>
      </c>
      <c r="O1442" s="236" t="s">
        <v>257</v>
      </c>
      <c r="P1442" s="84">
        <v>2818559.34</v>
      </c>
      <c r="Q1442" s="234">
        <v>0</v>
      </c>
      <c r="R1442" s="234">
        <v>0</v>
      </c>
      <c r="S1442" s="234">
        <v>0</v>
      </c>
      <c r="T1442" s="234">
        <f t="shared" si="317"/>
        <v>2818559.34</v>
      </c>
      <c r="U1442" s="234">
        <f t="shared" si="264"/>
        <v>1889.1148391420911</v>
      </c>
      <c r="V1442" s="78">
        <v>4132.5747372654159</v>
      </c>
    </row>
    <row r="1443" spans="1:22" s="79" customFormat="1" ht="36" customHeight="1" x14ac:dyDescent="0.5">
      <c r="A1443" s="79">
        <v>1</v>
      </c>
      <c r="B1443" s="85">
        <f>SUBTOTAL(103,$A$1026:A1443)</f>
        <v>358</v>
      </c>
      <c r="C1443" s="83" t="s">
        <v>2895</v>
      </c>
      <c r="D1443" s="233">
        <v>1979</v>
      </c>
      <c r="E1443" s="233"/>
      <c r="F1443" s="233" t="s">
        <v>256</v>
      </c>
      <c r="G1443" s="233">
        <v>3</v>
      </c>
      <c r="H1443" s="233">
        <v>1</v>
      </c>
      <c r="I1443" s="234">
        <v>618.9</v>
      </c>
      <c r="J1443" s="234">
        <v>562.20000000000005</v>
      </c>
      <c r="K1443" s="234">
        <v>562.20000000000005</v>
      </c>
      <c r="L1443" s="235">
        <v>31</v>
      </c>
      <c r="M1443" s="233" t="s">
        <v>254</v>
      </c>
      <c r="N1443" s="233" t="s">
        <v>255</v>
      </c>
      <c r="O1443" s="236" t="s">
        <v>257</v>
      </c>
      <c r="P1443" s="84">
        <v>2237186.7399999998</v>
      </c>
      <c r="Q1443" s="234">
        <v>0</v>
      </c>
      <c r="R1443" s="234">
        <v>0</v>
      </c>
      <c r="S1443" s="234">
        <v>0</v>
      </c>
      <c r="T1443" s="234">
        <f t="shared" si="317"/>
        <v>2237186.7399999998</v>
      </c>
      <c r="U1443" s="234">
        <f t="shared" si="264"/>
        <v>3614.7790273065111</v>
      </c>
      <c r="V1443" s="78">
        <v>5540.7344139602519</v>
      </c>
    </row>
    <row r="1444" spans="1:22" s="79" customFormat="1" ht="36" customHeight="1" x14ac:dyDescent="0.5">
      <c r="B1444" s="83" t="s">
        <v>806</v>
      </c>
      <c r="C1444" s="83"/>
      <c r="D1444" s="233" t="s">
        <v>835</v>
      </c>
      <c r="E1444" s="233" t="s">
        <v>835</v>
      </c>
      <c r="F1444" s="233" t="s">
        <v>835</v>
      </c>
      <c r="G1444" s="233" t="s">
        <v>835</v>
      </c>
      <c r="H1444" s="233" t="s">
        <v>835</v>
      </c>
      <c r="I1444" s="234">
        <f>I1445</f>
        <v>1047.5</v>
      </c>
      <c r="J1444" s="234">
        <f t="shared" ref="J1444:L1444" si="318">J1445</f>
        <v>853.4</v>
      </c>
      <c r="K1444" s="234">
        <f t="shared" si="318"/>
        <v>853.4</v>
      </c>
      <c r="L1444" s="235">
        <f t="shared" si="318"/>
        <v>55</v>
      </c>
      <c r="M1444" s="233" t="s">
        <v>835</v>
      </c>
      <c r="N1444" s="233" t="s">
        <v>835</v>
      </c>
      <c r="O1444" s="236" t="s">
        <v>835</v>
      </c>
      <c r="P1444" s="138">
        <v>6123513.2999999998</v>
      </c>
      <c r="Q1444" s="234">
        <f t="shared" ref="Q1444" si="319">Q1445</f>
        <v>0</v>
      </c>
      <c r="R1444" s="234">
        <f t="shared" ref="R1444" si="320">R1445</f>
        <v>0</v>
      </c>
      <c r="S1444" s="234">
        <f t="shared" ref="S1444" si="321">S1445</f>
        <v>0</v>
      </c>
      <c r="T1444" s="234">
        <f t="shared" ref="T1444" si="322">T1445</f>
        <v>6123513.2999999998</v>
      </c>
      <c r="U1444" s="234">
        <f t="shared" si="264"/>
        <v>5845.8360859188542</v>
      </c>
      <c r="V1444" s="78">
        <f>V1445</f>
        <v>8308.7805326968992</v>
      </c>
    </row>
    <row r="1445" spans="1:22" s="79" customFormat="1" ht="36" customHeight="1" x14ac:dyDescent="0.5">
      <c r="A1445" s="79">
        <v>1</v>
      </c>
      <c r="B1445" s="85">
        <f>SUBTOTAL(103,$A$1026:A1445)</f>
        <v>359</v>
      </c>
      <c r="C1445" s="251" t="s">
        <v>2143</v>
      </c>
      <c r="D1445" s="233">
        <v>1982</v>
      </c>
      <c r="E1445" s="233"/>
      <c r="F1445" s="233" t="s">
        <v>256</v>
      </c>
      <c r="G1445" s="233">
        <v>2</v>
      </c>
      <c r="H1445" s="233">
        <v>3</v>
      </c>
      <c r="I1445" s="234">
        <v>1047.5</v>
      </c>
      <c r="J1445" s="234">
        <v>853.4</v>
      </c>
      <c r="K1445" s="234">
        <v>853.4</v>
      </c>
      <c r="L1445" s="235">
        <v>55</v>
      </c>
      <c r="M1445" s="233" t="s">
        <v>254</v>
      </c>
      <c r="N1445" s="233" t="s">
        <v>255</v>
      </c>
      <c r="O1445" s="236" t="s">
        <v>257</v>
      </c>
      <c r="P1445" s="84">
        <v>6123513.2999999998</v>
      </c>
      <c r="Q1445" s="234">
        <v>0</v>
      </c>
      <c r="R1445" s="234">
        <v>0</v>
      </c>
      <c r="S1445" s="234">
        <v>0</v>
      </c>
      <c r="T1445" s="234">
        <f>P1445-Q1445-R1445-S1445</f>
        <v>6123513.2999999998</v>
      </c>
      <c r="U1445" s="234">
        <f t="shared" si="264"/>
        <v>5845.8360859188542</v>
      </c>
      <c r="V1445" s="78">
        <v>8308.7805326968992</v>
      </c>
    </row>
    <row r="1446" spans="1:22" s="79" customFormat="1" ht="36" customHeight="1" x14ac:dyDescent="0.5">
      <c r="B1446" s="83" t="s">
        <v>825</v>
      </c>
      <c r="C1446" s="83"/>
      <c r="D1446" s="233" t="s">
        <v>835</v>
      </c>
      <c r="E1446" s="233" t="s">
        <v>835</v>
      </c>
      <c r="F1446" s="233" t="s">
        <v>835</v>
      </c>
      <c r="G1446" s="233" t="s">
        <v>835</v>
      </c>
      <c r="H1446" s="233" t="s">
        <v>835</v>
      </c>
      <c r="I1446" s="234">
        <f>I1447</f>
        <v>626</v>
      </c>
      <c r="J1446" s="234">
        <f t="shared" ref="J1446:L1446" si="323">J1447</f>
        <v>626</v>
      </c>
      <c r="K1446" s="234">
        <f t="shared" si="323"/>
        <v>423.7</v>
      </c>
      <c r="L1446" s="235">
        <f t="shared" si="323"/>
        <v>31</v>
      </c>
      <c r="M1446" s="233" t="s">
        <v>835</v>
      </c>
      <c r="N1446" s="233" t="s">
        <v>835</v>
      </c>
      <c r="O1446" s="236" t="s">
        <v>835</v>
      </c>
      <c r="P1446" s="138">
        <v>5301825.74</v>
      </c>
      <c r="Q1446" s="234">
        <f>Q1447</f>
        <v>0</v>
      </c>
      <c r="R1446" s="234">
        <f t="shared" ref="R1446:T1446" si="324">R1447</f>
        <v>0</v>
      </c>
      <c r="S1446" s="234">
        <f t="shared" si="324"/>
        <v>0</v>
      </c>
      <c r="T1446" s="234">
        <f t="shared" si="324"/>
        <v>5301825.74</v>
      </c>
      <c r="U1446" s="234">
        <f t="shared" si="264"/>
        <v>8469.3701916932914</v>
      </c>
      <c r="V1446" s="78">
        <f>V1447</f>
        <v>9860.795629392971</v>
      </c>
    </row>
    <row r="1447" spans="1:22" s="79" customFormat="1" ht="36" customHeight="1" x14ac:dyDescent="0.5">
      <c r="A1447" s="79">
        <v>1</v>
      </c>
      <c r="B1447" s="85">
        <f>SUBTOTAL(103,$A$1026:A1447)</f>
        <v>360</v>
      </c>
      <c r="C1447" s="251" t="s">
        <v>188</v>
      </c>
      <c r="D1447" s="233" t="s">
        <v>302</v>
      </c>
      <c r="E1447" s="233"/>
      <c r="F1447" s="233" t="s">
        <v>256</v>
      </c>
      <c r="G1447" s="233" t="s">
        <v>290</v>
      </c>
      <c r="H1447" s="233" t="s">
        <v>290</v>
      </c>
      <c r="I1447" s="234">
        <v>626</v>
      </c>
      <c r="J1447" s="234">
        <v>626</v>
      </c>
      <c r="K1447" s="234">
        <v>423.7</v>
      </c>
      <c r="L1447" s="235">
        <v>31</v>
      </c>
      <c r="M1447" s="233" t="s">
        <v>254</v>
      </c>
      <c r="N1447" s="233" t="s">
        <v>258</v>
      </c>
      <c r="O1447" s="236" t="s">
        <v>932</v>
      </c>
      <c r="P1447" s="84">
        <v>5301825.74</v>
      </c>
      <c r="Q1447" s="234">
        <v>0</v>
      </c>
      <c r="R1447" s="234">
        <v>0</v>
      </c>
      <c r="S1447" s="234">
        <v>0</v>
      </c>
      <c r="T1447" s="234">
        <f>P1447-Q1447-R1447-S1447</f>
        <v>5301825.74</v>
      </c>
      <c r="U1447" s="234">
        <f t="shared" si="264"/>
        <v>8469.3701916932914</v>
      </c>
      <c r="V1447" s="78">
        <v>9860.795629392971</v>
      </c>
    </row>
    <row r="1448" spans="1:22" s="79" customFormat="1" ht="36" customHeight="1" x14ac:dyDescent="0.5">
      <c r="B1448" s="83" t="s">
        <v>807</v>
      </c>
      <c r="C1448" s="253"/>
      <c r="D1448" s="233" t="s">
        <v>835</v>
      </c>
      <c r="E1448" s="233" t="s">
        <v>835</v>
      </c>
      <c r="F1448" s="233" t="s">
        <v>835</v>
      </c>
      <c r="G1448" s="233" t="s">
        <v>835</v>
      </c>
      <c r="H1448" s="233" t="s">
        <v>835</v>
      </c>
      <c r="I1448" s="234">
        <f>SUM(I1449:I1453)</f>
        <v>7563.4</v>
      </c>
      <c r="J1448" s="234">
        <f t="shared" ref="J1448:L1448" si="325">SUM(J1449:J1453)</f>
        <v>6956.7</v>
      </c>
      <c r="K1448" s="234">
        <f t="shared" si="325"/>
        <v>6540.7</v>
      </c>
      <c r="L1448" s="235">
        <f t="shared" si="325"/>
        <v>295</v>
      </c>
      <c r="M1448" s="233" t="s">
        <v>835</v>
      </c>
      <c r="N1448" s="233" t="s">
        <v>835</v>
      </c>
      <c r="O1448" s="236" t="s">
        <v>835</v>
      </c>
      <c r="P1448" s="138">
        <v>34358625.82</v>
      </c>
      <c r="Q1448" s="84">
        <f t="shared" ref="Q1448:T1448" si="326">SUM(Q1449:Q1453)</f>
        <v>0</v>
      </c>
      <c r="R1448" s="84">
        <f t="shared" si="326"/>
        <v>0</v>
      </c>
      <c r="S1448" s="84">
        <f t="shared" si="326"/>
        <v>0</v>
      </c>
      <c r="T1448" s="84">
        <f t="shared" si="326"/>
        <v>34358625.82</v>
      </c>
      <c r="U1448" s="234">
        <f t="shared" si="264"/>
        <v>4542.7487399846632</v>
      </c>
      <c r="V1448" s="78">
        <f>MAX(V1449:V1453)</f>
        <v>9075.9043298969063</v>
      </c>
    </row>
    <row r="1449" spans="1:22" s="79" customFormat="1" ht="36" customHeight="1" x14ac:dyDescent="0.5">
      <c r="A1449" s="79">
        <v>1</v>
      </c>
      <c r="B1449" s="85">
        <f>SUBTOTAL(103,$A$1026:A1449)</f>
        <v>361</v>
      </c>
      <c r="C1449" s="251" t="s">
        <v>202</v>
      </c>
      <c r="D1449" s="233">
        <v>1977</v>
      </c>
      <c r="E1449" s="233"/>
      <c r="F1449" s="233" t="s">
        <v>256</v>
      </c>
      <c r="G1449" s="233">
        <v>3</v>
      </c>
      <c r="H1449" s="233" t="s">
        <v>299</v>
      </c>
      <c r="I1449" s="234">
        <v>1967.4</v>
      </c>
      <c r="J1449" s="234">
        <v>1817.2</v>
      </c>
      <c r="K1449" s="234">
        <v>1817.2</v>
      </c>
      <c r="L1449" s="235">
        <v>61</v>
      </c>
      <c r="M1449" s="233" t="s">
        <v>254</v>
      </c>
      <c r="N1449" s="233" t="s">
        <v>258</v>
      </c>
      <c r="O1449" s="236" t="s">
        <v>318</v>
      </c>
      <c r="P1449" s="84">
        <v>8548823.0999999996</v>
      </c>
      <c r="Q1449" s="234">
        <v>0</v>
      </c>
      <c r="R1449" s="234">
        <v>0</v>
      </c>
      <c r="S1449" s="234">
        <v>0</v>
      </c>
      <c r="T1449" s="234">
        <f t="shared" ref="T1449:T1453" si="327">P1449-Q1449-R1449-S1449</f>
        <v>8548823.0999999996</v>
      </c>
      <c r="U1449" s="234">
        <f t="shared" si="264"/>
        <v>4345.2389448002432</v>
      </c>
      <c r="V1449" s="78">
        <v>5738.787028565619</v>
      </c>
    </row>
    <row r="1450" spans="1:22" s="79" customFormat="1" ht="36" customHeight="1" x14ac:dyDescent="0.5">
      <c r="A1450" s="79">
        <v>1</v>
      </c>
      <c r="B1450" s="85">
        <f>SUBTOTAL(103,$A$1026:A1450)</f>
        <v>362</v>
      </c>
      <c r="C1450" s="251" t="s">
        <v>203</v>
      </c>
      <c r="D1450" s="233">
        <v>1989</v>
      </c>
      <c r="E1450" s="233"/>
      <c r="F1450" s="233" t="s">
        <v>256</v>
      </c>
      <c r="G1450" s="233">
        <v>3</v>
      </c>
      <c r="H1450" s="233" t="s">
        <v>290</v>
      </c>
      <c r="I1450" s="234">
        <v>1426.9</v>
      </c>
      <c r="J1450" s="234">
        <v>1319.7</v>
      </c>
      <c r="K1450" s="234">
        <v>1318.5</v>
      </c>
      <c r="L1450" s="235">
        <v>59</v>
      </c>
      <c r="M1450" s="233" t="s">
        <v>254</v>
      </c>
      <c r="N1450" s="233" t="s">
        <v>258</v>
      </c>
      <c r="O1450" s="236" t="s">
        <v>318</v>
      </c>
      <c r="P1450" s="84">
        <v>7482088.54</v>
      </c>
      <c r="Q1450" s="234">
        <v>0</v>
      </c>
      <c r="R1450" s="234">
        <v>0</v>
      </c>
      <c r="S1450" s="234">
        <v>0</v>
      </c>
      <c r="T1450" s="234">
        <f t="shared" si="327"/>
        <v>7482088.54</v>
      </c>
      <c r="U1450" s="234">
        <f t="shared" si="264"/>
        <v>5243.5969864741746</v>
      </c>
      <c r="V1450" s="78">
        <v>6130.7437045343049</v>
      </c>
    </row>
    <row r="1451" spans="1:22" s="79" customFormat="1" ht="36" customHeight="1" x14ac:dyDescent="0.5">
      <c r="A1451" s="79">
        <v>1</v>
      </c>
      <c r="B1451" s="85">
        <f>SUBTOTAL(103,$A$1026:A1451)</f>
        <v>363</v>
      </c>
      <c r="C1451" s="251" t="s">
        <v>204</v>
      </c>
      <c r="D1451" s="233">
        <v>1972</v>
      </c>
      <c r="E1451" s="233"/>
      <c r="F1451" s="233" t="s">
        <v>256</v>
      </c>
      <c r="G1451" s="233">
        <v>3</v>
      </c>
      <c r="H1451" s="233" t="s">
        <v>299</v>
      </c>
      <c r="I1451" s="234">
        <v>1583.1</v>
      </c>
      <c r="J1451" s="234">
        <v>1476.8</v>
      </c>
      <c r="K1451" s="234">
        <v>1476.8</v>
      </c>
      <c r="L1451" s="235">
        <v>60</v>
      </c>
      <c r="M1451" s="233" t="s">
        <v>254</v>
      </c>
      <c r="N1451" s="233" t="s">
        <v>258</v>
      </c>
      <c r="O1451" s="236" t="s">
        <v>318</v>
      </c>
      <c r="P1451" s="84">
        <v>8298272.0899999999</v>
      </c>
      <c r="Q1451" s="234">
        <v>0</v>
      </c>
      <c r="R1451" s="234">
        <v>0</v>
      </c>
      <c r="S1451" s="234">
        <v>0</v>
      </c>
      <c r="T1451" s="234">
        <f t="shared" si="327"/>
        <v>8298272.0899999999</v>
      </c>
      <c r="U1451" s="234">
        <f t="shared" si="264"/>
        <v>5241.7864253679491</v>
      </c>
      <c r="V1451" s="78">
        <v>6243.8295243509574</v>
      </c>
    </row>
    <row r="1452" spans="1:22" s="79" customFormat="1" ht="36" customHeight="1" x14ac:dyDescent="0.5">
      <c r="A1452" s="79">
        <v>1</v>
      </c>
      <c r="B1452" s="85">
        <f>SUBTOTAL(103,$A$1026:A1452)</f>
        <v>364</v>
      </c>
      <c r="C1452" s="83" t="s">
        <v>200</v>
      </c>
      <c r="D1452" s="233">
        <v>1938</v>
      </c>
      <c r="E1452" s="233"/>
      <c r="F1452" s="233" t="s">
        <v>256</v>
      </c>
      <c r="G1452" s="233">
        <v>3</v>
      </c>
      <c r="H1452" s="233" t="s">
        <v>295</v>
      </c>
      <c r="I1452" s="234">
        <v>1645.1</v>
      </c>
      <c r="J1452" s="234">
        <v>1444.2</v>
      </c>
      <c r="K1452" s="234">
        <v>1029.4000000000001</v>
      </c>
      <c r="L1452" s="235">
        <v>58</v>
      </c>
      <c r="M1452" s="233" t="s">
        <v>254</v>
      </c>
      <c r="N1452" s="233" t="s">
        <v>255</v>
      </c>
      <c r="O1452" s="236" t="s">
        <v>257</v>
      </c>
      <c r="P1452" s="84">
        <v>4826376.5200000005</v>
      </c>
      <c r="Q1452" s="234">
        <v>0</v>
      </c>
      <c r="R1452" s="234">
        <v>0</v>
      </c>
      <c r="S1452" s="234">
        <v>0</v>
      </c>
      <c r="T1452" s="234">
        <f t="shared" si="327"/>
        <v>4826376.5200000005</v>
      </c>
      <c r="U1452" s="234">
        <f t="shared" si="264"/>
        <v>2933.7891435171118</v>
      </c>
      <c r="V1452" s="78">
        <v>6046.1291641845482</v>
      </c>
    </row>
    <row r="1453" spans="1:22" s="79" customFormat="1" ht="36" customHeight="1" x14ac:dyDescent="0.5">
      <c r="A1453" s="79">
        <v>1</v>
      </c>
      <c r="B1453" s="85">
        <f>SUBTOTAL(103,$A$1026:A1453)</f>
        <v>365</v>
      </c>
      <c r="C1453" s="83" t="s">
        <v>2301</v>
      </c>
      <c r="D1453" s="233">
        <v>1969</v>
      </c>
      <c r="E1453" s="233"/>
      <c r="F1453" s="233" t="s">
        <v>256</v>
      </c>
      <c r="G1453" s="233">
        <v>2</v>
      </c>
      <c r="H1453" s="233">
        <v>3</v>
      </c>
      <c r="I1453" s="234">
        <v>940.9</v>
      </c>
      <c r="J1453" s="234">
        <v>898.8</v>
      </c>
      <c r="K1453" s="234">
        <v>898.8</v>
      </c>
      <c r="L1453" s="235">
        <v>57</v>
      </c>
      <c r="M1453" s="233" t="s">
        <v>254</v>
      </c>
      <c r="N1453" s="233" t="s">
        <v>258</v>
      </c>
      <c r="O1453" s="236" t="s">
        <v>1221</v>
      </c>
      <c r="P1453" s="84">
        <v>5203065.57</v>
      </c>
      <c r="Q1453" s="234">
        <v>0</v>
      </c>
      <c r="R1453" s="234">
        <v>0</v>
      </c>
      <c r="S1453" s="234">
        <v>0</v>
      </c>
      <c r="T1453" s="234">
        <f t="shared" si="327"/>
        <v>5203065.57</v>
      </c>
      <c r="U1453" s="234">
        <f t="shared" si="264"/>
        <v>5529.8815708364336</v>
      </c>
      <c r="V1453" s="78">
        <v>9075.9043298969063</v>
      </c>
    </row>
    <row r="1454" spans="1:22" s="79" customFormat="1" ht="36" customHeight="1" x14ac:dyDescent="0.5">
      <c r="B1454" s="83" t="s">
        <v>808</v>
      </c>
      <c r="C1454" s="83"/>
      <c r="D1454" s="233" t="s">
        <v>835</v>
      </c>
      <c r="E1454" s="233" t="s">
        <v>835</v>
      </c>
      <c r="F1454" s="233" t="s">
        <v>835</v>
      </c>
      <c r="G1454" s="233" t="s">
        <v>835</v>
      </c>
      <c r="H1454" s="233" t="s">
        <v>835</v>
      </c>
      <c r="I1454" s="234">
        <f>SUM(I1455:I1456)</f>
        <v>1790.5</v>
      </c>
      <c r="J1454" s="234">
        <f t="shared" ref="J1454:L1454" si="328">SUM(J1455:J1456)</f>
        <v>1645.1999999999998</v>
      </c>
      <c r="K1454" s="234">
        <f t="shared" si="328"/>
        <v>1645.1999999999998</v>
      </c>
      <c r="L1454" s="235">
        <f t="shared" si="328"/>
        <v>72</v>
      </c>
      <c r="M1454" s="233" t="s">
        <v>835</v>
      </c>
      <c r="N1454" s="233" t="s">
        <v>835</v>
      </c>
      <c r="O1454" s="236" t="s">
        <v>835</v>
      </c>
      <c r="P1454" s="138">
        <v>6153361.1899999995</v>
      </c>
      <c r="Q1454" s="234">
        <f t="shared" ref="Q1454" si="329">SUM(Q1455:Q1456)</f>
        <v>0</v>
      </c>
      <c r="R1454" s="234">
        <f t="shared" ref="R1454" si="330">SUM(R1455:R1456)</f>
        <v>0</v>
      </c>
      <c r="S1454" s="234">
        <f t="shared" ref="S1454" si="331">SUM(S1455:S1456)</f>
        <v>0</v>
      </c>
      <c r="T1454" s="234">
        <f t="shared" ref="T1454" si="332">SUM(T1455:T1456)</f>
        <v>6153361.1899999995</v>
      </c>
      <c r="U1454" s="234">
        <f t="shared" si="264"/>
        <v>3436.6719854789162</v>
      </c>
      <c r="V1454" s="78">
        <f>MAX(V1455:V1456)</f>
        <v>8695.2152394220848</v>
      </c>
    </row>
    <row r="1455" spans="1:22" s="79" customFormat="1" ht="36" customHeight="1" x14ac:dyDescent="0.5">
      <c r="A1455" s="79">
        <v>1</v>
      </c>
      <c r="B1455" s="85">
        <f>SUBTOTAL(103,$A$1026:A1455)</f>
        <v>366</v>
      </c>
      <c r="C1455" s="251" t="s">
        <v>210</v>
      </c>
      <c r="D1455" s="233">
        <v>1974</v>
      </c>
      <c r="E1455" s="233"/>
      <c r="F1455" s="233" t="s">
        <v>256</v>
      </c>
      <c r="G1455" s="233">
        <v>2</v>
      </c>
      <c r="H1455" s="233" t="s">
        <v>290</v>
      </c>
      <c r="I1455" s="234">
        <v>775.2</v>
      </c>
      <c r="J1455" s="234">
        <v>715.9</v>
      </c>
      <c r="K1455" s="234">
        <v>715.9</v>
      </c>
      <c r="L1455" s="235">
        <v>35</v>
      </c>
      <c r="M1455" s="233" t="s">
        <v>254</v>
      </c>
      <c r="N1455" s="233" t="s">
        <v>255</v>
      </c>
      <c r="O1455" s="236" t="s">
        <v>257</v>
      </c>
      <c r="P1455" s="84">
        <v>3819418.38</v>
      </c>
      <c r="Q1455" s="234">
        <v>0</v>
      </c>
      <c r="R1455" s="234">
        <v>0</v>
      </c>
      <c r="S1455" s="234">
        <v>0</v>
      </c>
      <c r="T1455" s="234">
        <f t="shared" ref="T1455:T1456" si="333">P1455-Q1455-R1455-S1455</f>
        <v>3819418.38</v>
      </c>
      <c r="U1455" s="234">
        <f t="shared" si="264"/>
        <v>4927.0102941176465</v>
      </c>
      <c r="V1455" s="78">
        <v>8695.2152394220848</v>
      </c>
    </row>
    <row r="1456" spans="1:22" s="79" customFormat="1" ht="36" customHeight="1" x14ac:dyDescent="0.5">
      <c r="A1456" s="79">
        <v>1</v>
      </c>
      <c r="B1456" s="85">
        <f>SUBTOTAL(103,$A$1026:A1456)</f>
        <v>367</v>
      </c>
      <c r="C1456" s="83" t="s">
        <v>214</v>
      </c>
      <c r="D1456" s="233">
        <v>1978</v>
      </c>
      <c r="E1456" s="233"/>
      <c r="F1456" s="233" t="s">
        <v>298</v>
      </c>
      <c r="G1456" s="233">
        <v>3</v>
      </c>
      <c r="H1456" s="233" t="s">
        <v>290</v>
      </c>
      <c r="I1456" s="234">
        <v>1015.3</v>
      </c>
      <c r="J1456" s="234">
        <v>929.3</v>
      </c>
      <c r="K1456" s="234">
        <v>929.3</v>
      </c>
      <c r="L1456" s="235">
        <v>37</v>
      </c>
      <c r="M1456" s="233" t="s">
        <v>254</v>
      </c>
      <c r="N1456" s="233" t="s">
        <v>258</v>
      </c>
      <c r="O1456" s="236" t="s">
        <v>318</v>
      </c>
      <c r="P1456" s="84">
        <v>2333942.81</v>
      </c>
      <c r="Q1456" s="234">
        <v>0</v>
      </c>
      <c r="R1456" s="234">
        <v>0</v>
      </c>
      <c r="S1456" s="234">
        <v>0</v>
      </c>
      <c r="T1456" s="234">
        <f t="shared" si="333"/>
        <v>2333942.81</v>
      </c>
      <c r="U1456" s="234">
        <f t="shared" si="264"/>
        <v>2298.7716044518861</v>
      </c>
      <c r="V1456" s="78">
        <v>4726.3395347188025</v>
      </c>
    </row>
    <row r="1457" spans="2:22" s="23" customFormat="1" ht="84" customHeight="1" x14ac:dyDescent="0.25">
      <c r="B1457" s="335" t="s">
        <v>1565</v>
      </c>
      <c r="C1457" s="336"/>
      <c r="D1457" s="336"/>
      <c r="E1457" s="336"/>
      <c r="F1457" s="336"/>
      <c r="G1457" s="336"/>
      <c r="H1457" s="336"/>
      <c r="I1457" s="336"/>
      <c r="J1457" s="336"/>
      <c r="K1457" s="336"/>
      <c r="L1457" s="336"/>
      <c r="M1457" s="336"/>
      <c r="N1457" s="336"/>
      <c r="O1457" s="336"/>
      <c r="P1457" s="336"/>
      <c r="Q1457" s="336"/>
      <c r="R1457" s="336"/>
      <c r="S1457" s="336"/>
      <c r="T1457" s="336"/>
      <c r="U1457" s="336"/>
      <c r="V1457" s="337"/>
    </row>
    <row r="1458" spans="2:22" s="23" customFormat="1" ht="33.75" customHeight="1" x14ac:dyDescent="0.25">
      <c r="B1458" s="338" t="s">
        <v>2297</v>
      </c>
      <c r="C1458" s="339"/>
      <c r="D1458" s="233" t="s">
        <v>835</v>
      </c>
      <c r="E1458" s="233" t="s">
        <v>835</v>
      </c>
      <c r="F1458" s="236" t="s">
        <v>835</v>
      </c>
      <c r="G1458" s="233" t="s">
        <v>835</v>
      </c>
      <c r="H1458" s="233" t="s">
        <v>835</v>
      </c>
      <c r="I1458" s="234">
        <f>I1459+I1466</f>
        <v>21082.42</v>
      </c>
      <c r="J1458" s="234">
        <f t="shared" ref="J1458:L1458" si="334">J1459+J1466</f>
        <v>17002.82</v>
      </c>
      <c r="K1458" s="234">
        <f t="shared" si="334"/>
        <v>16883.620000000003</v>
      </c>
      <c r="L1458" s="245">
        <f t="shared" si="334"/>
        <v>808</v>
      </c>
      <c r="M1458" s="233" t="s">
        <v>835</v>
      </c>
      <c r="N1458" s="233" t="s">
        <v>835</v>
      </c>
      <c r="O1458" s="233" t="s">
        <v>835</v>
      </c>
      <c r="P1458" s="234">
        <f>P1459+P1466</f>
        <v>69010531.859999999</v>
      </c>
      <c r="Q1458" s="234">
        <f t="shared" ref="Q1458:T1458" si="335">Q1459+Q1466</f>
        <v>0</v>
      </c>
      <c r="R1458" s="234">
        <f t="shared" si="335"/>
        <v>52120621.590000004</v>
      </c>
      <c r="S1458" s="234">
        <f t="shared" si="335"/>
        <v>4612657.6999999993</v>
      </c>
      <c r="T1458" s="234">
        <f t="shared" si="335"/>
        <v>12277252.57</v>
      </c>
      <c r="U1458" s="78">
        <f>P1458/I1458</f>
        <v>3273.3686104346657</v>
      </c>
      <c r="V1458" s="78">
        <f>MAX(V1459:V1474)</f>
        <v>9096.7999999999993</v>
      </c>
    </row>
    <row r="1459" spans="2:22" s="23" customFormat="1" ht="33.75" customHeight="1" x14ac:dyDescent="0.25">
      <c r="B1459" s="338" t="s">
        <v>1562</v>
      </c>
      <c r="C1459" s="339"/>
      <c r="D1459" s="233" t="s">
        <v>835</v>
      </c>
      <c r="E1459" s="233" t="s">
        <v>835</v>
      </c>
      <c r="F1459" s="236" t="s">
        <v>835</v>
      </c>
      <c r="G1459" s="233" t="s">
        <v>835</v>
      </c>
      <c r="H1459" s="233" t="s">
        <v>835</v>
      </c>
      <c r="I1459" s="234">
        <f>I1460+I1464+I1462</f>
        <v>3182.5</v>
      </c>
      <c r="J1459" s="234">
        <f>J1460+J1464+J1462</f>
        <v>2963.5</v>
      </c>
      <c r="K1459" s="234">
        <f>K1460+K1464+K1462</f>
        <v>2844.3</v>
      </c>
      <c r="L1459" s="245">
        <f>L1460+L1464+L1462</f>
        <v>134</v>
      </c>
      <c r="M1459" s="233" t="s">
        <v>835</v>
      </c>
      <c r="N1459" s="233" t="s">
        <v>835</v>
      </c>
      <c r="O1459" s="233" t="s">
        <v>835</v>
      </c>
      <c r="P1459" s="237">
        <f>P1460+P1462+P1464</f>
        <v>7034201.7300000004</v>
      </c>
      <c r="Q1459" s="234">
        <f t="shared" ref="Q1459:S1459" si="336">Q1460+Q1462+Q1464</f>
        <v>0</v>
      </c>
      <c r="R1459" s="234">
        <f t="shared" si="336"/>
        <v>4599545.3899999997</v>
      </c>
      <c r="S1459" s="234">
        <f t="shared" si="336"/>
        <v>1178018</v>
      </c>
      <c r="T1459" s="234">
        <f>T1460+T1464+T1462</f>
        <v>1256638.3399999999</v>
      </c>
      <c r="U1459" s="78">
        <f t="shared" ref="U1459:U1465" si="337">P1459/I1459</f>
        <v>2210.2754846818539</v>
      </c>
      <c r="V1459" s="78">
        <f>MAX(V1460:V1465)</f>
        <v>8635.7082437619956</v>
      </c>
    </row>
    <row r="1460" spans="2:22" s="23" customFormat="1" ht="33.75" customHeight="1" x14ac:dyDescent="0.25">
      <c r="B1460" s="77" t="s">
        <v>807</v>
      </c>
      <c r="C1460" s="251"/>
      <c r="D1460" s="233" t="s">
        <v>835</v>
      </c>
      <c r="E1460" s="233" t="s">
        <v>835</v>
      </c>
      <c r="F1460" s="236" t="s">
        <v>835</v>
      </c>
      <c r="G1460" s="233" t="s">
        <v>835</v>
      </c>
      <c r="H1460" s="233" t="s">
        <v>835</v>
      </c>
      <c r="I1460" s="234">
        <f>SUM(I1461:I1461)</f>
        <v>522.9</v>
      </c>
      <c r="J1460" s="234">
        <f>SUM(J1461:J1461)</f>
        <v>463.3</v>
      </c>
      <c r="K1460" s="234">
        <f>SUM(K1461:K1461)</f>
        <v>463.3</v>
      </c>
      <c r="L1460" s="245">
        <f>SUM(L1461:L1461)</f>
        <v>31</v>
      </c>
      <c r="M1460" s="233" t="s">
        <v>835</v>
      </c>
      <c r="N1460" s="233" t="s">
        <v>835</v>
      </c>
      <c r="O1460" s="233" t="s">
        <v>835</v>
      </c>
      <c r="P1460" s="237">
        <f>P1461</f>
        <v>1836114.4000000001</v>
      </c>
      <c r="Q1460" s="234">
        <f t="shared" ref="Q1460:T1460" si="338">Q1461</f>
        <v>0</v>
      </c>
      <c r="R1460" s="234">
        <f t="shared" si="338"/>
        <v>1280871.46</v>
      </c>
      <c r="S1460" s="234">
        <f t="shared" si="338"/>
        <v>337986.60000000003</v>
      </c>
      <c r="T1460" s="234">
        <f t="shared" si="338"/>
        <v>217256.34</v>
      </c>
      <c r="U1460" s="78">
        <f t="shared" si="337"/>
        <v>3511.4063874545805</v>
      </c>
      <c r="V1460" s="78">
        <f>V1461</f>
        <v>7742.0848345764025</v>
      </c>
    </row>
    <row r="1461" spans="2:22" s="23" customFormat="1" ht="33.75" customHeight="1" x14ac:dyDescent="0.25">
      <c r="B1461" s="80">
        <v>1</v>
      </c>
      <c r="C1461" s="251" t="s">
        <v>1561</v>
      </c>
      <c r="D1461" s="233">
        <v>1964</v>
      </c>
      <c r="E1461" s="233"/>
      <c r="F1461" s="236" t="s">
        <v>256</v>
      </c>
      <c r="G1461" s="233">
        <v>2</v>
      </c>
      <c r="H1461" s="233">
        <v>2</v>
      </c>
      <c r="I1461" s="234">
        <v>522.9</v>
      </c>
      <c r="J1461" s="234">
        <v>463.3</v>
      </c>
      <c r="K1461" s="234">
        <v>463.3</v>
      </c>
      <c r="L1461" s="245">
        <v>31</v>
      </c>
      <c r="M1461" s="233" t="s">
        <v>254</v>
      </c>
      <c r="N1461" s="233" t="s">
        <v>258</v>
      </c>
      <c r="O1461" s="233" t="s">
        <v>318</v>
      </c>
      <c r="P1461" s="234">
        <v>1836114.4000000001</v>
      </c>
      <c r="Q1461" s="78">
        <v>0</v>
      </c>
      <c r="R1461" s="234">
        <v>1280871.46</v>
      </c>
      <c r="S1461" s="234">
        <v>337986.60000000003</v>
      </c>
      <c r="T1461" s="234">
        <v>217256.34</v>
      </c>
      <c r="U1461" s="78">
        <f t="shared" si="337"/>
        <v>3511.4063874545805</v>
      </c>
      <c r="V1461" s="78">
        <v>7742.0848345764025</v>
      </c>
    </row>
    <row r="1462" spans="2:22" s="23" customFormat="1" ht="33.75" customHeight="1" x14ac:dyDescent="0.25">
      <c r="B1462" s="77" t="s">
        <v>760</v>
      </c>
      <c r="C1462" s="251"/>
      <c r="D1462" s="233" t="s">
        <v>835</v>
      </c>
      <c r="E1462" s="233" t="s">
        <v>835</v>
      </c>
      <c r="F1462" s="236" t="s">
        <v>835</v>
      </c>
      <c r="G1462" s="233" t="s">
        <v>835</v>
      </c>
      <c r="H1462" s="233" t="s">
        <v>835</v>
      </c>
      <c r="I1462" s="234">
        <f>SUM(I1463:I1463)</f>
        <v>1826</v>
      </c>
      <c r="J1462" s="234">
        <f>SUM(J1463:J1463)</f>
        <v>1718</v>
      </c>
      <c r="K1462" s="234">
        <f>SUM(K1463:K1463)</f>
        <v>1598.8</v>
      </c>
      <c r="L1462" s="245">
        <f>SUM(L1463:L1463)</f>
        <v>73</v>
      </c>
      <c r="M1462" s="233" t="s">
        <v>835</v>
      </c>
      <c r="N1462" s="233" t="s">
        <v>835</v>
      </c>
      <c r="O1462" s="267" t="s">
        <v>835</v>
      </c>
      <c r="P1462" s="237">
        <f>P1463</f>
        <v>2643881</v>
      </c>
      <c r="Q1462" s="234">
        <f t="shared" ref="Q1462:T1462" si="339">Q1463</f>
        <v>0</v>
      </c>
      <c r="R1462" s="234">
        <f t="shared" si="339"/>
        <v>1592309.05</v>
      </c>
      <c r="S1462" s="234">
        <f t="shared" si="339"/>
        <v>407533.88</v>
      </c>
      <c r="T1462" s="234">
        <f t="shared" si="339"/>
        <v>644038.06999999995</v>
      </c>
      <c r="U1462" s="78">
        <f t="shared" si="337"/>
        <v>1447.9085432639649</v>
      </c>
      <c r="V1462" s="78">
        <f>V1463</f>
        <v>3516.0289156626509</v>
      </c>
    </row>
    <row r="1463" spans="2:22" s="23" customFormat="1" ht="33.75" customHeight="1" x14ac:dyDescent="0.25">
      <c r="B1463" s="80">
        <v>2</v>
      </c>
      <c r="C1463" s="251" t="s">
        <v>1580</v>
      </c>
      <c r="D1463" s="233">
        <v>1975</v>
      </c>
      <c r="E1463" s="233"/>
      <c r="F1463" s="236" t="s">
        <v>256</v>
      </c>
      <c r="G1463" s="233">
        <v>4</v>
      </c>
      <c r="H1463" s="233">
        <v>2</v>
      </c>
      <c r="I1463" s="234">
        <v>1826</v>
      </c>
      <c r="J1463" s="234">
        <v>1718</v>
      </c>
      <c r="K1463" s="234">
        <v>1598.8</v>
      </c>
      <c r="L1463" s="245">
        <v>73</v>
      </c>
      <c r="M1463" s="233" t="s">
        <v>254</v>
      </c>
      <c r="N1463" s="233" t="s">
        <v>327</v>
      </c>
      <c r="O1463" s="233" t="s">
        <v>1581</v>
      </c>
      <c r="P1463" s="234">
        <v>2643881</v>
      </c>
      <c r="Q1463" s="78">
        <v>0</v>
      </c>
      <c r="R1463" s="234">
        <v>1592309.05</v>
      </c>
      <c r="S1463" s="234">
        <v>407533.88</v>
      </c>
      <c r="T1463" s="234">
        <v>644038.06999999995</v>
      </c>
      <c r="U1463" s="78">
        <f t="shared" si="337"/>
        <v>1447.9085432639649</v>
      </c>
      <c r="V1463" s="78">
        <v>3516.0289156626509</v>
      </c>
    </row>
    <row r="1464" spans="2:22" s="23" customFormat="1" ht="33.75" customHeight="1" x14ac:dyDescent="0.25">
      <c r="B1464" s="77" t="s">
        <v>831</v>
      </c>
      <c r="C1464" s="251"/>
      <c r="D1464" s="233" t="s">
        <v>835</v>
      </c>
      <c r="E1464" s="233" t="s">
        <v>835</v>
      </c>
      <c r="F1464" s="236" t="s">
        <v>835</v>
      </c>
      <c r="G1464" s="233" t="s">
        <v>835</v>
      </c>
      <c r="H1464" s="233" t="s">
        <v>835</v>
      </c>
      <c r="I1464" s="234">
        <f>SUM(I1465:I1465)</f>
        <v>833.6</v>
      </c>
      <c r="J1464" s="234">
        <f>SUM(J1465:J1465)</f>
        <v>782.2</v>
      </c>
      <c r="K1464" s="234">
        <f>SUM(K1465:K1465)</f>
        <v>782.2</v>
      </c>
      <c r="L1464" s="245">
        <f>SUM(L1465:L1465)</f>
        <v>30</v>
      </c>
      <c r="M1464" s="233" t="s">
        <v>835</v>
      </c>
      <c r="N1464" s="233" t="s">
        <v>835</v>
      </c>
      <c r="O1464" s="233" t="s">
        <v>835</v>
      </c>
      <c r="P1464" s="237">
        <f>P1465</f>
        <v>2554206.3299999996</v>
      </c>
      <c r="Q1464" s="234">
        <f t="shared" ref="Q1464:T1464" si="340">Q1465</f>
        <v>0</v>
      </c>
      <c r="R1464" s="234">
        <f t="shared" si="340"/>
        <v>1726364.88</v>
      </c>
      <c r="S1464" s="234">
        <f t="shared" si="340"/>
        <v>432497.52</v>
      </c>
      <c r="T1464" s="234">
        <f t="shared" si="340"/>
        <v>395343.93</v>
      </c>
      <c r="U1464" s="78">
        <f t="shared" si="337"/>
        <v>3064.0670945297497</v>
      </c>
      <c r="V1464" s="78">
        <f>V1465</f>
        <v>8635.7082437619956</v>
      </c>
    </row>
    <row r="1465" spans="2:22" s="23" customFormat="1" ht="33.75" customHeight="1" x14ac:dyDescent="0.25">
      <c r="B1465" s="80">
        <v>3</v>
      </c>
      <c r="C1465" s="251" t="s">
        <v>3</v>
      </c>
      <c r="D1465" s="233">
        <v>1988</v>
      </c>
      <c r="E1465" s="233"/>
      <c r="F1465" s="236" t="s">
        <v>256</v>
      </c>
      <c r="G1465" s="233">
        <v>2</v>
      </c>
      <c r="H1465" s="233">
        <v>3</v>
      </c>
      <c r="I1465" s="234">
        <v>833.6</v>
      </c>
      <c r="J1465" s="234">
        <v>782.2</v>
      </c>
      <c r="K1465" s="234">
        <v>782.2</v>
      </c>
      <c r="L1465" s="245">
        <v>30</v>
      </c>
      <c r="M1465" s="233" t="s">
        <v>254</v>
      </c>
      <c r="N1465" s="233" t="s">
        <v>255</v>
      </c>
      <c r="O1465" s="233" t="s">
        <v>257</v>
      </c>
      <c r="P1465" s="234">
        <v>2554206.3299999996</v>
      </c>
      <c r="Q1465" s="78">
        <v>0</v>
      </c>
      <c r="R1465" s="234">
        <v>1726364.88</v>
      </c>
      <c r="S1465" s="234">
        <v>432497.52</v>
      </c>
      <c r="T1465" s="234">
        <v>395343.93</v>
      </c>
      <c r="U1465" s="78">
        <f t="shared" si="337"/>
        <v>3064.0670945297497</v>
      </c>
      <c r="V1465" s="78">
        <v>8635.7082437619956</v>
      </c>
    </row>
    <row r="1466" spans="2:22" s="23" customFormat="1" ht="33.75" customHeight="1" x14ac:dyDescent="0.25">
      <c r="B1466" s="77" t="s">
        <v>2968</v>
      </c>
      <c r="C1466" s="251"/>
      <c r="D1466" s="233" t="s">
        <v>835</v>
      </c>
      <c r="E1466" s="233" t="s">
        <v>835</v>
      </c>
      <c r="F1466" s="236" t="s">
        <v>835</v>
      </c>
      <c r="G1466" s="233" t="s">
        <v>835</v>
      </c>
      <c r="H1466" s="233" t="s">
        <v>835</v>
      </c>
      <c r="I1466" s="234">
        <f>I1467+I1469+I1471+I1473+I1478+I1480+I1482</f>
        <v>17899.919999999998</v>
      </c>
      <c r="J1466" s="234">
        <f t="shared" ref="J1466:L1466" si="341">J1467+J1469+J1471+J1473+J1478+J1480+J1482</f>
        <v>14039.320000000002</v>
      </c>
      <c r="K1466" s="234">
        <f t="shared" si="341"/>
        <v>14039.320000000002</v>
      </c>
      <c r="L1466" s="268">
        <f t="shared" si="341"/>
        <v>674</v>
      </c>
      <c r="M1466" s="233" t="s">
        <v>835</v>
      </c>
      <c r="N1466" s="233" t="s">
        <v>835</v>
      </c>
      <c r="O1466" s="233" t="s">
        <v>835</v>
      </c>
      <c r="P1466" s="237">
        <f>P1467+P1469+P1471+P1473+P1478+P1480+P1482</f>
        <v>61976330.129999995</v>
      </c>
      <c r="Q1466" s="234">
        <f t="shared" ref="Q1466:S1466" si="342">Q1467+Q1469+Q1471+Q1473+Q1478+Q1480+Q1482</f>
        <v>0</v>
      </c>
      <c r="R1466" s="234">
        <f t="shared" si="342"/>
        <v>47521076.200000003</v>
      </c>
      <c r="S1466" s="234">
        <f t="shared" si="342"/>
        <v>3434639.6999999997</v>
      </c>
      <c r="T1466" s="234">
        <f>T1467+T1469+T1471+T1473+T1478+T1480+T1482</f>
        <v>11020614.23</v>
      </c>
      <c r="U1466" s="78">
        <f t="shared" ref="U1466:U1472" si="343">P1466/I1466</f>
        <v>3462.3802860571445</v>
      </c>
      <c r="V1466" s="78">
        <f>MAX(V1467:V1483)</f>
        <v>9096.7999999999993</v>
      </c>
    </row>
    <row r="1467" spans="2:22" s="23" customFormat="1" ht="33.75" customHeight="1" x14ac:dyDescent="0.25">
      <c r="B1467" s="77" t="s">
        <v>792</v>
      </c>
      <c r="C1467" s="251"/>
      <c r="D1467" s="233" t="s">
        <v>835</v>
      </c>
      <c r="E1467" s="233" t="s">
        <v>835</v>
      </c>
      <c r="F1467" s="236" t="s">
        <v>835</v>
      </c>
      <c r="G1467" s="233" t="s">
        <v>835</v>
      </c>
      <c r="H1467" s="233" t="s">
        <v>835</v>
      </c>
      <c r="I1467" s="234">
        <f>I1468</f>
        <v>944.3</v>
      </c>
      <c r="J1467" s="234">
        <f t="shared" ref="J1467:L1467" si="344">J1468</f>
        <v>862.6</v>
      </c>
      <c r="K1467" s="234">
        <f t="shared" si="344"/>
        <v>862.6</v>
      </c>
      <c r="L1467" s="268">
        <f t="shared" si="344"/>
        <v>39</v>
      </c>
      <c r="M1467" s="233" t="s">
        <v>835</v>
      </c>
      <c r="N1467" s="233" t="s">
        <v>835</v>
      </c>
      <c r="O1467" s="233" t="s">
        <v>835</v>
      </c>
      <c r="P1467" s="237">
        <v>4993771.54</v>
      </c>
      <c r="Q1467" s="234">
        <f>Q1468</f>
        <v>0</v>
      </c>
      <c r="R1467" s="234">
        <f>R1468</f>
        <v>4155579.88</v>
      </c>
      <c r="S1467" s="234">
        <f t="shared" ref="S1467:T1467" si="345">S1468</f>
        <v>259441.49</v>
      </c>
      <c r="T1467" s="234">
        <f t="shared" si="345"/>
        <v>578750.17000000004</v>
      </c>
      <c r="U1467" s="78">
        <f t="shared" si="343"/>
        <v>5288.331610716933</v>
      </c>
      <c r="V1467" s="78">
        <f>V1468</f>
        <v>9096.7999999999993</v>
      </c>
    </row>
    <row r="1468" spans="2:22" s="23" customFormat="1" ht="33.75" customHeight="1" x14ac:dyDescent="0.25">
      <c r="B1468" s="80">
        <v>1</v>
      </c>
      <c r="C1468" s="251" t="s">
        <v>3219</v>
      </c>
      <c r="D1468" s="233">
        <v>1983</v>
      </c>
      <c r="E1468" s="233"/>
      <c r="F1468" s="236" t="s">
        <v>1263</v>
      </c>
      <c r="G1468" s="233">
        <v>2</v>
      </c>
      <c r="H1468" s="233">
        <v>3</v>
      </c>
      <c r="I1468" s="234">
        <v>944.3</v>
      </c>
      <c r="J1468" s="234">
        <v>862.6</v>
      </c>
      <c r="K1468" s="234">
        <v>862.6</v>
      </c>
      <c r="L1468" s="269">
        <v>39</v>
      </c>
      <c r="M1468" s="233" t="s">
        <v>254</v>
      </c>
      <c r="N1468" s="233" t="s">
        <v>255</v>
      </c>
      <c r="O1468" s="233" t="s">
        <v>257</v>
      </c>
      <c r="P1468" s="234">
        <v>4993771.54</v>
      </c>
      <c r="Q1468" s="78">
        <v>0</v>
      </c>
      <c r="R1468" s="234">
        <v>4155579.88</v>
      </c>
      <c r="S1468" s="234">
        <v>259441.49</v>
      </c>
      <c r="T1468" s="234">
        <v>578750.17000000004</v>
      </c>
      <c r="U1468" s="78">
        <f t="shared" si="343"/>
        <v>5288.331610716933</v>
      </c>
      <c r="V1468" s="78">
        <v>9096.7999999999993</v>
      </c>
    </row>
    <row r="1469" spans="2:22" s="23" customFormat="1" ht="33.75" customHeight="1" x14ac:dyDescent="0.25">
      <c r="B1469" s="77" t="s">
        <v>825</v>
      </c>
      <c r="C1469" s="251"/>
      <c r="D1469" s="233" t="s">
        <v>835</v>
      </c>
      <c r="E1469" s="233" t="s">
        <v>835</v>
      </c>
      <c r="F1469" s="236" t="s">
        <v>835</v>
      </c>
      <c r="G1469" s="233" t="s">
        <v>835</v>
      </c>
      <c r="H1469" s="233" t="s">
        <v>835</v>
      </c>
      <c r="I1469" s="234">
        <f>I1470</f>
        <v>632.5</v>
      </c>
      <c r="J1469" s="234">
        <f t="shared" ref="J1469:L1469" si="346">J1470</f>
        <v>600</v>
      </c>
      <c r="K1469" s="234">
        <f t="shared" si="346"/>
        <v>600</v>
      </c>
      <c r="L1469" s="268">
        <f t="shared" si="346"/>
        <v>38</v>
      </c>
      <c r="M1469" s="233" t="s">
        <v>835</v>
      </c>
      <c r="N1469" s="233" t="s">
        <v>835</v>
      </c>
      <c r="O1469" s="233" t="s">
        <v>835</v>
      </c>
      <c r="P1469" s="237">
        <v>3474547</v>
      </c>
      <c r="Q1469" s="234">
        <f>Q1470</f>
        <v>0</v>
      </c>
      <c r="R1469" s="234">
        <f>R1470</f>
        <v>2446137.1800000002</v>
      </c>
      <c r="S1469" s="234">
        <f t="shared" ref="S1469:T1469" si="347">S1470</f>
        <v>626493.32999999996</v>
      </c>
      <c r="T1469" s="234">
        <f t="shared" si="347"/>
        <v>401916.48999999987</v>
      </c>
      <c r="U1469" s="78">
        <f t="shared" si="343"/>
        <v>5493.3549407114624</v>
      </c>
      <c r="V1469" s="78">
        <f>V1470</f>
        <v>8219.2900000000009</v>
      </c>
    </row>
    <row r="1470" spans="2:22" s="23" customFormat="1" ht="33.75" customHeight="1" x14ac:dyDescent="0.25">
      <c r="B1470" s="80">
        <v>2</v>
      </c>
      <c r="C1470" s="251" t="s">
        <v>3220</v>
      </c>
      <c r="D1470" s="233">
        <v>1963</v>
      </c>
      <c r="E1470" s="233"/>
      <c r="F1470" s="236" t="s">
        <v>1263</v>
      </c>
      <c r="G1470" s="233">
        <v>2</v>
      </c>
      <c r="H1470" s="233">
        <v>2</v>
      </c>
      <c r="I1470" s="234">
        <v>632.5</v>
      </c>
      <c r="J1470" s="234">
        <v>600</v>
      </c>
      <c r="K1470" s="234">
        <v>600</v>
      </c>
      <c r="L1470" s="269">
        <v>38</v>
      </c>
      <c r="M1470" s="233" t="s">
        <v>254</v>
      </c>
      <c r="N1470" s="233" t="s">
        <v>258</v>
      </c>
      <c r="O1470" s="233" t="s">
        <v>2695</v>
      </c>
      <c r="P1470" s="234">
        <v>3474547</v>
      </c>
      <c r="Q1470" s="78">
        <v>0</v>
      </c>
      <c r="R1470" s="234">
        <v>2446137.1800000002</v>
      </c>
      <c r="S1470" s="234">
        <v>626493.32999999996</v>
      </c>
      <c r="T1470" s="234">
        <v>401916.48999999987</v>
      </c>
      <c r="U1470" s="78">
        <f t="shared" si="343"/>
        <v>5493.3549407114624</v>
      </c>
      <c r="V1470" s="78">
        <v>8219.2900000000009</v>
      </c>
    </row>
    <row r="1471" spans="2:22" s="23" customFormat="1" ht="33.75" customHeight="1" x14ac:dyDescent="0.25">
      <c r="B1471" s="77" t="s">
        <v>785</v>
      </c>
      <c r="C1471" s="251"/>
      <c r="D1471" s="233" t="s">
        <v>835</v>
      </c>
      <c r="E1471" s="233" t="s">
        <v>835</v>
      </c>
      <c r="F1471" s="236" t="s">
        <v>835</v>
      </c>
      <c r="G1471" s="233" t="s">
        <v>835</v>
      </c>
      <c r="H1471" s="233" t="s">
        <v>835</v>
      </c>
      <c r="I1471" s="234">
        <f>I1472</f>
        <v>2401.8000000000002</v>
      </c>
      <c r="J1471" s="234">
        <f t="shared" ref="J1471:L1471" si="348">J1472</f>
        <v>2026.1</v>
      </c>
      <c r="K1471" s="234">
        <f t="shared" si="348"/>
        <v>2026.1</v>
      </c>
      <c r="L1471" s="268">
        <f t="shared" si="348"/>
        <v>128</v>
      </c>
      <c r="M1471" s="233" t="s">
        <v>835</v>
      </c>
      <c r="N1471" s="233" t="s">
        <v>835</v>
      </c>
      <c r="O1471" s="233" t="s">
        <v>835</v>
      </c>
      <c r="P1471" s="237">
        <v>7909707.2699999996</v>
      </c>
      <c r="Q1471" s="234">
        <f>Q1472</f>
        <v>0</v>
      </c>
      <c r="R1471" s="234">
        <f>R1472</f>
        <v>6047833.8799999999</v>
      </c>
      <c r="S1471" s="234">
        <f t="shared" ref="S1471:T1471" si="349">S1472</f>
        <v>373487.51</v>
      </c>
      <c r="T1471" s="234">
        <f t="shared" si="349"/>
        <v>1488385.8799999997</v>
      </c>
      <c r="U1471" s="78">
        <f t="shared" si="343"/>
        <v>3293.2414314264297</v>
      </c>
      <c r="V1471" s="78">
        <f>V1472</f>
        <v>4637.5600000000004</v>
      </c>
    </row>
    <row r="1472" spans="2:22" s="23" customFormat="1" ht="33.75" customHeight="1" x14ac:dyDescent="0.25">
      <c r="B1472" s="80">
        <v>3</v>
      </c>
      <c r="C1472" s="251" t="s">
        <v>3221</v>
      </c>
      <c r="D1472" s="233">
        <v>1991</v>
      </c>
      <c r="E1472" s="233"/>
      <c r="F1472" s="236" t="s">
        <v>1263</v>
      </c>
      <c r="G1472" s="233">
        <v>4</v>
      </c>
      <c r="H1472" s="233">
        <v>2</v>
      </c>
      <c r="I1472" s="234">
        <v>2401.8000000000002</v>
      </c>
      <c r="J1472" s="234">
        <v>2026.1</v>
      </c>
      <c r="K1472" s="234">
        <v>2026.1</v>
      </c>
      <c r="L1472" s="269">
        <v>128</v>
      </c>
      <c r="M1472" s="233" t="s">
        <v>254</v>
      </c>
      <c r="N1472" s="233" t="s">
        <v>258</v>
      </c>
      <c r="O1472" s="233" t="s">
        <v>3222</v>
      </c>
      <c r="P1472" s="234">
        <v>7909707.2699999996</v>
      </c>
      <c r="Q1472" s="78">
        <v>0</v>
      </c>
      <c r="R1472" s="234">
        <v>6047833.8799999999</v>
      </c>
      <c r="S1472" s="234">
        <v>373487.51</v>
      </c>
      <c r="T1472" s="234">
        <v>1488385.8799999997</v>
      </c>
      <c r="U1472" s="78">
        <f t="shared" si="343"/>
        <v>3293.2414314264297</v>
      </c>
      <c r="V1472" s="78">
        <v>4637.5600000000004</v>
      </c>
    </row>
    <row r="1473" spans="1:22" s="23" customFormat="1" ht="33.75" customHeight="1" x14ac:dyDescent="0.25">
      <c r="B1473" s="77" t="s">
        <v>1027</v>
      </c>
      <c r="C1473" s="251"/>
      <c r="D1473" s="233" t="s">
        <v>835</v>
      </c>
      <c r="E1473" s="233" t="s">
        <v>835</v>
      </c>
      <c r="F1473" s="236" t="s">
        <v>835</v>
      </c>
      <c r="G1473" s="233" t="s">
        <v>835</v>
      </c>
      <c r="H1473" s="233" t="s">
        <v>835</v>
      </c>
      <c r="I1473" s="234">
        <f>I1474+I1475+I1476+I1477</f>
        <v>10808.119999999999</v>
      </c>
      <c r="J1473" s="234">
        <f t="shared" ref="J1473:L1473" si="350">J1474+J1475+J1476+J1477</f>
        <v>8459.52</v>
      </c>
      <c r="K1473" s="234">
        <f t="shared" si="350"/>
        <v>8459.52</v>
      </c>
      <c r="L1473" s="268">
        <f t="shared" si="350"/>
        <v>317</v>
      </c>
      <c r="M1473" s="233" t="s">
        <v>835</v>
      </c>
      <c r="N1473" s="233" t="s">
        <v>835</v>
      </c>
      <c r="O1473" s="233" t="s">
        <v>835</v>
      </c>
      <c r="P1473" s="237">
        <v>34327852.479999997</v>
      </c>
      <c r="Q1473" s="234">
        <f t="shared" ref="Q1473:T1473" si="351">Q1474+Q1475+Q1476+Q1477</f>
        <v>0</v>
      </c>
      <c r="R1473" s="234">
        <f t="shared" si="351"/>
        <v>25780917.02</v>
      </c>
      <c r="S1473" s="234">
        <f t="shared" si="351"/>
        <v>1576254.92</v>
      </c>
      <c r="T1473" s="234">
        <f t="shared" si="351"/>
        <v>6970680.54</v>
      </c>
      <c r="U1473" s="78">
        <f>U1474</f>
        <v>2654.8091786710911</v>
      </c>
      <c r="V1473" s="78">
        <f>MAX(V1474:V1477)</f>
        <v>8870.27</v>
      </c>
    </row>
    <row r="1474" spans="1:22" s="23" customFormat="1" ht="33.75" customHeight="1" x14ac:dyDescent="0.25">
      <c r="B1474" s="80">
        <v>4</v>
      </c>
      <c r="C1474" s="251" t="s">
        <v>3235</v>
      </c>
      <c r="D1474" s="233">
        <v>1957</v>
      </c>
      <c r="E1474" s="233"/>
      <c r="F1474" s="236" t="s">
        <v>1263</v>
      </c>
      <c r="G1474" s="233">
        <v>4</v>
      </c>
      <c r="H1474" s="233">
        <v>8</v>
      </c>
      <c r="I1474" s="234">
        <v>6629.5</v>
      </c>
      <c r="J1474" s="234">
        <v>4764.3999999999996</v>
      </c>
      <c r="K1474" s="234">
        <v>4764.3999999999996</v>
      </c>
      <c r="L1474" s="269">
        <v>141</v>
      </c>
      <c r="M1474" s="233" t="s">
        <v>254</v>
      </c>
      <c r="N1474" s="233" t="s">
        <v>258</v>
      </c>
      <c r="O1474" s="233" t="s">
        <v>1470</v>
      </c>
      <c r="P1474" s="234">
        <v>17600057.449999999</v>
      </c>
      <c r="Q1474" s="78">
        <v>0</v>
      </c>
      <c r="R1474" s="234">
        <v>12733369.870000001</v>
      </c>
      <c r="S1474" s="234">
        <v>766233.29</v>
      </c>
      <c r="T1474" s="234">
        <v>4100454.29</v>
      </c>
      <c r="U1474" s="78">
        <f>P1474/I1474</f>
        <v>2654.8091786710911</v>
      </c>
      <c r="V1474" s="78">
        <v>4455.09</v>
      </c>
    </row>
    <row r="1475" spans="1:22" s="23" customFormat="1" ht="33.75" customHeight="1" x14ac:dyDescent="0.25">
      <c r="B1475" s="80">
        <v>5</v>
      </c>
      <c r="C1475" s="251" t="s">
        <v>2147</v>
      </c>
      <c r="D1475" s="233">
        <v>1958</v>
      </c>
      <c r="E1475" s="233"/>
      <c r="F1475" s="236" t="s">
        <v>1263</v>
      </c>
      <c r="G1475" s="233">
        <v>3</v>
      </c>
      <c r="H1475" s="233">
        <v>3</v>
      </c>
      <c r="I1475" s="234">
        <v>1457.8</v>
      </c>
      <c r="J1475" s="234">
        <v>1370.6</v>
      </c>
      <c r="K1475" s="234">
        <v>1370.6</v>
      </c>
      <c r="L1475" s="269">
        <v>67</v>
      </c>
      <c r="M1475" s="233" t="s">
        <v>254</v>
      </c>
      <c r="N1475" s="233" t="s">
        <v>258</v>
      </c>
      <c r="O1475" s="236" t="s">
        <v>1301</v>
      </c>
      <c r="P1475" s="234">
        <v>6350285.5599999996</v>
      </c>
      <c r="Q1475" s="78">
        <v>0</v>
      </c>
      <c r="R1475" s="234">
        <v>5118127.0199999996</v>
      </c>
      <c r="S1475" s="234">
        <v>309711.24</v>
      </c>
      <c r="T1475" s="234">
        <f>867645.12+54802.18</f>
        <v>922447.3</v>
      </c>
      <c r="U1475" s="78">
        <f t="shared" ref="U1475:U1477" si="352">P1475/I1475</f>
        <v>4356.0746055700365</v>
      </c>
      <c r="V1475" s="78">
        <v>6005.49</v>
      </c>
    </row>
    <row r="1476" spans="1:22" s="23" customFormat="1" ht="33.75" customHeight="1" x14ac:dyDescent="0.25">
      <c r="B1476" s="80">
        <v>6</v>
      </c>
      <c r="C1476" s="251" t="s">
        <v>3371</v>
      </c>
      <c r="D1476" s="233">
        <v>1949</v>
      </c>
      <c r="E1476" s="233"/>
      <c r="F1476" s="236" t="s">
        <v>1263</v>
      </c>
      <c r="G1476" s="233">
        <v>2</v>
      </c>
      <c r="H1476" s="233">
        <v>1</v>
      </c>
      <c r="I1476" s="234">
        <v>559</v>
      </c>
      <c r="J1476" s="234">
        <v>324.2</v>
      </c>
      <c r="K1476" s="234">
        <v>324.2</v>
      </c>
      <c r="L1476" s="269">
        <v>21</v>
      </c>
      <c r="M1476" s="233" t="s">
        <v>254</v>
      </c>
      <c r="N1476" s="233" t="s">
        <v>258</v>
      </c>
      <c r="O1476" s="233" t="s">
        <v>3184</v>
      </c>
      <c r="P1476" s="234">
        <v>3371256.02</v>
      </c>
      <c r="Q1476" s="78">
        <v>0</v>
      </c>
      <c r="R1476" s="234">
        <v>2758218.2</v>
      </c>
      <c r="S1476" s="234">
        <v>180819.25</v>
      </c>
      <c r="T1476" s="234">
        <f>403125.05+29093.52</f>
        <v>432218.57</v>
      </c>
      <c r="U1476" s="78">
        <f t="shared" si="352"/>
        <v>6030.869445438283</v>
      </c>
      <c r="V1476" s="78">
        <v>8870.27</v>
      </c>
    </row>
    <row r="1477" spans="1:22" s="23" customFormat="1" ht="33.75" customHeight="1" x14ac:dyDescent="0.25">
      <c r="B1477" s="80">
        <v>7</v>
      </c>
      <c r="C1477" s="251" t="s">
        <v>3372</v>
      </c>
      <c r="D1477" s="233">
        <v>1961</v>
      </c>
      <c r="E1477" s="233"/>
      <c r="F1477" s="236" t="s">
        <v>1263</v>
      </c>
      <c r="G1477" s="233">
        <v>4</v>
      </c>
      <c r="H1477" s="233">
        <v>3</v>
      </c>
      <c r="I1477" s="234">
        <v>2161.8200000000002</v>
      </c>
      <c r="J1477" s="234">
        <v>2000.32</v>
      </c>
      <c r="K1477" s="234">
        <v>2000.32</v>
      </c>
      <c r="L1477" s="269">
        <v>88</v>
      </c>
      <c r="M1477" s="233" t="s">
        <v>254</v>
      </c>
      <c r="N1477" s="233" t="s">
        <v>258</v>
      </c>
      <c r="O1477" s="233" t="s">
        <v>1470</v>
      </c>
      <c r="P1477" s="234">
        <v>7006253.4499999993</v>
      </c>
      <c r="Q1477" s="78">
        <v>0</v>
      </c>
      <c r="R1477" s="234">
        <v>5171201.93</v>
      </c>
      <c r="S1477" s="234">
        <v>319491.14</v>
      </c>
      <c r="T1477" s="234">
        <f>1455097.28+60463.1</f>
        <v>1515560.3800000001</v>
      </c>
      <c r="U1477" s="78">
        <f t="shared" si="352"/>
        <v>3240.9050938561022</v>
      </c>
      <c r="V1477" s="78">
        <v>4000.82</v>
      </c>
    </row>
    <row r="1478" spans="1:22" s="23" customFormat="1" ht="33.75" customHeight="1" x14ac:dyDescent="0.25">
      <c r="B1478" s="77" t="s">
        <v>760</v>
      </c>
      <c r="C1478" s="251"/>
      <c r="D1478" s="233" t="s">
        <v>835</v>
      </c>
      <c r="E1478" s="233" t="s">
        <v>835</v>
      </c>
      <c r="F1478" s="236" t="s">
        <v>835</v>
      </c>
      <c r="G1478" s="233" t="s">
        <v>835</v>
      </c>
      <c r="H1478" s="233" t="s">
        <v>835</v>
      </c>
      <c r="I1478" s="234">
        <f>I1479</f>
        <v>869.4</v>
      </c>
      <c r="J1478" s="234">
        <f t="shared" ref="J1478:L1478" si="353">J1479</f>
        <v>460.7</v>
      </c>
      <c r="K1478" s="234">
        <f t="shared" si="353"/>
        <v>460.7</v>
      </c>
      <c r="L1478" s="268">
        <f t="shared" si="353"/>
        <v>62</v>
      </c>
      <c r="M1478" s="233" t="s">
        <v>835</v>
      </c>
      <c r="N1478" s="233" t="s">
        <v>835</v>
      </c>
      <c r="O1478" s="233" t="s">
        <v>835</v>
      </c>
      <c r="P1478" s="237">
        <v>4004236.63</v>
      </c>
      <c r="Q1478" s="234">
        <f t="shared" ref="Q1478:T1478" si="354">Q1479</f>
        <v>0</v>
      </c>
      <c r="R1478" s="234">
        <f t="shared" si="354"/>
        <v>3423716.31</v>
      </c>
      <c r="S1478" s="234">
        <f t="shared" si="354"/>
        <v>202967.88</v>
      </c>
      <c r="T1478" s="234">
        <f t="shared" si="354"/>
        <v>377552.43999999983</v>
      </c>
      <c r="U1478" s="78">
        <f t="shared" ref="U1478:U1483" si="355">P1478/I1478</f>
        <v>4605.7472164711298</v>
      </c>
      <c r="V1478" s="78">
        <f>V1479</f>
        <v>8640.7900000000009</v>
      </c>
    </row>
    <row r="1479" spans="1:22" s="23" customFormat="1" ht="33.75" customHeight="1" x14ac:dyDescent="0.25">
      <c r="B1479" s="80">
        <v>8</v>
      </c>
      <c r="C1479" s="251" t="s">
        <v>3238</v>
      </c>
      <c r="D1479" s="233">
        <v>1969</v>
      </c>
      <c r="E1479" s="233"/>
      <c r="F1479" s="236" t="s">
        <v>1263</v>
      </c>
      <c r="G1479" s="233">
        <v>2</v>
      </c>
      <c r="H1479" s="233">
        <v>1</v>
      </c>
      <c r="I1479" s="234">
        <v>869.4</v>
      </c>
      <c r="J1479" s="234">
        <v>460.7</v>
      </c>
      <c r="K1479" s="234">
        <v>460.7</v>
      </c>
      <c r="L1479" s="269">
        <v>62</v>
      </c>
      <c r="M1479" s="233" t="s">
        <v>254</v>
      </c>
      <c r="N1479" s="233" t="s">
        <v>258</v>
      </c>
      <c r="O1479" s="233" t="s">
        <v>3243</v>
      </c>
      <c r="P1479" s="234">
        <v>4004236.63</v>
      </c>
      <c r="Q1479" s="78">
        <v>0</v>
      </c>
      <c r="R1479" s="234">
        <v>3423716.31</v>
      </c>
      <c r="S1479" s="234">
        <v>202967.88</v>
      </c>
      <c r="T1479" s="234">
        <v>377552.43999999983</v>
      </c>
      <c r="U1479" s="78">
        <f t="shared" si="355"/>
        <v>4605.7472164711298</v>
      </c>
      <c r="V1479" s="78">
        <v>8640.7900000000009</v>
      </c>
    </row>
    <row r="1480" spans="1:22" s="23" customFormat="1" ht="33.75" customHeight="1" x14ac:dyDescent="0.25">
      <c r="B1480" s="77" t="s">
        <v>3237</v>
      </c>
      <c r="C1480" s="251"/>
      <c r="D1480" s="233" t="s">
        <v>835</v>
      </c>
      <c r="E1480" s="233" t="s">
        <v>835</v>
      </c>
      <c r="F1480" s="236" t="s">
        <v>835</v>
      </c>
      <c r="G1480" s="233" t="s">
        <v>835</v>
      </c>
      <c r="H1480" s="233" t="s">
        <v>835</v>
      </c>
      <c r="I1480" s="234">
        <f>I1481</f>
        <v>1154.7</v>
      </c>
      <c r="J1480" s="234">
        <f t="shared" ref="J1480:L1480" si="356">J1481</f>
        <v>726.5</v>
      </c>
      <c r="K1480" s="234">
        <f t="shared" si="356"/>
        <v>726.5</v>
      </c>
      <c r="L1480" s="268">
        <f t="shared" si="356"/>
        <v>50</v>
      </c>
      <c r="M1480" s="233" t="s">
        <v>835</v>
      </c>
      <c r="N1480" s="233" t="s">
        <v>835</v>
      </c>
      <c r="O1480" s="233" t="s">
        <v>835</v>
      </c>
      <c r="P1480" s="237">
        <v>3940362.74</v>
      </c>
      <c r="Q1480" s="234">
        <f t="shared" ref="Q1480:T1480" si="357">Q1481</f>
        <v>0</v>
      </c>
      <c r="R1480" s="234">
        <f t="shared" si="357"/>
        <v>3095788.7</v>
      </c>
      <c r="S1480" s="234">
        <f t="shared" si="357"/>
        <v>191306.63</v>
      </c>
      <c r="T1480" s="234">
        <f t="shared" si="357"/>
        <v>653267.41</v>
      </c>
      <c r="U1480" s="78">
        <f t="shared" si="355"/>
        <v>3412.455824023556</v>
      </c>
      <c r="V1480" s="78">
        <f>V1481</f>
        <v>6333.98</v>
      </c>
    </row>
    <row r="1481" spans="1:22" s="23" customFormat="1" ht="33.75" customHeight="1" x14ac:dyDescent="0.25">
      <c r="B1481" s="80">
        <v>9</v>
      </c>
      <c r="C1481" s="251" t="s">
        <v>3239</v>
      </c>
      <c r="D1481" s="233">
        <v>1978</v>
      </c>
      <c r="E1481" s="233"/>
      <c r="F1481" s="236" t="s">
        <v>1263</v>
      </c>
      <c r="G1481" s="233">
        <v>3</v>
      </c>
      <c r="H1481" s="233">
        <v>3</v>
      </c>
      <c r="I1481" s="234">
        <v>1154.7</v>
      </c>
      <c r="J1481" s="234">
        <v>726.5</v>
      </c>
      <c r="K1481" s="234">
        <v>726.5</v>
      </c>
      <c r="L1481" s="269">
        <v>50</v>
      </c>
      <c r="M1481" s="233" t="s">
        <v>254</v>
      </c>
      <c r="N1481" s="233" t="s">
        <v>258</v>
      </c>
      <c r="O1481" s="233" t="s">
        <v>3242</v>
      </c>
      <c r="P1481" s="234">
        <v>3940362.74</v>
      </c>
      <c r="Q1481" s="78">
        <v>0</v>
      </c>
      <c r="R1481" s="234">
        <v>3095788.7</v>
      </c>
      <c r="S1481" s="234">
        <v>191306.63</v>
      </c>
      <c r="T1481" s="234">
        <v>653267.41</v>
      </c>
      <c r="U1481" s="78">
        <f t="shared" si="355"/>
        <v>3412.455824023556</v>
      </c>
      <c r="V1481" s="78">
        <v>6333.98</v>
      </c>
    </row>
    <row r="1482" spans="1:22" s="23" customFormat="1" ht="33.75" customHeight="1" x14ac:dyDescent="0.25">
      <c r="B1482" s="77" t="s">
        <v>834</v>
      </c>
      <c r="C1482" s="251"/>
      <c r="D1482" s="233" t="s">
        <v>835</v>
      </c>
      <c r="E1482" s="233" t="s">
        <v>835</v>
      </c>
      <c r="F1482" s="236" t="s">
        <v>835</v>
      </c>
      <c r="G1482" s="233" t="s">
        <v>835</v>
      </c>
      <c r="H1482" s="233" t="s">
        <v>835</v>
      </c>
      <c r="I1482" s="234">
        <f>I1483</f>
        <v>1089.0999999999999</v>
      </c>
      <c r="J1482" s="234">
        <f t="shared" ref="J1482:L1482" si="358">J1483</f>
        <v>903.9</v>
      </c>
      <c r="K1482" s="234">
        <f t="shared" si="358"/>
        <v>903.9</v>
      </c>
      <c r="L1482" s="268">
        <f t="shared" si="358"/>
        <v>40</v>
      </c>
      <c r="M1482" s="233" t="s">
        <v>835</v>
      </c>
      <c r="N1482" s="233" t="s">
        <v>835</v>
      </c>
      <c r="O1482" s="233" t="s">
        <v>835</v>
      </c>
      <c r="P1482" s="237">
        <v>3325852.47</v>
      </c>
      <c r="Q1482" s="234">
        <f t="shared" ref="Q1482:T1482" si="359">Q1483</f>
        <v>0</v>
      </c>
      <c r="R1482" s="234">
        <f t="shared" si="359"/>
        <v>2571103.23</v>
      </c>
      <c r="S1482" s="234">
        <f t="shared" si="359"/>
        <v>204687.94</v>
      </c>
      <c r="T1482" s="234">
        <f t="shared" si="359"/>
        <v>550061.30000000028</v>
      </c>
      <c r="U1482" s="78">
        <f t="shared" si="355"/>
        <v>3053.7622532366177</v>
      </c>
      <c r="V1482" s="78">
        <f>V1483</f>
        <v>7468.09</v>
      </c>
    </row>
    <row r="1483" spans="1:22" s="23" customFormat="1" ht="33.75" customHeight="1" x14ac:dyDescent="0.25">
      <c r="B1483" s="80">
        <v>10</v>
      </c>
      <c r="C1483" s="251" t="s">
        <v>3240</v>
      </c>
      <c r="D1483" s="233">
        <v>1984</v>
      </c>
      <c r="E1483" s="233"/>
      <c r="F1483" s="236" t="s">
        <v>1263</v>
      </c>
      <c r="G1483" s="233">
        <v>2</v>
      </c>
      <c r="H1483" s="233">
        <v>3</v>
      </c>
      <c r="I1483" s="234">
        <v>1089.0999999999999</v>
      </c>
      <c r="J1483" s="234">
        <v>903.9</v>
      </c>
      <c r="K1483" s="234">
        <v>903.9</v>
      </c>
      <c r="L1483" s="269">
        <v>40</v>
      </c>
      <c r="M1483" s="233" t="s">
        <v>254</v>
      </c>
      <c r="N1483" s="233" t="s">
        <v>258</v>
      </c>
      <c r="O1483" s="233" t="s">
        <v>3241</v>
      </c>
      <c r="P1483" s="234">
        <v>3325852.47</v>
      </c>
      <c r="Q1483" s="78">
        <v>0</v>
      </c>
      <c r="R1483" s="234">
        <v>2571103.23</v>
      </c>
      <c r="S1483" s="234">
        <v>204687.94</v>
      </c>
      <c r="T1483" s="234">
        <v>550061.30000000028</v>
      </c>
      <c r="U1483" s="78">
        <f t="shared" si="355"/>
        <v>3053.7622532366177</v>
      </c>
      <c r="V1483" s="78">
        <v>7468.09</v>
      </c>
    </row>
    <row r="1484" spans="1:22" s="23" customFormat="1" ht="84" customHeight="1" x14ac:dyDescent="0.25">
      <c r="B1484" s="335" t="s">
        <v>2693</v>
      </c>
      <c r="C1484" s="336"/>
      <c r="D1484" s="336"/>
      <c r="E1484" s="336"/>
      <c r="F1484" s="336"/>
      <c r="G1484" s="336"/>
      <c r="H1484" s="336"/>
      <c r="I1484" s="336"/>
      <c r="J1484" s="336"/>
      <c r="K1484" s="336"/>
      <c r="L1484" s="336"/>
      <c r="M1484" s="336"/>
      <c r="N1484" s="336"/>
      <c r="O1484" s="336"/>
      <c r="P1484" s="336"/>
      <c r="Q1484" s="336"/>
      <c r="R1484" s="336"/>
      <c r="S1484" s="336"/>
      <c r="T1484" s="336"/>
      <c r="U1484" s="336"/>
      <c r="V1484" s="337"/>
    </row>
    <row r="1485" spans="1:22" s="23" customFormat="1" ht="33.75" customHeight="1" x14ac:dyDescent="0.25">
      <c r="B1485" s="338" t="s">
        <v>2297</v>
      </c>
      <c r="C1485" s="339"/>
      <c r="D1485" s="233" t="s">
        <v>835</v>
      </c>
      <c r="E1485" s="233" t="s">
        <v>835</v>
      </c>
      <c r="F1485" s="236" t="s">
        <v>835</v>
      </c>
      <c r="G1485" s="233" t="s">
        <v>835</v>
      </c>
      <c r="H1485" s="233" t="s">
        <v>835</v>
      </c>
      <c r="I1485" s="234">
        <f>I1486+I1548</f>
        <v>548272.65999999992</v>
      </c>
      <c r="J1485" s="234">
        <f t="shared" ref="J1485:K1485" si="360">J1486+J1548</f>
        <v>520549.02999999991</v>
      </c>
      <c r="K1485" s="234">
        <f t="shared" si="360"/>
        <v>454177.62</v>
      </c>
      <c r="L1485" s="245">
        <f>L1486+L1548</f>
        <v>20136</v>
      </c>
      <c r="M1485" s="233" t="s">
        <v>835</v>
      </c>
      <c r="N1485" s="233" t="s">
        <v>835</v>
      </c>
      <c r="O1485" s="233" t="s">
        <v>835</v>
      </c>
      <c r="P1485" s="234">
        <f>P1486+P1548</f>
        <v>427966106.28000003</v>
      </c>
      <c r="Q1485" s="234">
        <f t="shared" ref="Q1485:T1485" si="361">Q1486+Q1548</f>
        <v>0</v>
      </c>
      <c r="R1485" s="234">
        <f t="shared" si="361"/>
        <v>243262203.19999999</v>
      </c>
      <c r="S1485" s="234">
        <f t="shared" si="361"/>
        <v>0</v>
      </c>
      <c r="T1485" s="234">
        <f t="shared" si="361"/>
        <v>184703903.08000001</v>
      </c>
      <c r="U1485" s="78">
        <f t="shared" ref="U1485:U1540" si="362">P1485/I1485</f>
        <v>780.57167081794682</v>
      </c>
      <c r="V1485" s="78">
        <f>MAX(V1486:V1552)</f>
        <v>1853.8862081304692</v>
      </c>
    </row>
    <row r="1486" spans="1:22" s="23" customFormat="1" ht="33.75" customHeight="1" x14ac:dyDescent="0.25">
      <c r="B1486" s="338" t="s">
        <v>1806</v>
      </c>
      <c r="C1486" s="339"/>
      <c r="D1486" s="233" t="s">
        <v>835</v>
      </c>
      <c r="E1486" s="233" t="s">
        <v>835</v>
      </c>
      <c r="F1486" s="236" t="s">
        <v>835</v>
      </c>
      <c r="G1486" s="233" t="s">
        <v>835</v>
      </c>
      <c r="H1486" s="233" t="s">
        <v>835</v>
      </c>
      <c r="I1486" s="234">
        <f>I1487+I1502+I1536+I1541</f>
        <v>483262.35999999993</v>
      </c>
      <c r="J1486" s="234">
        <f>J1487+J1502+J1536+J1541</f>
        <v>463338.42999999993</v>
      </c>
      <c r="K1486" s="234">
        <f>K1487+K1502+K1536+K1541</f>
        <v>396967.02</v>
      </c>
      <c r="L1486" s="245">
        <f>L1487+L1502+L1536+L1541</f>
        <v>17300</v>
      </c>
      <c r="M1486" s="233" t="s">
        <v>835</v>
      </c>
      <c r="N1486" s="233" t="s">
        <v>835</v>
      </c>
      <c r="O1486" s="233" t="s">
        <v>835</v>
      </c>
      <c r="P1486" s="237">
        <v>361861679.40000004</v>
      </c>
      <c r="Q1486" s="234">
        <f>Q1487+Q1502+Q1536+Q1541</f>
        <v>0</v>
      </c>
      <c r="R1486" s="234">
        <f>R1487+R1502+R1536+R1541</f>
        <v>208425744</v>
      </c>
      <c r="S1486" s="234">
        <f>S1487+S1502+S1536+S1541</f>
        <v>0</v>
      </c>
      <c r="T1486" s="234">
        <f>T1487+T1502+T1536+T1541</f>
        <v>153435935.40000001</v>
      </c>
      <c r="U1486" s="78">
        <f t="shared" si="362"/>
        <v>748.78928994180319</v>
      </c>
      <c r="V1486" s="78">
        <f>MAX(V1487:V1561)</f>
        <v>1853.8862081304692</v>
      </c>
    </row>
    <row r="1487" spans="1:22" s="23" customFormat="1" ht="33.75" customHeight="1" x14ac:dyDescent="0.25">
      <c r="B1487" s="77" t="s">
        <v>1027</v>
      </c>
      <c r="C1487" s="251"/>
      <c r="D1487" s="233" t="s">
        <v>835</v>
      </c>
      <c r="E1487" s="233" t="s">
        <v>835</v>
      </c>
      <c r="F1487" s="236" t="s">
        <v>835</v>
      </c>
      <c r="G1487" s="233" t="s">
        <v>835</v>
      </c>
      <c r="H1487" s="233" t="s">
        <v>835</v>
      </c>
      <c r="I1487" s="234">
        <f>SUM(I1488:I1501)</f>
        <v>112606.19999999998</v>
      </c>
      <c r="J1487" s="234">
        <f>SUM(J1488:J1501)</f>
        <v>105248.59999999999</v>
      </c>
      <c r="K1487" s="234">
        <f>SUM(K1488:K1501)</f>
        <v>104626.09999999999</v>
      </c>
      <c r="L1487" s="245">
        <f>SUM(L1488:L1501)</f>
        <v>4618</v>
      </c>
      <c r="M1487" s="233" t="s">
        <v>835</v>
      </c>
      <c r="N1487" s="233" t="s">
        <v>835</v>
      </c>
      <c r="O1487" s="233" t="s">
        <v>835</v>
      </c>
      <c r="P1487" s="237">
        <v>97945684.899999991</v>
      </c>
      <c r="Q1487" s="234">
        <f>SUM(Q1488:Q1501)</f>
        <v>0</v>
      </c>
      <c r="R1487" s="234">
        <f>SUM(R1488:R1501)</f>
        <v>54259392</v>
      </c>
      <c r="S1487" s="234">
        <f>SUM(S1488:S1501)</f>
        <v>0</v>
      </c>
      <c r="T1487" s="234">
        <f>SUM(T1488:T1501)</f>
        <v>43686292.899999999</v>
      </c>
      <c r="U1487" s="78">
        <f t="shared" si="362"/>
        <v>869.8072122138924</v>
      </c>
      <c r="V1487" s="78">
        <f>MAX(V1488:V1501)</f>
        <v>1350.4024614708387</v>
      </c>
    </row>
    <row r="1488" spans="1:22" s="79" customFormat="1" ht="36" customHeight="1" x14ac:dyDescent="0.25">
      <c r="A1488" s="79">
        <v>1</v>
      </c>
      <c r="B1488" s="80">
        <f>SUBTOTAL(103,$A$1488:A1488)</f>
        <v>1</v>
      </c>
      <c r="C1488" s="77" t="s">
        <v>1579</v>
      </c>
      <c r="D1488" s="233">
        <v>1989</v>
      </c>
      <c r="E1488" s="233" t="s">
        <v>257</v>
      </c>
      <c r="F1488" s="233" t="s">
        <v>304</v>
      </c>
      <c r="G1488" s="233">
        <v>7</v>
      </c>
      <c r="H1488" s="233" t="s">
        <v>290</v>
      </c>
      <c r="I1488" s="234">
        <v>4121.3999999999996</v>
      </c>
      <c r="J1488" s="234">
        <v>3057</v>
      </c>
      <c r="K1488" s="234">
        <v>3057</v>
      </c>
      <c r="L1488" s="239">
        <v>163</v>
      </c>
      <c r="M1488" s="233" t="s">
        <v>254</v>
      </c>
      <c r="N1488" s="233" t="s">
        <v>258</v>
      </c>
      <c r="O1488" s="236" t="s">
        <v>1582</v>
      </c>
      <c r="P1488" s="78">
        <v>2873967.7</v>
      </c>
      <c r="Q1488" s="78">
        <v>0</v>
      </c>
      <c r="R1488" s="78">
        <v>1982592</v>
      </c>
      <c r="S1488" s="78">
        <v>0</v>
      </c>
      <c r="T1488" s="78">
        <f t="shared" ref="T1488:T1501" si="363">P1488-R1488-S1488</f>
        <v>891375.70000000019</v>
      </c>
      <c r="U1488" s="78">
        <f t="shared" si="362"/>
        <v>697.32801960498875</v>
      </c>
      <c r="V1488" s="78">
        <v>1120.7123792885914</v>
      </c>
    </row>
    <row r="1489" spans="1:22" s="79" customFormat="1" ht="36" customHeight="1" x14ac:dyDescent="0.25">
      <c r="A1489" s="79">
        <v>1</v>
      </c>
      <c r="B1489" s="80">
        <f>SUBTOTAL(103,$A$1488:A1489)</f>
        <v>2</v>
      </c>
      <c r="C1489" s="77" t="s">
        <v>1591</v>
      </c>
      <c r="D1489" s="233">
        <v>1991</v>
      </c>
      <c r="E1489" s="233" t="s">
        <v>257</v>
      </c>
      <c r="F1489" s="233" t="s">
        <v>298</v>
      </c>
      <c r="G1489" s="233">
        <v>9</v>
      </c>
      <c r="H1489" s="233" t="s">
        <v>295</v>
      </c>
      <c r="I1489" s="234">
        <v>8855.2999999999993</v>
      </c>
      <c r="J1489" s="234">
        <v>8855.2999999999993</v>
      </c>
      <c r="K1489" s="234">
        <v>8855.2999999999993</v>
      </c>
      <c r="L1489" s="239">
        <v>382</v>
      </c>
      <c r="M1489" s="233" t="s">
        <v>254</v>
      </c>
      <c r="N1489" s="233" t="s">
        <v>258</v>
      </c>
      <c r="O1489" s="236" t="s">
        <v>334</v>
      </c>
      <c r="P1489" s="78">
        <v>6423566.4000000004</v>
      </c>
      <c r="Q1489" s="78">
        <v>0</v>
      </c>
      <c r="R1489" s="78">
        <v>4598400</v>
      </c>
      <c r="S1489" s="78">
        <v>0</v>
      </c>
      <c r="T1489" s="78">
        <f t="shared" si="363"/>
        <v>1825166.4000000004</v>
      </c>
      <c r="U1489" s="78">
        <f t="shared" si="362"/>
        <v>725.39229613903547</v>
      </c>
      <c r="V1489" s="78">
        <v>1110.205187853602</v>
      </c>
    </row>
    <row r="1490" spans="1:22" s="79" customFormat="1" ht="36" customHeight="1" x14ac:dyDescent="0.25">
      <c r="A1490" s="79">
        <v>1</v>
      </c>
      <c r="B1490" s="80">
        <f>SUBTOTAL(103,$A$1488:A1490)</f>
        <v>3</v>
      </c>
      <c r="C1490" s="77" t="s">
        <v>2561</v>
      </c>
      <c r="D1490" s="233">
        <v>1991</v>
      </c>
      <c r="E1490" s="233" t="s">
        <v>257</v>
      </c>
      <c r="F1490" s="233" t="s">
        <v>304</v>
      </c>
      <c r="G1490" s="233">
        <v>9</v>
      </c>
      <c r="H1490" s="233">
        <v>4</v>
      </c>
      <c r="I1490" s="234">
        <v>8418.5</v>
      </c>
      <c r="J1490" s="234">
        <v>8418.5</v>
      </c>
      <c r="K1490" s="234">
        <v>8418.5</v>
      </c>
      <c r="L1490" s="239">
        <v>417</v>
      </c>
      <c r="M1490" s="233" t="s">
        <v>2694</v>
      </c>
      <c r="N1490" s="233" t="s">
        <v>258</v>
      </c>
      <c r="O1490" s="236" t="s">
        <v>334</v>
      </c>
      <c r="P1490" s="78">
        <v>8274000</v>
      </c>
      <c r="Q1490" s="78">
        <v>0</v>
      </c>
      <c r="R1490" s="78">
        <v>4576000</v>
      </c>
      <c r="S1490" s="78">
        <v>0</v>
      </c>
      <c r="T1490" s="78">
        <f t="shared" si="363"/>
        <v>3698000</v>
      </c>
      <c r="U1490" s="78">
        <f t="shared" si="362"/>
        <v>982.83542198728992</v>
      </c>
      <c r="V1490" s="78">
        <v>1167.8089921007306</v>
      </c>
    </row>
    <row r="1491" spans="1:22" s="79" customFormat="1" ht="36" customHeight="1" x14ac:dyDescent="0.25">
      <c r="A1491" s="79">
        <v>1</v>
      </c>
      <c r="B1491" s="80">
        <f>SUBTOTAL(103,$A$1488:A1491)</f>
        <v>4</v>
      </c>
      <c r="C1491" s="77" t="s">
        <v>2562</v>
      </c>
      <c r="D1491" s="233">
        <v>1992</v>
      </c>
      <c r="E1491" s="233" t="s">
        <v>257</v>
      </c>
      <c r="F1491" s="233" t="s">
        <v>304</v>
      </c>
      <c r="G1491" s="233">
        <v>9</v>
      </c>
      <c r="H1491" s="233">
        <v>2</v>
      </c>
      <c r="I1491" s="234">
        <v>3954.9</v>
      </c>
      <c r="J1491" s="234">
        <v>3890</v>
      </c>
      <c r="K1491" s="234">
        <v>3890</v>
      </c>
      <c r="L1491" s="239">
        <v>207</v>
      </c>
      <c r="M1491" s="233" t="s">
        <v>2694</v>
      </c>
      <c r="N1491" s="233" t="s">
        <v>258</v>
      </c>
      <c r="O1491" s="236" t="s">
        <v>334</v>
      </c>
      <c r="P1491" s="78">
        <v>4137000</v>
      </c>
      <c r="Q1491" s="78">
        <v>0</v>
      </c>
      <c r="R1491" s="78">
        <v>2225600</v>
      </c>
      <c r="S1491" s="78">
        <v>0</v>
      </c>
      <c r="T1491" s="78">
        <f t="shared" si="363"/>
        <v>1911400</v>
      </c>
      <c r="U1491" s="78">
        <f t="shared" si="362"/>
        <v>1046.0441477660622</v>
      </c>
      <c r="V1491" s="78">
        <v>1242.9138537004728</v>
      </c>
    </row>
    <row r="1492" spans="1:22" s="79" customFormat="1" ht="36" customHeight="1" x14ac:dyDescent="0.25">
      <c r="A1492" s="79">
        <v>1</v>
      </c>
      <c r="B1492" s="80">
        <f>SUBTOTAL(103,$A$1488:A1492)</f>
        <v>5</v>
      </c>
      <c r="C1492" s="77" t="s">
        <v>2563</v>
      </c>
      <c r="D1492" s="233">
        <v>1976</v>
      </c>
      <c r="E1492" s="233" t="s">
        <v>257</v>
      </c>
      <c r="F1492" s="236" t="s">
        <v>256</v>
      </c>
      <c r="G1492" s="233">
        <v>9</v>
      </c>
      <c r="H1492" s="233">
        <v>6</v>
      </c>
      <c r="I1492" s="234">
        <v>10920.3</v>
      </c>
      <c r="J1492" s="234">
        <v>10820.1</v>
      </c>
      <c r="K1492" s="234">
        <v>10820.1</v>
      </c>
      <c r="L1492" s="239">
        <v>542</v>
      </c>
      <c r="M1492" s="233" t="s">
        <v>2694</v>
      </c>
      <c r="N1492" s="233" t="s">
        <v>258</v>
      </c>
      <c r="O1492" s="236" t="s">
        <v>334</v>
      </c>
      <c r="P1492" s="78">
        <v>12411000</v>
      </c>
      <c r="Q1492" s="78">
        <v>0</v>
      </c>
      <c r="R1492" s="78">
        <v>6864000</v>
      </c>
      <c r="S1492" s="78">
        <v>0</v>
      </c>
      <c r="T1492" s="78">
        <f t="shared" si="363"/>
        <v>5547000</v>
      </c>
      <c r="U1492" s="78">
        <f t="shared" si="362"/>
        <v>1136.5072388121207</v>
      </c>
      <c r="V1492" s="78">
        <v>1350.4024614708387</v>
      </c>
    </row>
    <row r="1493" spans="1:22" s="79" customFormat="1" ht="36" customHeight="1" x14ac:dyDescent="0.25">
      <c r="A1493" s="79">
        <v>1</v>
      </c>
      <c r="B1493" s="80">
        <f>SUBTOTAL(103,$A$1488:A1493)</f>
        <v>6</v>
      </c>
      <c r="C1493" s="77" t="s">
        <v>2564</v>
      </c>
      <c r="D1493" s="233">
        <v>1993</v>
      </c>
      <c r="E1493" s="233" t="s">
        <v>257</v>
      </c>
      <c r="F1493" s="233" t="s">
        <v>304</v>
      </c>
      <c r="G1493" s="233">
        <v>9</v>
      </c>
      <c r="H1493" s="233">
        <v>4</v>
      </c>
      <c r="I1493" s="234">
        <v>7826.1</v>
      </c>
      <c r="J1493" s="234">
        <v>7810.6</v>
      </c>
      <c r="K1493" s="234">
        <v>7810.6</v>
      </c>
      <c r="L1493" s="239">
        <v>338</v>
      </c>
      <c r="M1493" s="233" t="s">
        <v>2694</v>
      </c>
      <c r="N1493" s="233" t="s">
        <v>258</v>
      </c>
      <c r="O1493" s="236" t="s">
        <v>334</v>
      </c>
      <c r="P1493" s="78">
        <v>8274000</v>
      </c>
      <c r="Q1493" s="78">
        <v>0</v>
      </c>
      <c r="R1493" s="78">
        <v>4576000</v>
      </c>
      <c r="S1493" s="78">
        <v>0</v>
      </c>
      <c r="T1493" s="78">
        <f t="shared" si="363"/>
        <v>3698000</v>
      </c>
      <c r="U1493" s="78">
        <f t="shared" si="362"/>
        <v>1057.2315712807144</v>
      </c>
      <c r="V1493" s="78">
        <v>1256.2067952108969</v>
      </c>
    </row>
    <row r="1494" spans="1:22" s="79" customFormat="1" ht="36" customHeight="1" x14ac:dyDescent="0.25">
      <c r="A1494" s="79">
        <v>1</v>
      </c>
      <c r="B1494" s="80">
        <f>SUBTOTAL(103,$A$1488:A1494)</f>
        <v>7</v>
      </c>
      <c r="C1494" s="77" t="s">
        <v>2565</v>
      </c>
      <c r="D1494" s="233">
        <v>1994</v>
      </c>
      <c r="E1494" s="233" t="s">
        <v>257</v>
      </c>
      <c r="F1494" s="233" t="s">
        <v>304</v>
      </c>
      <c r="G1494" s="233">
        <v>9</v>
      </c>
      <c r="H1494" s="233">
        <v>3</v>
      </c>
      <c r="I1494" s="234">
        <v>7534.2</v>
      </c>
      <c r="J1494" s="234">
        <v>7534.2</v>
      </c>
      <c r="K1494" s="234">
        <v>7534.2</v>
      </c>
      <c r="L1494" s="239">
        <v>333</v>
      </c>
      <c r="M1494" s="233" t="s">
        <v>2694</v>
      </c>
      <c r="N1494" s="233" t="s">
        <v>258</v>
      </c>
      <c r="O1494" s="236" t="s">
        <v>334</v>
      </c>
      <c r="P1494" s="78">
        <v>6205500</v>
      </c>
      <c r="Q1494" s="78">
        <v>0</v>
      </c>
      <c r="R1494" s="78">
        <v>3432000</v>
      </c>
      <c r="S1494" s="78">
        <v>0</v>
      </c>
      <c r="T1494" s="78">
        <f t="shared" si="363"/>
        <v>2773500</v>
      </c>
      <c r="U1494" s="78">
        <f t="shared" si="362"/>
        <v>823.64418252767382</v>
      </c>
      <c r="V1494" s="78">
        <v>978.65732260890343</v>
      </c>
    </row>
    <row r="1495" spans="1:22" s="79" customFormat="1" ht="36" customHeight="1" x14ac:dyDescent="0.25">
      <c r="A1495" s="79">
        <v>1</v>
      </c>
      <c r="B1495" s="80">
        <f>SUBTOTAL(103,$A$1488:A1495)</f>
        <v>8</v>
      </c>
      <c r="C1495" s="77" t="s">
        <v>2566</v>
      </c>
      <c r="D1495" s="233">
        <v>1984</v>
      </c>
      <c r="E1495" s="233" t="s">
        <v>257</v>
      </c>
      <c r="F1495" s="233" t="s">
        <v>304</v>
      </c>
      <c r="G1495" s="233">
        <v>9</v>
      </c>
      <c r="H1495" s="233">
        <v>7</v>
      </c>
      <c r="I1495" s="234">
        <v>13575</v>
      </c>
      <c r="J1495" s="234">
        <v>13357.6</v>
      </c>
      <c r="K1495" s="234">
        <v>13357.6</v>
      </c>
      <c r="L1495" s="239">
        <v>630</v>
      </c>
      <c r="M1495" s="233" t="s">
        <v>2694</v>
      </c>
      <c r="N1495" s="233" t="s">
        <v>258</v>
      </c>
      <c r="O1495" s="236" t="s">
        <v>334</v>
      </c>
      <c r="P1495" s="78">
        <v>14479500</v>
      </c>
      <c r="Q1495" s="78">
        <v>0</v>
      </c>
      <c r="R1495" s="78">
        <v>8008000</v>
      </c>
      <c r="S1495" s="78">
        <v>0</v>
      </c>
      <c r="T1495" s="78">
        <f t="shared" si="363"/>
        <v>6471500</v>
      </c>
      <c r="U1495" s="78">
        <f t="shared" si="362"/>
        <v>1066.6298342541436</v>
      </c>
      <c r="V1495" s="78">
        <v>1267.3738489871087</v>
      </c>
    </row>
    <row r="1496" spans="1:22" s="79" customFormat="1" ht="36" customHeight="1" x14ac:dyDescent="0.25">
      <c r="A1496" s="79">
        <v>1</v>
      </c>
      <c r="B1496" s="80">
        <f>SUBTOTAL(103,$A$1488:A1496)</f>
        <v>9</v>
      </c>
      <c r="C1496" s="77" t="s">
        <v>2567</v>
      </c>
      <c r="D1496" s="233">
        <v>1992</v>
      </c>
      <c r="E1496" s="233" t="s">
        <v>257</v>
      </c>
      <c r="F1496" s="233" t="s">
        <v>304</v>
      </c>
      <c r="G1496" s="233">
        <v>9</v>
      </c>
      <c r="H1496" s="233">
        <v>6</v>
      </c>
      <c r="I1496" s="234">
        <v>12156.6</v>
      </c>
      <c r="J1496" s="234">
        <v>12021</v>
      </c>
      <c r="K1496" s="234">
        <v>12021</v>
      </c>
      <c r="L1496" s="239">
        <v>557</v>
      </c>
      <c r="M1496" s="233" t="s">
        <v>2694</v>
      </c>
      <c r="N1496" s="233" t="s">
        <v>258</v>
      </c>
      <c r="O1496" s="236" t="s">
        <v>334</v>
      </c>
      <c r="P1496" s="78">
        <v>12411000</v>
      </c>
      <c r="Q1496" s="78">
        <v>0</v>
      </c>
      <c r="R1496" s="78">
        <v>6864000</v>
      </c>
      <c r="S1496" s="78">
        <v>0</v>
      </c>
      <c r="T1496" s="78">
        <f t="shared" si="363"/>
        <v>5547000</v>
      </c>
      <c r="U1496" s="78">
        <f t="shared" si="362"/>
        <v>1020.9269039040521</v>
      </c>
      <c r="V1496" s="78">
        <v>1213.0694437589457</v>
      </c>
    </row>
    <row r="1497" spans="1:22" s="79" customFormat="1" ht="36" customHeight="1" x14ac:dyDescent="0.25">
      <c r="A1497" s="79">
        <v>1</v>
      </c>
      <c r="B1497" s="80">
        <f>SUBTOTAL(103,$A$1488:A1497)</f>
        <v>10</v>
      </c>
      <c r="C1497" s="77" t="s">
        <v>2568</v>
      </c>
      <c r="D1497" s="233">
        <v>1994</v>
      </c>
      <c r="E1497" s="233" t="s">
        <v>257</v>
      </c>
      <c r="F1497" s="233" t="s">
        <v>1479</v>
      </c>
      <c r="G1497" s="233">
        <v>10</v>
      </c>
      <c r="H1497" s="233">
        <v>3</v>
      </c>
      <c r="I1497" s="234">
        <v>8628.7999999999993</v>
      </c>
      <c r="J1497" s="234">
        <v>6180</v>
      </c>
      <c r="K1497" s="234">
        <v>6180</v>
      </c>
      <c r="L1497" s="239">
        <v>282</v>
      </c>
      <c r="M1497" s="233" t="s">
        <v>2694</v>
      </c>
      <c r="N1497" s="233" t="s">
        <v>258</v>
      </c>
      <c r="O1497" s="236" t="s">
        <v>2559</v>
      </c>
      <c r="P1497" s="78">
        <v>7041108</v>
      </c>
      <c r="Q1497" s="78">
        <v>0</v>
      </c>
      <c r="R1497" s="78">
        <v>3468000</v>
      </c>
      <c r="S1497" s="78">
        <v>0</v>
      </c>
      <c r="T1497" s="78">
        <f t="shared" si="363"/>
        <v>3573108</v>
      </c>
      <c r="U1497" s="78">
        <f t="shared" si="362"/>
        <v>816.00083441498248</v>
      </c>
      <c r="V1497" s="78">
        <v>925.45626274800679</v>
      </c>
    </row>
    <row r="1498" spans="1:22" s="79" customFormat="1" ht="36" customHeight="1" x14ac:dyDescent="0.25">
      <c r="A1498" s="79">
        <v>1</v>
      </c>
      <c r="B1498" s="80">
        <f>SUBTOTAL(103,$A$1488:A1498)</f>
        <v>11</v>
      </c>
      <c r="C1498" s="77" t="s">
        <v>2569</v>
      </c>
      <c r="D1498" s="233">
        <v>1993</v>
      </c>
      <c r="E1498" s="233" t="s">
        <v>257</v>
      </c>
      <c r="F1498" s="233" t="s">
        <v>1479</v>
      </c>
      <c r="G1498" s="233">
        <v>9</v>
      </c>
      <c r="H1498" s="233">
        <v>1</v>
      </c>
      <c r="I1498" s="234">
        <v>3554.1</v>
      </c>
      <c r="J1498" s="234">
        <v>3218.9</v>
      </c>
      <c r="K1498" s="234">
        <v>3218.9</v>
      </c>
      <c r="L1498" s="239">
        <v>113</v>
      </c>
      <c r="M1498" s="233" t="s">
        <v>2694</v>
      </c>
      <c r="N1498" s="233" t="s">
        <v>258</v>
      </c>
      <c r="O1498" s="236" t="s">
        <v>2559</v>
      </c>
      <c r="P1498" s="78">
        <v>2315488.7999999998</v>
      </c>
      <c r="Q1498" s="78">
        <v>0</v>
      </c>
      <c r="R1498" s="78">
        <v>1144000</v>
      </c>
      <c r="S1498" s="78">
        <v>0</v>
      </c>
      <c r="T1498" s="78">
        <f t="shared" si="363"/>
        <v>1171488.7999999998</v>
      </c>
      <c r="U1498" s="78">
        <f t="shared" si="362"/>
        <v>651.49793196589849</v>
      </c>
      <c r="V1498" s="78">
        <v>691.53934892096458</v>
      </c>
    </row>
    <row r="1499" spans="1:22" s="79" customFormat="1" ht="36" customHeight="1" x14ac:dyDescent="0.25">
      <c r="A1499" s="79">
        <v>1</v>
      </c>
      <c r="B1499" s="80">
        <f>SUBTOTAL(103,$A$1488:A1499)</f>
        <v>12</v>
      </c>
      <c r="C1499" s="77" t="s">
        <v>2570</v>
      </c>
      <c r="D1499" s="233">
        <v>1989</v>
      </c>
      <c r="E1499" s="233" t="s">
        <v>257</v>
      </c>
      <c r="F1499" s="233" t="s">
        <v>304</v>
      </c>
      <c r="G1499" s="233">
        <v>9</v>
      </c>
      <c r="H1499" s="233">
        <v>2</v>
      </c>
      <c r="I1499" s="234">
        <v>4280.3999999999996</v>
      </c>
      <c r="J1499" s="234">
        <v>3805.6</v>
      </c>
      <c r="K1499" s="234">
        <v>3805.6</v>
      </c>
      <c r="L1499" s="239">
        <v>171</v>
      </c>
      <c r="M1499" s="233" t="s">
        <v>2694</v>
      </c>
      <c r="N1499" s="233" t="s">
        <v>258</v>
      </c>
      <c r="O1499" s="236" t="s">
        <v>2559</v>
      </c>
      <c r="P1499" s="78">
        <v>4659986.4000000004</v>
      </c>
      <c r="Q1499" s="78">
        <v>0</v>
      </c>
      <c r="R1499" s="78">
        <v>2288000</v>
      </c>
      <c r="S1499" s="78">
        <v>0</v>
      </c>
      <c r="T1499" s="78">
        <f t="shared" si="363"/>
        <v>2371986.4000000004</v>
      </c>
      <c r="U1499" s="78">
        <f t="shared" si="362"/>
        <v>1088.6801233529579</v>
      </c>
      <c r="V1499" s="78">
        <v>1148.3973460424261</v>
      </c>
    </row>
    <row r="1500" spans="1:22" s="79" customFormat="1" ht="36" customHeight="1" x14ac:dyDescent="0.25">
      <c r="A1500" s="79">
        <v>1</v>
      </c>
      <c r="B1500" s="80">
        <f>SUBTOTAL(103,$A$1488:A1500)</f>
        <v>13</v>
      </c>
      <c r="C1500" s="77" t="s">
        <v>2586</v>
      </c>
      <c r="D1500" s="233">
        <v>1990</v>
      </c>
      <c r="E1500" s="233" t="s">
        <v>257</v>
      </c>
      <c r="F1500" s="233" t="s">
        <v>304</v>
      </c>
      <c r="G1500" s="233">
        <v>7</v>
      </c>
      <c r="H1500" s="233">
        <v>4</v>
      </c>
      <c r="I1500" s="234">
        <v>9992.7000000000007</v>
      </c>
      <c r="J1500" s="234">
        <v>9992.7000000000007</v>
      </c>
      <c r="K1500" s="234">
        <v>9992.7000000000007</v>
      </c>
      <c r="L1500" s="239">
        <v>286</v>
      </c>
      <c r="M1500" s="233" t="s">
        <v>2694</v>
      </c>
      <c r="N1500" s="233" t="s">
        <v>258</v>
      </c>
      <c r="O1500" s="236" t="s">
        <v>2695</v>
      </c>
      <c r="P1500" s="78">
        <v>4058612</v>
      </c>
      <c r="Q1500" s="78">
        <v>0</v>
      </c>
      <c r="R1500" s="78">
        <v>2102400</v>
      </c>
      <c r="S1500" s="78">
        <v>0</v>
      </c>
      <c r="T1500" s="78">
        <f t="shared" si="363"/>
        <v>1956212</v>
      </c>
      <c r="U1500" s="78">
        <f t="shared" si="362"/>
        <v>406.15769511743571</v>
      </c>
      <c r="V1500" s="78">
        <v>462.2278263132086</v>
      </c>
    </row>
    <row r="1501" spans="1:22" s="79" customFormat="1" ht="36" customHeight="1" x14ac:dyDescent="0.25">
      <c r="A1501" s="79">
        <v>1</v>
      </c>
      <c r="B1501" s="80">
        <f>SUBTOTAL(103,$A$1488:A1501)</f>
        <v>14</v>
      </c>
      <c r="C1501" s="77" t="s">
        <v>501</v>
      </c>
      <c r="D1501" s="233">
        <v>1996</v>
      </c>
      <c r="E1501" s="233" t="s">
        <v>257</v>
      </c>
      <c r="F1501" s="233" t="s">
        <v>304</v>
      </c>
      <c r="G1501" s="233" t="s">
        <v>343</v>
      </c>
      <c r="H1501" s="233" t="s">
        <v>295</v>
      </c>
      <c r="I1501" s="234">
        <v>8787.9</v>
      </c>
      <c r="J1501" s="234">
        <v>6287.1</v>
      </c>
      <c r="K1501" s="234">
        <v>5664.6</v>
      </c>
      <c r="L1501" s="239">
        <v>197</v>
      </c>
      <c r="M1501" s="233" t="s">
        <v>254</v>
      </c>
      <c r="N1501" s="233" t="s">
        <v>258</v>
      </c>
      <c r="O1501" s="236" t="s">
        <v>2559</v>
      </c>
      <c r="P1501" s="78">
        <v>4380955.5999999996</v>
      </c>
      <c r="Q1501" s="78">
        <v>0</v>
      </c>
      <c r="R1501" s="78">
        <v>2130400</v>
      </c>
      <c r="S1501" s="78">
        <v>0</v>
      </c>
      <c r="T1501" s="78">
        <f t="shared" si="363"/>
        <v>2250555.5999999996</v>
      </c>
      <c r="U1501" s="78">
        <f t="shared" si="362"/>
        <v>498.52133046575403</v>
      </c>
      <c r="V1501" s="78">
        <v>559.36002913096422</v>
      </c>
    </row>
    <row r="1502" spans="1:22" s="23" customFormat="1" ht="33.75" customHeight="1" x14ac:dyDescent="0.25">
      <c r="B1502" s="77" t="s">
        <v>730</v>
      </c>
      <c r="C1502" s="251"/>
      <c r="D1502" s="233" t="s">
        <v>835</v>
      </c>
      <c r="E1502" s="233" t="s">
        <v>835</v>
      </c>
      <c r="F1502" s="236" t="s">
        <v>835</v>
      </c>
      <c r="G1502" s="233" t="s">
        <v>835</v>
      </c>
      <c r="H1502" s="233" t="s">
        <v>835</v>
      </c>
      <c r="I1502" s="234">
        <f>SUM(I1503:I1535)</f>
        <v>293012.36</v>
      </c>
      <c r="J1502" s="234">
        <f>SUM(J1503:J1535)</f>
        <v>285583.10999999993</v>
      </c>
      <c r="K1502" s="234">
        <f>SUM(K1503:K1535)</f>
        <v>225766.80000000002</v>
      </c>
      <c r="L1502" s="245">
        <f>SUM(L1503:L1535)</f>
        <v>9597</v>
      </c>
      <c r="M1502" s="233" t="s">
        <v>835</v>
      </c>
      <c r="N1502" s="233" t="s">
        <v>835</v>
      </c>
      <c r="O1502" s="233" t="s">
        <v>835</v>
      </c>
      <c r="P1502" s="237">
        <v>198564072.00000003</v>
      </c>
      <c r="Q1502" s="234">
        <f>SUM(Q1503:Q1535)</f>
        <v>0</v>
      </c>
      <c r="R1502" s="234">
        <f>SUM(R1503:R1535)</f>
        <v>119296640</v>
      </c>
      <c r="S1502" s="234">
        <f>SUM(S1503:S1535)</f>
        <v>0</v>
      </c>
      <c r="T1502" s="234">
        <f>SUM(T1503:T1535)</f>
        <v>79267432.000000015</v>
      </c>
      <c r="U1502" s="78">
        <f t="shared" si="362"/>
        <v>677.6644916958453</v>
      </c>
      <c r="V1502" s="78">
        <f>MAX(V1503:V1535)</f>
        <v>1131.1150996364306</v>
      </c>
    </row>
    <row r="1503" spans="1:22" s="79" customFormat="1" ht="36" customHeight="1" x14ac:dyDescent="0.25">
      <c r="A1503" s="79">
        <v>1</v>
      </c>
      <c r="B1503" s="80">
        <f>SUBTOTAL(103,$A$1488:A1503)</f>
        <v>15</v>
      </c>
      <c r="C1503" s="77" t="s">
        <v>734</v>
      </c>
      <c r="D1503" s="233">
        <v>1991</v>
      </c>
      <c r="E1503" s="233" t="s">
        <v>257</v>
      </c>
      <c r="F1503" s="233" t="s">
        <v>304</v>
      </c>
      <c r="G1503" s="233">
        <v>9</v>
      </c>
      <c r="H1503" s="233" t="s">
        <v>295</v>
      </c>
      <c r="I1503" s="234">
        <v>10990.1</v>
      </c>
      <c r="J1503" s="234">
        <v>7793.3</v>
      </c>
      <c r="K1503" s="234">
        <v>7793.3</v>
      </c>
      <c r="L1503" s="239">
        <v>318</v>
      </c>
      <c r="M1503" s="233" t="s">
        <v>254</v>
      </c>
      <c r="N1503" s="233" t="s">
        <v>258</v>
      </c>
      <c r="O1503" s="236" t="s">
        <v>753</v>
      </c>
      <c r="P1503" s="78">
        <v>7623859.2000000002</v>
      </c>
      <c r="Q1503" s="78">
        <v>0</v>
      </c>
      <c r="R1503" s="78">
        <v>4320320</v>
      </c>
      <c r="S1503" s="78">
        <v>0</v>
      </c>
      <c r="T1503" s="78">
        <f t="shared" ref="T1503:T1535" si="364">P1503-R1503-S1503</f>
        <v>3303539.2</v>
      </c>
      <c r="U1503" s="78">
        <f t="shared" si="362"/>
        <v>693.70244128806837</v>
      </c>
      <c r="V1503" s="78">
        <v>894.55055004049098</v>
      </c>
    </row>
    <row r="1504" spans="1:22" s="79" customFormat="1" ht="36" customHeight="1" x14ac:dyDescent="0.25">
      <c r="A1504" s="79">
        <v>1</v>
      </c>
      <c r="B1504" s="80">
        <f>SUBTOTAL(103,$A$1488:A1504)</f>
        <v>16</v>
      </c>
      <c r="C1504" s="77" t="s">
        <v>1801</v>
      </c>
      <c r="D1504" s="233">
        <v>1989</v>
      </c>
      <c r="E1504" s="233" t="s">
        <v>257</v>
      </c>
      <c r="F1504" s="233" t="s">
        <v>304</v>
      </c>
      <c r="G1504" s="233">
        <v>9</v>
      </c>
      <c r="H1504" s="233" t="s">
        <v>290</v>
      </c>
      <c r="I1504" s="234">
        <v>4406.3999999999996</v>
      </c>
      <c r="J1504" s="234">
        <v>3895.4</v>
      </c>
      <c r="K1504" s="234">
        <v>3895.4</v>
      </c>
      <c r="L1504" s="239">
        <v>125</v>
      </c>
      <c r="M1504" s="233" t="s">
        <v>254</v>
      </c>
      <c r="N1504" s="233" t="s">
        <v>258</v>
      </c>
      <c r="O1504" s="236" t="s">
        <v>747</v>
      </c>
      <c r="P1504" s="78">
        <v>3354996</v>
      </c>
      <c r="Q1504" s="78">
        <v>0</v>
      </c>
      <c r="R1504" s="78">
        <v>2358400</v>
      </c>
      <c r="S1504" s="78">
        <v>0</v>
      </c>
      <c r="T1504" s="78">
        <f t="shared" si="364"/>
        <v>996596</v>
      </c>
      <c r="U1504" s="78">
        <f t="shared" si="362"/>
        <v>761.39161220043582</v>
      </c>
      <c r="V1504" s="78">
        <v>1115.559186637618</v>
      </c>
    </row>
    <row r="1505" spans="1:22" s="79" customFormat="1" ht="36" customHeight="1" x14ac:dyDescent="0.25">
      <c r="A1505" s="79">
        <v>1</v>
      </c>
      <c r="B1505" s="80">
        <f>SUBTOTAL(103,$A$1488:A1505)</f>
        <v>17</v>
      </c>
      <c r="C1505" s="77" t="s">
        <v>1800</v>
      </c>
      <c r="D1505" s="233">
        <v>1995</v>
      </c>
      <c r="E1505" s="233" t="s">
        <v>257</v>
      </c>
      <c r="F1505" s="233" t="s">
        <v>304</v>
      </c>
      <c r="G1505" s="233">
        <v>9</v>
      </c>
      <c r="H1505" s="233" t="s">
        <v>290</v>
      </c>
      <c r="I1505" s="234">
        <v>5022.6000000000004</v>
      </c>
      <c r="J1505" s="234">
        <v>3902.5</v>
      </c>
      <c r="K1505" s="234">
        <v>3902.5</v>
      </c>
      <c r="L1505" s="239">
        <v>111</v>
      </c>
      <c r="M1505" s="233" t="s">
        <v>254</v>
      </c>
      <c r="N1505" s="233" t="s">
        <v>258</v>
      </c>
      <c r="O1505" s="236" t="s">
        <v>1570</v>
      </c>
      <c r="P1505" s="78">
        <v>3358180.8</v>
      </c>
      <c r="Q1505" s="78">
        <v>0</v>
      </c>
      <c r="R1505" s="78">
        <v>2358400</v>
      </c>
      <c r="S1505" s="78">
        <v>0</v>
      </c>
      <c r="T1505" s="78">
        <f t="shared" si="364"/>
        <v>999780.79999999981</v>
      </c>
      <c r="U1505" s="78">
        <f t="shared" si="362"/>
        <v>668.61402460876832</v>
      </c>
      <c r="V1505" s="78">
        <v>978.69629275673947</v>
      </c>
    </row>
    <row r="1506" spans="1:22" s="79" customFormat="1" ht="36" customHeight="1" x14ac:dyDescent="0.25">
      <c r="A1506" s="79">
        <v>1</v>
      </c>
      <c r="B1506" s="80">
        <f>SUBTOTAL(103,$A$1488:A1506)</f>
        <v>18</v>
      </c>
      <c r="C1506" s="77" t="s">
        <v>2478</v>
      </c>
      <c r="D1506" s="233">
        <v>1994</v>
      </c>
      <c r="E1506" s="233" t="s">
        <v>257</v>
      </c>
      <c r="F1506" s="233" t="s">
        <v>304</v>
      </c>
      <c r="G1506" s="233" t="s">
        <v>343</v>
      </c>
      <c r="H1506" s="233" t="s">
        <v>299</v>
      </c>
      <c r="I1506" s="234">
        <v>7509.8</v>
      </c>
      <c r="J1506" s="234">
        <v>7509.8</v>
      </c>
      <c r="K1506" s="234">
        <v>5873.7</v>
      </c>
      <c r="L1506" s="239">
        <v>220</v>
      </c>
      <c r="M1506" s="233" t="s">
        <v>254</v>
      </c>
      <c r="N1506" s="233" t="s">
        <v>258</v>
      </c>
      <c r="O1506" s="236" t="s">
        <v>2291</v>
      </c>
      <c r="P1506" s="78">
        <v>5234436</v>
      </c>
      <c r="Q1506" s="78">
        <v>0</v>
      </c>
      <c r="R1506" s="78">
        <v>3159120</v>
      </c>
      <c r="S1506" s="78">
        <v>0</v>
      </c>
      <c r="T1506" s="78">
        <f t="shared" si="364"/>
        <v>2075316</v>
      </c>
      <c r="U1506" s="78">
        <f t="shared" si="362"/>
        <v>697.01403499427408</v>
      </c>
      <c r="V1506" s="78">
        <v>981.83706623345495</v>
      </c>
    </row>
    <row r="1507" spans="1:22" s="79" customFormat="1" ht="36" customHeight="1" x14ac:dyDescent="0.25">
      <c r="A1507" s="79">
        <v>1</v>
      </c>
      <c r="B1507" s="80">
        <f>SUBTOTAL(103,$A$1488:A1507)</f>
        <v>19</v>
      </c>
      <c r="C1507" s="77" t="s">
        <v>2479</v>
      </c>
      <c r="D1507" s="233">
        <v>1995</v>
      </c>
      <c r="E1507" s="233" t="s">
        <v>257</v>
      </c>
      <c r="F1507" s="233" t="s">
        <v>304</v>
      </c>
      <c r="G1507" s="233" t="s">
        <v>343</v>
      </c>
      <c r="H1507" s="233" t="s">
        <v>290</v>
      </c>
      <c r="I1507" s="234">
        <v>4981.6000000000004</v>
      </c>
      <c r="J1507" s="234">
        <v>4981.6000000000004</v>
      </c>
      <c r="K1507" s="234">
        <v>3855.3</v>
      </c>
      <c r="L1507" s="239">
        <v>151</v>
      </c>
      <c r="M1507" s="233" t="s">
        <v>254</v>
      </c>
      <c r="N1507" s="233" t="s">
        <v>258</v>
      </c>
      <c r="O1507" s="236" t="s">
        <v>2291</v>
      </c>
      <c r="P1507" s="78">
        <v>3480376.8</v>
      </c>
      <c r="Q1507" s="78">
        <v>0</v>
      </c>
      <c r="R1507" s="78">
        <v>2106080</v>
      </c>
      <c r="S1507" s="78">
        <v>0</v>
      </c>
      <c r="T1507" s="78">
        <f t="shared" si="364"/>
        <v>1374296.7999999998</v>
      </c>
      <c r="U1507" s="78">
        <f t="shared" si="362"/>
        <v>698.64637867351848</v>
      </c>
      <c r="V1507" s="78">
        <v>986.7512445800545</v>
      </c>
    </row>
    <row r="1508" spans="1:22" s="79" customFormat="1" ht="36" customHeight="1" x14ac:dyDescent="0.25">
      <c r="A1508" s="79">
        <v>1</v>
      </c>
      <c r="B1508" s="80">
        <f>SUBTOTAL(103,$A$1488:A1508)</f>
        <v>20</v>
      </c>
      <c r="C1508" s="77" t="s">
        <v>2480</v>
      </c>
      <c r="D1508" s="233">
        <v>1994</v>
      </c>
      <c r="E1508" s="233" t="s">
        <v>257</v>
      </c>
      <c r="F1508" s="233" t="s">
        <v>304</v>
      </c>
      <c r="G1508" s="233" t="s">
        <v>343</v>
      </c>
      <c r="H1508" s="233" t="s">
        <v>290</v>
      </c>
      <c r="I1508" s="234">
        <v>4945.1000000000004</v>
      </c>
      <c r="J1508" s="234">
        <v>4945.1000000000004</v>
      </c>
      <c r="K1508" s="234">
        <v>3847</v>
      </c>
      <c r="L1508" s="239">
        <v>160</v>
      </c>
      <c r="M1508" s="233" t="s">
        <v>254</v>
      </c>
      <c r="N1508" s="233" t="s">
        <v>258</v>
      </c>
      <c r="O1508" s="236" t="s">
        <v>2291</v>
      </c>
      <c r="P1508" s="78">
        <v>3480381.6</v>
      </c>
      <c r="Q1508" s="78">
        <v>0</v>
      </c>
      <c r="R1508" s="78">
        <v>2106080</v>
      </c>
      <c r="S1508" s="78">
        <v>0</v>
      </c>
      <c r="T1508" s="78">
        <f t="shared" si="364"/>
        <v>1374301.6</v>
      </c>
      <c r="U1508" s="78">
        <f t="shared" si="362"/>
        <v>703.80408889607895</v>
      </c>
      <c r="V1508" s="78">
        <v>994.03449879678863</v>
      </c>
    </row>
    <row r="1509" spans="1:22" s="79" customFormat="1" ht="36" customHeight="1" x14ac:dyDescent="0.25">
      <c r="A1509" s="79">
        <v>1</v>
      </c>
      <c r="B1509" s="80">
        <f>SUBTOTAL(103,$A$1488:A1509)</f>
        <v>21</v>
      </c>
      <c r="C1509" s="77" t="s">
        <v>2481</v>
      </c>
      <c r="D1509" s="233">
        <v>1989</v>
      </c>
      <c r="E1509" s="233" t="s">
        <v>257</v>
      </c>
      <c r="F1509" s="233" t="s">
        <v>304</v>
      </c>
      <c r="G1509" s="233" t="s">
        <v>343</v>
      </c>
      <c r="H1509" s="233">
        <v>12</v>
      </c>
      <c r="I1509" s="234">
        <v>33058.300000000003</v>
      </c>
      <c r="J1509" s="234">
        <v>32003.25</v>
      </c>
      <c r="K1509" s="234">
        <v>22816.2</v>
      </c>
      <c r="L1509" s="239">
        <v>977</v>
      </c>
      <c r="M1509" s="233" t="s">
        <v>254</v>
      </c>
      <c r="N1509" s="233" t="s">
        <v>258</v>
      </c>
      <c r="O1509" s="236" t="s">
        <v>2524</v>
      </c>
      <c r="P1509" s="78">
        <v>15799612.800000001</v>
      </c>
      <c r="Q1509" s="78">
        <v>0</v>
      </c>
      <c r="R1509" s="78">
        <v>9509680</v>
      </c>
      <c r="S1509" s="78">
        <v>0</v>
      </c>
      <c r="T1509" s="78">
        <f t="shared" si="364"/>
        <v>6289932.8000000007</v>
      </c>
      <c r="U1509" s="78">
        <f t="shared" si="362"/>
        <v>477.9317992758248</v>
      </c>
      <c r="V1509" s="78">
        <v>669.12696660142831</v>
      </c>
    </row>
    <row r="1510" spans="1:22" s="79" customFormat="1" ht="36" customHeight="1" x14ac:dyDescent="0.25">
      <c r="A1510" s="79">
        <v>1</v>
      </c>
      <c r="B1510" s="80">
        <f>SUBTOTAL(103,$A$1488:A1510)</f>
        <v>22</v>
      </c>
      <c r="C1510" s="77" t="s">
        <v>2482</v>
      </c>
      <c r="D1510" s="233">
        <v>1991</v>
      </c>
      <c r="E1510" s="233" t="s">
        <v>257</v>
      </c>
      <c r="F1510" s="233" t="s">
        <v>304</v>
      </c>
      <c r="G1510" s="233" t="s">
        <v>343</v>
      </c>
      <c r="H1510" s="233" t="s">
        <v>299</v>
      </c>
      <c r="I1510" s="234">
        <v>7550.6</v>
      </c>
      <c r="J1510" s="234">
        <v>7550.6</v>
      </c>
      <c r="K1510" s="234">
        <v>5871.8</v>
      </c>
      <c r="L1510" s="239">
        <v>256</v>
      </c>
      <c r="M1510" s="233" t="s">
        <v>254</v>
      </c>
      <c r="N1510" s="233" t="s">
        <v>258</v>
      </c>
      <c r="O1510" s="236" t="s">
        <v>2291</v>
      </c>
      <c r="P1510" s="78">
        <v>5236848</v>
      </c>
      <c r="Q1510" s="78">
        <v>0</v>
      </c>
      <c r="R1510" s="78">
        <v>3159120</v>
      </c>
      <c r="S1510" s="78">
        <v>0</v>
      </c>
      <c r="T1510" s="78">
        <f t="shared" si="364"/>
        <v>2077728</v>
      </c>
      <c r="U1510" s="78">
        <f t="shared" si="362"/>
        <v>693.56713373771618</v>
      </c>
      <c r="V1510" s="78">
        <v>976.53166635764046</v>
      </c>
    </row>
    <row r="1511" spans="1:22" s="79" customFormat="1" ht="36" customHeight="1" x14ac:dyDescent="0.25">
      <c r="A1511" s="79">
        <v>1</v>
      </c>
      <c r="B1511" s="80">
        <f>SUBTOTAL(103,$A$1488:A1511)</f>
        <v>23</v>
      </c>
      <c r="C1511" s="77" t="s">
        <v>2483</v>
      </c>
      <c r="D1511" s="233">
        <v>1984</v>
      </c>
      <c r="E1511" s="233" t="s">
        <v>257</v>
      </c>
      <c r="F1511" s="233" t="s">
        <v>304</v>
      </c>
      <c r="G1511" s="233" t="s">
        <v>343</v>
      </c>
      <c r="H1511" s="233" t="s">
        <v>299</v>
      </c>
      <c r="I1511" s="234">
        <v>8008.7</v>
      </c>
      <c r="J1511" s="234">
        <v>8008.3</v>
      </c>
      <c r="K1511" s="234">
        <v>6267.8</v>
      </c>
      <c r="L1511" s="239">
        <v>237</v>
      </c>
      <c r="M1511" s="233" t="s">
        <v>254</v>
      </c>
      <c r="N1511" s="233" t="s">
        <v>258</v>
      </c>
      <c r="O1511" s="236" t="s">
        <v>2291</v>
      </c>
      <c r="P1511" s="78">
        <v>5372874</v>
      </c>
      <c r="Q1511" s="78">
        <v>0</v>
      </c>
      <c r="R1511" s="78">
        <v>3207600</v>
      </c>
      <c r="S1511" s="78">
        <v>0</v>
      </c>
      <c r="T1511" s="78">
        <f t="shared" si="364"/>
        <v>2165274</v>
      </c>
      <c r="U1511" s="78">
        <f t="shared" si="362"/>
        <v>670.87966836065777</v>
      </c>
      <c r="V1511" s="78">
        <v>920.67376727808505</v>
      </c>
    </row>
    <row r="1512" spans="1:22" s="79" customFormat="1" ht="36" customHeight="1" x14ac:dyDescent="0.25">
      <c r="A1512" s="79">
        <v>1</v>
      </c>
      <c r="B1512" s="80">
        <f>SUBTOTAL(103,$A$1488:A1512)</f>
        <v>24</v>
      </c>
      <c r="C1512" s="77" t="s">
        <v>2484</v>
      </c>
      <c r="D1512" s="233">
        <v>1983</v>
      </c>
      <c r="E1512" s="233" t="s">
        <v>257</v>
      </c>
      <c r="F1512" s="233" t="s">
        <v>304</v>
      </c>
      <c r="G1512" s="233" t="s">
        <v>343</v>
      </c>
      <c r="H1512" s="233" t="s">
        <v>295</v>
      </c>
      <c r="I1512" s="234">
        <v>9628.9</v>
      </c>
      <c r="J1512" s="234">
        <v>9628.9</v>
      </c>
      <c r="K1512" s="234">
        <v>7113.7</v>
      </c>
      <c r="L1512" s="239">
        <v>330</v>
      </c>
      <c r="M1512" s="233" t="s">
        <v>254</v>
      </c>
      <c r="N1512" s="233" t="s">
        <v>258</v>
      </c>
      <c r="O1512" s="236" t="s">
        <v>2528</v>
      </c>
      <c r="P1512" s="78">
        <v>5421124.8000000007</v>
      </c>
      <c r="Q1512" s="78">
        <v>0</v>
      </c>
      <c r="R1512" s="78">
        <v>3207600</v>
      </c>
      <c r="S1512" s="78">
        <v>0</v>
      </c>
      <c r="T1512" s="78">
        <f t="shared" si="364"/>
        <v>2213524.8000000007</v>
      </c>
      <c r="U1512" s="78">
        <f t="shared" si="362"/>
        <v>563.00561850263284</v>
      </c>
      <c r="V1512" s="78">
        <v>765.75725160714103</v>
      </c>
    </row>
    <row r="1513" spans="1:22" s="79" customFormat="1" ht="36" customHeight="1" x14ac:dyDescent="0.25">
      <c r="A1513" s="79">
        <v>1</v>
      </c>
      <c r="B1513" s="80">
        <f>SUBTOTAL(103,$A$1488:A1513)</f>
        <v>25</v>
      </c>
      <c r="C1513" s="77" t="s">
        <v>2485</v>
      </c>
      <c r="D1513" s="233">
        <v>1982</v>
      </c>
      <c r="E1513" s="233" t="s">
        <v>257</v>
      </c>
      <c r="F1513" s="233" t="s">
        <v>304</v>
      </c>
      <c r="G1513" s="233" t="s">
        <v>343</v>
      </c>
      <c r="H1513" s="233" t="s">
        <v>295</v>
      </c>
      <c r="I1513" s="234">
        <v>9581.2999999999993</v>
      </c>
      <c r="J1513" s="234">
        <v>9581.2999999999993</v>
      </c>
      <c r="K1513" s="234">
        <v>7107.6</v>
      </c>
      <c r="L1513" s="239">
        <v>326</v>
      </c>
      <c r="M1513" s="233" t="s">
        <v>254</v>
      </c>
      <c r="N1513" s="233" t="s">
        <v>258</v>
      </c>
      <c r="O1513" s="236" t="s">
        <v>2530</v>
      </c>
      <c r="P1513" s="78">
        <v>7223596.7999999998</v>
      </c>
      <c r="Q1513" s="78">
        <v>0</v>
      </c>
      <c r="R1513" s="78">
        <v>4276800</v>
      </c>
      <c r="S1513" s="78">
        <v>0</v>
      </c>
      <c r="T1513" s="78">
        <f t="shared" si="364"/>
        <v>2946796.8</v>
      </c>
      <c r="U1513" s="78">
        <f t="shared" si="362"/>
        <v>753.92658616262929</v>
      </c>
      <c r="V1513" s="78">
        <v>1026.0820556709425</v>
      </c>
    </row>
    <row r="1514" spans="1:22" s="79" customFormat="1" ht="36" customHeight="1" x14ac:dyDescent="0.25">
      <c r="A1514" s="79">
        <v>1</v>
      </c>
      <c r="B1514" s="80">
        <f>SUBTOTAL(103,$A$1488:A1514)</f>
        <v>26</v>
      </c>
      <c r="C1514" s="77" t="s">
        <v>2486</v>
      </c>
      <c r="D1514" s="233">
        <v>1983</v>
      </c>
      <c r="E1514" s="233" t="s">
        <v>257</v>
      </c>
      <c r="F1514" s="233" t="s">
        <v>304</v>
      </c>
      <c r="G1514" s="233" t="s">
        <v>343</v>
      </c>
      <c r="H1514" s="233" t="s">
        <v>290</v>
      </c>
      <c r="I1514" s="234">
        <v>4949.49</v>
      </c>
      <c r="J1514" s="234">
        <v>4949.49</v>
      </c>
      <c r="K1514" s="234">
        <v>3860.1</v>
      </c>
      <c r="L1514" s="239">
        <v>163</v>
      </c>
      <c r="M1514" s="233" t="s">
        <v>254</v>
      </c>
      <c r="N1514" s="233" t="s">
        <v>258</v>
      </c>
      <c r="O1514" s="236" t="s">
        <v>2528</v>
      </c>
      <c r="P1514" s="78">
        <v>3572692.8</v>
      </c>
      <c r="Q1514" s="78">
        <v>0</v>
      </c>
      <c r="R1514" s="78">
        <v>2138400</v>
      </c>
      <c r="S1514" s="78">
        <v>0</v>
      </c>
      <c r="T1514" s="78">
        <f t="shared" si="364"/>
        <v>1434292.7999999998</v>
      </c>
      <c r="U1514" s="78">
        <f t="shared" si="362"/>
        <v>721.83049162640998</v>
      </c>
      <c r="V1514" s="78">
        <v>993.15282988752381</v>
      </c>
    </row>
    <row r="1515" spans="1:22" s="79" customFormat="1" ht="36" customHeight="1" x14ac:dyDescent="0.25">
      <c r="A1515" s="79">
        <v>1</v>
      </c>
      <c r="B1515" s="80">
        <f>SUBTOTAL(103,$A$1488:A1515)</f>
        <v>27</v>
      </c>
      <c r="C1515" s="77" t="s">
        <v>2487</v>
      </c>
      <c r="D1515" s="233">
        <v>1982</v>
      </c>
      <c r="E1515" s="233" t="s">
        <v>257</v>
      </c>
      <c r="F1515" s="233" t="s">
        <v>304</v>
      </c>
      <c r="G1515" s="233" t="s">
        <v>343</v>
      </c>
      <c r="H1515" s="233" t="s">
        <v>290</v>
      </c>
      <c r="I1515" s="234">
        <v>4951.76</v>
      </c>
      <c r="J1515" s="234">
        <v>4951.76</v>
      </c>
      <c r="K1515" s="234">
        <v>3868.4</v>
      </c>
      <c r="L1515" s="239">
        <v>179</v>
      </c>
      <c r="M1515" s="233" t="s">
        <v>254</v>
      </c>
      <c r="N1515" s="233" t="s">
        <v>258</v>
      </c>
      <c r="O1515" s="236" t="s">
        <v>2528</v>
      </c>
      <c r="P1515" s="78">
        <v>3622476</v>
      </c>
      <c r="Q1515" s="78">
        <v>0</v>
      </c>
      <c r="R1515" s="78">
        <v>2138400</v>
      </c>
      <c r="S1515" s="78">
        <v>0</v>
      </c>
      <c r="T1515" s="78">
        <f t="shared" si="364"/>
        <v>1484076</v>
      </c>
      <c r="U1515" s="78">
        <f t="shared" si="362"/>
        <v>731.5532255198151</v>
      </c>
      <c r="V1515" s="78">
        <v>992.69754592306572</v>
      </c>
    </row>
    <row r="1516" spans="1:22" s="79" customFormat="1" ht="36" customHeight="1" x14ac:dyDescent="0.25">
      <c r="A1516" s="79">
        <v>1</v>
      </c>
      <c r="B1516" s="80">
        <f>SUBTOTAL(103,$A$1488:A1516)</f>
        <v>28</v>
      </c>
      <c r="C1516" s="77" t="s">
        <v>1695</v>
      </c>
      <c r="D1516" s="233">
        <v>1984</v>
      </c>
      <c r="E1516" s="233" t="s">
        <v>257</v>
      </c>
      <c r="F1516" s="233" t="s">
        <v>304</v>
      </c>
      <c r="G1516" s="233" t="s">
        <v>343</v>
      </c>
      <c r="H1516" s="233" t="s">
        <v>295</v>
      </c>
      <c r="I1516" s="234">
        <v>9011.44</v>
      </c>
      <c r="J1516" s="234">
        <v>9011.44</v>
      </c>
      <c r="K1516" s="234">
        <v>6852.4</v>
      </c>
      <c r="L1516" s="239">
        <v>304</v>
      </c>
      <c r="M1516" s="233" t="s">
        <v>254</v>
      </c>
      <c r="N1516" s="233" t="s">
        <v>258</v>
      </c>
      <c r="O1516" s="236" t="s">
        <v>2528</v>
      </c>
      <c r="P1516" s="78">
        <v>5435416.8000000007</v>
      </c>
      <c r="Q1516" s="78">
        <v>0</v>
      </c>
      <c r="R1516" s="78">
        <v>3207600</v>
      </c>
      <c r="S1516" s="78">
        <v>0</v>
      </c>
      <c r="T1516" s="78">
        <f t="shared" si="364"/>
        <v>2227816.8000000007</v>
      </c>
      <c r="U1516" s="78">
        <f t="shared" si="362"/>
        <v>603.16850581039216</v>
      </c>
      <c r="V1516" s="78">
        <v>818.22660973162999</v>
      </c>
    </row>
    <row r="1517" spans="1:22" s="79" customFormat="1" ht="36" customHeight="1" x14ac:dyDescent="0.25">
      <c r="A1517" s="79">
        <v>1</v>
      </c>
      <c r="B1517" s="80">
        <f>SUBTOTAL(103,$A$1488:A1517)</f>
        <v>29</v>
      </c>
      <c r="C1517" s="77" t="s">
        <v>2488</v>
      </c>
      <c r="D1517" s="233">
        <v>1986</v>
      </c>
      <c r="E1517" s="233" t="s">
        <v>257</v>
      </c>
      <c r="F1517" s="233" t="s">
        <v>304</v>
      </c>
      <c r="G1517" s="233" t="s">
        <v>343</v>
      </c>
      <c r="H1517" s="233" t="s">
        <v>295</v>
      </c>
      <c r="I1517" s="234">
        <v>8922.0400000000009</v>
      </c>
      <c r="J1517" s="234">
        <v>8922.0400000000009</v>
      </c>
      <c r="K1517" s="234">
        <v>6888</v>
      </c>
      <c r="L1517" s="239">
        <v>331</v>
      </c>
      <c r="M1517" s="233" t="s">
        <v>254</v>
      </c>
      <c r="N1517" s="233" t="s">
        <v>258</v>
      </c>
      <c r="O1517" s="236" t="s">
        <v>2528</v>
      </c>
      <c r="P1517" s="78">
        <v>7259352</v>
      </c>
      <c r="Q1517" s="78">
        <v>0</v>
      </c>
      <c r="R1517" s="78">
        <v>4276800</v>
      </c>
      <c r="S1517" s="78">
        <v>0</v>
      </c>
      <c r="T1517" s="78">
        <f t="shared" si="364"/>
        <v>2982552</v>
      </c>
      <c r="U1517" s="78">
        <f t="shared" si="362"/>
        <v>813.64261984927202</v>
      </c>
      <c r="V1517" s="78">
        <v>1101.9004622261275</v>
      </c>
    </row>
    <row r="1518" spans="1:22" s="79" customFormat="1" ht="36" customHeight="1" x14ac:dyDescent="0.25">
      <c r="A1518" s="79">
        <v>1</v>
      </c>
      <c r="B1518" s="80">
        <f>SUBTOTAL(103,$A$1488:A1518)</f>
        <v>30</v>
      </c>
      <c r="C1518" s="77" t="s">
        <v>2388</v>
      </c>
      <c r="D1518" s="233">
        <v>1983</v>
      </c>
      <c r="E1518" s="233" t="s">
        <v>257</v>
      </c>
      <c r="F1518" s="233" t="s">
        <v>304</v>
      </c>
      <c r="G1518" s="233" t="s">
        <v>343</v>
      </c>
      <c r="H1518" s="233" t="s">
        <v>295</v>
      </c>
      <c r="I1518" s="234">
        <v>8995.5400000000009</v>
      </c>
      <c r="J1518" s="234">
        <v>8995.5400000000009</v>
      </c>
      <c r="K1518" s="234">
        <v>6957.5</v>
      </c>
      <c r="L1518" s="239">
        <v>359</v>
      </c>
      <c r="M1518" s="233" t="s">
        <v>254</v>
      </c>
      <c r="N1518" s="233" t="s">
        <v>258</v>
      </c>
      <c r="O1518" s="236" t="s">
        <v>2528</v>
      </c>
      <c r="P1518" s="78">
        <v>5435442</v>
      </c>
      <c r="Q1518" s="78">
        <v>0</v>
      </c>
      <c r="R1518" s="78">
        <v>3207600</v>
      </c>
      <c r="S1518" s="78">
        <v>0</v>
      </c>
      <c r="T1518" s="78">
        <f t="shared" si="364"/>
        <v>2227842</v>
      </c>
      <c r="U1518" s="78">
        <f t="shared" si="362"/>
        <v>604.23743321690517</v>
      </c>
      <c r="V1518" s="78">
        <v>819.67286010623036</v>
      </c>
    </row>
    <row r="1519" spans="1:22" s="79" customFormat="1" ht="36" customHeight="1" x14ac:dyDescent="0.25">
      <c r="A1519" s="79">
        <v>1</v>
      </c>
      <c r="B1519" s="80">
        <f>SUBTOTAL(103,$A$1488:A1519)</f>
        <v>31</v>
      </c>
      <c r="C1519" s="77" t="s">
        <v>2489</v>
      </c>
      <c r="D1519" s="233">
        <v>1990</v>
      </c>
      <c r="E1519" s="233" t="s">
        <v>257</v>
      </c>
      <c r="F1519" s="233" t="s">
        <v>304</v>
      </c>
      <c r="G1519" s="233" t="s">
        <v>343</v>
      </c>
      <c r="H1519" s="233" t="s">
        <v>337</v>
      </c>
      <c r="I1519" s="234">
        <v>12418.1</v>
      </c>
      <c r="J1519" s="234">
        <v>12414.2</v>
      </c>
      <c r="K1519" s="234">
        <v>9746.7999999999993</v>
      </c>
      <c r="L1519" s="239">
        <v>415</v>
      </c>
      <c r="M1519" s="233" t="s">
        <v>254</v>
      </c>
      <c r="N1519" s="233" t="s">
        <v>258</v>
      </c>
      <c r="O1519" s="236" t="s">
        <v>2291</v>
      </c>
      <c r="P1519" s="78">
        <v>8728080</v>
      </c>
      <c r="Q1519" s="78">
        <v>0</v>
      </c>
      <c r="R1519" s="78">
        <v>5265200</v>
      </c>
      <c r="S1519" s="78">
        <v>0</v>
      </c>
      <c r="T1519" s="78">
        <f t="shared" si="364"/>
        <v>3462880</v>
      </c>
      <c r="U1519" s="78">
        <f t="shared" si="362"/>
        <v>702.85148291606606</v>
      </c>
      <c r="V1519" s="78">
        <v>989.6038846522415</v>
      </c>
    </row>
    <row r="1520" spans="1:22" s="79" customFormat="1" ht="36" customHeight="1" x14ac:dyDescent="0.25">
      <c r="A1520" s="79">
        <v>1</v>
      </c>
      <c r="B1520" s="80">
        <f>SUBTOTAL(103,$A$1488:A1520)</f>
        <v>32</v>
      </c>
      <c r="C1520" s="77" t="s">
        <v>2490</v>
      </c>
      <c r="D1520" s="233">
        <v>1993</v>
      </c>
      <c r="E1520" s="233" t="s">
        <v>257</v>
      </c>
      <c r="F1520" s="233" t="s">
        <v>304</v>
      </c>
      <c r="G1520" s="233" t="s">
        <v>343</v>
      </c>
      <c r="H1520" s="233" t="s">
        <v>295</v>
      </c>
      <c r="I1520" s="234">
        <v>10031.700000000001</v>
      </c>
      <c r="J1520" s="234">
        <v>8599.4</v>
      </c>
      <c r="K1520" s="234">
        <v>5931.8</v>
      </c>
      <c r="L1520" s="239">
        <v>318</v>
      </c>
      <c r="M1520" s="233" t="s">
        <v>254</v>
      </c>
      <c r="N1520" s="233" t="s">
        <v>258</v>
      </c>
      <c r="O1520" s="236" t="s">
        <v>2291</v>
      </c>
      <c r="P1520" s="78">
        <v>6983966.4000000004</v>
      </c>
      <c r="Q1520" s="78">
        <v>0</v>
      </c>
      <c r="R1520" s="78">
        <v>4212160</v>
      </c>
      <c r="S1520" s="78">
        <v>0</v>
      </c>
      <c r="T1520" s="78">
        <f t="shared" si="364"/>
        <v>2771806.4000000004</v>
      </c>
      <c r="U1520" s="78">
        <f t="shared" si="362"/>
        <v>696.18971859206317</v>
      </c>
      <c r="V1520" s="78">
        <v>980.01335765622969</v>
      </c>
    </row>
    <row r="1521" spans="1:22" s="79" customFormat="1" ht="36" customHeight="1" x14ac:dyDescent="0.25">
      <c r="A1521" s="79">
        <v>1</v>
      </c>
      <c r="B1521" s="80">
        <f>SUBTOTAL(103,$A$1488:A1521)</f>
        <v>33</v>
      </c>
      <c r="C1521" s="77" t="s">
        <v>2491</v>
      </c>
      <c r="D1521" s="233">
        <v>1993</v>
      </c>
      <c r="E1521" s="233" t="s">
        <v>257</v>
      </c>
      <c r="F1521" s="233" t="s">
        <v>304</v>
      </c>
      <c r="G1521" s="233" t="s">
        <v>343</v>
      </c>
      <c r="H1521" s="233" t="s">
        <v>299</v>
      </c>
      <c r="I1521" s="234">
        <v>8599.4</v>
      </c>
      <c r="J1521" s="234">
        <v>8599.4</v>
      </c>
      <c r="K1521" s="234">
        <v>5931.8</v>
      </c>
      <c r="L1521" s="239">
        <v>249</v>
      </c>
      <c r="M1521" s="233" t="s">
        <v>254</v>
      </c>
      <c r="N1521" s="233" t="s">
        <v>258</v>
      </c>
      <c r="O1521" s="236" t="s">
        <v>2539</v>
      </c>
      <c r="P1521" s="78">
        <v>5374782</v>
      </c>
      <c r="Q1521" s="78">
        <v>0</v>
      </c>
      <c r="R1521" s="78">
        <v>3207600</v>
      </c>
      <c r="S1521" s="78">
        <v>0</v>
      </c>
      <c r="T1521" s="78">
        <f t="shared" si="364"/>
        <v>2167182</v>
      </c>
      <c r="U1521" s="78">
        <f t="shared" si="362"/>
        <v>625.01825708770377</v>
      </c>
      <c r="V1521" s="78">
        <v>857.43191385445505</v>
      </c>
    </row>
    <row r="1522" spans="1:22" s="79" customFormat="1" ht="36" customHeight="1" x14ac:dyDescent="0.25">
      <c r="A1522" s="79">
        <v>1</v>
      </c>
      <c r="B1522" s="80">
        <f>SUBTOTAL(103,$A$1488:A1522)</f>
        <v>34</v>
      </c>
      <c r="C1522" s="77" t="s">
        <v>2492</v>
      </c>
      <c r="D1522" s="233">
        <v>1983</v>
      </c>
      <c r="E1522" s="233" t="s">
        <v>257</v>
      </c>
      <c r="F1522" s="233" t="s">
        <v>2518</v>
      </c>
      <c r="G1522" s="233" t="s">
        <v>343</v>
      </c>
      <c r="H1522" s="233">
        <v>1</v>
      </c>
      <c r="I1522" s="234">
        <v>4378.03</v>
      </c>
      <c r="J1522" s="234">
        <v>4378.03</v>
      </c>
      <c r="K1522" s="234">
        <v>3117.3</v>
      </c>
      <c r="L1522" s="239">
        <v>146</v>
      </c>
      <c r="M1522" s="233" t="s">
        <v>254</v>
      </c>
      <c r="N1522" s="233" t="s">
        <v>258</v>
      </c>
      <c r="O1522" s="236" t="s">
        <v>2524</v>
      </c>
      <c r="P1522" s="78">
        <v>1790612.4</v>
      </c>
      <c r="Q1522" s="78">
        <v>0</v>
      </c>
      <c r="R1522" s="78">
        <v>1069200</v>
      </c>
      <c r="S1522" s="78">
        <v>0</v>
      </c>
      <c r="T1522" s="78">
        <f t="shared" si="364"/>
        <v>721412.39999999991</v>
      </c>
      <c r="U1522" s="78">
        <f t="shared" si="362"/>
        <v>408.9995728672485</v>
      </c>
      <c r="V1522" s="78">
        <v>561.39405166250572</v>
      </c>
    </row>
    <row r="1523" spans="1:22" s="79" customFormat="1" ht="36" customHeight="1" x14ac:dyDescent="0.25">
      <c r="A1523" s="79">
        <v>1</v>
      </c>
      <c r="B1523" s="80">
        <f>SUBTOTAL(103,$A$1488:A1523)</f>
        <v>35</v>
      </c>
      <c r="C1523" s="77" t="s">
        <v>2493</v>
      </c>
      <c r="D1523" s="233">
        <v>1993</v>
      </c>
      <c r="E1523" s="233" t="s">
        <v>257</v>
      </c>
      <c r="F1523" s="233" t="s">
        <v>304</v>
      </c>
      <c r="G1523" s="233" t="s">
        <v>343</v>
      </c>
      <c r="H1523" s="233" t="s">
        <v>290</v>
      </c>
      <c r="I1523" s="234">
        <v>4345.8</v>
      </c>
      <c r="J1523" s="234">
        <v>4345.8</v>
      </c>
      <c r="K1523" s="234">
        <v>3869.1</v>
      </c>
      <c r="L1523" s="239">
        <v>161</v>
      </c>
      <c r="M1523" s="233" t="s">
        <v>254</v>
      </c>
      <c r="N1523" s="233" t="s">
        <v>258</v>
      </c>
      <c r="O1523" s="236" t="s">
        <v>2530</v>
      </c>
      <c r="P1523" s="78">
        <v>3486403.2</v>
      </c>
      <c r="Q1523" s="78">
        <v>0</v>
      </c>
      <c r="R1523" s="78">
        <v>2106080</v>
      </c>
      <c r="S1523" s="78">
        <v>0</v>
      </c>
      <c r="T1523" s="78">
        <f t="shared" si="364"/>
        <v>1380323.2000000002</v>
      </c>
      <c r="U1523" s="78">
        <f t="shared" si="362"/>
        <v>802.246582907635</v>
      </c>
      <c r="V1523" s="78">
        <v>1131.1150996364306</v>
      </c>
    </row>
    <row r="1524" spans="1:22" s="79" customFormat="1" ht="36" customHeight="1" x14ac:dyDescent="0.25">
      <c r="A1524" s="79">
        <v>1</v>
      </c>
      <c r="B1524" s="80">
        <f>SUBTOTAL(103,$A$1488:A1524)</f>
        <v>36</v>
      </c>
      <c r="C1524" s="77" t="s">
        <v>1988</v>
      </c>
      <c r="D1524" s="233">
        <v>1979</v>
      </c>
      <c r="E1524" s="233" t="s">
        <v>1435</v>
      </c>
      <c r="F1524" s="233" t="s">
        <v>304</v>
      </c>
      <c r="G1524" s="233" t="s">
        <v>343</v>
      </c>
      <c r="H1524" s="233">
        <v>4</v>
      </c>
      <c r="I1524" s="234">
        <v>8810.4</v>
      </c>
      <c r="J1524" s="234">
        <v>8733.6</v>
      </c>
      <c r="K1524" s="234">
        <v>7873.9</v>
      </c>
      <c r="L1524" s="239">
        <v>302</v>
      </c>
      <c r="M1524" s="233" t="s">
        <v>254</v>
      </c>
      <c r="N1524" s="233" t="s">
        <v>327</v>
      </c>
      <c r="O1524" s="236" t="s">
        <v>2543</v>
      </c>
      <c r="P1524" s="78">
        <v>7260115.2000000002</v>
      </c>
      <c r="Q1524" s="78">
        <v>0</v>
      </c>
      <c r="R1524" s="78">
        <v>4276800</v>
      </c>
      <c r="S1524" s="78">
        <v>0</v>
      </c>
      <c r="T1524" s="78">
        <f t="shared" si="364"/>
        <v>2983315.2</v>
      </c>
      <c r="U1524" s="78">
        <f t="shared" si="362"/>
        <v>824.03922636883692</v>
      </c>
      <c r="V1524" s="78">
        <v>1115.8630709161901</v>
      </c>
    </row>
    <row r="1525" spans="1:22" s="79" customFormat="1" ht="36" customHeight="1" x14ac:dyDescent="0.25">
      <c r="A1525" s="79">
        <v>1</v>
      </c>
      <c r="B1525" s="80">
        <f>SUBTOTAL(103,$A$1488:A1525)</f>
        <v>37</v>
      </c>
      <c r="C1525" s="77" t="s">
        <v>2394</v>
      </c>
      <c r="D1525" s="233">
        <v>1981</v>
      </c>
      <c r="E1525" s="233" t="s">
        <v>257</v>
      </c>
      <c r="F1525" s="233" t="s">
        <v>304</v>
      </c>
      <c r="G1525" s="233" t="s">
        <v>343</v>
      </c>
      <c r="H1525" s="233" t="s">
        <v>295</v>
      </c>
      <c r="I1525" s="234">
        <v>8841</v>
      </c>
      <c r="J1525" s="234">
        <v>8841</v>
      </c>
      <c r="K1525" s="234">
        <v>7877.4</v>
      </c>
      <c r="L1525" s="239">
        <v>365</v>
      </c>
      <c r="M1525" s="233" t="s">
        <v>254</v>
      </c>
      <c r="N1525" s="233" t="s">
        <v>327</v>
      </c>
      <c r="O1525" s="236" t="s">
        <v>2545</v>
      </c>
      <c r="P1525" s="78">
        <v>7260115.2000000002</v>
      </c>
      <c r="Q1525" s="78">
        <v>0</v>
      </c>
      <c r="R1525" s="78">
        <v>4276800</v>
      </c>
      <c r="S1525" s="78">
        <v>0</v>
      </c>
      <c r="T1525" s="78">
        <f t="shared" si="364"/>
        <v>2983315.2</v>
      </c>
      <c r="U1525" s="78">
        <f t="shared" si="362"/>
        <v>821.18710553104859</v>
      </c>
      <c r="V1525" s="78">
        <v>1112.0009048750142</v>
      </c>
    </row>
    <row r="1526" spans="1:22" s="79" customFormat="1" ht="36" customHeight="1" x14ac:dyDescent="0.25">
      <c r="A1526" s="79">
        <v>1</v>
      </c>
      <c r="B1526" s="80">
        <f>SUBTOTAL(103,$A$1488:A1526)</f>
        <v>38</v>
      </c>
      <c r="C1526" s="77" t="s">
        <v>1705</v>
      </c>
      <c r="D1526" s="233">
        <v>1989</v>
      </c>
      <c r="E1526" s="233" t="s">
        <v>257</v>
      </c>
      <c r="F1526" s="233" t="s">
        <v>304</v>
      </c>
      <c r="G1526" s="233" t="s">
        <v>343</v>
      </c>
      <c r="H1526" s="233">
        <v>6</v>
      </c>
      <c r="I1526" s="234">
        <v>13187.7</v>
      </c>
      <c r="J1526" s="234">
        <v>13187.7</v>
      </c>
      <c r="K1526" s="234">
        <v>10718.6</v>
      </c>
      <c r="L1526" s="239">
        <v>562</v>
      </c>
      <c r="M1526" s="233" t="s">
        <v>254</v>
      </c>
      <c r="N1526" s="233" t="s">
        <v>286</v>
      </c>
      <c r="O1526" s="236" t="s">
        <v>2547</v>
      </c>
      <c r="P1526" s="78">
        <v>10461448.800000001</v>
      </c>
      <c r="Q1526" s="78">
        <v>0</v>
      </c>
      <c r="R1526" s="78">
        <v>6318240</v>
      </c>
      <c r="S1526" s="78">
        <v>0</v>
      </c>
      <c r="T1526" s="78">
        <f t="shared" si="364"/>
        <v>4143208.8000000007</v>
      </c>
      <c r="U1526" s="78">
        <f t="shared" si="362"/>
        <v>793.27318637821611</v>
      </c>
      <c r="V1526" s="78">
        <v>1118.2237994494869</v>
      </c>
    </row>
    <row r="1527" spans="1:22" s="79" customFormat="1" ht="36" customHeight="1" x14ac:dyDescent="0.25">
      <c r="A1527" s="79">
        <v>1</v>
      </c>
      <c r="B1527" s="80">
        <f>SUBTOTAL(103,$A$1488:A1527)</f>
        <v>39</v>
      </c>
      <c r="C1527" s="77" t="s">
        <v>2494</v>
      </c>
      <c r="D1527" s="233">
        <v>1995</v>
      </c>
      <c r="E1527" s="233" t="s">
        <v>257</v>
      </c>
      <c r="F1527" s="233" t="s">
        <v>304</v>
      </c>
      <c r="G1527" s="233" t="s">
        <v>343</v>
      </c>
      <c r="H1527" s="233">
        <v>2</v>
      </c>
      <c r="I1527" s="234">
        <v>5399.54</v>
      </c>
      <c r="J1527" s="234">
        <v>5399.54</v>
      </c>
      <c r="K1527" s="234">
        <v>3926.7</v>
      </c>
      <c r="L1527" s="239">
        <v>138</v>
      </c>
      <c r="M1527" s="233" t="s">
        <v>254</v>
      </c>
      <c r="N1527" s="233" t="s">
        <v>258</v>
      </c>
      <c r="O1527" s="236" t="s">
        <v>2524</v>
      </c>
      <c r="P1527" s="78">
        <v>3487149.6</v>
      </c>
      <c r="Q1527" s="78">
        <v>0</v>
      </c>
      <c r="R1527" s="78">
        <v>2106080</v>
      </c>
      <c r="S1527" s="78">
        <v>0</v>
      </c>
      <c r="T1527" s="78">
        <f t="shared" si="364"/>
        <v>1381069.6</v>
      </c>
      <c r="U1527" s="78">
        <f t="shared" si="362"/>
        <v>645.82345903539931</v>
      </c>
      <c r="V1527" s="78">
        <v>910.37384666101184</v>
      </c>
    </row>
    <row r="1528" spans="1:22" s="79" customFormat="1" ht="36" customHeight="1" x14ac:dyDescent="0.25">
      <c r="A1528" s="79">
        <v>1</v>
      </c>
      <c r="B1528" s="80">
        <f>SUBTOTAL(103,$A$1488:A1528)</f>
        <v>40</v>
      </c>
      <c r="C1528" s="77" t="s">
        <v>2495</v>
      </c>
      <c r="D1528" s="233">
        <v>1986</v>
      </c>
      <c r="E1528" s="233" t="s">
        <v>2549</v>
      </c>
      <c r="F1528" s="233" t="s">
        <v>304</v>
      </c>
      <c r="G1528" s="233" t="s">
        <v>343</v>
      </c>
      <c r="H1528" s="233" t="s">
        <v>295</v>
      </c>
      <c r="I1528" s="234">
        <v>8758.7999999999993</v>
      </c>
      <c r="J1528" s="234">
        <v>8758.8000000000011</v>
      </c>
      <c r="K1528" s="234">
        <v>7796.6</v>
      </c>
      <c r="L1528" s="239">
        <v>315</v>
      </c>
      <c r="M1528" s="233" t="s">
        <v>254</v>
      </c>
      <c r="N1528" s="233" t="s">
        <v>258</v>
      </c>
      <c r="O1528" s="236" t="s">
        <v>2551</v>
      </c>
      <c r="P1528" s="78">
        <v>7260768</v>
      </c>
      <c r="Q1528" s="78">
        <v>0</v>
      </c>
      <c r="R1528" s="78">
        <v>4276800</v>
      </c>
      <c r="S1528" s="78">
        <v>0</v>
      </c>
      <c r="T1528" s="78">
        <f t="shared" si="364"/>
        <v>2983968</v>
      </c>
      <c r="U1528" s="78">
        <f t="shared" si="362"/>
        <v>828.96835182901771</v>
      </c>
      <c r="V1528" s="78">
        <v>1122.4368634972827</v>
      </c>
    </row>
    <row r="1529" spans="1:22" s="79" customFormat="1" ht="36" customHeight="1" x14ac:dyDescent="0.25">
      <c r="A1529" s="79">
        <v>1</v>
      </c>
      <c r="B1529" s="80">
        <f>SUBTOTAL(103,$A$1488:A1529)</f>
        <v>41</v>
      </c>
      <c r="C1529" s="77" t="s">
        <v>2496</v>
      </c>
      <c r="D1529" s="233">
        <v>1992</v>
      </c>
      <c r="E1529" s="233" t="s">
        <v>257</v>
      </c>
      <c r="F1529" s="233" t="s">
        <v>304</v>
      </c>
      <c r="G1529" s="233" t="s">
        <v>343</v>
      </c>
      <c r="H1529" s="233">
        <v>3</v>
      </c>
      <c r="I1529" s="234">
        <v>7999.52</v>
      </c>
      <c r="J1529" s="234">
        <v>7999.52</v>
      </c>
      <c r="K1529" s="234">
        <v>5812.1</v>
      </c>
      <c r="L1529" s="239">
        <v>240</v>
      </c>
      <c r="M1529" s="233" t="s">
        <v>254</v>
      </c>
      <c r="N1529" s="233" t="s">
        <v>258</v>
      </c>
      <c r="O1529" s="236" t="s">
        <v>2524</v>
      </c>
      <c r="P1529" s="78">
        <v>3488020.8</v>
      </c>
      <c r="Q1529" s="78">
        <v>0</v>
      </c>
      <c r="R1529" s="78">
        <v>2106080</v>
      </c>
      <c r="S1529" s="78">
        <v>0</v>
      </c>
      <c r="T1529" s="78">
        <f t="shared" si="364"/>
        <v>1381940.7999999998</v>
      </c>
      <c r="U1529" s="78">
        <f t="shared" si="362"/>
        <v>436.02876172570348</v>
      </c>
      <c r="V1529" s="78">
        <v>614.48686921215267</v>
      </c>
    </row>
    <row r="1530" spans="1:22" s="79" customFormat="1" ht="36" customHeight="1" x14ac:dyDescent="0.25">
      <c r="A1530" s="79">
        <v>1</v>
      </c>
      <c r="B1530" s="80">
        <f>SUBTOTAL(103,$A$1488:A1530)</f>
        <v>42</v>
      </c>
      <c r="C1530" s="77" t="s">
        <v>2497</v>
      </c>
      <c r="D1530" s="233">
        <v>1983</v>
      </c>
      <c r="E1530" s="233" t="s">
        <v>257</v>
      </c>
      <c r="F1530" s="233" t="s">
        <v>2518</v>
      </c>
      <c r="G1530" s="233" t="s">
        <v>343</v>
      </c>
      <c r="H1530" s="233">
        <v>4</v>
      </c>
      <c r="I1530" s="234">
        <v>8717.5</v>
      </c>
      <c r="J1530" s="234">
        <v>8684.7999999999993</v>
      </c>
      <c r="K1530" s="234">
        <v>7756.3</v>
      </c>
      <c r="L1530" s="239">
        <v>315</v>
      </c>
      <c r="M1530" s="233" t="s">
        <v>254</v>
      </c>
      <c r="N1530" s="233" t="s">
        <v>258</v>
      </c>
      <c r="O1530" s="236" t="s">
        <v>2524</v>
      </c>
      <c r="P1530" s="78">
        <v>7143820.7999999998</v>
      </c>
      <c r="Q1530" s="78">
        <v>0</v>
      </c>
      <c r="R1530" s="78">
        <v>4276800</v>
      </c>
      <c r="S1530" s="78">
        <v>0</v>
      </c>
      <c r="T1530" s="78">
        <f t="shared" si="364"/>
        <v>2867020.8</v>
      </c>
      <c r="U1530" s="78">
        <f t="shared" si="362"/>
        <v>819.48044737596786</v>
      </c>
      <c r="V1530" s="78">
        <v>1127.7545167765988</v>
      </c>
    </row>
    <row r="1531" spans="1:22" s="79" customFormat="1" ht="36" customHeight="1" x14ac:dyDescent="0.25">
      <c r="A1531" s="79">
        <v>1</v>
      </c>
      <c r="B1531" s="80">
        <f>SUBTOTAL(103,$A$1488:A1531)</f>
        <v>43</v>
      </c>
      <c r="C1531" s="77" t="s">
        <v>2498</v>
      </c>
      <c r="D1531" s="233">
        <v>1995</v>
      </c>
      <c r="E1531" s="233" t="s">
        <v>257</v>
      </c>
      <c r="F1531" s="233" t="s">
        <v>304</v>
      </c>
      <c r="G1531" s="233" t="s">
        <v>343</v>
      </c>
      <c r="H1531" s="233" t="s">
        <v>299</v>
      </c>
      <c r="I1531" s="234">
        <v>6546.6</v>
      </c>
      <c r="J1531" s="234">
        <v>6546.6</v>
      </c>
      <c r="K1531" s="234">
        <v>5802.2</v>
      </c>
      <c r="L1531" s="239">
        <v>230</v>
      </c>
      <c r="M1531" s="233" t="s">
        <v>254</v>
      </c>
      <c r="N1531" s="233" t="s">
        <v>258</v>
      </c>
      <c r="O1531" s="236" t="s">
        <v>2551</v>
      </c>
      <c r="P1531" s="78">
        <v>5236740</v>
      </c>
      <c r="Q1531" s="78">
        <v>0</v>
      </c>
      <c r="R1531" s="78">
        <v>3159120</v>
      </c>
      <c r="S1531" s="78">
        <v>0</v>
      </c>
      <c r="T1531" s="78">
        <f t="shared" si="364"/>
        <v>2077620</v>
      </c>
      <c r="U1531" s="78">
        <f t="shared" si="362"/>
        <v>799.91751443497378</v>
      </c>
      <c r="V1531" s="78">
        <v>1126.2945651177711</v>
      </c>
    </row>
    <row r="1532" spans="1:22" s="79" customFormat="1" ht="36" customHeight="1" x14ac:dyDescent="0.25">
      <c r="A1532" s="79">
        <v>1</v>
      </c>
      <c r="B1532" s="80">
        <f>SUBTOTAL(103,$A$1488:A1532)</f>
        <v>44</v>
      </c>
      <c r="C1532" s="77" t="s">
        <v>2499</v>
      </c>
      <c r="D1532" s="233">
        <v>1994</v>
      </c>
      <c r="E1532" s="233" t="s">
        <v>257</v>
      </c>
      <c r="F1532" s="233" t="s">
        <v>304</v>
      </c>
      <c r="G1532" s="233" t="s">
        <v>343</v>
      </c>
      <c r="H1532" s="233" t="s">
        <v>290</v>
      </c>
      <c r="I1532" s="234">
        <v>4979.8999999999996</v>
      </c>
      <c r="J1532" s="234">
        <v>4979.8999999999996</v>
      </c>
      <c r="K1532" s="234">
        <v>3884.9</v>
      </c>
      <c r="L1532" s="239">
        <v>141</v>
      </c>
      <c r="M1532" s="233" t="s">
        <v>254</v>
      </c>
      <c r="N1532" s="233" t="s">
        <v>258</v>
      </c>
      <c r="O1532" s="236" t="s">
        <v>2291</v>
      </c>
      <c r="P1532" s="78">
        <v>3488659.2</v>
      </c>
      <c r="Q1532" s="78">
        <v>0</v>
      </c>
      <c r="R1532" s="78">
        <v>2106080</v>
      </c>
      <c r="S1532" s="78">
        <v>0</v>
      </c>
      <c r="T1532" s="78">
        <f t="shared" si="364"/>
        <v>1382579.2000000002</v>
      </c>
      <c r="U1532" s="78">
        <f t="shared" si="362"/>
        <v>700.54804313339639</v>
      </c>
      <c r="V1532" s="78">
        <v>987.08809413843653</v>
      </c>
    </row>
    <row r="1533" spans="1:22" s="79" customFormat="1" ht="36" customHeight="1" x14ac:dyDescent="0.25">
      <c r="A1533" s="79">
        <v>1</v>
      </c>
      <c r="B1533" s="80">
        <f>SUBTOTAL(103,$A$1488:A1533)</f>
        <v>45</v>
      </c>
      <c r="C1533" s="77" t="s">
        <v>2500</v>
      </c>
      <c r="D1533" s="233">
        <v>1995</v>
      </c>
      <c r="E1533" s="233" t="s">
        <v>257</v>
      </c>
      <c r="F1533" s="233" t="s">
        <v>304</v>
      </c>
      <c r="G1533" s="233" t="s">
        <v>343</v>
      </c>
      <c r="H1533" s="233" t="s">
        <v>2124</v>
      </c>
      <c r="I1533" s="234">
        <v>17475.599999999999</v>
      </c>
      <c r="J1533" s="234">
        <v>17475.599999999999</v>
      </c>
      <c r="K1533" s="234">
        <v>13470.3</v>
      </c>
      <c r="L1533" s="239">
        <v>495</v>
      </c>
      <c r="M1533" s="233" t="s">
        <v>254</v>
      </c>
      <c r="N1533" s="233" t="s">
        <v>258</v>
      </c>
      <c r="O1533" s="236" t="s">
        <v>2291</v>
      </c>
      <c r="P1533" s="78">
        <v>12231550.799999999</v>
      </c>
      <c r="Q1533" s="78">
        <v>0</v>
      </c>
      <c r="R1533" s="78">
        <v>7371280</v>
      </c>
      <c r="S1533" s="78">
        <v>0</v>
      </c>
      <c r="T1533" s="78">
        <f t="shared" si="364"/>
        <v>4860270.7999999989</v>
      </c>
      <c r="U1533" s="78">
        <f t="shared" si="362"/>
        <v>699.92165075877222</v>
      </c>
      <c r="V1533" s="78">
        <v>984.4926640573143</v>
      </c>
    </row>
    <row r="1534" spans="1:22" s="79" customFormat="1" ht="36" customHeight="1" x14ac:dyDescent="0.25">
      <c r="A1534" s="79">
        <v>1</v>
      </c>
      <c r="B1534" s="80">
        <f>SUBTOTAL(103,$A$1488:A1534)</f>
        <v>46</v>
      </c>
      <c r="C1534" s="77" t="s">
        <v>2501</v>
      </c>
      <c r="D1534" s="233">
        <v>1995</v>
      </c>
      <c r="E1534" s="233" t="s">
        <v>257</v>
      </c>
      <c r="F1534" s="233" t="s">
        <v>304</v>
      </c>
      <c r="G1534" s="233" t="s">
        <v>343</v>
      </c>
      <c r="H1534" s="233" t="s">
        <v>299</v>
      </c>
      <c r="I1534" s="234">
        <v>7478.1</v>
      </c>
      <c r="J1534" s="234">
        <v>7478.1</v>
      </c>
      <c r="K1534" s="234">
        <v>5774.8</v>
      </c>
      <c r="L1534" s="239">
        <v>247</v>
      </c>
      <c r="M1534" s="233" t="s">
        <v>254</v>
      </c>
      <c r="N1534" s="233" t="s">
        <v>258</v>
      </c>
      <c r="O1534" s="236" t="s">
        <v>2291</v>
      </c>
      <c r="P1534" s="78">
        <v>5242093.1999999993</v>
      </c>
      <c r="Q1534" s="78">
        <v>0</v>
      </c>
      <c r="R1534" s="78">
        <v>3159120</v>
      </c>
      <c r="S1534" s="78">
        <v>0</v>
      </c>
      <c r="T1534" s="78">
        <f t="shared" si="364"/>
        <v>2082973.1999999993</v>
      </c>
      <c r="U1534" s="78">
        <f t="shared" si="362"/>
        <v>700.99265856300383</v>
      </c>
      <c r="V1534" s="78">
        <v>985.99911742287475</v>
      </c>
    </row>
    <row r="1535" spans="1:22" s="79" customFormat="1" ht="36" customHeight="1" x14ac:dyDescent="0.25">
      <c r="A1535" s="79">
        <v>1</v>
      </c>
      <c r="B1535" s="80">
        <f>SUBTOTAL(103,$A$1488:A1535)</f>
        <v>47</v>
      </c>
      <c r="C1535" s="77" t="s">
        <v>2502</v>
      </c>
      <c r="D1535" s="233">
        <v>1992</v>
      </c>
      <c r="E1535" s="233" t="s">
        <v>257</v>
      </c>
      <c r="F1535" s="233" t="s">
        <v>304</v>
      </c>
      <c r="G1535" s="233" t="s">
        <v>343</v>
      </c>
      <c r="H1535" s="233" t="s">
        <v>337</v>
      </c>
      <c r="I1535" s="234">
        <v>12531</v>
      </c>
      <c r="J1535" s="234">
        <v>12530.8</v>
      </c>
      <c r="K1535" s="234">
        <v>9705.5</v>
      </c>
      <c r="L1535" s="239">
        <v>411</v>
      </c>
      <c r="M1535" s="233" t="s">
        <v>254</v>
      </c>
      <c r="N1535" s="233" t="s">
        <v>258</v>
      </c>
      <c r="O1535" s="236" t="s">
        <v>2291</v>
      </c>
      <c r="P1535" s="78">
        <v>8728080</v>
      </c>
      <c r="Q1535" s="78">
        <v>0</v>
      </c>
      <c r="R1535" s="78">
        <v>5265200</v>
      </c>
      <c r="S1535" s="78">
        <v>0</v>
      </c>
      <c r="T1535" s="78">
        <f t="shared" si="364"/>
        <v>3462880</v>
      </c>
      <c r="U1535" s="78">
        <f t="shared" si="362"/>
        <v>696.51903279865928</v>
      </c>
      <c r="V1535" s="78">
        <v>980.68789402282334</v>
      </c>
    </row>
    <row r="1536" spans="1:22" s="23" customFormat="1" ht="33.75" customHeight="1" x14ac:dyDescent="0.25">
      <c r="B1536" s="77" t="s">
        <v>1324</v>
      </c>
      <c r="C1536" s="251"/>
      <c r="D1536" s="233" t="s">
        <v>835</v>
      </c>
      <c r="E1536" s="233" t="s">
        <v>835</v>
      </c>
      <c r="F1536" s="236" t="s">
        <v>835</v>
      </c>
      <c r="G1536" s="233" t="s">
        <v>835</v>
      </c>
      <c r="H1536" s="233" t="s">
        <v>835</v>
      </c>
      <c r="I1536" s="234">
        <f>SUM(I1537:I1540)</f>
        <v>21498.5</v>
      </c>
      <c r="J1536" s="234">
        <f>SUM(J1537:J1540)</f>
        <v>20729.72</v>
      </c>
      <c r="K1536" s="234">
        <f>SUM(K1537:K1540)</f>
        <v>19874.72</v>
      </c>
      <c r="L1536" s="245">
        <f>SUM(L1537:L1540)</f>
        <v>921</v>
      </c>
      <c r="M1536" s="233" t="s">
        <v>835</v>
      </c>
      <c r="N1536" s="233" t="s">
        <v>835</v>
      </c>
      <c r="O1536" s="233" t="s">
        <v>835</v>
      </c>
      <c r="P1536" s="237">
        <v>13438704.699999999</v>
      </c>
      <c r="Q1536" s="234">
        <f>SUM(Q1537:Q1540)</f>
        <v>0</v>
      </c>
      <c r="R1536" s="234">
        <f>SUM(R1537:R1540)</f>
        <v>8435280</v>
      </c>
      <c r="S1536" s="234">
        <f>SUM(S1537:S1540)</f>
        <v>0</v>
      </c>
      <c r="T1536" s="234">
        <f>SUM(T1537:T1540)</f>
        <v>5003424.6999999993</v>
      </c>
      <c r="U1536" s="78">
        <f t="shared" si="362"/>
        <v>625.09964416122057</v>
      </c>
      <c r="V1536" s="78">
        <f>MAX(V1537:V1540)</f>
        <v>1141.4903745674942</v>
      </c>
    </row>
    <row r="1537" spans="1:22" s="79" customFormat="1" ht="36" customHeight="1" x14ac:dyDescent="0.25">
      <c r="A1537" s="79">
        <v>1</v>
      </c>
      <c r="B1537" s="80">
        <f>SUBTOTAL(103,$A$1488:A1537)</f>
        <v>48</v>
      </c>
      <c r="C1537" s="77" t="s">
        <v>413</v>
      </c>
      <c r="D1537" s="233">
        <v>1994</v>
      </c>
      <c r="E1537" s="233" t="s">
        <v>257</v>
      </c>
      <c r="F1537" s="233" t="s">
        <v>298</v>
      </c>
      <c r="G1537" s="233">
        <v>9</v>
      </c>
      <c r="H1537" s="233" t="s">
        <v>290</v>
      </c>
      <c r="I1537" s="234">
        <v>4306.3</v>
      </c>
      <c r="J1537" s="234">
        <v>3866</v>
      </c>
      <c r="K1537" s="234">
        <v>3866</v>
      </c>
      <c r="L1537" s="239">
        <v>182</v>
      </c>
      <c r="M1537" s="233" t="s">
        <v>254</v>
      </c>
      <c r="N1537" s="233" t="s">
        <v>258</v>
      </c>
      <c r="O1537" s="236" t="s">
        <v>307</v>
      </c>
      <c r="P1537" s="78">
        <v>2957619.0999999996</v>
      </c>
      <c r="Q1537" s="78">
        <v>0</v>
      </c>
      <c r="R1537" s="78">
        <v>2030976</v>
      </c>
      <c r="S1537" s="78">
        <v>0</v>
      </c>
      <c r="T1537" s="78">
        <f>P1537-R1537-S1537</f>
        <v>926643.09999999963</v>
      </c>
      <c r="U1537" s="78">
        <f t="shared" si="362"/>
        <v>686.81213570814839</v>
      </c>
      <c r="V1537" s="78">
        <v>1141.4903745674942</v>
      </c>
    </row>
    <row r="1538" spans="1:22" s="79" customFormat="1" ht="36" customHeight="1" x14ac:dyDescent="0.25">
      <c r="A1538" s="79">
        <v>1</v>
      </c>
      <c r="B1538" s="80">
        <f>SUBTOTAL(103,$A$1488:A1538)</f>
        <v>49</v>
      </c>
      <c r="C1538" s="77" t="s">
        <v>2503</v>
      </c>
      <c r="D1538" s="233">
        <v>1996</v>
      </c>
      <c r="E1538" s="233" t="s">
        <v>257</v>
      </c>
      <c r="F1538" s="233" t="s">
        <v>2518</v>
      </c>
      <c r="G1538" s="233" t="s">
        <v>343</v>
      </c>
      <c r="H1538" s="233">
        <v>1</v>
      </c>
      <c r="I1538" s="234">
        <v>3077.8</v>
      </c>
      <c r="J1538" s="234">
        <v>2755.2</v>
      </c>
      <c r="K1538" s="234">
        <v>2755.2</v>
      </c>
      <c r="L1538" s="239">
        <v>140</v>
      </c>
      <c r="M1538" s="233" t="s">
        <v>254</v>
      </c>
      <c r="N1538" s="233" t="s">
        <v>258</v>
      </c>
      <c r="O1538" s="236" t="s">
        <v>308</v>
      </c>
      <c r="P1538" s="78">
        <v>1751182.8</v>
      </c>
      <c r="Q1538" s="78">
        <v>0</v>
      </c>
      <c r="R1538" s="78">
        <v>1054000</v>
      </c>
      <c r="S1538" s="78">
        <v>0</v>
      </c>
      <c r="T1538" s="78">
        <f>P1538-R1538-S1538</f>
        <v>697182.8</v>
      </c>
      <c r="U1538" s="78">
        <f t="shared" si="362"/>
        <v>568.97225290792119</v>
      </c>
      <c r="V1538" s="78">
        <v>798.55741113782562</v>
      </c>
    </row>
    <row r="1539" spans="1:22" s="79" customFormat="1" ht="36" customHeight="1" x14ac:dyDescent="0.25">
      <c r="A1539" s="79">
        <v>1</v>
      </c>
      <c r="B1539" s="80">
        <f>SUBTOTAL(103,$A$1488:A1539)</f>
        <v>50</v>
      </c>
      <c r="C1539" s="77" t="s">
        <v>2504</v>
      </c>
      <c r="D1539" s="233">
        <v>1996</v>
      </c>
      <c r="E1539" s="233" t="s">
        <v>257</v>
      </c>
      <c r="F1539" s="233" t="s">
        <v>2518</v>
      </c>
      <c r="G1539" s="233" t="s">
        <v>343</v>
      </c>
      <c r="H1539" s="233">
        <v>2</v>
      </c>
      <c r="I1539" s="234">
        <v>5535.7</v>
      </c>
      <c r="J1539" s="234">
        <v>5530.52</v>
      </c>
      <c r="K1539" s="234">
        <v>5530.52</v>
      </c>
      <c r="L1539" s="239">
        <v>278</v>
      </c>
      <c r="M1539" s="233" t="s">
        <v>254</v>
      </c>
      <c r="N1539" s="233" t="s">
        <v>258</v>
      </c>
      <c r="O1539" s="236" t="s">
        <v>308</v>
      </c>
      <c r="P1539" s="78">
        <v>3495952.8</v>
      </c>
      <c r="Q1539" s="78">
        <v>0</v>
      </c>
      <c r="R1539" s="78">
        <v>2108000</v>
      </c>
      <c r="S1539" s="78">
        <v>0</v>
      </c>
      <c r="T1539" s="78">
        <f>P1539-R1539-S1539</f>
        <v>1387952.7999999998</v>
      </c>
      <c r="U1539" s="78">
        <f t="shared" si="362"/>
        <v>631.52858717054755</v>
      </c>
      <c r="V1539" s="78">
        <v>887.98164640424886</v>
      </c>
    </row>
    <row r="1540" spans="1:22" s="79" customFormat="1" ht="36" customHeight="1" x14ac:dyDescent="0.25">
      <c r="A1540" s="79">
        <v>1</v>
      </c>
      <c r="B1540" s="80">
        <f>SUBTOTAL(103,$A$1488:A1540)</f>
        <v>51</v>
      </c>
      <c r="C1540" s="77" t="s">
        <v>2505</v>
      </c>
      <c r="D1540" s="233">
        <v>1996</v>
      </c>
      <c r="E1540" s="233" t="s">
        <v>257</v>
      </c>
      <c r="F1540" s="233" t="s">
        <v>304</v>
      </c>
      <c r="G1540" s="233" t="s">
        <v>343</v>
      </c>
      <c r="H1540" s="233" t="s">
        <v>295</v>
      </c>
      <c r="I1540" s="234">
        <v>8578.7000000000007</v>
      </c>
      <c r="J1540" s="234">
        <v>8578</v>
      </c>
      <c r="K1540" s="234">
        <v>7723</v>
      </c>
      <c r="L1540" s="239">
        <v>321</v>
      </c>
      <c r="M1540" s="233" t="s">
        <v>254</v>
      </c>
      <c r="N1540" s="233" t="s">
        <v>258</v>
      </c>
      <c r="O1540" s="236" t="s">
        <v>1274</v>
      </c>
      <c r="P1540" s="78">
        <v>5233950</v>
      </c>
      <c r="Q1540" s="78">
        <v>0</v>
      </c>
      <c r="R1540" s="78">
        <v>3242304</v>
      </c>
      <c r="S1540" s="78">
        <v>0</v>
      </c>
      <c r="T1540" s="78">
        <f>P1540-R1540-S1540</f>
        <v>1991646</v>
      </c>
      <c r="U1540" s="78">
        <f t="shared" si="362"/>
        <v>610.10992341496956</v>
      </c>
      <c r="V1540" s="78">
        <v>859.50085677317065</v>
      </c>
    </row>
    <row r="1541" spans="1:22" s="23" customFormat="1" ht="33.75" customHeight="1" x14ac:dyDescent="0.25">
      <c r="B1541" s="77" t="s">
        <v>708</v>
      </c>
      <c r="C1541" s="251"/>
      <c r="D1541" s="233" t="s">
        <v>835</v>
      </c>
      <c r="E1541" s="233" t="s">
        <v>835</v>
      </c>
      <c r="F1541" s="236" t="s">
        <v>835</v>
      </c>
      <c r="G1541" s="233" t="s">
        <v>835</v>
      </c>
      <c r="H1541" s="233" t="s">
        <v>835</v>
      </c>
      <c r="I1541" s="234">
        <f>SUM(I1542:I1547)</f>
        <v>56145.30000000001</v>
      </c>
      <c r="J1541" s="234">
        <f>SUM(J1542:J1547)</f>
        <v>51777.000000000007</v>
      </c>
      <c r="K1541" s="234">
        <f>SUM(K1542:K1547)</f>
        <v>46699.400000000009</v>
      </c>
      <c r="L1541" s="245">
        <f>SUM(L1542:L1547)</f>
        <v>2164</v>
      </c>
      <c r="M1541" s="233" t="s">
        <v>835</v>
      </c>
      <c r="N1541" s="233" t="s">
        <v>835</v>
      </c>
      <c r="O1541" s="233" t="s">
        <v>835</v>
      </c>
      <c r="P1541" s="237">
        <v>51913217.799999997</v>
      </c>
      <c r="Q1541" s="234">
        <f>SUM(Q1542:Q1547)</f>
        <v>0</v>
      </c>
      <c r="R1541" s="234">
        <f>SUM(R1542:R1547)</f>
        <v>26434432</v>
      </c>
      <c r="S1541" s="234">
        <f>SUM(S1542:S1547)</f>
        <v>0</v>
      </c>
      <c r="T1541" s="234">
        <f>SUM(T1542:T1547)</f>
        <v>25478785.799999997</v>
      </c>
      <c r="U1541" s="78">
        <f>P1541/I1541</f>
        <v>924.622680794296</v>
      </c>
      <c r="V1541" s="78">
        <f>MAX(V1542:V1547)</f>
        <v>1853.8862081304692</v>
      </c>
    </row>
    <row r="1542" spans="1:22" s="79" customFormat="1" ht="36" customHeight="1" x14ac:dyDescent="0.25">
      <c r="A1542" s="79">
        <v>1</v>
      </c>
      <c r="B1542" s="80">
        <f>SUBTOTAL(103,$A$1488:A1542)</f>
        <v>52</v>
      </c>
      <c r="C1542" s="77" t="s">
        <v>363</v>
      </c>
      <c r="D1542" s="233">
        <v>1982</v>
      </c>
      <c r="E1542" s="233">
        <v>2015</v>
      </c>
      <c r="F1542" s="233" t="s">
        <v>304</v>
      </c>
      <c r="G1542" s="233">
        <v>9</v>
      </c>
      <c r="H1542" s="233" t="s">
        <v>295</v>
      </c>
      <c r="I1542" s="234">
        <v>8597.2000000000007</v>
      </c>
      <c r="J1542" s="234">
        <v>7716.3</v>
      </c>
      <c r="K1542" s="234">
        <v>7660.3</v>
      </c>
      <c r="L1542" s="239">
        <v>370</v>
      </c>
      <c r="M1542" s="233" t="s">
        <v>254</v>
      </c>
      <c r="N1542" s="233" t="s">
        <v>258</v>
      </c>
      <c r="O1542" s="236" t="s">
        <v>305</v>
      </c>
      <c r="P1542" s="78">
        <v>6784672.5999999996</v>
      </c>
      <c r="Q1542" s="78">
        <v>0</v>
      </c>
      <c r="R1542" s="78">
        <v>4146432</v>
      </c>
      <c r="S1542" s="78">
        <v>0</v>
      </c>
      <c r="T1542" s="78">
        <f t="shared" ref="T1542:T1547" si="365">P1542-R1542-S1542</f>
        <v>2638240.5999999996</v>
      </c>
      <c r="U1542" s="78">
        <f t="shared" ref="U1542:U1547" si="366">P1542/I1542</f>
        <v>789.17235844228344</v>
      </c>
      <c r="V1542" s="78">
        <v>1143.5351044526124</v>
      </c>
    </row>
    <row r="1543" spans="1:22" s="79" customFormat="1" ht="36" customHeight="1" x14ac:dyDescent="0.25">
      <c r="A1543" s="79">
        <v>1</v>
      </c>
      <c r="B1543" s="80">
        <f>SUBTOTAL(103,$A$1488:A1543)</f>
        <v>53</v>
      </c>
      <c r="C1543" s="77" t="s">
        <v>2506</v>
      </c>
      <c r="D1543" s="233">
        <v>1983</v>
      </c>
      <c r="E1543" s="233" t="s">
        <v>257</v>
      </c>
      <c r="F1543" s="233" t="s">
        <v>304</v>
      </c>
      <c r="G1543" s="233" t="s">
        <v>2127</v>
      </c>
      <c r="H1543" s="233">
        <v>3</v>
      </c>
      <c r="I1543" s="234">
        <v>9222.1</v>
      </c>
      <c r="J1543" s="234">
        <v>9222.1</v>
      </c>
      <c r="K1543" s="234">
        <v>8177.3</v>
      </c>
      <c r="L1543" s="239">
        <v>400</v>
      </c>
      <c r="M1543" s="233" t="s">
        <v>254</v>
      </c>
      <c r="N1543" s="233" t="s">
        <v>258</v>
      </c>
      <c r="O1543" s="236" t="s">
        <v>305</v>
      </c>
      <c r="P1543" s="78">
        <v>15527628</v>
      </c>
      <c r="Q1543" s="78">
        <v>0</v>
      </c>
      <c r="R1543" s="78">
        <v>7800000</v>
      </c>
      <c r="S1543" s="78">
        <v>0</v>
      </c>
      <c r="T1543" s="78">
        <f t="shared" si="365"/>
        <v>7727628</v>
      </c>
      <c r="U1543" s="78">
        <f t="shared" si="366"/>
        <v>1683.7410134351178</v>
      </c>
      <c r="V1543" s="78">
        <v>1853.8862081304692</v>
      </c>
    </row>
    <row r="1544" spans="1:22" s="79" customFormat="1" ht="36" customHeight="1" x14ac:dyDescent="0.25">
      <c r="A1544" s="79">
        <v>1</v>
      </c>
      <c r="B1544" s="80">
        <f>SUBTOTAL(103,$A$1488:A1544)</f>
        <v>54</v>
      </c>
      <c r="C1544" s="77" t="s">
        <v>2507</v>
      </c>
      <c r="D1544" s="233">
        <v>1996</v>
      </c>
      <c r="E1544" s="233" t="s">
        <v>1435</v>
      </c>
      <c r="F1544" s="233" t="s">
        <v>304</v>
      </c>
      <c r="G1544" s="233" t="s">
        <v>343</v>
      </c>
      <c r="H1544" s="233">
        <v>3</v>
      </c>
      <c r="I1544" s="234">
        <v>10830</v>
      </c>
      <c r="J1544" s="234">
        <v>7342.6</v>
      </c>
      <c r="K1544" s="234">
        <v>6528.8</v>
      </c>
      <c r="L1544" s="239">
        <v>266</v>
      </c>
      <c r="M1544" s="233" t="s">
        <v>254</v>
      </c>
      <c r="N1544" s="233" t="s">
        <v>258</v>
      </c>
      <c r="O1544" s="236" t="s">
        <v>305</v>
      </c>
      <c r="P1544" s="78">
        <v>2207168.4</v>
      </c>
      <c r="Q1544" s="78">
        <v>0</v>
      </c>
      <c r="R1544" s="78">
        <v>1062400</v>
      </c>
      <c r="S1544" s="78">
        <v>0</v>
      </c>
      <c r="T1544" s="78">
        <f t="shared" si="365"/>
        <v>1144768.3999999999</v>
      </c>
      <c r="U1544" s="78">
        <f t="shared" si="366"/>
        <v>203.80132963988919</v>
      </c>
      <c r="V1544" s="78">
        <v>226.94367497691599</v>
      </c>
    </row>
    <row r="1545" spans="1:22" s="79" customFormat="1" ht="36" customHeight="1" x14ac:dyDescent="0.25">
      <c r="A1545" s="79">
        <v>1</v>
      </c>
      <c r="B1545" s="80">
        <f>SUBTOTAL(103,$A$1488:A1545)</f>
        <v>55</v>
      </c>
      <c r="C1545" s="77" t="s">
        <v>2508</v>
      </c>
      <c r="D1545" s="233">
        <v>1995</v>
      </c>
      <c r="E1545" s="233" t="s">
        <v>1435</v>
      </c>
      <c r="F1545" s="233" t="s">
        <v>304</v>
      </c>
      <c r="G1545" s="233" t="s">
        <v>343</v>
      </c>
      <c r="H1545" s="233">
        <v>5</v>
      </c>
      <c r="I1545" s="234">
        <v>12058.8</v>
      </c>
      <c r="J1545" s="234">
        <v>12058.800000000001</v>
      </c>
      <c r="K1545" s="234">
        <v>10739.7</v>
      </c>
      <c r="L1545" s="239">
        <v>472</v>
      </c>
      <c r="M1545" s="233" t="s">
        <v>254</v>
      </c>
      <c r="N1545" s="233" t="s">
        <v>258</v>
      </c>
      <c r="O1545" s="236" t="s">
        <v>305</v>
      </c>
      <c r="P1545" s="78">
        <v>11432166</v>
      </c>
      <c r="Q1545" s="78">
        <v>0</v>
      </c>
      <c r="R1545" s="78">
        <v>5608000</v>
      </c>
      <c r="S1545" s="78">
        <v>0</v>
      </c>
      <c r="T1545" s="78">
        <f t="shared" si="365"/>
        <v>5824166</v>
      </c>
      <c r="U1545" s="78">
        <f t="shared" si="366"/>
        <v>948.03512787342027</v>
      </c>
      <c r="V1545" s="78">
        <v>1019.0897933459383</v>
      </c>
    </row>
    <row r="1546" spans="1:22" s="79" customFormat="1" ht="36" customHeight="1" x14ac:dyDescent="0.25">
      <c r="A1546" s="79">
        <v>1</v>
      </c>
      <c r="B1546" s="80">
        <f>SUBTOTAL(103,$A$1488:A1546)</f>
        <v>56</v>
      </c>
      <c r="C1546" s="77" t="s">
        <v>2509</v>
      </c>
      <c r="D1546" s="233">
        <v>1987</v>
      </c>
      <c r="E1546" s="233" t="s">
        <v>257</v>
      </c>
      <c r="F1546" s="233" t="s">
        <v>304</v>
      </c>
      <c r="G1546" s="233" t="s">
        <v>343</v>
      </c>
      <c r="H1546" s="233">
        <v>4</v>
      </c>
      <c r="I1546" s="234">
        <v>8661.7999999999993</v>
      </c>
      <c r="J1546" s="234">
        <v>8661.7999999999993</v>
      </c>
      <c r="K1546" s="234">
        <v>7775</v>
      </c>
      <c r="L1546" s="239">
        <v>367</v>
      </c>
      <c r="M1546" s="233" t="s">
        <v>254</v>
      </c>
      <c r="N1546" s="233" t="s">
        <v>258</v>
      </c>
      <c r="O1546" s="236" t="s">
        <v>305</v>
      </c>
      <c r="P1546" s="78">
        <v>9134438.4000000004</v>
      </c>
      <c r="Q1546" s="78">
        <v>0</v>
      </c>
      <c r="R1546" s="78">
        <v>4438400</v>
      </c>
      <c r="S1546" s="78">
        <v>0</v>
      </c>
      <c r="T1546" s="78">
        <f t="shared" si="365"/>
        <v>4696038.4000000004</v>
      </c>
      <c r="U1546" s="78">
        <f t="shared" si="366"/>
        <v>1054.5658408183058</v>
      </c>
      <c r="V1546" s="78">
        <v>1135.0065806183472</v>
      </c>
    </row>
    <row r="1547" spans="1:22" s="79" customFormat="1" ht="36" customHeight="1" x14ac:dyDescent="0.25">
      <c r="A1547" s="79">
        <v>1</v>
      </c>
      <c r="B1547" s="80">
        <f>SUBTOTAL(103,$A$1488:A1547)</f>
        <v>57</v>
      </c>
      <c r="C1547" s="77" t="s">
        <v>2510</v>
      </c>
      <c r="D1547" s="233">
        <v>1993</v>
      </c>
      <c r="E1547" s="233" t="s">
        <v>257</v>
      </c>
      <c r="F1547" s="233" t="s">
        <v>304</v>
      </c>
      <c r="G1547" s="233" t="s">
        <v>343</v>
      </c>
      <c r="H1547" s="233">
        <v>3</v>
      </c>
      <c r="I1547" s="234">
        <v>6775.4000000000005</v>
      </c>
      <c r="J1547" s="234">
        <v>6775.4000000000005</v>
      </c>
      <c r="K1547" s="234">
        <v>5818.3</v>
      </c>
      <c r="L1547" s="239">
        <v>289</v>
      </c>
      <c r="M1547" s="233" t="s">
        <v>254</v>
      </c>
      <c r="N1547" s="233" t="s">
        <v>258</v>
      </c>
      <c r="O1547" s="236" t="s">
        <v>305</v>
      </c>
      <c r="P1547" s="78">
        <v>6827144.3999999994</v>
      </c>
      <c r="Q1547" s="78">
        <v>0</v>
      </c>
      <c r="R1547" s="78">
        <v>3379200</v>
      </c>
      <c r="S1547" s="78">
        <v>0</v>
      </c>
      <c r="T1547" s="78">
        <f t="shared" si="365"/>
        <v>3447944.3999999994</v>
      </c>
      <c r="U1547" s="78">
        <f t="shared" si="366"/>
        <v>1007.6370989166689</v>
      </c>
      <c r="V1547" s="78">
        <v>1088.2604717064673</v>
      </c>
    </row>
    <row r="1548" spans="1:22" s="23" customFormat="1" ht="33.75" customHeight="1" x14ac:dyDescent="0.25">
      <c r="B1548" s="77" t="s">
        <v>2968</v>
      </c>
      <c r="C1548" s="251"/>
      <c r="D1548" s="233" t="s">
        <v>835</v>
      </c>
      <c r="E1548" s="233" t="s">
        <v>835</v>
      </c>
      <c r="F1548" s="236" t="s">
        <v>835</v>
      </c>
      <c r="G1548" s="233" t="s">
        <v>835</v>
      </c>
      <c r="H1548" s="233" t="s">
        <v>835</v>
      </c>
      <c r="I1548" s="234">
        <f>I1549</f>
        <v>65010.299999999996</v>
      </c>
      <c r="J1548" s="234">
        <f t="shared" ref="J1548:L1548" si="367">J1549</f>
        <v>57210.600000000006</v>
      </c>
      <c r="K1548" s="234">
        <f t="shared" si="367"/>
        <v>57210.600000000006</v>
      </c>
      <c r="L1548" s="245">
        <f t="shared" si="367"/>
        <v>2836</v>
      </c>
      <c r="M1548" s="233" t="s">
        <v>835</v>
      </c>
      <c r="N1548" s="233" t="s">
        <v>835</v>
      </c>
      <c r="O1548" s="233" t="s">
        <v>835</v>
      </c>
      <c r="P1548" s="237">
        <f>P1549</f>
        <v>66104426.88000001</v>
      </c>
      <c r="Q1548" s="234">
        <f>Q1549</f>
        <v>0</v>
      </c>
      <c r="R1548" s="234">
        <f t="shared" ref="R1548:T1548" si="368">R1549</f>
        <v>34836459.200000003</v>
      </c>
      <c r="S1548" s="234">
        <f t="shared" si="368"/>
        <v>0</v>
      </c>
      <c r="T1548" s="234">
        <f t="shared" si="368"/>
        <v>31267967.680000003</v>
      </c>
      <c r="U1548" s="78">
        <f>P1548/I1548</f>
        <v>1016.8300543144704</v>
      </c>
      <c r="V1548" s="78">
        <f>V1549</f>
        <v>1465.1163898916968</v>
      </c>
    </row>
    <row r="1549" spans="1:22" s="23" customFormat="1" ht="33.75" customHeight="1" x14ac:dyDescent="0.25">
      <c r="B1549" s="77" t="s">
        <v>1027</v>
      </c>
      <c r="C1549" s="251"/>
      <c r="D1549" s="233" t="s">
        <v>835</v>
      </c>
      <c r="E1549" s="233" t="s">
        <v>835</v>
      </c>
      <c r="F1549" s="236" t="s">
        <v>835</v>
      </c>
      <c r="G1549" s="233" t="s">
        <v>835</v>
      </c>
      <c r="H1549" s="233" t="s">
        <v>835</v>
      </c>
      <c r="I1549" s="234">
        <f>SUM(I1550:I1560)</f>
        <v>65010.299999999996</v>
      </c>
      <c r="J1549" s="234">
        <f t="shared" ref="J1549:L1549" si="369">SUM(J1550:J1560)</f>
        <v>57210.600000000006</v>
      </c>
      <c r="K1549" s="234">
        <f t="shared" si="369"/>
        <v>57210.600000000006</v>
      </c>
      <c r="L1549" s="245">
        <f t="shared" si="369"/>
        <v>2836</v>
      </c>
      <c r="M1549" s="233" t="s">
        <v>835</v>
      </c>
      <c r="N1549" s="233" t="s">
        <v>835</v>
      </c>
      <c r="O1549" s="233" t="s">
        <v>835</v>
      </c>
      <c r="P1549" s="237">
        <f>SUM(P1550:P1560)</f>
        <v>66104426.88000001</v>
      </c>
      <c r="Q1549" s="234">
        <f t="shared" ref="Q1549:T1549" si="370">SUM(Q1550:Q1560)</f>
        <v>0</v>
      </c>
      <c r="R1549" s="234">
        <f t="shared" si="370"/>
        <v>34836459.200000003</v>
      </c>
      <c r="S1549" s="234">
        <f t="shared" si="370"/>
        <v>0</v>
      </c>
      <c r="T1549" s="234">
        <f t="shared" si="370"/>
        <v>31267967.680000003</v>
      </c>
      <c r="U1549" s="78">
        <f t="shared" ref="U1549:U1551" si="371">P1549/I1549</f>
        <v>1016.8300543144704</v>
      </c>
      <c r="V1549" s="78">
        <f>MAX(V1550:V1560)</f>
        <v>1465.1163898916968</v>
      </c>
    </row>
    <row r="1550" spans="1:22" s="79" customFormat="1" ht="36" customHeight="1" x14ac:dyDescent="0.25">
      <c r="B1550" s="80">
        <v>1</v>
      </c>
      <c r="C1550" s="77" t="s">
        <v>2692</v>
      </c>
      <c r="D1550" s="233">
        <v>1977</v>
      </c>
      <c r="E1550" s="233"/>
      <c r="F1550" s="233" t="s">
        <v>2518</v>
      </c>
      <c r="G1550" s="233">
        <v>9</v>
      </c>
      <c r="H1550" s="233">
        <v>1</v>
      </c>
      <c r="I1550" s="234">
        <v>5089</v>
      </c>
      <c r="J1550" s="234">
        <v>4071.6</v>
      </c>
      <c r="K1550" s="234">
        <v>4071.6</v>
      </c>
      <c r="L1550" s="239">
        <v>294</v>
      </c>
      <c r="M1550" s="233" t="s">
        <v>2694</v>
      </c>
      <c r="N1550" s="233" t="s">
        <v>258</v>
      </c>
      <c r="O1550" s="236" t="s">
        <v>334</v>
      </c>
      <c r="P1550" s="78">
        <v>2068500</v>
      </c>
      <c r="Q1550" s="78">
        <v>0</v>
      </c>
      <c r="R1550" s="78">
        <v>1035200</v>
      </c>
      <c r="S1550" s="78">
        <v>0</v>
      </c>
      <c r="T1550" s="78">
        <f>P1550-Q1550-R1550-S1550</f>
        <v>1033300</v>
      </c>
      <c r="U1550" s="78">
        <f t="shared" si="371"/>
        <v>406.46492434662997</v>
      </c>
      <c r="V1550" s="78">
        <v>637.98347808999802</v>
      </c>
    </row>
    <row r="1551" spans="1:22" s="79" customFormat="1" ht="36" customHeight="1" x14ac:dyDescent="0.25">
      <c r="B1551" s="80">
        <v>2</v>
      </c>
      <c r="C1551" s="77" t="s">
        <v>2202</v>
      </c>
      <c r="D1551" s="233">
        <v>1987</v>
      </c>
      <c r="E1551" s="233"/>
      <c r="F1551" s="233" t="s">
        <v>304</v>
      </c>
      <c r="G1551" s="233">
        <v>10</v>
      </c>
      <c r="H1551" s="233">
        <v>2</v>
      </c>
      <c r="I1551" s="234">
        <v>5508.8</v>
      </c>
      <c r="J1551" s="234">
        <v>4863.8999999999996</v>
      </c>
      <c r="K1551" s="234">
        <v>4863.8999999999996</v>
      </c>
      <c r="L1551" s="239">
        <v>195</v>
      </c>
      <c r="M1551" s="233" t="s">
        <v>2694</v>
      </c>
      <c r="N1551" s="233" t="s">
        <v>258</v>
      </c>
      <c r="O1551" s="236" t="s">
        <v>2559</v>
      </c>
      <c r="P1551" s="78">
        <v>4773629.5999999996</v>
      </c>
      <c r="Q1551" s="78">
        <v>0</v>
      </c>
      <c r="R1551" s="78">
        <v>2392000</v>
      </c>
      <c r="S1551" s="78">
        <v>0</v>
      </c>
      <c r="T1551" s="78">
        <f t="shared" ref="T1551:T1560" si="372">P1551-Q1551-R1551-S1551</f>
        <v>2381629.5999999996</v>
      </c>
      <c r="U1551" s="78">
        <f t="shared" si="371"/>
        <v>866.5461806564042</v>
      </c>
      <c r="V1551" s="78">
        <v>1219.3975094394423</v>
      </c>
    </row>
    <row r="1552" spans="1:22" s="79" customFormat="1" ht="36" customHeight="1" x14ac:dyDescent="0.25">
      <c r="B1552" s="80">
        <v>3</v>
      </c>
      <c r="C1552" s="77" t="s">
        <v>3211</v>
      </c>
      <c r="D1552" s="233">
        <v>1990</v>
      </c>
      <c r="E1552" s="233"/>
      <c r="F1552" s="233" t="s">
        <v>2518</v>
      </c>
      <c r="G1552" s="233">
        <v>10</v>
      </c>
      <c r="H1552" s="233">
        <v>4</v>
      </c>
      <c r="I1552" s="234">
        <v>9596</v>
      </c>
      <c r="J1552" s="234">
        <v>8942.2000000000007</v>
      </c>
      <c r="K1552" s="234">
        <v>8942.2000000000007</v>
      </c>
      <c r="L1552" s="239">
        <v>410</v>
      </c>
      <c r="M1552" s="233" t="s">
        <v>2694</v>
      </c>
      <c r="N1552" s="233" t="s">
        <v>279</v>
      </c>
      <c r="O1552" s="236" t="s">
        <v>3245</v>
      </c>
      <c r="P1552" s="78">
        <v>11063982</v>
      </c>
      <c r="Q1552" s="78">
        <v>0</v>
      </c>
      <c r="R1552" s="78">
        <v>6136800</v>
      </c>
      <c r="S1552" s="78">
        <v>0</v>
      </c>
      <c r="T1552" s="78">
        <f t="shared" si="372"/>
        <v>4927182</v>
      </c>
      <c r="U1552" s="78">
        <f>P1552/I1552</f>
        <v>1152.9785327219674</v>
      </c>
      <c r="V1552" s="78">
        <v>1400.0452271779909</v>
      </c>
    </row>
    <row r="1553" spans="2:22" s="79" customFormat="1" ht="36" customHeight="1" x14ac:dyDescent="0.25">
      <c r="B1553" s="80">
        <v>4</v>
      </c>
      <c r="C1553" s="270" t="s">
        <v>3278</v>
      </c>
      <c r="D1553" s="233">
        <v>1992</v>
      </c>
      <c r="E1553" s="233"/>
      <c r="F1553" s="233" t="s">
        <v>304</v>
      </c>
      <c r="G1553" s="233">
        <v>9</v>
      </c>
      <c r="H1553" s="233">
        <v>3</v>
      </c>
      <c r="I1553" s="234">
        <v>9033.7000000000007</v>
      </c>
      <c r="J1553" s="234">
        <v>7644.6</v>
      </c>
      <c r="K1553" s="234">
        <v>7644.6</v>
      </c>
      <c r="L1553" s="239">
        <v>351</v>
      </c>
      <c r="M1553" s="233" t="s">
        <v>2694</v>
      </c>
      <c r="N1553" s="233" t="s">
        <v>258</v>
      </c>
      <c r="O1553" s="236" t="s">
        <v>3285</v>
      </c>
      <c r="P1553" s="78">
        <v>8976711.5999999996</v>
      </c>
      <c r="Q1553" s="78">
        <v>0</v>
      </c>
      <c r="R1553" s="78">
        <v>4650840</v>
      </c>
      <c r="S1553" s="78">
        <v>0</v>
      </c>
      <c r="T1553" s="78">
        <f t="shared" si="372"/>
        <v>4325871.5999999996</v>
      </c>
      <c r="U1553" s="78">
        <f t="shared" ref="U1553:U1554" si="373">P1553/I1553</f>
        <v>993.69157709465651</v>
      </c>
      <c r="V1553" s="78">
        <v>1078.1953972347985</v>
      </c>
    </row>
    <row r="1554" spans="2:22" s="79" customFormat="1" ht="36" customHeight="1" x14ac:dyDescent="0.25">
      <c r="B1554" s="80">
        <v>5</v>
      </c>
      <c r="C1554" s="270" t="s">
        <v>3279</v>
      </c>
      <c r="D1554" s="233">
        <v>1989</v>
      </c>
      <c r="E1554" s="233"/>
      <c r="F1554" s="233" t="s">
        <v>304</v>
      </c>
      <c r="G1554" s="233">
        <v>9</v>
      </c>
      <c r="H1554" s="233">
        <v>2</v>
      </c>
      <c r="I1554" s="234">
        <v>4881.1000000000004</v>
      </c>
      <c r="J1554" s="234">
        <v>4708.3999999999996</v>
      </c>
      <c r="K1554" s="234">
        <v>4708.3999999999996</v>
      </c>
      <c r="L1554" s="239">
        <v>226</v>
      </c>
      <c r="M1554" s="233" t="s">
        <v>2694</v>
      </c>
      <c r="N1554" s="233" t="s">
        <v>258</v>
      </c>
      <c r="O1554" s="236" t="s">
        <v>3286</v>
      </c>
      <c r="P1554" s="78">
        <v>6049670.4000000004</v>
      </c>
      <c r="Q1554" s="78">
        <v>0</v>
      </c>
      <c r="R1554" s="78">
        <v>3172556.7999999998</v>
      </c>
      <c r="S1554" s="78">
        <v>0</v>
      </c>
      <c r="T1554" s="78">
        <f t="shared" si="372"/>
        <v>2877113.6000000006</v>
      </c>
      <c r="U1554" s="78">
        <f t="shared" si="373"/>
        <v>1239.4071828071542</v>
      </c>
      <c r="V1554" s="78">
        <v>1330.3140357706254</v>
      </c>
    </row>
    <row r="1555" spans="2:22" s="79" customFormat="1" ht="36" customHeight="1" x14ac:dyDescent="0.25">
      <c r="B1555" s="80">
        <v>6</v>
      </c>
      <c r="C1555" s="270" t="s">
        <v>3280</v>
      </c>
      <c r="D1555" s="233">
        <v>1983</v>
      </c>
      <c r="E1555" s="233"/>
      <c r="F1555" s="233" t="s">
        <v>1263</v>
      </c>
      <c r="G1555" s="233">
        <v>9</v>
      </c>
      <c r="H1555" s="233">
        <v>1</v>
      </c>
      <c r="I1555" s="234">
        <v>4115.2</v>
      </c>
      <c r="J1555" s="234">
        <v>3293.1</v>
      </c>
      <c r="K1555" s="234">
        <v>3293.1</v>
      </c>
      <c r="L1555" s="239">
        <v>159</v>
      </c>
      <c r="M1555" s="233" t="s">
        <v>2694</v>
      </c>
      <c r="N1555" s="233" t="s">
        <v>258</v>
      </c>
      <c r="O1555" s="236" t="s">
        <v>3287</v>
      </c>
      <c r="P1555" s="78">
        <v>3068798.4</v>
      </c>
      <c r="Q1555" s="78">
        <v>0</v>
      </c>
      <c r="R1555" s="78">
        <v>1586278.3999999999</v>
      </c>
      <c r="S1555" s="78">
        <v>0</v>
      </c>
      <c r="T1555" s="78">
        <f t="shared" si="372"/>
        <v>1482520</v>
      </c>
      <c r="U1555" s="78">
        <f t="shared" ref="U1555:U1560" si="374">P1555/I1555</f>
        <v>745.72278382581646</v>
      </c>
      <c r="V1555" s="78">
        <v>788.95264385692064</v>
      </c>
    </row>
    <row r="1556" spans="2:22" s="79" customFormat="1" ht="36" customHeight="1" x14ac:dyDescent="0.25">
      <c r="B1556" s="80">
        <v>7</v>
      </c>
      <c r="C1556" s="270" t="s">
        <v>3281</v>
      </c>
      <c r="D1556" s="233">
        <v>1990</v>
      </c>
      <c r="E1556" s="233"/>
      <c r="F1556" s="233" t="s">
        <v>304</v>
      </c>
      <c r="G1556" s="233">
        <v>9</v>
      </c>
      <c r="H1556" s="233">
        <v>2</v>
      </c>
      <c r="I1556" s="234">
        <v>8059.9</v>
      </c>
      <c r="J1556" s="234">
        <v>7074.8</v>
      </c>
      <c r="K1556" s="234">
        <v>7074.8</v>
      </c>
      <c r="L1556" s="239">
        <v>328</v>
      </c>
      <c r="M1556" s="233" t="s">
        <v>2694</v>
      </c>
      <c r="N1556" s="233" t="s">
        <v>258</v>
      </c>
      <c r="O1556" s="236" t="s">
        <v>2559</v>
      </c>
      <c r="P1556" s="78">
        <v>6087081.5999999996</v>
      </c>
      <c r="Q1556" s="78">
        <v>0</v>
      </c>
      <c r="R1556" s="78">
        <v>3172556.7999999998</v>
      </c>
      <c r="S1556" s="78">
        <v>0</v>
      </c>
      <c r="T1556" s="78">
        <f t="shared" si="372"/>
        <v>2914524.8</v>
      </c>
      <c r="U1556" s="78">
        <f t="shared" si="374"/>
        <v>755.23041228799366</v>
      </c>
      <c r="V1556" s="78">
        <v>805.64223377461258</v>
      </c>
    </row>
    <row r="1557" spans="2:22" s="79" customFormat="1" ht="36" customHeight="1" x14ac:dyDescent="0.25">
      <c r="B1557" s="80">
        <v>8</v>
      </c>
      <c r="C1557" s="270" t="s">
        <v>3282</v>
      </c>
      <c r="D1557" s="233">
        <v>1989</v>
      </c>
      <c r="E1557" s="233"/>
      <c r="F1557" s="233" t="s">
        <v>304</v>
      </c>
      <c r="G1557" s="233">
        <v>10</v>
      </c>
      <c r="H1557" s="233">
        <v>3</v>
      </c>
      <c r="I1557" s="234">
        <v>7317.2</v>
      </c>
      <c r="J1557" s="234">
        <v>6395.4</v>
      </c>
      <c r="K1557" s="234">
        <v>6395.4</v>
      </c>
      <c r="L1557" s="239">
        <v>335</v>
      </c>
      <c r="M1557" s="233" t="s">
        <v>2694</v>
      </c>
      <c r="N1557" s="233" t="s">
        <v>258</v>
      </c>
      <c r="O1557" s="236" t="s">
        <v>3288</v>
      </c>
      <c r="P1557" s="78">
        <v>9156214.8000000007</v>
      </c>
      <c r="Q1557" s="78">
        <v>0</v>
      </c>
      <c r="R1557" s="78">
        <v>4758835.2000000002</v>
      </c>
      <c r="S1557" s="78">
        <v>0</v>
      </c>
      <c r="T1557" s="78">
        <f t="shared" si="372"/>
        <v>4397379.6000000006</v>
      </c>
      <c r="U1557" s="78">
        <f t="shared" si="374"/>
        <v>1251.3276663204506</v>
      </c>
      <c r="V1557" s="78">
        <v>1377.046616191986</v>
      </c>
    </row>
    <row r="1558" spans="2:22" s="79" customFormat="1" ht="36" customHeight="1" x14ac:dyDescent="0.25">
      <c r="B1558" s="80">
        <v>9</v>
      </c>
      <c r="C1558" s="270" t="s">
        <v>3283</v>
      </c>
      <c r="D1558" s="233">
        <v>1979</v>
      </c>
      <c r="E1558" s="233"/>
      <c r="F1558" s="233" t="s">
        <v>304</v>
      </c>
      <c r="G1558" s="233">
        <v>9</v>
      </c>
      <c r="H1558" s="233">
        <v>2</v>
      </c>
      <c r="I1558" s="234">
        <v>4432</v>
      </c>
      <c r="J1558" s="234">
        <v>3992</v>
      </c>
      <c r="K1558" s="234">
        <v>3992</v>
      </c>
      <c r="L1558" s="239">
        <v>213</v>
      </c>
      <c r="M1558" s="233" t="s">
        <v>2694</v>
      </c>
      <c r="N1558" s="233" t="s">
        <v>279</v>
      </c>
      <c r="O1558" s="236" t="s">
        <v>3289</v>
      </c>
      <c r="P1558" s="78">
        <v>6059719.2000000002</v>
      </c>
      <c r="Q1558" s="78">
        <v>0</v>
      </c>
      <c r="R1558" s="78">
        <v>3172556.7999999998</v>
      </c>
      <c r="S1558" s="78">
        <v>0</v>
      </c>
      <c r="T1558" s="78">
        <f t="shared" si="372"/>
        <v>2887162.4000000004</v>
      </c>
      <c r="U1558" s="78">
        <f t="shared" si="374"/>
        <v>1367.2651624548737</v>
      </c>
      <c r="V1558" s="78">
        <v>1465.1163898916968</v>
      </c>
    </row>
    <row r="1559" spans="2:22" s="79" customFormat="1" ht="36" customHeight="1" x14ac:dyDescent="0.25">
      <c r="B1559" s="80">
        <v>10</v>
      </c>
      <c r="C1559" s="270" t="s">
        <v>3284</v>
      </c>
      <c r="D1559" s="233">
        <v>1975</v>
      </c>
      <c r="E1559" s="233"/>
      <c r="F1559" s="233" t="s">
        <v>304</v>
      </c>
      <c r="G1559" s="233">
        <v>9</v>
      </c>
      <c r="H1559" s="233">
        <v>2</v>
      </c>
      <c r="I1559" s="234">
        <v>4462.5</v>
      </c>
      <c r="J1559" s="234">
        <v>3957.7</v>
      </c>
      <c r="K1559" s="234">
        <v>3957.7</v>
      </c>
      <c r="L1559" s="239">
        <v>185</v>
      </c>
      <c r="M1559" s="233" t="s">
        <v>2694</v>
      </c>
      <c r="N1559" s="233" t="s">
        <v>258</v>
      </c>
      <c r="O1559" s="236" t="s">
        <v>3290</v>
      </c>
      <c r="P1559" s="78">
        <v>5709189.5999999996</v>
      </c>
      <c r="Q1559" s="78">
        <v>0</v>
      </c>
      <c r="R1559" s="78">
        <v>3172556.7999999998</v>
      </c>
      <c r="S1559" s="78">
        <v>0</v>
      </c>
      <c r="T1559" s="78">
        <f t="shared" si="372"/>
        <v>2536632.7999999998</v>
      </c>
      <c r="U1559" s="78">
        <f t="shared" si="374"/>
        <v>1279.3702184873948</v>
      </c>
      <c r="V1559" s="78">
        <v>1455.1027092436975</v>
      </c>
    </row>
    <row r="1560" spans="2:22" s="79" customFormat="1" ht="36" customHeight="1" x14ac:dyDescent="0.25">
      <c r="B1560" s="80">
        <v>11</v>
      </c>
      <c r="C1560" s="270" t="s">
        <v>3324</v>
      </c>
      <c r="D1560" s="233">
        <v>1974</v>
      </c>
      <c r="E1560" s="233"/>
      <c r="F1560" s="233" t="s">
        <v>1263</v>
      </c>
      <c r="G1560" s="233">
        <v>9</v>
      </c>
      <c r="H1560" s="233">
        <v>1</v>
      </c>
      <c r="I1560" s="234">
        <v>2514.9</v>
      </c>
      <c r="J1560" s="234">
        <v>2266.9</v>
      </c>
      <c r="K1560" s="234">
        <v>2266.9</v>
      </c>
      <c r="L1560" s="239">
        <v>140</v>
      </c>
      <c r="M1560" s="233" t="s">
        <v>2694</v>
      </c>
      <c r="N1560" s="233" t="s">
        <v>258</v>
      </c>
      <c r="O1560" s="236" t="s">
        <v>933</v>
      </c>
      <c r="P1560" s="78">
        <v>3090929.68</v>
      </c>
      <c r="Q1560" s="78">
        <v>0</v>
      </c>
      <c r="R1560" s="78">
        <v>1586278.3999999999</v>
      </c>
      <c r="S1560" s="78">
        <v>0</v>
      </c>
      <c r="T1560" s="78">
        <f t="shared" si="372"/>
        <v>1504651.2800000003</v>
      </c>
      <c r="U1560" s="78">
        <f t="shared" si="374"/>
        <v>1229.0467533500339</v>
      </c>
      <c r="V1560" s="78">
        <f>U1560</f>
        <v>1229.0467533500339</v>
      </c>
    </row>
    <row r="1561" spans="2:22" s="23" customFormat="1" ht="84" customHeight="1" x14ac:dyDescent="0.25">
      <c r="B1561" s="335" t="s">
        <v>1787</v>
      </c>
      <c r="C1561" s="336"/>
      <c r="D1561" s="336"/>
      <c r="E1561" s="336"/>
      <c r="F1561" s="336"/>
      <c r="G1561" s="336"/>
      <c r="H1561" s="336"/>
      <c r="I1561" s="336"/>
      <c r="J1561" s="336"/>
      <c r="K1561" s="336"/>
      <c r="L1561" s="336"/>
      <c r="M1561" s="336"/>
      <c r="N1561" s="336"/>
      <c r="O1561" s="336"/>
      <c r="P1561" s="336"/>
      <c r="Q1561" s="336"/>
      <c r="R1561" s="336"/>
      <c r="S1561" s="336"/>
      <c r="T1561" s="336"/>
      <c r="U1561" s="336"/>
      <c r="V1561" s="337"/>
    </row>
    <row r="1562" spans="2:22" s="23" customFormat="1" ht="33.75" customHeight="1" x14ac:dyDescent="0.25">
      <c r="B1562" s="338" t="s">
        <v>2297</v>
      </c>
      <c r="C1562" s="339"/>
      <c r="D1562" s="233" t="s">
        <v>835</v>
      </c>
      <c r="E1562" s="233" t="s">
        <v>835</v>
      </c>
      <c r="F1562" s="236" t="s">
        <v>835</v>
      </c>
      <c r="G1562" s="233" t="s">
        <v>835</v>
      </c>
      <c r="H1562" s="233" t="s">
        <v>835</v>
      </c>
      <c r="I1562" s="234">
        <f>I1563+I1572+I1589</f>
        <v>31996</v>
      </c>
      <c r="J1562" s="234">
        <f t="shared" ref="J1562:L1562" si="375">J1563+J1572+J1589</f>
        <v>24937.600000000002</v>
      </c>
      <c r="K1562" s="234">
        <f t="shared" si="375"/>
        <v>18768.93</v>
      </c>
      <c r="L1562" s="245">
        <f t="shared" si="375"/>
        <v>1328</v>
      </c>
      <c r="M1562" s="233" t="s">
        <v>835</v>
      </c>
      <c r="N1562" s="233" t="s">
        <v>835</v>
      </c>
      <c r="O1562" s="233" t="s">
        <v>835</v>
      </c>
      <c r="P1562" s="234">
        <f>P1563+P1572+P1589</f>
        <v>71426266.439999998</v>
      </c>
      <c r="Q1562" s="234">
        <f t="shared" ref="Q1562:T1562" si="376">Q1563+Q1572+Q1589</f>
        <v>0</v>
      </c>
      <c r="R1562" s="234">
        <f t="shared" si="376"/>
        <v>0</v>
      </c>
      <c r="S1562" s="234">
        <f t="shared" si="376"/>
        <v>0</v>
      </c>
      <c r="T1562" s="234">
        <f t="shared" si="376"/>
        <v>71426266.439999998</v>
      </c>
      <c r="U1562" s="78">
        <f>P1562/I1562</f>
        <v>2232.3498699837478</v>
      </c>
      <c r="V1562" s="78">
        <f>MAX(V1563:V1591)</f>
        <v>11454.813041177291</v>
      </c>
    </row>
    <row r="1563" spans="2:22" s="23" customFormat="1" ht="36" customHeight="1" x14ac:dyDescent="0.25">
      <c r="B1563" s="338" t="s">
        <v>1562</v>
      </c>
      <c r="C1563" s="339"/>
      <c r="D1563" s="233" t="s">
        <v>835</v>
      </c>
      <c r="E1563" s="233" t="s">
        <v>835</v>
      </c>
      <c r="F1563" s="236" t="s">
        <v>835</v>
      </c>
      <c r="G1563" s="233" t="s">
        <v>835</v>
      </c>
      <c r="H1563" s="233" t="s">
        <v>835</v>
      </c>
      <c r="I1563" s="234">
        <f>I1564+I1570+I1568</f>
        <v>9484.2999999999993</v>
      </c>
      <c r="J1563" s="234">
        <f>J1564+J1570+J1568</f>
        <v>7647.42</v>
      </c>
      <c r="K1563" s="234">
        <f>K1564+K1570+K1568</f>
        <v>7647.42</v>
      </c>
      <c r="L1563" s="245">
        <f>L1564+L1570+L1568</f>
        <v>424</v>
      </c>
      <c r="M1563" s="233" t="s">
        <v>835</v>
      </c>
      <c r="N1563" s="233" t="s">
        <v>835</v>
      </c>
      <c r="O1563" s="233" t="s">
        <v>835</v>
      </c>
      <c r="P1563" s="237">
        <v>17288357.709999997</v>
      </c>
      <c r="Q1563" s="234">
        <f>Q1564+Q1570+Q1568</f>
        <v>0</v>
      </c>
      <c r="R1563" s="234">
        <f>R1564+R1570+R1568</f>
        <v>0</v>
      </c>
      <c r="S1563" s="234">
        <f>S1564+S1570+S1568</f>
        <v>0</v>
      </c>
      <c r="T1563" s="234">
        <f>T1564+T1570+T1568</f>
        <v>17288357.709999997</v>
      </c>
      <c r="U1563" s="78">
        <f t="shared" ref="U1563:U1584" si="377">P1563/I1563</f>
        <v>1822.8396096707188</v>
      </c>
      <c r="V1563" s="78">
        <f>MAX(V1564:V1571)</f>
        <v>11454.813041177291</v>
      </c>
    </row>
    <row r="1564" spans="2:22" s="23" customFormat="1" ht="36" customHeight="1" x14ac:dyDescent="0.25">
      <c r="B1564" s="77" t="s">
        <v>783</v>
      </c>
      <c r="C1564" s="251"/>
      <c r="D1564" s="233" t="s">
        <v>835</v>
      </c>
      <c r="E1564" s="233" t="s">
        <v>835</v>
      </c>
      <c r="F1564" s="236" t="s">
        <v>835</v>
      </c>
      <c r="G1564" s="233" t="s">
        <v>835</v>
      </c>
      <c r="H1564" s="233" t="s">
        <v>835</v>
      </c>
      <c r="I1564" s="234">
        <f>SUM(I1565:I1567)</f>
        <v>7491.9</v>
      </c>
      <c r="J1564" s="234">
        <f>SUM(J1565:J1567)</f>
        <v>6281</v>
      </c>
      <c r="K1564" s="234">
        <f>SUM(K1565:K1567)</f>
        <v>6281</v>
      </c>
      <c r="L1564" s="245">
        <f>SUM(L1565:L1567)</f>
        <v>356</v>
      </c>
      <c r="M1564" s="233" t="s">
        <v>835</v>
      </c>
      <c r="N1564" s="233" t="s">
        <v>835</v>
      </c>
      <c r="O1564" s="233" t="s">
        <v>835</v>
      </c>
      <c r="P1564" s="237">
        <v>13535253.609999999</v>
      </c>
      <c r="Q1564" s="234">
        <f>SUM(Q1565:Q1567)</f>
        <v>0</v>
      </c>
      <c r="R1564" s="234">
        <f>SUM(R1565:R1567)</f>
        <v>0</v>
      </c>
      <c r="S1564" s="234">
        <f>SUM(S1565:S1567)</f>
        <v>0</v>
      </c>
      <c r="T1564" s="234">
        <f>SUM(T1565:T1567)</f>
        <v>13535253.609999999</v>
      </c>
      <c r="U1564" s="78">
        <f t="shared" si="377"/>
        <v>1806.6516651316756</v>
      </c>
      <c r="V1564" s="78">
        <f>MAX(V1565:V1567)</f>
        <v>11454.813041177291</v>
      </c>
    </row>
    <row r="1565" spans="2:22" s="23" customFormat="1" ht="36" customHeight="1" x14ac:dyDescent="0.25">
      <c r="B1565" s="80">
        <v>1</v>
      </c>
      <c r="C1565" s="251" t="s">
        <v>1759</v>
      </c>
      <c r="D1565" s="233">
        <v>2007</v>
      </c>
      <c r="E1565" s="233"/>
      <c r="F1565" s="236" t="s">
        <v>304</v>
      </c>
      <c r="G1565" s="233">
        <v>5</v>
      </c>
      <c r="H1565" s="233">
        <v>4</v>
      </c>
      <c r="I1565" s="234">
        <v>3049.5</v>
      </c>
      <c r="J1565" s="234">
        <v>3049.5</v>
      </c>
      <c r="K1565" s="234">
        <v>3049.5</v>
      </c>
      <c r="L1565" s="245">
        <v>195</v>
      </c>
      <c r="M1565" s="233" t="s">
        <v>254</v>
      </c>
      <c r="N1565" s="233" t="s">
        <v>327</v>
      </c>
      <c r="O1565" s="233" t="s">
        <v>1760</v>
      </c>
      <c r="P1565" s="234">
        <v>4228150.99</v>
      </c>
      <c r="Q1565" s="78">
        <v>0</v>
      </c>
      <c r="R1565" s="234">
        <v>0</v>
      </c>
      <c r="S1565" s="234">
        <v>0</v>
      </c>
      <c r="T1565" s="234">
        <f>P1565-R1565-S1565</f>
        <v>4228150.99</v>
      </c>
      <c r="U1565" s="78">
        <f t="shared" si="377"/>
        <v>1386.5063092310215</v>
      </c>
      <c r="V1565" s="78">
        <v>3282.7982609608139</v>
      </c>
    </row>
    <row r="1566" spans="2:22" s="23" customFormat="1" ht="36" customHeight="1" x14ac:dyDescent="0.25">
      <c r="B1566" s="80">
        <v>2</v>
      </c>
      <c r="C1566" s="251" t="s">
        <v>1762</v>
      </c>
      <c r="D1566" s="233">
        <v>2008</v>
      </c>
      <c r="E1566" s="233"/>
      <c r="F1566" s="236" t="s">
        <v>304</v>
      </c>
      <c r="G1566" s="233">
        <v>5</v>
      </c>
      <c r="H1566" s="233">
        <v>3</v>
      </c>
      <c r="I1566" s="234">
        <v>2288.3000000000002</v>
      </c>
      <c r="J1566" s="234">
        <v>2288.3000000000002</v>
      </c>
      <c r="K1566" s="234">
        <v>2288.3000000000002</v>
      </c>
      <c r="L1566" s="245">
        <v>143</v>
      </c>
      <c r="M1566" s="233" t="s">
        <v>254</v>
      </c>
      <c r="N1566" s="233" t="s">
        <v>258</v>
      </c>
      <c r="O1566" s="233" t="s">
        <v>1764</v>
      </c>
      <c r="P1566" s="234">
        <v>2791765.62</v>
      </c>
      <c r="Q1566" s="78">
        <v>0</v>
      </c>
      <c r="R1566" s="234">
        <v>0</v>
      </c>
      <c r="S1566" s="234">
        <v>0</v>
      </c>
      <c r="T1566" s="234">
        <f>P1566-R1566-S1566</f>
        <v>2791765.62</v>
      </c>
      <c r="U1566" s="78">
        <f t="shared" si="377"/>
        <v>1220.0173141633527</v>
      </c>
      <c r="V1566" s="78">
        <v>3301.3662054800511</v>
      </c>
    </row>
    <row r="1567" spans="2:22" s="23" customFormat="1" ht="36" customHeight="1" x14ac:dyDescent="0.25">
      <c r="B1567" s="80">
        <v>3</v>
      </c>
      <c r="C1567" s="251" t="s">
        <v>1763</v>
      </c>
      <c r="D1567" s="233">
        <v>1914</v>
      </c>
      <c r="E1567" s="233"/>
      <c r="F1567" s="236" t="s">
        <v>256</v>
      </c>
      <c r="G1567" s="233">
        <v>4</v>
      </c>
      <c r="H1567" s="233">
        <v>2</v>
      </c>
      <c r="I1567" s="234">
        <v>2154.1</v>
      </c>
      <c r="J1567" s="234">
        <v>943.2</v>
      </c>
      <c r="K1567" s="234">
        <v>943.2</v>
      </c>
      <c r="L1567" s="245">
        <v>18</v>
      </c>
      <c r="M1567" s="233" t="s">
        <v>254</v>
      </c>
      <c r="N1567" s="233" t="s">
        <v>258</v>
      </c>
      <c r="O1567" s="233" t="s">
        <v>1765</v>
      </c>
      <c r="P1567" s="234">
        <v>6515337</v>
      </c>
      <c r="Q1567" s="78">
        <v>0</v>
      </c>
      <c r="R1567" s="234">
        <v>0</v>
      </c>
      <c r="S1567" s="234">
        <v>0</v>
      </c>
      <c r="T1567" s="234">
        <f>P1567-R1567-S1567</f>
        <v>6515337</v>
      </c>
      <c r="U1567" s="78">
        <f t="shared" si="377"/>
        <v>3024.6214196184023</v>
      </c>
      <c r="V1567" s="78">
        <v>11454.813041177291</v>
      </c>
    </row>
    <row r="1568" spans="2:22" s="23" customFormat="1" ht="36" customHeight="1" x14ac:dyDescent="0.25">
      <c r="B1568" s="77" t="s">
        <v>782</v>
      </c>
      <c r="C1568" s="251"/>
      <c r="D1568" s="233" t="s">
        <v>835</v>
      </c>
      <c r="E1568" s="233" t="s">
        <v>835</v>
      </c>
      <c r="F1568" s="236" t="s">
        <v>835</v>
      </c>
      <c r="G1568" s="233" t="s">
        <v>835</v>
      </c>
      <c r="H1568" s="233" t="s">
        <v>835</v>
      </c>
      <c r="I1568" s="234">
        <f>SUM(I1569:I1569)</f>
        <v>1298.5999999999999</v>
      </c>
      <c r="J1568" s="234">
        <f>SUM(J1569:J1569)</f>
        <v>989.4</v>
      </c>
      <c r="K1568" s="234">
        <f>SUM(K1569:K1569)</f>
        <v>989.4</v>
      </c>
      <c r="L1568" s="245">
        <f>SUM(L1569:L1569)</f>
        <v>47</v>
      </c>
      <c r="M1568" s="233" t="s">
        <v>835</v>
      </c>
      <c r="N1568" s="233" t="s">
        <v>835</v>
      </c>
      <c r="O1568" s="233" t="s">
        <v>835</v>
      </c>
      <c r="P1568" s="237">
        <v>1806013.41</v>
      </c>
      <c r="Q1568" s="234">
        <f>SUM(Q1569:Q1569)</f>
        <v>0</v>
      </c>
      <c r="R1568" s="234">
        <f>SUM(R1569:R1569)</f>
        <v>0</v>
      </c>
      <c r="S1568" s="234">
        <f>SUM(S1569:S1569)</f>
        <v>0</v>
      </c>
      <c r="T1568" s="234">
        <f>SUM(T1569:T1569)</f>
        <v>1806013.41</v>
      </c>
      <c r="U1568" s="78">
        <f t="shared" si="377"/>
        <v>1390.7388033266595</v>
      </c>
      <c r="V1568" s="78">
        <f>V1569</f>
        <v>4745.5462374865247</v>
      </c>
    </row>
    <row r="1569" spans="2:22" s="23" customFormat="1" ht="36" customHeight="1" x14ac:dyDescent="0.25">
      <c r="B1569" s="80">
        <v>4</v>
      </c>
      <c r="C1569" s="251" t="s">
        <v>1761</v>
      </c>
      <c r="D1569" s="233">
        <v>1984</v>
      </c>
      <c r="E1569" s="233"/>
      <c r="F1569" s="236" t="s">
        <v>256</v>
      </c>
      <c r="G1569" s="233">
        <v>2</v>
      </c>
      <c r="H1569" s="233">
        <v>3</v>
      </c>
      <c r="I1569" s="234">
        <v>1298.5999999999999</v>
      </c>
      <c r="J1569" s="234">
        <v>989.4</v>
      </c>
      <c r="K1569" s="234">
        <v>989.4</v>
      </c>
      <c r="L1569" s="245">
        <v>47</v>
      </c>
      <c r="M1569" s="233" t="s">
        <v>254</v>
      </c>
      <c r="N1569" s="233" t="s">
        <v>258</v>
      </c>
      <c r="O1569" s="233" t="s">
        <v>751</v>
      </c>
      <c r="P1569" s="234">
        <v>1806013.41</v>
      </c>
      <c r="Q1569" s="78">
        <v>0</v>
      </c>
      <c r="R1569" s="234">
        <v>0</v>
      </c>
      <c r="S1569" s="234">
        <v>0</v>
      </c>
      <c r="T1569" s="234">
        <f>P1569-R1569-S1569</f>
        <v>1806013.41</v>
      </c>
      <c r="U1569" s="78">
        <f t="shared" si="377"/>
        <v>1390.7388033266595</v>
      </c>
      <c r="V1569" s="78">
        <v>4745.5462374865247</v>
      </c>
    </row>
    <row r="1570" spans="2:22" s="23" customFormat="1" ht="36" customHeight="1" x14ac:dyDescent="0.25">
      <c r="B1570" s="77" t="s">
        <v>836</v>
      </c>
      <c r="C1570" s="251"/>
      <c r="D1570" s="233" t="s">
        <v>835</v>
      </c>
      <c r="E1570" s="233" t="s">
        <v>835</v>
      </c>
      <c r="F1570" s="236" t="s">
        <v>835</v>
      </c>
      <c r="G1570" s="233" t="s">
        <v>835</v>
      </c>
      <c r="H1570" s="233" t="s">
        <v>835</v>
      </c>
      <c r="I1570" s="234">
        <f>SUM(I1571:I1571)</f>
        <v>693.8</v>
      </c>
      <c r="J1570" s="234">
        <f>SUM(J1571:J1571)</f>
        <v>377.02</v>
      </c>
      <c r="K1570" s="234">
        <f>SUM(K1571:K1571)</f>
        <v>377.02</v>
      </c>
      <c r="L1570" s="245">
        <f>SUM(L1571:L1571)</f>
        <v>21</v>
      </c>
      <c r="M1570" s="233" t="s">
        <v>835</v>
      </c>
      <c r="N1570" s="233" t="s">
        <v>835</v>
      </c>
      <c r="O1570" s="233" t="s">
        <v>835</v>
      </c>
      <c r="P1570" s="237">
        <v>1947090.69</v>
      </c>
      <c r="Q1570" s="234">
        <f>SUM(Q1571:Q1571)</f>
        <v>0</v>
      </c>
      <c r="R1570" s="234">
        <f>SUM(R1571:R1571)</f>
        <v>0</v>
      </c>
      <c r="S1570" s="234">
        <f>SUM(S1571:S1571)</f>
        <v>0</v>
      </c>
      <c r="T1570" s="234">
        <f>SUM(T1571:T1571)</f>
        <v>1947090.69</v>
      </c>
      <c r="U1570" s="78">
        <f t="shared" si="377"/>
        <v>2806.4149466705103</v>
      </c>
      <c r="V1570" s="78">
        <f>V1571</f>
        <v>4755.4119342750082</v>
      </c>
    </row>
    <row r="1571" spans="2:22" s="23" customFormat="1" ht="36" customHeight="1" x14ac:dyDescent="0.25">
      <c r="B1571" s="80">
        <v>5</v>
      </c>
      <c r="C1571" s="251" t="s">
        <v>1792</v>
      </c>
      <c r="D1571" s="233">
        <v>1987</v>
      </c>
      <c r="E1571" s="233"/>
      <c r="F1571" s="236" t="s">
        <v>256</v>
      </c>
      <c r="G1571" s="233">
        <v>2</v>
      </c>
      <c r="H1571" s="233">
        <v>1</v>
      </c>
      <c r="I1571" s="234">
        <v>693.8</v>
      </c>
      <c r="J1571" s="234">
        <v>377.02</v>
      </c>
      <c r="K1571" s="234">
        <v>377.02</v>
      </c>
      <c r="L1571" s="245">
        <v>21</v>
      </c>
      <c r="M1571" s="233" t="s">
        <v>254</v>
      </c>
      <c r="N1571" s="233" t="s">
        <v>255</v>
      </c>
      <c r="O1571" s="233" t="s">
        <v>257</v>
      </c>
      <c r="P1571" s="234">
        <v>1947090.69</v>
      </c>
      <c r="Q1571" s="78">
        <v>0</v>
      </c>
      <c r="R1571" s="234">
        <v>0</v>
      </c>
      <c r="S1571" s="234">
        <v>0</v>
      </c>
      <c r="T1571" s="234">
        <f>P1571-R1571-S1571</f>
        <v>1947090.69</v>
      </c>
      <c r="U1571" s="78">
        <f t="shared" si="377"/>
        <v>2806.4149466705103</v>
      </c>
      <c r="V1571" s="78">
        <v>4755.4119342750082</v>
      </c>
    </row>
    <row r="1572" spans="2:22" s="23" customFormat="1" ht="36" customHeight="1" x14ac:dyDescent="0.25">
      <c r="B1572" s="338" t="s">
        <v>1806</v>
      </c>
      <c r="C1572" s="339"/>
      <c r="D1572" s="233" t="s">
        <v>835</v>
      </c>
      <c r="E1572" s="233" t="s">
        <v>835</v>
      </c>
      <c r="F1572" s="236" t="s">
        <v>835</v>
      </c>
      <c r="G1572" s="233" t="s">
        <v>835</v>
      </c>
      <c r="H1572" s="233" t="s">
        <v>835</v>
      </c>
      <c r="I1572" s="234">
        <f>I1573+I1581+I1583+I1577+I1579+I1585</f>
        <v>16557.3</v>
      </c>
      <c r="J1572" s="234">
        <f>J1573+J1581+J1583+J1577+J1579+J1585</f>
        <v>13374.869999999999</v>
      </c>
      <c r="K1572" s="234">
        <f>K1573+K1581+K1583+K1577+K1579+K1585</f>
        <v>7206.1999999999989</v>
      </c>
      <c r="L1572" s="245">
        <f>L1573+L1581+L1583+L1577+L1579+L1585</f>
        <v>708</v>
      </c>
      <c r="M1572" s="233" t="s">
        <v>835</v>
      </c>
      <c r="N1572" s="233" t="s">
        <v>835</v>
      </c>
      <c r="O1572" s="233" t="s">
        <v>835</v>
      </c>
      <c r="P1572" s="237">
        <v>47438619.980000004</v>
      </c>
      <c r="Q1572" s="234">
        <f>Q1573+Q1581+Q1583+Q1577+Q1579+Q1585</f>
        <v>0</v>
      </c>
      <c r="R1572" s="234">
        <f>R1573+R1581+R1583+R1577+R1579+R1585</f>
        <v>0</v>
      </c>
      <c r="S1572" s="234">
        <f>S1573+S1581+S1583+S1577+S1579+S1585</f>
        <v>0</v>
      </c>
      <c r="T1572" s="234">
        <f>T1573+T1581+T1583+T1577+T1579+T1585</f>
        <v>47438619.980000004</v>
      </c>
      <c r="U1572" s="78">
        <f t="shared" si="377"/>
        <v>2865.1181037971169</v>
      </c>
      <c r="V1572" s="78">
        <f>MAX(V1573:V1584)</f>
        <v>8774.732301223281</v>
      </c>
    </row>
    <row r="1573" spans="2:22" s="23" customFormat="1" ht="36" customHeight="1" x14ac:dyDescent="0.25">
      <c r="B1573" s="77" t="s">
        <v>769</v>
      </c>
      <c r="C1573" s="251"/>
      <c r="D1573" s="233" t="s">
        <v>835</v>
      </c>
      <c r="E1573" s="233" t="s">
        <v>835</v>
      </c>
      <c r="F1573" s="236" t="s">
        <v>835</v>
      </c>
      <c r="G1573" s="233" t="s">
        <v>835</v>
      </c>
      <c r="H1573" s="233" t="s">
        <v>835</v>
      </c>
      <c r="I1573" s="234">
        <f>SUM(I1574:I1576)</f>
        <v>7352.4</v>
      </c>
      <c r="J1573" s="234">
        <f>SUM(J1574:J1576)</f>
        <v>6337.7999999999993</v>
      </c>
      <c r="K1573" s="234">
        <f>SUM(K1574:K1576)</f>
        <v>6337.7999999999993</v>
      </c>
      <c r="L1573" s="245">
        <f>SUM(L1574:L1576)</f>
        <v>330</v>
      </c>
      <c r="M1573" s="233" t="s">
        <v>835</v>
      </c>
      <c r="N1573" s="233" t="s">
        <v>835</v>
      </c>
      <c r="O1573" s="233" t="s">
        <v>835</v>
      </c>
      <c r="P1573" s="237">
        <v>10963006.890000001</v>
      </c>
      <c r="Q1573" s="234">
        <f>SUM(Q1574:Q1576)</f>
        <v>0</v>
      </c>
      <c r="R1573" s="234">
        <f>SUM(R1574:R1576)</f>
        <v>0</v>
      </c>
      <c r="S1573" s="234">
        <f>SUM(S1574:S1576)</f>
        <v>0</v>
      </c>
      <c r="T1573" s="234">
        <f>SUM(T1574:T1576)</f>
        <v>10963006.890000001</v>
      </c>
      <c r="U1573" s="78">
        <f t="shared" si="377"/>
        <v>1491.0786804308798</v>
      </c>
      <c r="V1573" s="78">
        <f>MAX(V1574:V1576)</f>
        <v>7403.3911932773126</v>
      </c>
    </row>
    <row r="1574" spans="2:22" s="23" customFormat="1" ht="36" customHeight="1" x14ac:dyDescent="0.25">
      <c r="B1574" s="80">
        <v>1</v>
      </c>
      <c r="C1574" s="251" t="s">
        <v>2571</v>
      </c>
      <c r="D1574" s="233">
        <v>1960</v>
      </c>
      <c r="E1574" s="233"/>
      <c r="F1574" s="236" t="s">
        <v>256</v>
      </c>
      <c r="G1574" s="233">
        <v>2</v>
      </c>
      <c r="H1574" s="233">
        <v>2</v>
      </c>
      <c r="I1574" s="234">
        <v>606.9</v>
      </c>
      <c r="J1574" s="234">
        <v>560.1</v>
      </c>
      <c r="K1574" s="234">
        <f>J1574</f>
        <v>560.1</v>
      </c>
      <c r="L1574" s="245">
        <v>23</v>
      </c>
      <c r="M1574" s="233" t="s">
        <v>254</v>
      </c>
      <c r="N1574" s="233" t="s">
        <v>258</v>
      </c>
      <c r="O1574" s="233" t="s">
        <v>2577</v>
      </c>
      <c r="P1574" s="234">
        <v>2367058.16</v>
      </c>
      <c r="Q1574" s="78">
        <v>0</v>
      </c>
      <c r="R1574" s="234">
        <v>0</v>
      </c>
      <c r="S1574" s="234">
        <v>0</v>
      </c>
      <c r="T1574" s="234">
        <f>P1574-R1574-S1574</f>
        <v>2367058.16</v>
      </c>
      <c r="U1574" s="78">
        <f t="shared" si="377"/>
        <v>3900.2441258856488</v>
      </c>
      <c r="V1574" s="78">
        <v>7403.3911932773126</v>
      </c>
    </row>
    <row r="1575" spans="2:22" s="23" customFormat="1" ht="36" customHeight="1" x14ac:dyDescent="0.25">
      <c r="B1575" s="80">
        <v>2</v>
      </c>
      <c r="C1575" s="251" t="s">
        <v>2572</v>
      </c>
      <c r="D1575" s="233">
        <v>1990</v>
      </c>
      <c r="E1575" s="233"/>
      <c r="F1575" s="236" t="s">
        <v>256</v>
      </c>
      <c r="G1575" s="233">
        <v>5</v>
      </c>
      <c r="H1575" s="233">
        <v>2</v>
      </c>
      <c r="I1575" s="234">
        <v>4882.8999999999996</v>
      </c>
      <c r="J1575" s="234">
        <v>4089.6</v>
      </c>
      <c r="K1575" s="234">
        <f>J1575</f>
        <v>4089.6</v>
      </c>
      <c r="L1575" s="245">
        <v>221</v>
      </c>
      <c r="M1575" s="233" t="s">
        <v>254</v>
      </c>
      <c r="N1575" s="233" t="s">
        <v>258</v>
      </c>
      <c r="O1575" s="233" t="s">
        <v>319</v>
      </c>
      <c r="P1575" s="234">
        <v>5380543.4199999999</v>
      </c>
      <c r="Q1575" s="78">
        <v>0</v>
      </c>
      <c r="R1575" s="234">
        <v>0</v>
      </c>
      <c r="S1575" s="234">
        <v>0</v>
      </c>
      <c r="T1575" s="234">
        <f>P1575-R1575-S1575</f>
        <v>5380543.4199999999</v>
      </c>
      <c r="U1575" s="78">
        <f t="shared" si="377"/>
        <v>1101.9155460894142</v>
      </c>
      <c r="V1575" s="78">
        <v>2063.5800856048663</v>
      </c>
    </row>
    <row r="1576" spans="2:22" s="23" customFormat="1" ht="36" customHeight="1" x14ac:dyDescent="0.25">
      <c r="B1576" s="80">
        <v>3</v>
      </c>
      <c r="C1576" s="251" t="s">
        <v>2574</v>
      </c>
      <c r="D1576" s="233">
        <v>1992</v>
      </c>
      <c r="E1576" s="233"/>
      <c r="F1576" s="236" t="s">
        <v>256</v>
      </c>
      <c r="G1576" s="233">
        <v>5</v>
      </c>
      <c r="H1576" s="233">
        <v>2</v>
      </c>
      <c r="I1576" s="234">
        <v>1862.6</v>
      </c>
      <c r="J1576" s="234">
        <v>1688.1</v>
      </c>
      <c r="K1576" s="234">
        <f>J1576</f>
        <v>1688.1</v>
      </c>
      <c r="L1576" s="245">
        <v>86</v>
      </c>
      <c r="M1576" s="233" t="s">
        <v>254</v>
      </c>
      <c r="N1576" s="233" t="s">
        <v>255</v>
      </c>
      <c r="O1576" s="233" t="s">
        <v>257</v>
      </c>
      <c r="P1576" s="234">
        <v>3215405.31</v>
      </c>
      <c r="Q1576" s="78">
        <v>0</v>
      </c>
      <c r="R1576" s="234">
        <v>0</v>
      </c>
      <c r="S1576" s="234">
        <v>0</v>
      </c>
      <c r="T1576" s="234">
        <f>P1576-R1576-S1576</f>
        <v>3215405.31</v>
      </c>
      <c r="U1576" s="78">
        <f t="shared" si="377"/>
        <v>1726.2994255341996</v>
      </c>
      <c r="V1576" s="78">
        <v>3057.5786195640503</v>
      </c>
    </row>
    <row r="1577" spans="2:22" s="23" customFormat="1" ht="36" customHeight="1" x14ac:dyDescent="0.25">
      <c r="B1577" s="77" t="s">
        <v>770</v>
      </c>
      <c r="C1577" s="251"/>
      <c r="D1577" s="233" t="s">
        <v>835</v>
      </c>
      <c r="E1577" s="233" t="s">
        <v>835</v>
      </c>
      <c r="F1577" s="236" t="s">
        <v>835</v>
      </c>
      <c r="G1577" s="233" t="s">
        <v>835</v>
      </c>
      <c r="H1577" s="233" t="s">
        <v>835</v>
      </c>
      <c r="I1577" s="234">
        <f>I1578</f>
        <v>594.6</v>
      </c>
      <c r="J1577" s="234">
        <f>J1578</f>
        <v>562</v>
      </c>
      <c r="K1577" s="234">
        <f>K1578</f>
        <v>562</v>
      </c>
      <c r="L1577" s="245">
        <f>L1578</f>
        <v>23</v>
      </c>
      <c r="M1577" s="233" t="s">
        <v>835</v>
      </c>
      <c r="N1577" s="233" t="s">
        <v>835</v>
      </c>
      <c r="O1577" s="233" t="s">
        <v>835</v>
      </c>
      <c r="P1577" s="237">
        <v>2415350.84</v>
      </c>
      <c r="Q1577" s="234">
        <f>SUM(Q1579:Q1579)</f>
        <v>0</v>
      </c>
      <c r="R1577" s="234">
        <f>SUM(R1579:R1579)</f>
        <v>0</v>
      </c>
      <c r="S1577" s="234">
        <f>SUM(S1579:S1579)</f>
        <v>0</v>
      </c>
      <c r="T1577" s="234">
        <f>T1578</f>
        <v>2415350.84</v>
      </c>
      <c r="U1577" s="78">
        <f t="shared" si="377"/>
        <v>4062.1440295997304</v>
      </c>
      <c r="V1577" s="78">
        <f>V1578</f>
        <v>7277.9002892700973</v>
      </c>
    </row>
    <row r="1578" spans="2:22" s="23" customFormat="1" ht="36" customHeight="1" x14ac:dyDescent="0.25">
      <c r="B1578" s="80">
        <v>4</v>
      </c>
      <c r="C1578" s="251" t="s">
        <v>2573</v>
      </c>
      <c r="D1578" s="233">
        <v>1985</v>
      </c>
      <c r="E1578" s="233"/>
      <c r="F1578" s="236" t="s">
        <v>304</v>
      </c>
      <c r="G1578" s="233">
        <v>2</v>
      </c>
      <c r="H1578" s="233">
        <v>1</v>
      </c>
      <c r="I1578" s="234">
        <v>594.6</v>
      </c>
      <c r="J1578" s="234">
        <v>562</v>
      </c>
      <c r="K1578" s="234">
        <f>J1578</f>
        <v>562</v>
      </c>
      <c r="L1578" s="245">
        <v>23</v>
      </c>
      <c r="M1578" s="233" t="s">
        <v>254</v>
      </c>
      <c r="N1578" s="233" t="s">
        <v>255</v>
      </c>
      <c r="O1578" s="233" t="s">
        <v>257</v>
      </c>
      <c r="P1578" s="234">
        <v>2415350.84</v>
      </c>
      <c r="Q1578" s="78">
        <v>0</v>
      </c>
      <c r="R1578" s="234">
        <v>0</v>
      </c>
      <c r="S1578" s="234">
        <v>0</v>
      </c>
      <c r="T1578" s="234">
        <f>P1578-R1578-S1578</f>
        <v>2415350.84</v>
      </c>
      <c r="U1578" s="78">
        <f t="shared" si="377"/>
        <v>4062.1440295997304</v>
      </c>
      <c r="V1578" s="78">
        <v>7277.9002892700973</v>
      </c>
    </row>
    <row r="1579" spans="2:22" s="23" customFormat="1" ht="36" customHeight="1" x14ac:dyDescent="0.25">
      <c r="B1579" s="77" t="s">
        <v>1324</v>
      </c>
      <c r="C1579" s="251"/>
      <c r="D1579" s="233" t="s">
        <v>835</v>
      </c>
      <c r="E1579" s="233" t="s">
        <v>835</v>
      </c>
      <c r="F1579" s="236" t="s">
        <v>835</v>
      </c>
      <c r="G1579" s="233" t="s">
        <v>835</v>
      </c>
      <c r="H1579" s="233" t="s">
        <v>835</v>
      </c>
      <c r="I1579" s="234">
        <f>I1580</f>
        <v>338.5</v>
      </c>
      <c r="J1579" s="234">
        <f>J1580</f>
        <v>306.39999999999998</v>
      </c>
      <c r="K1579" s="234">
        <f>K1580</f>
        <v>306.39999999999998</v>
      </c>
      <c r="L1579" s="245">
        <f>L1580</f>
        <v>27</v>
      </c>
      <c r="M1579" s="233" t="s">
        <v>835</v>
      </c>
      <c r="N1579" s="233" t="s">
        <v>835</v>
      </c>
      <c r="O1579" s="233" t="s">
        <v>835</v>
      </c>
      <c r="P1579" s="237">
        <v>2265399.8199999998</v>
      </c>
      <c r="Q1579" s="234">
        <f>SUM(Q1581:Q1581)</f>
        <v>0</v>
      </c>
      <c r="R1579" s="234">
        <f>SUM(R1581:R1581)</f>
        <v>0</v>
      </c>
      <c r="S1579" s="234">
        <f>SUM(S1581:S1581)</f>
        <v>0</v>
      </c>
      <c r="T1579" s="234">
        <f>T1580</f>
        <v>2265399.8199999998</v>
      </c>
      <c r="U1579" s="78">
        <f>P1579/I1579</f>
        <v>6692.46623338257</v>
      </c>
      <c r="V1579" s="78">
        <f>V1580</f>
        <v>8016.1160177252596</v>
      </c>
    </row>
    <row r="1580" spans="2:22" s="23" customFormat="1" ht="36" customHeight="1" x14ac:dyDescent="0.25">
      <c r="B1580" s="80">
        <v>5</v>
      </c>
      <c r="C1580" s="251" t="s">
        <v>2575</v>
      </c>
      <c r="D1580" s="233">
        <v>1967</v>
      </c>
      <c r="E1580" s="233"/>
      <c r="F1580" s="236" t="s">
        <v>256</v>
      </c>
      <c r="G1580" s="233">
        <v>2</v>
      </c>
      <c r="H1580" s="233">
        <v>1</v>
      </c>
      <c r="I1580" s="234">
        <v>338.5</v>
      </c>
      <c r="J1580" s="234">
        <v>306.39999999999998</v>
      </c>
      <c r="K1580" s="234">
        <f>J1580</f>
        <v>306.39999999999998</v>
      </c>
      <c r="L1580" s="245">
        <v>27</v>
      </c>
      <c r="M1580" s="233" t="s">
        <v>254</v>
      </c>
      <c r="N1580" s="233" t="s">
        <v>255</v>
      </c>
      <c r="O1580" s="233" t="s">
        <v>257</v>
      </c>
      <c r="P1580" s="234">
        <v>2265399.8199999998</v>
      </c>
      <c r="Q1580" s="78">
        <v>0</v>
      </c>
      <c r="R1580" s="234">
        <v>0</v>
      </c>
      <c r="S1580" s="234">
        <v>0</v>
      </c>
      <c r="T1580" s="234">
        <f>P1580-R1580-S1580</f>
        <v>2265399.8199999998</v>
      </c>
      <c r="U1580" s="78">
        <f t="shared" ref="U1580" si="378">P1580/I1580</f>
        <v>6692.46623338257</v>
      </c>
      <c r="V1580" s="78">
        <v>8016.1160177252596</v>
      </c>
    </row>
    <row r="1581" spans="2:22" s="23" customFormat="1" ht="36" customHeight="1" x14ac:dyDescent="0.25">
      <c r="B1581" s="77" t="s">
        <v>765</v>
      </c>
      <c r="C1581" s="251"/>
      <c r="D1581" s="233" t="s">
        <v>835</v>
      </c>
      <c r="E1581" s="233" t="s">
        <v>835</v>
      </c>
      <c r="F1581" s="236" t="s">
        <v>835</v>
      </c>
      <c r="G1581" s="233" t="s">
        <v>835</v>
      </c>
      <c r="H1581" s="233" t="s">
        <v>835</v>
      </c>
      <c r="I1581" s="234">
        <f>I1582</f>
        <v>1247.73</v>
      </c>
      <c r="J1581" s="234">
        <f>J1582</f>
        <v>577.1</v>
      </c>
      <c r="K1581" s="234">
        <f>K1582</f>
        <v>0</v>
      </c>
      <c r="L1581" s="245">
        <f>L1582</f>
        <v>83</v>
      </c>
      <c r="M1581" s="233" t="s">
        <v>835</v>
      </c>
      <c r="N1581" s="233" t="s">
        <v>835</v>
      </c>
      <c r="O1581" s="233" t="s">
        <v>835</v>
      </c>
      <c r="P1581" s="237">
        <v>2975822.68</v>
      </c>
      <c r="Q1581" s="234">
        <f>SUM(Q1583:Q1583)</f>
        <v>0</v>
      </c>
      <c r="R1581" s="234">
        <f>SUM(R1583:R1583)</f>
        <v>0</v>
      </c>
      <c r="S1581" s="234">
        <f>SUM(S1583:S1583)</f>
        <v>0</v>
      </c>
      <c r="T1581" s="234">
        <f>T1582</f>
        <v>2975822.68</v>
      </c>
      <c r="U1581" s="78">
        <f>P1581/I1581</f>
        <v>2384.9892845407262</v>
      </c>
      <c r="V1581" s="78">
        <f>V1582</f>
        <v>5291.7075553204631</v>
      </c>
    </row>
    <row r="1582" spans="2:22" s="23" customFormat="1" ht="36" customHeight="1" x14ac:dyDescent="0.25">
      <c r="B1582" s="80">
        <v>6</v>
      </c>
      <c r="C1582" s="251" t="s">
        <v>2578</v>
      </c>
      <c r="D1582" s="233">
        <v>1966</v>
      </c>
      <c r="E1582" s="233"/>
      <c r="F1582" s="236" t="s">
        <v>256</v>
      </c>
      <c r="G1582" s="233">
        <v>2</v>
      </c>
      <c r="H1582" s="233">
        <v>2</v>
      </c>
      <c r="I1582" s="234">
        <v>1247.73</v>
      </c>
      <c r="J1582" s="234">
        <v>577.1</v>
      </c>
      <c r="K1582" s="234">
        <v>0</v>
      </c>
      <c r="L1582" s="245">
        <v>83</v>
      </c>
      <c r="M1582" s="233" t="s">
        <v>254</v>
      </c>
      <c r="N1582" s="233" t="s">
        <v>258</v>
      </c>
      <c r="O1582" s="233" t="s">
        <v>1256</v>
      </c>
      <c r="P1582" s="234">
        <v>2975822.68</v>
      </c>
      <c r="Q1582" s="78">
        <v>0</v>
      </c>
      <c r="R1582" s="234">
        <v>0</v>
      </c>
      <c r="S1582" s="234">
        <v>0</v>
      </c>
      <c r="T1582" s="234">
        <f>P1582-R1582-S1582</f>
        <v>2975822.68</v>
      </c>
      <c r="U1582" s="78">
        <f t="shared" ref="U1582" si="379">P1582/I1582</f>
        <v>2384.9892845407262</v>
      </c>
      <c r="V1582" s="78">
        <v>5291.7075553204631</v>
      </c>
    </row>
    <row r="1583" spans="2:22" s="23" customFormat="1" ht="36" customHeight="1" x14ac:dyDescent="0.25">
      <c r="B1583" s="77" t="s">
        <v>774</v>
      </c>
      <c r="C1583" s="251"/>
      <c r="D1583" s="233" t="s">
        <v>835</v>
      </c>
      <c r="E1583" s="233" t="s">
        <v>835</v>
      </c>
      <c r="F1583" s="236" t="s">
        <v>835</v>
      </c>
      <c r="G1583" s="233" t="s">
        <v>835</v>
      </c>
      <c r="H1583" s="233" t="s">
        <v>835</v>
      </c>
      <c r="I1583" s="234">
        <f>I1584</f>
        <v>3981.1</v>
      </c>
      <c r="J1583" s="234">
        <f>J1584</f>
        <v>2548.6</v>
      </c>
      <c r="K1583" s="234">
        <f>K1584</f>
        <v>0</v>
      </c>
      <c r="L1583" s="245">
        <f>L1584</f>
        <v>138</v>
      </c>
      <c r="M1583" s="233" t="s">
        <v>835</v>
      </c>
      <c r="N1583" s="233" t="s">
        <v>835</v>
      </c>
      <c r="O1583" s="233" t="s">
        <v>835</v>
      </c>
      <c r="P1583" s="237">
        <v>14050777.360000001</v>
      </c>
      <c r="Q1583" s="234">
        <f>SUM(Q1589:Q1589)</f>
        <v>0</v>
      </c>
      <c r="R1583" s="234">
        <f>SUM(R1589:R1589)</f>
        <v>0</v>
      </c>
      <c r="S1583" s="234">
        <f>SUM(S1589:S1589)</f>
        <v>0</v>
      </c>
      <c r="T1583" s="234">
        <f>T1584</f>
        <v>14050777.360000001</v>
      </c>
      <c r="U1583" s="78">
        <f t="shared" si="377"/>
        <v>3529.3706161613627</v>
      </c>
      <c r="V1583" s="78">
        <f>V1584</f>
        <v>8774.732301223281</v>
      </c>
    </row>
    <row r="1584" spans="2:22" s="23" customFormat="1" ht="36" customHeight="1" x14ac:dyDescent="0.25">
      <c r="B1584" s="80">
        <v>7</v>
      </c>
      <c r="C1584" s="251" t="s">
        <v>1145</v>
      </c>
      <c r="D1584" s="233">
        <v>1975</v>
      </c>
      <c r="E1584" s="233"/>
      <c r="F1584" s="236" t="s">
        <v>256</v>
      </c>
      <c r="G1584" s="233">
        <v>3</v>
      </c>
      <c r="H1584" s="233">
        <v>2</v>
      </c>
      <c r="I1584" s="234">
        <v>3981.1</v>
      </c>
      <c r="J1584" s="234">
        <v>2548.6</v>
      </c>
      <c r="K1584" s="234">
        <v>0</v>
      </c>
      <c r="L1584" s="245">
        <v>138</v>
      </c>
      <c r="M1584" s="233" t="s">
        <v>254</v>
      </c>
      <c r="N1584" s="233" t="s">
        <v>258</v>
      </c>
      <c r="O1584" s="233" t="s">
        <v>676</v>
      </c>
      <c r="P1584" s="234">
        <v>14050777.360000001</v>
      </c>
      <c r="Q1584" s="78">
        <v>0</v>
      </c>
      <c r="R1584" s="234">
        <v>0</v>
      </c>
      <c r="S1584" s="234">
        <v>0</v>
      </c>
      <c r="T1584" s="234">
        <f>P1584-R1584-S1584</f>
        <v>14050777.360000001</v>
      </c>
      <c r="U1584" s="78">
        <f t="shared" si="377"/>
        <v>3529.3706161613627</v>
      </c>
      <c r="V1584" s="78">
        <v>8774.732301223281</v>
      </c>
    </row>
    <row r="1585" spans="2:22" s="23" customFormat="1" ht="36" customHeight="1" x14ac:dyDescent="0.25">
      <c r="B1585" s="77" t="s">
        <v>776</v>
      </c>
      <c r="C1585" s="251"/>
      <c r="D1585" s="233" t="s">
        <v>835</v>
      </c>
      <c r="E1585" s="233" t="s">
        <v>835</v>
      </c>
      <c r="F1585" s="236" t="s">
        <v>835</v>
      </c>
      <c r="G1585" s="233" t="s">
        <v>835</v>
      </c>
      <c r="H1585" s="233" t="s">
        <v>835</v>
      </c>
      <c r="I1585" s="234">
        <f>SUM(I1586:I1588)</f>
        <v>3042.9700000000003</v>
      </c>
      <c r="J1585" s="234">
        <f>SUM(J1586:J1588)</f>
        <v>3042.9700000000003</v>
      </c>
      <c r="K1585" s="234">
        <f>SUM(K1586:K1588)</f>
        <v>0</v>
      </c>
      <c r="L1585" s="245">
        <f>SUM(L1586:L1588)</f>
        <v>107</v>
      </c>
      <c r="M1585" s="233" t="s">
        <v>835</v>
      </c>
      <c r="N1585" s="233" t="s">
        <v>835</v>
      </c>
      <c r="O1585" s="233" t="s">
        <v>835</v>
      </c>
      <c r="P1585" s="237">
        <v>14768262.390000001</v>
      </c>
      <c r="Q1585" s="234">
        <f>SUM(Q1586:Q1588)</f>
        <v>0</v>
      </c>
      <c r="R1585" s="234">
        <f>SUM(R1586:R1588)</f>
        <v>0</v>
      </c>
      <c r="S1585" s="234">
        <f>SUM(S1586:S1588)</f>
        <v>0</v>
      </c>
      <c r="T1585" s="234">
        <f>SUM(T1586:T1588)</f>
        <v>14768262.390000001</v>
      </c>
      <c r="U1585" s="78">
        <f>P1585/I1585</f>
        <v>4853.2395620068546</v>
      </c>
      <c r="V1585" s="78">
        <f>MAX(V1586:V1588)</f>
        <v>7386.463708192915</v>
      </c>
    </row>
    <row r="1586" spans="2:22" s="23" customFormat="1" ht="36" customHeight="1" x14ac:dyDescent="0.25">
      <c r="B1586" s="80">
        <v>8</v>
      </c>
      <c r="C1586" s="251" t="s">
        <v>2579</v>
      </c>
      <c r="D1586" s="233">
        <v>1982</v>
      </c>
      <c r="E1586" s="233"/>
      <c r="F1586" s="236" t="s">
        <v>256</v>
      </c>
      <c r="G1586" s="233">
        <v>2</v>
      </c>
      <c r="H1586" s="233">
        <v>3</v>
      </c>
      <c r="I1586" s="234">
        <v>1403</v>
      </c>
      <c r="J1586" s="234">
        <v>1403</v>
      </c>
      <c r="K1586" s="234">
        <v>0</v>
      </c>
      <c r="L1586" s="245">
        <v>28</v>
      </c>
      <c r="M1586" s="233" t="s">
        <v>254</v>
      </c>
      <c r="N1586" s="233" t="s">
        <v>258</v>
      </c>
      <c r="O1586" s="233" t="s">
        <v>1228</v>
      </c>
      <c r="P1586" s="234">
        <v>5649753.0899999999</v>
      </c>
      <c r="Q1586" s="78">
        <v>0</v>
      </c>
      <c r="R1586" s="234">
        <v>0</v>
      </c>
      <c r="S1586" s="234">
        <v>0</v>
      </c>
      <c r="T1586" s="234">
        <f>P1586-R1586-S1586</f>
        <v>5649753.0899999999</v>
      </c>
      <c r="U1586" s="78">
        <f t="shared" ref="U1586:U1588" si="380">P1586/I1586</f>
        <v>4026.908831076265</v>
      </c>
      <c r="V1586" s="78">
        <v>5201.500738417677</v>
      </c>
    </row>
    <row r="1587" spans="2:22" s="23" customFormat="1" ht="36" customHeight="1" x14ac:dyDescent="0.25">
      <c r="B1587" s="80">
        <v>9</v>
      </c>
      <c r="C1587" s="251" t="s">
        <v>2580</v>
      </c>
      <c r="D1587" s="233">
        <v>1966</v>
      </c>
      <c r="E1587" s="233"/>
      <c r="F1587" s="236" t="s">
        <v>256</v>
      </c>
      <c r="G1587" s="233">
        <v>2</v>
      </c>
      <c r="H1587" s="233">
        <v>3</v>
      </c>
      <c r="I1587" s="234">
        <v>933.75</v>
      </c>
      <c r="J1587" s="234">
        <v>933.75</v>
      </c>
      <c r="K1587" s="234">
        <v>0</v>
      </c>
      <c r="L1587" s="245">
        <v>50</v>
      </c>
      <c r="M1587" s="233" t="s">
        <v>254</v>
      </c>
      <c r="N1587" s="233" t="s">
        <v>258</v>
      </c>
      <c r="O1587" s="233" t="s">
        <v>1228</v>
      </c>
      <c r="P1587" s="234">
        <v>4715319.53</v>
      </c>
      <c r="Q1587" s="78">
        <v>0</v>
      </c>
      <c r="R1587" s="234">
        <v>0</v>
      </c>
      <c r="S1587" s="234">
        <v>0</v>
      </c>
      <c r="T1587" s="234">
        <f>P1587-R1587-S1587</f>
        <v>4715319.53</v>
      </c>
      <c r="U1587" s="78">
        <f t="shared" si="380"/>
        <v>5049.8736599732265</v>
      </c>
      <c r="V1587" s="78">
        <v>6975.1068444444454</v>
      </c>
    </row>
    <row r="1588" spans="2:22" s="23" customFormat="1" ht="60.75" customHeight="1" x14ac:dyDescent="0.25">
      <c r="B1588" s="80">
        <v>10</v>
      </c>
      <c r="C1588" s="251" t="s">
        <v>2581</v>
      </c>
      <c r="D1588" s="233">
        <v>1967</v>
      </c>
      <c r="E1588" s="233"/>
      <c r="F1588" s="236" t="s">
        <v>256</v>
      </c>
      <c r="G1588" s="233">
        <v>2</v>
      </c>
      <c r="H1588" s="233">
        <v>2</v>
      </c>
      <c r="I1588" s="234">
        <v>706.22</v>
      </c>
      <c r="J1588" s="234">
        <v>706.22</v>
      </c>
      <c r="K1588" s="234">
        <v>0</v>
      </c>
      <c r="L1588" s="245">
        <v>29</v>
      </c>
      <c r="M1588" s="233" t="s">
        <v>254</v>
      </c>
      <c r="N1588" s="233" t="s">
        <v>258</v>
      </c>
      <c r="O1588" s="233" t="s">
        <v>1228</v>
      </c>
      <c r="P1588" s="234">
        <v>4403189.7699999996</v>
      </c>
      <c r="Q1588" s="78">
        <v>0</v>
      </c>
      <c r="R1588" s="234">
        <v>0</v>
      </c>
      <c r="S1588" s="234">
        <v>0</v>
      </c>
      <c r="T1588" s="234">
        <f>P1588-R1588-S1588</f>
        <v>4403189.7699999996</v>
      </c>
      <c r="U1588" s="78">
        <f t="shared" si="380"/>
        <v>6234.869828098892</v>
      </c>
      <c r="V1588" s="78">
        <v>7386.463708192915</v>
      </c>
    </row>
    <row r="1589" spans="2:22" s="23" customFormat="1" ht="36" customHeight="1" x14ac:dyDescent="0.25">
      <c r="B1589" s="77" t="s">
        <v>2968</v>
      </c>
      <c r="C1589" s="251"/>
      <c r="D1589" s="233" t="s">
        <v>835</v>
      </c>
      <c r="E1589" s="233" t="s">
        <v>835</v>
      </c>
      <c r="F1589" s="236" t="s">
        <v>835</v>
      </c>
      <c r="G1589" s="233" t="s">
        <v>835</v>
      </c>
      <c r="H1589" s="233" t="s">
        <v>835</v>
      </c>
      <c r="I1589" s="234">
        <f>I1590+I1592</f>
        <v>5954.4000000000005</v>
      </c>
      <c r="J1589" s="234">
        <f t="shared" ref="J1589:L1589" si="381">J1590+J1592</f>
        <v>3915.3100000000004</v>
      </c>
      <c r="K1589" s="234">
        <f t="shared" si="381"/>
        <v>3915.3100000000004</v>
      </c>
      <c r="L1589" s="245">
        <f t="shared" si="381"/>
        <v>196</v>
      </c>
      <c r="M1589" s="233" t="s">
        <v>835</v>
      </c>
      <c r="N1589" s="233" t="s">
        <v>835</v>
      </c>
      <c r="O1589" s="233" t="s">
        <v>835</v>
      </c>
      <c r="P1589" s="237">
        <f>P1590+P1592</f>
        <v>6699288.75</v>
      </c>
      <c r="Q1589" s="234">
        <f t="shared" ref="Q1589:T1589" si="382">Q1590+Q1592</f>
        <v>0</v>
      </c>
      <c r="R1589" s="234">
        <f t="shared" si="382"/>
        <v>0</v>
      </c>
      <c r="S1589" s="234">
        <f t="shared" si="382"/>
        <v>0</v>
      </c>
      <c r="T1589" s="234">
        <f t="shared" si="382"/>
        <v>6699288.75</v>
      </c>
      <c r="U1589" s="78">
        <f>U1590</f>
        <v>6724.0464534944276</v>
      </c>
      <c r="V1589" s="78">
        <f>MAX(V1590:V1593)</f>
        <v>7978.1549113634001</v>
      </c>
    </row>
    <row r="1590" spans="2:22" s="23" customFormat="1" ht="36" customHeight="1" x14ac:dyDescent="0.25">
      <c r="B1590" s="77" t="s">
        <v>815</v>
      </c>
      <c r="C1590" s="251"/>
      <c r="D1590" s="233" t="s">
        <v>835</v>
      </c>
      <c r="E1590" s="233" t="s">
        <v>835</v>
      </c>
      <c r="F1590" s="236" t="s">
        <v>835</v>
      </c>
      <c r="G1590" s="233" t="s">
        <v>835</v>
      </c>
      <c r="H1590" s="233" t="s">
        <v>835</v>
      </c>
      <c r="I1590" s="234">
        <f>I1591</f>
        <v>960.1</v>
      </c>
      <c r="J1590" s="234">
        <f t="shared" ref="J1590:L1590" si="383">J1591</f>
        <v>864.2</v>
      </c>
      <c r="K1590" s="234">
        <f t="shared" si="383"/>
        <v>864.2</v>
      </c>
      <c r="L1590" s="245">
        <f t="shared" si="383"/>
        <v>29</v>
      </c>
      <c r="M1590" s="233" t="s">
        <v>835</v>
      </c>
      <c r="N1590" s="233" t="s">
        <v>835</v>
      </c>
      <c r="O1590" s="233" t="s">
        <v>835</v>
      </c>
      <c r="P1590" s="237">
        <f>P1591</f>
        <v>6455757</v>
      </c>
      <c r="Q1590" s="234">
        <f t="shared" ref="Q1590:T1590" si="384">Q1591</f>
        <v>0</v>
      </c>
      <c r="R1590" s="234">
        <f t="shared" si="384"/>
        <v>0</v>
      </c>
      <c r="S1590" s="234">
        <f t="shared" si="384"/>
        <v>0</v>
      </c>
      <c r="T1590" s="234">
        <f t="shared" si="384"/>
        <v>6455757</v>
      </c>
      <c r="U1590" s="78">
        <f>U1591</f>
        <v>6724.0464534944276</v>
      </c>
      <c r="V1590" s="78">
        <f>V1591</f>
        <v>7978.1549113634001</v>
      </c>
    </row>
    <row r="1591" spans="2:22" s="23" customFormat="1" ht="36" customHeight="1" x14ac:dyDescent="0.25">
      <c r="B1591" s="80">
        <v>1</v>
      </c>
      <c r="C1591" s="251" t="s">
        <v>2969</v>
      </c>
      <c r="D1591" s="233">
        <v>1980</v>
      </c>
      <c r="E1591" s="233"/>
      <c r="F1591" s="236" t="s">
        <v>1263</v>
      </c>
      <c r="G1591" s="233">
        <v>2</v>
      </c>
      <c r="H1591" s="233">
        <v>3</v>
      </c>
      <c r="I1591" s="234">
        <v>960.1</v>
      </c>
      <c r="J1591" s="234">
        <v>864.2</v>
      </c>
      <c r="K1591" s="234">
        <v>864.2</v>
      </c>
      <c r="L1591" s="245">
        <v>29</v>
      </c>
      <c r="M1591" s="233" t="s">
        <v>254</v>
      </c>
      <c r="N1591" s="233" t="s">
        <v>258</v>
      </c>
      <c r="O1591" s="233" t="s">
        <v>3182</v>
      </c>
      <c r="P1591" s="234">
        <v>6455757</v>
      </c>
      <c r="Q1591" s="78">
        <v>0</v>
      </c>
      <c r="R1591" s="234">
        <v>0</v>
      </c>
      <c r="S1591" s="234">
        <v>0</v>
      </c>
      <c r="T1591" s="234">
        <f>P1591-R1591-S1591</f>
        <v>6455757</v>
      </c>
      <c r="U1591" s="78">
        <f t="shared" ref="U1591" si="385">P1591/I1591</f>
        <v>6724.0464534944276</v>
      </c>
      <c r="V1591" s="78">
        <v>7978.1549113634001</v>
      </c>
    </row>
    <row r="1592" spans="2:22" s="23" customFormat="1" ht="36" customHeight="1" x14ac:dyDescent="0.25">
      <c r="B1592" s="77" t="s">
        <v>798</v>
      </c>
      <c r="C1592" s="251"/>
      <c r="D1592" s="233" t="s">
        <v>835</v>
      </c>
      <c r="E1592" s="233" t="s">
        <v>835</v>
      </c>
      <c r="F1592" s="236" t="s">
        <v>835</v>
      </c>
      <c r="G1592" s="233" t="s">
        <v>835</v>
      </c>
      <c r="H1592" s="233" t="s">
        <v>835</v>
      </c>
      <c r="I1592" s="234">
        <f>I1593</f>
        <v>4994.3</v>
      </c>
      <c r="J1592" s="234">
        <f t="shared" ref="J1592:L1592" si="386">J1593</f>
        <v>3051.11</v>
      </c>
      <c r="K1592" s="234">
        <f t="shared" si="386"/>
        <v>3051.11</v>
      </c>
      <c r="L1592" s="245">
        <f t="shared" si="386"/>
        <v>167</v>
      </c>
      <c r="M1592" s="233" t="s">
        <v>835</v>
      </c>
      <c r="N1592" s="233" t="s">
        <v>835</v>
      </c>
      <c r="O1592" s="233" t="s">
        <v>835</v>
      </c>
      <c r="P1592" s="237">
        <v>243531.75</v>
      </c>
      <c r="Q1592" s="234">
        <f>Q1593</f>
        <v>0</v>
      </c>
      <c r="R1592" s="234">
        <f t="shared" ref="R1592:T1592" si="387">R1593</f>
        <v>0</v>
      </c>
      <c r="S1592" s="234">
        <f t="shared" si="387"/>
        <v>0</v>
      </c>
      <c r="T1592" s="234">
        <f t="shared" si="387"/>
        <v>243531.75</v>
      </c>
      <c r="U1592" s="78">
        <f>P1592/I1592</f>
        <v>48.761938610015413</v>
      </c>
      <c r="V1592" s="78">
        <f>V1593</f>
        <v>48.761938610015413</v>
      </c>
    </row>
    <row r="1593" spans="2:22" s="23" customFormat="1" ht="36" customHeight="1" x14ac:dyDescent="0.25">
      <c r="B1593" s="80">
        <v>2</v>
      </c>
      <c r="C1593" s="251" t="s">
        <v>3244</v>
      </c>
      <c r="D1593" s="233">
        <v>1898</v>
      </c>
      <c r="E1593" s="233"/>
      <c r="F1593" s="236" t="s">
        <v>1263</v>
      </c>
      <c r="G1593" s="233">
        <v>3</v>
      </c>
      <c r="H1593" s="233">
        <v>1</v>
      </c>
      <c r="I1593" s="234">
        <v>4994.3</v>
      </c>
      <c r="J1593" s="234">
        <v>3051.11</v>
      </c>
      <c r="K1593" s="234">
        <v>3051.11</v>
      </c>
      <c r="L1593" s="245">
        <v>167</v>
      </c>
      <c r="M1593" s="233" t="s">
        <v>254</v>
      </c>
      <c r="N1593" s="233" t="s">
        <v>258</v>
      </c>
      <c r="O1593" s="233" t="s">
        <v>3236</v>
      </c>
      <c r="P1593" s="234">
        <v>243531.75</v>
      </c>
      <c r="Q1593" s="78">
        <v>0</v>
      </c>
      <c r="R1593" s="234">
        <v>0</v>
      </c>
      <c r="S1593" s="234">
        <v>0</v>
      </c>
      <c r="T1593" s="234">
        <f>P1593-S1593-R1593-Q1593</f>
        <v>243531.75</v>
      </c>
      <c r="U1593" s="78">
        <f>P1593/I1593</f>
        <v>48.761938610015413</v>
      </c>
      <c r="V1593" s="78">
        <f>U1593</f>
        <v>48.761938610015413</v>
      </c>
    </row>
  </sheetData>
  <mergeCells count="37">
    <mergeCell ref="T1:V1"/>
    <mergeCell ref="O2:V3"/>
    <mergeCell ref="B4:V6"/>
    <mergeCell ref="B8:B11"/>
    <mergeCell ref="C8:C11"/>
    <mergeCell ref="D8:E8"/>
    <mergeCell ref="F8:F11"/>
    <mergeCell ref="G8:G11"/>
    <mergeCell ref="H8:H11"/>
    <mergeCell ref="I8:I10"/>
    <mergeCell ref="U8:U10"/>
    <mergeCell ref="V8:V10"/>
    <mergeCell ref="D9:D11"/>
    <mergeCell ref="E9:E11"/>
    <mergeCell ref="J9:J10"/>
    <mergeCell ref="K9:K10"/>
    <mergeCell ref="P9:P10"/>
    <mergeCell ref="R9:R10"/>
    <mergeCell ref="S9:S10"/>
    <mergeCell ref="T9:T10"/>
    <mergeCell ref="J8:K8"/>
    <mergeCell ref="L8:L10"/>
    <mergeCell ref="M8:M11"/>
    <mergeCell ref="N8:N11"/>
    <mergeCell ref="O8:O11"/>
    <mergeCell ref="P8:T8"/>
    <mergeCell ref="Q9:Q10"/>
    <mergeCell ref="B1561:V1561"/>
    <mergeCell ref="B1562:C1562"/>
    <mergeCell ref="B1563:C1563"/>
    <mergeCell ref="B1572:C1572"/>
    <mergeCell ref="B1457:V1457"/>
    <mergeCell ref="B1458:C1458"/>
    <mergeCell ref="B1459:C1459"/>
    <mergeCell ref="B1484:V1484"/>
    <mergeCell ref="B1486:C1486"/>
    <mergeCell ref="B1485:C1485"/>
  </mergeCells>
  <conditionalFormatting sqref="C1192">
    <cfRule type="duplicateValues" dxfId="24" priority="7"/>
  </conditionalFormatting>
  <conditionalFormatting sqref="C1193:C1196">
    <cfRule type="duplicateValues" dxfId="23" priority="6"/>
  </conditionalFormatting>
  <conditionalFormatting sqref="C1284:C1286">
    <cfRule type="duplicateValues" dxfId="22" priority="5"/>
  </conditionalFormatting>
  <conditionalFormatting sqref="C1146">
    <cfRule type="duplicateValues" dxfId="21" priority="4"/>
  </conditionalFormatting>
  <conditionalFormatting sqref="C1044">
    <cfRule type="duplicateValues" dxfId="20" priority="3"/>
  </conditionalFormatting>
  <conditionalFormatting sqref="C1184">
    <cfRule type="duplicateValues" dxfId="19" priority="2"/>
  </conditionalFormatting>
  <conditionalFormatting sqref="C1147:C1168 C1127:C1145">
    <cfRule type="duplicateValues" dxfId="18" priority="8"/>
  </conditionalFormatting>
  <conditionalFormatting sqref="C1197:C1211">
    <cfRule type="duplicateValues" dxfId="17" priority="1"/>
  </conditionalFormatting>
  <conditionalFormatting sqref="C1169:C1174">
    <cfRule type="duplicateValues" dxfId="16" priority="9"/>
  </conditionalFormatting>
  <printOptions horizontalCentered="1"/>
  <pageMargins left="0.23622047244094491" right="0.23622047244094491" top="0.74803149606299213" bottom="0.35433070866141736" header="0.31496062992125984" footer="0.31496062992125984"/>
  <pageSetup paperSize="8" scale="21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3"/>
  <sheetViews>
    <sheetView zoomScale="60" zoomScaleNormal="60" workbookViewId="0">
      <selection activeCell="C72" sqref="A1:C72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4" max="4" width="9.140625" customWidth="1"/>
    <col min="5" max="5" width="41" customWidth="1"/>
    <col min="6" max="6" width="16.5703125" bestFit="1" customWidth="1"/>
    <col min="7" max="7" width="15.28515625" bestFit="1" customWidth="1"/>
    <col min="8" max="8" width="19.5703125" bestFit="1" customWidth="1"/>
    <col min="9" max="9" width="30.140625" customWidth="1"/>
  </cols>
  <sheetData>
    <row r="1" spans="1:8" ht="18.75" x14ac:dyDescent="0.3">
      <c r="A1" s="139"/>
      <c r="B1" s="139"/>
      <c r="C1" s="140" t="s">
        <v>681</v>
      </c>
    </row>
    <row r="2" spans="1:8" ht="63.75" customHeight="1" x14ac:dyDescent="0.25">
      <c r="A2" s="362" t="s">
        <v>688</v>
      </c>
      <c r="B2" s="362"/>
      <c r="C2" s="362"/>
    </row>
    <row r="3" spans="1:8" ht="41.45" customHeight="1" x14ac:dyDescent="0.25">
      <c r="A3" s="363" t="s">
        <v>2687</v>
      </c>
      <c r="B3" s="364"/>
      <c r="C3" s="365"/>
    </row>
    <row r="4" spans="1:8" ht="18.75" customHeight="1" x14ac:dyDescent="0.25">
      <c r="A4" s="363" t="s">
        <v>682</v>
      </c>
      <c r="B4" s="365"/>
      <c r="C4" s="141" t="s">
        <v>689</v>
      </c>
    </row>
    <row r="5" spans="1:8" ht="18.75" x14ac:dyDescent="0.3">
      <c r="A5" s="360" t="s">
        <v>683</v>
      </c>
      <c r="B5" s="361"/>
      <c r="C5" s="142">
        <f>Перечень!P14</f>
        <v>1064911444.7999998</v>
      </c>
      <c r="E5" s="22"/>
      <c r="F5" s="22"/>
      <c r="G5" s="22"/>
      <c r="H5" s="22"/>
    </row>
    <row r="6" spans="1:8" ht="41.25" customHeight="1" x14ac:dyDescent="0.3">
      <c r="A6" s="360" t="s">
        <v>684</v>
      </c>
      <c r="B6" s="361"/>
      <c r="C6" s="142">
        <v>0</v>
      </c>
      <c r="E6" s="22"/>
      <c r="F6" s="22"/>
      <c r="G6" s="22"/>
      <c r="H6" s="22"/>
    </row>
    <row r="7" spans="1:8" ht="18.75" x14ac:dyDescent="0.3">
      <c r="A7" s="360" t="s">
        <v>685</v>
      </c>
      <c r="B7" s="361"/>
      <c r="C7" s="142">
        <v>0</v>
      </c>
    </row>
    <row r="8" spans="1:8" ht="18.75" x14ac:dyDescent="0.3">
      <c r="A8" s="360" t="s">
        <v>686</v>
      </c>
      <c r="B8" s="361"/>
      <c r="C8" s="142">
        <f>Перечень!S14</f>
        <v>2908349.77</v>
      </c>
      <c r="E8" s="6"/>
    </row>
    <row r="9" spans="1:8" ht="18.75" customHeight="1" x14ac:dyDescent="0.3">
      <c r="A9" s="360" t="s">
        <v>687</v>
      </c>
      <c r="B9" s="361"/>
      <c r="C9" s="142">
        <f>C5-C6-C7-C8</f>
        <v>1062003095.0299999</v>
      </c>
    </row>
    <row r="10" spans="1:8" ht="81.75" customHeight="1" x14ac:dyDescent="0.25">
      <c r="A10" s="363" t="s">
        <v>2688</v>
      </c>
      <c r="B10" s="364"/>
      <c r="C10" s="365"/>
    </row>
    <row r="11" spans="1:8" ht="18.75" customHeight="1" x14ac:dyDescent="0.25">
      <c r="A11" s="363" t="s">
        <v>682</v>
      </c>
      <c r="B11" s="365"/>
      <c r="C11" s="141" t="s">
        <v>689</v>
      </c>
      <c r="E11" s="22"/>
      <c r="F11" s="22"/>
      <c r="G11" s="22"/>
      <c r="H11" s="22"/>
    </row>
    <row r="12" spans="1:8" ht="18.75" customHeight="1" x14ac:dyDescent="0.3">
      <c r="A12" s="360" t="s">
        <v>683</v>
      </c>
      <c r="B12" s="361"/>
      <c r="C12" s="143">
        <f>Перечень!P1459</f>
        <v>7034201.7300000004</v>
      </c>
    </row>
    <row r="13" spans="1:8" ht="39" customHeight="1" x14ac:dyDescent="0.3">
      <c r="A13" s="360" t="s">
        <v>684</v>
      </c>
      <c r="B13" s="361"/>
      <c r="C13" s="142">
        <v>0</v>
      </c>
    </row>
    <row r="14" spans="1:8" ht="18.75" x14ac:dyDescent="0.3">
      <c r="A14" s="360" t="s">
        <v>2689</v>
      </c>
      <c r="B14" s="361"/>
      <c r="C14" s="142">
        <f>Перечень!R1459</f>
        <v>4599545.3899999997</v>
      </c>
    </row>
    <row r="15" spans="1:8" s="47" customFormat="1" ht="23.25" customHeight="1" x14ac:dyDescent="0.3">
      <c r="A15" s="360" t="s">
        <v>686</v>
      </c>
      <c r="B15" s="361"/>
      <c r="C15" s="142">
        <f>Перечень!S1459</f>
        <v>1178018</v>
      </c>
    </row>
    <row r="16" spans="1:8" s="47" customFormat="1" ht="27" customHeight="1" x14ac:dyDescent="0.3">
      <c r="A16" s="360" t="s">
        <v>687</v>
      </c>
      <c r="B16" s="361"/>
      <c r="C16" s="142">
        <f>Перечень!T1459</f>
        <v>1256638.3399999999</v>
      </c>
    </row>
    <row r="17" spans="1:8" ht="81.75" customHeight="1" x14ac:dyDescent="0.25">
      <c r="A17" s="363" t="s">
        <v>2691</v>
      </c>
      <c r="B17" s="364"/>
      <c r="C17" s="365"/>
    </row>
    <row r="18" spans="1:8" ht="18.75" customHeight="1" x14ac:dyDescent="0.25">
      <c r="A18" s="363" t="s">
        <v>682</v>
      </c>
      <c r="B18" s="365"/>
      <c r="C18" s="141" t="s">
        <v>689</v>
      </c>
    </row>
    <row r="19" spans="1:8" ht="18.75" x14ac:dyDescent="0.3">
      <c r="A19" s="360" t="s">
        <v>683</v>
      </c>
      <c r="B19" s="361"/>
      <c r="C19" s="142">
        <f>Реестр!D1570</f>
        <v>17288357.709999997</v>
      </c>
    </row>
    <row r="20" spans="1:8" ht="37.5" customHeight="1" x14ac:dyDescent="0.3">
      <c r="A20" s="360" t="s">
        <v>684</v>
      </c>
      <c r="B20" s="361"/>
      <c r="C20" s="142">
        <v>0</v>
      </c>
    </row>
    <row r="21" spans="1:8" ht="18.75" x14ac:dyDescent="0.3">
      <c r="A21" s="360" t="s">
        <v>685</v>
      </c>
      <c r="B21" s="361"/>
      <c r="C21" s="142">
        <f>Перечень!R47</f>
        <v>0</v>
      </c>
    </row>
    <row r="22" spans="1:8" ht="18.75" x14ac:dyDescent="0.3">
      <c r="A22" s="360" t="s">
        <v>686</v>
      </c>
      <c r="B22" s="361"/>
      <c r="C22" s="142">
        <f>Перечень!S47</f>
        <v>0</v>
      </c>
      <c r="E22" s="6"/>
    </row>
    <row r="23" spans="1:8" ht="18.75" customHeight="1" x14ac:dyDescent="0.3">
      <c r="A23" s="360" t="s">
        <v>687</v>
      </c>
      <c r="B23" s="361"/>
      <c r="C23" s="142">
        <f>C19-C20-C21-C22</f>
        <v>17288357.709999997</v>
      </c>
    </row>
    <row r="24" spans="1:8" ht="54" customHeight="1" x14ac:dyDescent="0.25">
      <c r="A24" s="363" t="s">
        <v>2690</v>
      </c>
      <c r="B24" s="364"/>
      <c r="C24" s="365"/>
    </row>
    <row r="25" spans="1:8" ht="18.75" customHeight="1" x14ac:dyDescent="0.25">
      <c r="A25" s="363" t="s">
        <v>682</v>
      </c>
      <c r="B25" s="365"/>
      <c r="C25" s="141" t="s">
        <v>690</v>
      </c>
      <c r="E25" s="22"/>
      <c r="F25" s="22"/>
      <c r="G25" s="22"/>
      <c r="H25" s="22"/>
    </row>
    <row r="26" spans="1:8" ht="18.75" x14ac:dyDescent="0.3">
      <c r="A26" s="360" t="s">
        <v>683</v>
      </c>
      <c r="B26" s="361"/>
      <c r="C26" s="142">
        <f>Перечень!P550</f>
        <v>1130960779.9400003</v>
      </c>
    </row>
    <row r="27" spans="1:8" ht="33.75" customHeight="1" x14ac:dyDescent="0.3">
      <c r="A27" s="360" t="s">
        <v>684</v>
      </c>
      <c r="B27" s="361"/>
      <c r="C27" s="142">
        <v>0</v>
      </c>
    </row>
    <row r="28" spans="1:8" ht="18.75" x14ac:dyDescent="0.3">
      <c r="A28" s="360" t="s">
        <v>685</v>
      </c>
      <c r="B28" s="361"/>
      <c r="C28" s="142">
        <f>Перечень!R550</f>
        <v>162877744</v>
      </c>
    </row>
    <row r="29" spans="1:8" ht="18.75" x14ac:dyDescent="0.3">
      <c r="A29" s="360" t="s">
        <v>686</v>
      </c>
      <c r="B29" s="361"/>
      <c r="C29" s="142">
        <f>Перечень!S550</f>
        <v>0</v>
      </c>
    </row>
    <row r="30" spans="1:8" ht="18.75" customHeight="1" x14ac:dyDescent="0.3">
      <c r="A30" s="360" t="s">
        <v>687</v>
      </c>
      <c r="B30" s="361"/>
      <c r="C30" s="142">
        <f>C26-C27-C28-C29</f>
        <v>968083035.9400003</v>
      </c>
    </row>
    <row r="31" spans="1:8" ht="86.25" customHeight="1" x14ac:dyDescent="0.25">
      <c r="A31" s="363" t="s">
        <v>2903</v>
      </c>
      <c r="B31" s="364"/>
      <c r="C31" s="365"/>
    </row>
    <row r="32" spans="1:8" ht="18.75" customHeight="1" x14ac:dyDescent="0.25">
      <c r="A32" s="363" t="s">
        <v>682</v>
      </c>
      <c r="B32" s="365"/>
      <c r="C32" s="141" t="s">
        <v>690</v>
      </c>
      <c r="E32" s="22"/>
      <c r="F32" s="22"/>
      <c r="G32" s="22"/>
      <c r="H32" s="22"/>
    </row>
    <row r="33" spans="1:8" ht="18.75" x14ac:dyDescent="0.3">
      <c r="A33" s="360" t="s">
        <v>683</v>
      </c>
      <c r="B33" s="361"/>
      <c r="C33" s="142">
        <f>Перечень!P1490+Перечень!P1491+Перечень!P1492+Перечень!P1493+Перечень!P1494+Перечень!P1495+Перечень!P1496+Перечень!P1497+Перечень!P1498+Перечень!P1499+Перечень!P1500</f>
        <v>84267195.200000003</v>
      </c>
    </row>
    <row r="34" spans="1:8" ht="33.75" customHeight="1" x14ac:dyDescent="0.3">
      <c r="A34" s="360" t="s">
        <v>684</v>
      </c>
      <c r="B34" s="361"/>
      <c r="C34" s="142">
        <v>0</v>
      </c>
    </row>
    <row r="35" spans="1:8" ht="18.75" x14ac:dyDescent="0.3">
      <c r="A35" s="360" t="s">
        <v>685</v>
      </c>
      <c r="B35" s="361"/>
      <c r="C35" s="142">
        <f>Перечень!R1490+Перечень!R1491+Перечень!R1492+Перечень!R1493+Перечень!R1494+Перечень!R1495+Перечень!R1496+Перечень!R1497+Перечень!R1498+Перечень!R1499+Перечень!R1500</f>
        <v>45548000</v>
      </c>
    </row>
    <row r="36" spans="1:8" ht="18.75" x14ac:dyDescent="0.3">
      <c r="A36" s="360" t="s">
        <v>686</v>
      </c>
      <c r="B36" s="361"/>
      <c r="C36" s="142">
        <v>0</v>
      </c>
    </row>
    <row r="37" spans="1:8" ht="18.75" customHeight="1" x14ac:dyDescent="0.3">
      <c r="A37" s="360" t="s">
        <v>687</v>
      </c>
      <c r="B37" s="361"/>
      <c r="C37" s="142">
        <f>C33-C34-C35-C36</f>
        <v>38719195.200000003</v>
      </c>
    </row>
    <row r="38" spans="1:8" ht="81.75" customHeight="1" x14ac:dyDescent="0.25">
      <c r="A38" s="363" t="s">
        <v>2691</v>
      </c>
      <c r="B38" s="364"/>
      <c r="C38" s="365"/>
    </row>
    <row r="39" spans="1:8" ht="18.75" customHeight="1" x14ac:dyDescent="0.25">
      <c r="A39" s="363" t="s">
        <v>682</v>
      </c>
      <c r="B39" s="365"/>
      <c r="C39" s="141" t="s">
        <v>690</v>
      </c>
    </row>
    <row r="40" spans="1:8" ht="18.75" x14ac:dyDescent="0.3">
      <c r="A40" s="360" t="s">
        <v>683</v>
      </c>
      <c r="B40" s="361"/>
      <c r="C40" s="142">
        <f>Реестр!D1579</f>
        <v>47438619.980000004</v>
      </c>
    </row>
    <row r="41" spans="1:8" ht="37.5" customHeight="1" x14ac:dyDescent="0.3">
      <c r="A41" s="360" t="s">
        <v>684</v>
      </c>
      <c r="B41" s="361"/>
      <c r="C41" s="142">
        <v>0</v>
      </c>
    </row>
    <row r="42" spans="1:8" ht="18.75" x14ac:dyDescent="0.3">
      <c r="A42" s="360" t="s">
        <v>685</v>
      </c>
      <c r="B42" s="361"/>
      <c r="C42" s="142">
        <f>Перечень!R53</f>
        <v>0</v>
      </c>
    </row>
    <row r="43" spans="1:8" ht="18.75" x14ac:dyDescent="0.3">
      <c r="A43" s="360" t="s">
        <v>686</v>
      </c>
      <c r="B43" s="361"/>
      <c r="C43" s="142">
        <f>Перечень!S53</f>
        <v>0</v>
      </c>
      <c r="E43" s="6"/>
    </row>
    <row r="44" spans="1:8" ht="18.75" customHeight="1" x14ac:dyDescent="0.3">
      <c r="A44" s="360" t="s">
        <v>687</v>
      </c>
      <c r="B44" s="361"/>
      <c r="C44" s="142">
        <f>C40-C41-C42-C43</f>
        <v>47438619.980000004</v>
      </c>
    </row>
    <row r="45" spans="1:8" ht="39.75" customHeight="1" x14ac:dyDescent="0.25">
      <c r="A45" s="363" t="s">
        <v>2690</v>
      </c>
      <c r="B45" s="364"/>
      <c r="C45" s="365"/>
    </row>
    <row r="46" spans="1:8" ht="18.75" customHeight="1" x14ac:dyDescent="0.25">
      <c r="A46" s="363" t="s">
        <v>682</v>
      </c>
      <c r="B46" s="365"/>
      <c r="C46" s="141" t="s">
        <v>691</v>
      </c>
    </row>
    <row r="47" spans="1:8" ht="18.75" x14ac:dyDescent="0.3">
      <c r="A47" s="360" t="s">
        <v>683</v>
      </c>
      <c r="B47" s="361"/>
      <c r="C47" s="142">
        <f>Перечень!P1024</f>
        <v>1849135283.1183746</v>
      </c>
      <c r="E47" s="22"/>
      <c r="F47" s="22"/>
      <c r="G47" s="22"/>
      <c r="H47" s="22"/>
    </row>
    <row r="48" spans="1:8" ht="41.25" customHeight="1" x14ac:dyDescent="0.3">
      <c r="A48" s="360" t="s">
        <v>684</v>
      </c>
      <c r="B48" s="361"/>
      <c r="C48" s="142">
        <v>20444962.709999997</v>
      </c>
    </row>
    <row r="49" spans="1:5" ht="18.75" x14ac:dyDescent="0.3">
      <c r="A49" s="360" t="s">
        <v>685</v>
      </c>
      <c r="B49" s="361"/>
      <c r="C49" s="142">
        <f>Перечень!R1020</f>
        <v>0</v>
      </c>
    </row>
    <row r="50" spans="1:5" ht="18.75" x14ac:dyDescent="0.3">
      <c r="A50" s="360" t="s">
        <v>686</v>
      </c>
      <c r="B50" s="361"/>
      <c r="C50" s="142">
        <v>2032439.7500000012</v>
      </c>
    </row>
    <row r="51" spans="1:5" ht="18.75" customHeight="1" x14ac:dyDescent="0.3">
      <c r="A51" s="360" t="s">
        <v>687</v>
      </c>
      <c r="B51" s="361"/>
      <c r="C51" s="142">
        <f>C47-C48-C49-C50</f>
        <v>1826657880.6583745</v>
      </c>
    </row>
    <row r="52" spans="1:5" ht="69" customHeight="1" x14ac:dyDescent="0.25">
      <c r="A52" s="363" t="s">
        <v>2903</v>
      </c>
      <c r="B52" s="364"/>
      <c r="C52" s="365"/>
    </row>
    <row r="53" spans="1:5" ht="18.75" customHeight="1" x14ac:dyDescent="0.25">
      <c r="A53" s="363" t="s">
        <v>682</v>
      </c>
      <c r="B53" s="365"/>
      <c r="C53" s="141" t="s">
        <v>691</v>
      </c>
    </row>
    <row r="54" spans="1:5" ht="18.75" customHeight="1" x14ac:dyDescent="0.3">
      <c r="A54" s="360" t="s">
        <v>683</v>
      </c>
      <c r="B54" s="361"/>
      <c r="C54" s="142">
        <v>66104426.88000001</v>
      </c>
    </row>
    <row r="55" spans="1:5" ht="18.75" customHeight="1" x14ac:dyDescent="0.3">
      <c r="A55" s="360" t="s">
        <v>684</v>
      </c>
      <c r="B55" s="361"/>
      <c r="C55" s="142">
        <v>0</v>
      </c>
    </row>
    <row r="56" spans="1:5" ht="18.75" customHeight="1" x14ac:dyDescent="0.3">
      <c r="A56" s="360" t="s">
        <v>685</v>
      </c>
      <c r="B56" s="361"/>
      <c r="C56" s="142">
        <v>34836459.200000003</v>
      </c>
    </row>
    <row r="57" spans="1:5" ht="18.75" customHeight="1" x14ac:dyDescent="0.3">
      <c r="A57" s="360" t="s">
        <v>686</v>
      </c>
      <c r="B57" s="361"/>
      <c r="C57" s="142">
        <v>0</v>
      </c>
    </row>
    <row r="58" spans="1:5" ht="18.75" customHeight="1" x14ac:dyDescent="0.3">
      <c r="A58" s="360" t="s">
        <v>687</v>
      </c>
      <c r="B58" s="361"/>
      <c r="C58" s="142">
        <f>C54-C55-C56-C57</f>
        <v>31267967.680000007</v>
      </c>
    </row>
    <row r="59" spans="1:5" ht="81.75" customHeight="1" x14ac:dyDescent="0.25">
      <c r="A59" s="363" t="s">
        <v>2691</v>
      </c>
      <c r="B59" s="364"/>
      <c r="C59" s="365"/>
    </row>
    <row r="60" spans="1:5" ht="18.75" customHeight="1" x14ac:dyDescent="0.25">
      <c r="A60" s="363" t="s">
        <v>682</v>
      </c>
      <c r="B60" s="365"/>
      <c r="C60" s="141" t="s">
        <v>691</v>
      </c>
    </row>
    <row r="61" spans="1:5" ht="18.75" x14ac:dyDescent="0.3">
      <c r="A61" s="360" t="s">
        <v>683</v>
      </c>
      <c r="B61" s="361"/>
      <c r="C61" s="142">
        <v>6699288.75</v>
      </c>
    </row>
    <row r="62" spans="1:5" ht="37.5" customHeight="1" x14ac:dyDescent="0.3">
      <c r="A62" s="360" t="s">
        <v>684</v>
      </c>
      <c r="B62" s="361"/>
      <c r="C62" s="142">
        <v>0</v>
      </c>
    </row>
    <row r="63" spans="1:5" ht="18.75" x14ac:dyDescent="0.3">
      <c r="A63" s="360" t="s">
        <v>685</v>
      </c>
      <c r="B63" s="361"/>
      <c r="C63" s="142">
        <f>Перечень!R67</f>
        <v>0</v>
      </c>
    </row>
    <row r="64" spans="1:5" ht="18.75" x14ac:dyDescent="0.3">
      <c r="A64" s="360" t="s">
        <v>686</v>
      </c>
      <c r="B64" s="361"/>
      <c r="C64" s="142">
        <f>Перечень!S67</f>
        <v>0</v>
      </c>
      <c r="E64" s="6"/>
    </row>
    <row r="65" spans="1:5" ht="18.75" customHeight="1" x14ac:dyDescent="0.3">
      <c r="A65" s="360" t="s">
        <v>687</v>
      </c>
      <c r="B65" s="361"/>
      <c r="C65" s="142">
        <f>C61-C62-C63-C64</f>
        <v>6699288.75</v>
      </c>
    </row>
    <row r="66" spans="1:5" ht="61.5" customHeight="1" x14ac:dyDescent="0.25">
      <c r="A66" s="363" t="s">
        <v>2688</v>
      </c>
      <c r="B66" s="364"/>
      <c r="C66" s="365"/>
    </row>
    <row r="67" spans="1:5" ht="18.75" customHeight="1" x14ac:dyDescent="0.25">
      <c r="A67" s="363" t="s">
        <v>682</v>
      </c>
      <c r="B67" s="365"/>
      <c r="C67" s="141" t="s">
        <v>691</v>
      </c>
    </row>
    <row r="68" spans="1:5" ht="18.75" customHeight="1" x14ac:dyDescent="0.3">
      <c r="A68" s="360" t="s">
        <v>683</v>
      </c>
      <c r="B68" s="361"/>
      <c r="C68" s="143">
        <v>61976330.129999995</v>
      </c>
    </row>
    <row r="69" spans="1:5" ht="36.75" customHeight="1" x14ac:dyDescent="0.3">
      <c r="A69" s="360" t="s">
        <v>684</v>
      </c>
      <c r="B69" s="361"/>
      <c r="C69" s="142">
        <v>0</v>
      </c>
    </row>
    <row r="70" spans="1:5" ht="18.75" customHeight="1" x14ac:dyDescent="0.3">
      <c r="A70" s="360" t="s">
        <v>2689</v>
      </c>
      <c r="B70" s="361"/>
      <c r="C70" s="142">
        <v>47521076.200000003</v>
      </c>
    </row>
    <row r="71" spans="1:5" ht="18.75" customHeight="1" x14ac:dyDescent="0.3">
      <c r="A71" s="360" t="s">
        <v>686</v>
      </c>
      <c r="B71" s="361"/>
      <c r="C71" s="142">
        <v>3434639.6999999997</v>
      </c>
    </row>
    <row r="72" spans="1:5" ht="18.75" customHeight="1" x14ac:dyDescent="0.3">
      <c r="A72" s="360" t="s">
        <v>687</v>
      </c>
      <c r="B72" s="361"/>
      <c r="C72" s="142">
        <f>C68-C70-C71</f>
        <v>11020614.229999993</v>
      </c>
    </row>
    <row r="73" spans="1:5" ht="35.25" customHeight="1" x14ac:dyDescent="0.25">
      <c r="E73" s="6"/>
    </row>
  </sheetData>
  <mergeCells count="71">
    <mergeCell ref="A55:B55"/>
    <mergeCell ref="A41:B41"/>
    <mergeCell ref="A38:C38"/>
    <mergeCell ref="A39:B39"/>
    <mergeCell ref="A69:B69"/>
    <mergeCell ref="A52:C52"/>
    <mergeCell ref="A58:B58"/>
    <mergeCell ref="A56:B56"/>
    <mergeCell ref="A57:B57"/>
    <mergeCell ref="A42:B42"/>
    <mergeCell ref="A40:B40"/>
    <mergeCell ref="A59:C59"/>
    <mergeCell ref="A60:B60"/>
    <mergeCell ref="A61:B61"/>
    <mergeCell ref="A62:B62"/>
    <mergeCell ref="A63:B63"/>
    <mergeCell ref="A31:C31"/>
    <mergeCell ref="A32:B32"/>
    <mergeCell ref="A33:B33"/>
    <mergeCell ref="A34:B34"/>
    <mergeCell ref="A35:B35"/>
    <mergeCell ref="A36:B36"/>
    <mergeCell ref="A37:B37"/>
    <mergeCell ref="A53:B53"/>
    <mergeCell ref="A54:B54"/>
    <mergeCell ref="A50:B50"/>
    <mergeCell ref="A51:B51"/>
    <mergeCell ref="A43:B43"/>
    <mergeCell ref="A44:B44"/>
    <mergeCell ref="A49:B49"/>
    <mergeCell ref="A47:B47"/>
    <mergeCell ref="A48:B48"/>
    <mergeCell ref="A45:C45"/>
    <mergeCell ref="A46:B46"/>
    <mergeCell ref="A64:B64"/>
    <mergeCell ref="A65:B65"/>
    <mergeCell ref="A66:C66"/>
    <mergeCell ref="A67:B67"/>
    <mergeCell ref="A68:B68"/>
    <mergeCell ref="A70:B70"/>
    <mergeCell ref="A71:B71"/>
    <mergeCell ref="A72:B72"/>
    <mergeCell ref="A15:B15"/>
    <mergeCell ref="A16:B16"/>
    <mergeCell ref="A24:C24"/>
    <mergeCell ref="A25:B25"/>
    <mergeCell ref="A26:B26"/>
    <mergeCell ref="A23:B23"/>
    <mergeCell ref="A27:B27"/>
    <mergeCell ref="A28:B28"/>
    <mergeCell ref="A29:B29"/>
    <mergeCell ref="A30:B30"/>
    <mergeCell ref="A17:C17"/>
    <mergeCell ref="A18:B18"/>
    <mergeCell ref="A19:B19"/>
    <mergeCell ref="A20:B20"/>
    <mergeCell ref="A21:B21"/>
    <mergeCell ref="A22:B22"/>
    <mergeCell ref="A14:B14"/>
    <mergeCell ref="A2:C2"/>
    <mergeCell ref="A3:C3"/>
    <mergeCell ref="A4:B4"/>
    <mergeCell ref="A5:B5"/>
    <mergeCell ref="A7:B7"/>
    <mergeCell ref="A8:B8"/>
    <mergeCell ref="A9:B9"/>
    <mergeCell ref="A10:C10"/>
    <mergeCell ref="A11:B11"/>
    <mergeCell ref="A12:B12"/>
    <mergeCell ref="A6:B6"/>
    <mergeCell ref="A13:B13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O253"/>
  <sheetViews>
    <sheetView zoomScale="70" zoomScaleNormal="70" workbookViewId="0">
      <selection activeCell="F250" sqref="A1:F250"/>
    </sheetView>
  </sheetViews>
  <sheetFormatPr defaultRowHeight="15" x14ac:dyDescent="0.25"/>
  <cols>
    <col min="1" max="1" width="9" customWidth="1"/>
    <col min="2" max="2" width="81" customWidth="1"/>
    <col min="3" max="3" width="23.85546875" customWidth="1"/>
    <col min="4" max="4" width="32.28515625" customWidth="1"/>
    <col min="5" max="5" width="22.140625" customWidth="1"/>
    <col min="6" max="6" width="28.85546875" customWidth="1"/>
    <col min="7" max="7" width="9" customWidth="1"/>
    <col min="8" max="8" width="9.140625" customWidth="1"/>
    <col min="9" max="9" width="16.28515625" customWidth="1"/>
    <col min="10" max="10" width="9.140625" customWidth="1"/>
    <col min="11" max="11" width="17" customWidth="1"/>
    <col min="12" max="12" width="11.7109375" bestFit="1" customWidth="1"/>
    <col min="13" max="13" width="16.85546875" bestFit="1" customWidth="1"/>
    <col min="14" max="14" width="11.85546875" bestFit="1" customWidth="1"/>
    <col min="15" max="15" width="16.85546875" bestFit="1" customWidth="1"/>
  </cols>
  <sheetData>
    <row r="1" spans="1:15" ht="20.25" x14ac:dyDescent="0.25">
      <c r="A1" s="1"/>
      <c r="B1" s="1"/>
      <c r="C1" s="1"/>
      <c r="D1" s="1"/>
      <c r="E1" s="369" t="s">
        <v>692</v>
      </c>
      <c r="F1" s="369"/>
    </row>
    <row r="2" spans="1:15" ht="90.75" customHeight="1" x14ac:dyDescent="0.25">
      <c r="B2" s="2"/>
      <c r="C2" s="379" t="s">
        <v>699</v>
      </c>
      <c r="D2" s="379"/>
      <c r="E2" s="379"/>
      <c r="F2" s="379"/>
    </row>
    <row r="3" spans="1:15" x14ac:dyDescent="0.25">
      <c r="A3" s="370" t="s">
        <v>700</v>
      </c>
      <c r="B3" s="370"/>
      <c r="C3" s="370"/>
      <c r="D3" s="370"/>
      <c r="E3" s="370"/>
      <c r="F3" s="370"/>
    </row>
    <row r="4" spans="1:15" ht="93" customHeight="1" x14ac:dyDescent="0.25">
      <c r="A4" s="370"/>
      <c r="B4" s="370"/>
      <c r="C4" s="370"/>
      <c r="D4" s="370"/>
      <c r="E4" s="370"/>
      <c r="F4" s="370"/>
    </row>
    <row r="5" spans="1:15" x14ac:dyDescent="0.25">
      <c r="A5" s="371" t="s">
        <v>6</v>
      </c>
      <c r="B5" s="374" t="s">
        <v>693</v>
      </c>
      <c r="C5" s="371" t="s">
        <v>694</v>
      </c>
      <c r="D5" s="371" t="s">
        <v>695</v>
      </c>
      <c r="E5" s="371" t="s">
        <v>696</v>
      </c>
      <c r="F5" s="371" t="s">
        <v>697</v>
      </c>
    </row>
    <row r="6" spans="1:15" x14ac:dyDescent="0.25">
      <c r="A6" s="372"/>
      <c r="B6" s="375"/>
      <c r="C6" s="377"/>
      <c r="D6" s="377"/>
      <c r="E6" s="377"/>
      <c r="F6" s="377"/>
    </row>
    <row r="7" spans="1:15" ht="101.25" customHeight="1" x14ac:dyDescent="0.25">
      <c r="A7" s="372"/>
      <c r="B7" s="375"/>
      <c r="C7" s="378"/>
      <c r="D7" s="378"/>
      <c r="E7" s="378"/>
      <c r="F7" s="378"/>
    </row>
    <row r="8" spans="1:15" ht="20.25" x14ac:dyDescent="0.3">
      <c r="A8" s="373"/>
      <c r="B8" s="376"/>
      <c r="C8" s="3" t="s">
        <v>698</v>
      </c>
      <c r="D8" s="3" t="s">
        <v>252</v>
      </c>
      <c r="E8" s="4" t="s">
        <v>37</v>
      </c>
      <c r="F8" s="4" t="s">
        <v>36</v>
      </c>
    </row>
    <row r="9" spans="1:15" ht="20.25" x14ac:dyDescent="0.3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</row>
    <row r="10" spans="1:15" ht="18.75" x14ac:dyDescent="0.3">
      <c r="A10" s="92" t="s">
        <v>702</v>
      </c>
      <c r="B10" s="93"/>
      <c r="C10" s="17">
        <f>C11+C79+C146</f>
        <v>3668417.5900000003</v>
      </c>
      <c r="D10" s="18">
        <f>D11+D79+D146</f>
        <v>127161</v>
      </c>
      <c r="E10" s="19">
        <f>E11+E79+E146</f>
        <v>1242</v>
      </c>
      <c r="F10" s="17">
        <f>F11+F79+F146</f>
        <v>4045007507.8583746</v>
      </c>
      <c r="K10" s="22"/>
      <c r="M10" s="22"/>
      <c r="N10" s="22"/>
      <c r="O10" s="22"/>
    </row>
    <row r="11" spans="1:15" ht="18.75" x14ac:dyDescent="0.3">
      <c r="A11" s="92" t="s">
        <v>703</v>
      </c>
      <c r="B11" s="93"/>
      <c r="C11" s="17">
        <v>1282974.6400000004</v>
      </c>
      <c r="D11" s="18">
        <v>49293</v>
      </c>
      <c r="E11" s="18">
        <f>SUM(E12:E78)</f>
        <v>468</v>
      </c>
      <c r="F11" s="17">
        <f>SUM(F12:F78)</f>
        <v>1064911444.7999998</v>
      </c>
      <c r="K11" s="22"/>
    </row>
    <row r="12" spans="1:15" ht="18.75" x14ac:dyDescent="0.3">
      <c r="A12" s="94">
        <v>1</v>
      </c>
      <c r="B12" s="92" t="s">
        <v>930</v>
      </c>
      <c r="C12" s="17">
        <v>362242.11000000022</v>
      </c>
      <c r="D12" s="18">
        <v>13536</v>
      </c>
      <c r="E12" s="19">
        <v>104</v>
      </c>
      <c r="F12" s="44">
        <v>265883729</v>
      </c>
    </row>
    <row r="13" spans="1:15" ht="18.75" x14ac:dyDescent="0.3">
      <c r="A13" s="94">
        <v>2</v>
      </c>
      <c r="B13" s="92" t="s">
        <v>837</v>
      </c>
      <c r="C13" s="17">
        <v>54718.7</v>
      </c>
      <c r="D13" s="18">
        <v>2187</v>
      </c>
      <c r="E13" s="19">
        <v>29</v>
      </c>
      <c r="F13" s="44">
        <v>50842017.239999995</v>
      </c>
    </row>
    <row r="14" spans="1:15" ht="18.75" x14ac:dyDescent="0.3">
      <c r="A14" s="94">
        <v>3</v>
      </c>
      <c r="B14" s="92" t="s">
        <v>838</v>
      </c>
      <c r="C14" s="44">
        <v>122338.65999999997</v>
      </c>
      <c r="D14" s="19">
        <v>4539</v>
      </c>
      <c r="E14" s="19">
        <v>45</v>
      </c>
      <c r="F14" s="44">
        <v>112751259.44999994</v>
      </c>
    </row>
    <row r="15" spans="1:15" ht="18.75" x14ac:dyDescent="0.3">
      <c r="A15" s="94">
        <v>4</v>
      </c>
      <c r="B15" s="92" t="s">
        <v>893</v>
      </c>
      <c r="C15" s="44">
        <v>218132.8</v>
      </c>
      <c r="D15" s="19">
        <v>7911</v>
      </c>
      <c r="E15" s="19">
        <v>36</v>
      </c>
      <c r="F15" s="44">
        <v>128937901.11000001</v>
      </c>
    </row>
    <row r="16" spans="1:15" ht="18.75" x14ac:dyDescent="0.3">
      <c r="A16" s="94">
        <v>5</v>
      </c>
      <c r="B16" s="92" t="s">
        <v>840</v>
      </c>
      <c r="C16" s="17">
        <v>38189.1</v>
      </c>
      <c r="D16" s="18">
        <v>1569</v>
      </c>
      <c r="E16" s="19">
        <v>5</v>
      </c>
      <c r="F16" s="44">
        <v>11570369.789999999</v>
      </c>
    </row>
    <row r="17" spans="1:6" ht="18.75" x14ac:dyDescent="0.3">
      <c r="A17" s="94">
        <v>6</v>
      </c>
      <c r="B17" s="92" t="s">
        <v>841</v>
      </c>
      <c r="C17" s="44">
        <v>91721.91</v>
      </c>
      <c r="D17" s="19">
        <v>3374</v>
      </c>
      <c r="E17" s="19">
        <v>26</v>
      </c>
      <c r="F17" s="44">
        <v>65365711.729999989</v>
      </c>
    </row>
    <row r="18" spans="1:6" ht="18.75" x14ac:dyDescent="0.3">
      <c r="A18" s="94">
        <v>7</v>
      </c>
      <c r="B18" s="92" t="s">
        <v>842</v>
      </c>
      <c r="C18" s="44">
        <v>29543.5</v>
      </c>
      <c r="D18" s="19">
        <v>855</v>
      </c>
      <c r="E18" s="19">
        <v>5</v>
      </c>
      <c r="F18" s="44">
        <v>14114868.93</v>
      </c>
    </row>
    <row r="19" spans="1:6" ht="18.75" x14ac:dyDescent="0.3">
      <c r="A19" s="94">
        <v>8</v>
      </c>
      <c r="B19" s="92" t="s">
        <v>843</v>
      </c>
      <c r="C19" s="44">
        <v>10662.800000000001</v>
      </c>
      <c r="D19" s="19">
        <v>403</v>
      </c>
      <c r="E19" s="19">
        <v>6</v>
      </c>
      <c r="F19" s="44">
        <v>30964559.009999998</v>
      </c>
    </row>
    <row r="20" spans="1:6" ht="18.75" x14ac:dyDescent="0.3">
      <c r="A20" s="94">
        <v>9</v>
      </c>
      <c r="B20" s="92" t="s">
        <v>844</v>
      </c>
      <c r="C20" s="44">
        <v>14970.710000000001</v>
      </c>
      <c r="D20" s="19">
        <v>518</v>
      </c>
      <c r="E20" s="19">
        <v>4</v>
      </c>
      <c r="F20" s="44">
        <v>12442442.430000002</v>
      </c>
    </row>
    <row r="21" spans="1:6" ht="18.75" x14ac:dyDescent="0.3">
      <c r="A21" s="94">
        <v>10</v>
      </c>
      <c r="B21" s="92" t="s">
        <v>1284</v>
      </c>
      <c r="C21" s="44">
        <v>762</v>
      </c>
      <c r="D21" s="19">
        <v>42</v>
      </c>
      <c r="E21" s="19">
        <v>1</v>
      </c>
      <c r="F21" s="44">
        <v>345276.04000000004</v>
      </c>
    </row>
    <row r="22" spans="1:6" ht="18.75" x14ac:dyDescent="0.3">
      <c r="A22" s="94">
        <v>11</v>
      </c>
      <c r="B22" s="92" t="s">
        <v>845</v>
      </c>
      <c r="C22" s="44">
        <v>2259.1</v>
      </c>
      <c r="D22" s="19">
        <v>104</v>
      </c>
      <c r="E22" s="19">
        <v>2</v>
      </c>
      <c r="F22" s="44">
        <v>5773107.5300000003</v>
      </c>
    </row>
    <row r="23" spans="1:6" ht="18.75" x14ac:dyDescent="0.3">
      <c r="A23" s="94">
        <v>12</v>
      </c>
      <c r="B23" s="92" t="s">
        <v>846</v>
      </c>
      <c r="C23" s="44">
        <v>4271.2</v>
      </c>
      <c r="D23" s="19">
        <v>227</v>
      </c>
      <c r="E23" s="19">
        <v>5</v>
      </c>
      <c r="F23" s="44">
        <v>10624337.110000001</v>
      </c>
    </row>
    <row r="24" spans="1:6" ht="18.75" x14ac:dyDescent="0.3">
      <c r="A24" s="94">
        <v>13</v>
      </c>
      <c r="B24" s="92" t="s">
        <v>847</v>
      </c>
      <c r="C24" s="44">
        <v>3135.5000000000005</v>
      </c>
      <c r="D24" s="19">
        <v>130</v>
      </c>
      <c r="E24" s="19">
        <v>5</v>
      </c>
      <c r="F24" s="44">
        <v>4459924</v>
      </c>
    </row>
    <row r="25" spans="1:6" ht="18.75" x14ac:dyDescent="0.3">
      <c r="A25" s="94">
        <v>14</v>
      </c>
      <c r="B25" s="92" t="s">
        <v>849</v>
      </c>
      <c r="C25" s="44">
        <v>3504.3</v>
      </c>
      <c r="D25" s="19">
        <v>178</v>
      </c>
      <c r="E25" s="19">
        <v>1</v>
      </c>
      <c r="F25" s="44">
        <v>1997229.1400000001</v>
      </c>
    </row>
    <row r="26" spans="1:6" ht="18.75" x14ac:dyDescent="0.3">
      <c r="A26" s="94">
        <v>15</v>
      </c>
      <c r="B26" s="92" t="s">
        <v>850</v>
      </c>
      <c r="C26" s="44">
        <v>37828.900000000009</v>
      </c>
      <c r="D26" s="19">
        <v>1989</v>
      </c>
      <c r="E26" s="19">
        <v>15</v>
      </c>
      <c r="F26" s="44">
        <v>29976052.369999997</v>
      </c>
    </row>
    <row r="27" spans="1:6" ht="18.75" x14ac:dyDescent="0.3">
      <c r="A27" s="94">
        <v>16</v>
      </c>
      <c r="B27" s="92" t="s">
        <v>851</v>
      </c>
      <c r="C27" s="44">
        <v>12766.299999999997</v>
      </c>
      <c r="D27" s="19">
        <v>777</v>
      </c>
      <c r="E27" s="19">
        <v>16</v>
      </c>
      <c r="F27" s="44">
        <v>22830689.180000003</v>
      </c>
    </row>
    <row r="28" spans="1:6" ht="18.75" x14ac:dyDescent="0.3">
      <c r="A28" s="94">
        <v>17</v>
      </c>
      <c r="B28" s="92" t="s">
        <v>852</v>
      </c>
      <c r="C28" s="44">
        <v>1395.0000000000002</v>
      </c>
      <c r="D28" s="19">
        <v>56</v>
      </c>
      <c r="E28" s="19">
        <v>4</v>
      </c>
      <c r="F28" s="44">
        <v>2221160.0099999998</v>
      </c>
    </row>
    <row r="29" spans="1:6" ht="18.75" x14ac:dyDescent="0.3">
      <c r="A29" s="94">
        <v>18</v>
      </c>
      <c r="B29" s="92" t="s">
        <v>853</v>
      </c>
      <c r="C29" s="44">
        <v>1222.4000000000001</v>
      </c>
      <c r="D29" s="19">
        <v>44</v>
      </c>
      <c r="E29" s="19">
        <v>2</v>
      </c>
      <c r="F29" s="44">
        <v>4069083.7199999997</v>
      </c>
    </row>
    <row r="30" spans="1:6" ht="18.75" x14ac:dyDescent="0.3">
      <c r="A30" s="94">
        <v>19</v>
      </c>
      <c r="B30" s="92" t="s">
        <v>911</v>
      </c>
      <c r="C30" s="44">
        <v>1746.5</v>
      </c>
      <c r="D30" s="19">
        <v>78</v>
      </c>
      <c r="E30" s="19">
        <v>2</v>
      </c>
      <c r="F30" s="44">
        <v>5178138.5</v>
      </c>
    </row>
    <row r="31" spans="1:6" ht="18.75" x14ac:dyDescent="0.3">
      <c r="A31" s="94">
        <v>20</v>
      </c>
      <c r="B31" s="92" t="s">
        <v>856</v>
      </c>
      <c r="C31" s="17">
        <v>5843.6</v>
      </c>
      <c r="D31" s="18">
        <v>224</v>
      </c>
      <c r="E31" s="19">
        <v>3</v>
      </c>
      <c r="F31" s="44">
        <v>8426851.959999999</v>
      </c>
    </row>
    <row r="32" spans="1:6" ht="18.75" x14ac:dyDescent="0.3">
      <c r="A32" s="94">
        <v>21</v>
      </c>
      <c r="B32" s="92" t="s">
        <v>898</v>
      </c>
      <c r="C32" s="17">
        <v>9076.82</v>
      </c>
      <c r="D32" s="18">
        <v>298</v>
      </c>
      <c r="E32" s="19">
        <v>2</v>
      </c>
      <c r="F32" s="44">
        <v>7968708.8700000001</v>
      </c>
    </row>
    <row r="33" spans="1:6" ht="18.75" x14ac:dyDescent="0.3">
      <c r="A33" s="94">
        <v>22</v>
      </c>
      <c r="B33" s="92" t="s">
        <v>858</v>
      </c>
      <c r="C33" s="17">
        <v>846.4</v>
      </c>
      <c r="D33" s="18">
        <v>26</v>
      </c>
      <c r="E33" s="19">
        <v>1</v>
      </c>
      <c r="F33" s="44">
        <v>1861701.91</v>
      </c>
    </row>
    <row r="34" spans="1:6" ht="18.75" x14ac:dyDescent="0.3">
      <c r="A34" s="94">
        <v>23</v>
      </c>
      <c r="B34" s="92" t="s">
        <v>860</v>
      </c>
      <c r="C34" s="44">
        <v>50658.080000000002</v>
      </c>
      <c r="D34" s="19">
        <v>1648</v>
      </c>
      <c r="E34" s="19">
        <v>17</v>
      </c>
      <c r="F34" s="44">
        <v>44397073.310000002</v>
      </c>
    </row>
    <row r="35" spans="1:6" ht="18.75" x14ac:dyDescent="0.3">
      <c r="A35" s="94">
        <v>24</v>
      </c>
      <c r="B35" s="92" t="s">
        <v>912</v>
      </c>
      <c r="C35" s="44">
        <v>2529.2999999999997</v>
      </c>
      <c r="D35" s="19">
        <v>106</v>
      </c>
      <c r="E35" s="19">
        <v>2</v>
      </c>
      <c r="F35" s="44">
        <v>2076549.34</v>
      </c>
    </row>
    <row r="36" spans="1:6" ht="18.75" x14ac:dyDescent="0.3">
      <c r="A36" s="94">
        <v>25</v>
      </c>
      <c r="B36" s="92" t="s">
        <v>913</v>
      </c>
      <c r="C36" s="44">
        <v>375</v>
      </c>
      <c r="D36" s="19">
        <v>21</v>
      </c>
      <c r="E36" s="19">
        <v>1</v>
      </c>
      <c r="F36" s="44">
        <v>2005046.9200000002</v>
      </c>
    </row>
    <row r="37" spans="1:6" ht="18.75" x14ac:dyDescent="0.3">
      <c r="A37" s="94">
        <v>26</v>
      </c>
      <c r="B37" s="92" t="s">
        <v>914</v>
      </c>
      <c r="C37" s="44">
        <v>1156.21</v>
      </c>
      <c r="D37" s="19">
        <v>44</v>
      </c>
      <c r="E37" s="19">
        <v>1</v>
      </c>
      <c r="F37" s="44">
        <v>3681483.63</v>
      </c>
    </row>
    <row r="38" spans="1:6" ht="18.75" x14ac:dyDescent="0.3">
      <c r="A38" s="94">
        <v>27</v>
      </c>
      <c r="B38" s="92" t="s">
        <v>862</v>
      </c>
      <c r="C38" s="44">
        <v>2624.2</v>
      </c>
      <c r="D38" s="19">
        <v>125</v>
      </c>
      <c r="E38" s="19">
        <v>4</v>
      </c>
      <c r="F38" s="44">
        <v>4283070.8099999996</v>
      </c>
    </row>
    <row r="39" spans="1:6" ht="18.75" x14ac:dyDescent="0.3">
      <c r="A39" s="94">
        <v>28</v>
      </c>
      <c r="B39" s="92" t="s">
        <v>863</v>
      </c>
      <c r="C39" s="17">
        <v>1157</v>
      </c>
      <c r="D39" s="18">
        <v>40</v>
      </c>
      <c r="E39" s="19">
        <v>2</v>
      </c>
      <c r="F39" s="44">
        <v>3114731.1799999997</v>
      </c>
    </row>
    <row r="40" spans="1:6" ht="18.75" x14ac:dyDescent="0.3">
      <c r="A40" s="94">
        <v>29</v>
      </c>
      <c r="B40" s="92" t="s">
        <v>861</v>
      </c>
      <c r="C40" s="45">
        <v>407.9</v>
      </c>
      <c r="D40" s="46">
        <v>21</v>
      </c>
      <c r="E40" s="19">
        <v>1</v>
      </c>
      <c r="F40" s="44">
        <v>43566.44</v>
      </c>
    </row>
    <row r="41" spans="1:6" ht="18.75" x14ac:dyDescent="0.3">
      <c r="A41" s="94">
        <v>30</v>
      </c>
      <c r="B41" s="92" t="s">
        <v>864</v>
      </c>
      <c r="C41" s="44">
        <v>2253.2999999999997</v>
      </c>
      <c r="D41" s="19">
        <v>108</v>
      </c>
      <c r="E41" s="19">
        <v>4</v>
      </c>
      <c r="F41" s="44">
        <v>4166442.5</v>
      </c>
    </row>
    <row r="42" spans="1:6" ht="18.75" x14ac:dyDescent="0.3">
      <c r="A42" s="94">
        <v>31</v>
      </c>
      <c r="B42" s="92" t="s">
        <v>899</v>
      </c>
      <c r="C42" s="17">
        <v>829.4</v>
      </c>
      <c r="D42" s="18">
        <v>42</v>
      </c>
      <c r="E42" s="19">
        <v>1</v>
      </c>
      <c r="F42" s="44">
        <v>2786770.47</v>
      </c>
    </row>
    <row r="43" spans="1:6" ht="18.75" x14ac:dyDescent="0.3">
      <c r="A43" s="94">
        <v>32</v>
      </c>
      <c r="B43" s="92" t="s">
        <v>865</v>
      </c>
      <c r="C43" s="17">
        <v>10312.24</v>
      </c>
      <c r="D43" s="18">
        <v>425</v>
      </c>
      <c r="E43" s="19">
        <v>7</v>
      </c>
      <c r="F43" s="44">
        <v>8432214.3199999984</v>
      </c>
    </row>
    <row r="44" spans="1:6" ht="18.75" x14ac:dyDescent="0.3">
      <c r="A44" s="94">
        <v>33</v>
      </c>
      <c r="B44" s="92" t="s">
        <v>866</v>
      </c>
      <c r="C44" s="17">
        <v>613</v>
      </c>
      <c r="D44" s="18">
        <v>32</v>
      </c>
      <c r="E44" s="19">
        <v>1</v>
      </c>
      <c r="F44" s="44">
        <v>2358530.46</v>
      </c>
    </row>
    <row r="45" spans="1:6" ht="18.75" x14ac:dyDescent="0.3">
      <c r="A45" s="94">
        <v>34</v>
      </c>
      <c r="B45" s="92" t="s">
        <v>900</v>
      </c>
      <c r="C45" s="17">
        <v>866.6</v>
      </c>
      <c r="D45" s="18">
        <v>34</v>
      </c>
      <c r="E45" s="19">
        <v>3</v>
      </c>
      <c r="F45" s="44">
        <v>177116.99</v>
      </c>
    </row>
    <row r="46" spans="1:6" ht="18.75" x14ac:dyDescent="0.3">
      <c r="A46" s="94">
        <v>35</v>
      </c>
      <c r="B46" s="92" t="s">
        <v>868</v>
      </c>
      <c r="C46" s="44">
        <v>3663.2799999999997</v>
      </c>
      <c r="D46" s="19">
        <v>115</v>
      </c>
      <c r="E46" s="19">
        <v>3</v>
      </c>
      <c r="F46" s="44">
        <v>8700170.3300000001</v>
      </c>
    </row>
    <row r="47" spans="1:6" ht="18.75" x14ac:dyDescent="0.3">
      <c r="A47" s="94">
        <v>36</v>
      </c>
      <c r="B47" s="92" t="s">
        <v>871</v>
      </c>
      <c r="C47" s="17">
        <v>2767.4</v>
      </c>
      <c r="D47" s="18">
        <v>31</v>
      </c>
      <c r="E47" s="19">
        <v>1</v>
      </c>
      <c r="F47" s="44">
        <v>4281723.32</v>
      </c>
    </row>
    <row r="48" spans="1:6" ht="18.75" x14ac:dyDescent="0.3">
      <c r="A48" s="94">
        <v>37</v>
      </c>
      <c r="B48" s="92" t="s">
        <v>877</v>
      </c>
      <c r="C48" s="17">
        <v>15666.63</v>
      </c>
      <c r="D48" s="18">
        <v>545</v>
      </c>
      <c r="E48" s="19">
        <v>3</v>
      </c>
      <c r="F48" s="44">
        <v>2434186.5899999994</v>
      </c>
    </row>
    <row r="49" spans="1:6" ht="18.75" x14ac:dyDescent="0.3">
      <c r="A49" s="94">
        <v>38</v>
      </c>
      <c r="B49" s="92" t="s">
        <v>872</v>
      </c>
      <c r="C49" s="17">
        <v>14224.350000000002</v>
      </c>
      <c r="D49" s="18">
        <v>742</v>
      </c>
      <c r="E49" s="19">
        <v>6</v>
      </c>
      <c r="F49" s="44">
        <v>19736488.859999999</v>
      </c>
    </row>
    <row r="50" spans="1:6" ht="18.75" x14ac:dyDescent="0.3">
      <c r="A50" s="94">
        <v>39</v>
      </c>
      <c r="B50" s="92" t="s">
        <v>873</v>
      </c>
      <c r="C50" s="17">
        <v>4806.5999999999995</v>
      </c>
      <c r="D50" s="18">
        <v>165</v>
      </c>
      <c r="E50" s="19">
        <v>5</v>
      </c>
      <c r="F50" s="44">
        <v>9389545.5499999989</v>
      </c>
    </row>
    <row r="51" spans="1:6" ht="18.75" x14ac:dyDescent="0.3">
      <c r="A51" s="94">
        <v>40</v>
      </c>
      <c r="B51" s="92" t="s">
        <v>874</v>
      </c>
      <c r="C51" s="17">
        <v>1322.5</v>
      </c>
      <c r="D51" s="18">
        <v>60</v>
      </c>
      <c r="E51" s="19">
        <v>2</v>
      </c>
      <c r="F51" s="44">
        <v>5138784.57</v>
      </c>
    </row>
    <row r="52" spans="1:6" ht="18.75" x14ac:dyDescent="0.3">
      <c r="A52" s="94">
        <v>41</v>
      </c>
      <c r="B52" s="92" t="s">
        <v>876</v>
      </c>
      <c r="C52" s="17">
        <v>13058.16</v>
      </c>
      <c r="D52" s="18">
        <v>529</v>
      </c>
      <c r="E52" s="19">
        <v>10</v>
      </c>
      <c r="F52" s="44">
        <v>17752085.210000001</v>
      </c>
    </row>
    <row r="53" spans="1:6" ht="18.75" x14ac:dyDescent="0.3">
      <c r="A53" s="94">
        <v>42</v>
      </c>
      <c r="B53" s="92" t="s">
        <v>875</v>
      </c>
      <c r="C53" s="17">
        <v>878.6</v>
      </c>
      <c r="D53" s="18">
        <v>55</v>
      </c>
      <c r="E53" s="19">
        <v>1</v>
      </c>
      <c r="F53" s="44">
        <v>3622790.6399999997</v>
      </c>
    </row>
    <row r="54" spans="1:6" ht="18.75" x14ac:dyDescent="0.3">
      <c r="A54" s="94">
        <v>43</v>
      </c>
      <c r="B54" s="92" t="s">
        <v>878</v>
      </c>
      <c r="C54" s="44">
        <v>940.6</v>
      </c>
      <c r="D54" s="19">
        <v>33</v>
      </c>
      <c r="E54" s="19">
        <v>1</v>
      </c>
      <c r="F54" s="44">
        <v>3515825.94</v>
      </c>
    </row>
    <row r="55" spans="1:6" ht="18.75" x14ac:dyDescent="0.3">
      <c r="A55" s="94">
        <v>44</v>
      </c>
      <c r="B55" s="92" t="s">
        <v>915</v>
      </c>
      <c r="C55" s="44">
        <v>340.3</v>
      </c>
      <c r="D55" s="19">
        <v>19</v>
      </c>
      <c r="E55" s="19">
        <v>1</v>
      </c>
      <c r="F55" s="44">
        <v>1371104.41</v>
      </c>
    </row>
    <row r="56" spans="1:6" ht="18.75" x14ac:dyDescent="0.3">
      <c r="A56" s="94">
        <v>45</v>
      </c>
      <c r="B56" s="92" t="s">
        <v>1285</v>
      </c>
      <c r="C56" s="44">
        <v>953.9</v>
      </c>
      <c r="D56" s="19">
        <v>28</v>
      </c>
      <c r="E56" s="19">
        <v>1</v>
      </c>
      <c r="F56" s="44">
        <v>40161.910000000003</v>
      </c>
    </row>
    <row r="57" spans="1:6" ht="18.75" x14ac:dyDescent="0.3">
      <c r="A57" s="94">
        <v>46</v>
      </c>
      <c r="B57" s="92" t="s">
        <v>904</v>
      </c>
      <c r="C57" s="44">
        <v>1446.38</v>
      </c>
      <c r="D57" s="19">
        <v>78</v>
      </c>
      <c r="E57" s="19">
        <v>1</v>
      </c>
      <c r="F57" s="44">
        <v>127877.6</v>
      </c>
    </row>
    <row r="58" spans="1:6" ht="18.75" x14ac:dyDescent="0.3">
      <c r="A58" s="94">
        <v>47</v>
      </c>
      <c r="B58" s="92" t="s">
        <v>916</v>
      </c>
      <c r="C58" s="17">
        <v>676.3</v>
      </c>
      <c r="D58" s="18">
        <v>32</v>
      </c>
      <c r="E58" s="19">
        <v>1</v>
      </c>
      <c r="F58" s="44">
        <v>87573.72</v>
      </c>
    </row>
    <row r="59" spans="1:6" ht="18.75" x14ac:dyDescent="0.3">
      <c r="A59" s="94">
        <v>48</v>
      </c>
      <c r="B59" s="92" t="s">
        <v>881</v>
      </c>
      <c r="C59" s="45">
        <v>3130</v>
      </c>
      <c r="D59" s="46">
        <v>140</v>
      </c>
      <c r="E59" s="19">
        <v>5</v>
      </c>
      <c r="F59" s="44">
        <v>3911488.5799999996</v>
      </c>
    </row>
    <row r="60" spans="1:6" ht="18.75" x14ac:dyDescent="0.3">
      <c r="A60" s="94">
        <v>49</v>
      </c>
      <c r="B60" s="92" t="s">
        <v>906</v>
      </c>
      <c r="C60" s="44">
        <v>36117.07</v>
      </c>
      <c r="D60" s="19">
        <v>1569</v>
      </c>
      <c r="E60" s="19">
        <v>11</v>
      </c>
      <c r="F60" s="44">
        <v>23895515.779999997</v>
      </c>
    </row>
    <row r="61" spans="1:6" ht="18.75" x14ac:dyDescent="0.3">
      <c r="A61" s="94">
        <v>50</v>
      </c>
      <c r="B61" s="92" t="s">
        <v>882</v>
      </c>
      <c r="C61" s="17">
        <v>32478.429999999997</v>
      </c>
      <c r="D61" s="18">
        <v>1444</v>
      </c>
      <c r="E61" s="19">
        <v>8</v>
      </c>
      <c r="F61" s="44">
        <v>24440368.16</v>
      </c>
    </row>
    <row r="62" spans="1:6" ht="18.75" x14ac:dyDescent="0.3">
      <c r="A62" s="94">
        <v>51</v>
      </c>
      <c r="B62" s="92" t="s">
        <v>1286</v>
      </c>
      <c r="C62" s="17">
        <v>546.02</v>
      </c>
      <c r="D62" s="18">
        <v>20</v>
      </c>
      <c r="E62" s="19">
        <v>1</v>
      </c>
      <c r="F62" s="44">
        <v>1483737.75</v>
      </c>
    </row>
    <row r="63" spans="1:6" ht="18.75" x14ac:dyDescent="0.3">
      <c r="A63" s="94">
        <v>52</v>
      </c>
      <c r="B63" s="92" t="s">
        <v>1283</v>
      </c>
      <c r="C63" s="17">
        <v>1598.9</v>
      </c>
      <c r="D63" s="18">
        <v>38</v>
      </c>
      <c r="E63" s="19">
        <v>1</v>
      </c>
      <c r="F63" s="44">
        <v>446142.85</v>
      </c>
    </row>
    <row r="64" spans="1:6" ht="18.75" x14ac:dyDescent="0.3">
      <c r="A64" s="94">
        <v>53</v>
      </c>
      <c r="B64" s="92" t="s">
        <v>879</v>
      </c>
      <c r="C64" s="17">
        <v>9103.2800000000007</v>
      </c>
      <c r="D64" s="18">
        <v>365</v>
      </c>
      <c r="E64" s="19">
        <v>4</v>
      </c>
      <c r="F64" s="44">
        <v>3380450.98</v>
      </c>
    </row>
    <row r="65" spans="1:14" ht="18.75" x14ac:dyDescent="0.3">
      <c r="A65" s="94">
        <v>54</v>
      </c>
      <c r="B65" s="92" t="s">
        <v>883</v>
      </c>
      <c r="C65" s="17">
        <v>2977.1</v>
      </c>
      <c r="D65" s="18">
        <v>125</v>
      </c>
      <c r="E65" s="19">
        <v>5</v>
      </c>
      <c r="F65" s="44">
        <v>7738017.7799999993</v>
      </c>
    </row>
    <row r="66" spans="1:14" ht="18.75" x14ac:dyDescent="0.3">
      <c r="A66" s="94">
        <v>55</v>
      </c>
      <c r="B66" s="92" t="s">
        <v>884</v>
      </c>
      <c r="C66" s="44">
        <v>1191.0999999999999</v>
      </c>
      <c r="D66" s="19">
        <v>26</v>
      </c>
      <c r="E66" s="19">
        <v>1</v>
      </c>
      <c r="F66" s="44">
        <v>2846268.34</v>
      </c>
    </row>
    <row r="67" spans="1:14" ht="18.75" x14ac:dyDescent="0.3">
      <c r="A67" s="94">
        <v>56</v>
      </c>
      <c r="B67" s="92" t="s">
        <v>885</v>
      </c>
      <c r="C67" s="17">
        <v>1414.1</v>
      </c>
      <c r="D67" s="18">
        <v>84</v>
      </c>
      <c r="E67" s="19">
        <v>2</v>
      </c>
      <c r="F67" s="44">
        <v>2794020.73</v>
      </c>
    </row>
    <row r="68" spans="1:14" ht="18.75" x14ac:dyDescent="0.3">
      <c r="A68" s="94">
        <v>57</v>
      </c>
      <c r="B68" s="92" t="s">
        <v>886</v>
      </c>
      <c r="C68" s="17">
        <v>2762.9</v>
      </c>
      <c r="D68" s="18">
        <v>125</v>
      </c>
      <c r="E68" s="19">
        <v>2</v>
      </c>
      <c r="F68" s="44">
        <v>4868704.13</v>
      </c>
    </row>
    <row r="69" spans="1:14" ht="18.75" x14ac:dyDescent="0.3">
      <c r="A69" s="94">
        <v>58</v>
      </c>
      <c r="B69" s="92" t="s">
        <v>908</v>
      </c>
      <c r="C69" s="17">
        <v>702.7</v>
      </c>
      <c r="D69" s="18">
        <v>16</v>
      </c>
      <c r="E69" s="19">
        <v>1</v>
      </c>
      <c r="F69" s="44">
        <v>2570556.2200000002</v>
      </c>
    </row>
    <row r="70" spans="1:14" ht="18.75" x14ac:dyDescent="0.3">
      <c r="A70" s="94">
        <v>59</v>
      </c>
      <c r="B70" s="92" t="s">
        <v>1287</v>
      </c>
      <c r="C70" s="17">
        <v>1625.9</v>
      </c>
      <c r="D70" s="18">
        <v>63</v>
      </c>
      <c r="E70" s="19">
        <v>2</v>
      </c>
      <c r="F70" s="44">
        <v>1181101.6800000002</v>
      </c>
    </row>
    <row r="71" spans="1:14" ht="18.75" x14ac:dyDescent="0.3">
      <c r="A71" s="94">
        <v>60</v>
      </c>
      <c r="B71" s="92" t="s">
        <v>887</v>
      </c>
      <c r="C71" s="17">
        <v>2462.8000000000002</v>
      </c>
      <c r="D71" s="18">
        <v>120</v>
      </c>
      <c r="E71" s="19">
        <v>5</v>
      </c>
      <c r="F71" s="44">
        <v>5058199.54</v>
      </c>
    </row>
    <row r="72" spans="1:14" ht="18.75" x14ac:dyDescent="0.3">
      <c r="A72" s="94">
        <v>61</v>
      </c>
      <c r="B72" s="92" t="s">
        <v>888</v>
      </c>
      <c r="C72" s="17">
        <v>1755.2</v>
      </c>
      <c r="D72" s="18">
        <v>62</v>
      </c>
      <c r="E72" s="19">
        <v>1</v>
      </c>
      <c r="F72" s="44">
        <v>3982171.62</v>
      </c>
    </row>
    <row r="73" spans="1:14" ht="18.75" x14ac:dyDescent="0.3">
      <c r="A73" s="94">
        <v>62</v>
      </c>
      <c r="B73" s="92" t="s">
        <v>909</v>
      </c>
      <c r="C73" s="17">
        <v>4921.7999999999993</v>
      </c>
      <c r="D73" s="18">
        <v>126</v>
      </c>
      <c r="E73" s="19">
        <v>2</v>
      </c>
      <c r="F73" s="44">
        <v>8046011.1599999992</v>
      </c>
    </row>
    <row r="74" spans="1:14" ht="18.75" x14ac:dyDescent="0.3">
      <c r="A74" s="94">
        <v>63</v>
      </c>
      <c r="B74" s="92" t="s">
        <v>889</v>
      </c>
      <c r="C74" s="17">
        <v>428.4</v>
      </c>
      <c r="D74" s="18">
        <v>20</v>
      </c>
      <c r="E74" s="19">
        <v>1</v>
      </c>
      <c r="F74" s="44">
        <v>1241065.97</v>
      </c>
    </row>
    <row r="75" spans="1:14" ht="18.75" x14ac:dyDescent="0.3">
      <c r="A75" s="94">
        <v>64</v>
      </c>
      <c r="B75" s="92" t="s">
        <v>891</v>
      </c>
      <c r="C75" s="17">
        <v>12546.099999999999</v>
      </c>
      <c r="D75" s="18">
        <v>564</v>
      </c>
      <c r="E75" s="19">
        <v>9</v>
      </c>
      <c r="F75" s="44">
        <v>9190793.5899999999</v>
      </c>
    </row>
    <row r="76" spans="1:14" ht="18.75" x14ac:dyDescent="0.3">
      <c r="A76" s="94">
        <v>65</v>
      </c>
      <c r="B76" s="92" t="s">
        <v>892</v>
      </c>
      <c r="C76" s="17">
        <v>2975.2</v>
      </c>
      <c r="D76" s="18">
        <v>130</v>
      </c>
      <c r="E76" s="19">
        <v>4</v>
      </c>
      <c r="F76" s="44">
        <v>3506290.42</v>
      </c>
    </row>
    <row r="77" spans="1:14" ht="18.75" x14ac:dyDescent="0.3">
      <c r="A77" s="94">
        <v>66</v>
      </c>
      <c r="B77" s="92" t="s">
        <v>917</v>
      </c>
      <c r="C77" s="17">
        <v>1422.8</v>
      </c>
      <c r="D77" s="18">
        <v>64</v>
      </c>
      <c r="E77" s="19">
        <v>2</v>
      </c>
      <c r="F77" s="44">
        <v>735510.79</v>
      </c>
    </row>
    <row r="78" spans="1:14" ht="18.75" x14ac:dyDescent="0.3">
      <c r="A78" s="94">
        <v>67</v>
      </c>
      <c r="B78" s="92" t="s">
        <v>910</v>
      </c>
      <c r="C78" s="17">
        <v>1109.3</v>
      </c>
      <c r="D78" s="18">
        <v>49</v>
      </c>
      <c r="E78" s="19">
        <v>2</v>
      </c>
      <c r="F78" s="44">
        <v>1268994.68</v>
      </c>
    </row>
    <row r="79" spans="1:14" ht="19.5" customHeight="1" x14ac:dyDescent="0.3">
      <c r="A79" s="92" t="s">
        <v>704</v>
      </c>
      <c r="B79" s="92"/>
      <c r="C79" s="17">
        <f>SUM(C80:C145)</f>
        <v>1275815.78</v>
      </c>
      <c r="D79" s="18">
        <f>SUM(D80:D145)</f>
        <v>36026</v>
      </c>
      <c r="E79" s="19">
        <f>SUM(E80:E145)</f>
        <v>407</v>
      </c>
      <c r="F79" s="17">
        <f>SUM(F80:F145)</f>
        <v>1130960779.9400003</v>
      </c>
      <c r="K79" s="22"/>
      <c r="L79" s="22"/>
      <c r="M79" s="22"/>
      <c r="N79" s="22"/>
    </row>
    <row r="80" spans="1:14" ht="18.75" x14ac:dyDescent="0.3">
      <c r="A80" s="94">
        <v>1</v>
      </c>
      <c r="B80" s="92" t="s">
        <v>930</v>
      </c>
      <c r="C80" s="17">
        <v>273707.57999999996</v>
      </c>
      <c r="D80" s="18">
        <v>10259</v>
      </c>
      <c r="E80" s="19">
        <v>88</v>
      </c>
      <c r="F80" s="44">
        <v>164966276.65999994</v>
      </c>
    </row>
    <row r="81" spans="1:6" ht="18.75" x14ac:dyDescent="0.3">
      <c r="A81" s="94">
        <v>2</v>
      </c>
      <c r="B81" s="92" t="s">
        <v>837</v>
      </c>
      <c r="C81" s="17">
        <v>39765.410000000003</v>
      </c>
      <c r="D81" s="18">
        <v>1664</v>
      </c>
      <c r="E81" s="19">
        <v>26</v>
      </c>
      <c r="F81" s="44">
        <v>58706347.549999997</v>
      </c>
    </row>
    <row r="82" spans="1:6" ht="18.75" x14ac:dyDescent="0.3">
      <c r="A82" s="94">
        <v>3</v>
      </c>
      <c r="B82" s="92" t="s">
        <v>838</v>
      </c>
      <c r="C82" s="17">
        <v>112703.84000000001</v>
      </c>
      <c r="D82" s="18">
        <v>3987</v>
      </c>
      <c r="E82" s="19">
        <v>43</v>
      </c>
      <c r="F82" s="44">
        <v>132149763.76000005</v>
      </c>
    </row>
    <row r="83" spans="1:6" ht="18.75" x14ac:dyDescent="0.3">
      <c r="A83" s="94">
        <v>4</v>
      </c>
      <c r="B83" s="92" t="s">
        <v>893</v>
      </c>
      <c r="C83" s="17">
        <v>401854.45999999996</v>
      </c>
      <c r="D83" s="18">
        <v>4103</v>
      </c>
      <c r="E83" s="19">
        <v>54</v>
      </c>
      <c r="F83" s="44">
        <v>285849688.59999996</v>
      </c>
    </row>
    <row r="84" spans="1:6" ht="18.75" x14ac:dyDescent="0.3">
      <c r="A84" s="94">
        <v>5</v>
      </c>
      <c r="B84" s="92" t="s">
        <v>840</v>
      </c>
      <c r="C84" s="17">
        <v>117812.8</v>
      </c>
      <c r="D84" s="18">
        <v>2907</v>
      </c>
      <c r="E84" s="19">
        <v>15</v>
      </c>
      <c r="F84" s="44">
        <v>102296821.16</v>
      </c>
    </row>
    <row r="85" spans="1:6" ht="18.75" x14ac:dyDescent="0.3">
      <c r="A85" s="94">
        <v>6</v>
      </c>
      <c r="B85" s="92" t="s">
        <v>841</v>
      </c>
      <c r="C85" s="17">
        <v>40250.310000000005</v>
      </c>
      <c r="D85" s="18">
        <v>1696</v>
      </c>
      <c r="E85" s="19">
        <v>21</v>
      </c>
      <c r="F85" s="44">
        <v>67277055.319999993</v>
      </c>
    </row>
    <row r="86" spans="1:6" ht="18.75" x14ac:dyDescent="0.3">
      <c r="A86" s="94">
        <v>7</v>
      </c>
      <c r="B86" s="92" t="s">
        <v>842</v>
      </c>
      <c r="C86" s="17">
        <v>35250.9</v>
      </c>
      <c r="D86" s="18">
        <v>902</v>
      </c>
      <c r="E86" s="19">
        <v>7</v>
      </c>
      <c r="F86" s="44">
        <v>8413669.7699999996</v>
      </c>
    </row>
    <row r="87" spans="1:6" ht="18.75" x14ac:dyDescent="0.3">
      <c r="A87" s="94">
        <v>8</v>
      </c>
      <c r="B87" s="92" t="s">
        <v>843</v>
      </c>
      <c r="C87" s="17">
        <v>5268.6</v>
      </c>
      <c r="D87" s="18">
        <v>209</v>
      </c>
      <c r="E87" s="19">
        <v>5</v>
      </c>
      <c r="F87" s="44">
        <v>7749775.5699999994</v>
      </c>
    </row>
    <row r="88" spans="1:6" ht="18.75" x14ac:dyDescent="0.3">
      <c r="A88" s="94">
        <v>9</v>
      </c>
      <c r="B88" s="92" t="s">
        <v>844</v>
      </c>
      <c r="C88" s="17">
        <v>11803.32</v>
      </c>
      <c r="D88" s="18">
        <v>483</v>
      </c>
      <c r="E88" s="19">
        <v>4</v>
      </c>
      <c r="F88" s="44">
        <v>8707199.9100000001</v>
      </c>
    </row>
    <row r="89" spans="1:6" ht="18.75" x14ac:dyDescent="0.3">
      <c r="A89" s="94">
        <v>10</v>
      </c>
      <c r="B89" s="92" t="s">
        <v>845</v>
      </c>
      <c r="C89" s="17">
        <v>2782.7</v>
      </c>
      <c r="D89" s="18">
        <v>103</v>
      </c>
      <c r="E89" s="19">
        <v>1</v>
      </c>
      <c r="F89" s="44">
        <v>3324897.97</v>
      </c>
    </row>
    <row r="90" spans="1:6" ht="18.75" x14ac:dyDescent="0.3">
      <c r="A90" s="94">
        <v>11</v>
      </c>
      <c r="B90" s="92" t="s">
        <v>847</v>
      </c>
      <c r="C90" s="17">
        <v>1151.5</v>
      </c>
      <c r="D90" s="18">
        <v>39</v>
      </c>
      <c r="E90" s="19">
        <v>2</v>
      </c>
      <c r="F90" s="44">
        <v>221036.09999999998</v>
      </c>
    </row>
    <row r="91" spans="1:6" ht="18.75" x14ac:dyDescent="0.3">
      <c r="A91" s="94">
        <v>12</v>
      </c>
      <c r="B91" s="92" t="s">
        <v>894</v>
      </c>
      <c r="C91" s="17">
        <v>618.29999999999995</v>
      </c>
      <c r="D91" s="18">
        <v>24</v>
      </c>
      <c r="E91" s="19">
        <v>1</v>
      </c>
      <c r="F91" s="44">
        <v>63207.3</v>
      </c>
    </row>
    <row r="92" spans="1:6" ht="18.75" x14ac:dyDescent="0.3">
      <c r="A92" s="94">
        <v>13</v>
      </c>
      <c r="B92" s="92" t="s">
        <v>849</v>
      </c>
      <c r="C92" s="17">
        <v>4097</v>
      </c>
      <c r="D92" s="18">
        <v>158</v>
      </c>
      <c r="E92" s="19">
        <v>1</v>
      </c>
      <c r="F92" s="44">
        <v>105310.57</v>
      </c>
    </row>
    <row r="93" spans="1:6" ht="18.75" x14ac:dyDescent="0.3">
      <c r="A93" s="94">
        <v>14</v>
      </c>
      <c r="B93" s="92" t="s">
        <v>850</v>
      </c>
      <c r="C93" s="17">
        <v>29874.799999999999</v>
      </c>
      <c r="D93" s="18">
        <v>1418</v>
      </c>
      <c r="E93" s="19">
        <v>13</v>
      </c>
      <c r="F93" s="44">
        <v>29546394.850000001</v>
      </c>
    </row>
    <row r="94" spans="1:6" ht="18.75" x14ac:dyDescent="0.3">
      <c r="A94" s="94">
        <v>15</v>
      </c>
      <c r="B94" s="92" t="s">
        <v>851</v>
      </c>
      <c r="C94" s="17">
        <v>10319.11</v>
      </c>
      <c r="D94" s="18">
        <v>712</v>
      </c>
      <c r="E94" s="19">
        <v>6</v>
      </c>
      <c r="F94" s="44">
        <v>19474666.420000002</v>
      </c>
    </row>
    <row r="95" spans="1:6" ht="18.75" x14ac:dyDescent="0.3">
      <c r="A95" s="94">
        <v>16</v>
      </c>
      <c r="B95" s="92" t="s">
        <v>1288</v>
      </c>
      <c r="C95" s="17">
        <v>2334.1999999999998</v>
      </c>
      <c r="D95" s="18">
        <v>72</v>
      </c>
      <c r="E95" s="19">
        <v>2</v>
      </c>
      <c r="F95" s="44">
        <v>189626.95</v>
      </c>
    </row>
    <row r="96" spans="1:6" ht="18.75" x14ac:dyDescent="0.3">
      <c r="A96" s="94">
        <v>17</v>
      </c>
      <c r="B96" s="92" t="s">
        <v>852</v>
      </c>
      <c r="C96" s="17">
        <v>383.8</v>
      </c>
      <c r="D96" s="18">
        <v>16</v>
      </c>
      <c r="E96" s="19">
        <v>1</v>
      </c>
      <c r="F96" s="44">
        <v>379110.22000000003</v>
      </c>
    </row>
    <row r="97" spans="1:6" ht="18.75" x14ac:dyDescent="0.3">
      <c r="A97" s="94">
        <v>18</v>
      </c>
      <c r="B97" s="92" t="s">
        <v>895</v>
      </c>
      <c r="C97" s="17">
        <v>924.3</v>
      </c>
      <c r="D97" s="18">
        <v>22</v>
      </c>
      <c r="E97" s="19">
        <v>1</v>
      </c>
      <c r="F97" s="44">
        <v>62038.82</v>
      </c>
    </row>
    <row r="98" spans="1:6" ht="18.75" x14ac:dyDescent="0.3">
      <c r="A98" s="94">
        <v>19</v>
      </c>
      <c r="B98" s="92" t="s">
        <v>896</v>
      </c>
      <c r="C98" s="17">
        <v>672</v>
      </c>
      <c r="D98" s="18">
        <v>35</v>
      </c>
      <c r="E98" s="19">
        <v>1</v>
      </c>
      <c r="F98" s="44">
        <v>2713692.58</v>
      </c>
    </row>
    <row r="99" spans="1:6" ht="18.75" x14ac:dyDescent="0.3">
      <c r="A99" s="94">
        <v>20</v>
      </c>
      <c r="B99" s="92" t="s">
        <v>897</v>
      </c>
      <c r="C99" s="17">
        <v>531.9</v>
      </c>
      <c r="D99" s="18">
        <v>14</v>
      </c>
      <c r="E99" s="19">
        <v>1</v>
      </c>
      <c r="F99" s="44">
        <v>2079679.89</v>
      </c>
    </row>
    <row r="100" spans="1:6" ht="18.75" x14ac:dyDescent="0.3">
      <c r="A100" s="94">
        <v>21</v>
      </c>
      <c r="B100" s="92" t="s">
        <v>856</v>
      </c>
      <c r="C100" s="17">
        <v>7845.75</v>
      </c>
      <c r="D100" s="18">
        <v>252</v>
      </c>
      <c r="E100" s="19">
        <v>1</v>
      </c>
      <c r="F100" s="44">
        <v>105976.66</v>
      </c>
    </row>
    <row r="101" spans="1:6" ht="18.75" x14ac:dyDescent="0.3">
      <c r="A101" s="94">
        <v>22</v>
      </c>
      <c r="B101" s="92" t="s">
        <v>857</v>
      </c>
      <c r="C101" s="17">
        <v>550.20000000000005</v>
      </c>
      <c r="D101" s="18">
        <v>20</v>
      </c>
      <c r="E101" s="19">
        <v>1</v>
      </c>
      <c r="F101" s="44">
        <v>65297.52</v>
      </c>
    </row>
    <row r="102" spans="1:6" ht="18.75" x14ac:dyDescent="0.3">
      <c r="A102" s="94">
        <v>23</v>
      </c>
      <c r="B102" s="92" t="s">
        <v>898</v>
      </c>
      <c r="C102" s="17">
        <v>4299.2</v>
      </c>
      <c r="D102" s="18">
        <v>181</v>
      </c>
      <c r="E102" s="19">
        <v>2</v>
      </c>
      <c r="F102" s="44">
        <v>3106581.3099999996</v>
      </c>
    </row>
    <row r="103" spans="1:6" ht="18.75" x14ac:dyDescent="0.3">
      <c r="A103" s="94">
        <v>24</v>
      </c>
      <c r="B103" s="92" t="s">
        <v>860</v>
      </c>
      <c r="C103" s="17">
        <v>16744.129999999997</v>
      </c>
      <c r="D103" s="18">
        <v>660</v>
      </c>
      <c r="E103" s="19">
        <v>11</v>
      </c>
      <c r="F103" s="44">
        <v>22316439.620000001</v>
      </c>
    </row>
    <row r="104" spans="1:6" ht="18.75" x14ac:dyDescent="0.3">
      <c r="A104" s="94">
        <v>25</v>
      </c>
      <c r="B104" s="92" t="s">
        <v>862</v>
      </c>
      <c r="C104" s="17">
        <v>1443.4</v>
      </c>
      <c r="D104" s="18">
        <v>68</v>
      </c>
      <c r="E104" s="19">
        <v>2</v>
      </c>
      <c r="F104" s="44">
        <v>5513180.9399999995</v>
      </c>
    </row>
    <row r="105" spans="1:6" ht="18.75" x14ac:dyDescent="0.3">
      <c r="A105" s="94">
        <v>26</v>
      </c>
      <c r="B105" s="92" t="s">
        <v>864</v>
      </c>
      <c r="C105" s="17">
        <v>1854.1999999999998</v>
      </c>
      <c r="D105" s="18">
        <v>87</v>
      </c>
      <c r="E105" s="19">
        <v>3</v>
      </c>
      <c r="F105" s="44">
        <v>4300110.49</v>
      </c>
    </row>
    <row r="106" spans="1:6" ht="18.75" x14ac:dyDescent="0.3">
      <c r="A106" s="94">
        <v>27</v>
      </c>
      <c r="B106" s="92" t="s">
        <v>863</v>
      </c>
      <c r="C106" s="17">
        <v>448.2</v>
      </c>
      <c r="D106" s="18">
        <v>21</v>
      </c>
      <c r="E106" s="19">
        <v>1</v>
      </c>
      <c r="F106" s="44">
        <v>63914.7</v>
      </c>
    </row>
    <row r="107" spans="1:6" ht="18.75" x14ac:dyDescent="0.3">
      <c r="A107" s="94">
        <v>28</v>
      </c>
      <c r="B107" s="92" t="s">
        <v>899</v>
      </c>
      <c r="C107" s="17">
        <v>1323.09</v>
      </c>
      <c r="D107" s="18">
        <v>68</v>
      </c>
      <c r="E107" s="19">
        <v>2</v>
      </c>
      <c r="F107" s="44">
        <v>5200378.79</v>
      </c>
    </row>
    <row r="108" spans="1:6" ht="18.75" x14ac:dyDescent="0.3">
      <c r="A108" s="94">
        <v>29</v>
      </c>
      <c r="B108" s="92" t="s">
        <v>861</v>
      </c>
      <c r="C108" s="17">
        <v>804.7</v>
      </c>
      <c r="D108" s="18">
        <v>36</v>
      </c>
      <c r="E108" s="19">
        <v>2</v>
      </c>
      <c r="F108" s="44">
        <v>1314396.72</v>
      </c>
    </row>
    <row r="109" spans="1:6" ht="18.75" x14ac:dyDescent="0.3">
      <c r="A109" s="94">
        <v>30</v>
      </c>
      <c r="B109" s="92" t="s">
        <v>865</v>
      </c>
      <c r="C109" s="17">
        <v>6122.7</v>
      </c>
      <c r="D109" s="18">
        <v>226</v>
      </c>
      <c r="E109" s="19">
        <v>8</v>
      </c>
      <c r="F109" s="44">
        <v>21705858.420000002</v>
      </c>
    </row>
    <row r="110" spans="1:6" ht="18.75" x14ac:dyDescent="0.3">
      <c r="A110" s="94">
        <v>31</v>
      </c>
      <c r="B110" s="92" t="s">
        <v>900</v>
      </c>
      <c r="C110" s="17">
        <v>1222.5999999999999</v>
      </c>
      <c r="D110" s="18">
        <v>66</v>
      </c>
      <c r="E110" s="19">
        <v>3</v>
      </c>
      <c r="F110" s="44">
        <v>2242341.23</v>
      </c>
    </row>
    <row r="111" spans="1:6" ht="18.75" x14ac:dyDescent="0.3">
      <c r="A111" s="94">
        <v>32</v>
      </c>
      <c r="B111" s="92" t="s">
        <v>901</v>
      </c>
      <c r="C111" s="17">
        <v>654.5</v>
      </c>
      <c r="D111" s="18">
        <v>32</v>
      </c>
      <c r="E111" s="19">
        <v>1</v>
      </c>
      <c r="F111" s="44">
        <v>3520710.77</v>
      </c>
    </row>
    <row r="112" spans="1:6" ht="18.75" x14ac:dyDescent="0.3">
      <c r="A112" s="94">
        <v>33</v>
      </c>
      <c r="B112" s="92" t="s">
        <v>868</v>
      </c>
      <c r="C112" s="17">
        <v>6768.3</v>
      </c>
      <c r="D112" s="18">
        <v>187</v>
      </c>
      <c r="E112" s="19">
        <v>3</v>
      </c>
      <c r="F112" s="44">
        <v>4927013.3100000005</v>
      </c>
    </row>
    <row r="113" spans="1:15" ht="18.75" x14ac:dyDescent="0.3">
      <c r="A113" s="94">
        <v>34</v>
      </c>
      <c r="B113" s="92" t="s">
        <v>2167</v>
      </c>
      <c r="C113" s="17">
        <v>327.60000000000002</v>
      </c>
      <c r="D113" s="18">
        <v>21</v>
      </c>
      <c r="E113" s="19">
        <v>1</v>
      </c>
      <c r="F113" s="44">
        <v>52057.33</v>
      </c>
    </row>
    <row r="114" spans="1:15" ht="18.75" x14ac:dyDescent="0.3">
      <c r="A114" s="94">
        <v>35</v>
      </c>
      <c r="B114" s="92" t="s">
        <v>902</v>
      </c>
      <c r="C114" s="17">
        <v>948.3</v>
      </c>
      <c r="D114" s="18">
        <v>64</v>
      </c>
      <c r="E114" s="19">
        <v>1</v>
      </c>
      <c r="F114" s="44">
        <v>3760087.36</v>
      </c>
    </row>
    <row r="115" spans="1:15" ht="18.75" x14ac:dyDescent="0.3">
      <c r="A115" s="94">
        <v>36</v>
      </c>
      <c r="B115" s="92" t="s">
        <v>869</v>
      </c>
      <c r="C115" s="17">
        <v>779.2</v>
      </c>
      <c r="D115" s="18">
        <v>33</v>
      </c>
      <c r="E115" s="19">
        <v>1</v>
      </c>
      <c r="F115" s="44">
        <v>2964091.65</v>
      </c>
      <c r="K115" s="6"/>
      <c r="L115" s="6"/>
      <c r="M115" s="6"/>
      <c r="N115" s="6"/>
      <c r="O115" s="6"/>
    </row>
    <row r="116" spans="1:15" ht="18.75" x14ac:dyDescent="0.3">
      <c r="A116" s="94">
        <v>37</v>
      </c>
      <c r="B116" s="92" t="s">
        <v>877</v>
      </c>
      <c r="C116" s="17">
        <v>17933</v>
      </c>
      <c r="D116" s="18">
        <v>625</v>
      </c>
      <c r="E116" s="19">
        <v>3</v>
      </c>
      <c r="F116" s="44">
        <v>11207892.280000001</v>
      </c>
    </row>
    <row r="117" spans="1:15" ht="18.75" x14ac:dyDescent="0.3">
      <c r="A117" s="94">
        <v>38</v>
      </c>
      <c r="B117" s="92" t="s">
        <v>872</v>
      </c>
      <c r="C117" s="17">
        <v>13217.54</v>
      </c>
      <c r="D117" s="18">
        <v>505</v>
      </c>
      <c r="E117" s="19">
        <v>5</v>
      </c>
      <c r="F117" s="44">
        <v>20102541.969999999</v>
      </c>
    </row>
    <row r="118" spans="1:15" ht="18.75" x14ac:dyDescent="0.3">
      <c r="A118" s="94">
        <v>39</v>
      </c>
      <c r="B118" s="92" t="s">
        <v>873</v>
      </c>
      <c r="C118" s="17">
        <v>8831.67</v>
      </c>
      <c r="D118" s="18">
        <v>282</v>
      </c>
      <c r="E118" s="19">
        <v>3</v>
      </c>
      <c r="F118" s="44">
        <v>462525.75</v>
      </c>
    </row>
    <row r="119" spans="1:15" ht="18.75" x14ac:dyDescent="0.3">
      <c r="A119" s="94">
        <v>40</v>
      </c>
      <c r="B119" s="92" t="s">
        <v>874</v>
      </c>
      <c r="C119" s="17">
        <v>485.3</v>
      </c>
      <c r="D119" s="18">
        <v>16</v>
      </c>
      <c r="E119" s="19">
        <v>1</v>
      </c>
      <c r="F119" s="44">
        <v>2077656.16</v>
      </c>
    </row>
    <row r="120" spans="1:15" ht="18.75" x14ac:dyDescent="0.3">
      <c r="A120" s="94">
        <v>41</v>
      </c>
      <c r="B120" s="92" t="s">
        <v>876</v>
      </c>
      <c r="C120" s="17">
        <v>6797.2400000000007</v>
      </c>
      <c r="D120" s="18">
        <v>308</v>
      </c>
      <c r="E120" s="19">
        <v>6</v>
      </c>
      <c r="F120" s="44">
        <v>20595957.049999997</v>
      </c>
    </row>
    <row r="121" spans="1:15" ht="18.75" x14ac:dyDescent="0.3">
      <c r="A121" s="94">
        <v>42</v>
      </c>
      <c r="B121" s="92" t="s">
        <v>871</v>
      </c>
      <c r="C121" s="17">
        <v>1752.3000000000002</v>
      </c>
      <c r="D121" s="18">
        <v>86</v>
      </c>
      <c r="E121" s="19">
        <v>2</v>
      </c>
      <c r="F121" s="44">
        <v>166016.51999999999</v>
      </c>
    </row>
    <row r="122" spans="1:15" ht="18.75" x14ac:dyDescent="0.3">
      <c r="A122" s="94">
        <v>43</v>
      </c>
      <c r="B122" s="92" t="s">
        <v>903</v>
      </c>
      <c r="C122" s="17">
        <v>822.2</v>
      </c>
      <c r="D122" s="18">
        <v>36</v>
      </c>
      <c r="E122" s="19">
        <v>1</v>
      </c>
      <c r="F122" s="44">
        <v>79976.490000000005</v>
      </c>
    </row>
    <row r="123" spans="1:15" ht="18.75" x14ac:dyDescent="0.3">
      <c r="A123" s="94">
        <v>44</v>
      </c>
      <c r="B123" s="92" t="s">
        <v>878</v>
      </c>
      <c r="C123" s="17">
        <v>4675.3</v>
      </c>
      <c r="D123" s="18">
        <v>143</v>
      </c>
      <c r="E123" s="19">
        <v>3</v>
      </c>
      <c r="F123" s="44">
        <v>4904419.7699999996</v>
      </c>
    </row>
    <row r="124" spans="1:15" ht="18.75" x14ac:dyDescent="0.3">
      <c r="A124" s="94">
        <v>45</v>
      </c>
      <c r="B124" s="92" t="s">
        <v>1285</v>
      </c>
      <c r="C124" s="17">
        <v>953.9</v>
      </c>
      <c r="D124" s="18">
        <v>28</v>
      </c>
      <c r="E124" s="19">
        <v>1</v>
      </c>
      <c r="F124" s="44">
        <v>3567998.53</v>
      </c>
    </row>
    <row r="125" spans="1:15" ht="18.75" x14ac:dyDescent="0.3">
      <c r="A125" s="94">
        <v>46</v>
      </c>
      <c r="B125" s="92" t="s">
        <v>904</v>
      </c>
      <c r="C125" s="17">
        <v>1446.38</v>
      </c>
      <c r="D125" s="18">
        <v>78</v>
      </c>
      <c r="E125" s="19">
        <v>1</v>
      </c>
      <c r="F125" s="44">
        <v>3892974.33</v>
      </c>
    </row>
    <row r="126" spans="1:15" ht="18.75" x14ac:dyDescent="0.3">
      <c r="A126" s="94">
        <v>47</v>
      </c>
      <c r="B126" s="92" t="s">
        <v>879</v>
      </c>
      <c r="C126" s="17">
        <v>3554.5</v>
      </c>
      <c r="D126" s="18">
        <v>158</v>
      </c>
      <c r="E126" s="19">
        <v>1</v>
      </c>
      <c r="F126" s="44">
        <v>7815780.1500000004</v>
      </c>
    </row>
    <row r="127" spans="1:15" ht="18.75" x14ac:dyDescent="0.3">
      <c r="A127" s="94">
        <v>48</v>
      </c>
      <c r="B127" s="92" t="s">
        <v>905</v>
      </c>
      <c r="C127" s="17">
        <v>938.37</v>
      </c>
      <c r="D127" s="18">
        <v>47</v>
      </c>
      <c r="E127" s="19">
        <v>1</v>
      </c>
      <c r="F127" s="44">
        <v>4539478.7399999993</v>
      </c>
    </row>
    <row r="128" spans="1:15" ht="18.75" x14ac:dyDescent="0.3">
      <c r="A128" s="94">
        <v>49</v>
      </c>
      <c r="B128" s="92" t="s">
        <v>880</v>
      </c>
      <c r="C128" s="17">
        <v>2587.6400000000003</v>
      </c>
      <c r="D128" s="18">
        <v>123</v>
      </c>
      <c r="E128" s="19">
        <v>2</v>
      </c>
      <c r="F128" s="44">
        <v>147928.20000000001</v>
      </c>
    </row>
    <row r="129" spans="1:6" ht="18.75" x14ac:dyDescent="0.3">
      <c r="A129" s="94">
        <v>50</v>
      </c>
      <c r="B129" s="92" t="s">
        <v>916</v>
      </c>
      <c r="C129" s="17">
        <v>676.3</v>
      </c>
      <c r="D129" s="18">
        <v>32</v>
      </c>
      <c r="E129" s="19">
        <v>1</v>
      </c>
      <c r="F129" s="44">
        <v>2352260.79</v>
      </c>
    </row>
    <row r="130" spans="1:6" ht="18.75" x14ac:dyDescent="0.3">
      <c r="A130" s="94">
        <v>51</v>
      </c>
      <c r="B130" s="92" t="s">
        <v>881</v>
      </c>
      <c r="C130" s="17">
        <v>5970.39</v>
      </c>
      <c r="D130" s="18">
        <v>236</v>
      </c>
      <c r="E130" s="19">
        <v>3</v>
      </c>
      <c r="F130" s="44">
        <v>2721719.48</v>
      </c>
    </row>
    <row r="131" spans="1:6" ht="18.75" x14ac:dyDescent="0.3">
      <c r="A131" s="94">
        <v>52</v>
      </c>
      <c r="B131" s="92" t="s">
        <v>906</v>
      </c>
      <c r="C131" s="17">
        <v>13232.08</v>
      </c>
      <c r="D131" s="18">
        <v>508</v>
      </c>
      <c r="E131" s="19">
        <v>4</v>
      </c>
      <c r="F131" s="44">
        <v>8302059.419999999</v>
      </c>
    </row>
    <row r="132" spans="1:6" ht="18.75" x14ac:dyDescent="0.3">
      <c r="A132" s="94">
        <v>53</v>
      </c>
      <c r="B132" s="92" t="s">
        <v>882</v>
      </c>
      <c r="C132" s="17">
        <v>24169.11</v>
      </c>
      <c r="D132" s="18">
        <v>990</v>
      </c>
      <c r="E132" s="19">
        <v>7</v>
      </c>
      <c r="F132" s="44">
        <v>26351691.239999998</v>
      </c>
    </row>
    <row r="133" spans="1:6" ht="18.75" x14ac:dyDescent="0.3">
      <c r="A133" s="94">
        <v>54</v>
      </c>
      <c r="B133" s="92" t="s">
        <v>883</v>
      </c>
      <c r="C133" s="17">
        <v>4721.28</v>
      </c>
      <c r="D133" s="18">
        <v>152</v>
      </c>
      <c r="E133" s="19">
        <v>3</v>
      </c>
      <c r="F133" s="44">
        <v>2052551.4100000001</v>
      </c>
    </row>
    <row r="134" spans="1:6" ht="18.75" x14ac:dyDescent="0.3">
      <c r="A134" s="94">
        <v>55</v>
      </c>
      <c r="B134" s="92" t="s">
        <v>885</v>
      </c>
      <c r="C134" s="17">
        <v>708.1</v>
      </c>
      <c r="D134" s="18">
        <v>42</v>
      </c>
      <c r="E134" s="19">
        <v>1</v>
      </c>
      <c r="F134" s="44">
        <v>3784795.35</v>
      </c>
    </row>
    <row r="135" spans="1:6" ht="18.75" x14ac:dyDescent="0.3">
      <c r="A135" s="94">
        <v>56</v>
      </c>
      <c r="B135" s="92" t="s">
        <v>907</v>
      </c>
      <c r="C135" s="17">
        <v>788.3</v>
      </c>
      <c r="D135" s="18">
        <v>16</v>
      </c>
      <c r="E135" s="19">
        <v>1</v>
      </c>
      <c r="F135" s="44">
        <v>3354785.3899999997</v>
      </c>
    </row>
    <row r="136" spans="1:6" ht="18.75" x14ac:dyDescent="0.3">
      <c r="A136" s="94">
        <v>57</v>
      </c>
      <c r="B136" s="92" t="s">
        <v>886</v>
      </c>
      <c r="C136" s="17">
        <v>758.5</v>
      </c>
      <c r="D136" s="18">
        <v>31</v>
      </c>
      <c r="E136" s="19">
        <v>1</v>
      </c>
      <c r="F136" s="44">
        <v>163805.13999999998</v>
      </c>
    </row>
    <row r="137" spans="1:6" ht="18.75" x14ac:dyDescent="0.3">
      <c r="A137" s="94">
        <v>58</v>
      </c>
      <c r="B137" s="92" t="s">
        <v>908</v>
      </c>
      <c r="C137" s="17">
        <v>707.1</v>
      </c>
      <c r="D137" s="18">
        <v>16</v>
      </c>
      <c r="E137" s="19">
        <v>1</v>
      </c>
      <c r="F137" s="44">
        <v>2903691.31</v>
      </c>
    </row>
    <row r="138" spans="1:6" ht="18.75" x14ac:dyDescent="0.3">
      <c r="A138" s="94">
        <v>59</v>
      </c>
      <c r="B138" s="92" t="s">
        <v>887</v>
      </c>
      <c r="C138" s="17">
        <v>4001.3</v>
      </c>
      <c r="D138" s="18">
        <v>145</v>
      </c>
      <c r="E138" s="19">
        <v>5</v>
      </c>
      <c r="F138" s="44">
        <v>5215743.3599999994</v>
      </c>
    </row>
    <row r="139" spans="1:6" ht="18.75" x14ac:dyDescent="0.3">
      <c r="A139" s="94">
        <v>60</v>
      </c>
      <c r="B139" s="92" t="s">
        <v>888</v>
      </c>
      <c r="C139" s="17">
        <v>1492</v>
      </c>
      <c r="D139" s="18">
        <v>70</v>
      </c>
      <c r="E139" s="19">
        <v>1</v>
      </c>
      <c r="F139" s="44">
        <v>68452.92</v>
      </c>
    </row>
    <row r="140" spans="1:6" ht="18.75" x14ac:dyDescent="0.3">
      <c r="A140" s="94">
        <v>61</v>
      </c>
      <c r="B140" s="92" t="s">
        <v>909</v>
      </c>
      <c r="C140" s="17">
        <v>834.7</v>
      </c>
      <c r="D140" s="18">
        <v>56</v>
      </c>
      <c r="E140" s="19">
        <v>1</v>
      </c>
      <c r="F140" s="44">
        <v>3897762.39</v>
      </c>
    </row>
    <row r="141" spans="1:6" ht="18.75" x14ac:dyDescent="0.3">
      <c r="A141" s="94">
        <v>62</v>
      </c>
      <c r="B141" s="92" t="s">
        <v>889</v>
      </c>
      <c r="C141" s="17">
        <v>350.9</v>
      </c>
      <c r="D141" s="18">
        <v>18</v>
      </c>
      <c r="E141" s="19">
        <v>1</v>
      </c>
      <c r="F141" s="44">
        <v>2331009.67</v>
      </c>
    </row>
    <row r="142" spans="1:6" ht="18.75" x14ac:dyDescent="0.3">
      <c r="A142" s="94">
        <v>63</v>
      </c>
      <c r="B142" s="92" t="s">
        <v>891</v>
      </c>
      <c r="C142" s="17">
        <v>6192.18</v>
      </c>
      <c r="D142" s="18">
        <v>315</v>
      </c>
      <c r="E142" s="19">
        <v>6</v>
      </c>
      <c r="F142" s="44">
        <v>6143252.4500000002</v>
      </c>
    </row>
    <row r="143" spans="1:6" ht="18.75" x14ac:dyDescent="0.3">
      <c r="A143" s="94">
        <v>64</v>
      </c>
      <c r="B143" s="92" t="s">
        <v>892</v>
      </c>
      <c r="C143" s="17">
        <v>1971.3</v>
      </c>
      <c r="D143" s="18">
        <v>85</v>
      </c>
      <c r="E143" s="19">
        <v>3</v>
      </c>
      <c r="F143" s="44">
        <v>3501111.27</v>
      </c>
    </row>
    <row r="144" spans="1:6" ht="18.75" x14ac:dyDescent="0.3">
      <c r="A144" s="94">
        <v>65</v>
      </c>
      <c r="B144" s="92" t="s">
        <v>910</v>
      </c>
      <c r="C144" s="17">
        <v>791.9</v>
      </c>
      <c r="D144" s="18">
        <v>27</v>
      </c>
      <c r="E144" s="19">
        <v>1</v>
      </c>
      <c r="F144" s="44">
        <v>2772593.48</v>
      </c>
    </row>
    <row r="145" spans="1:6" ht="18.75" x14ac:dyDescent="0.3">
      <c r="A145" s="94">
        <v>66</v>
      </c>
      <c r="B145" s="92" t="s">
        <v>917</v>
      </c>
      <c r="C145" s="17">
        <v>212.1</v>
      </c>
      <c r="D145" s="18">
        <v>7</v>
      </c>
      <c r="E145" s="19">
        <v>1</v>
      </c>
      <c r="F145" s="44">
        <v>47652.14</v>
      </c>
    </row>
    <row r="146" spans="1:6" ht="18.75" x14ac:dyDescent="0.3">
      <c r="A146" s="92" t="s">
        <v>705</v>
      </c>
      <c r="B146" s="95"/>
      <c r="C146" s="17">
        <f>SUM(C147:C211)</f>
        <v>1109627.17</v>
      </c>
      <c r="D146" s="18">
        <f>SUM(D147:D211)</f>
        <v>41842</v>
      </c>
      <c r="E146" s="19">
        <f>SUM(E147:E211)</f>
        <v>367</v>
      </c>
      <c r="F146" s="17">
        <f>SUM(F147:F211)</f>
        <v>1849135283.1183746</v>
      </c>
    </row>
    <row r="147" spans="1:6" ht="18.75" x14ac:dyDescent="0.3">
      <c r="A147" s="94">
        <v>1</v>
      </c>
      <c r="B147" s="92" t="s">
        <v>930</v>
      </c>
      <c r="C147" s="17">
        <v>297958</v>
      </c>
      <c r="D147" s="18">
        <v>11897</v>
      </c>
      <c r="E147" s="19">
        <v>79</v>
      </c>
      <c r="F147" s="44">
        <v>408360563.59999985</v>
      </c>
    </row>
    <row r="148" spans="1:6" ht="18.75" x14ac:dyDescent="0.3">
      <c r="A148" s="94">
        <v>2</v>
      </c>
      <c r="B148" s="92" t="s">
        <v>837</v>
      </c>
      <c r="C148" s="17">
        <v>27980.399999999998</v>
      </c>
      <c r="D148" s="18">
        <v>1352</v>
      </c>
      <c r="E148" s="19">
        <v>20</v>
      </c>
      <c r="F148" s="44">
        <v>65786031.790000014</v>
      </c>
    </row>
    <row r="149" spans="1:6" ht="18.75" x14ac:dyDescent="0.3">
      <c r="A149" s="94">
        <v>3</v>
      </c>
      <c r="B149" s="92" t="s">
        <v>838</v>
      </c>
      <c r="C149" s="17">
        <v>164369.99000000002</v>
      </c>
      <c r="D149" s="18">
        <v>6132</v>
      </c>
      <c r="E149" s="19">
        <v>48</v>
      </c>
      <c r="F149" s="44">
        <v>211099083.16000006</v>
      </c>
    </row>
    <row r="150" spans="1:6" ht="18.75" x14ac:dyDescent="0.3">
      <c r="A150" s="94">
        <v>4</v>
      </c>
      <c r="B150" s="96" t="s">
        <v>839</v>
      </c>
      <c r="C150" s="17">
        <v>179393.89</v>
      </c>
      <c r="D150" s="18">
        <v>6032</v>
      </c>
      <c r="E150" s="19">
        <v>36</v>
      </c>
      <c r="F150" s="44">
        <v>240294268.03000003</v>
      </c>
    </row>
    <row r="151" spans="1:6" ht="18.75" x14ac:dyDescent="0.3">
      <c r="A151" s="94">
        <v>5</v>
      </c>
      <c r="B151" s="92" t="s">
        <v>840</v>
      </c>
      <c r="C151" s="17">
        <v>86541.39999999998</v>
      </c>
      <c r="D151" s="18">
        <v>3458</v>
      </c>
      <c r="E151" s="19">
        <v>11</v>
      </c>
      <c r="F151" s="44">
        <v>156774054.77999997</v>
      </c>
    </row>
    <row r="152" spans="1:6" ht="18.75" x14ac:dyDescent="0.3">
      <c r="A152" s="94">
        <v>6</v>
      </c>
      <c r="B152" s="92" t="s">
        <v>841</v>
      </c>
      <c r="C152" s="17">
        <v>90165.8</v>
      </c>
      <c r="D152" s="18">
        <v>3091</v>
      </c>
      <c r="E152" s="19">
        <v>20</v>
      </c>
      <c r="F152" s="44">
        <v>91127881.199999988</v>
      </c>
    </row>
    <row r="153" spans="1:6" ht="18.75" x14ac:dyDescent="0.3">
      <c r="A153" s="94">
        <v>7</v>
      </c>
      <c r="B153" s="92" t="s">
        <v>842</v>
      </c>
      <c r="C153" s="17">
        <v>16514</v>
      </c>
      <c r="D153" s="18">
        <v>438</v>
      </c>
      <c r="E153" s="19">
        <v>5</v>
      </c>
      <c r="F153" s="44">
        <v>15279394.32</v>
      </c>
    </row>
    <row r="154" spans="1:6" ht="18.75" x14ac:dyDescent="0.3">
      <c r="A154" s="94">
        <v>8</v>
      </c>
      <c r="B154" s="92" t="s">
        <v>843</v>
      </c>
      <c r="C154" s="17">
        <v>18138.79</v>
      </c>
      <c r="D154" s="18">
        <v>628</v>
      </c>
      <c r="E154" s="19">
        <v>6</v>
      </c>
      <c r="F154" s="44">
        <v>23633693.809999999</v>
      </c>
    </row>
    <row r="155" spans="1:6" ht="18.75" x14ac:dyDescent="0.3">
      <c r="A155" s="94">
        <v>9</v>
      </c>
      <c r="B155" s="92" t="s">
        <v>844</v>
      </c>
      <c r="C155" s="17">
        <v>7799.16</v>
      </c>
      <c r="D155" s="18">
        <v>252</v>
      </c>
      <c r="E155" s="19">
        <v>3</v>
      </c>
      <c r="F155" s="44">
        <v>4843377.25</v>
      </c>
    </row>
    <row r="156" spans="1:6" ht="18.75" x14ac:dyDescent="0.3">
      <c r="A156" s="94">
        <v>10</v>
      </c>
      <c r="B156" s="92" t="s">
        <v>845</v>
      </c>
      <c r="C156" s="17">
        <v>783.5</v>
      </c>
      <c r="D156" s="18">
        <v>35</v>
      </c>
      <c r="E156" s="19">
        <v>1</v>
      </c>
      <c r="F156" s="44">
        <v>323625.23</v>
      </c>
    </row>
    <row r="157" spans="1:6" ht="18.75" x14ac:dyDescent="0.3">
      <c r="A157" s="94">
        <v>11</v>
      </c>
      <c r="B157" s="92" t="s">
        <v>847</v>
      </c>
      <c r="C157" s="17">
        <v>2397.8000000000002</v>
      </c>
      <c r="D157" s="18">
        <v>94</v>
      </c>
      <c r="E157" s="19">
        <v>3</v>
      </c>
      <c r="F157" s="44">
        <v>10155116.859999999</v>
      </c>
    </row>
    <row r="158" spans="1:6" ht="18.75" x14ac:dyDescent="0.3">
      <c r="A158" s="94">
        <v>12</v>
      </c>
      <c r="B158" s="92" t="s">
        <v>848</v>
      </c>
      <c r="C158" s="17">
        <v>1139.0999999999999</v>
      </c>
      <c r="D158" s="18">
        <v>56</v>
      </c>
      <c r="E158" s="19">
        <v>2</v>
      </c>
      <c r="F158" s="44">
        <v>8088613.6699999999</v>
      </c>
    </row>
    <row r="159" spans="1:6" ht="18.75" x14ac:dyDescent="0.3">
      <c r="A159" s="94">
        <v>13</v>
      </c>
      <c r="B159" s="92" t="s">
        <v>849</v>
      </c>
      <c r="C159" s="17">
        <v>7253.2</v>
      </c>
      <c r="D159" s="18">
        <v>309</v>
      </c>
      <c r="E159" s="19">
        <v>2</v>
      </c>
      <c r="F159" s="44">
        <v>10343227.370000001</v>
      </c>
    </row>
    <row r="160" spans="1:6" ht="18.75" x14ac:dyDescent="0.3">
      <c r="A160" s="94">
        <v>14</v>
      </c>
      <c r="B160" s="92" t="s">
        <v>850</v>
      </c>
      <c r="C160" s="17">
        <v>24685.600000000002</v>
      </c>
      <c r="D160" s="18">
        <v>1039</v>
      </c>
      <c r="E160" s="19">
        <v>12</v>
      </c>
      <c r="F160" s="44">
        <v>66278905.200000003</v>
      </c>
    </row>
    <row r="161" spans="1:6" ht="18.75" x14ac:dyDescent="0.3">
      <c r="A161" s="94">
        <v>15</v>
      </c>
      <c r="B161" s="92" t="s">
        <v>846</v>
      </c>
      <c r="C161" s="17">
        <v>1070.8</v>
      </c>
      <c r="D161" s="18">
        <v>57</v>
      </c>
      <c r="E161" s="19">
        <v>1</v>
      </c>
      <c r="F161" s="44">
        <v>92390.85</v>
      </c>
    </row>
    <row r="162" spans="1:6" ht="18.75" x14ac:dyDescent="0.3">
      <c r="A162" s="94">
        <v>16</v>
      </c>
      <c r="B162" s="92" t="s">
        <v>851</v>
      </c>
      <c r="C162" s="17">
        <v>7710.2999999999993</v>
      </c>
      <c r="D162" s="18">
        <v>328</v>
      </c>
      <c r="E162" s="19">
        <v>5</v>
      </c>
      <c r="F162" s="44">
        <v>22883458.140000001</v>
      </c>
    </row>
    <row r="163" spans="1:6" ht="18.75" x14ac:dyDescent="0.3">
      <c r="A163" s="94">
        <v>17</v>
      </c>
      <c r="B163" s="92" t="s">
        <v>852</v>
      </c>
      <c r="C163" s="17">
        <v>780.8</v>
      </c>
      <c r="D163" s="18">
        <v>38</v>
      </c>
      <c r="E163" s="19">
        <v>2</v>
      </c>
      <c r="F163" s="44">
        <v>4515124.67</v>
      </c>
    </row>
    <row r="164" spans="1:6" ht="18.75" x14ac:dyDescent="0.3">
      <c r="A164" s="94">
        <v>18</v>
      </c>
      <c r="B164" s="92" t="s">
        <v>853</v>
      </c>
      <c r="C164" s="17">
        <v>2825.4</v>
      </c>
      <c r="D164" s="18">
        <v>104</v>
      </c>
      <c r="E164" s="19">
        <v>3</v>
      </c>
      <c r="F164" s="44">
        <v>10739170.039999999</v>
      </c>
    </row>
    <row r="165" spans="1:6" ht="18.75" x14ac:dyDescent="0.3">
      <c r="A165" s="94">
        <v>19</v>
      </c>
      <c r="B165" s="92" t="s">
        <v>895</v>
      </c>
      <c r="C165" s="17">
        <v>924.3</v>
      </c>
      <c r="D165" s="18">
        <v>22</v>
      </c>
      <c r="E165" s="19">
        <v>1</v>
      </c>
      <c r="F165" s="44">
        <v>3187631.38</v>
      </c>
    </row>
    <row r="166" spans="1:6" ht="18.75" x14ac:dyDescent="0.3">
      <c r="A166" s="94">
        <v>20</v>
      </c>
      <c r="B166" s="92" t="s">
        <v>854</v>
      </c>
      <c r="C166" s="17">
        <v>594.20000000000005</v>
      </c>
      <c r="D166" s="18">
        <v>21</v>
      </c>
      <c r="E166" s="19">
        <v>1</v>
      </c>
      <c r="F166" s="44">
        <v>3606627.71</v>
      </c>
    </row>
    <row r="167" spans="1:6" ht="18.75" x14ac:dyDescent="0.3">
      <c r="A167" s="94">
        <v>21</v>
      </c>
      <c r="B167" s="92" t="s">
        <v>911</v>
      </c>
      <c r="C167" s="17">
        <v>467.8</v>
      </c>
      <c r="D167" s="18">
        <v>24</v>
      </c>
      <c r="E167" s="19">
        <v>1</v>
      </c>
      <c r="F167" s="44">
        <v>2589358</v>
      </c>
    </row>
    <row r="168" spans="1:6" ht="18.75" x14ac:dyDescent="0.3">
      <c r="A168" s="94">
        <v>22</v>
      </c>
      <c r="B168" s="92" t="s">
        <v>2306</v>
      </c>
      <c r="C168" s="17">
        <v>886.1</v>
      </c>
      <c r="D168" s="18">
        <v>26</v>
      </c>
      <c r="E168" s="19">
        <v>1</v>
      </c>
      <c r="F168" s="44">
        <v>4205955.12</v>
      </c>
    </row>
    <row r="169" spans="1:6" ht="18.75" x14ac:dyDescent="0.3">
      <c r="A169" s="94">
        <v>23</v>
      </c>
      <c r="B169" s="92" t="s">
        <v>855</v>
      </c>
      <c r="C169" s="17">
        <v>1532.1</v>
      </c>
      <c r="D169" s="18">
        <v>39</v>
      </c>
      <c r="E169" s="19">
        <v>2</v>
      </c>
      <c r="F169" s="44">
        <v>128495.95999999999</v>
      </c>
    </row>
    <row r="170" spans="1:6" ht="18.75" x14ac:dyDescent="0.3">
      <c r="A170" s="94">
        <v>24</v>
      </c>
      <c r="B170" s="92" t="s">
        <v>856</v>
      </c>
      <c r="C170" s="17">
        <v>10992.95</v>
      </c>
      <c r="D170" s="18">
        <v>347</v>
      </c>
      <c r="E170" s="19">
        <v>4</v>
      </c>
      <c r="F170" s="44">
        <v>24901406.080000002</v>
      </c>
    </row>
    <row r="171" spans="1:6" ht="18.75" x14ac:dyDescent="0.3">
      <c r="A171" s="94">
        <v>25</v>
      </c>
      <c r="B171" s="92" t="s">
        <v>857</v>
      </c>
      <c r="C171" s="17">
        <v>1619.7</v>
      </c>
      <c r="D171" s="18">
        <v>54</v>
      </c>
      <c r="E171" s="19">
        <v>2</v>
      </c>
      <c r="F171" s="44">
        <v>10485759.58</v>
      </c>
    </row>
    <row r="172" spans="1:6" ht="18.75" x14ac:dyDescent="0.3">
      <c r="A172" s="94">
        <v>26</v>
      </c>
      <c r="B172" s="92" t="s">
        <v>898</v>
      </c>
      <c r="C172" s="17">
        <v>7109.9</v>
      </c>
      <c r="D172" s="18">
        <v>209</v>
      </c>
      <c r="E172" s="19">
        <v>3</v>
      </c>
      <c r="F172" s="44">
        <v>7120721.04</v>
      </c>
    </row>
    <row r="173" spans="1:6" ht="18.75" x14ac:dyDescent="0.3">
      <c r="A173" s="94">
        <v>27</v>
      </c>
      <c r="B173" s="92" t="s">
        <v>858</v>
      </c>
      <c r="C173" s="17">
        <v>1513.8</v>
      </c>
      <c r="D173" s="18">
        <v>58</v>
      </c>
      <c r="E173" s="19">
        <v>2</v>
      </c>
      <c r="F173" s="44">
        <v>9997953.2300000004</v>
      </c>
    </row>
    <row r="174" spans="1:6" ht="18.75" x14ac:dyDescent="0.3">
      <c r="A174" s="94">
        <v>28</v>
      </c>
      <c r="B174" s="92" t="s">
        <v>1474</v>
      </c>
      <c r="C174" s="17">
        <v>833.7</v>
      </c>
      <c r="D174" s="18">
        <v>33</v>
      </c>
      <c r="E174" s="19">
        <v>1</v>
      </c>
      <c r="F174" s="44">
        <v>5407057.6483750008</v>
      </c>
    </row>
    <row r="175" spans="1:6" ht="18.75" x14ac:dyDescent="0.3">
      <c r="A175" s="94">
        <v>29</v>
      </c>
      <c r="B175" s="92" t="s">
        <v>859</v>
      </c>
      <c r="C175" s="17">
        <v>569.20000000000005</v>
      </c>
      <c r="D175" s="18">
        <v>29</v>
      </c>
      <c r="E175" s="19">
        <v>1</v>
      </c>
      <c r="F175" s="44">
        <v>4936038.4099999992</v>
      </c>
    </row>
    <row r="176" spans="1:6" ht="18.75" x14ac:dyDescent="0.3">
      <c r="A176" s="94">
        <v>30</v>
      </c>
      <c r="B176" s="92" t="s">
        <v>914</v>
      </c>
      <c r="C176" s="17">
        <v>1298.4099999999999</v>
      </c>
      <c r="D176" s="18">
        <v>85</v>
      </c>
      <c r="E176" s="19">
        <v>2</v>
      </c>
      <c r="F176" s="44">
        <v>4599239.16</v>
      </c>
    </row>
    <row r="177" spans="1:6" ht="18.75" x14ac:dyDescent="0.3">
      <c r="A177" s="94">
        <v>31</v>
      </c>
      <c r="B177" s="92" t="s">
        <v>860</v>
      </c>
      <c r="C177" s="17">
        <v>41927.1</v>
      </c>
      <c r="D177" s="18">
        <v>1657</v>
      </c>
      <c r="E177" s="19">
        <v>15</v>
      </c>
      <c r="F177" s="44">
        <v>92252648.390000015</v>
      </c>
    </row>
    <row r="178" spans="1:6" ht="18.75" x14ac:dyDescent="0.3">
      <c r="A178" s="94">
        <v>32</v>
      </c>
      <c r="B178" s="92" t="s">
        <v>913</v>
      </c>
      <c r="C178" s="17">
        <v>460</v>
      </c>
      <c r="D178" s="18">
        <v>17</v>
      </c>
      <c r="E178" s="19">
        <v>1</v>
      </c>
      <c r="F178" s="44">
        <v>69723.88</v>
      </c>
    </row>
    <row r="179" spans="1:6" ht="18.75" x14ac:dyDescent="0.3">
      <c r="A179" s="94">
        <v>33</v>
      </c>
      <c r="B179" s="92" t="s">
        <v>861</v>
      </c>
      <c r="C179" s="17">
        <v>1355.2</v>
      </c>
      <c r="D179" s="18">
        <v>78</v>
      </c>
      <c r="E179" s="19">
        <v>2</v>
      </c>
      <c r="F179" s="44">
        <v>5930127.7200000007</v>
      </c>
    </row>
    <row r="180" spans="1:6" ht="18.75" x14ac:dyDescent="0.3">
      <c r="A180" s="94">
        <v>34</v>
      </c>
      <c r="B180" s="92" t="s">
        <v>862</v>
      </c>
      <c r="C180" s="17">
        <v>380.8</v>
      </c>
      <c r="D180" s="18">
        <v>21</v>
      </c>
      <c r="E180" s="19">
        <v>1</v>
      </c>
      <c r="F180" s="44">
        <v>63011.21</v>
      </c>
    </row>
    <row r="181" spans="1:6" ht="18.75" x14ac:dyDescent="0.3">
      <c r="A181" s="94">
        <v>35</v>
      </c>
      <c r="B181" s="92" t="s">
        <v>863</v>
      </c>
      <c r="C181" s="17">
        <v>1555.6</v>
      </c>
      <c r="D181" s="18">
        <v>81</v>
      </c>
      <c r="E181" s="19">
        <v>4</v>
      </c>
      <c r="F181" s="44">
        <v>5519889.7699999996</v>
      </c>
    </row>
    <row r="182" spans="1:6" ht="18.75" x14ac:dyDescent="0.3">
      <c r="A182" s="94">
        <v>36</v>
      </c>
      <c r="B182" s="92" t="s">
        <v>864</v>
      </c>
      <c r="C182" s="17">
        <v>791.5</v>
      </c>
      <c r="D182" s="18">
        <v>42</v>
      </c>
      <c r="E182" s="19">
        <v>1</v>
      </c>
      <c r="F182" s="44">
        <v>4951746.71</v>
      </c>
    </row>
    <row r="183" spans="1:6" ht="18.75" x14ac:dyDescent="0.3">
      <c r="A183" s="94">
        <v>37</v>
      </c>
      <c r="B183" s="92" t="s">
        <v>865</v>
      </c>
      <c r="C183" s="17">
        <v>7351.1</v>
      </c>
      <c r="D183" s="18">
        <v>313</v>
      </c>
      <c r="E183" s="19">
        <v>6</v>
      </c>
      <c r="F183" s="44">
        <v>55283563.039999999</v>
      </c>
    </row>
    <row r="184" spans="1:6" ht="18.75" x14ac:dyDescent="0.3">
      <c r="A184" s="94">
        <v>38</v>
      </c>
      <c r="B184" s="92" t="s">
        <v>866</v>
      </c>
      <c r="C184" s="17">
        <v>609</v>
      </c>
      <c r="D184" s="18">
        <v>32</v>
      </c>
      <c r="E184" s="19">
        <v>1</v>
      </c>
      <c r="F184" s="44">
        <v>5382331.3300000001</v>
      </c>
    </row>
    <row r="185" spans="1:6" ht="18.75" x14ac:dyDescent="0.3">
      <c r="A185" s="94">
        <v>39</v>
      </c>
      <c r="B185" s="92" t="s">
        <v>867</v>
      </c>
      <c r="C185" s="17">
        <v>616.20000000000005</v>
      </c>
      <c r="D185" s="18">
        <v>21</v>
      </c>
      <c r="E185" s="19">
        <v>1</v>
      </c>
      <c r="F185" s="44">
        <v>4171786.63</v>
      </c>
    </row>
    <row r="186" spans="1:6" ht="18.75" x14ac:dyDescent="0.3">
      <c r="A186" s="94">
        <v>40</v>
      </c>
      <c r="B186" s="92" t="s">
        <v>868</v>
      </c>
      <c r="C186" s="17">
        <v>3449.3</v>
      </c>
      <c r="D186" s="18">
        <v>98</v>
      </c>
      <c r="E186" s="19">
        <v>3</v>
      </c>
      <c r="F186" s="44">
        <v>8833581.9100000001</v>
      </c>
    </row>
    <row r="187" spans="1:6" ht="18.75" x14ac:dyDescent="0.3">
      <c r="A187" s="94">
        <v>41</v>
      </c>
      <c r="B187" s="92" t="s">
        <v>869</v>
      </c>
      <c r="C187" s="17">
        <v>976.3</v>
      </c>
      <c r="D187" s="18">
        <v>36</v>
      </c>
      <c r="E187" s="19">
        <v>1</v>
      </c>
      <c r="F187" s="44">
        <v>73606.8</v>
      </c>
    </row>
    <row r="188" spans="1:6" ht="18.75" x14ac:dyDescent="0.3">
      <c r="A188" s="94">
        <v>42</v>
      </c>
      <c r="B188" s="92" t="s">
        <v>870</v>
      </c>
      <c r="C188" s="17">
        <v>781.7</v>
      </c>
      <c r="D188" s="18">
        <v>40</v>
      </c>
      <c r="E188" s="19">
        <v>1</v>
      </c>
      <c r="F188" s="44">
        <v>5356928.37</v>
      </c>
    </row>
    <row r="189" spans="1:6" ht="18.75" x14ac:dyDescent="0.3">
      <c r="A189" s="94">
        <v>43</v>
      </c>
      <c r="B189" s="92" t="s">
        <v>871</v>
      </c>
      <c r="C189" s="17">
        <v>1015.6</v>
      </c>
      <c r="D189" s="18">
        <v>45</v>
      </c>
      <c r="E189" s="19">
        <v>1</v>
      </c>
      <c r="F189" s="44">
        <v>6410579.2999999998</v>
      </c>
    </row>
    <row r="190" spans="1:6" ht="18.75" x14ac:dyDescent="0.3">
      <c r="A190" s="94">
        <v>44</v>
      </c>
      <c r="B190" s="92" t="s">
        <v>872</v>
      </c>
      <c r="C190" s="17">
        <v>9749.8000000000011</v>
      </c>
      <c r="D190" s="18">
        <v>446</v>
      </c>
      <c r="E190" s="19">
        <v>3</v>
      </c>
      <c r="F190" s="44">
        <v>15713847.800000001</v>
      </c>
    </row>
    <row r="191" spans="1:6" ht="18.75" x14ac:dyDescent="0.3">
      <c r="A191" s="94">
        <v>45</v>
      </c>
      <c r="B191" s="92" t="s">
        <v>873</v>
      </c>
      <c r="C191" s="17">
        <v>8057.7699999999995</v>
      </c>
      <c r="D191" s="18">
        <v>256</v>
      </c>
      <c r="E191" s="19">
        <v>2</v>
      </c>
      <c r="F191" s="44">
        <v>20129505.800000001</v>
      </c>
    </row>
    <row r="192" spans="1:6" ht="18.75" x14ac:dyDescent="0.3">
      <c r="A192" s="94">
        <v>46</v>
      </c>
      <c r="B192" s="92" t="s">
        <v>874</v>
      </c>
      <c r="C192" s="17">
        <v>780.3</v>
      </c>
      <c r="D192" s="18">
        <v>40</v>
      </c>
      <c r="E192" s="19">
        <v>1</v>
      </c>
      <c r="F192" s="44">
        <v>97949.35</v>
      </c>
    </row>
    <row r="193" spans="1:6" ht="18.75" x14ac:dyDescent="0.3">
      <c r="A193" s="94">
        <v>47</v>
      </c>
      <c r="B193" s="92" t="s">
        <v>903</v>
      </c>
      <c r="C193" s="17">
        <v>822.2</v>
      </c>
      <c r="D193" s="18">
        <v>36</v>
      </c>
      <c r="E193" s="19">
        <v>1</v>
      </c>
      <c r="F193" s="44">
        <v>4419668.6100000003</v>
      </c>
    </row>
    <row r="194" spans="1:6" ht="18.75" x14ac:dyDescent="0.3">
      <c r="A194" s="94">
        <v>48</v>
      </c>
      <c r="B194" s="92" t="s">
        <v>876</v>
      </c>
      <c r="C194" s="17">
        <v>3249.5</v>
      </c>
      <c r="D194" s="18">
        <v>168</v>
      </c>
      <c r="E194" s="19">
        <v>4</v>
      </c>
      <c r="F194" s="44">
        <v>21711068.34</v>
      </c>
    </row>
    <row r="195" spans="1:6" ht="18.75" x14ac:dyDescent="0.3">
      <c r="A195" s="94">
        <v>49</v>
      </c>
      <c r="B195" s="92" t="s">
        <v>877</v>
      </c>
      <c r="C195" s="17">
        <v>13125.2</v>
      </c>
      <c r="D195" s="18">
        <v>362</v>
      </c>
      <c r="E195" s="19">
        <v>2</v>
      </c>
      <c r="F195" s="44">
        <v>10299372.709999999</v>
      </c>
    </row>
    <row r="196" spans="1:6" ht="18.75" x14ac:dyDescent="0.3">
      <c r="A196" s="94">
        <v>50</v>
      </c>
      <c r="B196" s="92" t="s">
        <v>878</v>
      </c>
      <c r="C196" s="17">
        <v>1046.8</v>
      </c>
      <c r="D196" s="18">
        <v>44</v>
      </c>
      <c r="E196" s="19">
        <v>1</v>
      </c>
      <c r="F196" s="44">
        <v>6289893.4800000004</v>
      </c>
    </row>
    <row r="197" spans="1:6" ht="18.75" x14ac:dyDescent="0.3">
      <c r="A197" s="94">
        <v>51</v>
      </c>
      <c r="B197" s="92" t="s">
        <v>904</v>
      </c>
      <c r="C197" s="17">
        <v>545.34</v>
      </c>
      <c r="D197" s="18">
        <v>21</v>
      </c>
      <c r="E197" s="19">
        <v>1</v>
      </c>
      <c r="F197" s="44">
        <v>1969154.2</v>
      </c>
    </row>
    <row r="198" spans="1:6" ht="18.75" x14ac:dyDescent="0.3">
      <c r="A198" s="94">
        <v>52</v>
      </c>
      <c r="B198" s="92" t="s">
        <v>880</v>
      </c>
      <c r="C198" s="17">
        <v>4008.84</v>
      </c>
      <c r="D198" s="18">
        <v>170</v>
      </c>
      <c r="E198" s="19">
        <v>3</v>
      </c>
      <c r="F198" s="44">
        <v>7685799.1900000004</v>
      </c>
    </row>
    <row r="199" spans="1:6" ht="18.75" x14ac:dyDescent="0.3">
      <c r="A199" s="94">
        <v>53</v>
      </c>
      <c r="B199" s="92" t="s">
        <v>881</v>
      </c>
      <c r="C199" s="17">
        <v>5259.2</v>
      </c>
      <c r="D199" s="18">
        <v>221</v>
      </c>
      <c r="E199" s="19">
        <v>4</v>
      </c>
      <c r="F199" s="44">
        <v>11392883.550000001</v>
      </c>
    </row>
    <row r="200" spans="1:6" ht="18.75" x14ac:dyDescent="0.3">
      <c r="A200" s="94">
        <v>54</v>
      </c>
      <c r="B200" s="92" t="s">
        <v>906</v>
      </c>
      <c r="C200" s="17">
        <v>11310.84</v>
      </c>
      <c r="D200" s="18">
        <v>387</v>
      </c>
      <c r="E200" s="19">
        <v>3</v>
      </c>
      <c r="F200" s="44">
        <v>16786703.300000001</v>
      </c>
    </row>
    <row r="201" spans="1:6" ht="18.75" x14ac:dyDescent="0.3">
      <c r="A201" s="94">
        <v>55</v>
      </c>
      <c r="B201" s="92" t="s">
        <v>882</v>
      </c>
      <c r="C201" s="17">
        <v>1000.38</v>
      </c>
      <c r="D201" s="18">
        <v>53</v>
      </c>
      <c r="E201" s="19">
        <v>2</v>
      </c>
      <c r="F201" s="44">
        <v>8615110.0099999998</v>
      </c>
    </row>
    <row r="202" spans="1:6" ht="18.75" x14ac:dyDescent="0.3">
      <c r="A202" s="94">
        <v>56</v>
      </c>
      <c r="B202" s="92" t="s">
        <v>883</v>
      </c>
      <c r="C202" s="17">
        <v>5101.2</v>
      </c>
      <c r="D202" s="18">
        <v>130</v>
      </c>
      <c r="E202" s="19">
        <v>2</v>
      </c>
      <c r="F202" s="44">
        <v>8079201.3499999996</v>
      </c>
    </row>
    <row r="203" spans="1:6" ht="18.75" x14ac:dyDescent="0.3">
      <c r="A203" s="94">
        <v>57</v>
      </c>
      <c r="B203" s="92" t="s">
        <v>884</v>
      </c>
      <c r="C203" s="17">
        <v>783.81</v>
      </c>
      <c r="D203" s="18">
        <v>16</v>
      </c>
      <c r="E203" s="19">
        <v>1</v>
      </c>
      <c r="F203" s="44">
        <v>5421765.7599999998</v>
      </c>
    </row>
    <row r="204" spans="1:6" ht="18.75" x14ac:dyDescent="0.3">
      <c r="A204" s="94">
        <v>58</v>
      </c>
      <c r="B204" s="92" t="s">
        <v>885</v>
      </c>
      <c r="C204" s="17">
        <v>680.2</v>
      </c>
      <c r="D204" s="18">
        <v>33</v>
      </c>
      <c r="E204" s="19">
        <v>1</v>
      </c>
      <c r="F204" s="44">
        <v>4541696.47</v>
      </c>
    </row>
    <row r="205" spans="1:6" ht="18.75" x14ac:dyDescent="0.3">
      <c r="A205" s="94">
        <v>59</v>
      </c>
      <c r="B205" s="92" t="s">
        <v>886</v>
      </c>
      <c r="C205" s="17">
        <v>646.4</v>
      </c>
      <c r="D205" s="18">
        <v>15</v>
      </c>
      <c r="E205" s="19">
        <v>2</v>
      </c>
      <c r="F205" s="44">
        <v>4488379.8199999994</v>
      </c>
    </row>
    <row r="206" spans="1:6" ht="18.75" x14ac:dyDescent="0.3">
      <c r="A206" s="94">
        <v>60</v>
      </c>
      <c r="B206" s="92" t="s">
        <v>887</v>
      </c>
      <c r="C206" s="17">
        <v>2387</v>
      </c>
      <c r="D206" s="18">
        <v>96</v>
      </c>
      <c r="E206" s="19">
        <v>4</v>
      </c>
      <c r="F206" s="44">
        <v>11422652.180000002</v>
      </c>
    </row>
    <row r="207" spans="1:6" ht="18.75" x14ac:dyDescent="0.3">
      <c r="A207" s="94">
        <v>61</v>
      </c>
      <c r="B207" s="92" t="s">
        <v>888</v>
      </c>
      <c r="C207" s="17">
        <v>2925.5</v>
      </c>
      <c r="D207" s="18">
        <v>127</v>
      </c>
      <c r="E207" s="19">
        <v>3</v>
      </c>
      <c r="F207" s="44">
        <v>12049556.799999999</v>
      </c>
    </row>
    <row r="208" spans="1:6" ht="18.75" x14ac:dyDescent="0.3">
      <c r="A208" s="94">
        <v>62</v>
      </c>
      <c r="B208" s="92" t="s">
        <v>889</v>
      </c>
      <c r="C208" s="17">
        <v>1047.5</v>
      </c>
      <c r="D208" s="18">
        <v>55</v>
      </c>
      <c r="E208" s="19">
        <v>1</v>
      </c>
      <c r="F208" s="44">
        <v>6123513.2999999998</v>
      </c>
    </row>
    <row r="209" spans="1:11" ht="18.75" x14ac:dyDescent="0.3">
      <c r="A209" s="94">
        <v>63</v>
      </c>
      <c r="B209" s="92" t="s">
        <v>890</v>
      </c>
      <c r="C209" s="17">
        <v>626</v>
      </c>
      <c r="D209" s="18">
        <v>31</v>
      </c>
      <c r="E209" s="19">
        <v>1</v>
      </c>
      <c r="F209" s="44">
        <v>5301825.74</v>
      </c>
    </row>
    <row r="210" spans="1:11" ht="18.75" x14ac:dyDescent="0.3">
      <c r="A210" s="94">
        <v>64</v>
      </c>
      <c r="B210" s="92" t="s">
        <v>891</v>
      </c>
      <c r="C210" s="17">
        <v>7563.4</v>
      </c>
      <c r="D210" s="18">
        <v>295</v>
      </c>
      <c r="E210" s="19">
        <v>5</v>
      </c>
      <c r="F210" s="44">
        <v>34358625.82</v>
      </c>
    </row>
    <row r="211" spans="1:11" ht="18.75" x14ac:dyDescent="0.3">
      <c r="A211" s="94">
        <v>65</v>
      </c>
      <c r="B211" s="92" t="s">
        <v>892</v>
      </c>
      <c r="C211" s="17">
        <v>1790.5</v>
      </c>
      <c r="D211" s="18">
        <v>72</v>
      </c>
      <c r="E211" s="19">
        <v>2</v>
      </c>
      <c r="F211" s="44">
        <v>6153361.1899999995</v>
      </c>
    </row>
    <row r="212" spans="1:11" ht="71.25" customHeight="1" x14ac:dyDescent="0.25">
      <c r="A212" s="368" t="s">
        <v>2896</v>
      </c>
      <c r="B212" s="368"/>
      <c r="C212" s="368"/>
      <c r="D212" s="368"/>
      <c r="E212" s="368"/>
      <c r="F212" s="368"/>
    </row>
    <row r="213" spans="1:11" ht="18.75" x14ac:dyDescent="0.3">
      <c r="A213" s="366" t="s">
        <v>2296</v>
      </c>
      <c r="B213" s="367"/>
      <c r="C213" s="44">
        <f>C214+C218</f>
        <v>21082.42</v>
      </c>
      <c r="D213" s="19">
        <f t="shared" ref="D213:F213" si="0">D214+D218</f>
        <v>808</v>
      </c>
      <c r="E213" s="19">
        <f t="shared" si="0"/>
        <v>13</v>
      </c>
      <c r="F213" s="44">
        <f t="shared" si="0"/>
        <v>69010531.859999999</v>
      </c>
      <c r="K213" s="22"/>
    </row>
    <row r="214" spans="1:11" ht="18.75" x14ac:dyDescent="0.3">
      <c r="A214" s="366" t="s">
        <v>1563</v>
      </c>
      <c r="B214" s="367"/>
      <c r="C214" s="44">
        <f>SUM(C215:C217)</f>
        <v>3182.5</v>
      </c>
      <c r="D214" s="19">
        <f>SUM(D215:D217)</f>
        <v>134</v>
      </c>
      <c r="E214" s="19">
        <f>SUM(E215:E217)</f>
        <v>3</v>
      </c>
      <c r="F214" s="44">
        <v>7034201.7300000004</v>
      </c>
      <c r="K214" s="22"/>
    </row>
    <row r="215" spans="1:11" ht="18.75" x14ac:dyDescent="0.3">
      <c r="A215" s="48">
        <v>1</v>
      </c>
      <c r="B215" s="49" t="s">
        <v>891</v>
      </c>
      <c r="C215" s="44">
        <v>522.9</v>
      </c>
      <c r="D215" s="19">
        <v>31</v>
      </c>
      <c r="E215" s="19">
        <v>1</v>
      </c>
      <c r="F215" s="44">
        <v>1836114.4000000001</v>
      </c>
      <c r="K215" s="22"/>
    </row>
    <row r="216" spans="1:11" ht="18.75" x14ac:dyDescent="0.3">
      <c r="A216" s="48">
        <v>2</v>
      </c>
      <c r="B216" s="49" t="s">
        <v>841</v>
      </c>
      <c r="C216" s="44">
        <v>1826</v>
      </c>
      <c r="D216" s="19">
        <v>73</v>
      </c>
      <c r="E216" s="19">
        <v>1</v>
      </c>
      <c r="F216" s="44">
        <v>2643881</v>
      </c>
      <c r="K216" s="22"/>
    </row>
    <row r="217" spans="1:11" ht="18.75" x14ac:dyDescent="0.3">
      <c r="A217" s="48">
        <v>3</v>
      </c>
      <c r="B217" s="49" t="s">
        <v>855</v>
      </c>
      <c r="C217" s="44">
        <v>833.6</v>
      </c>
      <c r="D217" s="19">
        <v>30</v>
      </c>
      <c r="E217" s="19">
        <v>1</v>
      </c>
      <c r="F217" s="44">
        <v>2554206.3299999996</v>
      </c>
      <c r="K217" s="22"/>
    </row>
    <row r="218" spans="1:11" ht="18.75" x14ac:dyDescent="0.3">
      <c r="A218" s="366" t="s">
        <v>3224</v>
      </c>
      <c r="B218" s="367"/>
      <c r="C218" s="44">
        <f>SUM(C219:C225)</f>
        <v>17899.919999999998</v>
      </c>
      <c r="D218" s="19">
        <f t="shared" ref="D218:F218" si="1">SUM(D219:D225)</f>
        <v>674</v>
      </c>
      <c r="E218" s="19">
        <f t="shared" si="1"/>
        <v>10</v>
      </c>
      <c r="F218" s="44">
        <f t="shared" si="1"/>
        <v>61976330.129999995</v>
      </c>
      <c r="K218" s="22"/>
    </row>
    <row r="219" spans="1:11" ht="18.75" x14ac:dyDescent="0.3">
      <c r="A219" s="48">
        <v>1</v>
      </c>
      <c r="B219" s="49" t="s">
        <v>878</v>
      </c>
      <c r="C219" s="44">
        <v>944.3</v>
      </c>
      <c r="D219" s="19">
        <v>39</v>
      </c>
      <c r="E219" s="19">
        <v>1</v>
      </c>
      <c r="F219" s="44">
        <v>4993771.54</v>
      </c>
      <c r="K219" s="22"/>
    </row>
    <row r="220" spans="1:11" ht="18.75" x14ac:dyDescent="0.3">
      <c r="A220" s="48">
        <v>2</v>
      </c>
      <c r="B220" s="49" t="s">
        <v>890</v>
      </c>
      <c r="C220" s="44">
        <v>632.5</v>
      </c>
      <c r="D220" s="19">
        <v>38</v>
      </c>
      <c r="E220" s="19">
        <v>1</v>
      </c>
      <c r="F220" s="44">
        <v>3474547</v>
      </c>
      <c r="K220" s="22"/>
    </row>
    <row r="221" spans="1:11" ht="18.75" x14ac:dyDescent="0.3">
      <c r="A221" s="48">
        <v>3</v>
      </c>
      <c r="B221" s="49" t="s">
        <v>868</v>
      </c>
      <c r="C221" s="44">
        <v>2401.8000000000002</v>
      </c>
      <c r="D221" s="19">
        <v>128</v>
      </c>
      <c r="E221" s="19">
        <v>1</v>
      </c>
      <c r="F221" s="44">
        <v>7909707.2699999996</v>
      </c>
      <c r="K221" s="22"/>
    </row>
    <row r="222" spans="1:11" ht="18.75" x14ac:dyDescent="0.3">
      <c r="A222" s="48">
        <v>4</v>
      </c>
      <c r="B222" s="49" t="s">
        <v>930</v>
      </c>
      <c r="C222" s="44">
        <v>10808.119999999999</v>
      </c>
      <c r="D222" s="19">
        <v>317</v>
      </c>
      <c r="E222" s="19">
        <v>4</v>
      </c>
      <c r="F222" s="44">
        <v>34327852.479999997</v>
      </c>
      <c r="K222" s="22"/>
    </row>
    <row r="223" spans="1:11" ht="18.75" x14ac:dyDescent="0.3">
      <c r="A223" s="48">
        <v>5</v>
      </c>
      <c r="B223" s="49" t="s">
        <v>841</v>
      </c>
      <c r="C223" s="44">
        <v>869.4</v>
      </c>
      <c r="D223" s="19">
        <v>62</v>
      </c>
      <c r="E223" s="19">
        <v>1</v>
      </c>
      <c r="F223" s="44">
        <v>4004236.63</v>
      </c>
      <c r="K223" s="22"/>
    </row>
    <row r="224" spans="1:11" ht="18.75" x14ac:dyDescent="0.3">
      <c r="A224" s="48">
        <v>6</v>
      </c>
      <c r="B224" s="49" t="s">
        <v>3246</v>
      </c>
      <c r="C224" s="44">
        <v>1154.7</v>
      </c>
      <c r="D224" s="19">
        <v>50</v>
      </c>
      <c r="E224" s="19">
        <v>1</v>
      </c>
      <c r="F224" s="44">
        <v>3940362.74</v>
      </c>
      <c r="K224" s="22"/>
    </row>
    <row r="225" spans="1:11" ht="18.75" x14ac:dyDescent="0.3">
      <c r="A225" s="48">
        <v>7</v>
      </c>
      <c r="B225" s="49" t="s">
        <v>870</v>
      </c>
      <c r="C225" s="44">
        <v>1089.0999999999999</v>
      </c>
      <c r="D225" s="19">
        <v>40</v>
      </c>
      <c r="E225" s="19">
        <v>1</v>
      </c>
      <c r="F225" s="44">
        <v>3325852.47</v>
      </c>
      <c r="K225" s="22"/>
    </row>
    <row r="226" spans="1:11" ht="71.25" customHeight="1" x14ac:dyDescent="0.25">
      <c r="A226" s="368" t="s">
        <v>2897</v>
      </c>
      <c r="B226" s="368"/>
      <c r="C226" s="368"/>
      <c r="D226" s="368"/>
      <c r="E226" s="368"/>
      <c r="F226" s="368"/>
    </row>
    <row r="227" spans="1:11" ht="18.75" x14ac:dyDescent="0.3">
      <c r="A227" s="366" t="s">
        <v>2296</v>
      </c>
      <c r="B227" s="367"/>
      <c r="C227" s="44">
        <f>C228+C233</f>
        <v>548272.66</v>
      </c>
      <c r="D227" s="19">
        <f t="shared" ref="D227:F227" si="2">D228+D233</f>
        <v>20136</v>
      </c>
      <c r="E227" s="19">
        <f t="shared" si="2"/>
        <v>68</v>
      </c>
      <c r="F227" s="44">
        <f t="shared" si="2"/>
        <v>427966106.28000003</v>
      </c>
      <c r="K227" s="22"/>
    </row>
    <row r="228" spans="1:11" ht="18.75" x14ac:dyDescent="0.3">
      <c r="A228" s="366" t="s">
        <v>2295</v>
      </c>
      <c r="B228" s="367"/>
      <c r="C228" s="44">
        <f>C229+C230+C231+C232</f>
        <v>483262.36</v>
      </c>
      <c r="D228" s="19">
        <f t="shared" ref="D228:F228" si="3">D229+D230+D231+D232</f>
        <v>17300</v>
      </c>
      <c r="E228" s="19">
        <f t="shared" si="3"/>
        <v>57</v>
      </c>
      <c r="F228" s="44">
        <f t="shared" si="3"/>
        <v>361861679.40000004</v>
      </c>
      <c r="K228" s="22"/>
    </row>
    <row r="229" spans="1:11" ht="18.75" x14ac:dyDescent="0.3">
      <c r="A229" s="48">
        <v>1</v>
      </c>
      <c r="B229" s="49" t="s">
        <v>930</v>
      </c>
      <c r="C229" s="44">
        <v>112606.2</v>
      </c>
      <c r="D229" s="19">
        <v>4618</v>
      </c>
      <c r="E229" s="19">
        <v>14</v>
      </c>
      <c r="F229" s="44">
        <v>97945684.899999991</v>
      </c>
      <c r="K229" s="22"/>
    </row>
    <row r="230" spans="1:11" ht="18.75" x14ac:dyDescent="0.3">
      <c r="A230" s="48">
        <v>2</v>
      </c>
      <c r="B230" s="49" t="s">
        <v>839</v>
      </c>
      <c r="C230" s="44">
        <v>293012.36</v>
      </c>
      <c r="D230" s="19">
        <v>9597</v>
      </c>
      <c r="E230" s="19">
        <v>33</v>
      </c>
      <c r="F230" s="44">
        <v>198564072.00000003</v>
      </c>
      <c r="K230" s="22"/>
    </row>
    <row r="231" spans="1:11" ht="19.5" customHeight="1" x14ac:dyDescent="0.3">
      <c r="A231" s="48">
        <v>3</v>
      </c>
      <c r="B231" s="49" t="s">
        <v>1472</v>
      </c>
      <c r="C231" s="44">
        <v>21498.5</v>
      </c>
      <c r="D231" s="19">
        <v>921</v>
      </c>
      <c r="E231" s="19">
        <v>4</v>
      </c>
      <c r="F231" s="44">
        <v>13438704.699999999</v>
      </c>
      <c r="K231" s="22"/>
    </row>
    <row r="232" spans="1:11" ht="18.75" x14ac:dyDescent="0.3">
      <c r="A232" s="48">
        <v>4</v>
      </c>
      <c r="B232" s="49" t="s">
        <v>840</v>
      </c>
      <c r="C232" s="44">
        <v>56145.30000000001</v>
      </c>
      <c r="D232" s="19">
        <v>2164</v>
      </c>
      <c r="E232" s="19">
        <v>6</v>
      </c>
      <c r="F232" s="44">
        <v>51913217.799999997</v>
      </c>
      <c r="K232" s="22"/>
    </row>
    <row r="233" spans="1:11" ht="18.75" x14ac:dyDescent="0.3">
      <c r="A233" s="366" t="s">
        <v>3224</v>
      </c>
      <c r="B233" s="367"/>
      <c r="C233" s="44">
        <f>C234</f>
        <v>65010.299999999996</v>
      </c>
      <c r="D233" s="19">
        <f t="shared" ref="D233:F233" si="4">D234</f>
        <v>2836</v>
      </c>
      <c r="E233" s="19">
        <f t="shared" si="4"/>
        <v>11</v>
      </c>
      <c r="F233" s="44">
        <f t="shared" si="4"/>
        <v>66104426.880000003</v>
      </c>
      <c r="K233" s="22"/>
    </row>
    <row r="234" spans="1:11" ht="18.75" x14ac:dyDescent="0.3">
      <c r="A234" s="50">
        <v>1</v>
      </c>
      <c r="B234" s="49" t="s">
        <v>930</v>
      </c>
      <c r="C234" s="44">
        <v>65010.299999999996</v>
      </c>
      <c r="D234" s="19">
        <v>2836</v>
      </c>
      <c r="E234" s="19">
        <v>11</v>
      </c>
      <c r="F234" s="44">
        <v>66104426.880000003</v>
      </c>
      <c r="K234" s="22"/>
    </row>
    <row r="235" spans="1:11" ht="72.75" customHeight="1" x14ac:dyDescent="0.25">
      <c r="A235" s="380" t="s">
        <v>1788</v>
      </c>
      <c r="B235" s="381"/>
      <c r="C235" s="381"/>
      <c r="D235" s="381"/>
      <c r="E235" s="381"/>
      <c r="F235" s="382"/>
    </row>
    <row r="236" spans="1:11" ht="18.75" x14ac:dyDescent="0.3">
      <c r="A236" s="366" t="s">
        <v>2296</v>
      </c>
      <c r="B236" s="367"/>
      <c r="C236" s="44">
        <f>C237+C241+C248</f>
        <v>31996</v>
      </c>
      <c r="D236" s="19">
        <f t="shared" ref="D236:F236" si="5">D237+D241+D248</f>
        <v>1328</v>
      </c>
      <c r="E236" s="19">
        <f t="shared" si="5"/>
        <v>17</v>
      </c>
      <c r="F236" s="44">
        <f t="shared" si="5"/>
        <v>71426266.439999998</v>
      </c>
      <c r="K236" s="22"/>
    </row>
    <row r="237" spans="1:11" ht="18.75" x14ac:dyDescent="0.3">
      <c r="A237" s="366" t="s">
        <v>1789</v>
      </c>
      <c r="B237" s="367"/>
      <c r="C237" s="44">
        <v>9484.2999999999993</v>
      </c>
      <c r="D237" s="19">
        <v>424</v>
      </c>
      <c r="E237" s="19">
        <f>SUM(E238:E240)</f>
        <v>5</v>
      </c>
      <c r="F237" s="44">
        <v>17288357.709999997</v>
      </c>
    </row>
    <row r="238" spans="1:11" ht="18.75" x14ac:dyDescent="0.3">
      <c r="A238" s="48">
        <v>1</v>
      </c>
      <c r="B238" s="49" t="s">
        <v>865</v>
      </c>
      <c r="C238" s="44">
        <v>7491.9</v>
      </c>
      <c r="D238" s="19">
        <v>356</v>
      </c>
      <c r="E238" s="19">
        <v>3</v>
      </c>
      <c r="F238" s="44">
        <v>13535253.609999999</v>
      </c>
    </row>
    <row r="239" spans="1:11" ht="18.75" x14ac:dyDescent="0.3">
      <c r="A239" s="48">
        <v>2</v>
      </c>
      <c r="B239" s="49" t="s">
        <v>861</v>
      </c>
      <c r="C239" s="44">
        <v>1298.5999999999999</v>
      </c>
      <c r="D239" s="19">
        <v>47</v>
      </c>
      <c r="E239" s="19">
        <v>1</v>
      </c>
      <c r="F239" s="44">
        <v>1806013.41</v>
      </c>
    </row>
    <row r="240" spans="1:11" ht="18.75" x14ac:dyDescent="0.3">
      <c r="A240" s="48">
        <v>3</v>
      </c>
      <c r="B240" s="49" t="s">
        <v>913</v>
      </c>
      <c r="C240" s="44">
        <v>693.8</v>
      </c>
      <c r="D240" s="19">
        <v>21</v>
      </c>
      <c r="E240" s="19">
        <v>1</v>
      </c>
      <c r="F240" s="44">
        <v>1947090.69</v>
      </c>
    </row>
    <row r="241" spans="1:6" ht="18.75" x14ac:dyDescent="0.3">
      <c r="A241" s="366" t="s">
        <v>2576</v>
      </c>
      <c r="B241" s="367"/>
      <c r="C241" s="44">
        <v>16557.3</v>
      </c>
      <c r="D241" s="19">
        <v>708</v>
      </c>
      <c r="E241" s="19">
        <f>SUM(E242:E247)</f>
        <v>10</v>
      </c>
      <c r="F241" s="44">
        <v>47438619.980000004</v>
      </c>
    </row>
    <row r="242" spans="1:6" ht="18.75" x14ac:dyDescent="0.3">
      <c r="A242" s="48">
        <v>1</v>
      </c>
      <c r="B242" s="49" t="s">
        <v>851</v>
      </c>
      <c r="C242" s="44">
        <v>7352.4</v>
      </c>
      <c r="D242" s="19">
        <v>330</v>
      </c>
      <c r="E242" s="19">
        <v>3</v>
      </c>
      <c r="F242" s="44">
        <v>10963006.890000001</v>
      </c>
    </row>
    <row r="243" spans="1:6" ht="18.75" x14ac:dyDescent="0.3">
      <c r="A243" s="48">
        <v>2</v>
      </c>
      <c r="B243" s="49" t="s">
        <v>852</v>
      </c>
      <c r="C243" s="44">
        <v>594.6</v>
      </c>
      <c r="D243" s="19">
        <v>23</v>
      </c>
      <c r="E243" s="19">
        <v>1</v>
      </c>
      <c r="F243" s="44">
        <v>2415350.84</v>
      </c>
    </row>
    <row r="244" spans="1:6" ht="18.75" x14ac:dyDescent="0.3">
      <c r="A244" s="48">
        <v>3</v>
      </c>
      <c r="B244" s="49" t="s">
        <v>838</v>
      </c>
      <c r="C244" s="44">
        <v>338.5</v>
      </c>
      <c r="D244" s="19">
        <v>27</v>
      </c>
      <c r="E244" s="19">
        <v>1</v>
      </c>
      <c r="F244" s="44">
        <v>2265399.8199999998</v>
      </c>
    </row>
    <row r="245" spans="1:6" ht="18.75" x14ac:dyDescent="0.3">
      <c r="A245" s="48">
        <v>4</v>
      </c>
      <c r="B245" s="49" t="s">
        <v>846</v>
      </c>
      <c r="C245" s="44">
        <v>1247.73</v>
      </c>
      <c r="D245" s="19">
        <v>83</v>
      </c>
      <c r="E245" s="19">
        <v>1</v>
      </c>
      <c r="F245" s="44">
        <v>2975822.68</v>
      </c>
    </row>
    <row r="246" spans="1:6" ht="18.75" x14ac:dyDescent="0.3">
      <c r="A246" s="48">
        <v>5</v>
      </c>
      <c r="B246" s="49" t="s">
        <v>898</v>
      </c>
      <c r="C246" s="44">
        <v>3981.1</v>
      </c>
      <c r="D246" s="19">
        <v>138</v>
      </c>
      <c r="E246" s="19">
        <v>1</v>
      </c>
      <c r="F246" s="44">
        <v>14050777.360000001</v>
      </c>
    </row>
    <row r="247" spans="1:6" ht="18.75" x14ac:dyDescent="0.3">
      <c r="A247" s="48">
        <v>6</v>
      </c>
      <c r="B247" s="49" t="s">
        <v>860</v>
      </c>
      <c r="C247" s="44">
        <v>3042.9700000000003</v>
      </c>
      <c r="D247" s="19">
        <v>107</v>
      </c>
      <c r="E247" s="19">
        <v>3</v>
      </c>
      <c r="F247" s="44">
        <v>14768262.390000001</v>
      </c>
    </row>
    <row r="248" spans="1:6" ht="18.75" x14ac:dyDescent="0.3">
      <c r="A248" s="366" t="s">
        <v>3183</v>
      </c>
      <c r="B248" s="367"/>
      <c r="C248" s="44">
        <f>C249+C250</f>
        <v>5954.4000000000005</v>
      </c>
      <c r="D248" s="19">
        <f t="shared" ref="D248:F248" si="6">D249+D250</f>
        <v>196</v>
      </c>
      <c r="E248" s="19">
        <f t="shared" si="6"/>
        <v>2</v>
      </c>
      <c r="F248" s="44">
        <f t="shared" si="6"/>
        <v>6699288.75</v>
      </c>
    </row>
    <row r="249" spans="1:6" ht="18.75" x14ac:dyDescent="0.3">
      <c r="A249" s="48">
        <v>1</v>
      </c>
      <c r="B249" s="49" t="s">
        <v>857</v>
      </c>
      <c r="C249" s="44">
        <v>960.1</v>
      </c>
      <c r="D249" s="19">
        <v>29</v>
      </c>
      <c r="E249" s="19">
        <v>1</v>
      </c>
      <c r="F249" s="44">
        <v>6455757</v>
      </c>
    </row>
    <row r="250" spans="1:6" ht="18.75" x14ac:dyDescent="0.3">
      <c r="A250" s="48">
        <v>2</v>
      </c>
      <c r="B250" s="49" t="s">
        <v>882</v>
      </c>
      <c r="C250" s="44">
        <v>4994.3</v>
      </c>
      <c r="D250" s="19">
        <v>167</v>
      </c>
      <c r="E250" s="19">
        <v>1</v>
      </c>
      <c r="F250" s="44">
        <v>243531.75</v>
      </c>
    </row>
    <row r="251" spans="1:6" x14ac:dyDescent="0.25">
      <c r="F251" s="24"/>
    </row>
    <row r="252" spans="1:6" x14ac:dyDescent="0.25">
      <c r="F252" s="24"/>
    </row>
    <row r="253" spans="1:6" x14ac:dyDescent="0.25">
      <c r="F253" s="24"/>
    </row>
  </sheetData>
  <mergeCells count="22">
    <mergeCell ref="A226:F226"/>
    <mergeCell ref="A227:B227"/>
    <mergeCell ref="A228:B228"/>
    <mergeCell ref="A248:B248"/>
    <mergeCell ref="A241:B241"/>
    <mergeCell ref="A236:B236"/>
    <mergeCell ref="A235:F235"/>
    <mergeCell ref="A237:B237"/>
    <mergeCell ref="A233:B233"/>
    <mergeCell ref="A218:B218"/>
    <mergeCell ref="A212:F212"/>
    <mergeCell ref="A214:B214"/>
    <mergeCell ref="E1:F1"/>
    <mergeCell ref="A3:F4"/>
    <mergeCell ref="A5:A8"/>
    <mergeCell ref="B5:B8"/>
    <mergeCell ref="C5:C7"/>
    <mergeCell ref="D5:D7"/>
    <mergeCell ref="E5:E7"/>
    <mergeCell ref="F5:F7"/>
    <mergeCell ref="A213:B213"/>
    <mergeCell ref="C2:F2"/>
  </mergeCells>
  <pageMargins left="0" right="0" top="0.39370078740157483" bottom="0.39370078740157483" header="0" footer="0"/>
  <pageSetup paperSize="9" scale="51" fitToHeight="0" orientation="portrait" r:id="rId1"/>
  <headerFooter differentFirst="1">
    <oddHeader>&amp;C&amp;"Times New Roman,обычный"&amp;P</oddHeader>
  </headerFooter>
  <ignoredErrors>
    <ignoredError sqref="C79:D79 F7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B2480"/>
  <sheetViews>
    <sheetView tabSelected="1" topLeftCell="B2446" zoomScale="40" zoomScaleNormal="40" workbookViewId="0">
      <selection sqref="A1:AB2480"/>
    </sheetView>
  </sheetViews>
  <sheetFormatPr defaultRowHeight="15" x14ac:dyDescent="0.25"/>
  <cols>
    <col min="1" max="1" width="6.140625" hidden="1" customWidth="1"/>
    <col min="2" max="2" width="12.85546875" customWidth="1"/>
    <col min="3" max="3" width="150.42578125" customWidth="1"/>
    <col min="4" max="4" width="49" customWidth="1"/>
    <col min="5" max="10" width="35.42578125" customWidth="1"/>
    <col min="11" max="11" width="16.42578125" style="310" customWidth="1"/>
    <col min="12" max="18" width="35.42578125" customWidth="1"/>
    <col min="19" max="19" width="55" customWidth="1"/>
    <col min="20" max="20" width="39.28515625" customWidth="1"/>
    <col min="21" max="21" width="24.5703125" customWidth="1"/>
    <col min="22" max="22" width="35" customWidth="1"/>
    <col min="23" max="23" width="59.5703125" customWidth="1"/>
    <col min="24" max="24" width="41.140625" customWidth="1"/>
    <col min="25" max="25" width="25.42578125" customWidth="1"/>
    <col min="26" max="26" width="36.5703125" customWidth="1"/>
    <col min="27" max="27" width="31.42578125" customWidth="1"/>
    <col min="28" max="28" width="25.7109375" customWidth="1"/>
    <col min="202" max="202" width="6.140625" customWidth="1"/>
    <col min="203" max="203" width="12.85546875" customWidth="1"/>
    <col min="204" max="204" width="150.42578125" customWidth="1"/>
    <col min="205" max="205" width="49" customWidth="1"/>
    <col min="206" max="211" width="35.42578125" customWidth="1"/>
    <col min="212" max="212" width="16.42578125" customWidth="1"/>
    <col min="213" max="219" width="35.42578125" customWidth="1"/>
    <col min="220" max="220" width="36.7109375" customWidth="1"/>
    <col min="221" max="221" width="39.28515625" customWidth="1"/>
    <col min="222" max="222" width="24.5703125" customWidth="1"/>
    <col min="223" max="223" width="35" customWidth="1"/>
    <col min="224" max="224" width="35.140625" customWidth="1"/>
    <col min="225" max="225" width="41.140625" customWidth="1"/>
    <col min="226" max="226" width="25.42578125" customWidth="1"/>
    <col min="227" max="227" width="36.5703125" customWidth="1"/>
    <col min="228" max="228" width="31.42578125" customWidth="1"/>
    <col min="229" max="229" width="18.140625" customWidth="1"/>
    <col min="230" max="230" width="38.42578125" customWidth="1"/>
    <col min="231" max="231" width="92" customWidth="1"/>
    <col min="458" max="458" width="6.140625" customWidth="1"/>
    <col min="459" max="459" width="12.85546875" customWidth="1"/>
    <col min="460" max="460" width="150.42578125" customWidth="1"/>
    <col min="461" max="461" width="49" customWidth="1"/>
    <col min="462" max="467" width="35.42578125" customWidth="1"/>
    <col min="468" max="468" width="16.42578125" customWidth="1"/>
    <col min="469" max="475" width="35.42578125" customWidth="1"/>
    <col min="476" max="476" width="36.7109375" customWidth="1"/>
    <col min="477" max="477" width="39.28515625" customWidth="1"/>
    <col min="478" max="478" width="24.5703125" customWidth="1"/>
    <col min="479" max="479" width="35" customWidth="1"/>
    <col min="480" max="480" width="35.140625" customWidth="1"/>
    <col min="481" max="481" width="41.140625" customWidth="1"/>
    <col min="482" max="482" width="25.42578125" customWidth="1"/>
    <col min="483" max="483" width="36.5703125" customWidth="1"/>
    <col min="484" max="484" width="31.42578125" customWidth="1"/>
    <col min="485" max="485" width="18.140625" customWidth="1"/>
    <col min="486" max="486" width="38.42578125" customWidth="1"/>
    <col min="487" max="487" width="92" customWidth="1"/>
    <col min="714" max="714" width="6.140625" customWidth="1"/>
    <col min="715" max="715" width="12.85546875" customWidth="1"/>
    <col min="716" max="716" width="150.42578125" customWidth="1"/>
    <col min="717" max="717" width="49" customWidth="1"/>
    <col min="718" max="723" width="35.42578125" customWidth="1"/>
    <col min="724" max="724" width="16.42578125" customWidth="1"/>
    <col min="725" max="731" width="35.42578125" customWidth="1"/>
    <col min="732" max="732" width="36.7109375" customWidth="1"/>
    <col min="733" max="733" width="39.28515625" customWidth="1"/>
    <col min="734" max="734" width="24.5703125" customWidth="1"/>
    <col min="735" max="735" width="35" customWidth="1"/>
    <col min="736" max="736" width="35.140625" customWidth="1"/>
    <col min="737" max="737" width="41.140625" customWidth="1"/>
    <col min="738" max="738" width="25.42578125" customWidth="1"/>
    <col min="739" max="739" width="36.5703125" customWidth="1"/>
    <col min="740" max="740" width="31.42578125" customWidth="1"/>
    <col min="741" max="741" width="18.140625" customWidth="1"/>
    <col min="742" max="742" width="38.42578125" customWidth="1"/>
    <col min="743" max="743" width="92" customWidth="1"/>
    <col min="970" max="970" width="6.140625" customWidth="1"/>
    <col min="971" max="971" width="12.85546875" customWidth="1"/>
    <col min="972" max="972" width="150.42578125" customWidth="1"/>
    <col min="973" max="973" width="49" customWidth="1"/>
    <col min="974" max="979" width="35.42578125" customWidth="1"/>
    <col min="980" max="980" width="16.42578125" customWidth="1"/>
    <col min="981" max="987" width="35.42578125" customWidth="1"/>
    <col min="988" max="988" width="36.7109375" customWidth="1"/>
    <col min="989" max="989" width="39.28515625" customWidth="1"/>
    <col min="990" max="990" width="24.5703125" customWidth="1"/>
    <col min="991" max="991" width="35" customWidth="1"/>
    <col min="992" max="992" width="35.140625" customWidth="1"/>
    <col min="993" max="993" width="41.140625" customWidth="1"/>
    <col min="994" max="994" width="25.42578125" customWidth="1"/>
    <col min="995" max="995" width="36.5703125" customWidth="1"/>
    <col min="996" max="996" width="31.42578125" customWidth="1"/>
    <col min="997" max="997" width="18.140625" customWidth="1"/>
    <col min="998" max="998" width="38.42578125" customWidth="1"/>
    <col min="999" max="999" width="92" customWidth="1"/>
    <col min="1226" max="1226" width="6.140625" customWidth="1"/>
    <col min="1227" max="1227" width="12.85546875" customWidth="1"/>
    <col min="1228" max="1228" width="150.42578125" customWidth="1"/>
    <col min="1229" max="1229" width="49" customWidth="1"/>
    <col min="1230" max="1235" width="35.42578125" customWidth="1"/>
    <col min="1236" max="1236" width="16.42578125" customWidth="1"/>
    <col min="1237" max="1243" width="35.42578125" customWidth="1"/>
    <col min="1244" max="1244" width="36.7109375" customWidth="1"/>
    <col min="1245" max="1245" width="39.28515625" customWidth="1"/>
    <col min="1246" max="1246" width="24.5703125" customWidth="1"/>
    <col min="1247" max="1247" width="35" customWidth="1"/>
    <col min="1248" max="1248" width="35.140625" customWidth="1"/>
    <col min="1249" max="1249" width="41.140625" customWidth="1"/>
    <col min="1250" max="1250" width="25.42578125" customWidth="1"/>
    <col min="1251" max="1251" width="36.5703125" customWidth="1"/>
    <col min="1252" max="1252" width="31.42578125" customWidth="1"/>
    <col min="1253" max="1253" width="18.140625" customWidth="1"/>
    <col min="1254" max="1254" width="38.42578125" customWidth="1"/>
    <col min="1255" max="1255" width="92" customWidth="1"/>
    <col min="1482" max="1482" width="6.140625" customWidth="1"/>
    <col min="1483" max="1483" width="12.85546875" customWidth="1"/>
    <col min="1484" max="1484" width="150.42578125" customWidth="1"/>
    <col min="1485" max="1485" width="49" customWidth="1"/>
    <col min="1486" max="1491" width="35.42578125" customWidth="1"/>
    <col min="1492" max="1492" width="16.42578125" customWidth="1"/>
    <col min="1493" max="1499" width="35.42578125" customWidth="1"/>
    <col min="1500" max="1500" width="36.7109375" customWidth="1"/>
    <col min="1501" max="1501" width="39.28515625" customWidth="1"/>
    <col min="1502" max="1502" width="24.5703125" customWidth="1"/>
    <col min="1503" max="1503" width="35" customWidth="1"/>
    <col min="1504" max="1504" width="35.140625" customWidth="1"/>
    <col min="1505" max="1505" width="41.140625" customWidth="1"/>
    <col min="1506" max="1506" width="25.42578125" customWidth="1"/>
    <col min="1507" max="1507" width="36.5703125" customWidth="1"/>
    <col min="1508" max="1508" width="31.42578125" customWidth="1"/>
    <col min="1509" max="1509" width="18.140625" customWidth="1"/>
    <col min="1510" max="1510" width="38.42578125" customWidth="1"/>
    <col min="1511" max="1511" width="92" customWidth="1"/>
    <col min="1738" max="1738" width="6.140625" customWidth="1"/>
    <col min="1739" max="1739" width="12.85546875" customWidth="1"/>
    <col min="1740" max="1740" width="150.42578125" customWidth="1"/>
    <col min="1741" max="1741" width="49" customWidth="1"/>
    <col min="1742" max="1747" width="35.42578125" customWidth="1"/>
    <col min="1748" max="1748" width="16.42578125" customWidth="1"/>
    <col min="1749" max="1755" width="35.42578125" customWidth="1"/>
    <col min="1756" max="1756" width="36.7109375" customWidth="1"/>
    <col min="1757" max="1757" width="39.28515625" customWidth="1"/>
    <col min="1758" max="1758" width="24.5703125" customWidth="1"/>
    <col min="1759" max="1759" width="35" customWidth="1"/>
    <col min="1760" max="1760" width="35.140625" customWidth="1"/>
    <col min="1761" max="1761" width="41.140625" customWidth="1"/>
    <col min="1762" max="1762" width="25.42578125" customWidth="1"/>
    <col min="1763" max="1763" width="36.5703125" customWidth="1"/>
    <col min="1764" max="1764" width="31.42578125" customWidth="1"/>
    <col min="1765" max="1765" width="18.140625" customWidth="1"/>
    <col min="1766" max="1766" width="38.42578125" customWidth="1"/>
    <col min="1767" max="1767" width="92" customWidth="1"/>
    <col min="1994" max="1994" width="6.140625" customWidth="1"/>
    <col min="1995" max="1995" width="12.85546875" customWidth="1"/>
    <col min="1996" max="1996" width="150.42578125" customWidth="1"/>
    <col min="1997" max="1997" width="49" customWidth="1"/>
    <col min="1998" max="2003" width="35.42578125" customWidth="1"/>
    <col min="2004" max="2004" width="16.42578125" customWidth="1"/>
    <col min="2005" max="2011" width="35.42578125" customWidth="1"/>
    <col min="2012" max="2012" width="36.7109375" customWidth="1"/>
    <col min="2013" max="2013" width="39.28515625" customWidth="1"/>
    <col min="2014" max="2014" width="24.5703125" customWidth="1"/>
    <col min="2015" max="2015" width="35" customWidth="1"/>
    <col min="2016" max="2016" width="35.140625" customWidth="1"/>
    <col min="2017" max="2017" width="41.140625" customWidth="1"/>
    <col min="2018" max="2018" width="25.42578125" customWidth="1"/>
    <col min="2019" max="2019" width="36.5703125" customWidth="1"/>
    <col min="2020" max="2020" width="31.42578125" customWidth="1"/>
    <col min="2021" max="2021" width="18.140625" customWidth="1"/>
    <col min="2022" max="2022" width="38.42578125" customWidth="1"/>
    <col min="2023" max="2023" width="92" customWidth="1"/>
    <col min="2250" max="2250" width="6.140625" customWidth="1"/>
    <col min="2251" max="2251" width="12.85546875" customWidth="1"/>
    <col min="2252" max="2252" width="150.42578125" customWidth="1"/>
    <col min="2253" max="2253" width="49" customWidth="1"/>
    <col min="2254" max="2259" width="35.42578125" customWidth="1"/>
    <col min="2260" max="2260" width="16.42578125" customWidth="1"/>
    <col min="2261" max="2267" width="35.42578125" customWidth="1"/>
    <col min="2268" max="2268" width="36.7109375" customWidth="1"/>
    <col min="2269" max="2269" width="39.28515625" customWidth="1"/>
    <col min="2270" max="2270" width="24.5703125" customWidth="1"/>
    <col min="2271" max="2271" width="35" customWidth="1"/>
    <col min="2272" max="2272" width="35.140625" customWidth="1"/>
    <col min="2273" max="2273" width="41.140625" customWidth="1"/>
    <col min="2274" max="2274" width="25.42578125" customWidth="1"/>
    <col min="2275" max="2275" width="36.5703125" customWidth="1"/>
    <col min="2276" max="2276" width="31.42578125" customWidth="1"/>
    <col min="2277" max="2277" width="18.140625" customWidth="1"/>
    <col min="2278" max="2278" width="38.42578125" customWidth="1"/>
    <col min="2279" max="2279" width="92" customWidth="1"/>
    <col min="2506" max="2506" width="6.140625" customWidth="1"/>
    <col min="2507" max="2507" width="12.85546875" customWidth="1"/>
    <col min="2508" max="2508" width="150.42578125" customWidth="1"/>
    <col min="2509" max="2509" width="49" customWidth="1"/>
    <col min="2510" max="2515" width="35.42578125" customWidth="1"/>
    <col min="2516" max="2516" width="16.42578125" customWidth="1"/>
    <col min="2517" max="2523" width="35.42578125" customWidth="1"/>
    <col min="2524" max="2524" width="36.7109375" customWidth="1"/>
    <col min="2525" max="2525" width="39.28515625" customWidth="1"/>
    <col min="2526" max="2526" width="24.5703125" customWidth="1"/>
    <col min="2527" max="2527" width="35" customWidth="1"/>
    <col min="2528" max="2528" width="35.140625" customWidth="1"/>
    <col min="2529" max="2529" width="41.140625" customWidth="1"/>
    <col min="2530" max="2530" width="25.42578125" customWidth="1"/>
    <col min="2531" max="2531" width="36.5703125" customWidth="1"/>
    <col min="2532" max="2532" width="31.42578125" customWidth="1"/>
    <col min="2533" max="2533" width="18.140625" customWidth="1"/>
    <col min="2534" max="2534" width="38.42578125" customWidth="1"/>
    <col min="2535" max="2535" width="92" customWidth="1"/>
    <col min="2762" max="2762" width="6.140625" customWidth="1"/>
    <col min="2763" max="2763" width="12.85546875" customWidth="1"/>
    <col min="2764" max="2764" width="150.42578125" customWidth="1"/>
    <col min="2765" max="2765" width="49" customWidth="1"/>
    <col min="2766" max="2771" width="35.42578125" customWidth="1"/>
    <col min="2772" max="2772" width="16.42578125" customWidth="1"/>
    <col min="2773" max="2779" width="35.42578125" customWidth="1"/>
    <col min="2780" max="2780" width="36.7109375" customWidth="1"/>
    <col min="2781" max="2781" width="39.28515625" customWidth="1"/>
    <col min="2782" max="2782" width="24.5703125" customWidth="1"/>
    <col min="2783" max="2783" width="35" customWidth="1"/>
    <col min="2784" max="2784" width="35.140625" customWidth="1"/>
    <col min="2785" max="2785" width="41.140625" customWidth="1"/>
    <col min="2786" max="2786" width="25.42578125" customWidth="1"/>
    <col min="2787" max="2787" width="36.5703125" customWidth="1"/>
    <col min="2788" max="2788" width="31.42578125" customWidth="1"/>
    <col min="2789" max="2789" width="18.140625" customWidth="1"/>
    <col min="2790" max="2790" width="38.42578125" customWidth="1"/>
    <col min="2791" max="2791" width="92" customWidth="1"/>
    <col min="3018" max="3018" width="6.140625" customWidth="1"/>
    <col min="3019" max="3019" width="12.85546875" customWidth="1"/>
    <col min="3020" max="3020" width="150.42578125" customWidth="1"/>
    <col min="3021" max="3021" width="49" customWidth="1"/>
    <col min="3022" max="3027" width="35.42578125" customWidth="1"/>
    <col min="3028" max="3028" width="16.42578125" customWidth="1"/>
    <col min="3029" max="3035" width="35.42578125" customWidth="1"/>
    <col min="3036" max="3036" width="36.7109375" customWidth="1"/>
    <col min="3037" max="3037" width="39.28515625" customWidth="1"/>
    <col min="3038" max="3038" width="24.5703125" customWidth="1"/>
    <col min="3039" max="3039" width="35" customWidth="1"/>
    <col min="3040" max="3040" width="35.140625" customWidth="1"/>
    <col min="3041" max="3041" width="41.140625" customWidth="1"/>
    <col min="3042" max="3042" width="25.42578125" customWidth="1"/>
    <col min="3043" max="3043" width="36.5703125" customWidth="1"/>
    <col min="3044" max="3044" width="31.42578125" customWidth="1"/>
    <col min="3045" max="3045" width="18.140625" customWidth="1"/>
    <col min="3046" max="3046" width="38.42578125" customWidth="1"/>
    <col min="3047" max="3047" width="92" customWidth="1"/>
    <col min="3274" max="3274" width="6.140625" customWidth="1"/>
    <col min="3275" max="3275" width="12.85546875" customWidth="1"/>
    <col min="3276" max="3276" width="150.42578125" customWidth="1"/>
    <col min="3277" max="3277" width="49" customWidth="1"/>
    <col min="3278" max="3283" width="35.42578125" customWidth="1"/>
    <col min="3284" max="3284" width="16.42578125" customWidth="1"/>
    <col min="3285" max="3291" width="35.42578125" customWidth="1"/>
    <col min="3292" max="3292" width="36.7109375" customWidth="1"/>
    <col min="3293" max="3293" width="39.28515625" customWidth="1"/>
    <col min="3294" max="3294" width="24.5703125" customWidth="1"/>
    <col min="3295" max="3295" width="35" customWidth="1"/>
    <col min="3296" max="3296" width="35.140625" customWidth="1"/>
    <col min="3297" max="3297" width="41.140625" customWidth="1"/>
    <col min="3298" max="3298" width="25.42578125" customWidth="1"/>
    <col min="3299" max="3299" width="36.5703125" customWidth="1"/>
    <col min="3300" max="3300" width="31.42578125" customWidth="1"/>
    <col min="3301" max="3301" width="18.140625" customWidth="1"/>
    <col min="3302" max="3302" width="38.42578125" customWidth="1"/>
    <col min="3303" max="3303" width="92" customWidth="1"/>
    <col min="3530" max="3530" width="6.140625" customWidth="1"/>
    <col min="3531" max="3531" width="12.85546875" customWidth="1"/>
    <col min="3532" max="3532" width="150.42578125" customWidth="1"/>
    <col min="3533" max="3533" width="49" customWidth="1"/>
    <col min="3534" max="3539" width="35.42578125" customWidth="1"/>
    <col min="3540" max="3540" width="16.42578125" customWidth="1"/>
    <col min="3541" max="3547" width="35.42578125" customWidth="1"/>
    <col min="3548" max="3548" width="36.7109375" customWidth="1"/>
    <col min="3549" max="3549" width="39.28515625" customWidth="1"/>
    <col min="3550" max="3550" width="24.5703125" customWidth="1"/>
    <col min="3551" max="3551" width="35" customWidth="1"/>
    <col min="3552" max="3552" width="35.140625" customWidth="1"/>
    <col min="3553" max="3553" width="41.140625" customWidth="1"/>
    <col min="3554" max="3554" width="25.42578125" customWidth="1"/>
    <col min="3555" max="3555" width="36.5703125" customWidth="1"/>
    <col min="3556" max="3556" width="31.42578125" customWidth="1"/>
    <col min="3557" max="3557" width="18.140625" customWidth="1"/>
    <col min="3558" max="3558" width="38.42578125" customWidth="1"/>
    <col min="3559" max="3559" width="92" customWidth="1"/>
    <col min="3786" max="3786" width="6.140625" customWidth="1"/>
    <col min="3787" max="3787" width="12.85546875" customWidth="1"/>
    <col min="3788" max="3788" width="150.42578125" customWidth="1"/>
    <col min="3789" max="3789" width="49" customWidth="1"/>
    <col min="3790" max="3795" width="35.42578125" customWidth="1"/>
    <col min="3796" max="3796" width="16.42578125" customWidth="1"/>
    <col min="3797" max="3803" width="35.42578125" customWidth="1"/>
    <col min="3804" max="3804" width="36.7109375" customWidth="1"/>
    <col min="3805" max="3805" width="39.28515625" customWidth="1"/>
    <col min="3806" max="3806" width="24.5703125" customWidth="1"/>
    <col min="3807" max="3807" width="35" customWidth="1"/>
    <col min="3808" max="3808" width="35.140625" customWidth="1"/>
    <col min="3809" max="3809" width="41.140625" customWidth="1"/>
    <col min="3810" max="3810" width="25.42578125" customWidth="1"/>
    <col min="3811" max="3811" width="36.5703125" customWidth="1"/>
    <col min="3812" max="3812" width="31.42578125" customWidth="1"/>
    <col min="3813" max="3813" width="18.140625" customWidth="1"/>
    <col min="3814" max="3814" width="38.42578125" customWidth="1"/>
    <col min="3815" max="3815" width="92" customWidth="1"/>
    <col min="4042" max="4042" width="6.140625" customWidth="1"/>
    <col min="4043" max="4043" width="12.85546875" customWidth="1"/>
    <col min="4044" max="4044" width="150.42578125" customWidth="1"/>
    <col min="4045" max="4045" width="49" customWidth="1"/>
    <col min="4046" max="4051" width="35.42578125" customWidth="1"/>
    <col min="4052" max="4052" width="16.42578125" customWidth="1"/>
    <col min="4053" max="4059" width="35.42578125" customWidth="1"/>
    <col min="4060" max="4060" width="36.7109375" customWidth="1"/>
    <col min="4061" max="4061" width="39.28515625" customWidth="1"/>
    <col min="4062" max="4062" width="24.5703125" customWidth="1"/>
    <col min="4063" max="4063" width="35" customWidth="1"/>
    <col min="4064" max="4064" width="35.140625" customWidth="1"/>
    <col min="4065" max="4065" width="41.140625" customWidth="1"/>
    <col min="4066" max="4066" width="25.42578125" customWidth="1"/>
    <col min="4067" max="4067" width="36.5703125" customWidth="1"/>
    <col min="4068" max="4068" width="31.42578125" customWidth="1"/>
    <col min="4069" max="4069" width="18.140625" customWidth="1"/>
    <col min="4070" max="4070" width="38.42578125" customWidth="1"/>
    <col min="4071" max="4071" width="92" customWidth="1"/>
    <col min="4298" max="4298" width="6.140625" customWidth="1"/>
    <col min="4299" max="4299" width="12.85546875" customWidth="1"/>
    <col min="4300" max="4300" width="150.42578125" customWidth="1"/>
    <col min="4301" max="4301" width="49" customWidth="1"/>
    <col min="4302" max="4307" width="35.42578125" customWidth="1"/>
    <col min="4308" max="4308" width="16.42578125" customWidth="1"/>
    <col min="4309" max="4315" width="35.42578125" customWidth="1"/>
    <col min="4316" max="4316" width="36.7109375" customWidth="1"/>
    <col min="4317" max="4317" width="39.28515625" customWidth="1"/>
    <col min="4318" max="4318" width="24.5703125" customWidth="1"/>
    <col min="4319" max="4319" width="35" customWidth="1"/>
    <col min="4320" max="4320" width="35.140625" customWidth="1"/>
    <col min="4321" max="4321" width="41.140625" customWidth="1"/>
    <col min="4322" max="4322" width="25.42578125" customWidth="1"/>
    <col min="4323" max="4323" width="36.5703125" customWidth="1"/>
    <col min="4324" max="4324" width="31.42578125" customWidth="1"/>
    <col min="4325" max="4325" width="18.140625" customWidth="1"/>
    <col min="4326" max="4326" width="38.42578125" customWidth="1"/>
    <col min="4327" max="4327" width="92" customWidth="1"/>
    <col min="4554" max="4554" width="6.140625" customWidth="1"/>
    <col min="4555" max="4555" width="12.85546875" customWidth="1"/>
    <col min="4556" max="4556" width="150.42578125" customWidth="1"/>
    <col min="4557" max="4557" width="49" customWidth="1"/>
    <col min="4558" max="4563" width="35.42578125" customWidth="1"/>
    <col min="4564" max="4564" width="16.42578125" customWidth="1"/>
    <col min="4565" max="4571" width="35.42578125" customWidth="1"/>
    <col min="4572" max="4572" width="36.7109375" customWidth="1"/>
    <col min="4573" max="4573" width="39.28515625" customWidth="1"/>
    <col min="4574" max="4574" width="24.5703125" customWidth="1"/>
    <col min="4575" max="4575" width="35" customWidth="1"/>
    <col min="4576" max="4576" width="35.140625" customWidth="1"/>
    <col min="4577" max="4577" width="41.140625" customWidth="1"/>
    <col min="4578" max="4578" width="25.42578125" customWidth="1"/>
    <col min="4579" max="4579" width="36.5703125" customWidth="1"/>
    <col min="4580" max="4580" width="31.42578125" customWidth="1"/>
    <col min="4581" max="4581" width="18.140625" customWidth="1"/>
    <col min="4582" max="4582" width="38.42578125" customWidth="1"/>
    <col min="4583" max="4583" width="92" customWidth="1"/>
    <col min="4810" max="4810" width="6.140625" customWidth="1"/>
    <col min="4811" max="4811" width="12.85546875" customWidth="1"/>
    <col min="4812" max="4812" width="150.42578125" customWidth="1"/>
    <col min="4813" max="4813" width="49" customWidth="1"/>
    <col min="4814" max="4819" width="35.42578125" customWidth="1"/>
    <col min="4820" max="4820" width="16.42578125" customWidth="1"/>
    <col min="4821" max="4827" width="35.42578125" customWidth="1"/>
    <col min="4828" max="4828" width="36.7109375" customWidth="1"/>
    <col min="4829" max="4829" width="39.28515625" customWidth="1"/>
    <col min="4830" max="4830" width="24.5703125" customWidth="1"/>
    <col min="4831" max="4831" width="35" customWidth="1"/>
    <col min="4832" max="4832" width="35.140625" customWidth="1"/>
    <col min="4833" max="4833" width="41.140625" customWidth="1"/>
    <col min="4834" max="4834" width="25.42578125" customWidth="1"/>
    <col min="4835" max="4835" width="36.5703125" customWidth="1"/>
    <col min="4836" max="4836" width="31.42578125" customWidth="1"/>
    <col min="4837" max="4837" width="18.140625" customWidth="1"/>
    <col min="4838" max="4838" width="38.42578125" customWidth="1"/>
    <col min="4839" max="4839" width="92" customWidth="1"/>
    <col min="5066" max="5066" width="6.140625" customWidth="1"/>
    <col min="5067" max="5067" width="12.85546875" customWidth="1"/>
    <col min="5068" max="5068" width="150.42578125" customWidth="1"/>
    <col min="5069" max="5069" width="49" customWidth="1"/>
    <col min="5070" max="5075" width="35.42578125" customWidth="1"/>
    <col min="5076" max="5076" width="16.42578125" customWidth="1"/>
    <col min="5077" max="5083" width="35.42578125" customWidth="1"/>
    <col min="5084" max="5084" width="36.7109375" customWidth="1"/>
    <col min="5085" max="5085" width="39.28515625" customWidth="1"/>
    <col min="5086" max="5086" width="24.5703125" customWidth="1"/>
    <col min="5087" max="5087" width="35" customWidth="1"/>
    <col min="5088" max="5088" width="35.140625" customWidth="1"/>
    <col min="5089" max="5089" width="41.140625" customWidth="1"/>
    <col min="5090" max="5090" width="25.42578125" customWidth="1"/>
    <col min="5091" max="5091" width="36.5703125" customWidth="1"/>
    <col min="5092" max="5092" width="31.42578125" customWidth="1"/>
    <col min="5093" max="5093" width="18.140625" customWidth="1"/>
    <col min="5094" max="5094" width="38.42578125" customWidth="1"/>
    <col min="5095" max="5095" width="92" customWidth="1"/>
    <col min="5322" max="5322" width="6.140625" customWidth="1"/>
    <col min="5323" max="5323" width="12.85546875" customWidth="1"/>
    <col min="5324" max="5324" width="150.42578125" customWidth="1"/>
    <col min="5325" max="5325" width="49" customWidth="1"/>
    <col min="5326" max="5331" width="35.42578125" customWidth="1"/>
    <col min="5332" max="5332" width="16.42578125" customWidth="1"/>
    <col min="5333" max="5339" width="35.42578125" customWidth="1"/>
    <col min="5340" max="5340" width="36.7109375" customWidth="1"/>
    <col min="5341" max="5341" width="39.28515625" customWidth="1"/>
    <col min="5342" max="5342" width="24.5703125" customWidth="1"/>
    <col min="5343" max="5343" width="35" customWidth="1"/>
    <col min="5344" max="5344" width="35.140625" customWidth="1"/>
    <col min="5345" max="5345" width="41.140625" customWidth="1"/>
    <col min="5346" max="5346" width="25.42578125" customWidth="1"/>
    <col min="5347" max="5347" width="36.5703125" customWidth="1"/>
    <col min="5348" max="5348" width="31.42578125" customWidth="1"/>
    <col min="5349" max="5349" width="18.140625" customWidth="1"/>
    <col min="5350" max="5350" width="38.42578125" customWidth="1"/>
    <col min="5351" max="5351" width="92" customWidth="1"/>
    <col min="5578" max="5578" width="6.140625" customWidth="1"/>
    <col min="5579" max="5579" width="12.85546875" customWidth="1"/>
    <col min="5580" max="5580" width="150.42578125" customWidth="1"/>
    <col min="5581" max="5581" width="49" customWidth="1"/>
    <col min="5582" max="5587" width="35.42578125" customWidth="1"/>
    <col min="5588" max="5588" width="16.42578125" customWidth="1"/>
    <col min="5589" max="5595" width="35.42578125" customWidth="1"/>
    <col min="5596" max="5596" width="36.7109375" customWidth="1"/>
    <col min="5597" max="5597" width="39.28515625" customWidth="1"/>
    <col min="5598" max="5598" width="24.5703125" customWidth="1"/>
    <col min="5599" max="5599" width="35" customWidth="1"/>
    <col min="5600" max="5600" width="35.140625" customWidth="1"/>
    <col min="5601" max="5601" width="41.140625" customWidth="1"/>
    <col min="5602" max="5602" width="25.42578125" customWidth="1"/>
    <col min="5603" max="5603" width="36.5703125" customWidth="1"/>
    <col min="5604" max="5604" width="31.42578125" customWidth="1"/>
    <col min="5605" max="5605" width="18.140625" customWidth="1"/>
    <col min="5606" max="5606" width="38.42578125" customWidth="1"/>
    <col min="5607" max="5607" width="92" customWidth="1"/>
    <col min="5834" max="5834" width="6.140625" customWidth="1"/>
    <col min="5835" max="5835" width="12.85546875" customWidth="1"/>
    <col min="5836" max="5836" width="150.42578125" customWidth="1"/>
    <col min="5837" max="5837" width="49" customWidth="1"/>
    <col min="5838" max="5843" width="35.42578125" customWidth="1"/>
    <col min="5844" max="5844" width="16.42578125" customWidth="1"/>
    <col min="5845" max="5851" width="35.42578125" customWidth="1"/>
    <col min="5852" max="5852" width="36.7109375" customWidth="1"/>
    <col min="5853" max="5853" width="39.28515625" customWidth="1"/>
    <col min="5854" max="5854" width="24.5703125" customWidth="1"/>
    <col min="5855" max="5855" width="35" customWidth="1"/>
    <col min="5856" max="5856" width="35.140625" customWidth="1"/>
    <col min="5857" max="5857" width="41.140625" customWidth="1"/>
    <col min="5858" max="5858" width="25.42578125" customWidth="1"/>
    <col min="5859" max="5859" width="36.5703125" customWidth="1"/>
    <col min="5860" max="5860" width="31.42578125" customWidth="1"/>
    <col min="5861" max="5861" width="18.140625" customWidth="1"/>
    <col min="5862" max="5862" width="38.42578125" customWidth="1"/>
    <col min="5863" max="5863" width="92" customWidth="1"/>
    <col min="6090" max="6090" width="6.140625" customWidth="1"/>
    <col min="6091" max="6091" width="12.85546875" customWidth="1"/>
    <col min="6092" max="6092" width="150.42578125" customWidth="1"/>
    <col min="6093" max="6093" width="49" customWidth="1"/>
    <col min="6094" max="6099" width="35.42578125" customWidth="1"/>
    <col min="6100" max="6100" width="16.42578125" customWidth="1"/>
    <col min="6101" max="6107" width="35.42578125" customWidth="1"/>
    <col min="6108" max="6108" width="36.7109375" customWidth="1"/>
    <col min="6109" max="6109" width="39.28515625" customWidth="1"/>
    <col min="6110" max="6110" width="24.5703125" customWidth="1"/>
    <col min="6111" max="6111" width="35" customWidth="1"/>
    <col min="6112" max="6112" width="35.140625" customWidth="1"/>
    <col min="6113" max="6113" width="41.140625" customWidth="1"/>
    <col min="6114" max="6114" width="25.42578125" customWidth="1"/>
    <col min="6115" max="6115" width="36.5703125" customWidth="1"/>
    <col min="6116" max="6116" width="31.42578125" customWidth="1"/>
    <col min="6117" max="6117" width="18.140625" customWidth="1"/>
    <col min="6118" max="6118" width="38.42578125" customWidth="1"/>
    <col min="6119" max="6119" width="92" customWidth="1"/>
    <col min="6346" max="6346" width="6.140625" customWidth="1"/>
    <col min="6347" max="6347" width="12.85546875" customWidth="1"/>
    <col min="6348" max="6348" width="150.42578125" customWidth="1"/>
    <col min="6349" max="6349" width="49" customWidth="1"/>
    <col min="6350" max="6355" width="35.42578125" customWidth="1"/>
    <col min="6356" max="6356" width="16.42578125" customWidth="1"/>
    <col min="6357" max="6363" width="35.42578125" customWidth="1"/>
    <col min="6364" max="6364" width="36.7109375" customWidth="1"/>
    <col min="6365" max="6365" width="39.28515625" customWidth="1"/>
    <col min="6366" max="6366" width="24.5703125" customWidth="1"/>
    <col min="6367" max="6367" width="35" customWidth="1"/>
    <col min="6368" max="6368" width="35.140625" customWidth="1"/>
    <col min="6369" max="6369" width="41.140625" customWidth="1"/>
    <col min="6370" max="6370" width="25.42578125" customWidth="1"/>
    <col min="6371" max="6371" width="36.5703125" customWidth="1"/>
    <col min="6372" max="6372" width="31.42578125" customWidth="1"/>
    <col min="6373" max="6373" width="18.140625" customWidth="1"/>
    <col min="6374" max="6374" width="38.42578125" customWidth="1"/>
    <col min="6375" max="6375" width="92" customWidth="1"/>
    <col min="6602" max="6602" width="6.140625" customWidth="1"/>
    <col min="6603" max="6603" width="12.85546875" customWidth="1"/>
    <col min="6604" max="6604" width="150.42578125" customWidth="1"/>
    <col min="6605" max="6605" width="49" customWidth="1"/>
    <col min="6606" max="6611" width="35.42578125" customWidth="1"/>
    <col min="6612" max="6612" width="16.42578125" customWidth="1"/>
    <col min="6613" max="6619" width="35.42578125" customWidth="1"/>
    <col min="6620" max="6620" width="36.7109375" customWidth="1"/>
    <col min="6621" max="6621" width="39.28515625" customWidth="1"/>
    <col min="6622" max="6622" width="24.5703125" customWidth="1"/>
    <col min="6623" max="6623" width="35" customWidth="1"/>
    <col min="6624" max="6624" width="35.140625" customWidth="1"/>
    <col min="6625" max="6625" width="41.140625" customWidth="1"/>
    <col min="6626" max="6626" width="25.42578125" customWidth="1"/>
    <col min="6627" max="6627" width="36.5703125" customWidth="1"/>
    <col min="6628" max="6628" width="31.42578125" customWidth="1"/>
    <col min="6629" max="6629" width="18.140625" customWidth="1"/>
    <col min="6630" max="6630" width="38.42578125" customWidth="1"/>
    <col min="6631" max="6631" width="92" customWidth="1"/>
    <col min="6858" max="6858" width="6.140625" customWidth="1"/>
    <col min="6859" max="6859" width="12.85546875" customWidth="1"/>
    <col min="6860" max="6860" width="150.42578125" customWidth="1"/>
    <col min="6861" max="6861" width="49" customWidth="1"/>
    <col min="6862" max="6867" width="35.42578125" customWidth="1"/>
    <col min="6868" max="6868" width="16.42578125" customWidth="1"/>
    <col min="6869" max="6875" width="35.42578125" customWidth="1"/>
    <col min="6876" max="6876" width="36.7109375" customWidth="1"/>
    <col min="6877" max="6877" width="39.28515625" customWidth="1"/>
    <col min="6878" max="6878" width="24.5703125" customWidth="1"/>
    <col min="6879" max="6879" width="35" customWidth="1"/>
    <col min="6880" max="6880" width="35.140625" customWidth="1"/>
    <col min="6881" max="6881" width="41.140625" customWidth="1"/>
    <col min="6882" max="6882" width="25.42578125" customWidth="1"/>
    <col min="6883" max="6883" width="36.5703125" customWidth="1"/>
    <col min="6884" max="6884" width="31.42578125" customWidth="1"/>
    <col min="6885" max="6885" width="18.140625" customWidth="1"/>
    <col min="6886" max="6886" width="38.42578125" customWidth="1"/>
    <col min="6887" max="6887" width="92" customWidth="1"/>
    <col min="7114" max="7114" width="6.140625" customWidth="1"/>
    <col min="7115" max="7115" width="12.85546875" customWidth="1"/>
    <col min="7116" max="7116" width="150.42578125" customWidth="1"/>
    <col min="7117" max="7117" width="49" customWidth="1"/>
    <col min="7118" max="7123" width="35.42578125" customWidth="1"/>
    <col min="7124" max="7124" width="16.42578125" customWidth="1"/>
    <col min="7125" max="7131" width="35.42578125" customWidth="1"/>
    <col min="7132" max="7132" width="36.7109375" customWidth="1"/>
    <col min="7133" max="7133" width="39.28515625" customWidth="1"/>
    <col min="7134" max="7134" width="24.5703125" customWidth="1"/>
    <col min="7135" max="7135" width="35" customWidth="1"/>
    <col min="7136" max="7136" width="35.140625" customWidth="1"/>
    <col min="7137" max="7137" width="41.140625" customWidth="1"/>
    <col min="7138" max="7138" width="25.42578125" customWidth="1"/>
    <col min="7139" max="7139" width="36.5703125" customWidth="1"/>
    <col min="7140" max="7140" width="31.42578125" customWidth="1"/>
    <col min="7141" max="7141" width="18.140625" customWidth="1"/>
    <col min="7142" max="7142" width="38.42578125" customWidth="1"/>
    <col min="7143" max="7143" width="92" customWidth="1"/>
    <col min="7370" max="7370" width="6.140625" customWidth="1"/>
    <col min="7371" max="7371" width="12.85546875" customWidth="1"/>
    <col min="7372" max="7372" width="150.42578125" customWidth="1"/>
    <col min="7373" max="7373" width="49" customWidth="1"/>
    <col min="7374" max="7379" width="35.42578125" customWidth="1"/>
    <col min="7380" max="7380" width="16.42578125" customWidth="1"/>
    <col min="7381" max="7387" width="35.42578125" customWidth="1"/>
    <col min="7388" max="7388" width="36.7109375" customWidth="1"/>
    <col min="7389" max="7389" width="39.28515625" customWidth="1"/>
    <col min="7390" max="7390" width="24.5703125" customWidth="1"/>
    <col min="7391" max="7391" width="35" customWidth="1"/>
    <col min="7392" max="7392" width="35.140625" customWidth="1"/>
    <col min="7393" max="7393" width="41.140625" customWidth="1"/>
    <col min="7394" max="7394" width="25.42578125" customWidth="1"/>
    <col min="7395" max="7395" width="36.5703125" customWidth="1"/>
    <col min="7396" max="7396" width="31.42578125" customWidth="1"/>
    <col min="7397" max="7397" width="18.140625" customWidth="1"/>
    <col min="7398" max="7398" width="38.42578125" customWidth="1"/>
    <col min="7399" max="7399" width="92" customWidth="1"/>
    <col min="7626" max="7626" width="6.140625" customWidth="1"/>
    <col min="7627" max="7627" width="12.85546875" customWidth="1"/>
    <col min="7628" max="7628" width="150.42578125" customWidth="1"/>
    <col min="7629" max="7629" width="49" customWidth="1"/>
    <col min="7630" max="7635" width="35.42578125" customWidth="1"/>
    <col min="7636" max="7636" width="16.42578125" customWidth="1"/>
    <col min="7637" max="7643" width="35.42578125" customWidth="1"/>
    <col min="7644" max="7644" width="36.7109375" customWidth="1"/>
    <col min="7645" max="7645" width="39.28515625" customWidth="1"/>
    <col min="7646" max="7646" width="24.5703125" customWidth="1"/>
    <col min="7647" max="7647" width="35" customWidth="1"/>
    <col min="7648" max="7648" width="35.140625" customWidth="1"/>
    <col min="7649" max="7649" width="41.140625" customWidth="1"/>
    <col min="7650" max="7650" width="25.42578125" customWidth="1"/>
    <col min="7651" max="7651" width="36.5703125" customWidth="1"/>
    <col min="7652" max="7652" width="31.42578125" customWidth="1"/>
    <col min="7653" max="7653" width="18.140625" customWidth="1"/>
    <col min="7654" max="7654" width="38.42578125" customWidth="1"/>
    <col min="7655" max="7655" width="92" customWidth="1"/>
    <col min="7882" max="7882" width="6.140625" customWidth="1"/>
    <col min="7883" max="7883" width="12.85546875" customWidth="1"/>
    <col min="7884" max="7884" width="150.42578125" customWidth="1"/>
    <col min="7885" max="7885" width="49" customWidth="1"/>
    <col min="7886" max="7891" width="35.42578125" customWidth="1"/>
    <col min="7892" max="7892" width="16.42578125" customWidth="1"/>
    <col min="7893" max="7899" width="35.42578125" customWidth="1"/>
    <col min="7900" max="7900" width="36.7109375" customWidth="1"/>
    <col min="7901" max="7901" width="39.28515625" customWidth="1"/>
    <col min="7902" max="7902" width="24.5703125" customWidth="1"/>
    <col min="7903" max="7903" width="35" customWidth="1"/>
    <col min="7904" max="7904" width="35.140625" customWidth="1"/>
    <col min="7905" max="7905" width="41.140625" customWidth="1"/>
    <col min="7906" max="7906" width="25.42578125" customWidth="1"/>
    <col min="7907" max="7907" width="36.5703125" customWidth="1"/>
    <col min="7908" max="7908" width="31.42578125" customWidth="1"/>
    <col min="7909" max="7909" width="18.140625" customWidth="1"/>
    <col min="7910" max="7910" width="38.42578125" customWidth="1"/>
    <col min="7911" max="7911" width="92" customWidth="1"/>
    <col min="8138" max="8138" width="6.140625" customWidth="1"/>
    <col min="8139" max="8139" width="12.85546875" customWidth="1"/>
    <col min="8140" max="8140" width="150.42578125" customWidth="1"/>
    <col min="8141" max="8141" width="49" customWidth="1"/>
    <col min="8142" max="8147" width="35.42578125" customWidth="1"/>
    <col min="8148" max="8148" width="16.42578125" customWidth="1"/>
    <col min="8149" max="8155" width="35.42578125" customWidth="1"/>
    <col min="8156" max="8156" width="36.7109375" customWidth="1"/>
    <col min="8157" max="8157" width="39.28515625" customWidth="1"/>
    <col min="8158" max="8158" width="24.5703125" customWidth="1"/>
    <col min="8159" max="8159" width="35" customWidth="1"/>
    <col min="8160" max="8160" width="35.140625" customWidth="1"/>
    <col min="8161" max="8161" width="41.140625" customWidth="1"/>
    <col min="8162" max="8162" width="25.42578125" customWidth="1"/>
    <col min="8163" max="8163" width="36.5703125" customWidth="1"/>
    <col min="8164" max="8164" width="31.42578125" customWidth="1"/>
    <col min="8165" max="8165" width="18.140625" customWidth="1"/>
    <col min="8166" max="8166" width="38.42578125" customWidth="1"/>
    <col min="8167" max="8167" width="92" customWidth="1"/>
    <col min="8394" max="8394" width="6.140625" customWidth="1"/>
    <col min="8395" max="8395" width="12.85546875" customWidth="1"/>
    <col min="8396" max="8396" width="150.42578125" customWidth="1"/>
    <col min="8397" max="8397" width="49" customWidth="1"/>
    <col min="8398" max="8403" width="35.42578125" customWidth="1"/>
    <col min="8404" max="8404" width="16.42578125" customWidth="1"/>
    <col min="8405" max="8411" width="35.42578125" customWidth="1"/>
    <col min="8412" max="8412" width="36.7109375" customWidth="1"/>
    <col min="8413" max="8413" width="39.28515625" customWidth="1"/>
    <col min="8414" max="8414" width="24.5703125" customWidth="1"/>
    <col min="8415" max="8415" width="35" customWidth="1"/>
    <col min="8416" max="8416" width="35.140625" customWidth="1"/>
    <col min="8417" max="8417" width="41.140625" customWidth="1"/>
    <col min="8418" max="8418" width="25.42578125" customWidth="1"/>
    <col min="8419" max="8419" width="36.5703125" customWidth="1"/>
    <col min="8420" max="8420" width="31.42578125" customWidth="1"/>
    <col min="8421" max="8421" width="18.140625" customWidth="1"/>
    <col min="8422" max="8422" width="38.42578125" customWidth="1"/>
    <col min="8423" max="8423" width="92" customWidth="1"/>
    <col min="8650" max="8650" width="6.140625" customWidth="1"/>
    <col min="8651" max="8651" width="12.85546875" customWidth="1"/>
    <col min="8652" max="8652" width="150.42578125" customWidth="1"/>
    <col min="8653" max="8653" width="49" customWidth="1"/>
    <col min="8654" max="8659" width="35.42578125" customWidth="1"/>
    <col min="8660" max="8660" width="16.42578125" customWidth="1"/>
    <col min="8661" max="8667" width="35.42578125" customWidth="1"/>
    <col min="8668" max="8668" width="36.7109375" customWidth="1"/>
    <col min="8669" max="8669" width="39.28515625" customWidth="1"/>
    <col min="8670" max="8670" width="24.5703125" customWidth="1"/>
    <col min="8671" max="8671" width="35" customWidth="1"/>
    <col min="8672" max="8672" width="35.140625" customWidth="1"/>
    <col min="8673" max="8673" width="41.140625" customWidth="1"/>
    <col min="8674" max="8674" width="25.42578125" customWidth="1"/>
    <col min="8675" max="8675" width="36.5703125" customWidth="1"/>
    <col min="8676" max="8676" width="31.42578125" customWidth="1"/>
    <col min="8677" max="8677" width="18.140625" customWidth="1"/>
    <col min="8678" max="8678" width="38.42578125" customWidth="1"/>
    <col min="8679" max="8679" width="92" customWidth="1"/>
    <col min="8906" max="8906" width="6.140625" customWidth="1"/>
    <col min="8907" max="8907" width="12.85546875" customWidth="1"/>
    <col min="8908" max="8908" width="150.42578125" customWidth="1"/>
    <col min="8909" max="8909" width="49" customWidth="1"/>
    <col min="8910" max="8915" width="35.42578125" customWidth="1"/>
    <col min="8916" max="8916" width="16.42578125" customWidth="1"/>
    <col min="8917" max="8923" width="35.42578125" customWidth="1"/>
    <col min="8924" max="8924" width="36.7109375" customWidth="1"/>
    <col min="8925" max="8925" width="39.28515625" customWidth="1"/>
    <col min="8926" max="8926" width="24.5703125" customWidth="1"/>
    <col min="8927" max="8927" width="35" customWidth="1"/>
    <col min="8928" max="8928" width="35.140625" customWidth="1"/>
    <col min="8929" max="8929" width="41.140625" customWidth="1"/>
    <col min="8930" max="8930" width="25.42578125" customWidth="1"/>
    <col min="8931" max="8931" width="36.5703125" customWidth="1"/>
    <col min="8932" max="8932" width="31.42578125" customWidth="1"/>
    <col min="8933" max="8933" width="18.140625" customWidth="1"/>
    <col min="8934" max="8934" width="38.42578125" customWidth="1"/>
    <col min="8935" max="8935" width="92" customWidth="1"/>
    <col min="9162" max="9162" width="6.140625" customWidth="1"/>
    <col min="9163" max="9163" width="12.85546875" customWidth="1"/>
    <col min="9164" max="9164" width="150.42578125" customWidth="1"/>
    <col min="9165" max="9165" width="49" customWidth="1"/>
    <col min="9166" max="9171" width="35.42578125" customWidth="1"/>
    <col min="9172" max="9172" width="16.42578125" customWidth="1"/>
    <col min="9173" max="9179" width="35.42578125" customWidth="1"/>
    <col min="9180" max="9180" width="36.7109375" customWidth="1"/>
    <col min="9181" max="9181" width="39.28515625" customWidth="1"/>
    <col min="9182" max="9182" width="24.5703125" customWidth="1"/>
    <col min="9183" max="9183" width="35" customWidth="1"/>
    <col min="9184" max="9184" width="35.140625" customWidth="1"/>
    <col min="9185" max="9185" width="41.140625" customWidth="1"/>
    <col min="9186" max="9186" width="25.42578125" customWidth="1"/>
    <col min="9187" max="9187" width="36.5703125" customWidth="1"/>
    <col min="9188" max="9188" width="31.42578125" customWidth="1"/>
    <col min="9189" max="9189" width="18.140625" customWidth="1"/>
    <col min="9190" max="9190" width="38.42578125" customWidth="1"/>
    <col min="9191" max="9191" width="92" customWidth="1"/>
    <col min="9418" max="9418" width="6.140625" customWidth="1"/>
    <col min="9419" max="9419" width="12.85546875" customWidth="1"/>
    <col min="9420" max="9420" width="150.42578125" customWidth="1"/>
    <col min="9421" max="9421" width="49" customWidth="1"/>
    <col min="9422" max="9427" width="35.42578125" customWidth="1"/>
    <col min="9428" max="9428" width="16.42578125" customWidth="1"/>
    <col min="9429" max="9435" width="35.42578125" customWidth="1"/>
    <col min="9436" max="9436" width="36.7109375" customWidth="1"/>
    <col min="9437" max="9437" width="39.28515625" customWidth="1"/>
    <col min="9438" max="9438" width="24.5703125" customWidth="1"/>
    <col min="9439" max="9439" width="35" customWidth="1"/>
    <col min="9440" max="9440" width="35.140625" customWidth="1"/>
    <col min="9441" max="9441" width="41.140625" customWidth="1"/>
    <col min="9442" max="9442" width="25.42578125" customWidth="1"/>
    <col min="9443" max="9443" width="36.5703125" customWidth="1"/>
    <col min="9444" max="9444" width="31.42578125" customWidth="1"/>
    <col min="9445" max="9445" width="18.140625" customWidth="1"/>
    <col min="9446" max="9446" width="38.42578125" customWidth="1"/>
    <col min="9447" max="9447" width="92" customWidth="1"/>
    <col min="9674" max="9674" width="6.140625" customWidth="1"/>
    <col min="9675" max="9675" width="12.85546875" customWidth="1"/>
    <col min="9676" max="9676" width="150.42578125" customWidth="1"/>
    <col min="9677" max="9677" width="49" customWidth="1"/>
    <col min="9678" max="9683" width="35.42578125" customWidth="1"/>
    <col min="9684" max="9684" width="16.42578125" customWidth="1"/>
    <col min="9685" max="9691" width="35.42578125" customWidth="1"/>
    <col min="9692" max="9692" width="36.7109375" customWidth="1"/>
    <col min="9693" max="9693" width="39.28515625" customWidth="1"/>
    <col min="9694" max="9694" width="24.5703125" customWidth="1"/>
    <col min="9695" max="9695" width="35" customWidth="1"/>
    <col min="9696" max="9696" width="35.140625" customWidth="1"/>
    <col min="9697" max="9697" width="41.140625" customWidth="1"/>
    <col min="9698" max="9698" width="25.42578125" customWidth="1"/>
    <col min="9699" max="9699" width="36.5703125" customWidth="1"/>
    <col min="9700" max="9700" width="31.42578125" customWidth="1"/>
    <col min="9701" max="9701" width="18.140625" customWidth="1"/>
    <col min="9702" max="9702" width="38.42578125" customWidth="1"/>
    <col min="9703" max="9703" width="92" customWidth="1"/>
    <col min="9930" max="9930" width="6.140625" customWidth="1"/>
    <col min="9931" max="9931" width="12.85546875" customWidth="1"/>
    <col min="9932" max="9932" width="150.42578125" customWidth="1"/>
    <col min="9933" max="9933" width="49" customWidth="1"/>
    <col min="9934" max="9939" width="35.42578125" customWidth="1"/>
    <col min="9940" max="9940" width="16.42578125" customWidth="1"/>
    <col min="9941" max="9947" width="35.42578125" customWidth="1"/>
    <col min="9948" max="9948" width="36.7109375" customWidth="1"/>
    <col min="9949" max="9949" width="39.28515625" customWidth="1"/>
    <col min="9950" max="9950" width="24.5703125" customWidth="1"/>
    <col min="9951" max="9951" width="35" customWidth="1"/>
    <col min="9952" max="9952" width="35.140625" customWidth="1"/>
    <col min="9953" max="9953" width="41.140625" customWidth="1"/>
    <col min="9954" max="9954" width="25.42578125" customWidth="1"/>
    <col min="9955" max="9955" width="36.5703125" customWidth="1"/>
    <col min="9956" max="9956" width="31.42578125" customWidth="1"/>
    <col min="9957" max="9957" width="18.140625" customWidth="1"/>
    <col min="9958" max="9958" width="38.42578125" customWidth="1"/>
    <col min="9959" max="9959" width="92" customWidth="1"/>
    <col min="10186" max="10186" width="6.140625" customWidth="1"/>
    <col min="10187" max="10187" width="12.85546875" customWidth="1"/>
    <col min="10188" max="10188" width="150.42578125" customWidth="1"/>
    <col min="10189" max="10189" width="49" customWidth="1"/>
    <col min="10190" max="10195" width="35.42578125" customWidth="1"/>
    <col min="10196" max="10196" width="16.42578125" customWidth="1"/>
    <col min="10197" max="10203" width="35.42578125" customWidth="1"/>
    <col min="10204" max="10204" width="36.7109375" customWidth="1"/>
    <col min="10205" max="10205" width="39.28515625" customWidth="1"/>
    <col min="10206" max="10206" width="24.5703125" customWidth="1"/>
    <col min="10207" max="10207" width="35" customWidth="1"/>
    <col min="10208" max="10208" width="35.140625" customWidth="1"/>
    <col min="10209" max="10209" width="41.140625" customWidth="1"/>
    <col min="10210" max="10210" width="25.42578125" customWidth="1"/>
    <col min="10211" max="10211" width="36.5703125" customWidth="1"/>
    <col min="10212" max="10212" width="31.42578125" customWidth="1"/>
    <col min="10213" max="10213" width="18.140625" customWidth="1"/>
    <col min="10214" max="10214" width="38.42578125" customWidth="1"/>
    <col min="10215" max="10215" width="92" customWidth="1"/>
    <col min="10442" max="10442" width="6.140625" customWidth="1"/>
    <col min="10443" max="10443" width="12.85546875" customWidth="1"/>
    <col min="10444" max="10444" width="150.42578125" customWidth="1"/>
    <col min="10445" max="10445" width="49" customWidth="1"/>
    <col min="10446" max="10451" width="35.42578125" customWidth="1"/>
    <col min="10452" max="10452" width="16.42578125" customWidth="1"/>
    <col min="10453" max="10459" width="35.42578125" customWidth="1"/>
    <col min="10460" max="10460" width="36.7109375" customWidth="1"/>
    <col min="10461" max="10461" width="39.28515625" customWidth="1"/>
    <col min="10462" max="10462" width="24.5703125" customWidth="1"/>
    <col min="10463" max="10463" width="35" customWidth="1"/>
    <col min="10464" max="10464" width="35.140625" customWidth="1"/>
    <col min="10465" max="10465" width="41.140625" customWidth="1"/>
    <col min="10466" max="10466" width="25.42578125" customWidth="1"/>
    <col min="10467" max="10467" width="36.5703125" customWidth="1"/>
    <col min="10468" max="10468" width="31.42578125" customWidth="1"/>
    <col min="10469" max="10469" width="18.140625" customWidth="1"/>
    <col min="10470" max="10470" width="38.42578125" customWidth="1"/>
    <col min="10471" max="10471" width="92" customWidth="1"/>
    <col min="10698" max="10698" width="6.140625" customWidth="1"/>
    <col min="10699" max="10699" width="12.85546875" customWidth="1"/>
    <col min="10700" max="10700" width="150.42578125" customWidth="1"/>
    <col min="10701" max="10701" width="49" customWidth="1"/>
    <col min="10702" max="10707" width="35.42578125" customWidth="1"/>
    <col min="10708" max="10708" width="16.42578125" customWidth="1"/>
    <col min="10709" max="10715" width="35.42578125" customWidth="1"/>
    <col min="10716" max="10716" width="36.7109375" customWidth="1"/>
    <col min="10717" max="10717" width="39.28515625" customWidth="1"/>
    <col min="10718" max="10718" width="24.5703125" customWidth="1"/>
    <col min="10719" max="10719" width="35" customWidth="1"/>
    <col min="10720" max="10720" width="35.140625" customWidth="1"/>
    <col min="10721" max="10721" width="41.140625" customWidth="1"/>
    <col min="10722" max="10722" width="25.42578125" customWidth="1"/>
    <col min="10723" max="10723" width="36.5703125" customWidth="1"/>
    <col min="10724" max="10724" width="31.42578125" customWidth="1"/>
    <col min="10725" max="10725" width="18.140625" customWidth="1"/>
    <col min="10726" max="10726" width="38.42578125" customWidth="1"/>
    <col min="10727" max="10727" width="92" customWidth="1"/>
    <col min="10954" max="10954" width="6.140625" customWidth="1"/>
    <col min="10955" max="10955" width="12.85546875" customWidth="1"/>
    <col min="10956" max="10956" width="150.42578125" customWidth="1"/>
    <col min="10957" max="10957" width="49" customWidth="1"/>
    <col min="10958" max="10963" width="35.42578125" customWidth="1"/>
    <col min="10964" max="10964" width="16.42578125" customWidth="1"/>
    <col min="10965" max="10971" width="35.42578125" customWidth="1"/>
    <col min="10972" max="10972" width="36.7109375" customWidth="1"/>
    <col min="10973" max="10973" width="39.28515625" customWidth="1"/>
    <col min="10974" max="10974" width="24.5703125" customWidth="1"/>
    <col min="10975" max="10975" width="35" customWidth="1"/>
    <col min="10976" max="10976" width="35.140625" customWidth="1"/>
    <col min="10977" max="10977" width="41.140625" customWidth="1"/>
    <col min="10978" max="10978" width="25.42578125" customWidth="1"/>
    <col min="10979" max="10979" width="36.5703125" customWidth="1"/>
    <col min="10980" max="10980" width="31.42578125" customWidth="1"/>
    <col min="10981" max="10981" width="18.140625" customWidth="1"/>
    <col min="10982" max="10982" width="38.42578125" customWidth="1"/>
    <col min="10983" max="10983" width="92" customWidth="1"/>
    <col min="11210" max="11210" width="6.140625" customWidth="1"/>
    <col min="11211" max="11211" width="12.85546875" customWidth="1"/>
    <col min="11212" max="11212" width="150.42578125" customWidth="1"/>
    <col min="11213" max="11213" width="49" customWidth="1"/>
    <col min="11214" max="11219" width="35.42578125" customWidth="1"/>
    <col min="11220" max="11220" width="16.42578125" customWidth="1"/>
    <col min="11221" max="11227" width="35.42578125" customWidth="1"/>
    <col min="11228" max="11228" width="36.7109375" customWidth="1"/>
    <col min="11229" max="11229" width="39.28515625" customWidth="1"/>
    <col min="11230" max="11230" width="24.5703125" customWidth="1"/>
    <col min="11231" max="11231" width="35" customWidth="1"/>
    <col min="11232" max="11232" width="35.140625" customWidth="1"/>
    <col min="11233" max="11233" width="41.140625" customWidth="1"/>
    <col min="11234" max="11234" width="25.42578125" customWidth="1"/>
    <col min="11235" max="11235" width="36.5703125" customWidth="1"/>
    <col min="11236" max="11236" width="31.42578125" customWidth="1"/>
    <col min="11237" max="11237" width="18.140625" customWidth="1"/>
    <col min="11238" max="11238" width="38.42578125" customWidth="1"/>
    <col min="11239" max="11239" width="92" customWidth="1"/>
    <col min="11466" max="11466" width="6.140625" customWidth="1"/>
    <col min="11467" max="11467" width="12.85546875" customWidth="1"/>
    <col min="11468" max="11468" width="150.42578125" customWidth="1"/>
    <col min="11469" max="11469" width="49" customWidth="1"/>
    <col min="11470" max="11475" width="35.42578125" customWidth="1"/>
    <col min="11476" max="11476" width="16.42578125" customWidth="1"/>
    <col min="11477" max="11483" width="35.42578125" customWidth="1"/>
    <col min="11484" max="11484" width="36.7109375" customWidth="1"/>
    <col min="11485" max="11485" width="39.28515625" customWidth="1"/>
    <col min="11486" max="11486" width="24.5703125" customWidth="1"/>
    <col min="11487" max="11487" width="35" customWidth="1"/>
    <col min="11488" max="11488" width="35.140625" customWidth="1"/>
    <col min="11489" max="11489" width="41.140625" customWidth="1"/>
    <col min="11490" max="11490" width="25.42578125" customWidth="1"/>
    <col min="11491" max="11491" width="36.5703125" customWidth="1"/>
    <col min="11492" max="11492" width="31.42578125" customWidth="1"/>
    <col min="11493" max="11493" width="18.140625" customWidth="1"/>
    <col min="11494" max="11494" width="38.42578125" customWidth="1"/>
    <col min="11495" max="11495" width="92" customWidth="1"/>
    <col min="11722" max="11722" width="6.140625" customWidth="1"/>
    <col min="11723" max="11723" width="12.85546875" customWidth="1"/>
    <col min="11724" max="11724" width="150.42578125" customWidth="1"/>
    <col min="11725" max="11725" width="49" customWidth="1"/>
    <col min="11726" max="11731" width="35.42578125" customWidth="1"/>
    <col min="11732" max="11732" width="16.42578125" customWidth="1"/>
    <col min="11733" max="11739" width="35.42578125" customWidth="1"/>
    <col min="11740" max="11740" width="36.7109375" customWidth="1"/>
    <col min="11741" max="11741" width="39.28515625" customWidth="1"/>
    <col min="11742" max="11742" width="24.5703125" customWidth="1"/>
    <col min="11743" max="11743" width="35" customWidth="1"/>
    <col min="11744" max="11744" width="35.140625" customWidth="1"/>
    <col min="11745" max="11745" width="41.140625" customWidth="1"/>
    <col min="11746" max="11746" width="25.42578125" customWidth="1"/>
    <col min="11747" max="11747" width="36.5703125" customWidth="1"/>
    <col min="11748" max="11748" width="31.42578125" customWidth="1"/>
    <col min="11749" max="11749" width="18.140625" customWidth="1"/>
    <col min="11750" max="11750" width="38.42578125" customWidth="1"/>
    <col min="11751" max="11751" width="92" customWidth="1"/>
    <col min="11978" max="11978" width="6.140625" customWidth="1"/>
    <col min="11979" max="11979" width="12.85546875" customWidth="1"/>
    <col min="11980" max="11980" width="150.42578125" customWidth="1"/>
    <col min="11981" max="11981" width="49" customWidth="1"/>
    <col min="11982" max="11987" width="35.42578125" customWidth="1"/>
    <col min="11988" max="11988" width="16.42578125" customWidth="1"/>
    <col min="11989" max="11995" width="35.42578125" customWidth="1"/>
    <col min="11996" max="11996" width="36.7109375" customWidth="1"/>
    <col min="11997" max="11997" width="39.28515625" customWidth="1"/>
    <col min="11998" max="11998" width="24.5703125" customWidth="1"/>
    <col min="11999" max="11999" width="35" customWidth="1"/>
    <col min="12000" max="12000" width="35.140625" customWidth="1"/>
    <col min="12001" max="12001" width="41.140625" customWidth="1"/>
    <col min="12002" max="12002" width="25.42578125" customWidth="1"/>
    <col min="12003" max="12003" width="36.5703125" customWidth="1"/>
    <col min="12004" max="12004" width="31.42578125" customWidth="1"/>
    <col min="12005" max="12005" width="18.140625" customWidth="1"/>
    <col min="12006" max="12006" width="38.42578125" customWidth="1"/>
    <col min="12007" max="12007" width="92" customWidth="1"/>
    <col min="12234" max="12234" width="6.140625" customWidth="1"/>
    <col min="12235" max="12235" width="12.85546875" customWidth="1"/>
    <col min="12236" max="12236" width="150.42578125" customWidth="1"/>
    <col min="12237" max="12237" width="49" customWidth="1"/>
    <col min="12238" max="12243" width="35.42578125" customWidth="1"/>
    <col min="12244" max="12244" width="16.42578125" customWidth="1"/>
    <col min="12245" max="12251" width="35.42578125" customWidth="1"/>
    <col min="12252" max="12252" width="36.7109375" customWidth="1"/>
    <col min="12253" max="12253" width="39.28515625" customWidth="1"/>
    <col min="12254" max="12254" width="24.5703125" customWidth="1"/>
    <col min="12255" max="12255" width="35" customWidth="1"/>
    <col min="12256" max="12256" width="35.140625" customWidth="1"/>
    <col min="12257" max="12257" width="41.140625" customWidth="1"/>
    <col min="12258" max="12258" width="25.42578125" customWidth="1"/>
    <col min="12259" max="12259" width="36.5703125" customWidth="1"/>
    <col min="12260" max="12260" width="31.42578125" customWidth="1"/>
    <col min="12261" max="12261" width="18.140625" customWidth="1"/>
    <col min="12262" max="12262" width="38.42578125" customWidth="1"/>
    <col min="12263" max="12263" width="92" customWidth="1"/>
    <col min="12490" max="12490" width="6.140625" customWidth="1"/>
    <col min="12491" max="12491" width="12.85546875" customWidth="1"/>
    <col min="12492" max="12492" width="150.42578125" customWidth="1"/>
    <col min="12493" max="12493" width="49" customWidth="1"/>
    <col min="12494" max="12499" width="35.42578125" customWidth="1"/>
    <col min="12500" max="12500" width="16.42578125" customWidth="1"/>
    <col min="12501" max="12507" width="35.42578125" customWidth="1"/>
    <col min="12508" max="12508" width="36.7109375" customWidth="1"/>
    <col min="12509" max="12509" width="39.28515625" customWidth="1"/>
    <col min="12510" max="12510" width="24.5703125" customWidth="1"/>
    <col min="12511" max="12511" width="35" customWidth="1"/>
    <col min="12512" max="12512" width="35.140625" customWidth="1"/>
    <col min="12513" max="12513" width="41.140625" customWidth="1"/>
    <col min="12514" max="12514" width="25.42578125" customWidth="1"/>
    <col min="12515" max="12515" width="36.5703125" customWidth="1"/>
    <col min="12516" max="12516" width="31.42578125" customWidth="1"/>
    <col min="12517" max="12517" width="18.140625" customWidth="1"/>
    <col min="12518" max="12518" width="38.42578125" customWidth="1"/>
    <col min="12519" max="12519" width="92" customWidth="1"/>
    <col min="12746" max="12746" width="6.140625" customWidth="1"/>
    <col min="12747" max="12747" width="12.85546875" customWidth="1"/>
    <col min="12748" max="12748" width="150.42578125" customWidth="1"/>
    <col min="12749" max="12749" width="49" customWidth="1"/>
    <col min="12750" max="12755" width="35.42578125" customWidth="1"/>
    <col min="12756" max="12756" width="16.42578125" customWidth="1"/>
    <col min="12757" max="12763" width="35.42578125" customWidth="1"/>
    <col min="12764" max="12764" width="36.7109375" customWidth="1"/>
    <col min="12765" max="12765" width="39.28515625" customWidth="1"/>
    <col min="12766" max="12766" width="24.5703125" customWidth="1"/>
    <col min="12767" max="12767" width="35" customWidth="1"/>
    <col min="12768" max="12768" width="35.140625" customWidth="1"/>
    <col min="12769" max="12769" width="41.140625" customWidth="1"/>
    <col min="12770" max="12770" width="25.42578125" customWidth="1"/>
    <col min="12771" max="12771" width="36.5703125" customWidth="1"/>
    <col min="12772" max="12772" width="31.42578125" customWidth="1"/>
    <col min="12773" max="12773" width="18.140625" customWidth="1"/>
    <col min="12774" max="12774" width="38.42578125" customWidth="1"/>
    <col min="12775" max="12775" width="92" customWidth="1"/>
    <col min="13002" max="13002" width="6.140625" customWidth="1"/>
    <col min="13003" max="13003" width="12.85546875" customWidth="1"/>
    <col min="13004" max="13004" width="150.42578125" customWidth="1"/>
    <col min="13005" max="13005" width="49" customWidth="1"/>
    <col min="13006" max="13011" width="35.42578125" customWidth="1"/>
    <col min="13012" max="13012" width="16.42578125" customWidth="1"/>
    <col min="13013" max="13019" width="35.42578125" customWidth="1"/>
    <col min="13020" max="13020" width="36.7109375" customWidth="1"/>
    <col min="13021" max="13021" width="39.28515625" customWidth="1"/>
    <col min="13022" max="13022" width="24.5703125" customWidth="1"/>
    <col min="13023" max="13023" width="35" customWidth="1"/>
    <col min="13024" max="13024" width="35.140625" customWidth="1"/>
    <col min="13025" max="13025" width="41.140625" customWidth="1"/>
    <col min="13026" max="13026" width="25.42578125" customWidth="1"/>
    <col min="13027" max="13027" width="36.5703125" customWidth="1"/>
    <col min="13028" max="13028" width="31.42578125" customWidth="1"/>
    <col min="13029" max="13029" width="18.140625" customWidth="1"/>
    <col min="13030" max="13030" width="38.42578125" customWidth="1"/>
    <col min="13031" max="13031" width="92" customWidth="1"/>
    <col min="13258" max="13258" width="6.140625" customWidth="1"/>
    <col min="13259" max="13259" width="12.85546875" customWidth="1"/>
    <col min="13260" max="13260" width="150.42578125" customWidth="1"/>
    <col min="13261" max="13261" width="49" customWidth="1"/>
    <col min="13262" max="13267" width="35.42578125" customWidth="1"/>
    <col min="13268" max="13268" width="16.42578125" customWidth="1"/>
    <col min="13269" max="13275" width="35.42578125" customWidth="1"/>
    <col min="13276" max="13276" width="36.7109375" customWidth="1"/>
    <col min="13277" max="13277" width="39.28515625" customWidth="1"/>
    <col min="13278" max="13278" width="24.5703125" customWidth="1"/>
    <col min="13279" max="13279" width="35" customWidth="1"/>
    <col min="13280" max="13280" width="35.140625" customWidth="1"/>
    <col min="13281" max="13281" width="41.140625" customWidth="1"/>
    <col min="13282" max="13282" width="25.42578125" customWidth="1"/>
    <col min="13283" max="13283" width="36.5703125" customWidth="1"/>
    <col min="13284" max="13284" width="31.42578125" customWidth="1"/>
    <col min="13285" max="13285" width="18.140625" customWidth="1"/>
    <col min="13286" max="13286" width="38.42578125" customWidth="1"/>
    <col min="13287" max="13287" width="92" customWidth="1"/>
    <col min="13514" max="13514" width="6.140625" customWidth="1"/>
    <col min="13515" max="13515" width="12.85546875" customWidth="1"/>
    <col min="13516" max="13516" width="150.42578125" customWidth="1"/>
    <col min="13517" max="13517" width="49" customWidth="1"/>
    <col min="13518" max="13523" width="35.42578125" customWidth="1"/>
    <col min="13524" max="13524" width="16.42578125" customWidth="1"/>
    <col min="13525" max="13531" width="35.42578125" customWidth="1"/>
    <col min="13532" max="13532" width="36.7109375" customWidth="1"/>
    <col min="13533" max="13533" width="39.28515625" customWidth="1"/>
    <col min="13534" max="13534" width="24.5703125" customWidth="1"/>
    <col min="13535" max="13535" width="35" customWidth="1"/>
    <col min="13536" max="13536" width="35.140625" customWidth="1"/>
    <col min="13537" max="13537" width="41.140625" customWidth="1"/>
    <col min="13538" max="13538" width="25.42578125" customWidth="1"/>
    <col min="13539" max="13539" width="36.5703125" customWidth="1"/>
    <col min="13540" max="13540" width="31.42578125" customWidth="1"/>
    <col min="13541" max="13541" width="18.140625" customWidth="1"/>
    <col min="13542" max="13542" width="38.42578125" customWidth="1"/>
    <col min="13543" max="13543" width="92" customWidth="1"/>
    <col min="13770" max="13770" width="6.140625" customWidth="1"/>
    <col min="13771" max="13771" width="12.85546875" customWidth="1"/>
    <col min="13772" max="13772" width="150.42578125" customWidth="1"/>
    <col min="13773" max="13773" width="49" customWidth="1"/>
    <col min="13774" max="13779" width="35.42578125" customWidth="1"/>
    <col min="13780" max="13780" width="16.42578125" customWidth="1"/>
    <col min="13781" max="13787" width="35.42578125" customWidth="1"/>
    <col min="13788" max="13788" width="36.7109375" customWidth="1"/>
    <col min="13789" max="13789" width="39.28515625" customWidth="1"/>
    <col min="13790" max="13790" width="24.5703125" customWidth="1"/>
    <col min="13791" max="13791" width="35" customWidth="1"/>
    <col min="13792" max="13792" width="35.140625" customWidth="1"/>
    <col min="13793" max="13793" width="41.140625" customWidth="1"/>
    <col min="13794" max="13794" width="25.42578125" customWidth="1"/>
    <col min="13795" max="13795" width="36.5703125" customWidth="1"/>
    <col min="13796" max="13796" width="31.42578125" customWidth="1"/>
    <col min="13797" max="13797" width="18.140625" customWidth="1"/>
    <col min="13798" max="13798" width="38.42578125" customWidth="1"/>
    <col min="13799" max="13799" width="92" customWidth="1"/>
    <col min="14026" max="14026" width="6.140625" customWidth="1"/>
    <col min="14027" max="14027" width="12.85546875" customWidth="1"/>
    <col min="14028" max="14028" width="150.42578125" customWidth="1"/>
    <col min="14029" max="14029" width="49" customWidth="1"/>
    <col min="14030" max="14035" width="35.42578125" customWidth="1"/>
    <col min="14036" max="14036" width="16.42578125" customWidth="1"/>
    <col min="14037" max="14043" width="35.42578125" customWidth="1"/>
    <col min="14044" max="14044" width="36.7109375" customWidth="1"/>
    <col min="14045" max="14045" width="39.28515625" customWidth="1"/>
    <col min="14046" max="14046" width="24.5703125" customWidth="1"/>
    <col min="14047" max="14047" width="35" customWidth="1"/>
    <col min="14048" max="14048" width="35.140625" customWidth="1"/>
    <col min="14049" max="14049" width="41.140625" customWidth="1"/>
    <col min="14050" max="14050" width="25.42578125" customWidth="1"/>
    <col min="14051" max="14051" width="36.5703125" customWidth="1"/>
    <col min="14052" max="14052" width="31.42578125" customWidth="1"/>
    <col min="14053" max="14053" width="18.140625" customWidth="1"/>
    <col min="14054" max="14054" width="38.42578125" customWidth="1"/>
    <col min="14055" max="14055" width="92" customWidth="1"/>
    <col min="14282" max="14282" width="6.140625" customWidth="1"/>
    <col min="14283" max="14283" width="12.85546875" customWidth="1"/>
    <col min="14284" max="14284" width="150.42578125" customWidth="1"/>
    <col min="14285" max="14285" width="49" customWidth="1"/>
    <col min="14286" max="14291" width="35.42578125" customWidth="1"/>
    <col min="14292" max="14292" width="16.42578125" customWidth="1"/>
    <col min="14293" max="14299" width="35.42578125" customWidth="1"/>
    <col min="14300" max="14300" width="36.7109375" customWidth="1"/>
    <col min="14301" max="14301" width="39.28515625" customWidth="1"/>
    <col min="14302" max="14302" width="24.5703125" customWidth="1"/>
    <col min="14303" max="14303" width="35" customWidth="1"/>
    <col min="14304" max="14304" width="35.140625" customWidth="1"/>
    <col min="14305" max="14305" width="41.140625" customWidth="1"/>
    <col min="14306" max="14306" width="25.42578125" customWidth="1"/>
    <col min="14307" max="14307" width="36.5703125" customWidth="1"/>
    <col min="14308" max="14308" width="31.42578125" customWidth="1"/>
    <col min="14309" max="14309" width="18.140625" customWidth="1"/>
    <col min="14310" max="14310" width="38.42578125" customWidth="1"/>
    <col min="14311" max="14311" width="92" customWidth="1"/>
    <col min="14538" max="14538" width="6.140625" customWidth="1"/>
    <col min="14539" max="14539" width="12.85546875" customWidth="1"/>
    <col min="14540" max="14540" width="150.42578125" customWidth="1"/>
    <col min="14541" max="14541" width="49" customWidth="1"/>
    <col min="14542" max="14547" width="35.42578125" customWidth="1"/>
    <col min="14548" max="14548" width="16.42578125" customWidth="1"/>
    <col min="14549" max="14555" width="35.42578125" customWidth="1"/>
    <col min="14556" max="14556" width="36.7109375" customWidth="1"/>
    <col min="14557" max="14557" width="39.28515625" customWidth="1"/>
    <col min="14558" max="14558" width="24.5703125" customWidth="1"/>
    <col min="14559" max="14559" width="35" customWidth="1"/>
    <col min="14560" max="14560" width="35.140625" customWidth="1"/>
    <col min="14561" max="14561" width="41.140625" customWidth="1"/>
    <col min="14562" max="14562" width="25.42578125" customWidth="1"/>
    <col min="14563" max="14563" width="36.5703125" customWidth="1"/>
    <col min="14564" max="14564" width="31.42578125" customWidth="1"/>
    <col min="14565" max="14565" width="18.140625" customWidth="1"/>
    <col min="14566" max="14566" width="38.42578125" customWidth="1"/>
    <col min="14567" max="14567" width="92" customWidth="1"/>
    <col min="14794" max="14794" width="6.140625" customWidth="1"/>
    <col min="14795" max="14795" width="12.85546875" customWidth="1"/>
    <col min="14796" max="14796" width="150.42578125" customWidth="1"/>
    <col min="14797" max="14797" width="49" customWidth="1"/>
    <col min="14798" max="14803" width="35.42578125" customWidth="1"/>
    <col min="14804" max="14804" width="16.42578125" customWidth="1"/>
    <col min="14805" max="14811" width="35.42578125" customWidth="1"/>
    <col min="14812" max="14812" width="36.7109375" customWidth="1"/>
    <col min="14813" max="14813" width="39.28515625" customWidth="1"/>
    <col min="14814" max="14814" width="24.5703125" customWidth="1"/>
    <col min="14815" max="14815" width="35" customWidth="1"/>
    <col min="14816" max="14816" width="35.140625" customWidth="1"/>
    <col min="14817" max="14817" width="41.140625" customWidth="1"/>
    <col min="14818" max="14818" width="25.42578125" customWidth="1"/>
    <col min="14819" max="14819" width="36.5703125" customWidth="1"/>
    <col min="14820" max="14820" width="31.42578125" customWidth="1"/>
    <col min="14821" max="14821" width="18.140625" customWidth="1"/>
    <col min="14822" max="14822" width="38.42578125" customWidth="1"/>
    <col min="14823" max="14823" width="92" customWidth="1"/>
    <col min="15050" max="15050" width="6.140625" customWidth="1"/>
    <col min="15051" max="15051" width="12.85546875" customWidth="1"/>
    <col min="15052" max="15052" width="150.42578125" customWidth="1"/>
    <col min="15053" max="15053" width="49" customWidth="1"/>
    <col min="15054" max="15059" width="35.42578125" customWidth="1"/>
    <col min="15060" max="15060" width="16.42578125" customWidth="1"/>
    <col min="15061" max="15067" width="35.42578125" customWidth="1"/>
    <col min="15068" max="15068" width="36.7109375" customWidth="1"/>
    <col min="15069" max="15069" width="39.28515625" customWidth="1"/>
    <col min="15070" max="15070" width="24.5703125" customWidth="1"/>
    <col min="15071" max="15071" width="35" customWidth="1"/>
    <col min="15072" max="15072" width="35.140625" customWidth="1"/>
    <col min="15073" max="15073" width="41.140625" customWidth="1"/>
    <col min="15074" max="15074" width="25.42578125" customWidth="1"/>
    <col min="15075" max="15075" width="36.5703125" customWidth="1"/>
    <col min="15076" max="15076" width="31.42578125" customWidth="1"/>
    <col min="15077" max="15077" width="18.140625" customWidth="1"/>
    <col min="15078" max="15078" width="38.42578125" customWidth="1"/>
    <col min="15079" max="15079" width="92" customWidth="1"/>
    <col min="15306" max="15306" width="6.140625" customWidth="1"/>
    <col min="15307" max="15307" width="12.85546875" customWidth="1"/>
    <col min="15308" max="15308" width="150.42578125" customWidth="1"/>
    <col min="15309" max="15309" width="49" customWidth="1"/>
    <col min="15310" max="15315" width="35.42578125" customWidth="1"/>
    <col min="15316" max="15316" width="16.42578125" customWidth="1"/>
    <col min="15317" max="15323" width="35.42578125" customWidth="1"/>
    <col min="15324" max="15324" width="36.7109375" customWidth="1"/>
    <col min="15325" max="15325" width="39.28515625" customWidth="1"/>
    <col min="15326" max="15326" width="24.5703125" customWidth="1"/>
    <col min="15327" max="15327" width="35" customWidth="1"/>
    <col min="15328" max="15328" width="35.140625" customWidth="1"/>
    <col min="15329" max="15329" width="41.140625" customWidth="1"/>
    <col min="15330" max="15330" width="25.42578125" customWidth="1"/>
    <col min="15331" max="15331" width="36.5703125" customWidth="1"/>
    <col min="15332" max="15332" width="31.42578125" customWidth="1"/>
    <col min="15333" max="15333" width="18.140625" customWidth="1"/>
    <col min="15334" max="15334" width="38.42578125" customWidth="1"/>
    <col min="15335" max="15335" width="92" customWidth="1"/>
    <col min="15562" max="15562" width="6.140625" customWidth="1"/>
    <col min="15563" max="15563" width="12.85546875" customWidth="1"/>
    <col min="15564" max="15564" width="150.42578125" customWidth="1"/>
    <col min="15565" max="15565" width="49" customWidth="1"/>
    <col min="15566" max="15571" width="35.42578125" customWidth="1"/>
    <col min="15572" max="15572" width="16.42578125" customWidth="1"/>
    <col min="15573" max="15579" width="35.42578125" customWidth="1"/>
    <col min="15580" max="15580" width="36.7109375" customWidth="1"/>
    <col min="15581" max="15581" width="39.28515625" customWidth="1"/>
    <col min="15582" max="15582" width="24.5703125" customWidth="1"/>
    <col min="15583" max="15583" width="35" customWidth="1"/>
    <col min="15584" max="15584" width="35.140625" customWidth="1"/>
    <col min="15585" max="15585" width="41.140625" customWidth="1"/>
    <col min="15586" max="15586" width="25.42578125" customWidth="1"/>
    <col min="15587" max="15587" width="36.5703125" customWidth="1"/>
    <col min="15588" max="15588" width="31.42578125" customWidth="1"/>
    <col min="15589" max="15589" width="18.140625" customWidth="1"/>
    <col min="15590" max="15590" width="38.42578125" customWidth="1"/>
    <col min="15591" max="15591" width="92" customWidth="1"/>
    <col min="15818" max="15818" width="6.140625" customWidth="1"/>
    <col min="15819" max="15819" width="12.85546875" customWidth="1"/>
    <col min="15820" max="15820" width="150.42578125" customWidth="1"/>
    <col min="15821" max="15821" width="49" customWidth="1"/>
    <col min="15822" max="15827" width="35.42578125" customWidth="1"/>
    <col min="15828" max="15828" width="16.42578125" customWidth="1"/>
    <col min="15829" max="15835" width="35.42578125" customWidth="1"/>
    <col min="15836" max="15836" width="36.7109375" customWidth="1"/>
    <col min="15837" max="15837" width="39.28515625" customWidth="1"/>
    <col min="15838" max="15838" width="24.5703125" customWidth="1"/>
    <col min="15839" max="15839" width="35" customWidth="1"/>
    <col min="15840" max="15840" width="35.140625" customWidth="1"/>
    <col min="15841" max="15841" width="41.140625" customWidth="1"/>
    <col min="15842" max="15842" width="25.42578125" customWidth="1"/>
    <col min="15843" max="15843" width="36.5703125" customWidth="1"/>
    <col min="15844" max="15844" width="31.42578125" customWidth="1"/>
    <col min="15845" max="15845" width="18.140625" customWidth="1"/>
    <col min="15846" max="15846" width="38.42578125" customWidth="1"/>
    <col min="15847" max="15847" width="92" customWidth="1"/>
    <col min="16074" max="16074" width="6.140625" customWidth="1"/>
    <col min="16075" max="16075" width="12.85546875" customWidth="1"/>
    <col min="16076" max="16076" width="150.42578125" customWidth="1"/>
    <col min="16077" max="16077" width="49" customWidth="1"/>
    <col min="16078" max="16083" width="35.42578125" customWidth="1"/>
    <col min="16084" max="16084" width="16.42578125" customWidth="1"/>
    <col min="16085" max="16091" width="35.42578125" customWidth="1"/>
    <col min="16092" max="16092" width="36.7109375" customWidth="1"/>
    <col min="16093" max="16093" width="39.28515625" customWidth="1"/>
    <col min="16094" max="16094" width="24.5703125" customWidth="1"/>
    <col min="16095" max="16095" width="35" customWidth="1"/>
    <col min="16096" max="16096" width="35.140625" customWidth="1"/>
    <col min="16097" max="16097" width="41.140625" customWidth="1"/>
    <col min="16098" max="16098" width="25.42578125" customWidth="1"/>
    <col min="16099" max="16099" width="36.5703125" customWidth="1"/>
    <col min="16100" max="16100" width="31.42578125" customWidth="1"/>
    <col min="16101" max="16101" width="18.140625" customWidth="1"/>
    <col min="16102" max="16102" width="38.42578125" customWidth="1"/>
    <col min="16103" max="16103" width="92" customWidth="1"/>
  </cols>
  <sheetData>
    <row r="1" spans="1:28" ht="138" customHeight="1" x14ac:dyDescent="0.25">
      <c r="A1" s="384" t="s">
        <v>1756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</row>
    <row r="2" spans="1:28" ht="66" customHeight="1" x14ac:dyDescent="0.4">
      <c r="A2" s="286"/>
      <c r="B2" s="385" t="s">
        <v>6</v>
      </c>
      <c r="C2" s="386" t="s">
        <v>7</v>
      </c>
      <c r="D2" s="389" t="s">
        <v>8</v>
      </c>
      <c r="E2" s="385" t="s">
        <v>929</v>
      </c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92" t="s">
        <v>9</v>
      </c>
      <c r="R2" s="393"/>
      <c r="S2" s="393"/>
      <c r="T2" s="393"/>
      <c r="U2" s="393"/>
      <c r="V2" s="393"/>
      <c r="W2" s="393"/>
      <c r="X2" s="393"/>
      <c r="Y2" s="393"/>
      <c r="Z2" s="393"/>
      <c r="AA2" s="394"/>
      <c r="AB2" s="395" t="s">
        <v>1612</v>
      </c>
    </row>
    <row r="3" spans="1:28" ht="102.75" customHeight="1" x14ac:dyDescent="0.4">
      <c r="A3" s="286"/>
      <c r="B3" s="385"/>
      <c r="C3" s="387"/>
      <c r="D3" s="390"/>
      <c r="E3" s="385" t="s">
        <v>13</v>
      </c>
      <c r="F3" s="385"/>
      <c r="G3" s="385"/>
      <c r="H3" s="385"/>
      <c r="I3" s="385"/>
      <c r="J3" s="385"/>
      <c r="K3" s="396" t="s">
        <v>14</v>
      </c>
      <c r="L3" s="396"/>
      <c r="M3" s="397" t="s">
        <v>15</v>
      </c>
      <c r="N3" s="397" t="s">
        <v>16</v>
      </c>
      <c r="O3" s="397" t="s">
        <v>17</v>
      </c>
      <c r="P3" s="397" t="s">
        <v>18</v>
      </c>
      <c r="Q3" s="383" t="s">
        <v>2970</v>
      </c>
      <c r="R3" s="383" t="s">
        <v>20</v>
      </c>
      <c r="S3" s="383" t="s">
        <v>3658</v>
      </c>
      <c r="T3" s="383" t="s">
        <v>22</v>
      </c>
      <c r="U3" s="383" t="s">
        <v>23</v>
      </c>
      <c r="V3" s="383" t="s">
        <v>24</v>
      </c>
      <c r="W3" s="383" t="s">
        <v>25</v>
      </c>
      <c r="X3" s="383" t="s">
        <v>26</v>
      </c>
      <c r="Y3" s="383" t="s">
        <v>27</v>
      </c>
      <c r="Z3" s="383" t="s">
        <v>28</v>
      </c>
      <c r="AA3" s="383" t="s">
        <v>955</v>
      </c>
      <c r="AB3" s="395"/>
    </row>
    <row r="4" spans="1:28" ht="408.75" customHeight="1" x14ac:dyDescent="0.4">
      <c r="A4" s="286"/>
      <c r="B4" s="385"/>
      <c r="C4" s="387"/>
      <c r="D4" s="391"/>
      <c r="E4" s="31" t="s">
        <v>30</v>
      </c>
      <c r="F4" s="31" t="s">
        <v>31</v>
      </c>
      <c r="G4" s="31" t="s">
        <v>32</v>
      </c>
      <c r="H4" s="31" t="s">
        <v>33</v>
      </c>
      <c r="I4" s="31" t="s">
        <v>34</v>
      </c>
      <c r="J4" s="31" t="s">
        <v>35</v>
      </c>
      <c r="K4" s="396"/>
      <c r="L4" s="396"/>
      <c r="M4" s="397"/>
      <c r="N4" s="397"/>
      <c r="O4" s="397"/>
      <c r="P4" s="397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95"/>
    </row>
    <row r="5" spans="1:28" ht="33" x14ac:dyDescent="0.25">
      <c r="A5" s="288"/>
      <c r="B5" s="385"/>
      <c r="C5" s="388"/>
      <c r="D5" s="289" t="s">
        <v>36</v>
      </c>
      <c r="E5" s="287" t="s">
        <v>36</v>
      </c>
      <c r="F5" s="287" t="s">
        <v>36</v>
      </c>
      <c r="G5" s="287" t="s">
        <v>36</v>
      </c>
      <c r="H5" s="287" t="s">
        <v>36</v>
      </c>
      <c r="I5" s="287" t="s">
        <v>36</v>
      </c>
      <c r="J5" s="287" t="s">
        <v>36</v>
      </c>
      <c r="K5" s="290" t="s">
        <v>37</v>
      </c>
      <c r="L5" s="287" t="s">
        <v>36</v>
      </c>
      <c r="M5" s="287" t="s">
        <v>36</v>
      </c>
      <c r="N5" s="287" t="s">
        <v>36</v>
      </c>
      <c r="O5" s="287" t="s">
        <v>36</v>
      </c>
      <c r="P5" s="287" t="s">
        <v>36</v>
      </c>
      <c r="Q5" s="287" t="s">
        <v>36</v>
      </c>
      <c r="R5" s="287" t="s">
        <v>36</v>
      </c>
      <c r="S5" s="287" t="s">
        <v>36</v>
      </c>
      <c r="T5" s="287" t="s">
        <v>36</v>
      </c>
      <c r="U5" s="287" t="s">
        <v>36</v>
      </c>
      <c r="V5" s="287" t="s">
        <v>36</v>
      </c>
      <c r="W5" s="287" t="s">
        <v>36</v>
      </c>
      <c r="X5" s="287" t="s">
        <v>36</v>
      </c>
      <c r="Y5" s="287" t="s">
        <v>36</v>
      </c>
      <c r="Z5" s="287" t="s">
        <v>36</v>
      </c>
      <c r="AA5" s="287" t="s">
        <v>36</v>
      </c>
      <c r="AB5" s="395"/>
    </row>
    <row r="6" spans="1:28" ht="26.25" x14ac:dyDescent="0.4">
      <c r="A6" s="286"/>
      <c r="B6" s="291">
        <v>1</v>
      </c>
      <c r="C6" s="291">
        <v>2</v>
      </c>
      <c r="D6" s="291">
        <v>3</v>
      </c>
      <c r="E6" s="291">
        <v>4</v>
      </c>
      <c r="F6" s="291">
        <v>5</v>
      </c>
      <c r="G6" s="291">
        <v>6</v>
      </c>
      <c r="H6" s="291">
        <v>7</v>
      </c>
      <c r="I6" s="291">
        <v>8</v>
      </c>
      <c r="J6" s="291">
        <v>9</v>
      </c>
      <c r="K6" s="292">
        <v>10</v>
      </c>
      <c r="L6" s="291">
        <v>11</v>
      </c>
      <c r="M6" s="291">
        <v>12</v>
      </c>
      <c r="N6" s="291">
        <v>13</v>
      </c>
      <c r="O6" s="291">
        <v>14</v>
      </c>
      <c r="P6" s="291">
        <v>15</v>
      </c>
      <c r="Q6" s="291">
        <v>16</v>
      </c>
      <c r="R6" s="291">
        <v>17</v>
      </c>
      <c r="S6" s="291">
        <v>18</v>
      </c>
      <c r="T6" s="291">
        <v>19</v>
      </c>
      <c r="U6" s="291">
        <v>20</v>
      </c>
      <c r="V6" s="291">
        <v>21</v>
      </c>
      <c r="W6" s="291">
        <v>22</v>
      </c>
      <c r="X6" s="291">
        <v>23</v>
      </c>
      <c r="Y6" s="291">
        <v>24</v>
      </c>
      <c r="Z6" s="291">
        <v>25</v>
      </c>
      <c r="AA6" s="291">
        <v>26</v>
      </c>
      <c r="AB6" s="291">
        <v>27</v>
      </c>
    </row>
    <row r="7" spans="1:28" s="293" customFormat="1" ht="33" customHeight="1" x14ac:dyDescent="0.5">
      <c r="B7" s="294" t="s">
        <v>2971</v>
      </c>
      <c r="C7" s="295"/>
      <c r="D7" s="296">
        <f t="shared" ref="D7:AA7" si="0">D8+D806+D1695</f>
        <v>2694901382.71</v>
      </c>
      <c r="E7" s="296">
        <f t="shared" si="0"/>
        <v>41269576.159999996</v>
      </c>
      <c r="F7" s="296">
        <f t="shared" si="0"/>
        <v>65878979.109999999</v>
      </c>
      <c r="G7" s="296">
        <f t="shared" si="0"/>
        <v>212647865.11000001</v>
      </c>
      <c r="H7" s="296">
        <f t="shared" si="0"/>
        <v>28953107.140000001</v>
      </c>
      <c r="I7" s="296">
        <f t="shared" si="0"/>
        <v>79492932.819999993</v>
      </c>
      <c r="J7" s="296">
        <f t="shared" si="0"/>
        <v>2845868.57</v>
      </c>
      <c r="K7" s="297">
        <f t="shared" si="0"/>
        <v>297</v>
      </c>
      <c r="L7" s="296">
        <f t="shared" si="0"/>
        <v>487127779.58000004</v>
      </c>
      <c r="M7" s="296">
        <f t="shared" si="0"/>
        <v>890663676.08000016</v>
      </c>
      <c r="N7" s="296">
        <f t="shared" si="0"/>
        <v>36781360.32</v>
      </c>
      <c r="O7" s="296">
        <f t="shared" si="0"/>
        <v>800657793.00999999</v>
      </c>
      <c r="P7" s="296">
        <f t="shared" si="0"/>
        <v>31142070.969999999</v>
      </c>
      <c r="Q7" s="296">
        <f t="shared" si="0"/>
        <v>0</v>
      </c>
      <c r="R7" s="296">
        <f t="shared" si="0"/>
        <v>0</v>
      </c>
      <c r="S7" s="296">
        <f t="shared" si="0"/>
        <v>0</v>
      </c>
      <c r="T7" s="296">
        <f t="shared" si="0"/>
        <v>0</v>
      </c>
      <c r="U7" s="296">
        <f t="shared" si="0"/>
        <v>0</v>
      </c>
      <c r="V7" s="296">
        <f t="shared" si="0"/>
        <v>0</v>
      </c>
      <c r="W7" s="296">
        <f t="shared" si="0"/>
        <v>14154175.07</v>
      </c>
      <c r="X7" s="296">
        <f t="shared" si="0"/>
        <v>874087.8</v>
      </c>
      <c r="Y7" s="296">
        <f t="shared" si="0"/>
        <v>51170.18</v>
      </c>
      <c r="Z7" s="296">
        <f t="shared" si="0"/>
        <v>2360940.79</v>
      </c>
      <c r="AA7" s="296">
        <f t="shared" si="0"/>
        <v>0</v>
      </c>
      <c r="AB7" s="298" t="s">
        <v>835</v>
      </c>
    </row>
    <row r="8" spans="1:28" ht="35.25" x14ac:dyDescent="0.5">
      <c r="B8" s="299" t="s">
        <v>1607</v>
      </c>
      <c r="C8" s="300"/>
      <c r="D8" s="296">
        <f>E8+F8+G8+H8+I8+J8+L8+M8+N8+O8+P8+Q8+R8+S8+T8+U8+V8+W8+X8+Y8+Z8+AA8</f>
        <v>753389001.38999999</v>
      </c>
      <c r="E8" s="296">
        <f>E9+E296+E323+E358+E508+E515+E517+E587+E674+E677+E691+E701+E713+E719+E513+E722+E725+E727+E733+E747+E756+E767+E778+E784+E789+E795+E730+E798+E800+E804</f>
        <v>12004013.220000001</v>
      </c>
      <c r="F8" s="296">
        <f t="shared" ref="F8:AA8" si="1">F9+F296+F323+F358+F508+F515+F517+F587+F674+F677+F691+F701+F713+F719+F513+F722+F725+F727+F733+F747+F756+F767+F778+F784+F789+F795+F730+F798+F800+F804</f>
        <v>31881583.030000001</v>
      </c>
      <c r="G8" s="296">
        <f t="shared" si="1"/>
        <v>53111666.800000004</v>
      </c>
      <c r="H8" s="296">
        <f t="shared" si="1"/>
        <v>9383327.5600000005</v>
      </c>
      <c r="I8" s="296">
        <f t="shared" si="1"/>
        <v>22509477.27</v>
      </c>
      <c r="J8" s="296">
        <f t="shared" si="1"/>
        <v>88420.66</v>
      </c>
      <c r="K8" s="297">
        <f t="shared" si="1"/>
        <v>92</v>
      </c>
      <c r="L8" s="296">
        <f t="shared" si="1"/>
        <v>115157111.66</v>
      </c>
      <c r="M8" s="296">
        <f t="shared" si="1"/>
        <v>279433510.74000001</v>
      </c>
      <c r="N8" s="296">
        <f t="shared" si="1"/>
        <v>13718001.65</v>
      </c>
      <c r="O8" s="296">
        <f t="shared" si="1"/>
        <v>202092949.78</v>
      </c>
      <c r="P8" s="296">
        <f t="shared" si="1"/>
        <v>11877914.220000001</v>
      </c>
      <c r="Q8" s="296">
        <f t="shared" si="1"/>
        <v>0</v>
      </c>
      <c r="R8" s="296">
        <f t="shared" si="1"/>
        <v>0</v>
      </c>
      <c r="S8" s="296">
        <f t="shared" si="1"/>
        <v>0</v>
      </c>
      <c r="T8" s="296">
        <f t="shared" si="1"/>
        <v>0</v>
      </c>
      <c r="U8" s="296">
        <f t="shared" si="1"/>
        <v>0</v>
      </c>
      <c r="V8" s="296">
        <f t="shared" si="1"/>
        <v>0</v>
      </c>
      <c r="W8" s="296">
        <f t="shared" si="1"/>
        <v>1104027</v>
      </c>
      <c r="X8" s="296">
        <f t="shared" si="1"/>
        <v>874087.8</v>
      </c>
      <c r="Y8" s="296">
        <f t="shared" si="1"/>
        <v>13910</v>
      </c>
      <c r="Z8" s="296">
        <f t="shared" si="1"/>
        <v>139000</v>
      </c>
      <c r="AA8" s="296">
        <f t="shared" si="1"/>
        <v>0</v>
      </c>
      <c r="AB8" s="298" t="s">
        <v>835</v>
      </c>
    </row>
    <row r="9" spans="1:28" ht="35.25" customHeight="1" x14ac:dyDescent="0.5">
      <c r="B9" s="299" t="s">
        <v>985</v>
      </c>
      <c r="C9" s="300"/>
      <c r="D9" s="296">
        <f t="shared" ref="D9:D72" si="2">E9+F9+G9+H9+I9+J9+L9+M9+N9+O9+P9+Q9+R9+S9+T9+U9+V9+W9+X9+Y9+Z9+AA9</f>
        <v>321923572.80000001</v>
      </c>
      <c r="E9" s="296">
        <f>SUM(E10:E295)</f>
        <v>7813423.2300000004</v>
      </c>
      <c r="F9" s="296">
        <f t="shared" ref="F9:AA9" si="3">SUM(F10:F295)</f>
        <v>18694453.009999998</v>
      </c>
      <c r="G9" s="296">
        <f t="shared" si="3"/>
        <v>22009177.020000003</v>
      </c>
      <c r="H9" s="296">
        <f t="shared" si="3"/>
        <v>6068037.0699999994</v>
      </c>
      <c r="I9" s="296">
        <f t="shared" si="3"/>
        <v>9667448.5899999999</v>
      </c>
      <c r="J9" s="296">
        <f t="shared" si="3"/>
        <v>0</v>
      </c>
      <c r="K9" s="297">
        <f t="shared" si="3"/>
        <v>55</v>
      </c>
      <c r="L9" s="296">
        <f t="shared" si="3"/>
        <v>47273854.100000001</v>
      </c>
      <c r="M9" s="296">
        <f t="shared" si="3"/>
        <v>119219991.38999999</v>
      </c>
      <c r="N9" s="296">
        <f t="shared" si="3"/>
        <v>5406179.25</v>
      </c>
      <c r="O9" s="296">
        <f t="shared" si="3"/>
        <v>80748937.660000011</v>
      </c>
      <c r="P9" s="296">
        <f t="shared" si="3"/>
        <v>2891046.6799999997</v>
      </c>
      <c r="Q9" s="296">
        <f t="shared" si="3"/>
        <v>0</v>
      </c>
      <c r="R9" s="296">
        <f t="shared" si="3"/>
        <v>0</v>
      </c>
      <c r="S9" s="296">
        <f t="shared" si="3"/>
        <v>0</v>
      </c>
      <c r="T9" s="296">
        <f t="shared" si="3"/>
        <v>0</v>
      </c>
      <c r="U9" s="296">
        <f t="shared" si="3"/>
        <v>0</v>
      </c>
      <c r="V9" s="296">
        <f t="shared" si="3"/>
        <v>0</v>
      </c>
      <c r="W9" s="296">
        <f t="shared" si="3"/>
        <v>1104027</v>
      </c>
      <c r="X9" s="296">
        <f t="shared" si="3"/>
        <v>874087.8</v>
      </c>
      <c r="Y9" s="296">
        <f t="shared" si="3"/>
        <v>13910</v>
      </c>
      <c r="Z9" s="296">
        <f t="shared" si="3"/>
        <v>139000</v>
      </c>
      <c r="AA9" s="296">
        <f t="shared" si="3"/>
        <v>0</v>
      </c>
      <c r="AB9" s="298" t="s">
        <v>835</v>
      </c>
    </row>
    <row r="10" spans="1:28" ht="35.25" customHeight="1" x14ac:dyDescent="0.5">
      <c r="A10">
        <v>1</v>
      </c>
      <c r="B10" s="80">
        <f>SUBTOTAL(103,$A$9:A10)</f>
        <v>1</v>
      </c>
      <c r="C10" s="300" t="s">
        <v>1614</v>
      </c>
      <c r="D10" s="296">
        <f t="shared" si="2"/>
        <v>259217</v>
      </c>
      <c r="E10" s="301">
        <v>0</v>
      </c>
      <c r="F10" s="301">
        <v>0</v>
      </c>
      <c r="G10" s="301">
        <v>259217</v>
      </c>
      <c r="H10" s="301">
        <v>0</v>
      </c>
      <c r="I10" s="301">
        <v>0</v>
      </c>
      <c r="J10" s="301">
        <v>0</v>
      </c>
      <c r="K10" s="302">
        <v>0</v>
      </c>
      <c r="L10" s="301">
        <v>0</v>
      </c>
      <c r="M10" s="301">
        <v>0</v>
      </c>
      <c r="N10" s="301">
        <v>0</v>
      </c>
      <c r="O10" s="301">
        <v>0</v>
      </c>
      <c r="P10" s="301">
        <v>0</v>
      </c>
      <c r="Q10" s="301">
        <v>0</v>
      </c>
      <c r="R10" s="301">
        <v>0</v>
      </c>
      <c r="S10" s="301">
        <v>0</v>
      </c>
      <c r="T10" s="301">
        <v>0</v>
      </c>
      <c r="U10" s="301">
        <v>0</v>
      </c>
      <c r="V10" s="301">
        <v>0</v>
      </c>
      <c r="W10" s="301">
        <v>0</v>
      </c>
      <c r="X10" s="301">
        <v>0</v>
      </c>
      <c r="Y10" s="301">
        <v>0</v>
      </c>
      <c r="Z10" s="301">
        <v>0</v>
      </c>
      <c r="AA10" s="301">
        <v>0</v>
      </c>
      <c r="AB10" s="303">
        <v>2020</v>
      </c>
    </row>
    <row r="11" spans="1:28" ht="35.25" customHeight="1" x14ac:dyDescent="0.5">
      <c r="A11">
        <v>1</v>
      </c>
      <c r="B11" s="80">
        <f>SUBTOTAL(103,$A$9:A11)</f>
        <v>2</v>
      </c>
      <c r="C11" s="300" t="s">
        <v>1615</v>
      </c>
      <c r="D11" s="296">
        <f t="shared" si="2"/>
        <v>389342</v>
      </c>
      <c r="E11" s="304">
        <v>0</v>
      </c>
      <c r="F11" s="304">
        <v>0</v>
      </c>
      <c r="G11" s="304">
        <v>0</v>
      </c>
      <c r="H11" s="304">
        <v>0</v>
      </c>
      <c r="I11" s="304">
        <v>0</v>
      </c>
      <c r="J11" s="304">
        <v>0</v>
      </c>
      <c r="K11" s="305">
        <v>0</v>
      </c>
      <c r="L11" s="304">
        <v>0</v>
      </c>
      <c r="M11" s="304">
        <v>0</v>
      </c>
      <c r="N11" s="304">
        <v>0</v>
      </c>
      <c r="O11" s="304">
        <f>116802.6+272539.4</f>
        <v>389342</v>
      </c>
      <c r="P11" s="304">
        <v>0</v>
      </c>
      <c r="Q11" s="304">
        <v>0</v>
      </c>
      <c r="R11" s="304">
        <v>0</v>
      </c>
      <c r="S11" s="304">
        <v>0</v>
      </c>
      <c r="T11" s="304">
        <v>0</v>
      </c>
      <c r="U11" s="304">
        <v>0</v>
      </c>
      <c r="V11" s="304">
        <v>0</v>
      </c>
      <c r="W11" s="304">
        <v>0</v>
      </c>
      <c r="X11" s="304">
        <v>0</v>
      </c>
      <c r="Y11" s="304">
        <v>0</v>
      </c>
      <c r="Z11" s="304">
        <v>0</v>
      </c>
      <c r="AA11" s="304">
        <v>0</v>
      </c>
      <c r="AB11" s="303">
        <v>2020</v>
      </c>
    </row>
    <row r="12" spans="1:28" ht="35.25" customHeight="1" x14ac:dyDescent="0.5">
      <c r="A12">
        <v>1</v>
      </c>
      <c r="B12" s="80">
        <f>SUBTOTAL(103,$A$9:A12)</f>
        <v>3</v>
      </c>
      <c r="C12" s="300" t="s">
        <v>2321</v>
      </c>
      <c r="D12" s="296">
        <f t="shared" si="2"/>
        <v>880727</v>
      </c>
      <c r="E12" s="304">
        <v>0</v>
      </c>
      <c r="F12" s="304">
        <v>0</v>
      </c>
      <c r="G12" s="304">
        <v>0</v>
      </c>
      <c r="H12" s="304">
        <v>0</v>
      </c>
      <c r="I12" s="304">
        <v>0</v>
      </c>
      <c r="J12" s="304">
        <v>0</v>
      </c>
      <c r="K12" s="305">
        <v>2</v>
      </c>
      <c r="L12" s="304">
        <v>375931</v>
      </c>
      <c r="M12" s="304">
        <v>504796</v>
      </c>
      <c r="N12" s="304">
        <v>0</v>
      </c>
      <c r="O12" s="304">
        <v>0</v>
      </c>
      <c r="P12" s="304">
        <v>0</v>
      </c>
      <c r="Q12" s="304">
        <v>0</v>
      </c>
      <c r="R12" s="304">
        <v>0</v>
      </c>
      <c r="S12" s="304">
        <v>0</v>
      </c>
      <c r="T12" s="304">
        <v>0</v>
      </c>
      <c r="U12" s="304">
        <v>0</v>
      </c>
      <c r="V12" s="304">
        <v>0</v>
      </c>
      <c r="W12" s="304">
        <v>0</v>
      </c>
      <c r="X12" s="304">
        <v>0</v>
      </c>
      <c r="Y12" s="304">
        <v>0</v>
      </c>
      <c r="Z12" s="304">
        <v>0</v>
      </c>
      <c r="AA12" s="304">
        <v>0</v>
      </c>
      <c r="AB12" s="303">
        <v>2020</v>
      </c>
    </row>
    <row r="13" spans="1:28" ht="35.25" customHeight="1" x14ac:dyDescent="0.5">
      <c r="A13">
        <v>1</v>
      </c>
      <c r="B13" s="80">
        <f>SUBTOTAL(103,$A$9:A13)</f>
        <v>4</v>
      </c>
      <c r="C13" s="300" t="s">
        <v>1616</v>
      </c>
      <c r="D13" s="296">
        <f t="shared" si="2"/>
        <v>611403</v>
      </c>
      <c r="E13" s="301">
        <v>0</v>
      </c>
      <c r="F13" s="301">
        <v>0</v>
      </c>
      <c r="G13" s="301">
        <v>0</v>
      </c>
      <c r="H13" s="301">
        <v>0</v>
      </c>
      <c r="I13" s="301">
        <v>0</v>
      </c>
      <c r="J13" s="301">
        <v>0</v>
      </c>
      <c r="K13" s="302">
        <v>0</v>
      </c>
      <c r="L13" s="301">
        <v>0</v>
      </c>
      <c r="M13" s="301">
        <v>0</v>
      </c>
      <c r="N13" s="301">
        <v>0</v>
      </c>
      <c r="O13" s="301">
        <f>90148+521255</f>
        <v>611403</v>
      </c>
      <c r="P13" s="301">
        <v>0</v>
      </c>
      <c r="Q13" s="301">
        <v>0</v>
      </c>
      <c r="R13" s="301">
        <v>0</v>
      </c>
      <c r="S13" s="301">
        <v>0</v>
      </c>
      <c r="T13" s="301">
        <v>0</v>
      </c>
      <c r="U13" s="301">
        <v>0</v>
      </c>
      <c r="V13" s="301">
        <v>0</v>
      </c>
      <c r="W13" s="301">
        <v>0</v>
      </c>
      <c r="X13" s="301">
        <v>0</v>
      </c>
      <c r="Y13" s="301">
        <v>0</v>
      </c>
      <c r="Z13" s="301">
        <v>0</v>
      </c>
      <c r="AA13" s="301">
        <v>0</v>
      </c>
      <c r="AB13" s="303">
        <v>2020</v>
      </c>
    </row>
    <row r="14" spans="1:28" ht="35.25" customHeight="1" x14ac:dyDescent="0.5">
      <c r="A14">
        <v>1</v>
      </c>
      <c r="B14" s="80">
        <f>SUBTOTAL(103,$A$9:A14)</f>
        <v>5</v>
      </c>
      <c r="C14" s="300" t="s">
        <v>2322</v>
      </c>
      <c r="D14" s="296">
        <f t="shared" si="2"/>
        <v>414375.91000000003</v>
      </c>
      <c r="E14" s="301">
        <v>138125</v>
      </c>
      <c r="F14" s="301">
        <v>138125</v>
      </c>
      <c r="G14" s="301">
        <v>0</v>
      </c>
      <c r="H14" s="301">
        <v>138125.91</v>
      </c>
      <c r="I14" s="301">
        <v>0</v>
      </c>
      <c r="J14" s="301">
        <v>0</v>
      </c>
      <c r="K14" s="302">
        <v>0</v>
      </c>
      <c r="L14" s="301">
        <v>0</v>
      </c>
      <c r="M14" s="301">
        <v>0</v>
      </c>
      <c r="N14" s="301">
        <v>0</v>
      </c>
      <c r="O14" s="301">
        <v>0</v>
      </c>
      <c r="P14" s="301">
        <v>0</v>
      </c>
      <c r="Q14" s="301">
        <v>0</v>
      </c>
      <c r="R14" s="301">
        <v>0</v>
      </c>
      <c r="S14" s="301">
        <v>0</v>
      </c>
      <c r="T14" s="301">
        <v>0</v>
      </c>
      <c r="U14" s="301">
        <v>0</v>
      </c>
      <c r="V14" s="301">
        <v>0</v>
      </c>
      <c r="W14" s="301">
        <v>0</v>
      </c>
      <c r="X14" s="301">
        <v>0</v>
      </c>
      <c r="Y14" s="301">
        <v>0</v>
      </c>
      <c r="Z14" s="301">
        <v>0</v>
      </c>
      <c r="AA14" s="301">
        <v>0</v>
      </c>
      <c r="AB14" s="303">
        <v>2020</v>
      </c>
    </row>
    <row r="15" spans="1:28" ht="35.25" customHeight="1" x14ac:dyDescent="0.5">
      <c r="A15">
        <v>1</v>
      </c>
      <c r="B15" s="80">
        <f>SUBTOTAL(103,$A$9:A15)</f>
        <v>6</v>
      </c>
      <c r="C15" s="300" t="s">
        <v>2323</v>
      </c>
      <c r="D15" s="296">
        <f t="shared" si="2"/>
        <v>139199.96</v>
      </c>
      <c r="E15" s="301">
        <v>0</v>
      </c>
      <c r="F15" s="301">
        <v>0</v>
      </c>
      <c r="G15" s="301">
        <v>0</v>
      </c>
      <c r="H15" s="301">
        <v>0</v>
      </c>
      <c r="I15" s="301">
        <v>0</v>
      </c>
      <c r="J15" s="301">
        <v>0</v>
      </c>
      <c r="K15" s="302">
        <v>0</v>
      </c>
      <c r="L15" s="301">
        <v>0</v>
      </c>
      <c r="M15" s="301">
        <v>0</v>
      </c>
      <c r="N15" s="301">
        <v>59199.96</v>
      </c>
      <c r="O15" s="301">
        <v>80000</v>
      </c>
      <c r="P15" s="301">
        <v>0</v>
      </c>
      <c r="Q15" s="301">
        <v>0</v>
      </c>
      <c r="R15" s="301">
        <v>0</v>
      </c>
      <c r="S15" s="301">
        <v>0</v>
      </c>
      <c r="T15" s="301">
        <v>0</v>
      </c>
      <c r="U15" s="301">
        <v>0</v>
      </c>
      <c r="V15" s="301">
        <v>0</v>
      </c>
      <c r="W15" s="301">
        <v>0</v>
      </c>
      <c r="X15" s="301">
        <v>0</v>
      </c>
      <c r="Y15" s="301">
        <v>0</v>
      </c>
      <c r="Z15" s="301">
        <v>0</v>
      </c>
      <c r="AA15" s="301">
        <v>0</v>
      </c>
      <c r="AB15" s="303">
        <v>2020</v>
      </c>
    </row>
    <row r="16" spans="1:28" ht="35.25" customHeight="1" x14ac:dyDescent="0.5">
      <c r="A16">
        <v>1</v>
      </c>
      <c r="B16" s="80">
        <f>SUBTOTAL(103,$A$9:A16)</f>
        <v>7</v>
      </c>
      <c r="C16" s="300" t="s">
        <v>1617</v>
      </c>
      <c r="D16" s="296">
        <f t="shared" si="2"/>
        <v>238788.19999999998</v>
      </c>
      <c r="E16" s="301">
        <v>0</v>
      </c>
      <c r="F16" s="301">
        <v>0</v>
      </c>
      <c r="G16" s="301">
        <v>0</v>
      </c>
      <c r="H16" s="301">
        <v>0</v>
      </c>
      <c r="I16" s="301">
        <v>0</v>
      </c>
      <c r="J16" s="301">
        <v>0</v>
      </c>
      <c r="K16" s="302">
        <v>0</v>
      </c>
      <c r="L16" s="301">
        <v>0</v>
      </c>
      <c r="M16" s="301">
        <v>0</v>
      </c>
      <c r="N16" s="301">
        <v>150788.79999999999</v>
      </c>
      <c r="O16" s="301">
        <v>87999.4</v>
      </c>
      <c r="P16" s="301">
        <v>0</v>
      </c>
      <c r="Q16" s="301">
        <v>0</v>
      </c>
      <c r="R16" s="301">
        <v>0</v>
      </c>
      <c r="S16" s="301">
        <v>0</v>
      </c>
      <c r="T16" s="301">
        <v>0</v>
      </c>
      <c r="U16" s="301">
        <v>0</v>
      </c>
      <c r="V16" s="301">
        <v>0</v>
      </c>
      <c r="W16" s="301">
        <v>0</v>
      </c>
      <c r="X16" s="301">
        <v>0</v>
      </c>
      <c r="Y16" s="301">
        <v>0</v>
      </c>
      <c r="Z16" s="301">
        <v>0</v>
      </c>
      <c r="AA16" s="301">
        <v>0</v>
      </c>
      <c r="AB16" s="303">
        <v>2020</v>
      </c>
    </row>
    <row r="17" spans="1:28" ht="35.25" customHeight="1" x14ac:dyDescent="0.5">
      <c r="A17">
        <v>1</v>
      </c>
      <c r="B17" s="80">
        <f>SUBTOTAL(103,$A$9:A17)</f>
        <v>8</v>
      </c>
      <c r="C17" s="300" t="s">
        <v>1618</v>
      </c>
      <c r="D17" s="296">
        <f t="shared" si="2"/>
        <v>860000</v>
      </c>
      <c r="E17" s="301">
        <v>0</v>
      </c>
      <c r="F17" s="301">
        <v>0</v>
      </c>
      <c r="G17" s="301">
        <v>0</v>
      </c>
      <c r="H17" s="301">
        <v>0</v>
      </c>
      <c r="I17" s="301">
        <v>860000</v>
      </c>
      <c r="J17" s="301">
        <v>0</v>
      </c>
      <c r="K17" s="302">
        <v>0</v>
      </c>
      <c r="L17" s="301">
        <v>0</v>
      </c>
      <c r="M17" s="301">
        <v>0</v>
      </c>
      <c r="N17" s="301">
        <v>0</v>
      </c>
      <c r="O17" s="301">
        <v>0</v>
      </c>
      <c r="P17" s="301">
        <v>0</v>
      </c>
      <c r="Q17" s="301">
        <v>0</v>
      </c>
      <c r="R17" s="301">
        <v>0</v>
      </c>
      <c r="S17" s="301">
        <v>0</v>
      </c>
      <c r="T17" s="301">
        <v>0</v>
      </c>
      <c r="U17" s="301">
        <v>0</v>
      </c>
      <c r="V17" s="301">
        <v>0</v>
      </c>
      <c r="W17" s="301">
        <v>0</v>
      </c>
      <c r="X17" s="301">
        <v>0</v>
      </c>
      <c r="Y17" s="301">
        <v>0</v>
      </c>
      <c r="Z17" s="301">
        <v>0</v>
      </c>
      <c r="AA17" s="301">
        <v>0</v>
      </c>
      <c r="AB17" s="303">
        <v>2020</v>
      </c>
    </row>
    <row r="18" spans="1:28" ht="35.25" customHeight="1" x14ac:dyDescent="0.5">
      <c r="A18">
        <v>1</v>
      </c>
      <c r="B18" s="80">
        <f>SUBTOTAL(103,$A$9:A18)</f>
        <v>9</v>
      </c>
      <c r="C18" s="300" t="s">
        <v>1619</v>
      </c>
      <c r="D18" s="296">
        <f t="shared" si="2"/>
        <v>120500</v>
      </c>
      <c r="E18" s="301">
        <v>0</v>
      </c>
      <c r="F18" s="301">
        <v>0</v>
      </c>
      <c r="G18" s="301">
        <v>0</v>
      </c>
      <c r="H18" s="301">
        <v>0</v>
      </c>
      <c r="I18" s="301">
        <v>0</v>
      </c>
      <c r="J18" s="301">
        <v>0</v>
      </c>
      <c r="K18" s="302">
        <v>0</v>
      </c>
      <c r="L18" s="301">
        <v>0</v>
      </c>
      <c r="M18" s="301">
        <f>31500+89000</f>
        <v>120500</v>
      </c>
      <c r="N18" s="301">
        <v>0</v>
      </c>
      <c r="O18" s="301">
        <v>0</v>
      </c>
      <c r="P18" s="301">
        <v>0</v>
      </c>
      <c r="Q18" s="301">
        <v>0</v>
      </c>
      <c r="R18" s="301">
        <v>0</v>
      </c>
      <c r="S18" s="301">
        <v>0</v>
      </c>
      <c r="T18" s="301">
        <v>0</v>
      </c>
      <c r="U18" s="301">
        <v>0</v>
      </c>
      <c r="V18" s="301">
        <v>0</v>
      </c>
      <c r="W18" s="301">
        <v>0</v>
      </c>
      <c r="X18" s="301">
        <v>0</v>
      </c>
      <c r="Y18" s="301">
        <v>0</v>
      </c>
      <c r="Z18" s="301">
        <v>0</v>
      </c>
      <c r="AA18" s="301">
        <v>0</v>
      </c>
      <c r="AB18" s="303">
        <v>2020</v>
      </c>
    </row>
    <row r="19" spans="1:28" ht="35.25" customHeight="1" x14ac:dyDescent="0.5">
      <c r="A19">
        <v>1</v>
      </c>
      <c r="B19" s="80">
        <f>SUBTOTAL(103,$A$9:A19)</f>
        <v>10</v>
      </c>
      <c r="C19" s="300" t="s">
        <v>1620</v>
      </c>
      <c r="D19" s="296">
        <f t="shared" si="2"/>
        <v>102980</v>
      </c>
      <c r="E19" s="301">
        <v>0</v>
      </c>
      <c r="F19" s="301">
        <v>0</v>
      </c>
      <c r="G19" s="301">
        <v>0</v>
      </c>
      <c r="H19" s="301">
        <v>0</v>
      </c>
      <c r="I19" s="301">
        <v>0</v>
      </c>
      <c r="J19" s="301">
        <v>0</v>
      </c>
      <c r="K19" s="302">
        <v>0</v>
      </c>
      <c r="L19" s="301">
        <v>0</v>
      </c>
      <c r="M19" s="301">
        <v>0</v>
      </c>
      <c r="N19" s="301">
        <v>0</v>
      </c>
      <c r="O19" s="301">
        <v>102980</v>
      </c>
      <c r="P19" s="301">
        <v>0</v>
      </c>
      <c r="Q19" s="301">
        <v>0</v>
      </c>
      <c r="R19" s="301">
        <v>0</v>
      </c>
      <c r="S19" s="301">
        <v>0</v>
      </c>
      <c r="T19" s="301">
        <v>0</v>
      </c>
      <c r="U19" s="301">
        <v>0</v>
      </c>
      <c r="V19" s="301">
        <v>0</v>
      </c>
      <c r="W19" s="301">
        <v>0</v>
      </c>
      <c r="X19" s="301">
        <v>0</v>
      </c>
      <c r="Y19" s="301">
        <v>0</v>
      </c>
      <c r="Z19" s="301">
        <v>0</v>
      </c>
      <c r="AA19" s="301">
        <v>0</v>
      </c>
      <c r="AB19" s="303">
        <v>2020</v>
      </c>
    </row>
    <row r="20" spans="1:28" ht="35.25" customHeight="1" x14ac:dyDescent="0.5">
      <c r="A20">
        <v>1</v>
      </c>
      <c r="B20" s="80">
        <f>SUBTOTAL(103,$A$9:A20)</f>
        <v>11</v>
      </c>
      <c r="C20" s="300" t="s">
        <v>1621</v>
      </c>
      <c r="D20" s="296">
        <f t="shared" si="2"/>
        <v>548443</v>
      </c>
      <c r="E20" s="301">
        <v>0</v>
      </c>
      <c r="F20" s="301">
        <v>0</v>
      </c>
      <c r="G20" s="301">
        <v>0</v>
      </c>
      <c r="H20" s="301">
        <v>0</v>
      </c>
      <c r="I20" s="301">
        <v>0</v>
      </c>
      <c r="J20" s="301">
        <v>0</v>
      </c>
      <c r="K20" s="302">
        <v>0</v>
      </c>
      <c r="L20" s="301">
        <v>0</v>
      </c>
      <c r="M20" s="301">
        <v>0</v>
      </c>
      <c r="N20" s="301">
        <v>0</v>
      </c>
      <c r="O20" s="301">
        <v>548443</v>
      </c>
      <c r="P20" s="301">
        <v>0</v>
      </c>
      <c r="Q20" s="301">
        <v>0</v>
      </c>
      <c r="R20" s="301">
        <v>0</v>
      </c>
      <c r="S20" s="301">
        <v>0</v>
      </c>
      <c r="T20" s="301">
        <v>0</v>
      </c>
      <c r="U20" s="301">
        <v>0</v>
      </c>
      <c r="V20" s="301">
        <v>0</v>
      </c>
      <c r="W20" s="301">
        <v>0</v>
      </c>
      <c r="X20" s="301">
        <v>0</v>
      </c>
      <c r="Y20" s="301">
        <v>0</v>
      </c>
      <c r="Z20" s="301">
        <v>0</v>
      </c>
      <c r="AA20" s="301">
        <v>0</v>
      </c>
      <c r="AB20" s="303">
        <v>2020</v>
      </c>
    </row>
    <row r="21" spans="1:28" ht="35.25" customHeight="1" x14ac:dyDescent="0.5">
      <c r="A21">
        <v>1</v>
      </c>
      <c r="B21" s="80">
        <f>SUBTOTAL(103,$A$9:A21)</f>
        <v>12</v>
      </c>
      <c r="C21" s="300" t="s">
        <v>1622</v>
      </c>
      <c r="D21" s="296">
        <f t="shared" si="2"/>
        <v>302478.55</v>
      </c>
      <c r="E21" s="301">
        <v>0</v>
      </c>
      <c r="F21" s="301">
        <v>0</v>
      </c>
      <c r="G21" s="301">
        <v>0</v>
      </c>
      <c r="H21" s="301">
        <v>0</v>
      </c>
      <c r="I21" s="301">
        <v>0</v>
      </c>
      <c r="J21" s="301">
        <v>0</v>
      </c>
      <c r="K21" s="302">
        <v>0</v>
      </c>
      <c r="L21" s="301">
        <v>0</v>
      </c>
      <c r="M21" s="301">
        <v>0</v>
      </c>
      <c r="N21" s="301">
        <v>106078.31</v>
      </c>
      <c r="O21" s="301">
        <f>81255.24+34543.5</f>
        <v>115798.74</v>
      </c>
      <c r="P21" s="301">
        <v>80601.5</v>
      </c>
      <c r="Q21" s="301">
        <v>0</v>
      </c>
      <c r="R21" s="301">
        <v>0</v>
      </c>
      <c r="S21" s="301">
        <v>0</v>
      </c>
      <c r="T21" s="301">
        <v>0</v>
      </c>
      <c r="U21" s="301">
        <v>0</v>
      </c>
      <c r="V21" s="301">
        <v>0</v>
      </c>
      <c r="W21" s="301">
        <v>0</v>
      </c>
      <c r="X21" s="301">
        <v>0</v>
      </c>
      <c r="Y21" s="301">
        <v>0</v>
      </c>
      <c r="Z21" s="301">
        <v>0</v>
      </c>
      <c r="AA21" s="301">
        <v>0</v>
      </c>
      <c r="AB21" s="303">
        <v>2020</v>
      </c>
    </row>
    <row r="22" spans="1:28" ht="35.25" customHeight="1" x14ac:dyDescent="0.5">
      <c r="A22">
        <v>1</v>
      </c>
      <c r="B22" s="80">
        <f>SUBTOTAL(103,$A$9:A22)</f>
        <v>13</v>
      </c>
      <c r="C22" s="300" t="s">
        <v>1623</v>
      </c>
      <c r="D22" s="296">
        <f t="shared" si="2"/>
        <v>373056.34</v>
      </c>
      <c r="E22" s="301">
        <v>0</v>
      </c>
      <c r="F22" s="301">
        <v>0</v>
      </c>
      <c r="G22" s="301">
        <f>75345.7+175806.64</f>
        <v>251152.34000000003</v>
      </c>
      <c r="H22" s="301">
        <v>0</v>
      </c>
      <c r="I22" s="301">
        <v>0</v>
      </c>
      <c r="J22" s="301">
        <v>0</v>
      </c>
      <c r="K22" s="302">
        <v>1</v>
      </c>
      <c r="L22" s="301">
        <v>50907</v>
      </c>
      <c r="M22" s="301">
        <v>0</v>
      </c>
      <c r="N22" s="301">
        <v>70997</v>
      </c>
      <c r="O22" s="301">
        <v>0</v>
      </c>
      <c r="P22" s="301">
        <v>0</v>
      </c>
      <c r="Q22" s="301">
        <v>0</v>
      </c>
      <c r="R22" s="301">
        <v>0</v>
      </c>
      <c r="S22" s="301">
        <v>0</v>
      </c>
      <c r="T22" s="301">
        <v>0</v>
      </c>
      <c r="U22" s="301">
        <v>0</v>
      </c>
      <c r="V22" s="301">
        <v>0</v>
      </c>
      <c r="W22" s="301">
        <v>0</v>
      </c>
      <c r="X22" s="301">
        <v>0</v>
      </c>
      <c r="Y22" s="301">
        <v>0</v>
      </c>
      <c r="Z22" s="301">
        <v>0</v>
      </c>
      <c r="AA22" s="301">
        <v>0</v>
      </c>
      <c r="AB22" s="303">
        <v>2020</v>
      </c>
    </row>
    <row r="23" spans="1:28" ht="35.25" customHeight="1" x14ac:dyDescent="0.5">
      <c r="A23">
        <v>1</v>
      </c>
      <c r="B23" s="80">
        <f>SUBTOTAL(103,$A$9:A23)</f>
        <v>14</v>
      </c>
      <c r="C23" s="300" t="s">
        <v>2324</v>
      </c>
      <c r="D23" s="296">
        <f t="shared" si="2"/>
        <v>191000</v>
      </c>
      <c r="E23" s="301">
        <v>0</v>
      </c>
      <c r="F23" s="301">
        <v>0</v>
      </c>
      <c r="G23" s="301">
        <v>191000</v>
      </c>
      <c r="H23" s="301">
        <v>0</v>
      </c>
      <c r="I23" s="301">
        <v>0</v>
      </c>
      <c r="J23" s="301">
        <v>0</v>
      </c>
      <c r="K23" s="302">
        <v>0</v>
      </c>
      <c r="L23" s="301">
        <v>0</v>
      </c>
      <c r="M23" s="301">
        <v>0</v>
      </c>
      <c r="N23" s="301">
        <v>0</v>
      </c>
      <c r="O23" s="301">
        <v>0</v>
      </c>
      <c r="P23" s="301">
        <v>0</v>
      </c>
      <c r="Q23" s="301">
        <v>0</v>
      </c>
      <c r="R23" s="301">
        <v>0</v>
      </c>
      <c r="S23" s="301">
        <v>0</v>
      </c>
      <c r="T23" s="301">
        <v>0</v>
      </c>
      <c r="U23" s="301">
        <v>0</v>
      </c>
      <c r="V23" s="301">
        <v>0</v>
      </c>
      <c r="W23" s="301">
        <v>0</v>
      </c>
      <c r="X23" s="301">
        <v>0</v>
      </c>
      <c r="Y23" s="301">
        <v>0</v>
      </c>
      <c r="Z23" s="301">
        <v>0</v>
      </c>
      <c r="AA23" s="301">
        <v>0</v>
      </c>
      <c r="AB23" s="303">
        <v>2020</v>
      </c>
    </row>
    <row r="24" spans="1:28" ht="35.25" customHeight="1" x14ac:dyDescent="0.5">
      <c r="A24">
        <v>1</v>
      </c>
      <c r="B24" s="80">
        <f>SUBTOTAL(103,$A$9:A24)</f>
        <v>15</v>
      </c>
      <c r="C24" s="300" t="s">
        <v>2325</v>
      </c>
      <c r="D24" s="296">
        <f t="shared" si="2"/>
        <v>405405</v>
      </c>
      <c r="E24" s="301">
        <v>0</v>
      </c>
      <c r="F24" s="301">
        <v>0</v>
      </c>
      <c r="G24" s="301">
        <v>0</v>
      </c>
      <c r="H24" s="301">
        <v>0</v>
      </c>
      <c r="I24" s="301">
        <v>0</v>
      </c>
      <c r="J24" s="301">
        <v>0</v>
      </c>
      <c r="K24" s="302">
        <v>0</v>
      </c>
      <c r="L24" s="301">
        <v>0</v>
      </c>
      <c r="M24" s="301">
        <v>405405</v>
      </c>
      <c r="N24" s="301">
        <v>0</v>
      </c>
      <c r="O24" s="301">
        <v>0</v>
      </c>
      <c r="P24" s="301">
        <v>0</v>
      </c>
      <c r="Q24" s="301">
        <v>0</v>
      </c>
      <c r="R24" s="301">
        <v>0</v>
      </c>
      <c r="S24" s="301">
        <v>0</v>
      </c>
      <c r="T24" s="301">
        <v>0</v>
      </c>
      <c r="U24" s="301">
        <v>0</v>
      </c>
      <c r="V24" s="301">
        <v>0</v>
      </c>
      <c r="W24" s="301">
        <v>0</v>
      </c>
      <c r="X24" s="301">
        <v>0</v>
      </c>
      <c r="Y24" s="301">
        <v>0</v>
      </c>
      <c r="Z24" s="301">
        <v>0</v>
      </c>
      <c r="AA24" s="301">
        <v>0</v>
      </c>
      <c r="AB24" s="303">
        <v>2020</v>
      </c>
    </row>
    <row r="25" spans="1:28" ht="35.25" customHeight="1" x14ac:dyDescent="0.5">
      <c r="A25">
        <v>1</v>
      </c>
      <c r="B25" s="80">
        <f>SUBTOTAL(103,$A$9:A25)</f>
        <v>16</v>
      </c>
      <c r="C25" s="300" t="s">
        <v>2326</v>
      </c>
      <c r="D25" s="296">
        <f t="shared" si="2"/>
        <v>291196</v>
      </c>
      <c r="E25" s="301">
        <v>0</v>
      </c>
      <c r="F25" s="301">
        <v>0</v>
      </c>
      <c r="G25" s="301">
        <v>0</v>
      </c>
      <c r="H25" s="301">
        <v>0</v>
      </c>
      <c r="I25" s="301">
        <v>0</v>
      </c>
      <c r="J25" s="301">
        <v>0</v>
      </c>
      <c r="K25" s="302">
        <v>0</v>
      </c>
      <c r="L25" s="301">
        <v>0</v>
      </c>
      <c r="M25" s="301">
        <v>0</v>
      </c>
      <c r="N25" s="301">
        <v>0</v>
      </c>
      <c r="O25" s="301">
        <v>291196</v>
      </c>
      <c r="P25" s="301">
        <v>0</v>
      </c>
      <c r="Q25" s="301">
        <v>0</v>
      </c>
      <c r="R25" s="301">
        <v>0</v>
      </c>
      <c r="S25" s="301">
        <v>0</v>
      </c>
      <c r="T25" s="301">
        <v>0</v>
      </c>
      <c r="U25" s="301">
        <v>0</v>
      </c>
      <c r="V25" s="301">
        <v>0</v>
      </c>
      <c r="W25" s="301">
        <v>0</v>
      </c>
      <c r="X25" s="301">
        <v>0</v>
      </c>
      <c r="Y25" s="301">
        <v>0</v>
      </c>
      <c r="Z25" s="301">
        <v>0</v>
      </c>
      <c r="AA25" s="301">
        <v>0</v>
      </c>
      <c r="AB25" s="303">
        <v>2020</v>
      </c>
    </row>
    <row r="26" spans="1:28" ht="35.25" customHeight="1" x14ac:dyDescent="0.5">
      <c r="A26">
        <v>1</v>
      </c>
      <c r="B26" s="80">
        <f>SUBTOTAL(103,$A$9:A26)</f>
        <v>17</v>
      </c>
      <c r="C26" s="300" t="s">
        <v>1625</v>
      </c>
      <c r="D26" s="296">
        <f t="shared" si="2"/>
        <v>1208460</v>
      </c>
      <c r="E26" s="301">
        <v>0</v>
      </c>
      <c r="F26" s="301">
        <v>0</v>
      </c>
      <c r="G26" s="301">
        <v>0</v>
      </c>
      <c r="H26" s="301">
        <v>0</v>
      </c>
      <c r="I26" s="301">
        <v>0</v>
      </c>
      <c r="J26" s="301">
        <v>0</v>
      </c>
      <c r="K26" s="302">
        <v>0</v>
      </c>
      <c r="L26" s="301">
        <v>0</v>
      </c>
      <c r="M26" s="301">
        <v>0</v>
      </c>
      <c r="N26" s="301">
        <v>0</v>
      </c>
      <c r="O26" s="301">
        <v>1208460</v>
      </c>
      <c r="P26" s="301">
        <v>0</v>
      </c>
      <c r="Q26" s="301">
        <v>0</v>
      </c>
      <c r="R26" s="301">
        <v>0</v>
      </c>
      <c r="S26" s="301">
        <v>0</v>
      </c>
      <c r="T26" s="301">
        <v>0</v>
      </c>
      <c r="U26" s="301">
        <v>0</v>
      </c>
      <c r="V26" s="301">
        <v>0</v>
      </c>
      <c r="W26" s="301">
        <v>0</v>
      </c>
      <c r="X26" s="301">
        <v>0</v>
      </c>
      <c r="Y26" s="301">
        <v>0</v>
      </c>
      <c r="Z26" s="301">
        <v>0</v>
      </c>
      <c r="AA26" s="301">
        <v>0</v>
      </c>
      <c r="AB26" s="303">
        <v>2020</v>
      </c>
    </row>
    <row r="27" spans="1:28" ht="35.25" customHeight="1" x14ac:dyDescent="0.5">
      <c r="A27">
        <v>1</v>
      </c>
      <c r="B27" s="80">
        <f>SUBTOTAL(103,$A$9:A27)</f>
        <v>18</v>
      </c>
      <c r="C27" s="300" t="s">
        <v>1626</v>
      </c>
      <c r="D27" s="296">
        <f t="shared" si="2"/>
        <v>121531</v>
      </c>
      <c r="E27" s="301">
        <v>0</v>
      </c>
      <c r="F27" s="301">
        <v>0</v>
      </c>
      <c r="G27" s="301">
        <v>0</v>
      </c>
      <c r="H27" s="301">
        <v>0</v>
      </c>
      <c r="I27" s="301">
        <v>0</v>
      </c>
      <c r="J27" s="301">
        <v>0</v>
      </c>
      <c r="K27" s="302">
        <v>1</v>
      </c>
      <c r="L27" s="301">
        <v>121531</v>
      </c>
      <c r="M27" s="301">
        <v>0</v>
      </c>
      <c r="N27" s="301">
        <v>0</v>
      </c>
      <c r="O27" s="301">
        <v>0</v>
      </c>
      <c r="P27" s="301">
        <v>0</v>
      </c>
      <c r="Q27" s="301">
        <v>0</v>
      </c>
      <c r="R27" s="301">
        <v>0</v>
      </c>
      <c r="S27" s="301">
        <v>0</v>
      </c>
      <c r="T27" s="301">
        <v>0</v>
      </c>
      <c r="U27" s="301">
        <v>0</v>
      </c>
      <c r="V27" s="301">
        <v>0</v>
      </c>
      <c r="W27" s="301">
        <v>0</v>
      </c>
      <c r="X27" s="301">
        <v>0</v>
      </c>
      <c r="Y27" s="301">
        <v>0</v>
      </c>
      <c r="Z27" s="301">
        <v>0</v>
      </c>
      <c r="AA27" s="301">
        <v>0</v>
      </c>
      <c r="AB27" s="303">
        <v>2020</v>
      </c>
    </row>
    <row r="28" spans="1:28" ht="35.25" customHeight="1" x14ac:dyDescent="0.5">
      <c r="A28">
        <v>1</v>
      </c>
      <c r="B28" s="80">
        <f>SUBTOTAL(103,$A$9:A28)</f>
        <v>19</v>
      </c>
      <c r="C28" s="300" t="s">
        <v>1627</v>
      </c>
      <c r="D28" s="296">
        <f t="shared" si="2"/>
        <v>224568</v>
      </c>
      <c r="E28" s="301">
        <v>0</v>
      </c>
      <c r="F28" s="301">
        <v>0</v>
      </c>
      <c r="G28" s="301">
        <v>224568</v>
      </c>
      <c r="H28" s="301">
        <v>0</v>
      </c>
      <c r="I28" s="301">
        <v>0</v>
      </c>
      <c r="J28" s="301">
        <v>0</v>
      </c>
      <c r="K28" s="302">
        <v>0</v>
      </c>
      <c r="L28" s="301">
        <v>0</v>
      </c>
      <c r="M28" s="301">
        <v>0</v>
      </c>
      <c r="N28" s="301">
        <v>0</v>
      </c>
      <c r="O28" s="301">
        <v>0</v>
      </c>
      <c r="P28" s="301">
        <v>0</v>
      </c>
      <c r="Q28" s="301">
        <v>0</v>
      </c>
      <c r="R28" s="301">
        <v>0</v>
      </c>
      <c r="S28" s="301">
        <v>0</v>
      </c>
      <c r="T28" s="301">
        <v>0</v>
      </c>
      <c r="U28" s="301">
        <v>0</v>
      </c>
      <c r="V28" s="301">
        <v>0</v>
      </c>
      <c r="W28" s="301">
        <v>0</v>
      </c>
      <c r="X28" s="301">
        <v>0</v>
      </c>
      <c r="Y28" s="301">
        <v>0</v>
      </c>
      <c r="Z28" s="301">
        <v>0</v>
      </c>
      <c r="AA28" s="301">
        <v>0</v>
      </c>
      <c r="AB28" s="303">
        <v>2020</v>
      </c>
    </row>
    <row r="29" spans="1:28" ht="35.25" customHeight="1" x14ac:dyDescent="0.5">
      <c r="A29">
        <v>1</v>
      </c>
      <c r="B29" s="80">
        <f>SUBTOTAL(103,$A$9:A29)</f>
        <v>20</v>
      </c>
      <c r="C29" s="300" t="s">
        <v>1628</v>
      </c>
      <c r="D29" s="296">
        <f t="shared" si="2"/>
        <v>114203.1</v>
      </c>
      <c r="E29" s="301">
        <v>20000</v>
      </c>
      <c r="F29" s="301">
        <v>38650</v>
      </c>
      <c r="G29" s="301">
        <v>0</v>
      </c>
      <c r="H29" s="301">
        <v>0</v>
      </c>
      <c r="I29" s="301">
        <v>0</v>
      </c>
      <c r="J29" s="301">
        <v>0</v>
      </c>
      <c r="K29" s="302">
        <v>1</v>
      </c>
      <c r="L29" s="301">
        <v>55553.1</v>
      </c>
      <c r="M29" s="301">
        <v>0</v>
      </c>
      <c r="N29" s="301">
        <v>0</v>
      </c>
      <c r="O29" s="301">
        <v>0</v>
      </c>
      <c r="P29" s="301">
        <v>0</v>
      </c>
      <c r="Q29" s="301">
        <v>0</v>
      </c>
      <c r="R29" s="301">
        <v>0</v>
      </c>
      <c r="S29" s="301">
        <v>0</v>
      </c>
      <c r="T29" s="301">
        <v>0</v>
      </c>
      <c r="U29" s="301">
        <v>0</v>
      </c>
      <c r="V29" s="301">
        <v>0</v>
      </c>
      <c r="W29" s="301">
        <v>0</v>
      </c>
      <c r="X29" s="301">
        <v>0</v>
      </c>
      <c r="Y29" s="301">
        <v>0</v>
      </c>
      <c r="Z29" s="301">
        <v>0</v>
      </c>
      <c r="AA29" s="301">
        <v>0</v>
      </c>
      <c r="AB29" s="303">
        <v>2020</v>
      </c>
    </row>
    <row r="30" spans="1:28" ht="35.25" customHeight="1" x14ac:dyDescent="0.5">
      <c r="A30">
        <v>1</v>
      </c>
      <c r="B30" s="80">
        <f>SUBTOTAL(103,$A$9:A30)</f>
        <v>21</v>
      </c>
      <c r="C30" s="300" t="s">
        <v>1629</v>
      </c>
      <c r="D30" s="296">
        <f t="shared" si="2"/>
        <v>869766.7</v>
      </c>
      <c r="E30" s="301">
        <v>0</v>
      </c>
      <c r="F30" s="301">
        <v>677767</v>
      </c>
      <c r="G30" s="301">
        <v>0</v>
      </c>
      <c r="H30" s="301">
        <v>0</v>
      </c>
      <c r="I30" s="301">
        <v>0</v>
      </c>
      <c r="J30" s="301">
        <v>0</v>
      </c>
      <c r="K30" s="302">
        <v>0</v>
      </c>
      <c r="L30" s="301">
        <v>0</v>
      </c>
      <c r="M30" s="301">
        <v>0</v>
      </c>
      <c r="N30" s="301">
        <v>0</v>
      </c>
      <c r="O30" s="301">
        <v>0</v>
      </c>
      <c r="P30" s="301">
        <v>191999.7</v>
      </c>
      <c r="Q30" s="301">
        <v>0</v>
      </c>
      <c r="R30" s="301">
        <v>0</v>
      </c>
      <c r="S30" s="301">
        <v>0</v>
      </c>
      <c r="T30" s="301">
        <v>0</v>
      </c>
      <c r="U30" s="301">
        <v>0</v>
      </c>
      <c r="V30" s="301">
        <v>0</v>
      </c>
      <c r="W30" s="301">
        <v>0</v>
      </c>
      <c r="X30" s="301">
        <v>0</v>
      </c>
      <c r="Y30" s="301">
        <v>0</v>
      </c>
      <c r="Z30" s="301">
        <v>0</v>
      </c>
      <c r="AA30" s="301">
        <v>0</v>
      </c>
      <c r="AB30" s="303">
        <v>2020</v>
      </c>
    </row>
    <row r="31" spans="1:28" ht="35.25" customHeight="1" x14ac:dyDescent="0.5">
      <c r="A31">
        <v>1</v>
      </c>
      <c r="B31" s="80">
        <f>SUBTOTAL(103,$A$9:A31)</f>
        <v>22</v>
      </c>
      <c r="C31" s="300" t="s">
        <v>1630</v>
      </c>
      <c r="D31" s="296">
        <f t="shared" si="2"/>
        <v>255222.3</v>
      </c>
      <c r="E31" s="301">
        <v>0</v>
      </c>
      <c r="F31" s="301">
        <v>0</v>
      </c>
      <c r="G31" s="301">
        <v>0</v>
      </c>
      <c r="H31" s="301">
        <v>0</v>
      </c>
      <c r="I31" s="301">
        <v>0</v>
      </c>
      <c r="J31" s="301">
        <v>0</v>
      </c>
      <c r="K31" s="302">
        <v>1</v>
      </c>
      <c r="L31" s="301">
        <f>11188+43083</f>
        <v>54271</v>
      </c>
      <c r="M31" s="301">
        <v>0</v>
      </c>
      <c r="N31" s="301">
        <v>0</v>
      </c>
      <c r="O31" s="301">
        <v>65890.55</v>
      </c>
      <c r="P31" s="301">
        <v>135060.75</v>
      </c>
      <c r="Q31" s="301">
        <v>0</v>
      </c>
      <c r="R31" s="301">
        <v>0</v>
      </c>
      <c r="S31" s="301">
        <v>0</v>
      </c>
      <c r="T31" s="301">
        <v>0</v>
      </c>
      <c r="U31" s="301">
        <v>0</v>
      </c>
      <c r="V31" s="301">
        <v>0</v>
      </c>
      <c r="W31" s="301">
        <v>0</v>
      </c>
      <c r="X31" s="301">
        <v>0</v>
      </c>
      <c r="Y31" s="301">
        <v>0</v>
      </c>
      <c r="Z31" s="301">
        <v>0</v>
      </c>
      <c r="AA31" s="301">
        <v>0</v>
      </c>
      <c r="AB31" s="303">
        <v>2020</v>
      </c>
    </row>
    <row r="32" spans="1:28" ht="35.25" customHeight="1" x14ac:dyDescent="0.5">
      <c r="A32">
        <v>1</v>
      </c>
      <c r="B32" s="80">
        <f>SUBTOTAL(103,$A$9:A32)</f>
        <v>23</v>
      </c>
      <c r="C32" s="300" t="s">
        <v>2327</v>
      </c>
      <c r="D32" s="296">
        <f t="shared" si="2"/>
        <v>370000</v>
      </c>
      <c r="E32" s="301">
        <v>0</v>
      </c>
      <c r="F32" s="301">
        <v>0</v>
      </c>
      <c r="G32" s="301">
        <v>0</v>
      </c>
      <c r="H32" s="301">
        <v>0</v>
      </c>
      <c r="I32" s="301">
        <v>0</v>
      </c>
      <c r="J32" s="301">
        <v>0</v>
      </c>
      <c r="K32" s="302">
        <v>1</v>
      </c>
      <c r="L32" s="301">
        <v>370000</v>
      </c>
      <c r="M32" s="301">
        <v>0</v>
      </c>
      <c r="N32" s="301">
        <v>0</v>
      </c>
      <c r="O32" s="301">
        <v>0</v>
      </c>
      <c r="P32" s="301">
        <v>0</v>
      </c>
      <c r="Q32" s="301">
        <v>0</v>
      </c>
      <c r="R32" s="301">
        <v>0</v>
      </c>
      <c r="S32" s="301">
        <v>0</v>
      </c>
      <c r="T32" s="301">
        <v>0</v>
      </c>
      <c r="U32" s="301">
        <v>0</v>
      </c>
      <c r="V32" s="301">
        <v>0</v>
      </c>
      <c r="W32" s="301">
        <v>0</v>
      </c>
      <c r="X32" s="301">
        <v>0</v>
      </c>
      <c r="Y32" s="301">
        <v>0</v>
      </c>
      <c r="Z32" s="301">
        <v>0</v>
      </c>
      <c r="AA32" s="301">
        <v>0</v>
      </c>
      <c r="AB32" s="303">
        <v>2020</v>
      </c>
    </row>
    <row r="33" spans="1:28" ht="35.25" customHeight="1" x14ac:dyDescent="0.5">
      <c r="A33">
        <v>1</v>
      </c>
      <c r="B33" s="80">
        <f>SUBTOTAL(103,$A$9:A33)</f>
        <v>24</v>
      </c>
      <c r="C33" s="300" t="s">
        <v>2328</v>
      </c>
      <c r="D33" s="296">
        <f t="shared" si="2"/>
        <v>400000</v>
      </c>
      <c r="E33" s="301">
        <v>0</v>
      </c>
      <c r="F33" s="301">
        <v>0</v>
      </c>
      <c r="G33" s="301">
        <v>0</v>
      </c>
      <c r="H33" s="301">
        <v>0</v>
      </c>
      <c r="I33" s="301">
        <v>0</v>
      </c>
      <c r="J33" s="301">
        <v>0</v>
      </c>
      <c r="K33" s="302">
        <v>0</v>
      </c>
      <c r="L33" s="301">
        <v>0</v>
      </c>
      <c r="M33" s="301">
        <v>400000</v>
      </c>
      <c r="N33" s="301">
        <v>0</v>
      </c>
      <c r="O33" s="301">
        <v>0</v>
      </c>
      <c r="P33" s="301">
        <v>0</v>
      </c>
      <c r="Q33" s="301">
        <v>0</v>
      </c>
      <c r="R33" s="301">
        <v>0</v>
      </c>
      <c r="S33" s="301">
        <v>0</v>
      </c>
      <c r="T33" s="301">
        <v>0</v>
      </c>
      <c r="U33" s="301">
        <v>0</v>
      </c>
      <c r="V33" s="301">
        <v>0</v>
      </c>
      <c r="W33" s="301">
        <v>0</v>
      </c>
      <c r="X33" s="301">
        <v>0</v>
      </c>
      <c r="Y33" s="301">
        <v>0</v>
      </c>
      <c r="Z33" s="301">
        <v>0</v>
      </c>
      <c r="AA33" s="301">
        <v>0</v>
      </c>
      <c r="AB33" s="303">
        <v>2020</v>
      </c>
    </row>
    <row r="34" spans="1:28" ht="35.25" customHeight="1" x14ac:dyDescent="0.5">
      <c r="A34">
        <v>1</v>
      </c>
      <c r="B34" s="80">
        <f>SUBTOTAL(103,$A$9:A34)</f>
        <v>25</v>
      </c>
      <c r="C34" s="300" t="s">
        <v>1632</v>
      </c>
      <c r="D34" s="296">
        <f t="shared" si="2"/>
        <v>1190676.6000000001</v>
      </c>
      <c r="E34" s="301">
        <v>0</v>
      </c>
      <c r="F34" s="301">
        <v>0</v>
      </c>
      <c r="G34" s="301">
        <f>226595.6+581473</f>
        <v>808068.6</v>
      </c>
      <c r="H34" s="301">
        <v>0</v>
      </c>
      <c r="I34" s="301">
        <v>0</v>
      </c>
      <c r="J34" s="301">
        <v>0</v>
      </c>
      <c r="K34" s="302">
        <v>0</v>
      </c>
      <c r="L34" s="301">
        <v>0</v>
      </c>
      <c r="M34" s="301">
        <v>0</v>
      </c>
      <c r="N34" s="301">
        <v>0</v>
      </c>
      <c r="O34" s="301">
        <f>114782.4+267825.6</f>
        <v>382608</v>
      </c>
      <c r="P34" s="301">
        <v>0</v>
      </c>
      <c r="Q34" s="301">
        <v>0</v>
      </c>
      <c r="R34" s="301">
        <v>0</v>
      </c>
      <c r="S34" s="301">
        <v>0</v>
      </c>
      <c r="T34" s="301">
        <v>0</v>
      </c>
      <c r="U34" s="301">
        <v>0</v>
      </c>
      <c r="V34" s="301">
        <v>0</v>
      </c>
      <c r="W34" s="301">
        <v>0</v>
      </c>
      <c r="X34" s="301">
        <v>0</v>
      </c>
      <c r="Y34" s="301">
        <v>0</v>
      </c>
      <c r="Z34" s="301">
        <v>0</v>
      </c>
      <c r="AA34" s="301">
        <v>0</v>
      </c>
      <c r="AB34" s="303">
        <v>2020</v>
      </c>
    </row>
    <row r="35" spans="1:28" ht="35.25" customHeight="1" x14ac:dyDescent="0.5">
      <c r="A35">
        <v>1</v>
      </c>
      <c r="B35" s="80">
        <f>SUBTOTAL(103,$A$9:A35)</f>
        <v>26</v>
      </c>
      <c r="C35" s="300" t="s">
        <v>2329</v>
      </c>
      <c r="D35" s="296">
        <f t="shared" si="2"/>
        <v>2451180</v>
      </c>
      <c r="E35" s="301">
        <v>0</v>
      </c>
      <c r="F35" s="301">
        <v>0</v>
      </c>
      <c r="G35" s="301">
        <v>0</v>
      </c>
      <c r="H35" s="301">
        <v>0</v>
      </c>
      <c r="I35" s="301">
        <v>0</v>
      </c>
      <c r="J35" s="301">
        <v>0</v>
      </c>
      <c r="K35" s="302">
        <v>1</v>
      </c>
      <c r="L35" s="301">
        <v>2451180</v>
      </c>
      <c r="M35" s="301">
        <v>0</v>
      </c>
      <c r="N35" s="301">
        <v>0</v>
      </c>
      <c r="O35" s="301">
        <v>0</v>
      </c>
      <c r="P35" s="301">
        <v>0</v>
      </c>
      <c r="Q35" s="301">
        <v>0</v>
      </c>
      <c r="R35" s="301">
        <v>0</v>
      </c>
      <c r="S35" s="301">
        <v>0</v>
      </c>
      <c r="T35" s="301">
        <v>0</v>
      </c>
      <c r="U35" s="301">
        <v>0</v>
      </c>
      <c r="V35" s="301">
        <v>0</v>
      </c>
      <c r="W35" s="301">
        <v>0</v>
      </c>
      <c r="X35" s="301">
        <v>0</v>
      </c>
      <c r="Y35" s="301">
        <v>0</v>
      </c>
      <c r="Z35" s="301">
        <v>0</v>
      </c>
      <c r="AA35" s="301">
        <v>0</v>
      </c>
      <c r="AB35" s="303">
        <v>2020</v>
      </c>
    </row>
    <row r="36" spans="1:28" ht="35.25" customHeight="1" x14ac:dyDescent="0.5">
      <c r="A36">
        <v>1</v>
      </c>
      <c r="B36" s="80">
        <f>SUBTOTAL(103,$A$9:A36)</f>
        <v>27</v>
      </c>
      <c r="C36" s="300" t="s">
        <v>1633</v>
      </c>
      <c r="D36" s="296">
        <f t="shared" si="2"/>
        <v>144000</v>
      </c>
      <c r="E36" s="301">
        <v>0</v>
      </c>
      <c r="F36" s="301">
        <v>0</v>
      </c>
      <c r="G36" s="301">
        <v>0</v>
      </c>
      <c r="H36" s="301">
        <v>0</v>
      </c>
      <c r="I36" s="301">
        <v>0</v>
      </c>
      <c r="J36" s="301">
        <v>0</v>
      </c>
      <c r="K36" s="302">
        <v>3</v>
      </c>
      <c r="L36" s="301">
        <f>43200+100800</f>
        <v>144000</v>
      </c>
      <c r="M36" s="301">
        <v>0</v>
      </c>
      <c r="N36" s="301">
        <v>0</v>
      </c>
      <c r="O36" s="301">
        <v>0</v>
      </c>
      <c r="P36" s="301">
        <v>0</v>
      </c>
      <c r="Q36" s="301">
        <v>0</v>
      </c>
      <c r="R36" s="301">
        <v>0</v>
      </c>
      <c r="S36" s="301">
        <v>0</v>
      </c>
      <c r="T36" s="301">
        <v>0</v>
      </c>
      <c r="U36" s="301">
        <v>0</v>
      </c>
      <c r="V36" s="301">
        <v>0</v>
      </c>
      <c r="W36" s="301">
        <v>0</v>
      </c>
      <c r="X36" s="301">
        <v>0</v>
      </c>
      <c r="Y36" s="301">
        <v>0</v>
      </c>
      <c r="Z36" s="301">
        <v>0</v>
      </c>
      <c r="AA36" s="301">
        <v>0</v>
      </c>
      <c r="AB36" s="303">
        <v>2020</v>
      </c>
    </row>
    <row r="37" spans="1:28" ht="35.25" customHeight="1" x14ac:dyDescent="0.5">
      <c r="A37">
        <v>1</v>
      </c>
      <c r="B37" s="80">
        <f>SUBTOTAL(103,$A$9:A37)</f>
        <v>28</v>
      </c>
      <c r="C37" s="300" t="s">
        <v>1634</v>
      </c>
      <c r="D37" s="296">
        <f t="shared" si="2"/>
        <v>1628649.1</v>
      </c>
      <c r="E37" s="301">
        <v>0</v>
      </c>
      <c r="F37" s="301">
        <v>0</v>
      </c>
      <c r="G37" s="301">
        <v>394253</v>
      </c>
      <c r="H37" s="301">
        <v>0</v>
      </c>
      <c r="I37" s="301">
        <v>200096.1</v>
      </c>
      <c r="J37" s="301">
        <v>0</v>
      </c>
      <c r="K37" s="302">
        <v>1</v>
      </c>
      <c r="L37" s="301">
        <v>180000</v>
      </c>
      <c r="M37" s="301">
        <v>854300</v>
      </c>
      <c r="N37" s="301">
        <v>0</v>
      </c>
      <c r="O37" s="301">
        <v>0</v>
      </c>
      <c r="P37" s="301">
        <v>0</v>
      </c>
      <c r="Q37" s="301">
        <v>0</v>
      </c>
      <c r="R37" s="301">
        <v>0</v>
      </c>
      <c r="S37" s="301">
        <v>0</v>
      </c>
      <c r="T37" s="301">
        <v>0</v>
      </c>
      <c r="U37" s="301">
        <v>0</v>
      </c>
      <c r="V37" s="301">
        <v>0</v>
      </c>
      <c r="W37" s="301">
        <v>0</v>
      </c>
      <c r="X37" s="301">
        <v>0</v>
      </c>
      <c r="Y37" s="301">
        <v>0</v>
      </c>
      <c r="Z37" s="301">
        <v>0</v>
      </c>
      <c r="AA37" s="301">
        <v>0</v>
      </c>
      <c r="AB37" s="303">
        <v>2020</v>
      </c>
    </row>
    <row r="38" spans="1:28" ht="35.25" customHeight="1" x14ac:dyDescent="0.5">
      <c r="A38">
        <v>1</v>
      </c>
      <c r="B38" s="80">
        <f>SUBTOTAL(103,$A$9:A38)</f>
        <v>29</v>
      </c>
      <c r="C38" s="300" t="s">
        <v>1635</v>
      </c>
      <c r="D38" s="296">
        <f t="shared" si="2"/>
        <v>1151223.6000000001</v>
      </c>
      <c r="E38" s="301">
        <v>0</v>
      </c>
      <c r="F38" s="301">
        <v>0</v>
      </c>
      <c r="G38" s="301">
        <v>0</v>
      </c>
      <c r="H38" s="301">
        <v>0</v>
      </c>
      <c r="I38" s="301">
        <v>0</v>
      </c>
      <c r="J38" s="301">
        <v>0</v>
      </c>
      <c r="K38" s="302">
        <v>1</v>
      </c>
      <c r="L38" s="301">
        <v>357151.2</v>
      </c>
      <c r="M38" s="301">
        <v>0</v>
      </c>
      <c r="N38" s="301">
        <v>240306</v>
      </c>
      <c r="O38" s="301">
        <v>553766.40000000002</v>
      </c>
      <c r="P38" s="301">
        <v>0</v>
      </c>
      <c r="Q38" s="301">
        <v>0</v>
      </c>
      <c r="R38" s="301">
        <v>0</v>
      </c>
      <c r="S38" s="301">
        <v>0</v>
      </c>
      <c r="T38" s="301">
        <v>0</v>
      </c>
      <c r="U38" s="301">
        <v>0</v>
      </c>
      <c r="V38" s="301">
        <v>0</v>
      </c>
      <c r="W38" s="301">
        <v>0</v>
      </c>
      <c r="X38" s="301">
        <v>0</v>
      </c>
      <c r="Y38" s="301">
        <v>0</v>
      </c>
      <c r="Z38" s="301">
        <v>0</v>
      </c>
      <c r="AA38" s="301">
        <v>0</v>
      </c>
      <c r="AB38" s="303">
        <v>2020</v>
      </c>
    </row>
    <row r="39" spans="1:28" ht="35.25" customHeight="1" x14ac:dyDescent="0.5">
      <c r="A39">
        <v>1</v>
      </c>
      <c r="B39" s="80">
        <f>SUBTOTAL(103,$A$9:A39)</f>
        <v>30</v>
      </c>
      <c r="C39" s="300" t="s">
        <v>1636</v>
      </c>
      <c r="D39" s="296">
        <f t="shared" si="2"/>
        <v>5100000</v>
      </c>
      <c r="E39" s="301">
        <v>0</v>
      </c>
      <c r="F39" s="301">
        <v>0</v>
      </c>
      <c r="G39" s="301">
        <v>0</v>
      </c>
      <c r="H39" s="301">
        <v>0</v>
      </c>
      <c r="I39" s="301">
        <v>0</v>
      </c>
      <c r="J39" s="301">
        <v>0</v>
      </c>
      <c r="K39" s="302">
        <v>3</v>
      </c>
      <c r="L39" s="301">
        <v>5100000</v>
      </c>
      <c r="M39" s="301">
        <v>0</v>
      </c>
      <c r="N39" s="301">
        <v>0</v>
      </c>
      <c r="O39" s="301">
        <v>0</v>
      </c>
      <c r="P39" s="301">
        <v>0</v>
      </c>
      <c r="Q39" s="301">
        <v>0</v>
      </c>
      <c r="R39" s="301">
        <v>0</v>
      </c>
      <c r="S39" s="301">
        <v>0</v>
      </c>
      <c r="T39" s="301">
        <v>0</v>
      </c>
      <c r="U39" s="301">
        <v>0</v>
      </c>
      <c r="V39" s="301">
        <v>0</v>
      </c>
      <c r="W39" s="301">
        <v>0</v>
      </c>
      <c r="X39" s="301">
        <v>0</v>
      </c>
      <c r="Y39" s="301">
        <v>0</v>
      </c>
      <c r="Z39" s="301">
        <v>0</v>
      </c>
      <c r="AA39" s="301">
        <v>0</v>
      </c>
      <c r="AB39" s="303">
        <v>2020</v>
      </c>
    </row>
    <row r="40" spans="1:28" ht="35.25" customHeight="1" x14ac:dyDescent="0.5">
      <c r="A40">
        <v>1</v>
      </c>
      <c r="B40" s="80">
        <f>SUBTOTAL(103,$A$9:A40)</f>
        <v>31</v>
      </c>
      <c r="C40" s="300" t="s">
        <v>1637</v>
      </c>
      <c r="D40" s="296">
        <f t="shared" si="2"/>
        <v>333729</v>
      </c>
      <c r="E40" s="301">
        <v>0</v>
      </c>
      <c r="F40" s="301">
        <v>0</v>
      </c>
      <c r="G40" s="301">
        <v>333729</v>
      </c>
      <c r="H40" s="301">
        <v>0</v>
      </c>
      <c r="I40" s="301">
        <v>0</v>
      </c>
      <c r="J40" s="301">
        <v>0</v>
      </c>
      <c r="K40" s="302">
        <v>0</v>
      </c>
      <c r="L40" s="301">
        <v>0</v>
      </c>
      <c r="M40" s="301">
        <v>0</v>
      </c>
      <c r="N40" s="301">
        <v>0</v>
      </c>
      <c r="O40" s="301">
        <v>0</v>
      </c>
      <c r="P40" s="301">
        <v>0</v>
      </c>
      <c r="Q40" s="301">
        <v>0</v>
      </c>
      <c r="R40" s="301">
        <v>0</v>
      </c>
      <c r="S40" s="301">
        <v>0</v>
      </c>
      <c r="T40" s="301">
        <v>0</v>
      </c>
      <c r="U40" s="301">
        <v>0</v>
      </c>
      <c r="V40" s="301">
        <v>0</v>
      </c>
      <c r="W40" s="301">
        <v>0</v>
      </c>
      <c r="X40" s="301">
        <v>0</v>
      </c>
      <c r="Y40" s="301">
        <v>0</v>
      </c>
      <c r="Z40" s="301">
        <v>0</v>
      </c>
      <c r="AA40" s="301">
        <v>0</v>
      </c>
      <c r="AB40" s="303">
        <v>2020</v>
      </c>
    </row>
    <row r="41" spans="1:28" ht="35.25" customHeight="1" x14ac:dyDescent="0.5">
      <c r="A41">
        <v>1</v>
      </c>
      <c r="B41" s="80">
        <f>SUBTOTAL(103,$A$9:A41)</f>
        <v>32</v>
      </c>
      <c r="C41" s="300" t="s">
        <v>1638</v>
      </c>
      <c r="D41" s="296">
        <f t="shared" si="2"/>
        <v>1881894</v>
      </c>
      <c r="E41" s="301">
        <v>195422.5</v>
      </c>
      <c r="F41" s="301">
        <v>111467.7</v>
      </c>
      <c r="G41" s="301">
        <v>322000</v>
      </c>
      <c r="H41" s="301">
        <v>213000</v>
      </c>
      <c r="I41" s="301">
        <v>330000</v>
      </c>
      <c r="J41" s="301">
        <v>0</v>
      </c>
      <c r="K41" s="302">
        <v>0</v>
      </c>
      <c r="L41" s="301">
        <v>0</v>
      </c>
      <c r="M41" s="301">
        <v>0</v>
      </c>
      <c r="N41" s="301">
        <v>0</v>
      </c>
      <c r="O41" s="301">
        <v>710003.8</v>
      </c>
      <c r="P41" s="301">
        <v>0</v>
      </c>
      <c r="Q41" s="301">
        <v>0</v>
      </c>
      <c r="R41" s="301">
        <v>0</v>
      </c>
      <c r="S41" s="301">
        <v>0</v>
      </c>
      <c r="T41" s="301">
        <v>0</v>
      </c>
      <c r="U41" s="301">
        <v>0</v>
      </c>
      <c r="V41" s="301">
        <v>0</v>
      </c>
      <c r="W41" s="301">
        <v>0</v>
      </c>
      <c r="X41" s="301">
        <v>0</v>
      </c>
      <c r="Y41" s="301">
        <v>0</v>
      </c>
      <c r="Z41" s="301">
        <v>0</v>
      </c>
      <c r="AA41" s="301">
        <v>0</v>
      </c>
      <c r="AB41" s="303">
        <v>2020</v>
      </c>
    </row>
    <row r="42" spans="1:28" ht="35.25" customHeight="1" x14ac:dyDescent="0.5">
      <c r="A42">
        <v>1</v>
      </c>
      <c r="B42" s="80">
        <f>SUBTOTAL(103,$A$9:A42)</f>
        <v>33</v>
      </c>
      <c r="C42" s="300" t="s">
        <v>1639</v>
      </c>
      <c r="D42" s="296">
        <f t="shared" si="2"/>
        <v>162333.46</v>
      </c>
      <c r="E42" s="301">
        <f>119000+7516.64</f>
        <v>126516.64</v>
      </c>
      <c r="F42" s="301">
        <v>0</v>
      </c>
      <c r="G42" s="301">
        <v>0</v>
      </c>
      <c r="H42" s="301">
        <v>21109.82</v>
      </c>
      <c r="I42" s="301">
        <v>0</v>
      </c>
      <c r="J42" s="301">
        <v>0</v>
      </c>
      <c r="K42" s="302">
        <v>1</v>
      </c>
      <c r="L42" s="301">
        <v>14707</v>
      </c>
      <c r="M42" s="301">
        <v>0</v>
      </c>
      <c r="N42" s="301">
        <v>0</v>
      </c>
      <c r="O42" s="301">
        <v>0</v>
      </c>
      <c r="P42" s="301">
        <v>0</v>
      </c>
      <c r="Q42" s="301">
        <v>0</v>
      </c>
      <c r="R42" s="301">
        <v>0</v>
      </c>
      <c r="S42" s="301">
        <v>0</v>
      </c>
      <c r="T42" s="301">
        <v>0</v>
      </c>
      <c r="U42" s="301">
        <v>0</v>
      </c>
      <c r="V42" s="301">
        <v>0</v>
      </c>
      <c r="W42" s="301">
        <v>0</v>
      </c>
      <c r="X42" s="301">
        <v>0</v>
      </c>
      <c r="Y42" s="301">
        <v>0</v>
      </c>
      <c r="Z42" s="301">
        <v>0</v>
      </c>
      <c r="AA42" s="301">
        <v>0</v>
      </c>
      <c r="AB42" s="303">
        <v>2020</v>
      </c>
    </row>
    <row r="43" spans="1:28" ht="35.25" customHeight="1" x14ac:dyDescent="0.5">
      <c r="A43">
        <v>1</v>
      </c>
      <c r="B43" s="80">
        <f>SUBTOTAL(103,$A$9:A43)</f>
        <v>34</v>
      </c>
      <c r="C43" s="300" t="s">
        <v>1640</v>
      </c>
      <c r="D43" s="296">
        <f t="shared" si="2"/>
        <v>375942</v>
      </c>
      <c r="E43" s="301">
        <v>0</v>
      </c>
      <c r="F43" s="301">
        <v>0</v>
      </c>
      <c r="G43" s="301">
        <v>375942</v>
      </c>
      <c r="H43" s="301">
        <v>0</v>
      </c>
      <c r="I43" s="301">
        <v>0</v>
      </c>
      <c r="J43" s="301">
        <v>0</v>
      </c>
      <c r="K43" s="302">
        <v>0</v>
      </c>
      <c r="L43" s="301">
        <v>0</v>
      </c>
      <c r="M43" s="301">
        <v>0</v>
      </c>
      <c r="N43" s="301">
        <v>0</v>
      </c>
      <c r="O43" s="301">
        <v>0</v>
      </c>
      <c r="P43" s="301">
        <v>0</v>
      </c>
      <c r="Q43" s="301">
        <v>0</v>
      </c>
      <c r="R43" s="301">
        <v>0</v>
      </c>
      <c r="S43" s="301">
        <v>0</v>
      </c>
      <c r="T43" s="301">
        <v>0</v>
      </c>
      <c r="U43" s="301">
        <v>0</v>
      </c>
      <c r="V43" s="301">
        <v>0</v>
      </c>
      <c r="W43" s="301">
        <v>0</v>
      </c>
      <c r="X43" s="301">
        <v>0</v>
      </c>
      <c r="Y43" s="301">
        <v>0</v>
      </c>
      <c r="Z43" s="301">
        <v>0</v>
      </c>
      <c r="AA43" s="301">
        <v>0</v>
      </c>
      <c r="AB43" s="303">
        <v>2020</v>
      </c>
    </row>
    <row r="44" spans="1:28" ht="35.25" customHeight="1" x14ac:dyDescent="0.5">
      <c r="A44">
        <v>1</v>
      </c>
      <c r="B44" s="80">
        <f>SUBTOTAL(103,$A$9:A44)</f>
        <v>35</v>
      </c>
      <c r="C44" s="300" t="s">
        <v>1641</v>
      </c>
      <c r="D44" s="296">
        <f t="shared" si="2"/>
        <v>116700.38</v>
      </c>
      <c r="E44" s="301">
        <v>0</v>
      </c>
      <c r="F44" s="301">
        <v>0</v>
      </c>
      <c r="G44" s="301">
        <v>0</v>
      </c>
      <c r="H44" s="301">
        <v>0</v>
      </c>
      <c r="I44" s="301">
        <v>0</v>
      </c>
      <c r="J44" s="301">
        <v>0</v>
      </c>
      <c r="K44" s="302">
        <v>0</v>
      </c>
      <c r="L44" s="301">
        <v>0</v>
      </c>
      <c r="M44" s="301">
        <v>0</v>
      </c>
      <c r="N44" s="301">
        <v>0</v>
      </c>
      <c r="O44" s="301">
        <v>116700.38</v>
      </c>
      <c r="P44" s="301">
        <v>0</v>
      </c>
      <c r="Q44" s="301">
        <v>0</v>
      </c>
      <c r="R44" s="301">
        <v>0</v>
      </c>
      <c r="S44" s="301">
        <v>0</v>
      </c>
      <c r="T44" s="301">
        <v>0</v>
      </c>
      <c r="U44" s="301">
        <v>0</v>
      </c>
      <c r="V44" s="301">
        <v>0</v>
      </c>
      <c r="W44" s="301">
        <v>0</v>
      </c>
      <c r="X44" s="301">
        <v>0</v>
      </c>
      <c r="Y44" s="301">
        <v>0</v>
      </c>
      <c r="Z44" s="301">
        <v>0</v>
      </c>
      <c r="AA44" s="301">
        <v>0</v>
      </c>
      <c r="AB44" s="303">
        <v>2020</v>
      </c>
    </row>
    <row r="45" spans="1:28" ht="35.25" customHeight="1" x14ac:dyDescent="0.5">
      <c r="A45">
        <v>1</v>
      </c>
      <c r="B45" s="80">
        <f>SUBTOTAL(103,$A$9:A45)</f>
        <v>36</v>
      </c>
      <c r="C45" s="300" t="s">
        <v>1643</v>
      </c>
      <c r="D45" s="296">
        <f t="shared" si="2"/>
        <v>821518</v>
      </c>
      <c r="E45" s="301">
        <v>0</v>
      </c>
      <c r="F45" s="301">
        <v>0</v>
      </c>
      <c r="G45" s="301">
        <v>0</v>
      </c>
      <c r="H45" s="301">
        <v>0</v>
      </c>
      <c r="I45" s="301">
        <v>0</v>
      </c>
      <c r="J45" s="301">
        <v>0</v>
      </c>
      <c r="K45" s="302">
        <v>0</v>
      </c>
      <c r="L45" s="301">
        <v>0</v>
      </c>
      <c r="M45" s="301">
        <v>821518</v>
      </c>
      <c r="N45" s="301">
        <v>0</v>
      </c>
      <c r="O45" s="301">
        <v>0</v>
      </c>
      <c r="P45" s="301">
        <v>0</v>
      </c>
      <c r="Q45" s="301">
        <v>0</v>
      </c>
      <c r="R45" s="301">
        <v>0</v>
      </c>
      <c r="S45" s="301">
        <v>0</v>
      </c>
      <c r="T45" s="301">
        <v>0</v>
      </c>
      <c r="U45" s="301">
        <v>0</v>
      </c>
      <c r="V45" s="301">
        <v>0</v>
      </c>
      <c r="W45" s="301">
        <v>0</v>
      </c>
      <c r="X45" s="301">
        <v>0</v>
      </c>
      <c r="Y45" s="301">
        <v>0</v>
      </c>
      <c r="Z45" s="301">
        <v>0</v>
      </c>
      <c r="AA45" s="301">
        <v>0</v>
      </c>
      <c r="AB45" s="303">
        <v>2020</v>
      </c>
    </row>
    <row r="46" spans="1:28" ht="35.25" customHeight="1" x14ac:dyDescent="0.5">
      <c r="A46">
        <v>1</v>
      </c>
      <c r="B46" s="80">
        <f>SUBTOTAL(103,$A$9:A46)</f>
        <v>37</v>
      </c>
      <c r="C46" s="300" t="s">
        <v>1644</v>
      </c>
      <c r="D46" s="296">
        <f t="shared" si="2"/>
        <v>177700</v>
      </c>
      <c r="E46" s="301">
        <v>0</v>
      </c>
      <c r="F46" s="301">
        <v>0</v>
      </c>
      <c r="G46" s="301">
        <v>0</v>
      </c>
      <c r="H46" s="301">
        <v>0</v>
      </c>
      <c r="I46" s="301">
        <v>0</v>
      </c>
      <c r="J46" s="301">
        <v>0</v>
      </c>
      <c r="K46" s="302">
        <v>1</v>
      </c>
      <c r="L46" s="301">
        <v>177700</v>
      </c>
      <c r="M46" s="301">
        <v>0</v>
      </c>
      <c r="N46" s="301">
        <v>0</v>
      </c>
      <c r="O46" s="301">
        <v>0</v>
      </c>
      <c r="P46" s="301">
        <v>0</v>
      </c>
      <c r="Q46" s="301">
        <v>0</v>
      </c>
      <c r="R46" s="301">
        <v>0</v>
      </c>
      <c r="S46" s="301">
        <v>0</v>
      </c>
      <c r="T46" s="301">
        <v>0</v>
      </c>
      <c r="U46" s="301">
        <v>0</v>
      </c>
      <c r="V46" s="301">
        <v>0</v>
      </c>
      <c r="W46" s="301">
        <v>0</v>
      </c>
      <c r="X46" s="301">
        <v>0</v>
      </c>
      <c r="Y46" s="301">
        <v>0</v>
      </c>
      <c r="Z46" s="301">
        <v>0</v>
      </c>
      <c r="AA46" s="301">
        <v>0</v>
      </c>
      <c r="AB46" s="303">
        <v>2020</v>
      </c>
    </row>
    <row r="47" spans="1:28" ht="35.25" customHeight="1" x14ac:dyDescent="0.5">
      <c r="A47">
        <v>1</v>
      </c>
      <c r="B47" s="80">
        <f>SUBTOTAL(103,$A$9:A47)</f>
        <v>38</v>
      </c>
      <c r="C47" s="300" t="s">
        <v>1645</v>
      </c>
      <c r="D47" s="296">
        <f t="shared" si="2"/>
        <v>3600000</v>
      </c>
      <c r="E47" s="301">
        <v>0</v>
      </c>
      <c r="F47" s="301">
        <v>0</v>
      </c>
      <c r="G47" s="301">
        <v>0</v>
      </c>
      <c r="H47" s="301">
        <v>0</v>
      </c>
      <c r="I47" s="301">
        <v>0</v>
      </c>
      <c r="J47" s="301">
        <v>0</v>
      </c>
      <c r="K47" s="302">
        <v>2</v>
      </c>
      <c r="L47" s="301">
        <v>3600000</v>
      </c>
      <c r="M47" s="301">
        <v>0</v>
      </c>
      <c r="N47" s="301">
        <v>0</v>
      </c>
      <c r="O47" s="301">
        <v>0</v>
      </c>
      <c r="P47" s="301">
        <v>0</v>
      </c>
      <c r="Q47" s="301">
        <v>0</v>
      </c>
      <c r="R47" s="301">
        <v>0</v>
      </c>
      <c r="S47" s="301">
        <v>0</v>
      </c>
      <c r="T47" s="301">
        <v>0</v>
      </c>
      <c r="U47" s="301">
        <v>0</v>
      </c>
      <c r="V47" s="301">
        <v>0</v>
      </c>
      <c r="W47" s="301">
        <v>0</v>
      </c>
      <c r="X47" s="301">
        <v>0</v>
      </c>
      <c r="Y47" s="301">
        <v>0</v>
      </c>
      <c r="Z47" s="301">
        <v>0</v>
      </c>
      <c r="AA47" s="301">
        <v>0</v>
      </c>
      <c r="AB47" s="303">
        <v>2020</v>
      </c>
    </row>
    <row r="48" spans="1:28" ht="35.25" customHeight="1" x14ac:dyDescent="0.5">
      <c r="A48">
        <v>1</v>
      </c>
      <c r="B48" s="80">
        <f>SUBTOTAL(103,$A$9:A48)</f>
        <v>39</v>
      </c>
      <c r="C48" s="300" t="s">
        <v>1646</v>
      </c>
      <c r="D48" s="296">
        <f t="shared" si="2"/>
        <v>132450</v>
      </c>
      <c r="E48" s="301">
        <v>0</v>
      </c>
      <c r="F48" s="301">
        <v>0</v>
      </c>
      <c r="G48" s="301">
        <v>0</v>
      </c>
      <c r="H48" s="301">
        <v>0</v>
      </c>
      <c r="I48" s="301">
        <v>0</v>
      </c>
      <c r="J48" s="301">
        <v>0</v>
      </c>
      <c r="K48" s="302">
        <v>0</v>
      </c>
      <c r="L48" s="301">
        <v>0</v>
      </c>
      <c r="M48" s="301">
        <v>132450</v>
      </c>
      <c r="N48" s="301">
        <v>0</v>
      </c>
      <c r="O48" s="301">
        <v>0</v>
      </c>
      <c r="P48" s="301">
        <v>0</v>
      </c>
      <c r="Q48" s="301">
        <v>0</v>
      </c>
      <c r="R48" s="301">
        <v>0</v>
      </c>
      <c r="S48" s="301">
        <v>0</v>
      </c>
      <c r="T48" s="301">
        <v>0</v>
      </c>
      <c r="U48" s="301">
        <v>0</v>
      </c>
      <c r="V48" s="301">
        <v>0</v>
      </c>
      <c r="W48" s="301">
        <v>0</v>
      </c>
      <c r="X48" s="301">
        <v>0</v>
      </c>
      <c r="Y48" s="301">
        <v>0</v>
      </c>
      <c r="Z48" s="301">
        <v>0</v>
      </c>
      <c r="AA48" s="301">
        <v>0</v>
      </c>
      <c r="AB48" s="303">
        <v>2020</v>
      </c>
    </row>
    <row r="49" spans="1:28" ht="35.25" customHeight="1" x14ac:dyDescent="0.5">
      <c r="A49">
        <v>1</v>
      </c>
      <c r="B49" s="80">
        <f>SUBTOTAL(103,$A$9:A49)</f>
        <v>40</v>
      </c>
      <c r="C49" s="300" t="s">
        <v>2330</v>
      </c>
      <c r="D49" s="296">
        <f t="shared" si="2"/>
        <v>469667</v>
      </c>
      <c r="E49" s="301">
        <v>0</v>
      </c>
      <c r="F49" s="301">
        <v>469667</v>
      </c>
      <c r="G49" s="301">
        <v>0</v>
      </c>
      <c r="H49" s="301">
        <v>0</v>
      </c>
      <c r="I49" s="301">
        <v>0</v>
      </c>
      <c r="J49" s="301">
        <v>0</v>
      </c>
      <c r="K49" s="302">
        <v>0</v>
      </c>
      <c r="L49" s="301">
        <v>0</v>
      </c>
      <c r="M49" s="301">
        <v>0</v>
      </c>
      <c r="N49" s="301">
        <v>0</v>
      </c>
      <c r="O49" s="301">
        <v>0</v>
      </c>
      <c r="P49" s="301">
        <v>0</v>
      </c>
      <c r="Q49" s="301">
        <v>0</v>
      </c>
      <c r="R49" s="301">
        <v>0</v>
      </c>
      <c r="S49" s="301">
        <v>0</v>
      </c>
      <c r="T49" s="301">
        <v>0</v>
      </c>
      <c r="U49" s="301">
        <v>0</v>
      </c>
      <c r="V49" s="301">
        <v>0</v>
      </c>
      <c r="W49" s="301">
        <v>0</v>
      </c>
      <c r="X49" s="301">
        <v>0</v>
      </c>
      <c r="Y49" s="301">
        <v>0</v>
      </c>
      <c r="Z49" s="301">
        <v>0</v>
      </c>
      <c r="AA49" s="301">
        <v>0</v>
      </c>
      <c r="AB49" s="303">
        <v>2020</v>
      </c>
    </row>
    <row r="50" spans="1:28" ht="35.25" customHeight="1" x14ac:dyDescent="0.5">
      <c r="A50">
        <v>1</v>
      </c>
      <c r="B50" s="80">
        <f>SUBTOTAL(103,$A$9:A50)</f>
        <v>41</v>
      </c>
      <c r="C50" s="300" t="s">
        <v>1648</v>
      </c>
      <c r="D50" s="296">
        <f t="shared" si="2"/>
        <v>1039214</v>
      </c>
      <c r="E50" s="301">
        <v>0</v>
      </c>
      <c r="F50" s="301">
        <v>0</v>
      </c>
      <c r="G50" s="301">
        <f>20464.2+47749.8</f>
        <v>68214</v>
      </c>
      <c r="H50" s="301">
        <v>0</v>
      </c>
      <c r="I50" s="301">
        <v>0</v>
      </c>
      <c r="J50" s="301">
        <v>0</v>
      </c>
      <c r="K50" s="302">
        <v>0</v>
      </c>
      <c r="L50" s="301">
        <v>0</v>
      </c>
      <c r="M50" s="301">
        <f>172650+402850</f>
        <v>575500</v>
      </c>
      <c r="N50" s="301">
        <f>118650+276850</f>
        <v>395500</v>
      </c>
      <c r="O50" s="301">
        <v>0</v>
      </c>
      <c r="P50" s="301">
        <v>0</v>
      </c>
      <c r="Q50" s="301">
        <v>0</v>
      </c>
      <c r="R50" s="301">
        <v>0</v>
      </c>
      <c r="S50" s="301">
        <v>0</v>
      </c>
      <c r="T50" s="301">
        <v>0</v>
      </c>
      <c r="U50" s="301">
        <v>0</v>
      </c>
      <c r="V50" s="301">
        <v>0</v>
      </c>
      <c r="W50" s="301">
        <v>0</v>
      </c>
      <c r="X50" s="301">
        <v>0</v>
      </c>
      <c r="Y50" s="301">
        <v>0</v>
      </c>
      <c r="Z50" s="301">
        <v>0</v>
      </c>
      <c r="AA50" s="301">
        <v>0</v>
      </c>
      <c r="AB50" s="303">
        <v>2020</v>
      </c>
    </row>
    <row r="51" spans="1:28" ht="35.25" customHeight="1" x14ac:dyDescent="0.5">
      <c r="A51">
        <v>1</v>
      </c>
      <c r="B51" s="80">
        <f>SUBTOTAL(103,$A$9:A51)</f>
        <v>42</v>
      </c>
      <c r="C51" s="300" t="s">
        <v>1649</v>
      </c>
      <c r="D51" s="296">
        <f t="shared" si="2"/>
        <v>580372</v>
      </c>
      <c r="E51" s="301">
        <v>0</v>
      </c>
      <c r="F51" s="301">
        <v>0</v>
      </c>
      <c r="G51" s="301">
        <v>0</v>
      </c>
      <c r="H51" s="301">
        <v>0</v>
      </c>
      <c r="I51" s="301">
        <v>0</v>
      </c>
      <c r="J51" s="301">
        <v>0</v>
      </c>
      <c r="K51" s="302">
        <v>1</v>
      </c>
      <c r="L51" s="301">
        <v>174530</v>
      </c>
      <c r="M51" s="301">
        <v>0</v>
      </c>
      <c r="N51" s="301">
        <v>0</v>
      </c>
      <c r="O51" s="301">
        <v>405842</v>
      </c>
      <c r="P51" s="301">
        <v>0</v>
      </c>
      <c r="Q51" s="301">
        <v>0</v>
      </c>
      <c r="R51" s="301">
        <v>0</v>
      </c>
      <c r="S51" s="301">
        <v>0</v>
      </c>
      <c r="T51" s="301">
        <v>0</v>
      </c>
      <c r="U51" s="301">
        <v>0</v>
      </c>
      <c r="V51" s="301">
        <v>0</v>
      </c>
      <c r="W51" s="301">
        <v>0</v>
      </c>
      <c r="X51" s="301">
        <v>0</v>
      </c>
      <c r="Y51" s="301">
        <v>0</v>
      </c>
      <c r="Z51" s="301">
        <v>0</v>
      </c>
      <c r="AA51" s="301">
        <v>0</v>
      </c>
      <c r="AB51" s="303">
        <v>2020</v>
      </c>
    </row>
    <row r="52" spans="1:28" ht="35.25" customHeight="1" x14ac:dyDescent="0.5">
      <c r="A52">
        <v>1</v>
      </c>
      <c r="B52" s="80">
        <f>SUBTOTAL(103,$A$9:A52)</f>
        <v>43</v>
      </c>
      <c r="C52" s="300" t="s">
        <v>1650</v>
      </c>
      <c r="D52" s="296">
        <f t="shared" si="2"/>
        <v>1750000</v>
      </c>
      <c r="E52" s="301">
        <v>0</v>
      </c>
      <c r="F52" s="301">
        <v>0</v>
      </c>
      <c r="G52" s="301">
        <v>0</v>
      </c>
      <c r="H52" s="301">
        <v>0</v>
      </c>
      <c r="I52" s="301">
        <v>0</v>
      </c>
      <c r="J52" s="301">
        <v>0</v>
      </c>
      <c r="K52" s="302">
        <v>1</v>
      </c>
      <c r="L52" s="301">
        <v>1750000</v>
      </c>
      <c r="M52" s="301">
        <v>0</v>
      </c>
      <c r="N52" s="301">
        <v>0</v>
      </c>
      <c r="O52" s="301">
        <v>0</v>
      </c>
      <c r="P52" s="301">
        <v>0</v>
      </c>
      <c r="Q52" s="301">
        <v>0</v>
      </c>
      <c r="R52" s="301">
        <v>0</v>
      </c>
      <c r="S52" s="301">
        <v>0</v>
      </c>
      <c r="T52" s="301">
        <v>0</v>
      </c>
      <c r="U52" s="301">
        <v>0</v>
      </c>
      <c r="V52" s="301">
        <v>0</v>
      </c>
      <c r="W52" s="301">
        <v>0</v>
      </c>
      <c r="X52" s="301">
        <v>0</v>
      </c>
      <c r="Y52" s="301">
        <v>0</v>
      </c>
      <c r="Z52" s="301">
        <v>0</v>
      </c>
      <c r="AA52" s="301">
        <v>0</v>
      </c>
      <c r="AB52" s="303">
        <v>2020</v>
      </c>
    </row>
    <row r="53" spans="1:28" ht="35.25" customHeight="1" x14ac:dyDescent="0.5">
      <c r="A53">
        <v>1</v>
      </c>
      <c r="B53" s="80">
        <f>SUBTOTAL(103,$A$9:A53)</f>
        <v>44</v>
      </c>
      <c r="C53" s="300" t="s">
        <v>1654</v>
      </c>
      <c r="D53" s="296">
        <f t="shared" si="2"/>
        <v>550000</v>
      </c>
      <c r="E53" s="301">
        <v>0</v>
      </c>
      <c r="F53" s="301">
        <v>0</v>
      </c>
      <c r="G53" s="301">
        <v>0</v>
      </c>
      <c r="H53" s="301">
        <v>0</v>
      </c>
      <c r="I53" s="301">
        <v>0</v>
      </c>
      <c r="J53" s="301">
        <v>0</v>
      </c>
      <c r="K53" s="302">
        <v>0</v>
      </c>
      <c r="L53" s="301">
        <v>0</v>
      </c>
      <c r="M53" s="301">
        <v>0</v>
      </c>
      <c r="N53" s="301">
        <v>0</v>
      </c>
      <c r="O53" s="301">
        <v>550000</v>
      </c>
      <c r="P53" s="301">
        <v>0</v>
      </c>
      <c r="Q53" s="301">
        <v>0</v>
      </c>
      <c r="R53" s="301">
        <v>0</v>
      </c>
      <c r="S53" s="301">
        <v>0</v>
      </c>
      <c r="T53" s="301">
        <v>0</v>
      </c>
      <c r="U53" s="301">
        <v>0</v>
      </c>
      <c r="V53" s="301">
        <v>0</v>
      </c>
      <c r="W53" s="301">
        <v>0</v>
      </c>
      <c r="X53" s="301">
        <v>0</v>
      </c>
      <c r="Y53" s="301">
        <v>0</v>
      </c>
      <c r="Z53" s="301">
        <v>0</v>
      </c>
      <c r="AA53" s="301">
        <v>0</v>
      </c>
      <c r="AB53" s="303">
        <v>2020</v>
      </c>
    </row>
    <row r="54" spans="1:28" ht="35.25" customHeight="1" x14ac:dyDescent="0.5">
      <c r="A54">
        <v>1</v>
      </c>
      <c r="B54" s="80">
        <f>SUBTOTAL(103,$A$9:A54)</f>
        <v>45</v>
      </c>
      <c r="C54" s="300" t="s">
        <v>1655</v>
      </c>
      <c r="D54" s="296">
        <f t="shared" si="2"/>
        <v>767597.9</v>
      </c>
      <c r="E54" s="301">
        <v>261568.6</v>
      </c>
      <c r="F54" s="301">
        <v>353140.57</v>
      </c>
      <c r="G54" s="301">
        <v>0</v>
      </c>
      <c r="H54" s="301">
        <v>152888.73000000001</v>
      </c>
      <c r="I54" s="301">
        <v>0</v>
      </c>
      <c r="J54" s="301">
        <v>0</v>
      </c>
      <c r="K54" s="302">
        <v>0</v>
      </c>
      <c r="L54" s="301">
        <v>0</v>
      </c>
      <c r="M54" s="301">
        <v>0</v>
      </c>
      <c r="N54" s="301">
        <v>0</v>
      </c>
      <c r="O54" s="301">
        <v>0</v>
      </c>
      <c r="P54" s="301">
        <v>0</v>
      </c>
      <c r="Q54" s="301">
        <v>0</v>
      </c>
      <c r="R54" s="301">
        <v>0</v>
      </c>
      <c r="S54" s="301">
        <v>0</v>
      </c>
      <c r="T54" s="301">
        <v>0</v>
      </c>
      <c r="U54" s="301">
        <v>0</v>
      </c>
      <c r="V54" s="301">
        <v>0</v>
      </c>
      <c r="W54" s="301">
        <v>0</v>
      </c>
      <c r="X54" s="301">
        <v>0</v>
      </c>
      <c r="Y54" s="301">
        <v>0</v>
      </c>
      <c r="Z54" s="301">
        <v>0</v>
      </c>
      <c r="AA54" s="301">
        <v>0</v>
      </c>
      <c r="AB54" s="303">
        <v>2020</v>
      </c>
    </row>
    <row r="55" spans="1:28" ht="35.25" customHeight="1" x14ac:dyDescent="0.5">
      <c r="A55">
        <v>1</v>
      </c>
      <c r="B55" s="80">
        <f>SUBTOTAL(103,$A$9:A55)</f>
        <v>46</v>
      </c>
      <c r="C55" s="300" t="s">
        <v>1656</v>
      </c>
      <c r="D55" s="296">
        <f t="shared" si="2"/>
        <v>1459045.55</v>
      </c>
      <c r="E55" s="301">
        <v>0</v>
      </c>
      <c r="F55" s="301">
        <v>0</v>
      </c>
      <c r="G55" s="301">
        <v>0</v>
      </c>
      <c r="H55" s="301">
        <v>0</v>
      </c>
      <c r="I55" s="301">
        <v>0</v>
      </c>
      <c r="J55" s="301">
        <v>0</v>
      </c>
      <c r="K55" s="302">
        <v>0</v>
      </c>
      <c r="L55" s="301">
        <v>0</v>
      </c>
      <c r="M55" s="301">
        <v>1459045.55</v>
      </c>
      <c r="N55" s="301">
        <v>0</v>
      </c>
      <c r="O55" s="301">
        <v>0</v>
      </c>
      <c r="P55" s="301">
        <v>0</v>
      </c>
      <c r="Q55" s="301">
        <v>0</v>
      </c>
      <c r="R55" s="301">
        <v>0</v>
      </c>
      <c r="S55" s="301">
        <v>0</v>
      </c>
      <c r="T55" s="301">
        <v>0</v>
      </c>
      <c r="U55" s="301">
        <v>0</v>
      </c>
      <c r="V55" s="301">
        <v>0</v>
      </c>
      <c r="W55" s="301">
        <v>0</v>
      </c>
      <c r="X55" s="301">
        <v>0</v>
      </c>
      <c r="Y55" s="301">
        <v>0</v>
      </c>
      <c r="Z55" s="301">
        <v>0</v>
      </c>
      <c r="AA55" s="301">
        <v>0</v>
      </c>
      <c r="AB55" s="303">
        <v>2020</v>
      </c>
    </row>
    <row r="56" spans="1:28" ht="35.25" customHeight="1" x14ac:dyDescent="0.5">
      <c r="A56">
        <v>1</v>
      </c>
      <c r="B56" s="80">
        <f>SUBTOTAL(103,$A$9:A56)</f>
        <v>47</v>
      </c>
      <c r="C56" s="300" t="s">
        <v>1657</v>
      </c>
      <c r="D56" s="296">
        <f t="shared" si="2"/>
        <v>293676</v>
      </c>
      <c r="E56" s="301">
        <v>0</v>
      </c>
      <c r="F56" s="301">
        <v>0</v>
      </c>
      <c r="G56" s="301">
        <v>0</v>
      </c>
      <c r="H56" s="301">
        <v>0</v>
      </c>
      <c r="I56" s="301">
        <v>0</v>
      </c>
      <c r="J56" s="301">
        <v>0</v>
      </c>
      <c r="K56" s="302">
        <v>1</v>
      </c>
      <c r="L56" s="301">
        <v>293676</v>
      </c>
      <c r="M56" s="301">
        <v>0</v>
      </c>
      <c r="N56" s="301">
        <v>0</v>
      </c>
      <c r="O56" s="301">
        <v>0</v>
      </c>
      <c r="P56" s="301">
        <v>0</v>
      </c>
      <c r="Q56" s="301">
        <v>0</v>
      </c>
      <c r="R56" s="301">
        <v>0</v>
      </c>
      <c r="S56" s="301">
        <v>0</v>
      </c>
      <c r="T56" s="301">
        <v>0</v>
      </c>
      <c r="U56" s="301">
        <v>0</v>
      </c>
      <c r="V56" s="301">
        <v>0</v>
      </c>
      <c r="W56" s="301">
        <v>0</v>
      </c>
      <c r="X56" s="301">
        <v>0</v>
      </c>
      <c r="Y56" s="301">
        <v>0</v>
      </c>
      <c r="Z56" s="301">
        <v>0</v>
      </c>
      <c r="AA56" s="301">
        <v>0</v>
      </c>
      <c r="AB56" s="303">
        <v>2020</v>
      </c>
    </row>
    <row r="57" spans="1:28" ht="35.25" customHeight="1" x14ac:dyDescent="0.5">
      <c r="A57">
        <v>1</v>
      </c>
      <c r="B57" s="80">
        <f>SUBTOTAL(103,$A$9:A57)</f>
        <v>48</v>
      </c>
      <c r="C57" s="300" t="s">
        <v>2331</v>
      </c>
      <c r="D57" s="296">
        <f t="shared" si="2"/>
        <v>141800</v>
      </c>
      <c r="E57" s="301">
        <v>141800</v>
      </c>
      <c r="F57" s="301">
        <v>0</v>
      </c>
      <c r="G57" s="301">
        <v>0</v>
      </c>
      <c r="H57" s="301">
        <v>0</v>
      </c>
      <c r="I57" s="301">
        <v>0</v>
      </c>
      <c r="J57" s="301">
        <v>0</v>
      </c>
      <c r="K57" s="302">
        <v>0</v>
      </c>
      <c r="L57" s="301">
        <v>0</v>
      </c>
      <c r="M57" s="301">
        <v>0</v>
      </c>
      <c r="N57" s="301">
        <v>0</v>
      </c>
      <c r="O57" s="301">
        <v>0</v>
      </c>
      <c r="P57" s="301">
        <v>0</v>
      </c>
      <c r="Q57" s="301">
        <v>0</v>
      </c>
      <c r="R57" s="301">
        <v>0</v>
      </c>
      <c r="S57" s="301">
        <v>0</v>
      </c>
      <c r="T57" s="301">
        <v>0</v>
      </c>
      <c r="U57" s="301">
        <v>0</v>
      </c>
      <c r="V57" s="301">
        <v>0</v>
      </c>
      <c r="W57" s="301">
        <v>0</v>
      </c>
      <c r="X57" s="301">
        <v>0</v>
      </c>
      <c r="Y57" s="301">
        <v>0</v>
      </c>
      <c r="Z57" s="301">
        <v>0</v>
      </c>
      <c r="AA57" s="301">
        <v>0</v>
      </c>
      <c r="AB57" s="303">
        <v>2020</v>
      </c>
    </row>
    <row r="58" spans="1:28" ht="35.25" customHeight="1" x14ac:dyDescent="0.5">
      <c r="A58">
        <v>1</v>
      </c>
      <c r="B58" s="80">
        <f>SUBTOTAL(103,$A$9:A58)</f>
        <v>49</v>
      </c>
      <c r="C58" s="300" t="s">
        <v>1658</v>
      </c>
      <c r="D58" s="296">
        <f t="shared" si="2"/>
        <v>2123411</v>
      </c>
      <c r="E58" s="301">
        <v>0</v>
      </c>
      <c r="F58" s="301">
        <v>0</v>
      </c>
      <c r="G58" s="301">
        <v>0</v>
      </c>
      <c r="H58" s="301">
        <v>0</v>
      </c>
      <c r="I58" s="301">
        <v>0</v>
      </c>
      <c r="J58" s="301">
        <v>0</v>
      </c>
      <c r="K58" s="302">
        <v>0</v>
      </c>
      <c r="L58" s="301">
        <v>0</v>
      </c>
      <c r="M58" s="301">
        <v>2123411</v>
      </c>
      <c r="N58" s="301">
        <v>0</v>
      </c>
      <c r="O58" s="301">
        <v>0</v>
      </c>
      <c r="P58" s="301">
        <v>0</v>
      </c>
      <c r="Q58" s="301">
        <v>0</v>
      </c>
      <c r="R58" s="301">
        <v>0</v>
      </c>
      <c r="S58" s="301">
        <v>0</v>
      </c>
      <c r="T58" s="301">
        <v>0</v>
      </c>
      <c r="U58" s="301">
        <v>0</v>
      </c>
      <c r="V58" s="301">
        <v>0</v>
      </c>
      <c r="W58" s="301">
        <v>0</v>
      </c>
      <c r="X58" s="301">
        <v>0</v>
      </c>
      <c r="Y58" s="301">
        <v>0</v>
      </c>
      <c r="Z58" s="301">
        <v>0</v>
      </c>
      <c r="AA58" s="301">
        <v>0</v>
      </c>
      <c r="AB58" s="303">
        <v>2020</v>
      </c>
    </row>
    <row r="59" spans="1:28" ht="35.25" customHeight="1" x14ac:dyDescent="0.5">
      <c r="A59">
        <v>1</v>
      </c>
      <c r="B59" s="80">
        <f>SUBTOTAL(103,$A$9:A59)</f>
        <v>50</v>
      </c>
      <c r="C59" s="300" t="s">
        <v>1659</v>
      </c>
      <c r="D59" s="296">
        <f t="shared" si="2"/>
        <v>363447</v>
      </c>
      <c r="E59" s="301">
        <v>0</v>
      </c>
      <c r="F59" s="301">
        <v>0</v>
      </c>
      <c r="G59" s="301">
        <v>133000</v>
      </c>
      <c r="H59" s="301">
        <v>0</v>
      </c>
      <c r="I59" s="301">
        <v>0</v>
      </c>
      <c r="J59" s="301">
        <v>0</v>
      </c>
      <c r="K59" s="302">
        <v>0</v>
      </c>
      <c r="L59" s="301">
        <v>0</v>
      </c>
      <c r="M59" s="301">
        <v>0</v>
      </c>
      <c r="N59" s="301">
        <v>0</v>
      </c>
      <c r="O59" s="301">
        <v>230447</v>
      </c>
      <c r="P59" s="301">
        <v>0</v>
      </c>
      <c r="Q59" s="301">
        <v>0</v>
      </c>
      <c r="R59" s="301">
        <v>0</v>
      </c>
      <c r="S59" s="301">
        <v>0</v>
      </c>
      <c r="T59" s="301">
        <v>0</v>
      </c>
      <c r="U59" s="301">
        <v>0</v>
      </c>
      <c r="V59" s="301">
        <v>0</v>
      </c>
      <c r="W59" s="301">
        <v>0</v>
      </c>
      <c r="X59" s="301">
        <v>0</v>
      </c>
      <c r="Y59" s="301">
        <v>0</v>
      </c>
      <c r="Z59" s="301">
        <v>0</v>
      </c>
      <c r="AA59" s="301">
        <v>0</v>
      </c>
      <c r="AB59" s="303">
        <v>2020</v>
      </c>
    </row>
    <row r="60" spans="1:28" ht="35.25" customHeight="1" x14ac:dyDescent="0.5">
      <c r="A60">
        <v>1</v>
      </c>
      <c r="B60" s="80">
        <f>SUBTOTAL(103,$A$9:A60)</f>
        <v>51</v>
      </c>
      <c r="C60" s="300" t="s">
        <v>1660</v>
      </c>
      <c r="D60" s="296">
        <f t="shared" si="2"/>
        <v>532382.57999999996</v>
      </c>
      <c r="E60" s="301">
        <v>0</v>
      </c>
      <c r="F60" s="301">
        <v>0</v>
      </c>
      <c r="G60" s="301">
        <v>0</v>
      </c>
      <c r="H60" s="301">
        <v>0</v>
      </c>
      <c r="I60" s="301">
        <v>532382.57999999996</v>
      </c>
      <c r="J60" s="301">
        <v>0</v>
      </c>
      <c r="K60" s="302">
        <v>0</v>
      </c>
      <c r="L60" s="301">
        <v>0</v>
      </c>
      <c r="M60" s="301">
        <v>0</v>
      </c>
      <c r="N60" s="301">
        <v>0</v>
      </c>
      <c r="O60" s="301">
        <v>0</v>
      </c>
      <c r="P60" s="301">
        <v>0</v>
      </c>
      <c r="Q60" s="301">
        <v>0</v>
      </c>
      <c r="R60" s="301">
        <v>0</v>
      </c>
      <c r="S60" s="301">
        <v>0</v>
      </c>
      <c r="T60" s="301">
        <v>0</v>
      </c>
      <c r="U60" s="301">
        <v>0</v>
      </c>
      <c r="V60" s="301">
        <v>0</v>
      </c>
      <c r="W60" s="301">
        <v>0</v>
      </c>
      <c r="X60" s="301">
        <v>0</v>
      </c>
      <c r="Y60" s="301">
        <v>0</v>
      </c>
      <c r="Z60" s="301">
        <v>0</v>
      </c>
      <c r="AA60" s="301">
        <v>0</v>
      </c>
      <c r="AB60" s="303">
        <v>2020</v>
      </c>
    </row>
    <row r="61" spans="1:28" ht="35.25" customHeight="1" x14ac:dyDescent="0.5">
      <c r="A61">
        <v>1</v>
      </c>
      <c r="B61" s="80">
        <f>SUBTOTAL(103,$A$9:A61)</f>
        <v>52</v>
      </c>
      <c r="C61" s="300" t="s">
        <v>1661</v>
      </c>
      <c r="D61" s="296">
        <f t="shared" si="2"/>
        <v>368373.54000000004</v>
      </c>
      <c r="E61" s="301">
        <v>175244.79</v>
      </c>
      <c r="F61" s="301">
        <v>193128.75</v>
      </c>
      <c r="G61" s="301">
        <v>0</v>
      </c>
      <c r="H61" s="301">
        <v>0</v>
      </c>
      <c r="I61" s="301">
        <v>0</v>
      </c>
      <c r="J61" s="301">
        <v>0</v>
      </c>
      <c r="K61" s="302">
        <v>0</v>
      </c>
      <c r="L61" s="301">
        <v>0</v>
      </c>
      <c r="M61" s="301">
        <v>0</v>
      </c>
      <c r="N61" s="301">
        <v>0</v>
      </c>
      <c r="O61" s="301">
        <v>0</v>
      </c>
      <c r="P61" s="301">
        <v>0</v>
      </c>
      <c r="Q61" s="301">
        <v>0</v>
      </c>
      <c r="R61" s="301">
        <v>0</v>
      </c>
      <c r="S61" s="301">
        <v>0</v>
      </c>
      <c r="T61" s="301">
        <v>0</v>
      </c>
      <c r="U61" s="301">
        <v>0</v>
      </c>
      <c r="V61" s="301">
        <v>0</v>
      </c>
      <c r="W61" s="301">
        <v>0</v>
      </c>
      <c r="X61" s="301">
        <v>0</v>
      </c>
      <c r="Y61" s="301">
        <v>0</v>
      </c>
      <c r="Z61" s="301">
        <v>0</v>
      </c>
      <c r="AA61" s="301">
        <v>0</v>
      </c>
      <c r="AB61" s="303">
        <v>2020</v>
      </c>
    </row>
    <row r="62" spans="1:28" ht="35.25" customHeight="1" x14ac:dyDescent="0.5">
      <c r="A62">
        <v>1</v>
      </c>
      <c r="B62" s="80">
        <f>SUBTOTAL(103,$A$9:A62)</f>
        <v>53</v>
      </c>
      <c r="C62" s="300" t="s">
        <v>1662</v>
      </c>
      <c r="D62" s="296">
        <f t="shared" si="2"/>
        <v>1008901</v>
      </c>
      <c r="E62" s="301">
        <v>0</v>
      </c>
      <c r="F62" s="301">
        <v>0</v>
      </c>
      <c r="G62" s="301">
        <v>404448</v>
      </c>
      <c r="H62" s="301">
        <v>0</v>
      </c>
      <c r="I62" s="301">
        <v>0</v>
      </c>
      <c r="J62" s="301">
        <v>0</v>
      </c>
      <c r="K62" s="302">
        <v>0</v>
      </c>
      <c r="L62" s="301">
        <v>0</v>
      </c>
      <c r="M62" s="301">
        <v>0</v>
      </c>
      <c r="N62" s="301">
        <v>554453</v>
      </c>
      <c r="O62" s="301">
        <v>0</v>
      </c>
      <c r="P62" s="301">
        <v>0</v>
      </c>
      <c r="Q62" s="301">
        <v>0</v>
      </c>
      <c r="R62" s="301">
        <v>0</v>
      </c>
      <c r="S62" s="301">
        <v>0</v>
      </c>
      <c r="T62" s="301">
        <v>0</v>
      </c>
      <c r="U62" s="301">
        <v>0</v>
      </c>
      <c r="V62" s="301">
        <v>0</v>
      </c>
      <c r="W62" s="301">
        <v>0</v>
      </c>
      <c r="X62" s="301">
        <v>0</v>
      </c>
      <c r="Y62" s="301">
        <v>0</v>
      </c>
      <c r="Z62" s="301">
        <v>50000</v>
      </c>
      <c r="AA62" s="301">
        <v>0</v>
      </c>
      <c r="AB62" s="303">
        <v>2020</v>
      </c>
    </row>
    <row r="63" spans="1:28" ht="35.25" customHeight="1" x14ac:dyDescent="0.5">
      <c r="A63">
        <v>1</v>
      </c>
      <c r="B63" s="80">
        <f>SUBTOTAL(103,$A$9:A63)</f>
        <v>54</v>
      </c>
      <c r="C63" s="300" t="s">
        <v>1663</v>
      </c>
      <c r="D63" s="296">
        <f t="shared" si="2"/>
        <v>1164297</v>
      </c>
      <c r="E63" s="301">
        <v>0</v>
      </c>
      <c r="F63" s="301">
        <v>0</v>
      </c>
      <c r="G63" s="301">
        <v>0</v>
      </c>
      <c r="H63" s="301">
        <v>0</v>
      </c>
      <c r="I63" s="301">
        <v>0</v>
      </c>
      <c r="J63" s="301">
        <v>0</v>
      </c>
      <c r="K63" s="302">
        <v>0</v>
      </c>
      <c r="L63" s="301">
        <v>0</v>
      </c>
      <c r="M63" s="301">
        <v>1164297</v>
      </c>
      <c r="N63" s="301">
        <v>0</v>
      </c>
      <c r="O63" s="301">
        <v>0</v>
      </c>
      <c r="P63" s="301">
        <v>0</v>
      </c>
      <c r="Q63" s="301">
        <v>0</v>
      </c>
      <c r="R63" s="301">
        <v>0</v>
      </c>
      <c r="S63" s="301">
        <v>0</v>
      </c>
      <c r="T63" s="301">
        <v>0</v>
      </c>
      <c r="U63" s="301">
        <v>0</v>
      </c>
      <c r="V63" s="301">
        <v>0</v>
      </c>
      <c r="W63" s="301">
        <v>0</v>
      </c>
      <c r="X63" s="301">
        <v>0</v>
      </c>
      <c r="Y63" s="301">
        <v>0</v>
      </c>
      <c r="Z63" s="301">
        <v>0</v>
      </c>
      <c r="AA63" s="301">
        <v>0</v>
      </c>
      <c r="AB63" s="303">
        <v>2020</v>
      </c>
    </row>
    <row r="64" spans="1:28" ht="35.25" customHeight="1" x14ac:dyDescent="0.5">
      <c r="A64">
        <v>1</v>
      </c>
      <c r="B64" s="80">
        <f>SUBTOTAL(103,$A$9:A64)</f>
        <v>55</v>
      </c>
      <c r="C64" s="300" t="s">
        <v>1664</v>
      </c>
      <c r="D64" s="296">
        <f t="shared" si="2"/>
        <v>2377591.96</v>
      </c>
      <c r="E64" s="301">
        <v>877591.96</v>
      </c>
      <c r="F64" s="301">
        <v>1500000</v>
      </c>
      <c r="G64" s="301">
        <v>0</v>
      </c>
      <c r="H64" s="301">
        <v>0</v>
      </c>
      <c r="I64" s="301">
        <v>0</v>
      </c>
      <c r="J64" s="301">
        <v>0</v>
      </c>
      <c r="K64" s="302">
        <v>0</v>
      </c>
      <c r="L64" s="301">
        <v>0</v>
      </c>
      <c r="M64" s="301">
        <v>0</v>
      </c>
      <c r="N64" s="301">
        <v>0</v>
      </c>
      <c r="O64" s="301">
        <v>0</v>
      </c>
      <c r="P64" s="301">
        <v>0</v>
      </c>
      <c r="Q64" s="301">
        <v>0</v>
      </c>
      <c r="R64" s="301">
        <v>0</v>
      </c>
      <c r="S64" s="301">
        <v>0</v>
      </c>
      <c r="T64" s="301">
        <v>0</v>
      </c>
      <c r="U64" s="301">
        <v>0</v>
      </c>
      <c r="V64" s="301">
        <v>0</v>
      </c>
      <c r="W64" s="301">
        <v>0</v>
      </c>
      <c r="X64" s="301">
        <v>0</v>
      </c>
      <c r="Y64" s="301">
        <v>0</v>
      </c>
      <c r="Z64" s="301">
        <v>0</v>
      </c>
      <c r="AA64" s="301">
        <v>0</v>
      </c>
      <c r="AB64" s="303">
        <v>2020</v>
      </c>
    </row>
    <row r="65" spans="1:28" ht="35.25" customHeight="1" x14ac:dyDescent="0.5">
      <c r="A65">
        <v>1</v>
      </c>
      <c r="B65" s="80">
        <f>SUBTOTAL(103,$A$9:A65)</f>
        <v>56</v>
      </c>
      <c r="C65" s="300" t="s">
        <v>1665</v>
      </c>
      <c r="D65" s="296">
        <f t="shared" si="2"/>
        <v>659346.14</v>
      </c>
      <c r="E65" s="301">
        <v>0</v>
      </c>
      <c r="F65" s="301">
        <v>659346.14</v>
      </c>
      <c r="G65" s="301">
        <v>0</v>
      </c>
      <c r="H65" s="301">
        <v>0</v>
      </c>
      <c r="I65" s="301">
        <v>0</v>
      </c>
      <c r="J65" s="301">
        <v>0</v>
      </c>
      <c r="K65" s="302">
        <v>0</v>
      </c>
      <c r="L65" s="301">
        <v>0</v>
      </c>
      <c r="M65" s="301">
        <v>0</v>
      </c>
      <c r="N65" s="301">
        <v>0</v>
      </c>
      <c r="O65" s="301">
        <v>0</v>
      </c>
      <c r="P65" s="301">
        <v>0</v>
      </c>
      <c r="Q65" s="301">
        <v>0</v>
      </c>
      <c r="R65" s="301">
        <v>0</v>
      </c>
      <c r="S65" s="301">
        <v>0</v>
      </c>
      <c r="T65" s="301">
        <v>0</v>
      </c>
      <c r="U65" s="301">
        <v>0</v>
      </c>
      <c r="V65" s="301">
        <v>0</v>
      </c>
      <c r="W65" s="301">
        <v>0</v>
      </c>
      <c r="X65" s="301">
        <v>0</v>
      </c>
      <c r="Y65" s="301">
        <v>0</v>
      </c>
      <c r="Z65" s="301">
        <v>0</v>
      </c>
      <c r="AA65" s="301">
        <v>0</v>
      </c>
      <c r="AB65" s="303">
        <v>2020</v>
      </c>
    </row>
    <row r="66" spans="1:28" ht="35.25" customHeight="1" x14ac:dyDescent="0.5">
      <c r="A66">
        <v>1</v>
      </c>
      <c r="B66" s="80">
        <f>SUBTOTAL(103,$A$9:A66)</f>
        <v>57</v>
      </c>
      <c r="C66" s="300" t="s">
        <v>1666</v>
      </c>
      <c r="D66" s="296">
        <f t="shared" si="2"/>
        <v>441089</v>
      </c>
      <c r="E66" s="301">
        <v>0</v>
      </c>
      <c r="F66" s="301">
        <v>441089</v>
      </c>
      <c r="G66" s="301">
        <v>0</v>
      </c>
      <c r="H66" s="301">
        <v>0</v>
      </c>
      <c r="I66" s="301">
        <v>0</v>
      </c>
      <c r="J66" s="301">
        <v>0</v>
      </c>
      <c r="K66" s="302">
        <v>0</v>
      </c>
      <c r="L66" s="301">
        <v>0</v>
      </c>
      <c r="M66" s="301">
        <v>0</v>
      </c>
      <c r="N66" s="301">
        <v>0</v>
      </c>
      <c r="O66" s="301">
        <v>0</v>
      </c>
      <c r="P66" s="301">
        <v>0</v>
      </c>
      <c r="Q66" s="301">
        <v>0</v>
      </c>
      <c r="R66" s="301">
        <v>0</v>
      </c>
      <c r="S66" s="301">
        <v>0</v>
      </c>
      <c r="T66" s="301">
        <v>0</v>
      </c>
      <c r="U66" s="301">
        <v>0</v>
      </c>
      <c r="V66" s="301">
        <v>0</v>
      </c>
      <c r="W66" s="301">
        <v>0</v>
      </c>
      <c r="X66" s="301">
        <v>0</v>
      </c>
      <c r="Y66" s="301">
        <v>0</v>
      </c>
      <c r="Z66" s="301">
        <v>0</v>
      </c>
      <c r="AA66" s="301">
        <v>0</v>
      </c>
      <c r="AB66" s="303">
        <v>2020</v>
      </c>
    </row>
    <row r="67" spans="1:28" ht="35.25" customHeight="1" x14ac:dyDescent="0.5">
      <c r="A67">
        <v>1</v>
      </c>
      <c r="B67" s="80">
        <f>SUBTOTAL(103,$A$9:A67)</f>
        <v>58</v>
      </c>
      <c r="C67" s="300" t="s">
        <v>1667</v>
      </c>
      <c r="D67" s="296">
        <f t="shared" si="2"/>
        <v>5773987.0600000005</v>
      </c>
      <c r="E67" s="301">
        <v>0</v>
      </c>
      <c r="F67" s="301">
        <v>0</v>
      </c>
      <c r="G67" s="301">
        <v>0</v>
      </c>
      <c r="H67" s="301">
        <v>0</v>
      </c>
      <c r="I67" s="301">
        <v>0</v>
      </c>
      <c r="J67" s="301">
        <v>0</v>
      </c>
      <c r="K67" s="302">
        <v>1</v>
      </c>
      <c r="L67" s="301">
        <v>190756</v>
      </c>
      <c r="M67" s="301">
        <v>0</v>
      </c>
      <c r="N67" s="301">
        <v>0</v>
      </c>
      <c r="O67" s="301">
        <v>5583231.0600000005</v>
      </c>
      <c r="P67" s="301">
        <v>0</v>
      </c>
      <c r="Q67" s="301">
        <v>0</v>
      </c>
      <c r="R67" s="301">
        <v>0</v>
      </c>
      <c r="S67" s="301">
        <v>0</v>
      </c>
      <c r="T67" s="301">
        <v>0</v>
      </c>
      <c r="U67" s="301">
        <v>0</v>
      </c>
      <c r="V67" s="301">
        <v>0</v>
      </c>
      <c r="W67" s="301">
        <v>0</v>
      </c>
      <c r="X67" s="301">
        <v>0</v>
      </c>
      <c r="Y67" s="301">
        <v>0</v>
      </c>
      <c r="Z67" s="301">
        <v>0</v>
      </c>
      <c r="AA67" s="301">
        <v>0</v>
      </c>
      <c r="AB67" s="303">
        <v>2020</v>
      </c>
    </row>
    <row r="68" spans="1:28" ht="35.25" customHeight="1" x14ac:dyDescent="0.5">
      <c r="A68">
        <v>1</v>
      </c>
      <c r="B68" s="80">
        <f>SUBTOTAL(103,$A$9:A68)</f>
        <v>59</v>
      </c>
      <c r="C68" s="300" t="s">
        <v>1668</v>
      </c>
      <c r="D68" s="296">
        <f t="shared" si="2"/>
        <v>141772</v>
      </c>
      <c r="E68" s="301">
        <v>0</v>
      </c>
      <c r="F68" s="301">
        <v>0</v>
      </c>
      <c r="G68" s="301">
        <v>0</v>
      </c>
      <c r="H68" s="301">
        <v>0</v>
      </c>
      <c r="I68" s="301">
        <v>0</v>
      </c>
      <c r="J68" s="301">
        <v>0</v>
      </c>
      <c r="K68" s="302">
        <v>0</v>
      </c>
      <c r="L68" s="301">
        <v>0</v>
      </c>
      <c r="M68" s="301">
        <v>0</v>
      </c>
      <c r="N68" s="301">
        <v>0</v>
      </c>
      <c r="O68" s="301">
        <v>141772</v>
      </c>
      <c r="P68" s="301">
        <v>0</v>
      </c>
      <c r="Q68" s="301">
        <v>0</v>
      </c>
      <c r="R68" s="301">
        <v>0</v>
      </c>
      <c r="S68" s="301">
        <v>0</v>
      </c>
      <c r="T68" s="301">
        <v>0</v>
      </c>
      <c r="U68" s="301">
        <v>0</v>
      </c>
      <c r="V68" s="301">
        <v>0</v>
      </c>
      <c r="W68" s="301">
        <v>0</v>
      </c>
      <c r="X68" s="301">
        <v>0</v>
      </c>
      <c r="Y68" s="301">
        <v>0</v>
      </c>
      <c r="Z68" s="301">
        <v>0</v>
      </c>
      <c r="AA68" s="301">
        <v>0</v>
      </c>
      <c r="AB68" s="303">
        <v>2020</v>
      </c>
    </row>
    <row r="69" spans="1:28" ht="35.25" customHeight="1" x14ac:dyDescent="0.5">
      <c r="A69">
        <v>1</v>
      </c>
      <c r="B69" s="80">
        <f>SUBTOTAL(103,$A$9:A69)</f>
        <v>60</v>
      </c>
      <c r="C69" s="300" t="s">
        <v>1669</v>
      </c>
      <c r="D69" s="296">
        <f t="shared" si="2"/>
        <v>693476.3600000001</v>
      </c>
      <c r="E69" s="301">
        <v>54114.93</v>
      </c>
      <c r="F69" s="301">
        <v>0</v>
      </c>
      <c r="G69" s="301">
        <v>583956.53</v>
      </c>
      <c r="H69" s="301">
        <v>22561.9</v>
      </c>
      <c r="I69" s="301">
        <v>0</v>
      </c>
      <c r="J69" s="301">
        <v>0</v>
      </c>
      <c r="K69" s="302">
        <v>0</v>
      </c>
      <c r="L69" s="301">
        <v>0</v>
      </c>
      <c r="M69" s="301">
        <v>0</v>
      </c>
      <c r="N69" s="301">
        <v>32843</v>
      </c>
      <c r="O69" s="301">
        <v>0</v>
      </c>
      <c r="P69" s="301">
        <v>0</v>
      </c>
      <c r="Q69" s="301">
        <v>0</v>
      </c>
      <c r="R69" s="301">
        <v>0</v>
      </c>
      <c r="S69" s="301">
        <v>0</v>
      </c>
      <c r="T69" s="301">
        <v>0</v>
      </c>
      <c r="U69" s="301">
        <v>0</v>
      </c>
      <c r="V69" s="301">
        <v>0</v>
      </c>
      <c r="W69" s="301">
        <v>0</v>
      </c>
      <c r="X69" s="301">
        <v>0</v>
      </c>
      <c r="Y69" s="301">
        <v>0</v>
      </c>
      <c r="Z69" s="301">
        <v>0</v>
      </c>
      <c r="AA69" s="301">
        <v>0</v>
      </c>
      <c r="AB69" s="303">
        <v>2020</v>
      </c>
    </row>
    <row r="70" spans="1:28" ht="35.25" customHeight="1" x14ac:dyDescent="0.5">
      <c r="A70">
        <v>1</v>
      </c>
      <c r="B70" s="80">
        <f>SUBTOTAL(103,$A$9:A70)</f>
        <v>61</v>
      </c>
      <c r="C70" s="300" t="s">
        <v>1670</v>
      </c>
      <c r="D70" s="296">
        <f t="shared" si="2"/>
        <v>69666</v>
      </c>
      <c r="E70" s="301">
        <v>0</v>
      </c>
      <c r="F70" s="301">
        <v>0</v>
      </c>
      <c r="G70" s="301">
        <v>0</v>
      </c>
      <c r="H70" s="301">
        <v>0</v>
      </c>
      <c r="I70" s="301">
        <v>0</v>
      </c>
      <c r="J70" s="301">
        <v>0</v>
      </c>
      <c r="K70" s="302">
        <v>0</v>
      </c>
      <c r="L70" s="301">
        <v>0</v>
      </c>
      <c r="M70" s="301">
        <v>0</v>
      </c>
      <c r="N70" s="301">
        <v>69666</v>
      </c>
      <c r="O70" s="301">
        <v>0</v>
      </c>
      <c r="P70" s="301">
        <v>0</v>
      </c>
      <c r="Q70" s="301">
        <v>0</v>
      </c>
      <c r="R70" s="301">
        <v>0</v>
      </c>
      <c r="S70" s="301">
        <v>0</v>
      </c>
      <c r="T70" s="301">
        <v>0</v>
      </c>
      <c r="U70" s="301">
        <v>0</v>
      </c>
      <c r="V70" s="301">
        <v>0</v>
      </c>
      <c r="W70" s="301">
        <v>0</v>
      </c>
      <c r="X70" s="301">
        <v>0</v>
      </c>
      <c r="Y70" s="301">
        <v>0</v>
      </c>
      <c r="Z70" s="301">
        <v>0</v>
      </c>
      <c r="AA70" s="301">
        <v>0</v>
      </c>
      <c r="AB70" s="303">
        <v>2020</v>
      </c>
    </row>
    <row r="71" spans="1:28" ht="35.25" customHeight="1" x14ac:dyDescent="0.5">
      <c r="A71">
        <v>1</v>
      </c>
      <c r="B71" s="80">
        <f>SUBTOTAL(103,$A$9:A71)</f>
        <v>62</v>
      </c>
      <c r="C71" s="300" t="s">
        <v>1671</v>
      </c>
      <c r="D71" s="296">
        <f t="shared" si="2"/>
        <v>452575.38</v>
      </c>
      <c r="E71" s="301">
        <v>222826.38</v>
      </c>
      <c r="F71" s="301">
        <v>0</v>
      </c>
      <c r="G71" s="301">
        <v>0</v>
      </c>
      <c r="H71" s="301">
        <v>0</v>
      </c>
      <c r="I71" s="301">
        <v>0</v>
      </c>
      <c r="J71" s="301">
        <v>0</v>
      </c>
      <c r="K71" s="302">
        <v>0</v>
      </c>
      <c r="L71" s="301">
        <v>0</v>
      </c>
      <c r="M71" s="301">
        <v>0</v>
      </c>
      <c r="N71" s="301">
        <v>152567</v>
      </c>
      <c r="O71" s="301">
        <v>77182</v>
      </c>
      <c r="P71" s="301">
        <v>0</v>
      </c>
      <c r="Q71" s="301">
        <v>0</v>
      </c>
      <c r="R71" s="301">
        <v>0</v>
      </c>
      <c r="S71" s="301">
        <v>0</v>
      </c>
      <c r="T71" s="301">
        <v>0</v>
      </c>
      <c r="U71" s="301">
        <v>0</v>
      </c>
      <c r="V71" s="301">
        <v>0</v>
      </c>
      <c r="W71" s="301">
        <v>0</v>
      </c>
      <c r="X71" s="301">
        <v>0</v>
      </c>
      <c r="Y71" s="301">
        <v>0</v>
      </c>
      <c r="Z71" s="301">
        <v>0</v>
      </c>
      <c r="AA71" s="301">
        <v>0</v>
      </c>
      <c r="AB71" s="303">
        <v>2020</v>
      </c>
    </row>
    <row r="72" spans="1:28" ht="35.25" customHeight="1" x14ac:dyDescent="0.5">
      <c r="A72">
        <v>1</v>
      </c>
      <c r="B72" s="80">
        <f>SUBTOTAL(103,$A$9:A72)</f>
        <v>63</v>
      </c>
      <c r="C72" s="300" t="s">
        <v>1672</v>
      </c>
      <c r="D72" s="296">
        <f t="shared" si="2"/>
        <v>1654683.92</v>
      </c>
      <c r="E72" s="301">
        <v>0</v>
      </c>
      <c r="F72" s="301">
        <v>0</v>
      </c>
      <c r="G72" s="301">
        <v>0</v>
      </c>
      <c r="H72" s="301">
        <v>0</v>
      </c>
      <c r="I72" s="301">
        <v>0</v>
      </c>
      <c r="J72" s="301">
        <v>0</v>
      </c>
      <c r="K72" s="302">
        <v>0</v>
      </c>
      <c r="L72" s="301">
        <v>0</v>
      </c>
      <c r="M72" s="301">
        <v>1624695.92</v>
      </c>
      <c r="N72" s="301">
        <v>29988</v>
      </c>
      <c r="O72" s="301">
        <v>0</v>
      </c>
      <c r="P72" s="301">
        <v>0</v>
      </c>
      <c r="Q72" s="301">
        <v>0</v>
      </c>
      <c r="R72" s="301">
        <v>0</v>
      </c>
      <c r="S72" s="301">
        <v>0</v>
      </c>
      <c r="T72" s="301">
        <v>0</v>
      </c>
      <c r="U72" s="301">
        <v>0</v>
      </c>
      <c r="V72" s="301">
        <v>0</v>
      </c>
      <c r="W72" s="301">
        <v>0</v>
      </c>
      <c r="X72" s="301">
        <v>0</v>
      </c>
      <c r="Y72" s="301">
        <v>0</v>
      </c>
      <c r="Z72" s="301">
        <v>0</v>
      </c>
      <c r="AA72" s="301">
        <v>0</v>
      </c>
      <c r="AB72" s="303">
        <v>2020</v>
      </c>
    </row>
    <row r="73" spans="1:28" ht="35.25" customHeight="1" x14ac:dyDescent="0.5">
      <c r="A73">
        <v>1</v>
      </c>
      <c r="B73" s="80">
        <f>SUBTOTAL(103,$A$9:A73)</f>
        <v>64</v>
      </c>
      <c r="C73" s="300" t="s">
        <v>1673</v>
      </c>
      <c r="D73" s="296">
        <f t="shared" ref="D73:D136" si="4">E73+F73+G73+H73+I73+J73+L73+M73+N73+O73+P73+Q73+R73+S73+T73+U73+V73+W73+X73+Y73+Z73+AA73</f>
        <v>131422</v>
      </c>
      <c r="E73" s="301">
        <v>0</v>
      </c>
      <c r="F73" s="301">
        <v>0</v>
      </c>
      <c r="G73" s="301">
        <v>0</v>
      </c>
      <c r="H73" s="301">
        <v>0</v>
      </c>
      <c r="I73" s="301">
        <v>0</v>
      </c>
      <c r="J73" s="301">
        <v>0</v>
      </c>
      <c r="K73" s="302">
        <v>0</v>
      </c>
      <c r="L73" s="301">
        <v>0</v>
      </c>
      <c r="M73" s="301">
        <v>0</v>
      </c>
      <c r="N73" s="301">
        <v>0</v>
      </c>
      <c r="O73" s="301">
        <v>131422</v>
      </c>
      <c r="P73" s="301">
        <v>0</v>
      </c>
      <c r="Q73" s="301">
        <v>0</v>
      </c>
      <c r="R73" s="301">
        <v>0</v>
      </c>
      <c r="S73" s="301">
        <v>0</v>
      </c>
      <c r="T73" s="301">
        <v>0</v>
      </c>
      <c r="U73" s="301">
        <v>0</v>
      </c>
      <c r="V73" s="301">
        <v>0</v>
      </c>
      <c r="W73" s="301">
        <v>0</v>
      </c>
      <c r="X73" s="301">
        <v>0</v>
      </c>
      <c r="Y73" s="301">
        <v>0</v>
      </c>
      <c r="Z73" s="301">
        <v>0</v>
      </c>
      <c r="AA73" s="301">
        <v>0</v>
      </c>
      <c r="AB73" s="303">
        <v>2020</v>
      </c>
    </row>
    <row r="74" spans="1:28" ht="35.25" customHeight="1" x14ac:dyDescent="0.5">
      <c r="A74">
        <v>1</v>
      </c>
      <c r="B74" s="80">
        <f>SUBTOTAL(103,$A$9:A74)</f>
        <v>65</v>
      </c>
      <c r="C74" s="300" t="s">
        <v>1674</v>
      </c>
      <c r="D74" s="296">
        <f t="shared" si="4"/>
        <v>232205.73</v>
      </c>
      <c r="E74" s="301">
        <v>0</v>
      </c>
      <c r="F74" s="301">
        <v>0</v>
      </c>
      <c r="G74" s="301">
        <v>0</v>
      </c>
      <c r="H74" s="301">
        <v>0</v>
      </c>
      <c r="I74" s="301">
        <v>0</v>
      </c>
      <c r="J74" s="301">
        <v>0</v>
      </c>
      <c r="K74" s="302">
        <v>0</v>
      </c>
      <c r="L74" s="301">
        <v>0</v>
      </c>
      <c r="M74" s="301">
        <v>0</v>
      </c>
      <c r="N74" s="301">
        <v>0</v>
      </c>
      <c r="O74" s="301">
        <v>232205.73</v>
      </c>
      <c r="P74" s="301">
        <v>0</v>
      </c>
      <c r="Q74" s="301">
        <v>0</v>
      </c>
      <c r="R74" s="301">
        <v>0</v>
      </c>
      <c r="S74" s="301">
        <v>0</v>
      </c>
      <c r="T74" s="301">
        <v>0</v>
      </c>
      <c r="U74" s="301">
        <v>0</v>
      </c>
      <c r="V74" s="301">
        <v>0</v>
      </c>
      <c r="W74" s="301">
        <v>0</v>
      </c>
      <c r="X74" s="301">
        <v>0</v>
      </c>
      <c r="Y74" s="301">
        <v>0</v>
      </c>
      <c r="Z74" s="301">
        <v>0</v>
      </c>
      <c r="AA74" s="301">
        <v>0</v>
      </c>
      <c r="AB74" s="303">
        <v>2020</v>
      </c>
    </row>
    <row r="75" spans="1:28" ht="35.25" customHeight="1" x14ac:dyDescent="0.5">
      <c r="A75">
        <v>1</v>
      </c>
      <c r="B75" s="80">
        <f>SUBTOTAL(103,$A$9:A75)</f>
        <v>66</v>
      </c>
      <c r="C75" s="300" t="s">
        <v>1675</v>
      </c>
      <c r="D75" s="296">
        <f t="shared" si="4"/>
        <v>664946.64</v>
      </c>
      <c r="E75" s="301">
        <v>281247.58</v>
      </c>
      <c r="F75" s="301">
        <v>383699.06</v>
      </c>
      <c r="G75" s="301">
        <v>0</v>
      </c>
      <c r="H75" s="301">
        <v>0</v>
      </c>
      <c r="I75" s="301">
        <v>0</v>
      </c>
      <c r="J75" s="301">
        <v>0</v>
      </c>
      <c r="K75" s="302">
        <v>0</v>
      </c>
      <c r="L75" s="301">
        <v>0</v>
      </c>
      <c r="M75" s="301">
        <v>0</v>
      </c>
      <c r="N75" s="301">
        <v>0</v>
      </c>
      <c r="O75" s="301">
        <v>0</v>
      </c>
      <c r="P75" s="301">
        <v>0</v>
      </c>
      <c r="Q75" s="301">
        <v>0</v>
      </c>
      <c r="R75" s="301">
        <v>0</v>
      </c>
      <c r="S75" s="301">
        <v>0</v>
      </c>
      <c r="T75" s="301">
        <v>0</v>
      </c>
      <c r="U75" s="301">
        <v>0</v>
      </c>
      <c r="V75" s="301">
        <v>0</v>
      </c>
      <c r="W75" s="301">
        <v>0</v>
      </c>
      <c r="X75" s="301">
        <v>0</v>
      </c>
      <c r="Y75" s="301">
        <v>0</v>
      </c>
      <c r="Z75" s="301">
        <v>0</v>
      </c>
      <c r="AA75" s="301">
        <v>0</v>
      </c>
      <c r="AB75" s="303">
        <v>2020</v>
      </c>
    </row>
    <row r="76" spans="1:28" ht="35.25" customHeight="1" x14ac:dyDescent="0.5">
      <c r="A76">
        <v>1</v>
      </c>
      <c r="B76" s="80">
        <f>SUBTOTAL(103,$A$9:A76)</f>
        <v>67</v>
      </c>
      <c r="C76" s="300" t="s">
        <v>1676</v>
      </c>
      <c r="D76" s="296">
        <f t="shared" si="4"/>
        <v>967198</v>
      </c>
      <c r="E76" s="301">
        <v>0</v>
      </c>
      <c r="F76" s="301">
        <v>0</v>
      </c>
      <c r="G76" s="301">
        <v>0</v>
      </c>
      <c r="H76" s="301">
        <v>0</v>
      </c>
      <c r="I76" s="301">
        <v>0</v>
      </c>
      <c r="J76" s="301">
        <v>0</v>
      </c>
      <c r="K76" s="302">
        <v>0</v>
      </c>
      <c r="L76" s="301">
        <v>0</v>
      </c>
      <c r="M76" s="301">
        <v>967198</v>
      </c>
      <c r="N76" s="301">
        <v>0</v>
      </c>
      <c r="O76" s="301">
        <v>0</v>
      </c>
      <c r="P76" s="301">
        <v>0</v>
      </c>
      <c r="Q76" s="301">
        <v>0</v>
      </c>
      <c r="R76" s="301">
        <v>0</v>
      </c>
      <c r="S76" s="301">
        <v>0</v>
      </c>
      <c r="T76" s="301">
        <v>0</v>
      </c>
      <c r="U76" s="301">
        <v>0</v>
      </c>
      <c r="V76" s="301">
        <v>0</v>
      </c>
      <c r="W76" s="301">
        <v>0</v>
      </c>
      <c r="X76" s="301">
        <v>0</v>
      </c>
      <c r="Y76" s="301">
        <v>0</v>
      </c>
      <c r="Z76" s="301">
        <v>0</v>
      </c>
      <c r="AA76" s="301">
        <v>0</v>
      </c>
      <c r="AB76" s="303">
        <v>2020</v>
      </c>
    </row>
    <row r="77" spans="1:28" ht="35.25" customHeight="1" x14ac:dyDescent="0.5">
      <c r="A77">
        <v>1</v>
      </c>
      <c r="B77" s="80">
        <f>SUBTOTAL(103,$A$9:A77)</f>
        <v>68</v>
      </c>
      <c r="C77" s="300" t="s">
        <v>1677</v>
      </c>
      <c r="D77" s="296">
        <f t="shared" si="4"/>
        <v>1503268</v>
      </c>
      <c r="E77" s="301">
        <v>0</v>
      </c>
      <c r="F77" s="301">
        <v>0</v>
      </c>
      <c r="G77" s="301">
        <v>0</v>
      </c>
      <c r="H77" s="301">
        <v>0</v>
      </c>
      <c r="I77" s="301">
        <v>0</v>
      </c>
      <c r="J77" s="301">
        <v>0</v>
      </c>
      <c r="K77" s="302">
        <v>0</v>
      </c>
      <c r="L77" s="301">
        <v>0</v>
      </c>
      <c r="M77" s="301">
        <v>1503268</v>
      </c>
      <c r="N77" s="301">
        <v>0</v>
      </c>
      <c r="O77" s="301">
        <v>0</v>
      </c>
      <c r="P77" s="301">
        <v>0</v>
      </c>
      <c r="Q77" s="301">
        <v>0</v>
      </c>
      <c r="R77" s="301">
        <v>0</v>
      </c>
      <c r="S77" s="301">
        <v>0</v>
      </c>
      <c r="T77" s="301">
        <v>0</v>
      </c>
      <c r="U77" s="301">
        <v>0</v>
      </c>
      <c r="V77" s="301">
        <v>0</v>
      </c>
      <c r="W77" s="301">
        <v>0</v>
      </c>
      <c r="X77" s="301">
        <v>0</v>
      </c>
      <c r="Y77" s="301">
        <v>0</v>
      </c>
      <c r="Z77" s="301">
        <v>0</v>
      </c>
      <c r="AA77" s="301">
        <v>0</v>
      </c>
      <c r="AB77" s="303">
        <v>2020</v>
      </c>
    </row>
    <row r="78" spans="1:28" ht="35.25" customHeight="1" x14ac:dyDescent="0.5">
      <c r="A78">
        <v>1</v>
      </c>
      <c r="B78" s="80">
        <f>SUBTOTAL(103,$A$9:A78)</f>
        <v>69</v>
      </c>
      <c r="C78" s="300" t="s">
        <v>1678</v>
      </c>
      <c r="D78" s="296">
        <f t="shared" si="4"/>
        <v>493206.56</v>
      </c>
      <c r="E78" s="301">
        <v>0</v>
      </c>
      <c r="F78" s="301">
        <v>0</v>
      </c>
      <c r="G78" s="301">
        <v>493206.56</v>
      </c>
      <c r="H78" s="301">
        <v>0</v>
      </c>
      <c r="I78" s="301">
        <v>0</v>
      </c>
      <c r="J78" s="301">
        <v>0</v>
      </c>
      <c r="K78" s="302">
        <v>0</v>
      </c>
      <c r="L78" s="301">
        <v>0</v>
      </c>
      <c r="M78" s="301">
        <v>0</v>
      </c>
      <c r="N78" s="301">
        <v>0</v>
      </c>
      <c r="O78" s="301">
        <v>0</v>
      </c>
      <c r="P78" s="301">
        <v>0</v>
      </c>
      <c r="Q78" s="301">
        <v>0</v>
      </c>
      <c r="R78" s="301">
        <v>0</v>
      </c>
      <c r="S78" s="301">
        <v>0</v>
      </c>
      <c r="T78" s="301">
        <v>0</v>
      </c>
      <c r="U78" s="301">
        <v>0</v>
      </c>
      <c r="V78" s="301">
        <v>0</v>
      </c>
      <c r="W78" s="301">
        <v>0</v>
      </c>
      <c r="X78" s="301">
        <v>0</v>
      </c>
      <c r="Y78" s="301">
        <v>0</v>
      </c>
      <c r="Z78" s="301">
        <v>0</v>
      </c>
      <c r="AA78" s="301">
        <v>0</v>
      </c>
      <c r="AB78" s="303">
        <v>2020</v>
      </c>
    </row>
    <row r="79" spans="1:28" ht="35.25" customHeight="1" x14ac:dyDescent="0.5">
      <c r="A79">
        <v>1</v>
      </c>
      <c r="B79" s="80">
        <f>SUBTOTAL(103,$A$9:A79)</f>
        <v>70</v>
      </c>
      <c r="C79" s="300" t="s">
        <v>1679</v>
      </c>
      <c r="D79" s="296">
        <f t="shared" si="4"/>
        <v>1822887.23</v>
      </c>
      <c r="E79" s="301">
        <v>0</v>
      </c>
      <c r="F79" s="301">
        <v>1137641</v>
      </c>
      <c r="G79" s="301">
        <v>0</v>
      </c>
      <c r="H79" s="301">
        <v>0</v>
      </c>
      <c r="I79" s="301">
        <v>0</v>
      </c>
      <c r="J79" s="301">
        <v>0</v>
      </c>
      <c r="K79" s="302">
        <v>0</v>
      </c>
      <c r="L79" s="301">
        <v>0</v>
      </c>
      <c r="M79" s="301">
        <v>0</v>
      </c>
      <c r="N79" s="301">
        <v>0</v>
      </c>
      <c r="O79" s="301">
        <f>265246.23+420000</f>
        <v>685246.23</v>
      </c>
      <c r="P79" s="301">
        <v>0</v>
      </c>
      <c r="Q79" s="301">
        <v>0</v>
      </c>
      <c r="R79" s="301">
        <v>0</v>
      </c>
      <c r="S79" s="301">
        <v>0</v>
      </c>
      <c r="T79" s="301">
        <v>0</v>
      </c>
      <c r="U79" s="301">
        <v>0</v>
      </c>
      <c r="V79" s="301">
        <v>0</v>
      </c>
      <c r="W79" s="301">
        <v>0</v>
      </c>
      <c r="X79" s="301">
        <v>0</v>
      </c>
      <c r="Y79" s="301">
        <v>0</v>
      </c>
      <c r="Z79" s="301">
        <v>0</v>
      </c>
      <c r="AA79" s="301">
        <v>0</v>
      </c>
      <c r="AB79" s="303">
        <v>2020</v>
      </c>
    </row>
    <row r="80" spans="1:28" ht="35.25" customHeight="1" x14ac:dyDescent="0.5">
      <c r="A80">
        <v>1</v>
      </c>
      <c r="B80" s="80">
        <f>SUBTOTAL(103,$A$9:A80)</f>
        <v>71</v>
      </c>
      <c r="C80" s="300" t="s">
        <v>1680</v>
      </c>
      <c r="D80" s="296">
        <f t="shared" si="4"/>
        <v>1312347.23</v>
      </c>
      <c r="E80" s="301">
        <v>0</v>
      </c>
      <c r="F80" s="301">
        <v>0</v>
      </c>
      <c r="G80" s="301">
        <v>0</v>
      </c>
      <c r="H80" s="301">
        <v>0</v>
      </c>
      <c r="I80" s="301">
        <v>0</v>
      </c>
      <c r="J80" s="301">
        <v>0</v>
      </c>
      <c r="K80" s="302">
        <v>0</v>
      </c>
      <c r="L80" s="301">
        <v>0</v>
      </c>
      <c r="M80" s="301">
        <v>1312347.23</v>
      </c>
      <c r="N80" s="301">
        <v>0</v>
      </c>
      <c r="O80" s="301">
        <v>0</v>
      </c>
      <c r="P80" s="301">
        <v>0</v>
      </c>
      <c r="Q80" s="301">
        <v>0</v>
      </c>
      <c r="R80" s="301">
        <v>0</v>
      </c>
      <c r="S80" s="301">
        <v>0</v>
      </c>
      <c r="T80" s="301">
        <v>0</v>
      </c>
      <c r="U80" s="301">
        <v>0</v>
      </c>
      <c r="V80" s="301">
        <v>0</v>
      </c>
      <c r="W80" s="301">
        <v>0</v>
      </c>
      <c r="X80" s="301">
        <v>0</v>
      </c>
      <c r="Y80" s="301">
        <v>0</v>
      </c>
      <c r="Z80" s="301">
        <v>0</v>
      </c>
      <c r="AA80" s="301">
        <v>0</v>
      </c>
      <c r="AB80" s="303">
        <v>2020</v>
      </c>
    </row>
    <row r="81" spans="1:28" ht="35.25" customHeight="1" x14ac:dyDescent="0.5">
      <c r="A81">
        <v>1</v>
      </c>
      <c r="B81" s="80">
        <f>SUBTOTAL(103,$A$9:A81)</f>
        <v>72</v>
      </c>
      <c r="C81" s="300" t="s">
        <v>1681</v>
      </c>
      <c r="D81" s="296">
        <f t="shared" si="4"/>
        <v>823785</v>
      </c>
      <c r="E81" s="301">
        <v>240259</v>
      </c>
      <c r="F81" s="301">
        <v>340000</v>
      </c>
      <c r="G81" s="301">
        <v>0</v>
      </c>
      <c r="H81" s="301">
        <v>243526</v>
      </c>
      <c r="I81" s="301">
        <v>0</v>
      </c>
      <c r="J81" s="301">
        <v>0</v>
      </c>
      <c r="K81" s="302">
        <v>0</v>
      </c>
      <c r="L81" s="301">
        <v>0</v>
      </c>
      <c r="M81" s="301">
        <v>0</v>
      </c>
      <c r="N81" s="301">
        <v>0</v>
      </c>
      <c r="O81" s="301">
        <v>0</v>
      </c>
      <c r="P81" s="301">
        <v>0</v>
      </c>
      <c r="Q81" s="301">
        <v>0</v>
      </c>
      <c r="R81" s="301">
        <v>0</v>
      </c>
      <c r="S81" s="301">
        <v>0</v>
      </c>
      <c r="T81" s="301">
        <v>0</v>
      </c>
      <c r="U81" s="301">
        <v>0</v>
      </c>
      <c r="V81" s="301">
        <v>0</v>
      </c>
      <c r="W81" s="301">
        <v>0</v>
      </c>
      <c r="X81" s="301">
        <v>0</v>
      </c>
      <c r="Y81" s="301">
        <v>0</v>
      </c>
      <c r="Z81" s="301">
        <v>0</v>
      </c>
      <c r="AA81" s="301">
        <v>0</v>
      </c>
      <c r="AB81" s="303">
        <v>2020</v>
      </c>
    </row>
    <row r="82" spans="1:28" ht="35.25" customHeight="1" x14ac:dyDescent="0.5">
      <c r="A82">
        <v>1</v>
      </c>
      <c r="B82" s="80">
        <f>SUBTOTAL(103,$A$9:A82)</f>
        <v>73</v>
      </c>
      <c r="C82" s="300" t="s">
        <v>1682</v>
      </c>
      <c r="D82" s="296">
        <f t="shared" si="4"/>
        <v>4014184</v>
      </c>
      <c r="E82" s="301">
        <v>403161</v>
      </c>
      <c r="F82" s="301">
        <v>685470</v>
      </c>
      <c r="G82" s="301">
        <v>0</v>
      </c>
      <c r="H82" s="301">
        <v>0</v>
      </c>
      <c r="I82" s="301">
        <v>0</v>
      </c>
      <c r="J82" s="301">
        <v>0</v>
      </c>
      <c r="K82" s="302">
        <v>0</v>
      </c>
      <c r="L82" s="301">
        <v>0</v>
      </c>
      <c r="M82" s="301">
        <v>0</v>
      </c>
      <c r="N82" s="301">
        <v>0</v>
      </c>
      <c r="O82" s="301">
        <v>2925553</v>
      </c>
      <c r="P82" s="301">
        <v>0</v>
      </c>
      <c r="Q82" s="301">
        <v>0</v>
      </c>
      <c r="R82" s="301">
        <v>0</v>
      </c>
      <c r="S82" s="301">
        <v>0</v>
      </c>
      <c r="T82" s="301">
        <v>0</v>
      </c>
      <c r="U82" s="301">
        <v>0</v>
      </c>
      <c r="V82" s="301">
        <v>0</v>
      </c>
      <c r="W82" s="301">
        <v>0</v>
      </c>
      <c r="X82" s="301">
        <v>0</v>
      </c>
      <c r="Y82" s="301">
        <v>0</v>
      </c>
      <c r="Z82" s="301">
        <v>0</v>
      </c>
      <c r="AA82" s="301">
        <v>0</v>
      </c>
      <c r="AB82" s="303">
        <v>2020</v>
      </c>
    </row>
    <row r="83" spans="1:28" ht="35.25" customHeight="1" x14ac:dyDescent="0.5">
      <c r="A83">
        <v>1</v>
      </c>
      <c r="B83" s="80">
        <f>SUBTOTAL(103,$A$9:A83)</f>
        <v>74</v>
      </c>
      <c r="C83" s="300" t="s">
        <v>2332</v>
      </c>
      <c r="D83" s="296">
        <f t="shared" si="4"/>
        <v>367400</v>
      </c>
      <c r="E83" s="301">
        <v>0</v>
      </c>
      <c r="F83" s="301">
        <v>0</v>
      </c>
      <c r="G83" s="301">
        <v>0</v>
      </c>
      <c r="H83" s="301">
        <v>0</v>
      </c>
      <c r="I83" s="301">
        <v>0</v>
      </c>
      <c r="J83" s="301">
        <v>0</v>
      </c>
      <c r="K83" s="302">
        <v>0</v>
      </c>
      <c r="L83" s="301">
        <v>0</v>
      </c>
      <c r="M83" s="301">
        <v>0</v>
      </c>
      <c r="N83" s="301">
        <v>0</v>
      </c>
      <c r="O83" s="301">
        <f>110220+257180</f>
        <v>367400</v>
      </c>
      <c r="P83" s="301">
        <v>0</v>
      </c>
      <c r="Q83" s="301">
        <v>0</v>
      </c>
      <c r="R83" s="301">
        <v>0</v>
      </c>
      <c r="S83" s="301">
        <v>0</v>
      </c>
      <c r="T83" s="301">
        <v>0</v>
      </c>
      <c r="U83" s="301">
        <v>0</v>
      </c>
      <c r="V83" s="301">
        <v>0</v>
      </c>
      <c r="W83" s="301">
        <v>0</v>
      </c>
      <c r="X83" s="301">
        <v>0</v>
      </c>
      <c r="Y83" s="301">
        <v>0</v>
      </c>
      <c r="Z83" s="301">
        <v>0</v>
      </c>
      <c r="AA83" s="301">
        <v>0</v>
      </c>
      <c r="AB83" s="303">
        <v>2020</v>
      </c>
    </row>
    <row r="84" spans="1:28" ht="35.25" customHeight="1" x14ac:dyDescent="0.5">
      <c r="A84">
        <v>1</v>
      </c>
      <c r="B84" s="80">
        <f>SUBTOTAL(103,$A$9:A84)</f>
        <v>75</v>
      </c>
      <c r="C84" s="300" t="s">
        <v>1683</v>
      </c>
      <c r="D84" s="296">
        <f t="shared" si="4"/>
        <v>246963</v>
      </c>
      <c r="E84" s="301">
        <v>0</v>
      </c>
      <c r="F84" s="301">
        <v>246963</v>
      </c>
      <c r="G84" s="301">
        <v>0</v>
      </c>
      <c r="H84" s="301">
        <v>0</v>
      </c>
      <c r="I84" s="301">
        <v>0</v>
      </c>
      <c r="J84" s="301">
        <v>0</v>
      </c>
      <c r="K84" s="302">
        <v>0</v>
      </c>
      <c r="L84" s="301">
        <v>0</v>
      </c>
      <c r="M84" s="301">
        <v>0</v>
      </c>
      <c r="N84" s="301">
        <v>0</v>
      </c>
      <c r="O84" s="301">
        <v>0</v>
      </c>
      <c r="P84" s="301">
        <v>0</v>
      </c>
      <c r="Q84" s="301">
        <v>0</v>
      </c>
      <c r="R84" s="301">
        <v>0</v>
      </c>
      <c r="S84" s="301">
        <v>0</v>
      </c>
      <c r="T84" s="301">
        <v>0</v>
      </c>
      <c r="U84" s="301">
        <v>0</v>
      </c>
      <c r="V84" s="301">
        <v>0</v>
      </c>
      <c r="W84" s="301">
        <v>0</v>
      </c>
      <c r="X84" s="301">
        <v>0</v>
      </c>
      <c r="Y84" s="301">
        <v>0</v>
      </c>
      <c r="Z84" s="301">
        <v>0</v>
      </c>
      <c r="AA84" s="301">
        <v>0</v>
      </c>
      <c r="AB84" s="303">
        <v>2020</v>
      </c>
    </row>
    <row r="85" spans="1:28" ht="35.25" customHeight="1" x14ac:dyDescent="0.5">
      <c r="A85">
        <v>1</v>
      </c>
      <c r="B85" s="80">
        <f>SUBTOTAL(103,$A$9:A85)</f>
        <v>76</v>
      </c>
      <c r="C85" s="300" t="s">
        <v>1684</v>
      </c>
      <c r="D85" s="296">
        <f t="shared" si="4"/>
        <v>1291286</v>
      </c>
      <c r="E85" s="301">
        <v>0</v>
      </c>
      <c r="F85" s="301">
        <v>0</v>
      </c>
      <c r="G85" s="301">
        <v>0</v>
      </c>
      <c r="H85" s="301">
        <v>0</v>
      </c>
      <c r="I85" s="301">
        <v>0</v>
      </c>
      <c r="J85" s="301">
        <v>0</v>
      </c>
      <c r="K85" s="302">
        <v>0</v>
      </c>
      <c r="L85" s="301">
        <v>0</v>
      </c>
      <c r="M85" s="301">
        <v>1291286</v>
      </c>
      <c r="N85" s="301">
        <v>0</v>
      </c>
      <c r="O85" s="301">
        <v>0</v>
      </c>
      <c r="P85" s="301">
        <v>0</v>
      </c>
      <c r="Q85" s="301">
        <v>0</v>
      </c>
      <c r="R85" s="301">
        <v>0</v>
      </c>
      <c r="S85" s="301">
        <v>0</v>
      </c>
      <c r="T85" s="301">
        <v>0</v>
      </c>
      <c r="U85" s="301">
        <v>0</v>
      </c>
      <c r="V85" s="301">
        <v>0</v>
      </c>
      <c r="W85" s="301">
        <v>0</v>
      </c>
      <c r="X85" s="301">
        <v>0</v>
      </c>
      <c r="Y85" s="301">
        <v>0</v>
      </c>
      <c r="Z85" s="301">
        <v>0</v>
      </c>
      <c r="AA85" s="301">
        <v>0</v>
      </c>
      <c r="AB85" s="303">
        <v>2020</v>
      </c>
    </row>
    <row r="86" spans="1:28" ht="35.25" customHeight="1" x14ac:dyDescent="0.5">
      <c r="A86">
        <v>1</v>
      </c>
      <c r="B86" s="80">
        <f>SUBTOTAL(103,$A$9:A86)</f>
        <v>77</v>
      </c>
      <c r="C86" s="300" t="s">
        <v>1685</v>
      </c>
      <c r="D86" s="296">
        <f t="shared" si="4"/>
        <v>1390877.8599999999</v>
      </c>
      <c r="E86" s="301">
        <v>0</v>
      </c>
      <c r="F86" s="301">
        <v>0</v>
      </c>
      <c r="G86" s="301">
        <v>847860</v>
      </c>
      <c r="H86" s="301">
        <v>0</v>
      </c>
      <c r="I86" s="301">
        <v>0</v>
      </c>
      <c r="J86" s="301">
        <v>0</v>
      </c>
      <c r="K86" s="302">
        <v>0</v>
      </c>
      <c r="L86" s="301">
        <v>0</v>
      </c>
      <c r="M86" s="301">
        <v>0</v>
      </c>
      <c r="N86" s="301">
        <v>0</v>
      </c>
      <c r="O86" s="301">
        <v>543017.86</v>
      </c>
      <c r="P86" s="301">
        <v>0</v>
      </c>
      <c r="Q86" s="301">
        <v>0</v>
      </c>
      <c r="R86" s="301">
        <v>0</v>
      </c>
      <c r="S86" s="301">
        <v>0</v>
      </c>
      <c r="T86" s="301">
        <v>0</v>
      </c>
      <c r="U86" s="301">
        <v>0</v>
      </c>
      <c r="V86" s="301">
        <v>0</v>
      </c>
      <c r="W86" s="301">
        <v>0</v>
      </c>
      <c r="X86" s="301">
        <v>0</v>
      </c>
      <c r="Y86" s="301">
        <v>0</v>
      </c>
      <c r="Z86" s="301">
        <v>0</v>
      </c>
      <c r="AA86" s="301">
        <v>0</v>
      </c>
      <c r="AB86" s="303">
        <v>2020</v>
      </c>
    </row>
    <row r="87" spans="1:28" ht="35.25" customHeight="1" x14ac:dyDescent="0.5">
      <c r="A87">
        <v>1</v>
      </c>
      <c r="B87" s="80">
        <f>SUBTOTAL(103,$A$9:A87)</f>
        <v>78</v>
      </c>
      <c r="C87" s="300" t="s">
        <v>1686</v>
      </c>
      <c r="D87" s="296">
        <f t="shared" si="4"/>
        <v>866755.67</v>
      </c>
      <c r="E87" s="301">
        <v>179437.21</v>
      </c>
      <c r="F87" s="301">
        <v>297679.21000000002</v>
      </c>
      <c r="G87" s="301">
        <v>0</v>
      </c>
      <c r="H87" s="301">
        <v>0</v>
      </c>
      <c r="I87" s="301">
        <v>0</v>
      </c>
      <c r="J87" s="301">
        <v>0</v>
      </c>
      <c r="K87" s="302">
        <v>0</v>
      </c>
      <c r="L87" s="301">
        <v>0</v>
      </c>
      <c r="M87" s="301">
        <v>0</v>
      </c>
      <c r="N87" s="301">
        <v>0</v>
      </c>
      <c r="O87" s="301">
        <v>389639.25</v>
      </c>
      <c r="P87" s="301">
        <v>0</v>
      </c>
      <c r="Q87" s="301">
        <v>0</v>
      </c>
      <c r="R87" s="301">
        <v>0</v>
      </c>
      <c r="S87" s="301">
        <v>0</v>
      </c>
      <c r="T87" s="301">
        <v>0</v>
      </c>
      <c r="U87" s="301">
        <v>0</v>
      </c>
      <c r="V87" s="301">
        <v>0</v>
      </c>
      <c r="W87" s="301">
        <v>0</v>
      </c>
      <c r="X87" s="301">
        <v>0</v>
      </c>
      <c r="Y87" s="301">
        <v>0</v>
      </c>
      <c r="Z87" s="301">
        <v>0</v>
      </c>
      <c r="AA87" s="301">
        <v>0</v>
      </c>
      <c r="AB87" s="303">
        <v>2020</v>
      </c>
    </row>
    <row r="88" spans="1:28" ht="35.25" customHeight="1" x14ac:dyDescent="0.5">
      <c r="A88">
        <v>1</v>
      </c>
      <c r="B88" s="80">
        <f>SUBTOTAL(103,$A$9:A88)</f>
        <v>79</v>
      </c>
      <c r="C88" s="306" t="s">
        <v>1821</v>
      </c>
      <c r="D88" s="296">
        <f t="shared" si="4"/>
        <v>1468076</v>
      </c>
      <c r="E88" s="304">
        <v>0</v>
      </c>
      <c r="F88" s="304">
        <v>0</v>
      </c>
      <c r="G88" s="304">
        <v>0</v>
      </c>
      <c r="H88" s="304">
        <v>0</v>
      </c>
      <c r="I88" s="304">
        <v>0</v>
      </c>
      <c r="J88" s="304">
        <v>0</v>
      </c>
      <c r="K88" s="305">
        <v>0</v>
      </c>
      <c r="L88" s="304">
        <v>0</v>
      </c>
      <c r="M88" s="304">
        <v>1468076</v>
      </c>
      <c r="N88" s="304">
        <v>0</v>
      </c>
      <c r="O88" s="304">
        <v>0</v>
      </c>
      <c r="P88" s="304">
        <v>0</v>
      </c>
      <c r="Q88" s="304">
        <v>0</v>
      </c>
      <c r="R88" s="304">
        <v>0</v>
      </c>
      <c r="S88" s="304">
        <v>0</v>
      </c>
      <c r="T88" s="304">
        <v>0</v>
      </c>
      <c r="U88" s="304">
        <v>0</v>
      </c>
      <c r="V88" s="304">
        <v>0</v>
      </c>
      <c r="W88" s="304">
        <v>0</v>
      </c>
      <c r="X88" s="304">
        <v>0</v>
      </c>
      <c r="Y88" s="304">
        <v>0</v>
      </c>
      <c r="Z88" s="304">
        <v>0</v>
      </c>
      <c r="AA88" s="304">
        <v>0</v>
      </c>
      <c r="AB88" s="303">
        <v>2020</v>
      </c>
    </row>
    <row r="89" spans="1:28" ht="35.25" customHeight="1" x14ac:dyDescent="0.5">
      <c r="A89">
        <v>1</v>
      </c>
      <c r="B89" s="80">
        <f>SUBTOTAL(103,$A$9:A89)</f>
        <v>80</v>
      </c>
      <c r="C89" s="306" t="s">
        <v>1822</v>
      </c>
      <c r="D89" s="296">
        <f t="shared" si="4"/>
        <v>364586</v>
      </c>
      <c r="E89" s="304">
        <v>0</v>
      </c>
      <c r="F89" s="304">
        <v>0</v>
      </c>
      <c r="G89" s="304">
        <v>0</v>
      </c>
      <c r="H89" s="304">
        <v>0</v>
      </c>
      <c r="I89" s="304">
        <v>0</v>
      </c>
      <c r="J89" s="304">
        <v>0</v>
      </c>
      <c r="K89" s="305">
        <v>0</v>
      </c>
      <c r="L89" s="304">
        <v>0</v>
      </c>
      <c r="M89" s="304">
        <v>0</v>
      </c>
      <c r="N89" s="304">
        <v>0</v>
      </c>
      <c r="O89" s="304">
        <v>364586</v>
      </c>
      <c r="P89" s="304">
        <v>0</v>
      </c>
      <c r="Q89" s="304">
        <v>0</v>
      </c>
      <c r="R89" s="304">
        <v>0</v>
      </c>
      <c r="S89" s="304">
        <v>0</v>
      </c>
      <c r="T89" s="304">
        <v>0</v>
      </c>
      <c r="U89" s="304">
        <v>0</v>
      </c>
      <c r="V89" s="304">
        <v>0</v>
      </c>
      <c r="W89" s="304">
        <v>0</v>
      </c>
      <c r="X89" s="304">
        <v>0</v>
      </c>
      <c r="Y89" s="304">
        <v>0</v>
      </c>
      <c r="Z89" s="304">
        <v>0</v>
      </c>
      <c r="AA89" s="304">
        <v>0</v>
      </c>
      <c r="AB89" s="303">
        <v>2020</v>
      </c>
    </row>
    <row r="90" spans="1:28" ht="35.25" customHeight="1" x14ac:dyDescent="0.5">
      <c r="A90">
        <v>1</v>
      </c>
      <c r="B90" s="80">
        <f>SUBTOTAL(103,$A$9:A90)</f>
        <v>81</v>
      </c>
      <c r="C90" s="306" t="s">
        <v>1823</v>
      </c>
      <c r="D90" s="296">
        <f t="shared" si="4"/>
        <v>647956.57000000007</v>
      </c>
      <c r="E90" s="304">
        <v>0</v>
      </c>
      <c r="F90" s="304">
        <v>216731.11</v>
      </c>
      <c r="G90" s="304">
        <v>0</v>
      </c>
      <c r="H90" s="304">
        <v>431225.46</v>
      </c>
      <c r="I90" s="304">
        <v>0</v>
      </c>
      <c r="J90" s="304">
        <v>0</v>
      </c>
      <c r="K90" s="305">
        <v>0</v>
      </c>
      <c r="L90" s="304">
        <v>0</v>
      </c>
      <c r="M90" s="304">
        <v>0</v>
      </c>
      <c r="N90" s="304">
        <v>0</v>
      </c>
      <c r="O90" s="304">
        <v>0</v>
      </c>
      <c r="P90" s="304">
        <v>0</v>
      </c>
      <c r="Q90" s="304">
        <v>0</v>
      </c>
      <c r="R90" s="304">
        <v>0</v>
      </c>
      <c r="S90" s="304">
        <v>0</v>
      </c>
      <c r="T90" s="304">
        <v>0</v>
      </c>
      <c r="U90" s="304">
        <v>0</v>
      </c>
      <c r="V90" s="304">
        <v>0</v>
      </c>
      <c r="W90" s="304">
        <v>0</v>
      </c>
      <c r="X90" s="304">
        <v>0</v>
      </c>
      <c r="Y90" s="304">
        <v>0</v>
      </c>
      <c r="Z90" s="304">
        <v>0</v>
      </c>
      <c r="AA90" s="304">
        <v>0</v>
      </c>
      <c r="AB90" s="303">
        <v>2020</v>
      </c>
    </row>
    <row r="91" spans="1:28" ht="35.25" customHeight="1" x14ac:dyDescent="0.5">
      <c r="A91">
        <v>1</v>
      </c>
      <c r="B91" s="80">
        <f>SUBTOTAL(103,$A$9:A91)</f>
        <v>82</v>
      </c>
      <c r="C91" s="306" t="s">
        <v>2333</v>
      </c>
      <c r="D91" s="296">
        <f t="shared" si="4"/>
        <v>116208</v>
      </c>
      <c r="E91" s="304">
        <v>0</v>
      </c>
      <c r="F91" s="304">
        <v>0</v>
      </c>
      <c r="G91" s="304">
        <v>0</v>
      </c>
      <c r="H91" s="304">
        <v>0</v>
      </c>
      <c r="I91" s="304">
        <v>0</v>
      </c>
      <c r="J91" s="304">
        <v>0</v>
      </c>
      <c r="K91" s="305">
        <v>2</v>
      </c>
      <c r="L91" s="304">
        <v>80776</v>
      </c>
      <c r="M91" s="304">
        <v>0</v>
      </c>
      <c r="N91" s="304">
        <v>0</v>
      </c>
      <c r="O91" s="304">
        <v>35432</v>
      </c>
      <c r="P91" s="304">
        <v>0</v>
      </c>
      <c r="Q91" s="304">
        <v>0</v>
      </c>
      <c r="R91" s="304">
        <v>0</v>
      </c>
      <c r="S91" s="304">
        <v>0</v>
      </c>
      <c r="T91" s="304">
        <v>0</v>
      </c>
      <c r="U91" s="304">
        <v>0</v>
      </c>
      <c r="V91" s="304">
        <v>0</v>
      </c>
      <c r="W91" s="304">
        <v>0</v>
      </c>
      <c r="X91" s="304">
        <v>0</v>
      </c>
      <c r="Y91" s="304">
        <v>0</v>
      </c>
      <c r="Z91" s="304">
        <v>0</v>
      </c>
      <c r="AA91" s="304">
        <v>0</v>
      </c>
      <c r="AB91" s="303">
        <v>2020</v>
      </c>
    </row>
    <row r="92" spans="1:28" ht="35.25" customHeight="1" x14ac:dyDescent="0.5">
      <c r="A92">
        <v>1</v>
      </c>
      <c r="B92" s="80">
        <f>SUBTOTAL(103,$A$9:A92)</f>
        <v>83</v>
      </c>
      <c r="C92" s="306" t="s">
        <v>1824</v>
      </c>
      <c r="D92" s="296">
        <f t="shared" si="4"/>
        <v>610300</v>
      </c>
      <c r="E92" s="304">
        <v>0</v>
      </c>
      <c r="F92" s="304">
        <v>0</v>
      </c>
      <c r="G92" s="304">
        <v>0</v>
      </c>
      <c r="H92" s="304">
        <v>0</v>
      </c>
      <c r="I92" s="304">
        <v>0</v>
      </c>
      <c r="J92" s="304">
        <v>0</v>
      </c>
      <c r="K92" s="305">
        <v>0</v>
      </c>
      <c r="L92" s="304">
        <v>0</v>
      </c>
      <c r="M92" s="304">
        <v>0</v>
      </c>
      <c r="N92" s="304">
        <v>0</v>
      </c>
      <c r="O92" s="304">
        <v>610300</v>
      </c>
      <c r="P92" s="304">
        <v>0</v>
      </c>
      <c r="Q92" s="304">
        <v>0</v>
      </c>
      <c r="R92" s="304">
        <v>0</v>
      </c>
      <c r="S92" s="304">
        <v>0</v>
      </c>
      <c r="T92" s="304">
        <v>0</v>
      </c>
      <c r="U92" s="304">
        <v>0</v>
      </c>
      <c r="V92" s="304">
        <v>0</v>
      </c>
      <c r="W92" s="304">
        <v>0</v>
      </c>
      <c r="X92" s="304">
        <v>0</v>
      </c>
      <c r="Y92" s="304">
        <v>0</v>
      </c>
      <c r="Z92" s="304">
        <v>0</v>
      </c>
      <c r="AA92" s="304">
        <v>0</v>
      </c>
      <c r="AB92" s="303">
        <v>2020</v>
      </c>
    </row>
    <row r="93" spans="1:28" ht="35.25" customHeight="1" x14ac:dyDescent="0.5">
      <c r="A93">
        <v>1</v>
      </c>
      <c r="B93" s="80">
        <f>SUBTOTAL(103,$A$9:A93)</f>
        <v>84</v>
      </c>
      <c r="C93" s="306" t="s">
        <v>1825</v>
      </c>
      <c r="D93" s="296">
        <f t="shared" si="4"/>
        <v>478757.53</v>
      </c>
      <c r="E93" s="304">
        <v>0</v>
      </c>
      <c r="F93" s="304">
        <v>57079.75</v>
      </c>
      <c r="G93" s="304">
        <v>0</v>
      </c>
      <c r="H93" s="304">
        <v>0</v>
      </c>
      <c r="I93" s="304">
        <v>0</v>
      </c>
      <c r="J93" s="304">
        <v>0</v>
      </c>
      <c r="K93" s="305">
        <v>0</v>
      </c>
      <c r="L93" s="304">
        <v>0</v>
      </c>
      <c r="M93" s="304">
        <v>344154</v>
      </c>
      <c r="N93" s="304">
        <v>0</v>
      </c>
      <c r="O93" s="304">
        <v>77523.78</v>
      </c>
      <c r="P93" s="304">
        <v>0</v>
      </c>
      <c r="Q93" s="304">
        <v>0</v>
      </c>
      <c r="R93" s="304">
        <v>0</v>
      </c>
      <c r="S93" s="304">
        <v>0</v>
      </c>
      <c r="T93" s="304">
        <v>0</v>
      </c>
      <c r="U93" s="304">
        <v>0</v>
      </c>
      <c r="V93" s="304">
        <v>0</v>
      </c>
      <c r="W93" s="304">
        <v>0</v>
      </c>
      <c r="X93" s="304">
        <v>0</v>
      </c>
      <c r="Y93" s="304">
        <v>0</v>
      </c>
      <c r="Z93" s="304">
        <v>0</v>
      </c>
      <c r="AA93" s="304">
        <v>0</v>
      </c>
      <c r="AB93" s="303">
        <v>2020</v>
      </c>
    </row>
    <row r="94" spans="1:28" ht="35.25" customHeight="1" x14ac:dyDescent="0.5">
      <c r="A94">
        <v>1</v>
      </c>
      <c r="B94" s="80">
        <f>SUBTOTAL(103,$A$9:A94)</f>
        <v>85</v>
      </c>
      <c r="C94" s="306" t="s">
        <v>1826</v>
      </c>
      <c r="D94" s="296">
        <f t="shared" si="4"/>
        <v>1394395.75</v>
      </c>
      <c r="E94" s="304">
        <v>0</v>
      </c>
      <c r="F94" s="304">
        <v>0</v>
      </c>
      <c r="G94" s="304">
        <v>0</v>
      </c>
      <c r="H94" s="304">
        <v>0</v>
      </c>
      <c r="I94" s="304">
        <v>0</v>
      </c>
      <c r="J94" s="304">
        <v>0</v>
      </c>
      <c r="K94" s="305">
        <v>0</v>
      </c>
      <c r="L94" s="304">
        <v>0</v>
      </c>
      <c r="M94" s="304">
        <v>1394395.75</v>
      </c>
      <c r="N94" s="304">
        <v>0</v>
      </c>
      <c r="O94" s="304">
        <v>0</v>
      </c>
      <c r="P94" s="304">
        <v>0</v>
      </c>
      <c r="Q94" s="304">
        <v>0</v>
      </c>
      <c r="R94" s="304">
        <v>0</v>
      </c>
      <c r="S94" s="304">
        <v>0</v>
      </c>
      <c r="T94" s="304">
        <v>0</v>
      </c>
      <c r="U94" s="304">
        <v>0</v>
      </c>
      <c r="V94" s="304">
        <v>0</v>
      </c>
      <c r="W94" s="304">
        <v>0</v>
      </c>
      <c r="X94" s="304">
        <v>0</v>
      </c>
      <c r="Y94" s="304">
        <v>0</v>
      </c>
      <c r="Z94" s="304">
        <v>0</v>
      </c>
      <c r="AA94" s="304">
        <v>0</v>
      </c>
      <c r="AB94" s="303">
        <v>2020</v>
      </c>
    </row>
    <row r="95" spans="1:28" ht="35.25" customHeight="1" x14ac:dyDescent="0.5">
      <c r="A95">
        <v>1</v>
      </c>
      <c r="B95" s="80">
        <f>SUBTOTAL(103,$A$9:A95)</f>
        <v>86</v>
      </c>
      <c r="C95" s="306" t="s">
        <v>1827</v>
      </c>
      <c r="D95" s="296">
        <f t="shared" si="4"/>
        <v>592148.92000000004</v>
      </c>
      <c r="E95" s="304">
        <v>592148.92000000004</v>
      </c>
      <c r="F95" s="304">
        <v>0</v>
      </c>
      <c r="G95" s="304">
        <v>0</v>
      </c>
      <c r="H95" s="304">
        <v>0</v>
      </c>
      <c r="I95" s="304">
        <v>0</v>
      </c>
      <c r="J95" s="304">
        <v>0</v>
      </c>
      <c r="K95" s="305">
        <v>0</v>
      </c>
      <c r="L95" s="304">
        <v>0</v>
      </c>
      <c r="M95" s="304">
        <v>0</v>
      </c>
      <c r="N95" s="304">
        <v>0</v>
      </c>
      <c r="O95" s="304">
        <v>0</v>
      </c>
      <c r="P95" s="304">
        <v>0</v>
      </c>
      <c r="Q95" s="304">
        <v>0</v>
      </c>
      <c r="R95" s="304">
        <v>0</v>
      </c>
      <c r="S95" s="304">
        <v>0</v>
      </c>
      <c r="T95" s="304">
        <v>0</v>
      </c>
      <c r="U95" s="304">
        <v>0</v>
      </c>
      <c r="V95" s="304">
        <v>0</v>
      </c>
      <c r="W95" s="304">
        <v>0</v>
      </c>
      <c r="X95" s="304">
        <v>0</v>
      </c>
      <c r="Y95" s="304">
        <v>0</v>
      </c>
      <c r="Z95" s="304">
        <v>0</v>
      </c>
      <c r="AA95" s="304">
        <v>0</v>
      </c>
      <c r="AB95" s="303">
        <v>2020</v>
      </c>
    </row>
    <row r="96" spans="1:28" ht="35.25" customHeight="1" x14ac:dyDescent="0.5">
      <c r="A96">
        <v>1</v>
      </c>
      <c r="B96" s="80">
        <f>SUBTOTAL(103,$A$9:A96)</f>
        <v>87</v>
      </c>
      <c r="C96" s="306" t="s">
        <v>1828</v>
      </c>
      <c r="D96" s="296">
        <f t="shared" si="4"/>
        <v>3510000</v>
      </c>
      <c r="E96" s="304">
        <v>0</v>
      </c>
      <c r="F96" s="304">
        <v>0</v>
      </c>
      <c r="G96" s="304">
        <v>0</v>
      </c>
      <c r="H96" s="304">
        <v>0</v>
      </c>
      <c r="I96" s="304">
        <v>0</v>
      </c>
      <c r="J96" s="304">
        <v>0</v>
      </c>
      <c r="K96" s="305">
        <v>0</v>
      </c>
      <c r="L96" s="304">
        <v>0</v>
      </c>
      <c r="M96" s="304">
        <v>3000000</v>
      </c>
      <c r="N96" s="304">
        <v>0</v>
      </c>
      <c r="O96" s="304">
        <v>510000</v>
      </c>
      <c r="P96" s="304">
        <v>0</v>
      </c>
      <c r="Q96" s="304">
        <v>0</v>
      </c>
      <c r="R96" s="304">
        <v>0</v>
      </c>
      <c r="S96" s="304">
        <v>0</v>
      </c>
      <c r="T96" s="304">
        <v>0</v>
      </c>
      <c r="U96" s="304">
        <v>0</v>
      </c>
      <c r="V96" s="304">
        <v>0</v>
      </c>
      <c r="W96" s="304">
        <v>0</v>
      </c>
      <c r="X96" s="304">
        <v>0</v>
      </c>
      <c r="Y96" s="304">
        <v>0</v>
      </c>
      <c r="Z96" s="304">
        <v>0</v>
      </c>
      <c r="AA96" s="304">
        <v>0</v>
      </c>
      <c r="AB96" s="303">
        <v>2020</v>
      </c>
    </row>
    <row r="97" spans="1:28" ht="35.25" customHeight="1" x14ac:dyDescent="0.5">
      <c r="A97">
        <v>1</v>
      </c>
      <c r="B97" s="80">
        <f>SUBTOTAL(103,$A$9:A97)</f>
        <v>88</v>
      </c>
      <c r="C97" s="306" t="s">
        <v>1829</v>
      </c>
      <c r="D97" s="296">
        <f t="shared" si="4"/>
        <v>1004458</v>
      </c>
      <c r="E97" s="304">
        <v>0</v>
      </c>
      <c r="F97" s="304">
        <v>0</v>
      </c>
      <c r="G97" s="304">
        <v>0</v>
      </c>
      <c r="H97" s="304">
        <v>0</v>
      </c>
      <c r="I97" s="304">
        <v>0</v>
      </c>
      <c r="J97" s="304">
        <v>0</v>
      </c>
      <c r="K97" s="305">
        <v>0</v>
      </c>
      <c r="L97" s="304">
        <v>0</v>
      </c>
      <c r="M97" s="304">
        <v>1004458</v>
      </c>
      <c r="N97" s="304">
        <v>0</v>
      </c>
      <c r="O97" s="304">
        <v>0</v>
      </c>
      <c r="P97" s="304">
        <v>0</v>
      </c>
      <c r="Q97" s="304">
        <v>0</v>
      </c>
      <c r="R97" s="304">
        <v>0</v>
      </c>
      <c r="S97" s="304">
        <v>0</v>
      </c>
      <c r="T97" s="304">
        <v>0</v>
      </c>
      <c r="U97" s="304">
        <v>0</v>
      </c>
      <c r="V97" s="304">
        <v>0</v>
      </c>
      <c r="W97" s="304">
        <v>0</v>
      </c>
      <c r="X97" s="304">
        <v>0</v>
      </c>
      <c r="Y97" s="304">
        <v>0</v>
      </c>
      <c r="Z97" s="304">
        <v>0</v>
      </c>
      <c r="AA97" s="304">
        <v>0</v>
      </c>
      <c r="AB97" s="303">
        <v>2020</v>
      </c>
    </row>
    <row r="98" spans="1:28" ht="35.25" customHeight="1" x14ac:dyDescent="0.5">
      <c r="A98">
        <v>1</v>
      </c>
      <c r="B98" s="80">
        <f>SUBTOTAL(103,$A$9:A98)</f>
        <v>89</v>
      </c>
      <c r="C98" s="306" t="s">
        <v>1830</v>
      </c>
      <c r="D98" s="296">
        <f t="shared" si="4"/>
        <v>897668.63</v>
      </c>
      <c r="E98" s="304">
        <v>0</v>
      </c>
      <c r="F98" s="304">
        <v>0</v>
      </c>
      <c r="G98" s="304">
        <v>0</v>
      </c>
      <c r="H98" s="304">
        <v>0</v>
      </c>
      <c r="I98" s="304">
        <v>0</v>
      </c>
      <c r="J98" s="304">
        <v>0</v>
      </c>
      <c r="K98" s="305">
        <v>0</v>
      </c>
      <c r="L98" s="304">
        <v>0</v>
      </c>
      <c r="M98" s="304">
        <v>811166.63</v>
      </c>
      <c r="N98" s="304">
        <v>0</v>
      </c>
      <c r="O98" s="304">
        <v>86502</v>
      </c>
      <c r="P98" s="304">
        <v>0</v>
      </c>
      <c r="Q98" s="304">
        <v>0</v>
      </c>
      <c r="R98" s="304">
        <v>0</v>
      </c>
      <c r="S98" s="304">
        <v>0</v>
      </c>
      <c r="T98" s="304">
        <v>0</v>
      </c>
      <c r="U98" s="304">
        <v>0</v>
      </c>
      <c r="V98" s="304">
        <v>0</v>
      </c>
      <c r="W98" s="304">
        <v>0</v>
      </c>
      <c r="X98" s="304">
        <v>0</v>
      </c>
      <c r="Y98" s="304">
        <v>0</v>
      </c>
      <c r="Z98" s="304">
        <v>0</v>
      </c>
      <c r="AA98" s="304">
        <v>0</v>
      </c>
      <c r="AB98" s="303">
        <v>2020</v>
      </c>
    </row>
    <row r="99" spans="1:28" ht="35.25" customHeight="1" x14ac:dyDescent="0.5">
      <c r="A99">
        <v>1</v>
      </c>
      <c r="B99" s="80">
        <f>SUBTOTAL(103,$A$9:A99)</f>
        <v>90</v>
      </c>
      <c r="C99" s="306" t="s">
        <v>1831</v>
      </c>
      <c r="D99" s="296">
        <f t="shared" si="4"/>
        <v>1450004</v>
      </c>
      <c r="E99" s="304">
        <v>0</v>
      </c>
      <c r="F99" s="304">
        <v>0</v>
      </c>
      <c r="G99" s="304">
        <v>0</v>
      </c>
      <c r="H99" s="304">
        <v>0</v>
      </c>
      <c r="I99" s="304">
        <v>0</v>
      </c>
      <c r="J99" s="304">
        <v>0</v>
      </c>
      <c r="K99" s="305">
        <v>0</v>
      </c>
      <c r="L99" s="304">
        <v>0</v>
      </c>
      <c r="M99" s="304">
        <v>1450004</v>
      </c>
      <c r="N99" s="304">
        <v>0</v>
      </c>
      <c r="O99" s="304">
        <v>0</v>
      </c>
      <c r="P99" s="304">
        <v>0</v>
      </c>
      <c r="Q99" s="304">
        <v>0</v>
      </c>
      <c r="R99" s="304">
        <v>0</v>
      </c>
      <c r="S99" s="304">
        <v>0</v>
      </c>
      <c r="T99" s="304">
        <v>0</v>
      </c>
      <c r="U99" s="304">
        <v>0</v>
      </c>
      <c r="V99" s="304">
        <v>0</v>
      </c>
      <c r="W99" s="304">
        <v>0</v>
      </c>
      <c r="X99" s="304">
        <v>0</v>
      </c>
      <c r="Y99" s="304">
        <v>0</v>
      </c>
      <c r="Z99" s="304">
        <v>0</v>
      </c>
      <c r="AA99" s="304">
        <v>0</v>
      </c>
      <c r="AB99" s="303">
        <v>2020</v>
      </c>
    </row>
    <row r="100" spans="1:28" ht="35.25" customHeight="1" x14ac:dyDescent="0.5">
      <c r="A100">
        <v>1</v>
      </c>
      <c r="B100" s="80">
        <f>SUBTOTAL(103,$A$9:A100)</f>
        <v>91</v>
      </c>
      <c r="C100" s="306" t="s">
        <v>1832</v>
      </c>
      <c r="D100" s="296">
        <f t="shared" si="4"/>
        <v>448868</v>
      </c>
      <c r="E100" s="304">
        <v>130822</v>
      </c>
      <c r="F100" s="304">
        <v>130822</v>
      </c>
      <c r="G100" s="304">
        <v>0</v>
      </c>
      <c r="H100" s="304">
        <v>0</v>
      </c>
      <c r="I100" s="304">
        <v>0</v>
      </c>
      <c r="J100" s="304">
        <v>0</v>
      </c>
      <c r="K100" s="305">
        <v>0</v>
      </c>
      <c r="L100" s="304">
        <v>0</v>
      </c>
      <c r="M100" s="304">
        <v>0</v>
      </c>
      <c r="N100" s="304">
        <v>0</v>
      </c>
      <c r="O100" s="304">
        <v>187224</v>
      </c>
      <c r="P100" s="304">
        <v>0</v>
      </c>
      <c r="Q100" s="304">
        <v>0</v>
      </c>
      <c r="R100" s="304">
        <v>0</v>
      </c>
      <c r="S100" s="304">
        <v>0</v>
      </c>
      <c r="T100" s="304">
        <v>0</v>
      </c>
      <c r="U100" s="304">
        <v>0</v>
      </c>
      <c r="V100" s="304">
        <v>0</v>
      </c>
      <c r="W100" s="304">
        <v>0</v>
      </c>
      <c r="X100" s="304">
        <v>0</v>
      </c>
      <c r="Y100" s="304">
        <v>0</v>
      </c>
      <c r="Z100" s="304">
        <v>0</v>
      </c>
      <c r="AA100" s="304">
        <v>0</v>
      </c>
      <c r="AB100" s="303">
        <v>2020</v>
      </c>
    </row>
    <row r="101" spans="1:28" ht="35.25" customHeight="1" x14ac:dyDescent="0.5">
      <c r="A101">
        <v>1</v>
      </c>
      <c r="B101" s="80">
        <f>SUBTOTAL(103,$A$9:A101)</f>
        <v>92</v>
      </c>
      <c r="C101" s="306" t="s">
        <v>1833</v>
      </c>
      <c r="D101" s="296">
        <f t="shared" si="4"/>
        <v>1111226.33</v>
      </c>
      <c r="E101" s="304">
        <v>0</v>
      </c>
      <c r="F101" s="304">
        <v>0</v>
      </c>
      <c r="G101" s="304">
        <v>0</v>
      </c>
      <c r="H101" s="304">
        <v>0</v>
      </c>
      <c r="I101" s="304">
        <v>0</v>
      </c>
      <c r="J101" s="304">
        <v>0</v>
      </c>
      <c r="K101" s="305">
        <v>0</v>
      </c>
      <c r="L101" s="304">
        <v>0</v>
      </c>
      <c r="M101" s="304">
        <v>1111226.33</v>
      </c>
      <c r="N101" s="304">
        <v>0</v>
      </c>
      <c r="O101" s="304">
        <v>0</v>
      </c>
      <c r="P101" s="304">
        <v>0</v>
      </c>
      <c r="Q101" s="304">
        <v>0</v>
      </c>
      <c r="R101" s="304">
        <v>0</v>
      </c>
      <c r="S101" s="304">
        <v>0</v>
      </c>
      <c r="T101" s="304">
        <v>0</v>
      </c>
      <c r="U101" s="304">
        <v>0</v>
      </c>
      <c r="V101" s="304">
        <v>0</v>
      </c>
      <c r="W101" s="304">
        <v>0</v>
      </c>
      <c r="X101" s="304">
        <v>0</v>
      </c>
      <c r="Y101" s="304">
        <v>0</v>
      </c>
      <c r="Z101" s="304">
        <v>0</v>
      </c>
      <c r="AA101" s="304">
        <v>0</v>
      </c>
      <c r="AB101" s="303">
        <v>2020</v>
      </c>
    </row>
    <row r="102" spans="1:28" ht="35.25" customHeight="1" x14ac:dyDescent="0.5">
      <c r="A102">
        <v>1</v>
      </c>
      <c r="B102" s="80">
        <f>SUBTOTAL(103,$A$9:A102)</f>
        <v>93</v>
      </c>
      <c r="C102" s="306" t="s">
        <v>1834</v>
      </c>
      <c r="D102" s="296">
        <f t="shared" si="4"/>
        <v>252000</v>
      </c>
      <c r="E102" s="304">
        <v>0</v>
      </c>
      <c r="F102" s="304">
        <v>0</v>
      </c>
      <c r="G102" s="304">
        <v>0</v>
      </c>
      <c r="H102" s="304">
        <v>0</v>
      </c>
      <c r="I102" s="304">
        <v>0</v>
      </c>
      <c r="J102" s="304">
        <v>0</v>
      </c>
      <c r="K102" s="305">
        <v>0</v>
      </c>
      <c r="L102" s="304">
        <v>0</v>
      </c>
      <c r="M102" s="304">
        <v>0</v>
      </c>
      <c r="N102" s="304">
        <v>0</v>
      </c>
      <c r="O102" s="304">
        <v>252000</v>
      </c>
      <c r="P102" s="304">
        <v>0</v>
      </c>
      <c r="Q102" s="304">
        <v>0</v>
      </c>
      <c r="R102" s="304">
        <v>0</v>
      </c>
      <c r="S102" s="304">
        <v>0</v>
      </c>
      <c r="T102" s="304">
        <v>0</v>
      </c>
      <c r="U102" s="304">
        <v>0</v>
      </c>
      <c r="V102" s="304">
        <v>0</v>
      </c>
      <c r="W102" s="304">
        <v>0</v>
      </c>
      <c r="X102" s="304">
        <v>0</v>
      </c>
      <c r="Y102" s="304">
        <v>0</v>
      </c>
      <c r="Z102" s="304">
        <v>0</v>
      </c>
      <c r="AA102" s="304">
        <v>0</v>
      </c>
      <c r="AB102" s="303">
        <v>2020</v>
      </c>
    </row>
    <row r="103" spans="1:28" ht="35.25" customHeight="1" x14ac:dyDescent="0.5">
      <c r="A103">
        <v>1</v>
      </c>
      <c r="B103" s="80">
        <f>SUBTOTAL(103,$A$9:A103)</f>
        <v>94</v>
      </c>
      <c r="C103" s="306" t="s">
        <v>1835</v>
      </c>
      <c r="D103" s="296">
        <f t="shared" si="4"/>
        <v>1736821</v>
      </c>
      <c r="E103" s="304">
        <v>0</v>
      </c>
      <c r="F103" s="304">
        <v>0</v>
      </c>
      <c r="G103" s="304">
        <v>0</v>
      </c>
      <c r="H103" s="304">
        <v>0</v>
      </c>
      <c r="I103" s="304">
        <v>0</v>
      </c>
      <c r="J103" s="304">
        <v>0</v>
      </c>
      <c r="K103" s="305">
        <v>0</v>
      </c>
      <c r="L103" s="304">
        <v>0</v>
      </c>
      <c r="M103" s="304">
        <v>1736821</v>
      </c>
      <c r="N103" s="304">
        <v>0</v>
      </c>
      <c r="O103" s="304">
        <v>0</v>
      </c>
      <c r="P103" s="304">
        <v>0</v>
      </c>
      <c r="Q103" s="304">
        <v>0</v>
      </c>
      <c r="R103" s="304">
        <v>0</v>
      </c>
      <c r="S103" s="304">
        <v>0</v>
      </c>
      <c r="T103" s="304">
        <v>0</v>
      </c>
      <c r="U103" s="304">
        <v>0</v>
      </c>
      <c r="V103" s="304">
        <v>0</v>
      </c>
      <c r="W103" s="304">
        <v>0</v>
      </c>
      <c r="X103" s="304">
        <v>0</v>
      </c>
      <c r="Y103" s="304">
        <v>0</v>
      </c>
      <c r="Z103" s="304">
        <v>0</v>
      </c>
      <c r="AA103" s="304">
        <v>0</v>
      </c>
      <c r="AB103" s="303">
        <v>2020</v>
      </c>
    </row>
    <row r="104" spans="1:28" ht="35.25" customHeight="1" x14ac:dyDescent="0.5">
      <c r="A104">
        <v>1</v>
      </c>
      <c r="B104" s="80">
        <f>SUBTOTAL(103,$A$9:A104)</f>
        <v>95</v>
      </c>
      <c r="C104" s="306" t="s">
        <v>1836</v>
      </c>
      <c r="D104" s="296">
        <f t="shared" si="4"/>
        <v>1164297</v>
      </c>
      <c r="E104" s="304">
        <v>0</v>
      </c>
      <c r="F104" s="304">
        <v>0</v>
      </c>
      <c r="G104" s="304">
        <v>0</v>
      </c>
      <c r="H104" s="304">
        <v>0</v>
      </c>
      <c r="I104" s="304">
        <v>0</v>
      </c>
      <c r="J104" s="304">
        <v>0</v>
      </c>
      <c r="K104" s="305">
        <v>0</v>
      </c>
      <c r="L104" s="304">
        <v>0</v>
      </c>
      <c r="M104" s="304">
        <v>1164297</v>
      </c>
      <c r="N104" s="304">
        <v>0</v>
      </c>
      <c r="O104" s="304">
        <v>0</v>
      </c>
      <c r="P104" s="304">
        <v>0</v>
      </c>
      <c r="Q104" s="304">
        <v>0</v>
      </c>
      <c r="R104" s="304">
        <v>0</v>
      </c>
      <c r="S104" s="304">
        <v>0</v>
      </c>
      <c r="T104" s="304">
        <v>0</v>
      </c>
      <c r="U104" s="304">
        <v>0</v>
      </c>
      <c r="V104" s="304">
        <v>0</v>
      </c>
      <c r="W104" s="304">
        <v>0</v>
      </c>
      <c r="X104" s="304">
        <v>0</v>
      </c>
      <c r="Y104" s="304">
        <v>0</v>
      </c>
      <c r="Z104" s="304">
        <v>0</v>
      </c>
      <c r="AA104" s="304">
        <v>0</v>
      </c>
      <c r="AB104" s="303">
        <v>2020</v>
      </c>
    </row>
    <row r="105" spans="1:28" ht="35.25" customHeight="1" x14ac:dyDescent="0.5">
      <c r="A105">
        <v>1</v>
      </c>
      <c r="B105" s="80">
        <f>SUBTOTAL(103,$A$9:A105)</f>
        <v>96</v>
      </c>
      <c r="C105" s="306" t="s">
        <v>1837</v>
      </c>
      <c r="D105" s="296">
        <f t="shared" si="4"/>
        <v>1475513.91</v>
      </c>
      <c r="E105" s="304">
        <v>0</v>
      </c>
      <c r="F105" s="304">
        <v>0</v>
      </c>
      <c r="G105" s="304">
        <v>0</v>
      </c>
      <c r="H105" s="304">
        <v>0</v>
      </c>
      <c r="I105" s="304">
        <v>0</v>
      </c>
      <c r="J105" s="304">
        <v>0</v>
      </c>
      <c r="K105" s="305">
        <v>0</v>
      </c>
      <c r="L105" s="304">
        <v>0</v>
      </c>
      <c r="M105" s="304">
        <v>1475513.91</v>
      </c>
      <c r="N105" s="304">
        <v>0</v>
      </c>
      <c r="O105" s="304">
        <v>0</v>
      </c>
      <c r="P105" s="304">
        <v>0</v>
      </c>
      <c r="Q105" s="304">
        <v>0</v>
      </c>
      <c r="R105" s="304">
        <v>0</v>
      </c>
      <c r="S105" s="304">
        <v>0</v>
      </c>
      <c r="T105" s="304">
        <v>0</v>
      </c>
      <c r="U105" s="304">
        <v>0</v>
      </c>
      <c r="V105" s="304">
        <v>0</v>
      </c>
      <c r="W105" s="304">
        <v>0</v>
      </c>
      <c r="X105" s="304">
        <v>0</v>
      </c>
      <c r="Y105" s="304">
        <v>0</v>
      </c>
      <c r="Z105" s="304">
        <v>0</v>
      </c>
      <c r="AA105" s="304">
        <v>0</v>
      </c>
      <c r="AB105" s="303">
        <v>2020</v>
      </c>
    </row>
    <row r="106" spans="1:28" ht="35.25" customHeight="1" x14ac:dyDescent="0.5">
      <c r="A106">
        <v>1</v>
      </c>
      <c r="B106" s="80">
        <f>SUBTOTAL(103,$A$9:A106)</f>
        <v>97</v>
      </c>
      <c r="C106" s="306" t="s">
        <v>1838</v>
      </c>
      <c r="D106" s="296">
        <f t="shared" si="4"/>
        <v>256701.14</v>
      </c>
      <c r="E106" s="304">
        <v>0</v>
      </c>
      <c r="F106" s="304">
        <v>0</v>
      </c>
      <c r="G106" s="304">
        <v>0</v>
      </c>
      <c r="H106" s="304">
        <v>0</v>
      </c>
      <c r="I106" s="304">
        <v>0</v>
      </c>
      <c r="J106" s="304">
        <v>0</v>
      </c>
      <c r="K106" s="305">
        <v>0</v>
      </c>
      <c r="L106" s="304">
        <v>0</v>
      </c>
      <c r="M106" s="304">
        <v>0</v>
      </c>
      <c r="N106" s="304">
        <v>0</v>
      </c>
      <c r="O106" s="304">
        <v>256701.14</v>
      </c>
      <c r="P106" s="304">
        <v>0</v>
      </c>
      <c r="Q106" s="304">
        <v>0</v>
      </c>
      <c r="R106" s="304">
        <v>0</v>
      </c>
      <c r="S106" s="304">
        <v>0</v>
      </c>
      <c r="T106" s="304">
        <v>0</v>
      </c>
      <c r="U106" s="304">
        <v>0</v>
      </c>
      <c r="V106" s="304">
        <v>0</v>
      </c>
      <c r="W106" s="304">
        <v>0</v>
      </c>
      <c r="X106" s="304">
        <v>0</v>
      </c>
      <c r="Y106" s="304">
        <v>0</v>
      </c>
      <c r="Z106" s="304">
        <v>0</v>
      </c>
      <c r="AA106" s="304">
        <v>0</v>
      </c>
      <c r="AB106" s="303">
        <v>2020</v>
      </c>
    </row>
    <row r="107" spans="1:28" ht="35.25" customHeight="1" x14ac:dyDescent="0.5">
      <c r="A107">
        <v>1</v>
      </c>
      <c r="B107" s="80">
        <f>SUBTOTAL(103,$A$9:A107)</f>
        <v>98</v>
      </c>
      <c r="C107" s="306" t="s">
        <v>1839</v>
      </c>
      <c r="D107" s="296">
        <f t="shared" si="4"/>
        <v>428327</v>
      </c>
      <c r="E107" s="304">
        <v>0</v>
      </c>
      <c r="F107" s="304">
        <v>0</v>
      </c>
      <c r="G107" s="304">
        <v>0</v>
      </c>
      <c r="H107" s="304">
        <v>0</v>
      </c>
      <c r="I107" s="304">
        <v>0</v>
      </c>
      <c r="J107" s="304">
        <v>0</v>
      </c>
      <c r="K107" s="305">
        <v>0</v>
      </c>
      <c r="L107" s="304">
        <v>0</v>
      </c>
      <c r="M107" s="304">
        <v>0</v>
      </c>
      <c r="N107" s="304">
        <v>35600</v>
      </c>
      <c r="O107" s="304">
        <v>392727</v>
      </c>
      <c r="P107" s="304">
        <v>0</v>
      </c>
      <c r="Q107" s="304">
        <v>0</v>
      </c>
      <c r="R107" s="304">
        <v>0</v>
      </c>
      <c r="S107" s="304">
        <v>0</v>
      </c>
      <c r="T107" s="304">
        <v>0</v>
      </c>
      <c r="U107" s="304">
        <v>0</v>
      </c>
      <c r="V107" s="304">
        <v>0</v>
      </c>
      <c r="W107" s="304">
        <v>0</v>
      </c>
      <c r="X107" s="304">
        <v>0</v>
      </c>
      <c r="Y107" s="304">
        <v>0</v>
      </c>
      <c r="Z107" s="304">
        <v>0</v>
      </c>
      <c r="AA107" s="304">
        <v>0</v>
      </c>
      <c r="AB107" s="303">
        <v>2020</v>
      </c>
    </row>
    <row r="108" spans="1:28" ht="35.25" customHeight="1" x14ac:dyDescent="0.5">
      <c r="A108">
        <v>1</v>
      </c>
      <c r="B108" s="80">
        <f>SUBTOTAL(103,$A$9:A108)</f>
        <v>99</v>
      </c>
      <c r="C108" s="306" t="s">
        <v>1840</v>
      </c>
      <c r="D108" s="296">
        <f t="shared" si="4"/>
        <v>351887.78</v>
      </c>
      <c r="E108" s="304">
        <v>0</v>
      </c>
      <c r="F108" s="304">
        <v>0</v>
      </c>
      <c r="G108" s="304">
        <v>351887.78</v>
      </c>
      <c r="H108" s="304">
        <v>0</v>
      </c>
      <c r="I108" s="304">
        <v>0</v>
      </c>
      <c r="J108" s="304">
        <v>0</v>
      </c>
      <c r="K108" s="305">
        <v>0</v>
      </c>
      <c r="L108" s="304">
        <v>0</v>
      </c>
      <c r="M108" s="304">
        <v>0</v>
      </c>
      <c r="N108" s="304">
        <v>0</v>
      </c>
      <c r="O108" s="304">
        <v>0</v>
      </c>
      <c r="P108" s="304">
        <v>0</v>
      </c>
      <c r="Q108" s="304">
        <v>0</v>
      </c>
      <c r="R108" s="304">
        <v>0</v>
      </c>
      <c r="S108" s="304">
        <v>0</v>
      </c>
      <c r="T108" s="304">
        <v>0</v>
      </c>
      <c r="U108" s="304">
        <v>0</v>
      </c>
      <c r="V108" s="304">
        <v>0</v>
      </c>
      <c r="W108" s="304">
        <v>0</v>
      </c>
      <c r="X108" s="304">
        <v>0</v>
      </c>
      <c r="Y108" s="304">
        <v>0</v>
      </c>
      <c r="Z108" s="304">
        <v>0</v>
      </c>
      <c r="AA108" s="304">
        <v>0</v>
      </c>
      <c r="AB108" s="303">
        <v>2020</v>
      </c>
    </row>
    <row r="109" spans="1:28" ht="35.25" customHeight="1" x14ac:dyDescent="0.5">
      <c r="A109">
        <v>1</v>
      </c>
      <c r="B109" s="80">
        <f>SUBTOTAL(103,$A$9:A109)</f>
        <v>100</v>
      </c>
      <c r="C109" s="306" t="s">
        <v>1841</v>
      </c>
      <c r="D109" s="296">
        <f t="shared" si="4"/>
        <v>459499</v>
      </c>
      <c r="E109" s="304">
        <v>0</v>
      </c>
      <c r="F109" s="304">
        <v>370499</v>
      </c>
      <c r="G109" s="304">
        <v>0</v>
      </c>
      <c r="H109" s="304">
        <v>0</v>
      </c>
      <c r="I109" s="304">
        <v>0</v>
      </c>
      <c r="J109" s="304">
        <v>0</v>
      </c>
      <c r="K109" s="305">
        <v>0</v>
      </c>
      <c r="L109" s="304">
        <v>0</v>
      </c>
      <c r="M109" s="304">
        <v>0</v>
      </c>
      <c r="N109" s="304">
        <v>0</v>
      </c>
      <c r="O109" s="304">
        <v>0</v>
      </c>
      <c r="P109" s="304">
        <v>0</v>
      </c>
      <c r="Q109" s="304">
        <v>0</v>
      </c>
      <c r="R109" s="304">
        <v>0</v>
      </c>
      <c r="S109" s="304">
        <v>0</v>
      </c>
      <c r="T109" s="304">
        <v>0</v>
      </c>
      <c r="U109" s="304">
        <v>0</v>
      </c>
      <c r="V109" s="304">
        <v>0</v>
      </c>
      <c r="W109" s="304">
        <v>0</v>
      </c>
      <c r="X109" s="304">
        <v>0</v>
      </c>
      <c r="Y109" s="304">
        <v>0</v>
      </c>
      <c r="Z109" s="304">
        <v>89000</v>
      </c>
      <c r="AA109" s="304">
        <v>0</v>
      </c>
      <c r="AB109" s="303">
        <v>2020</v>
      </c>
    </row>
    <row r="110" spans="1:28" ht="35.25" customHeight="1" x14ac:dyDescent="0.5">
      <c r="A110">
        <v>1</v>
      </c>
      <c r="B110" s="80">
        <f>SUBTOTAL(103,$A$9:A110)</f>
        <v>101</v>
      </c>
      <c r="C110" s="306" t="s">
        <v>1842</v>
      </c>
      <c r="D110" s="296">
        <f t="shared" si="4"/>
        <v>349658</v>
      </c>
      <c r="E110" s="304">
        <v>0</v>
      </c>
      <c r="F110" s="304">
        <v>0</v>
      </c>
      <c r="G110" s="304">
        <v>0</v>
      </c>
      <c r="H110" s="304">
        <v>0</v>
      </c>
      <c r="I110" s="304">
        <v>0</v>
      </c>
      <c r="J110" s="304">
        <v>0</v>
      </c>
      <c r="K110" s="305">
        <v>0</v>
      </c>
      <c r="L110" s="304">
        <v>0</v>
      </c>
      <c r="M110" s="304">
        <v>349658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</v>
      </c>
      <c r="T110" s="304">
        <v>0</v>
      </c>
      <c r="U110" s="304">
        <v>0</v>
      </c>
      <c r="V110" s="304">
        <v>0</v>
      </c>
      <c r="W110" s="304">
        <v>0</v>
      </c>
      <c r="X110" s="304">
        <v>0</v>
      </c>
      <c r="Y110" s="304">
        <v>0</v>
      </c>
      <c r="Z110" s="304">
        <v>0</v>
      </c>
      <c r="AA110" s="304">
        <v>0</v>
      </c>
      <c r="AB110" s="303">
        <v>2020</v>
      </c>
    </row>
    <row r="111" spans="1:28" ht="35.25" customHeight="1" x14ac:dyDescent="0.5">
      <c r="A111">
        <v>1</v>
      </c>
      <c r="B111" s="80">
        <f>SUBTOTAL(103,$A$9:A111)</f>
        <v>102</v>
      </c>
      <c r="C111" s="306" t="s">
        <v>1843</v>
      </c>
      <c r="D111" s="296">
        <f t="shared" si="4"/>
        <v>883385</v>
      </c>
      <c r="E111" s="304">
        <v>0</v>
      </c>
      <c r="F111" s="304">
        <v>0</v>
      </c>
      <c r="G111" s="304">
        <v>0</v>
      </c>
      <c r="H111" s="304">
        <v>0</v>
      </c>
      <c r="I111" s="304">
        <v>883385</v>
      </c>
      <c r="J111" s="304">
        <v>0</v>
      </c>
      <c r="K111" s="305">
        <v>0</v>
      </c>
      <c r="L111" s="304">
        <v>0</v>
      </c>
      <c r="M111" s="304">
        <v>0</v>
      </c>
      <c r="N111" s="304">
        <v>0</v>
      </c>
      <c r="O111" s="304">
        <v>0</v>
      </c>
      <c r="P111" s="304">
        <v>0</v>
      </c>
      <c r="Q111" s="304">
        <v>0</v>
      </c>
      <c r="R111" s="304">
        <v>0</v>
      </c>
      <c r="S111" s="304">
        <v>0</v>
      </c>
      <c r="T111" s="304">
        <v>0</v>
      </c>
      <c r="U111" s="304">
        <v>0</v>
      </c>
      <c r="V111" s="304">
        <v>0</v>
      </c>
      <c r="W111" s="304">
        <v>0</v>
      </c>
      <c r="X111" s="304">
        <v>0</v>
      </c>
      <c r="Y111" s="304">
        <v>0</v>
      </c>
      <c r="Z111" s="304">
        <v>0</v>
      </c>
      <c r="AA111" s="304">
        <v>0</v>
      </c>
      <c r="AB111" s="303">
        <v>2020</v>
      </c>
    </row>
    <row r="112" spans="1:28" ht="35.25" customHeight="1" x14ac:dyDescent="0.5">
      <c r="A112">
        <v>1</v>
      </c>
      <c r="B112" s="80">
        <f>SUBTOTAL(103,$A$9:A112)</f>
        <v>103</v>
      </c>
      <c r="C112" s="306" t="s">
        <v>1844</v>
      </c>
      <c r="D112" s="296">
        <f t="shared" si="4"/>
        <v>1287000</v>
      </c>
      <c r="E112" s="304">
        <v>0</v>
      </c>
      <c r="F112" s="304">
        <v>0</v>
      </c>
      <c r="G112" s="304">
        <v>0</v>
      </c>
      <c r="H112" s="304">
        <v>0</v>
      </c>
      <c r="I112" s="304">
        <v>0</v>
      </c>
      <c r="J112" s="304">
        <v>0</v>
      </c>
      <c r="K112" s="305">
        <v>0</v>
      </c>
      <c r="L112" s="304">
        <v>0</v>
      </c>
      <c r="M112" s="304">
        <v>1287000</v>
      </c>
      <c r="N112" s="304">
        <v>0</v>
      </c>
      <c r="O112" s="304">
        <v>0</v>
      </c>
      <c r="P112" s="304">
        <v>0</v>
      </c>
      <c r="Q112" s="304">
        <v>0</v>
      </c>
      <c r="R112" s="304">
        <v>0</v>
      </c>
      <c r="S112" s="304">
        <v>0</v>
      </c>
      <c r="T112" s="304">
        <v>0</v>
      </c>
      <c r="U112" s="304">
        <v>0</v>
      </c>
      <c r="V112" s="304">
        <v>0</v>
      </c>
      <c r="W112" s="304">
        <v>0</v>
      </c>
      <c r="X112" s="304">
        <v>0</v>
      </c>
      <c r="Y112" s="304">
        <v>0</v>
      </c>
      <c r="Z112" s="304">
        <v>0</v>
      </c>
      <c r="AA112" s="304">
        <v>0</v>
      </c>
      <c r="AB112" s="303">
        <v>2020</v>
      </c>
    </row>
    <row r="113" spans="1:28" ht="35.25" customHeight="1" x14ac:dyDescent="0.5">
      <c r="A113">
        <v>1</v>
      </c>
      <c r="B113" s="80">
        <f>SUBTOTAL(103,$A$9:A113)</f>
        <v>104</v>
      </c>
      <c r="C113" s="306" t="s">
        <v>1845</v>
      </c>
      <c r="D113" s="296">
        <f t="shared" si="4"/>
        <v>1372008</v>
      </c>
      <c r="E113" s="304">
        <v>0</v>
      </c>
      <c r="F113" s="304">
        <v>0</v>
      </c>
      <c r="G113" s="304">
        <v>0</v>
      </c>
      <c r="H113" s="304">
        <v>0</v>
      </c>
      <c r="I113" s="304">
        <v>0</v>
      </c>
      <c r="J113" s="304">
        <v>0</v>
      </c>
      <c r="K113" s="305">
        <v>0</v>
      </c>
      <c r="L113" s="304">
        <v>0</v>
      </c>
      <c r="M113" s="304">
        <v>0</v>
      </c>
      <c r="N113" s="304">
        <v>0</v>
      </c>
      <c r="O113" s="304">
        <v>1372008</v>
      </c>
      <c r="P113" s="304">
        <v>0</v>
      </c>
      <c r="Q113" s="304">
        <v>0</v>
      </c>
      <c r="R113" s="304">
        <v>0</v>
      </c>
      <c r="S113" s="304">
        <v>0</v>
      </c>
      <c r="T113" s="304">
        <v>0</v>
      </c>
      <c r="U113" s="304">
        <v>0</v>
      </c>
      <c r="V113" s="304">
        <v>0</v>
      </c>
      <c r="W113" s="304">
        <v>0</v>
      </c>
      <c r="X113" s="304">
        <v>0</v>
      </c>
      <c r="Y113" s="304">
        <v>0</v>
      </c>
      <c r="Z113" s="304">
        <v>0</v>
      </c>
      <c r="AA113" s="304">
        <v>0</v>
      </c>
      <c r="AB113" s="303">
        <v>2020</v>
      </c>
    </row>
    <row r="114" spans="1:28" ht="35.25" customHeight="1" x14ac:dyDescent="0.5">
      <c r="A114">
        <v>1</v>
      </c>
      <c r="B114" s="80">
        <f>SUBTOTAL(103,$A$9:A114)</f>
        <v>105</v>
      </c>
      <c r="C114" s="306" t="s">
        <v>1846</v>
      </c>
      <c r="D114" s="296">
        <f t="shared" si="4"/>
        <v>478936.86</v>
      </c>
      <c r="E114" s="304">
        <v>0</v>
      </c>
      <c r="F114" s="304">
        <v>0</v>
      </c>
      <c r="G114" s="304">
        <v>0</v>
      </c>
      <c r="H114" s="304">
        <v>0</v>
      </c>
      <c r="I114" s="304">
        <v>0</v>
      </c>
      <c r="J114" s="304">
        <v>0</v>
      </c>
      <c r="K114" s="305">
        <v>0</v>
      </c>
      <c r="L114" s="304">
        <v>0</v>
      </c>
      <c r="M114" s="304">
        <v>0</v>
      </c>
      <c r="N114" s="304">
        <v>0</v>
      </c>
      <c r="O114" s="304">
        <v>478936.86</v>
      </c>
      <c r="P114" s="304">
        <v>0</v>
      </c>
      <c r="Q114" s="304">
        <v>0</v>
      </c>
      <c r="R114" s="304">
        <v>0</v>
      </c>
      <c r="S114" s="304">
        <v>0</v>
      </c>
      <c r="T114" s="304">
        <v>0</v>
      </c>
      <c r="U114" s="304">
        <v>0</v>
      </c>
      <c r="V114" s="304">
        <v>0</v>
      </c>
      <c r="W114" s="304">
        <v>0</v>
      </c>
      <c r="X114" s="304">
        <v>0</v>
      </c>
      <c r="Y114" s="304">
        <v>0</v>
      </c>
      <c r="Z114" s="304">
        <v>0</v>
      </c>
      <c r="AA114" s="304">
        <v>0</v>
      </c>
      <c r="AB114" s="303">
        <v>2020</v>
      </c>
    </row>
    <row r="115" spans="1:28" ht="35.25" customHeight="1" x14ac:dyDescent="0.5">
      <c r="A115">
        <v>1</v>
      </c>
      <c r="B115" s="80">
        <f>SUBTOTAL(103,$A$9:A115)</f>
        <v>106</v>
      </c>
      <c r="C115" s="306" t="s">
        <v>1847</v>
      </c>
      <c r="D115" s="296">
        <f t="shared" si="4"/>
        <v>2071816</v>
      </c>
      <c r="E115" s="304">
        <v>0</v>
      </c>
      <c r="F115" s="304">
        <v>0</v>
      </c>
      <c r="G115" s="304">
        <v>0</v>
      </c>
      <c r="H115" s="304">
        <v>0</v>
      </c>
      <c r="I115" s="304">
        <v>0</v>
      </c>
      <c r="J115" s="304">
        <v>0</v>
      </c>
      <c r="K115" s="305">
        <v>1</v>
      </c>
      <c r="L115" s="304">
        <v>2071816</v>
      </c>
      <c r="M115" s="304">
        <v>0</v>
      </c>
      <c r="N115" s="304">
        <v>0</v>
      </c>
      <c r="O115" s="304">
        <v>0</v>
      </c>
      <c r="P115" s="304">
        <v>0</v>
      </c>
      <c r="Q115" s="304">
        <v>0</v>
      </c>
      <c r="R115" s="304">
        <v>0</v>
      </c>
      <c r="S115" s="304">
        <v>0</v>
      </c>
      <c r="T115" s="304">
        <v>0</v>
      </c>
      <c r="U115" s="304">
        <v>0</v>
      </c>
      <c r="V115" s="304">
        <v>0</v>
      </c>
      <c r="W115" s="304">
        <v>0</v>
      </c>
      <c r="X115" s="304">
        <v>0</v>
      </c>
      <c r="Y115" s="304">
        <v>0</v>
      </c>
      <c r="Z115" s="304">
        <v>0</v>
      </c>
      <c r="AA115" s="304">
        <v>0</v>
      </c>
      <c r="AB115" s="303">
        <v>2020</v>
      </c>
    </row>
    <row r="116" spans="1:28" ht="35.25" customHeight="1" x14ac:dyDescent="0.5">
      <c r="A116">
        <v>1</v>
      </c>
      <c r="B116" s="80">
        <f>SUBTOTAL(103,$A$9:A116)</f>
        <v>107</v>
      </c>
      <c r="C116" s="306" t="s">
        <v>1848</v>
      </c>
      <c r="D116" s="296">
        <f t="shared" si="4"/>
        <v>537756.66999999993</v>
      </c>
      <c r="E116" s="304">
        <v>0</v>
      </c>
      <c r="F116" s="304">
        <v>0</v>
      </c>
      <c r="G116" s="304">
        <v>0</v>
      </c>
      <c r="H116" s="304">
        <v>0</v>
      </c>
      <c r="I116" s="304">
        <v>0</v>
      </c>
      <c r="J116" s="304">
        <v>0</v>
      </c>
      <c r="K116" s="305">
        <v>0</v>
      </c>
      <c r="L116" s="304">
        <v>0</v>
      </c>
      <c r="M116" s="304">
        <v>0</v>
      </c>
      <c r="N116" s="304">
        <v>0</v>
      </c>
      <c r="O116" s="304">
        <f>137165.94+400590.73</f>
        <v>537756.66999999993</v>
      </c>
      <c r="P116" s="304">
        <v>0</v>
      </c>
      <c r="Q116" s="304">
        <v>0</v>
      </c>
      <c r="R116" s="304">
        <v>0</v>
      </c>
      <c r="S116" s="304">
        <v>0</v>
      </c>
      <c r="T116" s="304">
        <v>0</v>
      </c>
      <c r="U116" s="304">
        <v>0</v>
      </c>
      <c r="V116" s="304">
        <v>0</v>
      </c>
      <c r="W116" s="304">
        <v>0</v>
      </c>
      <c r="X116" s="304">
        <v>0</v>
      </c>
      <c r="Y116" s="304">
        <v>0</v>
      </c>
      <c r="Z116" s="304">
        <v>0</v>
      </c>
      <c r="AA116" s="304">
        <v>0</v>
      </c>
      <c r="AB116" s="303">
        <v>2020</v>
      </c>
    </row>
    <row r="117" spans="1:28" ht="35.25" customHeight="1" x14ac:dyDescent="0.5">
      <c r="A117">
        <v>1</v>
      </c>
      <c r="B117" s="80">
        <f>SUBTOTAL(103,$A$9:A117)</f>
        <v>108</v>
      </c>
      <c r="C117" s="306" t="s">
        <v>2334</v>
      </c>
      <c r="D117" s="296">
        <f t="shared" si="4"/>
        <v>64563.32</v>
      </c>
      <c r="E117" s="304">
        <v>0</v>
      </c>
      <c r="F117" s="304">
        <v>0</v>
      </c>
      <c r="G117" s="304">
        <v>0</v>
      </c>
      <c r="H117" s="304">
        <v>0</v>
      </c>
      <c r="I117" s="304">
        <v>0</v>
      </c>
      <c r="J117" s="304">
        <v>0</v>
      </c>
      <c r="K117" s="305">
        <v>0</v>
      </c>
      <c r="L117" s="304">
        <v>0</v>
      </c>
      <c r="M117" s="304">
        <v>0</v>
      </c>
      <c r="N117" s="304">
        <v>0</v>
      </c>
      <c r="O117" s="304">
        <f>32281.66+32281.66</f>
        <v>64563.32</v>
      </c>
      <c r="P117" s="304">
        <v>0</v>
      </c>
      <c r="Q117" s="304">
        <v>0</v>
      </c>
      <c r="R117" s="304">
        <v>0</v>
      </c>
      <c r="S117" s="304">
        <v>0</v>
      </c>
      <c r="T117" s="304">
        <v>0</v>
      </c>
      <c r="U117" s="304">
        <v>0</v>
      </c>
      <c r="V117" s="304">
        <v>0</v>
      </c>
      <c r="W117" s="304">
        <v>0</v>
      </c>
      <c r="X117" s="304">
        <v>0</v>
      </c>
      <c r="Y117" s="304">
        <v>0</v>
      </c>
      <c r="Z117" s="304">
        <v>0</v>
      </c>
      <c r="AA117" s="304">
        <v>0</v>
      </c>
      <c r="AB117" s="303">
        <v>2020</v>
      </c>
    </row>
    <row r="118" spans="1:28" ht="35.25" customHeight="1" x14ac:dyDescent="0.5">
      <c r="A118">
        <v>1</v>
      </c>
      <c r="B118" s="80">
        <f>SUBTOTAL(103,$A$9:A118)</f>
        <v>109</v>
      </c>
      <c r="C118" s="306" t="s">
        <v>1849</v>
      </c>
      <c r="D118" s="296">
        <f t="shared" si="4"/>
        <v>455847</v>
      </c>
      <c r="E118" s="304">
        <v>0</v>
      </c>
      <c r="F118" s="304">
        <v>0</v>
      </c>
      <c r="G118" s="304">
        <v>0</v>
      </c>
      <c r="H118" s="304">
        <v>0</v>
      </c>
      <c r="I118" s="304">
        <v>0</v>
      </c>
      <c r="J118" s="304">
        <v>0</v>
      </c>
      <c r="K118" s="305">
        <v>0</v>
      </c>
      <c r="L118" s="304">
        <v>0</v>
      </c>
      <c r="M118" s="304">
        <v>0</v>
      </c>
      <c r="N118" s="304">
        <v>455847</v>
      </c>
      <c r="O118" s="304">
        <v>0</v>
      </c>
      <c r="P118" s="304">
        <v>0</v>
      </c>
      <c r="Q118" s="304">
        <v>0</v>
      </c>
      <c r="R118" s="304">
        <v>0</v>
      </c>
      <c r="S118" s="304">
        <v>0</v>
      </c>
      <c r="T118" s="304">
        <v>0</v>
      </c>
      <c r="U118" s="304">
        <v>0</v>
      </c>
      <c r="V118" s="304">
        <v>0</v>
      </c>
      <c r="W118" s="304">
        <v>0</v>
      </c>
      <c r="X118" s="304">
        <v>0</v>
      </c>
      <c r="Y118" s="304">
        <v>0</v>
      </c>
      <c r="Z118" s="304">
        <v>0</v>
      </c>
      <c r="AA118" s="304">
        <v>0</v>
      </c>
      <c r="AB118" s="303">
        <v>2020</v>
      </c>
    </row>
    <row r="119" spans="1:28" ht="35.25" customHeight="1" x14ac:dyDescent="0.5">
      <c r="A119">
        <v>1</v>
      </c>
      <c r="B119" s="80">
        <f>SUBTOTAL(103,$A$9:A119)</f>
        <v>110</v>
      </c>
      <c r="C119" s="306" t="s">
        <v>1850</v>
      </c>
      <c r="D119" s="296">
        <f t="shared" si="4"/>
        <v>3818053</v>
      </c>
      <c r="E119" s="304">
        <v>638417</v>
      </c>
      <c r="F119" s="304">
        <v>638417</v>
      </c>
      <c r="G119" s="304">
        <v>0</v>
      </c>
      <c r="H119" s="304">
        <v>638417</v>
      </c>
      <c r="I119" s="304">
        <v>0</v>
      </c>
      <c r="J119" s="304">
        <v>0</v>
      </c>
      <c r="K119" s="305">
        <v>0</v>
      </c>
      <c r="L119" s="304">
        <v>0</v>
      </c>
      <c r="M119" s="304">
        <v>0</v>
      </c>
      <c r="N119" s="304">
        <v>0</v>
      </c>
      <c r="O119" s="304">
        <v>1902802</v>
      </c>
      <c r="P119" s="304">
        <v>0</v>
      </c>
      <c r="Q119" s="304">
        <v>0</v>
      </c>
      <c r="R119" s="304">
        <v>0</v>
      </c>
      <c r="S119" s="304">
        <v>0</v>
      </c>
      <c r="T119" s="304">
        <v>0</v>
      </c>
      <c r="U119" s="304">
        <v>0</v>
      </c>
      <c r="V119" s="304">
        <v>0</v>
      </c>
      <c r="W119" s="304">
        <v>0</v>
      </c>
      <c r="X119" s="304">
        <v>0</v>
      </c>
      <c r="Y119" s="304">
        <v>0</v>
      </c>
      <c r="Z119" s="304">
        <v>0</v>
      </c>
      <c r="AA119" s="304">
        <v>0</v>
      </c>
      <c r="AB119" s="303">
        <v>2020</v>
      </c>
    </row>
    <row r="120" spans="1:28" ht="35.25" customHeight="1" x14ac:dyDescent="0.5">
      <c r="A120">
        <v>1</v>
      </c>
      <c r="B120" s="80">
        <f>SUBTOTAL(103,$A$9:A120)</f>
        <v>111</v>
      </c>
      <c r="C120" s="300" t="s">
        <v>1851</v>
      </c>
      <c r="D120" s="296">
        <f t="shared" si="4"/>
        <v>951303.2</v>
      </c>
      <c r="E120" s="301">
        <v>0</v>
      </c>
      <c r="F120" s="301">
        <v>0</v>
      </c>
      <c r="G120" s="301">
        <v>0</v>
      </c>
      <c r="H120" s="301">
        <v>0</v>
      </c>
      <c r="I120" s="301">
        <v>0</v>
      </c>
      <c r="J120" s="301">
        <v>0</v>
      </c>
      <c r="K120" s="302">
        <v>0</v>
      </c>
      <c r="L120" s="301">
        <v>0</v>
      </c>
      <c r="M120" s="301">
        <f>625651.6+325651.6</f>
        <v>951303.2</v>
      </c>
      <c r="N120" s="301">
        <v>0</v>
      </c>
      <c r="O120" s="301">
        <v>0</v>
      </c>
      <c r="P120" s="301">
        <v>0</v>
      </c>
      <c r="Q120" s="301">
        <v>0</v>
      </c>
      <c r="R120" s="301">
        <v>0</v>
      </c>
      <c r="S120" s="301">
        <v>0</v>
      </c>
      <c r="T120" s="301">
        <v>0</v>
      </c>
      <c r="U120" s="301">
        <v>0</v>
      </c>
      <c r="V120" s="301">
        <v>0</v>
      </c>
      <c r="W120" s="301">
        <v>0</v>
      </c>
      <c r="X120" s="301">
        <v>0</v>
      </c>
      <c r="Y120" s="301">
        <v>0</v>
      </c>
      <c r="Z120" s="301">
        <v>0</v>
      </c>
      <c r="AA120" s="301">
        <v>0</v>
      </c>
      <c r="AB120" s="303">
        <v>2020</v>
      </c>
    </row>
    <row r="121" spans="1:28" ht="35.25" customHeight="1" x14ac:dyDescent="0.5">
      <c r="A121">
        <v>1</v>
      </c>
      <c r="B121" s="80">
        <f>SUBTOTAL(103,$A$9:A121)</f>
        <v>112</v>
      </c>
      <c r="C121" s="300" t="s">
        <v>1852</v>
      </c>
      <c r="D121" s="296">
        <f t="shared" si="4"/>
        <v>1732658.14</v>
      </c>
      <c r="E121" s="301">
        <v>322129.44</v>
      </c>
      <c r="F121" s="301">
        <v>0</v>
      </c>
      <c r="G121" s="301">
        <v>152312</v>
      </c>
      <c r="H121" s="301">
        <v>0</v>
      </c>
      <c r="I121" s="301">
        <v>0</v>
      </c>
      <c r="J121" s="301">
        <v>0</v>
      </c>
      <c r="K121" s="302">
        <v>1</v>
      </c>
      <c r="L121" s="301">
        <v>81177</v>
      </c>
      <c r="M121" s="301">
        <v>0</v>
      </c>
      <c r="N121" s="301">
        <v>0</v>
      </c>
      <c r="O121" s="301">
        <v>1177039.7</v>
      </c>
      <c r="P121" s="301">
        <v>0</v>
      </c>
      <c r="Q121" s="301">
        <v>0</v>
      </c>
      <c r="R121" s="301">
        <v>0</v>
      </c>
      <c r="S121" s="301">
        <v>0</v>
      </c>
      <c r="T121" s="301">
        <v>0</v>
      </c>
      <c r="U121" s="301">
        <v>0</v>
      </c>
      <c r="V121" s="301">
        <v>0</v>
      </c>
      <c r="W121" s="301">
        <v>0</v>
      </c>
      <c r="X121" s="301">
        <v>0</v>
      </c>
      <c r="Y121" s="301">
        <v>0</v>
      </c>
      <c r="Z121" s="301">
        <v>0</v>
      </c>
      <c r="AA121" s="301">
        <v>0</v>
      </c>
      <c r="AB121" s="303">
        <v>2020</v>
      </c>
    </row>
    <row r="122" spans="1:28" ht="35.25" customHeight="1" x14ac:dyDescent="0.5">
      <c r="A122">
        <v>1</v>
      </c>
      <c r="B122" s="80">
        <f>SUBTOTAL(103,$A$9:A122)</f>
        <v>113</v>
      </c>
      <c r="C122" s="300" t="s">
        <v>1853</v>
      </c>
      <c r="D122" s="296">
        <f t="shared" si="4"/>
        <v>279192.32000000001</v>
      </c>
      <c r="E122" s="301">
        <v>0</v>
      </c>
      <c r="F122" s="301">
        <v>0</v>
      </c>
      <c r="G122" s="301">
        <v>0</v>
      </c>
      <c r="H122" s="301">
        <v>0</v>
      </c>
      <c r="I122" s="301">
        <v>0</v>
      </c>
      <c r="J122" s="301">
        <v>0</v>
      </c>
      <c r="K122" s="302">
        <v>0</v>
      </c>
      <c r="L122" s="301">
        <v>0</v>
      </c>
      <c r="M122" s="301">
        <v>0</v>
      </c>
      <c r="N122" s="301">
        <v>0</v>
      </c>
      <c r="O122" s="301">
        <v>279192.32000000001</v>
      </c>
      <c r="P122" s="301">
        <v>0</v>
      </c>
      <c r="Q122" s="301">
        <v>0</v>
      </c>
      <c r="R122" s="301">
        <v>0</v>
      </c>
      <c r="S122" s="301">
        <v>0</v>
      </c>
      <c r="T122" s="301">
        <v>0</v>
      </c>
      <c r="U122" s="301">
        <v>0</v>
      </c>
      <c r="V122" s="301">
        <v>0</v>
      </c>
      <c r="W122" s="301">
        <v>0</v>
      </c>
      <c r="X122" s="301">
        <v>0</v>
      </c>
      <c r="Y122" s="301">
        <v>0</v>
      </c>
      <c r="Z122" s="301">
        <v>0</v>
      </c>
      <c r="AA122" s="301">
        <v>0</v>
      </c>
      <c r="AB122" s="303">
        <v>2020</v>
      </c>
    </row>
    <row r="123" spans="1:28" ht="35.25" customHeight="1" x14ac:dyDescent="0.5">
      <c r="A123">
        <v>1</v>
      </c>
      <c r="B123" s="80">
        <f>SUBTOTAL(103,$A$9:A123)</f>
        <v>114</v>
      </c>
      <c r="C123" s="300" t="s">
        <v>1854</v>
      </c>
      <c r="D123" s="296">
        <f t="shared" si="4"/>
        <v>170090</v>
      </c>
      <c r="E123" s="301">
        <v>0</v>
      </c>
      <c r="F123" s="301">
        <v>0</v>
      </c>
      <c r="G123" s="301">
        <v>0</v>
      </c>
      <c r="H123" s="301">
        <v>0</v>
      </c>
      <c r="I123" s="301">
        <v>0</v>
      </c>
      <c r="J123" s="301">
        <v>0</v>
      </c>
      <c r="K123" s="302">
        <v>0</v>
      </c>
      <c r="L123" s="301">
        <v>0</v>
      </c>
      <c r="M123" s="301">
        <v>0</v>
      </c>
      <c r="N123" s="301">
        <v>170090</v>
      </c>
      <c r="O123" s="301">
        <v>0</v>
      </c>
      <c r="P123" s="301">
        <v>0</v>
      </c>
      <c r="Q123" s="301">
        <v>0</v>
      </c>
      <c r="R123" s="301">
        <v>0</v>
      </c>
      <c r="S123" s="301">
        <v>0</v>
      </c>
      <c r="T123" s="301">
        <v>0</v>
      </c>
      <c r="U123" s="301">
        <v>0</v>
      </c>
      <c r="V123" s="301">
        <v>0</v>
      </c>
      <c r="W123" s="301">
        <v>0</v>
      </c>
      <c r="X123" s="301">
        <v>0</v>
      </c>
      <c r="Y123" s="301">
        <v>0</v>
      </c>
      <c r="Z123" s="301">
        <v>0</v>
      </c>
      <c r="AA123" s="301">
        <v>0</v>
      </c>
      <c r="AB123" s="303">
        <v>2020</v>
      </c>
    </row>
    <row r="124" spans="1:28" ht="35.25" customHeight="1" x14ac:dyDescent="0.5">
      <c r="A124">
        <v>1</v>
      </c>
      <c r="B124" s="80">
        <f>SUBTOTAL(103,$A$9:A124)</f>
        <v>115</v>
      </c>
      <c r="C124" s="300" t="s">
        <v>1855</v>
      </c>
      <c r="D124" s="296">
        <f t="shared" si="4"/>
        <v>992921</v>
      </c>
      <c r="E124" s="301">
        <v>0</v>
      </c>
      <c r="F124" s="301">
        <v>0</v>
      </c>
      <c r="G124" s="301">
        <v>0</v>
      </c>
      <c r="H124" s="301">
        <v>0</v>
      </c>
      <c r="I124" s="301">
        <v>0</v>
      </c>
      <c r="J124" s="301">
        <v>0</v>
      </c>
      <c r="K124" s="302">
        <v>0</v>
      </c>
      <c r="L124" s="301">
        <v>0</v>
      </c>
      <c r="M124" s="301">
        <v>954136</v>
      </c>
      <c r="N124" s="301">
        <v>0</v>
      </c>
      <c r="O124" s="301">
        <v>38785</v>
      </c>
      <c r="P124" s="301">
        <v>0</v>
      </c>
      <c r="Q124" s="301">
        <v>0</v>
      </c>
      <c r="R124" s="301">
        <v>0</v>
      </c>
      <c r="S124" s="301">
        <v>0</v>
      </c>
      <c r="T124" s="301">
        <v>0</v>
      </c>
      <c r="U124" s="301">
        <v>0</v>
      </c>
      <c r="V124" s="301">
        <v>0</v>
      </c>
      <c r="W124" s="301">
        <v>0</v>
      </c>
      <c r="X124" s="301">
        <v>0</v>
      </c>
      <c r="Y124" s="301">
        <v>0</v>
      </c>
      <c r="Z124" s="301">
        <v>0</v>
      </c>
      <c r="AA124" s="301">
        <v>0</v>
      </c>
      <c r="AB124" s="303">
        <v>2020</v>
      </c>
    </row>
    <row r="125" spans="1:28" ht="35.25" customHeight="1" x14ac:dyDescent="0.5">
      <c r="A125">
        <v>1</v>
      </c>
      <c r="B125" s="80">
        <f>SUBTOTAL(103,$A$9:A125)</f>
        <v>116</v>
      </c>
      <c r="C125" s="300" t="s">
        <v>1856</v>
      </c>
      <c r="D125" s="296">
        <f t="shared" si="4"/>
        <v>277962</v>
      </c>
      <c r="E125" s="301">
        <v>0</v>
      </c>
      <c r="F125" s="301">
        <v>0</v>
      </c>
      <c r="G125" s="301">
        <v>0</v>
      </c>
      <c r="H125" s="301">
        <v>0</v>
      </c>
      <c r="I125" s="301">
        <v>0</v>
      </c>
      <c r="J125" s="301">
        <v>0</v>
      </c>
      <c r="K125" s="302">
        <v>0</v>
      </c>
      <c r="L125" s="301">
        <v>0</v>
      </c>
      <c r="M125" s="301">
        <v>0</v>
      </c>
      <c r="N125" s="301">
        <v>0</v>
      </c>
      <c r="O125" s="301">
        <v>277962</v>
      </c>
      <c r="P125" s="301">
        <v>0</v>
      </c>
      <c r="Q125" s="301">
        <v>0</v>
      </c>
      <c r="R125" s="301">
        <v>0</v>
      </c>
      <c r="S125" s="301">
        <v>0</v>
      </c>
      <c r="T125" s="301">
        <v>0</v>
      </c>
      <c r="U125" s="301">
        <v>0</v>
      </c>
      <c r="V125" s="301">
        <v>0</v>
      </c>
      <c r="W125" s="301">
        <v>0</v>
      </c>
      <c r="X125" s="301">
        <v>0</v>
      </c>
      <c r="Y125" s="301">
        <v>0</v>
      </c>
      <c r="Z125" s="301">
        <v>0</v>
      </c>
      <c r="AA125" s="301">
        <v>0</v>
      </c>
      <c r="AB125" s="303">
        <v>2020</v>
      </c>
    </row>
    <row r="126" spans="1:28" ht="35.25" customHeight="1" x14ac:dyDescent="0.5">
      <c r="A126">
        <v>1</v>
      </c>
      <c r="B126" s="80">
        <f>SUBTOTAL(103,$A$9:A126)</f>
        <v>117</v>
      </c>
      <c r="C126" s="300" t="s">
        <v>1857</v>
      </c>
      <c r="D126" s="296">
        <f t="shared" si="4"/>
        <v>610544</v>
      </c>
      <c r="E126" s="301">
        <v>0</v>
      </c>
      <c r="F126" s="301">
        <v>0</v>
      </c>
      <c r="G126" s="301">
        <v>0</v>
      </c>
      <c r="H126" s="301">
        <v>0</v>
      </c>
      <c r="I126" s="301">
        <v>0</v>
      </c>
      <c r="J126" s="301">
        <v>0</v>
      </c>
      <c r="K126" s="302">
        <v>0</v>
      </c>
      <c r="L126" s="301">
        <v>0</v>
      </c>
      <c r="M126" s="301">
        <v>610544</v>
      </c>
      <c r="N126" s="301">
        <v>0</v>
      </c>
      <c r="O126" s="301">
        <v>0</v>
      </c>
      <c r="P126" s="301">
        <v>0</v>
      </c>
      <c r="Q126" s="301">
        <v>0</v>
      </c>
      <c r="R126" s="301">
        <v>0</v>
      </c>
      <c r="S126" s="301">
        <v>0</v>
      </c>
      <c r="T126" s="301">
        <v>0</v>
      </c>
      <c r="U126" s="301">
        <v>0</v>
      </c>
      <c r="V126" s="301">
        <v>0</v>
      </c>
      <c r="W126" s="301">
        <v>0</v>
      </c>
      <c r="X126" s="301">
        <v>0</v>
      </c>
      <c r="Y126" s="301">
        <v>0</v>
      </c>
      <c r="Z126" s="301">
        <v>0</v>
      </c>
      <c r="AA126" s="301">
        <v>0</v>
      </c>
      <c r="AB126" s="303">
        <v>2020</v>
      </c>
    </row>
    <row r="127" spans="1:28" ht="35.25" customHeight="1" x14ac:dyDescent="0.5">
      <c r="A127">
        <v>1</v>
      </c>
      <c r="B127" s="80">
        <f>SUBTOTAL(103,$A$9:A127)</f>
        <v>118</v>
      </c>
      <c r="C127" s="300" t="s">
        <v>1858</v>
      </c>
      <c r="D127" s="296">
        <f t="shared" si="4"/>
        <v>2009254.69</v>
      </c>
      <c r="E127" s="301">
        <v>0</v>
      </c>
      <c r="F127" s="301">
        <v>0</v>
      </c>
      <c r="G127" s="301">
        <v>0</v>
      </c>
      <c r="H127" s="301">
        <v>105390</v>
      </c>
      <c r="I127" s="301">
        <v>0</v>
      </c>
      <c r="J127" s="301">
        <v>0</v>
      </c>
      <c r="K127" s="302">
        <v>0</v>
      </c>
      <c r="L127" s="301">
        <v>0</v>
      </c>
      <c r="M127" s="301">
        <v>1903864.69</v>
      </c>
      <c r="N127" s="301">
        <v>0</v>
      </c>
      <c r="O127" s="301">
        <v>0</v>
      </c>
      <c r="P127" s="301">
        <v>0</v>
      </c>
      <c r="Q127" s="301">
        <v>0</v>
      </c>
      <c r="R127" s="301">
        <v>0</v>
      </c>
      <c r="S127" s="301">
        <v>0</v>
      </c>
      <c r="T127" s="301">
        <v>0</v>
      </c>
      <c r="U127" s="301">
        <v>0</v>
      </c>
      <c r="V127" s="301">
        <v>0</v>
      </c>
      <c r="W127" s="301">
        <v>0</v>
      </c>
      <c r="X127" s="301">
        <v>0</v>
      </c>
      <c r="Y127" s="301">
        <v>0</v>
      </c>
      <c r="Z127" s="301">
        <v>0</v>
      </c>
      <c r="AA127" s="301">
        <v>0</v>
      </c>
      <c r="AB127" s="303">
        <v>2020</v>
      </c>
    </row>
    <row r="128" spans="1:28" ht="35.25" customHeight="1" x14ac:dyDescent="0.5">
      <c r="A128">
        <v>1</v>
      </c>
      <c r="B128" s="80">
        <f>SUBTOTAL(103,$A$9:A128)</f>
        <v>119</v>
      </c>
      <c r="C128" s="300" t="s">
        <v>2335</v>
      </c>
      <c r="D128" s="296">
        <f t="shared" si="4"/>
        <v>875842</v>
      </c>
      <c r="E128" s="301">
        <v>0</v>
      </c>
      <c r="F128" s="301">
        <v>0</v>
      </c>
      <c r="G128" s="301">
        <v>0</v>
      </c>
      <c r="H128" s="301">
        <v>0</v>
      </c>
      <c r="I128" s="301">
        <v>0</v>
      </c>
      <c r="J128" s="301">
        <v>0</v>
      </c>
      <c r="K128" s="302">
        <v>0</v>
      </c>
      <c r="L128" s="301">
        <v>0</v>
      </c>
      <c r="M128" s="301">
        <v>875842</v>
      </c>
      <c r="N128" s="301">
        <v>0</v>
      </c>
      <c r="O128" s="301">
        <v>0</v>
      </c>
      <c r="P128" s="301">
        <v>0</v>
      </c>
      <c r="Q128" s="301">
        <v>0</v>
      </c>
      <c r="R128" s="301">
        <v>0</v>
      </c>
      <c r="S128" s="301">
        <v>0</v>
      </c>
      <c r="T128" s="301">
        <v>0</v>
      </c>
      <c r="U128" s="301">
        <v>0</v>
      </c>
      <c r="V128" s="301">
        <v>0</v>
      </c>
      <c r="W128" s="301">
        <v>0</v>
      </c>
      <c r="X128" s="301">
        <v>0</v>
      </c>
      <c r="Y128" s="301">
        <v>0</v>
      </c>
      <c r="Z128" s="301">
        <v>0</v>
      </c>
      <c r="AA128" s="301">
        <v>0</v>
      </c>
      <c r="AB128" s="303">
        <v>2020</v>
      </c>
    </row>
    <row r="129" spans="1:28" ht="35.25" customHeight="1" x14ac:dyDescent="0.5">
      <c r="A129">
        <v>1</v>
      </c>
      <c r="B129" s="80">
        <f>SUBTOTAL(103,$A$9:A129)</f>
        <v>120</v>
      </c>
      <c r="C129" s="300" t="s">
        <v>1859</v>
      </c>
      <c r="D129" s="296">
        <f t="shared" si="4"/>
        <v>169304</v>
      </c>
      <c r="E129" s="301">
        <v>0</v>
      </c>
      <c r="F129" s="301">
        <v>0</v>
      </c>
      <c r="G129" s="301">
        <v>0</v>
      </c>
      <c r="H129" s="301">
        <v>0</v>
      </c>
      <c r="I129" s="301">
        <v>0</v>
      </c>
      <c r="J129" s="301">
        <v>0</v>
      </c>
      <c r="K129" s="302">
        <v>0</v>
      </c>
      <c r="L129" s="301">
        <v>0</v>
      </c>
      <c r="M129" s="301">
        <v>0</v>
      </c>
      <c r="N129" s="301">
        <v>0</v>
      </c>
      <c r="O129" s="301">
        <v>169304</v>
      </c>
      <c r="P129" s="301">
        <v>0</v>
      </c>
      <c r="Q129" s="301">
        <v>0</v>
      </c>
      <c r="R129" s="301">
        <v>0</v>
      </c>
      <c r="S129" s="301">
        <v>0</v>
      </c>
      <c r="T129" s="301">
        <v>0</v>
      </c>
      <c r="U129" s="301">
        <v>0</v>
      </c>
      <c r="V129" s="301">
        <v>0</v>
      </c>
      <c r="W129" s="301">
        <v>0</v>
      </c>
      <c r="X129" s="301">
        <v>0</v>
      </c>
      <c r="Y129" s="301">
        <v>0</v>
      </c>
      <c r="Z129" s="301">
        <v>0</v>
      </c>
      <c r="AA129" s="301">
        <v>0</v>
      </c>
      <c r="AB129" s="303">
        <v>2020</v>
      </c>
    </row>
    <row r="130" spans="1:28" ht="35.25" customHeight="1" x14ac:dyDescent="0.5">
      <c r="A130">
        <v>1</v>
      </c>
      <c r="B130" s="80">
        <f>SUBTOTAL(103,$A$9:A130)</f>
        <v>121</v>
      </c>
      <c r="C130" s="300" t="s">
        <v>1860</v>
      </c>
      <c r="D130" s="296">
        <f t="shared" si="4"/>
        <v>311932</v>
      </c>
      <c r="E130" s="301">
        <v>0</v>
      </c>
      <c r="F130" s="301">
        <v>0</v>
      </c>
      <c r="G130" s="301">
        <v>0</v>
      </c>
      <c r="H130" s="301">
        <v>0</v>
      </c>
      <c r="I130" s="301">
        <v>0</v>
      </c>
      <c r="J130" s="301">
        <v>0</v>
      </c>
      <c r="K130" s="302">
        <v>0</v>
      </c>
      <c r="L130" s="301">
        <v>0</v>
      </c>
      <c r="M130" s="301">
        <v>0</v>
      </c>
      <c r="N130" s="301">
        <v>0</v>
      </c>
      <c r="O130" s="301">
        <v>311932</v>
      </c>
      <c r="P130" s="301">
        <v>0</v>
      </c>
      <c r="Q130" s="301">
        <v>0</v>
      </c>
      <c r="R130" s="301">
        <v>0</v>
      </c>
      <c r="S130" s="301">
        <v>0</v>
      </c>
      <c r="T130" s="301">
        <v>0</v>
      </c>
      <c r="U130" s="301">
        <v>0</v>
      </c>
      <c r="V130" s="301">
        <v>0</v>
      </c>
      <c r="W130" s="301">
        <v>0</v>
      </c>
      <c r="X130" s="301">
        <v>0</v>
      </c>
      <c r="Y130" s="301">
        <v>0</v>
      </c>
      <c r="Z130" s="301">
        <v>0</v>
      </c>
      <c r="AA130" s="301">
        <v>0</v>
      </c>
      <c r="AB130" s="303">
        <v>2020</v>
      </c>
    </row>
    <row r="131" spans="1:28" ht="35.25" customHeight="1" x14ac:dyDescent="0.5">
      <c r="A131">
        <v>1</v>
      </c>
      <c r="B131" s="80">
        <f>SUBTOTAL(103,$A$9:A131)</f>
        <v>122</v>
      </c>
      <c r="C131" s="300" t="s">
        <v>2337</v>
      </c>
      <c r="D131" s="296">
        <f t="shared" si="4"/>
        <v>85484.76</v>
      </c>
      <c r="E131" s="301">
        <v>0</v>
      </c>
      <c r="F131" s="301">
        <v>0</v>
      </c>
      <c r="G131" s="301">
        <v>0</v>
      </c>
      <c r="H131" s="301">
        <v>10990</v>
      </c>
      <c r="I131" s="301">
        <v>0</v>
      </c>
      <c r="J131" s="301">
        <v>0</v>
      </c>
      <c r="K131" s="302">
        <v>0</v>
      </c>
      <c r="L131" s="301">
        <v>0</v>
      </c>
      <c r="M131" s="301">
        <v>0</v>
      </c>
      <c r="N131" s="301">
        <v>0</v>
      </c>
      <c r="O131" s="301">
        <v>0</v>
      </c>
      <c r="P131" s="301">
        <v>74494.759999999995</v>
      </c>
      <c r="Q131" s="301">
        <v>0</v>
      </c>
      <c r="R131" s="301">
        <v>0</v>
      </c>
      <c r="S131" s="301">
        <v>0</v>
      </c>
      <c r="T131" s="301">
        <v>0</v>
      </c>
      <c r="U131" s="301">
        <v>0</v>
      </c>
      <c r="V131" s="301">
        <v>0</v>
      </c>
      <c r="W131" s="301">
        <v>0</v>
      </c>
      <c r="X131" s="301">
        <v>0</v>
      </c>
      <c r="Y131" s="301">
        <v>0</v>
      </c>
      <c r="Z131" s="301">
        <v>0</v>
      </c>
      <c r="AA131" s="301">
        <v>0</v>
      </c>
      <c r="AB131" s="303">
        <v>2020</v>
      </c>
    </row>
    <row r="132" spans="1:28" ht="35.25" customHeight="1" x14ac:dyDescent="0.5">
      <c r="A132">
        <v>1</v>
      </c>
      <c r="B132" s="80">
        <f>SUBTOTAL(103,$A$9:A132)</f>
        <v>123</v>
      </c>
      <c r="C132" s="300" t="s">
        <v>1861</v>
      </c>
      <c r="D132" s="296">
        <f t="shared" si="4"/>
        <v>259061</v>
      </c>
      <c r="E132" s="301">
        <v>0</v>
      </c>
      <c r="F132" s="301">
        <v>0</v>
      </c>
      <c r="G132" s="301">
        <v>0</v>
      </c>
      <c r="H132" s="301">
        <v>0</v>
      </c>
      <c r="I132" s="301">
        <v>0</v>
      </c>
      <c r="J132" s="301">
        <v>0</v>
      </c>
      <c r="K132" s="302">
        <v>0</v>
      </c>
      <c r="L132" s="301">
        <v>0</v>
      </c>
      <c r="M132" s="301">
        <v>0</v>
      </c>
      <c r="N132" s="301">
        <v>259061</v>
      </c>
      <c r="O132" s="301">
        <v>0</v>
      </c>
      <c r="P132" s="301">
        <v>0</v>
      </c>
      <c r="Q132" s="301">
        <v>0</v>
      </c>
      <c r="R132" s="301">
        <v>0</v>
      </c>
      <c r="S132" s="301">
        <v>0</v>
      </c>
      <c r="T132" s="301">
        <v>0</v>
      </c>
      <c r="U132" s="301">
        <v>0</v>
      </c>
      <c r="V132" s="301">
        <v>0</v>
      </c>
      <c r="W132" s="301">
        <v>0</v>
      </c>
      <c r="X132" s="301">
        <v>0</v>
      </c>
      <c r="Y132" s="301">
        <v>0</v>
      </c>
      <c r="Z132" s="301">
        <v>0</v>
      </c>
      <c r="AA132" s="301">
        <v>0</v>
      </c>
      <c r="AB132" s="303">
        <v>2020</v>
      </c>
    </row>
    <row r="133" spans="1:28" ht="35.25" customHeight="1" x14ac:dyDescent="0.5">
      <c r="A133">
        <v>1</v>
      </c>
      <c r="B133" s="80">
        <f>SUBTOTAL(103,$A$9:A133)</f>
        <v>124</v>
      </c>
      <c r="C133" s="300" t="s">
        <v>1624</v>
      </c>
      <c r="D133" s="296">
        <f t="shared" si="4"/>
        <v>1810000</v>
      </c>
      <c r="E133" s="301">
        <v>0</v>
      </c>
      <c r="F133" s="301">
        <v>0</v>
      </c>
      <c r="G133" s="301">
        <v>0</v>
      </c>
      <c r="H133" s="301">
        <v>0</v>
      </c>
      <c r="I133" s="301">
        <v>0</v>
      </c>
      <c r="J133" s="301">
        <v>0</v>
      </c>
      <c r="K133" s="302">
        <v>1</v>
      </c>
      <c r="L133" s="301">
        <v>1810000</v>
      </c>
      <c r="M133" s="301">
        <v>0</v>
      </c>
      <c r="N133" s="301">
        <v>0</v>
      </c>
      <c r="O133" s="301">
        <v>0</v>
      </c>
      <c r="P133" s="301">
        <v>0</v>
      </c>
      <c r="Q133" s="301">
        <v>0</v>
      </c>
      <c r="R133" s="301">
        <v>0</v>
      </c>
      <c r="S133" s="301">
        <v>0</v>
      </c>
      <c r="T133" s="301">
        <v>0</v>
      </c>
      <c r="U133" s="301">
        <v>0</v>
      </c>
      <c r="V133" s="301">
        <v>0</v>
      </c>
      <c r="W133" s="301">
        <v>0</v>
      </c>
      <c r="X133" s="301">
        <v>0</v>
      </c>
      <c r="Y133" s="301">
        <v>0</v>
      </c>
      <c r="Z133" s="301">
        <v>0</v>
      </c>
      <c r="AA133" s="301">
        <v>0</v>
      </c>
      <c r="AB133" s="303">
        <v>2020</v>
      </c>
    </row>
    <row r="134" spans="1:28" ht="35.25" customHeight="1" x14ac:dyDescent="0.5">
      <c r="A134">
        <v>1</v>
      </c>
      <c r="B134" s="80">
        <f>SUBTOTAL(103,$A$9:A134)</f>
        <v>125</v>
      </c>
      <c r="C134" s="300" t="s">
        <v>1862</v>
      </c>
      <c r="D134" s="296">
        <f t="shared" si="4"/>
        <v>689694.49</v>
      </c>
      <c r="E134" s="301">
        <v>0</v>
      </c>
      <c r="F134" s="301">
        <v>0</v>
      </c>
      <c r="G134" s="301">
        <v>0</v>
      </c>
      <c r="H134" s="301">
        <v>0</v>
      </c>
      <c r="I134" s="301">
        <v>0</v>
      </c>
      <c r="J134" s="301">
        <v>0</v>
      </c>
      <c r="K134" s="302">
        <v>0</v>
      </c>
      <c r="L134" s="301">
        <v>0</v>
      </c>
      <c r="M134" s="301">
        <v>0</v>
      </c>
      <c r="N134" s="301">
        <v>0</v>
      </c>
      <c r="O134" s="301">
        <v>239435.8</v>
      </c>
      <c r="P134" s="301">
        <v>450258.68999999994</v>
      </c>
      <c r="Q134" s="301">
        <v>0</v>
      </c>
      <c r="R134" s="301">
        <v>0</v>
      </c>
      <c r="S134" s="301">
        <v>0</v>
      </c>
      <c r="T134" s="301">
        <v>0</v>
      </c>
      <c r="U134" s="301">
        <v>0</v>
      </c>
      <c r="V134" s="301">
        <v>0</v>
      </c>
      <c r="W134" s="301">
        <v>0</v>
      </c>
      <c r="X134" s="301">
        <v>0</v>
      </c>
      <c r="Y134" s="301">
        <v>0</v>
      </c>
      <c r="Z134" s="301">
        <v>0</v>
      </c>
      <c r="AA134" s="301">
        <v>0</v>
      </c>
      <c r="AB134" s="303">
        <v>2020</v>
      </c>
    </row>
    <row r="135" spans="1:28" ht="35.25" customHeight="1" x14ac:dyDescent="0.5">
      <c r="A135">
        <v>1</v>
      </c>
      <c r="B135" s="80">
        <f>SUBTOTAL(103,$A$9:A135)</f>
        <v>126</v>
      </c>
      <c r="C135" s="300" t="s">
        <v>1863</v>
      </c>
      <c r="D135" s="296">
        <f t="shared" si="4"/>
        <v>465174.3</v>
      </c>
      <c r="E135" s="301">
        <v>0</v>
      </c>
      <c r="F135" s="301">
        <v>0</v>
      </c>
      <c r="G135" s="301">
        <v>0</v>
      </c>
      <c r="H135" s="301">
        <v>0</v>
      </c>
      <c r="I135" s="301">
        <v>0</v>
      </c>
      <c r="J135" s="301">
        <v>0</v>
      </c>
      <c r="K135" s="302">
        <v>0</v>
      </c>
      <c r="L135" s="301">
        <v>0</v>
      </c>
      <c r="M135" s="301">
        <v>185479.3</v>
      </c>
      <c r="N135" s="301">
        <v>0</v>
      </c>
      <c r="O135" s="301">
        <f>196923.5+82771.5</f>
        <v>279695</v>
      </c>
      <c r="P135" s="301">
        <v>0</v>
      </c>
      <c r="Q135" s="301">
        <v>0</v>
      </c>
      <c r="R135" s="301">
        <v>0</v>
      </c>
      <c r="S135" s="301">
        <v>0</v>
      </c>
      <c r="T135" s="301">
        <v>0</v>
      </c>
      <c r="U135" s="301">
        <v>0</v>
      </c>
      <c r="V135" s="301">
        <v>0</v>
      </c>
      <c r="W135" s="301">
        <v>0</v>
      </c>
      <c r="X135" s="301">
        <v>0</v>
      </c>
      <c r="Y135" s="301">
        <v>0</v>
      </c>
      <c r="Z135" s="301">
        <v>0</v>
      </c>
      <c r="AA135" s="301">
        <v>0</v>
      </c>
      <c r="AB135" s="303">
        <v>2020</v>
      </c>
    </row>
    <row r="136" spans="1:28" ht="35.25" customHeight="1" x14ac:dyDescent="0.5">
      <c r="A136">
        <v>1</v>
      </c>
      <c r="B136" s="80">
        <f>SUBTOTAL(103,$A$9:A136)</f>
        <v>127</v>
      </c>
      <c r="C136" s="300" t="s">
        <v>1864</v>
      </c>
      <c r="D136" s="296">
        <f t="shared" si="4"/>
        <v>1134646</v>
      </c>
      <c r="E136" s="301">
        <v>0</v>
      </c>
      <c r="F136" s="301">
        <v>0</v>
      </c>
      <c r="G136" s="301">
        <v>0</v>
      </c>
      <c r="H136" s="301">
        <v>0</v>
      </c>
      <c r="I136" s="301">
        <v>0</v>
      </c>
      <c r="J136" s="301">
        <v>0</v>
      </c>
      <c r="K136" s="302">
        <v>0</v>
      </c>
      <c r="L136" s="301">
        <v>0</v>
      </c>
      <c r="M136" s="301">
        <v>1134646</v>
      </c>
      <c r="N136" s="301">
        <v>0</v>
      </c>
      <c r="O136" s="301">
        <v>0</v>
      </c>
      <c r="P136" s="301">
        <v>0</v>
      </c>
      <c r="Q136" s="301">
        <v>0</v>
      </c>
      <c r="R136" s="301">
        <v>0</v>
      </c>
      <c r="S136" s="301">
        <v>0</v>
      </c>
      <c r="T136" s="301">
        <v>0</v>
      </c>
      <c r="U136" s="301">
        <v>0</v>
      </c>
      <c r="V136" s="301">
        <v>0</v>
      </c>
      <c r="W136" s="301">
        <v>0</v>
      </c>
      <c r="X136" s="301">
        <v>0</v>
      </c>
      <c r="Y136" s="301">
        <v>0</v>
      </c>
      <c r="Z136" s="301">
        <v>0</v>
      </c>
      <c r="AA136" s="301">
        <v>0</v>
      </c>
      <c r="AB136" s="303">
        <v>2020</v>
      </c>
    </row>
    <row r="137" spans="1:28" ht="35.25" customHeight="1" x14ac:dyDescent="0.5">
      <c r="A137">
        <v>1</v>
      </c>
      <c r="B137" s="80">
        <f>SUBTOTAL(103,$A$9:A137)</f>
        <v>128</v>
      </c>
      <c r="C137" s="300" t="s">
        <v>1865</v>
      </c>
      <c r="D137" s="296">
        <f t="shared" ref="D137:D200" si="5">E137+F137+G137+H137+I137+J137+L137+M137+N137+O137+P137+Q137+R137+S137+T137+U137+V137+W137+X137+Y137+Z137+AA137</f>
        <v>437000</v>
      </c>
      <c r="E137" s="301">
        <v>0</v>
      </c>
      <c r="F137" s="301">
        <v>0</v>
      </c>
      <c r="G137" s="301">
        <v>0</v>
      </c>
      <c r="H137" s="301">
        <v>0</v>
      </c>
      <c r="I137" s="301">
        <v>0</v>
      </c>
      <c r="J137" s="301">
        <v>0</v>
      </c>
      <c r="K137" s="302">
        <v>0</v>
      </c>
      <c r="L137" s="301">
        <v>0</v>
      </c>
      <c r="M137" s="301">
        <v>0</v>
      </c>
      <c r="N137" s="301">
        <v>0</v>
      </c>
      <c r="O137" s="301">
        <v>437000</v>
      </c>
      <c r="P137" s="301">
        <v>0</v>
      </c>
      <c r="Q137" s="301">
        <v>0</v>
      </c>
      <c r="R137" s="301">
        <v>0</v>
      </c>
      <c r="S137" s="301">
        <v>0</v>
      </c>
      <c r="T137" s="301">
        <v>0</v>
      </c>
      <c r="U137" s="301">
        <v>0</v>
      </c>
      <c r="V137" s="301">
        <v>0</v>
      </c>
      <c r="W137" s="301">
        <v>0</v>
      </c>
      <c r="X137" s="301">
        <v>0</v>
      </c>
      <c r="Y137" s="301">
        <v>0</v>
      </c>
      <c r="Z137" s="301">
        <v>0</v>
      </c>
      <c r="AA137" s="301">
        <v>0</v>
      </c>
      <c r="AB137" s="303">
        <v>2020</v>
      </c>
    </row>
    <row r="138" spans="1:28" ht="35.25" customHeight="1" x14ac:dyDescent="0.5">
      <c r="A138">
        <v>1</v>
      </c>
      <c r="B138" s="80">
        <f>SUBTOTAL(103,$A$9:A138)</f>
        <v>129</v>
      </c>
      <c r="C138" s="300" t="s">
        <v>1866</v>
      </c>
      <c r="D138" s="296">
        <f t="shared" si="5"/>
        <v>128771.87</v>
      </c>
      <c r="E138" s="301">
        <v>0</v>
      </c>
      <c r="F138" s="301">
        <v>0</v>
      </c>
      <c r="G138" s="301">
        <v>128771.87</v>
      </c>
      <c r="H138" s="301">
        <v>0</v>
      </c>
      <c r="I138" s="301">
        <v>0</v>
      </c>
      <c r="J138" s="301">
        <v>0</v>
      </c>
      <c r="K138" s="302">
        <v>0</v>
      </c>
      <c r="L138" s="301">
        <v>0</v>
      </c>
      <c r="M138" s="301">
        <v>0</v>
      </c>
      <c r="N138" s="301">
        <v>0</v>
      </c>
      <c r="O138" s="301">
        <v>0</v>
      </c>
      <c r="P138" s="301">
        <v>0</v>
      </c>
      <c r="Q138" s="301">
        <v>0</v>
      </c>
      <c r="R138" s="301">
        <v>0</v>
      </c>
      <c r="S138" s="301">
        <v>0</v>
      </c>
      <c r="T138" s="301">
        <v>0</v>
      </c>
      <c r="U138" s="301">
        <v>0</v>
      </c>
      <c r="V138" s="301">
        <v>0</v>
      </c>
      <c r="W138" s="301">
        <v>0</v>
      </c>
      <c r="X138" s="301">
        <v>0</v>
      </c>
      <c r="Y138" s="301">
        <v>0</v>
      </c>
      <c r="Z138" s="301">
        <v>0</v>
      </c>
      <c r="AA138" s="301">
        <v>0</v>
      </c>
      <c r="AB138" s="303">
        <v>2020</v>
      </c>
    </row>
    <row r="139" spans="1:28" ht="35.25" customHeight="1" x14ac:dyDescent="0.5">
      <c r="A139">
        <v>1</v>
      </c>
      <c r="B139" s="80">
        <f>SUBTOTAL(103,$A$9:A139)</f>
        <v>130</v>
      </c>
      <c r="C139" s="300" t="s">
        <v>1867</v>
      </c>
      <c r="D139" s="296">
        <f t="shared" si="5"/>
        <v>317712.78000000003</v>
      </c>
      <c r="E139" s="301">
        <v>317712.78000000003</v>
      </c>
      <c r="F139" s="301">
        <v>0</v>
      </c>
      <c r="G139" s="301">
        <v>0</v>
      </c>
      <c r="H139" s="301">
        <v>0</v>
      </c>
      <c r="I139" s="301">
        <v>0</v>
      </c>
      <c r="J139" s="301">
        <v>0</v>
      </c>
      <c r="K139" s="302">
        <v>0</v>
      </c>
      <c r="L139" s="301">
        <v>0</v>
      </c>
      <c r="M139" s="301">
        <v>0</v>
      </c>
      <c r="N139" s="301">
        <v>0</v>
      </c>
      <c r="O139" s="301">
        <v>0</v>
      </c>
      <c r="P139" s="301">
        <v>0</v>
      </c>
      <c r="Q139" s="301">
        <v>0</v>
      </c>
      <c r="R139" s="301">
        <v>0</v>
      </c>
      <c r="S139" s="301">
        <v>0</v>
      </c>
      <c r="T139" s="301">
        <v>0</v>
      </c>
      <c r="U139" s="301">
        <v>0</v>
      </c>
      <c r="V139" s="301">
        <v>0</v>
      </c>
      <c r="W139" s="301">
        <v>0</v>
      </c>
      <c r="X139" s="301">
        <v>0</v>
      </c>
      <c r="Y139" s="301">
        <v>0</v>
      </c>
      <c r="Z139" s="301">
        <v>0</v>
      </c>
      <c r="AA139" s="301">
        <v>0</v>
      </c>
      <c r="AB139" s="303">
        <v>2020</v>
      </c>
    </row>
    <row r="140" spans="1:28" ht="35.25" customHeight="1" x14ac:dyDescent="0.5">
      <c r="A140">
        <v>1</v>
      </c>
      <c r="B140" s="80">
        <f>SUBTOTAL(103,$A$9:A140)</f>
        <v>131</v>
      </c>
      <c r="C140" s="300" t="s">
        <v>1868</v>
      </c>
      <c r="D140" s="296">
        <f t="shared" si="5"/>
        <v>723801.52</v>
      </c>
      <c r="E140" s="301">
        <v>0</v>
      </c>
      <c r="F140" s="301">
        <v>0</v>
      </c>
      <c r="G140" s="301">
        <v>174204</v>
      </c>
      <c r="H140" s="301">
        <v>0</v>
      </c>
      <c r="I140" s="301">
        <v>0</v>
      </c>
      <c r="J140" s="301">
        <v>0</v>
      </c>
      <c r="K140" s="302">
        <v>0</v>
      </c>
      <c r="L140" s="301">
        <v>0</v>
      </c>
      <c r="M140" s="301">
        <v>549597.52</v>
      </c>
      <c r="N140" s="301">
        <v>0</v>
      </c>
      <c r="O140" s="301">
        <v>0</v>
      </c>
      <c r="P140" s="301">
        <v>0</v>
      </c>
      <c r="Q140" s="301">
        <v>0</v>
      </c>
      <c r="R140" s="301">
        <v>0</v>
      </c>
      <c r="S140" s="301">
        <v>0</v>
      </c>
      <c r="T140" s="301">
        <v>0</v>
      </c>
      <c r="U140" s="301">
        <v>0</v>
      </c>
      <c r="V140" s="301">
        <v>0</v>
      </c>
      <c r="W140" s="301">
        <v>0</v>
      </c>
      <c r="X140" s="301">
        <v>0</v>
      </c>
      <c r="Y140" s="301">
        <v>0</v>
      </c>
      <c r="Z140" s="301">
        <v>0</v>
      </c>
      <c r="AA140" s="301">
        <v>0</v>
      </c>
      <c r="AB140" s="303">
        <v>2020</v>
      </c>
    </row>
    <row r="141" spans="1:28" ht="35.25" customHeight="1" x14ac:dyDescent="0.5">
      <c r="A141">
        <v>1</v>
      </c>
      <c r="B141" s="80">
        <f>SUBTOTAL(103,$A$9:A141)</f>
        <v>132</v>
      </c>
      <c r="C141" s="300" t="s">
        <v>1869</v>
      </c>
      <c r="D141" s="296">
        <f t="shared" si="5"/>
        <v>460900</v>
      </c>
      <c r="E141" s="301">
        <v>0</v>
      </c>
      <c r="F141" s="301">
        <v>0</v>
      </c>
      <c r="G141" s="301">
        <v>0</v>
      </c>
      <c r="H141" s="301">
        <v>0</v>
      </c>
      <c r="I141" s="301">
        <v>0</v>
      </c>
      <c r="J141" s="301">
        <v>0</v>
      </c>
      <c r="K141" s="302">
        <v>0</v>
      </c>
      <c r="L141" s="301">
        <v>0</v>
      </c>
      <c r="M141" s="301">
        <v>0</v>
      </c>
      <c r="N141" s="301">
        <v>0</v>
      </c>
      <c r="O141" s="301">
        <v>460900</v>
      </c>
      <c r="P141" s="301">
        <v>0</v>
      </c>
      <c r="Q141" s="301">
        <v>0</v>
      </c>
      <c r="R141" s="301">
        <v>0</v>
      </c>
      <c r="S141" s="301">
        <v>0</v>
      </c>
      <c r="T141" s="301">
        <v>0</v>
      </c>
      <c r="U141" s="301">
        <v>0</v>
      </c>
      <c r="V141" s="301">
        <v>0</v>
      </c>
      <c r="W141" s="301">
        <v>0</v>
      </c>
      <c r="X141" s="301">
        <v>0</v>
      </c>
      <c r="Y141" s="301">
        <v>0</v>
      </c>
      <c r="Z141" s="301">
        <v>0</v>
      </c>
      <c r="AA141" s="301">
        <v>0</v>
      </c>
      <c r="AB141" s="303">
        <v>2020</v>
      </c>
    </row>
    <row r="142" spans="1:28" ht="35.25" customHeight="1" x14ac:dyDescent="0.5">
      <c r="A142">
        <v>1</v>
      </c>
      <c r="B142" s="80">
        <f>SUBTOTAL(103,$A$9:A142)</f>
        <v>133</v>
      </c>
      <c r="C142" s="300" t="s">
        <v>1870</v>
      </c>
      <c r="D142" s="296">
        <f t="shared" si="5"/>
        <v>251475</v>
      </c>
      <c r="E142" s="301">
        <v>0</v>
      </c>
      <c r="F142" s="301">
        <v>0</v>
      </c>
      <c r="G142" s="301">
        <v>97440</v>
      </c>
      <c r="H142" s="301">
        <v>0</v>
      </c>
      <c r="I142" s="301">
        <v>15485</v>
      </c>
      <c r="J142" s="301">
        <v>0</v>
      </c>
      <c r="K142" s="302">
        <v>0</v>
      </c>
      <c r="L142" s="301">
        <v>0</v>
      </c>
      <c r="M142" s="301">
        <v>138550</v>
      </c>
      <c r="N142" s="301">
        <v>0</v>
      </c>
      <c r="O142" s="301">
        <v>0</v>
      </c>
      <c r="P142" s="301">
        <v>0</v>
      </c>
      <c r="Q142" s="301">
        <v>0</v>
      </c>
      <c r="R142" s="301">
        <v>0</v>
      </c>
      <c r="S142" s="301">
        <v>0</v>
      </c>
      <c r="T142" s="301">
        <v>0</v>
      </c>
      <c r="U142" s="301">
        <v>0</v>
      </c>
      <c r="V142" s="301">
        <v>0</v>
      </c>
      <c r="W142" s="301">
        <v>0</v>
      </c>
      <c r="X142" s="301">
        <v>0</v>
      </c>
      <c r="Y142" s="301">
        <v>0</v>
      </c>
      <c r="Z142" s="301">
        <v>0</v>
      </c>
      <c r="AA142" s="301">
        <v>0</v>
      </c>
      <c r="AB142" s="303">
        <v>2020</v>
      </c>
    </row>
    <row r="143" spans="1:28" ht="35.25" customHeight="1" x14ac:dyDescent="0.5">
      <c r="A143">
        <v>1</v>
      </c>
      <c r="B143" s="80">
        <f>SUBTOTAL(103,$A$9:A143)</f>
        <v>134</v>
      </c>
      <c r="C143" s="300" t="s">
        <v>1871</v>
      </c>
      <c r="D143" s="296">
        <f t="shared" si="5"/>
        <v>329973</v>
      </c>
      <c r="E143" s="301">
        <v>0</v>
      </c>
      <c r="F143" s="301">
        <v>0</v>
      </c>
      <c r="G143" s="301">
        <v>0</v>
      </c>
      <c r="H143" s="301">
        <v>0</v>
      </c>
      <c r="I143" s="301">
        <v>0</v>
      </c>
      <c r="J143" s="301">
        <v>0</v>
      </c>
      <c r="K143" s="302">
        <v>0</v>
      </c>
      <c r="L143" s="301">
        <v>0</v>
      </c>
      <c r="M143" s="301">
        <v>0</v>
      </c>
      <c r="N143" s="301">
        <v>0</v>
      </c>
      <c r="O143" s="301">
        <v>329973</v>
      </c>
      <c r="P143" s="301">
        <v>0</v>
      </c>
      <c r="Q143" s="301">
        <v>0</v>
      </c>
      <c r="R143" s="301">
        <v>0</v>
      </c>
      <c r="S143" s="301">
        <v>0</v>
      </c>
      <c r="T143" s="301">
        <v>0</v>
      </c>
      <c r="U143" s="301">
        <v>0</v>
      </c>
      <c r="V143" s="301">
        <v>0</v>
      </c>
      <c r="W143" s="301">
        <v>0</v>
      </c>
      <c r="X143" s="301">
        <v>0</v>
      </c>
      <c r="Y143" s="301">
        <v>0</v>
      </c>
      <c r="Z143" s="301">
        <v>0</v>
      </c>
      <c r="AA143" s="301">
        <v>0</v>
      </c>
      <c r="AB143" s="303">
        <v>2020</v>
      </c>
    </row>
    <row r="144" spans="1:28" ht="35.25" customHeight="1" x14ac:dyDescent="0.5">
      <c r="A144">
        <v>1</v>
      </c>
      <c r="B144" s="80">
        <f>SUBTOTAL(103,$A$9:A144)</f>
        <v>135</v>
      </c>
      <c r="C144" s="300" t="s">
        <v>1872</v>
      </c>
      <c r="D144" s="296">
        <f t="shared" si="5"/>
        <v>500731.2</v>
      </c>
      <c r="E144" s="301">
        <v>0</v>
      </c>
      <c r="F144" s="301">
        <v>0</v>
      </c>
      <c r="G144" s="301">
        <v>0</v>
      </c>
      <c r="H144" s="301">
        <v>0</v>
      </c>
      <c r="I144" s="301">
        <v>0</v>
      </c>
      <c r="J144" s="301">
        <v>0</v>
      </c>
      <c r="K144" s="302">
        <v>0</v>
      </c>
      <c r="L144" s="301">
        <v>0</v>
      </c>
      <c r="M144" s="301">
        <v>0</v>
      </c>
      <c r="N144" s="301">
        <v>0</v>
      </c>
      <c r="O144" s="301">
        <v>0</v>
      </c>
      <c r="P144" s="301">
        <v>500731.2</v>
      </c>
      <c r="Q144" s="301">
        <v>0</v>
      </c>
      <c r="R144" s="301">
        <v>0</v>
      </c>
      <c r="S144" s="301">
        <v>0</v>
      </c>
      <c r="T144" s="301">
        <v>0</v>
      </c>
      <c r="U144" s="301">
        <v>0</v>
      </c>
      <c r="V144" s="301">
        <v>0</v>
      </c>
      <c r="W144" s="301">
        <v>0</v>
      </c>
      <c r="X144" s="301">
        <v>0</v>
      </c>
      <c r="Y144" s="301">
        <v>0</v>
      </c>
      <c r="Z144" s="301">
        <v>0</v>
      </c>
      <c r="AA144" s="301">
        <v>0</v>
      </c>
      <c r="AB144" s="303">
        <v>2020</v>
      </c>
    </row>
    <row r="145" spans="1:28" ht="35.25" customHeight="1" x14ac:dyDescent="0.5">
      <c r="A145">
        <v>1</v>
      </c>
      <c r="B145" s="80">
        <f>SUBTOTAL(103,$A$9:A145)</f>
        <v>136</v>
      </c>
      <c r="C145" s="300" t="s">
        <v>1873</v>
      </c>
      <c r="D145" s="296">
        <f t="shared" si="5"/>
        <v>169106</v>
      </c>
      <c r="E145" s="301">
        <v>0</v>
      </c>
      <c r="F145" s="301">
        <v>0</v>
      </c>
      <c r="G145" s="301">
        <v>0</v>
      </c>
      <c r="H145" s="301">
        <v>0</v>
      </c>
      <c r="I145" s="301">
        <v>0</v>
      </c>
      <c r="J145" s="301">
        <v>0</v>
      </c>
      <c r="K145" s="302">
        <v>0</v>
      </c>
      <c r="L145" s="301">
        <v>0</v>
      </c>
      <c r="M145" s="301">
        <v>169106</v>
      </c>
      <c r="N145" s="301">
        <v>0</v>
      </c>
      <c r="O145" s="301">
        <v>0</v>
      </c>
      <c r="P145" s="301">
        <v>0</v>
      </c>
      <c r="Q145" s="301">
        <v>0</v>
      </c>
      <c r="R145" s="301">
        <v>0</v>
      </c>
      <c r="S145" s="301">
        <v>0</v>
      </c>
      <c r="T145" s="301">
        <v>0</v>
      </c>
      <c r="U145" s="301">
        <v>0</v>
      </c>
      <c r="V145" s="301">
        <v>0</v>
      </c>
      <c r="W145" s="301">
        <v>0</v>
      </c>
      <c r="X145" s="301">
        <v>0</v>
      </c>
      <c r="Y145" s="301">
        <v>0</v>
      </c>
      <c r="Z145" s="301">
        <v>0</v>
      </c>
      <c r="AA145" s="301">
        <v>0</v>
      </c>
      <c r="AB145" s="303">
        <v>2020</v>
      </c>
    </row>
    <row r="146" spans="1:28" ht="35.25" customHeight="1" x14ac:dyDescent="0.5">
      <c r="A146">
        <v>1</v>
      </c>
      <c r="B146" s="80">
        <f>SUBTOTAL(103,$A$9:A146)</f>
        <v>137</v>
      </c>
      <c r="C146" s="300" t="s">
        <v>1653</v>
      </c>
      <c r="D146" s="296">
        <f t="shared" si="5"/>
        <v>221206.97</v>
      </c>
      <c r="E146" s="301">
        <v>0</v>
      </c>
      <c r="F146" s="301">
        <v>159320.97</v>
      </c>
      <c r="G146" s="301">
        <v>0</v>
      </c>
      <c r="H146" s="301">
        <v>0</v>
      </c>
      <c r="I146" s="301">
        <v>0</v>
      </c>
      <c r="J146" s="301">
        <v>0</v>
      </c>
      <c r="K146" s="302">
        <v>2</v>
      </c>
      <c r="L146" s="301">
        <v>61886</v>
      </c>
      <c r="M146" s="301">
        <v>0</v>
      </c>
      <c r="N146" s="301">
        <v>0</v>
      </c>
      <c r="O146" s="301">
        <v>0</v>
      </c>
      <c r="P146" s="301">
        <v>0</v>
      </c>
      <c r="Q146" s="301">
        <v>0</v>
      </c>
      <c r="R146" s="301">
        <v>0</v>
      </c>
      <c r="S146" s="301">
        <v>0</v>
      </c>
      <c r="T146" s="301">
        <v>0</v>
      </c>
      <c r="U146" s="301">
        <v>0</v>
      </c>
      <c r="V146" s="301">
        <v>0</v>
      </c>
      <c r="W146" s="301">
        <v>0</v>
      </c>
      <c r="X146" s="301">
        <v>0</v>
      </c>
      <c r="Y146" s="301">
        <v>0</v>
      </c>
      <c r="Z146" s="301">
        <v>0</v>
      </c>
      <c r="AA146" s="301">
        <v>0</v>
      </c>
      <c r="AB146" s="303">
        <v>2020</v>
      </c>
    </row>
    <row r="147" spans="1:28" ht="35.25" customHeight="1" x14ac:dyDescent="0.5">
      <c r="A147">
        <v>1</v>
      </c>
      <c r="B147" s="80">
        <f>SUBTOTAL(103,$A$9:A147)</f>
        <v>138</v>
      </c>
      <c r="C147" s="300" t="s">
        <v>1874</v>
      </c>
      <c r="D147" s="296">
        <f t="shared" si="5"/>
        <v>827847.37</v>
      </c>
      <c r="E147" s="301">
        <v>0</v>
      </c>
      <c r="F147" s="301">
        <v>0</v>
      </c>
      <c r="G147" s="301">
        <v>329415.37</v>
      </c>
      <c r="H147" s="301">
        <v>0</v>
      </c>
      <c r="I147" s="301">
        <v>0</v>
      </c>
      <c r="J147" s="301">
        <v>0</v>
      </c>
      <c r="K147" s="302">
        <v>0</v>
      </c>
      <c r="L147" s="301">
        <v>0</v>
      </c>
      <c r="M147" s="301">
        <v>498432</v>
      </c>
      <c r="N147" s="301">
        <v>0</v>
      </c>
      <c r="O147" s="301">
        <v>0</v>
      </c>
      <c r="P147" s="301">
        <v>0</v>
      </c>
      <c r="Q147" s="301">
        <v>0</v>
      </c>
      <c r="R147" s="301">
        <v>0</v>
      </c>
      <c r="S147" s="301">
        <v>0</v>
      </c>
      <c r="T147" s="301">
        <v>0</v>
      </c>
      <c r="U147" s="301">
        <v>0</v>
      </c>
      <c r="V147" s="301">
        <v>0</v>
      </c>
      <c r="W147" s="301">
        <v>0</v>
      </c>
      <c r="X147" s="301">
        <v>0</v>
      </c>
      <c r="Y147" s="301">
        <v>0</v>
      </c>
      <c r="Z147" s="301">
        <v>0</v>
      </c>
      <c r="AA147" s="301">
        <v>0</v>
      </c>
      <c r="AB147" s="303">
        <v>2020</v>
      </c>
    </row>
    <row r="148" spans="1:28" ht="35.25" customHeight="1" x14ac:dyDescent="0.5">
      <c r="A148">
        <v>1</v>
      </c>
      <c r="B148" s="80">
        <f>SUBTOTAL(103,$A$9:A148)</f>
        <v>139</v>
      </c>
      <c r="C148" s="300" t="s">
        <v>1875</v>
      </c>
      <c r="D148" s="296">
        <f t="shared" si="5"/>
        <v>354653</v>
      </c>
      <c r="E148" s="301">
        <v>177326.5</v>
      </c>
      <c r="F148" s="301">
        <v>177326.5</v>
      </c>
      <c r="G148" s="301">
        <v>0</v>
      </c>
      <c r="H148" s="301">
        <v>0</v>
      </c>
      <c r="I148" s="301">
        <v>0</v>
      </c>
      <c r="J148" s="301">
        <v>0</v>
      </c>
      <c r="K148" s="302">
        <v>0</v>
      </c>
      <c r="L148" s="301">
        <v>0</v>
      </c>
      <c r="M148" s="301">
        <v>0</v>
      </c>
      <c r="N148" s="301">
        <v>0</v>
      </c>
      <c r="O148" s="301">
        <v>0</v>
      </c>
      <c r="P148" s="301">
        <v>0</v>
      </c>
      <c r="Q148" s="301">
        <v>0</v>
      </c>
      <c r="R148" s="301">
        <v>0</v>
      </c>
      <c r="S148" s="301">
        <v>0</v>
      </c>
      <c r="T148" s="301">
        <v>0</v>
      </c>
      <c r="U148" s="301">
        <v>0</v>
      </c>
      <c r="V148" s="301">
        <v>0</v>
      </c>
      <c r="W148" s="301">
        <v>0</v>
      </c>
      <c r="X148" s="301">
        <v>0</v>
      </c>
      <c r="Y148" s="301">
        <v>0</v>
      </c>
      <c r="Z148" s="301">
        <v>0</v>
      </c>
      <c r="AA148" s="301">
        <v>0</v>
      </c>
      <c r="AB148" s="303">
        <v>2020</v>
      </c>
    </row>
    <row r="149" spans="1:28" ht="35.25" customHeight="1" x14ac:dyDescent="0.5">
      <c r="A149">
        <v>1</v>
      </c>
      <c r="B149" s="80">
        <f>SUBTOTAL(103,$A$9:A149)</f>
        <v>140</v>
      </c>
      <c r="C149" s="300" t="s">
        <v>1876</v>
      </c>
      <c r="D149" s="296">
        <f t="shared" si="5"/>
        <v>202672.4</v>
      </c>
      <c r="E149" s="301">
        <v>0</v>
      </c>
      <c r="F149" s="301">
        <v>0</v>
      </c>
      <c r="G149" s="301">
        <v>0</v>
      </c>
      <c r="H149" s="301">
        <v>0</v>
      </c>
      <c r="I149" s="301">
        <v>202672.4</v>
      </c>
      <c r="J149" s="301">
        <v>0</v>
      </c>
      <c r="K149" s="302">
        <v>0</v>
      </c>
      <c r="L149" s="301">
        <v>0</v>
      </c>
      <c r="M149" s="301">
        <v>0</v>
      </c>
      <c r="N149" s="301">
        <v>0</v>
      </c>
      <c r="O149" s="301">
        <v>0</v>
      </c>
      <c r="P149" s="301">
        <v>0</v>
      </c>
      <c r="Q149" s="301">
        <v>0</v>
      </c>
      <c r="R149" s="301">
        <v>0</v>
      </c>
      <c r="S149" s="301">
        <v>0</v>
      </c>
      <c r="T149" s="301">
        <v>0</v>
      </c>
      <c r="U149" s="301">
        <v>0</v>
      </c>
      <c r="V149" s="301">
        <v>0</v>
      </c>
      <c r="W149" s="301">
        <v>0</v>
      </c>
      <c r="X149" s="301">
        <v>0</v>
      </c>
      <c r="Y149" s="301">
        <v>0</v>
      </c>
      <c r="Z149" s="301">
        <v>0</v>
      </c>
      <c r="AA149" s="301">
        <v>0</v>
      </c>
      <c r="AB149" s="303">
        <v>2020</v>
      </c>
    </row>
    <row r="150" spans="1:28" ht="35.25" customHeight="1" x14ac:dyDescent="0.5">
      <c r="A150">
        <v>1</v>
      </c>
      <c r="B150" s="80">
        <f>SUBTOTAL(103,$A$9:A150)</f>
        <v>141</v>
      </c>
      <c r="C150" s="300" t="s">
        <v>1877</v>
      </c>
      <c r="D150" s="296">
        <f t="shared" si="5"/>
        <v>694266.46</v>
      </c>
      <c r="E150" s="301">
        <v>0</v>
      </c>
      <c r="F150" s="301">
        <v>0</v>
      </c>
      <c r="G150" s="301">
        <v>0</v>
      </c>
      <c r="H150" s="301">
        <v>0</v>
      </c>
      <c r="I150" s="301">
        <v>62413.85</v>
      </c>
      <c r="J150" s="301">
        <v>0</v>
      </c>
      <c r="K150" s="302">
        <v>0</v>
      </c>
      <c r="L150" s="301">
        <v>0</v>
      </c>
      <c r="M150" s="301">
        <v>631852.61</v>
      </c>
      <c r="N150" s="301">
        <v>0</v>
      </c>
      <c r="O150" s="301">
        <v>0</v>
      </c>
      <c r="P150" s="301">
        <v>0</v>
      </c>
      <c r="Q150" s="301">
        <v>0</v>
      </c>
      <c r="R150" s="301">
        <v>0</v>
      </c>
      <c r="S150" s="301">
        <v>0</v>
      </c>
      <c r="T150" s="301">
        <v>0</v>
      </c>
      <c r="U150" s="301">
        <v>0</v>
      </c>
      <c r="V150" s="301">
        <v>0</v>
      </c>
      <c r="W150" s="301">
        <v>0</v>
      </c>
      <c r="X150" s="301">
        <v>0</v>
      </c>
      <c r="Y150" s="301">
        <v>0</v>
      </c>
      <c r="Z150" s="301">
        <v>0</v>
      </c>
      <c r="AA150" s="301">
        <v>0</v>
      </c>
      <c r="AB150" s="303">
        <v>2020</v>
      </c>
    </row>
    <row r="151" spans="1:28" ht="35.25" customHeight="1" x14ac:dyDescent="0.5">
      <c r="A151">
        <v>1</v>
      </c>
      <c r="B151" s="80">
        <f>SUBTOTAL(103,$A$9:A151)</f>
        <v>142</v>
      </c>
      <c r="C151" s="300" t="s">
        <v>1878</v>
      </c>
      <c r="D151" s="296">
        <f t="shared" si="5"/>
        <v>254624</v>
      </c>
      <c r="E151" s="301">
        <v>0</v>
      </c>
      <c r="F151" s="301">
        <v>0</v>
      </c>
      <c r="G151" s="301">
        <v>254624</v>
      </c>
      <c r="H151" s="301">
        <v>0</v>
      </c>
      <c r="I151" s="301">
        <v>0</v>
      </c>
      <c r="J151" s="301">
        <v>0</v>
      </c>
      <c r="K151" s="302">
        <v>0</v>
      </c>
      <c r="L151" s="301">
        <v>0</v>
      </c>
      <c r="M151" s="301">
        <v>0</v>
      </c>
      <c r="N151" s="301">
        <v>0</v>
      </c>
      <c r="O151" s="301">
        <v>0</v>
      </c>
      <c r="P151" s="301">
        <v>0</v>
      </c>
      <c r="Q151" s="301">
        <v>0</v>
      </c>
      <c r="R151" s="301">
        <v>0</v>
      </c>
      <c r="S151" s="301">
        <v>0</v>
      </c>
      <c r="T151" s="301">
        <v>0</v>
      </c>
      <c r="U151" s="301">
        <v>0</v>
      </c>
      <c r="V151" s="301">
        <v>0</v>
      </c>
      <c r="W151" s="301">
        <v>0</v>
      </c>
      <c r="X151" s="301">
        <v>0</v>
      </c>
      <c r="Y151" s="301">
        <v>0</v>
      </c>
      <c r="Z151" s="301">
        <v>0</v>
      </c>
      <c r="AA151" s="301">
        <v>0</v>
      </c>
      <c r="AB151" s="303">
        <v>2020</v>
      </c>
    </row>
    <row r="152" spans="1:28" ht="35.25" customHeight="1" x14ac:dyDescent="0.5">
      <c r="A152">
        <v>1</v>
      </c>
      <c r="B152" s="80">
        <f>SUBTOTAL(103,$A$9:A152)</f>
        <v>143</v>
      </c>
      <c r="C152" s="300" t="s">
        <v>1879</v>
      </c>
      <c r="D152" s="296">
        <f t="shared" si="5"/>
        <v>279930.7</v>
      </c>
      <c r="E152" s="301">
        <v>0</v>
      </c>
      <c r="F152" s="301">
        <v>0</v>
      </c>
      <c r="G152" s="301">
        <v>0</v>
      </c>
      <c r="H152" s="301">
        <v>0</v>
      </c>
      <c r="I152" s="301">
        <v>0</v>
      </c>
      <c r="J152" s="301">
        <v>0</v>
      </c>
      <c r="K152" s="302">
        <v>0</v>
      </c>
      <c r="L152" s="301">
        <v>0</v>
      </c>
      <c r="M152" s="301">
        <v>0</v>
      </c>
      <c r="N152" s="301">
        <v>0</v>
      </c>
      <c r="O152" s="301">
        <f>259971+19959.7</f>
        <v>279930.7</v>
      </c>
      <c r="P152" s="301">
        <v>0</v>
      </c>
      <c r="Q152" s="301">
        <v>0</v>
      </c>
      <c r="R152" s="301">
        <v>0</v>
      </c>
      <c r="S152" s="301">
        <v>0</v>
      </c>
      <c r="T152" s="301">
        <v>0</v>
      </c>
      <c r="U152" s="301">
        <v>0</v>
      </c>
      <c r="V152" s="301">
        <v>0</v>
      </c>
      <c r="W152" s="301">
        <v>0</v>
      </c>
      <c r="X152" s="301">
        <v>0</v>
      </c>
      <c r="Y152" s="301">
        <v>0</v>
      </c>
      <c r="Z152" s="301">
        <v>0</v>
      </c>
      <c r="AA152" s="301">
        <v>0</v>
      </c>
      <c r="AB152" s="303">
        <v>2020</v>
      </c>
    </row>
    <row r="153" spans="1:28" ht="35.25" customHeight="1" x14ac:dyDescent="0.5">
      <c r="A153">
        <v>1</v>
      </c>
      <c r="B153" s="80">
        <f>SUBTOTAL(103,$A$9:A153)</f>
        <v>144</v>
      </c>
      <c r="C153" s="300" t="s">
        <v>1880</v>
      </c>
      <c r="D153" s="296">
        <f t="shared" si="5"/>
        <v>1403305.8</v>
      </c>
      <c r="E153" s="301">
        <v>0</v>
      </c>
      <c r="F153" s="301">
        <v>0</v>
      </c>
      <c r="G153" s="301">
        <v>0</v>
      </c>
      <c r="H153" s="301">
        <v>0</v>
      </c>
      <c r="I153" s="301">
        <v>0</v>
      </c>
      <c r="J153" s="301">
        <v>0</v>
      </c>
      <c r="K153" s="302">
        <v>0</v>
      </c>
      <c r="L153" s="301">
        <v>0</v>
      </c>
      <c r="M153" s="301">
        <v>0</v>
      </c>
      <c r="N153" s="301">
        <v>0</v>
      </c>
      <c r="O153" s="301">
        <v>1403305.8</v>
      </c>
      <c r="P153" s="301">
        <v>0</v>
      </c>
      <c r="Q153" s="301">
        <v>0</v>
      </c>
      <c r="R153" s="301">
        <v>0</v>
      </c>
      <c r="S153" s="301">
        <v>0</v>
      </c>
      <c r="T153" s="301">
        <v>0</v>
      </c>
      <c r="U153" s="301">
        <v>0</v>
      </c>
      <c r="V153" s="301">
        <v>0</v>
      </c>
      <c r="W153" s="301">
        <v>0</v>
      </c>
      <c r="X153" s="301">
        <v>0</v>
      </c>
      <c r="Y153" s="301">
        <v>0</v>
      </c>
      <c r="Z153" s="301">
        <v>0</v>
      </c>
      <c r="AA153" s="301">
        <v>0</v>
      </c>
      <c r="AB153" s="303">
        <v>2020</v>
      </c>
    </row>
    <row r="154" spans="1:28" ht="35.25" customHeight="1" x14ac:dyDescent="0.5">
      <c r="A154">
        <v>1</v>
      </c>
      <c r="B154" s="80">
        <f>SUBTOTAL(103,$A$9:A154)</f>
        <v>145</v>
      </c>
      <c r="C154" s="300" t="s">
        <v>1631</v>
      </c>
      <c r="D154" s="296">
        <f t="shared" si="5"/>
        <v>7398819</v>
      </c>
      <c r="E154" s="301">
        <v>0</v>
      </c>
      <c r="F154" s="301">
        <v>0</v>
      </c>
      <c r="G154" s="301">
        <v>0</v>
      </c>
      <c r="H154" s="301">
        <v>0</v>
      </c>
      <c r="I154" s="301">
        <v>0</v>
      </c>
      <c r="J154" s="301">
        <v>0</v>
      </c>
      <c r="K154" s="302">
        <v>7</v>
      </c>
      <c r="L154" s="301">
        <v>1200000</v>
      </c>
      <c r="M154" s="301">
        <v>4954168</v>
      </c>
      <c r="N154" s="301">
        <v>0</v>
      </c>
      <c r="O154" s="301">
        <v>1244651</v>
      </c>
      <c r="P154" s="301">
        <v>0</v>
      </c>
      <c r="Q154" s="301">
        <v>0</v>
      </c>
      <c r="R154" s="301">
        <v>0</v>
      </c>
      <c r="S154" s="301">
        <v>0</v>
      </c>
      <c r="T154" s="301">
        <v>0</v>
      </c>
      <c r="U154" s="301">
        <v>0</v>
      </c>
      <c r="V154" s="301">
        <v>0</v>
      </c>
      <c r="W154" s="301">
        <v>0</v>
      </c>
      <c r="X154" s="301">
        <v>0</v>
      </c>
      <c r="Y154" s="301">
        <v>0</v>
      </c>
      <c r="Z154" s="301">
        <v>0</v>
      </c>
      <c r="AA154" s="301">
        <v>0</v>
      </c>
      <c r="AB154" s="303">
        <v>2020</v>
      </c>
    </row>
    <row r="155" spans="1:28" ht="35.25" customHeight="1" x14ac:dyDescent="0.5">
      <c r="A155">
        <v>1</v>
      </c>
      <c r="B155" s="80">
        <f>SUBTOTAL(103,$A$9:A155)</f>
        <v>146</v>
      </c>
      <c r="C155" s="300" t="s">
        <v>1881</v>
      </c>
      <c r="D155" s="296">
        <f t="shared" si="5"/>
        <v>1079600</v>
      </c>
      <c r="E155" s="301">
        <v>0</v>
      </c>
      <c r="F155" s="301">
        <v>0</v>
      </c>
      <c r="G155" s="301">
        <v>0</v>
      </c>
      <c r="H155" s="301">
        <v>0</v>
      </c>
      <c r="I155" s="301">
        <v>0</v>
      </c>
      <c r="J155" s="301">
        <v>0</v>
      </c>
      <c r="K155" s="302">
        <v>0</v>
      </c>
      <c r="L155" s="301">
        <v>0</v>
      </c>
      <c r="M155" s="301">
        <v>1079600</v>
      </c>
      <c r="N155" s="301">
        <v>0</v>
      </c>
      <c r="O155" s="301">
        <v>0</v>
      </c>
      <c r="P155" s="301">
        <v>0</v>
      </c>
      <c r="Q155" s="301">
        <v>0</v>
      </c>
      <c r="R155" s="301">
        <v>0</v>
      </c>
      <c r="S155" s="301">
        <v>0</v>
      </c>
      <c r="T155" s="301">
        <v>0</v>
      </c>
      <c r="U155" s="301">
        <v>0</v>
      </c>
      <c r="V155" s="301">
        <v>0</v>
      </c>
      <c r="W155" s="301">
        <v>0</v>
      </c>
      <c r="X155" s="301">
        <v>0</v>
      </c>
      <c r="Y155" s="301">
        <v>0</v>
      </c>
      <c r="Z155" s="301">
        <v>0</v>
      </c>
      <c r="AA155" s="301">
        <v>0</v>
      </c>
      <c r="AB155" s="303">
        <v>2020</v>
      </c>
    </row>
    <row r="156" spans="1:28" ht="35.25" customHeight="1" x14ac:dyDescent="0.5">
      <c r="A156">
        <v>1</v>
      </c>
      <c r="B156" s="80">
        <f>SUBTOTAL(103,$A$9:A156)</f>
        <v>147</v>
      </c>
      <c r="C156" s="300" t="s">
        <v>1882</v>
      </c>
      <c r="D156" s="296">
        <f t="shared" si="5"/>
        <v>285704</v>
      </c>
      <c r="E156" s="301">
        <v>0</v>
      </c>
      <c r="F156" s="301">
        <v>0</v>
      </c>
      <c r="G156" s="301">
        <v>0</v>
      </c>
      <c r="H156" s="301">
        <v>0</v>
      </c>
      <c r="I156" s="301">
        <v>0</v>
      </c>
      <c r="J156" s="301">
        <v>0</v>
      </c>
      <c r="K156" s="302">
        <v>0</v>
      </c>
      <c r="L156" s="301">
        <v>0</v>
      </c>
      <c r="M156" s="301">
        <v>0</v>
      </c>
      <c r="N156" s="301">
        <v>68000</v>
      </c>
      <c r="O156" s="301">
        <v>217704</v>
      </c>
      <c r="P156" s="301">
        <v>0</v>
      </c>
      <c r="Q156" s="301">
        <v>0</v>
      </c>
      <c r="R156" s="301">
        <v>0</v>
      </c>
      <c r="S156" s="301">
        <v>0</v>
      </c>
      <c r="T156" s="301">
        <v>0</v>
      </c>
      <c r="U156" s="301">
        <v>0</v>
      </c>
      <c r="V156" s="301">
        <v>0</v>
      </c>
      <c r="W156" s="301">
        <v>0</v>
      </c>
      <c r="X156" s="301">
        <v>0</v>
      </c>
      <c r="Y156" s="301">
        <v>0</v>
      </c>
      <c r="Z156" s="301">
        <v>0</v>
      </c>
      <c r="AA156" s="301">
        <v>0</v>
      </c>
      <c r="AB156" s="303">
        <v>2020</v>
      </c>
    </row>
    <row r="157" spans="1:28" ht="35.25" customHeight="1" x14ac:dyDescent="0.5">
      <c r="A157">
        <v>1</v>
      </c>
      <c r="B157" s="80">
        <f>SUBTOTAL(103,$A$9:A157)</f>
        <v>148</v>
      </c>
      <c r="C157" s="300" t="s">
        <v>1883</v>
      </c>
      <c r="D157" s="296">
        <f t="shared" si="5"/>
        <v>165037</v>
      </c>
      <c r="E157" s="301">
        <v>0</v>
      </c>
      <c r="F157" s="301">
        <v>165037</v>
      </c>
      <c r="G157" s="301">
        <v>0</v>
      </c>
      <c r="H157" s="301">
        <v>0</v>
      </c>
      <c r="I157" s="301">
        <v>0</v>
      </c>
      <c r="J157" s="301">
        <v>0</v>
      </c>
      <c r="K157" s="302">
        <v>0</v>
      </c>
      <c r="L157" s="301">
        <v>0</v>
      </c>
      <c r="M157" s="301">
        <v>0</v>
      </c>
      <c r="N157" s="301">
        <v>0</v>
      </c>
      <c r="O157" s="301">
        <v>0</v>
      </c>
      <c r="P157" s="301">
        <v>0</v>
      </c>
      <c r="Q157" s="301">
        <v>0</v>
      </c>
      <c r="R157" s="301">
        <v>0</v>
      </c>
      <c r="S157" s="301">
        <v>0</v>
      </c>
      <c r="T157" s="301">
        <v>0</v>
      </c>
      <c r="U157" s="301">
        <v>0</v>
      </c>
      <c r="V157" s="301">
        <v>0</v>
      </c>
      <c r="W157" s="301">
        <v>0</v>
      </c>
      <c r="X157" s="301">
        <v>0</v>
      </c>
      <c r="Y157" s="301">
        <v>0</v>
      </c>
      <c r="Z157" s="301">
        <v>0</v>
      </c>
      <c r="AA157" s="301">
        <v>0</v>
      </c>
      <c r="AB157" s="303">
        <v>2020</v>
      </c>
    </row>
    <row r="158" spans="1:28" ht="35.25" customHeight="1" x14ac:dyDescent="0.5">
      <c r="A158">
        <v>1</v>
      </c>
      <c r="B158" s="80">
        <f>SUBTOTAL(103,$A$9:A158)</f>
        <v>149</v>
      </c>
      <c r="C158" s="300" t="s">
        <v>1884</v>
      </c>
      <c r="D158" s="296">
        <f t="shared" si="5"/>
        <v>589000</v>
      </c>
      <c r="E158" s="301">
        <v>0</v>
      </c>
      <c r="F158" s="301">
        <v>0</v>
      </c>
      <c r="G158" s="301">
        <v>0</v>
      </c>
      <c r="H158" s="301">
        <v>0</v>
      </c>
      <c r="I158" s="301">
        <v>589000</v>
      </c>
      <c r="J158" s="301">
        <v>0</v>
      </c>
      <c r="K158" s="302">
        <v>0</v>
      </c>
      <c r="L158" s="301">
        <v>0</v>
      </c>
      <c r="M158" s="301">
        <v>0</v>
      </c>
      <c r="N158" s="301">
        <v>0</v>
      </c>
      <c r="O158" s="301">
        <v>0</v>
      </c>
      <c r="P158" s="301">
        <v>0</v>
      </c>
      <c r="Q158" s="301">
        <v>0</v>
      </c>
      <c r="R158" s="301">
        <v>0</v>
      </c>
      <c r="S158" s="301">
        <v>0</v>
      </c>
      <c r="T158" s="301">
        <v>0</v>
      </c>
      <c r="U158" s="301">
        <v>0</v>
      </c>
      <c r="V158" s="301">
        <v>0</v>
      </c>
      <c r="W158" s="301">
        <v>0</v>
      </c>
      <c r="X158" s="301">
        <v>0</v>
      </c>
      <c r="Y158" s="301">
        <v>0</v>
      </c>
      <c r="Z158" s="301">
        <v>0</v>
      </c>
      <c r="AA158" s="301">
        <v>0</v>
      </c>
      <c r="AB158" s="303">
        <v>2020</v>
      </c>
    </row>
    <row r="159" spans="1:28" ht="35.25" customHeight="1" x14ac:dyDescent="0.5">
      <c r="A159">
        <v>1</v>
      </c>
      <c r="B159" s="80">
        <f>SUBTOTAL(103,$A$9:A159)</f>
        <v>150</v>
      </c>
      <c r="C159" s="300" t="s">
        <v>1885</v>
      </c>
      <c r="D159" s="296">
        <f t="shared" si="5"/>
        <v>2370868.27</v>
      </c>
      <c r="E159" s="301">
        <v>0</v>
      </c>
      <c r="F159" s="301">
        <v>298952.02</v>
      </c>
      <c r="G159" s="301">
        <v>1793579.5499999998</v>
      </c>
      <c r="H159" s="301">
        <v>278336.7</v>
      </c>
      <c r="I159" s="301">
        <v>0</v>
      </c>
      <c r="J159" s="301">
        <v>0</v>
      </c>
      <c r="K159" s="302">
        <v>0</v>
      </c>
      <c r="L159" s="301">
        <v>0</v>
      </c>
      <c r="M159" s="301">
        <v>0</v>
      </c>
      <c r="N159" s="301">
        <v>0</v>
      </c>
      <c r="O159" s="301">
        <v>0</v>
      </c>
      <c r="P159" s="301">
        <v>0</v>
      </c>
      <c r="Q159" s="301">
        <v>0</v>
      </c>
      <c r="R159" s="301">
        <v>0</v>
      </c>
      <c r="S159" s="301">
        <v>0</v>
      </c>
      <c r="T159" s="301">
        <v>0</v>
      </c>
      <c r="U159" s="301">
        <v>0</v>
      </c>
      <c r="V159" s="301">
        <v>0</v>
      </c>
      <c r="W159" s="301">
        <v>0</v>
      </c>
      <c r="X159" s="301">
        <v>0</v>
      </c>
      <c r="Y159" s="301">
        <v>0</v>
      </c>
      <c r="Z159" s="301">
        <v>0</v>
      </c>
      <c r="AA159" s="301">
        <v>0</v>
      </c>
      <c r="AB159" s="303">
        <v>2020</v>
      </c>
    </row>
    <row r="160" spans="1:28" ht="35.25" customHeight="1" x14ac:dyDescent="0.5">
      <c r="A160">
        <v>1</v>
      </c>
      <c r="B160" s="80">
        <f>SUBTOTAL(103,$A$9:A160)</f>
        <v>151</v>
      </c>
      <c r="C160" s="300" t="s">
        <v>1886</v>
      </c>
      <c r="D160" s="296">
        <f t="shared" si="5"/>
        <v>758999.85</v>
      </c>
      <c r="E160" s="301">
        <v>0</v>
      </c>
      <c r="F160" s="301">
        <v>0</v>
      </c>
      <c r="G160" s="301">
        <v>0</v>
      </c>
      <c r="H160" s="301">
        <v>0</v>
      </c>
      <c r="I160" s="301">
        <v>0</v>
      </c>
      <c r="J160" s="301">
        <v>0</v>
      </c>
      <c r="K160" s="302">
        <v>0</v>
      </c>
      <c r="L160" s="301">
        <v>0</v>
      </c>
      <c r="M160" s="301">
        <v>758999.85</v>
      </c>
      <c r="N160" s="301">
        <v>0</v>
      </c>
      <c r="O160" s="301">
        <v>0</v>
      </c>
      <c r="P160" s="301">
        <v>0</v>
      </c>
      <c r="Q160" s="301">
        <v>0</v>
      </c>
      <c r="R160" s="301">
        <v>0</v>
      </c>
      <c r="S160" s="301">
        <v>0</v>
      </c>
      <c r="T160" s="301">
        <v>0</v>
      </c>
      <c r="U160" s="301">
        <v>0</v>
      </c>
      <c r="V160" s="301">
        <v>0</v>
      </c>
      <c r="W160" s="301">
        <v>0</v>
      </c>
      <c r="X160" s="301">
        <v>0</v>
      </c>
      <c r="Y160" s="301">
        <v>0</v>
      </c>
      <c r="Z160" s="301">
        <v>0</v>
      </c>
      <c r="AA160" s="301">
        <v>0</v>
      </c>
      <c r="AB160" s="303">
        <v>2020</v>
      </c>
    </row>
    <row r="161" spans="1:28" ht="35.25" customHeight="1" x14ac:dyDescent="0.5">
      <c r="A161">
        <v>1</v>
      </c>
      <c r="B161" s="80">
        <f>SUBTOTAL(103,$A$9:A161)</f>
        <v>152</v>
      </c>
      <c r="C161" s="300" t="s">
        <v>1887</v>
      </c>
      <c r="D161" s="296">
        <f t="shared" si="5"/>
        <v>214233.77000000002</v>
      </c>
      <c r="E161" s="301">
        <v>0</v>
      </c>
      <c r="F161" s="301">
        <v>0</v>
      </c>
      <c r="G161" s="301">
        <v>214233.77000000002</v>
      </c>
      <c r="H161" s="301">
        <v>0</v>
      </c>
      <c r="I161" s="301">
        <v>0</v>
      </c>
      <c r="J161" s="301">
        <v>0</v>
      </c>
      <c r="K161" s="302">
        <v>0</v>
      </c>
      <c r="L161" s="301">
        <v>0</v>
      </c>
      <c r="M161" s="301">
        <v>0</v>
      </c>
      <c r="N161" s="301">
        <v>0</v>
      </c>
      <c r="O161" s="301">
        <v>0</v>
      </c>
      <c r="P161" s="301">
        <v>0</v>
      </c>
      <c r="Q161" s="301">
        <v>0</v>
      </c>
      <c r="R161" s="301">
        <v>0</v>
      </c>
      <c r="S161" s="301">
        <v>0</v>
      </c>
      <c r="T161" s="301">
        <v>0</v>
      </c>
      <c r="U161" s="301">
        <v>0</v>
      </c>
      <c r="V161" s="301">
        <v>0</v>
      </c>
      <c r="W161" s="301">
        <v>0</v>
      </c>
      <c r="X161" s="301">
        <v>0</v>
      </c>
      <c r="Y161" s="301">
        <v>0</v>
      </c>
      <c r="Z161" s="301">
        <v>0</v>
      </c>
      <c r="AA161" s="301">
        <v>0</v>
      </c>
      <c r="AB161" s="303">
        <v>2020</v>
      </c>
    </row>
    <row r="162" spans="1:28" ht="35.25" customHeight="1" x14ac:dyDescent="0.5">
      <c r="A162">
        <v>1</v>
      </c>
      <c r="B162" s="80">
        <f>SUBTOTAL(103,$A$9:A162)</f>
        <v>153</v>
      </c>
      <c r="C162" s="300" t="s">
        <v>1888</v>
      </c>
      <c r="D162" s="296">
        <f t="shared" si="5"/>
        <v>512800</v>
      </c>
      <c r="E162" s="301">
        <v>0</v>
      </c>
      <c r="F162" s="301">
        <v>0</v>
      </c>
      <c r="G162" s="301">
        <v>0</v>
      </c>
      <c r="H162" s="301">
        <v>0</v>
      </c>
      <c r="I162" s="301">
        <v>0</v>
      </c>
      <c r="J162" s="301">
        <v>0</v>
      </c>
      <c r="K162" s="302">
        <v>0</v>
      </c>
      <c r="L162" s="301">
        <v>0</v>
      </c>
      <c r="M162" s="301">
        <v>0</v>
      </c>
      <c r="N162" s="301">
        <v>0</v>
      </c>
      <c r="O162" s="301">
        <v>512800</v>
      </c>
      <c r="P162" s="301">
        <v>0</v>
      </c>
      <c r="Q162" s="301">
        <v>0</v>
      </c>
      <c r="R162" s="301">
        <v>0</v>
      </c>
      <c r="S162" s="301">
        <v>0</v>
      </c>
      <c r="T162" s="301">
        <v>0</v>
      </c>
      <c r="U162" s="301">
        <v>0</v>
      </c>
      <c r="V162" s="301">
        <v>0</v>
      </c>
      <c r="W162" s="301">
        <v>0</v>
      </c>
      <c r="X162" s="301">
        <v>0</v>
      </c>
      <c r="Y162" s="301">
        <v>0</v>
      </c>
      <c r="Z162" s="301">
        <v>0</v>
      </c>
      <c r="AA162" s="301">
        <v>0</v>
      </c>
      <c r="AB162" s="303">
        <v>2020</v>
      </c>
    </row>
    <row r="163" spans="1:28" ht="35.25" customHeight="1" x14ac:dyDescent="0.5">
      <c r="A163">
        <v>1</v>
      </c>
      <c r="B163" s="80">
        <f>SUBTOTAL(103,$A$9:A163)</f>
        <v>154</v>
      </c>
      <c r="C163" s="300" t="s">
        <v>1889</v>
      </c>
      <c r="D163" s="296">
        <f t="shared" si="5"/>
        <v>222265</v>
      </c>
      <c r="E163" s="301">
        <v>0</v>
      </c>
      <c r="F163" s="301">
        <v>0</v>
      </c>
      <c r="G163" s="301">
        <v>0</v>
      </c>
      <c r="H163" s="301">
        <v>0</v>
      </c>
      <c r="I163" s="301">
        <v>0</v>
      </c>
      <c r="J163" s="301">
        <v>0</v>
      </c>
      <c r="K163" s="302">
        <v>0</v>
      </c>
      <c r="L163" s="301">
        <v>0</v>
      </c>
      <c r="M163" s="301">
        <v>0</v>
      </c>
      <c r="N163" s="301">
        <v>186025</v>
      </c>
      <c r="O163" s="301">
        <v>36240</v>
      </c>
      <c r="P163" s="301">
        <v>0</v>
      </c>
      <c r="Q163" s="301">
        <v>0</v>
      </c>
      <c r="R163" s="301">
        <v>0</v>
      </c>
      <c r="S163" s="301">
        <v>0</v>
      </c>
      <c r="T163" s="301">
        <v>0</v>
      </c>
      <c r="U163" s="301">
        <v>0</v>
      </c>
      <c r="V163" s="301">
        <v>0</v>
      </c>
      <c r="W163" s="301">
        <v>0</v>
      </c>
      <c r="X163" s="301">
        <v>0</v>
      </c>
      <c r="Y163" s="301">
        <v>0</v>
      </c>
      <c r="Z163" s="301">
        <v>0</v>
      </c>
      <c r="AA163" s="301">
        <v>0</v>
      </c>
      <c r="AB163" s="303">
        <v>2020</v>
      </c>
    </row>
    <row r="164" spans="1:28" ht="35.25" customHeight="1" x14ac:dyDescent="0.5">
      <c r="A164">
        <v>1</v>
      </c>
      <c r="B164" s="80">
        <f>SUBTOTAL(103,$A$9:A164)</f>
        <v>155</v>
      </c>
      <c r="C164" s="300" t="s">
        <v>1890</v>
      </c>
      <c r="D164" s="296">
        <f t="shared" si="5"/>
        <v>204454</v>
      </c>
      <c r="E164" s="301">
        <v>48377</v>
      </c>
      <c r="F164" s="301">
        <v>48377</v>
      </c>
      <c r="G164" s="301">
        <v>107700</v>
      </c>
      <c r="H164" s="301">
        <v>0</v>
      </c>
      <c r="I164" s="301">
        <v>0</v>
      </c>
      <c r="J164" s="301">
        <v>0</v>
      </c>
      <c r="K164" s="302">
        <v>0</v>
      </c>
      <c r="L164" s="301">
        <v>0</v>
      </c>
      <c r="M164" s="301">
        <v>0</v>
      </c>
      <c r="N164" s="301">
        <v>0</v>
      </c>
      <c r="O164" s="301">
        <v>0</v>
      </c>
      <c r="P164" s="301">
        <v>0</v>
      </c>
      <c r="Q164" s="301">
        <v>0</v>
      </c>
      <c r="R164" s="301">
        <v>0</v>
      </c>
      <c r="S164" s="301">
        <v>0</v>
      </c>
      <c r="T164" s="301">
        <v>0</v>
      </c>
      <c r="U164" s="301">
        <v>0</v>
      </c>
      <c r="V164" s="301">
        <v>0</v>
      </c>
      <c r="W164" s="301">
        <v>0</v>
      </c>
      <c r="X164" s="301">
        <v>0</v>
      </c>
      <c r="Y164" s="301">
        <v>0</v>
      </c>
      <c r="Z164" s="301">
        <v>0</v>
      </c>
      <c r="AA164" s="301">
        <v>0</v>
      </c>
      <c r="AB164" s="303">
        <v>2020</v>
      </c>
    </row>
    <row r="165" spans="1:28" ht="35.25" customHeight="1" x14ac:dyDescent="0.5">
      <c r="A165">
        <v>1</v>
      </c>
      <c r="B165" s="80">
        <f>SUBTOTAL(103,$A$9:A165)</f>
        <v>156</v>
      </c>
      <c r="C165" s="300" t="s">
        <v>1891</v>
      </c>
      <c r="D165" s="296">
        <f t="shared" si="5"/>
        <v>143710.21</v>
      </c>
      <c r="E165" s="301">
        <v>143710.21</v>
      </c>
      <c r="F165" s="301">
        <v>0</v>
      </c>
      <c r="G165" s="301">
        <v>0</v>
      </c>
      <c r="H165" s="301">
        <v>0</v>
      </c>
      <c r="I165" s="301">
        <v>0</v>
      </c>
      <c r="J165" s="301">
        <v>0</v>
      </c>
      <c r="K165" s="302">
        <v>0</v>
      </c>
      <c r="L165" s="301">
        <v>0</v>
      </c>
      <c r="M165" s="301">
        <v>0</v>
      </c>
      <c r="N165" s="301">
        <v>0</v>
      </c>
      <c r="O165" s="301">
        <v>0</v>
      </c>
      <c r="P165" s="301">
        <v>0</v>
      </c>
      <c r="Q165" s="301">
        <v>0</v>
      </c>
      <c r="R165" s="301">
        <v>0</v>
      </c>
      <c r="S165" s="301">
        <v>0</v>
      </c>
      <c r="T165" s="301">
        <v>0</v>
      </c>
      <c r="U165" s="301">
        <v>0</v>
      </c>
      <c r="V165" s="301">
        <v>0</v>
      </c>
      <c r="W165" s="301">
        <v>0</v>
      </c>
      <c r="X165" s="301">
        <v>0</v>
      </c>
      <c r="Y165" s="301">
        <v>0</v>
      </c>
      <c r="Z165" s="301">
        <v>0</v>
      </c>
      <c r="AA165" s="301">
        <v>0</v>
      </c>
      <c r="AB165" s="303">
        <v>2020</v>
      </c>
    </row>
    <row r="166" spans="1:28" ht="35.25" customHeight="1" x14ac:dyDescent="0.5">
      <c r="A166">
        <v>1</v>
      </c>
      <c r="B166" s="80">
        <f>SUBTOTAL(103,$A$9:A166)</f>
        <v>157</v>
      </c>
      <c r="C166" s="300" t="s">
        <v>1892</v>
      </c>
      <c r="D166" s="296">
        <f t="shared" si="5"/>
        <v>129672.73</v>
      </c>
      <c r="E166" s="301">
        <v>0</v>
      </c>
      <c r="F166" s="301">
        <v>0</v>
      </c>
      <c r="G166" s="301">
        <v>0</v>
      </c>
      <c r="H166" s="301">
        <v>0</v>
      </c>
      <c r="I166" s="301">
        <v>0</v>
      </c>
      <c r="J166" s="301">
        <v>0</v>
      </c>
      <c r="K166" s="302">
        <v>0</v>
      </c>
      <c r="L166" s="301">
        <v>0</v>
      </c>
      <c r="M166" s="301">
        <v>0</v>
      </c>
      <c r="N166" s="301">
        <v>0</v>
      </c>
      <c r="O166" s="301">
        <v>129672.73</v>
      </c>
      <c r="P166" s="301">
        <v>0</v>
      </c>
      <c r="Q166" s="301">
        <v>0</v>
      </c>
      <c r="R166" s="301">
        <v>0</v>
      </c>
      <c r="S166" s="301">
        <v>0</v>
      </c>
      <c r="T166" s="301">
        <v>0</v>
      </c>
      <c r="U166" s="301">
        <v>0</v>
      </c>
      <c r="V166" s="301">
        <v>0</v>
      </c>
      <c r="W166" s="301">
        <v>0</v>
      </c>
      <c r="X166" s="301">
        <v>0</v>
      </c>
      <c r="Y166" s="301">
        <v>0</v>
      </c>
      <c r="Z166" s="301">
        <v>0</v>
      </c>
      <c r="AA166" s="301">
        <v>0</v>
      </c>
      <c r="AB166" s="303">
        <v>2020</v>
      </c>
    </row>
    <row r="167" spans="1:28" ht="35.25" customHeight="1" x14ac:dyDescent="0.5">
      <c r="A167">
        <v>1</v>
      </c>
      <c r="B167" s="80">
        <f>SUBTOTAL(103,$A$9:A167)</f>
        <v>158</v>
      </c>
      <c r="C167" s="300" t="s">
        <v>1893</v>
      </c>
      <c r="D167" s="296">
        <f t="shared" si="5"/>
        <v>338000</v>
      </c>
      <c r="E167" s="301">
        <v>0</v>
      </c>
      <c r="F167" s="301">
        <v>0</v>
      </c>
      <c r="G167" s="301">
        <v>0</v>
      </c>
      <c r="H167" s="301">
        <v>0</v>
      </c>
      <c r="I167" s="301">
        <v>0</v>
      </c>
      <c r="J167" s="301">
        <v>0</v>
      </c>
      <c r="K167" s="302">
        <v>0</v>
      </c>
      <c r="L167" s="301">
        <v>0</v>
      </c>
      <c r="M167" s="301">
        <v>0</v>
      </c>
      <c r="N167" s="301">
        <v>0</v>
      </c>
      <c r="O167" s="301">
        <v>338000</v>
      </c>
      <c r="P167" s="301">
        <v>0</v>
      </c>
      <c r="Q167" s="301">
        <v>0</v>
      </c>
      <c r="R167" s="301">
        <v>0</v>
      </c>
      <c r="S167" s="301">
        <v>0</v>
      </c>
      <c r="T167" s="301">
        <v>0</v>
      </c>
      <c r="U167" s="301">
        <v>0</v>
      </c>
      <c r="V167" s="301">
        <v>0</v>
      </c>
      <c r="W167" s="301">
        <v>0</v>
      </c>
      <c r="X167" s="301">
        <v>0</v>
      </c>
      <c r="Y167" s="301">
        <v>0</v>
      </c>
      <c r="Z167" s="301">
        <v>0</v>
      </c>
      <c r="AA167" s="301">
        <v>0</v>
      </c>
      <c r="AB167" s="303">
        <v>2020</v>
      </c>
    </row>
    <row r="168" spans="1:28" ht="35.25" customHeight="1" x14ac:dyDescent="0.5">
      <c r="A168">
        <v>1</v>
      </c>
      <c r="B168" s="80">
        <f>SUBTOTAL(103,$A$9:A168)</f>
        <v>159</v>
      </c>
      <c r="C168" s="300" t="s">
        <v>1894</v>
      </c>
      <c r="D168" s="296">
        <f t="shared" si="5"/>
        <v>232842.47</v>
      </c>
      <c r="E168" s="301">
        <v>0</v>
      </c>
      <c r="F168" s="301">
        <v>0</v>
      </c>
      <c r="G168" s="301">
        <v>0</v>
      </c>
      <c r="H168" s="301">
        <v>0</v>
      </c>
      <c r="I168" s="301">
        <v>0</v>
      </c>
      <c r="J168" s="301">
        <v>0</v>
      </c>
      <c r="K168" s="302">
        <v>0</v>
      </c>
      <c r="L168" s="301">
        <v>0</v>
      </c>
      <c r="M168" s="301">
        <v>0</v>
      </c>
      <c r="N168" s="301">
        <v>0</v>
      </c>
      <c r="O168" s="301">
        <v>232842.47</v>
      </c>
      <c r="P168" s="301">
        <v>0</v>
      </c>
      <c r="Q168" s="301">
        <v>0</v>
      </c>
      <c r="R168" s="301">
        <v>0</v>
      </c>
      <c r="S168" s="301">
        <v>0</v>
      </c>
      <c r="T168" s="301">
        <v>0</v>
      </c>
      <c r="U168" s="301">
        <v>0</v>
      </c>
      <c r="V168" s="301">
        <v>0</v>
      </c>
      <c r="W168" s="301">
        <v>0</v>
      </c>
      <c r="X168" s="301">
        <v>0</v>
      </c>
      <c r="Y168" s="301">
        <v>0</v>
      </c>
      <c r="Z168" s="301">
        <v>0</v>
      </c>
      <c r="AA168" s="301">
        <v>0</v>
      </c>
      <c r="AB168" s="303">
        <v>2020</v>
      </c>
    </row>
    <row r="169" spans="1:28" ht="35.25" customHeight="1" x14ac:dyDescent="0.5">
      <c r="A169">
        <v>1</v>
      </c>
      <c r="B169" s="80">
        <f>SUBTOTAL(103,$A$9:A169)</f>
        <v>160</v>
      </c>
      <c r="C169" s="300" t="s">
        <v>1895</v>
      </c>
      <c r="D169" s="296">
        <f t="shared" si="5"/>
        <v>1004030</v>
      </c>
      <c r="E169" s="301">
        <v>0</v>
      </c>
      <c r="F169" s="301">
        <v>0</v>
      </c>
      <c r="G169" s="301">
        <v>0</v>
      </c>
      <c r="H169" s="301">
        <v>0</v>
      </c>
      <c r="I169" s="301">
        <v>0</v>
      </c>
      <c r="J169" s="301">
        <v>0</v>
      </c>
      <c r="K169" s="302">
        <v>0</v>
      </c>
      <c r="L169" s="301">
        <v>0</v>
      </c>
      <c r="M169" s="301">
        <v>1004030</v>
      </c>
      <c r="N169" s="301">
        <v>0</v>
      </c>
      <c r="O169" s="301">
        <v>0</v>
      </c>
      <c r="P169" s="301">
        <v>0</v>
      </c>
      <c r="Q169" s="301">
        <v>0</v>
      </c>
      <c r="R169" s="301">
        <v>0</v>
      </c>
      <c r="S169" s="301">
        <v>0</v>
      </c>
      <c r="T169" s="301">
        <v>0</v>
      </c>
      <c r="U169" s="301">
        <v>0</v>
      </c>
      <c r="V169" s="301">
        <v>0</v>
      </c>
      <c r="W169" s="301">
        <v>0</v>
      </c>
      <c r="X169" s="301">
        <v>0</v>
      </c>
      <c r="Y169" s="301">
        <v>0</v>
      </c>
      <c r="Z169" s="301">
        <v>0</v>
      </c>
      <c r="AA169" s="301">
        <v>0</v>
      </c>
      <c r="AB169" s="303">
        <v>2020</v>
      </c>
    </row>
    <row r="170" spans="1:28" ht="35.25" customHeight="1" x14ac:dyDescent="0.5">
      <c r="A170">
        <v>1</v>
      </c>
      <c r="B170" s="80">
        <f>SUBTOTAL(103,$A$9:A170)</f>
        <v>161</v>
      </c>
      <c r="C170" s="300" t="s">
        <v>1896</v>
      </c>
      <c r="D170" s="296">
        <f t="shared" si="5"/>
        <v>533500</v>
      </c>
      <c r="E170" s="301">
        <v>0</v>
      </c>
      <c r="F170" s="301">
        <v>0</v>
      </c>
      <c r="G170" s="301">
        <v>0</v>
      </c>
      <c r="H170" s="301">
        <v>0</v>
      </c>
      <c r="I170" s="301">
        <v>0</v>
      </c>
      <c r="J170" s="301">
        <v>0</v>
      </c>
      <c r="K170" s="302">
        <v>0</v>
      </c>
      <c r="L170" s="301">
        <v>0</v>
      </c>
      <c r="M170" s="301">
        <v>533500</v>
      </c>
      <c r="N170" s="301">
        <v>0</v>
      </c>
      <c r="O170" s="301">
        <v>0</v>
      </c>
      <c r="P170" s="301">
        <v>0</v>
      </c>
      <c r="Q170" s="301">
        <v>0</v>
      </c>
      <c r="R170" s="301">
        <v>0</v>
      </c>
      <c r="S170" s="301">
        <v>0</v>
      </c>
      <c r="T170" s="301">
        <v>0</v>
      </c>
      <c r="U170" s="301">
        <v>0</v>
      </c>
      <c r="V170" s="301">
        <v>0</v>
      </c>
      <c r="W170" s="301">
        <v>0</v>
      </c>
      <c r="X170" s="301">
        <v>0</v>
      </c>
      <c r="Y170" s="301">
        <v>0</v>
      </c>
      <c r="Z170" s="301">
        <v>0</v>
      </c>
      <c r="AA170" s="301">
        <v>0</v>
      </c>
      <c r="AB170" s="303">
        <v>2020</v>
      </c>
    </row>
    <row r="171" spans="1:28" ht="35.25" customHeight="1" x14ac:dyDescent="0.5">
      <c r="A171">
        <v>1</v>
      </c>
      <c r="B171" s="80">
        <f>SUBTOTAL(103,$A$9:A171)</f>
        <v>162</v>
      </c>
      <c r="C171" s="300" t="s">
        <v>1897</v>
      </c>
      <c r="D171" s="296">
        <f t="shared" si="5"/>
        <v>126461.17</v>
      </c>
      <c r="E171" s="301">
        <v>0</v>
      </c>
      <c r="F171" s="301">
        <v>0</v>
      </c>
      <c r="G171" s="301">
        <v>0</v>
      </c>
      <c r="H171" s="301">
        <v>0</v>
      </c>
      <c r="I171" s="301">
        <v>0</v>
      </c>
      <c r="J171" s="301">
        <v>0</v>
      </c>
      <c r="K171" s="302">
        <v>0</v>
      </c>
      <c r="L171" s="301">
        <v>0</v>
      </c>
      <c r="M171" s="301">
        <v>0</v>
      </c>
      <c r="N171" s="301">
        <v>0</v>
      </c>
      <c r="O171" s="301">
        <v>126461.17</v>
      </c>
      <c r="P171" s="301">
        <v>0</v>
      </c>
      <c r="Q171" s="301">
        <v>0</v>
      </c>
      <c r="R171" s="301">
        <v>0</v>
      </c>
      <c r="S171" s="301">
        <v>0</v>
      </c>
      <c r="T171" s="301">
        <v>0</v>
      </c>
      <c r="U171" s="301">
        <v>0</v>
      </c>
      <c r="V171" s="301">
        <v>0</v>
      </c>
      <c r="W171" s="301">
        <v>0</v>
      </c>
      <c r="X171" s="301">
        <v>0</v>
      </c>
      <c r="Y171" s="301">
        <v>0</v>
      </c>
      <c r="Z171" s="301">
        <v>0</v>
      </c>
      <c r="AA171" s="301">
        <v>0</v>
      </c>
      <c r="AB171" s="303">
        <v>2020</v>
      </c>
    </row>
    <row r="172" spans="1:28" ht="35.25" customHeight="1" x14ac:dyDescent="0.5">
      <c r="A172">
        <v>1</v>
      </c>
      <c r="B172" s="80">
        <f>SUBTOTAL(103,$A$9:A172)</f>
        <v>163</v>
      </c>
      <c r="C172" s="300" t="s">
        <v>1898</v>
      </c>
      <c r="D172" s="296">
        <f t="shared" si="5"/>
        <v>1886545</v>
      </c>
      <c r="E172" s="301">
        <v>0</v>
      </c>
      <c r="F172" s="301">
        <v>0</v>
      </c>
      <c r="G172" s="301">
        <v>0</v>
      </c>
      <c r="H172" s="301">
        <v>0</v>
      </c>
      <c r="I172" s="301">
        <v>0</v>
      </c>
      <c r="J172" s="301">
        <v>0</v>
      </c>
      <c r="K172" s="302">
        <v>0</v>
      </c>
      <c r="L172" s="301">
        <v>0</v>
      </c>
      <c r="M172" s="301">
        <v>794470</v>
      </c>
      <c r="N172" s="301">
        <v>0</v>
      </c>
      <c r="O172" s="301">
        <v>0</v>
      </c>
      <c r="P172" s="301">
        <v>1092075</v>
      </c>
      <c r="Q172" s="301">
        <v>0</v>
      </c>
      <c r="R172" s="301">
        <v>0</v>
      </c>
      <c r="S172" s="301">
        <v>0</v>
      </c>
      <c r="T172" s="301">
        <v>0</v>
      </c>
      <c r="U172" s="301">
        <v>0</v>
      </c>
      <c r="V172" s="301">
        <v>0</v>
      </c>
      <c r="W172" s="301">
        <v>0</v>
      </c>
      <c r="X172" s="301">
        <v>0</v>
      </c>
      <c r="Y172" s="301">
        <v>0</v>
      </c>
      <c r="Z172" s="301">
        <v>0</v>
      </c>
      <c r="AA172" s="301">
        <v>0</v>
      </c>
      <c r="AB172" s="303">
        <v>2020</v>
      </c>
    </row>
    <row r="173" spans="1:28" ht="35.25" customHeight="1" x14ac:dyDescent="0.5">
      <c r="A173">
        <v>1</v>
      </c>
      <c r="B173" s="80">
        <f>SUBTOTAL(103,$A$9:A173)</f>
        <v>164</v>
      </c>
      <c r="C173" s="300" t="s">
        <v>1642</v>
      </c>
      <c r="D173" s="296">
        <f t="shared" si="5"/>
        <v>1800000</v>
      </c>
      <c r="E173" s="301">
        <v>0</v>
      </c>
      <c r="F173" s="301">
        <v>0</v>
      </c>
      <c r="G173" s="301">
        <v>0</v>
      </c>
      <c r="H173" s="301">
        <v>0</v>
      </c>
      <c r="I173" s="301">
        <v>0</v>
      </c>
      <c r="J173" s="301">
        <v>0</v>
      </c>
      <c r="K173" s="302">
        <v>1</v>
      </c>
      <c r="L173" s="301">
        <v>1800000</v>
      </c>
      <c r="M173" s="301">
        <v>0</v>
      </c>
      <c r="N173" s="301">
        <v>0</v>
      </c>
      <c r="O173" s="301">
        <v>0</v>
      </c>
      <c r="P173" s="301">
        <v>0</v>
      </c>
      <c r="Q173" s="301">
        <v>0</v>
      </c>
      <c r="R173" s="301">
        <v>0</v>
      </c>
      <c r="S173" s="301">
        <v>0</v>
      </c>
      <c r="T173" s="301">
        <v>0</v>
      </c>
      <c r="U173" s="301">
        <v>0</v>
      </c>
      <c r="V173" s="301">
        <v>0</v>
      </c>
      <c r="W173" s="301">
        <v>0</v>
      </c>
      <c r="X173" s="301">
        <v>0</v>
      </c>
      <c r="Y173" s="301">
        <v>0</v>
      </c>
      <c r="Z173" s="301">
        <v>0</v>
      </c>
      <c r="AA173" s="301">
        <v>0</v>
      </c>
      <c r="AB173" s="303">
        <v>2020</v>
      </c>
    </row>
    <row r="174" spans="1:28" ht="35.25" customHeight="1" x14ac:dyDescent="0.5">
      <c r="A174">
        <v>1</v>
      </c>
      <c r="B174" s="80">
        <f>SUBTOTAL(103,$A$9:A174)</f>
        <v>165</v>
      </c>
      <c r="C174" s="300" t="s">
        <v>1899</v>
      </c>
      <c r="D174" s="296">
        <f t="shared" si="5"/>
        <v>1842506</v>
      </c>
      <c r="E174" s="301">
        <v>0</v>
      </c>
      <c r="F174" s="301">
        <v>0</v>
      </c>
      <c r="G174" s="301">
        <v>0</v>
      </c>
      <c r="H174" s="301">
        <v>0</v>
      </c>
      <c r="I174" s="301">
        <v>0</v>
      </c>
      <c r="J174" s="301">
        <v>0</v>
      </c>
      <c r="K174" s="302">
        <v>0</v>
      </c>
      <c r="L174" s="301">
        <v>0</v>
      </c>
      <c r="M174" s="301">
        <v>0</v>
      </c>
      <c r="N174" s="301">
        <v>0</v>
      </c>
      <c r="O174" s="301">
        <v>1842506</v>
      </c>
      <c r="P174" s="301">
        <v>0</v>
      </c>
      <c r="Q174" s="301">
        <v>0</v>
      </c>
      <c r="R174" s="301">
        <v>0</v>
      </c>
      <c r="S174" s="301">
        <v>0</v>
      </c>
      <c r="T174" s="301">
        <v>0</v>
      </c>
      <c r="U174" s="301">
        <v>0</v>
      </c>
      <c r="V174" s="301">
        <v>0</v>
      </c>
      <c r="W174" s="301">
        <v>0</v>
      </c>
      <c r="X174" s="301">
        <v>0</v>
      </c>
      <c r="Y174" s="301">
        <v>0</v>
      </c>
      <c r="Z174" s="301">
        <v>0</v>
      </c>
      <c r="AA174" s="301">
        <v>0</v>
      </c>
      <c r="AB174" s="303">
        <v>2020</v>
      </c>
    </row>
    <row r="175" spans="1:28" ht="35.25" customHeight="1" x14ac:dyDescent="0.5">
      <c r="A175">
        <v>1</v>
      </c>
      <c r="B175" s="80">
        <f>SUBTOTAL(103,$A$9:A175)</f>
        <v>166</v>
      </c>
      <c r="C175" s="300" t="s">
        <v>1900</v>
      </c>
      <c r="D175" s="296">
        <f t="shared" si="5"/>
        <v>357798</v>
      </c>
      <c r="E175" s="301">
        <v>0</v>
      </c>
      <c r="F175" s="301">
        <v>0</v>
      </c>
      <c r="G175" s="301">
        <v>0</v>
      </c>
      <c r="H175" s="301">
        <v>0</v>
      </c>
      <c r="I175" s="301">
        <v>0</v>
      </c>
      <c r="J175" s="301">
        <v>0</v>
      </c>
      <c r="K175" s="302">
        <v>0</v>
      </c>
      <c r="L175" s="301">
        <v>0</v>
      </c>
      <c r="M175" s="301">
        <v>357798</v>
      </c>
      <c r="N175" s="301">
        <v>0</v>
      </c>
      <c r="O175" s="301">
        <v>0</v>
      </c>
      <c r="P175" s="301">
        <v>0</v>
      </c>
      <c r="Q175" s="301">
        <v>0</v>
      </c>
      <c r="R175" s="301">
        <v>0</v>
      </c>
      <c r="S175" s="301">
        <v>0</v>
      </c>
      <c r="T175" s="301">
        <v>0</v>
      </c>
      <c r="U175" s="301">
        <v>0</v>
      </c>
      <c r="V175" s="301">
        <v>0</v>
      </c>
      <c r="W175" s="301">
        <v>0</v>
      </c>
      <c r="X175" s="301">
        <v>0</v>
      </c>
      <c r="Y175" s="301">
        <v>0</v>
      </c>
      <c r="Z175" s="301">
        <v>0</v>
      </c>
      <c r="AA175" s="301">
        <v>0</v>
      </c>
      <c r="AB175" s="303">
        <v>2020</v>
      </c>
    </row>
    <row r="176" spans="1:28" ht="35.25" customHeight="1" x14ac:dyDescent="0.5">
      <c r="A176">
        <v>1</v>
      </c>
      <c r="B176" s="80">
        <f>SUBTOTAL(103,$A$9:A176)</f>
        <v>167</v>
      </c>
      <c r="C176" s="300" t="s">
        <v>2338</v>
      </c>
      <c r="D176" s="296">
        <f t="shared" si="5"/>
        <v>152127</v>
      </c>
      <c r="E176" s="301">
        <v>0</v>
      </c>
      <c r="F176" s="301">
        <v>0</v>
      </c>
      <c r="G176" s="301">
        <v>152127</v>
      </c>
      <c r="H176" s="301">
        <v>0</v>
      </c>
      <c r="I176" s="301">
        <v>0</v>
      </c>
      <c r="J176" s="301">
        <v>0</v>
      </c>
      <c r="K176" s="302">
        <v>0</v>
      </c>
      <c r="L176" s="301">
        <v>0</v>
      </c>
      <c r="M176" s="301">
        <v>0</v>
      </c>
      <c r="N176" s="301">
        <v>0</v>
      </c>
      <c r="O176" s="301">
        <v>0</v>
      </c>
      <c r="P176" s="301">
        <v>0</v>
      </c>
      <c r="Q176" s="301">
        <v>0</v>
      </c>
      <c r="R176" s="301">
        <v>0</v>
      </c>
      <c r="S176" s="301">
        <v>0</v>
      </c>
      <c r="T176" s="301">
        <v>0</v>
      </c>
      <c r="U176" s="301">
        <v>0</v>
      </c>
      <c r="V176" s="301">
        <v>0</v>
      </c>
      <c r="W176" s="301">
        <v>0</v>
      </c>
      <c r="X176" s="301">
        <v>0</v>
      </c>
      <c r="Y176" s="301">
        <v>0</v>
      </c>
      <c r="Z176" s="301">
        <v>0</v>
      </c>
      <c r="AA176" s="301">
        <v>0</v>
      </c>
      <c r="AB176" s="303">
        <v>2020</v>
      </c>
    </row>
    <row r="177" spans="1:28" ht="35.25" customHeight="1" x14ac:dyDescent="0.5">
      <c r="A177">
        <v>1</v>
      </c>
      <c r="B177" s="80">
        <f>SUBTOTAL(103,$A$9:A177)</f>
        <v>168</v>
      </c>
      <c r="C177" s="300" t="s">
        <v>1901</v>
      </c>
      <c r="D177" s="296">
        <f t="shared" si="5"/>
        <v>949535</v>
      </c>
      <c r="E177" s="301">
        <v>139194</v>
      </c>
      <c r="F177" s="301">
        <v>0</v>
      </c>
      <c r="G177" s="301">
        <v>0</v>
      </c>
      <c r="H177" s="301">
        <v>0</v>
      </c>
      <c r="I177" s="301">
        <v>0</v>
      </c>
      <c r="J177" s="301">
        <v>0</v>
      </c>
      <c r="K177" s="302">
        <v>0</v>
      </c>
      <c r="L177" s="301">
        <v>0</v>
      </c>
      <c r="M177" s="301">
        <v>0</v>
      </c>
      <c r="N177" s="301">
        <v>0</v>
      </c>
      <c r="O177" s="301">
        <v>810341</v>
      </c>
      <c r="P177" s="301">
        <v>0</v>
      </c>
      <c r="Q177" s="301">
        <v>0</v>
      </c>
      <c r="R177" s="301">
        <v>0</v>
      </c>
      <c r="S177" s="301">
        <v>0</v>
      </c>
      <c r="T177" s="301">
        <v>0</v>
      </c>
      <c r="U177" s="301">
        <v>0</v>
      </c>
      <c r="V177" s="301">
        <v>0</v>
      </c>
      <c r="W177" s="301">
        <v>0</v>
      </c>
      <c r="X177" s="301">
        <v>0</v>
      </c>
      <c r="Y177" s="301">
        <v>0</v>
      </c>
      <c r="Z177" s="301">
        <v>0</v>
      </c>
      <c r="AA177" s="301">
        <v>0</v>
      </c>
      <c r="AB177" s="303">
        <v>2020</v>
      </c>
    </row>
    <row r="178" spans="1:28" ht="35.25" customHeight="1" x14ac:dyDescent="0.5">
      <c r="A178">
        <v>1</v>
      </c>
      <c r="B178" s="80">
        <f>SUBTOTAL(103,$A$9:A178)</f>
        <v>169</v>
      </c>
      <c r="C178" s="300" t="s">
        <v>1902</v>
      </c>
      <c r="D178" s="296">
        <f t="shared" si="5"/>
        <v>562718</v>
      </c>
      <c r="E178" s="301">
        <v>0</v>
      </c>
      <c r="F178" s="301">
        <v>0</v>
      </c>
      <c r="G178" s="301">
        <v>0</v>
      </c>
      <c r="H178" s="301">
        <v>0</v>
      </c>
      <c r="I178" s="301">
        <v>0</v>
      </c>
      <c r="J178" s="301">
        <v>0</v>
      </c>
      <c r="K178" s="302">
        <v>0</v>
      </c>
      <c r="L178" s="301">
        <v>0</v>
      </c>
      <c r="M178" s="301">
        <v>0</v>
      </c>
      <c r="N178" s="301">
        <v>562718</v>
      </c>
      <c r="O178" s="301">
        <v>0</v>
      </c>
      <c r="P178" s="301">
        <v>0</v>
      </c>
      <c r="Q178" s="301">
        <v>0</v>
      </c>
      <c r="R178" s="301">
        <v>0</v>
      </c>
      <c r="S178" s="301">
        <v>0</v>
      </c>
      <c r="T178" s="301">
        <v>0</v>
      </c>
      <c r="U178" s="301">
        <v>0</v>
      </c>
      <c r="V178" s="301">
        <v>0</v>
      </c>
      <c r="W178" s="301">
        <v>0</v>
      </c>
      <c r="X178" s="301">
        <v>0</v>
      </c>
      <c r="Y178" s="301">
        <v>0</v>
      </c>
      <c r="Z178" s="301">
        <v>0</v>
      </c>
      <c r="AA178" s="301">
        <v>0</v>
      </c>
      <c r="AB178" s="303">
        <v>2020</v>
      </c>
    </row>
    <row r="179" spans="1:28" ht="35.25" customHeight="1" x14ac:dyDescent="0.5">
      <c r="A179">
        <v>1</v>
      </c>
      <c r="B179" s="80">
        <f>SUBTOTAL(103,$A$9:A179)</f>
        <v>170</v>
      </c>
      <c r="C179" s="300" t="s">
        <v>1903</v>
      </c>
      <c r="D179" s="296">
        <f t="shared" si="5"/>
        <v>523273.69</v>
      </c>
      <c r="E179" s="301">
        <v>0</v>
      </c>
      <c r="F179" s="301">
        <v>0</v>
      </c>
      <c r="G179" s="301">
        <v>0</v>
      </c>
      <c r="H179" s="301">
        <v>0</v>
      </c>
      <c r="I179" s="301">
        <v>0</v>
      </c>
      <c r="J179" s="301">
        <v>0</v>
      </c>
      <c r="K179" s="302">
        <v>0</v>
      </c>
      <c r="L179" s="301">
        <v>0</v>
      </c>
      <c r="M179" s="301">
        <v>523273.69</v>
      </c>
      <c r="N179" s="301">
        <v>0</v>
      </c>
      <c r="O179" s="301">
        <v>0</v>
      </c>
      <c r="P179" s="301">
        <v>0</v>
      </c>
      <c r="Q179" s="301">
        <v>0</v>
      </c>
      <c r="R179" s="301">
        <v>0</v>
      </c>
      <c r="S179" s="301">
        <v>0</v>
      </c>
      <c r="T179" s="301">
        <v>0</v>
      </c>
      <c r="U179" s="301">
        <v>0</v>
      </c>
      <c r="V179" s="301">
        <v>0</v>
      </c>
      <c r="W179" s="301">
        <v>0</v>
      </c>
      <c r="X179" s="301">
        <v>0</v>
      </c>
      <c r="Y179" s="301">
        <v>0</v>
      </c>
      <c r="Z179" s="301">
        <v>0</v>
      </c>
      <c r="AA179" s="301">
        <v>0</v>
      </c>
      <c r="AB179" s="303">
        <v>2020</v>
      </c>
    </row>
    <row r="180" spans="1:28" ht="35.25" customHeight="1" x14ac:dyDescent="0.5">
      <c r="A180">
        <v>1</v>
      </c>
      <c r="B180" s="80">
        <f>SUBTOTAL(103,$A$9:A180)</f>
        <v>171</v>
      </c>
      <c r="C180" s="300" t="s">
        <v>1904</v>
      </c>
      <c r="D180" s="296">
        <f t="shared" si="5"/>
        <v>405244</v>
      </c>
      <c r="E180" s="301">
        <v>0</v>
      </c>
      <c r="F180" s="301">
        <v>405244</v>
      </c>
      <c r="G180" s="301">
        <v>0</v>
      </c>
      <c r="H180" s="301">
        <v>0</v>
      </c>
      <c r="I180" s="301">
        <v>0</v>
      </c>
      <c r="J180" s="301">
        <v>0</v>
      </c>
      <c r="K180" s="302">
        <v>0</v>
      </c>
      <c r="L180" s="301">
        <v>0</v>
      </c>
      <c r="M180" s="301">
        <v>0</v>
      </c>
      <c r="N180" s="301">
        <v>0</v>
      </c>
      <c r="O180" s="301">
        <v>0</v>
      </c>
      <c r="P180" s="301">
        <v>0</v>
      </c>
      <c r="Q180" s="301">
        <v>0</v>
      </c>
      <c r="R180" s="301">
        <v>0</v>
      </c>
      <c r="S180" s="301">
        <v>0</v>
      </c>
      <c r="T180" s="301">
        <v>0</v>
      </c>
      <c r="U180" s="301">
        <v>0</v>
      </c>
      <c r="V180" s="301">
        <v>0</v>
      </c>
      <c r="W180" s="301">
        <v>0</v>
      </c>
      <c r="X180" s="301">
        <v>0</v>
      </c>
      <c r="Y180" s="301">
        <v>0</v>
      </c>
      <c r="Z180" s="301">
        <v>0</v>
      </c>
      <c r="AA180" s="301">
        <v>0</v>
      </c>
      <c r="AB180" s="303">
        <v>2020</v>
      </c>
    </row>
    <row r="181" spans="1:28" ht="35.25" customHeight="1" x14ac:dyDescent="0.5">
      <c r="A181">
        <v>1</v>
      </c>
      <c r="B181" s="80">
        <f>SUBTOTAL(103,$A$9:A181)</f>
        <v>172</v>
      </c>
      <c r="C181" s="300" t="s">
        <v>1905</v>
      </c>
      <c r="D181" s="296">
        <f t="shared" si="5"/>
        <v>31500</v>
      </c>
      <c r="E181" s="301">
        <v>0</v>
      </c>
      <c r="F181" s="301">
        <v>0</v>
      </c>
      <c r="G181" s="301">
        <v>0</v>
      </c>
      <c r="H181" s="301">
        <v>0</v>
      </c>
      <c r="I181" s="301">
        <v>0</v>
      </c>
      <c r="J181" s="301">
        <v>0</v>
      </c>
      <c r="K181" s="302">
        <v>0</v>
      </c>
      <c r="L181" s="301">
        <v>0</v>
      </c>
      <c r="M181" s="301">
        <v>31500</v>
      </c>
      <c r="N181" s="301">
        <v>0</v>
      </c>
      <c r="O181" s="301">
        <v>0</v>
      </c>
      <c r="P181" s="301">
        <v>0</v>
      </c>
      <c r="Q181" s="301">
        <v>0</v>
      </c>
      <c r="R181" s="301">
        <v>0</v>
      </c>
      <c r="S181" s="301">
        <v>0</v>
      </c>
      <c r="T181" s="301">
        <v>0</v>
      </c>
      <c r="U181" s="301">
        <v>0</v>
      </c>
      <c r="V181" s="301">
        <v>0</v>
      </c>
      <c r="W181" s="301">
        <v>0</v>
      </c>
      <c r="X181" s="301">
        <v>0</v>
      </c>
      <c r="Y181" s="301">
        <v>0</v>
      </c>
      <c r="Z181" s="301">
        <v>0</v>
      </c>
      <c r="AA181" s="301">
        <v>0</v>
      </c>
      <c r="AB181" s="303">
        <v>2020</v>
      </c>
    </row>
    <row r="182" spans="1:28" ht="35.25" customHeight="1" x14ac:dyDescent="0.5">
      <c r="A182">
        <v>1</v>
      </c>
      <c r="B182" s="80">
        <f>SUBTOTAL(103,$A$9:A182)</f>
        <v>173</v>
      </c>
      <c r="C182" s="300" t="s">
        <v>1647</v>
      </c>
      <c r="D182" s="296">
        <f t="shared" si="5"/>
        <v>739065.53</v>
      </c>
      <c r="E182" s="301">
        <v>0</v>
      </c>
      <c r="F182" s="301">
        <v>0</v>
      </c>
      <c r="G182" s="301">
        <v>0</v>
      </c>
      <c r="H182" s="301">
        <v>0</v>
      </c>
      <c r="I182" s="301">
        <v>0</v>
      </c>
      <c r="J182" s="301">
        <v>0</v>
      </c>
      <c r="K182" s="302">
        <v>1</v>
      </c>
      <c r="L182" s="301">
        <v>226848.8</v>
      </c>
      <c r="M182" s="301">
        <v>247409</v>
      </c>
      <c r="N182" s="301">
        <v>0</v>
      </c>
      <c r="O182" s="301">
        <v>264807.73</v>
      </c>
      <c r="P182" s="301">
        <v>0</v>
      </c>
      <c r="Q182" s="301">
        <v>0</v>
      </c>
      <c r="R182" s="301">
        <v>0</v>
      </c>
      <c r="S182" s="301">
        <v>0</v>
      </c>
      <c r="T182" s="301">
        <v>0</v>
      </c>
      <c r="U182" s="301">
        <v>0</v>
      </c>
      <c r="V182" s="301">
        <v>0</v>
      </c>
      <c r="W182" s="301">
        <v>0</v>
      </c>
      <c r="X182" s="301">
        <v>0</v>
      </c>
      <c r="Y182" s="301">
        <v>0</v>
      </c>
      <c r="Z182" s="301">
        <v>0</v>
      </c>
      <c r="AA182" s="301">
        <v>0</v>
      </c>
      <c r="AB182" s="303">
        <v>2020</v>
      </c>
    </row>
    <row r="183" spans="1:28" ht="35.25" customHeight="1" x14ac:dyDescent="0.5">
      <c r="A183">
        <v>1</v>
      </c>
      <c r="B183" s="80">
        <f>SUBTOTAL(103,$A$9:A183)</f>
        <v>174</v>
      </c>
      <c r="C183" s="300" t="s">
        <v>1906</v>
      </c>
      <c r="D183" s="296">
        <f t="shared" si="5"/>
        <v>389342</v>
      </c>
      <c r="E183" s="301">
        <v>0</v>
      </c>
      <c r="F183" s="301">
        <v>0</v>
      </c>
      <c r="G183" s="301">
        <v>0</v>
      </c>
      <c r="H183" s="301">
        <v>0</v>
      </c>
      <c r="I183" s="301">
        <v>0</v>
      </c>
      <c r="J183" s="301">
        <v>0</v>
      </c>
      <c r="K183" s="302">
        <v>0</v>
      </c>
      <c r="L183" s="301">
        <v>0</v>
      </c>
      <c r="M183" s="301">
        <v>0</v>
      </c>
      <c r="N183" s="301">
        <v>0</v>
      </c>
      <c r="O183" s="301">
        <v>389342</v>
      </c>
      <c r="P183" s="301">
        <v>0</v>
      </c>
      <c r="Q183" s="301">
        <v>0</v>
      </c>
      <c r="R183" s="301">
        <v>0</v>
      </c>
      <c r="S183" s="301">
        <v>0</v>
      </c>
      <c r="T183" s="301">
        <v>0</v>
      </c>
      <c r="U183" s="301">
        <v>0</v>
      </c>
      <c r="V183" s="301">
        <v>0</v>
      </c>
      <c r="W183" s="301">
        <v>0</v>
      </c>
      <c r="X183" s="301">
        <v>0</v>
      </c>
      <c r="Y183" s="301">
        <v>0</v>
      </c>
      <c r="Z183" s="301">
        <v>0</v>
      </c>
      <c r="AA183" s="301">
        <v>0</v>
      </c>
      <c r="AB183" s="303">
        <v>2020</v>
      </c>
    </row>
    <row r="184" spans="1:28" ht="35.25" customHeight="1" x14ac:dyDescent="0.5">
      <c r="A184">
        <v>1</v>
      </c>
      <c r="B184" s="80">
        <f>SUBTOTAL(103,$A$9:A184)</f>
        <v>175</v>
      </c>
      <c r="C184" s="300" t="s">
        <v>1907</v>
      </c>
      <c r="D184" s="296">
        <f t="shared" si="5"/>
        <v>909165.72</v>
      </c>
      <c r="E184" s="301">
        <v>0</v>
      </c>
      <c r="F184" s="301">
        <v>0</v>
      </c>
      <c r="G184" s="301">
        <v>192500</v>
      </c>
      <c r="H184" s="301">
        <v>0</v>
      </c>
      <c r="I184" s="301">
        <v>0</v>
      </c>
      <c r="J184" s="301">
        <v>0</v>
      </c>
      <c r="K184" s="302">
        <v>0</v>
      </c>
      <c r="L184" s="301">
        <v>0</v>
      </c>
      <c r="M184" s="301">
        <v>0</v>
      </c>
      <c r="N184" s="301">
        <v>0</v>
      </c>
      <c r="O184" s="301">
        <v>716665.72</v>
      </c>
      <c r="P184" s="301">
        <v>0</v>
      </c>
      <c r="Q184" s="301">
        <v>0</v>
      </c>
      <c r="R184" s="301">
        <v>0</v>
      </c>
      <c r="S184" s="301">
        <v>0</v>
      </c>
      <c r="T184" s="301">
        <v>0</v>
      </c>
      <c r="U184" s="301">
        <v>0</v>
      </c>
      <c r="V184" s="301">
        <v>0</v>
      </c>
      <c r="W184" s="301">
        <v>0</v>
      </c>
      <c r="X184" s="301">
        <v>0</v>
      </c>
      <c r="Y184" s="301">
        <v>0</v>
      </c>
      <c r="Z184" s="301">
        <v>0</v>
      </c>
      <c r="AA184" s="301">
        <v>0</v>
      </c>
      <c r="AB184" s="303">
        <v>2020</v>
      </c>
    </row>
    <row r="185" spans="1:28" ht="35.25" customHeight="1" x14ac:dyDescent="0.5">
      <c r="A185">
        <v>1</v>
      </c>
      <c r="B185" s="80">
        <f>SUBTOTAL(103,$A$9:A185)</f>
        <v>176</v>
      </c>
      <c r="C185" s="300" t="s">
        <v>1908</v>
      </c>
      <c r="D185" s="296">
        <f t="shared" si="5"/>
        <v>2060881.02</v>
      </c>
      <c r="E185" s="301">
        <v>0</v>
      </c>
      <c r="F185" s="301">
        <v>0</v>
      </c>
      <c r="G185" s="301">
        <v>0</v>
      </c>
      <c r="H185" s="301">
        <v>0</v>
      </c>
      <c r="I185" s="301">
        <v>0</v>
      </c>
      <c r="J185" s="301">
        <v>0</v>
      </c>
      <c r="K185" s="302">
        <v>0</v>
      </c>
      <c r="L185" s="301">
        <v>0</v>
      </c>
      <c r="M185" s="301">
        <v>1768030</v>
      </c>
      <c r="N185" s="301">
        <v>0</v>
      </c>
      <c r="O185" s="301">
        <v>292851.02</v>
      </c>
      <c r="P185" s="301">
        <v>0</v>
      </c>
      <c r="Q185" s="301">
        <v>0</v>
      </c>
      <c r="R185" s="301">
        <v>0</v>
      </c>
      <c r="S185" s="301">
        <v>0</v>
      </c>
      <c r="T185" s="301">
        <v>0</v>
      </c>
      <c r="U185" s="301">
        <v>0</v>
      </c>
      <c r="V185" s="301">
        <v>0</v>
      </c>
      <c r="W185" s="301">
        <v>0</v>
      </c>
      <c r="X185" s="301">
        <v>0</v>
      </c>
      <c r="Y185" s="301">
        <v>0</v>
      </c>
      <c r="Z185" s="301">
        <v>0</v>
      </c>
      <c r="AA185" s="301">
        <v>0</v>
      </c>
      <c r="AB185" s="303">
        <v>2020</v>
      </c>
    </row>
    <row r="186" spans="1:28" ht="35.25" customHeight="1" x14ac:dyDescent="0.5">
      <c r="A186">
        <v>1</v>
      </c>
      <c r="B186" s="80">
        <f>SUBTOTAL(103,$A$9:A186)</f>
        <v>177</v>
      </c>
      <c r="C186" s="300" t="s">
        <v>1909</v>
      </c>
      <c r="D186" s="296">
        <f t="shared" si="5"/>
        <v>498750</v>
      </c>
      <c r="E186" s="301">
        <v>0</v>
      </c>
      <c r="F186" s="301">
        <v>0</v>
      </c>
      <c r="G186" s="301">
        <v>0</v>
      </c>
      <c r="H186" s="301">
        <v>0</v>
      </c>
      <c r="I186" s="301">
        <v>0</v>
      </c>
      <c r="J186" s="301">
        <v>0</v>
      </c>
      <c r="K186" s="302">
        <v>0</v>
      </c>
      <c r="L186" s="301">
        <v>0</v>
      </c>
      <c r="M186" s="301">
        <v>0</v>
      </c>
      <c r="N186" s="301">
        <v>0</v>
      </c>
      <c r="O186" s="301">
        <v>498750</v>
      </c>
      <c r="P186" s="301">
        <v>0</v>
      </c>
      <c r="Q186" s="301">
        <v>0</v>
      </c>
      <c r="R186" s="301">
        <v>0</v>
      </c>
      <c r="S186" s="301">
        <v>0</v>
      </c>
      <c r="T186" s="301">
        <v>0</v>
      </c>
      <c r="U186" s="301">
        <v>0</v>
      </c>
      <c r="V186" s="301">
        <v>0</v>
      </c>
      <c r="W186" s="301">
        <v>0</v>
      </c>
      <c r="X186" s="301">
        <v>0</v>
      </c>
      <c r="Y186" s="301">
        <v>0</v>
      </c>
      <c r="Z186" s="301">
        <v>0</v>
      </c>
      <c r="AA186" s="301">
        <v>0</v>
      </c>
      <c r="AB186" s="303">
        <v>2020</v>
      </c>
    </row>
    <row r="187" spans="1:28" ht="35.25" customHeight="1" x14ac:dyDescent="0.5">
      <c r="A187">
        <v>1</v>
      </c>
      <c r="B187" s="80">
        <f>SUBTOTAL(103,$A$9:A187)</f>
        <v>178</v>
      </c>
      <c r="C187" s="300" t="s">
        <v>1910</v>
      </c>
      <c r="D187" s="296">
        <f t="shared" si="5"/>
        <v>781837.52</v>
      </c>
      <c r="E187" s="301">
        <v>0</v>
      </c>
      <c r="F187" s="301">
        <v>0</v>
      </c>
      <c r="G187" s="301">
        <v>0</v>
      </c>
      <c r="H187" s="301">
        <v>0</v>
      </c>
      <c r="I187" s="301">
        <v>0</v>
      </c>
      <c r="J187" s="301">
        <v>0</v>
      </c>
      <c r="K187" s="302">
        <v>0</v>
      </c>
      <c r="L187" s="301">
        <v>0</v>
      </c>
      <c r="M187" s="301">
        <v>72227.39</v>
      </c>
      <c r="N187" s="301">
        <v>380731.18</v>
      </c>
      <c r="O187" s="301">
        <v>328878.95</v>
      </c>
      <c r="P187" s="301">
        <v>0</v>
      </c>
      <c r="Q187" s="301">
        <v>0</v>
      </c>
      <c r="R187" s="301">
        <v>0</v>
      </c>
      <c r="S187" s="301">
        <v>0</v>
      </c>
      <c r="T187" s="301">
        <v>0</v>
      </c>
      <c r="U187" s="301">
        <v>0</v>
      </c>
      <c r="V187" s="301">
        <v>0</v>
      </c>
      <c r="W187" s="301">
        <v>0</v>
      </c>
      <c r="X187" s="301">
        <v>0</v>
      </c>
      <c r="Y187" s="301">
        <v>0</v>
      </c>
      <c r="Z187" s="301">
        <v>0</v>
      </c>
      <c r="AA187" s="301">
        <v>0</v>
      </c>
      <c r="AB187" s="303">
        <v>2020</v>
      </c>
    </row>
    <row r="188" spans="1:28" ht="35.25" customHeight="1" x14ac:dyDescent="0.5">
      <c r="A188">
        <v>1</v>
      </c>
      <c r="B188" s="80">
        <f>SUBTOTAL(103,$A$9:A188)</f>
        <v>179</v>
      </c>
      <c r="C188" s="300" t="s">
        <v>1911</v>
      </c>
      <c r="D188" s="296">
        <f t="shared" si="5"/>
        <v>105000</v>
      </c>
      <c r="E188" s="301">
        <v>105000</v>
      </c>
      <c r="F188" s="301">
        <v>0</v>
      </c>
      <c r="G188" s="301">
        <v>0</v>
      </c>
      <c r="H188" s="301">
        <v>0</v>
      </c>
      <c r="I188" s="301">
        <v>0</v>
      </c>
      <c r="J188" s="301">
        <v>0</v>
      </c>
      <c r="K188" s="302">
        <v>0</v>
      </c>
      <c r="L188" s="301">
        <v>0</v>
      </c>
      <c r="M188" s="301">
        <v>0</v>
      </c>
      <c r="N188" s="301">
        <v>0</v>
      </c>
      <c r="O188" s="301">
        <v>0</v>
      </c>
      <c r="P188" s="301">
        <v>0</v>
      </c>
      <c r="Q188" s="301">
        <v>0</v>
      </c>
      <c r="R188" s="301">
        <v>0</v>
      </c>
      <c r="S188" s="301">
        <v>0</v>
      </c>
      <c r="T188" s="301">
        <v>0</v>
      </c>
      <c r="U188" s="301">
        <v>0</v>
      </c>
      <c r="V188" s="301">
        <v>0</v>
      </c>
      <c r="W188" s="301">
        <v>0</v>
      </c>
      <c r="X188" s="301">
        <v>0</v>
      </c>
      <c r="Y188" s="301">
        <v>0</v>
      </c>
      <c r="Z188" s="301">
        <v>0</v>
      </c>
      <c r="AA188" s="301">
        <v>0</v>
      </c>
      <c r="AB188" s="303">
        <v>2020</v>
      </c>
    </row>
    <row r="189" spans="1:28" ht="35.25" customHeight="1" x14ac:dyDescent="0.5">
      <c r="A189">
        <v>1</v>
      </c>
      <c r="B189" s="80">
        <f>SUBTOTAL(103,$A$9:A189)</f>
        <v>180</v>
      </c>
      <c r="C189" s="300" t="s">
        <v>1912</v>
      </c>
      <c r="D189" s="296">
        <f t="shared" si="5"/>
        <v>525162</v>
      </c>
      <c r="E189" s="301">
        <v>0</v>
      </c>
      <c r="F189" s="301">
        <v>0</v>
      </c>
      <c r="G189" s="301">
        <v>0</v>
      </c>
      <c r="H189" s="301">
        <v>0</v>
      </c>
      <c r="I189" s="301">
        <v>0</v>
      </c>
      <c r="J189" s="301">
        <v>0</v>
      </c>
      <c r="K189" s="302">
        <v>0</v>
      </c>
      <c r="L189" s="301">
        <v>0</v>
      </c>
      <c r="M189" s="301">
        <v>525162</v>
      </c>
      <c r="N189" s="301">
        <v>0</v>
      </c>
      <c r="O189" s="301">
        <v>0</v>
      </c>
      <c r="P189" s="301">
        <v>0</v>
      </c>
      <c r="Q189" s="301">
        <v>0</v>
      </c>
      <c r="R189" s="301">
        <v>0</v>
      </c>
      <c r="S189" s="301">
        <v>0</v>
      </c>
      <c r="T189" s="301">
        <v>0</v>
      </c>
      <c r="U189" s="301">
        <v>0</v>
      </c>
      <c r="V189" s="301">
        <v>0</v>
      </c>
      <c r="W189" s="301">
        <v>0</v>
      </c>
      <c r="X189" s="301">
        <v>0</v>
      </c>
      <c r="Y189" s="301">
        <v>0</v>
      </c>
      <c r="Z189" s="301">
        <v>0</v>
      </c>
      <c r="AA189" s="301">
        <v>0</v>
      </c>
      <c r="AB189" s="303">
        <v>2020</v>
      </c>
    </row>
    <row r="190" spans="1:28" ht="35.25" customHeight="1" x14ac:dyDescent="0.5">
      <c r="A190">
        <v>1</v>
      </c>
      <c r="B190" s="80">
        <f>SUBTOTAL(103,$A$9:A190)</f>
        <v>181</v>
      </c>
      <c r="C190" s="300" t="s">
        <v>1651</v>
      </c>
      <c r="D190" s="296">
        <f t="shared" si="5"/>
        <v>1389500</v>
      </c>
      <c r="E190" s="301">
        <v>0</v>
      </c>
      <c r="F190" s="301">
        <v>0</v>
      </c>
      <c r="G190" s="301">
        <v>0</v>
      </c>
      <c r="H190" s="301">
        <v>0</v>
      </c>
      <c r="I190" s="301">
        <v>0</v>
      </c>
      <c r="J190" s="301">
        <v>0</v>
      </c>
      <c r="K190" s="302">
        <v>0</v>
      </c>
      <c r="L190" s="301">
        <v>0</v>
      </c>
      <c r="M190" s="301">
        <v>1389500</v>
      </c>
      <c r="N190" s="301">
        <v>0</v>
      </c>
      <c r="O190" s="301">
        <v>0</v>
      </c>
      <c r="P190" s="301">
        <v>0</v>
      </c>
      <c r="Q190" s="301">
        <v>0</v>
      </c>
      <c r="R190" s="301">
        <v>0</v>
      </c>
      <c r="S190" s="301">
        <v>0</v>
      </c>
      <c r="T190" s="301">
        <v>0</v>
      </c>
      <c r="U190" s="301">
        <v>0</v>
      </c>
      <c r="V190" s="301">
        <v>0</v>
      </c>
      <c r="W190" s="301">
        <v>0</v>
      </c>
      <c r="X190" s="301">
        <v>0</v>
      </c>
      <c r="Y190" s="301">
        <v>0</v>
      </c>
      <c r="Z190" s="301">
        <v>0</v>
      </c>
      <c r="AA190" s="301">
        <v>0</v>
      </c>
      <c r="AB190" s="303">
        <v>2020</v>
      </c>
    </row>
    <row r="191" spans="1:28" ht="35.25" customHeight="1" x14ac:dyDescent="0.5">
      <c r="A191">
        <v>1</v>
      </c>
      <c r="B191" s="80">
        <f>SUBTOTAL(103,$A$9:A191)</f>
        <v>182</v>
      </c>
      <c r="C191" s="300" t="s">
        <v>1652</v>
      </c>
      <c r="D191" s="296">
        <f t="shared" si="5"/>
        <v>1178009</v>
      </c>
      <c r="E191" s="301">
        <v>215265</v>
      </c>
      <c r="F191" s="301">
        <v>85000</v>
      </c>
      <c r="G191" s="301">
        <v>0</v>
      </c>
      <c r="H191" s="301">
        <v>0</v>
      </c>
      <c r="I191" s="301">
        <v>184629</v>
      </c>
      <c r="J191" s="301">
        <v>0</v>
      </c>
      <c r="K191" s="302">
        <v>0</v>
      </c>
      <c r="L191" s="301">
        <v>0</v>
      </c>
      <c r="M191" s="301">
        <v>486000</v>
      </c>
      <c r="N191" s="301">
        <v>174615</v>
      </c>
      <c r="O191" s="301">
        <v>32500</v>
      </c>
      <c r="P191" s="301">
        <v>0</v>
      </c>
      <c r="Q191" s="301">
        <v>0</v>
      </c>
      <c r="R191" s="301">
        <v>0</v>
      </c>
      <c r="S191" s="301">
        <v>0</v>
      </c>
      <c r="T191" s="301">
        <v>0</v>
      </c>
      <c r="U191" s="301">
        <v>0</v>
      </c>
      <c r="V191" s="301">
        <v>0</v>
      </c>
      <c r="W191" s="301">
        <v>0</v>
      </c>
      <c r="X191" s="301">
        <v>0</v>
      </c>
      <c r="Y191" s="301">
        <v>0</v>
      </c>
      <c r="Z191" s="301">
        <v>0</v>
      </c>
      <c r="AA191" s="301">
        <v>0</v>
      </c>
      <c r="AB191" s="303">
        <v>2020</v>
      </c>
    </row>
    <row r="192" spans="1:28" ht="35.25" customHeight="1" x14ac:dyDescent="0.5">
      <c r="A192">
        <v>1</v>
      </c>
      <c r="B192" s="80">
        <f>SUBTOTAL(103,$A$9:A192)</f>
        <v>183</v>
      </c>
      <c r="C192" s="300" t="s">
        <v>1913</v>
      </c>
      <c r="D192" s="296">
        <f t="shared" si="5"/>
        <v>403507.08</v>
      </c>
      <c r="E192" s="301">
        <v>201753.54</v>
      </c>
      <c r="F192" s="301">
        <v>201753.54</v>
      </c>
      <c r="G192" s="301">
        <v>0</v>
      </c>
      <c r="H192" s="301">
        <v>0</v>
      </c>
      <c r="I192" s="301">
        <v>0</v>
      </c>
      <c r="J192" s="301">
        <v>0</v>
      </c>
      <c r="K192" s="302">
        <v>0</v>
      </c>
      <c r="L192" s="301">
        <v>0</v>
      </c>
      <c r="M192" s="301">
        <v>0</v>
      </c>
      <c r="N192" s="301">
        <v>0</v>
      </c>
      <c r="O192" s="301">
        <v>0</v>
      </c>
      <c r="P192" s="301">
        <v>0</v>
      </c>
      <c r="Q192" s="301">
        <v>0</v>
      </c>
      <c r="R192" s="301">
        <v>0</v>
      </c>
      <c r="S192" s="301">
        <v>0</v>
      </c>
      <c r="T192" s="301">
        <v>0</v>
      </c>
      <c r="U192" s="301">
        <v>0</v>
      </c>
      <c r="V192" s="301">
        <v>0</v>
      </c>
      <c r="W192" s="301">
        <v>0</v>
      </c>
      <c r="X192" s="301">
        <v>0</v>
      </c>
      <c r="Y192" s="301">
        <v>0</v>
      </c>
      <c r="Z192" s="301">
        <v>0</v>
      </c>
      <c r="AA192" s="301">
        <v>0</v>
      </c>
      <c r="AB192" s="303">
        <v>2020</v>
      </c>
    </row>
    <row r="193" spans="1:28" ht="35.25" customHeight="1" x14ac:dyDescent="0.5">
      <c r="A193">
        <v>1</v>
      </c>
      <c r="B193" s="80">
        <f>SUBTOTAL(103,$A$9:A193)</f>
        <v>184</v>
      </c>
      <c r="C193" s="300" t="s">
        <v>1914</v>
      </c>
      <c r="D193" s="296">
        <f t="shared" si="5"/>
        <v>515016</v>
      </c>
      <c r="E193" s="301">
        <v>0</v>
      </c>
      <c r="F193" s="301">
        <v>0</v>
      </c>
      <c r="G193" s="301">
        <v>0</v>
      </c>
      <c r="H193" s="301">
        <v>0</v>
      </c>
      <c r="I193" s="301">
        <v>0</v>
      </c>
      <c r="J193" s="301">
        <v>0</v>
      </c>
      <c r="K193" s="302">
        <v>0</v>
      </c>
      <c r="L193" s="301">
        <v>0</v>
      </c>
      <c r="M193" s="301">
        <v>515016</v>
      </c>
      <c r="N193" s="301">
        <v>0</v>
      </c>
      <c r="O193" s="301">
        <v>0</v>
      </c>
      <c r="P193" s="301">
        <v>0</v>
      </c>
      <c r="Q193" s="301">
        <v>0</v>
      </c>
      <c r="R193" s="301">
        <v>0</v>
      </c>
      <c r="S193" s="301">
        <v>0</v>
      </c>
      <c r="T193" s="301">
        <v>0</v>
      </c>
      <c r="U193" s="301">
        <v>0</v>
      </c>
      <c r="V193" s="301">
        <v>0</v>
      </c>
      <c r="W193" s="301">
        <v>0</v>
      </c>
      <c r="X193" s="301">
        <v>0</v>
      </c>
      <c r="Y193" s="301">
        <v>0</v>
      </c>
      <c r="Z193" s="301">
        <v>0</v>
      </c>
      <c r="AA193" s="301">
        <v>0</v>
      </c>
      <c r="AB193" s="303">
        <v>2020</v>
      </c>
    </row>
    <row r="194" spans="1:28" ht="35.25" customHeight="1" x14ac:dyDescent="0.5">
      <c r="A194">
        <v>1</v>
      </c>
      <c r="B194" s="80">
        <f>SUBTOTAL(103,$A$9:A194)</f>
        <v>185</v>
      </c>
      <c r="C194" s="300" t="s">
        <v>1915</v>
      </c>
      <c r="D194" s="296">
        <f t="shared" si="5"/>
        <v>145556.29999999999</v>
      </c>
      <c r="E194" s="301">
        <v>0</v>
      </c>
      <c r="F194" s="301">
        <v>0</v>
      </c>
      <c r="G194" s="301">
        <v>145556.29999999999</v>
      </c>
      <c r="H194" s="301">
        <v>0</v>
      </c>
      <c r="I194" s="301">
        <v>0</v>
      </c>
      <c r="J194" s="301">
        <v>0</v>
      </c>
      <c r="K194" s="302">
        <v>0</v>
      </c>
      <c r="L194" s="301">
        <v>0</v>
      </c>
      <c r="M194" s="301">
        <v>0</v>
      </c>
      <c r="N194" s="301">
        <v>0</v>
      </c>
      <c r="O194" s="301">
        <v>0</v>
      </c>
      <c r="P194" s="301">
        <v>0</v>
      </c>
      <c r="Q194" s="301">
        <v>0</v>
      </c>
      <c r="R194" s="301">
        <v>0</v>
      </c>
      <c r="S194" s="301">
        <v>0</v>
      </c>
      <c r="T194" s="301">
        <v>0</v>
      </c>
      <c r="U194" s="301">
        <v>0</v>
      </c>
      <c r="V194" s="301">
        <v>0</v>
      </c>
      <c r="W194" s="301">
        <v>0</v>
      </c>
      <c r="X194" s="301">
        <v>0</v>
      </c>
      <c r="Y194" s="301">
        <v>0</v>
      </c>
      <c r="Z194" s="301">
        <v>0</v>
      </c>
      <c r="AA194" s="301">
        <v>0</v>
      </c>
      <c r="AB194" s="303">
        <v>2020</v>
      </c>
    </row>
    <row r="195" spans="1:28" ht="35.25" customHeight="1" x14ac:dyDescent="0.5">
      <c r="A195">
        <v>1</v>
      </c>
      <c r="B195" s="80">
        <f>SUBTOTAL(103,$A$9:A195)</f>
        <v>186</v>
      </c>
      <c r="C195" s="300" t="s">
        <v>1916</v>
      </c>
      <c r="D195" s="296">
        <f t="shared" si="5"/>
        <v>422807</v>
      </c>
      <c r="E195" s="301">
        <v>0</v>
      </c>
      <c r="F195" s="301">
        <v>0</v>
      </c>
      <c r="G195" s="301">
        <v>0</v>
      </c>
      <c r="H195" s="301">
        <v>0</v>
      </c>
      <c r="I195" s="301">
        <v>0</v>
      </c>
      <c r="J195" s="301">
        <v>0</v>
      </c>
      <c r="K195" s="302">
        <v>0</v>
      </c>
      <c r="L195" s="301">
        <v>0</v>
      </c>
      <c r="M195" s="301">
        <v>0</v>
      </c>
      <c r="N195" s="301">
        <v>0</v>
      </c>
      <c r="O195" s="301">
        <v>422807</v>
      </c>
      <c r="P195" s="301">
        <v>0</v>
      </c>
      <c r="Q195" s="301">
        <v>0</v>
      </c>
      <c r="R195" s="301">
        <v>0</v>
      </c>
      <c r="S195" s="301">
        <v>0</v>
      </c>
      <c r="T195" s="301">
        <v>0</v>
      </c>
      <c r="U195" s="301">
        <v>0</v>
      </c>
      <c r="V195" s="301">
        <v>0</v>
      </c>
      <c r="W195" s="301">
        <v>0</v>
      </c>
      <c r="X195" s="301">
        <v>0</v>
      </c>
      <c r="Y195" s="301">
        <v>0</v>
      </c>
      <c r="Z195" s="301">
        <v>0</v>
      </c>
      <c r="AA195" s="301">
        <v>0</v>
      </c>
      <c r="AB195" s="303">
        <v>2020</v>
      </c>
    </row>
    <row r="196" spans="1:28" ht="35.25" customHeight="1" x14ac:dyDescent="0.5">
      <c r="A196">
        <v>1</v>
      </c>
      <c r="B196" s="80">
        <f>SUBTOTAL(103,$A$9:A196)</f>
        <v>187</v>
      </c>
      <c r="C196" s="300" t="s">
        <v>1917</v>
      </c>
      <c r="D196" s="296">
        <f t="shared" si="5"/>
        <v>1415725</v>
      </c>
      <c r="E196" s="301">
        <v>0</v>
      </c>
      <c r="F196" s="301">
        <v>0</v>
      </c>
      <c r="G196" s="301">
        <v>0</v>
      </c>
      <c r="H196" s="301">
        <v>0</v>
      </c>
      <c r="I196" s="301">
        <v>0</v>
      </c>
      <c r="J196" s="301">
        <v>0</v>
      </c>
      <c r="K196" s="302">
        <v>0</v>
      </c>
      <c r="L196" s="301">
        <v>0</v>
      </c>
      <c r="M196" s="301">
        <v>1415725</v>
      </c>
      <c r="N196" s="301">
        <v>0</v>
      </c>
      <c r="O196" s="301">
        <v>0</v>
      </c>
      <c r="P196" s="301">
        <v>0</v>
      </c>
      <c r="Q196" s="301">
        <v>0</v>
      </c>
      <c r="R196" s="301">
        <v>0</v>
      </c>
      <c r="S196" s="301">
        <v>0</v>
      </c>
      <c r="T196" s="301">
        <v>0</v>
      </c>
      <c r="U196" s="301">
        <v>0</v>
      </c>
      <c r="V196" s="301">
        <v>0</v>
      </c>
      <c r="W196" s="301">
        <v>0</v>
      </c>
      <c r="X196" s="301">
        <v>0</v>
      </c>
      <c r="Y196" s="301">
        <v>0</v>
      </c>
      <c r="Z196" s="301">
        <v>0</v>
      </c>
      <c r="AA196" s="301">
        <v>0</v>
      </c>
      <c r="AB196" s="303">
        <v>2020</v>
      </c>
    </row>
    <row r="197" spans="1:28" ht="35.25" customHeight="1" x14ac:dyDescent="0.5">
      <c r="A197">
        <v>1</v>
      </c>
      <c r="B197" s="80">
        <f>SUBTOTAL(103,$A$9:A197)</f>
        <v>188</v>
      </c>
      <c r="C197" s="300" t="s">
        <v>2179</v>
      </c>
      <c r="D197" s="296">
        <f t="shared" si="5"/>
        <v>375709.22</v>
      </c>
      <c r="E197" s="301">
        <v>0</v>
      </c>
      <c r="F197" s="301">
        <v>0</v>
      </c>
      <c r="G197" s="301">
        <v>0</v>
      </c>
      <c r="H197" s="301">
        <v>0</v>
      </c>
      <c r="I197" s="301">
        <v>0</v>
      </c>
      <c r="J197" s="301">
        <v>0</v>
      </c>
      <c r="K197" s="302">
        <v>0</v>
      </c>
      <c r="L197" s="301">
        <v>0</v>
      </c>
      <c r="M197" s="301">
        <v>0</v>
      </c>
      <c r="N197" s="301">
        <v>0</v>
      </c>
      <c r="O197" s="301">
        <v>375709.22</v>
      </c>
      <c r="P197" s="301">
        <v>0</v>
      </c>
      <c r="Q197" s="301">
        <v>0</v>
      </c>
      <c r="R197" s="301">
        <v>0</v>
      </c>
      <c r="S197" s="301">
        <v>0</v>
      </c>
      <c r="T197" s="301">
        <v>0</v>
      </c>
      <c r="U197" s="301">
        <v>0</v>
      </c>
      <c r="V197" s="301">
        <v>0</v>
      </c>
      <c r="W197" s="301">
        <v>0</v>
      </c>
      <c r="X197" s="301">
        <v>0</v>
      </c>
      <c r="Y197" s="301">
        <v>0</v>
      </c>
      <c r="Z197" s="301">
        <v>0</v>
      </c>
      <c r="AA197" s="301">
        <v>0</v>
      </c>
      <c r="AB197" s="303">
        <v>2020</v>
      </c>
    </row>
    <row r="198" spans="1:28" ht="35.25" customHeight="1" x14ac:dyDescent="0.5">
      <c r="A198">
        <v>1</v>
      </c>
      <c r="B198" s="80">
        <f>SUBTOTAL(103,$A$9:A198)</f>
        <v>189</v>
      </c>
      <c r="C198" s="300" t="s">
        <v>2180</v>
      </c>
      <c r="D198" s="296">
        <f t="shared" si="5"/>
        <v>2342000</v>
      </c>
      <c r="E198" s="301">
        <v>0</v>
      </c>
      <c r="F198" s="301">
        <v>0</v>
      </c>
      <c r="G198" s="301">
        <v>0</v>
      </c>
      <c r="H198" s="301">
        <v>0</v>
      </c>
      <c r="I198" s="301">
        <v>0</v>
      </c>
      <c r="J198" s="301">
        <v>0</v>
      </c>
      <c r="K198" s="302">
        <v>1</v>
      </c>
      <c r="L198" s="301">
        <v>2342000</v>
      </c>
      <c r="M198" s="301">
        <v>0</v>
      </c>
      <c r="N198" s="301">
        <v>0</v>
      </c>
      <c r="O198" s="301">
        <v>0</v>
      </c>
      <c r="P198" s="301">
        <v>0</v>
      </c>
      <c r="Q198" s="301">
        <v>0</v>
      </c>
      <c r="R198" s="301">
        <v>0</v>
      </c>
      <c r="S198" s="301">
        <v>0</v>
      </c>
      <c r="T198" s="301">
        <v>0</v>
      </c>
      <c r="U198" s="301">
        <v>0</v>
      </c>
      <c r="V198" s="301">
        <v>0</v>
      </c>
      <c r="W198" s="301">
        <v>0</v>
      </c>
      <c r="X198" s="301">
        <v>0</v>
      </c>
      <c r="Y198" s="301">
        <v>0</v>
      </c>
      <c r="Z198" s="301">
        <v>0</v>
      </c>
      <c r="AA198" s="301">
        <v>0</v>
      </c>
      <c r="AB198" s="303">
        <v>2020</v>
      </c>
    </row>
    <row r="199" spans="1:28" ht="35.25" customHeight="1" x14ac:dyDescent="0.5">
      <c r="A199">
        <v>1</v>
      </c>
      <c r="B199" s="80">
        <f>SUBTOTAL(103,$A$9:A199)</f>
        <v>190</v>
      </c>
      <c r="C199" s="300" t="s">
        <v>2181</v>
      </c>
      <c r="D199" s="296">
        <f t="shared" si="5"/>
        <v>3560254.02</v>
      </c>
      <c r="E199" s="301">
        <v>0</v>
      </c>
      <c r="F199" s="301">
        <v>0</v>
      </c>
      <c r="G199" s="301">
        <v>0</v>
      </c>
      <c r="H199" s="301">
        <v>0</v>
      </c>
      <c r="I199" s="301">
        <v>2895732.04</v>
      </c>
      <c r="J199" s="301">
        <v>0</v>
      </c>
      <c r="K199" s="302">
        <v>0</v>
      </c>
      <c r="L199" s="301">
        <v>0</v>
      </c>
      <c r="M199" s="301">
        <v>0</v>
      </c>
      <c r="N199" s="301">
        <v>0</v>
      </c>
      <c r="O199" s="301">
        <v>664521.98</v>
      </c>
      <c r="P199" s="301">
        <v>0</v>
      </c>
      <c r="Q199" s="301">
        <v>0</v>
      </c>
      <c r="R199" s="301">
        <v>0</v>
      </c>
      <c r="S199" s="301">
        <v>0</v>
      </c>
      <c r="T199" s="301">
        <v>0</v>
      </c>
      <c r="U199" s="301">
        <v>0</v>
      </c>
      <c r="V199" s="301">
        <v>0</v>
      </c>
      <c r="W199" s="301">
        <v>0</v>
      </c>
      <c r="X199" s="301">
        <v>0</v>
      </c>
      <c r="Y199" s="301">
        <v>0</v>
      </c>
      <c r="Z199" s="301">
        <v>0</v>
      </c>
      <c r="AA199" s="301">
        <v>0</v>
      </c>
      <c r="AB199" s="303">
        <v>2020</v>
      </c>
    </row>
    <row r="200" spans="1:28" ht="35.25" customHeight="1" x14ac:dyDescent="0.5">
      <c r="A200">
        <v>1</v>
      </c>
      <c r="B200" s="80">
        <f>SUBTOTAL(103,$A$9:A200)</f>
        <v>191</v>
      </c>
      <c r="C200" s="300" t="s">
        <v>2182</v>
      </c>
      <c r="D200" s="296">
        <f t="shared" si="5"/>
        <v>538864</v>
      </c>
      <c r="E200" s="301">
        <v>0</v>
      </c>
      <c r="F200" s="301">
        <v>0</v>
      </c>
      <c r="G200" s="301">
        <v>0</v>
      </c>
      <c r="H200" s="301">
        <v>0</v>
      </c>
      <c r="I200" s="301">
        <v>0</v>
      </c>
      <c r="J200" s="301">
        <v>0</v>
      </c>
      <c r="K200" s="302">
        <v>0</v>
      </c>
      <c r="L200" s="301">
        <v>0</v>
      </c>
      <c r="M200" s="301">
        <v>0</v>
      </c>
      <c r="N200" s="301">
        <v>0</v>
      </c>
      <c r="O200" s="301">
        <v>538864</v>
      </c>
      <c r="P200" s="301">
        <v>0</v>
      </c>
      <c r="Q200" s="301">
        <v>0</v>
      </c>
      <c r="R200" s="301">
        <v>0</v>
      </c>
      <c r="S200" s="301">
        <v>0</v>
      </c>
      <c r="T200" s="301">
        <v>0</v>
      </c>
      <c r="U200" s="301">
        <v>0</v>
      </c>
      <c r="V200" s="301">
        <v>0</v>
      </c>
      <c r="W200" s="301">
        <v>0</v>
      </c>
      <c r="X200" s="301">
        <v>0</v>
      </c>
      <c r="Y200" s="301">
        <v>0</v>
      </c>
      <c r="Z200" s="301">
        <v>0</v>
      </c>
      <c r="AA200" s="301">
        <v>0</v>
      </c>
      <c r="AB200" s="303">
        <v>2020</v>
      </c>
    </row>
    <row r="201" spans="1:28" ht="35.25" customHeight="1" x14ac:dyDescent="0.5">
      <c r="A201">
        <v>1</v>
      </c>
      <c r="B201" s="80">
        <f>SUBTOTAL(103,$A$9:A201)</f>
        <v>192</v>
      </c>
      <c r="C201" s="300" t="s">
        <v>2183</v>
      </c>
      <c r="D201" s="296">
        <f t="shared" ref="D201:D264" si="6">E201+F201+G201+H201+I201+J201+L201+M201+N201+O201+P201+Q201+R201+S201+T201+U201+V201+W201+X201+Y201+Z201+AA201</f>
        <v>1887319.95</v>
      </c>
      <c r="E201" s="301">
        <v>0</v>
      </c>
      <c r="F201" s="301">
        <v>0</v>
      </c>
      <c r="G201" s="301">
        <v>0</v>
      </c>
      <c r="H201" s="301">
        <v>0</v>
      </c>
      <c r="I201" s="301">
        <v>0</v>
      </c>
      <c r="J201" s="301">
        <v>0</v>
      </c>
      <c r="K201" s="302">
        <v>0</v>
      </c>
      <c r="L201" s="301">
        <v>0</v>
      </c>
      <c r="M201" s="301">
        <v>1110620</v>
      </c>
      <c r="N201" s="301">
        <v>0</v>
      </c>
      <c r="O201" s="301">
        <v>776699.95</v>
      </c>
      <c r="P201" s="301">
        <v>0</v>
      </c>
      <c r="Q201" s="301">
        <v>0</v>
      </c>
      <c r="R201" s="301">
        <v>0</v>
      </c>
      <c r="S201" s="301">
        <v>0</v>
      </c>
      <c r="T201" s="301">
        <v>0</v>
      </c>
      <c r="U201" s="301">
        <v>0</v>
      </c>
      <c r="V201" s="301">
        <v>0</v>
      </c>
      <c r="W201" s="301">
        <v>0</v>
      </c>
      <c r="X201" s="301">
        <v>0</v>
      </c>
      <c r="Y201" s="301">
        <v>0</v>
      </c>
      <c r="Z201" s="301">
        <v>0</v>
      </c>
      <c r="AA201" s="301">
        <v>0</v>
      </c>
      <c r="AB201" s="303">
        <v>2020</v>
      </c>
    </row>
    <row r="202" spans="1:28" ht="35.25" customHeight="1" x14ac:dyDescent="0.5">
      <c r="A202">
        <v>1</v>
      </c>
      <c r="B202" s="80">
        <f>SUBTOTAL(103,$A$9:A202)</f>
        <v>193</v>
      </c>
      <c r="C202" s="300" t="s">
        <v>2184</v>
      </c>
      <c r="D202" s="296">
        <f t="shared" si="6"/>
        <v>1695916.99</v>
      </c>
      <c r="E202" s="301">
        <v>0</v>
      </c>
      <c r="F202" s="301">
        <v>591889.99</v>
      </c>
      <c r="G202" s="301">
        <v>0</v>
      </c>
      <c r="H202" s="301">
        <v>0</v>
      </c>
      <c r="I202" s="301">
        <v>0</v>
      </c>
      <c r="J202" s="301">
        <v>0</v>
      </c>
      <c r="K202" s="302">
        <v>0</v>
      </c>
      <c r="L202" s="301">
        <v>0</v>
      </c>
      <c r="M202" s="301">
        <v>0</v>
      </c>
      <c r="N202" s="301">
        <v>0</v>
      </c>
      <c r="O202" s="301">
        <v>0</v>
      </c>
      <c r="P202" s="301">
        <v>0</v>
      </c>
      <c r="Q202" s="301">
        <v>0</v>
      </c>
      <c r="R202" s="301">
        <v>0</v>
      </c>
      <c r="S202" s="301">
        <v>0</v>
      </c>
      <c r="T202" s="301">
        <v>0</v>
      </c>
      <c r="U202" s="301">
        <v>0</v>
      </c>
      <c r="V202" s="301">
        <v>0</v>
      </c>
      <c r="W202" s="301">
        <v>1104027</v>
      </c>
      <c r="X202" s="301">
        <v>0</v>
      </c>
      <c r="Y202" s="301">
        <v>0</v>
      </c>
      <c r="Z202" s="301">
        <v>0</v>
      </c>
      <c r="AA202" s="301">
        <v>0</v>
      </c>
      <c r="AB202" s="303">
        <v>2020</v>
      </c>
    </row>
    <row r="203" spans="1:28" ht="35.25" customHeight="1" x14ac:dyDescent="0.5">
      <c r="A203">
        <v>1</v>
      </c>
      <c r="B203" s="80">
        <f>SUBTOTAL(103,$A$9:A203)</f>
        <v>194</v>
      </c>
      <c r="C203" s="300" t="s">
        <v>2339</v>
      </c>
      <c r="D203" s="296">
        <f t="shared" si="6"/>
        <v>887671</v>
      </c>
      <c r="E203" s="301">
        <v>0</v>
      </c>
      <c r="F203" s="301">
        <v>0</v>
      </c>
      <c r="G203" s="301">
        <v>0</v>
      </c>
      <c r="H203" s="301">
        <v>0</v>
      </c>
      <c r="I203" s="301">
        <v>0</v>
      </c>
      <c r="J203" s="301">
        <v>0</v>
      </c>
      <c r="K203" s="302">
        <v>0</v>
      </c>
      <c r="L203" s="301">
        <v>0</v>
      </c>
      <c r="M203" s="301">
        <v>0</v>
      </c>
      <c r="N203" s="301">
        <v>0</v>
      </c>
      <c r="O203" s="301">
        <v>887671</v>
      </c>
      <c r="P203" s="301">
        <v>0</v>
      </c>
      <c r="Q203" s="301">
        <v>0</v>
      </c>
      <c r="R203" s="301">
        <v>0</v>
      </c>
      <c r="S203" s="301">
        <v>0</v>
      </c>
      <c r="T203" s="301">
        <v>0</v>
      </c>
      <c r="U203" s="301">
        <v>0</v>
      </c>
      <c r="V203" s="301">
        <v>0</v>
      </c>
      <c r="W203" s="301">
        <v>0</v>
      </c>
      <c r="X203" s="301">
        <v>0</v>
      </c>
      <c r="Y203" s="301">
        <v>0</v>
      </c>
      <c r="Z203" s="301">
        <v>0</v>
      </c>
      <c r="AA203" s="301">
        <v>0</v>
      </c>
      <c r="AB203" s="303">
        <v>2020</v>
      </c>
    </row>
    <row r="204" spans="1:28" ht="35.25" customHeight="1" x14ac:dyDescent="0.5">
      <c r="A204">
        <v>1</v>
      </c>
      <c r="B204" s="80">
        <f>SUBTOTAL(103,$A$9:A204)</f>
        <v>195</v>
      </c>
      <c r="C204" s="300" t="s">
        <v>2185</v>
      </c>
      <c r="D204" s="296">
        <f t="shared" si="6"/>
        <v>1420838</v>
      </c>
      <c r="E204" s="301">
        <v>0</v>
      </c>
      <c r="F204" s="301">
        <v>0</v>
      </c>
      <c r="G204" s="301">
        <v>0</v>
      </c>
      <c r="H204" s="301">
        <v>0</v>
      </c>
      <c r="I204" s="301">
        <v>0</v>
      </c>
      <c r="J204" s="301">
        <v>0</v>
      </c>
      <c r="K204" s="302">
        <v>0</v>
      </c>
      <c r="L204" s="301">
        <v>0</v>
      </c>
      <c r="M204" s="301">
        <v>0</v>
      </c>
      <c r="N204" s="301">
        <v>0</v>
      </c>
      <c r="O204" s="301">
        <v>1420838</v>
      </c>
      <c r="P204" s="301">
        <v>0</v>
      </c>
      <c r="Q204" s="301">
        <v>0</v>
      </c>
      <c r="R204" s="301">
        <v>0</v>
      </c>
      <c r="S204" s="301">
        <v>0</v>
      </c>
      <c r="T204" s="301">
        <v>0</v>
      </c>
      <c r="U204" s="301">
        <v>0</v>
      </c>
      <c r="V204" s="301">
        <v>0</v>
      </c>
      <c r="W204" s="301">
        <v>0</v>
      </c>
      <c r="X204" s="301">
        <v>0</v>
      </c>
      <c r="Y204" s="301">
        <v>0</v>
      </c>
      <c r="Z204" s="301">
        <v>0</v>
      </c>
      <c r="AA204" s="301">
        <v>0</v>
      </c>
      <c r="AB204" s="303">
        <v>2020</v>
      </c>
    </row>
    <row r="205" spans="1:28" ht="35.25" customHeight="1" x14ac:dyDescent="0.5">
      <c r="A205">
        <v>1</v>
      </c>
      <c r="B205" s="80">
        <f>SUBTOTAL(103,$A$9:A205)</f>
        <v>196</v>
      </c>
      <c r="C205" s="300" t="s">
        <v>2186</v>
      </c>
      <c r="D205" s="296">
        <f t="shared" si="6"/>
        <v>304235.02</v>
      </c>
      <c r="E205" s="301">
        <v>0</v>
      </c>
      <c r="F205" s="301">
        <v>0</v>
      </c>
      <c r="G205" s="301">
        <v>0</v>
      </c>
      <c r="H205" s="301">
        <v>0</v>
      </c>
      <c r="I205" s="301">
        <v>0</v>
      </c>
      <c r="J205" s="301">
        <v>0</v>
      </c>
      <c r="K205" s="302">
        <v>0</v>
      </c>
      <c r="L205" s="301">
        <v>0</v>
      </c>
      <c r="M205" s="301">
        <v>0</v>
      </c>
      <c r="N205" s="301">
        <v>0</v>
      </c>
      <c r="O205" s="301">
        <v>304235.02</v>
      </c>
      <c r="P205" s="301">
        <v>0</v>
      </c>
      <c r="Q205" s="301">
        <v>0</v>
      </c>
      <c r="R205" s="301">
        <v>0</v>
      </c>
      <c r="S205" s="301">
        <v>0</v>
      </c>
      <c r="T205" s="301">
        <v>0</v>
      </c>
      <c r="U205" s="301">
        <v>0</v>
      </c>
      <c r="V205" s="301">
        <v>0</v>
      </c>
      <c r="W205" s="301">
        <v>0</v>
      </c>
      <c r="X205" s="301">
        <v>0</v>
      </c>
      <c r="Y205" s="301">
        <v>0</v>
      </c>
      <c r="Z205" s="301">
        <v>0</v>
      </c>
      <c r="AA205" s="301">
        <v>0</v>
      </c>
      <c r="AB205" s="303">
        <v>2020</v>
      </c>
    </row>
    <row r="206" spans="1:28" ht="35.25" customHeight="1" x14ac:dyDescent="0.5">
      <c r="A206">
        <v>1</v>
      </c>
      <c r="B206" s="80">
        <f>SUBTOTAL(103,$A$9:A206)</f>
        <v>197</v>
      </c>
      <c r="C206" s="306" t="s">
        <v>1918</v>
      </c>
      <c r="D206" s="296">
        <f t="shared" si="6"/>
        <v>1295506</v>
      </c>
      <c r="E206" s="304">
        <v>0</v>
      </c>
      <c r="F206" s="304">
        <v>0</v>
      </c>
      <c r="G206" s="304">
        <v>0</v>
      </c>
      <c r="H206" s="304">
        <v>0</v>
      </c>
      <c r="I206" s="304">
        <v>0</v>
      </c>
      <c r="J206" s="304">
        <v>0</v>
      </c>
      <c r="K206" s="302">
        <v>0</v>
      </c>
      <c r="L206" s="304">
        <v>0</v>
      </c>
      <c r="M206" s="304">
        <f>1247639+47867</f>
        <v>1295506</v>
      </c>
      <c r="N206" s="304">
        <v>0</v>
      </c>
      <c r="O206" s="304">
        <v>0</v>
      </c>
      <c r="P206" s="304">
        <v>0</v>
      </c>
      <c r="Q206" s="304">
        <v>0</v>
      </c>
      <c r="R206" s="304">
        <v>0</v>
      </c>
      <c r="S206" s="304">
        <v>0</v>
      </c>
      <c r="T206" s="304">
        <v>0</v>
      </c>
      <c r="U206" s="304">
        <v>0</v>
      </c>
      <c r="V206" s="304">
        <v>0</v>
      </c>
      <c r="W206" s="304">
        <v>0</v>
      </c>
      <c r="X206" s="304">
        <v>0</v>
      </c>
      <c r="Y206" s="304">
        <v>0</v>
      </c>
      <c r="Z206" s="304">
        <v>0</v>
      </c>
      <c r="AA206" s="304">
        <v>0</v>
      </c>
      <c r="AB206" s="303">
        <v>2020</v>
      </c>
    </row>
    <row r="207" spans="1:28" ht="35.25" customHeight="1" x14ac:dyDescent="0.5">
      <c r="A207">
        <v>1</v>
      </c>
      <c r="B207" s="80">
        <f>SUBTOTAL(103,$A$9:A207)</f>
        <v>198</v>
      </c>
      <c r="C207" s="306" t="s">
        <v>2187</v>
      </c>
      <c r="D207" s="296">
        <f t="shared" si="6"/>
        <v>794440</v>
      </c>
      <c r="E207" s="304">
        <v>0</v>
      </c>
      <c r="F207" s="304">
        <v>0</v>
      </c>
      <c r="G207" s="304">
        <v>0</v>
      </c>
      <c r="H207" s="304">
        <v>0</v>
      </c>
      <c r="I207" s="304">
        <v>0</v>
      </c>
      <c r="J207" s="304">
        <v>0</v>
      </c>
      <c r="K207" s="302">
        <v>0</v>
      </c>
      <c r="L207" s="304">
        <v>0</v>
      </c>
      <c r="M207" s="304">
        <v>794440</v>
      </c>
      <c r="N207" s="304">
        <v>0</v>
      </c>
      <c r="O207" s="304">
        <v>0</v>
      </c>
      <c r="P207" s="304">
        <v>0</v>
      </c>
      <c r="Q207" s="304">
        <v>0</v>
      </c>
      <c r="R207" s="304">
        <v>0</v>
      </c>
      <c r="S207" s="304">
        <v>0</v>
      </c>
      <c r="T207" s="304">
        <v>0</v>
      </c>
      <c r="U207" s="304">
        <v>0</v>
      </c>
      <c r="V207" s="304">
        <v>0</v>
      </c>
      <c r="W207" s="304">
        <v>0</v>
      </c>
      <c r="X207" s="304">
        <v>0</v>
      </c>
      <c r="Y207" s="304">
        <v>0</v>
      </c>
      <c r="Z207" s="304">
        <v>0</v>
      </c>
      <c r="AA207" s="304">
        <v>0</v>
      </c>
      <c r="AB207" s="303">
        <v>2020</v>
      </c>
    </row>
    <row r="208" spans="1:28" ht="35.25" customHeight="1" x14ac:dyDescent="0.5">
      <c r="A208">
        <v>1</v>
      </c>
      <c r="B208" s="80">
        <f>SUBTOTAL(103,$A$9:A208)</f>
        <v>199</v>
      </c>
      <c r="C208" s="306" t="s">
        <v>2188</v>
      </c>
      <c r="D208" s="296">
        <f t="shared" si="6"/>
        <v>549279.94999999995</v>
      </c>
      <c r="E208" s="304">
        <v>0</v>
      </c>
      <c r="F208" s="304">
        <v>0</v>
      </c>
      <c r="G208" s="304">
        <v>0</v>
      </c>
      <c r="H208" s="304">
        <v>0</v>
      </c>
      <c r="I208" s="304">
        <v>0</v>
      </c>
      <c r="J208" s="304">
        <v>0</v>
      </c>
      <c r="K208" s="302">
        <v>0</v>
      </c>
      <c r="L208" s="304">
        <v>0</v>
      </c>
      <c r="M208" s="304">
        <v>0</v>
      </c>
      <c r="N208" s="304">
        <v>0</v>
      </c>
      <c r="O208" s="304">
        <v>549279.94999999995</v>
      </c>
      <c r="P208" s="304">
        <v>0</v>
      </c>
      <c r="Q208" s="304">
        <v>0</v>
      </c>
      <c r="R208" s="304">
        <v>0</v>
      </c>
      <c r="S208" s="304">
        <v>0</v>
      </c>
      <c r="T208" s="304">
        <v>0</v>
      </c>
      <c r="U208" s="304">
        <v>0</v>
      </c>
      <c r="V208" s="304">
        <v>0</v>
      </c>
      <c r="W208" s="304">
        <v>0</v>
      </c>
      <c r="X208" s="304">
        <v>0</v>
      </c>
      <c r="Y208" s="304">
        <v>0</v>
      </c>
      <c r="Z208" s="304">
        <v>0</v>
      </c>
      <c r="AA208" s="304">
        <v>0</v>
      </c>
      <c r="AB208" s="303">
        <v>2020</v>
      </c>
    </row>
    <row r="209" spans="1:28" ht="35.25" customHeight="1" x14ac:dyDescent="0.5">
      <c r="A209">
        <v>1</v>
      </c>
      <c r="B209" s="80">
        <f>SUBTOTAL(103,$A$9:A209)</f>
        <v>200</v>
      </c>
      <c r="C209" s="306" t="s">
        <v>2189</v>
      </c>
      <c r="D209" s="296">
        <f t="shared" si="6"/>
        <v>1197698.17</v>
      </c>
      <c r="E209" s="304">
        <v>0</v>
      </c>
      <c r="F209" s="304">
        <v>0</v>
      </c>
      <c r="G209" s="304">
        <v>0</v>
      </c>
      <c r="H209" s="304">
        <v>154635.4</v>
      </c>
      <c r="I209" s="304">
        <v>0</v>
      </c>
      <c r="J209" s="304">
        <v>0</v>
      </c>
      <c r="K209" s="302">
        <v>0</v>
      </c>
      <c r="L209" s="304">
        <v>0</v>
      </c>
      <c r="M209" s="304">
        <v>1043062.77</v>
      </c>
      <c r="N209" s="304">
        <v>0</v>
      </c>
      <c r="O209" s="304">
        <v>0</v>
      </c>
      <c r="P209" s="304">
        <v>0</v>
      </c>
      <c r="Q209" s="304">
        <v>0</v>
      </c>
      <c r="R209" s="304">
        <v>0</v>
      </c>
      <c r="S209" s="304">
        <v>0</v>
      </c>
      <c r="T209" s="304">
        <v>0</v>
      </c>
      <c r="U209" s="304">
        <v>0</v>
      </c>
      <c r="V209" s="304">
        <v>0</v>
      </c>
      <c r="W209" s="304">
        <v>0</v>
      </c>
      <c r="X209" s="304">
        <v>0</v>
      </c>
      <c r="Y209" s="304">
        <v>0</v>
      </c>
      <c r="Z209" s="304">
        <v>0</v>
      </c>
      <c r="AA209" s="304">
        <v>0</v>
      </c>
      <c r="AB209" s="303">
        <v>2020</v>
      </c>
    </row>
    <row r="210" spans="1:28" ht="35.25" customHeight="1" x14ac:dyDescent="0.5">
      <c r="A210">
        <v>1</v>
      </c>
      <c r="B210" s="80">
        <f>SUBTOTAL(103,$A$9:A210)</f>
        <v>201</v>
      </c>
      <c r="C210" s="306" t="s">
        <v>2340</v>
      </c>
      <c r="D210" s="296">
        <f t="shared" si="6"/>
        <v>3472000</v>
      </c>
      <c r="E210" s="304">
        <v>0</v>
      </c>
      <c r="F210" s="304">
        <v>0</v>
      </c>
      <c r="G210" s="304">
        <v>0</v>
      </c>
      <c r="H210" s="304">
        <v>0</v>
      </c>
      <c r="I210" s="304">
        <v>0</v>
      </c>
      <c r="J210" s="304">
        <v>0</v>
      </c>
      <c r="K210" s="302">
        <v>2</v>
      </c>
      <c r="L210" s="304">
        <v>3472000</v>
      </c>
      <c r="M210" s="304">
        <v>0</v>
      </c>
      <c r="N210" s="304">
        <v>0</v>
      </c>
      <c r="O210" s="304">
        <v>0</v>
      </c>
      <c r="P210" s="304">
        <v>0</v>
      </c>
      <c r="Q210" s="304">
        <v>0</v>
      </c>
      <c r="R210" s="304">
        <v>0</v>
      </c>
      <c r="S210" s="304">
        <v>0</v>
      </c>
      <c r="T210" s="304">
        <v>0</v>
      </c>
      <c r="U210" s="304">
        <v>0</v>
      </c>
      <c r="V210" s="304">
        <v>0</v>
      </c>
      <c r="W210" s="304">
        <v>0</v>
      </c>
      <c r="X210" s="304">
        <v>0</v>
      </c>
      <c r="Y210" s="304">
        <v>0</v>
      </c>
      <c r="Z210" s="304">
        <v>0</v>
      </c>
      <c r="AA210" s="304">
        <v>0</v>
      </c>
      <c r="AB210" s="303">
        <v>2020</v>
      </c>
    </row>
    <row r="211" spans="1:28" ht="35.25" customHeight="1" x14ac:dyDescent="0.5">
      <c r="A211">
        <v>1</v>
      </c>
      <c r="B211" s="80">
        <f>SUBTOTAL(103,$A$9:A211)</f>
        <v>202</v>
      </c>
      <c r="C211" s="306" t="s">
        <v>2341</v>
      </c>
      <c r="D211" s="296">
        <f t="shared" si="6"/>
        <v>494000</v>
      </c>
      <c r="E211" s="304">
        <v>0</v>
      </c>
      <c r="F211" s="304">
        <v>494000</v>
      </c>
      <c r="G211" s="304">
        <v>0</v>
      </c>
      <c r="H211" s="304">
        <v>0</v>
      </c>
      <c r="I211" s="304">
        <v>0</v>
      </c>
      <c r="J211" s="304">
        <v>0</v>
      </c>
      <c r="K211" s="302">
        <v>0</v>
      </c>
      <c r="L211" s="304">
        <v>0</v>
      </c>
      <c r="M211" s="304">
        <v>0</v>
      </c>
      <c r="N211" s="304">
        <v>0</v>
      </c>
      <c r="O211" s="304">
        <v>0</v>
      </c>
      <c r="P211" s="304">
        <v>0</v>
      </c>
      <c r="Q211" s="304">
        <v>0</v>
      </c>
      <c r="R211" s="304">
        <v>0</v>
      </c>
      <c r="S211" s="304">
        <v>0</v>
      </c>
      <c r="T211" s="304">
        <v>0</v>
      </c>
      <c r="U211" s="304">
        <v>0</v>
      </c>
      <c r="V211" s="304">
        <v>0</v>
      </c>
      <c r="W211" s="304">
        <v>0</v>
      </c>
      <c r="X211" s="304">
        <v>0</v>
      </c>
      <c r="Y211" s="304">
        <v>0</v>
      </c>
      <c r="Z211" s="304">
        <v>0</v>
      </c>
      <c r="AA211" s="304">
        <v>0</v>
      </c>
      <c r="AB211" s="303">
        <v>2020</v>
      </c>
    </row>
    <row r="212" spans="1:28" ht="35.25" customHeight="1" x14ac:dyDescent="0.5">
      <c r="A212">
        <v>1</v>
      </c>
      <c r="B212" s="80">
        <f>SUBTOTAL(103,$A$9:A212)</f>
        <v>203</v>
      </c>
      <c r="C212" s="306" t="s">
        <v>2342</v>
      </c>
      <c r="D212" s="296">
        <f t="shared" si="6"/>
        <v>316391</v>
      </c>
      <c r="E212" s="304">
        <v>0</v>
      </c>
      <c r="F212" s="304">
        <v>76452</v>
      </c>
      <c r="G212" s="304">
        <v>239939</v>
      </c>
      <c r="H212" s="304">
        <v>0</v>
      </c>
      <c r="I212" s="304">
        <v>0</v>
      </c>
      <c r="J212" s="304">
        <v>0</v>
      </c>
      <c r="K212" s="302">
        <v>0</v>
      </c>
      <c r="L212" s="304">
        <v>0</v>
      </c>
      <c r="M212" s="304">
        <v>0</v>
      </c>
      <c r="N212" s="304">
        <v>0</v>
      </c>
      <c r="O212" s="304">
        <v>0</v>
      </c>
      <c r="P212" s="304">
        <v>0</v>
      </c>
      <c r="Q212" s="304">
        <v>0</v>
      </c>
      <c r="R212" s="304">
        <v>0</v>
      </c>
      <c r="S212" s="304">
        <v>0</v>
      </c>
      <c r="T212" s="304">
        <v>0</v>
      </c>
      <c r="U212" s="304">
        <v>0</v>
      </c>
      <c r="V212" s="304">
        <v>0</v>
      </c>
      <c r="W212" s="304">
        <v>0</v>
      </c>
      <c r="X212" s="304">
        <v>0</v>
      </c>
      <c r="Y212" s="304">
        <v>0</v>
      </c>
      <c r="Z212" s="304">
        <v>0</v>
      </c>
      <c r="AA212" s="304">
        <v>0</v>
      </c>
      <c r="AB212" s="303">
        <v>2020</v>
      </c>
    </row>
    <row r="213" spans="1:28" ht="35.25" customHeight="1" x14ac:dyDescent="0.5">
      <c r="A213">
        <v>1</v>
      </c>
      <c r="B213" s="80">
        <f>SUBTOTAL(103,$A$9:A213)</f>
        <v>204</v>
      </c>
      <c r="C213" s="306" t="s">
        <v>2343</v>
      </c>
      <c r="D213" s="296">
        <f t="shared" si="6"/>
        <v>1672066.6</v>
      </c>
      <c r="E213" s="304">
        <v>0</v>
      </c>
      <c r="F213" s="304">
        <v>0</v>
      </c>
      <c r="G213" s="304">
        <v>479418.5</v>
      </c>
      <c r="H213" s="304">
        <v>0</v>
      </c>
      <c r="I213" s="304">
        <v>62648.1</v>
      </c>
      <c r="J213" s="304">
        <v>0</v>
      </c>
      <c r="K213" s="302">
        <v>0</v>
      </c>
      <c r="L213" s="304">
        <v>0</v>
      </c>
      <c r="M213" s="304">
        <v>1130000</v>
      </c>
      <c r="N213" s="304">
        <v>0</v>
      </c>
      <c r="O213" s="304">
        <v>0</v>
      </c>
      <c r="P213" s="304">
        <v>0</v>
      </c>
      <c r="Q213" s="304">
        <v>0</v>
      </c>
      <c r="R213" s="304">
        <v>0</v>
      </c>
      <c r="S213" s="304">
        <v>0</v>
      </c>
      <c r="T213" s="304">
        <v>0</v>
      </c>
      <c r="U213" s="304">
        <v>0</v>
      </c>
      <c r="V213" s="304">
        <v>0</v>
      </c>
      <c r="W213" s="304">
        <v>0</v>
      </c>
      <c r="X213" s="304">
        <v>0</v>
      </c>
      <c r="Y213" s="304">
        <v>0</v>
      </c>
      <c r="Z213" s="304">
        <v>0</v>
      </c>
      <c r="AA213" s="304">
        <v>0</v>
      </c>
      <c r="AB213" s="303">
        <v>2020</v>
      </c>
    </row>
    <row r="214" spans="1:28" ht="35.25" customHeight="1" x14ac:dyDescent="0.5">
      <c r="A214">
        <v>1</v>
      </c>
      <c r="B214" s="80">
        <f>SUBTOTAL(103,$A$9:A214)</f>
        <v>205</v>
      </c>
      <c r="C214" s="306" t="s">
        <v>2344</v>
      </c>
      <c r="D214" s="296">
        <f t="shared" si="6"/>
        <v>72770</v>
      </c>
      <c r="E214" s="304">
        <v>72770</v>
      </c>
      <c r="F214" s="304">
        <v>0</v>
      </c>
      <c r="G214" s="304">
        <v>0</v>
      </c>
      <c r="H214" s="304">
        <v>0</v>
      </c>
      <c r="I214" s="304">
        <v>0</v>
      </c>
      <c r="J214" s="304">
        <v>0</v>
      </c>
      <c r="K214" s="302">
        <v>0</v>
      </c>
      <c r="L214" s="304">
        <v>0</v>
      </c>
      <c r="M214" s="304">
        <v>0</v>
      </c>
      <c r="N214" s="304">
        <v>0</v>
      </c>
      <c r="O214" s="304">
        <v>0</v>
      </c>
      <c r="P214" s="304">
        <v>0</v>
      </c>
      <c r="Q214" s="304">
        <v>0</v>
      </c>
      <c r="R214" s="304">
        <v>0</v>
      </c>
      <c r="S214" s="304">
        <v>0</v>
      </c>
      <c r="T214" s="304">
        <v>0</v>
      </c>
      <c r="U214" s="304">
        <v>0</v>
      </c>
      <c r="V214" s="304">
        <v>0</v>
      </c>
      <c r="W214" s="304">
        <v>0</v>
      </c>
      <c r="X214" s="304">
        <v>0</v>
      </c>
      <c r="Y214" s="304">
        <v>0</v>
      </c>
      <c r="Z214" s="304">
        <v>0</v>
      </c>
      <c r="AA214" s="304">
        <v>0</v>
      </c>
      <c r="AB214" s="303">
        <v>2020</v>
      </c>
    </row>
    <row r="215" spans="1:28" ht="35.25" customHeight="1" x14ac:dyDescent="0.5">
      <c r="A215">
        <v>1</v>
      </c>
      <c r="B215" s="80">
        <f>SUBTOTAL(103,$A$9:A215)</f>
        <v>206</v>
      </c>
      <c r="C215" s="306" t="s">
        <v>2190</v>
      </c>
      <c r="D215" s="296">
        <f t="shared" si="6"/>
        <v>884816.16</v>
      </c>
      <c r="E215" s="304">
        <v>0</v>
      </c>
      <c r="F215" s="304">
        <v>0</v>
      </c>
      <c r="G215" s="304">
        <v>0</v>
      </c>
      <c r="H215" s="304">
        <v>0</v>
      </c>
      <c r="I215" s="304">
        <v>0</v>
      </c>
      <c r="J215" s="304">
        <v>0</v>
      </c>
      <c r="K215" s="302">
        <v>0</v>
      </c>
      <c r="L215" s="304">
        <v>0</v>
      </c>
      <c r="M215" s="304">
        <v>753243.91</v>
      </c>
      <c r="N215" s="304">
        <v>0</v>
      </c>
      <c r="O215" s="304">
        <v>131572.25</v>
      </c>
      <c r="P215" s="304">
        <v>0</v>
      </c>
      <c r="Q215" s="304">
        <v>0</v>
      </c>
      <c r="R215" s="304">
        <v>0</v>
      </c>
      <c r="S215" s="304">
        <v>0</v>
      </c>
      <c r="T215" s="304">
        <v>0</v>
      </c>
      <c r="U215" s="304">
        <v>0</v>
      </c>
      <c r="V215" s="304">
        <v>0</v>
      </c>
      <c r="W215" s="304">
        <v>0</v>
      </c>
      <c r="X215" s="304">
        <v>0</v>
      </c>
      <c r="Y215" s="304">
        <v>0</v>
      </c>
      <c r="Z215" s="304">
        <v>0</v>
      </c>
      <c r="AA215" s="304">
        <v>0</v>
      </c>
      <c r="AB215" s="303">
        <v>2020</v>
      </c>
    </row>
    <row r="216" spans="1:28" ht="35.25" customHeight="1" x14ac:dyDescent="0.5">
      <c r="A216">
        <v>1</v>
      </c>
      <c r="B216" s="80">
        <f>SUBTOTAL(103,$A$9:A216)</f>
        <v>207</v>
      </c>
      <c r="C216" s="306" t="s">
        <v>2191</v>
      </c>
      <c r="D216" s="296">
        <f t="shared" si="6"/>
        <v>435227</v>
      </c>
      <c r="E216" s="304">
        <v>0</v>
      </c>
      <c r="F216" s="304">
        <v>0</v>
      </c>
      <c r="G216" s="304">
        <v>0</v>
      </c>
      <c r="H216" s="304">
        <v>0</v>
      </c>
      <c r="I216" s="304">
        <v>0</v>
      </c>
      <c r="J216" s="304">
        <v>0</v>
      </c>
      <c r="K216" s="302">
        <v>0</v>
      </c>
      <c r="L216" s="304">
        <v>0</v>
      </c>
      <c r="M216" s="304">
        <v>435227</v>
      </c>
      <c r="N216" s="304">
        <v>0</v>
      </c>
      <c r="O216" s="304">
        <v>0</v>
      </c>
      <c r="P216" s="304">
        <v>0</v>
      </c>
      <c r="Q216" s="304">
        <v>0</v>
      </c>
      <c r="R216" s="304">
        <v>0</v>
      </c>
      <c r="S216" s="304">
        <v>0</v>
      </c>
      <c r="T216" s="304">
        <v>0</v>
      </c>
      <c r="U216" s="304">
        <v>0</v>
      </c>
      <c r="V216" s="304">
        <v>0</v>
      </c>
      <c r="W216" s="304">
        <v>0</v>
      </c>
      <c r="X216" s="304">
        <v>0</v>
      </c>
      <c r="Y216" s="304">
        <v>0</v>
      </c>
      <c r="Z216" s="304">
        <v>0</v>
      </c>
      <c r="AA216" s="304">
        <v>0</v>
      </c>
      <c r="AB216" s="303">
        <v>2020</v>
      </c>
    </row>
    <row r="217" spans="1:28" ht="35.25" customHeight="1" x14ac:dyDescent="0.5">
      <c r="A217">
        <v>1</v>
      </c>
      <c r="B217" s="80">
        <f>SUBTOTAL(103,$A$9:A217)</f>
        <v>208</v>
      </c>
      <c r="C217" s="306" t="s">
        <v>2192</v>
      </c>
      <c r="D217" s="296">
        <f t="shared" si="6"/>
        <v>820280.67</v>
      </c>
      <c r="E217" s="304">
        <v>0</v>
      </c>
      <c r="F217" s="304">
        <v>0</v>
      </c>
      <c r="G217" s="304">
        <v>0</v>
      </c>
      <c r="H217" s="304">
        <v>0</v>
      </c>
      <c r="I217" s="304">
        <v>820280.67</v>
      </c>
      <c r="J217" s="304">
        <v>0</v>
      </c>
      <c r="K217" s="302">
        <v>0</v>
      </c>
      <c r="L217" s="304">
        <v>0</v>
      </c>
      <c r="M217" s="304">
        <v>0</v>
      </c>
      <c r="N217" s="304">
        <v>0</v>
      </c>
      <c r="O217" s="304">
        <v>0</v>
      </c>
      <c r="P217" s="304">
        <v>0</v>
      </c>
      <c r="Q217" s="304">
        <v>0</v>
      </c>
      <c r="R217" s="304">
        <v>0</v>
      </c>
      <c r="S217" s="304">
        <v>0</v>
      </c>
      <c r="T217" s="304">
        <v>0</v>
      </c>
      <c r="U217" s="304">
        <v>0</v>
      </c>
      <c r="V217" s="304">
        <v>0</v>
      </c>
      <c r="W217" s="304">
        <v>0</v>
      </c>
      <c r="X217" s="304">
        <v>0</v>
      </c>
      <c r="Y217" s="304">
        <v>0</v>
      </c>
      <c r="Z217" s="304">
        <v>0</v>
      </c>
      <c r="AA217" s="304">
        <v>0</v>
      </c>
      <c r="AB217" s="303">
        <v>2020</v>
      </c>
    </row>
    <row r="218" spans="1:28" ht="35.25" customHeight="1" x14ac:dyDescent="0.5">
      <c r="A218">
        <v>1</v>
      </c>
      <c r="B218" s="80">
        <f>SUBTOTAL(103,$A$9:A218)</f>
        <v>209</v>
      </c>
      <c r="C218" s="306" t="s">
        <v>2193</v>
      </c>
      <c r="D218" s="296">
        <f t="shared" si="6"/>
        <v>6916836</v>
      </c>
      <c r="E218" s="304">
        <v>0</v>
      </c>
      <c r="F218" s="304">
        <v>0</v>
      </c>
      <c r="G218" s="304">
        <v>0</v>
      </c>
      <c r="H218" s="304">
        <v>1738372</v>
      </c>
      <c r="I218" s="304">
        <v>0</v>
      </c>
      <c r="J218" s="304">
        <v>0</v>
      </c>
      <c r="K218" s="302">
        <v>0</v>
      </c>
      <c r="L218" s="304">
        <v>0</v>
      </c>
      <c r="M218" s="304">
        <v>5178464</v>
      </c>
      <c r="N218" s="304">
        <v>0</v>
      </c>
      <c r="O218" s="304">
        <v>0</v>
      </c>
      <c r="P218" s="304">
        <v>0</v>
      </c>
      <c r="Q218" s="304">
        <v>0</v>
      </c>
      <c r="R218" s="304">
        <v>0</v>
      </c>
      <c r="S218" s="304">
        <v>0</v>
      </c>
      <c r="T218" s="304">
        <v>0</v>
      </c>
      <c r="U218" s="304">
        <v>0</v>
      </c>
      <c r="V218" s="304">
        <v>0</v>
      </c>
      <c r="W218" s="304">
        <v>0</v>
      </c>
      <c r="X218" s="304">
        <v>0</v>
      </c>
      <c r="Y218" s="304">
        <v>0</v>
      </c>
      <c r="Z218" s="304">
        <v>0</v>
      </c>
      <c r="AA218" s="304">
        <v>0</v>
      </c>
      <c r="AB218" s="303">
        <v>2020</v>
      </c>
    </row>
    <row r="219" spans="1:28" ht="35.25" customHeight="1" x14ac:dyDescent="0.5">
      <c r="A219">
        <v>1</v>
      </c>
      <c r="B219" s="80">
        <f>SUBTOTAL(103,$A$9:A219)</f>
        <v>210</v>
      </c>
      <c r="C219" s="306" t="s">
        <v>2194</v>
      </c>
      <c r="D219" s="296">
        <f t="shared" si="6"/>
        <v>997903.56</v>
      </c>
      <c r="E219" s="304">
        <v>0</v>
      </c>
      <c r="F219" s="304">
        <v>0</v>
      </c>
      <c r="G219" s="304">
        <v>0</v>
      </c>
      <c r="H219" s="304">
        <v>0</v>
      </c>
      <c r="I219" s="304">
        <v>0</v>
      </c>
      <c r="J219" s="304">
        <v>0</v>
      </c>
      <c r="K219" s="302">
        <v>0</v>
      </c>
      <c r="L219" s="304">
        <v>0</v>
      </c>
      <c r="M219" s="304">
        <v>997903.56</v>
      </c>
      <c r="N219" s="304">
        <v>0</v>
      </c>
      <c r="O219" s="304">
        <v>0</v>
      </c>
      <c r="P219" s="304">
        <v>0</v>
      </c>
      <c r="Q219" s="304">
        <v>0</v>
      </c>
      <c r="R219" s="304">
        <v>0</v>
      </c>
      <c r="S219" s="304">
        <v>0</v>
      </c>
      <c r="T219" s="304">
        <v>0</v>
      </c>
      <c r="U219" s="304">
        <v>0</v>
      </c>
      <c r="V219" s="304">
        <v>0</v>
      </c>
      <c r="W219" s="304">
        <v>0</v>
      </c>
      <c r="X219" s="304">
        <v>0</v>
      </c>
      <c r="Y219" s="304">
        <v>0</v>
      </c>
      <c r="Z219" s="304">
        <v>0</v>
      </c>
      <c r="AA219" s="304">
        <v>0</v>
      </c>
      <c r="AB219" s="303">
        <v>2020</v>
      </c>
    </row>
    <row r="220" spans="1:28" ht="35.25" customHeight="1" x14ac:dyDescent="0.5">
      <c r="A220">
        <v>1</v>
      </c>
      <c r="B220" s="80">
        <f>SUBTOTAL(103,$A$9:A220)</f>
        <v>211</v>
      </c>
      <c r="C220" s="306" t="s">
        <v>2195</v>
      </c>
      <c r="D220" s="296">
        <f t="shared" si="6"/>
        <v>192471</v>
      </c>
      <c r="E220" s="304">
        <v>0</v>
      </c>
      <c r="F220" s="304">
        <v>0</v>
      </c>
      <c r="G220" s="304">
        <v>0</v>
      </c>
      <c r="H220" s="304">
        <v>192471</v>
      </c>
      <c r="I220" s="304">
        <v>0</v>
      </c>
      <c r="J220" s="304">
        <v>0</v>
      </c>
      <c r="K220" s="302">
        <v>0</v>
      </c>
      <c r="L220" s="304">
        <v>0</v>
      </c>
      <c r="M220" s="304">
        <v>0</v>
      </c>
      <c r="N220" s="304">
        <v>0</v>
      </c>
      <c r="O220" s="304">
        <v>0</v>
      </c>
      <c r="P220" s="304">
        <v>0</v>
      </c>
      <c r="Q220" s="304">
        <v>0</v>
      </c>
      <c r="R220" s="304">
        <v>0</v>
      </c>
      <c r="S220" s="304">
        <v>0</v>
      </c>
      <c r="T220" s="304">
        <v>0</v>
      </c>
      <c r="U220" s="304">
        <v>0</v>
      </c>
      <c r="V220" s="304">
        <v>0</v>
      </c>
      <c r="W220" s="304">
        <v>0</v>
      </c>
      <c r="X220" s="304">
        <v>0</v>
      </c>
      <c r="Y220" s="304">
        <v>0</v>
      </c>
      <c r="Z220" s="304">
        <v>0</v>
      </c>
      <c r="AA220" s="304">
        <v>0</v>
      </c>
      <c r="AB220" s="303">
        <v>2020</v>
      </c>
    </row>
    <row r="221" spans="1:28" ht="35.25" customHeight="1" x14ac:dyDescent="0.5">
      <c r="A221">
        <v>1</v>
      </c>
      <c r="B221" s="80">
        <f>SUBTOTAL(103,$A$9:A221)</f>
        <v>212</v>
      </c>
      <c r="C221" s="306" t="s">
        <v>2196</v>
      </c>
      <c r="D221" s="296">
        <f t="shared" si="6"/>
        <v>192603</v>
      </c>
      <c r="E221" s="304">
        <v>0</v>
      </c>
      <c r="F221" s="304">
        <v>192603</v>
      </c>
      <c r="G221" s="304">
        <v>0</v>
      </c>
      <c r="H221" s="304">
        <v>0</v>
      </c>
      <c r="I221" s="304">
        <v>0</v>
      </c>
      <c r="J221" s="304">
        <v>0</v>
      </c>
      <c r="K221" s="302">
        <v>0</v>
      </c>
      <c r="L221" s="304">
        <v>0</v>
      </c>
      <c r="M221" s="304">
        <v>0</v>
      </c>
      <c r="N221" s="304">
        <v>0</v>
      </c>
      <c r="O221" s="304">
        <v>0</v>
      </c>
      <c r="P221" s="304">
        <v>0</v>
      </c>
      <c r="Q221" s="304">
        <v>0</v>
      </c>
      <c r="R221" s="304">
        <v>0</v>
      </c>
      <c r="S221" s="304">
        <v>0</v>
      </c>
      <c r="T221" s="304">
        <v>0</v>
      </c>
      <c r="U221" s="304">
        <v>0</v>
      </c>
      <c r="V221" s="304">
        <v>0</v>
      </c>
      <c r="W221" s="304">
        <v>0</v>
      </c>
      <c r="X221" s="304">
        <v>0</v>
      </c>
      <c r="Y221" s="304">
        <v>0</v>
      </c>
      <c r="Z221" s="304">
        <v>0</v>
      </c>
      <c r="AA221" s="304">
        <v>0</v>
      </c>
      <c r="AB221" s="303">
        <v>2020</v>
      </c>
    </row>
    <row r="222" spans="1:28" ht="35.25" customHeight="1" x14ac:dyDescent="0.5">
      <c r="A222">
        <v>1</v>
      </c>
      <c r="B222" s="80">
        <f>SUBTOTAL(103,$A$9:A222)</f>
        <v>213</v>
      </c>
      <c r="C222" s="306" t="s">
        <v>2197</v>
      </c>
      <c r="D222" s="296">
        <f t="shared" si="6"/>
        <v>1699103.6</v>
      </c>
      <c r="E222" s="304">
        <v>0</v>
      </c>
      <c r="F222" s="304">
        <v>0</v>
      </c>
      <c r="G222" s="304">
        <v>0</v>
      </c>
      <c r="H222" s="304">
        <v>0</v>
      </c>
      <c r="I222" s="304">
        <v>0</v>
      </c>
      <c r="J222" s="304">
        <v>0</v>
      </c>
      <c r="K222" s="302">
        <v>0</v>
      </c>
      <c r="L222" s="304">
        <v>0</v>
      </c>
      <c r="M222" s="304">
        <v>0</v>
      </c>
      <c r="N222" s="304">
        <v>0</v>
      </c>
      <c r="O222" s="304">
        <v>1699103.6</v>
      </c>
      <c r="P222" s="304">
        <v>0</v>
      </c>
      <c r="Q222" s="304">
        <v>0</v>
      </c>
      <c r="R222" s="304">
        <v>0</v>
      </c>
      <c r="S222" s="304">
        <v>0</v>
      </c>
      <c r="T222" s="304">
        <v>0</v>
      </c>
      <c r="U222" s="304">
        <v>0</v>
      </c>
      <c r="V222" s="304">
        <v>0</v>
      </c>
      <c r="W222" s="304">
        <v>0</v>
      </c>
      <c r="X222" s="304">
        <v>0</v>
      </c>
      <c r="Y222" s="304">
        <v>0</v>
      </c>
      <c r="Z222" s="304">
        <v>0</v>
      </c>
      <c r="AA222" s="304">
        <v>0</v>
      </c>
      <c r="AB222" s="303">
        <v>2020</v>
      </c>
    </row>
    <row r="223" spans="1:28" ht="35.25" customHeight="1" x14ac:dyDescent="0.5">
      <c r="A223">
        <v>1</v>
      </c>
      <c r="B223" s="80">
        <f>SUBTOTAL(103,$A$9:A223)</f>
        <v>214</v>
      </c>
      <c r="C223" s="306" t="s">
        <v>2198</v>
      </c>
      <c r="D223" s="296">
        <f t="shared" si="6"/>
        <v>1931052.7</v>
      </c>
      <c r="E223" s="304">
        <v>0</v>
      </c>
      <c r="F223" s="304">
        <v>0</v>
      </c>
      <c r="G223" s="304">
        <v>0</v>
      </c>
      <c r="H223" s="304">
        <v>0</v>
      </c>
      <c r="I223" s="304">
        <v>0</v>
      </c>
      <c r="J223" s="304">
        <v>0</v>
      </c>
      <c r="K223" s="302">
        <v>0</v>
      </c>
      <c r="L223" s="304">
        <v>0</v>
      </c>
      <c r="M223" s="304">
        <v>1449300.96</v>
      </c>
      <c r="N223" s="304">
        <v>0</v>
      </c>
      <c r="O223" s="304">
        <v>481751.74</v>
      </c>
      <c r="P223" s="304">
        <v>0</v>
      </c>
      <c r="Q223" s="304">
        <v>0</v>
      </c>
      <c r="R223" s="304">
        <v>0</v>
      </c>
      <c r="S223" s="304">
        <v>0</v>
      </c>
      <c r="T223" s="304">
        <v>0</v>
      </c>
      <c r="U223" s="304">
        <v>0</v>
      </c>
      <c r="V223" s="304">
        <v>0</v>
      </c>
      <c r="W223" s="304">
        <v>0</v>
      </c>
      <c r="X223" s="304">
        <v>0</v>
      </c>
      <c r="Y223" s="304">
        <v>0</v>
      </c>
      <c r="Z223" s="304">
        <v>0</v>
      </c>
      <c r="AA223" s="304">
        <v>0</v>
      </c>
      <c r="AB223" s="303">
        <v>2020</v>
      </c>
    </row>
    <row r="224" spans="1:28" ht="35.25" customHeight="1" x14ac:dyDescent="0.5">
      <c r="A224">
        <v>1</v>
      </c>
      <c r="B224" s="80">
        <f>SUBTOTAL(103,$A$9:A224)</f>
        <v>215</v>
      </c>
      <c r="C224" s="306" t="s">
        <v>2199</v>
      </c>
      <c r="D224" s="296">
        <f t="shared" si="6"/>
        <v>342268</v>
      </c>
      <c r="E224" s="304">
        <v>0</v>
      </c>
      <c r="F224" s="304">
        <v>0</v>
      </c>
      <c r="G224" s="304">
        <v>0</v>
      </c>
      <c r="H224" s="304">
        <v>121521</v>
      </c>
      <c r="I224" s="304">
        <v>0</v>
      </c>
      <c r="J224" s="304">
        <v>0</v>
      </c>
      <c r="K224" s="302">
        <v>0</v>
      </c>
      <c r="L224" s="304">
        <v>0</v>
      </c>
      <c r="M224" s="304">
        <v>0</v>
      </c>
      <c r="N224" s="304">
        <v>0</v>
      </c>
      <c r="O224" s="304">
        <v>220747</v>
      </c>
      <c r="P224" s="304">
        <v>0</v>
      </c>
      <c r="Q224" s="304">
        <v>0</v>
      </c>
      <c r="R224" s="304">
        <v>0</v>
      </c>
      <c r="S224" s="304">
        <v>0</v>
      </c>
      <c r="T224" s="304">
        <v>0</v>
      </c>
      <c r="U224" s="304">
        <v>0</v>
      </c>
      <c r="V224" s="304">
        <v>0</v>
      </c>
      <c r="W224" s="304">
        <v>0</v>
      </c>
      <c r="X224" s="304">
        <v>0</v>
      </c>
      <c r="Y224" s="304">
        <v>0</v>
      </c>
      <c r="Z224" s="304">
        <v>0</v>
      </c>
      <c r="AA224" s="304">
        <v>0</v>
      </c>
      <c r="AB224" s="303">
        <v>2020</v>
      </c>
    </row>
    <row r="225" spans="1:28" ht="35.25" customHeight="1" x14ac:dyDescent="0.5">
      <c r="A225">
        <v>1</v>
      </c>
      <c r="B225" s="80">
        <f>SUBTOTAL(103,$A$9:A225)</f>
        <v>216</v>
      </c>
      <c r="C225" s="306" t="s">
        <v>2200</v>
      </c>
      <c r="D225" s="296">
        <f t="shared" si="6"/>
        <v>1164297</v>
      </c>
      <c r="E225" s="304">
        <v>0</v>
      </c>
      <c r="F225" s="304">
        <v>0</v>
      </c>
      <c r="G225" s="304">
        <v>0</v>
      </c>
      <c r="H225" s="304">
        <v>0</v>
      </c>
      <c r="I225" s="304">
        <v>0</v>
      </c>
      <c r="J225" s="304">
        <v>0</v>
      </c>
      <c r="K225" s="302">
        <v>0</v>
      </c>
      <c r="L225" s="304">
        <v>0</v>
      </c>
      <c r="M225" s="304">
        <v>1164297</v>
      </c>
      <c r="N225" s="304">
        <v>0</v>
      </c>
      <c r="O225" s="304">
        <v>0</v>
      </c>
      <c r="P225" s="304">
        <v>0</v>
      </c>
      <c r="Q225" s="304">
        <v>0</v>
      </c>
      <c r="R225" s="304">
        <v>0</v>
      </c>
      <c r="S225" s="304">
        <v>0</v>
      </c>
      <c r="T225" s="304">
        <v>0</v>
      </c>
      <c r="U225" s="304">
        <v>0</v>
      </c>
      <c r="V225" s="304">
        <v>0</v>
      </c>
      <c r="W225" s="304">
        <v>0</v>
      </c>
      <c r="X225" s="304">
        <v>0</v>
      </c>
      <c r="Y225" s="304">
        <v>0</v>
      </c>
      <c r="Z225" s="304">
        <v>0</v>
      </c>
      <c r="AA225" s="304">
        <v>0</v>
      </c>
      <c r="AB225" s="303">
        <v>2020</v>
      </c>
    </row>
    <row r="226" spans="1:28" ht="35.25" customHeight="1" x14ac:dyDescent="0.5">
      <c r="A226">
        <v>1</v>
      </c>
      <c r="B226" s="80">
        <f>SUBTOTAL(103,$A$9:A226)</f>
        <v>217</v>
      </c>
      <c r="C226" s="306" t="s">
        <v>2201</v>
      </c>
      <c r="D226" s="296">
        <f t="shared" si="6"/>
        <v>1111344</v>
      </c>
      <c r="E226" s="304">
        <v>0</v>
      </c>
      <c r="F226" s="304">
        <v>0</v>
      </c>
      <c r="G226" s="304">
        <v>0</v>
      </c>
      <c r="H226" s="304">
        <v>0</v>
      </c>
      <c r="I226" s="304">
        <v>0</v>
      </c>
      <c r="J226" s="304">
        <v>0</v>
      </c>
      <c r="K226" s="302">
        <v>0</v>
      </c>
      <c r="L226" s="304">
        <v>0</v>
      </c>
      <c r="M226" s="304">
        <v>0</v>
      </c>
      <c r="N226" s="304">
        <v>0</v>
      </c>
      <c r="O226" s="304">
        <v>1111344</v>
      </c>
      <c r="P226" s="304">
        <v>0</v>
      </c>
      <c r="Q226" s="304">
        <v>0</v>
      </c>
      <c r="R226" s="304">
        <v>0</v>
      </c>
      <c r="S226" s="304">
        <v>0</v>
      </c>
      <c r="T226" s="304">
        <v>0</v>
      </c>
      <c r="U226" s="304">
        <v>0</v>
      </c>
      <c r="V226" s="304">
        <v>0</v>
      </c>
      <c r="W226" s="304">
        <v>0</v>
      </c>
      <c r="X226" s="304">
        <v>0</v>
      </c>
      <c r="Y226" s="304">
        <v>0</v>
      </c>
      <c r="Z226" s="304">
        <v>0</v>
      </c>
      <c r="AA226" s="304">
        <v>0</v>
      </c>
      <c r="AB226" s="303">
        <v>2020</v>
      </c>
    </row>
    <row r="227" spans="1:28" ht="35.25" customHeight="1" x14ac:dyDescent="0.5">
      <c r="A227">
        <v>1</v>
      </c>
      <c r="B227" s="80">
        <f>SUBTOTAL(103,$A$9:A227)</f>
        <v>218</v>
      </c>
      <c r="C227" s="306" t="s">
        <v>2202</v>
      </c>
      <c r="D227" s="296">
        <f t="shared" si="6"/>
        <v>73067</v>
      </c>
      <c r="E227" s="304">
        <v>0</v>
      </c>
      <c r="F227" s="304">
        <v>0</v>
      </c>
      <c r="G227" s="304">
        <v>0</v>
      </c>
      <c r="H227" s="304">
        <v>0</v>
      </c>
      <c r="I227" s="304">
        <v>0</v>
      </c>
      <c r="J227" s="304">
        <v>0</v>
      </c>
      <c r="K227" s="302">
        <v>1</v>
      </c>
      <c r="L227" s="304">
        <v>73067</v>
      </c>
      <c r="M227" s="304">
        <v>0</v>
      </c>
      <c r="N227" s="304">
        <v>0</v>
      </c>
      <c r="O227" s="304">
        <v>0</v>
      </c>
      <c r="P227" s="304">
        <v>0</v>
      </c>
      <c r="Q227" s="304">
        <v>0</v>
      </c>
      <c r="R227" s="304">
        <v>0</v>
      </c>
      <c r="S227" s="304">
        <v>0</v>
      </c>
      <c r="T227" s="304">
        <v>0</v>
      </c>
      <c r="U227" s="304">
        <v>0</v>
      </c>
      <c r="V227" s="304">
        <v>0</v>
      </c>
      <c r="W227" s="304">
        <v>0</v>
      </c>
      <c r="X227" s="304">
        <v>0</v>
      </c>
      <c r="Y227" s="304">
        <v>0</v>
      </c>
      <c r="Z227" s="304">
        <v>0</v>
      </c>
      <c r="AA227" s="304">
        <v>0</v>
      </c>
      <c r="AB227" s="303">
        <v>2020</v>
      </c>
    </row>
    <row r="228" spans="1:28" ht="35.25" customHeight="1" x14ac:dyDescent="0.5">
      <c r="A228">
        <v>1</v>
      </c>
      <c r="B228" s="80">
        <f>SUBTOTAL(103,$A$9:A228)</f>
        <v>219</v>
      </c>
      <c r="C228" s="306" t="s">
        <v>2203</v>
      </c>
      <c r="D228" s="296">
        <f t="shared" si="6"/>
        <v>493124.1</v>
      </c>
      <c r="E228" s="304">
        <v>0</v>
      </c>
      <c r="F228" s="304">
        <v>0</v>
      </c>
      <c r="G228" s="304">
        <v>0</v>
      </c>
      <c r="H228" s="304">
        <v>0</v>
      </c>
      <c r="I228" s="304">
        <v>0</v>
      </c>
      <c r="J228" s="304">
        <v>0</v>
      </c>
      <c r="K228" s="302">
        <v>0</v>
      </c>
      <c r="L228" s="304">
        <v>0</v>
      </c>
      <c r="M228" s="304">
        <v>0</v>
      </c>
      <c r="N228" s="304">
        <v>0</v>
      </c>
      <c r="O228" s="304">
        <v>493124.1</v>
      </c>
      <c r="P228" s="304">
        <v>0</v>
      </c>
      <c r="Q228" s="304">
        <v>0</v>
      </c>
      <c r="R228" s="304">
        <v>0</v>
      </c>
      <c r="S228" s="304">
        <v>0</v>
      </c>
      <c r="T228" s="304">
        <v>0</v>
      </c>
      <c r="U228" s="304">
        <v>0</v>
      </c>
      <c r="V228" s="304">
        <v>0</v>
      </c>
      <c r="W228" s="304">
        <v>0</v>
      </c>
      <c r="X228" s="304">
        <v>0</v>
      </c>
      <c r="Y228" s="304">
        <v>0</v>
      </c>
      <c r="Z228" s="304">
        <v>0</v>
      </c>
      <c r="AA228" s="304">
        <v>0</v>
      </c>
      <c r="AB228" s="303">
        <v>2020</v>
      </c>
    </row>
    <row r="229" spans="1:28" ht="35.25" customHeight="1" x14ac:dyDescent="0.5">
      <c r="A229">
        <v>1</v>
      </c>
      <c r="B229" s="80">
        <f>SUBTOTAL(103,$A$9:A229)</f>
        <v>220</v>
      </c>
      <c r="C229" s="306" t="s">
        <v>2204</v>
      </c>
      <c r="D229" s="296">
        <f t="shared" si="6"/>
        <v>636988.72</v>
      </c>
      <c r="E229" s="304">
        <v>0</v>
      </c>
      <c r="F229" s="304">
        <v>0</v>
      </c>
      <c r="G229" s="304">
        <v>636988.72</v>
      </c>
      <c r="H229" s="304">
        <v>0</v>
      </c>
      <c r="I229" s="304">
        <v>0</v>
      </c>
      <c r="J229" s="304">
        <v>0</v>
      </c>
      <c r="K229" s="302">
        <v>0</v>
      </c>
      <c r="L229" s="304">
        <v>0</v>
      </c>
      <c r="M229" s="304">
        <v>0</v>
      </c>
      <c r="N229" s="304">
        <v>0</v>
      </c>
      <c r="O229" s="304">
        <v>0</v>
      </c>
      <c r="P229" s="304">
        <v>0</v>
      </c>
      <c r="Q229" s="304">
        <v>0</v>
      </c>
      <c r="R229" s="304">
        <v>0</v>
      </c>
      <c r="S229" s="304">
        <v>0</v>
      </c>
      <c r="T229" s="304">
        <v>0</v>
      </c>
      <c r="U229" s="304">
        <v>0</v>
      </c>
      <c r="V229" s="304">
        <v>0</v>
      </c>
      <c r="W229" s="304">
        <v>0</v>
      </c>
      <c r="X229" s="304">
        <v>0</v>
      </c>
      <c r="Y229" s="304">
        <v>0</v>
      </c>
      <c r="Z229" s="304">
        <v>0</v>
      </c>
      <c r="AA229" s="304">
        <v>0</v>
      </c>
      <c r="AB229" s="303">
        <v>2020</v>
      </c>
    </row>
    <row r="230" spans="1:28" ht="35.25" customHeight="1" x14ac:dyDescent="0.5">
      <c r="A230">
        <v>1</v>
      </c>
      <c r="B230" s="80">
        <f>SUBTOTAL(103,$A$9:A230)</f>
        <v>221</v>
      </c>
      <c r="C230" s="306" t="s">
        <v>2205</v>
      </c>
      <c r="D230" s="296">
        <f t="shared" si="6"/>
        <v>663910</v>
      </c>
      <c r="E230" s="304">
        <v>0</v>
      </c>
      <c r="F230" s="304">
        <v>0</v>
      </c>
      <c r="G230" s="304">
        <v>0</v>
      </c>
      <c r="H230" s="304">
        <v>0</v>
      </c>
      <c r="I230" s="304">
        <v>650000</v>
      </c>
      <c r="J230" s="304">
        <v>0</v>
      </c>
      <c r="K230" s="302">
        <v>0</v>
      </c>
      <c r="L230" s="304">
        <v>0</v>
      </c>
      <c r="M230" s="304">
        <v>0</v>
      </c>
      <c r="N230" s="304">
        <v>0</v>
      </c>
      <c r="O230" s="304">
        <v>0</v>
      </c>
      <c r="P230" s="304">
        <v>0</v>
      </c>
      <c r="Q230" s="304">
        <v>0</v>
      </c>
      <c r="R230" s="304">
        <v>0</v>
      </c>
      <c r="S230" s="304">
        <v>0</v>
      </c>
      <c r="T230" s="304">
        <v>0</v>
      </c>
      <c r="U230" s="304">
        <v>0</v>
      </c>
      <c r="V230" s="304">
        <v>0</v>
      </c>
      <c r="W230" s="304">
        <v>0</v>
      </c>
      <c r="X230" s="304">
        <v>0</v>
      </c>
      <c r="Y230" s="304">
        <v>13910</v>
      </c>
      <c r="Z230" s="304">
        <v>0</v>
      </c>
      <c r="AA230" s="304">
        <v>0</v>
      </c>
      <c r="AB230" s="303">
        <v>2020</v>
      </c>
    </row>
    <row r="231" spans="1:28" ht="35.25" customHeight="1" x14ac:dyDescent="0.5">
      <c r="A231">
        <v>1</v>
      </c>
      <c r="B231" s="80">
        <f>SUBTOTAL(103,$A$9:A231)</f>
        <v>222</v>
      </c>
      <c r="C231" s="306" t="s">
        <v>2206</v>
      </c>
      <c r="D231" s="296">
        <f t="shared" si="6"/>
        <v>265705</v>
      </c>
      <c r="E231" s="304">
        <v>0</v>
      </c>
      <c r="F231" s="304">
        <v>0</v>
      </c>
      <c r="G231" s="304">
        <v>0</v>
      </c>
      <c r="H231" s="304">
        <v>0</v>
      </c>
      <c r="I231" s="304">
        <v>0</v>
      </c>
      <c r="J231" s="304">
        <v>0</v>
      </c>
      <c r="K231" s="302">
        <v>0</v>
      </c>
      <c r="L231" s="304">
        <v>0</v>
      </c>
      <c r="M231" s="304">
        <v>0</v>
      </c>
      <c r="N231" s="304">
        <v>69848</v>
      </c>
      <c r="O231" s="304">
        <v>195857</v>
      </c>
      <c r="P231" s="304">
        <v>0</v>
      </c>
      <c r="Q231" s="304">
        <v>0</v>
      </c>
      <c r="R231" s="304">
        <v>0</v>
      </c>
      <c r="S231" s="304">
        <v>0</v>
      </c>
      <c r="T231" s="304">
        <v>0</v>
      </c>
      <c r="U231" s="304">
        <v>0</v>
      </c>
      <c r="V231" s="304">
        <v>0</v>
      </c>
      <c r="W231" s="304">
        <v>0</v>
      </c>
      <c r="X231" s="304">
        <v>0</v>
      </c>
      <c r="Y231" s="304">
        <v>0</v>
      </c>
      <c r="Z231" s="304">
        <v>0</v>
      </c>
      <c r="AA231" s="304">
        <v>0</v>
      </c>
      <c r="AB231" s="303">
        <v>2020</v>
      </c>
    </row>
    <row r="232" spans="1:28" ht="35.25" customHeight="1" x14ac:dyDescent="0.5">
      <c r="A232">
        <v>1</v>
      </c>
      <c r="B232" s="80">
        <f>SUBTOTAL(103,$A$9:A232)</f>
        <v>223</v>
      </c>
      <c r="C232" s="306" t="s">
        <v>2207</v>
      </c>
      <c r="D232" s="296">
        <f t="shared" si="6"/>
        <v>873135</v>
      </c>
      <c r="E232" s="304">
        <v>0</v>
      </c>
      <c r="F232" s="304">
        <v>0</v>
      </c>
      <c r="G232" s="304">
        <v>0</v>
      </c>
      <c r="H232" s="304">
        <v>0</v>
      </c>
      <c r="I232" s="304">
        <v>0</v>
      </c>
      <c r="J232" s="304">
        <v>0</v>
      </c>
      <c r="K232" s="302">
        <v>0</v>
      </c>
      <c r="L232" s="304">
        <v>0</v>
      </c>
      <c r="M232" s="304">
        <v>873135</v>
      </c>
      <c r="N232" s="304">
        <v>0</v>
      </c>
      <c r="O232" s="304">
        <v>0</v>
      </c>
      <c r="P232" s="304">
        <v>0</v>
      </c>
      <c r="Q232" s="304">
        <v>0</v>
      </c>
      <c r="R232" s="304">
        <v>0</v>
      </c>
      <c r="S232" s="304">
        <v>0</v>
      </c>
      <c r="T232" s="304">
        <v>0</v>
      </c>
      <c r="U232" s="304">
        <v>0</v>
      </c>
      <c r="V232" s="304">
        <v>0</v>
      </c>
      <c r="W232" s="304">
        <v>0</v>
      </c>
      <c r="X232" s="304">
        <v>0</v>
      </c>
      <c r="Y232" s="304">
        <v>0</v>
      </c>
      <c r="Z232" s="304">
        <v>0</v>
      </c>
      <c r="AA232" s="304">
        <v>0</v>
      </c>
      <c r="AB232" s="303">
        <v>2020</v>
      </c>
    </row>
    <row r="233" spans="1:28" ht="35.25" customHeight="1" x14ac:dyDescent="0.5">
      <c r="A233">
        <v>1</v>
      </c>
      <c r="B233" s="80">
        <f>SUBTOTAL(103,$A$9:A233)</f>
        <v>224</v>
      </c>
      <c r="C233" s="306" t="s">
        <v>2208</v>
      </c>
      <c r="D233" s="296">
        <f t="shared" si="6"/>
        <v>2222992.2000000002</v>
      </c>
      <c r="E233" s="304">
        <v>0</v>
      </c>
      <c r="F233" s="304">
        <v>0</v>
      </c>
      <c r="G233" s="304">
        <v>450000</v>
      </c>
      <c r="H233" s="304">
        <v>440000</v>
      </c>
      <c r="I233" s="304">
        <v>0</v>
      </c>
      <c r="J233" s="304">
        <v>0</v>
      </c>
      <c r="K233" s="302">
        <v>0</v>
      </c>
      <c r="L233" s="304">
        <v>0</v>
      </c>
      <c r="M233" s="304">
        <v>0</v>
      </c>
      <c r="N233" s="304">
        <v>0</v>
      </c>
      <c r="O233" s="304">
        <v>1332992.2</v>
      </c>
      <c r="P233" s="304">
        <v>0</v>
      </c>
      <c r="Q233" s="304">
        <v>0</v>
      </c>
      <c r="R233" s="304">
        <v>0</v>
      </c>
      <c r="S233" s="304">
        <v>0</v>
      </c>
      <c r="T233" s="304">
        <v>0</v>
      </c>
      <c r="U233" s="304">
        <v>0</v>
      </c>
      <c r="V233" s="304">
        <v>0</v>
      </c>
      <c r="W233" s="304">
        <v>0</v>
      </c>
      <c r="X233" s="304">
        <v>0</v>
      </c>
      <c r="Y233" s="304">
        <v>0</v>
      </c>
      <c r="Z233" s="304">
        <v>0</v>
      </c>
      <c r="AA233" s="304">
        <v>0</v>
      </c>
      <c r="AB233" s="303">
        <v>2020</v>
      </c>
    </row>
    <row r="234" spans="1:28" ht="35.25" customHeight="1" x14ac:dyDescent="0.5">
      <c r="A234">
        <v>1</v>
      </c>
      <c r="B234" s="80">
        <f>SUBTOTAL(103,$A$9:A234)</f>
        <v>225</v>
      </c>
      <c r="C234" s="306" t="s">
        <v>2209</v>
      </c>
      <c r="D234" s="296">
        <f t="shared" si="6"/>
        <v>761914.32000000007</v>
      </c>
      <c r="E234" s="304">
        <v>300000</v>
      </c>
      <c r="F234" s="304">
        <v>461914.32</v>
      </c>
      <c r="G234" s="304">
        <v>0</v>
      </c>
      <c r="H234" s="304">
        <v>0</v>
      </c>
      <c r="I234" s="304">
        <v>0</v>
      </c>
      <c r="J234" s="304">
        <v>0</v>
      </c>
      <c r="K234" s="302">
        <v>0</v>
      </c>
      <c r="L234" s="304">
        <v>0</v>
      </c>
      <c r="M234" s="304">
        <v>0</v>
      </c>
      <c r="N234" s="304">
        <v>0</v>
      </c>
      <c r="O234" s="304">
        <v>0</v>
      </c>
      <c r="P234" s="304">
        <v>0</v>
      </c>
      <c r="Q234" s="304">
        <v>0</v>
      </c>
      <c r="R234" s="304">
        <v>0</v>
      </c>
      <c r="S234" s="304">
        <v>0</v>
      </c>
      <c r="T234" s="304">
        <v>0</v>
      </c>
      <c r="U234" s="304">
        <v>0</v>
      </c>
      <c r="V234" s="304">
        <v>0</v>
      </c>
      <c r="W234" s="304">
        <v>0</v>
      </c>
      <c r="X234" s="304">
        <v>0</v>
      </c>
      <c r="Y234" s="304">
        <v>0</v>
      </c>
      <c r="Z234" s="304">
        <v>0</v>
      </c>
      <c r="AA234" s="304">
        <v>0</v>
      </c>
      <c r="AB234" s="303">
        <v>2020</v>
      </c>
    </row>
    <row r="235" spans="1:28" ht="35.25" customHeight="1" x14ac:dyDescent="0.5">
      <c r="A235">
        <v>1</v>
      </c>
      <c r="B235" s="80">
        <f>SUBTOTAL(103,$A$9:A235)</f>
        <v>226</v>
      </c>
      <c r="C235" s="306" t="s">
        <v>2210</v>
      </c>
      <c r="D235" s="296">
        <f t="shared" si="6"/>
        <v>3177311.76</v>
      </c>
      <c r="E235" s="304">
        <v>237230.25</v>
      </c>
      <c r="F235" s="304">
        <v>1850000</v>
      </c>
      <c r="G235" s="304">
        <v>1024754.21</v>
      </c>
      <c r="H235" s="304">
        <v>0</v>
      </c>
      <c r="I235" s="304">
        <v>65327.3</v>
      </c>
      <c r="J235" s="304">
        <v>0</v>
      </c>
      <c r="K235" s="302">
        <v>0</v>
      </c>
      <c r="L235" s="304">
        <v>0</v>
      </c>
      <c r="M235" s="304">
        <v>0</v>
      </c>
      <c r="N235" s="304">
        <v>0</v>
      </c>
      <c r="O235" s="304">
        <v>0</v>
      </c>
      <c r="P235" s="304">
        <v>0</v>
      </c>
      <c r="Q235" s="304">
        <v>0</v>
      </c>
      <c r="R235" s="304">
        <v>0</v>
      </c>
      <c r="S235" s="304">
        <v>0</v>
      </c>
      <c r="T235" s="304">
        <v>0</v>
      </c>
      <c r="U235" s="304">
        <v>0</v>
      </c>
      <c r="V235" s="304">
        <v>0</v>
      </c>
      <c r="W235" s="304">
        <v>0</v>
      </c>
      <c r="X235" s="304">
        <v>0</v>
      </c>
      <c r="Y235" s="304">
        <v>0</v>
      </c>
      <c r="Z235" s="304">
        <v>0</v>
      </c>
      <c r="AA235" s="304">
        <v>0</v>
      </c>
      <c r="AB235" s="303">
        <v>2020</v>
      </c>
    </row>
    <row r="236" spans="1:28" ht="35.25" customHeight="1" x14ac:dyDescent="0.5">
      <c r="A236">
        <v>1</v>
      </c>
      <c r="B236" s="80">
        <f>SUBTOTAL(103,$A$9:A236)</f>
        <v>227</v>
      </c>
      <c r="C236" s="306" t="s">
        <v>2211</v>
      </c>
      <c r="D236" s="296">
        <f t="shared" si="6"/>
        <v>1380740</v>
      </c>
      <c r="E236" s="304">
        <v>0</v>
      </c>
      <c r="F236" s="304">
        <v>0</v>
      </c>
      <c r="G236" s="304">
        <v>1380740</v>
      </c>
      <c r="H236" s="304">
        <v>0</v>
      </c>
      <c r="I236" s="304">
        <v>0</v>
      </c>
      <c r="J236" s="304">
        <v>0</v>
      </c>
      <c r="K236" s="302">
        <v>0</v>
      </c>
      <c r="L236" s="304">
        <v>0</v>
      </c>
      <c r="M236" s="304">
        <v>0</v>
      </c>
      <c r="N236" s="304">
        <v>0</v>
      </c>
      <c r="O236" s="304">
        <v>0</v>
      </c>
      <c r="P236" s="304">
        <v>0</v>
      </c>
      <c r="Q236" s="304">
        <v>0</v>
      </c>
      <c r="R236" s="304">
        <v>0</v>
      </c>
      <c r="S236" s="304">
        <v>0</v>
      </c>
      <c r="T236" s="304">
        <v>0</v>
      </c>
      <c r="U236" s="304">
        <v>0</v>
      </c>
      <c r="V236" s="304">
        <v>0</v>
      </c>
      <c r="W236" s="304">
        <v>0</v>
      </c>
      <c r="X236" s="304">
        <v>0</v>
      </c>
      <c r="Y236" s="304">
        <v>0</v>
      </c>
      <c r="Z236" s="304">
        <v>0</v>
      </c>
      <c r="AA236" s="304">
        <v>0</v>
      </c>
      <c r="AB236" s="303">
        <v>2020</v>
      </c>
    </row>
    <row r="237" spans="1:28" ht="35.25" customHeight="1" x14ac:dyDescent="0.5">
      <c r="A237">
        <v>1</v>
      </c>
      <c r="B237" s="80">
        <f>SUBTOTAL(103,$A$9:A237)</f>
        <v>228</v>
      </c>
      <c r="C237" s="306" t="s">
        <v>2212</v>
      </c>
      <c r="D237" s="296">
        <f t="shared" si="6"/>
        <v>513090.3</v>
      </c>
      <c r="E237" s="304">
        <v>0</v>
      </c>
      <c r="F237" s="304">
        <v>513090.3</v>
      </c>
      <c r="G237" s="304">
        <v>0</v>
      </c>
      <c r="H237" s="304">
        <v>0</v>
      </c>
      <c r="I237" s="304">
        <v>0</v>
      </c>
      <c r="J237" s="304">
        <v>0</v>
      </c>
      <c r="K237" s="302">
        <v>0</v>
      </c>
      <c r="L237" s="304">
        <v>0</v>
      </c>
      <c r="M237" s="304">
        <v>0</v>
      </c>
      <c r="N237" s="304">
        <v>0</v>
      </c>
      <c r="O237" s="304">
        <v>0</v>
      </c>
      <c r="P237" s="304">
        <v>0</v>
      </c>
      <c r="Q237" s="304">
        <v>0</v>
      </c>
      <c r="R237" s="304">
        <v>0</v>
      </c>
      <c r="S237" s="304">
        <v>0</v>
      </c>
      <c r="T237" s="304">
        <v>0</v>
      </c>
      <c r="U237" s="304">
        <v>0</v>
      </c>
      <c r="V237" s="304">
        <v>0</v>
      </c>
      <c r="W237" s="304">
        <v>0</v>
      </c>
      <c r="X237" s="304">
        <v>0</v>
      </c>
      <c r="Y237" s="304">
        <v>0</v>
      </c>
      <c r="Z237" s="304">
        <v>0</v>
      </c>
      <c r="AA237" s="304">
        <v>0</v>
      </c>
      <c r="AB237" s="303">
        <v>2020</v>
      </c>
    </row>
    <row r="238" spans="1:28" ht="35.25" customHeight="1" x14ac:dyDescent="0.5">
      <c r="A238">
        <v>1</v>
      </c>
      <c r="B238" s="80">
        <f>SUBTOTAL(103,$A$9:A238)</f>
        <v>229</v>
      </c>
      <c r="C238" s="306" t="s">
        <v>2213</v>
      </c>
      <c r="D238" s="296">
        <f t="shared" si="6"/>
        <v>1821751.04</v>
      </c>
      <c r="E238" s="304">
        <v>0</v>
      </c>
      <c r="F238" s="304">
        <v>0</v>
      </c>
      <c r="G238" s="304">
        <v>0</v>
      </c>
      <c r="H238" s="304">
        <v>0</v>
      </c>
      <c r="I238" s="304">
        <v>643366.04</v>
      </c>
      <c r="J238" s="304">
        <v>0</v>
      </c>
      <c r="K238" s="302">
        <v>0</v>
      </c>
      <c r="L238" s="304">
        <v>0</v>
      </c>
      <c r="M238" s="304">
        <v>0</v>
      </c>
      <c r="N238" s="304">
        <v>0</v>
      </c>
      <c r="O238" s="304">
        <v>1178385</v>
      </c>
      <c r="P238" s="304">
        <v>0</v>
      </c>
      <c r="Q238" s="304">
        <v>0</v>
      </c>
      <c r="R238" s="304">
        <v>0</v>
      </c>
      <c r="S238" s="304">
        <v>0</v>
      </c>
      <c r="T238" s="304">
        <v>0</v>
      </c>
      <c r="U238" s="304">
        <v>0</v>
      </c>
      <c r="V238" s="304">
        <v>0</v>
      </c>
      <c r="W238" s="304">
        <v>0</v>
      </c>
      <c r="X238" s="304">
        <v>0</v>
      </c>
      <c r="Y238" s="304">
        <v>0</v>
      </c>
      <c r="Z238" s="304">
        <v>0</v>
      </c>
      <c r="AA238" s="304">
        <v>0</v>
      </c>
      <c r="AB238" s="303">
        <v>2020</v>
      </c>
    </row>
    <row r="239" spans="1:28" ht="35.25" customHeight="1" x14ac:dyDescent="0.5">
      <c r="A239">
        <v>1</v>
      </c>
      <c r="B239" s="80">
        <f>SUBTOTAL(103,$A$9:A239)</f>
        <v>230</v>
      </c>
      <c r="C239" s="306" t="s">
        <v>2214</v>
      </c>
      <c r="D239" s="296">
        <f t="shared" si="6"/>
        <v>1885350</v>
      </c>
      <c r="E239" s="304">
        <v>0</v>
      </c>
      <c r="F239" s="304">
        <v>0</v>
      </c>
      <c r="G239" s="304">
        <v>0</v>
      </c>
      <c r="H239" s="304">
        <v>0</v>
      </c>
      <c r="I239" s="304">
        <v>0</v>
      </c>
      <c r="J239" s="304">
        <v>0</v>
      </c>
      <c r="K239" s="302">
        <v>0</v>
      </c>
      <c r="L239" s="304">
        <v>0</v>
      </c>
      <c r="M239" s="304">
        <v>1885350</v>
      </c>
      <c r="N239" s="304">
        <v>0</v>
      </c>
      <c r="O239" s="304">
        <v>0</v>
      </c>
      <c r="P239" s="304">
        <v>0</v>
      </c>
      <c r="Q239" s="304">
        <v>0</v>
      </c>
      <c r="R239" s="304">
        <v>0</v>
      </c>
      <c r="S239" s="304">
        <v>0</v>
      </c>
      <c r="T239" s="304">
        <v>0</v>
      </c>
      <c r="U239" s="304">
        <v>0</v>
      </c>
      <c r="V239" s="304">
        <v>0</v>
      </c>
      <c r="W239" s="304">
        <v>0</v>
      </c>
      <c r="X239" s="304">
        <v>0</v>
      </c>
      <c r="Y239" s="304">
        <v>0</v>
      </c>
      <c r="Z239" s="304">
        <v>0</v>
      </c>
      <c r="AA239" s="304">
        <v>0</v>
      </c>
      <c r="AB239" s="303">
        <v>2020</v>
      </c>
    </row>
    <row r="240" spans="1:28" ht="35.25" customHeight="1" x14ac:dyDescent="0.5">
      <c r="A240">
        <v>1</v>
      </c>
      <c r="B240" s="80">
        <f>SUBTOTAL(103,$A$9:A240)</f>
        <v>231</v>
      </c>
      <c r="C240" s="306" t="s">
        <v>2215</v>
      </c>
      <c r="D240" s="296">
        <f t="shared" si="6"/>
        <v>2377338</v>
      </c>
      <c r="E240" s="304">
        <v>0</v>
      </c>
      <c r="F240" s="304">
        <v>0</v>
      </c>
      <c r="G240" s="304">
        <v>0</v>
      </c>
      <c r="H240" s="304">
        <v>0</v>
      </c>
      <c r="I240" s="304">
        <v>0</v>
      </c>
      <c r="J240" s="304">
        <v>0</v>
      </c>
      <c r="K240" s="302">
        <v>0</v>
      </c>
      <c r="L240" s="304">
        <v>0</v>
      </c>
      <c r="M240" s="304">
        <v>2377338</v>
      </c>
      <c r="N240" s="304">
        <v>0</v>
      </c>
      <c r="O240" s="304">
        <v>0</v>
      </c>
      <c r="P240" s="304">
        <v>0</v>
      </c>
      <c r="Q240" s="304">
        <v>0</v>
      </c>
      <c r="R240" s="304">
        <v>0</v>
      </c>
      <c r="S240" s="304">
        <v>0</v>
      </c>
      <c r="T240" s="304">
        <v>0</v>
      </c>
      <c r="U240" s="304">
        <v>0</v>
      </c>
      <c r="V240" s="304">
        <v>0</v>
      </c>
      <c r="W240" s="304">
        <v>0</v>
      </c>
      <c r="X240" s="304">
        <v>0</v>
      </c>
      <c r="Y240" s="304">
        <v>0</v>
      </c>
      <c r="Z240" s="304">
        <v>0</v>
      </c>
      <c r="AA240" s="304">
        <v>0</v>
      </c>
      <c r="AB240" s="303">
        <v>2020</v>
      </c>
    </row>
    <row r="241" spans="1:28" ht="35.25" customHeight="1" x14ac:dyDescent="0.5">
      <c r="A241">
        <v>1</v>
      </c>
      <c r="B241" s="80">
        <f>SUBTOTAL(103,$A$9:A241)</f>
        <v>232</v>
      </c>
      <c r="C241" s="306" t="s">
        <v>2216</v>
      </c>
      <c r="D241" s="296">
        <f t="shared" si="6"/>
        <v>1858100</v>
      </c>
      <c r="E241" s="304">
        <v>0</v>
      </c>
      <c r="F241" s="304">
        <v>0</v>
      </c>
      <c r="G241" s="304">
        <v>0</v>
      </c>
      <c r="H241" s="304">
        <v>0</v>
      </c>
      <c r="I241" s="304">
        <v>0</v>
      </c>
      <c r="J241" s="304">
        <v>0</v>
      </c>
      <c r="K241" s="302">
        <v>0</v>
      </c>
      <c r="L241" s="304">
        <v>0</v>
      </c>
      <c r="M241" s="304">
        <v>1858100</v>
      </c>
      <c r="N241" s="304">
        <v>0</v>
      </c>
      <c r="O241" s="304">
        <v>0</v>
      </c>
      <c r="P241" s="304">
        <v>0</v>
      </c>
      <c r="Q241" s="304">
        <v>0</v>
      </c>
      <c r="R241" s="304">
        <v>0</v>
      </c>
      <c r="S241" s="304">
        <v>0</v>
      </c>
      <c r="T241" s="304">
        <v>0</v>
      </c>
      <c r="U241" s="304">
        <v>0</v>
      </c>
      <c r="V241" s="304">
        <v>0</v>
      </c>
      <c r="W241" s="304">
        <v>0</v>
      </c>
      <c r="X241" s="304">
        <v>0</v>
      </c>
      <c r="Y241" s="304">
        <v>0</v>
      </c>
      <c r="Z241" s="304">
        <v>0</v>
      </c>
      <c r="AA241" s="304">
        <v>0</v>
      </c>
      <c r="AB241" s="303">
        <v>2020</v>
      </c>
    </row>
    <row r="242" spans="1:28" ht="35.25" customHeight="1" x14ac:dyDescent="0.5">
      <c r="A242">
        <v>1</v>
      </c>
      <c r="B242" s="80">
        <f>SUBTOTAL(103,$A$9:A242)</f>
        <v>233</v>
      </c>
      <c r="C242" s="306" t="s">
        <v>2217</v>
      </c>
      <c r="D242" s="296">
        <f t="shared" si="6"/>
        <v>296650.3</v>
      </c>
      <c r="E242" s="304">
        <v>0</v>
      </c>
      <c r="F242" s="304">
        <v>0</v>
      </c>
      <c r="G242" s="304">
        <v>0</v>
      </c>
      <c r="H242" s="304">
        <v>0</v>
      </c>
      <c r="I242" s="304">
        <v>0</v>
      </c>
      <c r="J242" s="304">
        <v>0</v>
      </c>
      <c r="K242" s="302">
        <v>0</v>
      </c>
      <c r="L242" s="304">
        <v>0</v>
      </c>
      <c r="M242" s="304">
        <v>0</v>
      </c>
      <c r="N242" s="304">
        <v>0</v>
      </c>
      <c r="O242" s="304">
        <v>296650.3</v>
      </c>
      <c r="P242" s="304">
        <v>0</v>
      </c>
      <c r="Q242" s="304">
        <v>0</v>
      </c>
      <c r="R242" s="304">
        <v>0</v>
      </c>
      <c r="S242" s="304">
        <v>0</v>
      </c>
      <c r="T242" s="304">
        <v>0</v>
      </c>
      <c r="U242" s="304">
        <v>0</v>
      </c>
      <c r="V242" s="304">
        <v>0</v>
      </c>
      <c r="W242" s="304">
        <v>0</v>
      </c>
      <c r="X242" s="304">
        <v>0</v>
      </c>
      <c r="Y242" s="304">
        <v>0</v>
      </c>
      <c r="Z242" s="304">
        <v>0</v>
      </c>
      <c r="AA242" s="304">
        <v>0</v>
      </c>
      <c r="AB242" s="303">
        <v>2020</v>
      </c>
    </row>
    <row r="243" spans="1:28" ht="35.25" customHeight="1" x14ac:dyDescent="0.5">
      <c r="A243">
        <v>1</v>
      </c>
      <c r="B243" s="80">
        <f>SUBTOTAL(103,$A$9:A243)</f>
        <v>234</v>
      </c>
      <c r="C243" s="306" t="s">
        <v>2218</v>
      </c>
      <c r="D243" s="296">
        <f t="shared" si="6"/>
        <v>487005</v>
      </c>
      <c r="E243" s="304">
        <v>0</v>
      </c>
      <c r="F243" s="304">
        <v>0</v>
      </c>
      <c r="G243" s="304">
        <v>0</v>
      </c>
      <c r="H243" s="304">
        <v>487005</v>
      </c>
      <c r="I243" s="304">
        <v>0</v>
      </c>
      <c r="J243" s="304">
        <v>0</v>
      </c>
      <c r="K243" s="302">
        <v>0</v>
      </c>
      <c r="L243" s="304">
        <v>0</v>
      </c>
      <c r="M243" s="304">
        <v>0</v>
      </c>
      <c r="N243" s="304">
        <v>0</v>
      </c>
      <c r="O243" s="304">
        <v>0</v>
      </c>
      <c r="P243" s="304">
        <v>0</v>
      </c>
      <c r="Q243" s="304">
        <v>0</v>
      </c>
      <c r="R243" s="304">
        <v>0</v>
      </c>
      <c r="S243" s="304">
        <v>0</v>
      </c>
      <c r="T243" s="304">
        <v>0</v>
      </c>
      <c r="U243" s="304">
        <v>0</v>
      </c>
      <c r="V243" s="304">
        <v>0</v>
      </c>
      <c r="W243" s="304">
        <v>0</v>
      </c>
      <c r="X243" s="304">
        <v>0</v>
      </c>
      <c r="Y243" s="304">
        <v>0</v>
      </c>
      <c r="Z243" s="304">
        <v>0</v>
      </c>
      <c r="AA243" s="304">
        <v>0</v>
      </c>
      <c r="AB243" s="303">
        <v>2020</v>
      </c>
    </row>
    <row r="244" spans="1:28" ht="35.25" customHeight="1" x14ac:dyDescent="0.5">
      <c r="A244">
        <v>1</v>
      </c>
      <c r="B244" s="80">
        <f>SUBTOTAL(103,$A$9:A244)</f>
        <v>235</v>
      </c>
      <c r="C244" s="306" t="s">
        <v>2219</v>
      </c>
      <c r="D244" s="296">
        <f t="shared" si="6"/>
        <v>397000</v>
      </c>
      <c r="E244" s="304">
        <v>0</v>
      </c>
      <c r="F244" s="304">
        <v>397000</v>
      </c>
      <c r="G244" s="304">
        <v>0</v>
      </c>
      <c r="H244" s="304">
        <v>0</v>
      </c>
      <c r="I244" s="304">
        <v>0</v>
      </c>
      <c r="J244" s="304">
        <v>0</v>
      </c>
      <c r="K244" s="302">
        <v>0</v>
      </c>
      <c r="L244" s="304">
        <v>0</v>
      </c>
      <c r="M244" s="304">
        <v>0</v>
      </c>
      <c r="N244" s="304">
        <v>0</v>
      </c>
      <c r="O244" s="304">
        <v>0</v>
      </c>
      <c r="P244" s="304">
        <v>0</v>
      </c>
      <c r="Q244" s="304">
        <v>0</v>
      </c>
      <c r="R244" s="304">
        <v>0</v>
      </c>
      <c r="S244" s="304">
        <v>0</v>
      </c>
      <c r="T244" s="304">
        <v>0</v>
      </c>
      <c r="U244" s="304">
        <v>0</v>
      </c>
      <c r="V244" s="304">
        <v>0</v>
      </c>
      <c r="W244" s="304">
        <v>0</v>
      </c>
      <c r="X244" s="304">
        <v>0</v>
      </c>
      <c r="Y244" s="304">
        <v>0</v>
      </c>
      <c r="Z244" s="304">
        <v>0</v>
      </c>
      <c r="AA244" s="304">
        <v>0</v>
      </c>
      <c r="AB244" s="303">
        <v>2020</v>
      </c>
    </row>
    <row r="245" spans="1:28" ht="35.25" customHeight="1" x14ac:dyDescent="0.5">
      <c r="A245">
        <v>1</v>
      </c>
      <c r="B245" s="80">
        <f>SUBTOTAL(103,$A$9:A245)</f>
        <v>236</v>
      </c>
      <c r="C245" s="306" t="s">
        <v>2220</v>
      </c>
      <c r="D245" s="296">
        <f t="shared" si="6"/>
        <v>311046</v>
      </c>
      <c r="E245" s="304">
        <v>0</v>
      </c>
      <c r="F245" s="304">
        <v>0</v>
      </c>
      <c r="G245" s="304">
        <v>0</v>
      </c>
      <c r="H245" s="304">
        <v>0</v>
      </c>
      <c r="I245" s="304">
        <v>0</v>
      </c>
      <c r="J245" s="304">
        <v>0</v>
      </c>
      <c r="K245" s="302">
        <v>0</v>
      </c>
      <c r="L245" s="304">
        <v>0</v>
      </c>
      <c r="M245" s="304">
        <v>0</v>
      </c>
      <c r="N245" s="304">
        <v>0</v>
      </c>
      <c r="O245" s="304">
        <v>311046</v>
      </c>
      <c r="P245" s="304">
        <v>0</v>
      </c>
      <c r="Q245" s="304">
        <v>0</v>
      </c>
      <c r="R245" s="304">
        <v>0</v>
      </c>
      <c r="S245" s="304">
        <v>0</v>
      </c>
      <c r="T245" s="304">
        <v>0</v>
      </c>
      <c r="U245" s="304">
        <v>0</v>
      </c>
      <c r="V245" s="304">
        <v>0</v>
      </c>
      <c r="W245" s="304">
        <v>0</v>
      </c>
      <c r="X245" s="304">
        <v>0</v>
      </c>
      <c r="Y245" s="304">
        <v>0</v>
      </c>
      <c r="Z245" s="304">
        <v>0</v>
      </c>
      <c r="AA245" s="304">
        <v>0</v>
      </c>
      <c r="AB245" s="303">
        <v>2020</v>
      </c>
    </row>
    <row r="246" spans="1:28" ht="35.25" customHeight="1" x14ac:dyDescent="0.5">
      <c r="A246">
        <v>1</v>
      </c>
      <c r="B246" s="80">
        <f>SUBTOTAL(103,$A$9:A246)</f>
        <v>237</v>
      </c>
      <c r="C246" s="306" t="s">
        <v>2221</v>
      </c>
      <c r="D246" s="296">
        <f t="shared" si="6"/>
        <v>1196427.08</v>
      </c>
      <c r="E246" s="304">
        <v>200000</v>
      </c>
      <c r="F246" s="304">
        <v>296352.34999999998</v>
      </c>
      <c r="G246" s="304">
        <v>0</v>
      </c>
      <c r="H246" s="304">
        <v>61507.85</v>
      </c>
      <c r="I246" s="304">
        <v>0</v>
      </c>
      <c r="J246" s="304">
        <v>0</v>
      </c>
      <c r="K246" s="302">
        <v>0</v>
      </c>
      <c r="L246" s="304">
        <v>0</v>
      </c>
      <c r="M246" s="304">
        <v>0</v>
      </c>
      <c r="N246" s="304">
        <v>0</v>
      </c>
      <c r="O246" s="304">
        <v>638566.88</v>
      </c>
      <c r="P246" s="304">
        <v>0</v>
      </c>
      <c r="Q246" s="304">
        <v>0</v>
      </c>
      <c r="R246" s="304">
        <v>0</v>
      </c>
      <c r="S246" s="304">
        <v>0</v>
      </c>
      <c r="T246" s="304">
        <v>0</v>
      </c>
      <c r="U246" s="304">
        <v>0</v>
      </c>
      <c r="V246" s="304">
        <v>0</v>
      </c>
      <c r="W246" s="304">
        <v>0</v>
      </c>
      <c r="X246" s="304">
        <v>0</v>
      </c>
      <c r="Y246" s="304">
        <v>0</v>
      </c>
      <c r="Z246" s="304">
        <v>0</v>
      </c>
      <c r="AA246" s="304">
        <v>0</v>
      </c>
      <c r="AB246" s="303">
        <v>2020</v>
      </c>
    </row>
    <row r="247" spans="1:28" ht="35.25" customHeight="1" x14ac:dyDescent="0.5">
      <c r="A247">
        <v>1</v>
      </c>
      <c r="B247" s="80">
        <f>SUBTOTAL(103,$A$9:A247)</f>
        <v>238</v>
      </c>
      <c r="C247" s="306" t="s">
        <v>2345</v>
      </c>
      <c r="D247" s="296">
        <f t="shared" si="6"/>
        <v>1585441</v>
      </c>
      <c r="E247" s="304">
        <v>554251</v>
      </c>
      <c r="F247" s="304">
        <v>0</v>
      </c>
      <c r="G247" s="304">
        <v>0</v>
      </c>
      <c r="H247" s="304">
        <v>467603</v>
      </c>
      <c r="I247" s="304">
        <v>0</v>
      </c>
      <c r="J247" s="304">
        <v>0</v>
      </c>
      <c r="K247" s="302">
        <v>0</v>
      </c>
      <c r="L247" s="304">
        <v>0</v>
      </c>
      <c r="M247" s="304">
        <v>0</v>
      </c>
      <c r="N247" s="304">
        <v>0</v>
      </c>
      <c r="O247" s="304">
        <v>563587</v>
      </c>
      <c r="P247" s="304">
        <v>0</v>
      </c>
      <c r="Q247" s="304">
        <v>0</v>
      </c>
      <c r="R247" s="304">
        <v>0</v>
      </c>
      <c r="S247" s="304">
        <v>0</v>
      </c>
      <c r="T247" s="304">
        <v>0</v>
      </c>
      <c r="U247" s="304">
        <v>0</v>
      </c>
      <c r="V247" s="304">
        <v>0</v>
      </c>
      <c r="W247" s="304">
        <v>0</v>
      </c>
      <c r="X247" s="304">
        <v>0</v>
      </c>
      <c r="Y247" s="304">
        <v>0</v>
      </c>
      <c r="Z247" s="304">
        <v>0</v>
      </c>
      <c r="AA247" s="304">
        <v>0</v>
      </c>
      <c r="AB247" s="303">
        <v>2020</v>
      </c>
    </row>
    <row r="248" spans="1:28" ht="35.25" customHeight="1" x14ac:dyDescent="0.5">
      <c r="A248">
        <v>1</v>
      </c>
      <c r="B248" s="80">
        <f>SUBTOTAL(103,$A$9:A248)</f>
        <v>239</v>
      </c>
      <c r="C248" s="306" t="s">
        <v>2346</v>
      </c>
      <c r="D248" s="296">
        <f t="shared" si="6"/>
        <v>855181.06</v>
      </c>
      <c r="E248" s="304">
        <v>100000</v>
      </c>
      <c r="F248" s="304">
        <v>150095.54999999999</v>
      </c>
      <c r="G248" s="304">
        <v>0</v>
      </c>
      <c r="H248" s="304">
        <v>0</v>
      </c>
      <c r="I248" s="304">
        <v>605085.51</v>
      </c>
      <c r="J248" s="304">
        <v>0</v>
      </c>
      <c r="K248" s="302">
        <v>0</v>
      </c>
      <c r="L248" s="304">
        <v>0</v>
      </c>
      <c r="M248" s="304">
        <v>0</v>
      </c>
      <c r="N248" s="304">
        <v>0</v>
      </c>
      <c r="O248" s="304">
        <v>0</v>
      </c>
      <c r="P248" s="304">
        <v>0</v>
      </c>
      <c r="Q248" s="304">
        <v>0</v>
      </c>
      <c r="R248" s="304">
        <v>0</v>
      </c>
      <c r="S248" s="304">
        <v>0</v>
      </c>
      <c r="T248" s="304">
        <v>0</v>
      </c>
      <c r="U248" s="304">
        <v>0</v>
      </c>
      <c r="V248" s="304">
        <v>0</v>
      </c>
      <c r="W248" s="304">
        <v>0</v>
      </c>
      <c r="X248" s="304">
        <v>0</v>
      </c>
      <c r="Y248" s="304">
        <v>0</v>
      </c>
      <c r="Z248" s="304">
        <v>0</v>
      </c>
      <c r="AA248" s="304">
        <v>0</v>
      </c>
      <c r="AB248" s="303">
        <v>2020</v>
      </c>
    </row>
    <row r="249" spans="1:28" ht="35.25" customHeight="1" x14ac:dyDescent="0.5">
      <c r="A249">
        <v>1</v>
      </c>
      <c r="B249" s="80">
        <f>SUBTOTAL(103,$A$9:A249)</f>
        <v>240</v>
      </c>
      <c r="C249" s="306" t="s">
        <v>2347</v>
      </c>
      <c r="D249" s="296">
        <f t="shared" si="6"/>
        <v>2047666.8599999999</v>
      </c>
      <c r="E249" s="304">
        <v>0</v>
      </c>
      <c r="F249" s="304">
        <v>380940.18</v>
      </c>
      <c r="G249" s="304">
        <v>1666726.68</v>
      </c>
      <c r="H249" s="304">
        <v>0</v>
      </c>
      <c r="I249" s="304">
        <v>0</v>
      </c>
      <c r="J249" s="304">
        <v>0</v>
      </c>
      <c r="K249" s="302">
        <v>0</v>
      </c>
      <c r="L249" s="304">
        <v>0</v>
      </c>
      <c r="M249" s="304">
        <v>0</v>
      </c>
      <c r="N249" s="304">
        <v>0</v>
      </c>
      <c r="O249" s="304">
        <v>0</v>
      </c>
      <c r="P249" s="304">
        <v>0</v>
      </c>
      <c r="Q249" s="304">
        <v>0</v>
      </c>
      <c r="R249" s="304">
        <v>0</v>
      </c>
      <c r="S249" s="304">
        <v>0</v>
      </c>
      <c r="T249" s="304">
        <v>0</v>
      </c>
      <c r="U249" s="304">
        <v>0</v>
      </c>
      <c r="V249" s="304">
        <v>0</v>
      </c>
      <c r="W249" s="304">
        <v>0</v>
      </c>
      <c r="X249" s="304">
        <v>0</v>
      </c>
      <c r="Y249" s="304">
        <v>0</v>
      </c>
      <c r="Z249" s="304">
        <v>0</v>
      </c>
      <c r="AA249" s="304">
        <v>0</v>
      </c>
      <c r="AB249" s="303">
        <v>2020</v>
      </c>
    </row>
    <row r="250" spans="1:28" ht="35.25" customHeight="1" x14ac:dyDescent="0.5">
      <c r="A250">
        <v>1</v>
      </c>
      <c r="B250" s="80">
        <f>SUBTOTAL(103,$A$9:A250)</f>
        <v>241</v>
      </c>
      <c r="C250" s="306" t="s">
        <v>2348</v>
      </c>
      <c r="D250" s="296">
        <f t="shared" si="6"/>
        <v>980000</v>
      </c>
      <c r="E250" s="304">
        <v>0</v>
      </c>
      <c r="F250" s="304">
        <v>0</v>
      </c>
      <c r="G250" s="304">
        <v>980000</v>
      </c>
      <c r="H250" s="304">
        <v>0</v>
      </c>
      <c r="I250" s="304">
        <v>0</v>
      </c>
      <c r="J250" s="304">
        <v>0</v>
      </c>
      <c r="K250" s="302">
        <v>0</v>
      </c>
      <c r="L250" s="304">
        <v>0</v>
      </c>
      <c r="M250" s="304">
        <v>0</v>
      </c>
      <c r="N250" s="304">
        <v>0</v>
      </c>
      <c r="O250" s="304">
        <v>0</v>
      </c>
      <c r="P250" s="304">
        <v>0</v>
      </c>
      <c r="Q250" s="304">
        <v>0</v>
      </c>
      <c r="R250" s="304">
        <v>0</v>
      </c>
      <c r="S250" s="304">
        <v>0</v>
      </c>
      <c r="T250" s="304">
        <v>0</v>
      </c>
      <c r="U250" s="304">
        <v>0</v>
      </c>
      <c r="V250" s="304">
        <v>0</v>
      </c>
      <c r="W250" s="304">
        <v>0</v>
      </c>
      <c r="X250" s="304">
        <v>0</v>
      </c>
      <c r="Y250" s="304">
        <v>0</v>
      </c>
      <c r="Z250" s="304">
        <v>0</v>
      </c>
      <c r="AA250" s="304">
        <v>0</v>
      </c>
      <c r="AB250" s="303">
        <v>2020</v>
      </c>
    </row>
    <row r="251" spans="1:28" ht="35.25" customHeight="1" x14ac:dyDescent="0.5">
      <c r="A251">
        <v>1</v>
      </c>
      <c r="B251" s="80">
        <f>SUBTOTAL(103,$A$9:A251)</f>
        <v>242</v>
      </c>
      <c r="C251" s="306" t="s">
        <v>2349</v>
      </c>
      <c r="D251" s="296">
        <f t="shared" si="6"/>
        <v>425926</v>
      </c>
      <c r="E251" s="304">
        <v>0</v>
      </c>
      <c r="F251" s="304">
        <v>0</v>
      </c>
      <c r="G251" s="304">
        <v>425926</v>
      </c>
      <c r="H251" s="304">
        <v>0</v>
      </c>
      <c r="I251" s="304">
        <v>0</v>
      </c>
      <c r="J251" s="304">
        <v>0</v>
      </c>
      <c r="K251" s="302">
        <v>0</v>
      </c>
      <c r="L251" s="304">
        <v>0</v>
      </c>
      <c r="M251" s="304">
        <v>0</v>
      </c>
      <c r="N251" s="304">
        <v>0</v>
      </c>
      <c r="O251" s="304">
        <v>0</v>
      </c>
      <c r="P251" s="304">
        <v>0</v>
      </c>
      <c r="Q251" s="304">
        <v>0</v>
      </c>
      <c r="R251" s="304">
        <v>0</v>
      </c>
      <c r="S251" s="304">
        <v>0</v>
      </c>
      <c r="T251" s="304">
        <v>0</v>
      </c>
      <c r="U251" s="304">
        <v>0</v>
      </c>
      <c r="V251" s="304">
        <v>0</v>
      </c>
      <c r="W251" s="304">
        <v>0</v>
      </c>
      <c r="X251" s="304">
        <v>0</v>
      </c>
      <c r="Y251" s="304">
        <v>0</v>
      </c>
      <c r="Z251" s="304">
        <v>0</v>
      </c>
      <c r="AA251" s="304">
        <v>0</v>
      </c>
      <c r="AB251" s="303">
        <v>2020</v>
      </c>
    </row>
    <row r="252" spans="1:28" ht="35.25" customHeight="1" x14ac:dyDescent="0.5">
      <c r="A252">
        <v>1</v>
      </c>
      <c r="B252" s="80">
        <f>SUBTOTAL(103,$A$9:A252)</f>
        <v>243</v>
      </c>
      <c r="C252" s="306" t="s">
        <v>2350</v>
      </c>
      <c r="D252" s="296">
        <f t="shared" si="6"/>
        <v>149350.29999999999</v>
      </c>
      <c r="E252" s="304">
        <v>0</v>
      </c>
      <c r="F252" s="304">
        <v>0</v>
      </c>
      <c r="G252" s="304">
        <v>0</v>
      </c>
      <c r="H252" s="304">
        <v>149350.29999999999</v>
      </c>
      <c r="I252" s="304">
        <v>0</v>
      </c>
      <c r="J252" s="304">
        <v>0</v>
      </c>
      <c r="K252" s="302">
        <v>0</v>
      </c>
      <c r="L252" s="304">
        <v>0</v>
      </c>
      <c r="M252" s="304">
        <v>0</v>
      </c>
      <c r="N252" s="304">
        <v>0</v>
      </c>
      <c r="O252" s="304">
        <v>0</v>
      </c>
      <c r="P252" s="304">
        <v>0</v>
      </c>
      <c r="Q252" s="304">
        <v>0</v>
      </c>
      <c r="R252" s="304">
        <v>0</v>
      </c>
      <c r="S252" s="304">
        <v>0</v>
      </c>
      <c r="T252" s="304">
        <v>0</v>
      </c>
      <c r="U252" s="304">
        <v>0</v>
      </c>
      <c r="V252" s="304">
        <v>0</v>
      </c>
      <c r="W252" s="304">
        <v>0</v>
      </c>
      <c r="X252" s="304">
        <v>0</v>
      </c>
      <c r="Y252" s="304">
        <v>0</v>
      </c>
      <c r="Z252" s="304">
        <v>0</v>
      </c>
      <c r="AA252" s="304">
        <v>0</v>
      </c>
      <c r="AB252" s="303">
        <v>2020</v>
      </c>
    </row>
    <row r="253" spans="1:28" ht="35.25" customHeight="1" x14ac:dyDescent="0.5">
      <c r="A253">
        <v>1</v>
      </c>
      <c r="B253" s="80">
        <f>SUBTOTAL(103,$A$9:A253)</f>
        <v>244</v>
      </c>
      <c r="C253" s="306" t="s">
        <v>2351</v>
      </c>
      <c r="D253" s="296">
        <f t="shared" si="6"/>
        <v>450000</v>
      </c>
      <c r="E253" s="304">
        <v>0</v>
      </c>
      <c r="F253" s="304">
        <v>0</v>
      </c>
      <c r="G253" s="304">
        <v>0</v>
      </c>
      <c r="H253" s="304">
        <v>0</v>
      </c>
      <c r="I253" s="304">
        <v>0</v>
      </c>
      <c r="J253" s="304">
        <v>0</v>
      </c>
      <c r="K253" s="302">
        <v>0</v>
      </c>
      <c r="L253" s="304">
        <v>0</v>
      </c>
      <c r="M253" s="304">
        <v>450000</v>
      </c>
      <c r="N253" s="304">
        <v>0</v>
      </c>
      <c r="O253" s="304">
        <v>0</v>
      </c>
      <c r="P253" s="304">
        <v>0</v>
      </c>
      <c r="Q253" s="304">
        <v>0</v>
      </c>
      <c r="R253" s="304">
        <v>0</v>
      </c>
      <c r="S253" s="304">
        <v>0</v>
      </c>
      <c r="T253" s="304">
        <v>0</v>
      </c>
      <c r="U253" s="304">
        <v>0</v>
      </c>
      <c r="V253" s="304">
        <v>0</v>
      </c>
      <c r="W253" s="304">
        <v>0</v>
      </c>
      <c r="X253" s="304">
        <v>0</v>
      </c>
      <c r="Y253" s="304">
        <v>0</v>
      </c>
      <c r="Z253" s="304">
        <v>0</v>
      </c>
      <c r="AA253" s="304">
        <v>0</v>
      </c>
      <c r="AB253" s="303">
        <v>2020</v>
      </c>
    </row>
    <row r="254" spans="1:28" ht="35.25" customHeight="1" x14ac:dyDescent="0.5">
      <c r="A254">
        <v>1</v>
      </c>
      <c r="B254" s="80">
        <f>SUBTOTAL(103,$A$9:A254)</f>
        <v>245</v>
      </c>
      <c r="C254" s="306" t="s">
        <v>2352</v>
      </c>
      <c r="D254" s="296">
        <f t="shared" si="6"/>
        <v>1075923</v>
      </c>
      <c r="E254" s="304">
        <v>0</v>
      </c>
      <c r="F254" s="304">
        <v>0</v>
      </c>
      <c r="G254" s="304">
        <v>0</v>
      </c>
      <c r="H254" s="304">
        <v>0</v>
      </c>
      <c r="I254" s="304">
        <v>0</v>
      </c>
      <c r="J254" s="304">
        <v>0</v>
      </c>
      <c r="K254" s="302">
        <v>0</v>
      </c>
      <c r="L254" s="304">
        <v>0</v>
      </c>
      <c r="M254" s="304">
        <v>1075923</v>
      </c>
      <c r="N254" s="304">
        <v>0</v>
      </c>
      <c r="O254" s="304">
        <v>0</v>
      </c>
      <c r="P254" s="304">
        <v>0</v>
      </c>
      <c r="Q254" s="304">
        <v>0</v>
      </c>
      <c r="R254" s="304">
        <v>0</v>
      </c>
      <c r="S254" s="304">
        <v>0</v>
      </c>
      <c r="T254" s="304">
        <v>0</v>
      </c>
      <c r="U254" s="304">
        <v>0</v>
      </c>
      <c r="V254" s="304">
        <v>0</v>
      </c>
      <c r="W254" s="304">
        <v>0</v>
      </c>
      <c r="X254" s="304">
        <v>0</v>
      </c>
      <c r="Y254" s="304">
        <v>0</v>
      </c>
      <c r="Z254" s="304">
        <v>0</v>
      </c>
      <c r="AA254" s="304">
        <v>0</v>
      </c>
      <c r="AB254" s="303">
        <v>2020</v>
      </c>
    </row>
    <row r="255" spans="1:28" ht="35.25" customHeight="1" x14ac:dyDescent="0.5">
      <c r="A255">
        <v>1</v>
      </c>
      <c r="B255" s="80">
        <f>SUBTOTAL(103,$A$9:A255)</f>
        <v>246</v>
      </c>
      <c r="C255" s="306" t="s">
        <v>2353</v>
      </c>
      <c r="D255" s="296">
        <f t="shared" si="6"/>
        <v>2961445</v>
      </c>
      <c r="E255" s="304">
        <v>0</v>
      </c>
      <c r="F255" s="304">
        <v>0</v>
      </c>
      <c r="G255" s="304">
        <v>0</v>
      </c>
      <c r="H255" s="304">
        <v>0</v>
      </c>
      <c r="I255" s="304">
        <v>0</v>
      </c>
      <c r="J255" s="304">
        <v>0</v>
      </c>
      <c r="K255" s="302">
        <v>0</v>
      </c>
      <c r="L255" s="304">
        <v>0</v>
      </c>
      <c r="M255" s="304">
        <v>2961445</v>
      </c>
      <c r="N255" s="304">
        <v>0</v>
      </c>
      <c r="O255" s="304">
        <v>0</v>
      </c>
      <c r="P255" s="304">
        <v>0</v>
      </c>
      <c r="Q255" s="304">
        <v>0</v>
      </c>
      <c r="R255" s="304">
        <v>0</v>
      </c>
      <c r="S255" s="304">
        <v>0</v>
      </c>
      <c r="T255" s="304">
        <v>0</v>
      </c>
      <c r="U255" s="304">
        <v>0</v>
      </c>
      <c r="V255" s="304">
        <v>0</v>
      </c>
      <c r="W255" s="304">
        <v>0</v>
      </c>
      <c r="X255" s="304">
        <v>0</v>
      </c>
      <c r="Y255" s="304">
        <v>0</v>
      </c>
      <c r="Z255" s="304">
        <v>0</v>
      </c>
      <c r="AA255" s="304">
        <v>0</v>
      </c>
      <c r="AB255" s="303">
        <v>2020</v>
      </c>
    </row>
    <row r="256" spans="1:28" ht="35.25" customHeight="1" x14ac:dyDescent="0.5">
      <c r="A256">
        <v>1</v>
      </c>
      <c r="B256" s="80">
        <f>SUBTOTAL(103,$A$9:A256)</f>
        <v>247</v>
      </c>
      <c r="C256" s="306" t="s">
        <v>2354</v>
      </c>
      <c r="D256" s="296">
        <f t="shared" si="6"/>
        <v>1343555</v>
      </c>
      <c r="E256" s="304">
        <v>0</v>
      </c>
      <c r="F256" s="304">
        <v>0</v>
      </c>
      <c r="G256" s="304">
        <v>0</v>
      </c>
      <c r="H256" s="304">
        <v>0</v>
      </c>
      <c r="I256" s="304">
        <v>0</v>
      </c>
      <c r="J256" s="304">
        <v>0</v>
      </c>
      <c r="K256" s="302">
        <v>0</v>
      </c>
      <c r="L256" s="304">
        <v>0</v>
      </c>
      <c r="M256" s="304">
        <v>1343555</v>
      </c>
      <c r="N256" s="304">
        <v>0</v>
      </c>
      <c r="O256" s="304">
        <v>0</v>
      </c>
      <c r="P256" s="304">
        <v>0</v>
      </c>
      <c r="Q256" s="304">
        <v>0</v>
      </c>
      <c r="R256" s="304">
        <v>0</v>
      </c>
      <c r="S256" s="304">
        <v>0</v>
      </c>
      <c r="T256" s="304">
        <v>0</v>
      </c>
      <c r="U256" s="304">
        <v>0</v>
      </c>
      <c r="V256" s="304">
        <v>0</v>
      </c>
      <c r="W256" s="304">
        <v>0</v>
      </c>
      <c r="X256" s="304">
        <v>0</v>
      </c>
      <c r="Y256" s="304">
        <v>0</v>
      </c>
      <c r="Z256" s="304">
        <v>0</v>
      </c>
      <c r="AA256" s="304">
        <v>0</v>
      </c>
      <c r="AB256" s="303">
        <v>2020</v>
      </c>
    </row>
    <row r="257" spans="1:28" ht="35.25" customHeight="1" x14ac:dyDescent="0.5">
      <c r="A257">
        <v>1</v>
      </c>
      <c r="B257" s="80">
        <f>SUBTOTAL(103,$A$9:A257)</f>
        <v>248</v>
      </c>
      <c r="C257" s="306" t="s">
        <v>2355</v>
      </c>
      <c r="D257" s="296">
        <f t="shared" si="6"/>
        <v>346790.11</v>
      </c>
      <c r="E257" s="304">
        <v>0</v>
      </c>
      <c r="F257" s="304">
        <v>0</v>
      </c>
      <c r="G257" s="304">
        <v>0</v>
      </c>
      <c r="H257" s="304">
        <v>0</v>
      </c>
      <c r="I257" s="304">
        <v>0</v>
      </c>
      <c r="J257" s="304">
        <v>0</v>
      </c>
      <c r="K257" s="302">
        <v>0</v>
      </c>
      <c r="L257" s="304">
        <v>0</v>
      </c>
      <c r="M257" s="304">
        <v>346790.11</v>
      </c>
      <c r="N257" s="304">
        <v>0</v>
      </c>
      <c r="O257" s="304">
        <v>0</v>
      </c>
      <c r="P257" s="304">
        <v>0</v>
      </c>
      <c r="Q257" s="304">
        <v>0</v>
      </c>
      <c r="R257" s="304">
        <v>0</v>
      </c>
      <c r="S257" s="304">
        <v>0</v>
      </c>
      <c r="T257" s="304">
        <v>0</v>
      </c>
      <c r="U257" s="304">
        <v>0</v>
      </c>
      <c r="V257" s="304">
        <v>0</v>
      </c>
      <c r="W257" s="304">
        <v>0</v>
      </c>
      <c r="X257" s="304">
        <v>0</v>
      </c>
      <c r="Y257" s="304">
        <v>0</v>
      </c>
      <c r="Z257" s="304">
        <v>0</v>
      </c>
      <c r="AA257" s="304">
        <v>0</v>
      </c>
      <c r="AB257" s="303">
        <v>2020</v>
      </c>
    </row>
    <row r="258" spans="1:28" ht="35.25" customHeight="1" x14ac:dyDescent="0.5">
      <c r="A258">
        <v>1</v>
      </c>
      <c r="B258" s="80">
        <f>SUBTOTAL(103,$A$9:A258)</f>
        <v>249</v>
      </c>
      <c r="C258" s="306" t="s">
        <v>2356</v>
      </c>
      <c r="D258" s="296">
        <f t="shared" si="6"/>
        <v>643122.06999999995</v>
      </c>
      <c r="E258" s="304">
        <v>0</v>
      </c>
      <c r="F258" s="304">
        <v>0</v>
      </c>
      <c r="G258" s="304">
        <v>0</v>
      </c>
      <c r="H258" s="304">
        <v>0</v>
      </c>
      <c r="I258" s="304">
        <v>0</v>
      </c>
      <c r="J258" s="304">
        <v>0</v>
      </c>
      <c r="K258" s="302">
        <v>0</v>
      </c>
      <c r="L258" s="304">
        <v>0</v>
      </c>
      <c r="M258" s="304">
        <v>643122.06999999995</v>
      </c>
      <c r="N258" s="304">
        <v>0</v>
      </c>
      <c r="O258" s="304">
        <v>0</v>
      </c>
      <c r="P258" s="304">
        <v>0</v>
      </c>
      <c r="Q258" s="304">
        <v>0</v>
      </c>
      <c r="R258" s="304">
        <v>0</v>
      </c>
      <c r="S258" s="304">
        <v>0</v>
      </c>
      <c r="T258" s="304">
        <v>0</v>
      </c>
      <c r="U258" s="304">
        <v>0</v>
      </c>
      <c r="V258" s="304">
        <v>0</v>
      </c>
      <c r="W258" s="304">
        <v>0</v>
      </c>
      <c r="X258" s="304">
        <v>0</v>
      </c>
      <c r="Y258" s="304">
        <v>0</v>
      </c>
      <c r="Z258" s="304">
        <v>0</v>
      </c>
      <c r="AA258" s="304">
        <v>0</v>
      </c>
      <c r="AB258" s="303">
        <v>2020</v>
      </c>
    </row>
    <row r="259" spans="1:28" ht="35.25" customHeight="1" x14ac:dyDescent="0.5">
      <c r="A259">
        <v>1</v>
      </c>
      <c r="B259" s="80">
        <f>SUBTOTAL(103,$A$9:A259)</f>
        <v>250</v>
      </c>
      <c r="C259" s="306" t="s">
        <v>2357</v>
      </c>
      <c r="D259" s="296">
        <f t="shared" si="6"/>
        <v>1757469.85</v>
      </c>
      <c r="E259" s="304">
        <v>0</v>
      </c>
      <c r="F259" s="304">
        <v>0</v>
      </c>
      <c r="G259" s="304">
        <v>0</v>
      </c>
      <c r="H259" s="304">
        <v>0</v>
      </c>
      <c r="I259" s="304">
        <v>0</v>
      </c>
      <c r="J259" s="304">
        <v>0</v>
      </c>
      <c r="K259" s="302">
        <v>0</v>
      </c>
      <c r="L259" s="304">
        <v>0</v>
      </c>
      <c r="M259" s="304">
        <v>1757469.85</v>
      </c>
      <c r="N259" s="304">
        <v>0</v>
      </c>
      <c r="O259" s="304">
        <v>0</v>
      </c>
      <c r="P259" s="304">
        <v>0</v>
      </c>
      <c r="Q259" s="304">
        <v>0</v>
      </c>
      <c r="R259" s="304">
        <v>0</v>
      </c>
      <c r="S259" s="304">
        <v>0</v>
      </c>
      <c r="T259" s="304">
        <v>0</v>
      </c>
      <c r="U259" s="304">
        <v>0</v>
      </c>
      <c r="V259" s="304">
        <v>0</v>
      </c>
      <c r="W259" s="304">
        <v>0</v>
      </c>
      <c r="X259" s="304">
        <v>0</v>
      </c>
      <c r="Y259" s="304">
        <v>0</v>
      </c>
      <c r="Z259" s="304">
        <v>0</v>
      </c>
      <c r="AA259" s="304">
        <v>0</v>
      </c>
      <c r="AB259" s="303">
        <v>2020</v>
      </c>
    </row>
    <row r="260" spans="1:28" ht="35.25" customHeight="1" x14ac:dyDescent="0.5">
      <c r="A260">
        <v>1</v>
      </c>
      <c r="B260" s="80">
        <f>SUBTOTAL(103,$A$9:A260)</f>
        <v>251</v>
      </c>
      <c r="C260" s="306" t="s">
        <v>2358</v>
      </c>
      <c r="D260" s="296">
        <f t="shared" si="6"/>
        <v>594797.81000000006</v>
      </c>
      <c r="E260" s="304">
        <v>0</v>
      </c>
      <c r="F260" s="304">
        <v>0</v>
      </c>
      <c r="G260" s="304">
        <v>0</v>
      </c>
      <c r="H260" s="304">
        <v>0</v>
      </c>
      <c r="I260" s="304">
        <v>0</v>
      </c>
      <c r="J260" s="304">
        <v>0</v>
      </c>
      <c r="K260" s="302">
        <v>0</v>
      </c>
      <c r="L260" s="304">
        <v>0</v>
      </c>
      <c r="M260" s="304">
        <v>594797.81000000006</v>
      </c>
      <c r="N260" s="304">
        <v>0</v>
      </c>
      <c r="O260" s="304">
        <v>0</v>
      </c>
      <c r="P260" s="304">
        <v>0</v>
      </c>
      <c r="Q260" s="304">
        <v>0</v>
      </c>
      <c r="R260" s="304">
        <v>0</v>
      </c>
      <c r="S260" s="304">
        <v>0</v>
      </c>
      <c r="T260" s="304">
        <v>0</v>
      </c>
      <c r="U260" s="304">
        <v>0</v>
      </c>
      <c r="V260" s="304">
        <v>0</v>
      </c>
      <c r="W260" s="304">
        <v>0</v>
      </c>
      <c r="X260" s="304">
        <v>0</v>
      </c>
      <c r="Y260" s="304">
        <v>0</v>
      </c>
      <c r="Z260" s="304">
        <v>0</v>
      </c>
      <c r="AA260" s="304">
        <v>0</v>
      </c>
      <c r="AB260" s="303">
        <v>2020</v>
      </c>
    </row>
    <row r="261" spans="1:28" ht="35.25" customHeight="1" x14ac:dyDescent="0.5">
      <c r="A261">
        <v>1</v>
      </c>
      <c r="B261" s="80">
        <f>SUBTOTAL(103,$A$9:A261)</f>
        <v>252</v>
      </c>
      <c r="C261" s="306" t="s">
        <v>2359</v>
      </c>
      <c r="D261" s="296">
        <f t="shared" si="6"/>
        <v>2675878</v>
      </c>
      <c r="E261" s="304">
        <v>0</v>
      </c>
      <c r="F261" s="304">
        <v>0</v>
      </c>
      <c r="G261" s="304">
        <v>0</v>
      </c>
      <c r="H261" s="304">
        <v>0</v>
      </c>
      <c r="I261" s="304">
        <v>0</v>
      </c>
      <c r="J261" s="304">
        <v>0</v>
      </c>
      <c r="K261" s="302">
        <v>0</v>
      </c>
      <c r="L261" s="304">
        <v>0</v>
      </c>
      <c r="M261" s="304">
        <v>2675878</v>
      </c>
      <c r="N261" s="304">
        <v>0</v>
      </c>
      <c r="O261" s="304">
        <v>0</v>
      </c>
      <c r="P261" s="304">
        <v>0</v>
      </c>
      <c r="Q261" s="304">
        <v>0</v>
      </c>
      <c r="R261" s="304">
        <v>0</v>
      </c>
      <c r="S261" s="304">
        <v>0</v>
      </c>
      <c r="T261" s="304">
        <v>0</v>
      </c>
      <c r="U261" s="304">
        <v>0</v>
      </c>
      <c r="V261" s="304">
        <v>0</v>
      </c>
      <c r="W261" s="304">
        <v>0</v>
      </c>
      <c r="X261" s="304">
        <v>0</v>
      </c>
      <c r="Y261" s="304">
        <v>0</v>
      </c>
      <c r="Z261" s="304">
        <v>0</v>
      </c>
      <c r="AA261" s="304">
        <v>0</v>
      </c>
      <c r="AB261" s="303">
        <v>2020</v>
      </c>
    </row>
    <row r="262" spans="1:28" ht="35.25" customHeight="1" x14ac:dyDescent="0.5">
      <c r="A262">
        <v>1</v>
      </c>
      <c r="B262" s="80">
        <f>SUBTOTAL(103,$A$9:A262)</f>
        <v>253</v>
      </c>
      <c r="C262" s="306" t="s">
        <v>2360</v>
      </c>
      <c r="D262" s="296">
        <f t="shared" si="6"/>
        <v>650000</v>
      </c>
      <c r="E262" s="304">
        <v>0</v>
      </c>
      <c r="F262" s="304">
        <v>0</v>
      </c>
      <c r="G262" s="304">
        <v>0</v>
      </c>
      <c r="H262" s="304">
        <v>0</v>
      </c>
      <c r="I262" s="304">
        <v>0</v>
      </c>
      <c r="J262" s="304">
        <v>0</v>
      </c>
      <c r="K262" s="302">
        <v>0</v>
      </c>
      <c r="L262" s="304">
        <v>0</v>
      </c>
      <c r="M262" s="304">
        <v>0</v>
      </c>
      <c r="N262" s="304">
        <v>0</v>
      </c>
      <c r="O262" s="304">
        <v>650000</v>
      </c>
      <c r="P262" s="304">
        <v>0</v>
      </c>
      <c r="Q262" s="304">
        <v>0</v>
      </c>
      <c r="R262" s="304">
        <v>0</v>
      </c>
      <c r="S262" s="304">
        <v>0</v>
      </c>
      <c r="T262" s="304">
        <v>0</v>
      </c>
      <c r="U262" s="304">
        <v>0</v>
      </c>
      <c r="V262" s="304">
        <v>0</v>
      </c>
      <c r="W262" s="304">
        <v>0</v>
      </c>
      <c r="X262" s="304">
        <v>0</v>
      </c>
      <c r="Y262" s="304">
        <v>0</v>
      </c>
      <c r="Z262" s="304">
        <v>0</v>
      </c>
      <c r="AA262" s="304">
        <v>0</v>
      </c>
      <c r="AB262" s="303">
        <v>2020</v>
      </c>
    </row>
    <row r="263" spans="1:28" ht="35.25" customHeight="1" x14ac:dyDescent="0.5">
      <c r="A263">
        <v>1</v>
      </c>
      <c r="B263" s="80">
        <f>SUBTOTAL(103,$A$9:A263)</f>
        <v>254</v>
      </c>
      <c r="C263" s="306" t="s">
        <v>2361</v>
      </c>
      <c r="D263" s="296">
        <f t="shared" si="6"/>
        <v>2089000</v>
      </c>
      <c r="E263" s="304">
        <v>0</v>
      </c>
      <c r="F263" s="304">
        <v>0</v>
      </c>
      <c r="G263" s="304">
        <v>0</v>
      </c>
      <c r="H263" s="304">
        <v>0</v>
      </c>
      <c r="I263" s="304">
        <v>0</v>
      </c>
      <c r="J263" s="304">
        <v>0</v>
      </c>
      <c r="K263" s="302">
        <v>0</v>
      </c>
      <c r="L263" s="304">
        <v>0</v>
      </c>
      <c r="M263" s="304">
        <v>0</v>
      </c>
      <c r="N263" s="304">
        <v>0</v>
      </c>
      <c r="O263" s="304">
        <v>2089000</v>
      </c>
      <c r="P263" s="304">
        <v>0</v>
      </c>
      <c r="Q263" s="304">
        <v>0</v>
      </c>
      <c r="R263" s="304">
        <v>0</v>
      </c>
      <c r="S263" s="304">
        <v>0</v>
      </c>
      <c r="T263" s="304">
        <v>0</v>
      </c>
      <c r="U263" s="304">
        <v>0</v>
      </c>
      <c r="V263" s="304">
        <v>0</v>
      </c>
      <c r="W263" s="304">
        <v>0</v>
      </c>
      <c r="X263" s="304">
        <v>0</v>
      </c>
      <c r="Y263" s="304">
        <v>0</v>
      </c>
      <c r="Z263" s="304">
        <v>0</v>
      </c>
      <c r="AA263" s="304">
        <v>0</v>
      </c>
      <c r="AB263" s="303">
        <v>2020</v>
      </c>
    </row>
    <row r="264" spans="1:28" ht="35.25" customHeight="1" x14ac:dyDescent="0.5">
      <c r="A264">
        <v>1</v>
      </c>
      <c r="B264" s="80">
        <f>SUBTOTAL(103,$A$9:A264)</f>
        <v>255</v>
      </c>
      <c r="C264" s="306" t="s">
        <v>2362</v>
      </c>
      <c r="D264" s="296">
        <f t="shared" si="6"/>
        <v>346530.56</v>
      </c>
      <c r="E264" s="304">
        <v>0</v>
      </c>
      <c r="F264" s="304">
        <v>0</v>
      </c>
      <c r="G264" s="304">
        <v>0</v>
      </c>
      <c r="H264" s="304">
        <v>0</v>
      </c>
      <c r="I264" s="304">
        <v>0</v>
      </c>
      <c r="J264" s="304">
        <v>0</v>
      </c>
      <c r="K264" s="302">
        <v>0</v>
      </c>
      <c r="L264" s="304">
        <v>0</v>
      </c>
      <c r="M264" s="304">
        <v>0</v>
      </c>
      <c r="N264" s="304">
        <v>0</v>
      </c>
      <c r="O264" s="304">
        <v>346530.56</v>
      </c>
      <c r="P264" s="304">
        <v>0</v>
      </c>
      <c r="Q264" s="304">
        <v>0</v>
      </c>
      <c r="R264" s="304">
        <v>0</v>
      </c>
      <c r="S264" s="304">
        <v>0</v>
      </c>
      <c r="T264" s="304">
        <v>0</v>
      </c>
      <c r="U264" s="304">
        <v>0</v>
      </c>
      <c r="V264" s="304">
        <v>0</v>
      </c>
      <c r="W264" s="304">
        <v>0</v>
      </c>
      <c r="X264" s="304">
        <v>0</v>
      </c>
      <c r="Y264" s="304">
        <v>0</v>
      </c>
      <c r="Z264" s="304">
        <v>0</v>
      </c>
      <c r="AA264" s="304">
        <v>0</v>
      </c>
      <c r="AB264" s="303">
        <v>2020</v>
      </c>
    </row>
    <row r="265" spans="1:28" ht="35.25" customHeight="1" x14ac:dyDescent="0.5">
      <c r="A265">
        <v>1</v>
      </c>
      <c r="B265" s="80">
        <f>SUBTOTAL(103,$A$9:A265)</f>
        <v>256</v>
      </c>
      <c r="C265" s="306" t="s">
        <v>2587</v>
      </c>
      <c r="D265" s="296">
        <f t="shared" ref="D265:D328" si="7">E265+F265+G265+H265+I265+J265+L265+M265+N265+O265+P265+Q265+R265+S265+T265+U265+V265+W265+X265+Y265+Z265+AA265</f>
        <v>2845323</v>
      </c>
      <c r="E265" s="304">
        <v>0</v>
      </c>
      <c r="F265" s="304">
        <v>0</v>
      </c>
      <c r="G265" s="304">
        <v>0</v>
      </c>
      <c r="H265" s="304">
        <v>0</v>
      </c>
      <c r="I265" s="304">
        <v>0</v>
      </c>
      <c r="J265" s="304">
        <v>0</v>
      </c>
      <c r="K265" s="305">
        <v>0</v>
      </c>
      <c r="L265" s="304">
        <v>0</v>
      </c>
      <c r="M265" s="304">
        <v>2845323</v>
      </c>
      <c r="N265" s="304">
        <v>0</v>
      </c>
      <c r="O265" s="304">
        <v>0</v>
      </c>
      <c r="P265" s="304">
        <v>0</v>
      </c>
      <c r="Q265" s="304">
        <v>0</v>
      </c>
      <c r="R265" s="304">
        <v>0</v>
      </c>
      <c r="S265" s="304">
        <v>0</v>
      </c>
      <c r="T265" s="304">
        <v>0</v>
      </c>
      <c r="U265" s="304">
        <v>0</v>
      </c>
      <c r="V265" s="304">
        <v>0</v>
      </c>
      <c r="W265" s="304">
        <v>0</v>
      </c>
      <c r="X265" s="304">
        <v>0</v>
      </c>
      <c r="Y265" s="304">
        <v>0</v>
      </c>
      <c r="Z265" s="304">
        <v>0</v>
      </c>
      <c r="AA265" s="304">
        <v>0</v>
      </c>
      <c r="AB265" s="307">
        <v>2020</v>
      </c>
    </row>
    <row r="266" spans="1:28" ht="35.25" customHeight="1" x14ac:dyDescent="0.5">
      <c r="A266">
        <v>1</v>
      </c>
      <c r="B266" s="80">
        <f>SUBTOTAL(103,$A$9:A266)</f>
        <v>257</v>
      </c>
      <c r="C266" s="306" t="s">
        <v>2588</v>
      </c>
      <c r="D266" s="296">
        <f t="shared" si="7"/>
        <v>2618514</v>
      </c>
      <c r="E266" s="304">
        <v>0</v>
      </c>
      <c r="F266" s="304">
        <v>0</v>
      </c>
      <c r="G266" s="304">
        <v>1137202</v>
      </c>
      <c r="H266" s="304">
        <v>0</v>
      </c>
      <c r="I266" s="304">
        <v>0</v>
      </c>
      <c r="J266" s="304">
        <v>0</v>
      </c>
      <c r="K266" s="305">
        <v>0</v>
      </c>
      <c r="L266" s="304">
        <v>0</v>
      </c>
      <c r="M266" s="304">
        <v>0</v>
      </c>
      <c r="N266" s="304">
        <v>0</v>
      </c>
      <c r="O266" s="304">
        <v>1481312</v>
      </c>
      <c r="P266" s="304">
        <v>0</v>
      </c>
      <c r="Q266" s="304">
        <v>0</v>
      </c>
      <c r="R266" s="304">
        <v>0</v>
      </c>
      <c r="S266" s="304">
        <v>0</v>
      </c>
      <c r="T266" s="304">
        <v>0</v>
      </c>
      <c r="U266" s="304">
        <v>0</v>
      </c>
      <c r="V266" s="304">
        <v>0</v>
      </c>
      <c r="W266" s="304">
        <v>0</v>
      </c>
      <c r="X266" s="304">
        <v>0</v>
      </c>
      <c r="Y266" s="304">
        <v>0</v>
      </c>
      <c r="Z266" s="304">
        <v>0</v>
      </c>
      <c r="AA266" s="304">
        <v>0</v>
      </c>
      <c r="AB266" s="307">
        <v>2020</v>
      </c>
    </row>
    <row r="267" spans="1:28" ht="35.25" customHeight="1" x14ac:dyDescent="0.5">
      <c r="A267">
        <v>1</v>
      </c>
      <c r="B267" s="80">
        <f>SUBTOTAL(103,$A$9:A267)</f>
        <v>258</v>
      </c>
      <c r="C267" s="306" t="s">
        <v>2589</v>
      </c>
      <c r="D267" s="296">
        <f t="shared" si="7"/>
        <v>7368560</v>
      </c>
      <c r="E267" s="304">
        <v>0</v>
      </c>
      <c r="F267" s="304">
        <v>0</v>
      </c>
      <c r="G267" s="304">
        <v>0</v>
      </c>
      <c r="H267" s="304">
        <v>0</v>
      </c>
      <c r="I267" s="304">
        <v>0</v>
      </c>
      <c r="J267" s="304">
        <v>0</v>
      </c>
      <c r="K267" s="305">
        <v>4</v>
      </c>
      <c r="L267" s="304">
        <v>7368560</v>
      </c>
      <c r="M267" s="304">
        <v>0</v>
      </c>
      <c r="N267" s="304">
        <v>0</v>
      </c>
      <c r="O267" s="304">
        <v>0</v>
      </c>
      <c r="P267" s="304">
        <v>0</v>
      </c>
      <c r="Q267" s="304">
        <v>0</v>
      </c>
      <c r="R267" s="304">
        <v>0</v>
      </c>
      <c r="S267" s="304">
        <v>0</v>
      </c>
      <c r="T267" s="304">
        <v>0</v>
      </c>
      <c r="U267" s="304">
        <v>0</v>
      </c>
      <c r="V267" s="304">
        <v>0</v>
      </c>
      <c r="W267" s="304">
        <v>0</v>
      </c>
      <c r="X267" s="304">
        <v>0</v>
      </c>
      <c r="Y267" s="304">
        <v>0</v>
      </c>
      <c r="Z267" s="304">
        <v>0</v>
      </c>
      <c r="AA267" s="304">
        <v>0</v>
      </c>
      <c r="AB267" s="307">
        <v>2020</v>
      </c>
    </row>
    <row r="268" spans="1:28" ht="35.25" customHeight="1" x14ac:dyDescent="0.5">
      <c r="A268">
        <v>1</v>
      </c>
      <c r="B268" s="80">
        <f>SUBTOTAL(103,$A$9:A268)</f>
        <v>259</v>
      </c>
      <c r="C268" s="306" t="s">
        <v>3373</v>
      </c>
      <c r="D268" s="296">
        <f t="shared" si="7"/>
        <v>12447998</v>
      </c>
      <c r="E268" s="304">
        <v>0</v>
      </c>
      <c r="F268" s="304">
        <v>0</v>
      </c>
      <c r="G268" s="304">
        <v>993479</v>
      </c>
      <c r="H268" s="304">
        <v>0</v>
      </c>
      <c r="I268" s="304">
        <v>0</v>
      </c>
      <c r="J268" s="304">
        <v>0</v>
      </c>
      <c r="K268" s="305">
        <v>0</v>
      </c>
      <c r="L268" s="304">
        <v>0</v>
      </c>
      <c r="M268" s="304">
        <v>0</v>
      </c>
      <c r="N268" s="304">
        <v>0</v>
      </c>
      <c r="O268" s="304">
        <v>11454519</v>
      </c>
      <c r="P268" s="304">
        <v>0</v>
      </c>
      <c r="Q268" s="304">
        <v>0</v>
      </c>
      <c r="R268" s="304">
        <v>0</v>
      </c>
      <c r="S268" s="304">
        <v>0</v>
      </c>
      <c r="T268" s="304">
        <v>0</v>
      </c>
      <c r="U268" s="304">
        <v>0</v>
      </c>
      <c r="V268" s="304">
        <v>0</v>
      </c>
      <c r="W268" s="304">
        <v>0</v>
      </c>
      <c r="X268" s="304">
        <v>0</v>
      </c>
      <c r="Y268" s="304">
        <v>0</v>
      </c>
      <c r="Z268" s="304">
        <v>0</v>
      </c>
      <c r="AA268" s="304">
        <v>0</v>
      </c>
      <c r="AB268" s="307">
        <v>2020</v>
      </c>
    </row>
    <row r="269" spans="1:28" ht="35.25" customHeight="1" x14ac:dyDescent="0.5">
      <c r="A269">
        <v>1</v>
      </c>
      <c r="B269" s="80">
        <f>SUBTOTAL(103,$A$9:A269)</f>
        <v>260</v>
      </c>
      <c r="C269" s="306" t="s">
        <v>2590</v>
      </c>
      <c r="D269" s="296">
        <f t="shared" si="7"/>
        <v>2500000</v>
      </c>
      <c r="E269" s="304">
        <v>0</v>
      </c>
      <c r="F269" s="304">
        <v>0</v>
      </c>
      <c r="G269" s="304">
        <v>0</v>
      </c>
      <c r="H269" s="304">
        <v>0</v>
      </c>
      <c r="I269" s="304">
        <v>0</v>
      </c>
      <c r="J269" s="304">
        <v>0</v>
      </c>
      <c r="K269" s="305">
        <v>0</v>
      </c>
      <c r="L269" s="304">
        <v>0</v>
      </c>
      <c r="M269" s="304">
        <v>2500000</v>
      </c>
      <c r="N269" s="304">
        <v>0</v>
      </c>
      <c r="O269" s="304">
        <v>0</v>
      </c>
      <c r="P269" s="304">
        <v>0</v>
      </c>
      <c r="Q269" s="304">
        <v>0</v>
      </c>
      <c r="R269" s="304">
        <v>0</v>
      </c>
      <c r="S269" s="304">
        <v>0</v>
      </c>
      <c r="T269" s="304">
        <v>0</v>
      </c>
      <c r="U269" s="304">
        <v>0</v>
      </c>
      <c r="V269" s="304">
        <v>0</v>
      </c>
      <c r="W269" s="304">
        <v>0</v>
      </c>
      <c r="X269" s="304">
        <v>0</v>
      </c>
      <c r="Y269" s="304">
        <v>0</v>
      </c>
      <c r="Z269" s="304">
        <v>0</v>
      </c>
      <c r="AA269" s="304">
        <v>0</v>
      </c>
      <c r="AB269" s="307">
        <v>2020</v>
      </c>
    </row>
    <row r="270" spans="1:28" ht="35.25" customHeight="1" x14ac:dyDescent="0.5">
      <c r="A270">
        <v>1</v>
      </c>
      <c r="B270" s="80">
        <f>SUBTOTAL(103,$A$9:A270)</f>
        <v>261</v>
      </c>
      <c r="C270" s="306" t="s">
        <v>2591</v>
      </c>
      <c r="D270" s="296">
        <f t="shared" si="7"/>
        <v>2300000</v>
      </c>
      <c r="E270" s="304">
        <v>0</v>
      </c>
      <c r="F270" s="304">
        <v>0</v>
      </c>
      <c r="G270" s="304">
        <v>0</v>
      </c>
      <c r="H270" s="304">
        <v>0</v>
      </c>
      <c r="I270" s="304">
        <v>0</v>
      </c>
      <c r="J270" s="304">
        <v>0</v>
      </c>
      <c r="K270" s="305">
        <v>0</v>
      </c>
      <c r="L270" s="304">
        <v>0</v>
      </c>
      <c r="M270" s="304">
        <v>2300000</v>
      </c>
      <c r="N270" s="304">
        <v>0</v>
      </c>
      <c r="O270" s="304">
        <v>0</v>
      </c>
      <c r="P270" s="304">
        <v>0</v>
      </c>
      <c r="Q270" s="304">
        <v>0</v>
      </c>
      <c r="R270" s="304">
        <v>0</v>
      </c>
      <c r="S270" s="304">
        <v>0</v>
      </c>
      <c r="T270" s="304">
        <v>0</v>
      </c>
      <c r="U270" s="304">
        <v>0</v>
      </c>
      <c r="V270" s="304">
        <v>0</v>
      </c>
      <c r="W270" s="304">
        <v>0</v>
      </c>
      <c r="X270" s="304">
        <v>0</v>
      </c>
      <c r="Y270" s="304">
        <v>0</v>
      </c>
      <c r="Z270" s="304">
        <v>0</v>
      </c>
      <c r="AA270" s="304">
        <v>0</v>
      </c>
      <c r="AB270" s="307">
        <v>2020</v>
      </c>
    </row>
    <row r="271" spans="1:28" ht="35.25" customHeight="1" x14ac:dyDescent="0.5">
      <c r="A271">
        <v>1</v>
      </c>
      <c r="B271" s="80">
        <f>SUBTOTAL(103,$A$9:A271)</f>
        <v>262</v>
      </c>
      <c r="C271" s="306" t="s">
        <v>2592</v>
      </c>
      <c r="D271" s="296">
        <f t="shared" si="7"/>
        <v>3753310</v>
      </c>
      <c r="E271" s="304">
        <v>0</v>
      </c>
      <c r="F271" s="304">
        <v>0</v>
      </c>
      <c r="G271" s="304">
        <v>0</v>
      </c>
      <c r="H271" s="304">
        <v>0</v>
      </c>
      <c r="I271" s="304">
        <v>0</v>
      </c>
      <c r="J271" s="304">
        <v>0</v>
      </c>
      <c r="K271" s="305">
        <v>2</v>
      </c>
      <c r="L271" s="304">
        <v>3753310</v>
      </c>
      <c r="M271" s="304">
        <v>0</v>
      </c>
      <c r="N271" s="304">
        <v>0</v>
      </c>
      <c r="O271" s="304">
        <v>0</v>
      </c>
      <c r="P271" s="304">
        <v>0</v>
      </c>
      <c r="Q271" s="304">
        <v>0</v>
      </c>
      <c r="R271" s="304">
        <v>0</v>
      </c>
      <c r="S271" s="304">
        <v>0</v>
      </c>
      <c r="T271" s="304">
        <v>0</v>
      </c>
      <c r="U271" s="304">
        <v>0</v>
      </c>
      <c r="V271" s="304">
        <v>0</v>
      </c>
      <c r="W271" s="304">
        <v>0</v>
      </c>
      <c r="X271" s="304">
        <v>0</v>
      </c>
      <c r="Y271" s="304">
        <v>0</v>
      </c>
      <c r="Z271" s="304">
        <v>0</v>
      </c>
      <c r="AA271" s="304">
        <v>0</v>
      </c>
      <c r="AB271" s="307">
        <v>2020</v>
      </c>
    </row>
    <row r="272" spans="1:28" ht="35.25" customHeight="1" x14ac:dyDescent="0.5">
      <c r="A272">
        <v>1</v>
      </c>
      <c r="B272" s="80">
        <f>SUBTOTAL(103,$A$9:A272)</f>
        <v>263</v>
      </c>
      <c r="C272" s="306" t="s">
        <v>2593</v>
      </c>
      <c r="D272" s="296">
        <f t="shared" si="7"/>
        <v>2182148</v>
      </c>
      <c r="E272" s="304">
        <v>0</v>
      </c>
      <c r="F272" s="304">
        <v>0</v>
      </c>
      <c r="G272" s="304">
        <v>0</v>
      </c>
      <c r="H272" s="304">
        <v>0</v>
      </c>
      <c r="I272" s="304">
        <v>0</v>
      </c>
      <c r="J272" s="304">
        <v>0</v>
      </c>
      <c r="K272" s="305">
        <v>0</v>
      </c>
      <c r="L272" s="304">
        <v>0</v>
      </c>
      <c r="M272" s="304">
        <v>2182148</v>
      </c>
      <c r="N272" s="304">
        <v>0</v>
      </c>
      <c r="O272" s="304">
        <v>0</v>
      </c>
      <c r="P272" s="304">
        <v>0</v>
      </c>
      <c r="Q272" s="304">
        <v>0</v>
      </c>
      <c r="R272" s="304">
        <v>0</v>
      </c>
      <c r="S272" s="304">
        <v>0</v>
      </c>
      <c r="T272" s="304">
        <v>0</v>
      </c>
      <c r="U272" s="304">
        <v>0</v>
      </c>
      <c r="V272" s="304">
        <v>0</v>
      </c>
      <c r="W272" s="304">
        <v>0</v>
      </c>
      <c r="X272" s="304">
        <v>0</v>
      </c>
      <c r="Y272" s="304">
        <v>0</v>
      </c>
      <c r="Z272" s="304">
        <v>0</v>
      </c>
      <c r="AA272" s="304">
        <v>0</v>
      </c>
      <c r="AB272" s="307">
        <v>2020</v>
      </c>
    </row>
    <row r="273" spans="1:28" ht="35.25" customHeight="1" x14ac:dyDescent="0.5">
      <c r="A273">
        <v>1</v>
      </c>
      <c r="B273" s="80">
        <f>SUBTOTAL(103,$A$9:A273)</f>
        <v>264</v>
      </c>
      <c r="C273" s="306" t="s">
        <v>2594</v>
      </c>
      <c r="D273" s="296">
        <f t="shared" si="7"/>
        <v>2042389</v>
      </c>
      <c r="E273" s="304">
        <v>0</v>
      </c>
      <c r="F273" s="304">
        <v>0</v>
      </c>
      <c r="G273" s="304">
        <v>0</v>
      </c>
      <c r="H273" s="304">
        <v>0</v>
      </c>
      <c r="I273" s="304">
        <v>0</v>
      </c>
      <c r="J273" s="304">
        <v>0</v>
      </c>
      <c r="K273" s="305">
        <v>0</v>
      </c>
      <c r="L273" s="304">
        <v>0</v>
      </c>
      <c r="M273" s="304">
        <v>2042389</v>
      </c>
      <c r="N273" s="304">
        <v>0</v>
      </c>
      <c r="O273" s="304">
        <v>0</v>
      </c>
      <c r="P273" s="304">
        <v>0</v>
      </c>
      <c r="Q273" s="304">
        <v>0</v>
      </c>
      <c r="R273" s="304">
        <v>0</v>
      </c>
      <c r="S273" s="304">
        <v>0</v>
      </c>
      <c r="T273" s="304">
        <v>0</v>
      </c>
      <c r="U273" s="304">
        <v>0</v>
      </c>
      <c r="V273" s="304">
        <v>0</v>
      </c>
      <c r="W273" s="304">
        <v>0</v>
      </c>
      <c r="X273" s="304">
        <v>0</v>
      </c>
      <c r="Y273" s="304">
        <v>0</v>
      </c>
      <c r="Z273" s="304">
        <v>0</v>
      </c>
      <c r="AA273" s="304">
        <v>0</v>
      </c>
      <c r="AB273" s="307">
        <v>2020</v>
      </c>
    </row>
    <row r="274" spans="1:28" ht="35.25" customHeight="1" x14ac:dyDescent="0.5">
      <c r="A274">
        <v>1</v>
      </c>
      <c r="B274" s="80">
        <f>SUBTOTAL(103,$A$9:A274)</f>
        <v>265</v>
      </c>
      <c r="C274" s="306" t="s">
        <v>2595</v>
      </c>
      <c r="D274" s="296">
        <f t="shared" si="7"/>
        <v>1288716</v>
      </c>
      <c r="E274" s="304">
        <v>0</v>
      </c>
      <c r="F274" s="304">
        <v>0</v>
      </c>
      <c r="G274" s="304">
        <v>0</v>
      </c>
      <c r="H274" s="304">
        <v>0</v>
      </c>
      <c r="I274" s="304">
        <v>0</v>
      </c>
      <c r="J274" s="304">
        <v>0</v>
      </c>
      <c r="K274" s="305">
        <v>0</v>
      </c>
      <c r="L274" s="304">
        <v>0</v>
      </c>
      <c r="M274" s="304">
        <v>0</v>
      </c>
      <c r="N274" s="304">
        <v>0</v>
      </c>
      <c r="O274" s="304">
        <v>1288716</v>
      </c>
      <c r="P274" s="304">
        <v>0</v>
      </c>
      <c r="Q274" s="304">
        <v>0</v>
      </c>
      <c r="R274" s="304">
        <v>0</v>
      </c>
      <c r="S274" s="304">
        <v>0</v>
      </c>
      <c r="T274" s="304">
        <v>0</v>
      </c>
      <c r="U274" s="304">
        <v>0</v>
      </c>
      <c r="V274" s="304">
        <v>0</v>
      </c>
      <c r="W274" s="304">
        <v>0</v>
      </c>
      <c r="X274" s="304">
        <v>0</v>
      </c>
      <c r="Y274" s="304">
        <v>0</v>
      </c>
      <c r="Z274" s="304">
        <v>0</v>
      </c>
      <c r="AA274" s="304">
        <v>0</v>
      </c>
      <c r="AB274" s="307">
        <v>2020</v>
      </c>
    </row>
    <row r="275" spans="1:28" ht="35.25" customHeight="1" x14ac:dyDescent="0.5">
      <c r="A275">
        <v>1</v>
      </c>
      <c r="B275" s="80">
        <f>SUBTOTAL(103,$A$9:A275)</f>
        <v>266</v>
      </c>
      <c r="C275" s="306" t="s">
        <v>2596</v>
      </c>
      <c r="D275" s="296">
        <f t="shared" si="7"/>
        <v>9957610</v>
      </c>
      <c r="E275" s="304">
        <v>0</v>
      </c>
      <c r="F275" s="304">
        <v>828121</v>
      </c>
      <c r="G275" s="304">
        <v>0</v>
      </c>
      <c r="H275" s="304">
        <v>0</v>
      </c>
      <c r="I275" s="304">
        <v>64945</v>
      </c>
      <c r="J275" s="304">
        <v>0</v>
      </c>
      <c r="K275" s="305">
        <v>0</v>
      </c>
      <c r="L275" s="304">
        <v>0</v>
      </c>
      <c r="M275" s="304">
        <v>2708361</v>
      </c>
      <c r="N275" s="304">
        <v>0</v>
      </c>
      <c r="O275" s="304">
        <v>6356183</v>
      </c>
      <c r="P275" s="304">
        <v>0</v>
      </c>
      <c r="Q275" s="304">
        <v>0</v>
      </c>
      <c r="R275" s="304">
        <v>0</v>
      </c>
      <c r="S275" s="304">
        <v>0</v>
      </c>
      <c r="T275" s="304">
        <v>0</v>
      </c>
      <c r="U275" s="304">
        <v>0</v>
      </c>
      <c r="V275" s="304">
        <v>0</v>
      </c>
      <c r="W275" s="304">
        <v>0</v>
      </c>
      <c r="X275" s="304">
        <v>0</v>
      </c>
      <c r="Y275" s="304">
        <v>0</v>
      </c>
      <c r="Z275" s="304">
        <v>0</v>
      </c>
      <c r="AA275" s="304">
        <v>0</v>
      </c>
      <c r="AB275" s="307">
        <v>2020</v>
      </c>
    </row>
    <row r="276" spans="1:28" ht="35.25" customHeight="1" x14ac:dyDescent="0.5">
      <c r="A276">
        <v>1</v>
      </c>
      <c r="B276" s="80">
        <f>SUBTOTAL(103,$A$9:A276)</f>
        <v>267</v>
      </c>
      <c r="C276" s="306" t="s">
        <v>2597</v>
      </c>
      <c r="D276" s="296">
        <f t="shared" si="7"/>
        <v>2500000</v>
      </c>
      <c r="E276" s="304">
        <v>0</v>
      </c>
      <c r="F276" s="304">
        <v>0</v>
      </c>
      <c r="G276" s="304">
        <v>0</v>
      </c>
      <c r="H276" s="304">
        <v>0</v>
      </c>
      <c r="I276" s="304">
        <v>0</v>
      </c>
      <c r="J276" s="304">
        <v>0</v>
      </c>
      <c r="K276" s="305">
        <v>0</v>
      </c>
      <c r="L276" s="304">
        <v>0</v>
      </c>
      <c r="M276" s="304">
        <v>2500000</v>
      </c>
      <c r="N276" s="304">
        <v>0</v>
      </c>
      <c r="O276" s="304">
        <v>0</v>
      </c>
      <c r="P276" s="304">
        <v>0</v>
      </c>
      <c r="Q276" s="304">
        <v>0</v>
      </c>
      <c r="R276" s="304">
        <v>0</v>
      </c>
      <c r="S276" s="304">
        <v>0</v>
      </c>
      <c r="T276" s="304">
        <v>0</v>
      </c>
      <c r="U276" s="304">
        <v>0</v>
      </c>
      <c r="V276" s="304">
        <v>0</v>
      </c>
      <c r="W276" s="304">
        <v>0</v>
      </c>
      <c r="X276" s="304">
        <v>0</v>
      </c>
      <c r="Y276" s="304">
        <v>0</v>
      </c>
      <c r="Z276" s="304">
        <v>0</v>
      </c>
      <c r="AA276" s="304">
        <v>0</v>
      </c>
      <c r="AB276" s="307">
        <v>2020</v>
      </c>
    </row>
    <row r="277" spans="1:28" ht="35.25" customHeight="1" x14ac:dyDescent="0.5">
      <c r="A277">
        <v>1</v>
      </c>
      <c r="B277" s="80">
        <f>SUBTOTAL(103,$A$9:A277)</f>
        <v>268</v>
      </c>
      <c r="C277" s="306" t="s">
        <v>2598</v>
      </c>
      <c r="D277" s="296">
        <f t="shared" si="7"/>
        <v>1899999</v>
      </c>
      <c r="E277" s="304">
        <v>0</v>
      </c>
      <c r="F277" s="304">
        <v>0</v>
      </c>
      <c r="G277" s="304">
        <v>0</v>
      </c>
      <c r="H277" s="304">
        <v>0</v>
      </c>
      <c r="I277" s="304">
        <v>0</v>
      </c>
      <c r="J277" s="304">
        <v>0</v>
      </c>
      <c r="K277" s="305">
        <v>0</v>
      </c>
      <c r="L277" s="304">
        <v>0</v>
      </c>
      <c r="M277" s="304">
        <v>1899999</v>
      </c>
      <c r="N277" s="304">
        <v>0</v>
      </c>
      <c r="O277" s="304">
        <v>0</v>
      </c>
      <c r="P277" s="304">
        <v>0</v>
      </c>
      <c r="Q277" s="304">
        <v>0</v>
      </c>
      <c r="R277" s="304">
        <v>0</v>
      </c>
      <c r="S277" s="304">
        <v>0</v>
      </c>
      <c r="T277" s="304">
        <v>0</v>
      </c>
      <c r="U277" s="304">
        <v>0</v>
      </c>
      <c r="V277" s="304">
        <v>0</v>
      </c>
      <c r="W277" s="304">
        <v>0</v>
      </c>
      <c r="X277" s="304">
        <v>0</v>
      </c>
      <c r="Y277" s="304">
        <v>0</v>
      </c>
      <c r="Z277" s="304">
        <v>0</v>
      </c>
      <c r="AA277" s="304">
        <v>0</v>
      </c>
      <c r="AB277" s="307">
        <v>2020</v>
      </c>
    </row>
    <row r="278" spans="1:28" ht="35.25" customHeight="1" x14ac:dyDescent="0.5">
      <c r="A278">
        <v>1</v>
      </c>
      <c r="B278" s="80">
        <f>SUBTOTAL(103,$A$9:A278)</f>
        <v>269</v>
      </c>
      <c r="C278" s="306" t="s">
        <v>2599</v>
      </c>
      <c r="D278" s="296">
        <f t="shared" si="7"/>
        <v>1950165</v>
      </c>
      <c r="E278" s="304">
        <v>0</v>
      </c>
      <c r="F278" s="304">
        <v>0</v>
      </c>
      <c r="G278" s="304">
        <v>0</v>
      </c>
      <c r="H278" s="304">
        <v>0</v>
      </c>
      <c r="I278" s="304">
        <v>0</v>
      </c>
      <c r="J278" s="304">
        <v>0</v>
      </c>
      <c r="K278" s="305">
        <v>0</v>
      </c>
      <c r="L278" s="304">
        <v>0</v>
      </c>
      <c r="M278" s="304">
        <v>1950165</v>
      </c>
      <c r="N278" s="304">
        <v>0</v>
      </c>
      <c r="O278" s="304">
        <v>0</v>
      </c>
      <c r="P278" s="304">
        <v>0</v>
      </c>
      <c r="Q278" s="304">
        <v>0</v>
      </c>
      <c r="R278" s="304">
        <v>0</v>
      </c>
      <c r="S278" s="304">
        <v>0</v>
      </c>
      <c r="T278" s="304">
        <v>0</v>
      </c>
      <c r="U278" s="304">
        <v>0</v>
      </c>
      <c r="V278" s="304">
        <v>0</v>
      </c>
      <c r="W278" s="304">
        <v>0</v>
      </c>
      <c r="X278" s="304">
        <v>0</v>
      </c>
      <c r="Y278" s="304">
        <v>0</v>
      </c>
      <c r="Z278" s="304">
        <v>0</v>
      </c>
      <c r="AA278" s="304">
        <v>0</v>
      </c>
      <c r="AB278" s="307">
        <v>2020</v>
      </c>
    </row>
    <row r="279" spans="1:28" ht="35.25" customHeight="1" x14ac:dyDescent="0.5">
      <c r="A279">
        <v>1</v>
      </c>
      <c r="B279" s="80">
        <f>SUBTOTAL(103,$A$9:A279)</f>
        <v>270</v>
      </c>
      <c r="C279" s="306" t="s">
        <v>2600</v>
      </c>
      <c r="D279" s="296">
        <f t="shared" si="7"/>
        <v>2073808</v>
      </c>
      <c r="E279" s="304">
        <v>0</v>
      </c>
      <c r="F279" s="304">
        <v>0</v>
      </c>
      <c r="G279" s="304">
        <v>0</v>
      </c>
      <c r="H279" s="304">
        <v>0</v>
      </c>
      <c r="I279" s="304">
        <v>0</v>
      </c>
      <c r="J279" s="304">
        <v>0</v>
      </c>
      <c r="K279" s="305">
        <v>0</v>
      </c>
      <c r="L279" s="304">
        <v>0</v>
      </c>
      <c r="M279" s="304">
        <v>0</v>
      </c>
      <c r="N279" s="304">
        <v>0</v>
      </c>
      <c r="O279" s="304">
        <v>2073808</v>
      </c>
      <c r="P279" s="304">
        <v>0</v>
      </c>
      <c r="Q279" s="304">
        <v>0</v>
      </c>
      <c r="R279" s="304">
        <v>0</v>
      </c>
      <c r="S279" s="304">
        <v>0</v>
      </c>
      <c r="T279" s="304">
        <v>0</v>
      </c>
      <c r="U279" s="304">
        <v>0</v>
      </c>
      <c r="V279" s="304">
        <v>0</v>
      </c>
      <c r="W279" s="304">
        <v>0</v>
      </c>
      <c r="X279" s="304">
        <v>0</v>
      </c>
      <c r="Y279" s="304">
        <v>0</v>
      </c>
      <c r="Z279" s="304">
        <v>0</v>
      </c>
      <c r="AA279" s="304">
        <v>0</v>
      </c>
      <c r="AB279" s="307">
        <v>2020</v>
      </c>
    </row>
    <row r="280" spans="1:28" ht="35.25" customHeight="1" x14ac:dyDescent="0.5">
      <c r="A280">
        <v>1</v>
      </c>
      <c r="B280" s="80">
        <f>SUBTOTAL(103,$A$9:A280)</f>
        <v>271</v>
      </c>
      <c r="C280" s="306" t="s">
        <v>2601</v>
      </c>
      <c r="D280" s="296">
        <f t="shared" si="7"/>
        <v>1292478</v>
      </c>
      <c r="E280" s="304">
        <v>0</v>
      </c>
      <c r="F280" s="304">
        <v>0</v>
      </c>
      <c r="G280" s="304">
        <v>1292478</v>
      </c>
      <c r="H280" s="304">
        <v>0</v>
      </c>
      <c r="I280" s="304">
        <v>0</v>
      </c>
      <c r="J280" s="304">
        <v>0</v>
      </c>
      <c r="K280" s="305">
        <v>0</v>
      </c>
      <c r="L280" s="304">
        <v>0</v>
      </c>
      <c r="M280" s="304">
        <v>0</v>
      </c>
      <c r="N280" s="304">
        <v>0</v>
      </c>
      <c r="O280" s="304">
        <v>0</v>
      </c>
      <c r="P280" s="304">
        <v>0</v>
      </c>
      <c r="Q280" s="304">
        <v>0</v>
      </c>
      <c r="R280" s="304">
        <v>0</v>
      </c>
      <c r="S280" s="304">
        <v>0</v>
      </c>
      <c r="T280" s="304">
        <v>0</v>
      </c>
      <c r="U280" s="304">
        <v>0</v>
      </c>
      <c r="V280" s="304">
        <v>0</v>
      </c>
      <c r="W280" s="304">
        <v>0</v>
      </c>
      <c r="X280" s="304">
        <v>0</v>
      </c>
      <c r="Y280" s="304">
        <v>0</v>
      </c>
      <c r="Z280" s="304">
        <v>0</v>
      </c>
      <c r="AA280" s="304">
        <v>0</v>
      </c>
      <c r="AB280" s="307">
        <v>2020</v>
      </c>
    </row>
    <row r="281" spans="1:28" ht="35.25" customHeight="1" x14ac:dyDescent="0.5">
      <c r="A281">
        <v>1</v>
      </c>
      <c r="B281" s="80">
        <f>SUBTOTAL(103,$A$9:A281)</f>
        <v>272</v>
      </c>
      <c r="C281" s="306" t="s">
        <v>2602</v>
      </c>
      <c r="D281" s="296">
        <f t="shared" si="7"/>
        <v>1489838</v>
      </c>
      <c r="E281" s="304">
        <v>0</v>
      </c>
      <c r="F281" s="304">
        <v>0</v>
      </c>
      <c r="G281" s="304">
        <v>0</v>
      </c>
      <c r="H281" s="304">
        <v>0</v>
      </c>
      <c r="I281" s="304">
        <v>0</v>
      </c>
      <c r="J281" s="304">
        <v>0</v>
      </c>
      <c r="K281" s="305">
        <v>0</v>
      </c>
      <c r="L281" s="304">
        <v>0</v>
      </c>
      <c r="M281" s="304">
        <v>0</v>
      </c>
      <c r="N281" s="304">
        <v>0</v>
      </c>
      <c r="O281" s="304">
        <v>1489838</v>
      </c>
      <c r="P281" s="304">
        <v>0</v>
      </c>
      <c r="Q281" s="304">
        <v>0</v>
      </c>
      <c r="R281" s="304">
        <v>0</v>
      </c>
      <c r="S281" s="304">
        <v>0</v>
      </c>
      <c r="T281" s="304">
        <v>0</v>
      </c>
      <c r="U281" s="304">
        <v>0</v>
      </c>
      <c r="V281" s="304">
        <v>0</v>
      </c>
      <c r="W281" s="304">
        <v>0</v>
      </c>
      <c r="X281" s="304">
        <v>0</v>
      </c>
      <c r="Y281" s="304">
        <v>0</v>
      </c>
      <c r="Z281" s="304">
        <v>0</v>
      </c>
      <c r="AA281" s="304">
        <v>0</v>
      </c>
      <c r="AB281" s="307">
        <v>2020</v>
      </c>
    </row>
    <row r="282" spans="1:28" ht="35.25" customHeight="1" x14ac:dyDescent="0.5">
      <c r="A282">
        <v>1</v>
      </c>
      <c r="B282" s="80">
        <f>SUBTOTAL(103,$A$9:A282)</f>
        <v>273</v>
      </c>
      <c r="C282" s="306" t="s">
        <v>2603</v>
      </c>
      <c r="D282" s="296">
        <f t="shared" si="7"/>
        <v>1833601</v>
      </c>
      <c r="E282" s="304">
        <v>0</v>
      </c>
      <c r="F282" s="304">
        <v>1833601</v>
      </c>
      <c r="G282" s="304">
        <v>0</v>
      </c>
      <c r="H282" s="304">
        <v>0</v>
      </c>
      <c r="I282" s="304">
        <v>0</v>
      </c>
      <c r="J282" s="304">
        <v>0</v>
      </c>
      <c r="K282" s="305">
        <v>0</v>
      </c>
      <c r="L282" s="304">
        <v>0</v>
      </c>
      <c r="M282" s="304">
        <v>0</v>
      </c>
      <c r="N282" s="304">
        <v>0</v>
      </c>
      <c r="O282" s="304">
        <v>0</v>
      </c>
      <c r="P282" s="304">
        <v>0</v>
      </c>
      <c r="Q282" s="304">
        <v>0</v>
      </c>
      <c r="R282" s="304">
        <v>0</v>
      </c>
      <c r="S282" s="304">
        <v>0</v>
      </c>
      <c r="T282" s="304">
        <v>0</v>
      </c>
      <c r="U282" s="304">
        <v>0</v>
      </c>
      <c r="V282" s="304">
        <v>0</v>
      </c>
      <c r="W282" s="304">
        <v>0</v>
      </c>
      <c r="X282" s="304">
        <v>0</v>
      </c>
      <c r="Y282" s="304">
        <v>0</v>
      </c>
      <c r="Z282" s="304">
        <v>0</v>
      </c>
      <c r="AA282" s="304">
        <v>0</v>
      </c>
      <c r="AB282" s="307">
        <v>2020</v>
      </c>
    </row>
    <row r="283" spans="1:28" ht="35.25" customHeight="1" x14ac:dyDescent="0.5">
      <c r="A283">
        <v>1</v>
      </c>
      <c r="B283" s="80">
        <f>SUBTOTAL(103,$A$9:A283)</f>
        <v>274</v>
      </c>
      <c r="C283" s="306" t="s">
        <v>2604</v>
      </c>
      <c r="D283" s="296">
        <f t="shared" si="7"/>
        <v>283406.09999999998</v>
      </c>
      <c r="E283" s="304">
        <v>0</v>
      </c>
      <c r="F283" s="304">
        <v>0</v>
      </c>
      <c r="G283" s="304">
        <v>283406.09999999998</v>
      </c>
      <c r="H283" s="304">
        <v>0</v>
      </c>
      <c r="I283" s="304">
        <v>0</v>
      </c>
      <c r="J283" s="304">
        <v>0</v>
      </c>
      <c r="K283" s="305">
        <v>0</v>
      </c>
      <c r="L283" s="304">
        <v>0</v>
      </c>
      <c r="M283" s="304">
        <v>0</v>
      </c>
      <c r="N283" s="304">
        <v>0</v>
      </c>
      <c r="O283" s="304">
        <v>0</v>
      </c>
      <c r="P283" s="304">
        <v>0</v>
      </c>
      <c r="Q283" s="304">
        <v>0</v>
      </c>
      <c r="R283" s="304">
        <v>0</v>
      </c>
      <c r="S283" s="304">
        <v>0</v>
      </c>
      <c r="T283" s="304">
        <v>0</v>
      </c>
      <c r="U283" s="304">
        <v>0</v>
      </c>
      <c r="V283" s="304">
        <v>0</v>
      </c>
      <c r="W283" s="304">
        <v>0</v>
      </c>
      <c r="X283" s="304">
        <v>0</v>
      </c>
      <c r="Y283" s="304">
        <v>0</v>
      </c>
      <c r="Z283" s="304">
        <v>0</v>
      </c>
      <c r="AA283" s="304">
        <v>0</v>
      </c>
      <c r="AB283" s="307">
        <v>2020</v>
      </c>
    </row>
    <row r="284" spans="1:28" ht="35.25" customHeight="1" x14ac:dyDescent="0.5">
      <c r="A284">
        <v>1</v>
      </c>
      <c r="B284" s="80">
        <f>SUBTOTAL(103,$A$9:A284)</f>
        <v>275</v>
      </c>
      <c r="C284" s="306" t="s">
        <v>2605</v>
      </c>
      <c r="D284" s="296">
        <f t="shared" si="7"/>
        <v>1233152.1399999999</v>
      </c>
      <c r="E284" s="304">
        <v>0</v>
      </c>
      <c r="F284" s="304">
        <v>0</v>
      </c>
      <c r="G284" s="304">
        <v>1233152.1399999999</v>
      </c>
      <c r="H284" s="304">
        <v>0</v>
      </c>
      <c r="I284" s="304">
        <v>0</v>
      </c>
      <c r="J284" s="304">
        <v>0</v>
      </c>
      <c r="K284" s="305">
        <v>0</v>
      </c>
      <c r="L284" s="304">
        <v>0</v>
      </c>
      <c r="M284" s="304">
        <v>0</v>
      </c>
      <c r="N284" s="304">
        <v>0</v>
      </c>
      <c r="O284" s="304">
        <v>0</v>
      </c>
      <c r="P284" s="304">
        <v>0</v>
      </c>
      <c r="Q284" s="304">
        <v>0</v>
      </c>
      <c r="R284" s="304">
        <v>0</v>
      </c>
      <c r="S284" s="304">
        <v>0</v>
      </c>
      <c r="T284" s="304">
        <v>0</v>
      </c>
      <c r="U284" s="304">
        <v>0</v>
      </c>
      <c r="V284" s="304">
        <v>0</v>
      </c>
      <c r="W284" s="304">
        <v>0</v>
      </c>
      <c r="X284" s="304">
        <v>0</v>
      </c>
      <c r="Y284" s="304">
        <v>0</v>
      </c>
      <c r="Z284" s="304">
        <v>0</v>
      </c>
      <c r="AA284" s="304">
        <v>0</v>
      </c>
      <c r="AB284" s="307">
        <v>2020</v>
      </c>
    </row>
    <row r="285" spans="1:28" ht="35.25" customHeight="1" x14ac:dyDescent="0.5">
      <c r="A285">
        <v>1</v>
      </c>
      <c r="B285" s="80">
        <f>SUBTOTAL(103,$A$9:A285)</f>
        <v>276</v>
      </c>
      <c r="C285" s="306" t="s">
        <v>2606</v>
      </c>
      <c r="D285" s="296">
        <f t="shared" si="7"/>
        <v>1475821.78</v>
      </c>
      <c r="E285" s="304">
        <v>0</v>
      </c>
      <c r="F285" s="304">
        <v>0</v>
      </c>
      <c r="G285" s="304">
        <v>0</v>
      </c>
      <c r="H285" s="304">
        <v>0</v>
      </c>
      <c r="I285" s="304">
        <v>0</v>
      </c>
      <c r="J285" s="304">
        <v>0</v>
      </c>
      <c r="K285" s="305">
        <v>0</v>
      </c>
      <c r="L285" s="304">
        <v>0</v>
      </c>
      <c r="M285" s="304">
        <v>1475821.78</v>
      </c>
      <c r="N285" s="304">
        <v>0</v>
      </c>
      <c r="O285" s="304">
        <v>0</v>
      </c>
      <c r="P285" s="304">
        <v>0</v>
      </c>
      <c r="Q285" s="304">
        <v>0</v>
      </c>
      <c r="R285" s="304">
        <v>0</v>
      </c>
      <c r="S285" s="304">
        <v>0</v>
      </c>
      <c r="T285" s="304">
        <v>0</v>
      </c>
      <c r="U285" s="304">
        <v>0</v>
      </c>
      <c r="V285" s="304">
        <v>0</v>
      </c>
      <c r="W285" s="304">
        <v>0</v>
      </c>
      <c r="X285" s="304">
        <v>0</v>
      </c>
      <c r="Y285" s="304">
        <v>0</v>
      </c>
      <c r="Z285" s="304">
        <v>0</v>
      </c>
      <c r="AA285" s="304">
        <v>0</v>
      </c>
      <c r="AB285" s="307">
        <v>2020</v>
      </c>
    </row>
    <row r="286" spans="1:28" ht="35.25" customHeight="1" x14ac:dyDescent="0.5">
      <c r="A286">
        <v>1</v>
      </c>
      <c r="B286" s="80">
        <f>SUBTOTAL(103,$A$9:A286)</f>
        <v>277</v>
      </c>
      <c r="C286" s="306" t="s">
        <v>2701</v>
      </c>
      <c r="D286" s="296">
        <f t="shared" si="7"/>
        <v>1181257</v>
      </c>
      <c r="E286" s="304">
        <v>0</v>
      </c>
      <c r="F286" s="304">
        <v>0</v>
      </c>
      <c r="G286" s="304">
        <v>0</v>
      </c>
      <c r="H286" s="304">
        <v>0</v>
      </c>
      <c r="I286" s="304">
        <v>0</v>
      </c>
      <c r="J286" s="304">
        <v>0</v>
      </c>
      <c r="K286" s="305">
        <v>0</v>
      </c>
      <c r="L286" s="304">
        <v>0</v>
      </c>
      <c r="M286" s="304">
        <v>0</v>
      </c>
      <c r="N286" s="304">
        <v>1181257</v>
      </c>
      <c r="O286" s="304">
        <v>0</v>
      </c>
      <c r="P286" s="304">
        <v>0</v>
      </c>
      <c r="Q286" s="304">
        <v>0</v>
      </c>
      <c r="R286" s="304">
        <v>0</v>
      </c>
      <c r="S286" s="304">
        <v>0</v>
      </c>
      <c r="T286" s="304">
        <v>0</v>
      </c>
      <c r="U286" s="304">
        <v>0</v>
      </c>
      <c r="V286" s="304">
        <v>0</v>
      </c>
      <c r="W286" s="304">
        <v>0</v>
      </c>
      <c r="X286" s="304">
        <v>0</v>
      </c>
      <c r="Y286" s="304">
        <v>0</v>
      </c>
      <c r="Z286" s="304">
        <v>0</v>
      </c>
      <c r="AA286" s="304">
        <v>0</v>
      </c>
      <c r="AB286" s="307">
        <v>2020</v>
      </c>
    </row>
    <row r="287" spans="1:28" ht="35.25" customHeight="1" x14ac:dyDescent="0.5">
      <c r="A287">
        <v>1</v>
      </c>
      <c r="B287" s="80">
        <f>SUBTOTAL(103,$A$9:A287)</f>
        <v>278</v>
      </c>
      <c r="C287" s="306" t="s">
        <v>2972</v>
      </c>
      <c r="D287" s="296">
        <f t="shared" si="7"/>
        <v>989860</v>
      </c>
      <c r="E287" s="304">
        <v>0</v>
      </c>
      <c r="F287" s="304">
        <v>0</v>
      </c>
      <c r="G287" s="304">
        <v>0</v>
      </c>
      <c r="H287" s="304">
        <v>0</v>
      </c>
      <c r="I287" s="304">
        <v>0</v>
      </c>
      <c r="J287" s="304">
        <v>0</v>
      </c>
      <c r="K287" s="305">
        <v>0</v>
      </c>
      <c r="L287" s="304">
        <v>0</v>
      </c>
      <c r="M287" s="304">
        <v>989860</v>
      </c>
      <c r="N287" s="304">
        <v>0</v>
      </c>
      <c r="O287" s="304">
        <v>0</v>
      </c>
      <c r="P287" s="304">
        <v>0</v>
      </c>
      <c r="Q287" s="304">
        <v>0</v>
      </c>
      <c r="R287" s="304">
        <v>0</v>
      </c>
      <c r="S287" s="304">
        <v>0</v>
      </c>
      <c r="T287" s="304">
        <v>0</v>
      </c>
      <c r="U287" s="304">
        <v>0</v>
      </c>
      <c r="V287" s="304">
        <v>0</v>
      </c>
      <c r="W287" s="304">
        <v>0</v>
      </c>
      <c r="X287" s="304">
        <v>0</v>
      </c>
      <c r="Y287" s="304">
        <v>0</v>
      </c>
      <c r="Z287" s="304">
        <v>0</v>
      </c>
      <c r="AA287" s="304">
        <v>0</v>
      </c>
      <c r="AB287" s="307">
        <v>2020</v>
      </c>
    </row>
    <row r="288" spans="1:28" ht="35.25" customHeight="1" x14ac:dyDescent="0.5">
      <c r="A288">
        <v>1</v>
      </c>
      <c r="B288" s="80">
        <f>SUBTOTAL(103,$A$9:A288)</f>
        <v>279</v>
      </c>
      <c r="C288" s="306" t="s">
        <v>2973</v>
      </c>
      <c r="D288" s="296">
        <f t="shared" si="7"/>
        <v>2257590</v>
      </c>
      <c r="E288" s="304">
        <v>0</v>
      </c>
      <c r="F288" s="304">
        <v>0</v>
      </c>
      <c r="G288" s="304">
        <v>0</v>
      </c>
      <c r="H288" s="304">
        <v>0</v>
      </c>
      <c r="I288" s="304">
        <v>0</v>
      </c>
      <c r="J288" s="304">
        <v>0</v>
      </c>
      <c r="K288" s="305">
        <v>0</v>
      </c>
      <c r="L288" s="304">
        <v>0</v>
      </c>
      <c r="M288" s="304">
        <v>2257590</v>
      </c>
      <c r="N288" s="304">
        <v>0</v>
      </c>
      <c r="O288" s="304">
        <v>0</v>
      </c>
      <c r="P288" s="304">
        <v>0</v>
      </c>
      <c r="Q288" s="304">
        <v>0</v>
      </c>
      <c r="R288" s="304">
        <v>0</v>
      </c>
      <c r="S288" s="304">
        <v>0</v>
      </c>
      <c r="T288" s="304">
        <v>0</v>
      </c>
      <c r="U288" s="304">
        <v>0</v>
      </c>
      <c r="V288" s="304">
        <v>0</v>
      </c>
      <c r="W288" s="304">
        <v>0</v>
      </c>
      <c r="X288" s="304">
        <v>0</v>
      </c>
      <c r="Y288" s="304">
        <v>0</v>
      </c>
      <c r="Z288" s="304">
        <v>0</v>
      </c>
      <c r="AA288" s="304">
        <v>0</v>
      </c>
      <c r="AB288" s="307">
        <v>2020</v>
      </c>
    </row>
    <row r="289" spans="1:28" ht="35.25" customHeight="1" x14ac:dyDescent="0.5">
      <c r="A289">
        <v>1</v>
      </c>
      <c r="B289" s="80">
        <f>SUBTOTAL(103,$A$9:A289)</f>
        <v>280</v>
      </c>
      <c r="C289" s="306" t="s">
        <v>2974</v>
      </c>
      <c r="D289" s="296">
        <f t="shared" si="7"/>
        <v>2456815</v>
      </c>
      <c r="E289" s="304">
        <v>0</v>
      </c>
      <c r="F289" s="304">
        <v>0</v>
      </c>
      <c r="G289" s="304">
        <v>0</v>
      </c>
      <c r="H289" s="304">
        <v>0</v>
      </c>
      <c r="I289" s="304">
        <v>0</v>
      </c>
      <c r="J289" s="304">
        <v>0</v>
      </c>
      <c r="K289" s="305">
        <v>0</v>
      </c>
      <c r="L289" s="304">
        <v>0</v>
      </c>
      <c r="M289" s="304">
        <v>2456815</v>
      </c>
      <c r="N289" s="304">
        <v>0</v>
      </c>
      <c r="O289" s="304">
        <v>0</v>
      </c>
      <c r="P289" s="304">
        <v>0</v>
      </c>
      <c r="Q289" s="304">
        <v>0</v>
      </c>
      <c r="R289" s="304">
        <v>0</v>
      </c>
      <c r="S289" s="304">
        <v>0</v>
      </c>
      <c r="T289" s="304">
        <v>0</v>
      </c>
      <c r="U289" s="304">
        <v>0</v>
      </c>
      <c r="V289" s="304">
        <v>0</v>
      </c>
      <c r="W289" s="304">
        <v>0</v>
      </c>
      <c r="X289" s="304">
        <v>0</v>
      </c>
      <c r="Y289" s="304">
        <v>0</v>
      </c>
      <c r="Z289" s="304">
        <v>0</v>
      </c>
      <c r="AA289" s="304">
        <v>0</v>
      </c>
      <c r="AB289" s="307">
        <v>2020</v>
      </c>
    </row>
    <row r="290" spans="1:28" ht="35.25" customHeight="1" x14ac:dyDescent="0.5">
      <c r="A290">
        <v>1</v>
      </c>
      <c r="B290" s="80">
        <f>SUBTOTAL(103,$A$9:A290)</f>
        <v>281</v>
      </c>
      <c r="C290" s="306" t="s">
        <v>2975</v>
      </c>
      <c r="D290" s="296">
        <f t="shared" si="7"/>
        <v>249502</v>
      </c>
      <c r="E290" s="304">
        <v>0</v>
      </c>
      <c r="F290" s="304">
        <v>0</v>
      </c>
      <c r="G290" s="304">
        <v>0</v>
      </c>
      <c r="H290" s="304">
        <v>0</v>
      </c>
      <c r="I290" s="304">
        <v>0</v>
      </c>
      <c r="J290" s="304">
        <v>0</v>
      </c>
      <c r="K290" s="305">
        <v>0</v>
      </c>
      <c r="L290" s="304">
        <v>0</v>
      </c>
      <c r="M290" s="304">
        <v>0</v>
      </c>
      <c r="N290" s="304">
        <v>0</v>
      </c>
      <c r="O290" s="304">
        <v>249502</v>
      </c>
      <c r="P290" s="304">
        <v>0</v>
      </c>
      <c r="Q290" s="304">
        <v>0</v>
      </c>
      <c r="R290" s="304">
        <v>0</v>
      </c>
      <c r="S290" s="304">
        <v>0</v>
      </c>
      <c r="T290" s="304">
        <v>0</v>
      </c>
      <c r="U290" s="304">
        <v>0</v>
      </c>
      <c r="V290" s="304">
        <v>0</v>
      </c>
      <c r="W290" s="304">
        <v>0</v>
      </c>
      <c r="X290" s="304">
        <v>0</v>
      </c>
      <c r="Y290" s="304">
        <v>0</v>
      </c>
      <c r="Z290" s="304">
        <v>0</v>
      </c>
      <c r="AA290" s="304">
        <v>0</v>
      </c>
      <c r="AB290" s="307">
        <v>2020</v>
      </c>
    </row>
    <row r="291" spans="1:28" ht="35.25" customHeight="1" x14ac:dyDescent="0.5">
      <c r="A291">
        <v>1</v>
      </c>
      <c r="B291" s="80">
        <f>SUBTOTAL(103,$A$9:A291)</f>
        <v>282</v>
      </c>
      <c r="C291" s="300" t="s">
        <v>2717</v>
      </c>
      <c r="D291" s="296">
        <f t="shared" si="7"/>
        <v>3446000</v>
      </c>
      <c r="E291" s="301">
        <v>0</v>
      </c>
      <c r="F291" s="301">
        <v>0</v>
      </c>
      <c r="G291" s="301">
        <v>0</v>
      </c>
      <c r="H291" s="301">
        <v>0</v>
      </c>
      <c r="I291" s="301">
        <v>0</v>
      </c>
      <c r="J291" s="301">
        <v>0</v>
      </c>
      <c r="K291" s="302">
        <v>2</v>
      </c>
      <c r="L291" s="301">
        <v>3446000</v>
      </c>
      <c r="M291" s="301">
        <v>0</v>
      </c>
      <c r="N291" s="301">
        <v>0</v>
      </c>
      <c r="O291" s="301">
        <v>0</v>
      </c>
      <c r="P291" s="301">
        <v>0</v>
      </c>
      <c r="Q291" s="301">
        <v>0</v>
      </c>
      <c r="R291" s="301">
        <v>0</v>
      </c>
      <c r="S291" s="301">
        <v>0</v>
      </c>
      <c r="T291" s="301">
        <v>0</v>
      </c>
      <c r="U291" s="301">
        <v>0</v>
      </c>
      <c r="V291" s="301">
        <v>0</v>
      </c>
      <c r="W291" s="301">
        <v>0</v>
      </c>
      <c r="X291" s="301">
        <v>0</v>
      </c>
      <c r="Y291" s="301">
        <v>0</v>
      </c>
      <c r="Z291" s="301">
        <v>0</v>
      </c>
      <c r="AA291" s="301">
        <v>0</v>
      </c>
      <c r="AB291" s="303">
        <v>2020</v>
      </c>
    </row>
    <row r="292" spans="1:28" ht="35.25" customHeight="1" x14ac:dyDescent="0.5">
      <c r="A292">
        <v>1</v>
      </c>
      <c r="B292" s="80">
        <f>SUBTOTAL(103,$A$9:A292)</f>
        <v>283</v>
      </c>
      <c r="C292" s="300" t="s">
        <v>3299</v>
      </c>
      <c r="D292" s="296">
        <f t="shared" si="7"/>
        <v>1940000</v>
      </c>
      <c r="E292" s="301">
        <v>0</v>
      </c>
      <c r="F292" s="301">
        <v>0</v>
      </c>
      <c r="G292" s="301">
        <v>0</v>
      </c>
      <c r="H292" s="301">
        <v>0</v>
      </c>
      <c r="I292" s="301">
        <v>0</v>
      </c>
      <c r="J292" s="301">
        <v>0</v>
      </c>
      <c r="K292" s="302">
        <v>1</v>
      </c>
      <c r="L292" s="301">
        <v>1940000</v>
      </c>
      <c r="M292" s="301">
        <v>0</v>
      </c>
      <c r="N292" s="301">
        <v>0</v>
      </c>
      <c r="O292" s="301">
        <v>0</v>
      </c>
      <c r="P292" s="301">
        <v>0</v>
      </c>
      <c r="Q292" s="301">
        <v>0</v>
      </c>
      <c r="R292" s="301">
        <v>0</v>
      </c>
      <c r="S292" s="301">
        <v>0</v>
      </c>
      <c r="T292" s="301">
        <v>0</v>
      </c>
      <c r="U292" s="301">
        <v>0</v>
      </c>
      <c r="V292" s="301">
        <v>0</v>
      </c>
      <c r="W292" s="301">
        <v>0</v>
      </c>
      <c r="X292" s="301">
        <v>0</v>
      </c>
      <c r="Y292" s="301">
        <v>0</v>
      </c>
      <c r="Z292" s="301">
        <v>0</v>
      </c>
      <c r="AA292" s="301">
        <v>0</v>
      </c>
      <c r="AB292" s="303" t="s">
        <v>2977</v>
      </c>
    </row>
    <row r="293" spans="1:28" ht="35.25" customHeight="1" x14ac:dyDescent="0.5">
      <c r="A293">
        <v>1</v>
      </c>
      <c r="B293" s="80">
        <f>SUBTOTAL(103,$A$9:A293)</f>
        <v>284</v>
      </c>
      <c r="C293" s="300" t="s">
        <v>3300</v>
      </c>
      <c r="D293" s="296">
        <f t="shared" si="7"/>
        <v>968439.71</v>
      </c>
      <c r="E293" s="301">
        <v>0</v>
      </c>
      <c r="F293" s="301">
        <v>0</v>
      </c>
      <c r="G293" s="301">
        <v>0</v>
      </c>
      <c r="H293" s="301">
        <v>0</v>
      </c>
      <c r="I293" s="301">
        <v>0</v>
      </c>
      <c r="J293" s="301">
        <v>0</v>
      </c>
      <c r="K293" s="302">
        <v>1</v>
      </c>
      <c r="L293" s="301">
        <v>284520</v>
      </c>
      <c r="M293" s="301">
        <v>0</v>
      </c>
      <c r="N293" s="301">
        <v>0</v>
      </c>
      <c r="O293" s="301">
        <v>318094.63</v>
      </c>
      <c r="P293" s="301">
        <v>365825.08</v>
      </c>
      <c r="Q293" s="301">
        <v>0</v>
      </c>
      <c r="R293" s="301">
        <v>0</v>
      </c>
      <c r="S293" s="301">
        <v>0</v>
      </c>
      <c r="T293" s="301">
        <v>0</v>
      </c>
      <c r="U293" s="301">
        <v>0</v>
      </c>
      <c r="V293" s="301">
        <v>0</v>
      </c>
      <c r="W293" s="301">
        <v>0</v>
      </c>
      <c r="X293" s="301">
        <v>0</v>
      </c>
      <c r="Y293" s="301">
        <v>0</v>
      </c>
      <c r="Z293" s="301">
        <v>0</v>
      </c>
      <c r="AA293" s="301">
        <v>0</v>
      </c>
      <c r="AB293" s="303" t="s">
        <v>2977</v>
      </c>
    </row>
    <row r="294" spans="1:28" ht="35.25" customHeight="1" x14ac:dyDescent="0.5">
      <c r="A294">
        <v>1</v>
      </c>
      <c r="B294" s="80">
        <f>SUBTOTAL(103,$A$9:A294)</f>
        <v>285</v>
      </c>
      <c r="C294" s="300" t="s">
        <v>2920</v>
      </c>
      <c r="D294" s="296">
        <f t="shared" si="7"/>
        <v>874087.8</v>
      </c>
      <c r="E294" s="301">
        <v>0</v>
      </c>
      <c r="F294" s="301">
        <v>0</v>
      </c>
      <c r="G294" s="301">
        <v>0</v>
      </c>
      <c r="H294" s="301">
        <v>0</v>
      </c>
      <c r="I294" s="301">
        <v>0</v>
      </c>
      <c r="J294" s="301">
        <v>0</v>
      </c>
      <c r="K294" s="302">
        <v>0</v>
      </c>
      <c r="L294" s="301">
        <v>0</v>
      </c>
      <c r="M294" s="301">
        <v>0</v>
      </c>
      <c r="N294" s="301">
        <v>0</v>
      </c>
      <c r="O294" s="301">
        <v>0</v>
      </c>
      <c r="P294" s="301">
        <v>0</v>
      </c>
      <c r="Q294" s="301">
        <v>0</v>
      </c>
      <c r="R294" s="301">
        <v>0</v>
      </c>
      <c r="S294" s="301">
        <v>0</v>
      </c>
      <c r="T294" s="301">
        <v>0</v>
      </c>
      <c r="U294" s="301">
        <v>0</v>
      </c>
      <c r="V294" s="301">
        <v>0</v>
      </c>
      <c r="W294" s="301">
        <v>0</v>
      </c>
      <c r="X294" s="301">
        <v>874087.8</v>
      </c>
      <c r="Y294" s="301">
        <v>0</v>
      </c>
      <c r="Z294" s="301">
        <v>0</v>
      </c>
      <c r="AA294" s="301">
        <v>0</v>
      </c>
      <c r="AB294" s="303">
        <v>2020</v>
      </c>
    </row>
    <row r="295" spans="1:28" ht="35.25" customHeight="1" x14ac:dyDescent="0.5">
      <c r="A295">
        <v>1</v>
      </c>
      <c r="B295" s="80">
        <f>SUBTOTAL(103,$A$9:A295)</f>
        <v>286</v>
      </c>
      <c r="C295" s="306" t="s">
        <v>2222</v>
      </c>
      <c r="D295" s="296">
        <f t="shared" si="7"/>
        <v>1800000</v>
      </c>
      <c r="E295" s="304">
        <v>0</v>
      </c>
      <c r="F295" s="304">
        <v>0</v>
      </c>
      <c r="G295" s="304">
        <v>0</v>
      </c>
      <c r="H295" s="304">
        <v>0</v>
      </c>
      <c r="I295" s="304">
        <v>0</v>
      </c>
      <c r="J295" s="304">
        <v>0</v>
      </c>
      <c r="K295" s="302">
        <v>1</v>
      </c>
      <c r="L295" s="304">
        <v>1800000</v>
      </c>
      <c r="M295" s="304">
        <v>0</v>
      </c>
      <c r="N295" s="304">
        <v>0</v>
      </c>
      <c r="O295" s="304">
        <v>0</v>
      </c>
      <c r="P295" s="304">
        <v>0</v>
      </c>
      <c r="Q295" s="304">
        <v>0</v>
      </c>
      <c r="R295" s="304">
        <v>0</v>
      </c>
      <c r="S295" s="304">
        <v>0</v>
      </c>
      <c r="T295" s="304">
        <v>0</v>
      </c>
      <c r="U295" s="304">
        <v>0</v>
      </c>
      <c r="V295" s="304">
        <v>0</v>
      </c>
      <c r="W295" s="304">
        <v>0</v>
      </c>
      <c r="X295" s="304">
        <v>0</v>
      </c>
      <c r="Y295" s="304">
        <v>0</v>
      </c>
      <c r="Z295" s="304">
        <v>0</v>
      </c>
      <c r="AA295" s="304">
        <v>0</v>
      </c>
      <c r="AB295" s="303">
        <v>2020</v>
      </c>
    </row>
    <row r="296" spans="1:28" ht="35.25" customHeight="1" x14ac:dyDescent="0.5">
      <c r="B296" s="299" t="s">
        <v>760</v>
      </c>
      <c r="C296" s="300"/>
      <c r="D296" s="296">
        <f t="shared" si="7"/>
        <v>22573519.260000002</v>
      </c>
      <c r="E296" s="296">
        <f t="shared" ref="E296:AA296" si="8">SUM(E297:E322)</f>
        <v>642127.88000000012</v>
      </c>
      <c r="F296" s="296">
        <f t="shared" si="8"/>
        <v>300000</v>
      </c>
      <c r="G296" s="296">
        <f t="shared" si="8"/>
        <v>805999</v>
      </c>
      <c r="H296" s="296">
        <f t="shared" si="8"/>
        <v>208577.90999999997</v>
      </c>
      <c r="I296" s="296">
        <f t="shared" si="8"/>
        <v>0</v>
      </c>
      <c r="J296" s="296">
        <f t="shared" si="8"/>
        <v>0</v>
      </c>
      <c r="K296" s="297">
        <f t="shared" si="8"/>
        <v>1</v>
      </c>
      <c r="L296" s="296">
        <f t="shared" si="8"/>
        <v>1080000</v>
      </c>
      <c r="M296" s="296">
        <f t="shared" si="8"/>
        <v>15035883.4</v>
      </c>
      <c r="N296" s="296">
        <f t="shared" si="8"/>
        <v>0</v>
      </c>
      <c r="O296" s="296">
        <f t="shared" si="8"/>
        <v>2564081.0699999998</v>
      </c>
      <c r="P296" s="296">
        <f t="shared" si="8"/>
        <v>1936850</v>
      </c>
      <c r="Q296" s="296">
        <f t="shared" si="8"/>
        <v>0</v>
      </c>
      <c r="R296" s="296">
        <f t="shared" si="8"/>
        <v>0</v>
      </c>
      <c r="S296" s="296">
        <f t="shared" si="8"/>
        <v>0</v>
      </c>
      <c r="T296" s="296">
        <f t="shared" si="8"/>
        <v>0</v>
      </c>
      <c r="U296" s="296">
        <f t="shared" si="8"/>
        <v>0</v>
      </c>
      <c r="V296" s="296">
        <f t="shared" si="8"/>
        <v>0</v>
      </c>
      <c r="W296" s="296">
        <f t="shared" si="8"/>
        <v>0</v>
      </c>
      <c r="X296" s="296">
        <f t="shared" si="8"/>
        <v>0</v>
      </c>
      <c r="Y296" s="296">
        <f t="shared" si="8"/>
        <v>0</v>
      </c>
      <c r="Z296" s="296">
        <f t="shared" si="8"/>
        <v>0</v>
      </c>
      <c r="AA296" s="296">
        <f t="shared" si="8"/>
        <v>0</v>
      </c>
      <c r="AB296" s="298" t="s">
        <v>835</v>
      </c>
    </row>
    <row r="297" spans="1:28" ht="35.25" customHeight="1" x14ac:dyDescent="0.5">
      <c r="A297">
        <v>1</v>
      </c>
      <c r="B297" s="80">
        <f>SUBTOTAL(103,$A$9:A297)</f>
        <v>287</v>
      </c>
      <c r="C297" s="300" t="s">
        <v>1919</v>
      </c>
      <c r="D297" s="296">
        <f t="shared" si="7"/>
        <v>2640608</v>
      </c>
      <c r="E297" s="301">
        <v>0</v>
      </c>
      <c r="F297" s="301">
        <v>0</v>
      </c>
      <c r="G297" s="301">
        <v>0</v>
      </c>
      <c r="H297" s="301">
        <v>0</v>
      </c>
      <c r="I297" s="301">
        <v>0</v>
      </c>
      <c r="J297" s="301">
        <v>0</v>
      </c>
      <c r="K297" s="302">
        <v>0</v>
      </c>
      <c r="L297" s="301">
        <v>0</v>
      </c>
      <c r="M297" s="301">
        <v>2640608</v>
      </c>
      <c r="N297" s="301">
        <v>0</v>
      </c>
      <c r="O297" s="301">
        <v>0</v>
      </c>
      <c r="P297" s="301">
        <v>0</v>
      </c>
      <c r="Q297" s="301">
        <v>0</v>
      </c>
      <c r="R297" s="301">
        <v>0</v>
      </c>
      <c r="S297" s="301">
        <v>0</v>
      </c>
      <c r="T297" s="301">
        <v>0</v>
      </c>
      <c r="U297" s="301">
        <v>0</v>
      </c>
      <c r="V297" s="301">
        <v>0</v>
      </c>
      <c r="W297" s="301">
        <v>0</v>
      </c>
      <c r="X297" s="301">
        <v>0</v>
      </c>
      <c r="Y297" s="301">
        <v>0</v>
      </c>
      <c r="Z297" s="301">
        <v>0</v>
      </c>
      <c r="AA297" s="301">
        <v>0</v>
      </c>
      <c r="AB297" s="303">
        <v>2020</v>
      </c>
    </row>
    <row r="298" spans="1:28" ht="35.25" customHeight="1" x14ac:dyDescent="0.5">
      <c r="A298">
        <v>1</v>
      </c>
      <c r="B298" s="80">
        <f>SUBTOTAL(103,$A$9:A298)</f>
        <v>288</v>
      </c>
      <c r="C298" s="300" t="s">
        <v>1920</v>
      </c>
      <c r="D298" s="296">
        <f t="shared" si="7"/>
        <v>1098000.3799999999</v>
      </c>
      <c r="E298" s="301">
        <v>0</v>
      </c>
      <c r="F298" s="301">
        <v>0</v>
      </c>
      <c r="G298" s="301">
        <v>0</v>
      </c>
      <c r="H298" s="301">
        <v>0</v>
      </c>
      <c r="I298" s="301">
        <v>0</v>
      </c>
      <c r="J298" s="301">
        <v>0</v>
      </c>
      <c r="K298" s="302">
        <v>0</v>
      </c>
      <c r="L298" s="301">
        <v>0</v>
      </c>
      <c r="M298" s="301">
        <f>1098000.38</f>
        <v>1098000.3799999999</v>
      </c>
      <c r="N298" s="301">
        <v>0</v>
      </c>
      <c r="O298" s="301">
        <v>0</v>
      </c>
      <c r="P298" s="301">
        <v>0</v>
      </c>
      <c r="Q298" s="301">
        <v>0</v>
      </c>
      <c r="R298" s="301">
        <v>0</v>
      </c>
      <c r="S298" s="301">
        <v>0</v>
      </c>
      <c r="T298" s="301">
        <v>0</v>
      </c>
      <c r="U298" s="301">
        <v>0</v>
      </c>
      <c r="V298" s="301">
        <v>0</v>
      </c>
      <c r="W298" s="301">
        <v>0</v>
      </c>
      <c r="X298" s="301">
        <v>0</v>
      </c>
      <c r="Y298" s="301">
        <v>0</v>
      </c>
      <c r="Z298" s="301">
        <v>0</v>
      </c>
      <c r="AA298" s="301">
        <v>0</v>
      </c>
      <c r="AB298" s="303">
        <v>2020</v>
      </c>
    </row>
    <row r="299" spans="1:28" ht="35.25" customHeight="1" x14ac:dyDescent="0.5">
      <c r="A299">
        <v>1</v>
      </c>
      <c r="B299" s="80">
        <f>SUBTOTAL(103,$A$9:A299)</f>
        <v>289</v>
      </c>
      <c r="C299" s="300" t="s">
        <v>1921</v>
      </c>
      <c r="D299" s="296">
        <f t="shared" si="7"/>
        <v>100000</v>
      </c>
      <c r="E299" s="301">
        <v>0</v>
      </c>
      <c r="F299" s="301">
        <v>0</v>
      </c>
      <c r="G299" s="301">
        <v>0</v>
      </c>
      <c r="H299" s="301">
        <v>0</v>
      </c>
      <c r="I299" s="301">
        <v>0</v>
      </c>
      <c r="J299" s="301">
        <v>0</v>
      </c>
      <c r="K299" s="302">
        <v>0</v>
      </c>
      <c r="L299" s="301">
        <v>0</v>
      </c>
      <c r="M299" s="301">
        <v>100000</v>
      </c>
      <c r="N299" s="301">
        <v>0</v>
      </c>
      <c r="O299" s="301">
        <v>0</v>
      </c>
      <c r="P299" s="301">
        <v>0</v>
      </c>
      <c r="Q299" s="301">
        <v>0</v>
      </c>
      <c r="R299" s="301">
        <v>0</v>
      </c>
      <c r="S299" s="301">
        <v>0</v>
      </c>
      <c r="T299" s="301">
        <v>0</v>
      </c>
      <c r="U299" s="301">
        <v>0</v>
      </c>
      <c r="V299" s="301">
        <v>0</v>
      </c>
      <c r="W299" s="301">
        <v>0</v>
      </c>
      <c r="X299" s="301">
        <v>0</v>
      </c>
      <c r="Y299" s="301">
        <v>0</v>
      </c>
      <c r="Z299" s="301">
        <v>0</v>
      </c>
      <c r="AA299" s="301">
        <v>0</v>
      </c>
      <c r="AB299" s="303">
        <v>2020</v>
      </c>
    </row>
    <row r="300" spans="1:28" ht="35.25" customHeight="1" x14ac:dyDescent="0.5">
      <c r="A300">
        <v>1</v>
      </c>
      <c r="B300" s="80">
        <f>SUBTOTAL(103,$A$9:A300)</f>
        <v>290</v>
      </c>
      <c r="C300" s="300" t="s">
        <v>1922</v>
      </c>
      <c r="D300" s="296">
        <f t="shared" si="7"/>
        <v>204559.94</v>
      </c>
      <c r="E300" s="301">
        <v>0</v>
      </c>
      <c r="F300" s="301">
        <v>0</v>
      </c>
      <c r="G300" s="301">
        <v>0</v>
      </c>
      <c r="H300" s="301">
        <v>0</v>
      </c>
      <c r="I300" s="301">
        <v>0</v>
      </c>
      <c r="J300" s="301">
        <v>0</v>
      </c>
      <c r="K300" s="302">
        <v>0</v>
      </c>
      <c r="L300" s="301">
        <v>0</v>
      </c>
      <c r="M300" s="301">
        <v>0</v>
      </c>
      <c r="N300" s="301">
        <v>0</v>
      </c>
      <c r="O300" s="301">
        <v>204559.94</v>
      </c>
      <c r="P300" s="301">
        <v>0</v>
      </c>
      <c r="Q300" s="301">
        <v>0</v>
      </c>
      <c r="R300" s="301">
        <v>0</v>
      </c>
      <c r="S300" s="301">
        <v>0</v>
      </c>
      <c r="T300" s="301">
        <v>0</v>
      </c>
      <c r="U300" s="301">
        <v>0</v>
      </c>
      <c r="V300" s="301">
        <v>0</v>
      </c>
      <c r="W300" s="301">
        <v>0</v>
      </c>
      <c r="X300" s="301">
        <v>0</v>
      </c>
      <c r="Y300" s="301">
        <v>0</v>
      </c>
      <c r="Z300" s="301">
        <v>0</v>
      </c>
      <c r="AA300" s="301">
        <v>0</v>
      </c>
      <c r="AB300" s="303">
        <v>2020</v>
      </c>
    </row>
    <row r="301" spans="1:28" ht="35.25" customHeight="1" x14ac:dyDescent="0.5">
      <c r="A301">
        <v>1</v>
      </c>
      <c r="B301" s="80">
        <f>SUBTOTAL(103,$A$9:A301)</f>
        <v>291</v>
      </c>
      <c r="C301" s="300" t="s">
        <v>1923</v>
      </c>
      <c r="D301" s="296">
        <f t="shared" si="7"/>
        <v>1760038</v>
      </c>
      <c r="E301" s="301">
        <v>0</v>
      </c>
      <c r="F301" s="301">
        <v>0</v>
      </c>
      <c r="G301" s="301">
        <v>0</v>
      </c>
      <c r="H301" s="301">
        <v>0</v>
      </c>
      <c r="I301" s="301">
        <v>0</v>
      </c>
      <c r="J301" s="301">
        <v>0</v>
      </c>
      <c r="K301" s="302">
        <v>0</v>
      </c>
      <c r="L301" s="301">
        <v>0</v>
      </c>
      <c r="M301" s="301">
        <v>1760038</v>
      </c>
      <c r="N301" s="301">
        <v>0</v>
      </c>
      <c r="O301" s="301">
        <v>0</v>
      </c>
      <c r="P301" s="301">
        <v>0</v>
      </c>
      <c r="Q301" s="301">
        <v>0</v>
      </c>
      <c r="R301" s="301">
        <v>0</v>
      </c>
      <c r="S301" s="301">
        <v>0</v>
      </c>
      <c r="T301" s="301">
        <v>0</v>
      </c>
      <c r="U301" s="301">
        <v>0</v>
      </c>
      <c r="V301" s="301">
        <v>0</v>
      </c>
      <c r="W301" s="301">
        <v>0</v>
      </c>
      <c r="X301" s="301">
        <v>0</v>
      </c>
      <c r="Y301" s="301">
        <v>0</v>
      </c>
      <c r="Z301" s="301">
        <v>0</v>
      </c>
      <c r="AA301" s="301">
        <v>0</v>
      </c>
      <c r="AB301" s="303">
        <v>2020</v>
      </c>
    </row>
    <row r="302" spans="1:28" ht="35.25" customHeight="1" x14ac:dyDescent="0.5">
      <c r="A302">
        <v>1</v>
      </c>
      <c r="B302" s="80">
        <f>SUBTOTAL(103,$A$9:A302)</f>
        <v>292</v>
      </c>
      <c r="C302" s="300" t="s">
        <v>1924</v>
      </c>
      <c r="D302" s="296">
        <f t="shared" si="7"/>
        <v>337102.5</v>
      </c>
      <c r="E302" s="301">
        <v>0</v>
      </c>
      <c r="F302" s="301">
        <v>0</v>
      </c>
      <c r="G302" s="301">
        <v>0</v>
      </c>
      <c r="H302" s="301">
        <v>0</v>
      </c>
      <c r="I302" s="301">
        <v>0</v>
      </c>
      <c r="J302" s="301">
        <v>0</v>
      </c>
      <c r="K302" s="302">
        <v>0</v>
      </c>
      <c r="L302" s="301">
        <v>0</v>
      </c>
      <c r="M302" s="301">
        <v>0</v>
      </c>
      <c r="N302" s="301">
        <v>0</v>
      </c>
      <c r="O302" s="301">
        <v>337102.5</v>
      </c>
      <c r="P302" s="301">
        <v>0</v>
      </c>
      <c r="Q302" s="301">
        <v>0</v>
      </c>
      <c r="R302" s="301">
        <v>0</v>
      </c>
      <c r="S302" s="301">
        <v>0</v>
      </c>
      <c r="T302" s="301">
        <v>0</v>
      </c>
      <c r="U302" s="301">
        <v>0</v>
      </c>
      <c r="V302" s="301">
        <v>0</v>
      </c>
      <c r="W302" s="301">
        <v>0</v>
      </c>
      <c r="X302" s="301">
        <v>0</v>
      </c>
      <c r="Y302" s="301">
        <v>0</v>
      </c>
      <c r="Z302" s="301">
        <v>0</v>
      </c>
      <c r="AA302" s="301">
        <v>0</v>
      </c>
      <c r="AB302" s="303">
        <v>2020</v>
      </c>
    </row>
    <row r="303" spans="1:28" ht="35.25" customHeight="1" x14ac:dyDescent="0.5">
      <c r="A303">
        <v>1</v>
      </c>
      <c r="B303" s="80">
        <f>SUBTOTAL(103,$A$9:A303)</f>
        <v>293</v>
      </c>
      <c r="C303" s="300" t="s">
        <v>1925</v>
      </c>
      <c r="D303" s="296">
        <f t="shared" si="7"/>
        <v>116978.6</v>
      </c>
      <c r="E303" s="301">
        <v>0</v>
      </c>
      <c r="F303" s="301">
        <v>0</v>
      </c>
      <c r="G303" s="301">
        <v>0</v>
      </c>
      <c r="H303" s="301">
        <v>0</v>
      </c>
      <c r="I303" s="301">
        <v>0</v>
      </c>
      <c r="J303" s="301">
        <v>0</v>
      </c>
      <c r="K303" s="302">
        <v>0</v>
      </c>
      <c r="L303" s="301">
        <v>0</v>
      </c>
      <c r="M303" s="301">
        <v>0</v>
      </c>
      <c r="N303" s="301">
        <v>0</v>
      </c>
      <c r="O303" s="301">
        <v>116978.6</v>
      </c>
      <c r="P303" s="301">
        <v>0</v>
      </c>
      <c r="Q303" s="301">
        <v>0</v>
      </c>
      <c r="R303" s="301">
        <v>0</v>
      </c>
      <c r="S303" s="301">
        <v>0</v>
      </c>
      <c r="T303" s="301">
        <v>0</v>
      </c>
      <c r="U303" s="301">
        <v>0</v>
      </c>
      <c r="V303" s="301">
        <v>0</v>
      </c>
      <c r="W303" s="301">
        <v>0</v>
      </c>
      <c r="X303" s="301">
        <v>0</v>
      </c>
      <c r="Y303" s="301">
        <v>0</v>
      </c>
      <c r="Z303" s="301">
        <v>0</v>
      </c>
      <c r="AA303" s="301">
        <v>0</v>
      </c>
      <c r="AB303" s="303">
        <v>2020</v>
      </c>
    </row>
    <row r="304" spans="1:28" ht="35.25" customHeight="1" x14ac:dyDescent="0.5">
      <c r="A304">
        <v>1</v>
      </c>
      <c r="B304" s="80">
        <f>SUBTOTAL(103,$A$9:A304)</f>
        <v>294</v>
      </c>
      <c r="C304" s="300" t="s">
        <v>1926</v>
      </c>
      <c r="D304" s="296">
        <f t="shared" si="7"/>
        <v>1743260</v>
      </c>
      <c r="E304" s="301">
        <v>0</v>
      </c>
      <c r="F304" s="301">
        <v>0</v>
      </c>
      <c r="G304" s="301">
        <v>0</v>
      </c>
      <c r="H304" s="301">
        <v>0</v>
      </c>
      <c r="I304" s="301">
        <v>0</v>
      </c>
      <c r="J304" s="301">
        <v>0</v>
      </c>
      <c r="K304" s="302">
        <v>0</v>
      </c>
      <c r="L304" s="301">
        <v>0</v>
      </c>
      <c r="M304" s="301">
        <v>1743260</v>
      </c>
      <c r="N304" s="301">
        <v>0</v>
      </c>
      <c r="O304" s="301">
        <v>0</v>
      </c>
      <c r="P304" s="301">
        <v>0</v>
      </c>
      <c r="Q304" s="301">
        <v>0</v>
      </c>
      <c r="R304" s="301">
        <v>0</v>
      </c>
      <c r="S304" s="301">
        <v>0</v>
      </c>
      <c r="T304" s="301">
        <v>0</v>
      </c>
      <c r="U304" s="301">
        <v>0</v>
      </c>
      <c r="V304" s="301">
        <v>0</v>
      </c>
      <c r="W304" s="301">
        <v>0</v>
      </c>
      <c r="X304" s="301">
        <v>0</v>
      </c>
      <c r="Y304" s="301">
        <v>0</v>
      </c>
      <c r="Z304" s="301">
        <v>0</v>
      </c>
      <c r="AA304" s="301">
        <v>0</v>
      </c>
      <c r="AB304" s="303">
        <v>2020</v>
      </c>
    </row>
    <row r="305" spans="1:28" ht="35.25" customHeight="1" x14ac:dyDescent="0.5">
      <c r="A305">
        <v>1</v>
      </c>
      <c r="B305" s="80">
        <f>SUBTOTAL(103,$A$9:A305)</f>
        <v>295</v>
      </c>
      <c r="C305" s="300" t="s">
        <v>1927</v>
      </c>
      <c r="D305" s="296">
        <f t="shared" si="7"/>
        <v>1477169.3</v>
      </c>
      <c r="E305" s="301">
        <v>0</v>
      </c>
      <c r="F305" s="301">
        <v>0</v>
      </c>
      <c r="G305" s="301">
        <v>0</v>
      </c>
      <c r="H305" s="301">
        <v>0</v>
      </c>
      <c r="I305" s="301">
        <v>0</v>
      </c>
      <c r="J305" s="301">
        <v>0</v>
      </c>
      <c r="K305" s="302">
        <v>0</v>
      </c>
      <c r="L305" s="301">
        <v>0</v>
      </c>
      <c r="M305" s="301">
        <v>1477169.3</v>
      </c>
      <c r="N305" s="301">
        <v>0</v>
      </c>
      <c r="O305" s="301">
        <v>0</v>
      </c>
      <c r="P305" s="301">
        <v>0</v>
      </c>
      <c r="Q305" s="301">
        <v>0</v>
      </c>
      <c r="R305" s="301">
        <v>0</v>
      </c>
      <c r="S305" s="301">
        <v>0</v>
      </c>
      <c r="T305" s="301">
        <v>0</v>
      </c>
      <c r="U305" s="301">
        <v>0</v>
      </c>
      <c r="V305" s="301">
        <v>0</v>
      </c>
      <c r="W305" s="301">
        <v>0</v>
      </c>
      <c r="X305" s="301">
        <v>0</v>
      </c>
      <c r="Y305" s="301">
        <v>0</v>
      </c>
      <c r="Z305" s="301">
        <v>0</v>
      </c>
      <c r="AA305" s="301">
        <v>0</v>
      </c>
      <c r="AB305" s="303">
        <v>2020</v>
      </c>
    </row>
    <row r="306" spans="1:28" ht="35.25" customHeight="1" x14ac:dyDescent="0.5">
      <c r="A306">
        <v>1</v>
      </c>
      <c r="B306" s="80">
        <f>SUBTOTAL(103,$A$9:A306)</f>
        <v>296</v>
      </c>
      <c r="C306" s="300" t="s">
        <v>1928</v>
      </c>
      <c r="D306" s="296">
        <f t="shared" si="7"/>
        <v>257497.1</v>
      </c>
      <c r="E306" s="301">
        <v>0</v>
      </c>
      <c r="F306" s="301">
        <v>0</v>
      </c>
      <c r="G306" s="301">
        <v>0</v>
      </c>
      <c r="H306" s="301">
        <v>0</v>
      </c>
      <c r="I306" s="301">
        <v>0</v>
      </c>
      <c r="J306" s="301">
        <v>0</v>
      </c>
      <c r="K306" s="302">
        <v>0</v>
      </c>
      <c r="L306" s="301">
        <v>0</v>
      </c>
      <c r="M306" s="301">
        <v>0</v>
      </c>
      <c r="N306" s="301">
        <v>0</v>
      </c>
      <c r="O306" s="301">
        <v>257497.1</v>
      </c>
      <c r="P306" s="301">
        <v>0</v>
      </c>
      <c r="Q306" s="301">
        <v>0</v>
      </c>
      <c r="R306" s="301">
        <v>0</v>
      </c>
      <c r="S306" s="301">
        <v>0</v>
      </c>
      <c r="T306" s="301">
        <v>0</v>
      </c>
      <c r="U306" s="301">
        <v>0</v>
      </c>
      <c r="V306" s="301">
        <v>0</v>
      </c>
      <c r="W306" s="301">
        <v>0</v>
      </c>
      <c r="X306" s="301">
        <v>0</v>
      </c>
      <c r="Y306" s="301">
        <v>0</v>
      </c>
      <c r="Z306" s="301">
        <v>0</v>
      </c>
      <c r="AA306" s="301">
        <v>0</v>
      </c>
      <c r="AB306" s="303">
        <v>2020</v>
      </c>
    </row>
    <row r="307" spans="1:28" ht="35.25" customHeight="1" x14ac:dyDescent="0.5">
      <c r="A307">
        <v>1</v>
      </c>
      <c r="B307" s="80">
        <f>SUBTOTAL(103,$A$9:A307)</f>
        <v>297</v>
      </c>
      <c r="C307" s="300" t="s">
        <v>1929</v>
      </c>
      <c r="D307" s="296">
        <f t="shared" si="7"/>
        <v>2108431.7200000002</v>
      </c>
      <c r="E307" s="301">
        <v>0</v>
      </c>
      <c r="F307" s="301">
        <v>0</v>
      </c>
      <c r="G307" s="301">
        <v>0</v>
      </c>
      <c r="H307" s="301">
        <v>0</v>
      </c>
      <c r="I307" s="301">
        <v>0</v>
      </c>
      <c r="J307" s="301">
        <v>0</v>
      </c>
      <c r="K307" s="302">
        <v>0</v>
      </c>
      <c r="L307" s="301">
        <v>0</v>
      </c>
      <c r="M307" s="301">
        <v>2108431.7200000002</v>
      </c>
      <c r="N307" s="301">
        <v>0</v>
      </c>
      <c r="O307" s="301">
        <v>0</v>
      </c>
      <c r="P307" s="301">
        <v>0</v>
      </c>
      <c r="Q307" s="301">
        <v>0</v>
      </c>
      <c r="R307" s="301">
        <v>0</v>
      </c>
      <c r="S307" s="301">
        <v>0</v>
      </c>
      <c r="T307" s="301">
        <v>0</v>
      </c>
      <c r="U307" s="301">
        <v>0</v>
      </c>
      <c r="V307" s="301">
        <v>0</v>
      </c>
      <c r="W307" s="301">
        <v>0</v>
      </c>
      <c r="X307" s="301">
        <v>0</v>
      </c>
      <c r="Y307" s="301">
        <v>0</v>
      </c>
      <c r="Z307" s="301">
        <v>0</v>
      </c>
      <c r="AA307" s="301">
        <v>0</v>
      </c>
      <c r="AB307" s="303">
        <v>2020</v>
      </c>
    </row>
    <row r="308" spans="1:28" ht="35.25" customHeight="1" x14ac:dyDescent="0.5">
      <c r="A308">
        <v>1</v>
      </c>
      <c r="B308" s="80">
        <f>SUBTOTAL(103,$A$9:A308)</f>
        <v>298</v>
      </c>
      <c r="C308" s="300" t="s">
        <v>2363</v>
      </c>
      <c r="D308" s="296">
        <f t="shared" si="7"/>
        <v>323572.78000000003</v>
      </c>
      <c r="E308" s="301">
        <v>0</v>
      </c>
      <c r="F308" s="301">
        <v>0</v>
      </c>
      <c r="G308" s="301">
        <v>0</v>
      </c>
      <c r="H308" s="301">
        <v>0</v>
      </c>
      <c r="I308" s="301">
        <v>0</v>
      </c>
      <c r="J308" s="301">
        <v>0</v>
      </c>
      <c r="K308" s="302">
        <v>0</v>
      </c>
      <c r="L308" s="301">
        <v>0</v>
      </c>
      <c r="M308" s="301">
        <v>0</v>
      </c>
      <c r="N308" s="301">
        <v>0</v>
      </c>
      <c r="O308" s="301">
        <v>323572.78000000003</v>
      </c>
      <c r="P308" s="301">
        <v>0</v>
      </c>
      <c r="Q308" s="301">
        <v>0</v>
      </c>
      <c r="R308" s="301">
        <v>0</v>
      </c>
      <c r="S308" s="301">
        <v>0</v>
      </c>
      <c r="T308" s="301">
        <v>0</v>
      </c>
      <c r="U308" s="301">
        <v>0</v>
      </c>
      <c r="V308" s="301">
        <v>0</v>
      </c>
      <c r="W308" s="301">
        <v>0</v>
      </c>
      <c r="X308" s="301">
        <v>0</v>
      </c>
      <c r="Y308" s="301">
        <v>0</v>
      </c>
      <c r="Z308" s="301">
        <v>0</v>
      </c>
      <c r="AA308" s="301">
        <v>0</v>
      </c>
      <c r="AB308" s="303">
        <v>2020</v>
      </c>
    </row>
    <row r="309" spans="1:28" ht="35.25" customHeight="1" x14ac:dyDescent="0.5">
      <c r="A309">
        <v>1</v>
      </c>
      <c r="B309" s="80">
        <f>SUBTOTAL(103,$A$9:A309)</f>
        <v>299</v>
      </c>
      <c r="C309" s="300" t="s">
        <v>2364</v>
      </c>
      <c r="D309" s="296">
        <f t="shared" si="7"/>
        <v>568987</v>
      </c>
      <c r="E309" s="301">
        <v>0</v>
      </c>
      <c r="F309" s="301">
        <v>0</v>
      </c>
      <c r="G309" s="301">
        <v>0</v>
      </c>
      <c r="H309" s="301">
        <v>0</v>
      </c>
      <c r="I309" s="301">
        <v>0</v>
      </c>
      <c r="J309" s="301">
        <v>0</v>
      </c>
      <c r="K309" s="302">
        <v>0</v>
      </c>
      <c r="L309" s="301">
        <v>0</v>
      </c>
      <c r="M309" s="301">
        <v>0</v>
      </c>
      <c r="N309" s="301">
        <v>0</v>
      </c>
      <c r="O309" s="301">
        <v>568987</v>
      </c>
      <c r="P309" s="301">
        <v>0</v>
      </c>
      <c r="Q309" s="301">
        <v>0</v>
      </c>
      <c r="R309" s="301">
        <v>0</v>
      </c>
      <c r="S309" s="301">
        <v>0</v>
      </c>
      <c r="T309" s="301">
        <v>0</v>
      </c>
      <c r="U309" s="301">
        <v>0</v>
      </c>
      <c r="V309" s="301">
        <v>0</v>
      </c>
      <c r="W309" s="301">
        <v>0</v>
      </c>
      <c r="X309" s="301">
        <v>0</v>
      </c>
      <c r="Y309" s="301">
        <v>0</v>
      </c>
      <c r="Z309" s="301">
        <v>0</v>
      </c>
      <c r="AA309" s="301">
        <v>0</v>
      </c>
      <c r="AB309" s="303">
        <v>2020</v>
      </c>
    </row>
    <row r="310" spans="1:28" ht="35.25" customHeight="1" x14ac:dyDescent="0.5">
      <c r="A310">
        <v>1</v>
      </c>
      <c r="B310" s="80">
        <f>SUBTOTAL(103,$A$9:A310)</f>
        <v>300</v>
      </c>
      <c r="C310" s="300" t="s">
        <v>1930</v>
      </c>
      <c r="D310" s="296">
        <f t="shared" si="7"/>
        <v>380650.85</v>
      </c>
      <c r="E310" s="301">
        <v>0</v>
      </c>
      <c r="F310" s="301">
        <v>0</v>
      </c>
      <c r="G310" s="301">
        <v>0</v>
      </c>
      <c r="H310" s="301">
        <v>0</v>
      </c>
      <c r="I310" s="301">
        <v>0</v>
      </c>
      <c r="J310" s="301">
        <v>0</v>
      </c>
      <c r="K310" s="302">
        <v>0</v>
      </c>
      <c r="L310" s="301">
        <v>0</v>
      </c>
      <c r="M310" s="301">
        <v>86162</v>
      </c>
      <c r="N310" s="301">
        <v>0</v>
      </c>
      <c r="O310" s="301">
        <v>294488.84999999998</v>
      </c>
      <c r="P310" s="301">
        <v>0</v>
      </c>
      <c r="Q310" s="301">
        <v>0</v>
      </c>
      <c r="R310" s="301">
        <v>0</v>
      </c>
      <c r="S310" s="301">
        <v>0</v>
      </c>
      <c r="T310" s="301">
        <v>0</v>
      </c>
      <c r="U310" s="301">
        <v>0</v>
      </c>
      <c r="V310" s="301">
        <v>0</v>
      </c>
      <c r="W310" s="301">
        <v>0</v>
      </c>
      <c r="X310" s="301">
        <v>0</v>
      </c>
      <c r="Y310" s="301">
        <v>0</v>
      </c>
      <c r="Z310" s="301">
        <v>0</v>
      </c>
      <c r="AA310" s="301">
        <v>0</v>
      </c>
      <c r="AB310" s="303">
        <v>2020</v>
      </c>
    </row>
    <row r="311" spans="1:28" ht="35.25" customHeight="1" x14ac:dyDescent="0.5">
      <c r="A311">
        <v>1</v>
      </c>
      <c r="B311" s="80">
        <f>SUBTOTAL(103,$A$9:A311)</f>
        <v>301</v>
      </c>
      <c r="C311" s="300" t="s">
        <v>1931</v>
      </c>
      <c r="D311" s="296">
        <f t="shared" si="7"/>
        <v>1818274</v>
      </c>
      <c r="E311" s="301">
        <v>0</v>
      </c>
      <c r="F311" s="301">
        <v>0</v>
      </c>
      <c r="G311" s="301">
        <v>0</v>
      </c>
      <c r="H311" s="301">
        <v>0</v>
      </c>
      <c r="I311" s="301">
        <v>0</v>
      </c>
      <c r="J311" s="301">
        <v>0</v>
      </c>
      <c r="K311" s="302">
        <v>0</v>
      </c>
      <c r="L311" s="301">
        <v>0</v>
      </c>
      <c r="M311" s="301">
        <v>1818274</v>
      </c>
      <c r="N311" s="301">
        <v>0</v>
      </c>
      <c r="O311" s="301">
        <v>0</v>
      </c>
      <c r="P311" s="301">
        <v>0</v>
      </c>
      <c r="Q311" s="301">
        <v>0</v>
      </c>
      <c r="R311" s="301">
        <v>0</v>
      </c>
      <c r="S311" s="301">
        <v>0</v>
      </c>
      <c r="T311" s="301">
        <v>0</v>
      </c>
      <c r="U311" s="301">
        <v>0</v>
      </c>
      <c r="V311" s="301">
        <v>0</v>
      </c>
      <c r="W311" s="301">
        <v>0</v>
      </c>
      <c r="X311" s="301">
        <v>0</v>
      </c>
      <c r="Y311" s="301">
        <v>0</v>
      </c>
      <c r="Z311" s="301">
        <v>0</v>
      </c>
      <c r="AA311" s="301">
        <v>0</v>
      </c>
      <c r="AB311" s="303">
        <v>2020</v>
      </c>
    </row>
    <row r="312" spans="1:28" ht="35.25" customHeight="1" x14ac:dyDescent="0.5">
      <c r="A312">
        <v>1</v>
      </c>
      <c r="B312" s="80">
        <f>SUBTOTAL(103,$A$9:A312)</f>
        <v>302</v>
      </c>
      <c r="C312" s="300" t="s">
        <v>2365</v>
      </c>
      <c r="D312" s="296">
        <f t="shared" si="7"/>
        <v>333408.43999999994</v>
      </c>
      <c r="E312" s="301">
        <v>0</v>
      </c>
      <c r="F312" s="301">
        <v>0</v>
      </c>
      <c r="G312" s="301">
        <v>0</v>
      </c>
      <c r="H312" s="301">
        <v>208577.90999999997</v>
      </c>
      <c r="I312" s="301">
        <v>0</v>
      </c>
      <c r="J312" s="301">
        <v>0</v>
      </c>
      <c r="K312" s="302">
        <v>0</v>
      </c>
      <c r="L312" s="301">
        <v>0</v>
      </c>
      <c r="M312" s="301">
        <v>0</v>
      </c>
      <c r="N312" s="301">
        <v>0</v>
      </c>
      <c r="O312" s="301">
        <v>124830.53</v>
      </c>
      <c r="P312" s="301">
        <v>0</v>
      </c>
      <c r="Q312" s="301">
        <v>0</v>
      </c>
      <c r="R312" s="301">
        <v>0</v>
      </c>
      <c r="S312" s="301">
        <v>0</v>
      </c>
      <c r="T312" s="301">
        <v>0</v>
      </c>
      <c r="U312" s="301">
        <v>0</v>
      </c>
      <c r="V312" s="301">
        <v>0</v>
      </c>
      <c r="W312" s="301">
        <v>0</v>
      </c>
      <c r="X312" s="301">
        <v>0</v>
      </c>
      <c r="Y312" s="301">
        <v>0</v>
      </c>
      <c r="Z312" s="301">
        <v>0</v>
      </c>
      <c r="AA312" s="301">
        <v>0</v>
      </c>
      <c r="AB312" s="303">
        <v>2020</v>
      </c>
    </row>
    <row r="313" spans="1:28" ht="35.25" customHeight="1" x14ac:dyDescent="0.5">
      <c r="A313">
        <v>1</v>
      </c>
      <c r="B313" s="80">
        <f>SUBTOTAL(103,$A$9:A313)</f>
        <v>303</v>
      </c>
      <c r="C313" s="300" t="s">
        <v>2366</v>
      </c>
      <c r="D313" s="296">
        <f t="shared" si="7"/>
        <v>661000</v>
      </c>
      <c r="E313" s="301">
        <v>0</v>
      </c>
      <c r="F313" s="301">
        <v>0</v>
      </c>
      <c r="G313" s="301">
        <v>0</v>
      </c>
      <c r="H313" s="301">
        <v>0</v>
      </c>
      <c r="I313" s="301">
        <v>0</v>
      </c>
      <c r="J313" s="301">
        <v>0</v>
      </c>
      <c r="K313" s="302">
        <v>0</v>
      </c>
      <c r="L313" s="301">
        <v>0</v>
      </c>
      <c r="M313" s="301">
        <v>0</v>
      </c>
      <c r="N313" s="301">
        <v>0</v>
      </c>
      <c r="O313" s="301">
        <v>0</v>
      </c>
      <c r="P313" s="301">
        <v>661000</v>
      </c>
      <c r="Q313" s="301">
        <v>0</v>
      </c>
      <c r="R313" s="301">
        <v>0</v>
      </c>
      <c r="S313" s="301">
        <v>0</v>
      </c>
      <c r="T313" s="301">
        <v>0</v>
      </c>
      <c r="U313" s="301">
        <v>0</v>
      </c>
      <c r="V313" s="301">
        <v>0</v>
      </c>
      <c r="W313" s="301">
        <v>0</v>
      </c>
      <c r="X313" s="301">
        <v>0</v>
      </c>
      <c r="Y313" s="301">
        <v>0</v>
      </c>
      <c r="Z313" s="301">
        <v>0</v>
      </c>
      <c r="AA313" s="301">
        <v>0</v>
      </c>
      <c r="AB313" s="303">
        <v>2020</v>
      </c>
    </row>
    <row r="314" spans="1:28" ht="35.25" customHeight="1" x14ac:dyDescent="0.5">
      <c r="A314">
        <v>1</v>
      </c>
      <c r="B314" s="80">
        <f>SUBTOTAL(103,$A$9:A314)</f>
        <v>304</v>
      </c>
      <c r="C314" s="300" t="s">
        <v>2367</v>
      </c>
      <c r="D314" s="296">
        <f t="shared" si="7"/>
        <v>581500</v>
      </c>
      <c r="E314" s="301">
        <v>0</v>
      </c>
      <c r="F314" s="301">
        <v>0</v>
      </c>
      <c r="G314" s="301">
        <v>0</v>
      </c>
      <c r="H314" s="301">
        <v>0</v>
      </c>
      <c r="I314" s="301">
        <v>0</v>
      </c>
      <c r="J314" s="301">
        <v>0</v>
      </c>
      <c r="K314" s="302">
        <v>0</v>
      </c>
      <c r="L314" s="301">
        <v>0</v>
      </c>
      <c r="M314" s="301">
        <v>0</v>
      </c>
      <c r="N314" s="301">
        <v>0</v>
      </c>
      <c r="O314" s="301">
        <v>0</v>
      </c>
      <c r="P314" s="301">
        <v>581500</v>
      </c>
      <c r="Q314" s="301">
        <v>0</v>
      </c>
      <c r="R314" s="301">
        <v>0</v>
      </c>
      <c r="S314" s="301">
        <v>0</v>
      </c>
      <c r="T314" s="301">
        <v>0</v>
      </c>
      <c r="U314" s="301">
        <v>0</v>
      </c>
      <c r="V314" s="301">
        <v>0</v>
      </c>
      <c r="W314" s="301">
        <v>0</v>
      </c>
      <c r="X314" s="301">
        <v>0</v>
      </c>
      <c r="Y314" s="301">
        <v>0</v>
      </c>
      <c r="Z314" s="301">
        <v>0</v>
      </c>
      <c r="AA314" s="301">
        <v>0</v>
      </c>
      <c r="AB314" s="303">
        <v>2020</v>
      </c>
    </row>
    <row r="315" spans="1:28" ht="35.25" customHeight="1" x14ac:dyDescent="0.5">
      <c r="A315">
        <v>1</v>
      </c>
      <c r="B315" s="80">
        <f>SUBTOTAL(103,$A$9:A315)</f>
        <v>305</v>
      </c>
      <c r="C315" s="300" t="s">
        <v>2368</v>
      </c>
      <c r="D315" s="296">
        <f t="shared" si="7"/>
        <v>694350</v>
      </c>
      <c r="E315" s="301">
        <v>0</v>
      </c>
      <c r="F315" s="301">
        <v>0</v>
      </c>
      <c r="G315" s="301">
        <v>0</v>
      </c>
      <c r="H315" s="301">
        <v>0</v>
      </c>
      <c r="I315" s="301">
        <v>0</v>
      </c>
      <c r="J315" s="301">
        <v>0</v>
      </c>
      <c r="K315" s="302">
        <v>0</v>
      </c>
      <c r="L315" s="301">
        <v>0</v>
      </c>
      <c r="M315" s="301">
        <v>0</v>
      </c>
      <c r="N315" s="301">
        <v>0</v>
      </c>
      <c r="O315" s="301">
        <v>0</v>
      </c>
      <c r="P315" s="301">
        <v>694350</v>
      </c>
      <c r="Q315" s="301">
        <v>0</v>
      </c>
      <c r="R315" s="301">
        <v>0</v>
      </c>
      <c r="S315" s="301">
        <v>0</v>
      </c>
      <c r="T315" s="301">
        <v>0</v>
      </c>
      <c r="U315" s="301">
        <v>0</v>
      </c>
      <c r="V315" s="301">
        <v>0</v>
      </c>
      <c r="W315" s="301">
        <v>0</v>
      </c>
      <c r="X315" s="301">
        <v>0</v>
      </c>
      <c r="Y315" s="301">
        <v>0</v>
      </c>
      <c r="Z315" s="301">
        <v>0</v>
      </c>
      <c r="AA315" s="301">
        <v>0</v>
      </c>
      <c r="AB315" s="303">
        <v>2020</v>
      </c>
    </row>
    <row r="316" spans="1:28" ht="35.25" customHeight="1" x14ac:dyDescent="0.5">
      <c r="A316">
        <v>1</v>
      </c>
      <c r="B316" s="80">
        <f>SUBTOTAL(103,$A$9:A316)</f>
        <v>306</v>
      </c>
      <c r="C316" s="300" t="s">
        <v>2369</v>
      </c>
      <c r="D316" s="296">
        <f t="shared" si="7"/>
        <v>805999</v>
      </c>
      <c r="E316" s="301">
        <v>0</v>
      </c>
      <c r="F316" s="301">
        <v>0</v>
      </c>
      <c r="G316" s="301">
        <v>805999</v>
      </c>
      <c r="H316" s="301">
        <v>0</v>
      </c>
      <c r="I316" s="301">
        <v>0</v>
      </c>
      <c r="J316" s="301">
        <v>0</v>
      </c>
      <c r="K316" s="302">
        <v>0</v>
      </c>
      <c r="L316" s="301">
        <v>0</v>
      </c>
      <c r="M316" s="301">
        <v>0</v>
      </c>
      <c r="N316" s="301">
        <v>0</v>
      </c>
      <c r="O316" s="301">
        <v>0</v>
      </c>
      <c r="P316" s="301">
        <v>0</v>
      </c>
      <c r="Q316" s="301">
        <v>0</v>
      </c>
      <c r="R316" s="301">
        <v>0</v>
      </c>
      <c r="S316" s="301">
        <v>0</v>
      </c>
      <c r="T316" s="301">
        <v>0</v>
      </c>
      <c r="U316" s="301">
        <v>0</v>
      </c>
      <c r="V316" s="301">
        <v>0</v>
      </c>
      <c r="W316" s="301">
        <v>0</v>
      </c>
      <c r="X316" s="301">
        <v>0</v>
      </c>
      <c r="Y316" s="301">
        <v>0</v>
      </c>
      <c r="Z316" s="301">
        <v>0</v>
      </c>
      <c r="AA316" s="301">
        <v>0</v>
      </c>
      <c r="AB316" s="303">
        <v>2020</v>
      </c>
    </row>
    <row r="317" spans="1:28" ht="35.25" customHeight="1" x14ac:dyDescent="0.5">
      <c r="A317">
        <v>1</v>
      </c>
      <c r="B317" s="80">
        <f>SUBTOTAL(103,$A$9:A317)</f>
        <v>307</v>
      </c>
      <c r="C317" s="300" t="s">
        <v>2370</v>
      </c>
      <c r="D317" s="296">
        <f t="shared" si="7"/>
        <v>1080000</v>
      </c>
      <c r="E317" s="301">
        <v>0</v>
      </c>
      <c r="F317" s="301">
        <v>0</v>
      </c>
      <c r="G317" s="301">
        <v>0</v>
      </c>
      <c r="H317" s="301">
        <v>0</v>
      </c>
      <c r="I317" s="301">
        <v>0</v>
      </c>
      <c r="J317" s="301">
        <v>0</v>
      </c>
      <c r="K317" s="302">
        <v>1</v>
      </c>
      <c r="L317" s="301">
        <v>1080000</v>
      </c>
      <c r="M317" s="301">
        <v>0</v>
      </c>
      <c r="N317" s="301">
        <v>0</v>
      </c>
      <c r="O317" s="301">
        <v>0</v>
      </c>
      <c r="P317" s="301">
        <v>0</v>
      </c>
      <c r="Q317" s="301">
        <v>0</v>
      </c>
      <c r="R317" s="301">
        <v>0</v>
      </c>
      <c r="S317" s="301">
        <v>0</v>
      </c>
      <c r="T317" s="301">
        <v>0</v>
      </c>
      <c r="U317" s="301">
        <v>0</v>
      </c>
      <c r="V317" s="301">
        <v>0</v>
      </c>
      <c r="W317" s="301">
        <v>0</v>
      </c>
      <c r="X317" s="301">
        <v>0</v>
      </c>
      <c r="Y317" s="301">
        <v>0</v>
      </c>
      <c r="Z317" s="301">
        <v>0</v>
      </c>
      <c r="AA317" s="301">
        <v>0</v>
      </c>
      <c r="AB317" s="303">
        <v>2020</v>
      </c>
    </row>
    <row r="318" spans="1:28" ht="35.25" customHeight="1" x14ac:dyDescent="0.5">
      <c r="A318">
        <v>1</v>
      </c>
      <c r="B318" s="80">
        <f>SUBTOTAL(103,$A$9:A318)</f>
        <v>308</v>
      </c>
      <c r="C318" s="300" t="s">
        <v>2371</v>
      </c>
      <c r="D318" s="296">
        <f t="shared" si="7"/>
        <v>2203940</v>
      </c>
      <c r="E318" s="301">
        <v>0</v>
      </c>
      <c r="F318" s="301">
        <v>0</v>
      </c>
      <c r="G318" s="301">
        <v>0</v>
      </c>
      <c r="H318" s="301">
        <v>0</v>
      </c>
      <c r="I318" s="301">
        <v>0</v>
      </c>
      <c r="J318" s="301">
        <v>0</v>
      </c>
      <c r="K318" s="302">
        <v>0</v>
      </c>
      <c r="L318" s="301">
        <v>0</v>
      </c>
      <c r="M318" s="301">
        <v>2203940</v>
      </c>
      <c r="N318" s="301">
        <v>0</v>
      </c>
      <c r="O318" s="301">
        <v>0</v>
      </c>
      <c r="P318" s="301">
        <v>0</v>
      </c>
      <c r="Q318" s="301">
        <v>0</v>
      </c>
      <c r="R318" s="301">
        <v>0</v>
      </c>
      <c r="S318" s="301">
        <v>0</v>
      </c>
      <c r="T318" s="301">
        <v>0</v>
      </c>
      <c r="U318" s="301">
        <v>0</v>
      </c>
      <c r="V318" s="301">
        <v>0</v>
      </c>
      <c r="W318" s="301">
        <v>0</v>
      </c>
      <c r="X318" s="301">
        <v>0</v>
      </c>
      <c r="Y318" s="301">
        <v>0</v>
      </c>
      <c r="Z318" s="301">
        <v>0</v>
      </c>
      <c r="AA318" s="301">
        <v>0</v>
      </c>
      <c r="AB318" s="303">
        <v>2020</v>
      </c>
    </row>
    <row r="319" spans="1:28" ht="35.25" customHeight="1" x14ac:dyDescent="0.5">
      <c r="A319">
        <v>1</v>
      </c>
      <c r="B319" s="80">
        <f>SUBTOTAL(103,$A$9:A319)</f>
        <v>309</v>
      </c>
      <c r="C319" s="300" t="s">
        <v>2702</v>
      </c>
      <c r="D319" s="296">
        <f t="shared" si="7"/>
        <v>170783.77</v>
      </c>
      <c r="E319" s="301">
        <v>0</v>
      </c>
      <c r="F319" s="301">
        <v>0</v>
      </c>
      <c r="G319" s="301">
        <v>0</v>
      </c>
      <c r="H319" s="301">
        <v>0</v>
      </c>
      <c r="I319" s="301">
        <v>0</v>
      </c>
      <c r="J319" s="301">
        <v>0</v>
      </c>
      <c r="K319" s="302">
        <v>0</v>
      </c>
      <c r="L319" s="301">
        <v>0</v>
      </c>
      <c r="M319" s="301">
        <v>0</v>
      </c>
      <c r="N319" s="301">
        <v>0</v>
      </c>
      <c r="O319" s="301">
        <v>170783.77</v>
      </c>
      <c r="P319" s="301">
        <v>0</v>
      </c>
      <c r="Q319" s="301">
        <v>0</v>
      </c>
      <c r="R319" s="301">
        <v>0</v>
      </c>
      <c r="S319" s="301">
        <v>0</v>
      </c>
      <c r="T319" s="301">
        <v>0</v>
      </c>
      <c r="U319" s="301">
        <v>0</v>
      </c>
      <c r="V319" s="301">
        <v>0</v>
      </c>
      <c r="W319" s="301">
        <v>0</v>
      </c>
      <c r="X319" s="301">
        <v>0</v>
      </c>
      <c r="Y319" s="301">
        <v>0</v>
      </c>
      <c r="Z319" s="301">
        <v>0</v>
      </c>
      <c r="AA319" s="301">
        <v>0</v>
      </c>
      <c r="AB319" s="303">
        <v>2020</v>
      </c>
    </row>
    <row r="320" spans="1:28" ht="35.25" customHeight="1" x14ac:dyDescent="0.5">
      <c r="A320">
        <v>1</v>
      </c>
      <c r="B320" s="80">
        <f>SUBTOTAL(103,$A$9:A320)</f>
        <v>310</v>
      </c>
      <c r="C320" s="300" t="s">
        <v>2703</v>
      </c>
      <c r="D320" s="296">
        <f t="shared" si="7"/>
        <v>165280</v>
      </c>
      <c r="E320" s="301">
        <v>0</v>
      </c>
      <c r="F320" s="301">
        <v>0</v>
      </c>
      <c r="G320" s="301">
        <v>0</v>
      </c>
      <c r="H320" s="301">
        <v>0</v>
      </c>
      <c r="I320" s="301">
        <v>0</v>
      </c>
      <c r="J320" s="301">
        <v>0</v>
      </c>
      <c r="K320" s="302">
        <v>0</v>
      </c>
      <c r="L320" s="301">
        <v>0</v>
      </c>
      <c r="M320" s="301">
        <v>0</v>
      </c>
      <c r="N320" s="301">
        <v>0</v>
      </c>
      <c r="O320" s="301">
        <v>165280</v>
      </c>
      <c r="P320" s="301">
        <v>0</v>
      </c>
      <c r="Q320" s="301">
        <v>0</v>
      </c>
      <c r="R320" s="301">
        <v>0</v>
      </c>
      <c r="S320" s="301">
        <v>0</v>
      </c>
      <c r="T320" s="301">
        <v>0</v>
      </c>
      <c r="U320" s="301">
        <v>0</v>
      </c>
      <c r="V320" s="301">
        <v>0</v>
      </c>
      <c r="W320" s="301">
        <v>0</v>
      </c>
      <c r="X320" s="301">
        <v>0</v>
      </c>
      <c r="Y320" s="301">
        <v>0</v>
      </c>
      <c r="Z320" s="301">
        <v>0</v>
      </c>
      <c r="AA320" s="301">
        <v>0</v>
      </c>
      <c r="AB320" s="303">
        <v>2020</v>
      </c>
    </row>
    <row r="321" spans="1:28" ht="35.25" customHeight="1" x14ac:dyDescent="0.5">
      <c r="A321">
        <v>1</v>
      </c>
      <c r="B321" s="80">
        <f>SUBTOTAL(103,$A$9:A321)</f>
        <v>311</v>
      </c>
      <c r="C321" s="300" t="s">
        <v>2704</v>
      </c>
      <c r="D321" s="296">
        <f t="shared" si="7"/>
        <v>475086.32</v>
      </c>
      <c r="E321" s="301">
        <v>175086.32</v>
      </c>
      <c r="F321" s="301">
        <v>300000</v>
      </c>
      <c r="G321" s="301">
        <v>0</v>
      </c>
      <c r="H321" s="301">
        <v>0</v>
      </c>
      <c r="I321" s="301">
        <v>0</v>
      </c>
      <c r="J321" s="301">
        <v>0</v>
      </c>
      <c r="K321" s="302">
        <v>0</v>
      </c>
      <c r="L321" s="301">
        <v>0</v>
      </c>
      <c r="M321" s="301">
        <v>0</v>
      </c>
      <c r="N321" s="301">
        <v>0</v>
      </c>
      <c r="O321" s="301">
        <v>0</v>
      </c>
      <c r="P321" s="301">
        <v>0</v>
      </c>
      <c r="Q321" s="301">
        <v>0</v>
      </c>
      <c r="R321" s="301">
        <v>0</v>
      </c>
      <c r="S321" s="301">
        <v>0</v>
      </c>
      <c r="T321" s="301">
        <v>0</v>
      </c>
      <c r="U321" s="301">
        <v>0</v>
      </c>
      <c r="V321" s="301">
        <v>0</v>
      </c>
      <c r="W321" s="301">
        <v>0</v>
      </c>
      <c r="X321" s="301">
        <v>0</v>
      </c>
      <c r="Y321" s="301">
        <v>0</v>
      </c>
      <c r="Z321" s="301">
        <v>0</v>
      </c>
      <c r="AA321" s="301">
        <v>0</v>
      </c>
      <c r="AB321" s="303">
        <v>2020</v>
      </c>
    </row>
    <row r="322" spans="1:28" ht="35.25" customHeight="1" x14ac:dyDescent="0.5">
      <c r="A322">
        <v>1</v>
      </c>
      <c r="B322" s="80">
        <f>SUBTOTAL(103,$A$9:A322)</f>
        <v>312</v>
      </c>
      <c r="C322" s="300" t="s">
        <v>1687</v>
      </c>
      <c r="D322" s="296">
        <f t="shared" si="7"/>
        <v>467041.56000000006</v>
      </c>
      <c r="E322" s="301">
        <v>467041.56000000006</v>
      </c>
      <c r="F322" s="301">
        <v>0</v>
      </c>
      <c r="G322" s="301">
        <v>0</v>
      </c>
      <c r="H322" s="301">
        <v>0</v>
      </c>
      <c r="I322" s="301">
        <v>0</v>
      </c>
      <c r="J322" s="301">
        <v>0</v>
      </c>
      <c r="K322" s="302">
        <v>0</v>
      </c>
      <c r="L322" s="301">
        <v>0</v>
      </c>
      <c r="M322" s="301">
        <v>0</v>
      </c>
      <c r="N322" s="301">
        <v>0</v>
      </c>
      <c r="O322" s="301">
        <v>0</v>
      </c>
      <c r="P322" s="301">
        <v>0</v>
      </c>
      <c r="Q322" s="301">
        <v>0</v>
      </c>
      <c r="R322" s="301">
        <v>0</v>
      </c>
      <c r="S322" s="301">
        <v>0</v>
      </c>
      <c r="T322" s="301">
        <v>0</v>
      </c>
      <c r="U322" s="301">
        <v>0</v>
      </c>
      <c r="V322" s="301">
        <v>0</v>
      </c>
      <c r="W322" s="301">
        <v>0</v>
      </c>
      <c r="X322" s="301">
        <v>0</v>
      </c>
      <c r="Y322" s="301">
        <v>0</v>
      </c>
      <c r="Z322" s="301">
        <v>0</v>
      </c>
      <c r="AA322" s="301">
        <v>0</v>
      </c>
      <c r="AB322" s="303">
        <v>2020</v>
      </c>
    </row>
    <row r="323" spans="1:28" ht="35.25" customHeight="1" x14ac:dyDescent="0.5">
      <c r="B323" s="294" t="s">
        <v>986</v>
      </c>
      <c r="C323" s="300"/>
      <c r="D323" s="296">
        <f t="shared" si="7"/>
        <v>28333122.260000002</v>
      </c>
      <c r="E323" s="296">
        <f t="shared" ref="E323:AA323" si="9">SUM(E324:E357)</f>
        <v>0</v>
      </c>
      <c r="F323" s="296">
        <f t="shared" si="9"/>
        <v>158850</v>
      </c>
      <c r="G323" s="296">
        <f t="shared" si="9"/>
        <v>4331032.5999999996</v>
      </c>
      <c r="H323" s="296">
        <f t="shared" si="9"/>
        <v>565533</v>
      </c>
      <c r="I323" s="296">
        <f t="shared" si="9"/>
        <v>2136365</v>
      </c>
      <c r="J323" s="296">
        <f t="shared" si="9"/>
        <v>0</v>
      </c>
      <c r="K323" s="297">
        <f t="shared" si="9"/>
        <v>0</v>
      </c>
      <c r="L323" s="296">
        <f t="shared" si="9"/>
        <v>0</v>
      </c>
      <c r="M323" s="296">
        <f t="shared" si="9"/>
        <v>13690875.590000002</v>
      </c>
      <c r="N323" s="296">
        <f t="shared" si="9"/>
        <v>927774</v>
      </c>
      <c r="O323" s="296">
        <f t="shared" si="9"/>
        <v>5374072.5800000001</v>
      </c>
      <c r="P323" s="296">
        <f t="shared" si="9"/>
        <v>1148619.49</v>
      </c>
      <c r="Q323" s="296">
        <f t="shared" si="9"/>
        <v>0</v>
      </c>
      <c r="R323" s="296">
        <f t="shared" si="9"/>
        <v>0</v>
      </c>
      <c r="S323" s="296">
        <f t="shared" si="9"/>
        <v>0</v>
      </c>
      <c r="T323" s="296">
        <f t="shared" si="9"/>
        <v>0</v>
      </c>
      <c r="U323" s="296">
        <f t="shared" si="9"/>
        <v>0</v>
      </c>
      <c r="V323" s="296">
        <f t="shared" si="9"/>
        <v>0</v>
      </c>
      <c r="W323" s="296">
        <f t="shared" si="9"/>
        <v>0</v>
      </c>
      <c r="X323" s="296">
        <f t="shared" si="9"/>
        <v>0</v>
      </c>
      <c r="Y323" s="296">
        <f t="shared" si="9"/>
        <v>0</v>
      </c>
      <c r="Z323" s="296">
        <f t="shared" si="9"/>
        <v>0</v>
      </c>
      <c r="AA323" s="296">
        <f t="shared" si="9"/>
        <v>0</v>
      </c>
      <c r="AB323" s="298" t="s">
        <v>835</v>
      </c>
    </row>
    <row r="324" spans="1:28" ht="35.25" customHeight="1" x14ac:dyDescent="0.5">
      <c r="A324">
        <v>1</v>
      </c>
      <c r="B324" s="80">
        <f>SUBTOTAL(103,$A$9:A324)</f>
        <v>313</v>
      </c>
      <c r="C324" s="300" t="s">
        <v>1688</v>
      </c>
      <c r="D324" s="296">
        <f t="shared" si="7"/>
        <v>2417121</v>
      </c>
      <c r="E324" s="301">
        <v>0</v>
      </c>
      <c r="F324" s="301">
        <v>0</v>
      </c>
      <c r="G324" s="301">
        <v>0</v>
      </c>
      <c r="H324" s="301">
        <v>0</v>
      </c>
      <c r="I324" s="301">
        <v>0</v>
      </c>
      <c r="J324" s="301">
        <v>0</v>
      </c>
      <c r="K324" s="302">
        <v>0</v>
      </c>
      <c r="L324" s="301">
        <v>0</v>
      </c>
      <c r="M324" s="301">
        <v>2417121</v>
      </c>
      <c r="N324" s="301">
        <v>0</v>
      </c>
      <c r="O324" s="301">
        <v>0</v>
      </c>
      <c r="P324" s="301">
        <v>0</v>
      </c>
      <c r="Q324" s="301">
        <v>0</v>
      </c>
      <c r="R324" s="301">
        <v>0</v>
      </c>
      <c r="S324" s="301">
        <v>0</v>
      </c>
      <c r="T324" s="301">
        <v>0</v>
      </c>
      <c r="U324" s="301">
        <v>0</v>
      </c>
      <c r="V324" s="301">
        <v>0</v>
      </c>
      <c r="W324" s="301">
        <v>0</v>
      </c>
      <c r="X324" s="301">
        <v>0</v>
      </c>
      <c r="Y324" s="301">
        <v>0</v>
      </c>
      <c r="Z324" s="301">
        <v>0</v>
      </c>
      <c r="AA324" s="301">
        <v>0</v>
      </c>
      <c r="AB324" s="303">
        <v>2020</v>
      </c>
    </row>
    <row r="325" spans="1:28" ht="35.25" customHeight="1" x14ac:dyDescent="0.5">
      <c r="A325">
        <v>1</v>
      </c>
      <c r="B325" s="80">
        <f>SUBTOTAL(103,$A$9:A325)</f>
        <v>314</v>
      </c>
      <c r="C325" s="300" t="s">
        <v>1689</v>
      </c>
      <c r="D325" s="296">
        <f t="shared" si="7"/>
        <v>649639</v>
      </c>
      <c r="E325" s="301">
        <v>0</v>
      </c>
      <c r="F325" s="301">
        <v>0</v>
      </c>
      <c r="G325" s="301">
        <v>0</v>
      </c>
      <c r="H325" s="301">
        <v>0</v>
      </c>
      <c r="I325" s="301">
        <v>649639</v>
      </c>
      <c r="J325" s="301">
        <v>0</v>
      </c>
      <c r="K325" s="302">
        <v>0</v>
      </c>
      <c r="L325" s="301">
        <v>0</v>
      </c>
      <c r="M325" s="301">
        <v>0</v>
      </c>
      <c r="N325" s="301">
        <v>0</v>
      </c>
      <c r="O325" s="301">
        <v>0</v>
      </c>
      <c r="P325" s="301">
        <v>0</v>
      </c>
      <c r="Q325" s="301">
        <v>0</v>
      </c>
      <c r="R325" s="301">
        <v>0</v>
      </c>
      <c r="S325" s="301">
        <v>0</v>
      </c>
      <c r="T325" s="301">
        <v>0</v>
      </c>
      <c r="U325" s="301">
        <v>0</v>
      </c>
      <c r="V325" s="301">
        <v>0</v>
      </c>
      <c r="W325" s="301">
        <v>0</v>
      </c>
      <c r="X325" s="301">
        <v>0</v>
      </c>
      <c r="Y325" s="301">
        <v>0</v>
      </c>
      <c r="Z325" s="301">
        <v>0</v>
      </c>
      <c r="AA325" s="301">
        <v>0</v>
      </c>
      <c r="AB325" s="303">
        <v>2020</v>
      </c>
    </row>
    <row r="326" spans="1:28" ht="35.25" customHeight="1" x14ac:dyDescent="0.5">
      <c r="A326">
        <v>1</v>
      </c>
      <c r="B326" s="80">
        <f>SUBTOTAL(103,$A$9:A326)</f>
        <v>315</v>
      </c>
      <c r="C326" s="300" t="s">
        <v>1690</v>
      </c>
      <c r="D326" s="296">
        <f t="shared" si="7"/>
        <v>158850</v>
      </c>
      <c r="E326" s="301">
        <v>0</v>
      </c>
      <c r="F326" s="301">
        <v>158850</v>
      </c>
      <c r="G326" s="301">
        <v>0</v>
      </c>
      <c r="H326" s="301">
        <v>0</v>
      </c>
      <c r="I326" s="301">
        <v>0</v>
      </c>
      <c r="J326" s="301">
        <v>0</v>
      </c>
      <c r="K326" s="302">
        <v>0</v>
      </c>
      <c r="L326" s="301">
        <v>0</v>
      </c>
      <c r="M326" s="301">
        <v>0</v>
      </c>
      <c r="N326" s="301">
        <v>0</v>
      </c>
      <c r="O326" s="301">
        <v>0</v>
      </c>
      <c r="P326" s="301">
        <v>0</v>
      </c>
      <c r="Q326" s="301">
        <v>0</v>
      </c>
      <c r="R326" s="301">
        <v>0</v>
      </c>
      <c r="S326" s="301">
        <v>0</v>
      </c>
      <c r="T326" s="301">
        <v>0</v>
      </c>
      <c r="U326" s="301">
        <v>0</v>
      </c>
      <c r="V326" s="301">
        <v>0</v>
      </c>
      <c r="W326" s="301">
        <v>0</v>
      </c>
      <c r="X326" s="301">
        <v>0</v>
      </c>
      <c r="Y326" s="301">
        <v>0</v>
      </c>
      <c r="Z326" s="301">
        <v>0</v>
      </c>
      <c r="AA326" s="301">
        <v>0</v>
      </c>
      <c r="AB326" s="303">
        <v>2020</v>
      </c>
    </row>
    <row r="327" spans="1:28" ht="35.25" customHeight="1" x14ac:dyDescent="0.5">
      <c r="A327">
        <v>1</v>
      </c>
      <c r="B327" s="80">
        <f>SUBTOTAL(103,$A$9:A327)</f>
        <v>316</v>
      </c>
      <c r="C327" s="300" t="s">
        <v>1932</v>
      </c>
      <c r="D327" s="296">
        <f t="shared" si="7"/>
        <v>254000</v>
      </c>
      <c r="E327" s="301">
        <v>0</v>
      </c>
      <c r="F327" s="301">
        <v>0</v>
      </c>
      <c r="G327" s="301">
        <v>0</v>
      </c>
      <c r="H327" s="301">
        <v>0</v>
      </c>
      <c r="I327" s="301">
        <v>0</v>
      </c>
      <c r="J327" s="301">
        <v>0</v>
      </c>
      <c r="K327" s="302">
        <v>0</v>
      </c>
      <c r="L327" s="301">
        <v>0</v>
      </c>
      <c r="M327" s="301">
        <v>254000</v>
      </c>
      <c r="N327" s="301">
        <v>0</v>
      </c>
      <c r="O327" s="301">
        <v>0</v>
      </c>
      <c r="P327" s="301">
        <v>0</v>
      </c>
      <c r="Q327" s="301">
        <v>0</v>
      </c>
      <c r="R327" s="301">
        <v>0</v>
      </c>
      <c r="S327" s="301">
        <v>0</v>
      </c>
      <c r="T327" s="301">
        <v>0</v>
      </c>
      <c r="U327" s="301">
        <v>0</v>
      </c>
      <c r="V327" s="301">
        <v>0</v>
      </c>
      <c r="W327" s="301">
        <v>0</v>
      </c>
      <c r="X327" s="301">
        <v>0</v>
      </c>
      <c r="Y327" s="301">
        <v>0</v>
      </c>
      <c r="Z327" s="301">
        <v>0</v>
      </c>
      <c r="AA327" s="301">
        <v>0</v>
      </c>
      <c r="AB327" s="303">
        <v>2020</v>
      </c>
    </row>
    <row r="328" spans="1:28" ht="35.25" customHeight="1" x14ac:dyDescent="0.5">
      <c r="A328">
        <v>1</v>
      </c>
      <c r="B328" s="80">
        <f>SUBTOTAL(103,$A$9:A328)</f>
        <v>317</v>
      </c>
      <c r="C328" s="300" t="s">
        <v>1933</v>
      </c>
      <c r="D328" s="296">
        <f t="shared" si="7"/>
        <v>405002</v>
      </c>
      <c r="E328" s="301">
        <v>0</v>
      </c>
      <c r="F328" s="301">
        <v>0</v>
      </c>
      <c r="G328" s="301">
        <v>0</v>
      </c>
      <c r="H328" s="301">
        <v>0</v>
      </c>
      <c r="I328" s="301">
        <v>0</v>
      </c>
      <c r="J328" s="301">
        <v>0</v>
      </c>
      <c r="K328" s="302">
        <v>0</v>
      </c>
      <c r="L328" s="301">
        <v>0</v>
      </c>
      <c r="M328" s="301">
        <v>0</v>
      </c>
      <c r="N328" s="301">
        <v>405002</v>
      </c>
      <c r="O328" s="301">
        <v>0</v>
      </c>
      <c r="P328" s="301">
        <v>0</v>
      </c>
      <c r="Q328" s="301">
        <v>0</v>
      </c>
      <c r="R328" s="301">
        <v>0</v>
      </c>
      <c r="S328" s="301">
        <v>0</v>
      </c>
      <c r="T328" s="301">
        <v>0</v>
      </c>
      <c r="U328" s="301">
        <v>0</v>
      </c>
      <c r="V328" s="301">
        <v>0</v>
      </c>
      <c r="W328" s="301">
        <v>0</v>
      </c>
      <c r="X328" s="301">
        <v>0</v>
      </c>
      <c r="Y328" s="301">
        <v>0</v>
      </c>
      <c r="Z328" s="301">
        <v>0</v>
      </c>
      <c r="AA328" s="301">
        <v>0</v>
      </c>
      <c r="AB328" s="303">
        <v>2020</v>
      </c>
    </row>
    <row r="329" spans="1:28" ht="35.25" customHeight="1" x14ac:dyDescent="0.5">
      <c r="A329">
        <v>1</v>
      </c>
      <c r="B329" s="80">
        <f>SUBTOTAL(103,$A$9:A329)</f>
        <v>318</v>
      </c>
      <c r="C329" s="300" t="s">
        <v>1934</v>
      </c>
      <c r="D329" s="296">
        <f t="shared" ref="D329:D392" si="10">E329+F329+G329+H329+I329+J329+L329+M329+N329+O329+P329+Q329+R329+S329+T329+U329+V329+W329+X329+Y329+Z329+AA329</f>
        <v>2256715</v>
      </c>
      <c r="E329" s="301">
        <v>0</v>
      </c>
      <c r="F329" s="301">
        <v>0</v>
      </c>
      <c r="G329" s="301">
        <v>1362535</v>
      </c>
      <c r="H329" s="301">
        <v>0</v>
      </c>
      <c r="I329" s="301">
        <v>0</v>
      </c>
      <c r="J329" s="301">
        <v>0</v>
      </c>
      <c r="K329" s="302">
        <v>0</v>
      </c>
      <c r="L329" s="301">
        <v>0</v>
      </c>
      <c r="M329" s="301">
        <v>0</v>
      </c>
      <c r="N329" s="301">
        <v>0</v>
      </c>
      <c r="O329" s="301">
        <v>894180</v>
      </c>
      <c r="P329" s="301">
        <v>0</v>
      </c>
      <c r="Q329" s="301">
        <v>0</v>
      </c>
      <c r="R329" s="301">
        <v>0</v>
      </c>
      <c r="S329" s="301">
        <v>0</v>
      </c>
      <c r="T329" s="301">
        <v>0</v>
      </c>
      <c r="U329" s="301">
        <v>0</v>
      </c>
      <c r="V329" s="301">
        <v>0</v>
      </c>
      <c r="W329" s="301">
        <v>0</v>
      </c>
      <c r="X329" s="301">
        <v>0</v>
      </c>
      <c r="Y329" s="301">
        <v>0</v>
      </c>
      <c r="Z329" s="301">
        <v>0</v>
      </c>
      <c r="AA329" s="301">
        <v>0</v>
      </c>
      <c r="AB329" s="303">
        <v>2020</v>
      </c>
    </row>
    <row r="330" spans="1:28" ht="35.25" customHeight="1" x14ac:dyDescent="0.5">
      <c r="A330">
        <v>1</v>
      </c>
      <c r="B330" s="80">
        <f>SUBTOTAL(103,$A$9:A330)</f>
        <v>319</v>
      </c>
      <c r="C330" s="300" t="s">
        <v>1935</v>
      </c>
      <c r="D330" s="296">
        <f t="shared" si="10"/>
        <v>464094</v>
      </c>
      <c r="E330" s="301">
        <v>0</v>
      </c>
      <c r="F330" s="301">
        <v>0</v>
      </c>
      <c r="G330" s="301">
        <v>0</v>
      </c>
      <c r="H330" s="301">
        <v>0</v>
      </c>
      <c r="I330" s="301">
        <v>0</v>
      </c>
      <c r="J330" s="301">
        <v>0</v>
      </c>
      <c r="K330" s="302">
        <v>0</v>
      </c>
      <c r="L330" s="301">
        <v>0</v>
      </c>
      <c r="M330" s="301">
        <v>0</v>
      </c>
      <c r="N330" s="301">
        <v>0</v>
      </c>
      <c r="O330" s="301">
        <v>464094</v>
      </c>
      <c r="P330" s="301">
        <v>0</v>
      </c>
      <c r="Q330" s="301">
        <v>0</v>
      </c>
      <c r="R330" s="301">
        <v>0</v>
      </c>
      <c r="S330" s="301">
        <v>0</v>
      </c>
      <c r="T330" s="301">
        <v>0</v>
      </c>
      <c r="U330" s="301">
        <v>0</v>
      </c>
      <c r="V330" s="301">
        <v>0</v>
      </c>
      <c r="W330" s="301">
        <v>0</v>
      </c>
      <c r="X330" s="301">
        <v>0</v>
      </c>
      <c r="Y330" s="301">
        <v>0</v>
      </c>
      <c r="Z330" s="301">
        <v>0</v>
      </c>
      <c r="AA330" s="301">
        <v>0</v>
      </c>
      <c r="AB330" s="303">
        <v>2020</v>
      </c>
    </row>
    <row r="331" spans="1:28" ht="35.25" customHeight="1" x14ac:dyDescent="0.5">
      <c r="A331">
        <v>1</v>
      </c>
      <c r="B331" s="80">
        <f>SUBTOTAL(103,$A$9:A331)</f>
        <v>320</v>
      </c>
      <c r="C331" s="300" t="s">
        <v>1936</v>
      </c>
      <c r="D331" s="296">
        <f t="shared" si="10"/>
        <v>410000</v>
      </c>
      <c r="E331" s="301">
        <v>0</v>
      </c>
      <c r="F331" s="301">
        <v>0</v>
      </c>
      <c r="G331" s="301">
        <v>0</v>
      </c>
      <c r="H331" s="301">
        <v>0</v>
      </c>
      <c r="I331" s="301">
        <v>0</v>
      </c>
      <c r="J331" s="301">
        <v>0</v>
      </c>
      <c r="K331" s="302">
        <v>0</v>
      </c>
      <c r="L331" s="301">
        <v>0</v>
      </c>
      <c r="M331" s="301">
        <v>0</v>
      </c>
      <c r="N331" s="301">
        <v>0</v>
      </c>
      <c r="O331" s="301">
        <v>0</v>
      </c>
      <c r="P331" s="301">
        <v>410000</v>
      </c>
      <c r="Q331" s="301">
        <v>0</v>
      </c>
      <c r="R331" s="301">
        <v>0</v>
      </c>
      <c r="S331" s="301">
        <v>0</v>
      </c>
      <c r="T331" s="301">
        <v>0</v>
      </c>
      <c r="U331" s="301">
        <v>0</v>
      </c>
      <c r="V331" s="301">
        <v>0</v>
      </c>
      <c r="W331" s="301">
        <v>0</v>
      </c>
      <c r="X331" s="301">
        <v>0</v>
      </c>
      <c r="Y331" s="301">
        <v>0</v>
      </c>
      <c r="Z331" s="301">
        <v>0</v>
      </c>
      <c r="AA331" s="301">
        <v>0</v>
      </c>
      <c r="AB331" s="303">
        <v>2020</v>
      </c>
    </row>
    <row r="332" spans="1:28" ht="35.25" customHeight="1" x14ac:dyDescent="0.5">
      <c r="A332">
        <v>1</v>
      </c>
      <c r="B332" s="80">
        <f>SUBTOTAL(103,$A$9:A332)</f>
        <v>321</v>
      </c>
      <c r="C332" s="300" t="s">
        <v>1937</v>
      </c>
      <c r="D332" s="296">
        <f t="shared" si="10"/>
        <v>924000</v>
      </c>
      <c r="E332" s="301">
        <v>0</v>
      </c>
      <c r="F332" s="301">
        <v>0</v>
      </c>
      <c r="G332" s="301">
        <v>0</v>
      </c>
      <c r="H332" s="301">
        <v>0</v>
      </c>
      <c r="I332" s="301">
        <v>0</v>
      </c>
      <c r="J332" s="301">
        <v>0</v>
      </c>
      <c r="K332" s="302">
        <v>0</v>
      </c>
      <c r="L332" s="301">
        <v>0</v>
      </c>
      <c r="M332" s="301">
        <v>924000</v>
      </c>
      <c r="N332" s="301">
        <v>0</v>
      </c>
      <c r="O332" s="301">
        <v>0</v>
      </c>
      <c r="P332" s="301">
        <v>0</v>
      </c>
      <c r="Q332" s="301">
        <v>0</v>
      </c>
      <c r="R332" s="301">
        <v>0</v>
      </c>
      <c r="S332" s="301">
        <v>0</v>
      </c>
      <c r="T332" s="301">
        <v>0</v>
      </c>
      <c r="U332" s="301">
        <v>0</v>
      </c>
      <c r="V332" s="301">
        <v>0</v>
      </c>
      <c r="W332" s="301">
        <v>0</v>
      </c>
      <c r="X332" s="301">
        <v>0</v>
      </c>
      <c r="Y332" s="301">
        <v>0</v>
      </c>
      <c r="Z332" s="301">
        <v>0</v>
      </c>
      <c r="AA332" s="301">
        <v>0</v>
      </c>
      <c r="AB332" s="303">
        <v>2020</v>
      </c>
    </row>
    <row r="333" spans="1:28" ht="35.25" customHeight="1" x14ac:dyDescent="0.5">
      <c r="A333">
        <v>1</v>
      </c>
      <c r="B333" s="80">
        <f>SUBTOTAL(103,$A$9:A333)</f>
        <v>322</v>
      </c>
      <c r="C333" s="300" t="s">
        <v>1938</v>
      </c>
      <c r="D333" s="296">
        <f t="shared" si="10"/>
        <v>118000</v>
      </c>
      <c r="E333" s="301">
        <v>0</v>
      </c>
      <c r="F333" s="301">
        <v>0</v>
      </c>
      <c r="G333" s="301">
        <v>0</v>
      </c>
      <c r="H333" s="301">
        <v>0</v>
      </c>
      <c r="I333" s="301">
        <v>118000</v>
      </c>
      <c r="J333" s="301">
        <v>0</v>
      </c>
      <c r="K333" s="302">
        <v>0</v>
      </c>
      <c r="L333" s="301">
        <v>0</v>
      </c>
      <c r="M333" s="301">
        <v>0</v>
      </c>
      <c r="N333" s="301">
        <v>0</v>
      </c>
      <c r="O333" s="301">
        <v>0</v>
      </c>
      <c r="P333" s="301">
        <v>0</v>
      </c>
      <c r="Q333" s="301">
        <v>0</v>
      </c>
      <c r="R333" s="301">
        <v>0</v>
      </c>
      <c r="S333" s="301">
        <v>0</v>
      </c>
      <c r="T333" s="301">
        <v>0</v>
      </c>
      <c r="U333" s="301">
        <v>0</v>
      </c>
      <c r="V333" s="301">
        <v>0</v>
      </c>
      <c r="W333" s="301">
        <v>0</v>
      </c>
      <c r="X333" s="301">
        <v>0</v>
      </c>
      <c r="Y333" s="301">
        <v>0</v>
      </c>
      <c r="Z333" s="301">
        <v>0</v>
      </c>
      <c r="AA333" s="301">
        <v>0</v>
      </c>
      <c r="AB333" s="303">
        <v>2020</v>
      </c>
    </row>
    <row r="334" spans="1:28" ht="35.25" customHeight="1" x14ac:dyDescent="0.5">
      <c r="A334">
        <v>1</v>
      </c>
      <c r="B334" s="80">
        <f>SUBTOTAL(103,$A$9:A334)</f>
        <v>323</v>
      </c>
      <c r="C334" s="300" t="s">
        <v>2372</v>
      </c>
      <c r="D334" s="296">
        <f t="shared" si="10"/>
        <v>1386050.39</v>
      </c>
      <c r="E334" s="301">
        <v>0</v>
      </c>
      <c r="F334" s="301">
        <v>0</v>
      </c>
      <c r="G334" s="301">
        <v>0</v>
      </c>
      <c r="H334" s="301">
        <v>0</v>
      </c>
      <c r="I334" s="301">
        <v>0</v>
      </c>
      <c r="J334" s="301">
        <v>0</v>
      </c>
      <c r="K334" s="302">
        <v>0</v>
      </c>
      <c r="L334" s="301">
        <v>0</v>
      </c>
      <c r="M334" s="301">
        <v>1386050.39</v>
      </c>
      <c r="N334" s="301">
        <v>0</v>
      </c>
      <c r="O334" s="301">
        <v>0</v>
      </c>
      <c r="P334" s="301">
        <v>0</v>
      </c>
      <c r="Q334" s="301">
        <v>0</v>
      </c>
      <c r="R334" s="301">
        <v>0</v>
      </c>
      <c r="S334" s="301">
        <v>0</v>
      </c>
      <c r="T334" s="301">
        <v>0</v>
      </c>
      <c r="U334" s="301">
        <v>0</v>
      </c>
      <c r="V334" s="301">
        <v>0</v>
      </c>
      <c r="W334" s="301">
        <v>0</v>
      </c>
      <c r="X334" s="301">
        <v>0</v>
      </c>
      <c r="Y334" s="301">
        <v>0</v>
      </c>
      <c r="Z334" s="301">
        <v>0</v>
      </c>
      <c r="AA334" s="301">
        <v>0</v>
      </c>
      <c r="AB334" s="303">
        <v>2020</v>
      </c>
    </row>
    <row r="335" spans="1:28" ht="35.25" customHeight="1" x14ac:dyDescent="0.5">
      <c r="A335">
        <v>1</v>
      </c>
      <c r="B335" s="80">
        <f>SUBTOTAL(103,$A$9:A335)</f>
        <v>324</v>
      </c>
      <c r="C335" s="300" t="s">
        <v>1939</v>
      </c>
      <c r="D335" s="296">
        <f t="shared" si="10"/>
        <v>717639.7</v>
      </c>
      <c r="E335" s="301">
        <v>0</v>
      </c>
      <c r="F335" s="301">
        <v>0</v>
      </c>
      <c r="G335" s="301">
        <v>0</v>
      </c>
      <c r="H335" s="301">
        <v>0</v>
      </c>
      <c r="I335" s="301">
        <v>0</v>
      </c>
      <c r="J335" s="301">
        <v>0</v>
      </c>
      <c r="K335" s="302">
        <v>0</v>
      </c>
      <c r="L335" s="301">
        <v>0</v>
      </c>
      <c r="M335" s="301">
        <v>717639.7</v>
      </c>
      <c r="N335" s="301">
        <v>0</v>
      </c>
      <c r="O335" s="301">
        <v>0</v>
      </c>
      <c r="P335" s="301">
        <v>0</v>
      </c>
      <c r="Q335" s="301">
        <v>0</v>
      </c>
      <c r="R335" s="301">
        <v>0</v>
      </c>
      <c r="S335" s="301">
        <v>0</v>
      </c>
      <c r="T335" s="301">
        <v>0</v>
      </c>
      <c r="U335" s="301">
        <v>0</v>
      </c>
      <c r="V335" s="301">
        <v>0</v>
      </c>
      <c r="W335" s="301">
        <v>0</v>
      </c>
      <c r="X335" s="301">
        <v>0</v>
      </c>
      <c r="Y335" s="301">
        <v>0</v>
      </c>
      <c r="Z335" s="301">
        <v>0</v>
      </c>
      <c r="AA335" s="301">
        <v>0</v>
      </c>
      <c r="AB335" s="303">
        <v>2020</v>
      </c>
    </row>
    <row r="336" spans="1:28" ht="35.25" customHeight="1" x14ac:dyDescent="0.5">
      <c r="A336">
        <v>1</v>
      </c>
      <c r="B336" s="80">
        <f>SUBTOTAL(103,$A$9:A336)</f>
        <v>325</v>
      </c>
      <c r="C336" s="300" t="s">
        <v>2373</v>
      </c>
      <c r="D336" s="296">
        <f t="shared" si="10"/>
        <v>225772</v>
      </c>
      <c r="E336" s="301">
        <v>0</v>
      </c>
      <c r="F336" s="301">
        <v>0</v>
      </c>
      <c r="G336" s="301">
        <v>0</v>
      </c>
      <c r="H336" s="301">
        <v>0</v>
      </c>
      <c r="I336" s="301">
        <v>0</v>
      </c>
      <c r="J336" s="301">
        <v>0</v>
      </c>
      <c r="K336" s="302">
        <v>0</v>
      </c>
      <c r="L336" s="301">
        <v>0</v>
      </c>
      <c r="M336" s="301">
        <v>0</v>
      </c>
      <c r="N336" s="301">
        <v>225772</v>
      </c>
      <c r="O336" s="301">
        <v>0</v>
      </c>
      <c r="P336" s="301">
        <v>0</v>
      </c>
      <c r="Q336" s="301">
        <v>0</v>
      </c>
      <c r="R336" s="301">
        <v>0</v>
      </c>
      <c r="S336" s="301">
        <v>0</v>
      </c>
      <c r="T336" s="301">
        <v>0</v>
      </c>
      <c r="U336" s="301">
        <v>0</v>
      </c>
      <c r="V336" s="301">
        <v>0</v>
      </c>
      <c r="W336" s="301">
        <v>0</v>
      </c>
      <c r="X336" s="301">
        <v>0</v>
      </c>
      <c r="Y336" s="301">
        <v>0</v>
      </c>
      <c r="Z336" s="301">
        <v>0</v>
      </c>
      <c r="AA336" s="301">
        <v>0</v>
      </c>
      <c r="AB336" s="303">
        <v>2020</v>
      </c>
    </row>
    <row r="337" spans="1:28" ht="35.25" customHeight="1" x14ac:dyDescent="0.5">
      <c r="A337">
        <v>1</v>
      </c>
      <c r="B337" s="80">
        <f>SUBTOTAL(103,$A$9:A337)</f>
        <v>326</v>
      </c>
      <c r="C337" s="300" t="s">
        <v>2374</v>
      </c>
      <c r="D337" s="296">
        <f t="shared" si="10"/>
        <v>611554.78</v>
      </c>
      <c r="E337" s="301">
        <v>0</v>
      </c>
      <c r="F337" s="301">
        <v>0</v>
      </c>
      <c r="G337" s="301">
        <v>0</v>
      </c>
      <c r="H337" s="301">
        <v>0</v>
      </c>
      <c r="I337" s="301">
        <v>0</v>
      </c>
      <c r="J337" s="301">
        <v>0</v>
      </c>
      <c r="K337" s="302">
        <v>0</v>
      </c>
      <c r="L337" s="301">
        <v>0</v>
      </c>
      <c r="M337" s="301">
        <v>0</v>
      </c>
      <c r="N337" s="301">
        <v>0</v>
      </c>
      <c r="O337" s="301">
        <v>611554.78</v>
      </c>
      <c r="P337" s="301">
        <v>0</v>
      </c>
      <c r="Q337" s="301">
        <v>0</v>
      </c>
      <c r="R337" s="301">
        <v>0</v>
      </c>
      <c r="S337" s="301">
        <v>0</v>
      </c>
      <c r="T337" s="301">
        <v>0</v>
      </c>
      <c r="U337" s="301">
        <v>0</v>
      </c>
      <c r="V337" s="301">
        <v>0</v>
      </c>
      <c r="W337" s="301">
        <v>0</v>
      </c>
      <c r="X337" s="301">
        <v>0</v>
      </c>
      <c r="Y337" s="301">
        <v>0</v>
      </c>
      <c r="Z337" s="301">
        <v>0</v>
      </c>
      <c r="AA337" s="301">
        <v>0</v>
      </c>
      <c r="AB337" s="303">
        <v>2020</v>
      </c>
    </row>
    <row r="338" spans="1:28" ht="35.25" customHeight="1" x14ac:dyDescent="0.5">
      <c r="A338">
        <v>1</v>
      </c>
      <c r="B338" s="80">
        <f>SUBTOTAL(103,$A$9:A338)</f>
        <v>327</v>
      </c>
      <c r="C338" s="300" t="s">
        <v>1940</v>
      </c>
      <c r="D338" s="296">
        <f t="shared" si="10"/>
        <v>1642029.6</v>
      </c>
      <c r="E338" s="301">
        <v>0</v>
      </c>
      <c r="F338" s="301">
        <v>0</v>
      </c>
      <c r="G338" s="301">
        <v>721737.6</v>
      </c>
      <c r="H338" s="301">
        <v>0</v>
      </c>
      <c r="I338" s="301">
        <v>0</v>
      </c>
      <c r="J338" s="301">
        <v>0</v>
      </c>
      <c r="K338" s="302">
        <v>0</v>
      </c>
      <c r="L338" s="301">
        <v>0</v>
      </c>
      <c r="M338" s="301">
        <v>920292</v>
      </c>
      <c r="N338" s="301">
        <v>0</v>
      </c>
      <c r="O338" s="301">
        <v>0</v>
      </c>
      <c r="P338" s="301">
        <v>0</v>
      </c>
      <c r="Q338" s="301">
        <v>0</v>
      </c>
      <c r="R338" s="301">
        <v>0</v>
      </c>
      <c r="S338" s="301">
        <v>0</v>
      </c>
      <c r="T338" s="301">
        <v>0</v>
      </c>
      <c r="U338" s="301">
        <v>0</v>
      </c>
      <c r="V338" s="301">
        <v>0</v>
      </c>
      <c r="W338" s="301">
        <v>0</v>
      </c>
      <c r="X338" s="301">
        <v>0</v>
      </c>
      <c r="Y338" s="301">
        <v>0</v>
      </c>
      <c r="Z338" s="301">
        <v>0</v>
      </c>
      <c r="AA338" s="301">
        <v>0</v>
      </c>
      <c r="AB338" s="303">
        <v>2020</v>
      </c>
    </row>
    <row r="339" spans="1:28" ht="35.25" customHeight="1" x14ac:dyDescent="0.5">
      <c r="A339">
        <v>1</v>
      </c>
      <c r="B339" s="80">
        <f>SUBTOTAL(103,$A$9:A339)</f>
        <v>328</v>
      </c>
      <c r="C339" s="300" t="s">
        <v>1941</v>
      </c>
      <c r="D339" s="296">
        <f t="shared" si="10"/>
        <v>1680000</v>
      </c>
      <c r="E339" s="301">
        <v>0</v>
      </c>
      <c r="F339" s="301">
        <v>0</v>
      </c>
      <c r="G339" s="301">
        <v>1680000</v>
      </c>
      <c r="H339" s="301">
        <v>0</v>
      </c>
      <c r="I339" s="301">
        <v>0</v>
      </c>
      <c r="J339" s="301">
        <v>0</v>
      </c>
      <c r="K339" s="302">
        <v>0</v>
      </c>
      <c r="L339" s="301">
        <v>0</v>
      </c>
      <c r="M339" s="301">
        <v>0</v>
      </c>
      <c r="N339" s="301">
        <v>0</v>
      </c>
      <c r="O339" s="301">
        <v>0</v>
      </c>
      <c r="P339" s="301">
        <v>0</v>
      </c>
      <c r="Q339" s="301">
        <v>0</v>
      </c>
      <c r="R339" s="301">
        <v>0</v>
      </c>
      <c r="S339" s="301">
        <v>0</v>
      </c>
      <c r="T339" s="301">
        <v>0</v>
      </c>
      <c r="U339" s="301">
        <v>0</v>
      </c>
      <c r="V339" s="301">
        <v>0</v>
      </c>
      <c r="W339" s="301">
        <v>0</v>
      </c>
      <c r="X339" s="301">
        <v>0</v>
      </c>
      <c r="Y339" s="301">
        <v>0</v>
      </c>
      <c r="Z339" s="301">
        <v>0</v>
      </c>
      <c r="AA339" s="301">
        <v>0</v>
      </c>
      <c r="AB339" s="303">
        <v>2020</v>
      </c>
    </row>
    <row r="340" spans="1:28" ht="35.25" customHeight="1" x14ac:dyDescent="0.5">
      <c r="A340">
        <v>1</v>
      </c>
      <c r="B340" s="80">
        <f>SUBTOTAL(103,$A$9:A340)</f>
        <v>329</v>
      </c>
      <c r="C340" s="300" t="s">
        <v>1942</v>
      </c>
      <c r="D340" s="296">
        <f t="shared" si="10"/>
        <v>1112945</v>
      </c>
      <c r="E340" s="301">
        <v>0</v>
      </c>
      <c r="F340" s="301">
        <v>0</v>
      </c>
      <c r="G340" s="301">
        <v>0</v>
      </c>
      <c r="H340" s="301">
        <v>180729</v>
      </c>
      <c r="I340" s="301">
        <v>0</v>
      </c>
      <c r="J340" s="301">
        <v>0</v>
      </c>
      <c r="K340" s="302">
        <v>0</v>
      </c>
      <c r="L340" s="301">
        <v>0</v>
      </c>
      <c r="M340" s="301">
        <v>932216</v>
      </c>
      <c r="N340" s="301">
        <v>0</v>
      </c>
      <c r="O340" s="301">
        <v>0</v>
      </c>
      <c r="P340" s="301">
        <v>0</v>
      </c>
      <c r="Q340" s="301">
        <v>0</v>
      </c>
      <c r="R340" s="301">
        <v>0</v>
      </c>
      <c r="S340" s="301">
        <v>0</v>
      </c>
      <c r="T340" s="301">
        <v>0</v>
      </c>
      <c r="U340" s="301">
        <v>0</v>
      </c>
      <c r="V340" s="301">
        <v>0</v>
      </c>
      <c r="W340" s="301">
        <v>0</v>
      </c>
      <c r="X340" s="301">
        <v>0</v>
      </c>
      <c r="Y340" s="301">
        <v>0</v>
      </c>
      <c r="Z340" s="301">
        <v>0</v>
      </c>
      <c r="AA340" s="301">
        <v>0</v>
      </c>
      <c r="AB340" s="303">
        <v>2020</v>
      </c>
    </row>
    <row r="341" spans="1:28" ht="35.25" customHeight="1" x14ac:dyDescent="0.5">
      <c r="A341">
        <v>1</v>
      </c>
      <c r="B341" s="80">
        <f>SUBTOTAL(103,$A$9:A341)</f>
        <v>330</v>
      </c>
      <c r="C341" s="300" t="s">
        <v>1943</v>
      </c>
      <c r="D341" s="296">
        <f t="shared" si="10"/>
        <v>202793.01</v>
      </c>
      <c r="E341" s="301">
        <v>0</v>
      </c>
      <c r="F341" s="301">
        <v>0</v>
      </c>
      <c r="G341" s="301">
        <v>0</v>
      </c>
      <c r="H341" s="301">
        <v>0</v>
      </c>
      <c r="I341" s="301">
        <v>0</v>
      </c>
      <c r="J341" s="301">
        <v>0</v>
      </c>
      <c r="K341" s="302">
        <v>0</v>
      </c>
      <c r="L341" s="301">
        <v>0</v>
      </c>
      <c r="M341" s="301">
        <v>0</v>
      </c>
      <c r="N341" s="301">
        <v>0</v>
      </c>
      <c r="O341" s="301">
        <v>0</v>
      </c>
      <c r="P341" s="301">
        <v>202793.01</v>
      </c>
      <c r="Q341" s="301">
        <v>0</v>
      </c>
      <c r="R341" s="301">
        <v>0</v>
      </c>
      <c r="S341" s="301">
        <v>0</v>
      </c>
      <c r="T341" s="301">
        <v>0</v>
      </c>
      <c r="U341" s="301">
        <v>0</v>
      </c>
      <c r="V341" s="301">
        <v>0</v>
      </c>
      <c r="W341" s="301">
        <v>0</v>
      </c>
      <c r="X341" s="301">
        <v>0</v>
      </c>
      <c r="Y341" s="301">
        <v>0</v>
      </c>
      <c r="Z341" s="301">
        <v>0</v>
      </c>
      <c r="AA341" s="301">
        <v>0</v>
      </c>
      <c r="AB341" s="303">
        <v>2020</v>
      </c>
    </row>
    <row r="342" spans="1:28" ht="35.25" customHeight="1" x14ac:dyDescent="0.5">
      <c r="A342">
        <v>1</v>
      </c>
      <c r="B342" s="80">
        <f>SUBTOTAL(103,$A$9:A342)</f>
        <v>331</v>
      </c>
      <c r="C342" s="300" t="s">
        <v>2375</v>
      </c>
      <c r="D342" s="296">
        <f t="shared" si="10"/>
        <v>384804</v>
      </c>
      <c r="E342" s="301">
        <v>0</v>
      </c>
      <c r="F342" s="301">
        <v>0</v>
      </c>
      <c r="G342" s="301">
        <v>0</v>
      </c>
      <c r="H342" s="301">
        <v>384804</v>
      </c>
      <c r="I342" s="301">
        <v>0</v>
      </c>
      <c r="J342" s="301">
        <v>0</v>
      </c>
      <c r="K342" s="302">
        <v>0</v>
      </c>
      <c r="L342" s="301">
        <v>0</v>
      </c>
      <c r="M342" s="301">
        <v>0</v>
      </c>
      <c r="N342" s="301">
        <v>0</v>
      </c>
      <c r="O342" s="301">
        <v>0</v>
      </c>
      <c r="P342" s="301">
        <v>0</v>
      </c>
      <c r="Q342" s="301">
        <v>0</v>
      </c>
      <c r="R342" s="301">
        <v>0</v>
      </c>
      <c r="S342" s="301">
        <v>0</v>
      </c>
      <c r="T342" s="301">
        <v>0</v>
      </c>
      <c r="U342" s="301">
        <v>0</v>
      </c>
      <c r="V342" s="301">
        <v>0</v>
      </c>
      <c r="W342" s="301">
        <v>0</v>
      </c>
      <c r="X342" s="301">
        <v>0</v>
      </c>
      <c r="Y342" s="301">
        <v>0</v>
      </c>
      <c r="Z342" s="301">
        <v>0</v>
      </c>
      <c r="AA342" s="301">
        <v>0</v>
      </c>
      <c r="AB342" s="303">
        <v>2020</v>
      </c>
    </row>
    <row r="343" spans="1:28" ht="35.25" customHeight="1" x14ac:dyDescent="0.5">
      <c r="A343">
        <v>1</v>
      </c>
      <c r="B343" s="80">
        <f>SUBTOTAL(103,$A$9:A343)</f>
        <v>332</v>
      </c>
      <c r="C343" s="300" t="s">
        <v>2376</v>
      </c>
      <c r="D343" s="296">
        <f t="shared" si="10"/>
        <v>125000</v>
      </c>
      <c r="E343" s="301">
        <v>0</v>
      </c>
      <c r="F343" s="301">
        <v>0</v>
      </c>
      <c r="G343" s="301">
        <v>0</v>
      </c>
      <c r="H343" s="301">
        <v>0</v>
      </c>
      <c r="I343" s="301">
        <v>0</v>
      </c>
      <c r="J343" s="301">
        <v>0</v>
      </c>
      <c r="K343" s="302">
        <v>0</v>
      </c>
      <c r="L343" s="301">
        <v>0</v>
      </c>
      <c r="M343" s="301">
        <v>125000</v>
      </c>
      <c r="N343" s="301">
        <v>0</v>
      </c>
      <c r="O343" s="301">
        <v>0</v>
      </c>
      <c r="P343" s="301">
        <v>0</v>
      </c>
      <c r="Q343" s="301">
        <v>0</v>
      </c>
      <c r="R343" s="301">
        <v>0</v>
      </c>
      <c r="S343" s="301">
        <v>0</v>
      </c>
      <c r="T343" s="301">
        <v>0</v>
      </c>
      <c r="U343" s="301">
        <v>0</v>
      </c>
      <c r="V343" s="301">
        <v>0</v>
      </c>
      <c r="W343" s="301">
        <v>0</v>
      </c>
      <c r="X343" s="301">
        <v>0</v>
      </c>
      <c r="Y343" s="301">
        <v>0</v>
      </c>
      <c r="Z343" s="301">
        <v>0</v>
      </c>
      <c r="AA343" s="301">
        <v>0</v>
      </c>
      <c r="AB343" s="303">
        <v>2020</v>
      </c>
    </row>
    <row r="344" spans="1:28" ht="35.25" customHeight="1" x14ac:dyDescent="0.5">
      <c r="A344">
        <v>1</v>
      </c>
      <c r="B344" s="80">
        <f>SUBTOTAL(103,$A$9:A344)</f>
        <v>333</v>
      </c>
      <c r="C344" s="300" t="s">
        <v>2377</v>
      </c>
      <c r="D344" s="296">
        <f t="shared" si="10"/>
        <v>480000</v>
      </c>
      <c r="E344" s="301">
        <v>0</v>
      </c>
      <c r="F344" s="301">
        <v>0</v>
      </c>
      <c r="G344" s="301">
        <v>0</v>
      </c>
      <c r="H344" s="301">
        <v>0</v>
      </c>
      <c r="I344" s="301">
        <v>0</v>
      </c>
      <c r="J344" s="301">
        <v>0</v>
      </c>
      <c r="K344" s="302">
        <v>0</v>
      </c>
      <c r="L344" s="301">
        <v>0</v>
      </c>
      <c r="M344" s="301">
        <v>480000</v>
      </c>
      <c r="N344" s="301">
        <v>0</v>
      </c>
      <c r="O344" s="301">
        <v>0</v>
      </c>
      <c r="P344" s="301">
        <v>0</v>
      </c>
      <c r="Q344" s="301">
        <v>0</v>
      </c>
      <c r="R344" s="301">
        <v>0</v>
      </c>
      <c r="S344" s="301">
        <v>0</v>
      </c>
      <c r="T344" s="301">
        <v>0</v>
      </c>
      <c r="U344" s="301">
        <v>0</v>
      </c>
      <c r="V344" s="301">
        <v>0</v>
      </c>
      <c r="W344" s="301">
        <v>0</v>
      </c>
      <c r="X344" s="301">
        <v>0</v>
      </c>
      <c r="Y344" s="301">
        <v>0</v>
      </c>
      <c r="Z344" s="301">
        <v>0</v>
      </c>
      <c r="AA344" s="301">
        <v>0</v>
      </c>
      <c r="AB344" s="303">
        <v>2020</v>
      </c>
    </row>
    <row r="345" spans="1:28" ht="35.25" customHeight="1" x14ac:dyDescent="0.5">
      <c r="A345">
        <v>1</v>
      </c>
      <c r="B345" s="80">
        <f>SUBTOTAL(103,$A$9:A345)</f>
        <v>334</v>
      </c>
      <c r="C345" s="300" t="s">
        <v>1944</v>
      </c>
      <c r="D345" s="296">
        <f t="shared" si="10"/>
        <v>1721544</v>
      </c>
      <c r="E345" s="301">
        <v>0</v>
      </c>
      <c r="F345" s="301">
        <v>0</v>
      </c>
      <c r="G345" s="301">
        <v>0</v>
      </c>
      <c r="H345" s="301">
        <v>0</v>
      </c>
      <c r="I345" s="301">
        <v>0</v>
      </c>
      <c r="J345" s="301">
        <v>0</v>
      </c>
      <c r="K345" s="302">
        <v>0</v>
      </c>
      <c r="L345" s="301">
        <v>0</v>
      </c>
      <c r="M345" s="301">
        <v>0</v>
      </c>
      <c r="N345" s="301">
        <v>0</v>
      </c>
      <c r="O345" s="301">
        <f>1541544+180000</f>
        <v>1721544</v>
      </c>
      <c r="P345" s="301">
        <v>0</v>
      </c>
      <c r="Q345" s="301">
        <v>0</v>
      </c>
      <c r="R345" s="301">
        <v>0</v>
      </c>
      <c r="S345" s="301">
        <v>0</v>
      </c>
      <c r="T345" s="301">
        <v>0</v>
      </c>
      <c r="U345" s="301">
        <v>0</v>
      </c>
      <c r="V345" s="301">
        <v>0</v>
      </c>
      <c r="W345" s="301">
        <v>0</v>
      </c>
      <c r="X345" s="301">
        <v>0</v>
      </c>
      <c r="Y345" s="301">
        <v>0</v>
      </c>
      <c r="Z345" s="301">
        <v>0</v>
      </c>
      <c r="AA345" s="301">
        <v>0</v>
      </c>
      <c r="AB345" s="303">
        <v>2020</v>
      </c>
    </row>
    <row r="346" spans="1:28" ht="35.25" customHeight="1" x14ac:dyDescent="0.5">
      <c r="A346">
        <v>1</v>
      </c>
      <c r="B346" s="80">
        <f>SUBTOTAL(103,$A$9:A346)</f>
        <v>335</v>
      </c>
      <c r="C346" s="300" t="s">
        <v>1945</v>
      </c>
      <c r="D346" s="296">
        <f t="shared" si="10"/>
        <v>212766.8</v>
      </c>
      <c r="E346" s="301">
        <v>0</v>
      </c>
      <c r="F346" s="301">
        <v>0</v>
      </c>
      <c r="G346" s="301">
        <v>0</v>
      </c>
      <c r="H346" s="301">
        <v>0</v>
      </c>
      <c r="I346" s="301">
        <v>0</v>
      </c>
      <c r="J346" s="301">
        <v>0</v>
      </c>
      <c r="K346" s="302">
        <v>0</v>
      </c>
      <c r="L346" s="301">
        <v>0</v>
      </c>
      <c r="M346" s="301">
        <v>0</v>
      </c>
      <c r="N346" s="301">
        <v>0</v>
      </c>
      <c r="O346" s="301">
        <v>212766.8</v>
      </c>
      <c r="P346" s="301">
        <v>0</v>
      </c>
      <c r="Q346" s="301">
        <v>0</v>
      </c>
      <c r="R346" s="301">
        <v>0</v>
      </c>
      <c r="S346" s="301">
        <v>0</v>
      </c>
      <c r="T346" s="301">
        <v>0</v>
      </c>
      <c r="U346" s="301">
        <v>0</v>
      </c>
      <c r="V346" s="301">
        <v>0</v>
      </c>
      <c r="W346" s="301">
        <v>0</v>
      </c>
      <c r="X346" s="301">
        <v>0</v>
      </c>
      <c r="Y346" s="301">
        <v>0</v>
      </c>
      <c r="Z346" s="301">
        <v>0</v>
      </c>
      <c r="AA346" s="301">
        <v>0</v>
      </c>
      <c r="AB346" s="303">
        <v>2020</v>
      </c>
    </row>
    <row r="347" spans="1:28" ht="35.25" customHeight="1" x14ac:dyDescent="0.5">
      <c r="A347">
        <v>1</v>
      </c>
      <c r="B347" s="80">
        <f>SUBTOTAL(103,$A$9:A347)</f>
        <v>336</v>
      </c>
      <c r="C347" s="300" t="s">
        <v>2378</v>
      </c>
      <c r="D347" s="296">
        <f t="shared" si="10"/>
        <v>310000</v>
      </c>
      <c r="E347" s="301">
        <v>0</v>
      </c>
      <c r="F347" s="301">
        <v>0</v>
      </c>
      <c r="G347" s="301">
        <v>0</v>
      </c>
      <c r="H347" s="301">
        <v>0</v>
      </c>
      <c r="I347" s="301">
        <v>0</v>
      </c>
      <c r="J347" s="301">
        <v>0</v>
      </c>
      <c r="K347" s="302">
        <v>0</v>
      </c>
      <c r="L347" s="301">
        <v>0</v>
      </c>
      <c r="M347" s="301">
        <v>310000</v>
      </c>
      <c r="N347" s="301">
        <v>0</v>
      </c>
      <c r="O347" s="301">
        <v>0</v>
      </c>
      <c r="P347" s="301">
        <v>0</v>
      </c>
      <c r="Q347" s="301">
        <v>0</v>
      </c>
      <c r="R347" s="301">
        <v>0</v>
      </c>
      <c r="S347" s="301">
        <v>0</v>
      </c>
      <c r="T347" s="301">
        <v>0</v>
      </c>
      <c r="U347" s="301">
        <v>0</v>
      </c>
      <c r="V347" s="301">
        <v>0</v>
      </c>
      <c r="W347" s="301">
        <v>0</v>
      </c>
      <c r="X347" s="301">
        <v>0</v>
      </c>
      <c r="Y347" s="301">
        <v>0</v>
      </c>
      <c r="Z347" s="301">
        <v>0</v>
      </c>
      <c r="AA347" s="301">
        <v>0</v>
      </c>
      <c r="AB347" s="303">
        <v>2020</v>
      </c>
    </row>
    <row r="348" spans="1:28" ht="35.25" customHeight="1" x14ac:dyDescent="0.5">
      <c r="A348">
        <v>1</v>
      </c>
      <c r="B348" s="80">
        <f>SUBTOTAL(103,$A$9:A348)</f>
        <v>337</v>
      </c>
      <c r="C348" s="300" t="s">
        <v>1946</v>
      </c>
      <c r="D348" s="296">
        <f t="shared" si="10"/>
        <v>566760</v>
      </c>
      <c r="E348" s="301">
        <v>0</v>
      </c>
      <c r="F348" s="301">
        <v>0</v>
      </c>
      <c r="G348" s="301">
        <v>566760</v>
      </c>
      <c r="H348" s="301">
        <v>0</v>
      </c>
      <c r="I348" s="301">
        <v>0</v>
      </c>
      <c r="J348" s="301">
        <v>0</v>
      </c>
      <c r="K348" s="302">
        <v>0</v>
      </c>
      <c r="L348" s="301">
        <v>0</v>
      </c>
      <c r="M348" s="301">
        <v>0</v>
      </c>
      <c r="N348" s="301">
        <v>0</v>
      </c>
      <c r="O348" s="301">
        <v>0</v>
      </c>
      <c r="P348" s="301">
        <v>0</v>
      </c>
      <c r="Q348" s="301">
        <v>0</v>
      </c>
      <c r="R348" s="301">
        <v>0</v>
      </c>
      <c r="S348" s="301">
        <v>0</v>
      </c>
      <c r="T348" s="301">
        <v>0</v>
      </c>
      <c r="U348" s="301">
        <v>0</v>
      </c>
      <c r="V348" s="301">
        <v>0</v>
      </c>
      <c r="W348" s="301">
        <v>0</v>
      </c>
      <c r="X348" s="301">
        <v>0</v>
      </c>
      <c r="Y348" s="301">
        <v>0</v>
      </c>
      <c r="Z348" s="301">
        <v>0</v>
      </c>
      <c r="AA348" s="301">
        <v>0</v>
      </c>
      <c r="AB348" s="303">
        <v>2020</v>
      </c>
    </row>
    <row r="349" spans="1:28" ht="35.25" customHeight="1" x14ac:dyDescent="0.5">
      <c r="A349">
        <v>1</v>
      </c>
      <c r="B349" s="80">
        <f>SUBTOTAL(103,$A$9:A349)</f>
        <v>338</v>
      </c>
      <c r="C349" s="300" t="s">
        <v>1691</v>
      </c>
      <c r="D349" s="296">
        <f t="shared" si="10"/>
        <v>391550</v>
      </c>
      <c r="E349" s="301">
        <v>0</v>
      </c>
      <c r="F349" s="301">
        <v>0</v>
      </c>
      <c r="G349" s="301">
        <v>0</v>
      </c>
      <c r="H349" s="301">
        <v>0</v>
      </c>
      <c r="I349" s="301">
        <v>0</v>
      </c>
      <c r="J349" s="301">
        <v>0</v>
      </c>
      <c r="K349" s="302">
        <v>0</v>
      </c>
      <c r="L349" s="301">
        <v>0</v>
      </c>
      <c r="M349" s="301">
        <v>0</v>
      </c>
      <c r="N349" s="301">
        <v>0</v>
      </c>
      <c r="O349" s="301">
        <v>391550</v>
      </c>
      <c r="P349" s="301">
        <v>0</v>
      </c>
      <c r="Q349" s="301">
        <v>0</v>
      </c>
      <c r="R349" s="301">
        <v>0</v>
      </c>
      <c r="S349" s="301">
        <v>0</v>
      </c>
      <c r="T349" s="301">
        <v>0</v>
      </c>
      <c r="U349" s="301">
        <v>0</v>
      </c>
      <c r="V349" s="301">
        <v>0</v>
      </c>
      <c r="W349" s="301">
        <v>0</v>
      </c>
      <c r="X349" s="301">
        <v>0</v>
      </c>
      <c r="Y349" s="301">
        <v>0</v>
      </c>
      <c r="Z349" s="301">
        <v>0</v>
      </c>
      <c r="AA349" s="301">
        <v>0</v>
      </c>
      <c r="AB349" s="303">
        <v>2020</v>
      </c>
    </row>
    <row r="350" spans="1:28" ht="35.25" customHeight="1" x14ac:dyDescent="0.5">
      <c r="A350">
        <v>1</v>
      </c>
      <c r="B350" s="80">
        <f>SUBTOTAL(103,$A$9:A350)</f>
        <v>339</v>
      </c>
      <c r="C350" s="300" t="s">
        <v>2223</v>
      </c>
      <c r="D350" s="296">
        <f t="shared" si="10"/>
        <v>1569463</v>
      </c>
      <c r="E350" s="301">
        <v>0</v>
      </c>
      <c r="F350" s="301">
        <v>0</v>
      </c>
      <c r="G350" s="301">
        <v>0</v>
      </c>
      <c r="H350" s="301">
        <v>0</v>
      </c>
      <c r="I350" s="301">
        <v>0</v>
      </c>
      <c r="J350" s="301">
        <v>0</v>
      </c>
      <c r="K350" s="302">
        <v>0</v>
      </c>
      <c r="L350" s="301">
        <v>0</v>
      </c>
      <c r="M350" s="301">
        <v>1569463</v>
      </c>
      <c r="N350" s="301">
        <v>0</v>
      </c>
      <c r="O350" s="301">
        <v>0</v>
      </c>
      <c r="P350" s="301">
        <v>0</v>
      </c>
      <c r="Q350" s="301">
        <v>0</v>
      </c>
      <c r="R350" s="301">
        <v>0</v>
      </c>
      <c r="S350" s="301">
        <v>0</v>
      </c>
      <c r="T350" s="301">
        <v>0</v>
      </c>
      <c r="U350" s="301">
        <v>0</v>
      </c>
      <c r="V350" s="301">
        <v>0</v>
      </c>
      <c r="W350" s="301">
        <v>0</v>
      </c>
      <c r="X350" s="301">
        <v>0</v>
      </c>
      <c r="Y350" s="301">
        <v>0</v>
      </c>
      <c r="Z350" s="301">
        <v>0</v>
      </c>
      <c r="AA350" s="301">
        <v>0</v>
      </c>
      <c r="AB350" s="303">
        <v>2020</v>
      </c>
    </row>
    <row r="351" spans="1:28" ht="35.25" customHeight="1" x14ac:dyDescent="0.5">
      <c r="A351">
        <v>1</v>
      </c>
      <c r="B351" s="80">
        <f>SUBTOTAL(103,$A$9:A351)</f>
        <v>340</v>
      </c>
      <c r="C351" s="300" t="s">
        <v>2607</v>
      </c>
      <c r="D351" s="296">
        <f t="shared" si="10"/>
        <v>629115</v>
      </c>
      <c r="E351" s="301">
        <v>0</v>
      </c>
      <c r="F351" s="301">
        <v>0</v>
      </c>
      <c r="G351" s="301">
        <v>0</v>
      </c>
      <c r="H351" s="301">
        <v>0</v>
      </c>
      <c r="I351" s="301">
        <v>0</v>
      </c>
      <c r="J351" s="301">
        <v>0</v>
      </c>
      <c r="K351" s="302">
        <v>0</v>
      </c>
      <c r="L351" s="301">
        <v>0</v>
      </c>
      <c r="M351" s="301">
        <v>629115</v>
      </c>
      <c r="N351" s="301">
        <v>0</v>
      </c>
      <c r="O351" s="301">
        <v>0</v>
      </c>
      <c r="P351" s="301">
        <v>0</v>
      </c>
      <c r="Q351" s="301">
        <v>0</v>
      </c>
      <c r="R351" s="301">
        <v>0</v>
      </c>
      <c r="S351" s="301">
        <v>0</v>
      </c>
      <c r="T351" s="301">
        <v>0</v>
      </c>
      <c r="U351" s="301">
        <v>0</v>
      </c>
      <c r="V351" s="301">
        <v>0</v>
      </c>
      <c r="W351" s="301">
        <v>0</v>
      </c>
      <c r="X351" s="301">
        <v>0</v>
      </c>
      <c r="Y351" s="301">
        <v>0</v>
      </c>
      <c r="Z351" s="301">
        <v>0</v>
      </c>
      <c r="AA351" s="301">
        <v>0</v>
      </c>
      <c r="AB351" s="303">
        <v>2020</v>
      </c>
    </row>
    <row r="352" spans="1:28" ht="35.25" customHeight="1" x14ac:dyDescent="0.5">
      <c r="A352">
        <v>1</v>
      </c>
      <c r="B352" s="80">
        <f>SUBTOTAL(103,$A$9:A352)</f>
        <v>341</v>
      </c>
      <c r="C352" s="300" t="s">
        <v>2705</v>
      </c>
      <c r="D352" s="296">
        <f t="shared" si="10"/>
        <v>1592930.8</v>
      </c>
      <c r="E352" s="301">
        <v>0</v>
      </c>
      <c r="F352" s="301">
        <v>0</v>
      </c>
      <c r="G352" s="301">
        <v>0</v>
      </c>
      <c r="H352" s="301">
        <v>0</v>
      </c>
      <c r="I352" s="301">
        <v>764726</v>
      </c>
      <c r="J352" s="301">
        <v>0</v>
      </c>
      <c r="K352" s="302">
        <v>0</v>
      </c>
      <c r="L352" s="301">
        <v>0</v>
      </c>
      <c r="M352" s="301">
        <v>828204.8</v>
      </c>
      <c r="N352" s="301">
        <v>0</v>
      </c>
      <c r="O352" s="301">
        <v>0</v>
      </c>
      <c r="P352" s="301">
        <v>0</v>
      </c>
      <c r="Q352" s="301">
        <v>0</v>
      </c>
      <c r="R352" s="301">
        <v>0</v>
      </c>
      <c r="S352" s="301">
        <v>0</v>
      </c>
      <c r="T352" s="301">
        <v>0</v>
      </c>
      <c r="U352" s="301">
        <v>0</v>
      </c>
      <c r="V352" s="301">
        <v>0</v>
      </c>
      <c r="W352" s="301">
        <v>0</v>
      </c>
      <c r="X352" s="301">
        <v>0</v>
      </c>
      <c r="Y352" s="301">
        <v>0</v>
      </c>
      <c r="Z352" s="301">
        <v>0</v>
      </c>
      <c r="AA352" s="301">
        <v>0</v>
      </c>
      <c r="AB352" s="303">
        <v>2020</v>
      </c>
    </row>
    <row r="353" spans="1:28" ht="35.25" customHeight="1" x14ac:dyDescent="0.5">
      <c r="A353">
        <v>1</v>
      </c>
      <c r="B353" s="80">
        <f>SUBTOTAL(103,$A$9:A353)</f>
        <v>342</v>
      </c>
      <c r="C353" s="300" t="s">
        <v>2706</v>
      </c>
      <c r="D353" s="296">
        <f t="shared" si="10"/>
        <v>1741897.9</v>
      </c>
      <c r="E353" s="301">
        <v>0</v>
      </c>
      <c r="F353" s="301">
        <v>0</v>
      </c>
      <c r="G353" s="301">
        <v>0</v>
      </c>
      <c r="H353" s="301">
        <v>0</v>
      </c>
      <c r="I353" s="301">
        <v>0</v>
      </c>
      <c r="J353" s="301">
        <v>0</v>
      </c>
      <c r="K353" s="302">
        <v>0</v>
      </c>
      <c r="L353" s="301">
        <v>0</v>
      </c>
      <c r="M353" s="301">
        <v>663514.9</v>
      </c>
      <c r="N353" s="301">
        <v>0</v>
      </c>
      <c r="O353" s="301">
        <v>1078383</v>
      </c>
      <c r="P353" s="301">
        <v>0</v>
      </c>
      <c r="Q353" s="301">
        <v>0</v>
      </c>
      <c r="R353" s="301">
        <v>0</v>
      </c>
      <c r="S353" s="301">
        <v>0</v>
      </c>
      <c r="T353" s="301">
        <v>0</v>
      </c>
      <c r="U353" s="301">
        <v>0</v>
      </c>
      <c r="V353" s="301">
        <v>0</v>
      </c>
      <c r="W353" s="301">
        <v>0</v>
      </c>
      <c r="X353" s="301">
        <v>0</v>
      </c>
      <c r="Y353" s="301">
        <v>0</v>
      </c>
      <c r="Z353" s="301">
        <v>0</v>
      </c>
      <c r="AA353" s="301">
        <v>0</v>
      </c>
      <c r="AB353" s="303">
        <v>2020</v>
      </c>
    </row>
    <row r="354" spans="1:28" ht="35.25" customHeight="1" x14ac:dyDescent="0.5">
      <c r="A354">
        <v>1</v>
      </c>
      <c r="B354" s="80">
        <f>SUBTOTAL(103,$A$9:A354)</f>
        <v>343</v>
      </c>
      <c r="C354" s="300" t="s">
        <v>2707</v>
      </c>
      <c r="D354" s="296">
        <f t="shared" si="10"/>
        <v>604000</v>
      </c>
      <c r="E354" s="301">
        <v>0</v>
      </c>
      <c r="F354" s="301">
        <v>0</v>
      </c>
      <c r="G354" s="301">
        <v>0</v>
      </c>
      <c r="H354" s="301">
        <v>0</v>
      </c>
      <c r="I354" s="301">
        <v>604000</v>
      </c>
      <c r="J354" s="301">
        <v>0</v>
      </c>
      <c r="K354" s="302">
        <v>0</v>
      </c>
      <c r="L354" s="301">
        <v>0</v>
      </c>
      <c r="M354" s="301">
        <v>0</v>
      </c>
      <c r="N354" s="301">
        <v>0</v>
      </c>
      <c r="O354" s="301">
        <v>0</v>
      </c>
      <c r="P354" s="301">
        <v>0</v>
      </c>
      <c r="Q354" s="301">
        <v>0</v>
      </c>
      <c r="R354" s="301">
        <v>0</v>
      </c>
      <c r="S354" s="301">
        <v>0</v>
      </c>
      <c r="T354" s="301">
        <v>0</v>
      </c>
      <c r="U354" s="301">
        <v>0</v>
      </c>
      <c r="V354" s="301">
        <v>0</v>
      </c>
      <c r="W354" s="301">
        <v>0</v>
      </c>
      <c r="X354" s="301">
        <v>0</v>
      </c>
      <c r="Y354" s="301">
        <v>0</v>
      </c>
      <c r="Z354" s="301">
        <v>0</v>
      </c>
      <c r="AA354" s="301">
        <v>0</v>
      </c>
      <c r="AB354" s="303">
        <v>2020</v>
      </c>
    </row>
    <row r="355" spans="1:28" ht="35.25" customHeight="1" x14ac:dyDescent="0.5">
      <c r="A355">
        <v>1</v>
      </c>
      <c r="B355" s="80">
        <f>SUBTOTAL(103,$A$9:A355)</f>
        <v>344</v>
      </c>
      <c r="C355" s="300" t="s">
        <v>2976</v>
      </c>
      <c r="D355" s="296">
        <f t="shared" si="10"/>
        <v>1534258.8</v>
      </c>
      <c r="E355" s="301">
        <v>0</v>
      </c>
      <c r="F355" s="301">
        <v>0</v>
      </c>
      <c r="G355" s="301">
        <v>0</v>
      </c>
      <c r="H355" s="301">
        <v>0</v>
      </c>
      <c r="I355" s="301">
        <v>0</v>
      </c>
      <c r="J355" s="301">
        <v>0</v>
      </c>
      <c r="K355" s="302">
        <v>0</v>
      </c>
      <c r="L355" s="301">
        <v>0</v>
      </c>
      <c r="M355" s="301">
        <v>1534258.8</v>
      </c>
      <c r="N355" s="301">
        <v>0</v>
      </c>
      <c r="O355" s="301">
        <v>0</v>
      </c>
      <c r="P355" s="301">
        <v>0</v>
      </c>
      <c r="Q355" s="301">
        <v>0</v>
      </c>
      <c r="R355" s="301">
        <v>0</v>
      </c>
      <c r="S355" s="301">
        <v>0</v>
      </c>
      <c r="T355" s="301">
        <v>0</v>
      </c>
      <c r="U355" s="301">
        <v>0</v>
      </c>
      <c r="V355" s="301">
        <v>0</v>
      </c>
      <c r="W355" s="301">
        <v>0</v>
      </c>
      <c r="X355" s="301">
        <v>0</v>
      </c>
      <c r="Y355" s="301">
        <v>0</v>
      </c>
      <c r="Z355" s="301">
        <v>0</v>
      </c>
      <c r="AA355" s="301">
        <v>0</v>
      </c>
      <c r="AB355" s="303" t="s">
        <v>2977</v>
      </c>
    </row>
    <row r="356" spans="1:28" ht="35.25" customHeight="1" x14ac:dyDescent="0.5">
      <c r="A356">
        <v>1</v>
      </c>
      <c r="B356" s="80">
        <f>SUBTOTAL(103,$A$9:A356)</f>
        <v>345</v>
      </c>
      <c r="C356" s="300" t="s">
        <v>3540</v>
      </c>
      <c r="D356" s="296">
        <f t="shared" si="10"/>
        <v>535826.48</v>
      </c>
      <c r="E356" s="301">
        <v>0</v>
      </c>
      <c r="F356" s="301">
        <v>0</v>
      </c>
      <c r="G356" s="301">
        <v>0</v>
      </c>
      <c r="H356" s="301">
        <v>0</v>
      </c>
      <c r="I356" s="301">
        <v>0</v>
      </c>
      <c r="J356" s="301">
        <v>0</v>
      </c>
      <c r="K356" s="302">
        <v>0</v>
      </c>
      <c r="L356" s="301">
        <v>0</v>
      </c>
      <c r="M356" s="301">
        <v>0</v>
      </c>
      <c r="N356" s="301">
        <v>0</v>
      </c>
      <c r="O356" s="301">
        <v>0</v>
      </c>
      <c r="P356" s="301">
        <v>535826.48</v>
      </c>
      <c r="Q356" s="301">
        <v>0</v>
      </c>
      <c r="R356" s="301">
        <v>0</v>
      </c>
      <c r="S356" s="301">
        <v>0</v>
      </c>
      <c r="T356" s="301">
        <v>0</v>
      </c>
      <c r="U356" s="301">
        <v>0</v>
      </c>
      <c r="V356" s="301">
        <v>0</v>
      </c>
      <c r="W356" s="301">
        <v>0</v>
      </c>
      <c r="X356" s="301">
        <v>0</v>
      </c>
      <c r="Y356" s="301">
        <v>0</v>
      </c>
      <c r="Z356" s="301">
        <v>0</v>
      </c>
      <c r="AA356" s="301">
        <v>0</v>
      </c>
      <c r="AB356" s="303">
        <v>2020</v>
      </c>
    </row>
    <row r="357" spans="1:28" ht="35.25" customHeight="1" x14ac:dyDescent="0.5">
      <c r="A357">
        <v>1</v>
      </c>
      <c r="B357" s="80">
        <f>SUBTOTAL(103,$A$9:A357)</f>
        <v>346</v>
      </c>
      <c r="C357" s="300" t="s">
        <v>2224</v>
      </c>
      <c r="D357" s="296">
        <f t="shared" si="10"/>
        <v>297000</v>
      </c>
      <c r="E357" s="301">
        <v>0</v>
      </c>
      <c r="F357" s="301">
        <v>0</v>
      </c>
      <c r="G357" s="301">
        <v>0</v>
      </c>
      <c r="H357" s="301">
        <v>0</v>
      </c>
      <c r="I357" s="301">
        <v>0</v>
      </c>
      <c r="J357" s="301">
        <v>0</v>
      </c>
      <c r="K357" s="302">
        <v>0</v>
      </c>
      <c r="L357" s="301">
        <v>0</v>
      </c>
      <c r="M357" s="301">
        <v>0</v>
      </c>
      <c r="N357" s="301">
        <v>297000</v>
      </c>
      <c r="O357" s="301">
        <v>0</v>
      </c>
      <c r="P357" s="301">
        <v>0</v>
      </c>
      <c r="Q357" s="301">
        <v>0</v>
      </c>
      <c r="R357" s="301">
        <v>0</v>
      </c>
      <c r="S357" s="301">
        <v>0</v>
      </c>
      <c r="T357" s="301">
        <v>0</v>
      </c>
      <c r="U357" s="301">
        <v>0</v>
      </c>
      <c r="V357" s="301">
        <v>0</v>
      </c>
      <c r="W357" s="301">
        <v>0</v>
      </c>
      <c r="X357" s="301">
        <v>0</v>
      </c>
      <c r="Y357" s="301">
        <v>0</v>
      </c>
      <c r="Z357" s="301">
        <v>0</v>
      </c>
      <c r="AA357" s="301">
        <v>0</v>
      </c>
      <c r="AB357" s="303">
        <v>2020</v>
      </c>
    </row>
    <row r="358" spans="1:28" ht="35.25" customHeight="1" x14ac:dyDescent="0.5">
      <c r="B358" s="294" t="s">
        <v>710</v>
      </c>
      <c r="C358" s="300"/>
      <c r="D358" s="296">
        <f t="shared" si="10"/>
        <v>127570546.29000002</v>
      </c>
      <c r="E358" s="296">
        <f t="shared" ref="E358:AA358" si="11">SUM(E359:E507)</f>
        <v>1384852.21</v>
      </c>
      <c r="F358" s="296">
        <f t="shared" si="11"/>
        <v>702173</v>
      </c>
      <c r="G358" s="296">
        <f t="shared" si="11"/>
        <v>5515664.8600000003</v>
      </c>
      <c r="H358" s="296">
        <f t="shared" si="11"/>
        <v>853696</v>
      </c>
      <c r="I358" s="296">
        <f t="shared" si="11"/>
        <v>1727276.42</v>
      </c>
      <c r="J358" s="296">
        <f t="shared" si="11"/>
        <v>0</v>
      </c>
      <c r="K358" s="297">
        <f t="shared" si="11"/>
        <v>18</v>
      </c>
      <c r="L358" s="296">
        <f t="shared" si="11"/>
        <v>35349534.560000002</v>
      </c>
      <c r="M358" s="296">
        <f t="shared" si="11"/>
        <v>44420066.25</v>
      </c>
      <c r="N358" s="296">
        <f t="shared" si="11"/>
        <v>0</v>
      </c>
      <c r="O358" s="296">
        <f t="shared" si="11"/>
        <v>36486121.49000001</v>
      </c>
      <c r="P358" s="296">
        <f t="shared" si="11"/>
        <v>1131161.5</v>
      </c>
      <c r="Q358" s="296">
        <f t="shared" si="11"/>
        <v>0</v>
      </c>
      <c r="R358" s="296">
        <f t="shared" si="11"/>
        <v>0</v>
      </c>
      <c r="S358" s="296">
        <f t="shared" si="11"/>
        <v>0</v>
      </c>
      <c r="T358" s="296">
        <f t="shared" si="11"/>
        <v>0</v>
      </c>
      <c r="U358" s="296">
        <f t="shared" si="11"/>
        <v>0</v>
      </c>
      <c r="V358" s="296">
        <f t="shared" si="11"/>
        <v>0</v>
      </c>
      <c r="W358" s="296">
        <f t="shared" si="11"/>
        <v>0</v>
      </c>
      <c r="X358" s="296">
        <f t="shared" si="11"/>
        <v>0</v>
      </c>
      <c r="Y358" s="296">
        <f t="shared" si="11"/>
        <v>0</v>
      </c>
      <c r="Z358" s="296">
        <f t="shared" si="11"/>
        <v>0</v>
      </c>
      <c r="AA358" s="296">
        <f t="shared" si="11"/>
        <v>0</v>
      </c>
      <c r="AB358" s="298" t="s">
        <v>835</v>
      </c>
    </row>
    <row r="359" spans="1:28" ht="35.25" customHeight="1" x14ac:dyDescent="0.5">
      <c r="A359">
        <v>1</v>
      </c>
      <c r="B359" s="80">
        <f>SUBTOTAL(103,$A$9:A359)</f>
        <v>347</v>
      </c>
      <c r="C359" s="300" t="s">
        <v>1692</v>
      </c>
      <c r="D359" s="296">
        <f t="shared" si="10"/>
        <v>523951</v>
      </c>
      <c r="E359" s="301">
        <v>0</v>
      </c>
      <c r="F359" s="301">
        <v>0</v>
      </c>
      <c r="G359" s="301">
        <v>0</v>
      </c>
      <c r="H359" s="301">
        <v>0</v>
      </c>
      <c r="I359" s="301">
        <v>0</v>
      </c>
      <c r="J359" s="301">
        <v>0</v>
      </c>
      <c r="K359" s="302">
        <v>0</v>
      </c>
      <c r="L359" s="301">
        <v>0</v>
      </c>
      <c r="M359" s="301">
        <v>523951</v>
      </c>
      <c r="N359" s="301">
        <v>0</v>
      </c>
      <c r="O359" s="301">
        <v>0</v>
      </c>
      <c r="P359" s="301">
        <v>0</v>
      </c>
      <c r="Q359" s="301">
        <v>0</v>
      </c>
      <c r="R359" s="301">
        <v>0</v>
      </c>
      <c r="S359" s="301">
        <v>0</v>
      </c>
      <c r="T359" s="301">
        <v>0</v>
      </c>
      <c r="U359" s="301">
        <v>0</v>
      </c>
      <c r="V359" s="301">
        <v>0</v>
      </c>
      <c r="W359" s="301">
        <v>0</v>
      </c>
      <c r="X359" s="301">
        <v>0</v>
      </c>
      <c r="Y359" s="301">
        <v>0</v>
      </c>
      <c r="Z359" s="301">
        <v>0</v>
      </c>
      <c r="AA359" s="301">
        <v>0</v>
      </c>
      <c r="AB359" s="303">
        <v>2020</v>
      </c>
    </row>
    <row r="360" spans="1:28" ht="35.25" customHeight="1" x14ac:dyDescent="0.5">
      <c r="A360">
        <v>1</v>
      </c>
      <c r="B360" s="80">
        <f>SUBTOTAL(103,$A$9:A360)</f>
        <v>348</v>
      </c>
      <c r="C360" s="300" t="s">
        <v>2379</v>
      </c>
      <c r="D360" s="296">
        <f t="shared" si="10"/>
        <v>2127359</v>
      </c>
      <c r="E360" s="301">
        <v>0</v>
      </c>
      <c r="F360" s="301">
        <v>0</v>
      </c>
      <c r="G360" s="301">
        <v>0</v>
      </c>
      <c r="H360" s="301">
        <v>0</v>
      </c>
      <c r="I360" s="301">
        <v>0</v>
      </c>
      <c r="J360" s="301">
        <v>0</v>
      </c>
      <c r="K360" s="302">
        <v>0</v>
      </c>
      <c r="L360" s="301">
        <v>0</v>
      </c>
      <c r="M360" s="301">
        <v>2127359</v>
      </c>
      <c r="N360" s="301">
        <v>0</v>
      </c>
      <c r="O360" s="301">
        <v>0</v>
      </c>
      <c r="P360" s="301">
        <v>0</v>
      </c>
      <c r="Q360" s="301">
        <v>0</v>
      </c>
      <c r="R360" s="301">
        <v>0</v>
      </c>
      <c r="S360" s="301">
        <v>0</v>
      </c>
      <c r="T360" s="301">
        <v>0</v>
      </c>
      <c r="U360" s="301">
        <v>0</v>
      </c>
      <c r="V360" s="301">
        <v>0</v>
      </c>
      <c r="W360" s="301">
        <v>0</v>
      </c>
      <c r="X360" s="301">
        <v>0</v>
      </c>
      <c r="Y360" s="301">
        <v>0</v>
      </c>
      <c r="Z360" s="301">
        <v>0</v>
      </c>
      <c r="AA360" s="301">
        <v>0</v>
      </c>
      <c r="AB360" s="303">
        <v>2020</v>
      </c>
    </row>
    <row r="361" spans="1:28" ht="35.25" customHeight="1" x14ac:dyDescent="0.5">
      <c r="A361">
        <v>1</v>
      </c>
      <c r="B361" s="80">
        <f>SUBTOTAL(103,$A$9:A361)</f>
        <v>349</v>
      </c>
      <c r="C361" s="300" t="s">
        <v>1693</v>
      </c>
      <c r="D361" s="296">
        <f t="shared" si="10"/>
        <v>1832821</v>
      </c>
      <c r="E361" s="301">
        <v>0</v>
      </c>
      <c r="F361" s="301">
        <v>0</v>
      </c>
      <c r="G361" s="301">
        <v>0</v>
      </c>
      <c r="H361" s="301">
        <v>0</v>
      </c>
      <c r="I361" s="301">
        <v>0</v>
      </c>
      <c r="J361" s="301">
        <v>0</v>
      </c>
      <c r="K361" s="302">
        <v>1</v>
      </c>
      <c r="L361" s="301">
        <v>1832821</v>
      </c>
      <c r="M361" s="301">
        <v>0</v>
      </c>
      <c r="N361" s="301">
        <v>0</v>
      </c>
      <c r="O361" s="301">
        <v>0</v>
      </c>
      <c r="P361" s="301">
        <v>0</v>
      </c>
      <c r="Q361" s="301">
        <v>0</v>
      </c>
      <c r="R361" s="301">
        <v>0</v>
      </c>
      <c r="S361" s="301">
        <v>0</v>
      </c>
      <c r="T361" s="301">
        <v>0</v>
      </c>
      <c r="U361" s="301">
        <v>0</v>
      </c>
      <c r="V361" s="301">
        <v>0</v>
      </c>
      <c r="W361" s="301">
        <v>0</v>
      </c>
      <c r="X361" s="301">
        <v>0</v>
      </c>
      <c r="Y361" s="301">
        <v>0</v>
      </c>
      <c r="Z361" s="301">
        <v>0</v>
      </c>
      <c r="AA361" s="301">
        <v>0</v>
      </c>
      <c r="AB361" s="303">
        <v>2020</v>
      </c>
    </row>
    <row r="362" spans="1:28" ht="35.25" customHeight="1" x14ac:dyDescent="0.5">
      <c r="A362">
        <v>1</v>
      </c>
      <c r="B362" s="80">
        <f>SUBTOTAL(103,$A$9:A362)</f>
        <v>350</v>
      </c>
      <c r="C362" s="300" t="s">
        <v>1694</v>
      </c>
      <c r="D362" s="296">
        <f t="shared" si="10"/>
        <v>1028728</v>
      </c>
      <c r="E362" s="301">
        <v>0</v>
      </c>
      <c r="F362" s="301">
        <v>0</v>
      </c>
      <c r="G362" s="301">
        <v>0</v>
      </c>
      <c r="H362" s="301">
        <v>0</v>
      </c>
      <c r="I362" s="301">
        <v>0</v>
      </c>
      <c r="J362" s="301">
        <v>0</v>
      </c>
      <c r="K362" s="302">
        <v>0</v>
      </c>
      <c r="L362" s="301">
        <v>0</v>
      </c>
      <c r="M362" s="301">
        <v>529458</v>
      </c>
      <c r="N362" s="301">
        <v>0</v>
      </c>
      <c r="O362" s="301">
        <v>499270</v>
      </c>
      <c r="P362" s="301">
        <v>0</v>
      </c>
      <c r="Q362" s="301">
        <v>0</v>
      </c>
      <c r="R362" s="301">
        <v>0</v>
      </c>
      <c r="S362" s="301">
        <v>0</v>
      </c>
      <c r="T362" s="301">
        <v>0</v>
      </c>
      <c r="U362" s="301">
        <v>0</v>
      </c>
      <c r="V362" s="301">
        <v>0</v>
      </c>
      <c r="W362" s="301">
        <v>0</v>
      </c>
      <c r="X362" s="301">
        <v>0</v>
      </c>
      <c r="Y362" s="301">
        <v>0</v>
      </c>
      <c r="Z362" s="301">
        <v>0</v>
      </c>
      <c r="AA362" s="301">
        <v>0</v>
      </c>
      <c r="AB362" s="303">
        <v>2020</v>
      </c>
    </row>
    <row r="363" spans="1:28" ht="35.25" customHeight="1" x14ac:dyDescent="0.5">
      <c r="A363">
        <v>1</v>
      </c>
      <c r="B363" s="80">
        <f>SUBTOTAL(103,$A$9:A363)</f>
        <v>351</v>
      </c>
      <c r="C363" s="300" t="s">
        <v>1695</v>
      </c>
      <c r="D363" s="296">
        <f t="shared" si="10"/>
        <v>1864325</v>
      </c>
      <c r="E363" s="301">
        <v>0</v>
      </c>
      <c r="F363" s="301">
        <v>0</v>
      </c>
      <c r="G363" s="301">
        <v>0</v>
      </c>
      <c r="H363" s="301">
        <v>0</v>
      </c>
      <c r="I363" s="301">
        <v>0</v>
      </c>
      <c r="J363" s="301">
        <v>0</v>
      </c>
      <c r="K363" s="302">
        <v>1</v>
      </c>
      <c r="L363" s="301">
        <f>559000+1305325</f>
        <v>1864325</v>
      </c>
      <c r="M363" s="301">
        <v>0</v>
      </c>
      <c r="N363" s="301">
        <v>0</v>
      </c>
      <c r="O363" s="301">
        <v>0</v>
      </c>
      <c r="P363" s="301">
        <v>0</v>
      </c>
      <c r="Q363" s="301">
        <v>0</v>
      </c>
      <c r="R363" s="301">
        <v>0</v>
      </c>
      <c r="S363" s="301">
        <v>0</v>
      </c>
      <c r="T363" s="301">
        <v>0</v>
      </c>
      <c r="U363" s="301">
        <v>0</v>
      </c>
      <c r="V363" s="301">
        <v>0</v>
      </c>
      <c r="W363" s="301">
        <v>0</v>
      </c>
      <c r="X363" s="301">
        <v>0</v>
      </c>
      <c r="Y363" s="301">
        <v>0</v>
      </c>
      <c r="Z363" s="301">
        <v>0</v>
      </c>
      <c r="AA363" s="301">
        <v>0</v>
      </c>
      <c r="AB363" s="303">
        <v>2020</v>
      </c>
    </row>
    <row r="364" spans="1:28" ht="35.25" customHeight="1" x14ac:dyDescent="0.5">
      <c r="A364">
        <v>1</v>
      </c>
      <c r="B364" s="80">
        <f>SUBTOTAL(103,$A$9:A364)</f>
        <v>352</v>
      </c>
      <c r="C364" s="300" t="s">
        <v>1696</v>
      </c>
      <c r="D364" s="296">
        <f t="shared" si="10"/>
        <v>120998</v>
      </c>
      <c r="E364" s="301">
        <v>0</v>
      </c>
      <c r="F364" s="301">
        <v>0</v>
      </c>
      <c r="G364" s="301">
        <v>0</v>
      </c>
      <c r="H364" s="301">
        <v>0</v>
      </c>
      <c r="I364" s="301">
        <v>0</v>
      </c>
      <c r="J364" s="301">
        <v>0</v>
      </c>
      <c r="K364" s="302">
        <v>0</v>
      </c>
      <c r="L364" s="301">
        <v>0</v>
      </c>
      <c r="M364" s="301">
        <v>0</v>
      </c>
      <c r="N364" s="301">
        <v>0</v>
      </c>
      <c r="O364" s="301">
        <v>120998</v>
      </c>
      <c r="P364" s="301">
        <v>0</v>
      </c>
      <c r="Q364" s="301">
        <v>0</v>
      </c>
      <c r="R364" s="301">
        <v>0</v>
      </c>
      <c r="S364" s="301">
        <v>0</v>
      </c>
      <c r="T364" s="301">
        <v>0</v>
      </c>
      <c r="U364" s="301">
        <v>0</v>
      </c>
      <c r="V364" s="301">
        <v>0</v>
      </c>
      <c r="W364" s="301">
        <v>0</v>
      </c>
      <c r="X364" s="301">
        <v>0</v>
      </c>
      <c r="Y364" s="301">
        <v>0</v>
      </c>
      <c r="Z364" s="301">
        <v>0</v>
      </c>
      <c r="AA364" s="301">
        <v>0</v>
      </c>
      <c r="AB364" s="303">
        <v>2020</v>
      </c>
    </row>
    <row r="365" spans="1:28" ht="35.25" customHeight="1" x14ac:dyDescent="0.5">
      <c r="A365">
        <v>1</v>
      </c>
      <c r="B365" s="80">
        <f>SUBTOTAL(103,$A$9:A365)</f>
        <v>353</v>
      </c>
      <c r="C365" s="300" t="s">
        <v>1697</v>
      </c>
      <c r="D365" s="296">
        <f t="shared" si="10"/>
        <v>320995</v>
      </c>
      <c r="E365" s="301">
        <v>0</v>
      </c>
      <c r="F365" s="301">
        <v>320995</v>
      </c>
      <c r="G365" s="301">
        <v>0</v>
      </c>
      <c r="H365" s="301">
        <v>0</v>
      </c>
      <c r="I365" s="301">
        <v>0</v>
      </c>
      <c r="J365" s="301">
        <v>0</v>
      </c>
      <c r="K365" s="302">
        <v>0</v>
      </c>
      <c r="L365" s="301">
        <v>0</v>
      </c>
      <c r="M365" s="301">
        <v>0</v>
      </c>
      <c r="N365" s="301">
        <v>0</v>
      </c>
      <c r="O365" s="301">
        <v>0</v>
      </c>
      <c r="P365" s="301">
        <v>0</v>
      </c>
      <c r="Q365" s="301">
        <v>0</v>
      </c>
      <c r="R365" s="301">
        <v>0</v>
      </c>
      <c r="S365" s="301">
        <v>0</v>
      </c>
      <c r="T365" s="301">
        <v>0</v>
      </c>
      <c r="U365" s="301">
        <v>0</v>
      </c>
      <c r="V365" s="301">
        <v>0</v>
      </c>
      <c r="W365" s="301">
        <v>0</v>
      </c>
      <c r="X365" s="301">
        <v>0</v>
      </c>
      <c r="Y365" s="301">
        <v>0</v>
      </c>
      <c r="Z365" s="301">
        <v>0</v>
      </c>
      <c r="AA365" s="301">
        <v>0</v>
      </c>
      <c r="AB365" s="303">
        <v>2020</v>
      </c>
    </row>
    <row r="366" spans="1:28" ht="35.25" customHeight="1" x14ac:dyDescent="0.5">
      <c r="A366">
        <v>1</v>
      </c>
      <c r="B366" s="80">
        <f>SUBTOTAL(103,$A$9:A366)</f>
        <v>354</v>
      </c>
      <c r="C366" s="300" t="s">
        <v>2380</v>
      </c>
      <c r="D366" s="296">
        <f t="shared" si="10"/>
        <v>54117</v>
      </c>
      <c r="E366" s="301">
        <v>0</v>
      </c>
      <c r="F366" s="301">
        <v>0</v>
      </c>
      <c r="G366" s="301">
        <v>0</v>
      </c>
      <c r="H366" s="301">
        <v>54117</v>
      </c>
      <c r="I366" s="301">
        <v>0</v>
      </c>
      <c r="J366" s="301">
        <v>0</v>
      </c>
      <c r="K366" s="302">
        <v>0</v>
      </c>
      <c r="L366" s="301">
        <v>0</v>
      </c>
      <c r="M366" s="301">
        <v>0</v>
      </c>
      <c r="N366" s="301">
        <v>0</v>
      </c>
      <c r="O366" s="301">
        <v>0</v>
      </c>
      <c r="P366" s="301">
        <v>0</v>
      </c>
      <c r="Q366" s="301">
        <v>0</v>
      </c>
      <c r="R366" s="301">
        <v>0</v>
      </c>
      <c r="S366" s="301">
        <v>0</v>
      </c>
      <c r="T366" s="301">
        <v>0</v>
      </c>
      <c r="U366" s="301">
        <v>0</v>
      </c>
      <c r="V366" s="301">
        <v>0</v>
      </c>
      <c r="W366" s="301">
        <v>0</v>
      </c>
      <c r="X366" s="301">
        <v>0</v>
      </c>
      <c r="Y366" s="301">
        <v>0</v>
      </c>
      <c r="Z366" s="301">
        <v>0</v>
      </c>
      <c r="AA366" s="301">
        <v>0</v>
      </c>
      <c r="AB366" s="303">
        <v>2020</v>
      </c>
    </row>
    <row r="367" spans="1:28" ht="35.25" customHeight="1" x14ac:dyDescent="0.5">
      <c r="A367">
        <v>1</v>
      </c>
      <c r="B367" s="80">
        <f>SUBTOTAL(103,$A$9:A367)</f>
        <v>355</v>
      </c>
      <c r="C367" s="300" t="s">
        <v>1698</v>
      </c>
      <c r="D367" s="296">
        <f t="shared" si="10"/>
        <v>1972978</v>
      </c>
      <c r="E367" s="301">
        <v>0</v>
      </c>
      <c r="F367" s="301">
        <v>0</v>
      </c>
      <c r="G367" s="301">
        <v>0</v>
      </c>
      <c r="H367" s="301">
        <v>0</v>
      </c>
      <c r="I367" s="301">
        <v>0</v>
      </c>
      <c r="J367" s="301">
        <v>0</v>
      </c>
      <c r="K367" s="302">
        <v>0</v>
      </c>
      <c r="L367" s="301">
        <v>0</v>
      </c>
      <c r="M367" s="301">
        <v>0</v>
      </c>
      <c r="N367" s="301">
        <v>0</v>
      </c>
      <c r="O367" s="301">
        <v>1972978</v>
      </c>
      <c r="P367" s="301">
        <v>0</v>
      </c>
      <c r="Q367" s="301">
        <v>0</v>
      </c>
      <c r="R367" s="301">
        <v>0</v>
      </c>
      <c r="S367" s="301">
        <v>0</v>
      </c>
      <c r="T367" s="301">
        <v>0</v>
      </c>
      <c r="U367" s="301">
        <v>0</v>
      </c>
      <c r="V367" s="301">
        <v>0</v>
      </c>
      <c r="W367" s="301">
        <v>0</v>
      </c>
      <c r="X367" s="301">
        <v>0</v>
      </c>
      <c r="Y367" s="301">
        <v>0</v>
      </c>
      <c r="Z367" s="301">
        <v>0</v>
      </c>
      <c r="AA367" s="301">
        <v>0</v>
      </c>
      <c r="AB367" s="303">
        <v>2020</v>
      </c>
    </row>
    <row r="368" spans="1:28" ht="35.25" customHeight="1" x14ac:dyDescent="0.5">
      <c r="A368">
        <v>1</v>
      </c>
      <c r="B368" s="80">
        <f>SUBTOTAL(103,$A$9:A368)</f>
        <v>356</v>
      </c>
      <c r="C368" s="300" t="s">
        <v>1699</v>
      </c>
      <c r="D368" s="296">
        <f t="shared" si="10"/>
        <v>5202748</v>
      </c>
      <c r="E368" s="301">
        <v>0</v>
      </c>
      <c r="F368" s="301">
        <v>0</v>
      </c>
      <c r="G368" s="301">
        <v>0</v>
      </c>
      <c r="H368" s="301">
        <v>0</v>
      </c>
      <c r="I368" s="301">
        <v>0</v>
      </c>
      <c r="J368" s="301">
        <v>0</v>
      </c>
      <c r="K368" s="302">
        <v>2</v>
      </c>
      <c r="L368" s="301">
        <f>2120417+2292000</f>
        <v>4412417</v>
      </c>
      <c r="M368" s="301">
        <v>790331</v>
      </c>
      <c r="N368" s="301">
        <v>0</v>
      </c>
      <c r="O368" s="301">
        <v>0</v>
      </c>
      <c r="P368" s="301">
        <v>0</v>
      </c>
      <c r="Q368" s="301">
        <v>0</v>
      </c>
      <c r="R368" s="301">
        <v>0</v>
      </c>
      <c r="S368" s="301">
        <v>0</v>
      </c>
      <c r="T368" s="301">
        <v>0</v>
      </c>
      <c r="U368" s="301">
        <v>0</v>
      </c>
      <c r="V368" s="301">
        <v>0</v>
      </c>
      <c r="W368" s="301">
        <v>0</v>
      </c>
      <c r="X368" s="301">
        <v>0</v>
      </c>
      <c r="Y368" s="301">
        <v>0</v>
      </c>
      <c r="Z368" s="301">
        <v>0</v>
      </c>
      <c r="AA368" s="301">
        <v>0</v>
      </c>
      <c r="AB368" s="303">
        <v>2020</v>
      </c>
    </row>
    <row r="369" spans="1:28" ht="35.25" customHeight="1" x14ac:dyDescent="0.5">
      <c r="A369">
        <v>1</v>
      </c>
      <c r="B369" s="80">
        <f>SUBTOTAL(103,$A$9:A369)</f>
        <v>357</v>
      </c>
      <c r="C369" s="300" t="s">
        <v>1700</v>
      </c>
      <c r="D369" s="296">
        <f t="shared" si="10"/>
        <v>2200000</v>
      </c>
      <c r="E369" s="301">
        <v>0</v>
      </c>
      <c r="F369" s="301">
        <v>0</v>
      </c>
      <c r="G369" s="301">
        <v>0</v>
      </c>
      <c r="H369" s="301">
        <v>0</v>
      </c>
      <c r="I369" s="301">
        <v>0</v>
      </c>
      <c r="J369" s="301">
        <v>0</v>
      </c>
      <c r="K369" s="302">
        <v>1</v>
      </c>
      <c r="L369" s="301">
        <v>2200000</v>
      </c>
      <c r="M369" s="301">
        <v>0</v>
      </c>
      <c r="N369" s="301">
        <v>0</v>
      </c>
      <c r="O369" s="301">
        <v>0</v>
      </c>
      <c r="P369" s="301">
        <v>0</v>
      </c>
      <c r="Q369" s="301">
        <v>0</v>
      </c>
      <c r="R369" s="301">
        <v>0</v>
      </c>
      <c r="S369" s="301">
        <v>0</v>
      </c>
      <c r="T369" s="301">
        <v>0</v>
      </c>
      <c r="U369" s="301">
        <v>0</v>
      </c>
      <c r="V369" s="301">
        <v>0</v>
      </c>
      <c r="W369" s="301">
        <v>0</v>
      </c>
      <c r="X369" s="301">
        <v>0</v>
      </c>
      <c r="Y369" s="301">
        <v>0</v>
      </c>
      <c r="Z369" s="301">
        <v>0</v>
      </c>
      <c r="AA369" s="301">
        <v>0</v>
      </c>
      <c r="AB369" s="303">
        <v>2020</v>
      </c>
    </row>
    <row r="370" spans="1:28" ht="35.25" customHeight="1" x14ac:dyDescent="0.5">
      <c r="A370">
        <v>1</v>
      </c>
      <c r="B370" s="80">
        <f>SUBTOTAL(103,$A$9:A370)</f>
        <v>358</v>
      </c>
      <c r="C370" s="300" t="s">
        <v>1701</v>
      </c>
      <c r="D370" s="296">
        <f t="shared" si="10"/>
        <v>3261013.2700000005</v>
      </c>
      <c r="E370" s="301">
        <v>0</v>
      </c>
      <c r="F370" s="301">
        <v>0</v>
      </c>
      <c r="G370" s="301">
        <v>0</v>
      </c>
      <c r="H370" s="301">
        <v>0</v>
      </c>
      <c r="I370" s="301">
        <v>0</v>
      </c>
      <c r="J370" s="301">
        <v>0</v>
      </c>
      <c r="K370" s="302">
        <v>0</v>
      </c>
      <c r="L370" s="301">
        <v>0</v>
      </c>
      <c r="M370" s="301">
        <v>2635509.2700000005</v>
      </c>
      <c r="N370" s="301">
        <v>0</v>
      </c>
      <c r="O370" s="301">
        <v>625504</v>
      </c>
      <c r="P370" s="301">
        <v>0</v>
      </c>
      <c r="Q370" s="301">
        <v>0</v>
      </c>
      <c r="R370" s="301">
        <v>0</v>
      </c>
      <c r="S370" s="301">
        <v>0</v>
      </c>
      <c r="T370" s="301">
        <v>0</v>
      </c>
      <c r="U370" s="301">
        <v>0</v>
      </c>
      <c r="V370" s="301">
        <v>0</v>
      </c>
      <c r="W370" s="301">
        <v>0</v>
      </c>
      <c r="X370" s="301">
        <v>0</v>
      </c>
      <c r="Y370" s="301">
        <v>0</v>
      </c>
      <c r="Z370" s="301">
        <v>0</v>
      </c>
      <c r="AA370" s="301">
        <v>0</v>
      </c>
      <c r="AB370" s="303">
        <v>2020</v>
      </c>
    </row>
    <row r="371" spans="1:28" ht="35.25" customHeight="1" x14ac:dyDescent="0.5">
      <c r="A371">
        <v>1</v>
      </c>
      <c r="B371" s="80">
        <f>SUBTOTAL(103,$A$9:A371)</f>
        <v>359</v>
      </c>
      <c r="C371" s="300" t="s">
        <v>1702</v>
      </c>
      <c r="D371" s="296">
        <f t="shared" si="10"/>
        <v>4818845</v>
      </c>
      <c r="E371" s="301">
        <v>218845</v>
      </c>
      <c r="F371" s="301">
        <v>0</v>
      </c>
      <c r="G371" s="301">
        <v>0</v>
      </c>
      <c r="H371" s="301">
        <v>0</v>
      </c>
      <c r="I371" s="301">
        <v>0</v>
      </c>
      <c r="J371" s="301">
        <v>0</v>
      </c>
      <c r="K371" s="302">
        <v>2</v>
      </c>
      <c r="L371" s="301">
        <v>4600000</v>
      </c>
      <c r="M371" s="301">
        <v>0</v>
      </c>
      <c r="N371" s="301">
        <v>0</v>
      </c>
      <c r="O371" s="301">
        <v>0</v>
      </c>
      <c r="P371" s="301">
        <v>0</v>
      </c>
      <c r="Q371" s="301">
        <v>0</v>
      </c>
      <c r="R371" s="301">
        <v>0</v>
      </c>
      <c r="S371" s="301">
        <v>0</v>
      </c>
      <c r="T371" s="301">
        <v>0</v>
      </c>
      <c r="U371" s="301">
        <v>0</v>
      </c>
      <c r="V371" s="301">
        <v>0</v>
      </c>
      <c r="W371" s="301">
        <v>0</v>
      </c>
      <c r="X371" s="301">
        <v>0</v>
      </c>
      <c r="Y371" s="301">
        <v>0</v>
      </c>
      <c r="Z371" s="301">
        <v>0</v>
      </c>
      <c r="AA371" s="301">
        <v>0</v>
      </c>
      <c r="AB371" s="303">
        <v>2020</v>
      </c>
    </row>
    <row r="372" spans="1:28" ht="35.25" customHeight="1" x14ac:dyDescent="0.5">
      <c r="A372">
        <v>1</v>
      </c>
      <c r="B372" s="80">
        <f>SUBTOTAL(103,$A$9:A372)</f>
        <v>360</v>
      </c>
      <c r="C372" s="300" t="s">
        <v>1703</v>
      </c>
      <c r="D372" s="296">
        <f t="shared" si="10"/>
        <v>2271787</v>
      </c>
      <c r="E372" s="301">
        <v>0</v>
      </c>
      <c r="F372" s="301">
        <v>0</v>
      </c>
      <c r="G372" s="301">
        <v>0</v>
      </c>
      <c r="H372" s="301">
        <v>0</v>
      </c>
      <c r="I372" s="301">
        <v>0</v>
      </c>
      <c r="J372" s="301">
        <v>0</v>
      </c>
      <c r="K372" s="302">
        <v>1</v>
      </c>
      <c r="L372" s="301">
        <f>1247828+534783</f>
        <v>1782611</v>
      </c>
      <c r="M372" s="301">
        <v>489176</v>
      </c>
      <c r="N372" s="301">
        <v>0</v>
      </c>
      <c r="O372" s="301">
        <v>0</v>
      </c>
      <c r="P372" s="301">
        <v>0</v>
      </c>
      <c r="Q372" s="301">
        <v>0</v>
      </c>
      <c r="R372" s="301">
        <v>0</v>
      </c>
      <c r="S372" s="301">
        <v>0</v>
      </c>
      <c r="T372" s="301">
        <v>0</v>
      </c>
      <c r="U372" s="301">
        <v>0</v>
      </c>
      <c r="V372" s="301">
        <v>0</v>
      </c>
      <c r="W372" s="301">
        <v>0</v>
      </c>
      <c r="X372" s="301">
        <v>0</v>
      </c>
      <c r="Y372" s="301">
        <v>0</v>
      </c>
      <c r="Z372" s="301">
        <v>0</v>
      </c>
      <c r="AA372" s="301">
        <v>0</v>
      </c>
      <c r="AB372" s="303">
        <v>2020</v>
      </c>
    </row>
    <row r="373" spans="1:28" ht="35.25" customHeight="1" x14ac:dyDescent="0.5">
      <c r="A373">
        <v>1</v>
      </c>
      <c r="B373" s="80">
        <f>SUBTOTAL(103,$A$9:A373)</f>
        <v>361</v>
      </c>
      <c r="C373" s="300" t="s">
        <v>1705</v>
      </c>
      <c r="D373" s="296">
        <f t="shared" si="10"/>
        <v>1604873</v>
      </c>
      <c r="E373" s="301">
        <v>0</v>
      </c>
      <c r="F373" s="301">
        <v>0</v>
      </c>
      <c r="G373" s="301">
        <v>0</v>
      </c>
      <c r="H373" s="301">
        <v>0</v>
      </c>
      <c r="I373" s="301">
        <v>0</v>
      </c>
      <c r="J373" s="301">
        <v>0</v>
      </c>
      <c r="K373" s="302">
        <v>0</v>
      </c>
      <c r="L373" s="301">
        <v>0</v>
      </c>
      <c r="M373" s="301">
        <f>772412+832461</f>
        <v>1604873</v>
      </c>
      <c r="N373" s="301">
        <v>0</v>
      </c>
      <c r="O373" s="301">
        <v>0</v>
      </c>
      <c r="P373" s="301">
        <v>0</v>
      </c>
      <c r="Q373" s="301">
        <v>0</v>
      </c>
      <c r="R373" s="301">
        <v>0</v>
      </c>
      <c r="S373" s="301">
        <v>0</v>
      </c>
      <c r="T373" s="301">
        <v>0</v>
      </c>
      <c r="U373" s="301">
        <v>0</v>
      </c>
      <c r="V373" s="301">
        <v>0</v>
      </c>
      <c r="W373" s="301">
        <v>0</v>
      </c>
      <c r="X373" s="301">
        <v>0</v>
      </c>
      <c r="Y373" s="301">
        <v>0</v>
      </c>
      <c r="Z373" s="301">
        <v>0</v>
      </c>
      <c r="AA373" s="301">
        <v>0</v>
      </c>
      <c r="AB373" s="303">
        <v>2020</v>
      </c>
    </row>
    <row r="374" spans="1:28" ht="35.25" customHeight="1" x14ac:dyDescent="0.5">
      <c r="A374">
        <v>1</v>
      </c>
      <c r="B374" s="80">
        <f>SUBTOTAL(103,$A$9:A374)</f>
        <v>362</v>
      </c>
      <c r="C374" s="300" t="s">
        <v>1706</v>
      </c>
      <c r="D374" s="296">
        <f t="shared" si="10"/>
        <v>1735000</v>
      </c>
      <c r="E374" s="301">
        <v>0</v>
      </c>
      <c r="F374" s="301">
        <v>0</v>
      </c>
      <c r="G374" s="301">
        <v>0</v>
      </c>
      <c r="H374" s="301">
        <v>0</v>
      </c>
      <c r="I374" s="301">
        <v>0</v>
      </c>
      <c r="J374" s="301">
        <v>0</v>
      </c>
      <c r="K374" s="302">
        <v>1</v>
      </c>
      <c r="L374" s="301">
        <v>1735000</v>
      </c>
      <c r="M374" s="301">
        <v>0</v>
      </c>
      <c r="N374" s="301">
        <v>0</v>
      </c>
      <c r="O374" s="301">
        <v>0</v>
      </c>
      <c r="P374" s="301">
        <v>0</v>
      </c>
      <c r="Q374" s="301">
        <v>0</v>
      </c>
      <c r="R374" s="301">
        <v>0</v>
      </c>
      <c r="S374" s="301">
        <v>0</v>
      </c>
      <c r="T374" s="301">
        <v>0</v>
      </c>
      <c r="U374" s="301">
        <v>0</v>
      </c>
      <c r="V374" s="301">
        <v>0</v>
      </c>
      <c r="W374" s="301">
        <v>0</v>
      </c>
      <c r="X374" s="301">
        <v>0</v>
      </c>
      <c r="Y374" s="301">
        <v>0</v>
      </c>
      <c r="Z374" s="301">
        <v>0</v>
      </c>
      <c r="AA374" s="301">
        <v>0</v>
      </c>
      <c r="AB374" s="303">
        <v>2020</v>
      </c>
    </row>
    <row r="375" spans="1:28" ht="35.25" customHeight="1" x14ac:dyDescent="0.5">
      <c r="A375">
        <v>1</v>
      </c>
      <c r="B375" s="80">
        <f>SUBTOTAL(103,$A$9:A375)</f>
        <v>363</v>
      </c>
      <c r="C375" s="300" t="s">
        <v>2381</v>
      </c>
      <c r="D375" s="296">
        <f t="shared" si="10"/>
        <v>15863.49</v>
      </c>
      <c r="E375" s="301">
        <v>15863.49</v>
      </c>
      <c r="F375" s="301">
        <v>0</v>
      </c>
      <c r="G375" s="301">
        <v>0</v>
      </c>
      <c r="H375" s="301">
        <v>0</v>
      </c>
      <c r="I375" s="301">
        <v>0</v>
      </c>
      <c r="J375" s="301">
        <v>0</v>
      </c>
      <c r="K375" s="302">
        <v>0</v>
      </c>
      <c r="L375" s="301">
        <v>0</v>
      </c>
      <c r="M375" s="301">
        <v>0</v>
      </c>
      <c r="N375" s="301">
        <v>0</v>
      </c>
      <c r="O375" s="301">
        <v>0</v>
      </c>
      <c r="P375" s="301">
        <v>0</v>
      </c>
      <c r="Q375" s="301">
        <v>0</v>
      </c>
      <c r="R375" s="301">
        <v>0</v>
      </c>
      <c r="S375" s="301">
        <v>0</v>
      </c>
      <c r="T375" s="301">
        <v>0</v>
      </c>
      <c r="U375" s="301">
        <v>0</v>
      </c>
      <c r="V375" s="301">
        <v>0</v>
      </c>
      <c r="W375" s="301">
        <v>0</v>
      </c>
      <c r="X375" s="301">
        <v>0</v>
      </c>
      <c r="Y375" s="301">
        <v>0</v>
      </c>
      <c r="Z375" s="301">
        <v>0</v>
      </c>
      <c r="AA375" s="301">
        <v>0</v>
      </c>
      <c r="AB375" s="303">
        <v>2020</v>
      </c>
    </row>
    <row r="376" spans="1:28" ht="35.25" customHeight="1" x14ac:dyDescent="0.5">
      <c r="A376">
        <v>1</v>
      </c>
      <c r="B376" s="80">
        <f>SUBTOTAL(103,$A$9:A376)</f>
        <v>364</v>
      </c>
      <c r="C376" s="300" t="s">
        <v>1707</v>
      </c>
      <c r="D376" s="296">
        <f t="shared" si="10"/>
        <v>1135891.8</v>
      </c>
      <c r="E376" s="301">
        <v>0</v>
      </c>
      <c r="F376" s="301">
        <v>0</v>
      </c>
      <c r="G376" s="301">
        <v>0</v>
      </c>
      <c r="H376" s="301">
        <v>0</v>
      </c>
      <c r="I376" s="301">
        <v>0</v>
      </c>
      <c r="J376" s="301">
        <v>0</v>
      </c>
      <c r="K376" s="302">
        <v>0</v>
      </c>
      <c r="L376" s="301">
        <v>0</v>
      </c>
      <c r="M376" s="301">
        <v>0</v>
      </c>
      <c r="N376" s="301">
        <v>0</v>
      </c>
      <c r="O376" s="301">
        <v>1135891.8</v>
      </c>
      <c r="P376" s="301">
        <v>0</v>
      </c>
      <c r="Q376" s="301">
        <v>0</v>
      </c>
      <c r="R376" s="301">
        <v>0</v>
      </c>
      <c r="S376" s="301">
        <v>0</v>
      </c>
      <c r="T376" s="301">
        <v>0</v>
      </c>
      <c r="U376" s="301">
        <v>0</v>
      </c>
      <c r="V376" s="301">
        <v>0</v>
      </c>
      <c r="W376" s="301">
        <v>0</v>
      </c>
      <c r="X376" s="301">
        <v>0</v>
      </c>
      <c r="Y376" s="301">
        <v>0</v>
      </c>
      <c r="Z376" s="301">
        <v>0</v>
      </c>
      <c r="AA376" s="301">
        <v>0</v>
      </c>
      <c r="AB376" s="303">
        <v>2020</v>
      </c>
    </row>
    <row r="377" spans="1:28" ht="35.25" customHeight="1" x14ac:dyDescent="0.5">
      <c r="A377">
        <v>1</v>
      </c>
      <c r="B377" s="80">
        <f>SUBTOTAL(103,$A$9:A377)</f>
        <v>365</v>
      </c>
      <c r="C377" s="300" t="s">
        <v>1708</v>
      </c>
      <c r="D377" s="296">
        <f t="shared" si="10"/>
        <v>1815298</v>
      </c>
      <c r="E377" s="301">
        <v>0</v>
      </c>
      <c r="F377" s="301">
        <v>0</v>
      </c>
      <c r="G377" s="301">
        <v>0</v>
      </c>
      <c r="H377" s="301">
        <v>0</v>
      </c>
      <c r="I377" s="301">
        <v>0</v>
      </c>
      <c r="J377" s="301">
        <v>0</v>
      </c>
      <c r="K377" s="302">
        <v>0</v>
      </c>
      <c r="L377" s="301">
        <v>0</v>
      </c>
      <c r="M377" s="301">
        <v>1815298</v>
      </c>
      <c r="N377" s="301">
        <v>0</v>
      </c>
      <c r="O377" s="301">
        <v>0</v>
      </c>
      <c r="P377" s="301">
        <v>0</v>
      </c>
      <c r="Q377" s="301">
        <v>0</v>
      </c>
      <c r="R377" s="301">
        <v>0</v>
      </c>
      <c r="S377" s="301">
        <v>0</v>
      </c>
      <c r="T377" s="301">
        <v>0</v>
      </c>
      <c r="U377" s="301">
        <v>0</v>
      </c>
      <c r="V377" s="301">
        <v>0</v>
      </c>
      <c r="W377" s="301">
        <v>0</v>
      </c>
      <c r="X377" s="301">
        <v>0</v>
      </c>
      <c r="Y377" s="301">
        <v>0</v>
      </c>
      <c r="Z377" s="301">
        <v>0</v>
      </c>
      <c r="AA377" s="301">
        <v>0</v>
      </c>
      <c r="AB377" s="303">
        <v>2020</v>
      </c>
    </row>
    <row r="378" spans="1:28" ht="35.25" customHeight="1" x14ac:dyDescent="0.5">
      <c r="A378">
        <v>1</v>
      </c>
      <c r="B378" s="80">
        <f>SUBTOTAL(103,$A$9:A378)</f>
        <v>366</v>
      </c>
      <c r="C378" s="300" t="s">
        <v>1709</v>
      </c>
      <c r="D378" s="296">
        <f t="shared" si="10"/>
        <v>773255</v>
      </c>
      <c r="E378" s="301">
        <v>0</v>
      </c>
      <c r="F378" s="301">
        <v>0</v>
      </c>
      <c r="G378" s="301">
        <v>0</v>
      </c>
      <c r="H378" s="301">
        <v>604137</v>
      </c>
      <c r="I378" s="301">
        <v>0</v>
      </c>
      <c r="J378" s="301">
        <v>0</v>
      </c>
      <c r="K378" s="302">
        <v>0</v>
      </c>
      <c r="L378" s="301">
        <v>0</v>
      </c>
      <c r="M378" s="301">
        <v>0</v>
      </c>
      <c r="N378" s="301">
        <v>0</v>
      </c>
      <c r="O378" s="301">
        <v>169118</v>
      </c>
      <c r="P378" s="301">
        <v>0</v>
      </c>
      <c r="Q378" s="301">
        <v>0</v>
      </c>
      <c r="R378" s="301">
        <v>0</v>
      </c>
      <c r="S378" s="301">
        <v>0</v>
      </c>
      <c r="T378" s="301">
        <v>0</v>
      </c>
      <c r="U378" s="301">
        <v>0</v>
      </c>
      <c r="V378" s="301">
        <v>0</v>
      </c>
      <c r="W378" s="301">
        <v>0</v>
      </c>
      <c r="X378" s="301">
        <v>0</v>
      </c>
      <c r="Y378" s="301">
        <v>0</v>
      </c>
      <c r="Z378" s="301">
        <v>0</v>
      </c>
      <c r="AA378" s="301">
        <v>0</v>
      </c>
      <c r="AB378" s="303">
        <v>2020</v>
      </c>
    </row>
    <row r="379" spans="1:28" ht="35.25" customHeight="1" x14ac:dyDescent="0.5">
      <c r="A379">
        <v>1</v>
      </c>
      <c r="B379" s="80">
        <f>SUBTOTAL(103,$A$9:A379)</f>
        <v>367</v>
      </c>
      <c r="C379" s="300" t="s">
        <v>1710</v>
      </c>
      <c r="D379" s="296">
        <f t="shared" si="10"/>
        <v>1102124.94</v>
      </c>
      <c r="E379" s="301">
        <v>0</v>
      </c>
      <c r="F379" s="301">
        <v>0</v>
      </c>
      <c r="G379" s="301">
        <v>0</v>
      </c>
      <c r="H379" s="301">
        <v>0</v>
      </c>
      <c r="I379" s="301">
        <v>0</v>
      </c>
      <c r="J379" s="301">
        <v>0</v>
      </c>
      <c r="K379" s="302">
        <v>0</v>
      </c>
      <c r="L379" s="301">
        <v>0</v>
      </c>
      <c r="M379" s="301">
        <v>1102124.94</v>
      </c>
      <c r="N379" s="301">
        <v>0</v>
      </c>
      <c r="O379" s="301">
        <v>0</v>
      </c>
      <c r="P379" s="301">
        <v>0</v>
      </c>
      <c r="Q379" s="301">
        <v>0</v>
      </c>
      <c r="R379" s="301">
        <v>0</v>
      </c>
      <c r="S379" s="301">
        <v>0</v>
      </c>
      <c r="T379" s="301">
        <v>0</v>
      </c>
      <c r="U379" s="301">
        <v>0</v>
      </c>
      <c r="V379" s="301">
        <v>0</v>
      </c>
      <c r="W379" s="301">
        <v>0</v>
      </c>
      <c r="X379" s="301">
        <v>0</v>
      </c>
      <c r="Y379" s="301">
        <v>0</v>
      </c>
      <c r="Z379" s="301">
        <v>0</v>
      </c>
      <c r="AA379" s="301">
        <v>0</v>
      </c>
      <c r="AB379" s="303">
        <v>2020</v>
      </c>
    </row>
    <row r="380" spans="1:28" ht="35.25" customHeight="1" x14ac:dyDescent="0.5">
      <c r="A380">
        <v>1</v>
      </c>
      <c r="B380" s="80">
        <f>SUBTOTAL(103,$A$9:A380)</f>
        <v>368</v>
      </c>
      <c r="C380" s="300" t="s">
        <v>2382</v>
      </c>
      <c r="D380" s="296">
        <f t="shared" si="10"/>
        <v>520000</v>
      </c>
      <c r="E380" s="301">
        <v>0</v>
      </c>
      <c r="F380" s="301">
        <v>0</v>
      </c>
      <c r="G380" s="301">
        <v>0</v>
      </c>
      <c r="H380" s="301">
        <v>0</v>
      </c>
      <c r="I380" s="301">
        <v>0</v>
      </c>
      <c r="J380" s="301">
        <v>0</v>
      </c>
      <c r="K380" s="302">
        <v>0</v>
      </c>
      <c r="L380" s="301">
        <v>0</v>
      </c>
      <c r="M380" s="301">
        <v>520000</v>
      </c>
      <c r="N380" s="301">
        <v>0</v>
      </c>
      <c r="O380" s="301">
        <v>0</v>
      </c>
      <c r="P380" s="301">
        <v>0</v>
      </c>
      <c r="Q380" s="301">
        <v>0</v>
      </c>
      <c r="R380" s="301">
        <v>0</v>
      </c>
      <c r="S380" s="301">
        <v>0</v>
      </c>
      <c r="T380" s="301">
        <v>0</v>
      </c>
      <c r="U380" s="301">
        <v>0</v>
      </c>
      <c r="V380" s="301">
        <v>0</v>
      </c>
      <c r="W380" s="301">
        <v>0</v>
      </c>
      <c r="X380" s="301">
        <v>0</v>
      </c>
      <c r="Y380" s="301">
        <v>0</v>
      </c>
      <c r="Z380" s="301">
        <v>0</v>
      </c>
      <c r="AA380" s="301">
        <v>0</v>
      </c>
      <c r="AB380" s="303">
        <v>2020</v>
      </c>
    </row>
    <row r="381" spans="1:28" ht="35.25" customHeight="1" x14ac:dyDescent="0.5">
      <c r="A381">
        <v>1</v>
      </c>
      <c r="B381" s="80">
        <f>SUBTOTAL(103,$A$9:A381)</f>
        <v>369</v>
      </c>
      <c r="C381" s="300" t="s">
        <v>2383</v>
      </c>
      <c r="D381" s="296">
        <f t="shared" si="10"/>
        <v>2027140.56</v>
      </c>
      <c r="E381" s="301">
        <v>0</v>
      </c>
      <c r="F381" s="301">
        <v>0</v>
      </c>
      <c r="G381" s="301">
        <v>0</v>
      </c>
      <c r="H381" s="301">
        <v>0</v>
      </c>
      <c r="I381" s="301">
        <v>0</v>
      </c>
      <c r="J381" s="301">
        <v>0</v>
      </c>
      <c r="K381" s="302">
        <v>1</v>
      </c>
      <c r="L381" s="301">
        <v>2027140.56</v>
      </c>
      <c r="M381" s="301">
        <v>0</v>
      </c>
      <c r="N381" s="301">
        <v>0</v>
      </c>
      <c r="O381" s="301">
        <v>0</v>
      </c>
      <c r="P381" s="301">
        <v>0</v>
      </c>
      <c r="Q381" s="301">
        <v>0</v>
      </c>
      <c r="R381" s="301">
        <v>0</v>
      </c>
      <c r="S381" s="301">
        <v>0</v>
      </c>
      <c r="T381" s="301">
        <v>0</v>
      </c>
      <c r="U381" s="301">
        <v>0</v>
      </c>
      <c r="V381" s="301">
        <v>0</v>
      </c>
      <c r="W381" s="301">
        <v>0</v>
      </c>
      <c r="X381" s="301">
        <v>0</v>
      </c>
      <c r="Y381" s="301">
        <v>0</v>
      </c>
      <c r="Z381" s="301">
        <v>0</v>
      </c>
      <c r="AA381" s="301">
        <v>0</v>
      </c>
      <c r="AB381" s="303">
        <v>2020</v>
      </c>
    </row>
    <row r="382" spans="1:28" ht="35.25" customHeight="1" x14ac:dyDescent="0.5">
      <c r="A382">
        <v>1</v>
      </c>
      <c r="B382" s="80">
        <f>SUBTOTAL(103,$A$9:A382)</f>
        <v>370</v>
      </c>
      <c r="C382" s="300" t="s">
        <v>3374</v>
      </c>
      <c r="D382" s="296">
        <f t="shared" si="10"/>
        <v>1940000</v>
      </c>
      <c r="E382" s="301">
        <v>0</v>
      </c>
      <c r="F382" s="301">
        <v>0</v>
      </c>
      <c r="G382" s="301">
        <v>0</v>
      </c>
      <c r="H382" s="301">
        <v>0</v>
      </c>
      <c r="I382" s="301">
        <v>0</v>
      </c>
      <c r="J382" s="301">
        <v>0</v>
      </c>
      <c r="K382" s="302">
        <v>1</v>
      </c>
      <c r="L382" s="301">
        <v>1940000</v>
      </c>
      <c r="M382" s="301">
        <v>0</v>
      </c>
      <c r="N382" s="301">
        <v>0</v>
      </c>
      <c r="O382" s="301">
        <v>0</v>
      </c>
      <c r="P382" s="301">
        <v>0</v>
      </c>
      <c r="Q382" s="301">
        <v>0</v>
      </c>
      <c r="R382" s="301">
        <v>0</v>
      </c>
      <c r="S382" s="301">
        <v>0</v>
      </c>
      <c r="T382" s="301">
        <v>0</v>
      </c>
      <c r="U382" s="301">
        <v>0</v>
      </c>
      <c r="V382" s="301">
        <v>0</v>
      </c>
      <c r="W382" s="301">
        <v>0</v>
      </c>
      <c r="X382" s="301">
        <v>0</v>
      </c>
      <c r="Y382" s="301">
        <v>0</v>
      </c>
      <c r="Z382" s="301">
        <v>0</v>
      </c>
      <c r="AA382" s="301">
        <v>0</v>
      </c>
      <c r="AB382" s="303">
        <v>2020</v>
      </c>
    </row>
    <row r="383" spans="1:28" ht="35.25" customHeight="1" x14ac:dyDescent="0.5">
      <c r="A383">
        <v>1</v>
      </c>
      <c r="B383" s="80">
        <f>SUBTOTAL(103,$A$9:A383)</f>
        <v>371</v>
      </c>
      <c r="C383" s="300" t="s">
        <v>1711</v>
      </c>
      <c r="D383" s="296">
        <f t="shared" si="10"/>
        <v>190602.5</v>
      </c>
      <c r="E383" s="301">
        <v>0</v>
      </c>
      <c r="F383" s="301">
        <v>0</v>
      </c>
      <c r="G383" s="301">
        <v>0</v>
      </c>
      <c r="H383" s="301">
        <v>0</v>
      </c>
      <c r="I383" s="301">
        <v>0</v>
      </c>
      <c r="J383" s="301">
        <v>0</v>
      </c>
      <c r="K383" s="302">
        <v>0</v>
      </c>
      <c r="L383" s="301">
        <v>0</v>
      </c>
      <c r="M383" s="301">
        <v>0</v>
      </c>
      <c r="N383" s="301">
        <v>0</v>
      </c>
      <c r="O383" s="301">
        <f>107200+18400</f>
        <v>125600</v>
      </c>
      <c r="P383" s="301">
        <v>65002.5</v>
      </c>
      <c r="Q383" s="301">
        <v>0</v>
      </c>
      <c r="R383" s="301">
        <v>0</v>
      </c>
      <c r="S383" s="301">
        <v>0</v>
      </c>
      <c r="T383" s="301">
        <v>0</v>
      </c>
      <c r="U383" s="301">
        <v>0</v>
      </c>
      <c r="V383" s="301">
        <v>0</v>
      </c>
      <c r="W383" s="301">
        <v>0</v>
      </c>
      <c r="X383" s="301">
        <v>0</v>
      </c>
      <c r="Y383" s="301">
        <v>0</v>
      </c>
      <c r="Z383" s="301">
        <v>0</v>
      </c>
      <c r="AA383" s="301">
        <v>0</v>
      </c>
      <c r="AB383" s="303">
        <v>2020</v>
      </c>
    </row>
    <row r="384" spans="1:28" ht="35.25" customHeight="1" x14ac:dyDescent="0.5">
      <c r="A384">
        <v>1</v>
      </c>
      <c r="B384" s="80">
        <f>SUBTOTAL(103,$A$9:A384)</f>
        <v>372</v>
      </c>
      <c r="C384" s="300" t="s">
        <v>1712</v>
      </c>
      <c r="D384" s="296">
        <f t="shared" si="10"/>
        <v>499878</v>
      </c>
      <c r="E384" s="301">
        <v>0</v>
      </c>
      <c r="F384" s="301">
        <v>0</v>
      </c>
      <c r="G384" s="301">
        <v>0</v>
      </c>
      <c r="H384" s="301">
        <v>0</v>
      </c>
      <c r="I384" s="301">
        <v>30850</v>
      </c>
      <c r="J384" s="301">
        <v>0</v>
      </c>
      <c r="K384" s="302">
        <v>0</v>
      </c>
      <c r="L384" s="301">
        <v>0</v>
      </c>
      <c r="M384" s="301">
        <v>0</v>
      </c>
      <c r="N384" s="301">
        <v>0</v>
      </c>
      <c r="O384" s="301">
        <v>469028</v>
      </c>
      <c r="P384" s="301">
        <v>0</v>
      </c>
      <c r="Q384" s="301">
        <v>0</v>
      </c>
      <c r="R384" s="301">
        <v>0</v>
      </c>
      <c r="S384" s="301">
        <v>0</v>
      </c>
      <c r="T384" s="301">
        <v>0</v>
      </c>
      <c r="U384" s="301">
        <v>0</v>
      </c>
      <c r="V384" s="301">
        <v>0</v>
      </c>
      <c r="W384" s="301">
        <v>0</v>
      </c>
      <c r="X384" s="301">
        <v>0</v>
      </c>
      <c r="Y384" s="301">
        <v>0</v>
      </c>
      <c r="Z384" s="301">
        <v>0</v>
      </c>
      <c r="AA384" s="301">
        <v>0</v>
      </c>
      <c r="AB384" s="303">
        <v>2020</v>
      </c>
    </row>
    <row r="385" spans="1:28" ht="35.25" customHeight="1" x14ac:dyDescent="0.5">
      <c r="A385">
        <v>1</v>
      </c>
      <c r="B385" s="80">
        <f>SUBTOTAL(103,$A$9:A385)</f>
        <v>373</v>
      </c>
      <c r="C385" s="300" t="s">
        <v>1713</v>
      </c>
      <c r="D385" s="296">
        <f t="shared" si="10"/>
        <v>1715000</v>
      </c>
      <c r="E385" s="301">
        <v>0</v>
      </c>
      <c r="F385" s="301">
        <v>0</v>
      </c>
      <c r="G385" s="301">
        <v>0</v>
      </c>
      <c r="H385" s="301">
        <v>0</v>
      </c>
      <c r="I385" s="301">
        <v>0</v>
      </c>
      <c r="J385" s="301">
        <v>0</v>
      </c>
      <c r="K385" s="302">
        <v>1</v>
      </c>
      <c r="L385" s="301">
        <v>1715000</v>
      </c>
      <c r="M385" s="301">
        <v>0</v>
      </c>
      <c r="N385" s="301">
        <v>0</v>
      </c>
      <c r="O385" s="301">
        <v>0</v>
      </c>
      <c r="P385" s="301">
        <v>0</v>
      </c>
      <c r="Q385" s="301">
        <v>0</v>
      </c>
      <c r="R385" s="301">
        <v>0</v>
      </c>
      <c r="S385" s="301">
        <v>0</v>
      </c>
      <c r="T385" s="301">
        <v>0</v>
      </c>
      <c r="U385" s="301">
        <v>0</v>
      </c>
      <c r="V385" s="301">
        <v>0</v>
      </c>
      <c r="W385" s="301">
        <v>0</v>
      </c>
      <c r="X385" s="301">
        <v>0</v>
      </c>
      <c r="Y385" s="301">
        <v>0</v>
      </c>
      <c r="Z385" s="301">
        <v>0</v>
      </c>
      <c r="AA385" s="301">
        <v>0</v>
      </c>
      <c r="AB385" s="303">
        <v>2020</v>
      </c>
    </row>
    <row r="386" spans="1:28" ht="35.25" customHeight="1" x14ac:dyDescent="0.5">
      <c r="A386">
        <v>1</v>
      </c>
      <c r="B386" s="80">
        <f>SUBTOTAL(103,$A$9:A386)</f>
        <v>374</v>
      </c>
      <c r="C386" s="300" t="s">
        <v>2384</v>
      </c>
      <c r="D386" s="296">
        <f t="shared" si="10"/>
        <v>1850000</v>
      </c>
      <c r="E386" s="301">
        <v>0</v>
      </c>
      <c r="F386" s="301">
        <v>0</v>
      </c>
      <c r="G386" s="301">
        <v>0</v>
      </c>
      <c r="H386" s="301">
        <v>0</v>
      </c>
      <c r="I386" s="301">
        <v>0</v>
      </c>
      <c r="J386" s="301">
        <v>0</v>
      </c>
      <c r="K386" s="302">
        <v>1</v>
      </c>
      <c r="L386" s="301">
        <v>1850000</v>
      </c>
      <c r="M386" s="301">
        <v>0</v>
      </c>
      <c r="N386" s="301">
        <v>0</v>
      </c>
      <c r="O386" s="301">
        <v>0</v>
      </c>
      <c r="P386" s="301">
        <v>0</v>
      </c>
      <c r="Q386" s="301">
        <v>0</v>
      </c>
      <c r="R386" s="301">
        <v>0</v>
      </c>
      <c r="S386" s="301">
        <v>0</v>
      </c>
      <c r="T386" s="301">
        <v>0</v>
      </c>
      <c r="U386" s="301">
        <v>0</v>
      </c>
      <c r="V386" s="301">
        <v>0</v>
      </c>
      <c r="W386" s="301">
        <v>0</v>
      </c>
      <c r="X386" s="301">
        <v>0</v>
      </c>
      <c r="Y386" s="301">
        <v>0</v>
      </c>
      <c r="Z386" s="301">
        <v>0</v>
      </c>
      <c r="AA386" s="301">
        <v>0</v>
      </c>
      <c r="AB386" s="303">
        <v>2020</v>
      </c>
    </row>
    <row r="387" spans="1:28" ht="35.25" customHeight="1" x14ac:dyDescent="0.5">
      <c r="A387">
        <v>1</v>
      </c>
      <c r="B387" s="80">
        <f>SUBTOTAL(103,$A$9:A387)</f>
        <v>375</v>
      </c>
      <c r="C387" s="300" t="s">
        <v>1947</v>
      </c>
      <c r="D387" s="296">
        <f t="shared" si="10"/>
        <v>242201.66</v>
      </c>
      <c r="E387" s="304">
        <v>0</v>
      </c>
      <c r="F387" s="304">
        <v>0</v>
      </c>
      <c r="G387" s="304">
        <v>0</v>
      </c>
      <c r="H387" s="304">
        <v>0</v>
      </c>
      <c r="I387" s="304">
        <v>0</v>
      </c>
      <c r="J387" s="304">
        <v>0</v>
      </c>
      <c r="K387" s="305">
        <v>0</v>
      </c>
      <c r="L387" s="304">
        <v>0</v>
      </c>
      <c r="M387" s="304">
        <v>0</v>
      </c>
      <c r="N387" s="304">
        <v>0</v>
      </c>
      <c r="O387" s="304">
        <v>242201.66</v>
      </c>
      <c r="P387" s="304">
        <v>0</v>
      </c>
      <c r="Q387" s="304">
        <v>0</v>
      </c>
      <c r="R387" s="304">
        <v>0</v>
      </c>
      <c r="S387" s="304">
        <v>0</v>
      </c>
      <c r="T387" s="304">
        <v>0</v>
      </c>
      <c r="U387" s="304">
        <v>0</v>
      </c>
      <c r="V387" s="304">
        <v>0</v>
      </c>
      <c r="W387" s="304">
        <v>0</v>
      </c>
      <c r="X387" s="304">
        <v>0</v>
      </c>
      <c r="Y387" s="304">
        <v>0</v>
      </c>
      <c r="Z387" s="304">
        <v>0</v>
      </c>
      <c r="AA387" s="304">
        <v>0</v>
      </c>
      <c r="AB387" s="303">
        <v>2020</v>
      </c>
    </row>
    <row r="388" spans="1:28" ht="35.25" customHeight="1" x14ac:dyDescent="0.5">
      <c r="A388">
        <v>1</v>
      </c>
      <c r="B388" s="80">
        <f>SUBTOTAL(103,$A$9:A388)</f>
        <v>376</v>
      </c>
      <c r="C388" s="300" t="s">
        <v>1948</v>
      </c>
      <c r="D388" s="296">
        <f t="shared" si="10"/>
        <v>508550.07</v>
      </c>
      <c r="E388" s="304">
        <v>0</v>
      </c>
      <c r="F388" s="304">
        <v>0</v>
      </c>
      <c r="G388" s="304">
        <v>0</v>
      </c>
      <c r="H388" s="304">
        <v>0</v>
      </c>
      <c r="I388" s="304">
        <v>0</v>
      </c>
      <c r="J388" s="304">
        <v>0</v>
      </c>
      <c r="K388" s="305">
        <v>0</v>
      </c>
      <c r="L388" s="304">
        <v>0</v>
      </c>
      <c r="M388" s="304">
        <v>0</v>
      </c>
      <c r="N388" s="304">
        <v>0</v>
      </c>
      <c r="O388" s="304">
        <v>508550.07</v>
      </c>
      <c r="P388" s="304">
        <v>0</v>
      </c>
      <c r="Q388" s="304">
        <v>0</v>
      </c>
      <c r="R388" s="304">
        <v>0</v>
      </c>
      <c r="S388" s="304">
        <v>0</v>
      </c>
      <c r="T388" s="304">
        <v>0</v>
      </c>
      <c r="U388" s="304">
        <v>0</v>
      </c>
      <c r="V388" s="304">
        <v>0</v>
      </c>
      <c r="W388" s="304">
        <v>0</v>
      </c>
      <c r="X388" s="304">
        <v>0</v>
      </c>
      <c r="Y388" s="304">
        <v>0</v>
      </c>
      <c r="Z388" s="304">
        <v>0</v>
      </c>
      <c r="AA388" s="304">
        <v>0</v>
      </c>
      <c r="AB388" s="303">
        <v>2020</v>
      </c>
    </row>
    <row r="389" spans="1:28" ht="35.25" customHeight="1" x14ac:dyDescent="0.5">
      <c r="A389">
        <v>1</v>
      </c>
      <c r="B389" s="80">
        <f>SUBTOTAL(103,$A$9:A389)</f>
        <v>377</v>
      </c>
      <c r="C389" s="300" t="s">
        <v>2385</v>
      </c>
      <c r="D389" s="296">
        <f t="shared" si="10"/>
        <v>91462</v>
      </c>
      <c r="E389" s="296">
        <v>0</v>
      </c>
      <c r="F389" s="296">
        <v>45334</v>
      </c>
      <c r="G389" s="296">
        <v>46128</v>
      </c>
      <c r="H389" s="296">
        <v>0</v>
      </c>
      <c r="I389" s="296">
        <v>0</v>
      </c>
      <c r="J389" s="296">
        <v>0</v>
      </c>
      <c r="K389" s="297">
        <v>0</v>
      </c>
      <c r="L389" s="296">
        <v>0</v>
      </c>
      <c r="M389" s="296">
        <v>0</v>
      </c>
      <c r="N389" s="296">
        <v>0</v>
      </c>
      <c r="O389" s="296">
        <v>0</v>
      </c>
      <c r="P389" s="296">
        <v>0</v>
      </c>
      <c r="Q389" s="296">
        <v>0</v>
      </c>
      <c r="R389" s="296">
        <v>0</v>
      </c>
      <c r="S389" s="296">
        <v>0</v>
      </c>
      <c r="T389" s="296">
        <v>0</v>
      </c>
      <c r="U389" s="296">
        <v>0</v>
      </c>
      <c r="V389" s="296">
        <v>0</v>
      </c>
      <c r="W389" s="296">
        <v>0</v>
      </c>
      <c r="X389" s="296">
        <v>0</v>
      </c>
      <c r="Y389" s="296">
        <v>0</v>
      </c>
      <c r="Z389" s="296">
        <v>0</v>
      </c>
      <c r="AA389" s="296">
        <v>0</v>
      </c>
      <c r="AB389" s="303">
        <v>2020</v>
      </c>
    </row>
    <row r="390" spans="1:28" ht="35.25" customHeight="1" x14ac:dyDescent="0.5">
      <c r="A390">
        <v>1</v>
      </c>
      <c r="B390" s="80">
        <f>SUBTOTAL(103,$A$9:A390)</f>
        <v>378</v>
      </c>
      <c r="C390" s="300" t="s">
        <v>1949</v>
      </c>
      <c r="D390" s="296">
        <f t="shared" si="10"/>
        <v>1247325.5900000001</v>
      </c>
      <c r="E390" s="304">
        <v>0</v>
      </c>
      <c r="F390" s="304">
        <v>0</v>
      </c>
      <c r="G390" s="304">
        <v>0</v>
      </c>
      <c r="H390" s="304">
        <v>0</v>
      </c>
      <c r="I390" s="304">
        <v>0</v>
      </c>
      <c r="J390" s="304">
        <v>0</v>
      </c>
      <c r="K390" s="305">
        <v>0</v>
      </c>
      <c r="L390" s="304">
        <v>0</v>
      </c>
      <c r="M390" s="304">
        <v>1247325.5900000001</v>
      </c>
      <c r="N390" s="304">
        <v>0</v>
      </c>
      <c r="O390" s="304">
        <v>0</v>
      </c>
      <c r="P390" s="304">
        <v>0</v>
      </c>
      <c r="Q390" s="304">
        <v>0</v>
      </c>
      <c r="R390" s="304">
        <v>0</v>
      </c>
      <c r="S390" s="304">
        <v>0</v>
      </c>
      <c r="T390" s="304">
        <v>0</v>
      </c>
      <c r="U390" s="304">
        <v>0</v>
      </c>
      <c r="V390" s="304">
        <v>0</v>
      </c>
      <c r="W390" s="304">
        <v>0</v>
      </c>
      <c r="X390" s="304">
        <v>0</v>
      </c>
      <c r="Y390" s="304">
        <v>0</v>
      </c>
      <c r="Z390" s="304">
        <v>0</v>
      </c>
      <c r="AA390" s="304">
        <v>0</v>
      </c>
      <c r="AB390" s="303">
        <v>2020</v>
      </c>
    </row>
    <row r="391" spans="1:28" ht="35.25" customHeight="1" x14ac:dyDescent="0.5">
      <c r="A391">
        <v>1</v>
      </c>
      <c r="B391" s="80">
        <f>SUBTOTAL(103,$A$9:A391)</f>
        <v>379</v>
      </c>
      <c r="C391" s="300" t="s">
        <v>1950</v>
      </c>
      <c r="D391" s="296">
        <f t="shared" si="10"/>
        <v>1278007.1000000001</v>
      </c>
      <c r="E391" s="304">
        <v>0</v>
      </c>
      <c r="F391" s="304">
        <v>0</v>
      </c>
      <c r="G391" s="304">
        <v>0</v>
      </c>
      <c r="H391" s="304">
        <v>0</v>
      </c>
      <c r="I391" s="304">
        <v>0</v>
      </c>
      <c r="J391" s="304">
        <v>0</v>
      </c>
      <c r="K391" s="305">
        <v>0</v>
      </c>
      <c r="L391" s="304">
        <v>0</v>
      </c>
      <c r="M391" s="304">
        <v>0</v>
      </c>
      <c r="N391" s="304">
        <v>0</v>
      </c>
      <c r="O391" s="304">
        <v>1278007.1000000001</v>
      </c>
      <c r="P391" s="304">
        <v>0</v>
      </c>
      <c r="Q391" s="304">
        <v>0</v>
      </c>
      <c r="R391" s="304">
        <v>0</v>
      </c>
      <c r="S391" s="304">
        <v>0</v>
      </c>
      <c r="T391" s="304">
        <v>0</v>
      </c>
      <c r="U391" s="304">
        <v>0</v>
      </c>
      <c r="V391" s="304">
        <v>0</v>
      </c>
      <c r="W391" s="304">
        <v>0</v>
      </c>
      <c r="X391" s="304">
        <v>0</v>
      </c>
      <c r="Y391" s="304">
        <v>0</v>
      </c>
      <c r="Z391" s="304">
        <v>0</v>
      </c>
      <c r="AA391" s="304">
        <v>0</v>
      </c>
      <c r="AB391" s="303">
        <v>2020</v>
      </c>
    </row>
    <row r="392" spans="1:28" ht="35.25" customHeight="1" x14ac:dyDescent="0.5">
      <c r="A392">
        <v>1</v>
      </c>
      <c r="B392" s="80">
        <f>SUBTOTAL(103,$A$9:A392)</f>
        <v>380</v>
      </c>
      <c r="C392" s="300" t="s">
        <v>1951</v>
      </c>
      <c r="D392" s="296">
        <f t="shared" si="10"/>
        <v>1573506.01</v>
      </c>
      <c r="E392" s="304">
        <v>0</v>
      </c>
      <c r="F392" s="304">
        <v>0</v>
      </c>
      <c r="G392" s="304">
        <v>0</v>
      </c>
      <c r="H392" s="304">
        <v>0</v>
      </c>
      <c r="I392" s="304">
        <v>0</v>
      </c>
      <c r="J392" s="304">
        <v>0</v>
      </c>
      <c r="K392" s="305">
        <v>0</v>
      </c>
      <c r="L392" s="304">
        <v>0</v>
      </c>
      <c r="M392" s="304">
        <v>1573506.01</v>
      </c>
      <c r="N392" s="304">
        <v>0</v>
      </c>
      <c r="O392" s="304">
        <v>0</v>
      </c>
      <c r="P392" s="304">
        <v>0</v>
      </c>
      <c r="Q392" s="304">
        <v>0</v>
      </c>
      <c r="R392" s="304">
        <v>0</v>
      </c>
      <c r="S392" s="304">
        <v>0</v>
      </c>
      <c r="T392" s="304">
        <v>0</v>
      </c>
      <c r="U392" s="304">
        <v>0</v>
      </c>
      <c r="V392" s="304">
        <v>0</v>
      </c>
      <c r="W392" s="304">
        <v>0</v>
      </c>
      <c r="X392" s="304">
        <v>0</v>
      </c>
      <c r="Y392" s="304">
        <v>0</v>
      </c>
      <c r="Z392" s="304">
        <v>0</v>
      </c>
      <c r="AA392" s="304">
        <v>0</v>
      </c>
      <c r="AB392" s="303">
        <v>2020</v>
      </c>
    </row>
    <row r="393" spans="1:28" ht="35.25" customHeight="1" x14ac:dyDescent="0.5">
      <c r="A393">
        <v>1</v>
      </c>
      <c r="B393" s="80">
        <f>SUBTOTAL(103,$A$9:A393)</f>
        <v>381</v>
      </c>
      <c r="C393" s="300" t="s">
        <v>1801</v>
      </c>
      <c r="D393" s="296">
        <f t="shared" ref="D393:D456" si="12">E393+F393+G393+H393+I393+J393+L393+M393+N393+O393+P393+Q393+R393+S393+T393+U393+V393+W393+X393+Y393+Z393+AA393</f>
        <v>589794.53</v>
      </c>
      <c r="E393" s="304">
        <v>0</v>
      </c>
      <c r="F393" s="304">
        <v>0</v>
      </c>
      <c r="G393" s="304">
        <v>0</v>
      </c>
      <c r="H393" s="304">
        <v>0</v>
      </c>
      <c r="I393" s="304">
        <v>0</v>
      </c>
      <c r="J393" s="304">
        <v>0</v>
      </c>
      <c r="K393" s="305">
        <v>0</v>
      </c>
      <c r="L393" s="304">
        <v>0</v>
      </c>
      <c r="M393" s="304">
        <v>0</v>
      </c>
      <c r="N393" s="304">
        <v>0</v>
      </c>
      <c r="O393" s="304">
        <v>589794.53</v>
      </c>
      <c r="P393" s="304">
        <v>0</v>
      </c>
      <c r="Q393" s="304">
        <v>0</v>
      </c>
      <c r="R393" s="304">
        <v>0</v>
      </c>
      <c r="S393" s="304">
        <v>0</v>
      </c>
      <c r="T393" s="304">
        <v>0</v>
      </c>
      <c r="U393" s="304">
        <v>0</v>
      </c>
      <c r="V393" s="304">
        <v>0</v>
      </c>
      <c r="W393" s="304">
        <v>0</v>
      </c>
      <c r="X393" s="304">
        <v>0</v>
      </c>
      <c r="Y393" s="304">
        <v>0</v>
      </c>
      <c r="Z393" s="304">
        <v>0</v>
      </c>
      <c r="AA393" s="304">
        <v>0</v>
      </c>
      <c r="AB393" s="303">
        <v>2020</v>
      </c>
    </row>
    <row r="394" spans="1:28" ht="35.25" customHeight="1" x14ac:dyDescent="0.5">
      <c r="A394">
        <v>1</v>
      </c>
      <c r="B394" s="80">
        <f>SUBTOTAL(103,$A$9:A394)</f>
        <v>382</v>
      </c>
      <c r="C394" s="300" t="s">
        <v>1952</v>
      </c>
      <c r="D394" s="296">
        <f t="shared" si="12"/>
        <v>1815600.86</v>
      </c>
      <c r="E394" s="304">
        <v>0</v>
      </c>
      <c r="F394" s="304">
        <v>0</v>
      </c>
      <c r="G394" s="304">
        <v>1815600.86</v>
      </c>
      <c r="H394" s="304">
        <v>0</v>
      </c>
      <c r="I394" s="304">
        <v>0</v>
      </c>
      <c r="J394" s="304">
        <v>0</v>
      </c>
      <c r="K394" s="305">
        <v>0</v>
      </c>
      <c r="L394" s="304">
        <v>0</v>
      </c>
      <c r="M394" s="304">
        <v>0</v>
      </c>
      <c r="N394" s="304">
        <v>0</v>
      </c>
      <c r="O394" s="304">
        <v>0</v>
      </c>
      <c r="P394" s="304">
        <v>0</v>
      </c>
      <c r="Q394" s="304">
        <v>0</v>
      </c>
      <c r="R394" s="304">
        <v>0</v>
      </c>
      <c r="S394" s="304">
        <v>0</v>
      </c>
      <c r="T394" s="304">
        <v>0</v>
      </c>
      <c r="U394" s="304">
        <v>0</v>
      </c>
      <c r="V394" s="304">
        <v>0</v>
      </c>
      <c r="W394" s="304">
        <v>0</v>
      </c>
      <c r="X394" s="304">
        <v>0</v>
      </c>
      <c r="Y394" s="304">
        <v>0</v>
      </c>
      <c r="Z394" s="304">
        <v>0</v>
      </c>
      <c r="AA394" s="304">
        <v>0</v>
      </c>
      <c r="AB394" s="303">
        <v>2020</v>
      </c>
    </row>
    <row r="395" spans="1:28" ht="35.25" customHeight="1" x14ac:dyDescent="0.5">
      <c r="A395">
        <v>1</v>
      </c>
      <c r="B395" s="80">
        <f>SUBTOTAL(103,$A$9:A395)</f>
        <v>383</v>
      </c>
      <c r="C395" s="300" t="s">
        <v>1953</v>
      </c>
      <c r="D395" s="296">
        <f t="shared" si="12"/>
        <v>1078229.55</v>
      </c>
      <c r="E395" s="304">
        <v>0</v>
      </c>
      <c r="F395" s="304">
        <v>0</v>
      </c>
      <c r="G395" s="304">
        <v>0</v>
      </c>
      <c r="H395" s="304">
        <v>0</v>
      </c>
      <c r="I395" s="304">
        <v>0</v>
      </c>
      <c r="J395" s="304">
        <v>0</v>
      </c>
      <c r="K395" s="305">
        <v>0</v>
      </c>
      <c r="L395" s="304">
        <v>0</v>
      </c>
      <c r="M395" s="304">
        <v>0</v>
      </c>
      <c r="N395" s="304">
        <v>0</v>
      </c>
      <c r="O395" s="304">
        <v>1078229.55</v>
      </c>
      <c r="P395" s="304">
        <v>0</v>
      </c>
      <c r="Q395" s="304">
        <v>0</v>
      </c>
      <c r="R395" s="304">
        <v>0</v>
      </c>
      <c r="S395" s="304">
        <v>0</v>
      </c>
      <c r="T395" s="304">
        <v>0</v>
      </c>
      <c r="U395" s="304">
        <v>0</v>
      </c>
      <c r="V395" s="304">
        <v>0</v>
      </c>
      <c r="W395" s="304">
        <v>0</v>
      </c>
      <c r="X395" s="304">
        <v>0</v>
      </c>
      <c r="Y395" s="304">
        <v>0</v>
      </c>
      <c r="Z395" s="304">
        <v>0</v>
      </c>
      <c r="AA395" s="304">
        <v>0</v>
      </c>
      <c r="AB395" s="303">
        <v>2020</v>
      </c>
    </row>
    <row r="396" spans="1:28" ht="35.25" customHeight="1" x14ac:dyDescent="0.5">
      <c r="A396">
        <v>1</v>
      </c>
      <c r="B396" s="80">
        <f>SUBTOTAL(103,$A$9:A396)</f>
        <v>384</v>
      </c>
      <c r="C396" s="300" t="s">
        <v>2386</v>
      </c>
      <c r="D396" s="296">
        <f t="shared" si="12"/>
        <v>475402</v>
      </c>
      <c r="E396" s="304">
        <v>0</v>
      </c>
      <c r="F396" s="304">
        <v>0</v>
      </c>
      <c r="G396" s="304">
        <v>0</v>
      </c>
      <c r="H396" s="304">
        <v>0</v>
      </c>
      <c r="I396" s="304">
        <v>475402</v>
      </c>
      <c r="J396" s="304">
        <v>0</v>
      </c>
      <c r="K396" s="305">
        <v>0</v>
      </c>
      <c r="L396" s="304">
        <v>0</v>
      </c>
      <c r="M396" s="304">
        <v>0</v>
      </c>
      <c r="N396" s="304">
        <v>0</v>
      </c>
      <c r="O396" s="304">
        <v>0</v>
      </c>
      <c r="P396" s="304">
        <v>0</v>
      </c>
      <c r="Q396" s="304">
        <v>0</v>
      </c>
      <c r="R396" s="304">
        <v>0</v>
      </c>
      <c r="S396" s="304">
        <v>0</v>
      </c>
      <c r="T396" s="304">
        <v>0</v>
      </c>
      <c r="U396" s="304">
        <v>0</v>
      </c>
      <c r="V396" s="304">
        <v>0</v>
      </c>
      <c r="W396" s="304">
        <v>0</v>
      </c>
      <c r="X396" s="304">
        <v>0</v>
      </c>
      <c r="Y396" s="304">
        <v>0</v>
      </c>
      <c r="Z396" s="304">
        <v>0</v>
      </c>
      <c r="AA396" s="304">
        <v>0</v>
      </c>
      <c r="AB396" s="303">
        <v>2020</v>
      </c>
    </row>
    <row r="397" spans="1:28" ht="35.25" customHeight="1" x14ac:dyDescent="0.5">
      <c r="A397">
        <v>1</v>
      </c>
      <c r="B397" s="80">
        <f>SUBTOTAL(103,$A$9:A397)</f>
        <v>385</v>
      </c>
      <c r="C397" s="300" t="s">
        <v>1954</v>
      </c>
      <c r="D397" s="296">
        <f t="shared" si="12"/>
        <v>231984</v>
      </c>
      <c r="E397" s="304">
        <v>0</v>
      </c>
      <c r="F397" s="304">
        <v>0</v>
      </c>
      <c r="G397" s="304">
        <v>0</v>
      </c>
      <c r="H397" s="304">
        <v>0</v>
      </c>
      <c r="I397" s="304">
        <v>0</v>
      </c>
      <c r="J397" s="304">
        <v>0</v>
      </c>
      <c r="K397" s="305">
        <v>0</v>
      </c>
      <c r="L397" s="304">
        <v>0</v>
      </c>
      <c r="M397" s="304">
        <v>0</v>
      </c>
      <c r="N397" s="304">
        <v>0</v>
      </c>
      <c r="O397" s="304">
        <v>0</v>
      </c>
      <c r="P397" s="304">
        <v>231984</v>
      </c>
      <c r="Q397" s="304">
        <v>0</v>
      </c>
      <c r="R397" s="304">
        <v>0</v>
      </c>
      <c r="S397" s="304">
        <v>0</v>
      </c>
      <c r="T397" s="304">
        <v>0</v>
      </c>
      <c r="U397" s="304">
        <v>0</v>
      </c>
      <c r="V397" s="304">
        <v>0</v>
      </c>
      <c r="W397" s="304">
        <v>0</v>
      </c>
      <c r="X397" s="304">
        <v>0</v>
      </c>
      <c r="Y397" s="304">
        <v>0</v>
      </c>
      <c r="Z397" s="304">
        <v>0</v>
      </c>
      <c r="AA397" s="304">
        <v>0</v>
      </c>
      <c r="AB397" s="303">
        <v>2020</v>
      </c>
    </row>
    <row r="398" spans="1:28" ht="35.25" customHeight="1" x14ac:dyDescent="0.5">
      <c r="A398">
        <v>1</v>
      </c>
      <c r="B398" s="80">
        <f>SUBTOTAL(103,$A$9:A398)</f>
        <v>386</v>
      </c>
      <c r="C398" s="300" t="s">
        <v>1955</v>
      </c>
      <c r="D398" s="296">
        <f t="shared" si="12"/>
        <v>1578380.8</v>
      </c>
      <c r="E398" s="304">
        <v>0</v>
      </c>
      <c r="F398" s="304">
        <v>0</v>
      </c>
      <c r="G398" s="304">
        <v>0</v>
      </c>
      <c r="H398" s="304">
        <v>0</v>
      </c>
      <c r="I398" s="304">
        <v>0</v>
      </c>
      <c r="J398" s="304">
        <v>0</v>
      </c>
      <c r="K398" s="305">
        <v>0</v>
      </c>
      <c r="L398" s="304">
        <v>0</v>
      </c>
      <c r="M398" s="304">
        <v>1028291</v>
      </c>
      <c r="N398" s="304">
        <v>0</v>
      </c>
      <c r="O398" s="304">
        <v>550089.80000000005</v>
      </c>
      <c r="P398" s="304">
        <v>0</v>
      </c>
      <c r="Q398" s="304">
        <v>0</v>
      </c>
      <c r="R398" s="304">
        <v>0</v>
      </c>
      <c r="S398" s="304">
        <v>0</v>
      </c>
      <c r="T398" s="304">
        <v>0</v>
      </c>
      <c r="U398" s="304">
        <v>0</v>
      </c>
      <c r="V398" s="304">
        <v>0</v>
      </c>
      <c r="W398" s="304">
        <v>0</v>
      </c>
      <c r="X398" s="304">
        <v>0</v>
      </c>
      <c r="Y398" s="304">
        <v>0</v>
      </c>
      <c r="Z398" s="304">
        <v>0</v>
      </c>
      <c r="AA398" s="304">
        <v>0</v>
      </c>
      <c r="AB398" s="303">
        <v>2020</v>
      </c>
    </row>
    <row r="399" spans="1:28" ht="35.25" customHeight="1" x14ac:dyDescent="0.5">
      <c r="A399">
        <v>1</v>
      </c>
      <c r="B399" s="80">
        <f>SUBTOTAL(103,$A$9:A399)</f>
        <v>387</v>
      </c>
      <c r="C399" s="300" t="s">
        <v>1956</v>
      </c>
      <c r="D399" s="296">
        <f t="shared" si="12"/>
        <v>567062.04</v>
      </c>
      <c r="E399" s="304">
        <v>0</v>
      </c>
      <c r="F399" s="304">
        <v>0</v>
      </c>
      <c r="G399" s="304">
        <v>0</v>
      </c>
      <c r="H399" s="304">
        <v>0</v>
      </c>
      <c r="I399" s="304">
        <v>567062.04</v>
      </c>
      <c r="J399" s="304">
        <v>0</v>
      </c>
      <c r="K399" s="305">
        <v>0</v>
      </c>
      <c r="L399" s="304">
        <v>0</v>
      </c>
      <c r="M399" s="304">
        <v>0</v>
      </c>
      <c r="N399" s="304">
        <v>0</v>
      </c>
      <c r="O399" s="304">
        <v>0</v>
      </c>
      <c r="P399" s="304">
        <v>0</v>
      </c>
      <c r="Q399" s="304">
        <v>0</v>
      </c>
      <c r="R399" s="304">
        <v>0</v>
      </c>
      <c r="S399" s="304">
        <v>0</v>
      </c>
      <c r="T399" s="304">
        <v>0</v>
      </c>
      <c r="U399" s="304">
        <v>0</v>
      </c>
      <c r="V399" s="304">
        <v>0</v>
      </c>
      <c r="W399" s="304">
        <v>0</v>
      </c>
      <c r="X399" s="304">
        <v>0</v>
      </c>
      <c r="Y399" s="304">
        <v>0</v>
      </c>
      <c r="Z399" s="304">
        <v>0</v>
      </c>
      <c r="AA399" s="304">
        <v>0</v>
      </c>
      <c r="AB399" s="303">
        <v>2020</v>
      </c>
    </row>
    <row r="400" spans="1:28" ht="35.25" customHeight="1" x14ac:dyDescent="0.5">
      <c r="A400">
        <v>1</v>
      </c>
      <c r="B400" s="80">
        <f>SUBTOTAL(103,$A$9:A400)</f>
        <v>388</v>
      </c>
      <c r="C400" s="300" t="s">
        <v>1957</v>
      </c>
      <c r="D400" s="296">
        <f t="shared" si="12"/>
        <v>2516334.0499999998</v>
      </c>
      <c r="E400" s="304">
        <v>0</v>
      </c>
      <c r="F400" s="304">
        <v>0</v>
      </c>
      <c r="G400" s="304">
        <v>0</v>
      </c>
      <c r="H400" s="304">
        <v>0</v>
      </c>
      <c r="I400" s="304">
        <v>0</v>
      </c>
      <c r="J400" s="304">
        <v>0</v>
      </c>
      <c r="K400" s="305">
        <v>0</v>
      </c>
      <c r="L400" s="304">
        <v>0</v>
      </c>
      <c r="M400" s="304">
        <v>2516334.0499999998</v>
      </c>
      <c r="N400" s="304">
        <v>0</v>
      </c>
      <c r="O400" s="304">
        <v>0</v>
      </c>
      <c r="P400" s="304">
        <v>0</v>
      </c>
      <c r="Q400" s="304">
        <v>0</v>
      </c>
      <c r="R400" s="304">
        <v>0</v>
      </c>
      <c r="S400" s="304">
        <v>0</v>
      </c>
      <c r="T400" s="304">
        <v>0</v>
      </c>
      <c r="U400" s="304">
        <v>0</v>
      </c>
      <c r="V400" s="304">
        <v>0</v>
      </c>
      <c r="W400" s="304">
        <v>0</v>
      </c>
      <c r="X400" s="304">
        <v>0</v>
      </c>
      <c r="Y400" s="304">
        <v>0</v>
      </c>
      <c r="Z400" s="304">
        <v>0</v>
      </c>
      <c r="AA400" s="304">
        <v>0</v>
      </c>
      <c r="AB400" s="303">
        <v>2020</v>
      </c>
    </row>
    <row r="401" spans="1:28" ht="35.25" customHeight="1" x14ac:dyDescent="0.5">
      <c r="A401">
        <v>1</v>
      </c>
      <c r="B401" s="80">
        <f>SUBTOTAL(103,$A$9:A401)</f>
        <v>389</v>
      </c>
      <c r="C401" s="300" t="s">
        <v>1958</v>
      </c>
      <c r="D401" s="296">
        <f t="shared" si="12"/>
        <v>294657.71999999997</v>
      </c>
      <c r="E401" s="304">
        <v>294657.71999999997</v>
      </c>
      <c r="F401" s="304">
        <v>0</v>
      </c>
      <c r="G401" s="304">
        <v>0</v>
      </c>
      <c r="H401" s="304">
        <v>0</v>
      </c>
      <c r="I401" s="304">
        <v>0</v>
      </c>
      <c r="J401" s="304">
        <v>0</v>
      </c>
      <c r="K401" s="305">
        <v>0</v>
      </c>
      <c r="L401" s="304">
        <v>0</v>
      </c>
      <c r="M401" s="304">
        <v>0</v>
      </c>
      <c r="N401" s="304">
        <v>0</v>
      </c>
      <c r="O401" s="304">
        <v>0</v>
      </c>
      <c r="P401" s="304">
        <v>0</v>
      </c>
      <c r="Q401" s="304">
        <v>0</v>
      </c>
      <c r="R401" s="304">
        <v>0</v>
      </c>
      <c r="S401" s="304">
        <v>0</v>
      </c>
      <c r="T401" s="304">
        <v>0</v>
      </c>
      <c r="U401" s="304">
        <v>0</v>
      </c>
      <c r="V401" s="304">
        <v>0</v>
      </c>
      <c r="W401" s="304">
        <v>0</v>
      </c>
      <c r="X401" s="304">
        <v>0</v>
      </c>
      <c r="Y401" s="304">
        <v>0</v>
      </c>
      <c r="Z401" s="304">
        <v>0</v>
      </c>
      <c r="AA401" s="304">
        <v>0</v>
      </c>
      <c r="AB401" s="303">
        <v>2020</v>
      </c>
    </row>
    <row r="402" spans="1:28" ht="35.25" customHeight="1" x14ac:dyDescent="0.5">
      <c r="A402">
        <v>1</v>
      </c>
      <c r="B402" s="80">
        <f>SUBTOTAL(103,$A$9:A402)</f>
        <v>390</v>
      </c>
      <c r="C402" s="300" t="s">
        <v>1959</v>
      </c>
      <c r="D402" s="296">
        <f t="shared" si="12"/>
        <v>1230830.94</v>
      </c>
      <c r="E402" s="304">
        <v>0</v>
      </c>
      <c r="F402" s="304">
        <v>0</v>
      </c>
      <c r="G402" s="304">
        <v>0</v>
      </c>
      <c r="H402" s="304">
        <v>0</v>
      </c>
      <c r="I402" s="304">
        <v>0</v>
      </c>
      <c r="J402" s="304">
        <v>0</v>
      </c>
      <c r="K402" s="305">
        <v>0</v>
      </c>
      <c r="L402" s="304">
        <v>0</v>
      </c>
      <c r="M402" s="304">
        <v>1230830.94</v>
      </c>
      <c r="N402" s="304">
        <v>0</v>
      </c>
      <c r="O402" s="304">
        <v>0</v>
      </c>
      <c r="P402" s="304">
        <v>0</v>
      </c>
      <c r="Q402" s="304">
        <v>0</v>
      </c>
      <c r="R402" s="304">
        <v>0</v>
      </c>
      <c r="S402" s="304">
        <v>0</v>
      </c>
      <c r="T402" s="304">
        <v>0</v>
      </c>
      <c r="U402" s="304">
        <v>0</v>
      </c>
      <c r="V402" s="304">
        <v>0</v>
      </c>
      <c r="W402" s="304">
        <v>0</v>
      </c>
      <c r="X402" s="304">
        <v>0</v>
      </c>
      <c r="Y402" s="304">
        <v>0</v>
      </c>
      <c r="Z402" s="304">
        <v>0</v>
      </c>
      <c r="AA402" s="304">
        <v>0</v>
      </c>
      <c r="AB402" s="303">
        <v>2020</v>
      </c>
    </row>
    <row r="403" spans="1:28" ht="35.25" customHeight="1" x14ac:dyDescent="0.5">
      <c r="A403">
        <v>1</v>
      </c>
      <c r="B403" s="80">
        <f>SUBTOTAL(103,$A$9:A403)</f>
        <v>391</v>
      </c>
      <c r="C403" s="300" t="s">
        <v>1960</v>
      </c>
      <c r="D403" s="296">
        <f t="shared" si="12"/>
        <v>1052055</v>
      </c>
      <c r="E403" s="304">
        <v>0</v>
      </c>
      <c r="F403" s="304">
        <v>0</v>
      </c>
      <c r="G403" s="304">
        <v>1052055</v>
      </c>
      <c r="H403" s="304">
        <v>0</v>
      </c>
      <c r="I403" s="304">
        <v>0</v>
      </c>
      <c r="J403" s="304">
        <v>0</v>
      </c>
      <c r="K403" s="305">
        <v>0</v>
      </c>
      <c r="L403" s="304">
        <v>0</v>
      </c>
      <c r="M403" s="304">
        <v>0</v>
      </c>
      <c r="N403" s="304">
        <v>0</v>
      </c>
      <c r="O403" s="304">
        <v>0</v>
      </c>
      <c r="P403" s="304">
        <v>0</v>
      </c>
      <c r="Q403" s="304">
        <v>0</v>
      </c>
      <c r="R403" s="304">
        <v>0</v>
      </c>
      <c r="S403" s="304">
        <v>0</v>
      </c>
      <c r="T403" s="304">
        <v>0</v>
      </c>
      <c r="U403" s="304">
        <v>0</v>
      </c>
      <c r="V403" s="304">
        <v>0</v>
      </c>
      <c r="W403" s="304">
        <v>0</v>
      </c>
      <c r="X403" s="304">
        <v>0</v>
      </c>
      <c r="Y403" s="304">
        <v>0</v>
      </c>
      <c r="Z403" s="304">
        <v>0</v>
      </c>
      <c r="AA403" s="304">
        <v>0</v>
      </c>
      <c r="AB403" s="303">
        <v>2020</v>
      </c>
    </row>
    <row r="404" spans="1:28" ht="35.25" customHeight="1" x14ac:dyDescent="0.5">
      <c r="A404">
        <v>1</v>
      </c>
      <c r="B404" s="80">
        <f>SUBTOTAL(103,$A$9:A404)</f>
        <v>392</v>
      </c>
      <c r="C404" s="300" t="s">
        <v>1961</v>
      </c>
      <c r="D404" s="296">
        <f t="shared" si="12"/>
        <v>527399.5</v>
      </c>
      <c r="E404" s="304">
        <v>0</v>
      </c>
      <c r="F404" s="304">
        <v>0</v>
      </c>
      <c r="G404" s="304">
        <v>0</v>
      </c>
      <c r="H404" s="304">
        <v>0</v>
      </c>
      <c r="I404" s="304">
        <v>0</v>
      </c>
      <c r="J404" s="304">
        <v>0</v>
      </c>
      <c r="K404" s="305">
        <v>0</v>
      </c>
      <c r="L404" s="304">
        <v>0</v>
      </c>
      <c r="M404" s="304">
        <v>527399.5</v>
      </c>
      <c r="N404" s="304">
        <v>0</v>
      </c>
      <c r="O404" s="304">
        <v>0</v>
      </c>
      <c r="P404" s="304">
        <v>0</v>
      </c>
      <c r="Q404" s="304">
        <v>0</v>
      </c>
      <c r="R404" s="304">
        <v>0</v>
      </c>
      <c r="S404" s="304">
        <v>0</v>
      </c>
      <c r="T404" s="304">
        <v>0</v>
      </c>
      <c r="U404" s="304">
        <v>0</v>
      </c>
      <c r="V404" s="304">
        <v>0</v>
      </c>
      <c r="W404" s="304">
        <v>0</v>
      </c>
      <c r="X404" s="304">
        <v>0</v>
      </c>
      <c r="Y404" s="304">
        <v>0</v>
      </c>
      <c r="Z404" s="304">
        <v>0</v>
      </c>
      <c r="AA404" s="304">
        <v>0</v>
      </c>
      <c r="AB404" s="303">
        <v>2020</v>
      </c>
    </row>
    <row r="405" spans="1:28" ht="35.25" customHeight="1" x14ac:dyDescent="0.5">
      <c r="A405">
        <v>1</v>
      </c>
      <c r="B405" s="80">
        <f>SUBTOTAL(103,$A$9:A405)</f>
        <v>393</v>
      </c>
      <c r="C405" s="300" t="s">
        <v>1962</v>
      </c>
      <c r="D405" s="296">
        <f t="shared" si="12"/>
        <v>687319</v>
      </c>
      <c r="E405" s="304">
        <v>0</v>
      </c>
      <c r="F405" s="304">
        <v>0</v>
      </c>
      <c r="G405" s="304">
        <v>0</v>
      </c>
      <c r="H405" s="304">
        <v>0</v>
      </c>
      <c r="I405" s="304">
        <v>0</v>
      </c>
      <c r="J405" s="304">
        <v>0</v>
      </c>
      <c r="K405" s="305">
        <v>0</v>
      </c>
      <c r="L405" s="304">
        <v>0</v>
      </c>
      <c r="M405" s="304">
        <v>687319</v>
      </c>
      <c r="N405" s="304">
        <v>0</v>
      </c>
      <c r="O405" s="304">
        <v>0</v>
      </c>
      <c r="P405" s="304">
        <v>0</v>
      </c>
      <c r="Q405" s="304">
        <v>0</v>
      </c>
      <c r="R405" s="304">
        <v>0</v>
      </c>
      <c r="S405" s="304">
        <v>0</v>
      </c>
      <c r="T405" s="304">
        <v>0</v>
      </c>
      <c r="U405" s="304">
        <v>0</v>
      </c>
      <c r="V405" s="304">
        <v>0</v>
      </c>
      <c r="W405" s="304">
        <v>0</v>
      </c>
      <c r="X405" s="304">
        <v>0</v>
      </c>
      <c r="Y405" s="304">
        <v>0</v>
      </c>
      <c r="Z405" s="304">
        <v>0</v>
      </c>
      <c r="AA405" s="304">
        <v>0</v>
      </c>
      <c r="AB405" s="303">
        <v>2020</v>
      </c>
    </row>
    <row r="406" spans="1:28" ht="35.25" customHeight="1" x14ac:dyDescent="0.5">
      <c r="A406">
        <v>1</v>
      </c>
      <c r="B406" s="80">
        <f>SUBTOTAL(103,$A$9:A406)</f>
        <v>394</v>
      </c>
      <c r="C406" s="300" t="s">
        <v>1963</v>
      </c>
      <c r="D406" s="296">
        <f t="shared" si="12"/>
        <v>350000</v>
      </c>
      <c r="E406" s="304">
        <v>0</v>
      </c>
      <c r="F406" s="304">
        <v>0</v>
      </c>
      <c r="G406" s="304">
        <v>0</v>
      </c>
      <c r="H406" s="304">
        <v>0</v>
      </c>
      <c r="I406" s="304">
        <v>0</v>
      </c>
      <c r="J406" s="304">
        <v>0</v>
      </c>
      <c r="K406" s="305">
        <v>0</v>
      </c>
      <c r="L406" s="304">
        <v>0</v>
      </c>
      <c r="M406" s="304">
        <v>350000</v>
      </c>
      <c r="N406" s="304">
        <v>0</v>
      </c>
      <c r="O406" s="304">
        <v>0</v>
      </c>
      <c r="P406" s="304">
        <v>0</v>
      </c>
      <c r="Q406" s="304">
        <v>0</v>
      </c>
      <c r="R406" s="304">
        <v>0</v>
      </c>
      <c r="S406" s="304">
        <v>0</v>
      </c>
      <c r="T406" s="304">
        <v>0</v>
      </c>
      <c r="U406" s="304">
        <v>0</v>
      </c>
      <c r="V406" s="304">
        <v>0</v>
      </c>
      <c r="W406" s="304">
        <v>0</v>
      </c>
      <c r="X406" s="304">
        <v>0</v>
      </c>
      <c r="Y406" s="304">
        <v>0</v>
      </c>
      <c r="Z406" s="304">
        <v>0</v>
      </c>
      <c r="AA406" s="304">
        <v>0</v>
      </c>
      <c r="AB406" s="303">
        <v>2020</v>
      </c>
    </row>
    <row r="407" spans="1:28" ht="35.25" customHeight="1" x14ac:dyDescent="0.5">
      <c r="A407">
        <v>1</v>
      </c>
      <c r="B407" s="80">
        <f>SUBTOTAL(103,$A$9:A407)</f>
        <v>395</v>
      </c>
      <c r="C407" s="300" t="s">
        <v>1964</v>
      </c>
      <c r="D407" s="296">
        <f t="shared" si="12"/>
        <v>571302</v>
      </c>
      <c r="E407" s="304">
        <v>0</v>
      </c>
      <c r="F407" s="304">
        <v>0</v>
      </c>
      <c r="G407" s="304">
        <v>0</v>
      </c>
      <c r="H407" s="304">
        <v>0</v>
      </c>
      <c r="I407" s="304">
        <v>0</v>
      </c>
      <c r="J407" s="304">
        <v>0</v>
      </c>
      <c r="K407" s="305">
        <v>0</v>
      </c>
      <c r="L407" s="304">
        <v>0</v>
      </c>
      <c r="M407" s="304">
        <v>0</v>
      </c>
      <c r="N407" s="304">
        <v>0</v>
      </c>
      <c r="O407" s="304">
        <v>571302</v>
      </c>
      <c r="P407" s="304">
        <v>0</v>
      </c>
      <c r="Q407" s="304">
        <v>0</v>
      </c>
      <c r="R407" s="304">
        <v>0</v>
      </c>
      <c r="S407" s="304">
        <v>0</v>
      </c>
      <c r="T407" s="304">
        <v>0</v>
      </c>
      <c r="U407" s="304">
        <v>0</v>
      </c>
      <c r="V407" s="304">
        <v>0</v>
      </c>
      <c r="W407" s="304">
        <v>0</v>
      </c>
      <c r="X407" s="304">
        <v>0</v>
      </c>
      <c r="Y407" s="304">
        <v>0</v>
      </c>
      <c r="Z407" s="304">
        <v>0</v>
      </c>
      <c r="AA407" s="304">
        <v>0</v>
      </c>
      <c r="AB407" s="303">
        <v>2020</v>
      </c>
    </row>
    <row r="408" spans="1:28" ht="35.25" customHeight="1" x14ac:dyDescent="0.5">
      <c r="A408">
        <v>1</v>
      </c>
      <c r="B408" s="80">
        <f>SUBTOTAL(103,$A$9:A408)</f>
        <v>396</v>
      </c>
      <c r="C408" s="300" t="s">
        <v>1965</v>
      </c>
      <c r="D408" s="296">
        <f t="shared" si="12"/>
        <v>283242</v>
      </c>
      <c r="E408" s="304">
        <v>0</v>
      </c>
      <c r="F408" s="304">
        <v>0</v>
      </c>
      <c r="G408" s="304">
        <v>0</v>
      </c>
      <c r="H408" s="304">
        <v>0</v>
      </c>
      <c r="I408" s="304">
        <v>0</v>
      </c>
      <c r="J408" s="304">
        <v>0</v>
      </c>
      <c r="K408" s="305">
        <v>0</v>
      </c>
      <c r="L408" s="304">
        <v>0</v>
      </c>
      <c r="M408" s="304">
        <v>283242</v>
      </c>
      <c r="N408" s="304">
        <v>0</v>
      </c>
      <c r="O408" s="304">
        <v>0</v>
      </c>
      <c r="P408" s="304">
        <v>0</v>
      </c>
      <c r="Q408" s="304">
        <v>0</v>
      </c>
      <c r="R408" s="304">
        <v>0</v>
      </c>
      <c r="S408" s="304">
        <v>0</v>
      </c>
      <c r="T408" s="304">
        <v>0</v>
      </c>
      <c r="U408" s="304">
        <v>0</v>
      </c>
      <c r="V408" s="304">
        <v>0</v>
      </c>
      <c r="W408" s="304">
        <v>0</v>
      </c>
      <c r="X408" s="304">
        <v>0</v>
      </c>
      <c r="Y408" s="304">
        <v>0</v>
      </c>
      <c r="Z408" s="304">
        <v>0</v>
      </c>
      <c r="AA408" s="304">
        <v>0</v>
      </c>
      <c r="AB408" s="303">
        <v>2020</v>
      </c>
    </row>
    <row r="409" spans="1:28" ht="35.25" customHeight="1" x14ac:dyDescent="0.5">
      <c r="A409">
        <v>1</v>
      </c>
      <c r="B409" s="80">
        <f>SUBTOTAL(103,$A$9:A409)</f>
        <v>397</v>
      </c>
      <c r="C409" s="300" t="s">
        <v>1966</v>
      </c>
      <c r="D409" s="296">
        <f t="shared" si="12"/>
        <v>210000</v>
      </c>
      <c r="E409" s="304">
        <v>0</v>
      </c>
      <c r="F409" s="304">
        <v>0</v>
      </c>
      <c r="G409" s="304">
        <v>0</v>
      </c>
      <c r="H409" s="304">
        <v>0</v>
      </c>
      <c r="I409" s="304">
        <v>0</v>
      </c>
      <c r="J409" s="304">
        <v>0</v>
      </c>
      <c r="K409" s="305">
        <v>0</v>
      </c>
      <c r="L409" s="304">
        <v>0</v>
      </c>
      <c r="M409" s="304">
        <v>210000</v>
      </c>
      <c r="N409" s="304">
        <v>0</v>
      </c>
      <c r="O409" s="304">
        <v>0</v>
      </c>
      <c r="P409" s="304">
        <v>0</v>
      </c>
      <c r="Q409" s="304">
        <v>0</v>
      </c>
      <c r="R409" s="304">
        <v>0</v>
      </c>
      <c r="S409" s="304">
        <v>0</v>
      </c>
      <c r="T409" s="304">
        <v>0</v>
      </c>
      <c r="U409" s="304">
        <v>0</v>
      </c>
      <c r="V409" s="304">
        <v>0</v>
      </c>
      <c r="W409" s="304">
        <v>0</v>
      </c>
      <c r="X409" s="304">
        <v>0</v>
      </c>
      <c r="Y409" s="304">
        <v>0</v>
      </c>
      <c r="Z409" s="304">
        <v>0</v>
      </c>
      <c r="AA409" s="304">
        <v>0</v>
      </c>
      <c r="AB409" s="303">
        <v>2020</v>
      </c>
    </row>
    <row r="410" spans="1:28" ht="35.25" customHeight="1" x14ac:dyDescent="0.5">
      <c r="A410">
        <v>1</v>
      </c>
      <c r="B410" s="80">
        <f>SUBTOTAL(103,$A$9:A410)</f>
        <v>398</v>
      </c>
      <c r="C410" s="300" t="s">
        <v>1967</v>
      </c>
      <c r="D410" s="296">
        <f t="shared" si="12"/>
        <v>482863</v>
      </c>
      <c r="E410" s="304">
        <v>0</v>
      </c>
      <c r="F410" s="304">
        <v>0</v>
      </c>
      <c r="G410" s="304">
        <v>482863</v>
      </c>
      <c r="H410" s="304">
        <v>0</v>
      </c>
      <c r="I410" s="304">
        <v>0</v>
      </c>
      <c r="J410" s="304">
        <v>0</v>
      </c>
      <c r="K410" s="305">
        <v>0</v>
      </c>
      <c r="L410" s="304">
        <v>0</v>
      </c>
      <c r="M410" s="304">
        <v>0</v>
      </c>
      <c r="N410" s="304">
        <v>0</v>
      </c>
      <c r="O410" s="304">
        <v>0</v>
      </c>
      <c r="P410" s="304">
        <v>0</v>
      </c>
      <c r="Q410" s="304">
        <v>0</v>
      </c>
      <c r="R410" s="304">
        <v>0</v>
      </c>
      <c r="S410" s="304">
        <v>0</v>
      </c>
      <c r="T410" s="304">
        <v>0</v>
      </c>
      <c r="U410" s="304">
        <v>0</v>
      </c>
      <c r="V410" s="304">
        <v>0</v>
      </c>
      <c r="W410" s="304">
        <v>0</v>
      </c>
      <c r="X410" s="304">
        <v>0</v>
      </c>
      <c r="Y410" s="304">
        <v>0</v>
      </c>
      <c r="Z410" s="304">
        <v>0</v>
      </c>
      <c r="AA410" s="304">
        <v>0</v>
      </c>
      <c r="AB410" s="303">
        <v>2020</v>
      </c>
    </row>
    <row r="411" spans="1:28" ht="35.25" customHeight="1" x14ac:dyDescent="0.5">
      <c r="A411">
        <v>1</v>
      </c>
      <c r="B411" s="80">
        <f>SUBTOTAL(103,$A$9:A411)</f>
        <v>399</v>
      </c>
      <c r="C411" s="300" t="s">
        <v>1968</v>
      </c>
      <c r="D411" s="296">
        <f t="shared" si="12"/>
        <v>237404</v>
      </c>
      <c r="E411" s="304">
        <v>0</v>
      </c>
      <c r="F411" s="304">
        <v>0</v>
      </c>
      <c r="G411" s="304">
        <v>0</v>
      </c>
      <c r="H411" s="304">
        <v>0</v>
      </c>
      <c r="I411" s="304">
        <v>0</v>
      </c>
      <c r="J411" s="304">
        <v>0</v>
      </c>
      <c r="K411" s="305">
        <v>0</v>
      </c>
      <c r="L411" s="304">
        <v>0</v>
      </c>
      <c r="M411" s="304">
        <v>237404</v>
      </c>
      <c r="N411" s="304">
        <v>0</v>
      </c>
      <c r="O411" s="304">
        <v>0</v>
      </c>
      <c r="P411" s="304">
        <v>0</v>
      </c>
      <c r="Q411" s="304">
        <v>0</v>
      </c>
      <c r="R411" s="304">
        <v>0</v>
      </c>
      <c r="S411" s="304">
        <v>0</v>
      </c>
      <c r="T411" s="304">
        <v>0</v>
      </c>
      <c r="U411" s="304">
        <v>0</v>
      </c>
      <c r="V411" s="304">
        <v>0</v>
      </c>
      <c r="W411" s="304">
        <v>0</v>
      </c>
      <c r="X411" s="304">
        <v>0</v>
      </c>
      <c r="Y411" s="304">
        <v>0</v>
      </c>
      <c r="Z411" s="304">
        <v>0</v>
      </c>
      <c r="AA411" s="304">
        <v>0</v>
      </c>
      <c r="AB411" s="303">
        <v>2020</v>
      </c>
    </row>
    <row r="412" spans="1:28" ht="35.25" customHeight="1" x14ac:dyDescent="0.5">
      <c r="A412">
        <v>1</v>
      </c>
      <c r="B412" s="80">
        <f>SUBTOTAL(103,$A$9:A412)</f>
        <v>400</v>
      </c>
      <c r="C412" s="300" t="s">
        <v>1969</v>
      </c>
      <c r="D412" s="296">
        <f t="shared" si="12"/>
        <v>265768</v>
      </c>
      <c r="E412" s="304">
        <v>0</v>
      </c>
      <c r="F412" s="304">
        <v>0</v>
      </c>
      <c r="G412" s="304">
        <v>265768</v>
      </c>
      <c r="H412" s="304">
        <v>0</v>
      </c>
      <c r="I412" s="304">
        <v>0</v>
      </c>
      <c r="J412" s="304">
        <v>0</v>
      </c>
      <c r="K412" s="305">
        <v>0</v>
      </c>
      <c r="L412" s="304">
        <v>0</v>
      </c>
      <c r="M412" s="304">
        <v>0</v>
      </c>
      <c r="N412" s="304">
        <v>0</v>
      </c>
      <c r="O412" s="304">
        <v>0</v>
      </c>
      <c r="P412" s="304">
        <v>0</v>
      </c>
      <c r="Q412" s="304">
        <v>0</v>
      </c>
      <c r="R412" s="304">
        <v>0</v>
      </c>
      <c r="S412" s="304">
        <v>0</v>
      </c>
      <c r="T412" s="304">
        <v>0</v>
      </c>
      <c r="U412" s="304">
        <v>0</v>
      </c>
      <c r="V412" s="304">
        <v>0</v>
      </c>
      <c r="W412" s="304">
        <v>0</v>
      </c>
      <c r="X412" s="304">
        <v>0</v>
      </c>
      <c r="Y412" s="304">
        <v>0</v>
      </c>
      <c r="Z412" s="304">
        <v>0</v>
      </c>
      <c r="AA412" s="304">
        <v>0</v>
      </c>
      <c r="AB412" s="303">
        <v>2020</v>
      </c>
    </row>
    <row r="413" spans="1:28" ht="35.25" customHeight="1" x14ac:dyDescent="0.5">
      <c r="A413">
        <v>1</v>
      </c>
      <c r="B413" s="80">
        <f>SUBTOTAL(103,$A$9:A413)</f>
        <v>401</v>
      </c>
      <c r="C413" s="300" t="s">
        <v>1970</v>
      </c>
      <c r="D413" s="296">
        <f t="shared" si="12"/>
        <v>643076</v>
      </c>
      <c r="E413" s="304">
        <v>0</v>
      </c>
      <c r="F413" s="304">
        <v>0</v>
      </c>
      <c r="G413" s="304">
        <v>0</v>
      </c>
      <c r="H413" s="304">
        <v>13076</v>
      </c>
      <c r="I413" s="304">
        <v>0</v>
      </c>
      <c r="J413" s="304">
        <v>0</v>
      </c>
      <c r="K413" s="305">
        <v>0</v>
      </c>
      <c r="L413" s="304">
        <v>0</v>
      </c>
      <c r="M413" s="304">
        <v>0</v>
      </c>
      <c r="N413" s="304">
        <v>0</v>
      </c>
      <c r="O413" s="304">
        <v>630000</v>
      </c>
      <c r="P413" s="304">
        <v>0</v>
      </c>
      <c r="Q413" s="304">
        <v>0</v>
      </c>
      <c r="R413" s="304">
        <v>0</v>
      </c>
      <c r="S413" s="304">
        <v>0</v>
      </c>
      <c r="T413" s="304">
        <v>0</v>
      </c>
      <c r="U413" s="304">
        <v>0</v>
      </c>
      <c r="V413" s="304">
        <v>0</v>
      </c>
      <c r="W413" s="304">
        <v>0</v>
      </c>
      <c r="X413" s="304">
        <v>0</v>
      </c>
      <c r="Y413" s="304">
        <v>0</v>
      </c>
      <c r="Z413" s="304">
        <v>0</v>
      </c>
      <c r="AA413" s="304">
        <v>0</v>
      </c>
      <c r="AB413" s="303">
        <v>2020</v>
      </c>
    </row>
    <row r="414" spans="1:28" ht="35.25" customHeight="1" x14ac:dyDescent="0.5">
      <c r="A414">
        <v>1</v>
      </c>
      <c r="B414" s="80">
        <f>SUBTOTAL(103,$A$9:A414)</f>
        <v>402</v>
      </c>
      <c r="C414" s="300" t="s">
        <v>3375</v>
      </c>
      <c r="D414" s="296">
        <f t="shared" si="12"/>
        <v>682931</v>
      </c>
      <c r="E414" s="304">
        <v>0</v>
      </c>
      <c r="F414" s="304">
        <v>0</v>
      </c>
      <c r="G414" s="304">
        <v>0</v>
      </c>
      <c r="H414" s="304">
        <v>0</v>
      </c>
      <c r="I414" s="304">
        <v>0</v>
      </c>
      <c r="J414" s="304">
        <v>0</v>
      </c>
      <c r="K414" s="305">
        <v>0</v>
      </c>
      <c r="L414" s="304">
        <v>0</v>
      </c>
      <c r="M414" s="304">
        <v>0</v>
      </c>
      <c r="N414" s="304">
        <v>0</v>
      </c>
      <c r="O414" s="304">
        <v>682931</v>
      </c>
      <c r="P414" s="304">
        <v>0</v>
      </c>
      <c r="Q414" s="304">
        <v>0</v>
      </c>
      <c r="R414" s="304">
        <v>0</v>
      </c>
      <c r="S414" s="304">
        <v>0</v>
      </c>
      <c r="T414" s="304">
        <v>0</v>
      </c>
      <c r="U414" s="304">
        <v>0</v>
      </c>
      <c r="V414" s="304">
        <v>0</v>
      </c>
      <c r="W414" s="304">
        <v>0</v>
      </c>
      <c r="X414" s="304">
        <v>0</v>
      </c>
      <c r="Y414" s="304">
        <v>0</v>
      </c>
      <c r="Z414" s="304">
        <v>0</v>
      </c>
      <c r="AA414" s="304">
        <v>0</v>
      </c>
      <c r="AB414" s="303">
        <v>2020</v>
      </c>
    </row>
    <row r="415" spans="1:28" ht="35.25" customHeight="1" x14ac:dyDescent="0.5">
      <c r="A415">
        <v>1</v>
      </c>
      <c r="B415" s="80">
        <f>SUBTOTAL(103,$A$9:A415)</f>
        <v>403</v>
      </c>
      <c r="C415" s="300" t="s">
        <v>1971</v>
      </c>
      <c r="D415" s="296">
        <f t="shared" si="12"/>
        <v>67129</v>
      </c>
      <c r="E415" s="304">
        <v>0</v>
      </c>
      <c r="F415" s="304">
        <v>0</v>
      </c>
      <c r="G415" s="304">
        <v>0</v>
      </c>
      <c r="H415" s="304">
        <v>0</v>
      </c>
      <c r="I415" s="304">
        <v>0</v>
      </c>
      <c r="J415" s="304">
        <v>0</v>
      </c>
      <c r="K415" s="305">
        <v>0</v>
      </c>
      <c r="L415" s="304">
        <v>0</v>
      </c>
      <c r="M415" s="304">
        <v>0</v>
      </c>
      <c r="N415" s="304">
        <v>0</v>
      </c>
      <c r="O415" s="304">
        <v>67129</v>
      </c>
      <c r="P415" s="304">
        <v>0</v>
      </c>
      <c r="Q415" s="304">
        <v>0</v>
      </c>
      <c r="R415" s="304">
        <v>0</v>
      </c>
      <c r="S415" s="304">
        <v>0</v>
      </c>
      <c r="T415" s="304">
        <v>0</v>
      </c>
      <c r="U415" s="304">
        <v>0</v>
      </c>
      <c r="V415" s="304">
        <v>0</v>
      </c>
      <c r="W415" s="304">
        <v>0</v>
      </c>
      <c r="X415" s="304">
        <v>0</v>
      </c>
      <c r="Y415" s="304">
        <v>0</v>
      </c>
      <c r="Z415" s="304">
        <v>0</v>
      </c>
      <c r="AA415" s="304">
        <v>0</v>
      </c>
      <c r="AB415" s="303">
        <v>2020</v>
      </c>
    </row>
    <row r="416" spans="1:28" ht="35.25" customHeight="1" x14ac:dyDescent="0.5">
      <c r="A416">
        <v>1</v>
      </c>
      <c r="B416" s="80">
        <f>SUBTOTAL(103,$A$9:A416)</f>
        <v>404</v>
      </c>
      <c r="C416" s="300" t="s">
        <v>2387</v>
      </c>
      <c r="D416" s="296">
        <f t="shared" si="12"/>
        <v>1150780</v>
      </c>
      <c r="E416" s="304">
        <v>0</v>
      </c>
      <c r="F416" s="304">
        <v>0</v>
      </c>
      <c r="G416" s="304">
        <v>0</v>
      </c>
      <c r="H416" s="304">
        <v>0</v>
      </c>
      <c r="I416" s="304">
        <v>0</v>
      </c>
      <c r="J416" s="304">
        <v>0</v>
      </c>
      <c r="K416" s="305">
        <v>0</v>
      </c>
      <c r="L416" s="304">
        <v>0</v>
      </c>
      <c r="M416" s="304">
        <v>0</v>
      </c>
      <c r="N416" s="304">
        <v>0</v>
      </c>
      <c r="O416" s="304">
        <v>1150780</v>
      </c>
      <c r="P416" s="304">
        <v>0</v>
      </c>
      <c r="Q416" s="304">
        <v>0</v>
      </c>
      <c r="R416" s="304">
        <v>0</v>
      </c>
      <c r="S416" s="304">
        <v>0</v>
      </c>
      <c r="T416" s="304">
        <v>0</v>
      </c>
      <c r="U416" s="304">
        <v>0</v>
      </c>
      <c r="V416" s="304">
        <v>0</v>
      </c>
      <c r="W416" s="304">
        <v>0</v>
      </c>
      <c r="X416" s="304">
        <v>0</v>
      </c>
      <c r="Y416" s="304">
        <v>0</v>
      </c>
      <c r="Z416" s="304">
        <v>0</v>
      </c>
      <c r="AA416" s="304">
        <v>0</v>
      </c>
      <c r="AB416" s="303">
        <v>2020</v>
      </c>
    </row>
    <row r="417" spans="1:28" ht="35.25" customHeight="1" x14ac:dyDescent="0.5">
      <c r="A417">
        <v>1</v>
      </c>
      <c r="B417" s="80">
        <f>SUBTOTAL(103,$A$9:A417)</f>
        <v>405</v>
      </c>
      <c r="C417" s="300" t="s">
        <v>2388</v>
      </c>
      <c r="D417" s="296">
        <f t="shared" si="12"/>
        <v>1950220</v>
      </c>
      <c r="E417" s="304">
        <v>0</v>
      </c>
      <c r="F417" s="304">
        <v>0</v>
      </c>
      <c r="G417" s="304">
        <v>0</v>
      </c>
      <c r="H417" s="304">
        <v>0</v>
      </c>
      <c r="I417" s="304">
        <v>0</v>
      </c>
      <c r="J417" s="304">
        <v>0</v>
      </c>
      <c r="K417" s="305">
        <v>1</v>
      </c>
      <c r="L417" s="304">
        <v>1950220</v>
      </c>
      <c r="M417" s="304">
        <v>0</v>
      </c>
      <c r="N417" s="304">
        <v>0</v>
      </c>
      <c r="O417" s="304">
        <v>0</v>
      </c>
      <c r="P417" s="304">
        <v>0</v>
      </c>
      <c r="Q417" s="304">
        <v>0</v>
      </c>
      <c r="R417" s="304">
        <v>0</v>
      </c>
      <c r="S417" s="304">
        <v>0</v>
      </c>
      <c r="T417" s="304">
        <v>0</v>
      </c>
      <c r="U417" s="304">
        <v>0</v>
      </c>
      <c r="V417" s="304">
        <v>0</v>
      </c>
      <c r="W417" s="304">
        <v>0</v>
      </c>
      <c r="X417" s="304">
        <v>0</v>
      </c>
      <c r="Y417" s="304">
        <v>0</v>
      </c>
      <c r="Z417" s="304">
        <v>0</v>
      </c>
      <c r="AA417" s="304">
        <v>0</v>
      </c>
      <c r="AB417" s="303">
        <v>2020</v>
      </c>
    </row>
    <row r="418" spans="1:28" ht="35.25" customHeight="1" x14ac:dyDescent="0.5">
      <c r="A418">
        <v>1</v>
      </c>
      <c r="B418" s="80">
        <f>SUBTOTAL(103,$A$9:A418)</f>
        <v>406</v>
      </c>
      <c r="C418" s="300" t="s">
        <v>1972</v>
      </c>
      <c r="D418" s="296">
        <f t="shared" si="12"/>
        <v>304016</v>
      </c>
      <c r="E418" s="304">
        <v>0</v>
      </c>
      <c r="F418" s="304">
        <v>0</v>
      </c>
      <c r="G418" s="304">
        <v>0</v>
      </c>
      <c r="H418" s="304">
        <v>0</v>
      </c>
      <c r="I418" s="304">
        <v>0</v>
      </c>
      <c r="J418" s="304">
        <v>0</v>
      </c>
      <c r="K418" s="305">
        <v>0</v>
      </c>
      <c r="L418" s="304">
        <v>0</v>
      </c>
      <c r="M418" s="304">
        <v>304016</v>
      </c>
      <c r="N418" s="304">
        <v>0</v>
      </c>
      <c r="O418" s="304">
        <v>0</v>
      </c>
      <c r="P418" s="304">
        <v>0</v>
      </c>
      <c r="Q418" s="304">
        <v>0</v>
      </c>
      <c r="R418" s="304">
        <v>0</v>
      </c>
      <c r="S418" s="304">
        <v>0</v>
      </c>
      <c r="T418" s="304">
        <v>0</v>
      </c>
      <c r="U418" s="304">
        <v>0</v>
      </c>
      <c r="V418" s="304">
        <v>0</v>
      </c>
      <c r="W418" s="304">
        <v>0</v>
      </c>
      <c r="X418" s="304">
        <v>0</v>
      </c>
      <c r="Y418" s="304">
        <v>0</v>
      </c>
      <c r="Z418" s="304">
        <v>0</v>
      </c>
      <c r="AA418" s="304">
        <v>0</v>
      </c>
      <c r="AB418" s="303">
        <v>2020</v>
      </c>
    </row>
    <row r="419" spans="1:28" ht="35.25" customHeight="1" x14ac:dyDescent="0.5">
      <c r="A419">
        <v>1</v>
      </c>
      <c r="B419" s="80">
        <f>SUBTOTAL(103,$A$9:A419)</f>
        <v>407</v>
      </c>
      <c r="C419" s="300" t="s">
        <v>1973</v>
      </c>
      <c r="D419" s="296">
        <f t="shared" si="12"/>
        <v>155485</v>
      </c>
      <c r="E419" s="304">
        <v>0</v>
      </c>
      <c r="F419" s="304">
        <v>0</v>
      </c>
      <c r="G419" s="304">
        <v>0</v>
      </c>
      <c r="H419" s="304">
        <v>0</v>
      </c>
      <c r="I419" s="304">
        <v>0</v>
      </c>
      <c r="J419" s="304">
        <v>0</v>
      </c>
      <c r="K419" s="305">
        <v>0</v>
      </c>
      <c r="L419" s="304">
        <v>0</v>
      </c>
      <c r="M419" s="304">
        <v>0</v>
      </c>
      <c r="N419" s="304">
        <v>0</v>
      </c>
      <c r="O419" s="304">
        <v>155485</v>
      </c>
      <c r="P419" s="304">
        <v>0</v>
      </c>
      <c r="Q419" s="304">
        <v>0</v>
      </c>
      <c r="R419" s="304">
        <v>0</v>
      </c>
      <c r="S419" s="304">
        <v>0</v>
      </c>
      <c r="T419" s="304">
        <v>0</v>
      </c>
      <c r="U419" s="304">
        <v>0</v>
      </c>
      <c r="V419" s="304">
        <v>0</v>
      </c>
      <c r="W419" s="304">
        <v>0</v>
      </c>
      <c r="X419" s="304">
        <v>0</v>
      </c>
      <c r="Y419" s="304">
        <v>0</v>
      </c>
      <c r="Z419" s="304">
        <v>0</v>
      </c>
      <c r="AA419" s="304">
        <v>0</v>
      </c>
      <c r="AB419" s="303">
        <v>2020</v>
      </c>
    </row>
    <row r="420" spans="1:28" ht="35.25" customHeight="1" x14ac:dyDescent="0.5">
      <c r="A420">
        <v>1</v>
      </c>
      <c r="B420" s="80">
        <f>SUBTOTAL(103,$A$9:A420)</f>
        <v>408</v>
      </c>
      <c r="C420" s="300" t="s">
        <v>1974</v>
      </c>
      <c r="D420" s="296">
        <f t="shared" si="12"/>
        <v>690218</v>
      </c>
      <c r="E420" s="304">
        <v>0</v>
      </c>
      <c r="F420" s="304">
        <v>0</v>
      </c>
      <c r="G420" s="304">
        <v>0</v>
      </c>
      <c r="H420" s="304">
        <v>0</v>
      </c>
      <c r="I420" s="304">
        <v>0</v>
      </c>
      <c r="J420" s="304">
        <v>0</v>
      </c>
      <c r="K420" s="305">
        <v>0</v>
      </c>
      <c r="L420" s="304">
        <v>0</v>
      </c>
      <c r="M420" s="304">
        <v>690218</v>
      </c>
      <c r="N420" s="304">
        <v>0</v>
      </c>
      <c r="O420" s="304">
        <v>0</v>
      </c>
      <c r="P420" s="304">
        <v>0</v>
      </c>
      <c r="Q420" s="304">
        <v>0</v>
      </c>
      <c r="R420" s="304">
        <v>0</v>
      </c>
      <c r="S420" s="304">
        <v>0</v>
      </c>
      <c r="T420" s="304">
        <v>0</v>
      </c>
      <c r="U420" s="304">
        <v>0</v>
      </c>
      <c r="V420" s="304">
        <v>0</v>
      </c>
      <c r="W420" s="304">
        <v>0</v>
      </c>
      <c r="X420" s="304">
        <v>0</v>
      </c>
      <c r="Y420" s="304">
        <v>0</v>
      </c>
      <c r="Z420" s="304">
        <v>0</v>
      </c>
      <c r="AA420" s="304">
        <v>0</v>
      </c>
      <c r="AB420" s="303">
        <v>2020</v>
      </c>
    </row>
    <row r="421" spans="1:28" ht="35.25" customHeight="1" x14ac:dyDescent="0.5">
      <c r="A421">
        <v>1</v>
      </c>
      <c r="B421" s="80">
        <f>SUBTOTAL(103,$A$9:A421)</f>
        <v>409</v>
      </c>
      <c r="C421" s="300" t="s">
        <v>1975</v>
      </c>
      <c r="D421" s="296">
        <f t="shared" si="12"/>
        <v>714020</v>
      </c>
      <c r="E421" s="304">
        <v>0</v>
      </c>
      <c r="F421" s="304">
        <v>0</v>
      </c>
      <c r="G421" s="304">
        <v>0</v>
      </c>
      <c r="H421" s="304">
        <v>0</v>
      </c>
      <c r="I421" s="304">
        <v>0</v>
      </c>
      <c r="J421" s="304">
        <v>0</v>
      </c>
      <c r="K421" s="305">
        <v>0</v>
      </c>
      <c r="L421" s="304">
        <v>0</v>
      </c>
      <c r="M421" s="304">
        <v>714020</v>
      </c>
      <c r="N421" s="304">
        <v>0</v>
      </c>
      <c r="O421" s="304">
        <v>0</v>
      </c>
      <c r="P421" s="304">
        <v>0</v>
      </c>
      <c r="Q421" s="304">
        <v>0</v>
      </c>
      <c r="R421" s="304">
        <v>0</v>
      </c>
      <c r="S421" s="304">
        <v>0</v>
      </c>
      <c r="T421" s="304">
        <v>0</v>
      </c>
      <c r="U421" s="304">
        <v>0</v>
      </c>
      <c r="V421" s="304">
        <v>0</v>
      </c>
      <c r="W421" s="304">
        <v>0</v>
      </c>
      <c r="X421" s="304">
        <v>0</v>
      </c>
      <c r="Y421" s="304">
        <v>0</v>
      </c>
      <c r="Z421" s="304">
        <v>0</v>
      </c>
      <c r="AA421" s="304">
        <v>0</v>
      </c>
      <c r="AB421" s="303">
        <v>2020</v>
      </c>
    </row>
    <row r="422" spans="1:28" ht="35.25" customHeight="1" x14ac:dyDescent="0.5">
      <c r="A422">
        <v>1</v>
      </c>
      <c r="B422" s="80">
        <f>SUBTOTAL(103,$A$9:A422)</f>
        <v>410</v>
      </c>
      <c r="C422" s="300" t="s">
        <v>1976</v>
      </c>
      <c r="D422" s="296">
        <f t="shared" si="12"/>
        <v>362535</v>
      </c>
      <c r="E422" s="304">
        <v>0</v>
      </c>
      <c r="F422" s="304">
        <v>0</v>
      </c>
      <c r="G422" s="304">
        <v>0</v>
      </c>
      <c r="H422" s="304">
        <v>131566</v>
      </c>
      <c r="I422" s="304">
        <v>0</v>
      </c>
      <c r="J422" s="304">
        <v>0</v>
      </c>
      <c r="K422" s="305">
        <v>0</v>
      </c>
      <c r="L422" s="304">
        <v>0</v>
      </c>
      <c r="M422" s="304">
        <v>0</v>
      </c>
      <c r="N422" s="304">
        <v>0</v>
      </c>
      <c r="O422" s="304">
        <v>230969</v>
      </c>
      <c r="P422" s="304">
        <v>0</v>
      </c>
      <c r="Q422" s="304">
        <v>0</v>
      </c>
      <c r="R422" s="304">
        <v>0</v>
      </c>
      <c r="S422" s="304">
        <v>0</v>
      </c>
      <c r="T422" s="304">
        <v>0</v>
      </c>
      <c r="U422" s="304">
        <v>0</v>
      </c>
      <c r="V422" s="304">
        <v>0</v>
      </c>
      <c r="W422" s="304">
        <v>0</v>
      </c>
      <c r="X422" s="304">
        <v>0</v>
      </c>
      <c r="Y422" s="304">
        <v>0</v>
      </c>
      <c r="Z422" s="304">
        <v>0</v>
      </c>
      <c r="AA422" s="304">
        <v>0</v>
      </c>
      <c r="AB422" s="303">
        <v>2020</v>
      </c>
    </row>
    <row r="423" spans="1:28" ht="35.25" customHeight="1" x14ac:dyDescent="0.5">
      <c r="A423">
        <v>1</v>
      </c>
      <c r="B423" s="80">
        <f>SUBTOTAL(103,$A$9:A423)</f>
        <v>411</v>
      </c>
      <c r="C423" s="300" t="s">
        <v>1977</v>
      </c>
      <c r="D423" s="296">
        <f t="shared" si="12"/>
        <v>1143898</v>
      </c>
      <c r="E423" s="304">
        <v>0</v>
      </c>
      <c r="F423" s="304">
        <v>0</v>
      </c>
      <c r="G423" s="304">
        <v>0</v>
      </c>
      <c r="H423" s="304">
        <v>0</v>
      </c>
      <c r="I423" s="304">
        <v>0</v>
      </c>
      <c r="J423" s="304">
        <v>0</v>
      </c>
      <c r="K423" s="305">
        <v>0</v>
      </c>
      <c r="L423" s="304">
        <v>0</v>
      </c>
      <c r="M423" s="304">
        <v>0</v>
      </c>
      <c r="N423" s="304">
        <v>0</v>
      </c>
      <c r="O423" s="304">
        <v>1143898</v>
      </c>
      <c r="P423" s="304">
        <v>0</v>
      </c>
      <c r="Q423" s="304">
        <v>0</v>
      </c>
      <c r="R423" s="304">
        <v>0</v>
      </c>
      <c r="S423" s="304">
        <v>0</v>
      </c>
      <c r="T423" s="304">
        <v>0</v>
      </c>
      <c r="U423" s="304">
        <v>0</v>
      </c>
      <c r="V423" s="304">
        <v>0</v>
      </c>
      <c r="W423" s="304">
        <v>0</v>
      </c>
      <c r="X423" s="304">
        <v>0</v>
      </c>
      <c r="Y423" s="304">
        <v>0</v>
      </c>
      <c r="Z423" s="304">
        <v>0</v>
      </c>
      <c r="AA423" s="304">
        <v>0</v>
      </c>
      <c r="AB423" s="303">
        <v>2020</v>
      </c>
    </row>
    <row r="424" spans="1:28" ht="35.25" customHeight="1" x14ac:dyDescent="0.5">
      <c r="A424">
        <v>1</v>
      </c>
      <c r="B424" s="80">
        <f>SUBTOTAL(103,$A$9:A424)</f>
        <v>412</v>
      </c>
      <c r="C424" s="300" t="s">
        <v>3376</v>
      </c>
      <c r="D424" s="296">
        <f t="shared" si="12"/>
        <v>295760</v>
      </c>
      <c r="E424" s="304">
        <v>0</v>
      </c>
      <c r="F424" s="304">
        <v>0</v>
      </c>
      <c r="G424" s="304">
        <v>0</v>
      </c>
      <c r="H424" s="304">
        <v>0</v>
      </c>
      <c r="I424" s="304">
        <v>0</v>
      </c>
      <c r="J424" s="304">
        <v>0</v>
      </c>
      <c r="K424" s="305">
        <v>0</v>
      </c>
      <c r="L424" s="304">
        <v>0</v>
      </c>
      <c r="M424" s="304">
        <v>0</v>
      </c>
      <c r="N424" s="304">
        <v>0</v>
      </c>
      <c r="O424" s="304">
        <v>295760</v>
      </c>
      <c r="P424" s="304">
        <v>0</v>
      </c>
      <c r="Q424" s="304">
        <v>0</v>
      </c>
      <c r="R424" s="304">
        <v>0</v>
      </c>
      <c r="S424" s="304">
        <v>0</v>
      </c>
      <c r="T424" s="304">
        <v>0</v>
      </c>
      <c r="U424" s="304">
        <v>0</v>
      </c>
      <c r="V424" s="304">
        <v>0</v>
      </c>
      <c r="W424" s="304">
        <v>0</v>
      </c>
      <c r="X424" s="304">
        <v>0</v>
      </c>
      <c r="Y424" s="304">
        <v>0</v>
      </c>
      <c r="Z424" s="304">
        <v>0</v>
      </c>
      <c r="AA424" s="304">
        <v>0</v>
      </c>
      <c r="AB424" s="303">
        <v>2020</v>
      </c>
    </row>
    <row r="425" spans="1:28" ht="35.25" customHeight="1" x14ac:dyDescent="0.5">
      <c r="A425">
        <v>1</v>
      </c>
      <c r="B425" s="80">
        <f>SUBTOTAL(103,$A$9:A425)</f>
        <v>413</v>
      </c>
      <c r="C425" s="300" t="s">
        <v>1978</v>
      </c>
      <c r="D425" s="296">
        <f t="shared" si="12"/>
        <v>998880</v>
      </c>
      <c r="E425" s="304">
        <v>0</v>
      </c>
      <c r="F425" s="304">
        <v>0</v>
      </c>
      <c r="G425" s="304">
        <v>0</v>
      </c>
      <c r="H425" s="304">
        <v>0</v>
      </c>
      <c r="I425" s="304">
        <v>0</v>
      </c>
      <c r="J425" s="304">
        <v>0</v>
      </c>
      <c r="K425" s="305">
        <v>0</v>
      </c>
      <c r="L425" s="304">
        <v>0</v>
      </c>
      <c r="M425" s="304">
        <v>998880</v>
      </c>
      <c r="N425" s="304">
        <v>0</v>
      </c>
      <c r="O425" s="304">
        <v>0</v>
      </c>
      <c r="P425" s="304">
        <v>0</v>
      </c>
      <c r="Q425" s="304">
        <v>0</v>
      </c>
      <c r="R425" s="304">
        <v>0</v>
      </c>
      <c r="S425" s="304">
        <v>0</v>
      </c>
      <c r="T425" s="304">
        <v>0</v>
      </c>
      <c r="U425" s="304">
        <v>0</v>
      </c>
      <c r="V425" s="304">
        <v>0</v>
      </c>
      <c r="W425" s="304">
        <v>0</v>
      </c>
      <c r="X425" s="304">
        <v>0</v>
      </c>
      <c r="Y425" s="304">
        <v>0</v>
      </c>
      <c r="Z425" s="304">
        <v>0</v>
      </c>
      <c r="AA425" s="304">
        <v>0</v>
      </c>
      <c r="AB425" s="303">
        <v>2020</v>
      </c>
    </row>
    <row r="426" spans="1:28" ht="35.25" customHeight="1" x14ac:dyDescent="0.5">
      <c r="A426">
        <v>1</v>
      </c>
      <c r="B426" s="80">
        <f>SUBTOTAL(103,$A$9:A426)</f>
        <v>414</v>
      </c>
      <c r="C426" s="300" t="s">
        <v>2390</v>
      </c>
      <c r="D426" s="296">
        <f t="shared" si="12"/>
        <v>27770</v>
      </c>
      <c r="E426" s="304">
        <v>27770</v>
      </c>
      <c r="F426" s="304">
        <v>0</v>
      </c>
      <c r="G426" s="304">
        <v>0</v>
      </c>
      <c r="H426" s="304">
        <v>0</v>
      </c>
      <c r="I426" s="304">
        <v>0</v>
      </c>
      <c r="J426" s="304">
        <v>0</v>
      </c>
      <c r="K426" s="305">
        <v>0</v>
      </c>
      <c r="L426" s="304">
        <v>0</v>
      </c>
      <c r="M426" s="304">
        <v>0</v>
      </c>
      <c r="N426" s="304">
        <v>0</v>
      </c>
      <c r="O426" s="304">
        <v>0</v>
      </c>
      <c r="P426" s="304">
        <v>0</v>
      </c>
      <c r="Q426" s="304">
        <v>0</v>
      </c>
      <c r="R426" s="304">
        <v>0</v>
      </c>
      <c r="S426" s="304">
        <v>0</v>
      </c>
      <c r="T426" s="304">
        <v>0</v>
      </c>
      <c r="U426" s="304">
        <v>0</v>
      </c>
      <c r="V426" s="304">
        <v>0</v>
      </c>
      <c r="W426" s="304">
        <v>0</v>
      </c>
      <c r="X426" s="304">
        <v>0</v>
      </c>
      <c r="Y426" s="304">
        <v>0</v>
      </c>
      <c r="Z426" s="304">
        <v>0</v>
      </c>
      <c r="AA426" s="304">
        <v>0</v>
      </c>
      <c r="AB426" s="303">
        <v>2020</v>
      </c>
    </row>
    <row r="427" spans="1:28" ht="35.25" customHeight="1" x14ac:dyDescent="0.5">
      <c r="A427">
        <v>1</v>
      </c>
      <c r="B427" s="80">
        <f>SUBTOTAL(103,$A$9:A427)</f>
        <v>415</v>
      </c>
      <c r="C427" s="300" t="s">
        <v>1979</v>
      </c>
      <c r="D427" s="296">
        <f t="shared" si="12"/>
        <v>169491</v>
      </c>
      <c r="E427" s="304">
        <v>0</v>
      </c>
      <c r="F427" s="304">
        <v>0</v>
      </c>
      <c r="G427" s="304">
        <v>0</v>
      </c>
      <c r="H427" s="304">
        <v>0</v>
      </c>
      <c r="I427" s="304">
        <v>0</v>
      </c>
      <c r="J427" s="304">
        <v>0</v>
      </c>
      <c r="K427" s="305">
        <v>0</v>
      </c>
      <c r="L427" s="304">
        <v>0</v>
      </c>
      <c r="M427" s="304">
        <v>169491</v>
      </c>
      <c r="N427" s="304">
        <v>0</v>
      </c>
      <c r="O427" s="304">
        <v>0</v>
      </c>
      <c r="P427" s="304">
        <v>0</v>
      </c>
      <c r="Q427" s="304">
        <v>0</v>
      </c>
      <c r="R427" s="304">
        <v>0</v>
      </c>
      <c r="S427" s="304">
        <v>0</v>
      </c>
      <c r="T427" s="304">
        <v>0</v>
      </c>
      <c r="U427" s="304">
        <v>0</v>
      </c>
      <c r="V427" s="304">
        <v>0</v>
      </c>
      <c r="W427" s="304">
        <v>0</v>
      </c>
      <c r="X427" s="304">
        <v>0</v>
      </c>
      <c r="Y427" s="304">
        <v>0</v>
      </c>
      <c r="Z427" s="304">
        <v>0</v>
      </c>
      <c r="AA427" s="304">
        <v>0</v>
      </c>
      <c r="AB427" s="303">
        <v>2020</v>
      </c>
    </row>
    <row r="428" spans="1:28" ht="35.25" customHeight="1" x14ac:dyDescent="0.5">
      <c r="A428">
        <v>1</v>
      </c>
      <c r="B428" s="80">
        <f>SUBTOTAL(103,$A$9:A428)</f>
        <v>416</v>
      </c>
      <c r="C428" s="300" t="s">
        <v>1980</v>
      </c>
      <c r="D428" s="296">
        <f t="shared" si="12"/>
        <v>563800</v>
      </c>
      <c r="E428" s="304">
        <v>0</v>
      </c>
      <c r="F428" s="304">
        <v>0</v>
      </c>
      <c r="G428" s="304">
        <v>563800</v>
      </c>
      <c r="H428" s="304">
        <v>0</v>
      </c>
      <c r="I428" s="304">
        <v>0</v>
      </c>
      <c r="J428" s="304">
        <v>0</v>
      </c>
      <c r="K428" s="305">
        <v>0</v>
      </c>
      <c r="L428" s="304">
        <v>0</v>
      </c>
      <c r="M428" s="304">
        <v>0</v>
      </c>
      <c r="N428" s="304">
        <v>0</v>
      </c>
      <c r="O428" s="304">
        <v>0</v>
      </c>
      <c r="P428" s="304">
        <v>0</v>
      </c>
      <c r="Q428" s="304">
        <v>0</v>
      </c>
      <c r="R428" s="304">
        <v>0</v>
      </c>
      <c r="S428" s="304">
        <v>0</v>
      </c>
      <c r="T428" s="304">
        <v>0</v>
      </c>
      <c r="U428" s="304">
        <v>0</v>
      </c>
      <c r="V428" s="304">
        <v>0</v>
      </c>
      <c r="W428" s="304">
        <v>0</v>
      </c>
      <c r="X428" s="304">
        <v>0</v>
      </c>
      <c r="Y428" s="304">
        <v>0</v>
      </c>
      <c r="Z428" s="304">
        <v>0</v>
      </c>
      <c r="AA428" s="304">
        <v>0</v>
      </c>
      <c r="AB428" s="303">
        <v>2020</v>
      </c>
    </row>
    <row r="429" spans="1:28" ht="35.25" customHeight="1" x14ac:dyDescent="0.5">
      <c r="A429">
        <v>1</v>
      </c>
      <c r="B429" s="80">
        <f>SUBTOTAL(103,$A$9:A429)</f>
        <v>417</v>
      </c>
      <c r="C429" s="300" t="s">
        <v>1981</v>
      </c>
      <c r="D429" s="296">
        <f t="shared" si="12"/>
        <v>806650</v>
      </c>
      <c r="E429" s="304">
        <v>0</v>
      </c>
      <c r="F429" s="304">
        <v>0</v>
      </c>
      <c r="G429" s="304">
        <v>0</v>
      </c>
      <c r="H429" s="304">
        <v>0</v>
      </c>
      <c r="I429" s="304">
        <v>0</v>
      </c>
      <c r="J429" s="304">
        <v>0</v>
      </c>
      <c r="K429" s="305">
        <v>0</v>
      </c>
      <c r="L429" s="304">
        <v>0</v>
      </c>
      <c r="M429" s="304">
        <v>0</v>
      </c>
      <c r="N429" s="304">
        <v>0</v>
      </c>
      <c r="O429" s="304">
        <v>806650</v>
      </c>
      <c r="P429" s="304">
        <v>0</v>
      </c>
      <c r="Q429" s="304">
        <v>0</v>
      </c>
      <c r="R429" s="304">
        <v>0</v>
      </c>
      <c r="S429" s="304">
        <v>0</v>
      </c>
      <c r="T429" s="304">
        <v>0</v>
      </c>
      <c r="U429" s="304">
        <v>0</v>
      </c>
      <c r="V429" s="304">
        <v>0</v>
      </c>
      <c r="W429" s="304">
        <v>0</v>
      </c>
      <c r="X429" s="304">
        <v>0</v>
      </c>
      <c r="Y429" s="304">
        <v>0</v>
      </c>
      <c r="Z429" s="304">
        <v>0</v>
      </c>
      <c r="AA429" s="304">
        <v>0</v>
      </c>
      <c r="AB429" s="303">
        <v>2020</v>
      </c>
    </row>
    <row r="430" spans="1:28" ht="35.25" customHeight="1" x14ac:dyDescent="0.5">
      <c r="A430">
        <v>1</v>
      </c>
      <c r="B430" s="80">
        <f>SUBTOTAL(103,$A$9:A430)</f>
        <v>418</v>
      </c>
      <c r="C430" s="300" t="s">
        <v>1982</v>
      </c>
      <c r="D430" s="296">
        <f t="shared" si="12"/>
        <v>454614</v>
      </c>
      <c r="E430" s="304">
        <v>0</v>
      </c>
      <c r="F430" s="304">
        <v>0</v>
      </c>
      <c r="G430" s="304">
        <v>0</v>
      </c>
      <c r="H430" s="304">
        <v>0</v>
      </c>
      <c r="I430" s="304">
        <v>0</v>
      </c>
      <c r="J430" s="304">
        <v>0</v>
      </c>
      <c r="K430" s="305">
        <v>0</v>
      </c>
      <c r="L430" s="304">
        <v>0</v>
      </c>
      <c r="M430" s="304">
        <v>0</v>
      </c>
      <c r="N430" s="304">
        <v>0</v>
      </c>
      <c r="O430" s="304">
        <v>454614</v>
      </c>
      <c r="P430" s="304">
        <v>0</v>
      </c>
      <c r="Q430" s="304">
        <v>0</v>
      </c>
      <c r="R430" s="304">
        <v>0</v>
      </c>
      <c r="S430" s="304">
        <v>0</v>
      </c>
      <c r="T430" s="304">
        <v>0</v>
      </c>
      <c r="U430" s="304">
        <v>0</v>
      </c>
      <c r="V430" s="304">
        <v>0</v>
      </c>
      <c r="W430" s="304">
        <v>0</v>
      </c>
      <c r="X430" s="304">
        <v>0</v>
      </c>
      <c r="Y430" s="304">
        <v>0</v>
      </c>
      <c r="Z430" s="304">
        <v>0</v>
      </c>
      <c r="AA430" s="304">
        <v>0</v>
      </c>
      <c r="AB430" s="303">
        <v>2020</v>
      </c>
    </row>
    <row r="431" spans="1:28" ht="35.25" customHeight="1" x14ac:dyDescent="0.5">
      <c r="A431">
        <v>1</v>
      </c>
      <c r="B431" s="80">
        <f>SUBTOTAL(103,$A$9:A431)</f>
        <v>419</v>
      </c>
      <c r="C431" s="300" t="s">
        <v>1983</v>
      </c>
      <c r="D431" s="296">
        <f t="shared" si="12"/>
        <v>131148</v>
      </c>
      <c r="E431" s="304">
        <v>0</v>
      </c>
      <c r="F431" s="304">
        <v>0</v>
      </c>
      <c r="G431" s="304">
        <v>0</v>
      </c>
      <c r="H431" s="304">
        <v>0</v>
      </c>
      <c r="I431" s="304">
        <v>0</v>
      </c>
      <c r="J431" s="304">
        <v>0</v>
      </c>
      <c r="K431" s="305">
        <v>0</v>
      </c>
      <c r="L431" s="304">
        <v>0</v>
      </c>
      <c r="M431" s="304">
        <v>131148</v>
      </c>
      <c r="N431" s="304">
        <v>0</v>
      </c>
      <c r="O431" s="304">
        <v>0</v>
      </c>
      <c r="P431" s="304">
        <v>0</v>
      </c>
      <c r="Q431" s="304">
        <v>0</v>
      </c>
      <c r="R431" s="304">
        <v>0</v>
      </c>
      <c r="S431" s="304">
        <v>0</v>
      </c>
      <c r="T431" s="304">
        <v>0</v>
      </c>
      <c r="U431" s="304">
        <v>0</v>
      </c>
      <c r="V431" s="304">
        <v>0</v>
      </c>
      <c r="W431" s="304">
        <v>0</v>
      </c>
      <c r="X431" s="304">
        <v>0</v>
      </c>
      <c r="Y431" s="304">
        <v>0</v>
      </c>
      <c r="Z431" s="304">
        <v>0</v>
      </c>
      <c r="AA431" s="304">
        <v>0</v>
      </c>
      <c r="AB431" s="303">
        <v>2020</v>
      </c>
    </row>
    <row r="432" spans="1:28" ht="35.25" customHeight="1" x14ac:dyDescent="0.5">
      <c r="A432">
        <v>1</v>
      </c>
      <c r="B432" s="80">
        <f>SUBTOTAL(103,$A$9:A432)</f>
        <v>420</v>
      </c>
      <c r="C432" s="300" t="s">
        <v>1984</v>
      </c>
      <c r="D432" s="296">
        <f t="shared" si="12"/>
        <v>228931</v>
      </c>
      <c r="E432" s="304">
        <v>0</v>
      </c>
      <c r="F432" s="304">
        <v>0</v>
      </c>
      <c r="G432" s="304">
        <v>0</v>
      </c>
      <c r="H432" s="304">
        <v>0</v>
      </c>
      <c r="I432" s="304">
        <v>0</v>
      </c>
      <c r="J432" s="304">
        <v>0</v>
      </c>
      <c r="K432" s="305">
        <v>0</v>
      </c>
      <c r="L432" s="304">
        <v>0</v>
      </c>
      <c r="M432" s="304">
        <v>0</v>
      </c>
      <c r="N432" s="304">
        <v>0</v>
      </c>
      <c r="O432" s="304">
        <v>228931</v>
      </c>
      <c r="P432" s="304">
        <v>0</v>
      </c>
      <c r="Q432" s="304">
        <v>0</v>
      </c>
      <c r="R432" s="304">
        <v>0</v>
      </c>
      <c r="S432" s="304">
        <v>0</v>
      </c>
      <c r="T432" s="304">
        <v>0</v>
      </c>
      <c r="U432" s="304">
        <v>0</v>
      </c>
      <c r="V432" s="304">
        <v>0</v>
      </c>
      <c r="W432" s="304">
        <v>0</v>
      </c>
      <c r="X432" s="304">
        <v>0</v>
      </c>
      <c r="Y432" s="304">
        <v>0</v>
      </c>
      <c r="Z432" s="304">
        <v>0</v>
      </c>
      <c r="AA432" s="304">
        <v>0</v>
      </c>
      <c r="AB432" s="303">
        <v>2020</v>
      </c>
    </row>
    <row r="433" spans="1:28" ht="35.25" customHeight="1" x14ac:dyDescent="0.5">
      <c r="A433">
        <v>1</v>
      </c>
      <c r="B433" s="80">
        <f>SUBTOTAL(103,$A$9:A433)</f>
        <v>421</v>
      </c>
      <c r="C433" s="300" t="s">
        <v>1985</v>
      </c>
      <c r="D433" s="296">
        <f t="shared" si="12"/>
        <v>409967</v>
      </c>
      <c r="E433" s="304">
        <v>409967</v>
      </c>
      <c r="F433" s="304">
        <v>0</v>
      </c>
      <c r="G433" s="304">
        <v>0</v>
      </c>
      <c r="H433" s="304">
        <v>0</v>
      </c>
      <c r="I433" s="304">
        <v>0</v>
      </c>
      <c r="J433" s="304">
        <v>0</v>
      </c>
      <c r="K433" s="305">
        <v>0</v>
      </c>
      <c r="L433" s="304">
        <v>0</v>
      </c>
      <c r="M433" s="304">
        <v>0</v>
      </c>
      <c r="N433" s="304">
        <v>0</v>
      </c>
      <c r="O433" s="304">
        <v>0</v>
      </c>
      <c r="P433" s="304">
        <v>0</v>
      </c>
      <c r="Q433" s="304">
        <v>0</v>
      </c>
      <c r="R433" s="304">
        <v>0</v>
      </c>
      <c r="S433" s="304">
        <v>0</v>
      </c>
      <c r="T433" s="304">
        <v>0</v>
      </c>
      <c r="U433" s="304">
        <v>0</v>
      </c>
      <c r="V433" s="304">
        <v>0</v>
      </c>
      <c r="W433" s="304">
        <v>0</v>
      </c>
      <c r="X433" s="304">
        <v>0</v>
      </c>
      <c r="Y433" s="304">
        <v>0</v>
      </c>
      <c r="Z433" s="304">
        <v>0</v>
      </c>
      <c r="AA433" s="304">
        <v>0</v>
      </c>
      <c r="AB433" s="303">
        <v>2020</v>
      </c>
    </row>
    <row r="434" spans="1:28" ht="35.25" customHeight="1" x14ac:dyDescent="0.5">
      <c r="A434">
        <v>1</v>
      </c>
      <c r="B434" s="80">
        <f>SUBTOTAL(103,$A$9:A434)</f>
        <v>422</v>
      </c>
      <c r="C434" s="300" t="s">
        <v>1986</v>
      </c>
      <c r="D434" s="296">
        <f t="shared" si="12"/>
        <v>216187</v>
      </c>
      <c r="E434" s="304">
        <v>0</v>
      </c>
      <c r="F434" s="304">
        <v>0</v>
      </c>
      <c r="G434" s="304">
        <v>0</v>
      </c>
      <c r="H434" s="304">
        <v>0</v>
      </c>
      <c r="I434" s="304">
        <v>0</v>
      </c>
      <c r="J434" s="304">
        <v>0</v>
      </c>
      <c r="K434" s="305">
        <v>0</v>
      </c>
      <c r="L434" s="304">
        <v>0</v>
      </c>
      <c r="M434" s="304">
        <v>0</v>
      </c>
      <c r="N434" s="304">
        <v>0</v>
      </c>
      <c r="O434" s="304">
        <v>95414</v>
      </c>
      <c r="P434" s="304">
        <v>120773</v>
      </c>
      <c r="Q434" s="304">
        <v>0</v>
      </c>
      <c r="R434" s="304">
        <v>0</v>
      </c>
      <c r="S434" s="304">
        <v>0</v>
      </c>
      <c r="T434" s="304">
        <v>0</v>
      </c>
      <c r="U434" s="304">
        <v>0</v>
      </c>
      <c r="V434" s="304">
        <v>0</v>
      </c>
      <c r="W434" s="304">
        <v>0</v>
      </c>
      <c r="X434" s="304">
        <v>0</v>
      </c>
      <c r="Y434" s="304">
        <v>0</v>
      </c>
      <c r="Z434" s="304">
        <v>0</v>
      </c>
      <c r="AA434" s="304">
        <v>0</v>
      </c>
      <c r="AB434" s="303">
        <v>2020</v>
      </c>
    </row>
    <row r="435" spans="1:28" ht="35.25" customHeight="1" x14ac:dyDescent="0.5">
      <c r="A435">
        <v>1</v>
      </c>
      <c r="B435" s="80">
        <f>SUBTOTAL(103,$A$9:A435)</f>
        <v>423</v>
      </c>
      <c r="C435" s="300" t="s">
        <v>2391</v>
      </c>
      <c r="D435" s="296">
        <f t="shared" si="12"/>
        <v>888203</v>
      </c>
      <c r="E435" s="304">
        <v>0</v>
      </c>
      <c r="F435" s="304">
        <v>0</v>
      </c>
      <c r="G435" s="304">
        <v>0</v>
      </c>
      <c r="H435" s="304">
        <v>0</v>
      </c>
      <c r="I435" s="304">
        <v>0</v>
      </c>
      <c r="J435" s="304">
        <v>0</v>
      </c>
      <c r="K435" s="305">
        <v>0</v>
      </c>
      <c r="L435" s="304">
        <v>0</v>
      </c>
      <c r="M435" s="304">
        <v>0</v>
      </c>
      <c r="N435" s="304">
        <v>0</v>
      </c>
      <c r="O435" s="304">
        <v>888203</v>
      </c>
      <c r="P435" s="304">
        <v>0</v>
      </c>
      <c r="Q435" s="304">
        <v>0</v>
      </c>
      <c r="R435" s="304">
        <v>0</v>
      </c>
      <c r="S435" s="304">
        <v>0</v>
      </c>
      <c r="T435" s="304">
        <v>0</v>
      </c>
      <c r="U435" s="304">
        <v>0</v>
      </c>
      <c r="V435" s="304">
        <v>0</v>
      </c>
      <c r="W435" s="304">
        <v>0</v>
      </c>
      <c r="X435" s="304">
        <v>0</v>
      </c>
      <c r="Y435" s="304">
        <v>0</v>
      </c>
      <c r="Z435" s="304">
        <v>0</v>
      </c>
      <c r="AA435" s="304">
        <v>0</v>
      </c>
      <c r="AB435" s="303">
        <v>2020</v>
      </c>
    </row>
    <row r="436" spans="1:28" ht="35.25" customHeight="1" x14ac:dyDescent="0.5">
      <c r="A436">
        <v>1</v>
      </c>
      <c r="B436" s="80">
        <f>SUBTOTAL(103,$A$9:A436)</f>
        <v>424</v>
      </c>
      <c r="C436" s="300" t="s">
        <v>2392</v>
      </c>
      <c r="D436" s="296">
        <f t="shared" si="12"/>
        <v>138268</v>
      </c>
      <c r="E436" s="304">
        <v>0</v>
      </c>
      <c r="F436" s="304">
        <v>0</v>
      </c>
      <c r="G436" s="304">
        <v>0</v>
      </c>
      <c r="H436" s="304">
        <v>0</v>
      </c>
      <c r="I436" s="304">
        <v>0</v>
      </c>
      <c r="J436" s="304">
        <v>0</v>
      </c>
      <c r="K436" s="305">
        <v>0</v>
      </c>
      <c r="L436" s="304">
        <v>0</v>
      </c>
      <c r="M436" s="304">
        <v>0</v>
      </c>
      <c r="N436" s="304">
        <v>0</v>
      </c>
      <c r="O436" s="304">
        <v>138268</v>
      </c>
      <c r="P436" s="304">
        <v>0</v>
      </c>
      <c r="Q436" s="304">
        <v>0</v>
      </c>
      <c r="R436" s="304">
        <v>0</v>
      </c>
      <c r="S436" s="304">
        <v>0</v>
      </c>
      <c r="T436" s="304">
        <v>0</v>
      </c>
      <c r="U436" s="304">
        <v>0</v>
      </c>
      <c r="V436" s="304">
        <v>0</v>
      </c>
      <c r="W436" s="304">
        <v>0</v>
      </c>
      <c r="X436" s="304">
        <v>0</v>
      </c>
      <c r="Y436" s="304">
        <v>0</v>
      </c>
      <c r="Z436" s="304">
        <v>0</v>
      </c>
      <c r="AA436" s="304">
        <v>0</v>
      </c>
      <c r="AB436" s="303">
        <v>2020</v>
      </c>
    </row>
    <row r="437" spans="1:28" ht="35.25" customHeight="1" x14ac:dyDescent="0.5">
      <c r="A437">
        <v>1</v>
      </c>
      <c r="B437" s="80">
        <f>SUBTOTAL(103,$A$9:A437)</f>
        <v>425</v>
      </c>
      <c r="C437" s="300" t="s">
        <v>1987</v>
      </c>
      <c r="D437" s="296">
        <f t="shared" si="12"/>
        <v>151306</v>
      </c>
      <c r="E437" s="304">
        <v>0</v>
      </c>
      <c r="F437" s="304">
        <v>0</v>
      </c>
      <c r="G437" s="304">
        <v>151306</v>
      </c>
      <c r="H437" s="304">
        <v>0</v>
      </c>
      <c r="I437" s="304">
        <v>0</v>
      </c>
      <c r="J437" s="304">
        <v>0</v>
      </c>
      <c r="K437" s="305">
        <v>0</v>
      </c>
      <c r="L437" s="304">
        <v>0</v>
      </c>
      <c r="M437" s="304">
        <v>0</v>
      </c>
      <c r="N437" s="304">
        <v>0</v>
      </c>
      <c r="O437" s="304">
        <v>0</v>
      </c>
      <c r="P437" s="304">
        <v>0</v>
      </c>
      <c r="Q437" s="304">
        <v>0</v>
      </c>
      <c r="R437" s="304">
        <v>0</v>
      </c>
      <c r="S437" s="304">
        <v>0</v>
      </c>
      <c r="T437" s="304">
        <v>0</v>
      </c>
      <c r="U437" s="304">
        <v>0</v>
      </c>
      <c r="V437" s="304">
        <v>0</v>
      </c>
      <c r="W437" s="304">
        <v>0</v>
      </c>
      <c r="X437" s="304">
        <v>0</v>
      </c>
      <c r="Y437" s="304">
        <v>0</v>
      </c>
      <c r="Z437" s="304">
        <v>0</v>
      </c>
      <c r="AA437" s="304">
        <v>0</v>
      </c>
      <c r="AB437" s="303">
        <v>2020</v>
      </c>
    </row>
    <row r="438" spans="1:28" ht="35.25" customHeight="1" x14ac:dyDescent="0.5">
      <c r="A438">
        <v>1</v>
      </c>
      <c r="B438" s="80">
        <f>SUBTOTAL(103,$A$9:A438)</f>
        <v>426</v>
      </c>
      <c r="C438" s="300" t="s">
        <v>2393</v>
      </c>
      <c r="D438" s="296">
        <f t="shared" si="12"/>
        <v>46213</v>
      </c>
      <c r="E438" s="304">
        <v>0</v>
      </c>
      <c r="F438" s="304">
        <v>0</v>
      </c>
      <c r="G438" s="304">
        <v>46213</v>
      </c>
      <c r="H438" s="304">
        <v>0</v>
      </c>
      <c r="I438" s="304">
        <v>0</v>
      </c>
      <c r="J438" s="304">
        <v>0</v>
      </c>
      <c r="K438" s="305">
        <v>0</v>
      </c>
      <c r="L438" s="304">
        <v>0</v>
      </c>
      <c r="M438" s="304">
        <v>0</v>
      </c>
      <c r="N438" s="304">
        <v>0</v>
      </c>
      <c r="O438" s="304">
        <v>0</v>
      </c>
      <c r="P438" s="304">
        <v>0</v>
      </c>
      <c r="Q438" s="304">
        <v>0</v>
      </c>
      <c r="R438" s="304">
        <v>0</v>
      </c>
      <c r="S438" s="304">
        <v>0</v>
      </c>
      <c r="T438" s="304">
        <v>0</v>
      </c>
      <c r="U438" s="304">
        <v>0</v>
      </c>
      <c r="V438" s="304">
        <v>0</v>
      </c>
      <c r="W438" s="304">
        <v>0</v>
      </c>
      <c r="X438" s="304">
        <v>0</v>
      </c>
      <c r="Y438" s="304">
        <v>0</v>
      </c>
      <c r="Z438" s="304">
        <v>0</v>
      </c>
      <c r="AA438" s="304">
        <v>0</v>
      </c>
      <c r="AB438" s="303">
        <v>2020</v>
      </c>
    </row>
    <row r="439" spans="1:28" ht="35.25" customHeight="1" x14ac:dyDescent="0.5">
      <c r="A439">
        <v>1</v>
      </c>
      <c r="B439" s="80">
        <f>SUBTOTAL(103,$A$9:A439)</f>
        <v>427</v>
      </c>
      <c r="C439" s="300" t="s">
        <v>1988</v>
      </c>
      <c r="D439" s="296">
        <f t="shared" si="12"/>
        <v>1078317</v>
      </c>
      <c r="E439" s="304">
        <v>0</v>
      </c>
      <c r="F439" s="304">
        <v>0</v>
      </c>
      <c r="G439" s="304">
        <v>0</v>
      </c>
      <c r="H439" s="304">
        <v>0</v>
      </c>
      <c r="I439" s="304">
        <v>0</v>
      </c>
      <c r="J439" s="304">
        <v>0</v>
      </c>
      <c r="K439" s="305">
        <v>0</v>
      </c>
      <c r="L439" s="304">
        <v>0</v>
      </c>
      <c r="M439" s="304">
        <v>0</v>
      </c>
      <c r="N439" s="304">
        <v>0</v>
      </c>
      <c r="O439" s="304">
        <v>1078317</v>
      </c>
      <c r="P439" s="304">
        <v>0</v>
      </c>
      <c r="Q439" s="304">
        <v>0</v>
      </c>
      <c r="R439" s="304">
        <v>0</v>
      </c>
      <c r="S439" s="304">
        <v>0</v>
      </c>
      <c r="T439" s="304">
        <v>0</v>
      </c>
      <c r="U439" s="304">
        <v>0</v>
      </c>
      <c r="V439" s="304">
        <v>0</v>
      </c>
      <c r="W439" s="304">
        <v>0</v>
      </c>
      <c r="X439" s="304">
        <v>0</v>
      </c>
      <c r="Y439" s="304">
        <v>0</v>
      </c>
      <c r="Z439" s="304">
        <v>0</v>
      </c>
      <c r="AA439" s="304">
        <v>0</v>
      </c>
      <c r="AB439" s="303">
        <v>2020</v>
      </c>
    </row>
    <row r="440" spans="1:28" ht="35.25" customHeight="1" x14ac:dyDescent="0.5">
      <c r="A440">
        <v>1</v>
      </c>
      <c r="B440" s="80">
        <f>SUBTOTAL(103,$A$9:A440)</f>
        <v>428</v>
      </c>
      <c r="C440" s="300" t="s">
        <v>2394</v>
      </c>
      <c r="D440" s="296">
        <f t="shared" si="12"/>
        <v>240000</v>
      </c>
      <c r="E440" s="304">
        <v>189200</v>
      </c>
      <c r="F440" s="304">
        <v>0</v>
      </c>
      <c r="G440" s="304">
        <v>0</v>
      </c>
      <c r="H440" s="304">
        <v>50800</v>
      </c>
      <c r="I440" s="304">
        <v>0</v>
      </c>
      <c r="J440" s="304">
        <v>0</v>
      </c>
      <c r="K440" s="305">
        <v>0</v>
      </c>
      <c r="L440" s="304">
        <v>0</v>
      </c>
      <c r="M440" s="304">
        <v>0</v>
      </c>
      <c r="N440" s="304">
        <v>0</v>
      </c>
      <c r="O440" s="304">
        <v>0</v>
      </c>
      <c r="P440" s="304">
        <v>0</v>
      </c>
      <c r="Q440" s="304">
        <v>0</v>
      </c>
      <c r="R440" s="304">
        <v>0</v>
      </c>
      <c r="S440" s="304">
        <v>0</v>
      </c>
      <c r="T440" s="304">
        <v>0</v>
      </c>
      <c r="U440" s="304">
        <v>0</v>
      </c>
      <c r="V440" s="304">
        <v>0</v>
      </c>
      <c r="W440" s="304">
        <v>0</v>
      </c>
      <c r="X440" s="304">
        <v>0</v>
      </c>
      <c r="Y440" s="304">
        <v>0</v>
      </c>
      <c r="Z440" s="304">
        <v>0</v>
      </c>
      <c r="AA440" s="304">
        <v>0</v>
      </c>
      <c r="AB440" s="303">
        <v>2020</v>
      </c>
    </row>
    <row r="441" spans="1:28" ht="35.25" customHeight="1" x14ac:dyDescent="0.5">
      <c r="A441">
        <v>1</v>
      </c>
      <c r="B441" s="80">
        <f>SUBTOTAL(103,$A$9:A441)</f>
        <v>429</v>
      </c>
      <c r="C441" s="300" t="s">
        <v>1989</v>
      </c>
      <c r="D441" s="296">
        <f t="shared" si="12"/>
        <v>617228.15999999992</v>
      </c>
      <c r="E441" s="304">
        <v>0</v>
      </c>
      <c r="F441" s="304">
        <v>0</v>
      </c>
      <c r="G441" s="304">
        <v>0</v>
      </c>
      <c r="H441" s="304">
        <v>0</v>
      </c>
      <c r="I441" s="304">
        <v>0</v>
      </c>
      <c r="J441" s="304">
        <v>0</v>
      </c>
      <c r="K441" s="305">
        <v>0</v>
      </c>
      <c r="L441" s="304">
        <v>0</v>
      </c>
      <c r="M441" s="304">
        <v>0</v>
      </c>
      <c r="N441" s="304">
        <v>0</v>
      </c>
      <c r="O441" s="304">
        <v>617228.15999999992</v>
      </c>
      <c r="P441" s="304">
        <v>0</v>
      </c>
      <c r="Q441" s="304">
        <v>0</v>
      </c>
      <c r="R441" s="304">
        <v>0</v>
      </c>
      <c r="S441" s="304">
        <v>0</v>
      </c>
      <c r="T441" s="304">
        <v>0</v>
      </c>
      <c r="U441" s="304">
        <v>0</v>
      </c>
      <c r="V441" s="304">
        <v>0</v>
      </c>
      <c r="W441" s="304">
        <v>0</v>
      </c>
      <c r="X441" s="304">
        <v>0</v>
      </c>
      <c r="Y441" s="304">
        <v>0</v>
      </c>
      <c r="Z441" s="304">
        <v>0</v>
      </c>
      <c r="AA441" s="304">
        <v>0</v>
      </c>
      <c r="AB441" s="303">
        <v>2020</v>
      </c>
    </row>
    <row r="442" spans="1:28" ht="35.25" customHeight="1" x14ac:dyDescent="0.5">
      <c r="A442">
        <v>1</v>
      </c>
      <c r="B442" s="80">
        <f>SUBTOTAL(103,$A$9:A442)</f>
        <v>430</v>
      </c>
      <c r="C442" s="300" t="s">
        <v>1990</v>
      </c>
      <c r="D442" s="296">
        <f t="shared" si="12"/>
        <v>536083</v>
      </c>
      <c r="E442" s="304">
        <v>127342</v>
      </c>
      <c r="F442" s="304">
        <v>161294</v>
      </c>
      <c r="G442" s="304">
        <v>0</v>
      </c>
      <c r="H442" s="304">
        <v>0</v>
      </c>
      <c r="I442" s="304">
        <v>48447</v>
      </c>
      <c r="J442" s="304">
        <v>0</v>
      </c>
      <c r="K442" s="305">
        <v>0</v>
      </c>
      <c r="L442" s="304">
        <v>0</v>
      </c>
      <c r="M442" s="304">
        <v>0</v>
      </c>
      <c r="N442" s="304">
        <v>0</v>
      </c>
      <c r="O442" s="304">
        <v>199000</v>
      </c>
      <c r="P442" s="304">
        <v>0</v>
      </c>
      <c r="Q442" s="304">
        <v>0</v>
      </c>
      <c r="R442" s="304">
        <v>0</v>
      </c>
      <c r="S442" s="304">
        <v>0</v>
      </c>
      <c r="T442" s="304">
        <v>0</v>
      </c>
      <c r="U442" s="304">
        <v>0</v>
      </c>
      <c r="V442" s="304">
        <v>0</v>
      </c>
      <c r="W442" s="304">
        <v>0</v>
      </c>
      <c r="X442" s="304">
        <v>0</v>
      </c>
      <c r="Y442" s="304">
        <v>0</v>
      </c>
      <c r="Z442" s="304">
        <v>0</v>
      </c>
      <c r="AA442" s="304">
        <v>0</v>
      </c>
      <c r="AB442" s="303">
        <v>2020</v>
      </c>
    </row>
    <row r="443" spans="1:28" ht="35.25" customHeight="1" x14ac:dyDescent="0.5">
      <c r="A443">
        <v>1</v>
      </c>
      <c r="B443" s="80">
        <f>SUBTOTAL(103,$A$9:A443)</f>
        <v>431</v>
      </c>
      <c r="C443" s="300" t="s">
        <v>1991</v>
      </c>
      <c r="D443" s="296">
        <f t="shared" si="12"/>
        <v>1195423</v>
      </c>
      <c r="E443" s="304">
        <v>0</v>
      </c>
      <c r="F443" s="304">
        <v>0</v>
      </c>
      <c r="G443" s="304">
        <v>0</v>
      </c>
      <c r="H443" s="304">
        <v>0</v>
      </c>
      <c r="I443" s="304">
        <v>0</v>
      </c>
      <c r="J443" s="304">
        <v>0</v>
      </c>
      <c r="K443" s="305">
        <v>0</v>
      </c>
      <c r="L443" s="304">
        <v>0</v>
      </c>
      <c r="M443" s="304">
        <v>0</v>
      </c>
      <c r="N443" s="304">
        <v>0</v>
      </c>
      <c r="O443" s="304">
        <v>1195423</v>
      </c>
      <c r="P443" s="304">
        <v>0</v>
      </c>
      <c r="Q443" s="304">
        <v>0</v>
      </c>
      <c r="R443" s="304">
        <v>0</v>
      </c>
      <c r="S443" s="304">
        <v>0</v>
      </c>
      <c r="T443" s="304">
        <v>0</v>
      </c>
      <c r="U443" s="304">
        <v>0</v>
      </c>
      <c r="V443" s="304">
        <v>0</v>
      </c>
      <c r="W443" s="304">
        <v>0</v>
      </c>
      <c r="X443" s="304">
        <v>0</v>
      </c>
      <c r="Y443" s="304">
        <v>0</v>
      </c>
      <c r="Z443" s="304">
        <v>0</v>
      </c>
      <c r="AA443" s="304">
        <v>0</v>
      </c>
      <c r="AB443" s="303">
        <v>2020</v>
      </c>
    </row>
    <row r="444" spans="1:28" ht="35.25" customHeight="1" x14ac:dyDescent="0.5">
      <c r="A444">
        <v>1</v>
      </c>
      <c r="B444" s="80">
        <f>SUBTOTAL(103,$A$9:A444)</f>
        <v>432</v>
      </c>
      <c r="C444" s="300" t="s">
        <v>1992</v>
      </c>
      <c r="D444" s="296">
        <f t="shared" si="12"/>
        <v>381537</v>
      </c>
      <c r="E444" s="304">
        <v>0</v>
      </c>
      <c r="F444" s="304">
        <v>0</v>
      </c>
      <c r="G444" s="304">
        <v>0</v>
      </c>
      <c r="H444" s="304">
        <v>0</v>
      </c>
      <c r="I444" s="304">
        <v>170882</v>
      </c>
      <c r="J444" s="304">
        <v>0</v>
      </c>
      <c r="K444" s="305">
        <v>0</v>
      </c>
      <c r="L444" s="304">
        <v>0</v>
      </c>
      <c r="M444" s="304">
        <v>0</v>
      </c>
      <c r="N444" s="304">
        <v>0</v>
      </c>
      <c r="O444" s="304">
        <v>210655</v>
      </c>
      <c r="P444" s="304">
        <v>0</v>
      </c>
      <c r="Q444" s="304">
        <v>0</v>
      </c>
      <c r="R444" s="304">
        <v>0</v>
      </c>
      <c r="S444" s="304">
        <v>0</v>
      </c>
      <c r="T444" s="304">
        <v>0</v>
      </c>
      <c r="U444" s="304">
        <v>0</v>
      </c>
      <c r="V444" s="304">
        <v>0</v>
      </c>
      <c r="W444" s="304">
        <v>0</v>
      </c>
      <c r="X444" s="304">
        <v>0</v>
      </c>
      <c r="Y444" s="304">
        <v>0</v>
      </c>
      <c r="Z444" s="304">
        <v>0</v>
      </c>
      <c r="AA444" s="304">
        <v>0</v>
      </c>
      <c r="AB444" s="303">
        <v>2020</v>
      </c>
    </row>
    <row r="445" spans="1:28" ht="35.25" customHeight="1" x14ac:dyDescent="0.5">
      <c r="A445">
        <v>1</v>
      </c>
      <c r="B445" s="80">
        <f>SUBTOTAL(103,$A$9:A445)</f>
        <v>433</v>
      </c>
      <c r="C445" s="300" t="s">
        <v>1993</v>
      </c>
      <c r="D445" s="296">
        <f t="shared" si="12"/>
        <v>239525</v>
      </c>
      <c r="E445" s="304">
        <v>0</v>
      </c>
      <c r="F445" s="304">
        <v>0</v>
      </c>
      <c r="G445" s="304">
        <v>0</v>
      </c>
      <c r="H445" s="304">
        <v>0</v>
      </c>
      <c r="I445" s="304">
        <v>0</v>
      </c>
      <c r="J445" s="304">
        <v>0</v>
      </c>
      <c r="K445" s="305">
        <v>0</v>
      </c>
      <c r="L445" s="304">
        <v>0</v>
      </c>
      <c r="M445" s="304">
        <v>0</v>
      </c>
      <c r="N445" s="304">
        <v>0</v>
      </c>
      <c r="O445" s="304">
        <v>239525</v>
      </c>
      <c r="P445" s="304">
        <v>0</v>
      </c>
      <c r="Q445" s="304">
        <v>0</v>
      </c>
      <c r="R445" s="304">
        <v>0</v>
      </c>
      <c r="S445" s="304">
        <v>0</v>
      </c>
      <c r="T445" s="304">
        <v>0</v>
      </c>
      <c r="U445" s="304">
        <v>0</v>
      </c>
      <c r="V445" s="304">
        <v>0</v>
      </c>
      <c r="W445" s="304">
        <v>0</v>
      </c>
      <c r="X445" s="304">
        <v>0</v>
      </c>
      <c r="Y445" s="304">
        <v>0</v>
      </c>
      <c r="Z445" s="304">
        <v>0</v>
      </c>
      <c r="AA445" s="304">
        <v>0</v>
      </c>
      <c r="AB445" s="303">
        <v>2020</v>
      </c>
    </row>
    <row r="446" spans="1:28" ht="35.25" customHeight="1" x14ac:dyDescent="0.5">
      <c r="A446">
        <v>1</v>
      </c>
      <c r="B446" s="80">
        <f>SUBTOTAL(103,$A$9:A446)</f>
        <v>434</v>
      </c>
      <c r="C446" s="300" t="s">
        <v>2173</v>
      </c>
      <c r="D446" s="296">
        <f t="shared" si="12"/>
        <v>926256</v>
      </c>
      <c r="E446" s="304">
        <v>0</v>
      </c>
      <c r="F446" s="304">
        <v>0</v>
      </c>
      <c r="G446" s="304">
        <v>0</v>
      </c>
      <c r="H446" s="304">
        <v>0</v>
      </c>
      <c r="I446" s="304">
        <v>0</v>
      </c>
      <c r="J446" s="304">
        <v>0</v>
      </c>
      <c r="K446" s="305">
        <v>0</v>
      </c>
      <c r="L446" s="304">
        <v>0</v>
      </c>
      <c r="M446" s="304">
        <v>0</v>
      </c>
      <c r="N446" s="304">
        <v>0</v>
      </c>
      <c r="O446" s="304">
        <v>926256</v>
      </c>
      <c r="P446" s="304">
        <v>0</v>
      </c>
      <c r="Q446" s="304">
        <v>0</v>
      </c>
      <c r="R446" s="304">
        <v>0</v>
      </c>
      <c r="S446" s="304">
        <v>0</v>
      </c>
      <c r="T446" s="304">
        <v>0</v>
      </c>
      <c r="U446" s="304">
        <v>0</v>
      </c>
      <c r="V446" s="304">
        <v>0</v>
      </c>
      <c r="W446" s="304">
        <v>0</v>
      </c>
      <c r="X446" s="304">
        <v>0</v>
      </c>
      <c r="Y446" s="304">
        <v>0</v>
      </c>
      <c r="Z446" s="304">
        <v>0</v>
      </c>
      <c r="AA446" s="304">
        <v>0</v>
      </c>
      <c r="AB446" s="303">
        <v>2020</v>
      </c>
    </row>
    <row r="447" spans="1:28" ht="35.25" customHeight="1" x14ac:dyDescent="0.5">
      <c r="A447">
        <v>1</v>
      </c>
      <c r="B447" s="80">
        <f>SUBTOTAL(103,$A$9:A447)</f>
        <v>435</v>
      </c>
      <c r="C447" s="300" t="s">
        <v>2174</v>
      </c>
      <c r="D447" s="296">
        <f t="shared" si="12"/>
        <v>815800</v>
      </c>
      <c r="E447" s="304">
        <v>0</v>
      </c>
      <c r="F447" s="304">
        <v>0</v>
      </c>
      <c r="G447" s="304">
        <v>0</v>
      </c>
      <c r="H447" s="304">
        <v>0</v>
      </c>
      <c r="I447" s="304">
        <v>0</v>
      </c>
      <c r="J447" s="304">
        <v>0</v>
      </c>
      <c r="K447" s="305">
        <v>0</v>
      </c>
      <c r="L447" s="304">
        <v>0</v>
      </c>
      <c r="M447" s="304">
        <v>0</v>
      </c>
      <c r="N447" s="304">
        <v>0</v>
      </c>
      <c r="O447" s="304">
        <v>815800</v>
      </c>
      <c r="P447" s="304">
        <v>0</v>
      </c>
      <c r="Q447" s="304">
        <v>0</v>
      </c>
      <c r="R447" s="304">
        <v>0</v>
      </c>
      <c r="S447" s="304">
        <v>0</v>
      </c>
      <c r="T447" s="304">
        <v>0</v>
      </c>
      <c r="U447" s="304">
        <v>0</v>
      </c>
      <c r="V447" s="304">
        <v>0</v>
      </c>
      <c r="W447" s="304">
        <v>0</v>
      </c>
      <c r="X447" s="304">
        <v>0</v>
      </c>
      <c r="Y447" s="304">
        <v>0</v>
      </c>
      <c r="Z447" s="304">
        <v>0</v>
      </c>
      <c r="AA447" s="304">
        <v>0</v>
      </c>
      <c r="AB447" s="303">
        <v>2020</v>
      </c>
    </row>
    <row r="448" spans="1:28" ht="35.25" customHeight="1" x14ac:dyDescent="0.5">
      <c r="A448">
        <v>1</v>
      </c>
      <c r="B448" s="80">
        <f>SUBTOTAL(103,$A$9:A448)</f>
        <v>436</v>
      </c>
      <c r="C448" s="300" t="s">
        <v>2175</v>
      </c>
      <c r="D448" s="296">
        <f t="shared" si="12"/>
        <v>902997</v>
      </c>
      <c r="E448" s="304">
        <v>0</v>
      </c>
      <c r="F448" s="304">
        <v>0</v>
      </c>
      <c r="G448" s="304">
        <v>0</v>
      </c>
      <c r="H448" s="304">
        <v>0</v>
      </c>
      <c r="I448" s="304">
        <v>0</v>
      </c>
      <c r="J448" s="304">
        <v>0</v>
      </c>
      <c r="K448" s="305">
        <v>0</v>
      </c>
      <c r="L448" s="304">
        <v>0</v>
      </c>
      <c r="M448" s="304">
        <v>0</v>
      </c>
      <c r="N448" s="304">
        <v>0</v>
      </c>
      <c r="O448" s="304">
        <v>902997</v>
      </c>
      <c r="P448" s="304">
        <v>0</v>
      </c>
      <c r="Q448" s="304">
        <v>0</v>
      </c>
      <c r="R448" s="304">
        <v>0</v>
      </c>
      <c r="S448" s="304">
        <v>0</v>
      </c>
      <c r="T448" s="304">
        <v>0</v>
      </c>
      <c r="U448" s="304">
        <v>0</v>
      </c>
      <c r="V448" s="304">
        <v>0</v>
      </c>
      <c r="W448" s="304">
        <v>0</v>
      </c>
      <c r="X448" s="304">
        <v>0</v>
      </c>
      <c r="Y448" s="304">
        <v>0</v>
      </c>
      <c r="Z448" s="304">
        <v>0</v>
      </c>
      <c r="AA448" s="304">
        <v>0</v>
      </c>
      <c r="AB448" s="303">
        <v>2020</v>
      </c>
    </row>
    <row r="449" spans="1:28" ht="35.25" customHeight="1" x14ac:dyDescent="0.5">
      <c r="A449">
        <v>1</v>
      </c>
      <c r="B449" s="80">
        <f>SUBTOTAL(103,$A$9:A449)</f>
        <v>437</v>
      </c>
      <c r="C449" s="300" t="s">
        <v>1994</v>
      </c>
      <c r="D449" s="296">
        <f t="shared" si="12"/>
        <v>443675</v>
      </c>
      <c r="E449" s="304">
        <v>0</v>
      </c>
      <c r="F449" s="304">
        <v>0</v>
      </c>
      <c r="G449" s="304">
        <v>0</v>
      </c>
      <c r="H449" s="304">
        <v>0</v>
      </c>
      <c r="I449" s="304">
        <v>0</v>
      </c>
      <c r="J449" s="304">
        <v>0</v>
      </c>
      <c r="K449" s="305">
        <v>0</v>
      </c>
      <c r="L449" s="304">
        <v>0</v>
      </c>
      <c r="M449" s="304">
        <v>0</v>
      </c>
      <c r="N449" s="304">
        <v>0</v>
      </c>
      <c r="O449" s="304">
        <v>443675</v>
      </c>
      <c r="P449" s="304">
        <v>0</v>
      </c>
      <c r="Q449" s="304">
        <v>0</v>
      </c>
      <c r="R449" s="304">
        <v>0</v>
      </c>
      <c r="S449" s="304">
        <v>0</v>
      </c>
      <c r="T449" s="304">
        <v>0</v>
      </c>
      <c r="U449" s="304">
        <v>0</v>
      </c>
      <c r="V449" s="304">
        <v>0</v>
      </c>
      <c r="W449" s="304">
        <v>0</v>
      </c>
      <c r="X449" s="304">
        <v>0</v>
      </c>
      <c r="Y449" s="304">
        <v>0</v>
      </c>
      <c r="Z449" s="304">
        <v>0</v>
      </c>
      <c r="AA449" s="304">
        <v>0</v>
      </c>
      <c r="AB449" s="303">
        <v>2020</v>
      </c>
    </row>
    <row r="450" spans="1:28" ht="35.25" customHeight="1" x14ac:dyDescent="0.5">
      <c r="A450">
        <v>1</v>
      </c>
      <c r="B450" s="80">
        <f>SUBTOTAL(103,$A$9:A450)</f>
        <v>438</v>
      </c>
      <c r="C450" s="300" t="s">
        <v>1995</v>
      </c>
      <c r="D450" s="296">
        <f t="shared" si="12"/>
        <v>278300</v>
      </c>
      <c r="E450" s="304">
        <v>0</v>
      </c>
      <c r="F450" s="304">
        <v>0</v>
      </c>
      <c r="G450" s="304">
        <v>0</v>
      </c>
      <c r="H450" s="304">
        <v>0</v>
      </c>
      <c r="I450" s="304">
        <v>0</v>
      </c>
      <c r="J450" s="304">
        <v>0</v>
      </c>
      <c r="K450" s="305">
        <v>0</v>
      </c>
      <c r="L450" s="304">
        <v>0</v>
      </c>
      <c r="M450" s="304">
        <v>0</v>
      </c>
      <c r="N450" s="304">
        <v>0</v>
      </c>
      <c r="O450" s="304">
        <v>278300</v>
      </c>
      <c r="P450" s="304">
        <v>0</v>
      </c>
      <c r="Q450" s="304">
        <v>0</v>
      </c>
      <c r="R450" s="304">
        <v>0</v>
      </c>
      <c r="S450" s="304">
        <v>0</v>
      </c>
      <c r="T450" s="304">
        <v>0</v>
      </c>
      <c r="U450" s="304">
        <v>0</v>
      </c>
      <c r="V450" s="304">
        <v>0</v>
      </c>
      <c r="W450" s="304">
        <v>0</v>
      </c>
      <c r="X450" s="304">
        <v>0</v>
      </c>
      <c r="Y450" s="304">
        <v>0</v>
      </c>
      <c r="Z450" s="304">
        <v>0</v>
      </c>
      <c r="AA450" s="304">
        <v>0</v>
      </c>
      <c r="AB450" s="303">
        <v>2020</v>
      </c>
    </row>
    <row r="451" spans="1:28" ht="35.25" customHeight="1" x14ac:dyDescent="0.5">
      <c r="A451">
        <v>1</v>
      </c>
      <c r="B451" s="80">
        <f>SUBTOTAL(103,$A$9:A451)</f>
        <v>439</v>
      </c>
      <c r="C451" s="300" t="s">
        <v>1996</v>
      </c>
      <c r="D451" s="296">
        <f t="shared" si="12"/>
        <v>400000</v>
      </c>
      <c r="E451" s="304">
        <v>0</v>
      </c>
      <c r="F451" s="304">
        <v>0</v>
      </c>
      <c r="G451" s="304">
        <v>0</v>
      </c>
      <c r="H451" s="304">
        <v>0</v>
      </c>
      <c r="I451" s="304">
        <v>0</v>
      </c>
      <c r="J451" s="304">
        <v>0</v>
      </c>
      <c r="K451" s="305">
        <v>0</v>
      </c>
      <c r="L451" s="304">
        <v>0</v>
      </c>
      <c r="M451" s="304">
        <v>0</v>
      </c>
      <c r="N451" s="304">
        <v>0</v>
      </c>
      <c r="O451" s="304">
        <v>400000</v>
      </c>
      <c r="P451" s="304">
        <v>0</v>
      </c>
      <c r="Q451" s="304">
        <v>0</v>
      </c>
      <c r="R451" s="304">
        <v>0</v>
      </c>
      <c r="S451" s="304">
        <v>0</v>
      </c>
      <c r="T451" s="304">
        <v>0</v>
      </c>
      <c r="U451" s="304">
        <v>0</v>
      </c>
      <c r="V451" s="304">
        <v>0</v>
      </c>
      <c r="W451" s="304">
        <v>0</v>
      </c>
      <c r="X451" s="304">
        <v>0</v>
      </c>
      <c r="Y451" s="304">
        <v>0</v>
      </c>
      <c r="Z451" s="304">
        <v>0</v>
      </c>
      <c r="AA451" s="304">
        <v>0</v>
      </c>
      <c r="AB451" s="303">
        <v>2020</v>
      </c>
    </row>
    <row r="452" spans="1:28" ht="35.25" customHeight="1" x14ac:dyDescent="0.5">
      <c r="A452">
        <v>1</v>
      </c>
      <c r="B452" s="80">
        <f>SUBTOTAL(103,$A$9:A452)</f>
        <v>440</v>
      </c>
      <c r="C452" s="300" t="s">
        <v>1997</v>
      </c>
      <c r="D452" s="296">
        <f t="shared" si="12"/>
        <v>223100</v>
      </c>
      <c r="E452" s="304">
        <v>0</v>
      </c>
      <c r="F452" s="304">
        <v>0</v>
      </c>
      <c r="G452" s="304">
        <v>0</v>
      </c>
      <c r="H452" s="304">
        <v>0</v>
      </c>
      <c r="I452" s="304">
        <v>0</v>
      </c>
      <c r="J452" s="304">
        <v>0</v>
      </c>
      <c r="K452" s="305">
        <v>0</v>
      </c>
      <c r="L452" s="304">
        <v>0</v>
      </c>
      <c r="M452" s="304">
        <v>223100</v>
      </c>
      <c r="N452" s="304">
        <v>0</v>
      </c>
      <c r="O452" s="304">
        <v>0</v>
      </c>
      <c r="P452" s="304">
        <v>0</v>
      </c>
      <c r="Q452" s="304">
        <v>0</v>
      </c>
      <c r="R452" s="304">
        <v>0</v>
      </c>
      <c r="S452" s="304">
        <v>0</v>
      </c>
      <c r="T452" s="304">
        <v>0</v>
      </c>
      <c r="U452" s="304">
        <v>0</v>
      </c>
      <c r="V452" s="304">
        <v>0</v>
      </c>
      <c r="W452" s="304">
        <v>0</v>
      </c>
      <c r="X452" s="304">
        <v>0</v>
      </c>
      <c r="Y452" s="304">
        <v>0</v>
      </c>
      <c r="Z452" s="304">
        <v>0</v>
      </c>
      <c r="AA452" s="304">
        <v>0</v>
      </c>
      <c r="AB452" s="303">
        <v>2020</v>
      </c>
    </row>
    <row r="453" spans="1:28" ht="35.25" customHeight="1" x14ac:dyDescent="0.5">
      <c r="A453">
        <v>1</v>
      </c>
      <c r="B453" s="80">
        <f>SUBTOTAL(103,$A$9:A453)</f>
        <v>441</v>
      </c>
      <c r="C453" s="300" t="s">
        <v>1998</v>
      </c>
      <c r="D453" s="296">
        <f t="shared" si="12"/>
        <v>255750</v>
      </c>
      <c r="E453" s="304">
        <v>0</v>
      </c>
      <c r="F453" s="304">
        <v>0</v>
      </c>
      <c r="G453" s="304">
        <v>0</v>
      </c>
      <c r="H453" s="304">
        <v>0</v>
      </c>
      <c r="I453" s="304">
        <v>0</v>
      </c>
      <c r="J453" s="304">
        <v>0</v>
      </c>
      <c r="K453" s="305">
        <v>0</v>
      </c>
      <c r="L453" s="304">
        <v>0</v>
      </c>
      <c r="M453" s="304">
        <v>255750</v>
      </c>
      <c r="N453" s="304">
        <v>0</v>
      </c>
      <c r="O453" s="304">
        <v>0</v>
      </c>
      <c r="P453" s="304">
        <v>0</v>
      </c>
      <c r="Q453" s="304">
        <v>0</v>
      </c>
      <c r="R453" s="304">
        <v>0</v>
      </c>
      <c r="S453" s="304">
        <v>0</v>
      </c>
      <c r="T453" s="304">
        <v>0</v>
      </c>
      <c r="U453" s="304">
        <v>0</v>
      </c>
      <c r="V453" s="304">
        <v>0</v>
      </c>
      <c r="W453" s="304">
        <v>0</v>
      </c>
      <c r="X453" s="304">
        <v>0</v>
      </c>
      <c r="Y453" s="304">
        <v>0</v>
      </c>
      <c r="Z453" s="304">
        <v>0</v>
      </c>
      <c r="AA453" s="304">
        <v>0</v>
      </c>
      <c r="AB453" s="303">
        <v>2020</v>
      </c>
    </row>
    <row r="454" spans="1:28" ht="35.25" customHeight="1" x14ac:dyDescent="0.5">
      <c r="A454">
        <v>1</v>
      </c>
      <c r="B454" s="80">
        <f>SUBTOTAL(103,$A$9:A454)</f>
        <v>442</v>
      </c>
      <c r="C454" s="300" t="s">
        <v>1999</v>
      </c>
      <c r="D454" s="296">
        <f t="shared" si="12"/>
        <v>333783</v>
      </c>
      <c r="E454" s="304">
        <v>0</v>
      </c>
      <c r="F454" s="304">
        <v>0</v>
      </c>
      <c r="G454" s="304">
        <v>0</v>
      </c>
      <c r="H454" s="304">
        <v>0</v>
      </c>
      <c r="I454" s="304">
        <v>0</v>
      </c>
      <c r="J454" s="304">
        <v>0</v>
      </c>
      <c r="K454" s="305">
        <v>0</v>
      </c>
      <c r="L454" s="304">
        <v>0</v>
      </c>
      <c r="M454" s="304">
        <v>0</v>
      </c>
      <c r="N454" s="304">
        <v>0</v>
      </c>
      <c r="O454" s="304">
        <v>0</v>
      </c>
      <c r="P454" s="304">
        <v>333783</v>
      </c>
      <c r="Q454" s="304">
        <v>0</v>
      </c>
      <c r="R454" s="304">
        <v>0</v>
      </c>
      <c r="S454" s="304">
        <v>0</v>
      </c>
      <c r="T454" s="304">
        <v>0</v>
      </c>
      <c r="U454" s="304">
        <v>0</v>
      </c>
      <c r="V454" s="304">
        <v>0</v>
      </c>
      <c r="W454" s="304">
        <v>0</v>
      </c>
      <c r="X454" s="304">
        <v>0</v>
      </c>
      <c r="Y454" s="304">
        <v>0</v>
      </c>
      <c r="Z454" s="304">
        <v>0</v>
      </c>
      <c r="AA454" s="304">
        <v>0</v>
      </c>
      <c r="AB454" s="303">
        <v>2020</v>
      </c>
    </row>
    <row r="455" spans="1:28" ht="35.25" customHeight="1" x14ac:dyDescent="0.5">
      <c r="A455">
        <v>1</v>
      </c>
      <c r="B455" s="80">
        <f>SUBTOTAL(103,$A$9:A455)</f>
        <v>443</v>
      </c>
      <c r="C455" s="300" t="s">
        <v>2396</v>
      </c>
      <c r="D455" s="296">
        <f t="shared" si="12"/>
        <v>1198793</v>
      </c>
      <c r="E455" s="304">
        <v>0</v>
      </c>
      <c r="F455" s="304">
        <v>0</v>
      </c>
      <c r="G455" s="304">
        <v>0</v>
      </c>
      <c r="H455" s="304">
        <v>0</v>
      </c>
      <c r="I455" s="304">
        <v>0</v>
      </c>
      <c r="J455" s="304">
        <v>0</v>
      </c>
      <c r="K455" s="305">
        <v>0</v>
      </c>
      <c r="L455" s="304">
        <v>0</v>
      </c>
      <c r="M455" s="304">
        <v>1198793</v>
      </c>
      <c r="N455" s="304">
        <v>0</v>
      </c>
      <c r="O455" s="304">
        <v>0</v>
      </c>
      <c r="P455" s="304">
        <v>0</v>
      </c>
      <c r="Q455" s="304">
        <v>0</v>
      </c>
      <c r="R455" s="304">
        <v>0</v>
      </c>
      <c r="S455" s="304">
        <v>0</v>
      </c>
      <c r="T455" s="304">
        <v>0</v>
      </c>
      <c r="U455" s="304">
        <v>0</v>
      </c>
      <c r="V455" s="304">
        <v>0</v>
      </c>
      <c r="W455" s="304">
        <v>0</v>
      </c>
      <c r="X455" s="304">
        <v>0</v>
      </c>
      <c r="Y455" s="304">
        <v>0</v>
      </c>
      <c r="Z455" s="304">
        <v>0</v>
      </c>
      <c r="AA455" s="304">
        <v>0</v>
      </c>
      <c r="AB455" s="303">
        <v>2020</v>
      </c>
    </row>
    <row r="456" spans="1:28" ht="35.25" customHeight="1" x14ac:dyDescent="0.5">
      <c r="A456">
        <v>1</v>
      </c>
      <c r="B456" s="80">
        <f>SUBTOTAL(103,$A$9:A456)</f>
        <v>444</v>
      </c>
      <c r="C456" s="300" t="s">
        <v>2397</v>
      </c>
      <c r="D456" s="296">
        <f t="shared" si="12"/>
        <v>709838</v>
      </c>
      <c r="E456" s="304">
        <v>0</v>
      </c>
      <c r="F456" s="304">
        <v>0</v>
      </c>
      <c r="G456" s="304">
        <v>0</v>
      </c>
      <c r="H456" s="304">
        <v>0</v>
      </c>
      <c r="I456" s="304">
        <v>0</v>
      </c>
      <c r="J456" s="304">
        <v>0</v>
      </c>
      <c r="K456" s="305">
        <v>0</v>
      </c>
      <c r="L456" s="304">
        <v>0</v>
      </c>
      <c r="M456" s="304">
        <v>709838</v>
      </c>
      <c r="N456" s="304">
        <v>0</v>
      </c>
      <c r="O456" s="304">
        <v>0</v>
      </c>
      <c r="P456" s="304">
        <v>0</v>
      </c>
      <c r="Q456" s="304">
        <v>0</v>
      </c>
      <c r="R456" s="304">
        <v>0</v>
      </c>
      <c r="S456" s="304">
        <v>0</v>
      </c>
      <c r="T456" s="304">
        <v>0</v>
      </c>
      <c r="U456" s="304">
        <v>0</v>
      </c>
      <c r="V456" s="304">
        <v>0</v>
      </c>
      <c r="W456" s="304">
        <v>0</v>
      </c>
      <c r="X456" s="304">
        <v>0</v>
      </c>
      <c r="Y456" s="304">
        <v>0</v>
      </c>
      <c r="Z456" s="304">
        <v>0</v>
      </c>
      <c r="AA456" s="304">
        <v>0</v>
      </c>
      <c r="AB456" s="303">
        <v>2020</v>
      </c>
    </row>
    <row r="457" spans="1:28" ht="35.25" customHeight="1" x14ac:dyDescent="0.5">
      <c r="A457">
        <v>1</v>
      </c>
      <c r="B457" s="80">
        <f>SUBTOTAL(103,$A$9:A457)</f>
        <v>445</v>
      </c>
      <c r="C457" s="300" t="s">
        <v>3377</v>
      </c>
      <c r="D457" s="296">
        <f t="shared" ref="D457:D520" si="13">E457+F457+G457+H457+I457+J457+L457+M457+N457+O457+P457+Q457+R457+S457+T457+U457+V457+W457+X457+Y457+Z457+AA457</f>
        <v>524585</v>
      </c>
      <c r="E457" s="304">
        <v>0</v>
      </c>
      <c r="F457" s="304">
        <v>0</v>
      </c>
      <c r="G457" s="304">
        <v>0</v>
      </c>
      <c r="H457" s="304">
        <v>0</v>
      </c>
      <c r="I457" s="304">
        <v>0</v>
      </c>
      <c r="J457" s="304">
        <v>0</v>
      </c>
      <c r="K457" s="305">
        <v>0</v>
      </c>
      <c r="L457" s="304">
        <v>0</v>
      </c>
      <c r="M457" s="304">
        <v>0</v>
      </c>
      <c r="N457" s="304">
        <v>0</v>
      </c>
      <c r="O457" s="304">
        <v>524585</v>
      </c>
      <c r="P457" s="304">
        <v>0</v>
      </c>
      <c r="Q457" s="304">
        <v>0</v>
      </c>
      <c r="R457" s="304">
        <v>0</v>
      </c>
      <c r="S457" s="304">
        <v>0</v>
      </c>
      <c r="T457" s="304">
        <v>0</v>
      </c>
      <c r="U457" s="304">
        <v>0</v>
      </c>
      <c r="V457" s="304">
        <v>0</v>
      </c>
      <c r="W457" s="304">
        <v>0</v>
      </c>
      <c r="X457" s="304">
        <v>0</v>
      </c>
      <c r="Y457" s="304">
        <v>0</v>
      </c>
      <c r="Z457" s="304">
        <v>0</v>
      </c>
      <c r="AA457" s="304">
        <v>0</v>
      </c>
      <c r="AB457" s="303">
        <v>2020</v>
      </c>
    </row>
    <row r="458" spans="1:28" ht="35.25" customHeight="1" x14ac:dyDescent="0.5">
      <c r="A458">
        <v>1</v>
      </c>
      <c r="B458" s="80">
        <f>SUBTOTAL(103,$A$9:A458)</f>
        <v>446</v>
      </c>
      <c r="C458" s="300" t="s">
        <v>2000</v>
      </c>
      <c r="D458" s="296">
        <f t="shared" si="13"/>
        <v>523713.59</v>
      </c>
      <c r="E458" s="304">
        <v>0</v>
      </c>
      <c r="F458" s="304">
        <v>0</v>
      </c>
      <c r="G458" s="304">
        <v>0</v>
      </c>
      <c r="H458" s="304">
        <v>0</v>
      </c>
      <c r="I458" s="304">
        <v>0</v>
      </c>
      <c r="J458" s="304">
        <v>0</v>
      </c>
      <c r="K458" s="305">
        <v>0</v>
      </c>
      <c r="L458" s="304">
        <v>0</v>
      </c>
      <c r="M458" s="304">
        <v>0</v>
      </c>
      <c r="N458" s="304">
        <v>0</v>
      </c>
      <c r="O458" s="304">
        <v>523713.59</v>
      </c>
      <c r="P458" s="304">
        <v>0</v>
      </c>
      <c r="Q458" s="304">
        <v>0</v>
      </c>
      <c r="R458" s="304">
        <v>0</v>
      </c>
      <c r="S458" s="304">
        <v>0</v>
      </c>
      <c r="T458" s="304">
        <v>0</v>
      </c>
      <c r="U458" s="304">
        <v>0</v>
      </c>
      <c r="V458" s="304">
        <v>0</v>
      </c>
      <c r="W458" s="304">
        <v>0</v>
      </c>
      <c r="X458" s="304">
        <v>0</v>
      </c>
      <c r="Y458" s="304">
        <v>0</v>
      </c>
      <c r="Z458" s="304">
        <v>0</v>
      </c>
      <c r="AA458" s="304">
        <v>0</v>
      </c>
      <c r="AB458" s="303">
        <v>2020</v>
      </c>
    </row>
    <row r="459" spans="1:28" ht="35.25" customHeight="1" x14ac:dyDescent="0.5">
      <c r="A459">
        <v>1</v>
      </c>
      <c r="B459" s="80">
        <f>SUBTOTAL(103,$A$9:A459)</f>
        <v>447</v>
      </c>
      <c r="C459" s="300" t="s">
        <v>2001</v>
      </c>
      <c r="D459" s="296">
        <f t="shared" si="13"/>
        <v>1050321.76</v>
      </c>
      <c r="E459" s="304">
        <v>0</v>
      </c>
      <c r="F459" s="304">
        <v>0</v>
      </c>
      <c r="G459" s="304">
        <v>637270</v>
      </c>
      <c r="H459" s="304">
        <v>0</v>
      </c>
      <c r="I459" s="304">
        <v>0</v>
      </c>
      <c r="J459" s="304">
        <v>0</v>
      </c>
      <c r="K459" s="305">
        <v>0</v>
      </c>
      <c r="L459" s="304">
        <v>0</v>
      </c>
      <c r="M459" s="304">
        <v>0</v>
      </c>
      <c r="N459" s="304">
        <v>0</v>
      </c>
      <c r="O459" s="304">
        <v>413051.76</v>
      </c>
      <c r="P459" s="304">
        <v>0</v>
      </c>
      <c r="Q459" s="304">
        <v>0</v>
      </c>
      <c r="R459" s="304">
        <v>0</v>
      </c>
      <c r="S459" s="304">
        <v>0</v>
      </c>
      <c r="T459" s="304">
        <v>0</v>
      </c>
      <c r="U459" s="304">
        <v>0</v>
      </c>
      <c r="V459" s="304">
        <v>0</v>
      </c>
      <c r="W459" s="304">
        <v>0</v>
      </c>
      <c r="X459" s="304">
        <v>0</v>
      </c>
      <c r="Y459" s="304">
        <v>0</v>
      </c>
      <c r="Z459" s="304">
        <v>0</v>
      </c>
      <c r="AA459" s="304">
        <v>0</v>
      </c>
      <c r="AB459" s="303">
        <v>2020</v>
      </c>
    </row>
    <row r="460" spans="1:28" ht="35.25" customHeight="1" x14ac:dyDescent="0.5">
      <c r="A460">
        <v>1</v>
      </c>
      <c r="B460" s="80">
        <f>SUBTOTAL(103,$A$9:A460)</f>
        <v>448</v>
      </c>
      <c r="C460" s="300" t="s">
        <v>2002</v>
      </c>
      <c r="D460" s="296">
        <f t="shared" si="13"/>
        <v>46494</v>
      </c>
      <c r="E460" s="304">
        <v>0</v>
      </c>
      <c r="F460" s="304">
        <v>0</v>
      </c>
      <c r="G460" s="304">
        <v>46494</v>
      </c>
      <c r="H460" s="304">
        <v>0</v>
      </c>
      <c r="I460" s="304">
        <v>0</v>
      </c>
      <c r="J460" s="304">
        <v>0</v>
      </c>
      <c r="K460" s="305">
        <v>0</v>
      </c>
      <c r="L460" s="304">
        <v>0</v>
      </c>
      <c r="M460" s="304">
        <v>0</v>
      </c>
      <c r="N460" s="304">
        <v>0</v>
      </c>
      <c r="O460" s="304">
        <v>0</v>
      </c>
      <c r="P460" s="304">
        <v>0</v>
      </c>
      <c r="Q460" s="304">
        <v>0</v>
      </c>
      <c r="R460" s="304">
        <v>0</v>
      </c>
      <c r="S460" s="304">
        <v>0</v>
      </c>
      <c r="T460" s="304">
        <v>0</v>
      </c>
      <c r="U460" s="304">
        <v>0</v>
      </c>
      <c r="V460" s="304">
        <v>0</v>
      </c>
      <c r="W460" s="304">
        <v>0</v>
      </c>
      <c r="X460" s="304">
        <v>0</v>
      </c>
      <c r="Y460" s="304">
        <v>0</v>
      </c>
      <c r="Z460" s="304">
        <v>0</v>
      </c>
      <c r="AA460" s="304">
        <v>0</v>
      </c>
      <c r="AB460" s="303">
        <v>2020</v>
      </c>
    </row>
    <row r="461" spans="1:28" ht="35.25" customHeight="1" x14ac:dyDescent="0.5">
      <c r="A461">
        <v>1</v>
      </c>
      <c r="B461" s="80">
        <f>SUBTOTAL(103,$A$9:A461)</f>
        <v>449</v>
      </c>
      <c r="C461" s="300" t="s">
        <v>2003</v>
      </c>
      <c r="D461" s="296">
        <f t="shared" si="13"/>
        <v>160278</v>
      </c>
      <c r="E461" s="304">
        <v>0</v>
      </c>
      <c r="F461" s="304">
        <v>0</v>
      </c>
      <c r="G461" s="304">
        <v>160278</v>
      </c>
      <c r="H461" s="304">
        <v>0</v>
      </c>
      <c r="I461" s="304">
        <v>0</v>
      </c>
      <c r="J461" s="304">
        <v>0</v>
      </c>
      <c r="K461" s="305">
        <v>0</v>
      </c>
      <c r="L461" s="304">
        <v>0</v>
      </c>
      <c r="M461" s="304">
        <v>0</v>
      </c>
      <c r="N461" s="304">
        <v>0</v>
      </c>
      <c r="O461" s="304">
        <v>0</v>
      </c>
      <c r="P461" s="304">
        <v>0</v>
      </c>
      <c r="Q461" s="304">
        <v>0</v>
      </c>
      <c r="R461" s="304">
        <v>0</v>
      </c>
      <c r="S461" s="304">
        <v>0</v>
      </c>
      <c r="T461" s="304">
        <v>0</v>
      </c>
      <c r="U461" s="304">
        <v>0</v>
      </c>
      <c r="V461" s="304">
        <v>0</v>
      </c>
      <c r="W461" s="304">
        <v>0</v>
      </c>
      <c r="X461" s="304">
        <v>0</v>
      </c>
      <c r="Y461" s="304">
        <v>0</v>
      </c>
      <c r="Z461" s="304">
        <v>0</v>
      </c>
      <c r="AA461" s="304">
        <v>0</v>
      </c>
      <c r="AB461" s="303">
        <v>2020</v>
      </c>
    </row>
    <row r="462" spans="1:28" ht="35.25" customHeight="1" x14ac:dyDescent="0.5">
      <c r="A462">
        <v>1</v>
      </c>
      <c r="B462" s="80">
        <f>SUBTOTAL(103,$A$9:A462)</f>
        <v>450</v>
      </c>
      <c r="C462" s="300" t="s">
        <v>2398</v>
      </c>
      <c r="D462" s="296">
        <f t="shared" si="13"/>
        <v>1960000</v>
      </c>
      <c r="E462" s="304">
        <v>0</v>
      </c>
      <c r="F462" s="304">
        <v>0</v>
      </c>
      <c r="G462" s="304">
        <v>0</v>
      </c>
      <c r="H462" s="304">
        <v>0</v>
      </c>
      <c r="I462" s="304">
        <v>0</v>
      </c>
      <c r="J462" s="304">
        <v>0</v>
      </c>
      <c r="K462" s="305">
        <v>1</v>
      </c>
      <c r="L462" s="304">
        <v>1960000</v>
      </c>
      <c r="M462" s="304">
        <v>0</v>
      </c>
      <c r="N462" s="304">
        <v>0</v>
      </c>
      <c r="O462" s="304">
        <v>0</v>
      </c>
      <c r="P462" s="304">
        <v>0</v>
      </c>
      <c r="Q462" s="304">
        <v>0</v>
      </c>
      <c r="R462" s="304">
        <v>0</v>
      </c>
      <c r="S462" s="304">
        <v>0</v>
      </c>
      <c r="T462" s="304">
        <v>0</v>
      </c>
      <c r="U462" s="304">
        <v>0</v>
      </c>
      <c r="V462" s="304">
        <v>0</v>
      </c>
      <c r="W462" s="304">
        <v>0</v>
      </c>
      <c r="X462" s="304">
        <v>0</v>
      </c>
      <c r="Y462" s="304">
        <v>0</v>
      </c>
      <c r="Z462" s="304">
        <v>0</v>
      </c>
      <c r="AA462" s="304">
        <v>0</v>
      </c>
      <c r="AB462" s="303">
        <v>2020</v>
      </c>
    </row>
    <row r="463" spans="1:28" ht="35.25" customHeight="1" x14ac:dyDescent="0.5">
      <c r="A463">
        <v>1</v>
      </c>
      <c r="B463" s="80">
        <f>SUBTOTAL(103,$A$9:A463)</f>
        <v>451</v>
      </c>
      <c r="C463" s="300" t="s">
        <v>2399</v>
      </c>
      <c r="D463" s="296">
        <f t="shared" si="13"/>
        <v>1431814.77</v>
      </c>
      <c r="E463" s="304">
        <v>0</v>
      </c>
      <c r="F463" s="304">
        <v>0</v>
      </c>
      <c r="G463" s="304">
        <v>0</v>
      </c>
      <c r="H463" s="304">
        <v>0</v>
      </c>
      <c r="I463" s="304">
        <v>0</v>
      </c>
      <c r="J463" s="304">
        <v>0</v>
      </c>
      <c r="K463" s="305">
        <v>0</v>
      </c>
      <c r="L463" s="304">
        <v>0</v>
      </c>
      <c r="M463" s="304">
        <v>1431814.77</v>
      </c>
      <c r="N463" s="304">
        <v>0</v>
      </c>
      <c r="O463" s="304">
        <v>0</v>
      </c>
      <c r="P463" s="304">
        <v>0</v>
      </c>
      <c r="Q463" s="304">
        <v>0</v>
      </c>
      <c r="R463" s="304">
        <v>0</v>
      </c>
      <c r="S463" s="304">
        <v>0</v>
      </c>
      <c r="T463" s="304">
        <v>0</v>
      </c>
      <c r="U463" s="304">
        <v>0</v>
      </c>
      <c r="V463" s="304">
        <v>0</v>
      </c>
      <c r="W463" s="304">
        <v>0</v>
      </c>
      <c r="X463" s="304">
        <v>0</v>
      </c>
      <c r="Y463" s="304">
        <v>0</v>
      </c>
      <c r="Z463" s="304">
        <v>0</v>
      </c>
      <c r="AA463" s="304">
        <v>0</v>
      </c>
      <c r="AB463" s="303">
        <v>2020</v>
      </c>
    </row>
    <row r="464" spans="1:28" ht="35.25" customHeight="1" x14ac:dyDescent="0.5">
      <c r="A464">
        <v>1</v>
      </c>
      <c r="B464" s="80">
        <f>SUBTOTAL(103,$A$9:A464)</f>
        <v>452</v>
      </c>
      <c r="C464" s="300" t="s">
        <v>2004</v>
      </c>
      <c r="D464" s="296">
        <f t="shared" si="13"/>
        <v>174550</v>
      </c>
      <c r="E464" s="304">
        <v>0</v>
      </c>
      <c r="F464" s="304">
        <v>174550</v>
      </c>
      <c r="G464" s="304">
        <v>0</v>
      </c>
      <c r="H464" s="304">
        <v>0</v>
      </c>
      <c r="I464" s="304">
        <v>0</v>
      </c>
      <c r="J464" s="304">
        <v>0</v>
      </c>
      <c r="K464" s="305">
        <v>0</v>
      </c>
      <c r="L464" s="304">
        <v>0</v>
      </c>
      <c r="M464" s="304">
        <v>0</v>
      </c>
      <c r="N464" s="304">
        <v>0</v>
      </c>
      <c r="O464" s="304">
        <v>0</v>
      </c>
      <c r="P464" s="304">
        <v>0</v>
      </c>
      <c r="Q464" s="304">
        <v>0</v>
      </c>
      <c r="R464" s="304">
        <v>0</v>
      </c>
      <c r="S464" s="304">
        <v>0</v>
      </c>
      <c r="T464" s="304">
        <v>0</v>
      </c>
      <c r="U464" s="304">
        <v>0</v>
      </c>
      <c r="V464" s="304">
        <v>0</v>
      </c>
      <c r="W464" s="304">
        <v>0</v>
      </c>
      <c r="X464" s="304">
        <v>0</v>
      </c>
      <c r="Y464" s="304">
        <v>0</v>
      </c>
      <c r="Z464" s="304">
        <v>0</v>
      </c>
      <c r="AA464" s="304">
        <v>0</v>
      </c>
      <c r="AB464" s="303">
        <v>2020</v>
      </c>
    </row>
    <row r="465" spans="1:28" ht="35.25" customHeight="1" x14ac:dyDescent="0.5">
      <c r="A465">
        <v>1</v>
      </c>
      <c r="B465" s="80">
        <f>SUBTOTAL(103,$A$9:A465)</f>
        <v>453</v>
      </c>
      <c r="C465" s="300" t="s">
        <v>2005</v>
      </c>
      <c r="D465" s="296">
        <f t="shared" si="13"/>
        <v>403107</v>
      </c>
      <c r="E465" s="304">
        <v>0</v>
      </c>
      <c r="F465" s="304">
        <v>0</v>
      </c>
      <c r="G465" s="304">
        <v>0</v>
      </c>
      <c r="H465" s="304">
        <v>0</v>
      </c>
      <c r="I465" s="304">
        <v>0</v>
      </c>
      <c r="J465" s="304">
        <v>0</v>
      </c>
      <c r="K465" s="305">
        <v>0</v>
      </c>
      <c r="L465" s="304">
        <v>0</v>
      </c>
      <c r="M465" s="304">
        <v>0</v>
      </c>
      <c r="N465" s="304">
        <v>0</v>
      </c>
      <c r="O465" s="304">
        <v>403107</v>
      </c>
      <c r="P465" s="304">
        <v>0</v>
      </c>
      <c r="Q465" s="304">
        <v>0</v>
      </c>
      <c r="R465" s="304">
        <v>0</v>
      </c>
      <c r="S465" s="304">
        <v>0</v>
      </c>
      <c r="T465" s="304">
        <v>0</v>
      </c>
      <c r="U465" s="304">
        <v>0</v>
      </c>
      <c r="V465" s="304">
        <v>0</v>
      </c>
      <c r="W465" s="304">
        <v>0</v>
      </c>
      <c r="X465" s="304">
        <v>0</v>
      </c>
      <c r="Y465" s="304">
        <v>0</v>
      </c>
      <c r="Z465" s="304">
        <v>0</v>
      </c>
      <c r="AA465" s="304">
        <v>0</v>
      </c>
      <c r="AB465" s="303">
        <v>2020</v>
      </c>
    </row>
    <row r="466" spans="1:28" ht="35.25" customHeight="1" x14ac:dyDescent="0.5">
      <c r="A466">
        <v>1</v>
      </c>
      <c r="B466" s="80">
        <f>SUBTOTAL(103,$A$9:A466)</f>
        <v>454</v>
      </c>
      <c r="C466" s="300" t="s">
        <v>2006</v>
      </c>
      <c r="D466" s="296">
        <f t="shared" si="13"/>
        <v>431437</v>
      </c>
      <c r="E466" s="304">
        <v>0</v>
      </c>
      <c r="F466" s="304">
        <v>0</v>
      </c>
      <c r="G466" s="304">
        <v>0</v>
      </c>
      <c r="H466" s="304">
        <v>0</v>
      </c>
      <c r="I466" s="304">
        <v>0</v>
      </c>
      <c r="J466" s="304">
        <v>0</v>
      </c>
      <c r="K466" s="305">
        <v>0</v>
      </c>
      <c r="L466" s="304">
        <v>0</v>
      </c>
      <c r="M466" s="304">
        <v>0</v>
      </c>
      <c r="N466" s="304">
        <v>0</v>
      </c>
      <c r="O466" s="304">
        <v>431437</v>
      </c>
      <c r="P466" s="304">
        <v>0</v>
      </c>
      <c r="Q466" s="304">
        <v>0</v>
      </c>
      <c r="R466" s="304">
        <v>0</v>
      </c>
      <c r="S466" s="304">
        <v>0</v>
      </c>
      <c r="T466" s="304">
        <v>0</v>
      </c>
      <c r="U466" s="304">
        <v>0</v>
      </c>
      <c r="V466" s="304">
        <v>0</v>
      </c>
      <c r="W466" s="304">
        <v>0</v>
      </c>
      <c r="X466" s="304">
        <v>0</v>
      </c>
      <c r="Y466" s="304">
        <v>0</v>
      </c>
      <c r="Z466" s="304">
        <v>0</v>
      </c>
      <c r="AA466" s="304">
        <v>0</v>
      </c>
      <c r="AB466" s="303">
        <v>2020</v>
      </c>
    </row>
    <row r="467" spans="1:28" ht="35.25" customHeight="1" x14ac:dyDescent="0.5">
      <c r="A467">
        <v>1</v>
      </c>
      <c r="B467" s="80">
        <f>SUBTOTAL(103,$A$9:A467)</f>
        <v>455</v>
      </c>
      <c r="C467" s="300" t="s">
        <v>2007</v>
      </c>
      <c r="D467" s="296">
        <f t="shared" si="13"/>
        <v>380000</v>
      </c>
      <c r="E467" s="304">
        <v>0</v>
      </c>
      <c r="F467" s="304">
        <v>0</v>
      </c>
      <c r="G467" s="304">
        <v>0</v>
      </c>
      <c r="H467" s="304">
        <v>0</v>
      </c>
      <c r="I467" s="304">
        <v>0</v>
      </c>
      <c r="J467" s="304">
        <v>0</v>
      </c>
      <c r="K467" s="305">
        <v>0</v>
      </c>
      <c r="L467" s="304">
        <v>0</v>
      </c>
      <c r="M467" s="304">
        <v>380000</v>
      </c>
      <c r="N467" s="304">
        <v>0</v>
      </c>
      <c r="O467" s="304">
        <v>0</v>
      </c>
      <c r="P467" s="304">
        <v>0</v>
      </c>
      <c r="Q467" s="304">
        <v>0</v>
      </c>
      <c r="R467" s="304">
        <v>0</v>
      </c>
      <c r="S467" s="304">
        <v>0</v>
      </c>
      <c r="T467" s="304">
        <v>0</v>
      </c>
      <c r="U467" s="304">
        <v>0</v>
      </c>
      <c r="V467" s="304">
        <v>0</v>
      </c>
      <c r="W467" s="304">
        <v>0</v>
      </c>
      <c r="X467" s="304">
        <v>0</v>
      </c>
      <c r="Y467" s="304">
        <v>0</v>
      </c>
      <c r="Z467" s="304">
        <v>0</v>
      </c>
      <c r="AA467" s="304">
        <v>0</v>
      </c>
      <c r="AB467" s="303">
        <v>2020</v>
      </c>
    </row>
    <row r="468" spans="1:28" ht="35.25" customHeight="1" x14ac:dyDescent="0.5">
      <c r="A468">
        <v>1</v>
      </c>
      <c r="B468" s="80">
        <f>SUBTOTAL(103,$A$9:A468)</f>
        <v>456</v>
      </c>
      <c r="C468" s="300" t="s">
        <v>2008</v>
      </c>
      <c r="D468" s="296">
        <f t="shared" si="13"/>
        <v>379775.77</v>
      </c>
      <c r="E468" s="304">
        <v>0</v>
      </c>
      <c r="F468" s="304">
        <v>0</v>
      </c>
      <c r="G468" s="304">
        <v>0</v>
      </c>
      <c r="H468" s="304">
        <v>0</v>
      </c>
      <c r="I468" s="304">
        <v>0</v>
      </c>
      <c r="J468" s="304">
        <v>0</v>
      </c>
      <c r="K468" s="305">
        <v>0</v>
      </c>
      <c r="L468" s="304">
        <v>0</v>
      </c>
      <c r="M468" s="304">
        <v>379775.77</v>
      </c>
      <c r="N468" s="304">
        <v>0</v>
      </c>
      <c r="O468" s="304">
        <v>0</v>
      </c>
      <c r="P468" s="304">
        <v>0</v>
      </c>
      <c r="Q468" s="304">
        <v>0</v>
      </c>
      <c r="R468" s="304">
        <v>0</v>
      </c>
      <c r="S468" s="304">
        <v>0</v>
      </c>
      <c r="T468" s="304">
        <v>0</v>
      </c>
      <c r="U468" s="304">
        <v>0</v>
      </c>
      <c r="V468" s="304">
        <v>0</v>
      </c>
      <c r="W468" s="304">
        <v>0</v>
      </c>
      <c r="X468" s="304">
        <v>0</v>
      </c>
      <c r="Y468" s="304">
        <v>0</v>
      </c>
      <c r="Z468" s="304">
        <v>0</v>
      </c>
      <c r="AA468" s="304">
        <v>0</v>
      </c>
      <c r="AB468" s="303">
        <v>2020</v>
      </c>
    </row>
    <row r="469" spans="1:28" ht="35.25" customHeight="1" x14ac:dyDescent="0.5">
      <c r="A469">
        <v>1</v>
      </c>
      <c r="B469" s="80">
        <f>SUBTOTAL(103,$A$9:A469)</f>
        <v>457</v>
      </c>
      <c r="C469" s="300" t="s">
        <v>2009</v>
      </c>
      <c r="D469" s="296">
        <f t="shared" si="13"/>
        <v>220000</v>
      </c>
      <c r="E469" s="304">
        <v>0</v>
      </c>
      <c r="F469" s="304">
        <v>0</v>
      </c>
      <c r="G469" s="304">
        <v>0</v>
      </c>
      <c r="H469" s="304">
        <v>0</v>
      </c>
      <c r="I469" s="304">
        <v>0</v>
      </c>
      <c r="J469" s="304">
        <v>0</v>
      </c>
      <c r="K469" s="305">
        <v>0</v>
      </c>
      <c r="L469" s="304">
        <v>0</v>
      </c>
      <c r="M469" s="304">
        <v>0</v>
      </c>
      <c r="N469" s="304">
        <v>0</v>
      </c>
      <c r="O469" s="304">
        <v>220000</v>
      </c>
      <c r="P469" s="304">
        <v>0</v>
      </c>
      <c r="Q469" s="304">
        <v>0</v>
      </c>
      <c r="R469" s="304">
        <v>0</v>
      </c>
      <c r="S469" s="304">
        <v>0</v>
      </c>
      <c r="T469" s="304">
        <v>0</v>
      </c>
      <c r="U469" s="304">
        <v>0</v>
      </c>
      <c r="V469" s="304">
        <v>0</v>
      </c>
      <c r="W469" s="304">
        <v>0</v>
      </c>
      <c r="X469" s="304">
        <v>0</v>
      </c>
      <c r="Y469" s="304">
        <v>0</v>
      </c>
      <c r="Z469" s="304">
        <v>0</v>
      </c>
      <c r="AA469" s="304">
        <v>0</v>
      </c>
      <c r="AB469" s="303">
        <v>2020</v>
      </c>
    </row>
    <row r="470" spans="1:28" ht="35.25" customHeight="1" x14ac:dyDescent="0.5">
      <c r="A470">
        <v>1</v>
      </c>
      <c r="B470" s="80">
        <f>SUBTOTAL(103,$A$9:A470)</f>
        <v>458</v>
      </c>
      <c r="C470" s="300" t="s">
        <v>2010</v>
      </c>
      <c r="D470" s="296">
        <f t="shared" si="13"/>
        <v>964015</v>
      </c>
      <c r="E470" s="304">
        <v>0</v>
      </c>
      <c r="F470" s="304">
        <v>0</v>
      </c>
      <c r="G470" s="304">
        <v>0</v>
      </c>
      <c r="H470" s="304">
        <v>0</v>
      </c>
      <c r="I470" s="304">
        <v>0</v>
      </c>
      <c r="J470" s="304">
        <v>0</v>
      </c>
      <c r="K470" s="305">
        <v>0</v>
      </c>
      <c r="L470" s="304">
        <v>0</v>
      </c>
      <c r="M470" s="304">
        <v>0</v>
      </c>
      <c r="N470" s="304">
        <v>0</v>
      </c>
      <c r="O470" s="304">
        <v>964015</v>
      </c>
      <c r="P470" s="304">
        <v>0</v>
      </c>
      <c r="Q470" s="304">
        <v>0</v>
      </c>
      <c r="R470" s="304">
        <v>0</v>
      </c>
      <c r="S470" s="304">
        <v>0</v>
      </c>
      <c r="T470" s="304">
        <v>0</v>
      </c>
      <c r="U470" s="304">
        <v>0</v>
      </c>
      <c r="V470" s="304">
        <v>0</v>
      </c>
      <c r="W470" s="304">
        <v>0</v>
      </c>
      <c r="X470" s="304">
        <v>0</v>
      </c>
      <c r="Y470" s="304">
        <v>0</v>
      </c>
      <c r="Z470" s="304">
        <v>0</v>
      </c>
      <c r="AA470" s="304">
        <v>0</v>
      </c>
      <c r="AB470" s="303">
        <v>2020</v>
      </c>
    </row>
    <row r="471" spans="1:28" ht="35.25" customHeight="1" x14ac:dyDescent="0.5">
      <c r="A471">
        <v>1</v>
      </c>
      <c r="B471" s="80">
        <f>SUBTOTAL(103,$A$9:A471)</f>
        <v>459</v>
      </c>
      <c r="C471" s="300" t="s">
        <v>3378</v>
      </c>
      <c r="D471" s="296">
        <f t="shared" si="13"/>
        <v>290444</v>
      </c>
      <c r="E471" s="304">
        <v>0</v>
      </c>
      <c r="F471" s="304">
        <v>0</v>
      </c>
      <c r="G471" s="304">
        <v>0</v>
      </c>
      <c r="H471" s="304">
        <v>0</v>
      </c>
      <c r="I471" s="304">
        <v>0</v>
      </c>
      <c r="J471" s="304">
        <v>0</v>
      </c>
      <c r="K471" s="305">
        <v>0</v>
      </c>
      <c r="L471" s="304">
        <v>0</v>
      </c>
      <c r="M471" s="304">
        <v>290444</v>
      </c>
      <c r="N471" s="304">
        <v>0</v>
      </c>
      <c r="O471" s="304">
        <v>0</v>
      </c>
      <c r="P471" s="304">
        <v>0</v>
      </c>
      <c r="Q471" s="304">
        <v>0</v>
      </c>
      <c r="R471" s="304">
        <v>0</v>
      </c>
      <c r="S471" s="304">
        <v>0</v>
      </c>
      <c r="T471" s="304">
        <v>0</v>
      </c>
      <c r="U471" s="304">
        <v>0</v>
      </c>
      <c r="V471" s="304">
        <v>0</v>
      </c>
      <c r="W471" s="304">
        <v>0</v>
      </c>
      <c r="X471" s="304">
        <v>0</v>
      </c>
      <c r="Y471" s="304">
        <v>0</v>
      </c>
      <c r="Z471" s="304">
        <v>0</v>
      </c>
      <c r="AA471" s="304">
        <v>0</v>
      </c>
      <c r="AB471" s="303">
        <v>2020</v>
      </c>
    </row>
    <row r="472" spans="1:28" ht="35.25" customHeight="1" x14ac:dyDescent="0.5">
      <c r="A472">
        <v>1</v>
      </c>
      <c r="B472" s="80">
        <f>SUBTOTAL(103,$A$9:A472)</f>
        <v>460</v>
      </c>
      <c r="C472" s="300" t="s">
        <v>2011</v>
      </c>
      <c r="D472" s="296">
        <f t="shared" si="13"/>
        <v>897533</v>
      </c>
      <c r="E472" s="304">
        <v>0</v>
      </c>
      <c r="F472" s="304">
        <v>0</v>
      </c>
      <c r="G472" s="304">
        <v>0</v>
      </c>
      <c r="H472" s="304">
        <v>0</v>
      </c>
      <c r="I472" s="304">
        <v>0</v>
      </c>
      <c r="J472" s="304">
        <v>0</v>
      </c>
      <c r="K472" s="305">
        <v>0</v>
      </c>
      <c r="L472" s="304">
        <v>0</v>
      </c>
      <c r="M472" s="304">
        <v>0</v>
      </c>
      <c r="N472" s="304">
        <v>0</v>
      </c>
      <c r="O472" s="304">
        <v>897533</v>
      </c>
      <c r="P472" s="304">
        <v>0</v>
      </c>
      <c r="Q472" s="304">
        <v>0</v>
      </c>
      <c r="R472" s="304">
        <v>0</v>
      </c>
      <c r="S472" s="304">
        <v>0</v>
      </c>
      <c r="T472" s="304">
        <v>0</v>
      </c>
      <c r="U472" s="304">
        <v>0</v>
      </c>
      <c r="V472" s="304">
        <v>0</v>
      </c>
      <c r="W472" s="304">
        <v>0</v>
      </c>
      <c r="X472" s="304">
        <v>0</v>
      </c>
      <c r="Y472" s="304">
        <v>0</v>
      </c>
      <c r="Z472" s="304">
        <v>0</v>
      </c>
      <c r="AA472" s="304">
        <v>0</v>
      </c>
      <c r="AB472" s="303">
        <v>2020</v>
      </c>
    </row>
    <row r="473" spans="1:28" ht="35.25" customHeight="1" x14ac:dyDescent="0.5">
      <c r="A473">
        <v>1</v>
      </c>
      <c r="B473" s="80">
        <f>SUBTOTAL(103,$A$9:A473)</f>
        <v>461</v>
      </c>
      <c r="C473" s="300" t="s">
        <v>2012</v>
      </c>
      <c r="D473" s="296">
        <f t="shared" si="13"/>
        <v>1077326.6200000001</v>
      </c>
      <c r="E473" s="304">
        <v>0</v>
      </c>
      <c r="F473" s="304">
        <v>0</v>
      </c>
      <c r="G473" s="304">
        <v>0</v>
      </c>
      <c r="H473" s="304">
        <v>0</v>
      </c>
      <c r="I473" s="304">
        <v>0</v>
      </c>
      <c r="J473" s="304">
        <v>0</v>
      </c>
      <c r="K473" s="305">
        <v>0</v>
      </c>
      <c r="L473" s="304">
        <v>0</v>
      </c>
      <c r="M473" s="304">
        <v>498818.62</v>
      </c>
      <c r="N473" s="304">
        <v>0</v>
      </c>
      <c r="O473" s="304">
        <v>578508</v>
      </c>
      <c r="P473" s="304">
        <v>0</v>
      </c>
      <c r="Q473" s="304">
        <v>0</v>
      </c>
      <c r="R473" s="304">
        <v>0</v>
      </c>
      <c r="S473" s="304">
        <v>0</v>
      </c>
      <c r="T473" s="304">
        <v>0</v>
      </c>
      <c r="U473" s="304">
        <v>0</v>
      </c>
      <c r="V473" s="304">
        <v>0</v>
      </c>
      <c r="W473" s="304">
        <v>0</v>
      </c>
      <c r="X473" s="304">
        <v>0</v>
      </c>
      <c r="Y473" s="304">
        <v>0</v>
      </c>
      <c r="Z473" s="304">
        <v>0</v>
      </c>
      <c r="AA473" s="304">
        <v>0</v>
      </c>
      <c r="AB473" s="303">
        <v>2020</v>
      </c>
    </row>
    <row r="474" spans="1:28" ht="35.25" customHeight="1" x14ac:dyDescent="0.5">
      <c r="A474">
        <v>1</v>
      </c>
      <c r="B474" s="80">
        <f>SUBTOTAL(103,$A$9:A474)</f>
        <v>462</v>
      </c>
      <c r="C474" s="300" t="s">
        <v>2400</v>
      </c>
      <c r="D474" s="296">
        <f t="shared" si="13"/>
        <v>520000</v>
      </c>
      <c r="E474" s="304">
        <v>0</v>
      </c>
      <c r="F474" s="304">
        <v>0</v>
      </c>
      <c r="G474" s="304">
        <v>0</v>
      </c>
      <c r="H474" s="304">
        <v>0</v>
      </c>
      <c r="I474" s="304">
        <v>0</v>
      </c>
      <c r="J474" s="304">
        <v>0</v>
      </c>
      <c r="K474" s="305">
        <v>0</v>
      </c>
      <c r="L474" s="304">
        <v>0</v>
      </c>
      <c r="M474" s="304">
        <v>0</v>
      </c>
      <c r="N474" s="304">
        <v>0</v>
      </c>
      <c r="O474" s="304">
        <v>520000</v>
      </c>
      <c r="P474" s="304">
        <v>0</v>
      </c>
      <c r="Q474" s="304">
        <v>0</v>
      </c>
      <c r="R474" s="304">
        <v>0</v>
      </c>
      <c r="S474" s="304">
        <v>0</v>
      </c>
      <c r="T474" s="304">
        <v>0</v>
      </c>
      <c r="U474" s="304">
        <v>0</v>
      </c>
      <c r="V474" s="304">
        <v>0</v>
      </c>
      <c r="W474" s="304">
        <v>0</v>
      </c>
      <c r="X474" s="304">
        <v>0</v>
      </c>
      <c r="Y474" s="304">
        <v>0</v>
      </c>
      <c r="Z474" s="304">
        <v>0</v>
      </c>
      <c r="AA474" s="304">
        <v>0</v>
      </c>
      <c r="AB474" s="303">
        <v>2020</v>
      </c>
    </row>
    <row r="475" spans="1:28" ht="35.25" customHeight="1" x14ac:dyDescent="0.5">
      <c r="A475">
        <v>1</v>
      </c>
      <c r="B475" s="80">
        <f>SUBTOTAL(103,$A$9:A475)</f>
        <v>463</v>
      </c>
      <c r="C475" s="300" t="s">
        <v>2013</v>
      </c>
      <c r="D475" s="296">
        <f t="shared" si="13"/>
        <v>444403</v>
      </c>
      <c r="E475" s="304">
        <v>0</v>
      </c>
      <c r="F475" s="304">
        <v>0</v>
      </c>
      <c r="G475" s="304">
        <v>0</v>
      </c>
      <c r="H475" s="304">
        <v>0</v>
      </c>
      <c r="I475" s="304">
        <v>0</v>
      </c>
      <c r="J475" s="304">
        <v>0</v>
      </c>
      <c r="K475" s="305">
        <v>0</v>
      </c>
      <c r="L475" s="304">
        <v>0</v>
      </c>
      <c r="M475" s="304">
        <v>444403</v>
      </c>
      <c r="N475" s="304">
        <v>0</v>
      </c>
      <c r="O475" s="304">
        <v>0</v>
      </c>
      <c r="P475" s="304">
        <v>0</v>
      </c>
      <c r="Q475" s="304">
        <v>0</v>
      </c>
      <c r="R475" s="304">
        <v>0</v>
      </c>
      <c r="S475" s="304">
        <v>0</v>
      </c>
      <c r="T475" s="304">
        <v>0</v>
      </c>
      <c r="U475" s="304">
        <v>0</v>
      </c>
      <c r="V475" s="304">
        <v>0</v>
      </c>
      <c r="W475" s="304">
        <v>0</v>
      </c>
      <c r="X475" s="304">
        <v>0</v>
      </c>
      <c r="Y475" s="304">
        <v>0</v>
      </c>
      <c r="Z475" s="304">
        <v>0</v>
      </c>
      <c r="AA475" s="304">
        <v>0</v>
      </c>
      <c r="AB475" s="303">
        <v>2020</v>
      </c>
    </row>
    <row r="476" spans="1:28" ht="35.25" customHeight="1" x14ac:dyDescent="0.5">
      <c r="A476">
        <v>1</v>
      </c>
      <c r="B476" s="80">
        <f>SUBTOTAL(103,$A$9:A476)</f>
        <v>464</v>
      </c>
      <c r="C476" s="300" t="s">
        <v>2014</v>
      </c>
      <c r="D476" s="296">
        <f t="shared" si="13"/>
        <v>379619</v>
      </c>
      <c r="E476" s="304">
        <v>0</v>
      </c>
      <c r="F476" s="304">
        <v>0</v>
      </c>
      <c r="G476" s="304">
        <v>0</v>
      </c>
      <c r="H476" s="304">
        <v>0</v>
      </c>
      <c r="I476" s="304">
        <v>0</v>
      </c>
      <c r="J476" s="304">
        <v>0</v>
      </c>
      <c r="K476" s="305">
        <v>0</v>
      </c>
      <c r="L476" s="304">
        <v>0</v>
      </c>
      <c r="M476" s="304">
        <v>0</v>
      </c>
      <c r="N476" s="304">
        <v>0</v>
      </c>
      <c r="O476" s="304">
        <v>0</v>
      </c>
      <c r="P476" s="304">
        <v>379619</v>
      </c>
      <c r="Q476" s="304">
        <v>0</v>
      </c>
      <c r="R476" s="304">
        <v>0</v>
      </c>
      <c r="S476" s="304">
        <v>0</v>
      </c>
      <c r="T476" s="304">
        <v>0</v>
      </c>
      <c r="U476" s="304">
        <v>0</v>
      </c>
      <c r="V476" s="304">
        <v>0</v>
      </c>
      <c r="W476" s="304">
        <v>0</v>
      </c>
      <c r="X476" s="304">
        <v>0</v>
      </c>
      <c r="Y476" s="304">
        <v>0</v>
      </c>
      <c r="Z476" s="304">
        <v>0</v>
      </c>
      <c r="AA476" s="304">
        <v>0</v>
      </c>
      <c r="AB476" s="303">
        <v>2020</v>
      </c>
    </row>
    <row r="477" spans="1:28" ht="35.25" customHeight="1" x14ac:dyDescent="0.5">
      <c r="A477">
        <v>1</v>
      </c>
      <c r="B477" s="80">
        <f>SUBTOTAL(103,$A$9:A477)</f>
        <v>465</v>
      </c>
      <c r="C477" s="300" t="s">
        <v>2015</v>
      </c>
      <c r="D477" s="296">
        <f t="shared" si="13"/>
        <v>796865</v>
      </c>
      <c r="E477" s="304">
        <v>0</v>
      </c>
      <c r="F477" s="304">
        <v>0</v>
      </c>
      <c r="G477" s="304">
        <v>0</v>
      </c>
      <c r="H477" s="304">
        <v>0</v>
      </c>
      <c r="I477" s="304">
        <v>0</v>
      </c>
      <c r="J477" s="304">
        <v>0</v>
      </c>
      <c r="K477" s="305">
        <v>0</v>
      </c>
      <c r="L477" s="304">
        <v>0</v>
      </c>
      <c r="M477" s="304">
        <v>796865</v>
      </c>
      <c r="N477" s="304">
        <v>0</v>
      </c>
      <c r="O477" s="304">
        <v>0</v>
      </c>
      <c r="P477" s="304">
        <v>0</v>
      </c>
      <c r="Q477" s="304">
        <v>0</v>
      </c>
      <c r="R477" s="304">
        <v>0</v>
      </c>
      <c r="S477" s="304">
        <v>0</v>
      </c>
      <c r="T477" s="304">
        <v>0</v>
      </c>
      <c r="U477" s="304">
        <v>0</v>
      </c>
      <c r="V477" s="304">
        <v>0</v>
      </c>
      <c r="W477" s="304">
        <v>0</v>
      </c>
      <c r="X477" s="304">
        <v>0</v>
      </c>
      <c r="Y477" s="304">
        <v>0</v>
      </c>
      <c r="Z477" s="304">
        <v>0</v>
      </c>
      <c r="AA477" s="304">
        <v>0</v>
      </c>
      <c r="AB477" s="303">
        <v>2020</v>
      </c>
    </row>
    <row r="478" spans="1:28" ht="35.25" customHeight="1" x14ac:dyDescent="0.5">
      <c r="A478">
        <v>1</v>
      </c>
      <c r="B478" s="80">
        <f>SUBTOTAL(103,$A$9:A478)</f>
        <v>466</v>
      </c>
      <c r="C478" s="300" t="s">
        <v>2016</v>
      </c>
      <c r="D478" s="296">
        <f t="shared" si="13"/>
        <v>363729</v>
      </c>
      <c r="E478" s="304">
        <v>0</v>
      </c>
      <c r="F478" s="304">
        <v>0</v>
      </c>
      <c r="G478" s="304">
        <v>0</v>
      </c>
      <c r="H478" s="304">
        <v>0</v>
      </c>
      <c r="I478" s="304">
        <v>0</v>
      </c>
      <c r="J478" s="304">
        <v>0</v>
      </c>
      <c r="K478" s="305">
        <v>0</v>
      </c>
      <c r="L478" s="304">
        <v>0</v>
      </c>
      <c r="M478" s="304">
        <v>363729</v>
      </c>
      <c r="N478" s="304">
        <v>0</v>
      </c>
      <c r="O478" s="304">
        <v>0</v>
      </c>
      <c r="P478" s="304">
        <v>0</v>
      </c>
      <c r="Q478" s="304">
        <v>0</v>
      </c>
      <c r="R478" s="304">
        <v>0</v>
      </c>
      <c r="S478" s="304">
        <v>0</v>
      </c>
      <c r="T478" s="304">
        <v>0</v>
      </c>
      <c r="U478" s="304">
        <v>0</v>
      </c>
      <c r="V478" s="304">
        <v>0</v>
      </c>
      <c r="W478" s="304">
        <v>0</v>
      </c>
      <c r="X478" s="304">
        <v>0</v>
      </c>
      <c r="Y478" s="304">
        <v>0</v>
      </c>
      <c r="Z478" s="304">
        <v>0</v>
      </c>
      <c r="AA478" s="304">
        <v>0</v>
      </c>
      <c r="AB478" s="303">
        <v>2020</v>
      </c>
    </row>
    <row r="479" spans="1:28" ht="35.25" customHeight="1" x14ac:dyDescent="0.5">
      <c r="A479">
        <v>1</v>
      </c>
      <c r="B479" s="80">
        <f>SUBTOTAL(103,$A$9:A479)</f>
        <v>467</v>
      </c>
      <c r="C479" s="300" t="s">
        <v>2017</v>
      </c>
      <c r="D479" s="296">
        <f t="shared" si="13"/>
        <v>294325</v>
      </c>
      <c r="E479" s="304">
        <v>0</v>
      </c>
      <c r="F479" s="304">
        <v>0</v>
      </c>
      <c r="G479" s="304">
        <v>0</v>
      </c>
      <c r="H479" s="304">
        <v>0</v>
      </c>
      <c r="I479" s="304">
        <v>0</v>
      </c>
      <c r="J479" s="304">
        <v>0</v>
      </c>
      <c r="K479" s="305">
        <v>0</v>
      </c>
      <c r="L479" s="304">
        <v>0</v>
      </c>
      <c r="M479" s="304">
        <v>0</v>
      </c>
      <c r="N479" s="304">
        <v>0</v>
      </c>
      <c r="O479" s="304">
        <v>294325</v>
      </c>
      <c r="P479" s="304">
        <v>0</v>
      </c>
      <c r="Q479" s="304">
        <v>0</v>
      </c>
      <c r="R479" s="304">
        <v>0</v>
      </c>
      <c r="S479" s="304">
        <v>0</v>
      </c>
      <c r="T479" s="304">
        <v>0</v>
      </c>
      <c r="U479" s="304">
        <v>0</v>
      </c>
      <c r="V479" s="304">
        <v>0</v>
      </c>
      <c r="W479" s="304">
        <v>0</v>
      </c>
      <c r="X479" s="304">
        <v>0</v>
      </c>
      <c r="Y479" s="304">
        <v>0</v>
      </c>
      <c r="Z479" s="304">
        <v>0</v>
      </c>
      <c r="AA479" s="304">
        <v>0</v>
      </c>
      <c r="AB479" s="303">
        <v>2020</v>
      </c>
    </row>
    <row r="480" spans="1:28" ht="35.25" customHeight="1" x14ac:dyDescent="0.5">
      <c r="A480">
        <v>1</v>
      </c>
      <c r="B480" s="80">
        <f>SUBTOTAL(103,$A$9:A480)</f>
        <v>468</v>
      </c>
      <c r="C480" s="300" t="s">
        <v>2401</v>
      </c>
      <c r="D480" s="296">
        <f t="shared" si="13"/>
        <v>1350806.19</v>
      </c>
      <c r="E480" s="304">
        <v>0</v>
      </c>
      <c r="F480" s="304">
        <v>0</v>
      </c>
      <c r="G480" s="304">
        <v>0</v>
      </c>
      <c r="H480" s="304">
        <v>0</v>
      </c>
      <c r="I480" s="304">
        <v>0</v>
      </c>
      <c r="J480" s="304">
        <v>0</v>
      </c>
      <c r="K480" s="305">
        <v>0</v>
      </c>
      <c r="L480" s="304">
        <v>0</v>
      </c>
      <c r="M480" s="304">
        <v>1350806.19</v>
      </c>
      <c r="N480" s="304">
        <v>0</v>
      </c>
      <c r="O480" s="304">
        <v>0</v>
      </c>
      <c r="P480" s="304">
        <v>0</v>
      </c>
      <c r="Q480" s="304">
        <v>0</v>
      </c>
      <c r="R480" s="304">
        <v>0</v>
      </c>
      <c r="S480" s="304">
        <v>0</v>
      </c>
      <c r="T480" s="304">
        <v>0</v>
      </c>
      <c r="U480" s="304">
        <v>0</v>
      </c>
      <c r="V480" s="304">
        <v>0</v>
      </c>
      <c r="W480" s="304">
        <v>0</v>
      </c>
      <c r="X480" s="304">
        <v>0</v>
      </c>
      <c r="Y480" s="304">
        <v>0</v>
      </c>
      <c r="Z480" s="304">
        <v>0</v>
      </c>
      <c r="AA480" s="304">
        <v>0</v>
      </c>
      <c r="AB480" s="303">
        <v>2020</v>
      </c>
    </row>
    <row r="481" spans="1:28" ht="35.25" customHeight="1" x14ac:dyDescent="0.5">
      <c r="A481">
        <v>1</v>
      </c>
      <c r="B481" s="80">
        <f>SUBTOTAL(103,$A$9:A481)</f>
        <v>469</v>
      </c>
      <c r="C481" s="300" t="s">
        <v>2402</v>
      </c>
      <c r="D481" s="296">
        <f t="shared" si="13"/>
        <v>1687575.33</v>
      </c>
      <c r="E481" s="304">
        <v>0</v>
      </c>
      <c r="F481" s="304">
        <v>0</v>
      </c>
      <c r="G481" s="304">
        <v>0</v>
      </c>
      <c r="H481" s="304">
        <v>0</v>
      </c>
      <c r="I481" s="304">
        <v>0</v>
      </c>
      <c r="J481" s="304">
        <v>0</v>
      </c>
      <c r="K481" s="305">
        <v>0</v>
      </c>
      <c r="L481" s="304">
        <v>0</v>
      </c>
      <c r="M481" s="304">
        <v>1390355.33</v>
      </c>
      <c r="N481" s="304">
        <v>0</v>
      </c>
      <c r="O481" s="304">
        <v>297220</v>
      </c>
      <c r="P481" s="304">
        <v>0</v>
      </c>
      <c r="Q481" s="304">
        <v>0</v>
      </c>
      <c r="R481" s="304">
        <v>0</v>
      </c>
      <c r="S481" s="304">
        <v>0</v>
      </c>
      <c r="T481" s="304">
        <v>0</v>
      </c>
      <c r="U481" s="304">
        <v>0</v>
      </c>
      <c r="V481" s="304">
        <v>0</v>
      </c>
      <c r="W481" s="304">
        <v>0</v>
      </c>
      <c r="X481" s="304">
        <v>0</v>
      </c>
      <c r="Y481" s="304">
        <v>0</v>
      </c>
      <c r="Z481" s="304">
        <v>0</v>
      </c>
      <c r="AA481" s="304">
        <v>0</v>
      </c>
      <c r="AB481" s="303">
        <v>2020</v>
      </c>
    </row>
    <row r="482" spans="1:28" ht="35.25" customHeight="1" x14ac:dyDescent="0.5">
      <c r="A482">
        <v>1</v>
      </c>
      <c r="B482" s="80">
        <f>SUBTOTAL(103,$A$9:A482)</f>
        <v>470</v>
      </c>
      <c r="C482" s="300" t="s">
        <v>2403</v>
      </c>
      <c r="D482" s="296">
        <f t="shared" si="13"/>
        <v>189919</v>
      </c>
      <c r="E482" s="304">
        <v>0</v>
      </c>
      <c r="F482" s="304">
        <v>0</v>
      </c>
      <c r="G482" s="304">
        <v>0</v>
      </c>
      <c r="H482" s="304">
        <v>0</v>
      </c>
      <c r="I482" s="304">
        <v>189919</v>
      </c>
      <c r="J482" s="304">
        <v>0</v>
      </c>
      <c r="K482" s="305">
        <v>0</v>
      </c>
      <c r="L482" s="304">
        <v>0</v>
      </c>
      <c r="M482" s="304">
        <v>0</v>
      </c>
      <c r="N482" s="304">
        <v>0</v>
      </c>
      <c r="O482" s="304">
        <v>0</v>
      </c>
      <c r="P482" s="304">
        <v>0</v>
      </c>
      <c r="Q482" s="304">
        <v>0</v>
      </c>
      <c r="R482" s="304">
        <v>0</v>
      </c>
      <c r="S482" s="304">
        <v>0</v>
      </c>
      <c r="T482" s="304">
        <v>0</v>
      </c>
      <c r="U482" s="304">
        <v>0</v>
      </c>
      <c r="V482" s="304">
        <v>0</v>
      </c>
      <c r="W482" s="304">
        <v>0</v>
      </c>
      <c r="X482" s="304">
        <v>0</v>
      </c>
      <c r="Y482" s="304">
        <v>0</v>
      </c>
      <c r="Z482" s="304">
        <v>0</v>
      </c>
      <c r="AA482" s="304">
        <v>0</v>
      </c>
      <c r="AB482" s="303">
        <v>2020</v>
      </c>
    </row>
    <row r="483" spans="1:28" ht="35.25" customHeight="1" x14ac:dyDescent="0.5">
      <c r="A483">
        <v>1</v>
      </c>
      <c r="B483" s="80">
        <f>SUBTOTAL(103,$A$9:A483)</f>
        <v>471</v>
      </c>
      <c r="C483" s="300" t="s">
        <v>2018</v>
      </c>
      <c r="D483" s="296">
        <f t="shared" si="13"/>
        <v>412286</v>
      </c>
      <c r="E483" s="304">
        <v>0</v>
      </c>
      <c r="F483" s="304">
        <v>0</v>
      </c>
      <c r="G483" s="304">
        <v>0</v>
      </c>
      <c r="H483" s="304">
        <v>0</v>
      </c>
      <c r="I483" s="304">
        <v>0</v>
      </c>
      <c r="J483" s="304">
        <v>0</v>
      </c>
      <c r="K483" s="305">
        <v>0</v>
      </c>
      <c r="L483" s="304">
        <v>0</v>
      </c>
      <c r="M483" s="304">
        <v>0</v>
      </c>
      <c r="N483" s="304">
        <v>0</v>
      </c>
      <c r="O483" s="304">
        <v>412286</v>
      </c>
      <c r="P483" s="304">
        <v>0</v>
      </c>
      <c r="Q483" s="304">
        <v>0</v>
      </c>
      <c r="R483" s="304">
        <v>0</v>
      </c>
      <c r="S483" s="304">
        <v>0</v>
      </c>
      <c r="T483" s="304">
        <v>0</v>
      </c>
      <c r="U483" s="304">
        <v>0</v>
      </c>
      <c r="V483" s="304">
        <v>0</v>
      </c>
      <c r="W483" s="304">
        <v>0</v>
      </c>
      <c r="X483" s="304">
        <v>0</v>
      </c>
      <c r="Y483" s="304">
        <v>0</v>
      </c>
      <c r="Z483" s="304">
        <v>0</v>
      </c>
      <c r="AA483" s="304">
        <v>0</v>
      </c>
      <c r="AB483" s="303">
        <v>2020</v>
      </c>
    </row>
    <row r="484" spans="1:28" ht="35.25" customHeight="1" x14ac:dyDescent="0.5">
      <c r="A484">
        <v>1</v>
      </c>
      <c r="B484" s="80">
        <f>SUBTOTAL(103,$A$9:A484)</f>
        <v>472</v>
      </c>
      <c r="C484" s="300" t="s">
        <v>2019</v>
      </c>
      <c r="D484" s="296">
        <f t="shared" si="13"/>
        <v>544685</v>
      </c>
      <c r="E484" s="304">
        <v>0</v>
      </c>
      <c r="F484" s="304">
        <v>0</v>
      </c>
      <c r="G484" s="304">
        <v>0</v>
      </c>
      <c r="H484" s="304">
        <v>0</v>
      </c>
      <c r="I484" s="304">
        <v>0</v>
      </c>
      <c r="J484" s="304">
        <v>0</v>
      </c>
      <c r="K484" s="305">
        <v>0</v>
      </c>
      <c r="L484" s="304">
        <v>0</v>
      </c>
      <c r="M484" s="304">
        <v>0</v>
      </c>
      <c r="N484" s="304">
        <v>0</v>
      </c>
      <c r="O484" s="304">
        <v>544685</v>
      </c>
      <c r="P484" s="304">
        <v>0</v>
      </c>
      <c r="Q484" s="304">
        <v>0</v>
      </c>
      <c r="R484" s="304">
        <v>0</v>
      </c>
      <c r="S484" s="304">
        <v>0</v>
      </c>
      <c r="T484" s="304">
        <v>0</v>
      </c>
      <c r="U484" s="304">
        <v>0</v>
      </c>
      <c r="V484" s="304">
        <v>0</v>
      </c>
      <c r="W484" s="304">
        <v>0</v>
      </c>
      <c r="X484" s="304">
        <v>0</v>
      </c>
      <c r="Y484" s="304">
        <v>0</v>
      </c>
      <c r="Z484" s="304">
        <v>0</v>
      </c>
      <c r="AA484" s="304">
        <v>0</v>
      </c>
      <c r="AB484" s="303">
        <v>2020</v>
      </c>
    </row>
    <row r="485" spans="1:28" ht="35.25" customHeight="1" x14ac:dyDescent="0.5">
      <c r="A485">
        <v>1</v>
      </c>
      <c r="B485" s="80">
        <f>SUBTOTAL(103,$A$9:A485)</f>
        <v>473</v>
      </c>
      <c r="C485" s="300" t="s">
        <v>2020</v>
      </c>
      <c r="D485" s="296">
        <f t="shared" si="13"/>
        <v>48000</v>
      </c>
      <c r="E485" s="304">
        <v>0</v>
      </c>
      <c r="F485" s="304">
        <v>0</v>
      </c>
      <c r="G485" s="304">
        <v>48000</v>
      </c>
      <c r="H485" s="304">
        <v>0</v>
      </c>
      <c r="I485" s="304">
        <v>0</v>
      </c>
      <c r="J485" s="304">
        <v>0</v>
      </c>
      <c r="K485" s="305">
        <v>0</v>
      </c>
      <c r="L485" s="304">
        <v>0</v>
      </c>
      <c r="M485" s="304">
        <v>0</v>
      </c>
      <c r="N485" s="304">
        <v>0</v>
      </c>
      <c r="O485" s="304">
        <v>0</v>
      </c>
      <c r="P485" s="304">
        <v>0</v>
      </c>
      <c r="Q485" s="304">
        <v>0</v>
      </c>
      <c r="R485" s="304">
        <v>0</v>
      </c>
      <c r="S485" s="304">
        <v>0</v>
      </c>
      <c r="T485" s="304">
        <v>0</v>
      </c>
      <c r="U485" s="304">
        <v>0</v>
      </c>
      <c r="V485" s="304">
        <v>0</v>
      </c>
      <c r="W485" s="304">
        <v>0</v>
      </c>
      <c r="X485" s="304">
        <v>0</v>
      </c>
      <c r="Y485" s="304">
        <v>0</v>
      </c>
      <c r="Z485" s="304">
        <v>0</v>
      </c>
      <c r="AA485" s="304">
        <v>0</v>
      </c>
      <c r="AB485" s="303">
        <v>2020</v>
      </c>
    </row>
    <row r="486" spans="1:28" ht="35.25" customHeight="1" x14ac:dyDescent="0.5">
      <c r="A486">
        <v>1</v>
      </c>
      <c r="B486" s="80">
        <f>SUBTOTAL(103,$A$9:A486)</f>
        <v>474</v>
      </c>
      <c r="C486" s="300" t="s">
        <v>2404</v>
      </c>
      <c r="D486" s="296">
        <f t="shared" si="13"/>
        <v>375000</v>
      </c>
      <c r="E486" s="304">
        <v>0</v>
      </c>
      <c r="F486" s="304">
        <v>0</v>
      </c>
      <c r="G486" s="304">
        <v>0</v>
      </c>
      <c r="H486" s="304">
        <v>0</v>
      </c>
      <c r="I486" s="304">
        <v>0</v>
      </c>
      <c r="J486" s="304">
        <v>0</v>
      </c>
      <c r="K486" s="305">
        <v>0</v>
      </c>
      <c r="L486" s="304">
        <v>0</v>
      </c>
      <c r="M486" s="304">
        <v>0</v>
      </c>
      <c r="N486" s="304">
        <v>0</v>
      </c>
      <c r="O486" s="304">
        <v>375000</v>
      </c>
      <c r="P486" s="304">
        <v>0</v>
      </c>
      <c r="Q486" s="304">
        <v>0</v>
      </c>
      <c r="R486" s="304">
        <v>0</v>
      </c>
      <c r="S486" s="304">
        <v>0</v>
      </c>
      <c r="T486" s="304">
        <v>0</v>
      </c>
      <c r="U486" s="304">
        <v>0</v>
      </c>
      <c r="V486" s="304">
        <v>0</v>
      </c>
      <c r="W486" s="304">
        <v>0</v>
      </c>
      <c r="X486" s="304">
        <v>0</v>
      </c>
      <c r="Y486" s="304">
        <v>0</v>
      </c>
      <c r="Z486" s="304">
        <v>0</v>
      </c>
      <c r="AA486" s="304">
        <v>0</v>
      </c>
      <c r="AB486" s="303">
        <v>2020</v>
      </c>
    </row>
    <row r="487" spans="1:28" ht="35.25" customHeight="1" x14ac:dyDescent="0.5">
      <c r="A487">
        <v>1</v>
      </c>
      <c r="B487" s="80">
        <f>SUBTOTAL(103,$A$9:A487)</f>
        <v>475</v>
      </c>
      <c r="C487" s="300" t="s">
        <v>2021</v>
      </c>
      <c r="D487" s="296">
        <f t="shared" si="13"/>
        <v>46128</v>
      </c>
      <c r="E487" s="304">
        <v>0</v>
      </c>
      <c r="F487" s="304">
        <v>0</v>
      </c>
      <c r="G487" s="304">
        <v>46128</v>
      </c>
      <c r="H487" s="304">
        <v>0</v>
      </c>
      <c r="I487" s="304">
        <v>0</v>
      </c>
      <c r="J487" s="304">
        <v>0</v>
      </c>
      <c r="K487" s="305">
        <v>0</v>
      </c>
      <c r="L487" s="304">
        <v>0</v>
      </c>
      <c r="M487" s="304">
        <v>0</v>
      </c>
      <c r="N487" s="304">
        <v>0</v>
      </c>
      <c r="O487" s="304">
        <v>0</v>
      </c>
      <c r="P487" s="304">
        <v>0</v>
      </c>
      <c r="Q487" s="304">
        <v>0</v>
      </c>
      <c r="R487" s="304">
        <v>0</v>
      </c>
      <c r="S487" s="304">
        <v>0</v>
      </c>
      <c r="T487" s="304">
        <v>0</v>
      </c>
      <c r="U487" s="304">
        <v>0</v>
      </c>
      <c r="V487" s="304">
        <v>0</v>
      </c>
      <c r="W487" s="304">
        <v>0</v>
      </c>
      <c r="X487" s="304">
        <v>0</v>
      </c>
      <c r="Y487" s="304">
        <v>0</v>
      </c>
      <c r="Z487" s="304">
        <v>0</v>
      </c>
      <c r="AA487" s="304">
        <v>0</v>
      </c>
      <c r="AB487" s="303">
        <v>2020</v>
      </c>
    </row>
    <row r="488" spans="1:28" ht="35.25" customHeight="1" x14ac:dyDescent="0.5">
      <c r="A488">
        <v>1</v>
      </c>
      <c r="B488" s="80">
        <f>SUBTOTAL(103,$A$9:A488)</f>
        <v>476</v>
      </c>
      <c r="C488" s="300" t="s">
        <v>2022</v>
      </c>
      <c r="D488" s="296">
        <f t="shared" si="13"/>
        <v>153761</v>
      </c>
      <c r="E488" s="304">
        <v>0</v>
      </c>
      <c r="F488" s="304">
        <v>0</v>
      </c>
      <c r="G488" s="304">
        <f>46128+107633</f>
        <v>153761</v>
      </c>
      <c r="H488" s="304">
        <v>0</v>
      </c>
      <c r="I488" s="304">
        <v>0</v>
      </c>
      <c r="J488" s="304">
        <v>0</v>
      </c>
      <c r="K488" s="305">
        <v>0</v>
      </c>
      <c r="L488" s="304">
        <v>0</v>
      </c>
      <c r="M488" s="304">
        <v>0</v>
      </c>
      <c r="N488" s="304">
        <v>0</v>
      </c>
      <c r="O488" s="304">
        <v>0</v>
      </c>
      <c r="P488" s="304">
        <v>0</v>
      </c>
      <c r="Q488" s="304">
        <v>0</v>
      </c>
      <c r="R488" s="304">
        <v>0</v>
      </c>
      <c r="S488" s="304">
        <v>0</v>
      </c>
      <c r="T488" s="304">
        <v>0</v>
      </c>
      <c r="U488" s="304">
        <v>0</v>
      </c>
      <c r="V488" s="304">
        <v>0</v>
      </c>
      <c r="W488" s="304">
        <v>0</v>
      </c>
      <c r="X488" s="304">
        <v>0</v>
      </c>
      <c r="Y488" s="304">
        <v>0</v>
      </c>
      <c r="Z488" s="304">
        <v>0</v>
      </c>
      <c r="AA488" s="304">
        <v>0</v>
      </c>
      <c r="AB488" s="303">
        <v>2020</v>
      </c>
    </row>
    <row r="489" spans="1:28" ht="35.25" customHeight="1" x14ac:dyDescent="0.5">
      <c r="A489">
        <v>1</v>
      </c>
      <c r="B489" s="80">
        <f>SUBTOTAL(103,$A$9:A489)</f>
        <v>477</v>
      </c>
      <c r="C489" s="300" t="s">
        <v>2023</v>
      </c>
      <c r="D489" s="296">
        <f t="shared" si="13"/>
        <v>1146813</v>
      </c>
      <c r="E489" s="304">
        <v>0</v>
      </c>
      <c r="F489" s="304">
        <v>0</v>
      </c>
      <c r="G489" s="304">
        <v>0</v>
      </c>
      <c r="H489" s="304">
        <v>0</v>
      </c>
      <c r="I489" s="304">
        <v>0</v>
      </c>
      <c r="J489" s="304">
        <v>0</v>
      </c>
      <c r="K489" s="305">
        <v>0</v>
      </c>
      <c r="L489" s="304">
        <v>0</v>
      </c>
      <c r="M489" s="304">
        <v>1146813</v>
      </c>
      <c r="N489" s="304">
        <v>0</v>
      </c>
      <c r="O489" s="304">
        <v>0</v>
      </c>
      <c r="P489" s="304">
        <v>0</v>
      </c>
      <c r="Q489" s="304">
        <v>0</v>
      </c>
      <c r="R489" s="304">
        <v>0</v>
      </c>
      <c r="S489" s="304">
        <v>0</v>
      </c>
      <c r="T489" s="304">
        <v>0</v>
      </c>
      <c r="U489" s="304">
        <v>0</v>
      </c>
      <c r="V489" s="304">
        <v>0</v>
      </c>
      <c r="W489" s="304">
        <v>0</v>
      </c>
      <c r="X489" s="304">
        <v>0</v>
      </c>
      <c r="Y489" s="304">
        <v>0</v>
      </c>
      <c r="Z489" s="304">
        <v>0</v>
      </c>
      <c r="AA489" s="304">
        <v>0</v>
      </c>
      <c r="AB489" s="303">
        <v>2020</v>
      </c>
    </row>
    <row r="490" spans="1:28" ht="35.25" customHeight="1" x14ac:dyDescent="0.5">
      <c r="A490">
        <v>1</v>
      </c>
      <c r="B490" s="80">
        <f>SUBTOTAL(103,$A$9:A490)</f>
        <v>478</v>
      </c>
      <c r="C490" s="300" t="s">
        <v>2225</v>
      </c>
      <c r="D490" s="296">
        <f t="shared" si="13"/>
        <v>1337521.6599999999</v>
      </c>
      <c r="E490" s="304">
        <v>0</v>
      </c>
      <c r="F490" s="304">
        <v>0</v>
      </c>
      <c r="G490" s="304">
        <v>0</v>
      </c>
      <c r="H490" s="304">
        <v>0</v>
      </c>
      <c r="I490" s="304">
        <v>0</v>
      </c>
      <c r="J490" s="304">
        <v>0</v>
      </c>
      <c r="K490" s="305">
        <v>0</v>
      </c>
      <c r="L490" s="304">
        <v>0</v>
      </c>
      <c r="M490" s="304">
        <v>0</v>
      </c>
      <c r="N490" s="304">
        <v>0</v>
      </c>
      <c r="O490" s="304">
        <v>1337521.6599999999</v>
      </c>
      <c r="P490" s="304">
        <v>0</v>
      </c>
      <c r="Q490" s="304">
        <v>0</v>
      </c>
      <c r="R490" s="304">
        <v>0</v>
      </c>
      <c r="S490" s="304">
        <v>0</v>
      </c>
      <c r="T490" s="304">
        <v>0</v>
      </c>
      <c r="U490" s="304">
        <v>0</v>
      </c>
      <c r="V490" s="304">
        <v>0</v>
      </c>
      <c r="W490" s="304">
        <v>0</v>
      </c>
      <c r="X490" s="304">
        <v>0</v>
      </c>
      <c r="Y490" s="304">
        <v>0</v>
      </c>
      <c r="Z490" s="304">
        <v>0</v>
      </c>
      <c r="AA490" s="304">
        <v>0</v>
      </c>
      <c r="AB490" s="303">
        <v>2020</v>
      </c>
    </row>
    <row r="491" spans="1:28" ht="35.25" customHeight="1" x14ac:dyDescent="0.5">
      <c r="A491">
        <v>1</v>
      </c>
      <c r="B491" s="80">
        <f>SUBTOTAL(103,$A$9:A491)</f>
        <v>479</v>
      </c>
      <c r="C491" s="300" t="s">
        <v>2226</v>
      </c>
      <c r="D491" s="296">
        <f t="shared" si="13"/>
        <v>1269369.8500000001</v>
      </c>
      <c r="E491" s="304">
        <v>0</v>
      </c>
      <c r="F491" s="304">
        <v>0</v>
      </c>
      <c r="G491" s="304">
        <v>0</v>
      </c>
      <c r="H491" s="304">
        <v>0</v>
      </c>
      <c r="I491" s="304">
        <v>0</v>
      </c>
      <c r="J491" s="304">
        <v>0</v>
      </c>
      <c r="K491" s="305">
        <v>0</v>
      </c>
      <c r="L491" s="304">
        <v>0</v>
      </c>
      <c r="M491" s="304">
        <v>1269369.8500000001</v>
      </c>
      <c r="N491" s="304">
        <v>0</v>
      </c>
      <c r="O491" s="304">
        <v>0</v>
      </c>
      <c r="P491" s="304">
        <v>0</v>
      </c>
      <c r="Q491" s="304">
        <v>0</v>
      </c>
      <c r="R491" s="304">
        <v>0</v>
      </c>
      <c r="S491" s="304">
        <v>0</v>
      </c>
      <c r="T491" s="304">
        <v>0</v>
      </c>
      <c r="U491" s="304">
        <v>0</v>
      </c>
      <c r="V491" s="304">
        <v>0</v>
      </c>
      <c r="W491" s="304">
        <v>0</v>
      </c>
      <c r="X491" s="304">
        <v>0</v>
      </c>
      <c r="Y491" s="304">
        <v>0</v>
      </c>
      <c r="Z491" s="304">
        <v>0</v>
      </c>
      <c r="AA491" s="304">
        <v>0</v>
      </c>
      <c r="AB491" s="303">
        <v>2020</v>
      </c>
    </row>
    <row r="492" spans="1:28" ht="35.25" customHeight="1" x14ac:dyDescent="0.5">
      <c r="A492">
        <v>1</v>
      </c>
      <c r="B492" s="80">
        <f>SUBTOTAL(103,$A$9:A492)</f>
        <v>480</v>
      </c>
      <c r="C492" s="300" t="s">
        <v>2227</v>
      </c>
      <c r="D492" s="296">
        <f t="shared" si="13"/>
        <v>1780000</v>
      </c>
      <c r="E492" s="304">
        <v>0</v>
      </c>
      <c r="F492" s="304">
        <v>0</v>
      </c>
      <c r="G492" s="304">
        <v>0</v>
      </c>
      <c r="H492" s="304">
        <v>0</v>
      </c>
      <c r="I492" s="304">
        <v>0</v>
      </c>
      <c r="J492" s="304">
        <v>0</v>
      </c>
      <c r="K492" s="305">
        <v>1</v>
      </c>
      <c r="L492" s="304">
        <v>1780000</v>
      </c>
      <c r="M492" s="304">
        <v>0</v>
      </c>
      <c r="N492" s="304">
        <v>0</v>
      </c>
      <c r="O492" s="304">
        <v>0</v>
      </c>
      <c r="P492" s="304">
        <v>0</v>
      </c>
      <c r="Q492" s="304">
        <v>0</v>
      </c>
      <c r="R492" s="304">
        <v>0</v>
      </c>
      <c r="S492" s="304">
        <v>0</v>
      </c>
      <c r="T492" s="304">
        <v>0</v>
      </c>
      <c r="U492" s="304">
        <v>0</v>
      </c>
      <c r="V492" s="304">
        <v>0</v>
      </c>
      <c r="W492" s="304">
        <v>0</v>
      </c>
      <c r="X492" s="304">
        <v>0</v>
      </c>
      <c r="Y492" s="304">
        <v>0</v>
      </c>
      <c r="Z492" s="304">
        <v>0</v>
      </c>
      <c r="AA492" s="304">
        <v>0</v>
      </c>
      <c r="AB492" s="303">
        <v>2020</v>
      </c>
    </row>
    <row r="493" spans="1:28" ht="35.25" customHeight="1" x14ac:dyDescent="0.5">
      <c r="A493">
        <v>1</v>
      </c>
      <c r="B493" s="80">
        <f>SUBTOTAL(103,$A$9:A493)</f>
        <v>481</v>
      </c>
      <c r="C493" s="300" t="s">
        <v>2228</v>
      </c>
      <c r="D493" s="296">
        <f t="shared" si="13"/>
        <v>320000</v>
      </c>
      <c r="E493" s="304">
        <v>0</v>
      </c>
      <c r="F493" s="304">
        <v>0</v>
      </c>
      <c r="G493" s="304">
        <v>0</v>
      </c>
      <c r="H493" s="304">
        <v>0</v>
      </c>
      <c r="I493" s="304">
        <v>0</v>
      </c>
      <c r="J493" s="304">
        <v>0</v>
      </c>
      <c r="K493" s="305">
        <v>0</v>
      </c>
      <c r="L493" s="304">
        <v>0</v>
      </c>
      <c r="M493" s="304">
        <v>0</v>
      </c>
      <c r="N493" s="304">
        <v>0</v>
      </c>
      <c r="O493" s="304">
        <v>320000</v>
      </c>
      <c r="P493" s="304">
        <v>0</v>
      </c>
      <c r="Q493" s="304">
        <v>0</v>
      </c>
      <c r="R493" s="304">
        <v>0</v>
      </c>
      <c r="S493" s="304">
        <v>0</v>
      </c>
      <c r="T493" s="304">
        <v>0</v>
      </c>
      <c r="U493" s="304">
        <v>0</v>
      </c>
      <c r="V493" s="304">
        <v>0</v>
      </c>
      <c r="W493" s="304">
        <v>0</v>
      </c>
      <c r="X493" s="304">
        <v>0</v>
      </c>
      <c r="Y493" s="304">
        <v>0</v>
      </c>
      <c r="Z493" s="304">
        <v>0</v>
      </c>
      <c r="AA493" s="304">
        <v>0</v>
      </c>
      <c r="AB493" s="303">
        <v>2020</v>
      </c>
    </row>
    <row r="494" spans="1:28" ht="35.25" customHeight="1" x14ac:dyDescent="0.5">
      <c r="A494">
        <v>1</v>
      </c>
      <c r="B494" s="80">
        <f>SUBTOTAL(103,$A$9:A494)</f>
        <v>482</v>
      </c>
      <c r="C494" s="300" t="s">
        <v>2229</v>
      </c>
      <c r="D494" s="296">
        <f t="shared" si="13"/>
        <v>616295.82999999996</v>
      </c>
      <c r="E494" s="304">
        <v>0</v>
      </c>
      <c r="F494" s="304">
        <v>0</v>
      </c>
      <c r="G494" s="304">
        <v>0</v>
      </c>
      <c r="H494" s="304">
        <v>0</v>
      </c>
      <c r="I494" s="304">
        <v>0</v>
      </c>
      <c r="J494" s="304">
        <v>0</v>
      </c>
      <c r="K494" s="305">
        <v>0</v>
      </c>
      <c r="L494" s="304">
        <v>0</v>
      </c>
      <c r="M494" s="304">
        <v>0</v>
      </c>
      <c r="N494" s="304">
        <v>0</v>
      </c>
      <c r="O494" s="304">
        <v>616295.82999999996</v>
      </c>
      <c r="P494" s="304">
        <v>0</v>
      </c>
      <c r="Q494" s="304">
        <v>0</v>
      </c>
      <c r="R494" s="304">
        <v>0</v>
      </c>
      <c r="S494" s="304">
        <v>0</v>
      </c>
      <c r="T494" s="304">
        <v>0</v>
      </c>
      <c r="U494" s="304">
        <v>0</v>
      </c>
      <c r="V494" s="304">
        <v>0</v>
      </c>
      <c r="W494" s="304">
        <v>0</v>
      </c>
      <c r="X494" s="304">
        <v>0</v>
      </c>
      <c r="Y494" s="304">
        <v>0</v>
      </c>
      <c r="Z494" s="304">
        <v>0</v>
      </c>
      <c r="AA494" s="304">
        <v>0</v>
      </c>
      <c r="AB494" s="303">
        <v>2020</v>
      </c>
    </row>
    <row r="495" spans="1:28" ht="35.25" customHeight="1" x14ac:dyDescent="0.5">
      <c r="A495">
        <v>1</v>
      </c>
      <c r="B495" s="80">
        <f>SUBTOTAL(103,$A$9:A495)</f>
        <v>483</v>
      </c>
      <c r="C495" s="300" t="s">
        <v>2230</v>
      </c>
      <c r="D495" s="296">
        <f t="shared" si="13"/>
        <v>1850000</v>
      </c>
      <c r="E495" s="304">
        <v>0</v>
      </c>
      <c r="F495" s="304">
        <v>0</v>
      </c>
      <c r="G495" s="304">
        <v>0</v>
      </c>
      <c r="H495" s="304">
        <v>0</v>
      </c>
      <c r="I495" s="304">
        <v>0</v>
      </c>
      <c r="J495" s="304">
        <v>0</v>
      </c>
      <c r="K495" s="305">
        <v>1</v>
      </c>
      <c r="L495" s="304">
        <v>1850000</v>
      </c>
      <c r="M495" s="304">
        <v>0</v>
      </c>
      <c r="N495" s="304">
        <v>0</v>
      </c>
      <c r="O495" s="304">
        <v>0</v>
      </c>
      <c r="P495" s="304">
        <v>0</v>
      </c>
      <c r="Q495" s="304">
        <v>0</v>
      </c>
      <c r="R495" s="304">
        <v>0</v>
      </c>
      <c r="S495" s="304">
        <v>0</v>
      </c>
      <c r="T495" s="304">
        <v>0</v>
      </c>
      <c r="U495" s="304">
        <v>0</v>
      </c>
      <c r="V495" s="304">
        <v>0</v>
      </c>
      <c r="W495" s="304">
        <v>0</v>
      </c>
      <c r="X495" s="304">
        <v>0</v>
      </c>
      <c r="Y495" s="304">
        <v>0</v>
      </c>
      <c r="Z495" s="304">
        <v>0</v>
      </c>
      <c r="AA495" s="304">
        <v>0</v>
      </c>
      <c r="AB495" s="303">
        <v>2020</v>
      </c>
    </row>
    <row r="496" spans="1:28" ht="35.25" customHeight="1" x14ac:dyDescent="0.5">
      <c r="A496">
        <v>1</v>
      </c>
      <c r="B496" s="80">
        <f>SUBTOTAL(103,$A$9:A496)</f>
        <v>484</v>
      </c>
      <c r="C496" s="300" t="s">
        <v>2231</v>
      </c>
      <c r="D496" s="296">
        <f t="shared" si="13"/>
        <v>2371003.2999999998</v>
      </c>
      <c r="E496" s="304">
        <v>0</v>
      </c>
      <c r="F496" s="304">
        <v>0</v>
      </c>
      <c r="G496" s="304">
        <v>0</v>
      </c>
      <c r="H496" s="304">
        <v>0</v>
      </c>
      <c r="I496" s="304">
        <v>0</v>
      </c>
      <c r="J496" s="304">
        <v>0</v>
      </c>
      <c r="K496" s="305">
        <v>0</v>
      </c>
      <c r="L496" s="304">
        <v>0</v>
      </c>
      <c r="M496" s="304">
        <v>2371003.2999999998</v>
      </c>
      <c r="N496" s="304">
        <v>0</v>
      </c>
      <c r="O496" s="304">
        <v>0</v>
      </c>
      <c r="P496" s="304">
        <v>0</v>
      </c>
      <c r="Q496" s="304">
        <v>0</v>
      </c>
      <c r="R496" s="304">
        <v>0</v>
      </c>
      <c r="S496" s="304">
        <v>0</v>
      </c>
      <c r="T496" s="304">
        <v>0</v>
      </c>
      <c r="U496" s="304">
        <v>0</v>
      </c>
      <c r="V496" s="304">
        <v>0</v>
      </c>
      <c r="W496" s="304">
        <v>0</v>
      </c>
      <c r="X496" s="304">
        <v>0</v>
      </c>
      <c r="Y496" s="304">
        <v>0</v>
      </c>
      <c r="Z496" s="304">
        <v>0</v>
      </c>
      <c r="AA496" s="304">
        <v>0</v>
      </c>
      <c r="AB496" s="303">
        <v>2020</v>
      </c>
    </row>
    <row r="497" spans="1:28" ht="35.25" customHeight="1" x14ac:dyDescent="0.5">
      <c r="A497">
        <v>1</v>
      </c>
      <c r="B497" s="80">
        <f>SUBTOTAL(103,$A$9:A497)</f>
        <v>485</v>
      </c>
      <c r="C497" s="300" t="s">
        <v>2232</v>
      </c>
      <c r="D497" s="296">
        <f t="shared" si="13"/>
        <v>928991.4</v>
      </c>
      <c r="E497" s="304">
        <v>0</v>
      </c>
      <c r="F497" s="304">
        <v>0</v>
      </c>
      <c r="G497" s="304">
        <v>0</v>
      </c>
      <c r="H497" s="304">
        <v>0</v>
      </c>
      <c r="I497" s="304">
        <v>0</v>
      </c>
      <c r="J497" s="304">
        <v>0</v>
      </c>
      <c r="K497" s="305">
        <v>0</v>
      </c>
      <c r="L497" s="304">
        <v>0</v>
      </c>
      <c r="M497" s="304">
        <v>928991.4</v>
      </c>
      <c r="N497" s="304">
        <v>0</v>
      </c>
      <c r="O497" s="304">
        <v>0</v>
      </c>
      <c r="P497" s="304">
        <v>0</v>
      </c>
      <c r="Q497" s="304">
        <v>0</v>
      </c>
      <c r="R497" s="304">
        <v>0</v>
      </c>
      <c r="S497" s="304">
        <v>0</v>
      </c>
      <c r="T497" s="304">
        <v>0</v>
      </c>
      <c r="U497" s="304">
        <v>0</v>
      </c>
      <c r="V497" s="304">
        <v>0</v>
      </c>
      <c r="W497" s="304">
        <v>0</v>
      </c>
      <c r="X497" s="304">
        <v>0</v>
      </c>
      <c r="Y497" s="304">
        <v>0</v>
      </c>
      <c r="Z497" s="304">
        <v>0</v>
      </c>
      <c r="AA497" s="304">
        <v>0</v>
      </c>
      <c r="AB497" s="303">
        <v>2020</v>
      </c>
    </row>
    <row r="498" spans="1:28" ht="35.25" customHeight="1" x14ac:dyDescent="0.5">
      <c r="A498">
        <v>1</v>
      </c>
      <c r="B498" s="80">
        <f>SUBTOTAL(103,$A$9:A498)</f>
        <v>486</v>
      </c>
      <c r="C498" s="300" t="s">
        <v>2233</v>
      </c>
      <c r="D498" s="296">
        <f t="shared" si="13"/>
        <v>244714.38</v>
      </c>
      <c r="E498" s="304">
        <v>0</v>
      </c>
      <c r="F498" s="304">
        <v>0</v>
      </c>
      <c r="G498" s="304">
        <v>0</v>
      </c>
      <c r="H498" s="304">
        <v>0</v>
      </c>
      <c r="I498" s="304">
        <v>244714.38</v>
      </c>
      <c r="J498" s="304">
        <v>0</v>
      </c>
      <c r="K498" s="305">
        <v>0</v>
      </c>
      <c r="L498" s="304">
        <v>0</v>
      </c>
      <c r="M498" s="304">
        <v>0</v>
      </c>
      <c r="N498" s="304">
        <v>0</v>
      </c>
      <c r="O498" s="304">
        <v>0</v>
      </c>
      <c r="P498" s="304">
        <v>0</v>
      </c>
      <c r="Q498" s="304">
        <v>0</v>
      </c>
      <c r="R498" s="304">
        <v>0</v>
      </c>
      <c r="S498" s="304">
        <v>0</v>
      </c>
      <c r="T498" s="304">
        <v>0</v>
      </c>
      <c r="U498" s="304">
        <v>0</v>
      </c>
      <c r="V498" s="304">
        <v>0</v>
      </c>
      <c r="W498" s="304">
        <v>0</v>
      </c>
      <c r="X498" s="304">
        <v>0</v>
      </c>
      <c r="Y498" s="304">
        <v>0</v>
      </c>
      <c r="Z498" s="304">
        <v>0</v>
      </c>
      <c r="AA498" s="304">
        <v>0</v>
      </c>
      <c r="AB498" s="303">
        <v>2020</v>
      </c>
    </row>
    <row r="499" spans="1:28" ht="35.25" customHeight="1" x14ac:dyDescent="0.5">
      <c r="A499">
        <v>1</v>
      </c>
      <c r="B499" s="80">
        <f>SUBTOTAL(103,$A$9:A499)</f>
        <v>487</v>
      </c>
      <c r="C499" s="300" t="s">
        <v>2234</v>
      </c>
      <c r="D499" s="296">
        <f t="shared" si="13"/>
        <v>173096</v>
      </c>
      <c r="E499" s="304">
        <v>0</v>
      </c>
      <c r="F499" s="304">
        <v>0</v>
      </c>
      <c r="G499" s="304">
        <v>0</v>
      </c>
      <c r="H499" s="304">
        <v>0</v>
      </c>
      <c r="I499" s="304">
        <v>0</v>
      </c>
      <c r="J499" s="304">
        <v>0</v>
      </c>
      <c r="K499" s="305">
        <v>0</v>
      </c>
      <c r="L499" s="304">
        <v>0</v>
      </c>
      <c r="M499" s="304">
        <v>0</v>
      </c>
      <c r="N499" s="304">
        <v>0</v>
      </c>
      <c r="O499" s="304">
        <v>173096</v>
      </c>
      <c r="P499" s="304">
        <v>0</v>
      </c>
      <c r="Q499" s="304">
        <v>0</v>
      </c>
      <c r="R499" s="304">
        <v>0</v>
      </c>
      <c r="S499" s="304">
        <v>0</v>
      </c>
      <c r="T499" s="304">
        <v>0</v>
      </c>
      <c r="U499" s="304">
        <v>0</v>
      </c>
      <c r="V499" s="304">
        <v>0</v>
      </c>
      <c r="W499" s="304">
        <v>0</v>
      </c>
      <c r="X499" s="304">
        <v>0</v>
      </c>
      <c r="Y499" s="304">
        <v>0</v>
      </c>
      <c r="Z499" s="304">
        <v>0</v>
      </c>
      <c r="AA499" s="304">
        <v>0</v>
      </c>
      <c r="AB499" s="303">
        <v>2020</v>
      </c>
    </row>
    <row r="500" spans="1:28" ht="35.25" customHeight="1" x14ac:dyDescent="0.5">
      <c r="A500">
        <v>1</v>
      </c>
      <c r="B500" s="80">
        <f>SUBTOTAL(103,$A$9:A500)</f>
        <v>488</v>
      </c>
      <c r="C500" s="300" t="s">
        <v>2235</v>
      </c>
      <c r="D500" s="296">
        <f t="shared" si="13"/>
        <v>1395005.36</v>
      </c>
      <c r="E500" s="304">
        <v>0</v>
      </c>
      <c r="F500" s="304">
        <v>0</v>
      </c>
      <c r="G500" s="304">
        <v>0</v>
      </c>
      <c r="H500" s="304">
        <v>0</v>
      </c>
      <c r="I500" s="304">
        <v>0</v>
      </c>
      <c r="J500" s="304">
        <v>0</v>
      </c>
      <c r="K500" s="305">
        <v>0</v>
      </c>
      <c r="L500" s="304">
        <v>0</v>
      </c>
      <c r="M500" s="304">
        <v>1395005.36</v>
      </c>
      <c r="N500" s="304">
        <v>0</v>
      </c>
      <c r="O500" s="304">
        <v>0</v>
      </c>
      <c r="P500" s="304">
        <v>0</v>
      </c>
      <c r="Q500" s="304">
        <v>0</v>
      </c>
      <c r="R500" s="304">
        <v>0</v>
      </c>
      <c r="S500" s="304">
        <v>0</v>
      </c>
      <c r="T500" s="304">
        <v>0</v>
      </c>
      <c r="U500" s="304">
        <v>0</v>
      </c>
      <c r="V500" s="304">
        <v>0</v>
      </c>
      <c r="W500" s="304">
        <v>0</v>
      </c>
      <c r="X500" s="304">
        <v>0</v>
      </c>
      <c r="Y500" s="304">
        <v>0</v>
      </c>
      <c r="Z500" s="304">
        <v>0</v>
      </c>
      <c r="AA500" s="304">
        <v>0</v>
      </c>
      <c r="AB500" s="303">
        <v>2020</v>
      </c>
    </row>
    <row r="501" spans="1:28" ht="35.25" customHeight="1" x14ac:dyDescent="0.5">
      <c r="A501">
        <v>1</v>
      </c>
      <c r="B501" s="80">
        <f>SUBTOTAL(103,$A$9:A501)</f>
        <v>489</v>
      </c>
      <c r="C501" s="300" t="s">
        <v>2405</v>
      </c>
      <c r="D501" s="296">
        <f t="shared" si="13"/>
        <v>1850000</v>
      </c>
      <c r="E501" s="301">
        <v>0</v>
      </c>
      <c r="F501" s="301">
        <v>0</v>
      </c>
      <c r="G501" s="301">
        <v>0</v>
      </c>
      <c r="H501" s="301">
        <v>0</v>
      </c>
      <c r="I501" s="301">
        <v>0</v>
      </c>
      <c r="J501" s="301">
        <v>0</v>
      </c>
      <c r="K501" s="302">
        <v>1</v>
      </c>
      <c r="L501" s="301">
        <v>1850000</v>
      </c>
      <c r="M501" s="301">
        <v>0</v>
      </c>
      <c r="N501" s="301">
        <v>0</v>
      </c>
      <c r="O501" s="301">
        <v>0</v>
      </c>
      <c r="P501" s="301">
        <v>0</v>
      </c>
      <c r="Q501" s="301">
        <v>0</v>
      </c>
      <c r="R501" s="301">
        <v>0</v>
      </c>
      <c r="S501" s="301">
        <v>0</v>
      </c>
      <c r="T501" s="301">
        <v>0</v>
      </c>
      <c r="U501" s="301">
        <v>0</v>
      </c>
      <c r="V501" s="301">
        <v>0</v>
      </c>
      <c r="W501" s="301">
        <v>0</v>
      </c>
      <c r="X501" s="301">
        <v>0</v>
      </c>
      <c r="Y501" s="301">
        <v>0</v>
      </c>
      <c r="Z501" s="301">
        <v>0</v>
      </c>
      <c r="AA501" s="301">
        <v>0</v>
      </c>
      <c r="AB501" s="303">
        <v>2020</v>
      </c>
    </row>
    <row r="502" spans="1:28" ht="35.25" customHeight="1" x14ac:dyDescent="0.5">
      <c r="A502">
        <v>1</v>
      </c>
      <c r="B502" s="80">
        <f>SUBTOTAL(103,$A$9:A502)</f>
        <v>490</v>
      </c>
      <c r="C502" s="300" t="s">
        <v>2406</v>
      </c>
      <c r="D502" s="296">
        <f t="shared" si="13"/>
        <v>588722</v>
      </c>
      <c r="E502" s="301">
        <v>0</v>
      </c>
      <c r="F502" s="301">
        <v>0</v>
      </c>
      <c r="G502" s="301">
        <v>0</v>
      </c>
      <c r="H502" s="301">
        <v>0</v>
      </c>
      <c r="I502" s="301">
        <v>0</v>
      </c>
      <c r="J502" s="301">
        <v>0</v>
      </c>
      <c r="K502" s="302">
        <v>0</v>
      </c>
      <c r="L502" s="301">
        <v>0</v>
      </c>
      <c r="M502" s="301">
        <v>588722</v>
      </c>
      <c r="N502" s="301">
        <v>0</v>
      </c>
      <c r="O502" s="301">
        <v>0</v>
      </c>
      <c r="P502" s="301">
        <v>0</v>
      </c>
      <c r="Q502" s="301">
        <v>0</v>
      </c>
      <c r="R502" s="301">
        <v>0</v>
      </c>
      <c r="S502" s="301">
        <v>0</v>
      </c>
      <c r="T502" s="301">
        <v>0</v>
      </c>
      <c r="U502" s="301">
        <v>0</v>
      </c>
      <c r="V502" s="301">
        <v>0</v>
      </c>
      <c r="W502" s="301">
        <v>0</v>
      </c>
      <c r="X502" s="301">
        <v>0</v>
      </c>
      <c r="Y502" s="301">
        <v>0</v>
      </c>
      <c r="Z502" s="301">
        <v>0</v>
      </c>
      <c r="AA502" s="301">
        <v>0</v>
      </c>
      <c r="AB502" s="303">
        <v>2020</v>
      </c>
    </row>
    <row r="503" spans="1:28" ht="35.25" customHeight="1" x14ac:dyDescent="0.5">
      <c r="A503">
        <v>1</v>
      </c>
      <c r="B503" s="80">
        <f>SUBTOTAL(103,$A$9:A503)</f>
        <v>491</v>
      </c>
      <c r="C503" s="300" t="s">
        <v>2407</v>
      </c>
      <c r="D503" s="296">
        <f t="shared" si="13"/>
        <v>1370115.5</v>
      </c>
      <c r="E503" s="301">
        <v>0</v>
      </c>
      <c r="F503" s="301">
        <v>0</v>
      </c>
      <c r="G503" s="301">
        <v>0</v>
      </c>
      <c r="H503" s="301">
        <v>0</v>
      </c>
      <c r="I503" s="301">
        <v>0</v>
      </c>
      <c r="J503" s="301">
        <v>0</v>
      </c>
      <c r="K503" s="302">
        <v>0</v>
      </c>
      <c r="L503" s="301">
        <v>0</v>
      </c>
      <c r="M503" s="301">
        <v>1370115.5</v>
      </c>
      <c r="N503" s="301">
        <v>0</v>
      </c>
      <c r="O503" s="301">
        <v>0</v>
      </c>
      <c r="P503" s="301">
        <v>0</v>
      </c>
      <c r="Q503" s="301">
        <v>0</v>
      </c>
      <c r="R503" s="301">
        <v>0</v>
      </c>
      <c r="S503" s="301">
        <v>0</v>
      </c>
      <c r="T503" s="301">
        <v>0</v>
      </c>
      <c r="U503" s="301">
        <v>0</v>
      </c>
      <c r="V503" s="301">
        <v>0</v>
      </c>
      <c r="W503" s="301">
        <v>0</v>
      </c>
      <c r="X503" s="301">
        <v>0</v>
      </c>
      <c r="Y503" s="301">
        <v>0</v>
      </c>
      <c r="Z503" s="301">
        <v>0</v>
      </c>
      <c r="AA503" s="301">
        <v>0</v>
      </c>
      <c r="AB503" s="303">
        <v>2020</v>
      </c>
    </row>
    <row r="504" spans="1:28" ht="35.25" customHeight="1" x14ac:dyDescent="0.5">
      <c r="A504">
        <v>1</v>
      </c>
      <c r="B504" s="80">
        <f>SUBTOTAL(103,$A$9:A504)</f>
        <v>492</v>
      </c>
      <c r="C504" s="300" t="s">
        <v>2408</v>
      </c>
      <c r="D504" s="296">
        <f t="shared" si="13"/>
        <v>1078498.99</v>
      </c>
      <c r="E504" s="301">
        <v>0</v>
      </c>
      <c r="F504" s="301">
        <v>0</v>
      </c>
      <c r="G504" s="301">
        <v>0</v>
      </c>
      <c r="H504" s="301">
        <v>0</v>
      </c>
      <c r="I504" s="301">
        <v>0</v>
      </c>
      <c r="J504" s="301">
        <v>0</v>
      </c>
      <c r="K504" s="302">
        <v>0</v>
      </c>
      <c r="L504" s="301">
        <v>0</v>
      </c>
      <c r="M504" s="301">
        <v>598047.86</v>
      </c>
      <c r="N504" s="301">
        <v>0</v>
      </c>
      <c r="O504" s="301">
        <v>480451.13</v>
      </c>
      <c r="P504" s="301">
        <v>0</v>
      </c>
      <c r="Q504" s="301">
        <v>0</v>
      </c>
      <c r="R504" s="301">
        <v>0</v>
      </c>
      <c r="S504" s="301">
        <v>0</v>
      </c>
      <c r="T504" s="301">
        <v>0</v>
      </c>
      <c r="U504" s="301">
        <v>0</v>
      </c>
      <c r="V504" s="301">
        <v>0</v>
      </c>
      <c r="W504" s="301">
        <v>0</v>
      </c>
      <c r="X504" s="301">
        <v>0</v>
      </c>
      <c r="Y504" s="301">
        <v>0</v>
      </c>
      <c r="Z504" s="301">
        <v>0</v>
      </c>
      <c r="AA504" s="301">
        <v>0</v>
      </c>
      <c r="AB504" s="303">
        <v>2020</v>
      </c>
    </row>
    <row r="505" spans="1:28" ht="35.25" customHeight="1" x14ac:dyDescent="0.5">
      <c r="A505">
        <v>1</v>
      </c>
      <c r="B505" s="80">
        <f>SUBTOTAL(103,$A$9:A505)</f>
        <v>493</v>
      </c>
      <c r="C505" s="300" t="s">
        <v>2978</v>
      </c>
      <c r="D505" s="296">
        <f t="shared" si="13"/>
        <v>101207</v>
      </c>
      <c r="E505" s="301">
        <v>101207</v>
      </c>
      <c r="F505" s="301">
        <v>0</v>
      </c>
      <c r="G505" s="301">
        <v>0</v>
      </c>
      <c r="H505" s="301">
        <v>0</v>
      </c>
      <c r="I505" s="301">
        <v>0</v>
      </c>
      <c r="J505" s="301">
        <v>0</v>
      </c>
      <c r="K505" s="302">
        <v>0</v>
      </c>
      <c r="L505" s="301">
        <v>0</v>
      </c>
      <c r="M505" s="301">
        <v>0</v>
      </c>
      <c r="N505" s="301">
        <v>0</v>
      </c>
      <c r="O505" s="301">
        <v>0</v>
      </c>
      <c r="P505" s="301">
        <v>0</v>
      </c>
      <c r="Q505" s="301">
        <v>0</v>
      </c>
      <c r="R505" s="301">
        <v>0</v>
      </c>
      <c r="S505" s="301">
        <v>0</v>
      </c>
      <c r="T505" s="301">
        <v>0</v>
      </c>
      <c r="U505" s="301">
        <v>0</v>
      </c>
      <c r="V505" s="301">
        <v>0</v>
      </c>
      <c r="W505" s="301">
        <v>0</v>
      </c>
      <c r="X505" s="301">
        <v>0</v>
      </c>
      <c r="Y505" s="301">
        <v>0</v>
      </c>
      <c r="Z505" s="301">
        <v>0</v>
      </c>
      <c r="AA505" s="301">
        <v>0</v>
      </c>
      <c r="AB505" s="303">
        <v>2020</v>
      </c>
    </row>
    <row r="506" spans="1:28" ht="35.25" customHeight="1" x14ac:dyDescent="0.5">
      <c r="A506">
        <v>1</v>
      </c>
      <c r="B506" s="80">
        <f>SUBTOTAL(103,$A$9:A506)</f>
        <v>494</v>
      </c>
      <c r="C506" s="300" t="s">
        <v>2708</v>
      </c>
      <c r="D506" s="296">
        <f t="shared" si="13"/>
        <v>748477</v>
      </c>
      <c r="E506" s="301">
        <v>0</v>
      </c>
      <c r="F506" s="301">
        <v>0</v>
      </c>
      <c r="G506" s="301">
        <v>0</v>
      </c>
      <c r="H506" s="301">
        <v>0</v>
      </c>
      <c r="I506" s="301">
        <v>0</v>
      </c>
      <c r="J506" s="301">
        <v>0</v>
      </c>
      <c r="K506" s="302">
        <v>0</v>
      </c>
      <c r="L506" s="301">
        <v>0</v>
      </c>
      <c r="M506" s="301">
        <v>0</v>
      </c>
      <c r="N506" s="301">
        <v>0</v>
      </c>
      <c r="O506" s="301">
        <v>748477</v>
      </c>
      <c r="P506" s="301">
        <v>0</v>
      </c>
      <c r="Q506" s="301">
        <v>0</v>
      </c>
      <c r="R506" s="301">
        <v>0</v>
      </c>
      <c r="S506" s="301">
        <v>0</v>
      </c>
      <c r="T506" s="301">
        <v>0</v>
      </c>
      <c r="U506" s="301">
        <v>0</v>
      </c>
      <c r="V506" s="301">
        <v>0</v>
      </c>
      <c r="W506" s="301">
        <v>0</v>
      </c>
      <c r="X506" s="301">
        <v>0</v>
      </c>
      <c r="Y506" s="301">
        <v>0</v>
      </c>
      <c r="Z506" s="301">
        <v>0</v>
      </c>
      <c r="AA506" s="301">
        <v>0</v>
      </c>
      <c r="AB506" s="303">
        <v>2020</v>
      </c>
    </row>
    <row r="507" spans="1:28" ht="35.25" customHeight="1" x14ac:dyDescent="0.5">
      <c r="A507">
        <v>1</v>
      </c>
      <c r="B507" s="80">
        <f>SUBTOTAL(103,$A$9:A507)</f>
        <v>495</v>
      </c>
      <c r="C507" s="300" t="s">
        <v>2024</v>
      </c>
      <c r="D507" s="296">
        <f t="shared" si="13"/>
        <v>1198042.8500000001</v>
      </c>
      <c r="E507" s="304">
        <v>0</v>
      </c>
      <c r="F507" s="304">
        <v>0</v>
      </c>
      <c r="G507" s="304">
        <v>0</v>
      </c>
      <c r="H507" s="304">
        <v>0</v>
      </c>
      <c r="I507" s="304">
        <v>0</v>
      </c>
      <c r="J507" s="304">
        <v>0</v>
      </c>
      <c r="K507" s="305">
        <v>0</v>
      </c>
      <c r="L507" s="304">
        <v>0</v>
      </c>
      <c r="M507" s="304">
        <v>0</v>
      </c>
      <c r="N507" s="304">
        <v>0</v>
      </c>
      <c r="O507" s="304">
        <v>1198042.8500000001</v>
      </c>
      <c r="P507" s="304">
        <v>0</v>
      </c>
      <c r="Q507" s="304">
        <v>0</v>
      </c>
      <c r="R507" s="304">
        <v>0</v>
      </c>
      <c r="S507" s="304">
        <v>0</v>
      </c>
      <c r="T507" s="304">
        <v>0</v>
      </c>
      <c r="U507" s="304">
        <v>0</v>
      </c>
      <c r="V507" s="304">
        <v>0</v>
      </c>
      <c r="W507" s="304">
        <v>0</v>
      </c>
      <c r="X507" s="304">
        <v>0</v>
      </c>
      <c r="Y507" s="304">
        <v>0</v>
      </c>
      <c r="Z507" s="304">
        <v>0</v>
      </c>
      <c r="AA507" s="304">
        <v>0</v>
      </c>
      <c r="AB507" s="303">
        <v>2020</v>
      </c>
    </row>
    <row r="508" spans="1:28" ht="35.25" customHeight="1" x14ac:dyDescent="0.5">
      <c r="B508" s="300" t="s">
        <v>1714</v>
      </c>
      <c r="C508" s="300"/>
      <c r="D508" s="296">
        <f t="shared" si="13"/>
        <v>1368433</v>
      </c>
      <c r="E508" s="296">
        <f t="shared" ref="E508:AA508" si="14">SUM(E509:E512)</f>
        <v>0</v>
      </c>
      <c r="F508" s="296">
        <f t="shared" si="14"/>
        <v>0</v>
      </c>
      <c r="G508" s="296">
        <f t="shared" si="14"/>
        <v>0</v>
      </c>
      <c r="H508" s="296">
        <f t="shared" si="14"/>
        <v>0</v>
      </c>
      <c r="I508" s="296">
        <f t="shared" si="14"/>
        <v>914164</v>
      </c>
      <c r="J508" s="296">
        <f t="shared" si="14"/>
        <v>0</v>
      </c>
      <c r="K508" s="297">
        <f t="shared" si="14"/>
        <v>0</v>
      </c>
      <c r="L508" s="296">
        <f t="shared" si="14"/>
        <v>0</v>
      </c>
      <c r="M508" s="296">
        <f t="shared" si="14"/>
        <v>0</v>
      </c>
      <c r="N508" s="296">
        <f t="shared" si="14"/>
        <v>0</v>
      </c>
      <c r="O508" s="296">
        <f t="shared" si="14"/>
        <v>454269</v>
      </c>
      <c r="P508" s="296">
        <f t="shared" si="14"/>
        <v>0</v>
      </c>
      <c r="Q508" s="296">
        <f t="shared" si="14"/>
        <v>0</v>
      </c>
      <c r="R508" s="296">
        <f t="shared" si="14"/>
        <v>0</v>
      </c>
      <c r="S508" s="296">
        <f t="shared" si="14"/>
        <v>0</v>
      </c>
      <c r="T508" s="296">
        <f t="shared" si="14"/>
        <v>0</v>
      </c>
      <c r="U508" s="296">
        <f t="shared" si="14"/>
        <v>0</v>
      </c>
      <c r="V508" s="296">
        <f t="shared" si="14"/>
        <v>0</v>
      </c>
      <c r="W508" s="296">
        <f t="shared" si="14"/>
        <v>0</v>
      </c>
      <c r="X508" s="296">
        <f t="shared" si="14"/>
        <v>0</v>
      </c>
      <c r="Y508" s="296">
        <f t="shared" si="14"/>
        <v>0</v>
      </c>
      <c r="Z508" s="296">
        <f t="shared" si="14"/>
        <v>0</v>
      </c>
      <c r="AA508" s="296">
        <f t="shared" si="14"/>
        <v>0</v>
      </c>
      <c r="AB508" s="298" t="s">
        <v>835</v>
      </c>
    </row>
    <row r="509" spans="1:28" ht="35.25" customHeight="1" x14ac:dyDescent="0.5">
      <c r="A509">
        <v>1</v>
      </c>
      <c r="B509" s="80">
        <f>SUBTOTAL(103,$A$9:A509)</f>
        <v>496</v>
      </c>
      <c r="C509" s="300" t="s">
        <v>1715</v>
      </c>
      <c r="D509" s="296">
        <f t="shared" si="13"/>
        <v>228541</v>
      </c>
      <c r="E509" s="301">
        <v>0</v>
      </c>
      <c r="F509" s="301">
        <v>0</v>
      </c>
      <c r="G509" s="301">
        <v>0</v>
      </c>
      <c r="H509" s="301">
        <v>0</v>
      </c>
      <c r="I509" s="301">
        <v>228541</v>
      </c>
      <c r="J509" s="301">
        <v>0</v>
      </c>
      <c r="K509" s="302">
        <v>0</v>
      </c>
      <c r="L509" s="301">
        <v>0</v>
      </c>
      <c r="M509" s="301">
        <v>0</v>
      </c>
      <c r="N509" s="301">
        <v>0</v>
      </c>
      <c r="O509" s="301">
        <v>0</v>
      </c>
      <c r="P509" s="301">
        <v>0</v>
      </c>
      <c r="Q509" s="301">
        <v>0</v>
      </c>
      <c r="R509" s="301">
        <v>0</v>
      </c>
      <c r="S509" s="301">
        <v>0</v>
      </c>
      <c r="T509" s="301">
        <v>0</v>
      </c>
      <c r="U509" s="301">
        <v>0</v>
      </c>
      <c r="V509" s="301">
        <v>0</v>
      </c>
      <c r="W509" s="301">
        <v>0</v>
      </c>
      <c r="X509" s="301">
        <v>0</v>
      </c>
      <c r="Y509" s="301">
        <v>0</v>
      </c>
      <c r="Z509" s="301">
        <v>0</v>
      </c>
      <c r="AA509" s="301">
        <v>0</v>
      </c>
      <c r="AB509" s="303">
        <v>2020</v>
      </c>
    </row>
    <row r="510" spans="1:28" ht="35.25" customHeight="1" x14ac:dyDescent="0.5">
      <c r="A510">
        <v>1</v>
      </c>
      <c r="B510" s="80">
        <f>SUBTOTAL(103,$A$9:A510)</f>
        <v>497</v>
      </c>
      <c r="C510" s="300" t="s">
        <v>1716</v>
      </c>
      <c r="D510" s="296">
        <f t="shared" si="13"/>
        <v>228541</v>
      </c>
      <c r="E510" s="301">
        <v>0</v>
      </c>
      <c r="F510" s="301">
        <v>0</v>
      </c>
      <c r="G510" s="301">
        <v>0</v>
      </c>
      <c r="H510" s="301">
        <v>0</v>
      </c>
      <c r="I510" s="301">
        <v>228541</v>
      </c>
      <c r="J510" s="301">
        <v>0</v>
      </c>
      <c r="K510" s="302">
        <v>0</v>
      </c>
      <c r="L510" s="301">
        <v>0</v>
      </c>
      <c r="M510" s="301">
        <v>0</v>
      </c>
      <c r="N510" s="301">
        <v>0</v>
      </c>
      <c r="O510" s="301">
        <v>0</v>
      </c>
      <c r="P510" s="301">
        <v>0</v>
      </c>
      <c r="Q510" s="301">
        <v>0</v>
      </c>
      <c r="R510" s="301">
        <v>0</v>
      </c>
      <c r="S510" s="301">
        <v>0</v>
      </c>
      <c r="T510" s="301">
        <v>0</v>
      </c>
      <c r="U510" s="301">
        <v>0</v>
      </c>
      <c r="V510" s="301">
        <v>0</v>
      </c>
      <c r="W510" s="301">
        <v>0</v>
      </c>
      <c r="X510" s="301">
        <v>0</v>
      </c>
      <c r="Y510" s="301">
        <v>0</v>
      </c>
      <c r="Z510" s="301">
        <v>0</v>
      </c>
      <c r="AA510" s="301">
        <v>0</v>
      </c>
      <c r="AB510" s="303">
        <v>2020</v>
      </c>
    </row>
    <row r="511" spans="1:28" ht="35.25" customHeight="1" x14ac:dyDescent="0.5">
      <c r="A511">
        <v>1</v>
      </c>
      <c r="B511" s="80">
        <f>SUBTOTAL(103,$A$9:A511)</f>
        <v>498</v>
      </c>
      <c r="C511" s="300" t="s">
        <v>1717</v>
      </c>
      <c r="D511" s="296">
        <f t="shared" si="13"/>
        <v>274766</v>
      </c>
      <c r="E511" s="301">
        <v>0</v>
      </c>
      <c r="F511" s="301">
        <v>0</v>
      </c>
      <c r="G511" s="301">
        <v>0</v>
      </c>
      <c r="H511" s="301">
        <v>0</v>
      </c>
      <c r="I511" s="301">
        <v>228541</v>
      </c>
      <c r="J511" s="301">
        <v>0</v>
      </c>
      <c r="K511" s="302">
        <v>0</v>
      </c>
      <c r="L511" s="301">
        <v>0</v>
      </c>
      <c r="M511" s="301">
        <v>0</v>
      </c>
      <c r="N511" s="301">
        <v>0</v>
      </c>
      <c r="O511" s="301">
        <v>46225</v>
      </c>
      <c r="P511" s="301">
        <v>0</v>
      </c>
      <c r="Q511" s="301">
        <v>0</v>
      </c>
      <c r="R511" s="301">
        <v>0</v>
      </c>
      <c r="S511" s="301">
        <v>0</v>
      </c>
      <c r="T511" s="301">
        <v>0</v>
      </c>
      <c r="U511" s="301">
        <v>0</v>
      </c>
      <c r="V511" s="301">
        <v>0</v>
      </c>
      <c r="W511" s="301">
        <v>0</v>
      </c>
      <c r="X511" s="301">
        <v>0</v>
      </c>
      <c r="Y511" s="301">
        <v>0</v>
      </c>
      <c r="Z511" s="301">
        <v>0</v>
      </c>
      <c r="AA511" s="301">
        <v>0</v>
      </c>
      <c r="AB511" s="303">
        <v>2020</v>
      </c>
    </row>
    <row r="512" spans="1:28" ht="35.25" customHeight="1" x14ac:dyDescent="0.5">
      <c r="A512">
        <v>1</v>
      </c>
      <c r="B512" s="80">
        <f>SUBTOTAL(103,$A$9:A512)</f>
        <v>499</v>
      </c>
      <c r="C512" s="300" t="s">
        <v>1718</v>
      </c>
      <c r="D512" s="296">
        <f t="shared" si="13"/>
        <v>636585</v>
      </c>
      <c r="E512" s="301">
        <v>0</v>
      </c>
      <c r="F512" s="301">
        <v>0</v>
      </c>
      <c r="G512" s="301">
        <v>0</v>
      </c>
      <c r="H512" s="301">
        <v>0</v>
      </c>
      <c r="I512" s="301">
        <v>228541</v>
      </c>
      <c r="J512" s="301">
        <v>0</v>
      </c>
      <c r="K512" s="302">
        <v>0</v>
      </c>
      <c r="L512" s="301">
        <v>0</v>
      </c>
      <c r="M512" s="301">
        <v>0</v>
      </c>
      <c r="N512" s="301">
        <v>0</v>
      </c>
      <c r="O512" s="301">
        <v>408044</v>
      </c>
      <c r="P512" s="301">
        <v>0</v>
      </c>
      <c r="Q512" s="301">
        <v>0</v>
      </c>
      <c r="R512" s="301">
        <v>0</v>
      </c>
      <c r="S512" s="301">
        <v>0</v>
      </c>
      <c r="T512" s="301">
        <v>0</v>
      </c>
      <c r="U512" s="301">
        <v>0</v>
      </c>
      <c r="V512" s="301">
        <v>0</v>
      </c>
      <c r="W512" s="301">
        <v>0</v>
      </c>
      <c r="X512" s="301">
        <v>0</v>
      </c>
      <c r="Y512" s="301">
        <v>0</v>
      </c>
      <c r="Z512" s="301">
        <v>0</v>
      </c>
      <c r="AA512" s="301">
        <v>0</v>
      </c>
      <c r="AB512" s="303">
        <v>2020</v>
      </c>
    </row>
    <row r="513" spans="1:28" ht="35.25" customHeight="1" x14ac:dyDescent="0.5">
      <c r="B513" s="300" t="s">
        <v>830</v>
      </c>
      <c r="C513" s="300"/>
      <c r="D513" s="296">
        <f t="shared" si="13"/>
        <v>797497</v>
      </c>
      <c r="E513" s="296">
        <f t="shared" ref="E513:AA513" si="15">E514</f>
        <v>0</v>
      </c>
      <c r="F513" s="296">
        <f t="shared" si="15"/>
        <v>0</v>
      </c>
      <c r="G513" s="296">
        <f t="shared" si="15"/>
        <v>0</v>
      </c>
      <c r="H513" s="296">
        <f t="shared" si="15"/>
        <v>0</v>
      </c>
      <c r="I513" s="296">
        <f t="shared" si="15"/>
        <v>0</v>
      </c>
      <c r="J513" s="296">
        <f t="shared" si="15"/>
        <v>0</v>
      </c>
      <c r="K513" s="302">
        <f t="shared" si="15"/>
        <v>0</v>
      </c>
      <c r="L513" s="296">
        <f t="shared" si="15"/>
        <v>0</v>
      </c>
      <c r="M513" s="296">
        <f t="shared" si="15"/>
        <v>797497</v>
      </c>
      <c r="N513" s="296">
        <f t="shared" si="15"/>
        <v>0</v>
      </c>
      <c r="O513" s="296">
        <f t="shared" si="15"/>
        <v>0</v>
      </c>
      <c r="P513" s="296">
        <f t="shared" si="15"/>
        <v>0</v>
      </c>
      <c r="Q513" s="296">
        <f t="shared" si="15"/>
        <v>0</v>
      </c>
      <c r="R513" s="296">
        <f t="shared" si="15"/>
        <v>0</v>
      </c>
      <c r="S513" s="296">
        <f t="shared" si="15"/>
        <v>0</v>
      </c>
      <c r="T513" s="296">
        <f t="shared" si="15"/>
        <v>0</v>
      </c>
      <c r="U513" s="296">
        <f t="shared" si="15"/>
        <v>0</v>
      </c>
      <c r="V513" s="296">
        <f t="shared" si="15"/>
        <v>0</v>
      </c>
      <c r="W513" s="296">
        <f t="shared" si="15"/>
        <v>0</v>
      </c>
      <c r="X513" s="296">
        <f t="shared" si="15"/>
        <v>0</v>
      </c>
      <c r="Y513" s="296">
        <f t="shared" si="15"/>
        <v>0</v>
      </c>
      <c r="Z513" s="296">
        <f t="shared" si="15"/>
        <v>0</v>
      </c>
      <c r="AA513" s="296">
        <f t="shared" si="15"/>
        <v>0</v>
      </c>
      <c r="AB513" s="298" t="s">
        <v>835</v>
      </c>
    </row>
    <row r="514" spans="1:28" ht="35.25" customHeight="1" x14ac:dyDescent="0.5">
      <c r="A514">
        <v>1</v>
      </c>
      <c r="B514" s="80">
        <f>SUBTOTAL(103,$A$9:A514)</f>
        <v>500</v>
      </c>
      <c r="C514" s="300" t="s">
        <v>2025</v>
      </c>
      <c r="D514" s="296">
        <f t="shared" si="13"/>
        <v>797497</v>
      </c>
      <c r="E514" s="296">
        <v>0</v>
      </c>
      <c r="F514" s="296">
        <v>0</v>
      </c>
      <c r="G514" s="296">
        <v>0</v>
      </c>
      <c r="H514" s="296">
        <v>0</v>
      </c>
      <c r="I514" s="296">
        <v>0</v>
      </c>
      <c r="J514" s="296">
        <v>0</v>
      </c>
      <c r="K514" s="302">
        <v>0</v>
      </c>
      <c r="L514" s="296">
        <v>0</v>
      </c>
      <c r="M514" s="301">
        <v>797497</v>
      </c>
      <c r="N514" s="301">
        <v>0</v>
      </c>
      <c r="O514" s="301">
        <v>0</v>
      </c>
      <c r="P514" s="301">
        <v>0</v>
      </c>
      <c r="Q514" s="301">
        <v>0</v>
      </c>
      <c r="R514" s="301">
        <v>0</v>
      </c>
      <c r="S514" s="301">
        <v>0</v>
      </c>
      <c r="T514" s="301">
        <v>0</v>
      </c>
      <c r="U514" s="301">
        <v>0</v>
      </c>
      <c r="V514" s="301">
        <v>0</v>
      </c>
      <c r="W514" s="301">
        <v>0</v>
      </c>
      <c r="X514" s="301">
        <v>0</v>
      </c>
      <c r="Y514" s="301">
        <v>0</v>
      </c>
      <c r="Z514" s="301">
        <v>0</v>
      </c>
      <c r="AA514" s="301">
        <v>0</v>
      </c>
      <c r="AB514" s="303">
        <v>2020</v>
      </c>
    </row>
    <row r="515" spans="1:28" ht="35.25" customHeight="1" x14ac:dyDescent="0.5">
      <c r="B515" s="300" t="s">
        <v>774</v>
      </c>
      <c r="C515" s="300"/>
      <c r="D515" s="296">
        <f t="shared" si="13"/>
        <v>967981.25</v>
      </c>
      <c r="E515" s="296">
        <f t="shared" ref="E515:AA515" si="16">SUM(E516)</f>
        <v>0</v>
      </c>
      <c r="F515" s="296">
        <f t="shared" si="16"/>
        <v>0</v>
      </c>
      <c r="G515" s="296">
        <f t="shared" si="16"/>
        <v>0</v>
      </c>
      <c r="H515" s="296">
        <f t="shared" si="16"/>
        <v>0</v>
      </c>
      <c r="I515" s="296">
        <f t="shared" si="16"/>
        <v>0</v>
      </c>
      <c r="J515" s="296">
        <f t="shared" si="16"/>
        <v>0</v>
      </c>
      <c r="K515" s="302">
        <f t="shared" si="16"/>
        <v>0</v>
      </c>
      <c r="L515" s="296">
        <f t="shared" si="16"/>
        <v>0</v>
      </c>
      <c r="M515" s="296">
        <f t="shared" si="16"/>
        <v>967981.25</v>
      </c>
      <c r="N515" s="296">
        <f t="shared" si="16"/>
        <v>0</v>
      </c>
      <c r="O515" s="296">
        <f t="shared" si="16"/>
        <v>0</v>
      </c>
      <c r="P515" s="296">
        <f t="shared" si="16"/>
        <v>0</v>
      </c>
      <c r="Q515" s="296">
        <f t="shared" si="16"/>
        <v>0</v>
      </c>
      <c r="R515" s="296">
        <f t="shared" si="16"/>
        <v>0</v>
      </c>
      <c r="S515" s="296">
        <f t="shared" si="16"/>
        <v>0</v>
      </c>
      <c r="T515" s="296">
        <f t="shared" si="16"/>
        <v>0</v>
      </c>
      <c r="U515" s="296">
        <f t="shared" si="16"/>
        <v>0</v>
      </c>
      <c r="V515" s="296">
        <f t="shared" si="16"/>
        <v>0</v>
      </c>
      <c r="W515" s="296">
        <f t="shared" si="16"/>
        <v>0</v>
      </c>
      <c r="X515" s="296">
        <f t="shared" si="16"/>
        <v>0</v>
      </c>
      <c r="Y515" s="296">
        <f t="shared" si="16"/>
        <v>0</v>
      </c>
      <c r="Z515" s="296">
        <f t="shared" si="16"/>
        <v>0</v>
      </c>
      <c r="AA515" s="296">
        <f t="shared" si="16"/>
        <v>0</v>
      </c>
      <c r="AB515" s="298" t="s">
        <v>835</v>
      </c>
    </row>
    <row r="516" spans="1:28" ht="35.25" customHeight="1" x14ac:dyDescent="0.5">
      <c r="A516">
        <v>1</v>
      </c>
      <c r="B516" s="80">
        <f>SUBTOTAL(103,$A$9:A516)</f>
        <v>501</v>
      </c>
      <c r="C516" s="300" t="s">
        <v>1719</v>
      </c>
      <c r="D516" s="296">
        <f t="shared" si="13"/>
        <v>967981.25</v>
      </c>
      <c r="E516" s="301">
        <v>0</v>
      </c>
      <c r="F516" s="301">
        <v>0</v>
      </c>
      <c r="G516" s="301">
        <v>0</v>
      </c>
      <c r="H516" s="301">
        <v>0</v>
      </c>
      <c r="I516" s="301">
        <v>0</v>
      </c>
      <c r="J516" s="301">
        <v>0</v>
      </c>
      <c r="K516" s="302">
        <v>0</v>
      </c>
      <c r="L516" s="301">
        <v>0</v>
      </c>
      <c r="M516" s="301">
        <v>967981.25</v>
      </c>
      <c r="N516" s="301">
        <v>0</v>
      </c>
      <c r="O516" s="301">
        <v>0</v>
      </c>
      <c r="P516" s="301">
        <v>0</v>
      </c>
      <c r="Q516" s="301">
        <v>0</v>
      </c>
      <c r="R516" s="301">
        <v>0</v>
      </c>
      <c r="S516" s="301">
        <v>0</v>
      </c>
      <c r="T516" s="301">
        <v>0</v>
      </c>
      <c r="U516" s="301">
        <v>0</v>
      </c>
      <c r="V516" s="301">
        <v>0</v>
      </c>
      <c r="W516" s="301">
        <v>0</v>
      </c>
      <c r="X516" s="301">
        <v>0</v>
      </c>
      <c r="Y516" s="301">
        <v>0</v>
      </c>
      <c r="Z516" s="301">
        <v>0</v>
      </c>
      <c r="AA516" s="301">
        <v>0</v>
      </c>
      <c r="AB516" s="303">
        <v>2020</v>
      </c>
    </row>
    <row r="517" spans="1:28" ht="35.25" customHeight="1" x14ac:dyDescent="0.5">
      <c r="B517" s="300" t="s">
        <v>783</v>
      </c>
      <c r="C517" s="300"/>
      <c r="D517" s="296">
        <f t="shared" si="13"/>
        <v>79828831.959999993</v>
      </c>
      <c r="E517" s="296">
        <f t="shared" ref="E517:AA517" si="17">SUM(E518:E586)</f>
        <v>417838.4</v>
      </c>
      <c r="F517" s="296">
        <f t="shared" si="17"/>
        <v>4718088.57</v>
      </c>
      <c r="G517" s="296">
        <f t="shared" si="17"/>
        <v>4001359.09</v>
      </c>
      <c r="H517" s="296">
        <f t="shared" si="17"/>
        <v>499518.68999999994</v>
      </c>
      <c r="I517" s="296">
        <f t="shared" si="17"/>
        <v>1601332.81</v>
      </c>
      <c r="J517" s="296">
        <f t="shared" si="17"/>
        <v>88420.66</v>
      </c>
      <c r="K517" s="297">
        <f t="shared" si="17"/>
        <v>10</v>
      </c>
      <c r="L517" s="296">
        <f t="shared" si="17"/>
        <v>18571829</v>
      </c>
      <c r="M517" s="296">
        <f t="shared" si="17"/>
        <v>20798972.560000002</v>
      </c>
      <c r="N517" s="296">
        <f t="shared" si="17"/>
        <v>577598.57000000007</v>
      </c>
      <c r="O517" s="296">
        <f t="shared" si="17"/>
        <v>28268011.229999997</v>
      </c>
      <c r="P517" s="296">
        <f t="shared" si="17"/>
        <v>285862.38</v>
      </c>
      <c r="Q517" s="296">
        <f t="shared" si="17"/>
        <v>0</v>
      </c>
      <c r="R517" s="296">
        <f t="shared" si="17"/>
        <v>0</v>
      </c>
      <c r="S517" s="296">
        <f t="shared" si="17"/>
        <v>0</v>
      </c>
      <c r="T517" s="296">
        <f t="shared" si="17"/>
        <v>0</v>
      </c>
      <c r="U517" s="296">
        <f t="shared" si="17"/>
        <v>0</v>
      </c>
      <c r="V517" s="296">
        <f t="shared" si="17"/>
        <v>0</v>
      </c>
      <c r="W517" s="296">
        <f t="shared" si="17"/>
        <v>0</v>
      </c>
      <c r="X517" s="296">
        <f t="shared" si="17"/>
        <v>0</v>
      </c>
      <c r="Y517" s="296">
        <f t="shared" si="17"/>
        <v>0</v>
      </c>
      <c r="Z517" s="296">
        <f t="shared" si="17"/>
        <v>0</v>
      </c>
      <c r="AA517" s="296">
        <f t="shared" si="17"/>
        <v>0</v>
      </c>
      <c r="AB517" s="298" t="s">
        <v>835</v>
      </c>
    </row>
    <row r="518" spans="1:28" ht="35.25" customHeight="1" x14ac:dyDescent="0.5">
      <c r="A518">
        <v>1</v>
      </c>
      <c r="B518" s="80">
        <f>SUBTOTAL(103,$A$9:A518)</f>
        <v>502</v>
      </c>
      <c r="C518" s="300" t="s">
        <v>1720</v>
      </c>
      <c r="D518" s="296">
        <f t="shared" si="13"/>
        <v>263000</v>
      </c>
      <c r="E518" s="301">
        <v>0</v>
      </c>
      <c r="F518" s="301">
        <v>0</v>
      </c>
      <c r="G518" s="301">
        <v>0</v>
      </c>
      <c r="H518" s="301">
        <v>0</v>
      </c>
      <c r="I518" s="301">
        <v>0</v>
      </c>
      <c r="J518" s="301">
        <v>0</v>
      </c>
      <c r="K518" s="302">
        <v>0</v>
      </c>
      <c r="L518" s="301">
        <v>0</v>
      </c>
      <c r="M518" s="301">
        <v>0</v>
      </c>
      <c r="N518" s="301">
        <v>0</v>
      </c>
      <c r="O518" s="301">
        <v>263000</v>
      </c>
      <c r="P518" s="301">
        <v>0</v>
      </c>
      <c r="Q518" s="301">
        <v>0</v>
      </c>
      <c r="R518" s="301">
        <v>0</v>
      </c>
      <c r="S518" s="301">
        <v>0</v>
      </c>
      <c r="T518" s="301">
        <v>0</v>
      </c>
      <c r="U518" s="301">
        <v>0</v>
      </c>
      <c r="V518" s="301">
        <v>0</v>
      </c>
      <c r="W518" s="301">
        <v>0</v>
      </c>
      <c r="X518" s="301">
        <v>0</v>
      </c>
      <c r="Y518" s="301">
        <v>0</v>
      </c>
      <c r="Z518" s="301">
        <v>0</v>
      </c>
      <c r="AA518" s="301">
        <v>0</v>
      </c>
      <c r="AB518" s="303">
        <v>2020</v>
      </c>
    </row>
    <row r="519" spans="1:28" ht="35.25" customHeight="1" x14ac:dyDescent="0.5">
      <c r="A519">
        <v>1</v>
      </c>
      <c r="B519" s="80">
        <f>SUBTOTAL(103,$A$9:A519)</f>
        <v>503</v>
      </c>
      <c r="C519" s="300" t="s">
        <v>1722</v>
      </c>
      <c r="D519" s="296">
        <f t="shared" si="13"/>
        <v>1538017.81</v>
      </c>
      <c r="E519" s="301">
        <v>0</v>
      </c>
      <c r="F519" s="301">
        <v>0</v>
      </c>
      <c r="G519" s="301">
        <v>0</v>
      </c>
      <c r="H519" s="301">
        <v>0</v>
      </c>
      <c r="I519" s="301">
        <f>1200009.16+338008.65</f>
        <v>1538017.81</v>
      </c>
      <c r="J519" s="301">
        <v>0</v>
      </c>
      <c r="K519" s="302">
        <v>0</v>
      </c>
      <c r="L519" s="301">
        <v>0</v>
      </c>
      <c r="M519" s="301">
        <v>0</v>
      </c>
      <c r="N519" s="301">
        <v>0</v>
      </c>
      <c r="O519" s="301">
        <v>0</v>
      </c>
      <c r="P519" s="301">
        <v>0</v>
      </c>
      <c r="Q519" s="301">
        <v>0</v>
      </c>
      <c r="R519" s="301">
        <v>0</v>
      </c>
      <c r="S519" s="301">
        <v>0</v>
      </c>
      <c r="T519" s="301">
        <v>0</v>
      </c>
      <c r="U519" s="301">
        <v>0</v>
      </c>
      <c r="V519" s="301">
        <v>0</v>
      </c>
      <c r="W519" s="301">
        <v>0</v>
      </c>
      <c r="X519" s="301">
        <v>0</v>
      </c>
      <c r="Y519" s="301">
        <v>0</v>
      </c>
      <c r="Z519" s="301">
        <v>0</v>
      </c>
      <c r="AA519" s="301">
        <v>0</v>
      </c>
      <c r="AB519" s="303">
        <v>2020</v>
      </c>
    </row>
    <row r="520" spans="1:28" ht="35.25" customHeight="1" x14ac:dyDescent="0.5">
      <c r="A520">
        <v>1</v>
      </c>
      <c r="B520" s="80">
        <f>SUBTOTAL(103,$A$9:A520)</f>
        <v>504</v>
      </c>
      <c r="C520" s="300" t="s">
        <v>2409</v>
      </c>
      <c r="D520" s="296">
        <f t="shared" si="13"/>
        <v>132446</v>
      </c>
      <c r="E520" s="301">
        <v>0</v>
      </c>
      <c r="F520" s="301">
        <v>0</v>
      </c>
      <c r="G520" s="301">
        <v>0</v>
      </c>
      <c r="H520" s="301">
        <v>0</v>
      </c>
      <c r="I520" s="301">
        <v>0</v>
      </c>
      <c r="J520" s="301">
        <v>0</v>
      </c>
      <c r="K520" s="302">
        <v>0</v>
      </c>
      <c r="L520" s="301">
        <v>0</v>
      </c>
      <c r="M520" s="301">
        <v>0</v>
      </c>
      <c r="N520" s="301">
        <v>0</v>
      </c>
      <c r="O520" s="301">
        <v>132446</v>
      </c>
      <c r="P520" s="301">
        <v>0</v>
      </c>
      <c r="Q520" s="301">
        <v>0</v>
      </c>
      <c r="R520" s="301">
        <v>0</v>
      </c>
      <c r="S520" s="301">
        <v>0</v>
      </c>
      <c r="T520" s="301">
        <v>0</v>
      </c>
      <c r="U520" s="301">
        <v>0</v>
      </c>
      <c r="V520" s="301">
        <v>0</v>
      </c>
      <c r="W520" s="301">
        <v>0</v>
      </c>
      <c r="X520" s="301">
        <v>0</v>
      </c>
      <c r="Y520" s="301">
        <v>0</v>
      </c>
      <c r="Z520" s="301">
        <v>0</v>
      </c>
      <c r="AA520" s="301">
        <v>0</v>
      </c>
      <c r="AB520" s="303">
        <v>2020</v>
      </c>
    </row>
    <row r="521" spans="1:28" ht="35.25" customHeight="1" x14ac:dyDescent="0.5">
      <c r="A521">
        <v>1</v>
      </c>
      <c r="B521" s="80">
        <f>SUBTOTAL(103,$A$9:A521)</f>
        <v>505</v>
      </c>
      <c r="C521" s="300" t="s">
        <v>1723</v>
      </c>
      <c r="D521" s="296">
        <f t="shared" ref="D521:D584" si="18">E521+F521+G521+H521+I521+J521+L521+M521+N521+O521+P521+Q521+R521+S521+T521+U521+V521+W521+X521+Y521+Z521+AA521</f>
        <v>1103428.53</v>
      </c>
      <c r="E521" s="301">
        <v>0</v>
      </c>
      <c r="F521" s="301">
        <v>0</v>
      </c>
      <c r="G521" s="301">
        <v>0</v>
      </c>
      <c r="H521" s="301">
        <v>0</v>
      </c>
      <c r="I521" s="301">
        <v>0</v>
      </c>
      <c r="J521" s="301">
        <v>0</v>
      </c>
      <c r="K521" s="302">
        <v>0</v>
      </c>
      <c r="L521" s="301">
        <v>0</v>
      </c>
      <c r="M521" s="301">
        <v>1103428.53</v>
      </c>
      <c r="N521" s="301">
        <v>0</v>
      </c>
      <c r="O521" s="301">
        <v>0</v>
      </c>
      <c r="P521" s="301">
        <v>0</v>
      </c>
      <c r="Q521" s="301">
        <v>0</v>
      </c>
      <c r="R521" s="301">
        <v>0</v>
      </c>
      <c r="S521" s="301">
        <v>0</v>
      </c>
      <c r="T521" s="301">
        <v>0</v>
      </c>
      <c r="U521" s="301">
        <v>0</v>
      </c>
      <c r="V521" s="301">
        <v>0</v>
      </c>
      <c r="W521" s="301">
        <v>0</v>
      </c>
      <c r="X521" s="301">
        <v>0</v>
      </c>
      <c r="Y521" s="301">
        <v>0</v>
      </c>
      <c r="Z521" s="301">
        <v>0</v>
      </c>
      <c r="AA521" s="301">
        <v>0</v>
      </c>
      <c r="AB521" s="303">
        <v>2020</v>
      </c>
    </row>
    <row r="522" spans="1:28" ht="35.25" customHeight="1" x14ac:dyDescent="0.5">
      <c r="A522">
        <v>1</v>
      </c>
      <c r="B522" s="80">
        <f>SUBTOTAL(103,$A$9:A522)</f>
        <v>506</v>
      </c>
      <c r="C522" s="300" t="s">
        <v>1724</v>
      </c>
      <c r="D522" s="296">
        <f t="shared" si="18"/>
        <v>558176.29</v>
      </c>
      <c r="E522" s="301">
        <v>0</v>
      </c>
      <c r="F522" s="301">
        <v>287727.55</v>
      </c>
      <c r="G522" s="301">
        <v>0</v>
      </c>
      <c r="H522" s="301">
        <v>0</v>
      </c>
      <c r="I522" s="301">
        <v>0</v>
      </c>
      <c r="J522" s="301">
        <v>0</v>
      </c>
      <c r="K522" s="302">
        <v>0</v>
      </c>
      <c r="L522" s="301">
        <v>0</v>
      </c>
      <c r="M522" s="301">
        <v>0</v>
      </c>
      <c r="N522" s="301">
        <v>0</v>
      </c>
      <c r="O522" s="301">
        <v>270448.74</v>
      </c>
      <c r="P522" s="301">
        <v>0</v>
      </c>
      <c r="Q522" s="301">
        <v>0</v>
      </c>
      <c r="R522" s="301">
        <v>0</v>
      </c>
      <c r="S522" s="301">
        <v>0</v>
      </c>
      <c r="T522" s="301">
        <v>0</v>
      </c>
      <c r="U522" s="301">
        <v>0</v>
      </c>
      <c r="V522" s="301">
        <v>0</v>
      </c>
      <c r="W522" s="301">
        <v>0</v>
      </c>
      <c r="X522" s="301">
        <v>0</v>
      </c>
      <c r="Y522" s="301">
        <v>0</v>
      </c>
      <c r="Z522" s="301">
        <v>0</v>
      </c>
      <c r="AA522" s="301">
        <v>0</v>
      </c>
      <c r="AB522" s="303">
        <v>2020</v>
      </c>
    </row>
    <row r="523" spans="1:28" ht="35.25" customHeight="1" x14ac:dyDescent="0.5">
      <c r="A523">
        <v>1</v>
      </c>
      <c r="B523" s="80">
        <f>SUBTOTAL(103,$A$9:A523)</f>
        <v>507</v>
      </c>
      <c r="C523" s="300" t="s">
        <v>1725</v>
      </c>
      <c r="D523" s="296">
        <f t="shared" si="18"/>
        <v>663461.02</v>
      </c>
      <c r="E523" s="301">
        <v>0</v>
      </c>
      <c r="F523" s="301">
        <v>0</v>
      </c>
      <c r="G523" s="301">
        <v>0</v>
      </c>
      <c r="H523" s="301">
        <v>0</v>
      </c>
      <c r="I523" s="301">
        <v>0</v>
      </c>
      <c r="J523" s="301">
        <v>0</v>
      </c>
      <c r="K523" s="302">
        <v>0</v>
      </c>
      <c r="L523" s="301">
        <v>0</v>
      </c>
      <c r="M523" s="301">
        <v>0</v>
      </c>
      <c r="N523" s="301">
        <v>0</v>
      </c>
      <c r="O523" s="301">
        <f>375408+288053.02</f>
        <v>663461.02</v>
      </c>
      <c r="P523" s="301">
        <v>0</v>
      </c>
      <c r="Q523" s="301">
        <v>0</v>
      </c>
      <c r="R523" s="301">
        <v>0</v>
      </c>
      <c r="S523" s="301">
        <v>0</v>
      </c>
      <c r="T523" s="301">
        <v>0</v>
      </c>
      <c r="U523" s="301">
        <v>0</v>
      </c>
      <c r="V523" s="301">
        <v>0</v>
      </c>
      <c r="W523" s="301">
        <v>0</v>
      </c>
      <c r="X523" s="301">
        <v>0</v>
      </c>
      <c r="Y523" s="301">
        <v>0</v>
      </c>
      <c r="Z523" s="301">
        <v>0</v>
      </c>
      <c r="AA523" s="301">
        <v>0</v>
      </c>
      <c r="AB523" s="303">
        <v>2020</v>
      </c>
    </row>
    <row r="524" spans="1:28" ht="35.25" customHeight="1" x14ac:dyDescent="0.5">
      <c r="A524">
        <v>1</v>
      </c>
      <c r="B524" s="80">
        <f>SUBTOTAL(103,$A$9:A524)</f>
        <v>508</v>
      </c>
      <c r="C524" s="300" t="s">
        <v>1613</v>
      </c>
      <c r="D524" s="296">
        <f t="shared" si="18"/>
        <v>173538</v>
      </c>
      <c r="E524" s="301">
        <v>0</v>
      </c>
      <c r="F524" s="301">
        <v>0</v>
      </c>
      <c r="G524" s="301">
        <v>173538</v>
      </c>
      <c r="H524" s="301">
        <v>0</v>
      </c>
      <c r="I524" s="301">
        <v>0</v>
      </c>
      <c r="J524" s="301">
        <v>0</v>
      </c>
      <c r="K524" s="302">
        <v>0</v>
      </c>
      <c r="L524" s="301">
        <v>0</v>
      </c>
      <c r="M524" s="301">
        <v>0</v>
      </c>
      <c r="N524" s="301">
        <v>0</v>
      </c>
      <c r="O524" s="301">
        <v>0</v>
      </c>
      <c r="P524" s="301">
        <v>0</v>
      </c>
      <c r="Q524" s="301">
        <v>0</v>
      </c>
      <c r="R524" s="301">
        <v>0</v>
      </c>
      <c r="S524" s="301">
        <v>0</v>
      </c>
      <c r="T524" s="301">
        <v>0</v>
      </c>
      <c r="U524" s="301">
        <v>0</v>
      </c>
      <c r="V524" s="301">
        <v>0</v>
      </c>
      <c r="W524" s="301">
        <v>0</v>
      </c>
      <c r="X524" s="301">
        <v>0</v>
      </c>
      <c r="Y524" s="301">
        <v>0</v>
      </c>
      <c r="Z524" s="301">
        <v>0</v>
      </c>
      <c r="AA524" s="301">
        <v>0</v>
      </c>
      <c r="AB524" s="303">
        <v>2020</v>
      </c>
    </row>
    <row r="525" spans="1:28" ht="35.25" customHeight="1" x14ac:dyDescent="0.5">
      <c r="A525">
        <v>1</v>
      </c>
      <c r="B525" s="80">
        <f>SUBTOTAL(103,$A$9:A525)</f>
        <v>509</v>
      </c>
      <c r="C525" s="300" t="s">
        <v>1726</v>
      </c>
      <c r="D525" s="296">
        <f t="shared" si="18"/>
        <v>2021829</v>
      </c>
      <c r="E525" s="301">
        <v>0</v>
      </c>
      <c r="F525" s="301">
        <v>0</v>
      </c>
      <c r="G525" s="301">
        <v>0</v>
      </c>
      <c r="H525" s="301">
        <v>0</v>
      </c>
      <c r="I525" s="301">
        <v>0</v>
      </c>
      <c r="J525" s="301">
        <v>0</v>
      </c>
      <c r="K525" s="302">
        <v>1</v>
      </c>
      <c r="L525" s="301">
        <v>2021829</v>
      </c>
      <c r="M525" s="301">
        <v>0</v>
      </c>
      <c r="N525" s="301">
        <v>0</v>
      </c>
      <c r="O525" s="301">
        <v>0</v>
      </c>
      <c r="P525" s="301">
        <v>0</v>
      </c>
      <c r="Q525" s="301">
        <v>0</v>
      </c>
      <c r="R525" s="301">
        <v>0</v>
      </c>
      <c r="S525" s="301">
        <v>0</v>
      </c>
      <c r="T525" s="301">
        <v>0</v>
      </c>
      <c r="U525" s="301">
        <v>0</v>
      </c>
      <c r="V525" s="301">
        <v>0</v>
      </c>
      <c r="W525" s="301">
        <v>0</v>
      </c>
      <c r="X525" s="301">
        <v>0</v>
      </c>
      <c r="Y525" s="301">
        <v>0</v>
      </c>
      <c r="Z525" s="301">
        <v>0</v>
      </c>
      <c r="AA525" s="301">
        <v>0</v>
      </c>
      <c r="AB525" s="303">
        <v>2020</v>
      </c>
    </row>
    <row r="526" spans="1:28" ht="35.25" customHeight="1" x14ac:dyDescent="0.5">
      <c r="A526">
        <v>1</v>
      </c>
      <c r="B526" s="80">
        <f>SUBTOTAL(103,$A$9:A526)</f>
        <v>510</v>
      </c>
      <c r="C526" s="300" t="s">
        <v>1727</v>
      </c>
      <c r="D526" s="296">
        <f t="shared" si="18"/>
        <v>1870000</v>
      </c>
      <c r="E526" s="301">
        <v>0</v>
      </c>
      <c r="F526" s="301">
        <v>0</v>
      </c>
      <c r="G526" s="301">
        <v>0</v>
      </c>
      <c r="H526" s="301">
        <v>0</v>
      </c>
      <c r="I526" s="301">
        <v>0</v>
      </c>
      <c r="J526" s="301">
        <v>0</v>
      </c>
      <c r="K526" s="302">
        <v>1</v>
      </c>
      <c r="L526" s="301">
        <v>1870000</v>
      </c>
      <c r="M526" s="301">
        <v>0</v>
      </c>
      <c r="N526" s="301">
        <v>0</v>
      </c>
      <c r="O526" s="301">
        <v>0</v>
      </c>
      <c r="P526" s="301">
        <v>0</v>
      </c>
      <c r="Q526" s="301">
        <v>0</v>
      </c>
      <c r="R526" s="301">
        <v>0</v>
      </c>
      <c r="S526" s="301">
        <v>0</v>
      </c>
      <c r="T526" s="301">
        <v>0</v>
      </c>
      <c r="U526" s="301">
        <v>0</v>
      </c>
      <c r="V526" s="301">
        <v>0</v>
      </c>
      <c r="W526" s="301">
        <v>0</v>
      </c>
      <c r="X526" s="301">
        <v>0</v>
      </c>
      <c r="Y526" s="301">
        <v>0</v>
      </c>
      <c r="Z526" s="301">
        <v>0</v>
      </c>
      <c r="AA526" s="301">
        <v>0</v>
      </c>
      <c r="AB526" s="303">
        <v>2020</v>
      </c>
    </row>
    <row r="527" spans="1:28" ht="35.25" customHeight="1" x14ac:dyDescent="0.5">
      <c r="A527">
        <v>1</v>
      </c>
      <c r="B527" s="80">
        <f>SUBTOTAL(103,$A$9:A527)</f>
        <v>511</v>
      </c>
      <c r="C527" s="300" t="s">
        <v>1728</v>
      </c>
      <c r="D527" s="296">
        <f t="shared" si="18"/>
        <v>1850000</v>
      </c>
      <c r="E527" s="301">
        <v>0</v>
      </c>
      <c r="F527" s="301">
        <v>0</v>
      </c>
      <c r="G527" s="301">
        <v>0</v>
      </c>
      <c r="H527" s="301">
        <v>0</v>
      </c>
      <c r="I527" s="301">
        <v>0</v>
      </c>
      <c r="J527" s="301">
        <v>0</v>
      </c>
      <c r="K527" s="302">
        <v>1</v>
      </c>
      <c r="L527" s="301">
        <v>1850000</v>
      </c>
      <c r="M527" s="301">
        <v>0</v>
      </c>
      <c r="N527" s="301">
        <v>0</v>
      </c>
      <c r="O527" s="301">
        <v>0</v>
      </c>
      <c r="P527" s="301">
        <v>0</v>
      </c>
      <c r="Q527" s="301">
        <v>0</v>
      </c>
      <c r="R527" s="301">
        <v>0</v>
      </c>
      <c r="S527" s="301">
        <v>0</v>
      </c>
      <c r="T527" s="301">
        <v>0</v>
      </c>
      <c r="U527" s="301">
        <v>0</v>
      </c>
      <c r="V527" s="301">
        <v>0</v>
      </c>
      <c r="W527" s="301">
        <v>0</v>
      </c>
      <c r="X527" s="301">
        <v>0</v>
      </c>
      <c r="Y527" s="301">
        <v>0</v>
      </c>
      <c r="Z527" s="301">
        <v>0</v>
      </c>
      <c r="AA527" s="301">
        <v>0</v>
      </c>
      <c r="AB527" s="303">
        <v>2020</v>
      </c>
    </row>
    <row r="528" spans="1:28" ht="35.25" customHeight="1" x14ac:dyDescent="0.5">
      <c r="A528">
        <v>1</v>
      </c>
      <c r="B528" s="80">
        <f>SUBTOTAL(103,$A$9:A528)</f>
        <v>512</v>
      </c>
      <c r="C528" s="300" t="s">
        <v>1729</v>
      </c>
      <c r="D528" s="296">
        <f t="shared" si="18"/>
        <v>1870000</v>
      </c>
      <c r="E528" s="301">
        <v>0</v>
      </c>
      <c r="F528" s="301">
        <v>0</v>
      </c>
      <c r="G528" s="301">
        <v>0</v>
      </c>
      <c r="H528" s="301">
        <v>0</v>
      </c>
      <c r="I528" s="301">
        <v>0</v>
      </c>
      <c r="J528" s="301">
        <v>0</v>
      </c>
      <c r="K528" s="302">
        <v>1</v>
      </c>
      <c r="L528" s="301">
        <v>1870000</v>
      </c>
      <c r="M528" s="301">
        <v>0</v>
      </c>
      <c r="N528" s="301">
        <v>0</v>
      </c>
      <c r="O528" s="301">
        <v>0</v>
      </c>
      <c r="P528" s="301">
        <v>0</v>
      </c>
      <c r="Q528" s="301">
        <v>0</v>
      </c>
      <c r="R528" s="301">
        <v>0</v>
      </c>
      <c r="S528" s="301">
        <v>0</v>
      </c>
      <c r="T528" s="301">
        <v>0</v>
      </c>
      <c r="U528" s="301">
        <v>0</v>
      </c>
      <c r="V528" s="301">
        <v>0</v>
      </c>
      <c r="W528" s="301">
        <v>0</v>
      </c>
      <c r="X528" s="301">
        <v>0</v>
      </c>
      <c r="Y528" s="301">
        <v>0</v>
      </c>
      <c r="Z528" s="301">
        <v>0</v>
      </c>
      <c r="AA528" s="301">
        <v>0</v>
      </c>
      <c r="AB528" s="303">
        <v>2020</v>
      </c>
    </row>
    <row r="529" spans="1:28" ht="35.25" customHeight="1" x14ac:dyDescent="0.5">
      <c r="A529">
        <v>1</v>
      </c>
      <c r="B529" s="80">
        <f>SUBTOTAL(103,$A$9:A529)</f>
        <v>513</v>
      </c>
      <c r="C529" s="300" t="s">
        <v>1730</v>
      </c>
      <c r="D529" s="296">
        <f t="shared" si="18"/>
        <v>1870000</v>
      </c>
      <c r="E529" s="301">
        <v>0</v>
      </c>
      <c r="F529" s="301">
        <v>0</v>
      </c>
      <c r="G529" s="301">
        <v>0</v>
      </c>
      <c r="H529" s="301">
        <v>0</v>
      </c>
      <c r="I529" s="301">
        <v>0</v>
      </c>
      <c r="J529" s="301">
        <v>0</v>
      </c>
      <c r="K529" s="302">
        <v>1</v>
      </c>
      <c r="L529" s="301">
        <v>1870000</v>
      </c>
      <c r="M529" s="301">
        <v>0</v>
      </c>
      <c r="N529" s="301">
        <v>0</v>
      </c>
      <c r="O529" s="301">
        <v>0</v>
      </c>
      <c r="P529" s="301">
        <v>0</v>
      </c>
      <c r="Q529" s="301">
        <v>0</v>
      </c>
      <c r="R529" s="301">
        <v>0</v>
      </c>
      <c r="S529" s="301">
        <v>0</v>
      </c>
      <c r="T529" s="301">
        <v>0</v>
      </c>
      <c r="U529" s="301">
        <v>0</v>
      </c>
      <c r="V529" s="301">
        <v>0</v>
      </c>
      <c r="W529" s="301">
        <v>0</v>
      </c>
      <c r="X529" s="301">
        <v>0</v>
      </c>
      <c r="Y529" s="301">
        <v>0</v>
      </c>
      <c r="Z529" s="301">
        <v>0</v>
      </c>
      <c r="AA529" s="301">
        <v>0</v>
      </c>
      <c r="AB529" s="303">
        <v>2020</v>
      </c>
    </row>
    <row r="530" spans="1:28" ht="35.25" customHeight="1" x14ac:dyDescent="0.5">
      <c r="A530">
        <v>1</v>
      </c>
      <c r="B530" s="80">
        <f>SUBTOTAL(103,$A$9:A530)</f>
        <v>514</v>
      </c>
      <c r="C530" s="300" t="s">
        <v>1731</v>
      </c>
      <c r="D530" s="296">
        <f t="shared" si="18"/>
        <v>5250000</v>
      </c>
      <c r="E530" s="301">
        <v>0</v>
      </c>
      <c r="F530" s="301">
        <v>0</v>
      </c>
      <c r="G530" s="301">
        <v>0</v>
      </c>
      <c r="H530" s="301">
        <v>0</v>
      </c>
      <c r="I530" s="301">
        <v>0</v>
      </c>
      <c r="J530" s="301">
        <v>0</v>
      </c>
      <c r="K530" s="302">
        <v>3</v>
      </c>
      <c r="L530" s="301">
        <v>5250000</v>
      </c>
      <c r="M530" s="301">
        <v>0</v>
      </c>
      <c r="N530" s="301">
        <v>0</v>
      </c>
      <c r="O530" s="301">
        <v>0</v>
      </c>
      <c r="P530" s="301">
        <v>0</v>
      </c>
      <c r="Q530" s="301">
        <v>0</v>
      </c>
      <c r="R530" s="301">
        <v>0</v>
      </c>
      <c r="S530" s="301">
        <v>0</v>
      </c>
      <c r="T530" s="301">
        <v>0</v>
      </c>
      <c r="U530" s="301">
        <v>0</v>
      </c>
      <c r="V530" s="301">
        <v>0</v>
      </c>
      <c r="W530" s="301">
        <v>0</v>
      </c>
      <c r="X530" s="301">
        <v>0</v>
      </c>
      <c r="Y530" s="301">
        <v>0</v>
      </c>
      <c r="Z530" s="301">
        <v>0</v>
      </c>
      <c r="AA530" s="301">
        <v>0</v>
      </c>
      <c r="AB530" s="303">
        <v>2020</v>
      </c>
    </row>
    <row r="531" spans="1:28" ht="35.25" customHeight="1" x14ac:dyDescent="0.5">
      <c r="A531">
        <v>1</v>
      </c>
      <c r="B531" s="80">
        <f>SUBTOTAL(103,$A$9:A531)</f>
        <v>515</v>
      </c>
      <c r="C531" s="300" t="s">
        <v>1732</v>
      </c>
      <c r="D531" s="296">
        <f t="shared" si="18"/>
        <v>3840000</v>
      </c>
      <c r="E531" s="301">
        <v>0</v>
      </c>
      <c r="F531" s="301">
        <v>0</v>
      </c>
      <c r="G531" s="301">
        <v>0</v>
      </c>
      <c r="H531" s="301">
        <v>0</v>
      </c>
      <c r="I531" s="301">
        <v>0</v>
      </c>
      <c r="J531" s="301">
        <v>0</v>
      </c>
      <c r="K531" s="302">
        <v>2</v>
      </c>
      <c r="L531" s="301">
        <v>3840000</v>
      </c>
      <c r="M531" s="301">
        <v>0</v>
      </c>
      <c r="N531" s="301">
        <v>0</v>
      </c>
      <c r="O531" s="301">
        <v>0</v>
      </c>
      <c r="P531" s="301">
        <v>0</v>
      </c>
      <c r="Q531" s="301">
        <v>0</v>
      </c>
      <c r="R531" s="301">
        <v>0</v>
      </c>
      <c r="S531" s="301">
        <v>0</v>
      </c>
      <c r="T531" s="301">
        <v>0</v>
      </c>
      <c r="U531" s="301">
        <v>0</v>
      </c>
      <c r="V531" s="301">
        <v>0</v>
      </c>
      <c r="W531" s="301">
        <v>0</v>
      </c>
      <c r="X531" s="301">
        <v>0</v>
      </c>
      <c r="Y531" s="301">
        <v>0</v>
      </c>
      <c r="Z531" s="301">
        <v>0</v>
      </c>
      <c r="AA531" s="301">
        <v>0</v>
      </c>
      <c r="AB531" s="303">
        <v>2020</v>
      </c>
    </row>
    <row r="532" spans="1:28" ht="35.25" customHeight="1" x14ac:dyDescent="0.5">
      <c r="A532">
        <v>1</v>
      </c>
      <c r="B532" s="80">
        <f>SUBTOTAL(103,$A$9:A532)</f>
        <v>516</v>
      </c>
      <c r="C532" s="300" t="s">
        <v>2026</v>
      </c>
      <c r="D532" s="296">
        <f t="shared" si="18"/>
        <v>323223.66000000003</v>
      </c>
      <c r="E532" s="301">
        <v>0</v>
      </c>
      <c r="F532" s="301">
        <v>234803</v>
      </c>
      <c r="G532" s="301">
        <v>0</v>
      </c>
      <c r="H532" s="301">
        <v>0</v>
      </c>
      <c r="I532" s="301">
        <v>0</v>
      </c>
      <c r="J532" s="301">
        <v>88420.66</v>
      </c>
      <c r="K532" s="302">
        <v>0</v>
      </c>
      <c r="L532" s="301">
        <v>0</v>
      </c>
      <c r="M532" s="301">
        <v>0</v>
      </c>
      <c r="N532" s="301">
        <v>0</v>
      </c>
      <c r="O532" s="301">
        <v>0</v>
      </c>
      <c r="P532" s="301">
        <v>0</v>
      </c>
      <c r="Q532" s="301">
        <v>0</v>
      </c>
      <c r="R532" s="301">
        <v>0</v>
      </c>
      <c r="S532" s="301">
        <v>0</v>
      </c>
      <c r="T532" s="301">
        <v>0</v>
      </c>
      <c r="U532" s="301">
        <v>0</v>
      </c>
      <c r="V532" s="301">
        <v>0</v>
      </c>
      <c r="W532" s="301">
        <v>0</v>
      </c>
      <c r="X532" s="301">
        <v>0</v>
      </c>
      <c r="Y532" s="301">
        <v>0</v>
      </c>
      <c r="Z532" s="301">
        <v>0</v>
      </c>
      <c r="AA532" s="301">
        <v>0</v>
      </c>
      <c r="AB532" s="303">
        <v>2020</v>
      </c>
    </row>
    <row r="533" spans="1:28" ht="35.25" customHeight="1" x14ac:dyDescent="0.5">
      <c r="A533">
        <v>1</v>
      </c>
      <c r="B533" s="80">
        <f>SUBTOTAL(103,$A$9:A533)</f>
        <v>517</v>
      </c>
      <c r="C533" s="300" t="s">
        <v>1721</v>
      </c>
      <c r="D533" s="296">
        <f t="shared" si="18"/>
        <v>228600</v>
      </c>
      <c r="E533" s="301">
        <v>0</v>
      </c>
      <c r="F533" s="301">
        <v>0</v>
      </c>
      <c r="G533" s="301">
        <v>0</v>
      </c>
      <c r="H533" s="301">
        <v>0</v>
      </c>
      <c r="I533" s="301">
        <v>0</v>
      </c>
      <c r="J533" s="301">
        <v>0</v>
      </c>
      <c r="K533" s="302">
        <v>0</v>
      </c>
      <c r="L533" s="301">
        <v>0</v>
      </c>
      <c r="M533" s="301">
        <v>0</v>
      </c>
      <c r="N533" s="301">
        <v>0</v>
      </c>
      <c r="O533" s="301">
        <v>228600</v>
      </c>
      <c r="P533" s="301">
        <v>0</v>
      </c>
      <c r="Q533" s="301">
        <v>0</v>
      </c>
      <c r="R533" s="301">
        <v>0</v>
      </c>
      <c r="S533" s="301">
        <v>0</v>
      </c>
      <c r="T533" s="301">
        <v>0</v>
      </c>
      <c r="U533" s="301">
        <v>0</v>
      </c>
      <c r="V533" s="301">
        <v>0</v>
      </c>
      <c r="W533" s="301">
        <v>0</v>
      </c>
      <c r="X533" s="301">
        <v>0</v>
      </c>
      <c r="Y533" s="301">
        <v>0</v>
      </c>
      <c r="Z533" s="301">
        <v>0</v>
      </c>
      <c r="AA533" s="301">
        <v>0</v>
      </c>
      <c r="AB533" s="303">
        <v>2020</v>
      </c>
    </row>
    <row r="534" spans="1:28" ht="35.25" customHeight="1" x14ac:dyDescent="0.5">
      <c r="A534">
        <v>1</v>
      </c>
      <c r="B534" s="80">
        <f>SUBTOTAL(103,$A$9:A534)</f>
        <v>518</v>
      </c>
      <c r="C534" s="300" t="s">
        <v>2027</v>
      </c>
      <c r="D534" s="296">
        <f t="shared" si="18"/>
        <v>590355.86</v>
      </c>
      <c r="E534" s="301">
        <v>0</v>
      </c>
      <c r="F534" s="301">
        <v>0</v>
      </c>
      <c r="G534" s="301">
        <v>0</v>
      </c>
      <c r="H534" s="301">
        <v>0</v>
      </c>
      <c r="I534" s="301">
        <v>0</v>
      </c>
      <c r="J534" s="301">
        <v>0</v>
      </c>
      <c r="K534" s="302">
        <v>0</v>
      </c>
      <c r="L534" s="301">
        <v>0</v>
      </c>
      <c r="M534" s="301">
        <v>0</v>
      </c>
      <c r="N534" s="301">
        <v>0</v>
      </c>
      <c r="O534" s="301">
        <v>590355.86</v>
      </c>
      <c r="P534" s="301">
        <v>0</v>
      </c>
      <c r="Q534" s="301">
        <v>0</v>
      </c>
      <c r="R534" s="301">
        <v>0</v>
      </c>
      <c r="S534" s="301">
        <v>0</v>
      </c>
      <c r="T534" s="301">
        <v>0</v>
      </c>
      <c r="U534" s="301">
        <v>0</v>
      </c>
      <c r="V534" s="301">
        <v>0</v>
      </c>
      <c r="W534" s="301">
        <v>0</v>
      </c>
      <c r="X534" s="301">
        <v>0</v>
      </c>
      <c r="Y534" s="301">
        <v>0</v>
      </c>
      <c r="Z534" s="301">
        <v>0</v>
      </c>
      <c r="AA534" s="301">
        <v>0</v>
      </c>
      <c r="AB534" s="303">
        <v>2020</v>
      </c>
    </row>
    <row r="535" spans="1:28" ht="35.25" customHeight="1" x14ac:dyDescent="0.5">
      <c r="A535">
        <v>1</v>
      </c>
      <c r="B535" s="80">
        <f>SUBTOTAL(103,$A$9:A535)</f>
        <v>519</v>
      </c>
      <c r="C535" s="300" t="s">
        <v>2028</v>
      </c>
      <c r="D535" s="296">
        <f t="shared" si="18"/>
        <v>245204</v>
      </c>
      <c r="E535" s="301">
        <v>0</v>
      </c>
      <c r="F535" s="301">
        <v>0</v>
      </c>
      <c r="G535" s="301">
        <v>0</v>
      </c>
      <c r="H535" s="301">
        <v>0</v>
      </c>
      <c r="I535" s="301">
        <v>0</v>
      </c>
      <c r="J535" s="301">
        <v>0</v>
      </c>
      <c r="K535" s="302">
        <v>0</v>
      </c>
      <c r="L535" s="301">
        <v>0</v>
      </c>
      <c r="M535" s="301">
        <v>245204</v>
      </c>
      <c r="N535" s="301">
        <v>0</v>
      </c>
      <c r="O535" s="301">
        <v>0</v>
      </c>
      <c r="P535" s="301">
        <v>0</v>
      </c>
      <c r="Q535" s="301">
        <v>0</v>
      </c>
      <c r="R535" s="301">
        <v>0</v>
      </c>
      <c r="S535" s="301">
        <v>0</v>
      </c>
      <c r="T535" s="301">
        <v>0</v>
      </c>
      <c r="U535" s="301">
        <v>0</v>
      </c>
      <c r="V535" s="301">
        <v>0</v>
      </c>
      <c r="W535" s="301">
        <v>0</v>
      </c>
      <c r="X535" s="301">
        <v>0</v>
      </c>
      <c r="Y535" s="301">
        <v>0</v>
      </c>
      <c r="Z535" s="301">
        <v>0</v>
      </c>
      <c r="AA535" s="301">
        <v>0</v>
      </c>
      <c r="AB535" s="303">
        <v>2020</v>
      </c>
    </row>
    <row r="536" spans="1:28" ht="35.25" customHeight="1" x14ac:dyDescent="0.5">
      <c r="A536">
        <v>1</v>
      </c>
      <c r="B536" s="80">
        <f>SUBTOTAL(103,$A$9:A536)</f>
        <v>520</v>
      </c>
      <c r="C536" s="300" t="s">
        <v>2029</v>
      </c>
      <c r="D536" s="296">
        <f t="shared" si="18"/>
        <v>320012</v>
      </c>
      <c r="E536" s="301">
        <v>0</v>
      </c>
      <c r="F536" s="301">
        <v>0</v>
      </c>
      <c r="G536" s="301">
        <v>0</v>
      </c>
      <c r="H536" s="301">
        <v>0</v>
      </c>
      <c r="I536" s="301">
        <v>0</v>
      </c>
      <c r="J536" s="301">
        <v>0</v>
      </c>
      <c r="K536" s="302">
        <v>0</v>
      </c>
      <c r="L536" s="301">
        <v>0</v>
      </c>
      <c r="M536" s="301">
        <v>0</v>
      </c>
      <c r="N536" s="301">
        <v>0</v>
      </c>
      <c r="O536" s="301">
        <v>320012</v>
      </c>
      <c r="P536" s="301">
        <v>0</v>
      </c>
      <c r="Q536" s="301">
        <v>0</v>
      </c>
      <c r="R536" s="301">
        <v>0</v>
      </c>
      <c r="S536" s="301">
        <v>0</v>
      </c>
      <c r="T536" s="301">
        <v>0</v>
      </c>
      <c r="U536" s="301">
        <v>0</v>
      </c>
      <c r="V536" s="301">
        <v>0</v>
      </c>
      <c r="W536" s="301">
        <v>0</v>
      </c>
      <c r="X536" s="301">
        <v>0</v>
      </c>
      <c r="Y536" s="301">
        <v>0</v>
      </c>
      <c r="Z536" s="301">
        <v>0</v>
      </c>
      <c r="AA536" s="301">
        <v>0</v>
      </c>
      <c r="AB536" s="303">
        <v>2020</v>
      </c>
    </row>
    <row r="537" spans="1:28" ht="35.25" customHeight="1" x14ac:dyDescent="0.5">
      <c r="A537">
        <v>1</v>
      </c>
      <c r="B537" s="80">
        <f>SUBTOTAL(103,$A$9:A537)</f>
        <v>521</v>
      </c>
      <c r="C537" s="300" t="s">
        <v>2030</v>
      </c>
      <c r="D537" s="296">
        <f t="shared" si="18"/>
        <v>910000</v>
      </c>
      <c r="E537" s="301">
        <v>0</v>
      </c>
      <c r="F537" s="301">
        <v>0</v>
      </c>
      <c r="G537" s="301">
        <v>0</v>
      </c>
      <c r="H537" s="301">
        <v>0</v>
      </c>
      <c r="I537" s="301">
        <v>0</v>
      </c>
      <c r="J537" s="301">
        <v>0</v>
      </c>
      <c r="K537" s="302">
        <v>0</v>
      </c>
      <c r="L537" s="301">
        <v>0</v>
      </c>
      <c r="M537" s="301">
        <v>910000</v>
      </c>
      <c r="N537" s="301">
        <v>0</v>
      </c>
      <c r="O537" s="301">
        <v>0</v>
      </c>
      <c r="P537" s="301">
        <v>0</v>
      </c>
      <c r="Q537" s="301">
        <v>0</v>
      </c>
      <c r="R537" s="301">
        <v>0</v>
      </c>
      <c r="S537" s="301">
        <v>0</v>
      </c>
      <c r="T537" s="301">
        <v>0</v>
      </c>
      <c r="U537" s="301">
        <v>0</v>
      </c>
      <c r="V537" s="301">
        <v>0</v>
      </c>
      <c r="W537" s="301">
        <v>0</v>
      </c>
      <c r="X537" s="301">
        <v>0</v>
      </c>
      <c r="Y537" s="301">
        <v>0</v>
      </c>
      <c r="Z537" s="301">
        <v>0</v>
      </c>
      <c r="AA537" s="301">
        <v>0</v>
      </c>
      <c r="AB537" s="303">
        <v>2020</v>
      </c>
    </row>
    <row r="538" spans="1:28" ht="35.25" customHeight="1" x14ac:dyDescent="0.5">
      <c r="A538">
        <v>1</v>
      </c>
      <c r="B538" s="80">
        <f>SUBTOTAL(103,$A$9:A538)</f>
        <v>522</v>
      </c>
      <c r="C538" s="300" t="s">
        <v>2031</v>
      </c>
      <c r="D538" s="296">
        <f t="shared" si="18"/>
        <v>516711.62</v>
      </c>
      <c r="E538" s="301">
        <v>0</v>
      </c>
      <c r="F538" s="301">
        <v>161097.25</v>
      </c>
      <c r="G538" s="301">
        <v>0</v>
      </c>
      <c r="H538" s="301">
        <v>84774.9</v>
      </c>
      <c r="I538" s="301">
        <v>0</v>
      </c>
      <c r="J538" s="301">
        <v>0</v>
      </c>
      <c r="K538" s="302">
        <v>0</v>
      </c>
      <c r="L538" s="301">
        <v>0</v>
      </c>
      <c r="M538" s="301">
        <v>0</v>
      </c>
      <c r="N538" s="301">
        <v>0</v>
      </c>
      <c r="O538" s="301">
        <v>270839.46999999997</v>
      </c>
      <c r="P538" s="301">
        <v>0</v>
      </c>
      <c r="Q538" s="301">
        <v>0</v>
      </c>
      <c r="R538" s="301">
        <v>0</v>
      </c>
      <c r="S538" s="301">
        <v>0</v>
      </c>
      <c r="T538" s="301">
        <v>0</v>
      </c>
      <c r="U538" s="301">
        <v>0</v>
      </c>
      <c r="V538" s="301">
        <v>0</v>
      </c>
      <c r="W538" s="301">
        <v>0</v>
      </c>
      <c r="X538" s="301">
        <v>0</v>
      </c>
      <c r="Y538" s="301">
        <v>0</v>
      </c>
      <c r="Z538" s="301">
        <v>0</v>
      </c>
      <c r="AA538" s="301">
        <v>0</v>
      </c>
      <c r="AB538" s="303">
        <v>2020</v>
      </c>
    </row>
    <row r="539" spans="1:28" ht="35.25" customHeight="1" x14ac:dyDescent="0.5">
      <c r="A539">
        <v>1</v>
      </c>
      <c r="B539" s="80">
        <f>SUBTOTAL(103,$A$9:A539)</f>
        <v>523</v>
      </c>
      <c r="C539" s="300" t="s">
        <v>2032</v>
      </c>
      <c r="D539" s="296">
        <f t="shared" si="18"/>
        <v>616011.84</v>
      </c>
      <c r="E539" s="301">
        <v>0</v>
      </c>
      <c r="F539" s="301">
        <v>0</v>
      </c>
      <c r="G539" s="301">
        <v>616011.84</v>
      </c>
      <c r="H539" s="301">
        <v>0</v>
      </c>
      <c r="I539" s="301">
        <v>0</v>
      </c>
      <c r="J539" s="301">
        <v>0</v>
      </c>
      <c r="K539" s="302">
        <v>0</v>
      </c>
      <c r="L539" s="301">
        <v>0</v>
      </c>
      <c r="M539" s="301">
        <v>0</v>
      </c>
      <c r="N539" s="301">
        <v>0</v>
      </c>
      <c r="O539" s="301">
        <v>0</v>
      </c>
      <c r="P539" s="301">
        <v>0</v>
      </c>
      <c r="Q539" s="301">
        <v>0</v>
      </c>
      <c r="R539" s="301">
        <v>0</v>
      </c>
      <c r="S539" s="301">
        <v>0</v>
      </c>
      <c r="T539" s="301">
        <v>0</v>
      </c>
      <c r="U539" s="301">
        <v>0</v>
      </c>
      <c r="V539" s="301">
        <v>0</v>
      </c>
      <c r="W539" s="301">
        <v>0</v>
      </c>
      <c r="X539" s="301">
        <v>0</v>
      </c>
      <c r="Y539" s="301">
        <v>0</v>
      </c>
      <c r="Z539" s="301">
        <v>0</v>
      </c>
      <c r="AA539" s="301">
        <v>0</v>
      </c>
      <c r="AB539" s="303">
        <v>2020</v>
      </c>
    </row>
    <row r="540" spans="1:28" ht="35.25" customHeight="1" x14ac:dyDescent="0.5">
      <c r="A540">
        <v>1</v>
      </c>
      <c r="B540" s="80">
        <f>SUBTOTAL(103,$A$9:A540)</f>
        <v>524</v>
      </c>
      <c r="C540" s="300" t="s">
        <v>2033</v>
      </c>
      <c r="D540" s="296">
        <f t="shared" si="18"/>
        <v>261283</v>
      </c>
      <c r="E540" s="301">
        <v>0</v>
      </c>
      <c r="F540" s="301">
        <v>0</v>
      </c>
      <c r="G540" s="301">
        <v>0</v>
      </c>
      <c r="H540" s="301">
        <v>0</v>
      </c>
      <c r="I540" s="301">
        <v>11358</v>
      </c>
      <c r="J540" s="301">
        <v>0</v>
      </c>
      <c r="K540" s="302">
        <v>0</v>
      </c>
      <c r="L540" s="301">
        <v>0</v>
      </c>
      <c r="M540" s="301">
        <v>0</v>
      </c>
      <c r="N540" s="301">
        <v>0</v>
      </c>
      <c r="O540" s="301">
        <v>249925</v>
      </c>
      <c r="P540" s="301">
        <v>0</v>
      </c>
      <c r="Q540" s="301">
        <v>0</v>
      </c>
      <c r="R540" s="301">
        <v>0</v>
      </c>
      <c r="S540" s="301">
        <v>0</v>
      </c>
      <c r="T540" s="301">
        <v>0</v>
      </c>
      <c r="U540" s="301">
        <v>0</v>
      </c>
      <c r="V540" s="301">
        <v>0</v>
      </c>
      <c r="W540" s="301">
        <v>0</v>
      </c>
      <c r="X540" s="301">
        <v>0</v>
      </c>
      <c r="Y540" s="301">
        <v>0</v>
      </c>
      <c r="Z540" s="301">
        <v>0</v>
      </c>
      <c r="AA540" s="301">
        <v>0</v>
      </c>
      <c r="AB540" s="303">
        <v>2020</v>
      </c>
    </row>
    <row r="541" spans="1:28" ht="35.25" customHeight="1" x14ac:dyDescent="0.5">
      <c r="A541">
        <v>1</v>
      </c>
      <c r="B541" s="80">
        <f>SUBTOTAL(103,$A$9:A541)</f>
        <v>525</v>
      </c>
      <c r="C541" s="300" t="s">
        <v>2034</v>
      </c>
      <c r="D541" s="296">
        <f t="shared" si="18"/>
        <v>1530000</v>
      </c>
      <c r="E541" s="301">
        <v>0</v>
      </c>
      <c r="F541" s="301">
        <v>0</v>
      </c>
      <c r="G541" s="301">
        <v>0</v>
      </c>
      <c r="H541" s="301">
        <v>0</v>
      </c>
      <c r="I541" s="301">
        <v>0</v>
      </c>
      <c r="J541" s="301">
        <v>0</v>
      </c>
      <c r="K541" s="302">
        <v>0</v>
      </c>
      <c r="L541" s="301">
        <v>0</v>
      </c>
      <c r="M541" s="301">
        <v>1530000</v>
      </c>
      <c r="N541" s="301">
        <v>0</v>
      </c>
      <c r="O541" s="301">
        <v>0</v>
      </c>
      <c r="P541" s="301">
        <v>0</v>
      </c>
      <c r="Q541" s="301">
        <v>0</v>
      </c>
      <c r="R541" s="301">
        <v>0</v>
      </c>
      <c r="S541" s="301">
        <v>0</v>
      </c>
      <c r="T541" s="301">
        <v>0</v>
      </c>
      <c r="U541" s="301">
        <v>0</v>
      </c>
      <c r="V541" s="301">
        <v>0</v>
      </c>
      <c r="W541" s="301">
        <v>0</v>
      </c>
      <c r="X541" s="301">
        <v>0</v>
      </c>
      <c r="Y541" s="301">
        <v>0</v>
      </c>
      <c r="Z541" s="301">
        <v>0</v>
      </c>
      <c r="AA541" s="301">
        <v>0</v>
      </c>
      <c r="AB541" s="303">
        <v>2020</v>
      </c>
    </row>
    <row r="542" spans="1:28" ht="35.25" customHeight="1" x14ac:dyDescent="0.5">
      <c r="A542">
        <v>1</v>
      </c>
      <c r="B542" s="80">
        <f>SUBTOTAL(103,$A$9:A542)</f>
        <v>526</v>
      </c>
      <c r="C542" s="300" t="s">
        <v>2035</v>
      </c>
      <c r="D542" s="296">
        <f t="shared" si="18"/>
        <v>157762.79999999999</v>
      </c>
      <c r="E542" s="301">
        <v>31116.9</v>
      </c>
      <c r="F542" s="301">
        <v>0</v>
      </c>
      <c r="G542" s="301">
        <v>0</v>
      </c>
      <c r="H542" s="301">
        <v>0</v>
      </c>
      <c r="I542" s="301">
        <v>0</v>
      </c>
      <c r="J542" s="301">
        <v>0</v>
      </c>
      <c r="K542" s="302">
        <v>0</v>
      </c>
      <c r="L542" s="301">
        <v>0</v>
      </c>
      <c r="M542" s="301">
        <v>126645.9</v>
      </c>
      <c r="N542" s="301">
        <v>0</v>
      </c>
      <c r="O542" s="301">
        <v>0</v>
      </c>
      <c r="P542" s="301">
        <v>0</v>
      </c>
      <c r="Q542" s="301">
        <v>0</v>
      </c>
      <c r="R542" s="301">
        <v>0</v>
      </c>
      <c r="S542" s="301">
        <v>0</v>
      </c>
      <c r="T542" s="301">
        <v>0</v>
      </c>
      <c r="U542" s="301">
        <v>0</v>
      </c>
      <c r="V542" s="301">
        <v>0</v>
      </c>
      <c r="W542" s="301">
        <v>0</v>
      </c>
      <c r="X542" s="301">
        <v>0</v>
      </c>
      <c r="Y542" s="301">
        <v>0</v>
      </c>
      <c r="Z542" s="301">
        <v>0</v>
      </c>
      <c r="AA542" s="301">
        <v>0</v>
      </c>
      <c r="AB542" s="303">
        <v>2020</v>
      </c>
    </row>
    <row r="543" spans="1:28" ht="35.25" customHeight="1" x14ac:dyDescent="0.5">
      <c r="A543">
        <v>1</v>
      </c>
      <c r="B543" s="80">
        <f>SUBTOTAL(103,$A$9:A543)</f>
        <v>527</v>
      </c>
      <c r="C543" s="300" t="s">
        <v>2036</v>
      </c>
      <c r="D543" s="296">
        <f t="shared" si="18"/>
        <v>227500</v>
      </c>
      <c r="E543" s="301">
        <v>0</v>
      </c>
      <c r="F543" s="301">
        <v>0</v>
      </c>
      <c r="G543" s="301">
        <v>0</v>
      </c>
      <c r="H543" s="301">
        <v>0</v>
      </c>
      <c r="I543" s="301">
        <v>0</v>
      </c>
      <c r="J543" s="301">
        <v>0</v>
      </c>
      <c r="K543" s="302">
        <v>0</v>
      </c>
      <c r="L543" s="301">
        <v>0</v>
      </c>
      <c r="M543" s="301">
        <v>227500</v>
      </c>
      <c r="N543" s="301">
        <v>0</v>
      </c>
      <c r="O543" s="301">
        <v>0</v>
      </c>
      <c r="P543" s="301">
        <v>0</v>
      </c>
      <c r="Q543" s="301">
        <v>0</v>
      </c>
      <c r="R543" s="301">
        <v>0</v>
      </c>
      <c r="S543" s="301">
        <v>0</v>
      </c>
      <c r="T543" s="301">
        <v>0</v>
      </c>
      <c r="U543" s="301">
        <v>0</v>
      </c>
      <c r="V543" s="301">
        <v>0</v>
      </c>
      <c r="W543" s="301">
        <v>0</v>
      </c>
      <c r="X543" s="301">
        <v>0</v>
      </c>
      <c r="Y543" s="301">
        <v>0</v>
      </c>
      <c r="Z543" s="301">
        <v>0</v>
      </c>
      <c r="AA543" s="301">
        <v>0</v>
      </c>
      <c r="AB543" s="303">
        <v>2020</v>
      </c>
    </row>
    <row r="544" spans="1:28" ht="35.25" customHeight="1" x14ac:dyDescent="0.5">
      <c r="A544">
        <v>1</v>
      </c>
      <c r="B544" s="80">
        <f>SUBTOTAL(103,$A$9:A544)</f>
        <v>528</v>
      </c>
      <c r="C544" s="300" t="s">
        <v>2038</v>
      </c>
      <c r="D544" s="296">
        <f t="shared" si="18"/>
        <v>215200.16</v>
      </c>
      <c r="E544" s="301">
        <v>85000</v>
      </c>
      <c r="F544" s="301">
        <v>0</v>
      </c>
      <c r="G544" s="301">
        <v>75003</v>
      </c>
      <c r="H544" s="301">
        <v>0</v>
      </c>
      <c r="I544" s="301">
        <v>0</v>
      </c>
      <c r="J544" s="301">
        <v>0</v>
      </c>
      <c r="K544" s="302">
        <v>0</v>
      </c>
      <c r="L544" s="301">
        <v>0</v>
      </c>
      <c r="M544" s="301">
        <v>55197.16</v>
      </c>
      <c r="N544" s="301">
        <v>0</v>
      </c>
      <c r="O544" s="301">
        <v>0</v>
      </c>
      <c r="P544" s="301">
        <v>0</v>
      </c>
      <c r="Q544" s="301">
        <v>0</v>
      </c>
      <c r="R544" s="301">
        <v>0</v>
      </c>
      <c r="S544" s="301">
        <v>0</v>
      </c>
      <c r="T544" s="301">
        <v>0</v>
      </c>
      <c r="U544" s="301">
        <v>0</v>
      </c>
      <c r="V544" s="301">
        <v>0</v>
      </c>
      <c r="W544" s="301">
        <v>0</v>
      </c>
      <c r="X544" s="301">
        <v>0</v>
      </c>
      <c r="Y544" s="301">
        <v>0</v>
      </c>
      <c r="Z544" s="301">
        <v>0</v>
      </c>
      <c r="AA544" s="301">
        <v>0</v>
      </c>
      <c r="AB544" s="303">
        <v>2020</v>
      </c>
    </row>
    <row r="545" spans="1:28" ht="35.25" customHeight="1" x14ac:dyDescent="0.5">
      <c r="A545">
        <v>1</v>
      </c>
      <c r="B545" s="80">
        <f>SUBTOTAL(103,$A$9:A545)</f>
        <v>529</v>
      </c>
      <c r="C545" s="300" t="s">
        <v>2039</v>
      </c>
      <c r="D545" s="296">
        <f t="shared" si="18"/>
        <v>347617</v>
      </c>
      <c r="E545" s="301">
        <v>160308.5</v>
      </c>
      <c r="F545" s="301">
        <v>187308.5</v>
      </c>
      <c r="G545" s="301">
        <v>0</v>
      </c>
      <c r="H545" s="301">
        <v>0</v>
      </c>
      <c r="I545" s="301">
        <v>0</v>
      </c>
      <c r="J545" s="301">
        <v>0</v>
      </c>
      <c r="K545" s="302">
        <v>0</v>
      </c>
      <c r="L545" s="301">
        <v>0</v>
      </c>
      <c r="M545" s="301">
        <v>0</v>
      </c>
      <c r="N545" s="301">
        <v>0</v>
      </c>
      <c r="O545" s="301">
        <v>0</v>
      </c>
      <c r="P545" s="301">
        <v>0</v>
      </c>
      <c r="Q545" s="301">
        <v>0</v>
      </c>
      <c r="R545" s="301">
        <v>0</v>
      </c>
      <c r="S545" s="301">
        <v>0</v>
      </c>
      <c r="T545" s="301">
        <v>0</v>
      </c>
      <c r="U545" s="301">
        <v>0</v>
      </c>
      <c r="V545" s="301">
        <v>0</v>
      </c>
      <c r="W545" s="301">
        <v>0</v>
      </c>
      <c r="X545" s="301">
        <v>0</v>
      </c>
      <c r="Y545" s="301">
        <v>0</v>
      </c>
      <c r="Z545" s="301">
        <v>0</v>
      </c>
      <c r="AA545" s="301">
        <v>0</v>
      </c>
      <c r="AB545" s="303">
        <v>2020</v>
      </c>
    </row>
    <row r="546" spans="1:28" ht="35.25" customHeight="1" x14ac:dyDescent="0.5">
      <c r="A546">
        <v>1</v>
      </c>
      <c r="B546" s="80">
        <f>SUBTOTAL(103,$A$9:A546)</f>
        <v>530</v>
      </c>
      <c r="C546" s="300" t="s">
        <v>2040</v>
      </c>
      <c r="D546" s="296">
        <f t="shared" si="18"/>
        <v>79041</v>
      </c>
      <c r="E546" s="301">
        <v>0</v>
      </c>
      <c r="F546" s="301">
        <v>0</v>
      </c>
      <c r="G546" s="301">
        <v>79041</v>
      </c>
      <c r="H546" s="301">
        <v>0</v>
      </c>
      <c r="I546" s="301">
        <v>0</v>
      </c>
      <c r="J546" s="301">
        <v>0</v>
      </c>
      <c r="K546" s="302">
        <v>0</v>
      </c>
      <c r="L546" s="301">
        <v>0</v>
      </c>
      <c r="M546" s="301">
        <v>0</v>
      </c>
      <c r="N546" s="301">
        <v>0</v>
      </c>
      <c r="O546" s="301">
        <v>0</v>
      </c>
      <c r="P546" s="301">
        <v>0</v>
      </c>
      <c r="Q546" s="301">
        <v>0</v>
      </c>
      <c r="R546" s="301">
        <v>0</v>
      </c>
      <c r="S546" s="301">
        <v>0</v>
      </c>
      <c r="T546" s="301">
        <v>0</v>
      </c>
      <c r="U546" s="301">
        <v>0</v>
      </c>
      <c r="V546" s="301">
        <v>0</v>
      </c>
      <c r="W546" s="301">
        <v>0</v>
      </c>
      <c r="X546" s="301">
        <v>0</v>
      </c>
      <c r="Y546" s="301">
        <v>0</v>
      </c>
      <c r="Z546" s="301">
        <v>0</v>
      </c>
      <c r="AA546" s="301">
        <v>0</v>
      </c>
      <c r="AB546" s="303">
        <v>2020</v>
      </c>
    </row>
    <row r="547" spans="1:28" ht="35.25" customHeight="1" x14ac:dyDescent="0.5">
      <c r="A547">
        <v>1</v>
      </c>
      <c r="B547" s="80">
        <f>SUBTOTAL(103,$A$9:A547)</f>
        <v>531</v>
      </c>
      <c r="C547" s="300" t="s">
        <v>2041</v>
      </c>
      <c r="D547" s="296">
        <f t="shared" si="18"/>
        <v>459221.82</v>
      </c>
      <c r="E547" s="301">
        <v>0</v>
      </c>
      <c r="F547" s="301">
        <v>0</v>
      </c>
      <c r="G547" s="301">
        <v>0</v>
      </c>
      <c r="H547" s="301">
        <v>0</v>
      </c>
      <c r="I547" s="301">
        <v>0</v>
      </c>
      <c r="J547" s="301">
        <v>0</v>
      </c>
      <c r="K547" s="302">
        <v>0</v>
      </c>
      <c r="L547" s="301">
        <v>0</v>
      </c>
      <c r="M547" s="301">
        <v>0</v>
      </c>
      <c r="N547" s="301">
        <v>0</v>
      </c>
      <c r="O547" s="301">
        <v>459221.82</v>
      </c>
      <c r="P547" s="301">
        <v>0</v>
      </c>
      <c r="Q547" s="301">
        <v>0</v>
      </c>
      <c r="R547" s="301">
        <v>0</v>
      </c>
      <c r="S547" s="301">
        <v>0</v>
      </c>
      <c r="T547" s="301">
        <v>0</v>
      </c>
      <c r="U547" s="301">
        <v>0</v>
      </c>
      <c r="V547" s="301">
        <v>0</v>
      </c>
      <c r="W547" s="301">
        <v>0</v>
      </c>
      <c r="X547" s="301">
        <v>0</v>
      </c>
      <c r="Y547" s="301">
        <v>0</v>
      </c>
      <c r="Z547" s="301">
        <v>0</v>
      </c>
      <c r="AA547" s="301">
        <v>0</v>
      </c>
      <c r="AB547" s="303">
        <v>2020</v>
      </c>
    </row>
    <row r="548" spans="1:28" ht="35.25" customHeight="1" x14ac:dyDescent="0.5">
      <c r="A548">
        <v>1</v>
      </c>
      <c r="B548" s="80">
        <f>SUBTOTAL(103,$A$9:A548)</f>
        <v>532</v>
      </c>
      <c r="C548" s="300" t="s">
        <v>2410</v>
      </c>
      <c r="D548" s="296">
        <f t="shared" si="18"/>
        <v>315862.38</v>
      </c>
      <c r="E548" s="301">
        <v>0</v>
      </c>
      <c r="F548" s="301">
        <v>0</v>
      </c>
      <c r="G548" s="301">
        <v>0</v>
      </c>
      <c r="H548" s="301">
        <v>0</v>
      </c>
      <c r="I548" s="301">
        <v>0</v>
      </c>
      <c r="J548" s="301">
        <v>0</v>
      </c>
      <c r="K548" s="302">
        <v>0</v>
      </c>
      <c r="L548" s="301">
        <v>0</v>
      </c>
      <c r="M548" s="301">
        <v>0</v>
      </c>
      <c r="N548" s="301">
        <v>0</v>
      </c>
      <c r="O548" s="301">
        <v>30000</v>
      </c>
      <c r="P548" s="301">
        <v>285862.38</v>
      </c>
      <c r="Q548" s="301">
        <v>0</v>
      </c>
      <c r="R548" s="301">
        <v>0</v>
      </c>
      <c r="S548" s="301">
        <v>0</v>
      </c>
      <c r="T548" s="301">
        <v>0</v>
      </c>
      <c r="U548" s="301">
        <v>0</v>
      </c>
      <c r="V548" s="301">
        <v>0</v>
      </c>
      <c r="W548" s="301">
        <v>0</v>
      </c>
      <c r="X548" s="301">
        <v>0</v>
      </c>
      <c r="Y548" s="301">
        <v>0</v>
      </c>
      <c r="Z548" s="301">
        <v>0</v>
      </c>
      <c r="AA548" s="301">
        <v>0</v>
      </c>
      <c r="AB548" s="303">
        <v>2020</v>
      </c>
    </row>
    <row r="549" spans="1:28" ht="35.25" customHeight="1" x14ac:dyDescent="0.5">
      <c r="A549">
        <v>1</v>
      </c>
      <c r="B549" s="80">
        <f>SUBTOTAL(103,$A$9:A549)</f>
        <v>533</v>
      </c>
      <c r="C549" s="300" t="s">
        <v>2236</v>
      </c>
      <c r="D549" s="296">
        <f t="shared" si="18"/>
        <v>350602.74</v>
      </c>
      <c r="E549" s="301">
        <v>0</v>
      </c>
      <c r="F549" s="301">
        <v>0</v>
      </c>
      <c r="G549" s="301">
        <v>0</v>
      </c>
      <c r="H549" s="301">
        <v>0</v>
      </c>
      <c r="I549" s="301">
        <v>0</v>
      </c>
      <c r="J549" s="301">
        <v>0</v>
      </c>
      <c r="K549" s="302">
        <v>0</v>
      </c>
      <c r="L549" s="301">
        <v>0</v>
      </c>
      <c r="M549" s="301">
        <v>0</v>
      </c>
      <c r="N549" s="301">
        <v>0</v>
      </c>
      <c r="O549" s="301">
        <v>350602.74</v>
      </c>
      <c r="P549" s="301">
        <v>0</v>
      </c>
      <c r="Q549" s="301">
        <v>0</v>
      </c>
      <c r="R549" s="301">
        <v>0</v>
      </c>
      <c r="S549" s="301">
        <v>0</v>
      </c>
      <c r="T549" s="301">
        <v>0</v>
      </c>
      <c r="U549" s="301">
        <v>0</v>
      </c>
      <c r="V549" s="301">
        <v>0</v>
      </c>
      <c r="W549" s="301">
        <v>0</v>
      </c>
      <c r="X549" s="301">
        <v>0</v>
      </c>
      <c r="Y549" s="301">
        <v>0</v>
      </c>
      <c r="Z549" s="301">
        <v>0</v>
      </c>
      <c r="AA549" s="301">
        <v>0</v>
      </c>
      <c r="AB549" s="303">
        <v>2020</v>
      </c>
    </row>
    <row r="550" spans="1:28" ht="35.25" customHeight="1" x14ac:dyDescent="0.5">
      <c r="A550">
        <v>1</v>
      </c>
      <c r="B550" s="80">
        <f>SUBTOTAL(103,$A$9:A550)</f>
        <v>534</v>
      </c>
      <c r="C550" s="300" t="s">
        <v>2237</v>
      </c>
      <c r="D550" s="296">
        <f t="shared" si="18"/>
        <v>286924.78999999998</v>
      </c>
      <c r="E550" s="301">
        <v>0</v>
      </c>
      <c r="F550" s="301">
        <v>0</v>
      </c>
      <c r="G550" s="301">
        <v>0</v>
      </c>
      <c r="H550" s="301">
        <v>286924.78999999998</v>
      </c>
      <c r="I550" s="301">
        <v>0</v>
      </c>
      <c r="J550" s="301">
        <v>0</v>
      </c>
      <c r="K550" s="302">
        <v>0</v>
      </c>
      <c r="L550" s="301">
        <v>0</v>
      </c>
      <c r="M550" s="301">
        <v>0</v>
      </c>
      <c r="N550" s="301">
        <v>0</v>
      </c>
      <c r="O550" s="301">
        <v>0</v>
      </c>
      <c r="P550" s="301">
        <v>0</v>
      </c>
      <c r="Q550" s="301">
        <v>0</v>
      </c>
      <c r="R550" s="301">
        <v>0</v>
      </c>
      <c r="S550" s="301">
        <v>0</v>
      </c>
      <c r="T550" s="301">
        <v>0</v>
      </c>
      <c r="U550" s="301">
        <v>0</v>
      </c>
      <c r="V550" s="301">
        <v>0</v>
      </c>
      <c r="W550" s="301">
        <v>0</v>
      </c>
      <c r="X550" s="301">
        <v>0</v>
      </c>
      <c r="Y550" s="301">
        <v>0</v>
      </c>
      <c r="Z550" s="301">
        <v>0</v>
      </c>
      <c r="AA550" s="301">
        <v>0</v>
      </c>
      <c r="AB550" s="303">
        <v>2020</v>
      </c>
    </row>
    <row r="551" spans="1:28" ht="35.25" customHeight="1" x14ac:dyDescent="0.5">
      <c r="A551">
        <v>1</v>
      </c>
      <c r="B551" s="80">
        <f>SUBTOTAL(103,$A$9:A551)</f>
        <v>535</v>
      </c>
      <c r="C551" s="300" t="s">
        <v>2238</v>
      </c>
      <c r="D551" s="296">
        <f t="shared" si="18"/>
        <v>439885.27</v>
      </c>
      <c r="E551" s="301">
        <v>0</v>
      </c>
      <c r="F551" s="301">
        <v>439885.27</v>
      </c>
      <c r="G551" s="301">
        <v>0</v>
      </c>
      <c r="H551" s="301">
        <v>0</v>
      </c>
      <c r="I551" s="301">
        <v>0</v>
      </c>
      <c r="J551" s="301">
        <v>0</v>
      </c>
      <c r="K551" s="302">
        <v>0</v>
      </c>
      <c r="L551" s="301">
        <v>0</v>
      </c>
      <c r="M551" s="301">
        <v>0</v>
      </c>
      <c r="N551" s="301">
        <v>0</v>
      </c>
      <c r="O551" s="301">
        <v>0</v>
      </c>
      <c r="P551" s="301">
        <v>0</v>
      </c>
      <c r="Q551" s="301">
        <v>0</v>
      </c>
      <c r="R551" s="301">
        <v>0</v>
      </c>
      <c r="S551" s="301">
        <v>0</v>
      </c>
      <c r="T551" s="301">
        <v>0</v>
      </c>
      <c r="U551" s="301">
        <v>0</v>
      </c>
      <c r="V551" s="301">
        <v>0</v>
      </c>
      <c r="W551" s="301">
        <v>0</v>
      </c>
      <c r="X551" s="301">
        <v>0</v>
      </c>
      <c r="Y551" s="301">
        <v>0</v>
      </c>
      <c r="Z551" s="301">
        <v>0</v>
      </c>
      <c r="AA551" s="301">
        <v>0</v>
      </c>
      <c r="AB551" s="303">
        <v>2020</v>
      </c>
    </row>
    <row r="552" spans="1:28" ht="35.25" customHeight="1" x14ac:dyDescent="0.5">
      <c r="A552">
        <v>1</v>
      </c>
      <c r="B552" s="80">
        <f>SUBTOTAL(103,$A$9:A552)</f>
        <v>536</v>
      </c>
      <c r="C552" s="300" t="s">
        <v>2411</v>
      </c>
      <c r="D552" s="296">
        <f t="shared" si="18"/>
        <v>171486</v>
      </c>
      <c r="E552" s="301">
        <v>0</v>
      </c>
      <c r="F552" s="301">
        <v>0</v>
      </c>
      <c r="G552" s="301">
        <v>0</v>
      </c>
      <c r="H552" s="301">
        <v>0</v>
      </c>
      <c r="I552" s="301">
        <v>0</v>
      </c>
      <c r="J552" s="301">
        <v>0</v>
      </c>
      <c r="K552" s="302">
        <v>0</v>
      </c>
      <c r="L552" s="301">
        <v>0</v>
      </c>
      <c r="M552" s="301">
        <v>0</v>
      </c>
      <c r="N552" s="301">
        <v>0</v>
      </c>
      <c r="O552" s="301">
        <v>171486</v>
      </c>
      <c r="P552" s="301">
        <v>0</v>
      </c>
      <c r="Q552" s="301">
        <v>0</v>
      </c>
      <c r="R552" s="301">
        <v>0</v>
      </c>
      <c r="S552" s="301">
        <v>0</v>
      </c>
      <c r="T552" s="301">
        <v>0</v>
      </c>
      <c r="U552" s="301">
        <v>0</v>
      </c>
      <c r="V552" s="301">
        <v>0</v>
      </c>
      <c r="W552" s="301">
        <v>0</v>
      </c>
      <c r="X552" s="301">
        <v>0</v>
      </c>
      <c r="Y552" s="301">
        <v>0</v>
      </c>
      <c r="Z552" s="301">
        <v>0</v>
      </c>
      <c r="AA552" s="301">
        <v>0</v>
      </c>
      <c r="AB552" s="303">
        <v>2020</v>
      </c>
    </row>
    <row r="553" spans="1:28" ht="35.25" customHeight="1" x14ac:dyDescent="0.5">
      <c r="A553">
        <v>1</v>
      </c>
      <c r="B553" s="80">
        <f>SUBTOTAL(103,$A$9:A553)</f>
        <v>537</v>
      </c>
      <c r="C553" s="300" t="s">
        <v>2239</v>
      </c>
      <c r="D553" s="296">
        <f t="shared" si="18"/>
        <v>222074</v>
      </c>
      <c r="E553" s="301">
        <v>0</v>
      </c>
      <c r="F553" s="301">
        <v>0</v>
      </c>
      <c r="G553" s="301">
        <v>0</v>
      </c>
      <c r="H553" s="301">
        <v>0</v>
      </c>
      <c r="I553" s="301">
        <v>0</v>
      </c>
      <c r="J553" s="301">
        <v>0</v>
      </c>
      <c r="K553" s="302">
        <v>0</v>
      </c>
      <c r="L553" s="301">
        <v>0</v>
      </c>
      <c r="M553" s="301">
        <v>0</v>
      </c>
      <c r="N553" s="301">
        <v>0</v>
      </c>
      <c r="O553" s="301">
        <v>222074</v>
      </c>
      <c r="P553" s="301">
        <v>0</v>
      </c>
      <c r="Q553" s="301">
        <v>0</v>
      </c>
      <c r="R553" s="301">
        <v>0</v>
      </c>
      <c r="S553" s="301">
        <v>0</v>
      </c>
      <c r="T553" s="301">
        <v>0</v>
      </c>
      <c r="U553" s="301">
        <v>0</v>
      </c>
      <c r="V553" s="301">
        <v>0</v>
      </c>
      <c r="W553" s="301">
        <v>0</v>
      </c>
      <c r="X553" s="301">
        <v>0</v>
      </c>
      <c r="Y553" s="301">
        <v>0</v>
      </c>
      <c r="Z553" s="301">
        <v>0</v>
      </c>
      <c r="AA553" s="301">
        <v>0</v>
      </c>
      <c r="AB553" s="303">
        <v>2020</v>
      </c>
    </row>
    <row r="554" spans="1:28" ht="35.25" customHeight="1" x14ac:dyDescent="0.5">
      <c r="A554">
        <v>1</v>
      </c>
      <c r="B554" s="80">
        <f>SUBTOTAL(103,$A$9:A554)</f>
        <v>538</v>
      </c>
      <c r="C554" s="300" t="s">
        <v>2240</v>
      </c>
      <c r="D554" s="296">
        <f t="shared" si="18"/>
        <v>317206</v>
      </c>
      <c r="E554" s="301">
        <v>0</v>
      </c>
      <c r="F554" s="301">
        <v>0</v>
      </c>
      <c r="G554" s="301">
        <v>0</v>
      </c>
      <c r="H554" s="301">
        <v>0</v>
      </c>
      <c r="I554" s="301">
        <v>0</v>
      </c>
      <c r="J554" s="301">
        <v>0</v>
      </c>
      <c r="K554" s="302">
        <v>0</v>
      </c>
      <c r="L554" s="301">
        <v>0</v>
      </c>
      <c r="M554" s="301">
        <v>0</v>
      </c>
      <c r="N554" s="301">
        <v>317206</v>
      </c>
      <c r="O554" s="301">
        <v>0</v>
      </c>
      <c r="P554" s="301">
        <v>0</v>
      </c>
      <c r="Q554" s="301">
        <v>0</v>
      </c>
      <c r="R554" s="301">
        <v>0</v>
      </c>
      <c r="S554" s="301">
        <v>0</v>
      </c>
      <c r="T554" s="301">
        <v>0</v>
      </c>
      <c r="U554" s="301">
        <v>0</v>
      </c>
      <c r="V554" s="301">
        <v>0</v>
      </c>
      <c r="W554" s="301">
        <v>0</v>
      </c>
      <c r="X554" s="301">
        <v>0</v>
      </c>
      <c r="Y554" s="301">
        <v>0</v>
      </c>
      <c r="Z554" s="301">
        <v>0</v>
      </c>
      <c r="AA554" s="301">
        <v>0</v>
      </c>
      <c r="AB554" s="303">
        <v>2020</v>
      </c>
    </row>
    <row r="555" spans="1:28" ht="35.25" customHeight="1" x14ac:dyDescent="0.5">
      <c r="A555">
        <v>1</v>
      </c>
      <c r="B555" s="80">
        <f>SUBTOTAL(103,$A$9:A555)</f>
        <v>539</v>
      </c>
      <c r="C555" s="300" t="s">
        <v>2241</v>
      </c>
      <c r="D555" s="296">
        <f t="shared" si="18"/>
        <v>344392.06</v>
      </c>
      <c r="E555" s="301">
        <v>0</v>
      </c>
      <c r="F555" s="301">
        <v>0</v>
      </c>
      <c r="G555" s="301">
        <v>0</v>
      </c>
      <c r="H555" s="301">
        <v>0</v>
      </c>
      <c r="I555" s="301">
        <v>0</v>
      </c>
      <c r="J555" s="301">
        <v>0</v>
      </c>
      <c r="K555" s="302">
        <v>0</v>
      </c>
      <c r="L555" s="301">
        <v>0</v>
      </c>
      <c r="M555" s="301">
        <v>0</v>
      </c>
      <c r="N555" s="301">
        <v>0</v>
      </c>
      <c r="O555" s="301">
        <v>344392.06</v>
      </c>
      <c r="P555" s="301">
        <v>0</v>
      </c>
      <c r="Q555" s="301">
        <v>0</v>
      </c>
      <c r="R555" s="301">
        <v>0</v>
      </c>
      <c r="S555" s="301">
        <v>0</v>
      </c>
      <c r="T555" s="301">
        <v>0</v>
      </c>
      <c r="U555" s="301">
        <v>0</v>
      </c>
      <c r="V555" s="301">
        <v>0</v>
      </c>
      <c r="W555" s="301">
        <v>0</v>
      </c>
      <c r="X555" s="301">
        <v>0</v>
      </c>
      <c r="Y555" s="301">
        <v>0</v>
      </c>
      <c r="Z555" s="301">
        <v>0</v>
      </c>
      <c r="AA555" s="301">
        <v>0</v>
      </c>
      <c r="AB555" s="303">
        <v>2020</v>
      </c>
    </row>
    <row r="556" spans="1:28" ht="35.25" customHeight="1" x14ac:dyDescent="0.5">
      <c r="A556">
        <v>1</v>
      </c>
      <c r="B556" s="80">
        <f>SUBTOTAL(103,$A$9:A556)</f>
        <v>540</v>
      </c>
      <c r="C556" s="300" t="s">
        <v>2242</v>
      </c>
      <c r="D556" s="296">
        <f t="shared" si="18"/>
        <v>197002.64</v>
      </c>
      <c r="E556" s="301">
        <v>0</v>
      </c>
      <c r="F556" s="301">
        <v>0</v>
      </c>
      <c r="G556" s="301">
        <v>0</v>
      </c>
      <c r="H556" s="301">
        <v>0</v>
      </c>
      <c r="I556" s="301">
        <v>0</v>
      </c>
      <c r="J556" s="301">
        <v>0</v>
      </c>
      <c r="K556" s="302">
        <v>0</v>
      </c>
      <c r="L556" s="301">
        <v>0</v>
      </c>
      <c r="M556" s="301">
        <v>0</v>
      </c>
      <c r="N556" s="301">
        <v>0</v>
      </c>
      <c r="O556" s="301">
        <v>197002.64</v>
      </c>
      <c r="P556" s="301">
        <v>0</v>
      </c>
      <c r="Q556" s="301">
        <v>0</v>
      </c>
      <c r="R556" s="301">
        <v>0</v>
      </c>
      <c r="S556" s="301">
        <v>0</v>
      </c>
      <c r="T556" s="301">
        <v>0</v>
      </c>
      <c r="U556" s="301">
        <v>0</v>
      </c>
      <c r="V556" s="301">
        <v>0</v>
      </c>
      <c r="W556" s="301">
        <v>0</v>
      </c>
      <c r="X556" s="301">
        <v>0</v>
      </c>
      <c r="Y556" s="301">
        <v>0</v>
      </c>
      <c r="Z556" s="301">
        <v>0</v>
      </c>
      <c r="AA556" s="301">
        <v>0</v>
      </c>
      <c r="AB556" s="303">
        <v>2020</v>
      </c>
    </row>
    <row r="557" spans="1:28" ht="35.25" customHeight="1" x14ac:dyDescent="0.5">
      <c r="A557">
        <v>1</v>
      </c>
      <c r="B557" s="80">
        <f>SUBTOTAL(103,$A$9:A557)</f>
        <v>541</v>
      </c>
      <c r="C557" s="300" t="s">
        <v>2243</v>
      </c>
      <c r="D557" s="296">
        <f t="shared" si="18"/>
        <v>192411</v>
      </c>
      <c r="E557" s="301">
        <v>0</v>
      </c>
      <c r="F557" s="301">
        <v>0</v>
      </c>
      <c r="G557" s="301">
        <v>192411</v>
      </c>
      <c r="H557" s="301">
        <v>0</v>
      </c>
      <c r="I557" s="301">
        <v>0</v>
      </c>
      <c r="J557" s="301">
        <v>0</v>
      </c>
      <c r="K557" s="302">
        <v>0</v>
      </c>
      <c r="L557" s="301">
        <v>0</v>
      </c>
      <c r="M557" s="301">
        <v>0</v>
      </c>
      <c r="N557" s="301">
        <v>0</v>
      </c>
      <c r="O557" s="301">
        <v>0</v>
      </c>
      <c r="P557" s="301">
        <v>0</v>
      </c>
      <c r="Q557" s="301">
        <v>0</v>
      </c>
      <c r="R557" s="301">
        <v>0</v>
      </c>
      <c r="S557" s="301">
        <v>0</v>
      </c>
      <c r="T557" s="301">
        <v>0</v>
      </c>
      <c r="U557" s="301">
        <v>0</v>
      </c>
      <c r="V557" s="301">
        <v>0</v>
      </c>
      <c r="W557" s="301">
        <v>0</v>
      </c>
      <c r="X557" s="301">
        <v>0</v>
      </c>
      <c r="Y557" s="301">
        <v>0</v>
      </c>
      <c r="Z557" s="301">
        <v>0</v>
      </c>
      <c r="AA557" s="301">
        <v>0</v>
      </c>
      <c r="AB557" s="303">
        <v>2020</v>
      </c>
    </row>
    <row r="558" spans="1:28" ht="35.25" customHeight="1" x14ac:dyDescent="0.5">
      <c r="A558">
        <v>1</v>
      </c>
      <c r="B558" s="80">
        <f>SUBTOTAL(103,$A$9:A558)</f>
        <v>542</v>
      </c>
      <c r="C558" s="300" t="s">
        <v>2244</v>
      </c>
      <c r="D558" s="296">
        <f t="shared" si="18"/>
        <v>141413</v>
      </c>
      <c r="E558" s="301">
        <v>141413</v>
      </c>
      <c r="F558" s="301">
        <v>0</v>
      </c>
      <c r="G558" s="301">
        <v>0</v>
      </c>
      <c r="H558" s="301">
        <v>0</v>
      </c>
      <c r="I558" s="301">
        <v>0</v>
      </c>
      <c r="J558" s="301">
        <v>0</v>
      </c>
      <c r="K558" s="302">
        <v>0</v>
      </c>
      <c r="L558" s="301">
        <v>0</v>
      </c>
      <c r="M558" s="301">
        <v>0</v>
      </c>
      <c r="N558" s="301">
        <v>0</v>
      </c>
      <c r="O558" s="301">
        <v>0</v>
      </c>
      <c r="P558" s="301">
        <v>0</v>
      </c>
      <c r="Q558" s="301">
        <v>0</v>
      </c>
      <c r="R558" s="301">
        <v>0</v>
      </c>
      <c r="S558" s="301">
        <v>0</v>
      </c>
      <c r="T558" s="301">
        <v>0</v>
      </c>
      <c r="U558" s="301">
        <v>0</v>
      </c>
      <c r="V558" s="301">
        <v>0</v>
      </c>
      <c r="W558" s="301">
        <v>0</v>
      </c>
      <c r="X558" s="301">
        <v>0</v>
      </c>
      <c r="Y558" s="301">
        <v>0</v>
      </c>
      <c r="Z558" s="301">
        <v>0</v>
      </c>
      <c r="AA558" s="301">
        <v>0</v>
      </c>
      <c r="AB558" s="303">
        <v>2020</v>
      </c>
    </row>
    <row r="559" spans="1:28" ht="35.25" customHeight="1" x14ac:dyDescent="0.5">
      <c r="A559">
        <v>1</v>
      </c>
      <c r="B559" s="80">
        <f>SUBTOTAL(103,$A$9:A559)</f>
        <v>543</v>
      </c>
      <c r="C559" s="300" t="s">
        <v>2245</v>
      </c>
      <c r="D559" s="296">
        <f t="shared" si="18"/>
        <v>632456.41</v>
      </c>
      <c r="E559" s="301">
        <v>0</v>
      </c>
      <c r="F559" s="301">
        <v>0</v>
      </c>
      <c r="G559" s="301">
        <v>0</v>
      </c>
      <c r="H559" s="301">
        <v>0</v>
      </c>
      <c r="I559" s="301">
        <v>0</v>
      </c>
      <c r="J559" s="301">
        <v>0</v>
      </c>
      <c r="K559" s="302">
        <v>0</v>
      </c>
      <c r="L559" s="301">
        <v>0</v>
      </c>
      <c r="M559" s="301">
        <v>632456.41</v>
      </c>
      <c r="N559" s="301">
        <v>0</v>
      </c>
      <c r="O559" s="301">
        <v>0</v>
      </c>
      <c r="P559" s="301">
        <v>0</v>
      </c>
      <c r="Q559" s="301">
        <v>0</v>
      </c>
      <c r="R559" s="301">
        <v>0</v>
      </c>
      <c r="S559" s="301">
        <v>0</v>
      </c>
      <c r="T559" s="301">
        <v>0</v>
      </c>
      <c r="U559" s="301">
        <v>0</v>
      </c>
      <c r="V559" s="301">
        <v>0</v>
      </c>
      <c r="W559" s="301">
        <v>0</v>
      </c>
      <c r="X559" s="301">
        <v>0</v>
      </c>
      <c r="Y559" s="301">
        <v>0</v>
      </c>
      <c r="Z559" s="301">
        <v>0</v>
      </c>
      <c r="AA559" s="301">
        <v>0</v>
      </c>
      <c r="AB559" s="303">
        <v>2020</v>
      </c>
    </row>
    <row r="560" spans="1:28" ht="35.25" customHeight="1" x14ac:dyDescent="0.5">
      <c r="A560">
        <v>1</v>
      </c>
      <c r="B560" s="80">
        <f>SUBTOTAL(103,$A$9:A560)</f>
        <v>544</v>
      </c>
      <c r="C560" s="300" t="s">
        <v>2246</v>
      </c>
      <c r="D560" s="296">
        <f t="shared" si="18"/>
        <v>739200.25</v>
      </c>
      <c r="E560" s="301">
        <v>0</v>
      </c>
      <c r="F560" s="301">
        <v>0</v>
      </c>
      <c r="G560" s="301">
        <v>0</v>
      </c>
      <c r="H560" s="301">
        <v>0</v>
      </c>
      <c r="I560" s="301">
        <v>0</v>
      </c>
      <c r="J560" s="301">
        <v>0</v>
      </c>
      <c r="K560" s="302">
        <v>0</v>
      </c>
      <c r="L560" s="301">
        <v>0</v>
      </c>
      <c r="M560" s="301">
        <v>0</v>
      </c>
      <c r="N560" s="301">
        <v>0</v>
      </c>
      <c r="O560" s="301">
        <v>739200.25</v>
      </c>
      <c r="P560" s="301">
        <v>0</v>
      </c>
      <c r="Q560" s="301">
        <v>0</v>
      </c>
      <c r="R560" s="301">
        <v>0</v>
      </c>
      <c r="S560" s="301">
        <v>0</v>
      </c>
      <c r="T560" s="301">
        <v>0</v>
      </c>
      <c r="U560" s="301">
        <v>0</v>
      </c>
      <c r="V560" s="301">
        <v>0</v>
      </c>
      <c r="W560" s="301">
        <v>0</v>
      </c>
      <c r="X560" s="301">
        <v>0</v>
      </c>
      <c r="Y560" s="301">
        <v>0</v>
      </c>
      <c r="Z560" s="301">
        <v>0</v>
      </c>
      <c r="AA560" s="301">
        <v>0</v>
      </c>
      <c r="AB560" s="303">
        <v>2020</v>
      </c>
    </row>
    <row r="561" spans="1:28" ht="35.25" customHeight="1" x14ac:dyDescent="0.5">
      <c r="A561">
        <v>1</v>
      </c>
      <c r="B561" s="80">
        <f>SUBTOTAL(103,$A$9:A561)</f>
        <v>545</v>
      </c>
      <c r="C561" s="300" t="s">
        <v>2247</v>
      </c>
      <c r="D561" s="296">
        <f t="shared" si="18"/>
        <v>418000.41</v>
      </c>
      <c r="E561" s="301">
        <v>0</v>
      </c>
      <c r="F561" s="301">
        <v>0</v>
      </c>
      <c r="G561" s="301">
        <v>0</v>
      </c>
      <c r="H561" s="301">
        <v>0</v>
      </c>
      <c r="I561" s="301">
        <v>0</v>
      </c>
      <c r="J561" s="301">
        <v>0</v>
      </c>
      <c r="K561" s="302">
        <v>0</v>
      </c>
      <c r="L561" s="301">
        <v>0</v>
      </c>
      <c r="M561" s="301">
        <v>0</v>
      </c>
      <c r="N561" s="301">
        <v>0</v>
      </c>
      <c r="O561" s="301">
        <v>418000.41</v>
      </c>
      <c r="P561" s="301">
        <v>0</v>
      </c>
      <c r="Q561" s="301">
        <v>0</v>
      </c>
      <c r="R561" s="301">
        <v>0</v>
      </c>
      <c r="S561" s="301">
        <v>0</v>
      </c>
      <c r="T561" s="301">
        <v>0</v>
      </c>
      <c r="U561" s="301">
        <v>0</v>
      </c>
      <c r="V561" s="301">
        <v>0</v>
      </c>
      <c r="W561" s="301">
        <v>0</v>
      </c>
      <c r="X561" s="301">
        <v>0</v>
      </c>
      <c r="Y561" s="301">
        <v>0</v>
      </c>
      <c r="Z561" s="301">
        <v>0</v>
      </c>
      <c r="AA561" s="301">
        <v>0</v>
      </c>
      <c r="AB561" s="303">
        <v>2020</v>
      </c>
    </row>
    <row r="562" spans="1:28" ht="35.25" customHeight="1" x14ac:dyDescent="0.5">
      <c r="A562">
        <v>1</v>
      </c>
      <c r="B562" s="80">
        <f>SUBTOTAL(103,$A$9:A562)</f>
        <v>546</v>
      </c>
      <c r="C562" s="300" t="s">
        <v>2248</v>
      </c>
      <c r="D562" s="296">
        <f t="shared" si="18"/>
        <v>985840</v>
      </c>
      <c r="E562" s="301">
        <v>0</v>
      </c>
      <c r="F562" s="301">
        <v>0</v>
      </c>
      <c r="G562" s="301">
        <v>0</v>
      </c>
      <c r="H562" s="301">
        <v>0</v>
      </c>
      <c r="I562" s="301">
        <v>0</v>
      </c>
      <c r="J562" s="301">
        <v>0</v>
      </c>
      <c r="K562" s="302">
        <v>0</v>
      </c>
      <c r="L562" s="301">
        <v>0</v>
      </c>
      <c r="M562" s="301">
        <v>0</v>
      </c>
      <c r="N562" s="301">
        <v>0</v>
      </c>
      <c r="O562" s="301">
        <v>985840</v>
      </c>
      <c r="P562" s="301">
        <v>0</v>
      </c>
      <c r="Q562" s="301">
        <v>0</v>
      </c>
      <c r="R562" s="301">
        <v>0</v>
      </c>
      <c r="S562" s="301">
        <v>0</v>
      </c>
      <c r="T562" s="301">
        <v>0</v>
      </c>
      <c r="U562" s="301">
        <v>0</v>
      </c>
      <c r="V562" s="301">
        <v>0</v>
      </c>
      <c r="W562" s="301">
        <v>0</v>
      </c>
      <c r="X562" s="301">
        <v>0</v>
      </c>
      <c r="Y562" s="301">
        <v>0</v>
      </c>
      <c r="Z562" s="301">
        <v>0</v>
      </c>
      <c r="AA562" s="301">
        <v>0</v>
      </c>
      <c r="AB562" s="303">
        <v>2020</v>
      </c>
    </row>
    <row r="563" spans="1:28" ht="35.25" customHeight="1" x14ac:dyDescent="0.5">
      <c r="A563">
        <v>1</v>
      </c>
      <c r="B563" s="80">
        <f>SUBTOTAL(103,$A$9:A563)</f>
        <v>547</v>
      </c>
      <c r="C563" s="300" t="s">
        <v>2249</v>
      </c>
      <c r="D563" s="296">
        <f t="shared" si="18"/>
        <v>12446983.370000001</v>
      </c>
      <c r="E563" s="301">
        <v>0</v>
      </c>
      <c r="F563" s="301">
        <v>1823253</v>
      </c>
      <c r="G563" s="301">
        <v>0</v>
      </c>
      <c r="H563" s="301">
        <v>0</v>
      </c>
      <c r="I563" s="301">
        <v>0</v>
      </c>
      <c r="J563" s="301">
        <v>0</v>
      </c>
      <c r="K563" s="302">
        <v>0</v>
      </c>
      <c r="L563" s="301">
        <v>0</v>
      </c>
      <c r="M563" s="301">
        <v>3459864</v>
      </c>
      <c r="N563" s="301">
        <v>0</v>
      </c>
      <c r="O563" s="301">
        <f>6114559.5+1049306.87</f>
        <v>7163866.3700000001</v>
      </c>
      <c r="P563" s="301">
        <v>0</v>
      </c>
      <c r="Q563" s="301">
        <v>0</v>
      </c>
      <c r="R563" s="301">
        <v>0</v>
      </c>
      <c r="S563" s="301">
        <v>0</v>
      </c>
      <c r="T563" s="301">
        <v>0</v>
      </c>
      <c r="U563" s="301">
        <v>0</v>
      </c>
      <c r="V563" s="301">
        <v>0</v>
      </c>
      <c r="W563" s="301">
        <v>0</v>
      </c>
      <c r="X563" s="301">
        <v>0</v>
      </c>
      <c r="Y563" s="301">
        <v>0</v>
      </c>
      <c r="Z563" s="301">
        <v>0</v>
      </c>
      <c r="AA563" s="301">
        <v>0</v>
      </c>
      <c r="AB563" s="303">
        <v>2020</v>
      </c>
    </row>
    <row r="564" spans="1:28" ht="35.25" customHeight="1" x14ac:dyDescent="0.5">
      <c r="A564">
        <v>1</v>
      </c>
      <c r="B564" s="80">
        <f>SUBTOTAL(103,$A$9:A564)</f>
        <v>548</v>
      </c>
      <c r="C564" s="300" t="s">
        <v>2412</v>
      </c>
      <c r="D564" s="296">
        <f t="shared" si="18"/>
        <v>6494130</v>
      </c>
      <c r="E564" s="301">
        <v>0</v>
      </c>
      <c r="F564" s="301">
        <v>1414066</v>
      </c>
      <c r="G564" s="301">
        <v>0</v>
      </c>
      <c r="H564" s="301">
        <v>0</v>
      </c>
      <c r="I564" s="301">
        <v>0</v>
      </c>
      <c r="J564" s="301">
        <v>0</v>
      </c>
      <c r="K564" s="302">
        <v>0</v>
      </c>
      <c r="L564" s="301">
        <v>0</v>
      </c>
      <c r="M564" s="301">
        <v>0</v>
      </c>
      <c r="N564" s="301">
        <v>0</v>
      </c>
      <c r="O564" s="301">
        <v>5080064</v>
      </c>
      <c r="P564" s="301">
        <v>0</v>
      </c>
      <c r="Q564" s="301">
        <v>0</v>
      </c>
      <c r="R564" s="301">
        <v>0</v>
      </c>
      <c r="S564" s="301">
        <v>0</v>
      </c>
      <c r="T564" s="301">
        <v>0</v>
      </c>
      <c r="U564" s="301">
        <v>0</v>
      </c>
      <c r="V564" s="301">
        <v>0</v>
      </c>
      <c r="W564" s="301">
        <v>0</v>
      </c>
      <c r="X564" s="301">
        <v>0</v>
      </c>
      <c r="Y564" s="301">
        <v>0</v>
      </c>
      <c r="Z564" s="301">
        <v>0</v>
      </c>
      <c r="AA564" s="301">
        <v>0</v>
      </c>
      <c r="AB564" s="303">
        <v>2020</v>
      </c>
    </row>
    <row r="565" spans="1:28" ht="35.25" customHeight="1" x14ac:dyDescent="0.5">
      <c r="A565">
        <v>1</v>
      </c>
      <c r="B565" s="80">
        <f>SUBTOTAL(103,$A$9:A565)</f>
        <v>549</v>
      </c>
      <c r="C565" s="300" t="s">
        <v>2413</v>
      </c>
      <c r="D565" s="296">
        <f t="shared" si="18"/>
        <v>834824.21</v>
      </c>
      <c r="E565" s="301">
        <v>0</v>
      </c>
      <c r="F565" s="301">
        <v>0</v>
      </c>
      <c r="G565" s="301">
        <v>834824.21</v>
      </c>
      <c r="H565" s="301">
        <v>0</v>
      </c>
      <c r="I565" s="301">
        <v>0</v>
      </c>
      <c r="J565" s="301">
        <v>0</v>
      </c>
      <c r="K565" s="302">
        <v>0</v>
      </c>
      <c r="L565" s="301">
        <v>0</v>
      </c>
      <c r="M565" s="301">
        <v>0</v>
      </c>
      <c r="N565" s="301">
        <v>0</v>
      </c>
      <c r="O565" s="301">
        <v>0</v>
      </c>
      <c r="P565" s="301">
        <v>0</v>
      </c>
      <c r="Q565" s="301">
        <v>0</v>
      </c>
      <c r="R565" s="301">
        <v>0</v>
      </c>
      <c r="S565" s="301">
        <v>0</v>
      </c>
      <c r="T565" s="301">
        <v>0</v>
      </c>
      <c r="U565" s="301">
        <v>0</v>
      </c>
      <c r="V565" s="301">
        <v>0</v>
      </c>
      <c r="W565" s="301">
        <v>0</v>
      </c>
      <c r="X565" s="301">
        <v>0</v>
      </c>
      <c r="Y565" s="301">
        <v>0</v>
      </c>
      <c r="Z565" s="301">
        <v>0</v>
      </c>
      <c r="AA565" s="301">
        <v>0</v>
      </c>
      <c r="AB565" s="303">
        <v>2020</v>
      </c>
    </row>
    <row r="566" spans="1:28" ht="35.25" customHeight="1" x14ac:dyDescent="0.5">
      <c r="A566">
        <v>1</v>
      </c>
      <c r="B566" s="80">
        <f>SUBTOTAL(103,$A$9:A566)</f>
        <v>550</v>
      </c>
      <c r="C566" s="300" t="s">
        <v>2414</v>
      </c>
      <c r="D566" s="296">
        <f t="shared" si="18"/>
        <v>612901</v>
      </c>
      <c r="E566" s="301">
        <v>0</v>
      </c>
      <c r="F566" s="301">
        <v>0</v>
      </c>
      <c r="G566" s="301">
        <v>612901</v>
      </c>
      <c r="H566" s="301">
        <v>0</v>
      </c>
      <c r="I566" s="301">
        <v>0</v>
      </c>
      <c r="J566" s="301">
        <v>0</v>
      </c>
      <c r="K566" s="302">
        <v>0</v>
      </c>
      <c r="L566" s="301">
        <v>0</v>
      </c>
      <c r="M566" s="301">
        <v>0</v>
      </c>
      <c r="N566" s="301">
        <v>0</v>
      </c>
      <c r="O566" s="301">
        <v>0</v>
      </c>
      <c r="P566" s="301">
        <v>0</v>
      </c>
      <c r="Q566" s="301">
        <v>0</v>
      </c>
      <c r="R566" s="301">
        <v>0</v>
      </c>
      <c r="S566" s="301">
        <v>0</v>
      </c>
      <c r="T566" s="301">
        <v>0</v>
      </c>
      <c r="U566" s="301">
        <v>0</v>
      </c>
      <c r="V566" s="301">
        <v>0</v>
      </c>
      <c r="W566" s="301">
        <v>0</v>
      </c>
      <c r="X566" s="301">
        <v>0</v>
      </c>
      <c r="Y566" s="301">
        <v>0</v>
      </c>
      <c r="Z566" s="301">
        <v>0</v>
      </c>
      <c r="AA566" s="301">
        <v>0</v>
      </c>
      <c r="AB566" s="303">
        <v>2020</v>
      </c>
    </row>
    <row r="567" spans="1:28" ht="35.25" customHeight="1" x14ac:dyDescent="0.5">
      <c r="A567">
        <v>1</v>
      </c>
      <c r="B567" s="80">
        <f>SUBTOTAL(103,$A$9:A567)</f>
        <v>551</v>
      </c>
      <c r="C567" s="300" t="s">
        <v>2415</v>
      </c>
      <c r="D567" s="296">
        <f t="shared" si="18"/>
        <v>354415.42</v>
      </c>
      <c r="E567" s="301">
        <v>0</v>
      </c>
      <c r="F567" s="301">
        <v>0</v>
      </c>
      <c r="G567" s="301">
        <v>354415.42</v>
      </c>
      <c r="H567" s="301">
        <v>0</v>
      </c>
      <c r="I567" s="301">
        <v>0</v>
      </c>
      <c r="J567" s="301">
        <v>0</v>
      </c>
      <c r="K567" s="302">
        <v>0</v>
      </c>
      <c r="L567" s="301">
        <v>0</v>
      </c>
      <c r="M567" s="301">
        <v>0</v>
      </c>
      <c r="N567" s="301">
        <v>0</v>
      </c>
      <c r="O567" s="301">
        <v>0</v>
      </c>
      <c r="P567" s="301">
        <v>0</v>
      </c>
      <c r="Q567" s="301">
        <v>0</v>
      </c>
      <c r="R567" s="301">
        <v>0</v>
      </c>
      <c r="S567" s="301">
        <v>0</v>
      </c>
      <c r="T567" s="301">
        <v>0</v>
      </c>
      <c r="U567" s="301">
        <v>0</v>
      </c>
      <c r="V567" s="301">
        <v>0</v>
      </c>
      <c r="W567" s="301">
        <v>0</v>
      </c>
      <c r="X567" s="301">
        <v>0</v>
      </c>
      <c r="Y567" s="301">
        <v>0</v>
      </c>
      <c r="Z567" s="301">
        <v>0</v>
      </c>
      <c r="AA567" s="301">
        <v>0</v>
      </c>
      <c r="AB567" s="303">
        <v>2020</v>
      </c>
    </row>
    <row r="568" spans="1:28" ht="35.25" customHeight="1" x14ac:dyDescent="0.5">
      <c r="A568">
        <v>1</v>
      </c>
      <c r="B568" s="80">
        <f>SUBTOTAL(103,$A$9:A568)</f>
        <v>552</v>
      </c>
      <c r="C568" s="300" t="s">
        <v>2416</v>
      </c>
      <c r="D568" s="296">
        <f t="shared" si="18"/>
        <v>308983</v>
      </c>
      <c r="E568" s="301">
        <v>0</v>
      </c>
      <c r="F568" s="301">
        <v>0</v>
      </c>
      <c r="G568" s="301">
        <v>0</v>
      </c>
      <c r="H568" s="301">
        <v>0</v>
      </c>
      <c r="I568" s="301">
        <v>0</v>
      </c>
      <c r="J568" s="301">
        <v>0</v>
      </c>
      <c r="K568" s="302">
        <v>0</v>
      </c>
      <c r="L568" s="301">
        <v>0</v>
      </c>
      <c r="M568" s="301">
        <v>0</v>
      </c>
      <c r="N568" s="301">
        <v>0</v>
      </c>
      <c r="O568" s="301">
        <v>308983</v>
      </c>
      <c r="P568" s="301">
        <v>0</v>
      </c>
      <c r="Q568" s="301">
        <v>0</v>
      </c>
      <c r="R568" s="301">
        <v>0</v>
      </c>
      <c r="S568" s="301">
        <v>0</v>
      </c>
      <c r="T568" s="301">
        <v>0</v>
      </c>
      <c r="U568" s="301">
        <v>0</v>
      </c>
      <c r="V568" s="301">
        <v>0</v>
      </c>
      <c r="W568" s="301">
        <v>0</v>
      </c>
      <c r="X568" s="301">
        <v>0</v>
      </c>
      <c r="Y568" s="301">
        <v>0</v>
      </c>
      <c r="Z568" s="301">
        <v>0</v>
      </c>
      <c r="AA568" s="301">
        <v>0</v>
      </c>
      <c r="AB568" s="303">
        <v>2020</v>
      </c>
    </row>
    <row r="569" spans="1:28" ht="35.25" customHeight="1" x14ac:dyDescent="0.5">
      <c r="A569">
        <v>1</v>
      </c>
      <c r="B569" s="80">
        <f>SUBTOTAL(103,$A$9:A569)</f>
        <v>553</v>
      </c>
      <c r="C569" s="300" t="s">
        <v>2417</v>
      </c>
      <c r="D569" s="296">
        <f t="shared" si="18"/>
        <v>406416.66</v>
      </c>
      <c r="E569" s="301">
        <v>0</v>
      </c>
      <c r="F569" s="301">
        <v>0</v>
      </c>
      <c r="G569" s="301">
        <v>0</v>
      </c>
      <c r="H569" s="301">
        <v>0</v>
      </c>
      <c r="I569" s="301">
        <v>0</v>
      </c>
      <c r="J569" s="301">
        <v>0</v>
      </c>
      <c r="K569" s="302">
        <v>0</v>
      </c>
      <c r="L569" s="301">
        <v>0</v>
      </c>
      <c r="M569" s="301">
        <v>0</v>
      </c>
      <c r="N569" s="301">
        <v>0</v>
      </c>
      <c r="O569" s="301">
        <v>406416.66</v>
      </c>
      <c r="P569" s="301">
        <v>0</v>
      </c>
      <c r="Q569" s="301">
        <v>0</v>
      </c>
      <c r="R569" s="301">
        <v>0</v>
      </c>
      <c r="S569" s="301">
        <v>0</v>
      </c>
      <c r="T569" s="301">
        <v>0</v>
      </c>
      <c r="U569" s="301">
        <v>0</v>
      </c>
      <c r="V569" s="301">
        <v>0</v>
      </c>
      <c r="W569" s="301">
        <v>0</v>
      </c>
      <c r="X569" s="301">
        <v>0</v>
      </c>
      <c r="Y569" s="301">
        <v>0</v>
      </c>
      <c r="Z569" s="301">
        <v>0</v>
      </c>
      <c r="AA569" s="301">
        <v>0</v>
      </c>
      <c r="AB569" s="303">
        <v>2020</v>
      </c>
    </row>
    <row r="570" spans="1:28" ht="35.25" customHeight="1" x14ac:dyDescent="0.5">
      <c r="A570">
        <v>1</v>
      </c>
      <c r="B570" s="80">
        <f>SUBTOTAL(103,$A$9:A570)</f>
        <v>554</v>
      </c>
      <c r="C570" s="300" t="s">
        <v>2418</v>
      </c>
      <c r="D570" s="296">
        <f t="shared" si="18"/>
        <v>141060.10999999999</v>
      </c>
      <c r="E570" s="301">
        <v>0</v>
      </c>
      <c r="F570" s="301">
        <v>0</v>
      </c>
      <c r="G570" s="301">
        <v>0</v>
      </c>
      <c r="H570" s="301">
        <v>0</v>
      </c>
      <c r="I570" s="301">
        <v>0</v>
      </c>
      <c r="J570" s="301">
        <v>0</v>
      </c>
      <c r="K570" s="302">
        <v>0</v>
      </c>
      <c r="L570" s="301">
        <v>0</v>
      </c>
      <c r="M570" s="301">
        <v>0</v>
      </c>
      <c r="N570" s="301">
        <v>0</v>
      </c>
      <c r="O570" s="301">
        <v>141060.10999999999</v>
      </c>
      <c r="P570" s="301">
        <v>0</v>
      </c>
      <c r="Q570" s="301">
        <v>0</v>
      </c>
      <c r="R570" s="301">
        <v>0</v>
      </c>
      <c r="S570" s="301">
        <v>0</v>
      </c>
      <c r="T570" s="301">
        <v>0</v>
      </c>
      <c r="U570" s="301">
        <v>0</v>
      </c>
      <c r="V570" s="301">
        <v>0</v>
      </c>
      <c r="W570" s="301">
        <v>0</v>
      </c>
      <c r="X570" s="301">
        <v>0</v>
      </c>
      <c r="Y570" s="301">
        <v>0</v>
      </c>
      <c r="Z570" s="301">
        <v>0</v>
      </c>
      <c r="AA570" s="301">
        <v>0</v>
      </c>
      <c r="AB570" s="303">
        <v>2020</v>
      </c>
    </row>
    <row r="571" spans="1:28" ht="35.25" customHeight="1" x14ac:dyDescent="0.5">
      <c r="A571">
        <v>1</v>
      </c>
      <c r="B571" s="80">
        <f>SUBTOTAL(103,$A$9:A571)</f>
        <v>555</v>
      </c>
      <c r="C571" s="300" t="s">
        <v>2608</v>
      </c>
      <c r="D571" s="296">
        <f t="shared" si="18"/>
        <v>1295228</v>
      </c>
      <c r="E571" s="301">
        <v>0</v>
      </c>
      <c r="F571" s="301">
        <v>0</v>
      </c>
      <c r="G571" s="301">
        <v>0</v>
      </c>
      <c r="H571" s="301">
        <v>0</v>
      </c>
      <c r="I571" s="301">
        <v>0</v>
      </c>
      <c r="J571" s="301">
        <v>0</v>
      </c>
      <c r="K571" s="302">
        <v>0</v>
      </c>
      <c r="L571" s="301">
        <v>0</v>
      </c>
      <c r="M571" s="301">
        <v>0</v>
      </c>
      <c r="N571" s="301">
        <v>0</v>
      </c>
      <c r="O571" s="301">
        <v>1295228</v>
      </c>
      <c r="P571" s="301">
        <v>0</v>
      </c>
      <c r="Q571" s="301">
        <v>0</v>
      </c>
      <c r="R571" s="301">
        <v>0</v>
      </c>
      <c r="S571" s="301">
        <v>0</v>
      </c>
      <c r="T571" s="301">
        <v>0</v>
      </c>
      <c r="U571" s="301">
        <v>0</v>
      </c>
      <c r="V571" s="301">
        <v>0</v>
      </c>
      <c r="W571" s="301">
        <v>0</v>
      </c>
      <c r="X571" s="301">
        <v>0</v>
      </c>
      <c r="Y571" s="301">
        <v>0</v>
      </c>
      <c r="Z571" s="301">
        <v>0</v>
      </c>
      <c r="AA571" s="301">
        <v>0</v>
      </c>
      <c r="AB571" s="303">
        <v>2020</v>
      </c>
    </row>
    <row r="572" spans="1:28" ht="35.25" customHeight="1" x14ac:dyDescent="0.5">
      <c r="A572">
        <v>1</v>
      </c>
      <c r="B572" s="80">
        <f>SUBTOTAL(103,$A$9:A572)</f>
        <v>556</v>
      </c>
      <c r="C572" s="300" t="s">
        <v>2609</v>
      </c>
      <c r="D572" s="296">
        <f t="shared" si="18"/>
        <v>875600.58</v>
      </c>
      <c r="E572" s="301">
        <v>0</v>
      </c>
      <c r="F572" s="301">
        <v>0</v>
      </c>
      <c r="G572" s="301">
        <v>0</v>
      </c>
      <c r="H572" s="301">
        <v>0</v>
      </c>
      <c r="I572" s="301">
        <v>0</v>
      </c>
      <c r="J572" s="301">
        <v>0</v>
      </c>
      <c r="K572" s="302">
        <v>0</v>
      </c>
      <c r="L572" s="301">
        <v>0</v>
      </c>
      <c r="M572" s="301">
        <v>0</v>
      </c>
      <c r="N572" s="301">
        <v>0</v>
      </c>
      <c r="O572" s="301">
        <v>875600.58</v>
      </c>
      <c r="P572" s="301">
        <v>0</v>
      </c>
      <c r="Q572" s="301">
        <v>0</v>
      </c>
      <c r="R572" s="301">
        <v>0</v>
      </c>
      <c r="S572" s="301">
        <v>0</v>
      </c>
      <c r="T572" s="301">
        <v>0</v>
      </c>
      <c r="U572" s="301">
        <v>0</v>
      </c>
      <c r="V572" s="301">
        <v>0</v>
      </c>
      <c r="W572" s="301">
        <v>0</v>
      </c>
      <c r="X572" s="301">
        <v>0</v>
      </c>
      <c r="Y572" s="301">
        <v>0</v>
      </c>
      <c r="Z572" s="301">
        <v>0</v>
      </c>
      <c r="AA572" s="301">
        <v>0</v>
      </c>
      <c r="AB572" s="303">
        <v>2020</v>
      </c>
    </row>
    <row r="573" spans="1:28" ht="35.25" customHeight="1" x14ac:dyDescent="0.5">
      <c r="A573">
        <v>1</v>
      </c>
      <c r="B573" s="80">
        <f>SUBTOTAL(103,$A$9:A573)</f>
        <v>557</v>
      </c>
      <c r="C573" s="300" t="s">
        <v>2610</v>
      </c>
      <c r="D573" s="296">
        <f t="shared" si="18"/>
        <v>1100536.3400000001</v>
      </c>
      <c r="E573" s="301">
        <v>0</v>
      </c>
      <c r="F573" s="301">
        <v>0</v>
      </c>
      <c r="G573" s="301">
        <v>0</v>
      </c>
      <c r="H573" s="301">
        <v>0</v>
      </c>
      <c r="I573" s="301">
        <v>0</v>
      </c>
      <c r="J573" s="301">
        <v>0</v>
      </c>
      <c r="K573" s="302">
        <v>0</v>
      </c>
      <c r="L573" s="301">
        <v>0</v>
      </c>
      <c r="M573" s="301">
        <v>1100536.3400000001</v>
      </c>
      <c r="N573" s="301">
        <v>0</v>
      </c>
      <c r="O573" s="301">
        <v>0</v>
      </c>
      <c r="P573" s="301">
        <v>0</v>
      </c>
      <c r="Q573" s="301">
        <v>0</v>
      </c>
      <c r="R573" s="301">
        <v>0</v>
      </c>
      <c r="S573" s="301">
        <v>0</v>
      </c>
      <c r="T573" s="301">
        <v>0</v>
      </c>
      <c r="U573" s="301">
        <v>0</v>
      </c>
      <c r="V573" s="301">
        <v>0</v>
      </c>
      <c r="W573" s="301">
        <v>0</v>
      </c>
      <c r="X573" s="301">
        <v>0</v>
      </c>
      <c r="Y573" s="301">
        <v>0</v>
      </c>
      <c r="Z573" s="301">
        <v>0</v>
      </c>
      <c r="AA573" s="301">
        <v>0</v>
      </c>
      <c r="AB573" s="303">
        <v>2020</v>
      </c>
    </row>
    <row r="574" spans="1:28" ht="35.25" customHeight="1" x14ac:dyDescent="0.5">
      <c r="A574">
        <v>1</v>
      </c>
      <c r="B574" s="80">
        <f>SUBTOTAL(103,$A$9:A574)</f>
        <v>558</v>
      </c>
      <c r="C574" s="300" t="s">
        <v>2611</v>
      </c>
      <c r="D574" s="296">
        <f t="shared" si="18"/>
        <v>1388916.8</v>
      </c>
      <c r="E574" s="301">
        <v>0</v>
      </c>
      <c r="F574" s="301">
        <v>0</v>
      </c>
      <c r="G574" s="301">
        <v>0</v>
      </c>
      <c r="H574" s="301">
        <v>0</v>
      </c>
      <c r="I574" s="301">
        <v>0</v>
      </c>
      <c r="J574" s="301">
        <v>0</v>
      </c>
      <c r="K574" s="302">
        <v>0</v>
      </c>
      <c r="L574" s="301">
        <v>0</v>
      </c>
      <c r="M574" s="301">
        <v>1388916.8</v>
      </c>
      <c r="N574" s="301">
        <v>0</v>
      </c>
      <c r="O574" s="301">
        <v>0</v>
      </c>
      <c r="P574" s="301">
        <v>0</v>
      </c>
      <c r="Q574" s="301">
        <v>0</v>
      </c>
      <c r="R574" s="301">
        <v>0</v>
      </c>
      <c r="S574" s="301">
        <v>0</v>
      </c>
      <c r="T574" s="301">
        <v>0</v>
      </c>
      <c r="U574" s="301">
        <v>0</v>
      </c>
      <c r="V574" s="301">
        <v>0</v>
      </c>
      <c r="W574" s="301">
        <v>0</v>
      </c>
      <c r="X574" s="301">
        <v>0</v>
      </c>
      <c r="Y574" s="301">
        <v>0</v>
      </c>
      <c r="Z574" s="301">
        <v>0</v>
      </c>
      <c r="AA574" s="301">
        <v>0</v>
      </c>
      <c r="AB574" s="303">
        <v>2020</v>
      </c>
    </row>
    <row r="575" spans="1:28" ht="35.25" customHeight="1" x14ac:dyDescent="0.5">
      <c r="A575">
        <v>1</v>
      </c>
      <c r="B575" s="80">
        <f>SUBTOTAL(103,$A$9:A575)</f>
        <v>559</v>
      </c>
      <c r="C575" s="300" t="s">
        <v>2612</v>
      </c>
      <c r="D575" s="296">
        <f t="shared" si="18"/>
        <v>5389420</v>
      </c>
      <c r="E575" s="301">
        <v>0</v>
      </c>
      <c r="F575" s="301">
        <v>0</v>
      </c>
      <c r="G575" s="301">
        <v>522696</v>
      </c>
      <c r="H575" s="301">
        <v>0</v>
      </c>
      <c r="I575" s="301">
        <v>51957</v>
      </c>
      <c r="J575" s="301">
        <v>0</v>
      </c>
      <c r="K575" s="302">
        <v>0</v>
      </c>
      <c r="L575" s="301">
        <v>0</v>
      </c>
      <c r="M575" s="301">
        <v>3049160</v>
      </c>
      <c r="N575" s="301">
        <v>0</v>
      </c>
      <c r="O575" s="301">
        <v>1765607</v>
      </c>
      <c r="P575" s="301">
        <v>0</v>
      </c>
      <c r="Q575" s="301">
        <v>0</v>
      </c>
      <c r="R575" s="301">
        <v>0</v>
      </c>
      <c r="S575" s="301">
        <v>0</v>
      </c>
      <c r="T575" s="301">
        <v>0</v>
      </c>
      <c r="U575" s="301">
        <v>0</v>
      </c>
      <c r="V575" s="301">
        <v>0</v>
      </c>
      <c r="W575" s="301">
        <v>0</v>
      </c>
      <c r="X575" s="301">
        <v>0</v>
      </c>
      <c r="Y575" s="301">
        <v>0</v>
      </c>
      <c r="Z575" s="301">
        <v>0</v>
      </c>
      <c r="AA575" s="301">
        <v>0</v>
      </c>
      <c r="AB575" s="303">
        <v>2020</v>
      </c>
    </row>
    <row r="576" spans="1:28" ht="35.25" customHeight="1" x14ac:dyDescent="0.5">
      <c r="A576">
        <v>1</v>
      </c>
      <c r="B576" s="80">
        <f>SUBTOTAL(103,$A$9:A576)</f>
        <v>560</v>
      </c>
      <c r="C576" s="300" t="s">
        <v>2613</v>
      </c>
      <c r="D576" s="296">
        <f t="shared" si="18"/>
        <v>1143559</v>
      </c>
      <c r="E576" s="301">
        <v>0</v>
      </c>
      <c r="F576" s="301">
        <v>0</v>
      </c>
      <c r="G576" s="301">
        <v>0</v>
      </c>
      <c r="H576" s="301">
        <v>0</v>
      </c>
      <c r="I576" s="301">
        <v>0</v>
      </c>
      <c r="J576" s="301">
        <v>0</v>
      </c>
      <c r="K576" s="302">
        <v>0</v>
      </c>
      <c r="L576" s="301">
        <v>0</v>
      </c>
      <c r="M576" s="301">
        <v>0</v>
      </c>
      <c r="N576" s="301">
        <v>0</v>
      </c>
      <c r="O576" s="301">
        <v>1143559</v>
      </c>
      <c r="P576" s="301">
        <v>0</v>
      </c>
      <c r="Q576" s="301">
        <v>0</v>
      </c>
      <c r="R576" s="301">
        <v>0</v>
      </c>
      <c r="S576" s="301">
        <v>0</v>
      </c>
      <c r="T576" s="301">
        <v>0</v>
      </c>
      <c r="U576" s="301">
        <v>0</v>
      </c>
      <c r="V576" s="301">
        <v>0</v>
      </c>
      <c r="W576" s="301">
        <v>0</v>
      </c>
      <c r="X576" s="301">
        <v>0</v>
      </c>
      <c r="Y576" s="301">
        <v>0</v>
      </c>
      <c r="Z576" s="301">
        <v>0</v>
      </c>
      <c r="AA576" s="301">
        <v>0</v>
      </c>
      <c r="AB576" s="303">
        <v>2020</v>
      </c>
    </row>
    <row r="577" spans="1:28" ht="35.25" customHeight="1" x14ac:dyDescent="0.5">
      <c r="A577">
        <v>1</v>
      </c>
      <c r="B577" s="80">
        <f>SUBTOTAL(103,$A$9:A577)</f>
        <v>561</v>
      </c>
      <c r="C577" s="300" t="s">
        <v>2614</v>
      </c>
      <c r="D577" s="296">
        <f t="shared" si="18"/>
        <v>1078018</v>
      </c>
      <c r="E577" s="301">
        <v>0</v>
      </c>
      <c r="F577" s="301">
        <v>0</v>
      </c>
      <c r="G577" s="301">
        <v>0</v>
      </c>
      <c r="H577" s="301">
        <v>0</v>
      </c>
      <c r="I577" s="301">
        <v>0</v>
      </c>
      <c r="J577" s="301">
        <v>0</v>
      </c>
      <c r="K577" s="302">
        <v>0</v>
      </c>
      <c r="L577" s="301">
        <v>0</v>
      </c>
      <c r="M577" s="301">
        <v>0</v>
      </c>
      <c r="N577" s="301">
        <v>0</v>
      </c>
      <c r="O577" s="301">
        <v>1078018</v>
      </c>
      <c r="P577" s="301">
        <v>0</v>
      </c>
      <c r="Q577" s="301">
        <v>0</v>
      </c>
      <c r="R577" s="301">
        <v>0</v>
      </c>
      <c r="S577" s="301">
        <v>0</v>
      </c>
      <c r="T577" s="301">
        <v>0</v>
      </c>
      <c r="U577" s="301">
        <v>0</v>
      </c>
      <c r="V577" s="301">
        <v>0</v>
      </c>
      <c r="W577" s="301">
        <v>0</v>
      </c>
      <c r="X577" s="301">
        <v>0</v>
      </c>
      <c r="Y577" s="301">
        <v>0</v>
      </c>
      <c r="Z577" s="301">
        <v>0</v>
      </c>
      <c r="AA577" s="301">
        <v>0</v>
      </c>
      <c r="AB577" s="303">
        <v>2020</v>
      </c>
    </row>
    <row r="578" spans="1:28" ht="35.25" customHeight="1" x14ac:dyDescent="0.5">
      <c r="A578">
        <v>1</v>
      </c>
      <c r="B578" s="80">
        <f>SUBTOTAL(103,$A$9:A578)</f>
        <v>562</v>
      </c>
      <c r="C578" s="300" t="s">
        <v>2615</v>
      </c>
      <c r="D578" s="296">
        <f t="shared" si="18"/>
        <v>957000.5</v>
      </c>
      <c r="E578" s="301">
        <v>0</v>
      </c>
      <c r="F578" s="301">
        <v>0</v>
      </c>
      <c r="G578" s="301">
        <v>0</v>
      </c>
      <c r="H578" s="301">
        <v>0</v>
      </c>
      <c r="I578" s="301">
        <v>0</v>
      </c>
      <c r="J578" s="301">
        <v>0</v>
      </c>
      <c r="K578" s="302">
        <v>0</v>
      </c>
      <c r="L578" s="301">
        <v>0</v>
      </c>
      <c r="M578" s="301">
        <v>0</v>
      </c>
      <c r="N578" s="301">
        <v>0</v>
      </c>
      <c r="O578" s="301">
        <v>957000.5</v>
      </c>
      <c r="P578" s="301">
        <v>0</v>
      </c>
      <c r="Q578" s="301">
        <v>0</v>
      </c>
      <c r="R578" s="301">
        <v>0</v>
      </c>
      <c r="S578" s="301">
        <v>0</v>
      </c>
      <c r="T578" s="301">
        <v>0</v>
      </c>
      <c r="U578" s="301">
        <v>0</v>
      </c>
      <c r="V578" s="301">
        <v>0</v>
      </c>
      <c r="W578" s="301">
        <v>0</v>
      </c>
      <c r="X578" s="301">
        <v>0</v>
      </c>
      <c r="Y578" s="301">
        <v>0</v>
      </c>
      <c r="Z578" s="301">
        <v>0</v>
      </c>
      <c r="AA578" s="301">
        <v>0</v>
      </c>
      <c r="AB578" s="303">
        <v>2020</v>
      </c>
    </row>
    <row r="579" spans="1:28" ht="35.25" customHeight="1" x14ac:dyDescent="0.5">
      <c r="A579">
        <v>1</v>
      </c>
      <c r="B579" s="80">
        <f>SUBTOTAL(103,$A$9:A579)</f>
        <v>563</v>
      </c>
      <c r="C579" s="300" t="s">
        <v>2616</v>
      </c>
      <c r="D579" s="296">
        <f t="shared" si="18"/>
        <v>2850000.85</v>
      </c>
      <c r="E579" s="301">
        <v>0</v>
      </c>
      <c r="F579" s="301">
        <v>0</v>
      </c>
      <c r="G579" s="301">
        <v>0</v>
      </c>
      <c r="H579" s="301">
        <v>0</v>
      </c>
      <c r="I579" s="301">
        <v>0</v>
      </c>
      <c r="J579" s="301">
        <v>0</v>
      </c>
      <c r="K579" s="302">
        <v>0</v>
      </c>
      <c r="L579" s="301">
        <v>0</v>
      </c>
      <c r="M579" s="301">
        <v>2850000.85</v>
      </c>
      <c r="N579" s="301">
        <v>0</v>
      </c>
      <c r="O579" s="301">
        <v>0</v>
      </c>
      <c r="P579" s="301">
        <v>0</v>
      </c>
      <c r="Q579" s="301">
        <v>0</v>
      </c>
      <c r="R579" s="301">
        <v>0</v>
      </c>
      <c r="S579" s="301">
        <v>0</v>
      </c>
      <c r="T579" s="301">
        <v>0</v>
      </c>
      <c r="U579" s="301">
        <v>0</v>
      </c>
      <c r="V579" s="301">
        <v>0</v>
      </c>
      <c r="W579" s="301">
        <v>0</v>
      </c>
      <c r="X579" s="301">
        <v>0</v>
      </c>
      <c r="Y579" s="301">
        <v>0</v>
      </c>
      <c r="Z579" s="301">
        <v>0</v>
      </c>
      <c r="AA579" s="301">
        <v>0</v>
      </c>
      <c r="AB579" s="303">
        <v>2020</v>
      </c>
    </row>
    <row r="580" spans="1:28" ht="35.25" customHeight="1" x14ac:dyDescent="0.5">
      <c r="A580">
        <v>1</v>
      </c>
      <c r="B580" s="80">
        <f>SUBTOTAL(103,$A$9:A580)</f>
        <v>564</v>
      </c>
      <c r="C580" s="300" t="s">
        <v>2617</v>
      </c>
      <c r="D580" s="296">
        <f t="shared" si="18"/>
        <v>2400000.56</v>
      </c>
      <c r="E580" s="301">
        <v>0</v>
      </c>
      <c r="F580" s="301">
        <v>0</v>
      </c>
      <c r="G580" s="301">
        <v>0</v>
      </c>
      <c r="H580" s="301">
        <v>0</v>
      </c>
      <c r="I580" s="301">
        <v>0</v>
      </c>
      <c r="J580" s="301">
        <v>0</v>
      </c>
      <c r="K580" s="302">
        <v>0</v>
      </c>
      <c r="L580" s="301">
        <v>0</v>
      </c>
      <c r="M580" s="301">
        <v>2400000.56</v>
      </c>
      <c r="N580" s="301">
        <v>0</v>
      </c>
      <c r="O580" s="301">
        <v>0</v>
      </c>
      <c r="P580" s="301">
        <v>0</v>
      </c>
      <c r="Q580" s="301">
        <v>0</v>
      </c>
      <c r="R580" s="301">
        <v>0</v>
      </c>
      <c r="S580" s="301">
        <v>0</v>
      </c>
      <c r="T580" s="301">
        <v>0</v>
      </c>
      <c r="U580" s="301">
        <v>0</v>
      </c>
      <c r="V580" s="301">
        <v>0</v>
      </c>
      <c r="W580" s="301">
        <v>0</v>
      </c>
      <c r="X580" s="301">
        <v>0</v>
      </c>
      <c r="Y580" s="301">
        <v>0</v>
      </c>
      <c r="Z580" s="301">
        <v>0</v>
      </c>
      <c r="AA580" s="301">
        <v>0</v>
      </c>
      <c r="AB580" s="303">
        <v>2020</v>
      </c>
    </row>
    <row r="581" spans="1:28" ht="35.25" customHeight="1" x14ac:dyDescent="0.5">
      <c r="A581">
        <v>1</v>
      </c>
      <c r="B581" s="80">
        <f>SUBTOTAL(103,$A$9:A581)</f>
        <v>565</v>
      </c>
      <c r="C581" s="300" t="s">
        <v>2618</v>
      </c>
      <c r="D581" s="296">
        <f t="shared" si="18"/>
        <v>155887.62</v>
      </c>
      <c r="E581" s="301">
        <v>0</v>
      </c>
      <c r="F581" s="301">
        <v>0</v>
      </c>
      <c r="G581" s="301">
        <v>155887.62</v>
      </c>
      <c r="H581" s="301">
        <v>0</v>
      </c>
      <c r="I581" s="301">
        <v>0</v>
      </c>
      <c r="J581" s="301">
        <v>0</v>
      </c>
      <c r="K581" s="302">
        <v>0</v>
      </c>
      <c r="L581" s="301">
        <v>0</v>
      </c>
      <c r="M581" s="301">
        <v>0</v>
      </c>
      <c r="N581" s="301">
        <v>0</v>
      </c>
      <c r="O581" s="301">
        <v>0</v>
      </c>
      <c r="P581" s="301">
        <v>0</v>
      </c>
      <c r="Q581" s="301">
        <v>0</v>
      </c>
      <c r="R581" s="301">
        <v>0</v>
      </c>
      <c r="S581" s="301">
        <v>0</v>
      </c>
      <c r="T581" s="301">
        <v>0</v>
      </c>
      <c r="U581" s="301">
        <v>0</v>
      </c>
      <c r="V581" s="301">
        <v>0</v>
      </c>
      <c r="W581" s="301">
        <v>0</v>
      </c>
      <c r="X581" s="301">
        <v>0</v>
      </c>
      <c r="Y581" s="301">
        <v>0</v>
      </c>
      <c r="Z581" s="301">
        <v>0</v>
      </c>
      <c r="AA581" s="301">
        <v>0</v>
      </c>
      <c r="AB581" s="303">
        <v>2020</v>
      </c>
    </row>
    <row r="582" spans="1:28" ht="35.25" customHeight="1" x14ac:dyDescent="0.5">
      <c r="A582">
        <v>1</v>
      </c>
      <c r="B582" s="80">
        <f>SUBTOTAL(103,$A$9:A582)</f>
        <v>566</v>
      </c>
      <c r="C582" s="300" t="s">
        <v>2619</v>
      </c>
      <c r="D582" s="296">
        <f t="shared" si="18"/>
        <v>1720062.01</v>
      </c>
      <c r="E582" s="301">
        <v>0</v>
      </c>
      <c r="F582" s="301">
        <v>0</v>
      </c>
      <c r="G582" s="301">
        <v>0</v>
      </c>
      <c r="H582" s="301">
        <v>0</v>
      </c>
      <c r="I582" s="301">
        <v>0</v>
      </c>
      <c r="J582" s="301">
        <v>0</v>
      </c>
      <c r="K582" s="302">
        <v>0</v>
      </c>
      <c r="L582" s="301">
        <v>0</v>
      </c>
      <c r="M582" s="301">
        <v>1720062.01</v>
      </c>
      <c r="N582" s="301">
        <v>0</v>
      </c>
      <c r="O582" s="301">
        <v>0</v>
      </c>
      <c r="P582" s="301">
        <v>0</v>
      </c>
      <c r="Q582" s="301">
        <v>0</v>
      </c>
      <c r="R582" s="301">
        <v>0</v>
      </c>
      <c r="S582" s="301">
        <v>0</v>
      </c>
      <c r="T582" s="301">
        <v>0</v>
      </c>
      <c r="U582" s="301">
        <v>0</v>
      </c>
      <c r="V582" s="301">
        <v>0</v>
      </c>
      <c r="W582" s="301">
        <v>0</v>
      </c>
      <c r="X582" s="301">
        <v>0</v>
      </c>
      <c r="Y582" s="301">
        <v>0</v>
      </c>
      <c r="Z582" s="301">
        <v>0</v>
      </c>
      <c r="AA582" s="301">
        <v>0</v>
      </c>
      <c r="AB582" s="303">
        <v>2020</v>
      </c>
    </row>
    <row r="583" spans="1:28" ht="35.25" customHeight="1" x14ac:dyDescent="0.5">
      <c r="A583">
        <v>1</v>
      </c>
      <c r="B583" s="80">
        <f>SUBTOTAL(103,$A$9:A583)</f>
        <v>567</v>
      </c>
      <c r="C583" s="300" t="s">
        <v>2709</v>
      </c>
      <c r="D583" s="296">
        <f t="shared" si="18"/>
        <v>384630</v>
      </c>
      <c r="E583" s="301">
        <v>0</v>
      </c>
      <c r="F583" s="301">
        <v>0</v>
      </c>
      <c r="G583" s="301">
        <v>384630</v>
      </c>
      <c r="H583" s="301">
        <v>0</v>
      </c>
      <c r="I583" s="301">
        <v>0</v>
      </c>
      <c r="J583" s="301">
        <v>0</v>
      </c>
      <c r="K583" s="302">
        <v>0</v>
      </c>
      <c r="L583" s="301">
        <v>0</v>
      </c>
      <c r="M583" s="301">
        <v>0</v>
      </c>
      <c r="N583" s="301">
        <v>0</v>
      </c>
      <c r="O583" s="301">
        <v>0</v>
      </c>
      <c r="P583" s="301">
        <v>0</v>
      </c>
      <c r="Q583" s="301">
        <v>0</v>
      </c>
      <c r="R583" s="301">
        <v>0</v>
      </c>
      <c r="S583" s="301">
        <v>0</v>
      </c>
      <c r="T583" s="301">
        <v>0</v>
      </c>
      <c r="U583" s="301">
        <v>0</v>
      </c>
      <c r="V583" s="301">
        <v>0</v>
      </c>
      <c r="W583" s="301">
        <v>0</v>
      </c>
      <c r="X583" s="301">
        <v>0</v>
      </c>
      <c r="Y583" s="301">
        <v>0</v>
      </c>
      <c r="Z583" s="301">
        <v>0</v>
      </c>
      <c r="AA583" s="301">
        <v>0</v>
      </c>
      <c r="AB583" s="303">
        <v>2020</v>
      </c>
    </row>
    <row r="584" spans="1:28" ht="35.25" customHeight="1" x14ac:dyDescent="0.5">
      <c r="A584">
        <v>1</v>
      </c>
      <c r="B584" s="80">
        <f>SUBTOTAL(103,$A$9:A584)</f>
        <v>568</v>
      </c>
      <c r="C584" s="300" t="s">
        <v>3185</v>
      </c>
      <c r="D584" s="296">
        <f t="shared" si="18"/>
        <v>1145700</v>
      </c>
      <c r="E584" s="301">
        <v>0</v>
      </c>
      <c r="F584" s="301">
        <v>0</v>
      </c>
      <c r="G584" s="301">
        <v>0</v>
      </c>
      <c r="H584" s="301">
        <v>0</v>
      </c>
      <c r="I584" s="301">
        <v>0</v>
      </c>
      <c r="J584" s="301">
        <v>0</v>
      </c>
      <c r="K584" s="302">
        <v>0</v>
      </c>
      <c r="L584" s="301">
        <v>0</v>
      </c>
      <c r="M584" s="301">
        <v>0</v>
      </c>
      <c r="N584" s="301">
        <v>0</v>
      </c>
      <c r="O584" s="301">
        <v>1145700</v>
      </c>
      <c r="P584" s="301">
        <v>0</v>
      </c>
      <c r="Q584" s="301">
        <v>0</v>
      </c>
      <c r="R584" s="301">
        <v>0</v>
      </c>
      <c r="S584" s="301">
        <v>0</v>
      </c>
      <c r="T584" s="301">
        <v>0</v>
      </c>
      <c r="U584" s="301">
        <v>0</v>
      </c>
      <c r="V584" s="301">
        <v>0</v>
      </c>
      <c r="W584" s="301">
        <v>0</v>
      </c>
      <c r="X584" s="301">
        <v>0</v>
      </c>
      <c r="Y584" s="301">
        <v>0</v>
      </c>
      <c r="Z584" s="301">
        <v>0</v>
      </c>
      <c r="AA584" s="301">
        <v>0</v>
      </c>
      <c r="AB584" s="303">
        <v>2020</v>
      </c>
    </row>
    <row r="585" spans="1:28" ht="35.25" customHeight="1" x14ac:dyDescent="0.5">
      <c r="A585">
        <v>1</v>
      </c>
      <c r="B585" s="80">
        <f>SUBTOTAL(103,$A$9:A585)</f>
        <v>569</v>
      </c>
      <c r="C585" s="300" t="s">
        <v>2037</v>
      </c>
      <c r="D585" s="296">
        <f t="shared" ref="D585:D648" si="19">E585+F585+G585+H585+I585+J585+L585+M585+N585+O585+P585+Q585+R585+S585+T585+U585+V585+W585+X585+Y585+Z585+AA585</f>
        <v>260392.57</v>
      </c>
      <c r="E585" s="301">
        <v>0</v>
      </c>
      <c r="F585" s="301">
        <v>0</v>
      </c>
      <c r="G585" s="301">
        <v>0</v>
      </c>
      <c r="H585" s="301">
        <v>0</v>
      </c>
      <c r="I585" s="301">
        <v>0</v>
      </c>
      <c r="J585" s="301">
        <v>0</v>
      </c>
      <c r="K585" s="302">
        <v>0</v>
      </c>
      <c r="L585" s="301">
        <v>0</v>
      </c>
      <c r="M585" s="301">
        <v>0</v>
      </c>
      <c r="N585" s="301">
        <v>260392.57</v>
      </c>
      <c r="O585" s="301">
        <v>0</v>
      </c>
      <c r="P585" s="301">
        <v>0</v>
      </c>
      <c r="Q585" s="301">
        <v>0</v>
      </c>
      <c r="R585" s="301">
        <v>0</v>
      </c>
      <c r="S585" s="301">
        <v>0</v>
      </c>
      <c r="T585" s="301">
        <v>0</v>
      </c>
      <c r="U585" s="301">
        <v>0</v>
      </c>
      <c r="V585" s="301">
        <v>0</v>
      </c>
      <c r="W585" s="301">
        <v>0</v>
      </c>
      <c r="X585" s="301">
        <v>0</v>
      </c>
      <c r="Y585" s="301">
        <v>0</v>
      </c>
      <c r="Z585" s="301">
        <v>0</v>
      </c>
      <c r="AA585" s="301">
        <v>0</v>
      </c>
      <c r="AB585" s="303">
        <v>2020</v>
      </c>
    </row>
    <row r="586" spans="1:28" ht="35.25" customHeight="1" x14ac:dyDescent="0.5">
      <c r="A586">
        <v>1</v>
      </c>
      <c r="B586" s="80">
        <f>SUBTOTAL(103,$A$9:A586)</f>
        <v>570</v>
      </c>
      <c r="C586" s="300" t="s">
        <v>2042</v>
      </c>
      <c r="D586" s="296">
        <f t="shared" si="19"/>
        <v>297767</v>
      </c>
      <c r="E586" s="301">
        <v>0</v>
      </c>
      <c r="F586" s="301">
        <v>169948</v>
      </c>
      <c r="G586" s="301">
        <v>0</v>
      </c>
      <c r="H586" s="301">
        <v>127819</v>
      </c>
      <c r="I586" s="301">
        <v>0</v>
      </c>
      <c r="J586" s="301">
        <v>0</v>
      </c>
      <c r="K586" s="302">
        <v>0</v>
      </c>
      <c r="L586" s="301">
        <v>0</v>
      </c>
      <c r="M586" s="301">
        <v>0</v>
      </c>
      <c r="N586" s="301">
        <v>0</v>
      </c>
      <c r="O586" s="301">
        <v>0</v>
      </c>
      <c r="P586" s="301">
        <v>0</v>
      </c>
      <c r="Q586" s="301">
        <v>0</v>
      </c>
      <c r="R586" s="301">
        <v>0</v>
      </c>
      <c r="S586" s="301">
        <v>0</v>
      </c>
      <c r="T586" s="301">
        <v>0</v>
      </c>
      <c r="U586" s="301">
        <v>0</v>
      </c>
      <c r="V586" s="301">
        <v>0</v>
      </c>
      <c r="W586" s="301">
        <v>0</v>
      </c>
      <c r="X586" s="301">
        <v>0</v>
      </c>
      <c r="Y586" s="301">
        <v>0</v>
      </c>
      <c r="Z586" s="301">
        <v>0</v>
      </c>
      <c r="AA586" s="301">
        <v>0</v>
      </c>
      <c r="AB586" s="303">
        <v>2020</v>
      </c>
    </row>
    <row r="587" spans="1:28" ht="35.25" customHeight="1" x14ac:dyDescent="0.5">
      <c r="B587" s="300" t="s">
        <v>987</v>
      </c>
      <c r="C587" s="300"/>
      <c r="D587" s="296">
        <f t="shared" si="19"/>
        <v>93546878.659999996</v>
      </c>
      <c r="E587" s="296">
        <f t="shared" ref="E587:AA587" si="20">SUM(E588:E673)</f>
        <v>1420972.2</v>
      </c>
      <c r="F587" s="296">
        <f t="shared" si="20"/>
        <v>5356905.4799999995</v>
      </c>
      <c r="G587" s="296">
        <f t="shared" si="20"/>
        <v>10888375.779999997</v>
      </c>
      <c r="H587" s="296">
        <f t="shared" si="20"/>
        <v>1087356.8899999999</v>
      </c>
      <c r="I587" s="296">
        <f t="shared" si="20"/>
        <v>4564098.0199999996</v>
      </c>
      <c r="J587" s="296">
        <f t="shared" si="20"/>
        <v>0</v>
      </c>
      <c r="K587" s="302">
        <f t="shared" si="20"/>
        <v>8</v>
      </c>
      <c r="L587" s="296">
        <f t="shared" si="20"/>
        <v>12881894</v>
      </c>
      <c r="M587" s="296">
        <f t="shared" si="20"/>
        <v>37586480.82</v>
      </c>
      <c r="N587" s="296">
        <f t="shared" si="20"/>
        <v>1435992.1</v>
      </c>
      <c r="O587" s="296">
        <f t="shared" si="20"/>
        <v>17011408.370000001</v>
      </c>
      <c r="P587" s="296">
        <f t="shared" si="20"/>
        <v>1313395</v>
      </c>
      <c r="Q587" s="296">
        <f t="shared" si="20"/>
        <v>0</v>
      </c>
      <c r="R587" s="296">
        <f t="shared" si="20"/>
        <v>0</v>
      </c>
      <c r="S587" s="296">
        <f t="shared" si="20"/>
        <v>0</v>
      </c>
      <c r="T587" s="296">
        <f t="shared" si="20"/>
        <v>0</v>
      </c>
      <c r="U587" s="296">
        <f t="shared" si="20"/>
        <v>0</v>
      </c>
      <c r="V587" s="296">
        <f t="shared" si="20"/>
        <v>0</v>
      </c>
      <c r="W587" s="296">
        <f t="shared" si="20"/>
        <v>0</v>
      </c>
      <c r="X587" s="296">
        <f t="shared" si="20"/>
        <v>0</v>
      </c>
      <c r="Y587" s="296">
        <f t="shared" si="20"/>
        <v>0</v>
      </c>
      <c r="Z587" s="296">
        <f t="shared" si="20"/>
        <v>0</v>
      </c>
      <c r="AA587" s="296">
        <f t="shared" si="20"/>
        <v>0</v>
      </c>
      <c r="AB587" s="298" t="s">
        <v>835</v>
      </c>
    </row>
    <row r="588" spans="1:28" ht="35.25" customHeight="1" x14ac:dyDescent="0.5">
      <c r="A588">
        <v>1</v>
      </c>
      <c r="B588" s="80">
        <f>SUBTOTAL(103,$A$9:A588)</f>
        <v>571</v>
      </c>
      <c r="C588" s="300" t="s">
        <v>1733</v>
      </c>
      <c r="D588" s="296">
        <f t="shared" si="19"/>
        <v>1638410.4</v>
      </c>
      <c r="E588" s="301">
        <v>576166.81999999995</v>
      </c>
      <c r="F588" s="301">
        <v>799885.96</v>
      </c>
      <c r="G588" s="301">
        <v>0</v>
      </c>
      <c r="H588" s="301">
        <v>262357.62</v>
      </c>
      <c r="I588" s="301">
        <v>0</v>
      </c>
      <c r="J588" s="301">
        <v>0</v>
      </c>
      <c r="K588" s="302">
        <v>0</v>
      </c>
      <c r="L588" s="301">
        <v>0</v>
      </c>
      <c r="M588" s="301">
        <v>0</v>
      </c>
      <c r="N588" s="301">
        <v>0</v>
      </c>
      <c r="O588" s="301">
        <v>0</v>
      </c>
      <c r="P588" s="301">
        <v>0</v>
      </c>
      <c r="Q588" s="301">
        <v>0</v>
      </c>
      <c r="R588" s="301">
        <v>0</v>
      </c>
      <c r="S588" s="301">
        <v>0</v>
      </c>
      <c r="T588" s="301">
        <v>0</v>
      </c>
      <c r="U588" s="301">
        <v>0</v>
      </c>
      <c r="V588" s="301">
        <v>0</v>
      </c>
      <c r="W588" s="301">
        <v>0</v>
      </c>
      <c r="X588" s="301">
        <v>0</v>
      </c>
      <c r="Y588" s="301">
        <v>0</v>
      </c>
      <c r="Z588" s="301">
        <v>0</v>
      </c>
      <c r="AA588" s="301">
        <v>0</v>
      </c>
      <c r="AB588" s="303">
        <v>2020</v>
      </c>
    </row>
    <row r="589" spans="1:28" ht="35.25" customHeight="1" x14ac:dyDescent="0.5">
      <c r="A589">
        <v>1</v>
      </c>
      <c r="B589" s="80">
        <f>SUBTOTAL(103,$A$9:A589)</f>
        <v>572</v>
      </c>
      <c r="C589" s="300" t="s">
        <v>2419</v>
      </c>
      <c r="D589" s="296">
        <f t="shared" si="19"/>
        <v>796377.12</v>
      </c>
      <c r="E589" s="301">
        <v>0</v>
      </c>
      <c r="F589" s="301">
        <v>0</v>
      </c>
      <c r="G589" s="301">
        <v>0</v>
      </c>
      <c r="H589" s="301">
        <v>0</v>
      </c>
      <c r="I589" s="301">
        <v>0</v>
      </c>
      <c r="J589" s="301">
        <v>0</v>
      </c>
      <c r="K589" s="302">
        <v>0</v>
      </c>
      <c r="L589" s="301">
        <v>0</v>
      </c>
      <c r="M589" s="301">
        <v>796377.12</v>
      </c>
      <c r="N589" s="301">
        <v>0</v>
      </c>
      <c r="O589" s="301">
        <v>0</v>
      </c>
      <c r="P589" s="301">
        <v>0</v>
      </c>
      <c r="Q589" s="301">
        <v>0</v>
      </c>
      <c r="R589" s="301">
        <v>0</v>
      </c>
      <c r="S589" s="301">
        <v>0</v>
      </c>
      <c r="T589" s="301">
        <v>0</v>
      </c>
      <c r="U589" s="301">
        <v>0</v>
      </c>
      <c r="V589" s="301">
        <v>0</v>
      </c>
      <c r="W589" s="301">
        <v>0</v>
      </c>
      <c r="X589" s="301">
        <v>0</v>
      </c>
      <c r="Y589" s="301">
        <v>0</v>
      </c>
      <c r="Z589" s="301">
        <v>0</v>
      </c>
      <c r="AA589" s="301">
        <v>0</v>
      </c>
      <c r="AB589" s="303">
        <v>2020</v>
      </c>
    </row>
    <row r="590" spans="1:28" ht="35.25" customHeight="1" x14ac:dyDescent="0.5">
      <c r="A590">
        <v>1</v>
      </c>
      <c r="B590" s="80">
        <f>SUBTOTAL(103,$A$9:A590)</f>
        <v>573</v>
      </c>
      <c r="C590" s="300" t="s">
        <v>1734</v>
      </c>
      <c r="D590" s="296">
        <f t="shared" si="19"/>
        <v>1122303</v>
      </c>
      <c r="E590" s="301">
        <v>0</v>
      </c>
      <c r="F590" s="301">
        <v>0</v>
      </c>
      <c r="G590" s="301">
        <v>312711</v>
      </c>
      <c r="H590" s="301">
        <v>0</v>
      </c>
      <c r="I590" s="301">
        <v>0</v>
      </c>
      <c r="J590" s="301">
        <v>0</v>
      </c>
      <c r="K590" s="302">
        <v>0</v>
      </c>
      <c r="L590" s="301">
        <v>0</v>
      </c>
      <c r="M590" s="301">
        <v>0</v>
      </c>
      <c r="N590" s="301">
        <v>0</v>
      </c>
      <c r="O590" s="301">
        <v>0</v>
      </c>
      <c r="P590" s="301">
        <v>809592</v>
      </c>
      <c r="Q590" s="301">
        <v>0</v>
      </c>
      <c r="R590" s="301">
        <v>0</v>
      </c>
      <c r="S590" s="301">
        <v>0</v>
      </c>
      <c r="T590" s="301">
        <v>0</v>
      </c>
      <c r="U590" s="301">
        <v>0</v>
      </c>
      <c r="V590" s="301">
        <v>0</v>
      </c>
      <c r="W590" s="301">
        <v>0</v>
      </c>
      <c r="X590" s="301">
        <v>0</v>
      </c>
      <c r="Y590" s="301">
        <v>0</v>
      </c>
      <c r="Z590" s="301">
        <v>0</v>
      </c>
      <c r="AA590" s="301">
        <v>0</v>
      </c>
      <c r="AB590" s="303">
        <v>2020</v>
      </c>
    </row>
    <row r="591" spans="1:28" ht="35.25" customHeight="1" x14ac:dyDescent="0.5">
      <c r="A591">
        <v>1</v>
      </c>
      <c r="B591" s="80">
        <f>SUBTOTAL(103,$A$9:A591)</f>
        <v>574</v>
      </c>
      <c r="C591" s="300" t="s">
        <v>1735</v>
      </c>
      <c r="D591" s="296">
        <f t="shared" si="19"/>
        <v>1750000</v>
      </c>
      <c r="E591" s="301">
        <v>0</v>
      </c>
      <c r="F591" s="301">
        <v>0</v>
      </c>
      <c r="G591" s="301">
        <v>0</v>
      </c>
      <c r="H591" s="301">
        <v>0</v>
      </c>
      <c r="I591" s="301">
        <v>0</v>
      </c>
      <c r="J591" s="301">
        <v>0</v>
      </c>
      <c r="K591" s="302">
        <v>1</v>
      </c>
      <c r="L591" s="301">
        <v>1750000</v>
      </c>
      <c r="M591" s="301">
        <v>0</v>
      </c>
      <c r="N591" s="301">
        <v>0</v>
      </c>
      <c r="O591" s="301">
        <v>0</v>
      </c>
      <c r="P591" s="301">
        <v>0</v>
      </c>
      <c r="Q591" s="301">
        <v>0</v>
      </c>
      <c r="R591" s="301">
        <v>0</v>
      </c>
      <c r="S591" s="301">
        <v>0</v>
      </c>
      <c r="T591" s="301">
        <v>0</v>
      </c>
      <c r="U591" s="301">
        <v>0</v>
      </c>
      <c r="V591" s="301">
        <v>0</v>
      </c>
      <c r="W591" s="301">
        <v>0</v>
      </c>
      <c r="X591" s="301">
        <v>0</v>
      </c>
      <c r="Y591" s="301">
        <v>0</v>
      </c>
      <c r="Z591" s="301">
        <v>0</v>
      </c>
      <c r="AA591" s="301">
        <v>0</v>
      </c>
      <c r="AB591" s="303">
        <v>2020</v>
      </c>
    </row>
    <row r="592" spans="1:28" ht="35.25" customHeight="1" x14ac:dyDescent="0.5">
      <c r="A592">
        <v>1</v>
      </c>
      <c r="B592" s="80">
        <f>SUBTOTAL(103,$A$9:A592)</f>
        <v>575</v>
      </c>
      <c r="C592" s="300" t="s">
        <v>1736</v>
      </c>
      <c r="D592" s="296">
        <f t="shared" si="19"/>
        <v>1864634</v>
      </c>
      <c r="E592" s="301">
        <v>0</v>
      </c>
      <c r="F592" s="301">
        <v>0</v>
      </c>
      <c r="G592" s="301">
        <v>0</v>
      </c>
      <c r="H592" s="301">
        <v>0</v>
      </c>
      <c r="I592" s="301">
        <v>0</v>
      </c>
      <c r="J592" s="301">
        <v>0</v>
      </c>
      <c r="K592" s="302">
        <v>1</v>
      </c>
      <c r="L592" s="301">
        <v>1864634</v>
      </c>
      <c r="M592" s="301">
        <v>0</v>
      </c>
      <c r="N592" s="301">
        <v>0</v>
      </c>
      <c r="O592" s="301">
        <v>0</v>
      </c>
      <c r="P592" s="301">
        <v>0</v>
      </c>
      <c r="Q592" s="301">
        <v>0</v>
      </c>
      <c r="R592" s="301">
        <v>0</v>
      </c>
      <c r="S592" s="301">
        <v>0</v>
      </c>
      <c r="T592" s="301">
        <v>0</v>
      </c>
      <c r="U592" s="301">
        <v>0</v>
      </c>
      <c r="V592" s="301">
        <v>0</v>
      </c>
      <c r="W592" s="301">
        <v>0</v>
      </c>
      <c r="X592" s="301">
        <v>0</v>
      </c>
      <c r="Y592" s="301">
        <v>0</v>
      </c>
      <c r="Z592" s="301">
        <v>0</v>
      </c>
      <c r="AA592" s="301">
        <v>0</v>
      </c>
      <c r="AB592" s="303">
        <v>2020</v>
      </c>
    </row>
    <row r="593" spans="1:28" ht="35.25" customHeight="1" x14ac:dyDescent="0.5">
      <c r="A593">
        <v>1</v>
      </c>
      <c r="B593" s="80">
        <f>SUBTOTAL(103,$A$9:A593)</f>
        <v>576</v>
      </c>
      <c r="C593" s="300" t="s">
        <v>1737</v>
      </c>
      <c r="D593" s="296">
        <f t="shared" si="19"/>
        <v>310860</v>
      </c>
      <c r="E593" s="301">
        <v>0</v>
      </c>
      <c r="F593" s="301">
        <v>0</v>
      </c>
      <c r="G593" s="301">
        <v>0</v>
      </c>
      <c r="H593" s="301">
        <v>0</v>
      </c>
      <c r="I593" s="301">
        <v>0</v>
      </c>
      <c r="J593" s="301">
        <v>0</v>
      </c>
      <c r="K593" s="302">
        <v>0</v>
      </c>
      <c r="L593" s="301">
        <v>0</v>
      </c>
      <c r="M593" s="301">
        <v>0</v>
      </c>
      <c r="N593" s="301">
        <v>0</v>
      </c>
      <c r="O593" s="301">
        <v>310860</v>
      </c>
      <c r="P593" s="301">
        <v>0</v>
      </c>
      <c r="Q593" s="301">
        <v>0</v>
      </c>
      <c r="R593" s="301">
        <v>0</v>
      </c>
      <c r="S593" s="301">
        <v>0</v>
      </c>
      <c r="T593" s="301">
        <v>0</v>
      </c>
      <c r="U593" s="301">
        <v>0</v>
      </c>
      <c r="V593" s="301">
        <v>0</v>
      </c>
      <c r="W593" s="301">
        <v>0</v>
      </c>
      <c r="X593" s="301">
        <v>0</v>
      </c>
      <c r="Y593" s="301">
        <v>0</v>
      </c>
      <c r="Z593" s="301">
        <v>0</v>
      </c>
      <c r="AA593" s="301">
        <v>0</v>
      </c>
      <c r="AB593" s="303">
        <v>2020</v>
      </c>
    </row>
    <row r="594" spans="1:28" ht="35.25" customHeight="1" x14ac:dyDescent="0.5">
      <c r="A594">
        <v>1</v>
      </c>
      <c r="B594" s="80">
        <f>SUBTOTAL(103,$A$9:A594)</f>
        <v>577</v>
      </c>
      <c r="C594" s="300" t="s">
        <v>1738</v>
      </c>
      <c r="D594" s="296">
        <f t="shared" si="19"/>
        <v>209441.4</v>
      </c>
      <c r="E594" s="301">
        <v>0</v>
      </c>
      <c r="F594" s="301">
        <v>0</v>
      </c>
      <c r="G594" s="301">
        <v>209441.4</v>
      </c>
      <c r="H594" s="301">
        <v>0</v>
      </c>
      <c r="I594" s="301">
        <v>0</v>
      </c>
      <c r="J594" s="301">
        <v>0</v>
      </c>
      <c r="K594" s="302">
        <v>0</v>
      </c>
      <c r="L594" s="301">
        <v>0</v>
      </c>
      <c r="M594" s="301">
        <v>0</v>
      </c>
      <c r="N594" s="301">
        <v>0</v>
      </c>
      <c r="O594" s="301">
        <v>0</v>
      </c>
      <c r="P594" s="301">
        <v>0</v>
      </c>
      <c r="Q594" s="301">
        <v>0</v>
      </c>
      <c r="R594" s="301">
        <v>0</v>
      </c>
      <c r="S594" s="301">
        <v>0</v>
      </c>
      <c r="T594" s="301">
        <v>0</v>
      </c>
      <c r="U594" s="301">
        <v>0</v>
      </c>
      <c r="V594" s="301">
        <v>0</v>
      </c>
      <c r="W594" s="301">
        <v>0</v>
      </c>
      <c r="X594" s="301">
        <v>0</v>
      </c>
      <c r="Y594" s="301">
        <v>0</v>
      </c>
      <c r="Z594" s="301">
        <v>0</v>
      </c>
      <c r="AA594" s="301">
        <v>0</v>
      </c>
      <c r="AB594" s="303">
        <v>2020</v>
      </c>
    </row>
    <row r="595" spans="1:28" ht="35.25" customHeight="1" x14ac:dyDescent="0.5">
      <c r="A595">
        <v>1</v>
      </c>
      <c r="B595" s="80">
        <f>SUBTOTAL(103,$A$9:A595)</f>
        <v>578</v>
      </c>
      <c r="C595" s="300" t="s">
        <v>1739</v>
      </c>
      <c r="D595" s="296">
        <f t="shared" si="19"/>
        <v>944850</v>
      </c>
      <c r="E595" s="301">
        <v>0</v>
      </c>
      <c r="F595" s="301">
        <v>0</v>
      </c>
      <c r="G595" s="301">
        <v>47050</v>
      </c>
      <c r="H595" s="301">
        <v>0</v>
      </c>
      <c r="I595" s="301">
        <v>0</v>
      </c>
      <c r="J595" s="301">
        <v>0</v>
      </c>
      <c r="K595" s="302">
        <v>0</v>
      </c>
      <c r="L595" s="301">
        <v>0</v>
      </c>
      <c r="M595" s="301">
        <v>858000</v>
      </c>
      <c r="N595" s="301">
        <v>39800</v>
      </c>
      <c r="O595" s="301">
        <v>0</v>
      </c>
      <c r="P595" s="301">
        <v>0</v>
      </c>
      <c r="Q595" s="301">
        <v>0</v>
      </c>
      <c r="R595" s="301">
        <v>0</v>
      </c>
      <c r="S595" s="301">
        <v>0</v>
      </c>
      <c r="T595" s="301">
        <v>0</v>
      </c>
      <c r="U595" s="301">
        <v>0</v>
      </c>
      <c r="V595" s="301">
        <v>0</v>
      </c>
      <c r="W595" s="301">
        <v>0</v>
      </c>
      <c r="X595" s="301">
        <v>0</v>
      </c>
      <c r="Y595" s="301">
        <v>0</v>
      </c>
      <c r="Z595" s="301">
        <v>0</v>
      </c>
      <c r="AA595" s="301">
        <v>0</v>
      </c>
      <c r="AB595" s="303">
        <v>2020</v>
      </c>
    </row>
    <row r="596" spans="1:28" ht="35.25" customHeight="1" x14ac:dyDescent="0.5">
      <c r="A596">
        <v>1</v>
      </c>
      <c r="B596" s="80">
        <f>SUBTOTAL(103,$A$9:A596)</f>
        <v>579</v>
      </c>
      <c r="C596" s="300" t="s">
        <v>1740</v>
      </c>
      <c r="D596" s="296">
        <f t="shared" si="19"/>
        <v>258344.1</v>
      </c>
      <c r="E596" s="301">
        <v>0</v>
      </c>
      <c r="F596" s="301">
        <v>0</v>
      </c>
      <c r="G596" s="301">
        <v>0</v>
      </c>
      <c r="H596" s="301">
        <v>0</v>
      </c>
      <c r="I596" s="301">
        <v>0</v>
      </c>
      <c r="J596" s="301">
        <v>0</v>
      </c>
      <c r="K596" s="302">
        <v>0</v>
      </c>
      <c r="L596" s="301">
        <v>0</v>
      </c>
      <c r="M596" s="301">
        <v>0</v>
      </c>
      <c r="N596" s="301">
        <v>258344.1</v>
      </c>
      <c r="O596" s="301">
        <v>0</v>
      </c>
      <c r="P596" s="301">
        <v>0</v>
      </c>
      <c r="Q596" s="301">
        <v>0</v>
      </c>
      <c r="R596" s="301">
        <v>0</v>
      </c>
      <c r="S596" s="301">
        <v>0</v>
      </c>
      <c r="T596" s="301">
        <v>0</v>
      </c>
      <c r="U596" s="301">
        <v>0</v>
      </c>
      <c r="V596" s="301">
        <v>0</v>
      </c>
      <c r="W596" s="301">
        <v>0</v>
      </c>
      <c r="X596" s="301">
        <v>0</v>
      </c>
      <c r="Y596" s="301">
        <v>0</v>
      </c>
      <c r="Z596" s="301">
        <v>0</v>
      </c>
      <c r="AA596" s="301">
        <v>0</v>
      </c>
      <c r="AB596" s="303">
        <v>2020</v>
      </c>
    </row>
    <row r="597" spans="1:28" ht="35.25" customHeight="1" x14ac:dyDescent="0.5">
      <c r="A597">
        <v>1</v>
      </c>
      <c r="B597" s="80">
        <f>SUBTOTAL(103,$A$9:A597)</f>
        <v>580</v>
      </c>
      <c r="C597" s="300" t="s">
        <v>1741</v>
      </c>
      <c r="D597" s="296">
        <f t="shared" si="19"/>
        <v>543814</v>
      </c>
      <c r="E597" s="301">
        <v>0</v>
      </c>
      <c r="F597" s="301">
        <v>0</v>
      </c>
      <c r="G597" s="301">
        <v>0</v>
      </c>
      <c r="H597" s="301">
        <v>0</v>
      </c>
      <c r="I597" s="301">
        <v>0</v>
      </c>
      <c r="J597" s="301">
        <v>0</v>
      </c>
      <c r="K597" s="302">
        <v>0</v>
      </c>
      <c r="L597" s="301">
        <v>0</v>
      </c>
      <c r="M597" s="301">
        <v>543814</v>
      </c>
      <c r="N597" s="301">
        <v>0</v>
      </c>
      <c r="O597" s="301">
        <v>0</v>
      </c>
      <c r="P597" s="301">
        <v>0</v>
      </c>
      <c r="Q597" s="301">
        <v>0</v>
      </c>
      <c r="R597" s="301">
        <v>0</v>
      </c>
      <c r="S597" s="301">
        <v>0</v>
      </c>
      <c r="T597" s="301">
        <v>0</v>
      </c>
      <c r="U597" s="301">
        <v>0</v>
      </c>
      <c r="V597" s="301">
        <v>0</v>
      </c>
      <c r="W597" s="301">
        <v>0</v>
      </c>
      <c r="X597" s="301">
        <v>0</v>
      </c>
      <c r="Y597" s="301">
        <v>0</v>
      </c>
      <c r="Z597" s="301">
        <v>0</v>
      </c>
      <c r="AA597" s="301">
        <v>0</v>
      </c>
      <c r="AB597" s="303">
        <v>2020</v>
      </c>
    </row>
    <row r="598" spans="1:28" ht="35.25" customHeight="1" x14ac:dyDescent="0.5">
      <c r="A598">
        <v>1</v>
      </c>
      <c r="B598" s="80">
        <f>SUBTOTAL(103,$A$9:A598)</f>
        <v>581</v>
      </c>
      <c r="C598" s="300" t="s">
        <v>2420</v>
      </c>
      <c r="D598" s="296">
        <f t="shared" si="19"/>
        <v>228767</v>
      </c>
      <c r="E598" s="301">
        <v>0</v>
      </c>
      <c r="F598" s="301">
        <v>0</v>
      </c>
      <c r="G598" s="301">
        <v>0</v>
      </c>
      <c r="H598" s="301">
        <v>0</v>
      </c>
      <c r="I598" s="301">
        <v>0</v>
      </c>
      <c r="J598" s="301">
        <v>0</v>
      </c>
      <c r="K598" s="302">
        <v>0</v>
      </c>
      <c r="L598" s="301">
        <v>0</v>
      </c>
      <c r="M598" s="301">
        <v>0</v>
      </c>
      <c r="N598" s="301">
        <v>0</v>
      </c>
      <c r="O598" s="301">
        <v>228767</v>
      </c>
      <c r="P598" s="301">
        <v>0</v>
      </c>
      <c r="Q598" s="301">
        <v>0</v>
      </c>
      <c r="R598" s="301">
        <v>0</v>
      </c>
      <c r="S598" s="301">
        <v>0</v>
      </c>
      <c r="T598" s="301">
        <v>0</v>
      </c>
      <c r="U598" s="301">
        <v>0</v>
      </c>
      <c r="V598" s="301">
        <v>0</v>
      </c>
      <c r="W598" s="301">
        <v>0</v>
      </c>
      <c r="X598" s="301">
        <v>0</v>
      </c>
      <c r="Y598" s="301">
        <v>0</v>
      </c>
      <c r="Z598" s="301">
        <v>0</v>
      </c>
      <c r="AA598" s="301">
        <v>0</v>
      </c>
      <c r="AB598" s="303">
        <v>2020</v>
      </c>
    </row>
    <row r="599" spans="1:28" ht="35.25" customHeight="1" x14ac:dyDescent="0.5">
      <c r="A599">
        <v>1</v>
      </c>
      <c r="B599" s="80">
        <f>SUBTOTAL(103,$A$9:A599)</f>
        <v>582</v>
      </c>
      <c r="C599" s="300" t="s">
        <v>2421</v>
      </c>
      <c r="D599" s="296">
        <f t="shared" si="19"/>
        <v>144926.37</v>
      </c>
      <c r="E599" s="301">
        <v>0</v>
      </c>
      <c r="F599" s="301">
        <v>0</v>
      </c>
      <c r="G599" s="301">
        <v>0</v>
      </c>
      <c r="H599" s="301">
        <v>0</v>
      </c>
      <c r="I599" s="301">
        <v>0</v>
      </c>
      <c r="J599" s="301">
        <v>0</v>
      </c>
      <c r="K599" s="302">
        <v>0</v>
      </c>
      <c r="L599" s="301">
        <v>0</v>
      </c>
      <c r="M599" s="301">
        <v>0</v>
      </c>
      <c r="N599" s="301">
        <v>0</v>
      </c>
      <c r="O599" s="301">
        <v>144926.37</v>
      </c>
      <c r="P599" s="301">
        <v>0</v>
      </c>
      <c r="Q599" s="301">
        <v>0</v>
      </c>
      <c r="R599" s="301">
        <v>0</v>
      </c>
      <c r="S599" s="301">
        <v>0</v>
      </c>
      <c r="T599" s="301">
        <v>0</v>
      </c>
      <c r="U599" s="301">
        <v>0</v>
      </c>
      <c r="V599" s="301">
        <v>0</v>
      </c>
      <c r="W599" s="301">
        <v>0</v>
      </c>
      <c r="X599" s="301">
        <v>0</v>
      </c>
      <c r="Y599" s="301">
        <v>0</v>
      </c>
      <c r="Z599" s="301">
        <v>0</v>
      </c>
      <c r="AA599" s="301">
        <v>0</v>
      </c>
      <c r="AB599" s="303">
        <v>2020</v>
      </c>
    </row>
    <row r="600" spans="1:28" ht="35.25" customHeight="1" x14ac:dyDescent="0.5">
      <c r="A600">
        <v>1</v>
      </c>
      <c r="B600" s="80">
        <f>SUBTOTAL(103,$A$9:A600)</f>
        <v>583</v>
      </c>
      <c r="C600" s="300" t="s">
        <v>1742</v>
      </c>
      <c r="D600" s="296">
        <f t="shared" si="19"/>
        <v>1390097</v>
      </c>
      <c r="E600" s="301">
        <v>0</v>
      </c>
      <c r="F600" s="301">
        <v>0</v>
      </c>
      <c r="G600" s="301">
        <v>0</v>
      </c>
      <c r="H600" s="301">
        <v>0</v>
      </c>
      <c r="I600" s="301">
        <v>0</v>
      </c>
      <c r="J600" s="301">
        <v>0</v>
      </c>
      <c r="K600" s="302">
        <v>0</v>
      </c>
      <c r="L600" s="301">
        <v>0</v>
      </c>
      <c r="M600" s="301">
        <v>1390097</v>
      </c>
      <c r="N600" s="301">
        <v>0</v>
      </c>
      <c r="O600" s="301">
        <v>0</v>
      </c>
      <c r="P600" s="301">
        <v>0</v>
      </c>
      <c r="Q600" s="301">
        <v>0</v>
      </c>
      <c r="R600" s="301">
        <v>0</v>
      </c>
      <c r="S600" s="301">
        <v>0</v>
      </c>
      <c r="T600" s="301">
        <v>0</v>
      </c>
      <c r="U600" s="301">
        <v>0</v>
      </c>
      <c r="V600" s="301">
        <v>0</v>
      </c>
      <c r="W600" s="301">
        <v>0</v>
      </c>
      <c r="X600" s="301">
        <v>0</v>
      </c>
      <c r="Y600" s="301">
        <v>0</v>
      </c>
      <c r="Z600" s="301">
        <v>0</v>
      </c>
      <c r="AA600" s="301">
        <v>0</v>
      </c>
      <c r="AB600" s="303">
        <v>2020</v>
      </c>
    </row>
    <row r="601" spans="1:28" ht="35.25" customHeight="1" x14ac:dyDescent="0.5">
      <c r="A601">
        <v>1</v>
      </c>
      <c r="B601" s="80">
        <f>SUBTOTAL(103,$A$9:A601)</f>
        <v>584</v>
      </c>
      <c r="C601" s="300" t="s">
        <v>1743</v>
      </c>
      <c r="D601" s="296">
        <f t="shared" si="19"/>
        <v>2161108</v>
      </c>
      <c r="E601" s="301">
        <v>0</v>
      </c>
      <c r="F601" s="301">
        <v>0</v>
      </c>
      <c r="G601" s="301">
        <v>0</v>
      </c>
      <c r="H601" s="301">
        <v>125812</v>
      </c>
      <c r="I601" s="301">
        <v>0</v>
      </c>
      <c r="J601" s="301">
        <v>0</v>
      </c>
      <c r="K601" s="302">
        <v>1</v>
      </c>
      <c r="L601" s="301">
        <v>82796</v>
      </c>
      <c r="M601" s="301">
        <v>1952500</v>
      </c>
      <c r="N601" s="301">
        <v>0</v>
      </c>
      <c r="O601" s="301">
        <v>0</v>
      </c>
      <c r="P601" s="301">
        <v>0</v>
      </c>
      <c r="Q601" s="301">
        <v>0</v>
      </c>
      <c r="R601" s="301">
        <v>0</v>
      </c>
      <c r="S601" s="301">
        <v>0</v>
      </c>
      <c r="T601" s="301">
        <v>0</v>
      </c>
      <c r="U601" s="301">
        <v>0</v>
      </c>
      <c r="V601" s="301">
        <v>0</v>
      </c>
      <c r="W601" s="301">
        <v>0</v>
      </c>
      <c r="X601" s="301">
        <v>0</v>
      </c>
      <c r="Y601" s="301">
        <v>0</v>
      </c>
      <c r="Z601" s="301">
        <v>0</v>
      </c>
      <c r="AA601" s="301">
        <v>0</v>
      </c>
      <c r="AB601" s="303">
        <v>2020</v>
      </c>
    </row>
    <row r="602" spans="1:28" ht="35.25" customHeight="1" x14ac:dyDescent="0.5">
      <c r="A602">
        <v>1</v>
      </c>
      <c r="B602" s="80">
        <f>SUBTOTAL(103,$A$9:A602)</f>
        <v>585</v>
      </c>
      <c r="C602" s="300" t="s">
        <v>1744</v>
      </c>
      <c r="D602" s="296">
        <f t="shared" si="19"/>
        <v>796086</v>
      </c>
      <c r="E602" s="301">
        <v>0</v>
      </c>
      <c r="F602" s="301">
        <v>0</v>
      </c>
      <c r="G602" s="301">
        <v>330086</v>
      </c>
      <c r="H602" s="301">
        <v>0</v>
      </c>
      <c r="I602" s="301">
        <v>0</v>
      </c>
      <c r="J602" s="301">
        <v>0</v>
      </c>
      <c r="K602" s="302">
        <v>0</v>
      </c>
      <c r="L602" s="301">
        <v>0</v>
      </c>
      <c r="M602" s="301">
        <v>266000</v>
      </c>
      <c r="N602" s="301">
        <v>0</v>
      </c>
      <c r="O602" s="301">
        <v>200000</v>
      </c>
      <c r="P602" s="301">
        <v>0</v>
      </c>
      <c r="Q602" s="301">
        <v>0</v>
      </c>
      <c r="R602" s="301">
        <v>0</v>
      </c>
      <c r="S602" s="301">
        <v>0</v>
      </c>
      <c r="T602" s="301">
        <v>0</v>
      </c>
      <c r="U602" s="301">
        <v>0</v>
      </c>
      <c r="V602" s="301">
        <v>0</v>
      </c>
      <c r="W602" s="301">
        <v>0</v>
      </c>
      <c r="X602" s="301">
        <v>0</v>
      </c>
      <c r="Y602" s="301">
        <v>0</v>
      </c>
      <c r="Z602" s="301">
        <v>0</v>
      </c>
      <c r="AA602" s="301">
        <v>0</v>
      </c>
      <c r="AB602" s="303">
        <v>2020</v>
      </c>
    </row>
    <row r="603" spans="1:28" ht="35.25" customHeight="1" x14ac:dyDescent="0.5">
      <c r="A603">
        <v>1</v>
      </c>
      <c r="B603" s="80">
        <f>SUBTOTAL(103,$A$9:A603)</f>
        <v>586</v>
      </c>
      <c r="C603" s="300" t="s">
        <v>2422</v>
      </c>
      <c r="D603" s="296">
        <f t="shared" si="19"/>
        <v>1856000</v>
      </c>
      <c r="E603" s="301">
        <v>0</v>
      </c>
      <c r="F603" s="301">
        <v>0</v>
      </c>
      <c r="G603" s="301">
        <v>0</v>
      </c>
      <c r="H603" s="301">
        <v>0</v>
      </c>
      <c r="I603" s="301">
        <v>0</v>
      </c>
      <c r="J603" s="301">
        <v>0</v>
      </c>
      <c r="K603" s="302">
        <v>1</v>
      </c>
      <c r="L603" s="301">
        <v>1856000</v>
      </c>
      <c r="M603" s="301">
        <v>0</v>
      </c>
      <c r="N603" s="301">
        <v>0</v>
      </c>
      <c r="O603" s="301">
        <v>0</v>
      </c>
      <c r="P603" s="301">
        <v>0</v>
      </c>
      <c r="Q603" s="301">
        <v>0</v>
      </c>
      <c r="R603" s="301">
        <v>0</v>
      </c>
      <c r="S603" s="301">
        <v>0</v>
      </c>
      <c r="T603" s="301">
        <v>0</v>
      </c>
      <c r="U603" s="301">
        <v>0</v>
      </c>
      <c r="V603" s="301">
        <v>0</v>
      </c>
      <c r="W603" s="301">
        <v>0</v>
      </c>
      <c r="X603" s="301">
        <v>0</v>
      </c>
      <c r="Y603" s="301">
        <v>0</v>
      </c>
      <c r="Z603" s="301">
        <v>0</v>
      </c>
      <c r="AA603" s="301">
        <v>0</v>
      </c>
      <c r="AB603" s="303">
        <v>2020</v>
      </c>
    </row>
    <row r="604" spans="1:28" ht="35.25" customHeight="1" x14ac:dyDescent="0.5">
      <c r="A604">
        <v>1</v>
      </c>
      <c r="B604" s="80">
        <f>SUBTOTAL(103,$A$9:A604)</f>
        <v>587</v>
      </c>
      <c r="C604" s="300" t="s">
        <v>1745</v>
      </c>
      <c r="D604" s="296">
        <f t="shared" si="19"/>
        <v>693526</v>
      </c>
      <c r="E604" s="301">
        <v>0</v>
      </c>
      <c r="F604" s="301">
        <v>0</v>
      </c>
      <c r="G604" s="301">
        <v>0</v>
      </c>
      <c r="H604" s="301">
        <v>0</v>
      </c>
      <c r="I604" s="301">
        <v>0</v>
      </c>
      <c r="J604" s="301">
        <v>0</v>
      </c>
      <c r="K604" s="302">
        <v>0</v>
      </c>
      <c r="L604" s="301">
        <v>0</v>
      </c>
      <c r="M604" s="301">
        <v>693526</v>
      </c>
      <c r="N604" s="301">
        <v>0</v>
      </c>
      <c r="O604" s="301">
        <v>0</v>
      </c>
      <c r="P604" s="301">
        <v>0</v>
      </c>
      <c r="Q604" s="301">
        <v>0</v>
      </c>
      <c r="R604" s="301">
        <v>0</v>
      </c>
      <c r="S604" s="301">
        <v>0</v>
      </c>
      <c r="T604" s="301">
        <v>0</v>
      </c>
      <c r="U604" s="301">
        <v>0</v>
      </c>
      <c r="V604" s="301">
        <v>0</v>
      </c>
      <c r="W604" s="301">
        <v>0</v>
      </c>
      <c r="X604" s="301">
        <v>0</v>
      </c>
      <c r="Y604" s="301">
        <v>0</v>
      </c>
      <c r="Z604" s="301">
        <v>0</v>
      </c>
      <c r="AA604" s="301">
        <v>0</v>
      </c>
      <c r="AB604" s="303">
        <v>2020</v>
      </c>
    </row>
    <row r="605" spans="1:28" ht="35.25" customHeight="1" x14ac:dyDescent="0.5">
      <c r="A605">
        <v>1</v>
      </c>
      <c r="B605" s="80">
        <f>SUBTOTAL(103,$A$9:A605)</f>
        <v>588</v>
      </c>
      <c r="C605" s="300" t="s">
        <v>1746</v>
      </c>
      <c r="D605" s="296">
        <f t="shared" si="19"/>
        <v>347354</v>
      </c>
      <c r="E605" s="301">
        <v>0</v>
      </c>
      <c r="F605" s="301">
        <v>0</v>
      </c>
      <c r="G605" s="301">
        <v>0</v>
      </c>
      <c r="H605" s="301">
        <v>0</v>
      </c>
      <c r="I605" s="301">
        <v>347354</v>
      </c>
      <c r="J605" s="301">
        <v>0</v>
      </c>
      <c r="K605" s="302">
        <v>0</v>
      </c>
      <c r="L605" s="301">
        <v>0</v>
      </c>
      <c r="M605" s="301">
        <v>0</v>
      </c>
      <c r="N605" s="301">
        <v>0</v>
      </c>
      <c r="O605" s="301">
        <v>0</v>
      </c>
      <c r="P605" s="301">
        <v>0</v>
      </c>
      <c r="Q605" s="301">
        <v>0</v>
      </c>
      <c r="R605" s="301">
        <v>0</v>
      </c>
      <c r="S605" s="301">
        <v>0</v>
      </c>
      <c r="T605" s="301">
        <v>0</v>
      </c>
      <c r="U605" s="301">
        <v>0</v>
      </c>
      <c r="V605" s="301">
        <v>0</v>
      </c>
      <c r="W605" s="301">
        <v>0</v>
      </c>
      <c r="X605" s="301">
        <v>0</v>
      </c>
      <c r="Y605" s="301">
        <v>0</v>
      </c>
      <c r="Z605" s="301">
        <v>0</v>
      </c>
      <c r="AA605" s="301">
        <v>0</v>
      </c>
      <c r="AB605" s="303">
        <v>2020</v>
      </c>
    </row>
    <row r="606" spans="1:28" ht="35.25" customHeight="1" x14ac:dyDescent="0.5">
      <c r="A606">
        <v>1</v>
      </c>
      <c r="B606" s="80">
        <f>SUBTOTAL(103,$A$9:A606)</f>
        <v>589</v>
      </c>
      <c r="C606" s="300" t="s">
        <v>1747</v>
      </c>
      <c r="D606" s="296">
        <f t="shared" si="19"/>
        <v>1832116</v>
      </c>
      <c r="E606" s="301">
        <v>0</v>
      </c>
      <c r="F606" s="301">
        <v>0</v>
      </c>
      <c r="G606" s="301">
        <v>0</v>
      </c>
      <c r="H606" s="301">
        <v>0</v>
      </c>
      <c r="I606" s="301">
        <v>0</v>
      </c>
      <c r="J606" s="301">
        <v>0</v>
      </c>
      <c r="K606" s="302">
        <v>1</v>
      </c>
      <c r="L606" s="301">
        <v>1832116</v>
      </c>
      <c r="M606" s="301">
        <v>0</v>
      </c>
      <c r="N606" s="301">
        <v>0</v>
      </c>
      <c r="O606" s="301">
        <v>0</v>
      </c>
      <c r="P606" s="301">
        <v>0</v>
      </c>
      <c r="Q606" s="301">
        <v>0</v>
      </c>
      <c r="R606" s="301">
        <v>0</v>
      </c>
      <c r="S606" s="301">
        <v>0</v>
      </c>
      <c r="T606" s="301">
        <v>0</v>
      </c>
      <c r="U606" s="301">
        <v>0</v>
      </c>
      <c r="V606" s="301">
        <v>0</v>
      </c>
      <c r="W606" s="301">
        <v>0</v>
      </c>
      <c r="X606" s="301">
        <v>0</v>
      </c>
      <c r="Y606" s="301">
        <v>0</v>
      </c>
      <c r="Z606" s="301">
        <v>0</v>
      </c>
      <c r="AA606" s="301">
        <v>0</v>
      </c>
      <c r="AB606" s="303">
        <v>2020</v>
      </c>
    </row>
    <row r="607" spans="1:28" ht="35.25" customHeight="1" x14ac:dyDescent="0.5">
      <c r="A607">
        <v>1</v>
      </c>
      <c r="B607" s="80">
        <f>SUBTOTAL(103,$A$9:A607)</f>
        <v>590</v>
      </c>
      <c r="C607" s="300" t="s">
        <v>1748</v>
      </c>
      <c r="D607" s="296">
        <f t="shared" si="19"/>
        <v>240211</v>
      </c>
      <c r="E607" s="301">
        <v>0</v>
      </c>
      <c r="F607" s="301">
        <v>0</v>
      </c>
      <c r="G607" s="301">
        <v>0</v>
      </c>
      <c r="H607" s="301">
        <v>0</v>
      </c>
      <c r="I607" s="301">
        <v>0</v>
      </c>
      <c r="J607" s="301">
        <v>0</v>
      </c>
      <c r="K607" s="302">
        <v>0</v>
      </c>
      <c r="L607" s="301">
        <v>0</v>
      </c>
      <c r="M607" s="301">
        <v>0</v>
      </c>
      <c r="N607" s="301">
        <v>0</v>
      </c>
      <c r="O607" s="301">
        <v>240211</v>
      </c>
      <c r="P607" s="301">
        <v>0</v>
      </c>
      <c r="Q607" s="301">
        <v>0</v>
      </c>
      <c r="R607" s="301">
        <v>0</v>
      </c>
      <c r="S607" s="301">
        <v>0</v>
      </c>
      <c r="T607" s="301">
        <v>0</v>
      </c>
      <c r="U607" s="301">
        <v>0</v>
      </c>
      <c r="V607" s="301">
        <v>0</v>
      </c>
      <c r="W607" s="301">
        <v>0</v>
      </c>
      <c r="X607" s="301">
        <v>0</v>
      </c>
      <c r="Y607" s="301">
        <v>0</v>
      </c>
      <c r="Z607" s="301">
        <v>0</v>
      </c>
      <c r="AA607" s="301">
        <v>0</v>
      </c>
      <c r="AB607" s="303">
        <v>2020</v>
      </c>
    </row>
    <row r="608" spans="1:28" ht="35.25" customHeight="1" x14ac:dyDescent="0.5">
      <c r="A608">
        <v>1</v>
      </c>
      <c r="B608" s="80">
        <f>SUBTOTAL(103,$A$9:A608)</f>
        <v>591</v>
      </c>
      <c r="C608" s="300" t="s">
        <v>1749</v>
      </c>
      <c r="D608" s="296">
        <f t="shared" si="19"/>
        <v>155581.73000000001</v>
      </c>
      <c r="E608" s="301">
        <v>0</v>
      </c>
      <c r="F608" s="301">
        <v>0</v>
      </c>
      <c r="G608" s="301">
        <v>0</v>
      </c>
      <c r="H608" s="301">
        <v>155581.73000000001</v>
      </c>
      <c r="I608" s="301">
        <v>0</v>
      </c>
      <c r="J608" s="301">
        <v>0</v>
      </c>
      <c r="K608" s="302">
        <v>0</v>
      </c>
      <c r="L608" s="301">
        <v>0</v>
      </c>
      <c r="M608" s="301">
        <v>0</v>
      </c>
      <c r="N608" s="301">
        <v>0</v>
      </c>
      <c r="O608" s="301">
        <v>0</v>
      </c>
      <c r="P608" s="301">
        <v>0</v>
      </c>
      <c r="Q608" s="301">
        <v>0</v>
      </c>
      <c r="R608" s="301">
        <v>0</v>
      </c>
      <c r="S608" s="301">
        <v>0</v>
      </c>
      <c r="T608" s="301">
        <v>0</v>
      </c>
      <c r="U608" s="301">
        <v>0</v>
      </c>
      <c r="V608" s="301">
        <v>0</v>
      </c>
      <c r="W608" s="301">
        <v>0</v>
      </c>
      <c r="X608" s="301">
        <v>0</v>
      </c>
      <c r="Y608" s="301">
        <v>0</v>
      </c>
      <c r="Z608" s="301">
        <v>0</v>
      </c>
      <c r="AA608" s="301">
        <v>0</v>
      </c>
      <c r="AB608" s="303">
        <v>2020</v>
      </c>
    </row>
    <row r="609" spans="1:28" ht="35.25" customHeight="1" x14ac:dyDescent="0.5">
      <c r="A609">
        <v>1</v>
      </c>
      <c r="B609" s="80">
        <f>SUBTOTAL(103,$A$9:A609)</f>
        <v>592</v>
      </c>
      <c r="C609" s="300" t="s">
        <v>2043</v>
      </c>
      <c r="D609" s="296">
        <f t="shared" si="19"/>
        <v>1467871.96</v>
      </c>
      <c r="E609" s="301">
        <v>0</v>
      </c>
      <c r="F609" s="301">
        <v>0</v>
      </c>
      <c r="G609" s="301">
        <v>1467871.96</v>
      </c>
      <c r="H609" s="301">
        <v>0</v>
      </c>
      <c r="I609" s="301">
        <v>0</v>
      </c>
      <c r="J609" s="301">
        <v>0</v>
      </c>
      <c r="K609" s="302">
        <v>0</v>
      </c>
      <c r="L609" s="301">
        <v>0</v>
      </c>
      <c r="M609" s="301">
        <v>0</v>
      </c>
      <c r="N609" s="301">
        <v>0</v>
      </c>
      <c r="O609" s="301">
        <v>0</v>
      </c>
      <c r="P609" s="301">
        <v>0</v>
      </c>
      <c r="Q609" s="301">
        <v>0</v>
      </c>
      <c r="R609" s="301">
        <v>0</v>
      </c>
      <c r="S609" s="301">
        <v>0</v>
      </c>
      <c r="T609" s="301">
        <v>0</v>
      </c>
      <c r="U609" s="301">
        <v>0</v>
      </c>
      <c r="V609" s="301">
        <v>0</v>
      </c>
      <c r="W609" s="301">
        <v>0</v>
      </c>
      <c r="X609" s="301">
        <v>0</v>
      </c>
      <c r="Y609" s="301">
        <v>0</v>
      </c>
      <c r="Z609" s="301">
        <v>0</v>
      </c>
      <c r="AA609" s="301">
        <v>0</v>
      </c>
      <c r="AB609" s="303">
        <v>2020</v>
      </c>
    </row>
    <row r="610" spans="1:28" ht="35.25" customHeight="1" x14ac:dyDescent="0.5">
      <c r="A610">
        <v>1</v>
      </c>
      <c r="B610" s="80">
        <f>SUBTOTAL(103,$A$9:A610)</f>
        <v>593</v>
      </c>
      <c r="C610" s="300" t="s">
        <v>2044</v>
      </c>
      <c r="D610" s="296">
        <f t="shared" si="19"/>
        <v>3131855.51</v>
      </c>
      <c r="E610" s="301">
        <v>0</v>
      </c>
      <c r="F610" s="301">
        <v>0</v>
      </c>
      <c r="G610" s="301">
        <v>3131855.51</v>
      </c>
      <c r="H610" s="301">
        <v>0</v>
      </c>
      <c r="I610" s="301">
        <v>0</v>
      </c>
      <c r="J610" s="301">
        <v>0</v>
      </c>
      <c r="K610" s="302">
        <v>0</v>
      </c>
      <c r="L610" s="301">
        <v>0</v>
      </c>
      <c r="M610" s="301">
        <v>0</v>
      </c>
      <c r="N610" s="301">
        <v>0</v>
      </c>
      <c r="O610" s="301">
        <v>0</v>
      </c>
      <c r="P610" s="301">
        <v>0</v>
      </c>
      <c r="Q610" s="301">
        <v>0</v>
      </c>
      <c r="R610" s="301">
        <v>0</v>
      </c>
      <c r="S610" s="301">
        <v>0</v>
      </c>
      <c r="T610" s="301">
        <v>0</v>
      </c>
      <c r="U610" s="301">
        <v>0</v>
      </c>
      <c r="V610" s="301">
        <v>0</v>
      </c>
      <c r="W610" s="301">
        <v>0</v>
      </c>
      <c r="X610" s="301">
        <v>0</v>
      </c>
      <c r="Y610" s="301">
        <v>0</v>
      </c>
      <c r="Z610" s="301">
        <v>0</v>
      </c>
      <c r="AA610" s="301">
        <v>0</v>
      </c>
      <c r="AB610" s="303">
        <v>2020</v>
      </c>
    </row>
    <row r="611" spans="1:28" ht="35.25" customHeight="1" x14ac:dyDescent="0.5">
      <c r="A611">
        <v>1</v>
      </c>
      <c r="B611" s="80">
        <f>SUBTOTAL(103,$A$9:A611)</f>
        <v>594</v>
      </c>
      <c r="C611" s="300" t="s">
        <v>2423</v>
      </c>
      <c r="D611" s="296">
        <f t="shared" si="19"/>
        <v>226200</v>
      </c>
      <c r="E611" s="301">
        <v>0</v>
      </c>
      <c r="F611" s="301">
        <v>0</v>
      </c>
      <c r="G611" s="301">
        <v>0</v>
      </c>
      <c r="H611" s="301">
        <v>0</v>
      </c>
      <c r="I611" s="301">
        <v>0</v>
      </c>
      <c r="J611" s="301">
        <v>0</v>
      </c>
      <c r="K611" s="302">
        <v>0</v>
      </c>
      <c r="L611" s="301">
        <v>0</v>
      </c>
      <c r="M611" s="301">
        <v>226200</v>
      </c>
      <c r="N611" s="301">
        <v>0</v>
      </c>
      <c r="O611" s="301">
        <v>0</v>
      </c>
      <c r="P611" s="301">
        <v>0</v>
      </c>
      <c r="Q611" s="301">
        <v>0</v>
      </c>
      <c r="R611" s="301">
        <v>0</v>
      </c>
      <c r="S611" s="301">
        <v>0</v>
      </c>
      <c r="T611" s="301">
        <v>0</v>
      </c>
      <c r="U611" s="301">
        <v>0</v>
      </c>
      <c r="V611" s="301">
        <v>0</v>
      </c>
      <c r="W611" s="301">
        <v>0</v>
      </c>
      <c r="X611" s="301">
        <v>0</v>
      </c>
      <c r="Y611" s="301">
        <v>0</v>
      </c>
      <c r="Z611" s="301">
        <v>0</v>
      </c>
      <c r="AA611" s="301">
        <v>0</v>
      </c>
      <c r="AB611" s="303">
        <v>2020</v>
      </c>
    </row>
    <row r="612" spans="1:28" ht="35.25" customHeight="1" x14ac:dyDescent="0.5">
      <c r="A612">
        <v>1</v>
      </c>
      <c r="B612" s="80">
        <f>SUBTOTAL(103,$A$9:A612)</f>
        <v>595</v>
      </c>
      <c r="C612" s="300" t="s">
        <v>2045</v>
      </c>
      <c r="D612" s="296">
        <f t="shared" si="19"/>
        <v>419031</v>
      </c>
      <c r="E612" s="301">
        <v>117495</v>
      </c>
      <c r="F612" s="301">
        <v>301536</v>
      </c>
      <c r="G612" s="301">
        <v>0</v>
      </c>
      <c r="H612" s="301">
        <v>0</v>
      </c>
      <c r="I612" s="301">
        <v>0</v>
      </c>
      <c r="J612" s="301">
        <v>0</v>
      </c>
      <c r="K612" s="302">
        <v>0</v>
      </c>
      <c r="L612" s="301">
        <v>0</v>
      </c>
      <c r="M612" s="301">
        <v>0</v>
      </c>
      <c r="N612" s="301">
        <v>0</v>
      </c>
      <c r="O612" s="301">
        <v>0</v>
      </c>
      <c r="P612" s="301">
        <v>0</v>
      </c>
      <c r="Q612" s="301">
        <v>0</v>
      </c>
      <c r="R612" s="301">
        <v>0</v>
      </c>
      <c r="S612" s="301">
        <v>0</v>
      </c>
      <c r="T612" s="301">
        <v>0</v>
      </c>
      <c r="U612" s="301">
        <v>0</v>
      </c>
      <c r="V612" s="301">
        <v>0</v>
      </c>
      <c r="W612" s="301">
        <v>0</v>
      </c>
      <c r="X612" s="301">
        <v>0</v>
      </c>
      <c r="Y612" s="301">
        <v>0</v>
      </c>
      <c r="Z612" s="301">
        <v>0</v>
      </c>
      <c r="AA612" s="301">
        <v>0</v>
      </c>
      <c r="AB612" s="303">
        <v>2020</v>
      </c>
    </row>
    <row r="613" spans="1:28" ht="35.25" customHeight="1" x14ac:dyDescent="0.5">
      <c r="A613">
        <v>1</v>
      </c>
      <c r="B613" s="80">
        <f>SUBTOTAL(103,$A$9:A613)</f>
        <v>596</v>
      </c>
      <c r="C613" s="300" t="s">
        <v>2046</v>
      </c>
      <c r="D613" s="296">
        <f t="shared" si="19"/>
        <v>678313.12</v>
      </c>
      <c r="E613" s="301">
        <v>0</v>
      </c>
      <c r="F613" s="301">
        <v>0</v>
      </c>
      <c r="G613" s="301">
        <v>678313.12</v>
      </c>
      <c r="H613" s="301">
        <v>0</v>
      </c>
      <c r="I613" s="301">
        <v>0</v>
      </c>
      <c r="J613" s="301">
        <v>0</v>
      </c>
      <c r="K613" s="302">
        <v>0</v>
      </c>
      <c r="L613" s="301">
        <v>0</v>
      </c>
      <c r="M613" s="301">
        <v>0</v>
      </c>
      <c r="N613" s="301">
        <v>0</v>
      </c>
      <c r="O613" s="301">
        <v>0</v>
      </c>
      <c r="P613" s="301">
        <v>0</v>
      </c>
      <c r="Q613" s="301">
        <v>0</v>
      </c>
      <c r="R613" s="301">
        <v>0</v>
      </c>
      <c r="S613" s="301">
        <v>0</v>
      </c>
      <c r="T613" s="301">
        <v>0</v>
      </c>
      <c r="U613" s="301">
        <v>0</v>
      </c>
      <c r="V613" s="301">
        <v>0</v>
      </c>
      <c r="W613" s="301">
        <v>0</v>
      </c>
      <c r="X613" s="301">
        <v>0</v>
      </c>
      <c r="Y613" s="301">
        <v>0</v>
      </c>
      <c r="Z613" s="301">
        <v>0</v>
      </c>
      <c r="AA613" s="301">
        <v>0</v>
      </c>
      <c r="AB613" s="303">
        <v>2020</v>
      </c>
    </row>
    <row r="614" spans="1:28" ht="35.25" customHeight="1" x14ac:dyDescent="0.5">
      <c r="A614">
        <v>1</v>
      </c>
      <c r="B614" s="80">
        <f>SUBTOTAL(103,$A$9:A614)</f>
        <v>597</v>
      </c>
      <c r="C614" s="300" t="s">
        <v>2047</v>
      </c>
      <c r="D614" s="296">
        <f t="shared" si="19"/>
        <v>263492</v>
      </c>
      <c r="E614" s="301">
        <v>0</v>
      </c>
      <c r="F614" s="301">
        <v>263492</v>
      </c>
      <c r="G614" s="301">
        <v>0</v>
      </c>
      <c r="H614" s="301">
        <v>0</v>
      </c>
      <c r="I614" s="301">
        <v>0</v>
      </c>
      <c r="J614" s="301">
        <v>0</v>
      </c>
      <c r="K614" s="302">
        <v>0</v>
      </c>
      <c r="L614" s="301">
        <v>0</v>
      </c>
      <c r="M614" s="301">
        <v>0</v>
      </c>
      <c r="N614" s="301">
        <v>0</v>
      </c>
      <c r="O614" s="301">
        <v>0</v>
      </c>
      <c r="P614" s="301">
        <v>0</v>
      </c>
      <c r="Q614" s="301">
        <v>0</v>
      </c>
      <c r="R614" s="301">
        <v>0</v>
      </c>
      <c r="S614" s="301">
        <v>0</v>
      </c>
      <c r="T614" s="301">
        <v>0</v>
      </c>
      <c r="U614" s="301">
        <v>0</v>
      </c>
      <c r="V614" s="301">
        <v>0</v>
      </c>
      <c r="W614" s="301">
        <v>0</v>
      </c>
      <c r="X614" s="301">
        <v>0</v>
      </c>
      <c r="Y614" s="301">
        <v>0</v>
      </c>
      <c r="Z614" s="301">
        <v>0</v>
      </c>
      <c r="AA614" s="301">
        <v>0</v>
      </c>
      <c r="AB614" s="303">
        <v>2020</v>
      </c>
    </row>
    <row r="615" spans="1:28" ht="35.25" customHeight="1" x14ac:dyDescent="0.5">
      <c r="A615">
        <v>1</v>
      </c>
      <c r="B615" s="80">
        <f>SUBTOTAL(103,$A$9:A615)</f>
        <v>598</v>
      </c>
      <c r="C615" s="300" t="s">
        <v>2048</v>
      </c>
      <c r="D615" s="296">
        <f t="shared" si="19"/>
        <v>1832116</v>
      </c>
      <c r="E615" s="301">
        <v>0</v>
      </c>
      <c r="F615" s="301">
        <v>0</v>
      </c>
      <c r="G615" s="301">
        <v>0</v>
      </c>
      <c r="H615" s="301">
        <v>0</v>
      </c>
      <c r="I615" s="301">
        <v>0</v>
      </c>
      <c r="J615" s="301">
        <v>0</v>
      </c>
      <c r="K615" s="302">
        <v>1</v>
      </c>
      <c r="L615" s="301">
        <v>1832116</v>
      </c>
      <c r="M615" s="301">
        <v>0</v>
      </c>
      <c r="N615" s="301">
        <v>0</v>
      </c>
      <c r="O615" s="301">
        <v>0</v>
      </c>
      <c r="P615" s="301">
        <v>0</v>
      </c>
      <c r="Q615" s="301">
        <v>0</v>
      </c>
      <c r="R615" s="301">
        <v>0</v>
      </c>
      <c r="S615" s="301">
        <v>0</v>
      </c>
      <c r="T615" s="301">
        <v>0</v>
      </c>
      <c r="U615" s="301">
        <v>0</v>
      </c>
      <c r="V615" s="301">
        <v>0</v>
      </c>
      <c r="W615" s="301">
        <v>0</v>
      </c>
      <c r="X615" s="301">
        <v>0</v>
      </c>
      <c r="Y615" s="301">
        <v>0</v>
      </c>
      <c r="Z615" s="301">
        <v>0</v>
      </c>
      <c r="AA615" s="301">
        <v>0</v>
      </c>
      <c r="AB615" s="303">
        <v>2020</v>
      </c>
    </row>
    <row r="616" spans="1:28" ht="35.25" customHeight="1" x14ac:dyDescent="0.5">
      <c r="A616">
        <v>1</v>
      </c>
      <c r="B616" s="80">
        <f>SUBTOTAL(103,$A$9:A616)</f>
        <v>599</v>
      </c>
      <c r="C616" s="300" t="s">
        <v>2049</v>
      </c>
      <c r="D616" s="296">
        <f t="shared" si="19"/>
        <v>643086</v>
      </c>
      <c r="E616" s="301">
        <v>0</v>
      </c>
      <c r="F616" s="301">
        <v>0</v>
      </c>
      <c r="G616" s="301">
        <v>0</v>
      </c>
      <c r="H616" s="301">
        <v>0</v>
      </c>
      <c r="I616" s="301">
        <v>0</v>
      </c>
      <c r="J616" s="301">
        <v>0</v>
      </c>
      <c r="K616" s="302">
        <v>0</v>
      </c>
      <c r="L616" s="301">
        <v>0</v>
      </c>
      <c r="M616" s="301">
        <v>643086</v>
      </c>
      <c r="N616" s="301">
        <v>0</v>
      </c>
      <c r="O616" s="301">
        <v>0</v>
      </c>
      <c r="P616" s="301">
        <v>0</v>
      </c>
      <c r="Q616" s="301">
        <v>0</v>
      </c>
      <c r="R616" s="301">
        <v>0</v>
      </c>
      <c r="S616" s="301">
        <v>0</v>
      </c>
      <c r="T616" s="301">
        <v>0</v>
      </c>
      <c r="U616" s="301">
        <v>0</v>
      </c>
      <c r="V616" s="301">
        <v>0</v>
      </c>
      <c r="W616" s="301">
        <v>0</v>
      </c>
      <c r="X616" s="301">
        <v>0</v>
      </c>
      <c r="Y616" s="301">
        <v>0</v>
      </c>
      <c r="Z616" s="301">
        <v>0</v>
      </c>
      <c r="AA616" s="301">
        <v>0</v>
      </c>
      <c r="AB616" s="303">
        <v>2020</v>
      </c>
    </row>
    <row r="617" spans="1:28" ht="35.25" customHeight="1" x14ac:dyDescent="0.5">
      <c r="A617">
        <v>1</v>
      </c>
      <c r="B617" s="80">
        <f>SUBTOTAL(103,$A$9:A617)</f>
        <v>600</v>
      </c>
      <c r="C617" s="300" t="s">
        <v>2050</v>
      </c>
      <c r="D617" s="296">
        <f t="shared" si="19"/>
        <v>330000</v>
      </c>
      <c r="E617" s="301">
        <v>0</v>
      </c>
      <c r="F617" s="301">
        <v>0</v>
      </c>
      <c r="G617" s="301">
        <v>0</v>
      </c>
      <c r="H617" s="301">
        <v>0</v>
      </c>
      <c r="I617" s="301">
        <v>0</v>
      </c>
      <c r="J617" s="301">
        <v>0</v>
      </c>
      <c r="K617" s="302">
        <v>0</v>
      </c>
      <c r="L617" s="301">
        <v>0</v>
      </c>
      <c r="M617" s="301">
        <v>330000</v>
      </c>
      <c r="N617" s="301">
        <v>0</v>
      </c>
      <c r="O617" s="301">
        <v>0</v>
      </c>
      <c r="P617" s="301">
        <v>0</v>
      </c>
      <c r="Q617" s="301">
        <v>0</v>
      </c>
      <c r="R617" s="301">
        <v>0</v>
      </c>
      <c r="S617" s="301">
        <v>0</v>
      </c>
      <c r="T617" s="301">
        <v>0</v>
      </c>
      <c r="U617" s="301">
        <v>0</v>
      </c>
      <c r="V617" s="301">
        <v>0</v>
      </c>
      <c r="W617" s="301">
        <v>0</v>
      </c>
      <c r="X617" s="301">
        <v>0</v>
      </c>
      <c r="Y617" s="301">
        <v>0</v>
      </c>
      <c r="Z617" s="301">
        <v>0</v>
      </c>
      <c r="AA617" s="301">
        <v>0</v>
      </c>
      <c r="AB617" s="303">
        <v>2020</v>
      </c>
    </row>
    <row r="618" spans="1:28" ht="35.25" customHeight="1" x14ac:dyDescent="0.5">
      <c r="A618">
        <v>1</v>
      </c>
      <c r="B618" s="80">
        <f>SUBTOTAL(103,$A$9:A618)</f>
        <v>601</v>
      </c>
      <c r="C618" s="300" t="s">
        <v>2051</v>
      </c>
      <c r="D618" s="296">
        <f t="shared" si="19"/>
        <v>170000</v>
      </c>
      <c r="E618" s="301">
        <v>0</v>
      </c>
      <c r="F618" s="301">
        <v>0</v>
      </c>
      <c r="G618" s="301">
        <v>0</v>
      </c>
      <c r="H618" s="301">
        <v>0</v>
      </c>
      <c r="I618" s="301">
        <v>0</v>
      </c>
      <c r="J618" s="301">
        <v>0</v>
      </c>
      <c r="K618" s="302">
        <v>0</v>
      </c>
      <c r="L618" s="301">
        <v>0</v>
      </c>
      <c r="M618" s="301">
        <v>0</v>
      </c>
      <c r="N618" s="301">
        <v>0</v>
      </c>
      <c r="O618" s="301">
        <v>170000</v>
      </c>
      <c r="P618" s="301">
        <v>0</v>
      </c>
      <c r="Q618" s="301">
        <v>0</v>
      </c>
      <c r="R618" s="301">
        <v>0</v>
      </c>
      <c r="S618" s="301">
        <v>0</v>
      </c>
      <c r="T618" s="301">
        <v>0</v>
      </c>
      <c r="U618" s="301">
        <v>0</v>
      </c>
      <c r="V618" s="301">
        <v>0</v>
      </c>
      <c r="W618" s="301">
        <v>0</v>
      </c>
      <c r="X618" s="301">
        <v>0</v>
      </c>
      <c r="Y618" s="301">
        <v>0</v>
      </c>
      <c r="Z618" s="301">
        <v>0</v>
      </c>
      <c r="AA618" s="301">
        <v>0</v>
      </c>
      <c r="AB618" s="303">
        <v>2020</v>
      </c>
    </row>
    <row r="619" spans="1:28" ht="35.25" customHeight="1" x14ac:dyDescent="0.5">
      <c r="A619">
        <v>1</v>
      </c>
      <c r="B619" s="80">
        <f>SUBTOTAL(103,$A$9:A619)</f>
        <v>602</v>
      </c>
      <c r="C619" s="300" t="s">
        <v>2424</v>
      </c>
      <c r="D619" s="296">
        <f t="shared" si="19"/>
        <v>500361</v>
      </c>
      <c r="E619" s="301">
        <v>0</v>
      </c>
      <c r="F619" s="301">
        <v>0</v>
      </c>
      <c r="G619" s="301">
        <v>500361</v>
      </c>
      <c r="H619" s="301">
        <v>0</v>
      </c>
      <c r="I619" s="301">
        <v>0</v>
      </c>
      <c r="J619" s="301">
        <v>0</v>
      </c>
      <c r="K619" s="302">
        <v>0</v>
      </c>
      <c r="L619" s="301">
        <v>0</v>
      </c>
      <c r="M619" s="301">
        <v>0</v>
      </c>
      <c r="N619" s="301">
        <v>0</v>
      </c>
      <c r="O619" s="301">
        <v>0</v>
      </c>
      <c r="P619" s="301">
        <v>0</v>
      </c>
      <c r="Q619" s="301">
        <v>0</v>
      </c>
      <c r="R619" s="301">
        <v>0</v>
      </c>
      <c r="S619" s="301">
        <v>0</v>
      </c>
      <c r="T619" s="301">
        <v>0</v>
      </c>
      <c r="U619" s="301">
        <v>0</v>
      </c>
      <c r="V619" s="301">
        <v>0</v>
      </c>
      <c r="W619" s="301">
        <v>0</v>
      </c>
      <c r="X619" s="301">
        <v>0</v>
      </c>
      <c r="Y619" s="301">
        <v>0</v>
      </c>
      <c r="Z619" s="301">
        <v>0</v>
      </c>
      <c r="AA619" s="301">
        <v>0</v>
      </c>
      <c r="AB619" s="303">
        <v>2020</v>
      </c>
    </row>
    <row r="620" spans="1:28" ht="35.25" customHeight="1" x14ac:dyDescent="0.5">
      <c r="A620">
        <v>1</v>
      </c>
      <c r="B620" s="80">
        <f>SUBTOTAL(103,$A$9:A620)</f>
        <v>603</v>
      </c>
      <c r="C620" s="300" t="s">
        <v>2425</v>
      </c>
      <c r="D620" s="296">
        <f t="shared" si="19"/>
        <v>958000</v>
      </c>
      <c r="E620" s="301">
        <v>0</v>
      </c>
      <c r="F620" s="301">
        <v>0</v>
      </c>
      <c r="G620" s="301">
        <v>0</v>
      </c>
      <c r="H620" s="301">
        <v>0</v>
      </c>
      <c r="I620" s="301">
        <v>0</v>
      </c>
      <c r="J620" s="301">
        <v>0</v>
      </c>
      <c r="K620" s="302">
        <v>0</v>
      </c>
      <c r="L620" s="301">
        <v>0</v>
      </c>
      <c r="M620" s="301">
        <v>958000</v>
      </c>
      <c r="N620" s="301">
        <v>0</v>
      </c>
      <c r="O620" s="301">
        <v>0</v>
      </c>
      <c r="P620" s="301">
        <v>0</v>
      </c>
      <c r="Q620" s="301">
        <v>0</v>
      </c>
      <c r="R620" s="301">
        <v>0</v>
      </c>
      <c r="S620" s="301">
        <v>0</v>
      </c>
      <c r="T620" s="301">
        <v>0</v>
      </c>
      <c r="U620" s="301">
        <v>0</v>
      </c>
      <c r="V620" s="301">
        <v>0</v>
      </c>
      <c r="W620" s="301">
        <v>0</v>
      </c>
      <c r="X620" s="301">
        <v>0</v>
      </c>
      <c r="Y620" s="301">
        <v>0</v>
      </c>
      <c r="Z620" s="301">
        <v>0</v>
      </c>
      <c r="AA620" s="301">
        <v>0</v>
      </c>
      <c r="AB620" s="303">
        <v>2020</v>
      </c>
    </row>
    <row r="621" spans="1:28" ht="35.25" customHeight="1" x14ac:dyDescent="0.5">
      <c r="A621">
        <v>1</v>
      </c>
      <c r="B621" s="80">
        <f>SUBTOTAL(103,$A$9:A621)</f>
        <v>604</v>
      </c>
      <c r="C621" s="300" t="s">
        <v>2426</v>
      </c>
      <c r="D621" s="296">
        <f t="shared" si="19"/>
        <v>1832116</v>
      </c>
      <c r="E621" s="301">
        <v>0</v>
      </c>
      <c r="F621" s="301">
        <v>0</v>
      </c>
      <c r="G621" s="301">
        <v>0</v>
      </c>
      <c r="H621" s="301">
        <v>0</v>
      </c>
      <c r="I621" s="301">
        <v>0</v>
      </c>
      <c r="J621" s="301">
        <v>0</v>
      </c>
      <c r="K621" s="302">
        <v>1</v>
      </c>
      <c r="L621" s="301">
        <v>1832116</v>
      </c>
      <c r="M621" s="301">
        <v>0</v>
      </c>
      <c r="N621" s="301">
        <v>0</v>
      </c>
      <c r="O621" s="301">
        <v>0</v>
      </c>
      <c r="P621" s="301">
        <v>0</v>
      </c>
      <c r="Q621" s="301">
        <v>0</v>
      </c>
      <c r="R621" s="301">
        <v>0</v>
      </c>
      <c r="S621" s="301">
        <v>0</v>
      </c>
      <c r="T621" s="301">
        <v>0</v>
      </c>
      <c r="U621" s="301">
        <v>0</v>
      </c>
      <c r="V621" s="301">
        <v>0</v>
      </c>
      <c r="W621" s="301">
        <v>0</v>
      </c>
      <c r="X621" s="301">
        <v>0</v>
      </c>
      <c r="Y621" s="301">
        <v>0</v>
      </c>
      <c r="Z621" s="301">
        <v>0</v>
      </c>
      <c r="AA621" s="301">
        <v>0</v>
      </c>
      <c r="AB621" s="303">
        <v>2020</v>
      </c>
    </row>
    <row r="622" spans="1:28" ht="35.25" customHeight="1" x14ac:dyDescent="0.5">
      <c r="A622">
        <v>1</v>
      </c>
      <c r="B622" s="80">
        <f>SUBTOTAL(103,$A$9:A622)</f>
        <v>605</v>
      </c>
      <c r="C622" s="300" t="s">
        <v>2052</v>
      </c>
      <c r="D622" s="296">
        <f t="shared" si="19"/>
        <v>1137848</v>
      </c>
      <c r="E622" s="301">
        <v>0</v>
      </c>
      <c r="F622" s="301">
        <v>0</v>
      </c>
      <c r="G622" s="301">
        <v>0</v>
      </c>
      <c r="H622" s="301">
        <v>0</v>
      </c>
      <c r="I622" s="301">
        <v>0</v>
      </c>
      <c r="J622" s="301">
        <v>0</v>
      </c>
      <c r="K622" s="302">
        <v>0</v>
      </c>
      <c r="L622" s="301">
        <v>0</v>
      </c>
      <c r="M622" s="301">
        <v>0</v>
      </c>
      <c r="N622" s="301">
        <v>1137848</v>
      </c>
      <c r="O622" s="301">
        <v>0</v>
      </c>
      <c r="P622" s="301">
        <v>0</v>
      </c>
      <c r="Q622" s="301">
        <v>0</v>
      </c>
      <c r="R622" s="301">
        <v>0</v>
      </c>
      <c r="S622" s="301">
        <v>0</v>
      </c>
      <c r="T622" s="301">
        <v>0</v>
      </c>
      <c r="U622" s="301">
        <v>0</v>
      </c>
      <c r="V622" s="301">
        <v>0</v>
      </c>
      <c r="W622" s="301">
        <v>0</v>
      </c>
      <c r="X622" s="301">
        <v>0</v>
      </c>
      <c r="Y622" s="301">
        <v>0</v>
      </c>
      <c r="Z622" s="301">
        <v>0</v>
      </c>
      <c r="AA622" s="301">
        <v>0</v>
      </c>
      <c r="AB622" s="303">
        <v>2020</v>
      </c>
    </row>
    <row r="623" spans="1:28" ht="35.25" customHeight="1" x14ac:dyDescent="0.5">
      <c r="A623">
        <v>1</v>
      </c>
      <c r="B623" s="80">
        <f>SUBTOTAL(103,$A$9:A623)</f>
        <v>606</v>
      </c>
      <c r="C623" s="300" t="s">
        <v>2053</v>
      </c>
      <c r="D623" s="296">
        <f t="shared" si="19"/>
        <v>210700</v>
      </c>
      <c r="E623" s="301">
        <v>0</v>
      </c>
      <c r="F623" s="301">
        <v>0</v>
      </c>
      <c r="G623" s="301">
        <v>210700</v>
      </c>
      <c r="H623" s="301">
        <v>0</v>
      </c>
      <c r="I623" s="301">
        <v>0</v>
      </c>
      <c r="J623" s="301">
        <v>0</v>
      </c>
      <c r="K623" s="302">
        <v>0</v>
      </c>
      <c r="L623" s="301">
        <v>0</v>
      </c>
      <c r="M623" s="301">
        <v>0</v>
      </c>
      <c r="N623" s="301">
        <v>0</v>
      </c>
      <c r="O623" s="301">
        <v>0</v>
      </c>
      <c r="P623" s="301">
        <v>0</v>
      </c>
      <c r="Q623" s="301">
        <v>0</v>
      </c>
      <c r="R623" s="301">
        <v>0</v>
      </c>
      <c r="S623" s="301">
        <v>0</v>
      </c>
      <c r="T623" s="301">
        <v>0</v>
      </c>
      <c r="U623" s="301">
        <v>0</v>
      </c>
      <c r="V623" s="301">
        <v>0</v>
      </c>
      <c r="W623" s="301">
        <v>0</v>
      </c>
      <c r="X623" s="301">
        <v>0</v>
      </c>
      <c r="Y623" s="301">
        <v>0</v>
      </c>
      <c r="Z623" s="301">
        <v>0</v>
      </c>
      <c r="AA623" s="301">
        <v>0</v>
      </c>
      <c r="AB623" s="303">
        <v>2020</v>
      </c>
    </row>
    <row r="624" spans="1:28" ht="35.25" customHeight="1" x14ac:dyDescent="0.5">
      <c r="A624">
        <v>1</v>
      </c>
      <c r="B624" s="80">
        <f>SUBTOTAL(103,$A$9:A624)</f>
        <v>607</v>
      </c>
      <c r="C624" s="300" t="s">
        <v>2054</v>
      </c>
      <c r="D624" s="296">
        <f t="shared" si="19"/>
        <v>492012</v>
      </c>
      <c r="E624" s="301">
        <v>0</v>
      </c>
      <c r="F624" s="301">
        <v>0</v>
      </c>
      <c r="G624" s="301">
        <v>0</v>
      </c>
      <c r="H624" s="301">
        <v>0</v>
      </c>
      <c r="I624" s="301">
        <v>492012</v>
      </c>
      <c r="J624" s="301">
        <v>0</v>
      </c>
      <c r="K624" s="302">
        <v>0</v>
      </c>
      <c r="L624" s="301">
        <v>0</v>
      </c>
      <c r="M624" s="301">
        <v>0</v>
      </c>
      <c r="N624" s="301">
        <v>0</v>
      </c>
      <c r="O624" s="301">
        <v>0</v>
      </c>
      <c r="P624" s="301">
        <v>0</v>
      </c>
      <c r="Q624" s="301">
        <v>0</v>
      </c>
      <c r="R624" s="301">
        <v>0</v>
      </c>
      <c r="S624" s="301">
        <v>0</v>
      </c>
      <c r="T624" s="301">
        <v>0</v>
      </c>
      <c r="U624" s="301">
        <v>0</v>
      </c>
      <c r="V624" s="301">
        <v>0</v>
      </c>
      <c r="W624" s="301">
        <v>0</v>
      </c>
      <c r="X624" s="301">
        <v>0</v>
      </c>
      <c r="Y624" s="301">
        <v>0</v>
      </c>
      <c r="Z624" s="301">
        <v>0</v>
      </c>
      <c r="AA624" s="301">
        <v>0</v>
      </c>
      <c r="AB624" s="303">
        <v>2020</v>
      </c>
    </row>
    <row r="625" spans="1:28" ht="35.25" customHeight="1" x14ac:dyDescent="0.5">
      <c r="A625">
        <v>1</v>
      </c>
      <c r="B625" s="80">
        <f>SUBTOTAL(103,$A$9:A625)</f>
        <v>608</v>
      </c>
      <c r="C625" s="300" t="s">
        <v>2055</v>
      </c>
      <c r="D625" s="296">
        <f t="shared" si="19"/>
        <v>63000</v>
      </c>
      <c r="E625" s="301">
        <v>0</v>
      </c>
      <c r="F625" s="301">
        <v>63000</v>
      </c>
      <c r="G625" s="301">
        <v>0</v>
      </c>
      <c r="H625" s="301">
        <v>0</v>
      </c>
      <c r="I625" s="301">
        <v>0</v>
      </c>
      <c r="J625" s="301">
        <v>0</v>
      </c>
      <c r="K625" s="302">
        <v>0</v>
      </c>
      <c r="L625" s="301">
        <v>0</v>
      </c>
      <c r="M625" s="301">
        <v>0</v>
      </c>
      <c r="N625" s="301">
        <v>0</v>
      </c>
      <c r="O625" s="301">
        <v>0</v>
      </c>
      <c r="P625" s="301">
        <v>0</v>
      </c>
      <c r="Q625" s="301">
        <v>0</v>
      </c>
      <c r="R625" s="301">
        <v>0</v>
      </c>
      <c r="S625" s="301">
        <v>0</v>
      </c>
      <c r="T625" s="301">
        <v>0</v>
      </c>
      <c r="U625" s="301">
        <v>0</v>
      </c>
      <c r="V625" s="301">
        <v>0</v>
      </c>
      <c r="W625" s="301">
        <v>0</v>
      </c>
      <c r="X625" s="301">
        <v>0</v>
      </c>
      <c r="Y625" s="301">
        <v>0</v>
      </c>
      <c r="Z625" s="301">
        <v>0</v>
      </c>
      <c r="AA625" s="301">
        <v>0</v>
      </c>
      <c r="AB625" s="303">
        <v>2020</v>
      </c>
    </row>
    <row r="626" spans="1:28" ht="35.25" customHeight="1" x14ac:dyDescent="0.5">
      <c r="A626">
        <v>1</v>
      </c>
      <c r="B626" s="80">
        <f>SUBTOTAL(103,$A$9:A626)</f>
        <v>609</v>
      </c>
      <c r="C626" s="300" t="s">
        <v>2056</v>
      </c>
      <c r="D626" s="296">
        <f t="shared" si="19"/>
        <v>361000</v>
      </c>
      <c r="E626" s="301">
        <v>0</v>
      </c>
      <c r="F626" s="301">
        <v>0</v>
      </c>
      <c r="G626" s="301">
        <v>0</v>
      </c>
      <c r="H626" s="301">
        <v>0</v>
      </c>
      <c r="I626" s="301">
        <v>0</v>
      </c>
      <c r="J626" s="301">
        <v>0</v>
      </c>
      <c r="K626" s="302">
        <v>0</v>
      </c>
      <c r="L626" s="301">
        <v>0</v>
      </c>
      <c r="M626" s="301">
        <v>0</v>
      </c>
      <c r="N626" s="301">
        <v>0</v>
      </c>
      <c r="O626" s="301">
        <v>361000</v>
      </c>
      <c r="P626" s="301">
        <v>0</v>
      </c>
      <c r="Q626" s="301">
        <v>0</v>
      </c>
      <c r="R626" s="301">
        <v>0</v>
      </c>
      <c r="S626" s="301">
        <v>0</v>
      </c>
      <c r="T626" s="301">
        <v>0</v>
      </c>
      <c r="U626" s="301">
        <v>0</v>
      </c>
      <c r="V626" s="301">
        <v>0</v>
      </c>
      <c r="W626" s="301">
        <v>0</v>
      </c>
      <c r="X626" s="301">
        <v>0</v>
      </c>
      <c r="Y626" s="301">
        <v>0</v>
      </c>
      <c r="Z626" s="301">
        <v>0</v>
      </c>
      <c r="AA626" s="301">
        <v>0</v>
      </c>
      <c r="AB626" s="303">
        <v>2020</v>
      </c>
    </row>
    <row r="627" spans="1:28" ht="35.25" customHeight="1" x14ac:dyDescent="0.5">
      <c r="A627">
        <v>1</v>
      </c>
      <c r="B627" s="80">
        <f>SUBTOTAL(103,$A$9:A627)</f>
        <v>610</v>
      </c>
      <c r="C627" s="300" t="s">
        <v>2057</v>
      </c>
      <c r="D627" s="296">
        <f t="shared" si="19"/>
        <v>191340</v>
      </c>
      <c r="E627" s="301">
        <v>0</v>
      </c>
      <c r="F627" s="301">
        <v>0</v>
      </c>
      <c r="G627" s="301">
        <v>0</v>
      </c>
      <c r="H627" s="301">
        <v>0</v>
      </c>
      <c r="I627" s="301">
        <v>0</v>
      </c>
      <c r="J627" s="301">
        <v>0</v>
      </c>
      <c r="K627" s="302">
        <v>0</v>
      </c>
      <c r="L627" s="301">
        <v>0</v>
      </c>
      <c r="M627" s="301">
        <v>0</v>
      </c>
      <c r="N627" s="301">
        <v>0</v>
      </c>
      <c r="O627" s="301">
        <v>191340</v>
      </c>
      <c r="P627" s="301">
        <v>0</v>
      </c>
      <c r="Q627" s="301">
        <v>0</v>
      </c>
      <c r="R627" s="301">
        <v>0</v>
      </c>
      <c r="S627" s="301">
        <v>0</v>
      </c>
      <c r="T627" s="301">
        <v>0</v>
      </c>
      <c r="U627" s="301">
        <v>0</v>
      </c>
      <c r="V627" s="301">
        <v>0</v>
      </c>
      <c r="W627" s="301">
        <v>0</v>
      </c>
      <c r="X627" s="301">
        <v>0</v>
      </c>
      <c r="Y627" s="301">
        <v>0</v>
      </c>
      <c r="Z627" s="301">
        <v>0</v>
      </c>
      <c r="AA627" s="301">
        <v>0</v>
      </c>
      <c r="AB627" s="303">
        <v>2020</v>
      </c>
    </row>
    <row r="628" spans="1:28" ht="35.25" customHeight="1" x14ac:dyDescent="0.5">
      <c r="A628">
        <v>1</v>
      </c>
      <c r="B628" s="80">
        <f>SUBTOTAL(103,$A$9:A628)</f>
        <v>611</v>
      </c>
      <c r="C628" s="300" t="s">
        <v>2058</v>
      </c>
      <c r="D628" s="296">
        <f t="shared" si="19"/>
        <v>1832116</v>
      </c>
      <c r="E628" s="301">
        <v>0</v>
      </c>
      <c r="F628" s="301">
        <v>0</v>
      </c>
      <c r="G628" s="301">
        <v>0</v>
      </c>
      <c r="H628" s="301">
        <v>0</v>
      </c>
      <c r="I628" s="301">
        <v>0</v>
      </c>
      <c r="J628" s="301">
        <v>0</v>
      </c>
      <c r="K628" s="302">
        <v>1</v>
      </c>
      <c r="L628" s="301">
        <v>1832116</v>
      </c>
      <c r="M628" s="301">
        <v>0</v>
      </c>
      <c r="N628" s="301">
        <v>0</v>
      </c>
      <c r="O628" s="301">
        <v>0</v>
      </c>
      <c r="P628" s="301">
        <v>0</v>
      </c>
      <c r="Q628" s="301">
        <v>0</v>
      </c>
      <c r="R628" s="301">
        <v>0</v>
      </c>
      <c r="S628" s="301">
        <v>0</v>
      </c>
      <c r="T628" s="301">
        <v>0</v>
      </c>
      <c r="U628" s="301">
        <v>0</v>
      </c>
      <c r="V628" s="301">
        <v>0</v>
      </c>
      <c r="W628" s="301">
        <v>0</v>
      </c>
      <c r="X628" s="301">
        <v>0</v>
      </c>
      <c r="Y628" s="301">
        <v>0</v>
      </c>
      <c r="Z628" s="301">
        <v>0</v>
      </c>
      <c r="AA628" s="301">
        <v>0</v>
      </c>
      <c r="AB628" s="303">
        <v>2020</v>
      </c>
    </row>
    <row r="629" spans="1:28" ht="35.25" customHeight="1" x14ac:dyDescent="0.5">
      <c r="A629">
        <v>1</v>
      </c>
      <c r="B629" s="80">
        <f>SUBTOTAL(103,$A$9:A629)</f>
        <v>612</v>
      </c>
      <c r="C629" s="300" t="s">
        <v>2427</v>
      </c>
      <c r="D629" s="296">
        <f t="shared" si="19"/>
        <v>214690.8</v>
      </c>
      <c r="E629" s="301">
        <v>0</v>
      </c>
      <c r="F629" s="301">
        <v>0</v>
      </c>
      <c r="G629" s="301">
        <v>0</v>
      </c>
      <c r="H629" s="301">
        <v>0</v>
      </c>
      <c r="I629" s="301">
        <v>0</v>
      </c>
      <c r="J629" s="301">
        <v>0</v>
      </c>
      <c r="K629" s="302">
        <v>0</v>
      </c>
      <c r="L629" s="301">
        <v>0</v>
      </c>
      <c r="M629" s="301">
        <v>214690.8</v>
      </c>
      <c r="N629" s="301">
        <v>0</v>
      </c>
      <c r="O629" s="301">
        <v>0</v>
      </c>
      <c r="P629" s="301">
        <v>0</v>
      </c>
      <c r="Q629" s="301">
        <v>0</v>
      </c>
      <c r="R629" s="301">
        <v>0</v>
      </c>
      <c r="S629" s="301">
        <v>0</v>
      </c>
      <c r="T629" s="301">
        <v>0</v>
      </c>
      <c r="U629" s="301">
        <v>0</v>
      </c>
      <c r="V629" s="301">
        <v>0</v>
      </c>
      <c r="W629" s="301">
        <v>0</v>
      </c>
      <c r="X629" s="301">
        <v>0</v>
      </c>
      <c r="Y629" s="301">
        <v>0</v>
      </c>
      <c r="Z629" s="301">
        <v>0</v>
      </c>
      <c r="AA629" s="301">
        <v>0</v>
      </c>
      <c r="AB629" s="303">
        <v>2020</v>
      </c>
    </row>
    <row r="630" spans="1:28" ht="35.25" customHeight="1" x14ac:dyDescent="0.5">
      <c r="A630">
        <v>1</v>
      </c>
      <c r="B630" s="80">
        <f>SUBTOTAL(103,$A$9:A630)</f>
        <v>613</v>
      </c>
      <c r="C630" s="300" t="s">
        <v>2059</v>
      </c>
      <c r="D630" s="296">
        <f t="shared" si="19"/>
        <v>1266471.23</v>
      </c>
      <c r="E630" s="301">
        <v>144657.63</v>
      </c>
      <c r="F630" s="301">
        <v>369283.6</v>
      </c>
      <c r="G630" s="301">
        <v>0</v>
      </c>
      <c r="H630" s="301">
        <v>0</v>
      </c>
      <c r="I630" s="301">
        <v>0</v>
      </c>
      <c r="J630" s="301">
        <v>0</v>
      </c>
      <c r="K630" s="302">
        <v>0</v>
      </c>
      <c r="L630" s="301">
        <v>0</v>
      </c>
      <c r="M630" s="301">
        <v>600078</v>
      </c>
      <c r="N630" s="301">
        <v>0</v>
      </c>
      <c r="O630" s="301">
        <v>152452</v>
      </c>
      <c r="P630" s="301">
        <v>0</v>
      </c>
      <c r="Q630" s="301">
        <v>0</v>
      </c>
      <c r="R630" s="301">
        <v>0</v>
      </c>
      <c r="S630" s="301">
        <v>0</v>
      </c>
      <c r="T630" s="301">
        <v>0</v>
      </c>
      <c r="U630" s="301">
        <v>0</v>
      </c>
      <c r="V630" s="301">
        <v>0</v>
      </c>
      <c r="W630" s="301">
        <v>0</v>
      </c>
      <c r="X630" s="301">
        <v>0</v>
      </c>
      <c r="Y630" s="301">
        <v>0</v>
      </c>
      <c r="Z630" s="301">
        <v>0</v>
      </c>
      <c r="AA630" s="301">
        <v>0</v>
      </c>
      <c r="AB630" s="303">
        <v>2020</v>
      </c>
    </row>
    <row r="631" spans="1:28" ht="35.25" customHeight="1" x14ac:dyDescent="0.5">
      <c r="A631">
        <v>1</v>
      </c>
      <c r="B631" s="80">
        <f>SUBTOTAL(103,$A$9:A631)</f>
        <v>614</v>
      </c>
      <c r="C631" s="300" t="s">
        <v>2060</v>
      </c>
      <c r="D631" s="296">
        <f t="shared" si="19"/>
        <v>1057074</v>
      </c>
      <c r="E631" s="301">
        <v>0</v>
      </c>
      <c r="F631" s="301">
        <v>0</v>
      </c>
      <c r="G631" s="301">
        <v>0</v>
      </c>
      <c r="H631" s="301">
        <v>0</v>
      </c>
      <c r="I631" s="301">
        <v>0</v>
      </c>
      <c r="J631" s="301">
        <v>0</v>
      </c>
      <c r="K631" s="302">
        <v>0</v>
      </c>
      <c r="L631" s="301">
        <v>0</v>
      </c>
      <c r="M631" s="301">
        <v>1057074</v>
      </c>
      <c r="N631" s="301">
        <v>0</v>
      </c>
      <c r="O631" s="301">
        <v>0</v>
      </c>
      <c r="P631" s="301">
        <v>0</v>
      </c>
      <c r="Q631" s="301">
        <v>0</v>
      </c>
      <c r="R631" s="301">
        <v>0</v>
      </c>
      <c r="S631" s="301">
        <v>0</v>
      </c>
      <c r="T631" s="301">
        <v>0</v>
      </c>
      <c r="U631" s="301">
        <v>0</v>
      </c>
      <c r="V631" s="301">
        <v>0</v>
      </c>
      <c r="W631" s="301">
        <v>0</v>
      </c>
      <c r="X631" s="301">
        <v>0</v>
      </c>
      <c r="Y631" s="301">
        <v>0</v>
      </c>
      <c r="Z631" s="301">
        <v>0</v>
      </c>
      <c r="AA631" s="301">
        <v>0</v>
      </c>
      <c r="AB631" s="303">
        <v>2020</v>
      </c>
    </row>
    <row r="632" spans="1:28" ht="35.25" customHeight="1" x14ac:dyDescent="0.5">
      <c r="A632">
        <v>1</v>
      </c>
      <c r="B632" s="80">
        <f>SUBTOTAL(103,$A$9:A632)</f>
        <v>615</v>
      </c>
      <c r="C632" s="300" t="s">
        <v>2428</v>
      </c>
      <c r="D632" s="296">
        <f t="shared" si="19"/>
        <v>997869.02</v>
      </c>
      <c r="E632" s="301">
        <v>0</v>
      </c>
      <c r="F632" s="301">
        <v>0</v>
      </c>
      <c r="G632" s="301">
        <v>0</v>
      </c>
      <c r="H632" s="301">
        <v>0</v>
      </c>
      <c r="I632" s="301">
        <v>997869.02</v>
      </c>
      <c r="J632" s="301">
        <v>0</v>
      </c>
      <c r="K632" s="302">
        <v>0</v>
      </c>
      <c r="L632" s="301">
        <v>0</v>
      </c>
      <c r="M632" s="301">
        <v>0</v>
      </c>
      <c r="N632" s="301">
        <v>0</v>
      </c>
      <c r="O632" s="301">
        <v>0</v>
      </c>
      <c r="P632" s="301">
        <v>0</v>
      </c>
      <c r="Q632" s="301">
        <v>0</v>
      </c>
      <c r="R632" s="301">
        <v>0</v>
      </c>
      <c r="S632" s="301">
        <v>0</v>
      </c>
      <c r="T632" s="301">
        <v>0</v>
      </c>
      <c r="U632" s="301">
        <v>0</v>
      </c>
      <c r="V632" s="301">
        <v>0</v>
      </c>
      <c r="W632" s="301">
        <v>0</v>
      </c>
      <c r="X632" s="301">
        <v>0</v>
      </c>
      <c r="Y632" s="301">
        <v>0</v>
      </c>
      <c r="Z632" s="301">
        <v>0</v>
      </c>
      <c r="AA632" s="301">
        <v>0</v>
      </c>
      <c r="AB632" s="303">
        <v>2020</v>
      </c>
    </row>
    <row r="633" spans="1:28" ht="35.25" customHeight="1" x14ac:dyDescent="0.5">
      <c r="A633">
        <v>1</v>
      </c>
      <c r="B633" s="80">
        <f>SUBTOTAL(103,$A$9:A633)</f>
        <v>616</v>
      </c>
      <c r="C633" s="300" t="s">
        <v>2061</v>
      </c>
      <c r="D633" s="296">
        <f t="shared" si="19"/>
        <v>973016</v>
      </c>
      <c r="E633" s="301">
        <v>0</v>
      </c>
      <c r="F633" s="301">
        <v>0</v>
      </c>
      <c r="G633" s="301">
        <v>0</v>
      </c>
      <c r="H633" s="301">
        <v>0</v>
      </c>
      <c r="I633" s="301">
        <v>0</v>
      </c>
      <c r="J633" s="301">
        <v>0</v>
      </c>
      <c r="K633" s="302">
        <v>0</v>
      </c>
      <c r="L633" s="301">
        <v>0</v>
      </c>
      <c r="M633" s="301">
        <v>973016</v>
      </c>
      <c r="N633" s="301">
        <v>0</v>
      </c>
      <c r="O633" s="301">
        <v>0</v>
      </c>
      <c r="P633" s="301">
        <v>0</v>
      </c>
      <c r="Q633" s="301">
        <v>0</v>
      </c>
      <c r="R633" s="301">
        <v>0</v>
      </c>
      <c r="S633" s="301">
        <v>0</v>
      </c>
      <c r="T633" s="301">
        <v>0</v>
      </c>
      <c r="U633" s="301">
        <v>0</v>
      </c>
      <c r="V633" s="301">
        <v>0</v>
      </c>
      <c r="W633" s="301">
        <v>0</v>
      </c>
      <c r="X633" s="301">
        <v>0</v>
      </c>
      <c r="Y633" s="301">
        <v>0</v>
      </c>
      <c r="Z633" s="301">
        <v>0</v>
      </c>
      <c r="AA633" s="301">
        <v>0</v>
      </c>
      <c r="AB633" s="303">
        <v>2020</v>
      </c>
    </row>
    <row r="634" spans="1:28" ht="35.25" customHeight="1" x14ac:dyDescent="0.5">
      <c r="A634">
        <v>1</v>
      </c>
      <c r="B634" s="80">
        <f>SUBTOTAL(103,$A$9:A634)</f>
        <v>617</v>
      </c>
      <c r="C634" s="300" t="s">
        <v>2062</v>
      </c>
      <c r="D634" s="296">
        <f t="shared" si="19"/>
        <v>350223</v>
      </c>
      <c r="E634" s="301">
        <v>0</v>
      </c>
      <c r="F634" s="301">
        <v>0</v>
      </c>
      <c r="G634" s="301">
        <v>0</v>
      </c>
      <c r="H634" s="301">
        <v>0</v>
      </c>
      <c r="I634" s="301">
        <v>0</v>
      </c>
      <c r="J634" s="301">
        <v>0</v>
      </c>
      <c r="K634" s="302">
        <v>0</v>
      </c>
      <c r="L634" s="301">
        <v>0</v>
      </c>
      <c r="M634" s="301">
        <v>0</v>
      </c>
      <c r="N634" s="301">
        <v>0</v>
      </c>
      <c r="O634" s="301">
        <v>350223</v>
      </c>
      <c r="P634" s="301">
        <v>0</v>
      </c>
      <c r="Q634" s="301">
        <v>0</v>
      </c>
      <c r="R634" s="301">
        <v>0</v>
      </c>
      <c r="S634" s="301">
        <v>0</v>
      </c>
      <c r="T634" s="301">
        <v>0</v>
      </c>
      <c r="U634" s="301">
        <v>0</v>
      </c>
      <c r="V634" s="301">
        <v>0</v>
      </c>
      <c r="W634" s="301">
        <v>0</v>
      </c>
      <c r="X634" s="301">
        <v>0</v>
      </c>
      <c r="Y634" s="301">
        <v>0</v>
      </c>
      <c r="Z634" s="301">
        <v>0</v>
      </c>
      <c r="AA634" s="301">
        <v>0</v>
      </c>
      <c r="AB634" s="303">
        <v>2020</v>
      </c>
    </row>
    <row r="635" spans="1:28" ht="35.25" customHeight="1" x14ac:dyDescent="0.5">
      <c r="A635">
        <v>1</v>
      </c>
      <c r="B635" s="80">
        <f>SUBTOTAL(103,$A$9:A635)</f>
        <v>618</v>
      </c>
      <c r="C635" s="300" t="s">
        <v>2063</v>
      </c>
      <c r="D635" s="296">
        <f t="shared" si="19"/>
        <v>2077335</v>
      </c>
      <c r="E635" s="301">
        <v>0</v>
      </c>
      <c r="F635" s="301">
        <v>0</v>
      </c>
      <c r="G635" s="301">
        <v>0</v>
      </c>
      <c r="H635" s="301">
        <v>0</v>
      </c>
      <c r="I635" s="301">
        <v>0</v>
      </c>
      <c r="J635" s="301">
        <v>0</v>
      </c>
      <c r="K635" s="302">
        <v>0</v>
      </c>
      <c r="L635" s="301">
        <v>0</v>
      </c>
      <c r="M635" s="301">
        <v>2077335</v>
      </c>
      <c r="N635" s="301">
        <v>0</v>
      </c>
      <c r="O635" s="301">
        <v>0</v>
      </c>
      <c r="P635" s="301">
        <v>0</v>
      </c>
      <c r="Q635" s="301">
        <v>0</v>
      </c>
      <c r="R635" s="301">
        <v>0</v>
      </c>
      <c r="S635" s="301">
        <v>0</v>
      </c>
      <c r="T635" s="301">
        <v>0</v>
      </c>
      <c r="U635" s="301">
        <v>0</v>
      </c>
      <c r="V635" s="301">
        <v>0</v>
      </c>
      <c r="W635" s="301">
        <v>0</v>
      </c>
      <c r="X635" s="301">
        <v>0</v>
      </c>
      <c r="Y635" s="301">
        <v>0</v>
      </c>
      <c r="Z635" s="301">
        <v>0</v>
      </c>
      <c r="AA635" s="301">
        <v>0</v>
      </c>
      <c r="AB635" s="303">
        <v>2020</v>
      </c>
    </row>
    <row r="636" spans="1:28" ht="35.25" customHeight="1" x14ac:dyDescent="0.5">
      <c r="A636">
        <v>1</v>
      </c>
      <c r="B636" s="80">
        <f>SUBTOTAL(103,$A$9:A636)</f>
        <v>619</v>
      </c>
      <c r="C636" s="300" t="s">
        <v>2429</v>
      </c>
      <c r="D636" s="296">
        <f t="shared" si="19"/>
        <v>157761.9</v>
      </c>
      <c r="E636" s="301">
        <v>0</v>
      </c>
      <c r="F636" s="301">
        <v>0</v>
      </c>
      <c r="G636" s="301">
        <v>0</v>
      </c>
      <c r="H636" s="301">
        <v>0</v>
      </c>
      <c r="I636" s="301">
        <v>0</v>
      </c>
      <c r="J636" s="301">
        <v>0</v>
      </c>
      <c r="K636" s="302">
        <v>0</v>
      </c>
      <c r="L636" s="301">
        <v>0</v>
      </c>
      <c r="M636" s="301">
        <v>157761.9</v>
      </c>
      <c r="N636" s="301">
        <v>0</v>
      </c>
      <c r="O636" s="301">
        <v>0</v>
      </c>
      <c r="P636" s="301">
        <v>0</v>
      </c>
      <c r="Q636" s="301">
        <v>0</v>
      </c>
      <c r="R636" s="301">
        <v>0</v>
      </c>
      <c r="S636" s="301">
        <v>0</v>
      </c>
      <c r="T636" s="301">
        <v>0</v>
      </c>
      <c r="U636" s="301">
        <v>0</v>
      </c>
      <c r="V636" s="301">
        <v>0</v>
      </c>
      <c r="W636" s="301">
        <v>0</v>
      </c>
      <c r="X636" s="301">
        <v>0</v>
      </c>
      <c r="Y636" s="301">
        <v>0</v>
      </c>
      <c r="Z636" s="301">
        <v>0</v>
      </c>
      <c r="AA636" s="301">
        <v>0</v>
      </c>
      <c r="AB636" s="303">
        <v>2020</v>
      </c>
    </row>
    <row r="637" spans="1:28" ht="35.25" customHeight="1" x14ac:dyDescent="0.5">
      <c r="A637">
        <v>1</v>
      </c>
      <c r="B637" s="80">
        <f>SUBTOTAL(103,$A$9:A637)</f>
        <v>620</v>
      </c>
      <c r="C637" s="300" t="s">
        <v>2430</v>
      </c>
      <c r="D637" s="296">
        <f t="shared" si="19"/>
        <v>890655.2</v>
      </c>
      <c r="E637" s="301">
        <v>0</v>
      </c>
      <c r="F637" s="301">
        <v>890655.2</v>
      </c>
      <c r="G637" s="301">
        <v>0</v>
      </c>
      <c r="H637" s="301">
        <v>0</v>
      </c>
      <c r="I637" s="301">
        <v>0</v>
      </c>
      <c r="J637" s="301">
        <v>0</v>
      </c>
      <c r="K637" s="302">
        <v>0</v>
      </c>
      <c r="L637" s="301">
        <v>0</v>
      </c>
      <c r="M637" s="301">
        <v>0</v>
      </c>
      <c r="N637" s="301">
        <v>0</v>
      </c>
      <c r="O637" s="301">
        <v>0</v>
      </c>
      <c r="P637" s="301">
        <v>0</v>
      </c>
      <c r="Q637" s="301">
        <v>0</v>
      </c>
      <c r="R637" s="301">
        <v>0</v>
      </c>
      <c r="S637" s="301">
        <v>0</v>
      </c>
      <c r="T637" s="301">
        <v>0</v>
      </c>
      <c r="U637" s="301">
        <v>0</v>
      </c>
      <c r="V637" s="301">
        <v>0</v>
      </c>
      <c r="W637" s="301">
        <v>0</v>
      </c>
      <c r="X637" s="301">
        <v>0</v>
      </c>
      <c r="Y637" s="301">
        <v>0</v>
      </c>
      <c r="Z637" s="301">
        <v>0</v>
      </c>
      <c r="AA637" s="301">
        <v>0</v>
      </c>
      <c r="AB637" s="303">
        <v>2020</v>
      </c>
    </row>
    <row r="638" spans="1:28" ht="35.25" customHeight="1" x14ac:dyDescent="0.5">
      <c r="A638">
        <v>1</v>
      </c>
      <c r="B638" s="80">
        <f>SUBTOTAL(103,$A$9:A638)</f>
        <v>621</v>
      </c>
      <c r="C638" s="300" t="s">
        <v>2064</v>
      </c>
      <c r="D638" s="296">
        <f t="shared" si="19"/>
        <v>391500</v>
      </c>
      <c r="E638" s="301">
        <v>0</v>
      </c>
      <c r="F638" s="301">
        <v>0</v>
      </c>
      <c r="G638" s="301">
        <v>0</v>
      </c>
      <c r="H638" s="301">
        <v>0</v>
      </c>
      <c r="I638" s="301">
        <v>0</v>
      </c>
      <c r="J638" s="301">
        <v>0</v>
      </c>
      <c r="K638" s="302">
        <v>0</v>
      </c>
      <c r="L638" s="301">
        <v>0</v>
      </c>
      <c r="M638" s="301">
        <v>391500</v>
      </c>
      <c r="N638" s="301">
        <v>0</v>
      </c>
      <c r="O638" s="301">
        <v>0</v>
      </c>
      <c r="P638" s="301">
        <v>0</v>
      </c>
      <c r="Q638" s="301">
        <v>0</v>
      </c>
      <c r="R638" s="301">
        <v>0</v>
      </c>
      <c r="S638" s="301">
        <v>0</v>
      </c>
      <c r="T638" s="301">
        <v>0</v>
      </c>
      <c r="U638" s="301">
        <v>0</v>
      </c>
      <c r="V638" s="301">
        <v>0</v>
      </c>
      <c r="W638" s="301">
        <v>0</v>
      </c>
      <c r="X638" s="301">
        <v>0</v>
      </c>
      <c r="Y638" s="301">
        <v>0</v>
      </c>
      <c r="Z638" s="301">
        <v>0</v>
      </c>
      <c r="AA638" s="301">
        <v>0</v>
      </c>
      <c r="AB638" s="303">
        <v>2020</v>
      </c>
    </row>
    <row r="639" spans="1:28" ht="35.25" customHeight="1" x14ac:dyDescent="0.5">
      <c r="A639">
        <v>1</v>
      </c>
      <c r="B639" s="80">
        <f>SUBTOTAL(103,$A$9:A639)</f>
        <v>622</v>
      </c>
      <c r="C639" s="300" t="s">
        <v>2065</v>
      </c>
      <c r="D639" s="296">
        <f t="shared" si="19"/>
        <v>855017</v>
      </c>
      <c r="E639" s="301">
        <v>0</v>
      </c>
      <c r="F639" s="301">
        <v>389017</v>
      </c>
      <c r="G639" s="301">
        <v>0</v>
      </c>
      <c r="H639" s="301">
        <v>0</v>
      </c>
      <c r="I639" s="301">
        <v>0</v>
      </c>
      <c r="J639" s="301">
        <v>0</v>
      </c>
      <c r="K639" s="302">
        <v>0</v>
      </c>
      <c r="L639" s="301">
        <v>0</v>
      </c>
      <c r="M639" s="301">
        <v>0</v>
      </c>
      <c r="N639" s="301">
        <v>0</v>
      </c>
      <c r="O639" s="301">
        <v>466000</v>
      </c>
      <c r="P639" s="301">
        <v>0</v>
      </c>
      <c r="Q639" s="301">
        <v>0</v>
      </c>
      <c r="R639" s="301">
        <v>0</v>
      </c>
      <c r="S639" s="301">
        <v>0</v>
      </c>
      <c r="T639" s="301">
        <v>0</v>
      </c>
      <c r="U639" s="301">
        <v>0</v>
      </c>
      <c r="V639" s="301">
        <v>0</v>
      </c>
      <c r="W639" s="301">
        <v>0</v>
      </c>
      <c r="X639" s="301">
        <v>0</v>
      </c>
      <c r="Y639" s="301">
        <v>0</v>
      </c>
      <c r="Z639" s="301">
        <v>0</v>
      </c>
      <c r="AA639" s="301">
        <v>0</v>
      </c>
      <c r="AB639" s="303">
        <v>2020</v>
      </c>
    </row>
    <row r="640" spans="1:28" ht="35.25" customHeight="1" x14ac:dyDescent="0.5">
      <c r="A640">
        <v>1</v>
      </c>
      <c r="B640" s="80">
        <f>SUBTOTAL(103,$A$9:A640)</f>
        <v>623</v>
      </c>
      <c r="C640" s="300" t="s">
        <v>2066</v>
      </c>
      <c r="D640" s="296">
        <f t="shared" si="19"/>
        <v>870396</v>
      </c>
      <c r="E640" s="301">
        <v>0</v>
      </c>
      <c r="F640" s="301">
        <v>0</v>
      </c>
      <c r="G640" s="301">
        <v>852734</v>
      </c>
      <c r="H640" s="301">
        <v>17662</v>
      </c>
      <c r="I640" s="301">
        <v>0</v>
      </c>
      <c r="J640" s="301">
        <v>0</v>
      </c>
      <c r="K640" s="302">
        <v>0</v>
      </c>
      <c r="L640" s="301">
        <v>0</v>
      </c>
      <c r="M640" s="301">
        <v>0</v>
      </c>
      <c r="N640" s="301">
        <v>0</v>
      </c>
      <c r="O640" s="301">
        <v>0</v>
      </c>
      <c r="P640" s="301">
        <v>0</v>
      </c>
      <c r="Q640" s="301">
        <v>0</v>
      </c>
      <c r="R640" s="301">
        <v>0</v>
      </c>
      <c r="S640" s="301">
        <v>0</v>
      </c>
      <c r="T640" s="301">
        <v>0</v>
      </c>
      <c r="U640" s="301">
        <v>0</v>
      </c>
      <c r="V640" s="301">
        <v>0</v>
      </c>
      <c r="W640" s="301">
        <v>0</v>
      </c>
      <c r="X640" s="301">
        <v>0</v>
      </c>
      <c r="Y640" s="301">
        <v>0</v>
      </c>
      <c r="Z640" s="301">
        <v>0</v>
      </c>
      <c r="AA640" s="301">
        <v>0</v>
      </c>
      <c r="AB640" s="303">
        <v>2020</v>
      </c>
    </row>
    <row r="641" spans="1:28" ht="35.25" customHeight="1" x14ac:dyDescent="0.5">
      <c r="A641">
        <v>1</v>
      </c>
      <c r="B641" s="80">
        <f>SUBTOTAL(103,$A$9:A641)</f>
        <v>624</v>
      </c>
      <c r="C641" s="300" t="s">
        <v>2431</v>
      </c>
      <c r="D641" s="296">
        <f t="shared" si="19"/>
        <v>90898</v>
      </c>
      <c r="E641" s="301">
        <v>28439</v>
      </c>
      <c r="F641" s="301">
        <v>0</v>
      </c>
      <c r="G641" s="301">
        <v>0</v>
      </c>
      <c r="H641" s="301">
        <v>62459</v>
      </c>
      <c r="I641" s="301">
        <v>0</v>
      </c>
      <c r="J641" s="301">
        <v>0</v>
      </c>
      <c r="K641" s="302">
        <v>0</v>
      </c>
      <c r="L641" s="301">
        <v>0</v>
      </c>
      <c r="M641" s="301">
        <v>0</v>
      </c>
      <c r="N641" s="301">
        <v>0</v>
      </c>
      <c r="O641" s="301">
        <v>0</v>
      </c>
      <c r="P641" s="301">
        <v>0</v>
      </c>
      <c r="Q641" s="301">
        <v>0</v>
      </c>
      <c r="R641" s="301">
        <v>0</v>
      </c>
      <c r="S641" s="301">
        <v>0</v>
      </c>
      <c r="T641" s="301">
        <v>0</v>
      </c>
      <c r="U641" s="301">
        <v>0</v>
      </c>
      <c r="V641" s="301">
        <v>0</v>
      </c>
      <c r="W641" s="301">
        <v>0</v>
      </c>
      <c r="X641" s="301">
        <v>0</v>
      </c>
      <c r="Y641" s="301">
        <v>0</v>
      </c>
      <c r="Z641" s="301">
        <v>0</v>
      </c>
      <c r="AA641" s="301">
        <v>0</v>
      </c>
      <c r="AB641" s="303">
        <v>2020</v>
      </c>
    </row>
    <row r="642" spans="1:28" ht="35.25" customHeight="1" x14ac:dyDescent="0.5">
      <c r="A642">
        <v>1</v>
      </c>
      <c r="B642" s="80">
        <f>SUBTOTAL(103,$A$9:A642)</f>
        <v>625</v>
      </c>
      <c r="C642" s="300" t="s">
        <v>2067</v>
      </c>
      <c r="D642" s="296">
        <f t="shared" si="19"/>
        <v>275198</v>
      </c>
      <c r="E642" s="301">
        <v>0</v>
      </c>
      <c r="F642" s="301">
        <v>0</v>
      </c>
      <c r="G642" s="301">
        <v>135198</v>
      </c>
      <c r="H642" s="301">
        <v>0</v>
      </c>
      <c r="I642" s="301">
        <v>0</v>
      </c>
      <c r="J642" s="301">
        <v>0</v>
      </c>
      <c r="K642" s="302">
        <v>0</v>
      </c>
      <c r="L642" s="301">
        <v>0</v>
      </c>
      <c r="M642" s="301">
        <v>140000</v>
      </c>
      <c r="N642" s="301">
        <v>0</v>
      </c>
      <c r="O642" s="301">
        <v>0</v>
      </c>
      <c r="P642" s="301">
        <v>0</v>
      </c>
      <c r="Q642" s="301">
        <v>0</v>
      </c>
      <c r="R642" s="301">
        <v>0</v>
      </c>
      <c r="S642" s="301">
        <v>0</v>
      </c>
      <c r="T642" s="301">
        <v>0</v>
      </c>
      <c r="U642" s="301">
        <v>0</v>
      </c>
      <c r="V642" s="301">
        <v>0</v>
      </c>
      <c r="W642" s="301">
        <v>0</v>
      </c>
      <c r="X642" s="301">
        <v>0</v>
      </c>
      <c r="Y642" s="301">
        <v>0</v>
      </c>
      <c r="Z642" s="301">
        <v>0</v>
      </c>
      <c r="AA642" s="301">
        <v>0</v>
      </c>
      <c r="AB642" s="303">
        <v>2020</v>
      </c>
    </row>
    <row r="643" spans="1:28" ht="35.25" customHeight="1" x14ac:dyDescent="0.5">
      <c r="A643">
        <v>1</v>
      </c>
      <c r="B643" s="80">
        <f>SUBTOTAL(103,$A$9:A643)</f>
        <v>626</v>
      </c>
      <c r="C643" s="300" t="s">
        <v>2250</v>
      </c>
      <c r="D643" s="296">
        <f t="shared" si="19"/>
        <v>141489</v>
      </c>
      <c r="E643" s="301">
        <v>0</v>
      </c>
      <c r="F643" s="301">
        <v>0</v>
      </c>
      <c r="G643" s="301">
        <v>0</v>
      </c>
      <c r="H643" s="301">
        <v>0</v>
      </c>
      <c r="I643" s="301">
        <v>0</v>
      </c>
      <c r="J643" s="301">
        <v>0</v>
      </c>
      <c r="K643" s="302">
        <v>0</v>
      </c>
      <c r="L643" s="301">
        <v>0</v>
      </c>
      <c r="M643" s="301">
        <v>0</v>
      </c>
      <c r="N643" s="301">
        <v>0</v>
      </c>
      <c r="O643" s="301">
        <v>141489</v>
      </c>
      <c r="P643" s="301">
        <v>0</v>
      </c>
      <c r="Q643" s="301">
        <v>0</v>
      </c>
      <c r="R643" s="301">
        <v>0</v>
      </c>
      <c r="S643" s="301">
        <v>0</v>
      </c>
      <c r="T643" s="301">
        <v>0</v>
      </c>
      <c r="U643" s="301">
        <v>0</v>
      </c>
      <c r="V643" s="301">
        <v>0</v>
      </c>
      <c r="W643" s="301">
        <v>0</v>
      </c>
      <c r="X643" s="301">
        <v>0</v>
      </c>
      <c r="Y643" s="301">
        <v>0</v>
      </c>
      <c r="Z643" s="301">
        <v>0</v>
      </c>
      <c r="AA643" s="301">
        <v>0</v>
      </c>
      <c r="AB643" s="303">
        <v>2020</v>
      </c>
    </row>
    <row r="644" spans="1:28" ht="35.25" customHeight="1" x14ac:dyDescent="0.5">
      <c r="A644">
        <v>1</v>
      </c>
      <c r="B644" s="80">
        <f>SUBTOTAL(103,$A$9:A644)</f>
        <v>627</v>
      </c>
      <c r="C644" s="300" t="s">
        <v>2251</v>
      </c>
      <c r="D644" s="296">
        <f t="shared" si="19"/>
        <v>1610716</v>
      </c>
      <c r="E644" s="301">
        <v>0</v>
      </c>
      <c r="F644" s="301">
        <v>0</v>
      </c>
      <c r="G644" s="301">
        <v>0</v>
      </c>
      <c r="H644" s="301">
        <v>0</v>
      </c>
      <c r="I644" s="301">
        <v>0</v>
      </c>
      <c r="J644" s="301">
        <v>0</v>
      </c>
      <c r="K644" s="302">
        <v>0</v>
      </c>
      <c r="L644" s="301">
        <v>0</v>
      </c>
      <c r="M644" s="301">
        <v>1610716</v>
      </c>
      <c r="N644" s="301">
        <v>0</v>
      </c>
      <c r="O644" s="301">
        <v>0</v>
      </c>
      <c r="P644" s="301">
        <v>0</v>
      </c>
      <c r="Q644" s="301">
        <v>0</v>
      </c>
      <c r="R644" s="301">
        <v>0</v>
      </c>
      <c r="S644" s="301">
        <v>0</v>
      </c>
      <c r="T644" s="301">
        <v>0</v>
      </c>
      <c r="U644" s="301">
        <v>0</v>
      </c>
      <c r="V644" s="301">
        <v>0</v>
      </c>
      <c r="W644" s="301">
        <v>0</v>
      </c>
      <c r="X644" s="301">
        <v>0</v>
      </c>
      <c r="Y644" s="301">
        <v>0</v>
      </c>
      <c r="Z644" s="301">
        <v>0</v>
      </c>
      <c r="AA644" s="301">
        <v>0</v>
      </c>
      <c r="AB644" s="303">
        <v>2020</v>
      </c>
    </row>
    <row r="645" spans="1:28" ht="35.25" customHeight="1" x14ac:dyDescent="0.5">
      <c r="A645">
        <v>1</v>
      </c>
      <c r="B645" s="80">
        <f>SUBTOTAL(103,$A$9:A645)</f>
        <v>628</v>
      </c>
      <c r="C645" s="300" t="s">
        <v>2252</v>
      </c>
      <c r="D645" s="296">
        <f t="shared" si="19"/>
        <v>244703</v>
      </c>
      <c r="E645" s="301">
        <v>0</v>
      </c>
      <c r="F645" s="301">
        <v>0</v>
      </c>
      <c r="G645" s="301">
        <v>0</v>
      </c>
      <c r="H645" s="301">
        <v>0</v>
      </c>
      <c r="I645" s="301">
        <v>0</v>
      </c>
      <c r="J645" s="301">
        <v>0</v>
      </c>
      <c r="K645" s="302">
        <v>0</v>
      </c>
      <c r="L645" s="301">
        <v>0</v>
      </c>
      <c r="M645" s="301">
        <v>0</v>
      </c>
      <c r="N645" s="301">
        <v>0</v>
      </c>
      <c r="O645" s="301">
        <v>244703</v>
      </c>
      <c r="P645" s="301">
        <v>0</v>
      </c>
      <c r="Q645" s="301">
        <v>0</v>
      </c>
      <c r="R645" s="301">
        <v>0</v>
      </c>
      <c r="S645" s="301">
        <v>0</v>
      </c>
      <c r="T645" s="301">
        <v>0</v>
      </c>
      <c r="U645" s="301">
        <v>0</v>
      </c>
      <c r="V645" s="301">
        <v>0</v>
      </c>
      <c r="W645" s="301">
        <v>0</v>
      </c>
      <c r="X645" s="301">
        <v>0</v>
      </c>
      <c r="Y645" s="301">
        <v>0</v>
      </c>
      <c r="Z645" s="301">
        <v>0</v>
      </c>
      <c r="AA645" s="301">
        <v>0</v>
      </c>
      <c r="AB645" s="303">
        <v>2020</v>
      </c>
    </row>
    <row r="646" spans="1:28" ht="35.25" customHeight="1" x14ac:dyDescent="0.5">
      <c r="A646">
        <v>1</v>
      </c>
      <c r="B646" s="80">
        <f>SUBTOTAL(103,$A$9:A646)</f>
        <v>629</v>
      </c>
      <c r="C646" s="300" t="s">
        <v>2253</v>
      </c>
      <c r="D646" s="296">
        <f t="shared" si="19"/>
        <v>490000</v>
      </c>
      <c r="E646" s="301">
        <v>0</v>
      </c>
      <c r="F646" s="301">
        <v>0</v>
      </c>
      <c r="G646" s="301">
        <v>0</v>
      </c>
      <c r="H646" s="301">
        <v>0</v>
      </c>
      <c r="I646" s="301">
        <v>0</v>
      </c>
      <c r="J646" s="301">
        <v>0</v>
      </c>
      <c r="K646" s="302">
        <v>0</v>
      </c>
      <c r="L646" s="301">
        <v>0</v>
      </c>
      <c r="M646" s="301">
        <v>0</v>
      </c>
      <c r="N646" s="301">
        <v>0</v>
      </c>
      <c r="O646" s="301">
        <v>490000</v>
      </c>
      <c r="P646" s="301">
        <v>0</v>
      </c>
      <c r="Q646" s="301">
        <v>0</v>
      </c>
      <c r="R646" s="301">
        <v>0</v>
      </c>
      <c r="S646" s="301">
        <v>0</v>
      </c>
      <c r="T646" s="301">
        <v>0</v>
      </c>
      <c r="U646" s="301">
        <v>0</v>
      </c>
      <c r="V646" s="301">
        <v>0</v>
      </c>
      <c r="W646" s="301">
        <v>0</v>
      </c>
      <c r="X646" s="301">
        <v>0</v>
      </c>
      <c r="Y646" s="301">
        <v>0</v>
      </c>
      <c r="Z646" s="301">
        <v>0</v>
      </c>
      <c r="AA646" s="301">
        <v>0</v>
      </c>
      <c r="AB646" s="303">
        <v>2020</v>
      </c>
    </row>
    <row r="647" spans="1:28" ht="35.25" customHeight="1" x14ac:dyDescent="0.5">
      <c r="A647">
        <v>1</v>
      </c>
      <c r="B647" s="80">
        <f>SUBTOTAL(103,$A$9:A647)</f>
        <v>630</v>
      </c>
      <c r="C647" s="300" t="s">
        <v>2254</v>
      </c>
      <c r="D647" s="296">
        <f t="shared" si="19"/>
        <v>605834</v>
      </c>
      <c r="E647" s="301">
        <v>0</v>
      </c>
      <c r="F647" s="301">
        <v>0</v>
      </c>
      <c r="G647" s="301">
        <v>0</v>
      </c>
      <c r="H647" s="301">
        <v>0</v>
      </c>
      <c r="I647" s="301">
        <v>0</v>
      </c>
      <c r="J647" s="301">
        <v>0</v>
      </c>
      <c r="K647" s="302">
        <v>0</v>
      </c>
      <c r="L647" s="301">
        <v>0</v>
      </c>
      <c r="M647" s="301">
        <v>0</v>
      </c>
      <c r="N647" s="301">
        <v>0</v>
      </c>
      <c r="O647" s="301">
        <v>605834</v>
      </c>
      <c r="P647" s="301">
        <v>0</v>
      </c>
      <c r="Q647" s="301">
        <v>0</v>
      </c>
      <c r="R647" s="301">
        <v>0</v>
      </c>
      <c r="S647" s="301">
        <v>0</v>
      </c>
      <c r="T647" s="301">
        <v>0</v>
      </c>
      <c r="U647" s="301">
        <v>0</v>
      </c>
      <c r="V647" s="301">
        <v>0</v>
      </c>
      <c r="W647" s="301">
        <v>0</v>
      </c>
      <c r="X647" s="301">
        <v>0</v>
      </c>
      <c r="Y647" s="301">
        <v>0</v>
      </c>
      <c r="Z647" s="301">
        <v>0</v>
      </c>
      <c r="AA647" s="301">
        <v>0</v>
      </c>
      <c r="AB647" s="303">
        <v>2020</v>
      </c>
    </row>
    <row r="648" spans="1:28" ht="35.25" customHeight="1" x14ac:dyDescent="0.5">
      <c r="A648">
        <v>1</v>
      </c>
      <c r="B648" s="80">
        <f>SUBTOTAL(103,$A$9:A648)</f>
        <v>631</v>
      </c>
      <c r="C648" s="300" t="s">
        <v>2255</v>
      </c>
      <c r="D648" s="296">
        <f t="shared" si="19"/>
        <v>2298244</v>
      </c>
      <c r="E648" s="301">
        <v>0</v>
      </c>
      <c r="F648" s="301">
        <v>0</v>
      </c>
      <c r="G648" s="301">
        <v>0</v>
      </c>
      <c r="H648" s="301">
        <v>0</v>
      </c>
      <c r="I648" s="301">
        <v>0</v>
      </c>
      <c r="J648" s="301">
        <v>0</v>
      </c>
      <c r="K648" s="302">
        <v>0</v>
      </c>
      <c r="L648" s="301">
        <v>0</v>
      </c>
      <c r="M648" s="301">
        <v>0</v>
      </c>
      <c r="N648" s="301">
        <v>0</v>
      </c>
      <c r="O648" s="301">
        <v>2298244</v>
      </c>
      <c r="P648" s="301">
        <v>0</v>
      </c>
      <c r="Q648" s="301">
        <v>0</v>
      </c>
      <c r="R648" s="301">
        <v>0</v>
      </c>
      <c r="S648" s="301">
        <v>0</v>
      </c>
      <c r="T648" s="301">
        <v>0</v>
      </c>
      <c r="U648" s="301">
        <v>0</v>
      </c>
      <c r="V648" s="301">
        <v>0</v>
      </c>
      <c r="W648" s="301">
        <v>0</v>
      </c>
      <c r="X648" s="301">
        <v>0</v>
      </c>
      <c r="Y648" s="301">
        <v>0</v>
      </c>
      <c r="Z648" s="301">
        <v>0</v>
      </c>
      <c r="AA648" s="301">
        <v>0</v>
      </c>
      <c r="AB648" s="303">
        <v>2020</v>
      </c>
    </row>
    <row r="649" spans="1:28" ht="35.25" customHeight="1" x14ac:dyDescent="0.5">
      <c r="A649">
        <v>1</v>
      </c>
      <c r="B649" s="80">
        <f>SUBTOTAL(103,$A$9:A649)</f>
        <v>632</v>
      </c>
      <c r="C649" s="300" t="s">
        <v>2256</v>
      </c>
      <c r="D649" s="296">
        <f t="shared" ref="D649:D712" si="21">E649+F649+G649+H649+I649+J649+L649+M649+N649+O649+P649+Q649+R649+S649+T649+U649+V649+W649+X649+Y649+Z649+AA649</f>
        <v>208006.47</v>
      </c>
      <c r="E649" s="301">
        <v>0</v>
      </c>
      <c r="F649" s="301">
        <v>0</v>
      </c>
      <c r="G649" s="301">
        <v>0</v>
      </c>
      <c r="H649" s="301">
        <v>208006.47</v>
      </c>
      <c r="I649" s="301">
        <v>0</v>
      </c>
      <c r="J649" s="301">
        <v>0</v>
      </c>
      <c r="K649" s="302">
        <v>0</v>
      </c>
      <c r="L649" s="301">
        <v>0</v>
      </c>
      <c r="M649" s="301">
        <v>0</v>
      </c>
      <c r="N649" s="301">
        <v>0</v>
      </c>
      <c r="O649" s="301">
        <v>0</v>
      </c>
      <c r="P649" s="301">
        <v>0</v>
      </c>
      <c r="Q649" s="301">
        <v>0</v>
      </c>
      <c r="R649" s="301">
        <v>0</v>
      </c>
      <c r="S649" s="301">
        <v>0</v>
      </c>
      <c r="T649" s="301">
        <v>0</v>
      </c>
      <c r="U649" s="301">
        <v>0</v>
      </c>
      <c r="V649" s="301">
        <v>0</v>
      </c>
      <c r="W649" s="301">
        <v>0</v>
      </c>
      <c r="X649" s="301">
        <v>0</v>
      </c>
      <c r="Y649" s="301">
        <v>0</v>
      </c>
      <c r="Z649" s="301">
        <v>0</v>
      </c>
      <c r="AA649" s="301">
        <v>0</v>
      </c>
      <c r="AB649" s="303">
        <v>2020</v>
      </c>
    </row>
    <row r="650" spans="1:28" ht="35.25" customHeight="1" x14ac:dyDescent="0.5">
      <c r="A650">
        <v>1</v>
      </c>
      <c r="B650" s="80">
        <f>SUBTOTAL(103,$A$9:A650)</f>
        <v>633</v>
      </c>
      <c r="C650" s="300" t="s">
        <v>2257</v>
      </c>
      <c r="D650" s="296">
        <f t="shared" si="21"/>
        <v>900000</v>
      </c>
      <c r="E650" s="301">
        <v>0</v>
      </c>
      <c r="F650" s="301">
        <v>0</v>
      </c>
      <c r="G650" s="301">
        <v>0</v>
      </c>
      <c r="H650" s="301">
        <v>0</v>
      </c>
      <c r="I650" s="301">
        <v>0</v>
      </c>
      <c r="J650" s="301">
        <v>0</v>
      </c>
      <c r="K650" s="302">
        <v>0</v>
      </c>
      <c r="L650" s="301">
        <v>0</v>
      </c>
      <c r="M650" s="301">
        <v>900000</v>
      </c>
      <c r="N650" s="301">
        <v>0</v>
      </c>
      <c r="O650" s="301">
        <v>0</v>
      </c>
      <c r="P650" s="301">
        <v>0</v>
      </c>
      <c r="Q650" s="301">
        <v>0</v>
      </c>
      <c r="R650" s="301">
        <v>0</v>
      </c>
      <c r="S650" s="301">
        <v>0</v>
      </c>
      <c r="T650" s="301">
        <v>0</v>
      </c>
      <c r="U650" s="301">
        <v>0</v>
      </c>
      <c r="V650" s="301">
        <v>0</v>
      </c>
      <c r="W650" s="301">
        <v>0</v>
      </c>
      <c r="X650" s="301">
        <v>0</v>
      </c>
      <c r="Y650" s="301">
        <v>0</v>
      </c>
      <c r="Z650" s="301">
        <v>0</v>
      </c>
      <c r="AA650" s="301">
        <v>0</v>
      </c>
      <c r="AB650" s="303">
        <v>2020</v>
      </c>
    </row>
    <row r="651" spans="1:28" ht="35.25" customHeight="1" x14ac:dyDescent="0.5">
      <c r="A651">
        <v>1</v>
      </c>
      <c r="B651" s="80">
        <f>SUBTOTAL(103,$A$9:A651)</f>
        <v>634</v>
      </c>
      <c r="C651" s="300" t="s">
        <v>2432</v>
      </c>
      <c r="D651" s="296">
        <f t="shared" si="21"/>
        <v>503803</v>
      </c>
      <c r="E651" s="301">
        <v>0</v>
      </c>
      <c r="F651" s="301">
        <v>0</v>
      </c>
      <c r="G651" s="301">
        <v>0</v>
      </c>
      <c r="H651" s="301">
        <v>0</v>
      </c>
      <c r="I651" s="301">
        <v>0</v>
      </c>
      <c r="J651" s="301">
        <v>0</v>
      </c>
      <c r="K651" s="302">
        <v>0</v>
      </c>
      <c r="L651" s="301">
        <v>0</v>
      </c>
      <c r="M651" s="301">
        <v>0</v>
      </c>
      <c r="N651" s="301">
        <v>0</v>
      </c>
      <c r="O651" s="301">
        <v>0</v>
      </c>
      <c r="P651" s="301">
        <v>503803</v>
      </c>
      <c r="Q651" s="301">
        <v>0</v>
      </c>
      <c r="R651" s="301">
        <v>0</v>
      </c>
      <c r="S651" s="301">
        <v>0</v>
      </c>
      <c r="T651" s="301">
        <v>0</v>
      </c>
      <c r="U651" s="301">
        <v>0</v>
      </c>
      <c r="V651" s="301">
        <v>0</v>
      </c>
      <c r="W651" s="301">
        <v>0</v>
      </c>
      <c r="X651" s="301">
        <v>0</v>
      </c>
      <c r="Y651" s="301">
        <v>0</v>
      </c>
      <c r="Z651" s="301">
        <v>0</v>
      </c>
      <c r="AA651" s="301">
        <v>0</v>
      </c>
      <c r="AB651" s="303">
        <v>2020</v>
      </c>
    </row>
    <row r="652" spans="1:28" ht="35.25" customHeight="1" x14ac:dyDescent="0.5">
      <c r="A652">
        <v>1</v>
      </c>
      <c r="B652" s="80">
        <f>SUBTOTAL(103,$A$9:A652)</f>
        <v>635</v>
      </c>
      <c r="C652" s="300" t="s">
        <v>2258</v>
      </c>
      <c r="D652" s="296">
        <f t="shared" si="21"/>
        <v>703144</v>
      </c>
      <c r="E652" s="301">
        <v>0</v>
      </c>
      <c r="F652" s="301">
        <v>0</v>
      </c>
      <c r="G652" s="301">
        <v>0</v>
      </c>
      <c r="H652" s="301">
        <v>0</v>
      </c>
      <c r="I652" s="301">
        <v>0</v>
      </c>
      <c r="J652" s="301">
        <v>0</v>
      </c>
      <c r="K652" s="302">
        <v>0</v>
      </c>
      <c r="L652" s="301">
        <v>0</v>
      </c>
      <c r="M652" s="301">
        <v>0</v>
      </c>
      <c r="N652" s="301">
        <v>0</v>
      </c>
      <c r="O652" s="301">
        <v>703144</v>
      </c>
      <c r="P652" s="301">
        <v>0</v>
      </c>
      <c r="Q652" s="301">
        <v>0</v>
      </c>
      <c r="R652" s="301">
        <v>0</v>
      </c>
      <c r="S652" s="301">
        <v>0</v>
      </c>
      <c r="T652" s="301">
        <v>0</v>
      </c>
      <c r="U652" s="301">
        <v>0</v>
      </c>
      <c r="V652" s="301">
        <v>0</v>
      </c>
      <c r="W652" s="301">
        <v>0</v>
      </c>
      <c r="X652" s="301">
        <v>0</v>
      </c>
      <c r="Y652" s="301">
        <v>0</v>
      </c>
      <c r="Z652" s="301">
        <v>0</v>
      </c>
      <c r="AA652" s="301">
        <v>0</v>
      </c>
      <c r="AB652" s="303">
        <v>2020</v>
      </c>
    </row>
    <row r="653" spans="1:28" ht="35.25" customHeight="1" x14ac:dyDescent="0.5">
      <c r="A653">
        <v>1</v>
      </c>
      <c r="B653" s="80">
        <f>SUBTOTAL(103,$A$9:A653)</f>
        <v>636</v>
      </c>
      <c r="C653" s="300" t="s">
        <v>2259</v>
      </c>
      <c r="D653" s="296">
        <f t="shared" si="21"/>
        <v>1354720</v>
      </c>
      <c r="E653" s="301">
        <v>0</v>
      </c>
      <c r="F653" s="301">
        <v>0</v>
      </c>
      <c r="G653" s="301">
        <v>0</v>
      </c>
      <c r="H653" s="301">
        <v>0</v>
      </c>
      <c r="I653" s="301">
        <v>0</v>
      </c>
      <c r="J653" s="301">
        <v>0</v>
      </c>
      <c r="K653" s="302">
        <v>0</v>
      </c>
      <c r="L653" s="301">
        <v>0</v>
      </c>
      <c r="M653" s="301">
        <v>1354720</v>
      </c>
      <c r="N653" s="301">
        <v>0</v>
      </c>
      <c r="O653" s="301">
        <v>0</v>
      </c>
      <c r="P653" s="301">
        <v>0</v>
      </c>
      <c r="Q653" s="301">
        <v>0</v>
      </c>
      <c r="R653" s="301">
        <v>0</v>
      </c>
      <c r="S653" s="301">
        <v>0</v>
      </c>
      <c r="T653" s="301">
        <v>0</v>
      </c>
      <c r="U653" s="301">
        <v>0</v>
      </c>
      <c r="V653" s="301">
        <v>0</v>
      </c>
      <c r="W653" s="301">
        <v>0</v>
      </c>
      <c r="X653" s="301">
        <v>0</v>
      </c>
      <c r="Y653" s="301">
        <v>0</v>
      </c>
      <c r="Z653" s="301">
        <v>0</v>
      </c>
      <c r="AA653" s="301">
        <v>0</v>
      </c>
      <c r="AB653" s="303">
        <v>2020</v>
      </c>
    </row>
    <row r="654" spans="1:28" ht="35.25" customHeight="1" x14ac:dyDescent="0.5">
      <c r="A654">
        <v>1</v>
      </c>
      <c r="B654" s="80">
        <f>SUBTOTAL(103,$A$9:A654)</f>
        <v>637</v>
      </c>
      <c r="C654" s="300" t="s">
        <v>2260</v>
      </c>
      <c r="D654" s="296">
        <f t="shared" si="21"/>
        <v>1200000</v>
      </c>
      <c r="E654" s="301">
        <v>0</v>
      </c>
      <c r="F654" s="301">
        <v>0</v>
      </c>
      <c r="G654" s="301">
        <v>0</v>
      </c>
      <c r="H654" s="301">
        <v>0</v>
      </c>
      <c r="I654" s="301">
        <v>0</v>
      </c>
      <c r="J654" s="301">
        <v>0</v>
      </c>
      <c r="K654" s="302">
        <v>0</v>
      </c>
      <c r="L654" s="301">
        <v>0</v>
      </c>
      <c r="M654" s="301">
        <v>1200000</v>
      </c>
      <c r="N654" s="301">
        <v>0</v>
      </c>
      <c r="O654" s="301">
        <v>0</v>
      </c>
      <c r="P654" s="301">
        <v>0</v>
      </c>
      <c r="Q654" s="301">
        <v>0</v>
      </c>
      <c r="R654" s="301">
        <v>0</v>
      </c>
      <c r="S654" s="301">
        <v>0</v>
      </c>
      <c r="T654" s="301">
        <v>0</v>
      </c>
      <c r="U654" s="301">
        <v>0</v>
      </c>
      <c r="V654" s="301">
        <v>0</v>
      </c>
      <c r="W654" s="301">
        <v>0</v>
      </c>
      <c r="X654" s="301">
        <v>0</v>
      </c>
      <c r="Y654" s="301">
        <v>0</v>
      </c>
      <c r="Z654" s="301">
        <v>0</v>
      </c>
      <c r="AA654" s="301">
        <v>0</v>
      </c>
      <c r="AB654" s="303">
        <v>2020</v>
      </c>
    </row>
    <row r="655" spans="1:28" ht="35.25" customHeight="1" x14ac:dyDescent="0.5">
      <c r="A655">
        <v>1</v>
      </c>
      <c r="B655" s="80">
        <f>SUBTOTAL(103,$A$9:A655)</f>
        <v>638</v>
      </c>
      <c r="C655" s="300" t="s">
        <v>2261</v>
      </c>
      <c r="D655" s="296">
        <f t="shared" si="21"/>
        <v>813524</v>
      </c>
      <c r="E655" s="301">
        <v>0</v>
      </c>
      <c r="F655" s="301">
        <v>0</v>
      </c>
      <c r="G655" s="301">
        <v>813524</v>
      </c>
      <c r="H655" s="301">
        <v>0</v>
      </c>
      <c r="I655" s="301">
        <v>0</v>
      </c>
      <c r="J655" s="301">
        <v>0</v>
      </c>
      <c r="K655" s="302">
        <v>0</v>
      </c>
      <c r="L655" s="301">
        <v>0</v>
      </c>
      <c r="M655" s="301">
        <v>0</v>
      </c>
      <c r="N655" s="301">
        <v>0</v>
      </c>
      <c r="O655" s="301">
        <v>0</v>
      </c>
      <c r="P655" s="301">
        <v>0</v>
      </c>
      <c r="Q655" s="301">
        <v>0</v>
      </c>
      <c r="R655" s="301">
        <v>0</v>
      </c>
      <c r="S655" s="301">
        <v>0</v>
      </c>
      <c r="T655" s="301">
        <v>0</v>
      </c>
      <c r="U655" s="301">
        <v>0</v>
      </c>
      <c r="V655" s="301">
        <v>0</v>
      </c>
      <c r="W655" s="301">
        <v>0</v>
      </c>
      <c r="X655" s="301">
        <v>0</v>
      </c>
      <c r="Y655" s="301">
        <v>0</v>
      </c>
      <c r="Z655" s="301">
        <v>0</v>
      </c>
      <c r="AA655" s="301">
        <v>0</v>
      </c>
      <c r="AB655" s="303">
        <v>2020</v>
      </c>
    </row>
    <row r="656" spans="1:28" ht="35.25" customHeight="1" x14ac:dyDescent="0.5">
      <c r="A656">
        <v>1</v>
      </c>
      <c r="B656" s="80">
        <f>SUBTOTAL(103,$A$9:A656)</f>
        <v>639</v>
      </c>
      <c r="C656" s="300" t="s">
        <v>2262</v>
      </c>
      <c r="D656" s="296">
        <f t="shared" si="21"/>
        <v>994759</v>
      </c>
      <c r="E656" s="301">
        <v>0</v>
      </c>
      <c r="F656" s="301">
        <v>0</v>
      </c>
      <c r="G656" s="301">
        <v>0</v>
      </c>
      <c r="H656" s="301">
        <v>0</v>
      </c>
      <c r="I656" s="301">
        <v>0</v>
      </c>
      <c r="J656" s="301">
        <v>0</v>
      </c>
      <c r="K656" s="302">
        <v>0</v>
      </c>
      <c r="L656" s="301">
        <v>0</v>
      </c>
      <c r="M656" s="301">
        <v>570746</v>
      </c>
      <c r="N656" s="301">
        <v>0</v>
      </c>
      <c r="O656" s="301">
        <v>424013</v>
      </c>
      <c r="P656" s="301">
        <v>0</v>
      </c>
      <c r="Q656" s="301">
        <v>0</v>
      </c>
      <c r="R656" s="301">
        <v>0</v>
      </c>
      <c r="S656" s="301">
        <v>0</v>
      </c>
      <c r="T656" s="301">
        <v>0</v>
      </c>
      <c r="U656" s="301">
        <v>0</v>
      </c>
      <c r="V656" s="301">
        <v>0</v>
      </c>
      <c r="W656" s="301">
        <v>0</v>
      </c>
      <c r="X656" s="301">
        <v>0</v>
      </c>
      <c r="Y656" s="301">
        <v>0</v>
      </c>
      <c r="Z656" s="301">
        <v>0</v>
      </c>
      <c r="AA656" s="301">
        <v>0</v>
      </c>
      <c r="AB656" s="303">
        <v>2020</v>
      </c>
    </row>
    <row r="657" spans="1:28" ht="35.25" customHeight="1" x14ac:dyDescent="0.5">
      <c r="A657">
        <v>1</v>
      </c>
      <c r="B657" s="80">
        <f>SUBTOTAL(103,$A$9:A657)</f>
        <v>640</v>
      </c>
      <c r="C657" s="300" t="s">
        <v>2263</v>
      </c>
      <c r="D657" s="296">
        <f t="shared" si="21"/>
        <v>1116214.55</v>
      </c>
      <c r="E657" s="301">
        <v>0</v>
      </c>
      <c r="F657" s="301">
        <v>1116214.55</v>
      </c>
      <c r="G657" s="301">
        <v>0</v>
      </c>
      <c r="H657" s="301">
        <v>0</v>
      </c>
      <c r="I657" s="301">
        <v>0</v>
      </c>
      <c r="J657" s="301">
        <v>0</v>
      </c>
      <c r="K657" s="302">
        <v>0</v>
      </c>
      <c r="L657" s="301">
        <v>0</v>
      </c>
      <c r="M657" s="301">
        <v>0</v>
      </c>
      <c r="N657" s="301">
        <v>0</v>
      </c>
      <c r="O657" s="301">
        <v>0</v>
      </c>
      <c r="P657" s="301">
        <v>0</v>
      </c>
      <c r="Q657" s="301">
        <v>0</v>
      </c>
      <c r="R657" s="301">
        <v>0</v>
      </c>
      <c r="S657" s="301">
        <v>0</v>
      </c>
      <c r="T657" s="301">
        <v>0</v>
      </c>
      <c r="U657" s="301">
        <v>0</v>
      </c>
      <c r="V657" s="301">
        <v>0</v>
      </c>
      <c r="W657" s="301">
        <v>0</v>
      </c>
      <c r="X657" s="301">
        <v>0</v>
      </c>
      <c r="Y657" s="301">
        <v>0</v>
      </c>
      <c r="Z657" s="301">
        <v>0</v>
      </c>
      <c r="AA657" s="301">
        <v>0</v>
      </c>
      <c r="AB657" s="303">
        <v>2020</v>
      </c>
    </row>
    <row r="658" spans="1:28" ht="35.25" customHeight="1" x14ac:dyDescent="0.5">
      <c r="A658">
        <v>1</v>
      </c>
      <c r="B658" s="80">
        <f>SUBTOTAL(103,$A$9:A658)</f>
        <v>641</v>
      </c>
      <c r="C658" s="300" t="s">
        <v>2264</v>
      </c>
      <c r="D658" s="296">
        <f t="shared" si="21"/>
        <v>1723519</v>
      </c>
      <c r="E658" s="301">
        <v>0</v>
      </c>
      <c r="F658" s="301">
        <v>0</v>
      </c>
      <c r="G658" s="301">
        <v>0</v>
      </c>
      <c r="H658" s="301">
        <v>0</v>
      </c>
      <c r="I658" s="301">
        <v>0</v>
      </c>
      <c r="J658" s="301">
        <v>0</v>
      </c>
      <c r="K658" s="302">
        <v>0</v>
      </c>
      <c r="L658" s="301">
        <v>0</v>
      </c>
      <c r="M658" s="301">
        <v>1292526</v>
      </c>
      <c r="N658" s="301">
        <v>0</v>
      </c>
      <c r="O658" s="301">
        <v>430993</v>
      </c>
      <c r="P658" s="301">
        <v>0</v>
      </c>
      <c r="Q658" s="301">
        <v>0</v>
      </c>
      <c r="R658" s="301">
        <v>0</v>
      </c>
      <c r="S658" s="301">
        <v>0</v>
      </c>
      <c r="T658" s="301">
        <v>0</v>
      </c>
      <c r="U658" s="301">
        <v>0</v>
      </c>
      <c r="V658" s="301">
        <v>0</v>
      </c>
      <c r="W658" s="301">
        <v>0</v>
      </c>
      <c r="X658" s="301">
        <v>0</v>
      </c>
      <c r="Y658" s="301">
        <v>0</v>
      </c>
      <c r="Z658" s="301">
        <v>0</v>
      </c>
      <c r="AA658" s="301">
        <v>0</v>
      </c>
      <c r="AB658" s="303">
        <v>2020</v>
      </c>
    </row>
    <row r="659" spans="1:28" ht="35.25" customHeight="1" x14ac:dyDescent="0.5">
      <c r="A659">
        <v>1</v>
      </c>
      <c r="B659" s="80">
        <f>SUBTOTAL(103,$A$9:A659)</f>
        <v>642</v>
      </c>
      <c r="C659" s="300" t="s">
        <v>2265</v>
      </c>
      <c r="D659" s="296">
        <f t="shared" si="21"/>
        <v>1278638</v>
      </c>
      <c r="E659" s="301">
        <v>0</v>
      </c>
      <c r="F659" s="301">
        <v>0</v>
      </c>
      <c r="G659" s="301">
        <v>0</v>
      </c>
      <c r="H659" s="301">
        <v>0</v>
      </c>
      <c r="I659" s="301">
        <v>0</v>
      </c>
      <c r="J659" s="301">
        <v>0</v>
      </c>
      <c r="K659" s="302">
        <v>0</v>
      </c>
      <c r="L659" s="301">
        <v>0</v>
      </c>
      <c r="M659" s="301">
        <v>1278638</v>
      </c>
      <c r="N659" s="301">
        <v>0</v>
      </c>
      <c r="O659" s="301">
        <v>0</v>
      </c>
      <c r="P659" s="301">
        <v>0</v>
      </c>
      <c r="Q659" s="301">
        <v>0</v>
      </c>
      <c r="R659" s="301">
        <v>0</v>
      </c>
      <c r="S659" s="301">
        <v>0</v>
      </c>
      <c r="T659" s="301">
        <v>0</v>
      </c>
      <c r="U659" s="301">
        <v>0</v>
      </c>
      <c r="V659" s="301">
        <v>0</v>
      </c>
      <c r="W659" s="301">
        <v>0</v>
      </c>
      <c r="X659" s="301">
        <v>0</v>
      </c>
      <c r="Y659" s="301">
        <v>0</v>
      </c>
      <c r="Z659" s="301">
        <v>0</v>
      </c>
      <c r="AA659" s="301">
        <v>0</v>
      </c>
      <c r="AB659" s="303">
        <v>2020</v>
      </c>
    </row>
    <row r="660" spans="1:28" ht="35.25" customHeight="1" x14ac:dyDescent="0.5">
      <c r="A660">
        <v>1</v>
      </c>
      <c r="B660" s="80">
        <f>SUBTOTAL(103,$A$9:A660)</f>
        <v>643</v>
      </c>
      <c r="C660" s="300" t="s">
        <v>2266</v>
      </c>
      <c r="D660" s="296">
        <f t="shared" si="21"/>
        <v>4448101.99</v>
      </c>
      <c r="E660" s="301">
        <v>554213.75</v>
      </c>
      <c r="F660" s="301">
        <v>1163821.17</v>
      </c>
      <c r="G660" s="301">
        <v>0</v>
      </c>
      <c r="H660" s="301">
        <v>255478.07</v>
      </c>
      <c r="I660" s="301">
        <v>0</v>
      </c>
      <c r="J660" s="301">
        <v>0</v>
      </c>
      <c r="K660" s="302">
        <v>0</v>
      </c>
      <c r="L660" s="301">
        <v>0</v>
      </c>
      <c r="M660" s="301">
        <v>1741847</v>
      </c>
      <c r="N660" s="301">
        <v>0</v>
      </c>
      <c r="O660" s="301">
        <v>732742</v>
      </c>
      <c r="P660" s="301">
        <v>0</v>
      </c>
      <c r="Q660" s="301">
        <v>0</v>
      </c>
      <c r="R660" s="301">
        <v>0</v>
      </c>
      <c r="S660" s="301">
        <v>0</v>
      </c>
      <c r="T660" s="301">
        <v>0</v>
      </c>
      <c r="U660" s="301">
        <v>0</v>
      </c>
      <c r="V660" s="301">
        <v>0</v>
      </c>
      <c r="W660" s="301">
        <v>0</v>
      </c>
      <c r="X660" s="301">
        <v>0</v>
      </c>
      <c r="Y660" s="301">
        <v>0</v>
      </c>
      <c r="Z660" s="301">
        <v>0</v>
      </c>
      <c r="AA660" s="301">
        <v>0</v>
      </c>
      <c r="AB660" s="303">
        <v>2020</v>
      </c>
    </row>
    <row r="661" spans="1:28" ht="35.25" customHeight="1" x14ac:dyDescent="0.5">
      <c r="A661">
        <v>1</v>
      </c>
      <c r="B661" s="80">
        <f>SUBTOTAL(103,$A$9:A661)</f>
        <v>644</v>
      </c>
      <c r="C661" s="300" t="s">
        <v>2433</v>
      </c>
      <c r="D661" s="296">
        <f t="shared" si="21"/>
        <v>1506597.79</v>
      </c>
      <c r="E661" s="301">
        <v>0</v>
      </c>
      <c r="F661" s="301">
        <v>0</v>
      </c>
      <c r="G661" s="301">
        <v>1506597.79</v>
      </c>
      <c r="H661" s="301">
        <v>0</v>
      </c>
      <c r="I661" s="301">
        <v>0</v>
      </c>
      <c r="J661" s="301">
        <v>0</v>
      </c>
      <c r="K661" s="302">
        <v>0</v>
      </c>
      <c r="L661" s="301">
        <v>0</v>
      </c>
      <c r="M661" s="301">
        <v>0</v>
      </c>
      <c r="N661" s="301">
        <v>0</v>
      </c>
      <c r="O661" s="301">
        <v>0</v>
      </c>
      <c r="P661" s="301">
        <v>0</v>
      </c>
      <c r="Q661" s="301">
        <v>0</v>
      </c>
      <c r="R661" s="301">
        <v>0</v>
      </c>
      <c r="S661" s="301">
        <v>0</v>
      </c>
      <c r="T661" s="301">
        <v>0</v>
      </c>
      <c r="U661" s="301">
        <v>0</v>
      </c>
      <c r="V661" s="301">
        <v>0</v>
      </c>
      <c r="W661" s="301">
        <v>0</v>
      </c>
      <c r="X661" s="301">
        <v>0</v>
      </c>
      <c r="Y661" s="301">
        <v>0</v>
      </c>
      <c r="Z661" s="301">
        <v>0</v>
      </c>
      <c r="AA661" s="301">
        <v>0</v>
      </c>
      <c r="AB661" s="303">
        <v>2020</v>
      </c>
    </row>
    <row r="662" spans="1:28" ht="35.25" customHeight="1" x14ac:dyDescent="0.5">
      <c r="A662">
        <v>1</v>
      </c>
      <c r="B662" s="80">
        <f>SUBTOTAL(103,$A$9:A662)</f>
        <v>645</v>
      </c>
      <c r="C662" s="300" t="s">
        <v>2434</v>
      </c>
      <c r="D662" s="296">
        <f t="shared" si="21"/>
        <v>2726863</v>
      </c>
      <c r="E662" s="301">
        <v>0</v>
      </c>
      <c r="F662" s="301">
        <v>0</v>
      </c>
      <c r="G662" s="301">
        <v>0</v>
      </c>
      <c r="H662" s="301">
        <v>0</v>
      </c>
      <c r="I662" s="301">
        <v>2726863</v>
      </c>
      <c r="J662" s="301">
        <v>0</v>
      </c>
      <c r="K662" s="302">
        <v>0</v>
      </c>
      <c r="L662" s="301">
        <v>0</v>
      </c>
      <c r="M662" s="301">
        <v>0</v>
      </c>
      <c r="N662" s="301">
        <v>0</v>
      </c>
      <c r="O662" s="301">
        <v>0</v>
      </c>
      <c r="P662" s="301">
        <v>0</v>
      </c>
      <c r="Q662" s="301">
        <v>0</v>
      </c>
      <c r="R662" s="301">
        <v>0</v>
      </c>
      <c r="S662" s="301">
        <v>0</v>
      </c>
      <c r="T662" s="301">
        <v>0</v>
      </c>
      <c r="U662" s="301">
        <v>0</v>
      </c>
      <c r="V662" s="301">
        <v>0</v>
      </c>
      <c r="W662" s="301">
        <v>0</v>
      </c>
      <c r="X662" s="301">
        <v>0</v>
      </c>
      <c r="Y662" s="301">
        <v>0</v>
      </c>
      <c r="Z662" s="301">
        <v>0</v>
      </c>
      <c r="AA662" s="301">
        <v>0</v>
      </c>
      <c r="AB662" s="303">
        <v>2020</v>
      </c>
    </row>
    <row r="663" spans="1:28" ht="35.25" customHeight="1" x14ac:dyDescent="0.5">
      <c r="A663">
        <v>1</v>
      </c>
      <c r="B663" s="80">
        <f>SUBTOTAL(103,$A$9:A663)</f>
        <v>646</v>
      </c>
      <c r="C663" s="300" t="s">
        <v>2435</v>
      </c>
      <c r="D663" s="296">
        <f t="shared" si="21"/>
        <v>2400796</v>
      </c>
      <c r="E663" s="301">
        <v>0</v>
      </c>
      <c r="F663" s="301">
        <v>0</v>
      </c>
      <c r="G663" s="301">
        <v>0</v>
      </c>
      <c r="H663" s="301">
        <v>0</v>
      </c>
      <c r="I663" s="301">
        <v>0</v>
      </c>
      <c r="J663" s="301">
        <v>0</v>
      </c>
      <c r="K663" s="302">
        <v>0</v>
      </c>
      <c r="L663" s="301">
        <v>0</v>
      </c>
      <c r="M663" s="301">
        <v>2400796</v>
      </c>
      <c r="N663" s="301">
        <v>0</v>
      </c>
      <c r="O663" s="301">
        <v>0</v>
      </c>
      <c r="P663" s="301">
        <v>0</v>
      </c>
      <c r="Q663" s="301">
        <v>0</v>
      </c>
      <c r="R663" s="301">
        <v>0</v>
      </c>
      <c r="S663" s="301">
        <v>0</v>
      </c>
      <c r="T663" s="301">
        <v>0</v>
      </c>
      <c r="U663" s="301">
        <v>0</v>
      </c>
      <c r="V663" s="301">
        <v>0</v>
      </c>
      <c r="W663" s="301">
        <v>0</v>
      </c>
      <c r="X663" s="301">
        <v>0</v>
      </c>
      <c r="Y663" s="301">
        <v>0</v>
      </c>
      <c r="Z663" s="301">
        <v>0</v>
      </c>
      <c r="AA663" s="301">
        <v>0</v>
      </c>
      <c r="AB663" s="303">
        <v>2020</v>
      </c>
    </row>
    <row r="664" spans="1:28" ht="35.25" customHeight="1" x14ac:dyDescent="0.5">
      <c r="A664">
        <v>1</v>
      </c>
      <c r="B664" s="80">
        <f>SUBTOTAL(103,$A$9:A664)</f>
        <v>647</v>
      </c>
      <c r="C664" s="300" t="s">
        <v>2620</v>
      </c>
      <c r="D664" s="296">
        <f t="shared" si="21"/>
        <v>2900000</v>
      </c>
      <c r="E664" s="301">
        <v>0</v>
      </c>
      <c r="F664" s="301">
        <v>0</v>
      </c>
      <c r="G664" s="301">
        <v>0</v>
      </c>
      <c r="H664" s="301">
        <v>0</v>
      </c>
      <c r="I664" s="301">
        <v>0</v>
      </c>
      <c r="J664" s="301">
        <v>0</v>
      </c>
      <c r="K664" s="302">
        <v>0</v>
      </c>
      <c r="L664" s="301">
        <v>0</v>
      </c>
      <c r="M664" s="301">
        <v>2900000</v>
      </c>
      <c r="N664" s="301">
        <v>0</v>
      </c>
      <c r="O664" s="301">
        <v>0</v>
      </c>
      <c r="P664" s="301">
        <v>0</v>
      </c>
      <c r="Q664" s="301">
        <v>0</v>
      </c>
      <c r="R664" s="301">
        <v>0</v>
      </c>
      <c r="S664" s="301">
        <v>0</v>
      </c>
      <c r="T664" s="301">
        <v>0</v>
      </c>
      <c r="U664" s="301">
        <v>0</v>
      </c>
      <c r="V664" s="301">
        <v>0</v>
      </c>
      <c r="W664" s="301">
        <v>0</v>
      </c>
      <c r="X664" s="301">
        <v>0</v>
      </c>
      <c r="Y664" s="301">
        <v>0</v>
      </c>
      <c r="Z664" s="301">
        <v>0</v>
      </c>
      <c r="AA664" s="301">
        <v>0</v>
      </c>
      <c r="AB664" s="303">
        <v>2020</v>
      </c>
    </row>
    <row r="665" spans="1:28" ht="35.25" customHeight="1" x14ac:dyDescent="0.5">
      <c r="A665">
        <v>1</v>
      </c>
      <c r="B665" s="80">
        <f>SUBTOTAL(103,$A$9:A665)</f>
        <v>648</v>
      </c>
      <c r="C665" s="300" t="s">
        <v>2621</v>
      </c>
      <c r="D665" s="296">
        <f t="shared" si="21"/>
        <v>3045676</v>
      </c>
      <c r="E665" s="301">
        <v>0</v>
      </c>
      <c r="F665" s="301">
        <v>0</v>
      </c>
      <c r="G665" s="301">
        <v>0</v>
      </c>
      <c r="H665" s="301">
        <v>0</v>
      </c>
      <c r="I665" s="301">
        <v>0</v>
      </c>
      <c r="J665" s="301">
        <v>0</v>
      </c>
      <c r="K665" s="302">
        <v>0</v>
      </c>
      <c r="L665" s="301">
        <v>0</v>
      </c>
      <c r="M665" s="301">
        <v>3045676</v>
      </c>
      <c r="N665" s="301">
        <v>0</v>
      </c>
      <c r="O665" s="301">
        <v>0</v>
      </c>
      <c r="P665" s="301">
        <v>0</v>
      </c>
      <c r="Q665" s="301">
        <v>0</v>
      </c>
      <c r="R665" s="301">
        <v>0</v>
      </c>
      <c r="S665" s="301">
        <v>0</v>
      </c>
      <c r="T665" s="301">
        <v>0</v>
      </c>
      <c r="U665" s="301">
        <v>0</v>
      </c>
      <c r="V665" s="301">
        <v>0</v>
      </c>
      <c r="W665" s="301">
        <v>0</v>
      </c>
      <c r="X665" s="301">
        <v>0</v>
      </c>
      <c r="Y665" s="301">
        <v>0</v>
      </c>
      <c r="Z665" s="301">
        <v>0</v>
      </c>
      <c r="AA665" s="301">
        <v>0</v>
      </c>
      <c r="AB665" s="303">
        <v>2020</v>
      </c>
    </row>
    <row r="666" spans="1:28" ht="35.25" customHeight="1" x14ac:dyDescent="0.5">
      <c r="A666">
        <v>1</v>
      </c>
      <c r="B666" s="80">
        <f>SUBTOTAL(103,$A$9:A666)</f>
        <v>649</v>
      </c>
      <c r="C666" s="300" t="s">
        <v>2622</v>
      </c>
      <c r="D666" s="296">
        <f t="shared" si="21"/>
        <v>1420039</v>
      </c>
      <c r="E666" s="301">
        <v>0</v>
      </c>
      <c r="F666" s="301">
        <v>0</v>
      </c>
      <c r="G666" s="301">
        <v>0</v>
      </c>
      <c r="H666" s="301">
        <v>0</v>
      </c>
      <c r="I666" s="301">
        <v>0</v>
      </c>
      <c r="J666" s="301">
        <v>0</v>
      </c>
      <c r="K666" s="302">
        <v>0</v>
      </c>
      <c r="L666" s="301">
        <v>0</v>
      </c>
      <c r="M666" s="301">
        <v>1420039</v>
      </c>
      <c r="N666" s="301">
        <v>0</v>
      </c>
      <c r="O666" s="301">
        <v>0</v>
      </c>
      <c r="P666" s="301">
        <v>0</v>
      </c>
      <c r="Q666" s="301">
        <v>0</v>
      </c>
      <c r="R666" s="301">
        <v>0</v>
      </c>
      <c r="S666" s="301">
        <v>0</v>
      </c>
      <c r="T666" s="301">
        <v>0</v>
      </c>
      <c r="U666" s="301">
        <v>0</v>
      </c>
      <c r="V666" s="301">
        <v>0</v>
      </c>
      <c r="W666" s="301">
        <v>0</v>
      </c>
      <c r="X666" s="301">
        <v>0</v>
      </c>
      <c r="Y666" s="301">
        <v>0</v>
      </c>
      <c r="Z666" s="301">
        <v>0</v>
      </c>
      <c r="AA666" s="301">
        <v>0</v>
      </c>
      <c r="AB666" s="303">
        <v>2020</v>
      </c>
    </row>
    <row r="667" spans="1:28" ht="35.25" customHeight="1" x14ac:dyDescent="0.5">
      <c r="A667">
        <v>1</v>
      </c>
      <c r="B667" s="80">
        <f>SUBTOTAL(103,$A$9:A667)</f>
        <v>650</v>
      </c>
      <c r="C667" s="300" t="s">
        <v>2623</v>
      </c>
      <c r="D667" s="296">
        <f t="shared" si="21"/>
        <v>2344208</v>
      </c>
      <c r="E667" s="301">
        <v>0</v>
      </c>
      <c r="F667" s="301">
        <v>0</v>
      </c>
      <c r="G667" s="301">
        <v>0</v>
      </c>
      <c r="H667" s="301">
        <v>0</v>
      </c>
      <c r="I667" s="301">
        <v>0</v>
      </c>
      <c r="J667" s="301">
        <v>0</v>
      </c>
      <c r="K667" s="302">
        <v>0</v>
      </c>
      <c r="L667" s="301">
        <v>0</v>
      </c>
      <c r="M667" s="301">
        <v>1468608</v>
      </c>
      <c r="N667" s="301">
        <v>0</v>
      </c>
      <c r="O667" s="301">
        <v>875600</v>
      </c>
      <c r="P667" s="301">
        <v>0</v>
      </c>
      <c r="Q667" s="301">
        <v>0</v>
      </c>
      <c r="R667" s="301">
        <v>0</v>
      </c>
      <c r="S667" s="301">
        <v>0</v>
      </c>
      <c r="T667" s="301">
        <v>0</v>
      </c>
      <c r="U667" s="301">
        <v>0</v>
      </c>
      <c r="V667" s="301">
        <v>0</v>
      </c>
      <c r="W667" s="301">
        <v>0</v>
      </c>
      <c r="X667" s="301">
        <v>0</v>
      </c>
      <c r="Y667" s="301">
        <v>0</v>
      </c>
      <c r="Z667" s="301">
        <v>0</v>
      </c>
      <c r="AA667" s="301">
        <v>0</v>
      </c>
      <c r="AB667" s="303">
        <v>2020</v>
      </c>
    </row>
    <row r="668" spans="1:28" ht="35.25" customHeight="1" x14ac:dyDescent="0.5">
      <c r="A668">
        <v>1</v>
      </c>
      <c r="B668" s="80">
        <f>SUBTOTAL(103,$A$9:A668)</f>
        <v>651</v>
      </c>
      <c r="C668" s="300" t="s">
        <v>2624</v>
      </c>
      <c r="D668" s="296">
        <f t="shared" si="21"/>
        <v>6427592</v>
      </c>
      <c r="E668" s="301">
        <v>0</v>
      </c>
      <c r="F668" s="301">
        <v>0</v>
      </c>
      <c r="G668" s="301">
        <v>0</v>
      </c>
      <c r="H668" s="301">
        <v>0</v>
      </c>
      <c r="I668" s="301">
        <v>0</v>
      </c>
      <c r="J668" s="301">
        <v>0</v>
      </c>
      <c r="K668" s="302">
        <v>0</v>
      </c>
      <c r="L668" s="301">
        <v>0</v>
      </c>
      <c r="M668" s="301">
        <v>0</v>
      </c>
      <c r="N668" s="301">
        <v>0</v>
      </c>
      <c r="O668" s="301">
        <v>6427592</v>
      </c>
      <c r="P668" s="301">
        <v>0</v>
      </c>
      <c r="Q668" s="301">
        <v>0</v>
      </c>
      <c r="R668" s="301">
        <v>0</v>
      </c>
      <c r="S668" s="301">
        <v>0</v>
      </c>
      <c r="T668" s="301">
        <v>0</v>
      </c>
      <c r="U668" s="301">
        <v>0</v>
      </c>
      <c r="V668" s="301">
        <v>0</v>
      </c>
      <c r="W668" s="301">
        <v>0</v>
      </c>
      <c r="X668" s="301">
        <v>0</v>
      </c>
      <c r="Y668" s="301">
        <v>0</v>
      </c>
      <c r="Z668" s="301">
        <v>0</v>
      </c>
      <c r="AA668" s="301">
        <v>0</v>
      </c>
      <c r="AB668" s="303">
        <v>2020</v>
      </c>
    </row>
    <row r="669" spans="1:28" ht="35.25" customHeight="1" x14ac:dyDescent="0.5">
      <c r="A669">
        <v>1</v>
      </c>
      <c r="B669" s="80">
        <f>SUBTOTAL(103,$A$9:A669)</f>
        <v>652</v>
      </c>
      <c r="C669" s="300" t="s">
        <v>2710</v>
      </c>
      <c r="D669" s="296">
        <f t="shared" si="21"/>
        <v>671600</v>
      </c>
      <c r="E669" s="301">
        <v>0</v>
      </c>
      <c r="F669" s="301">
        <v>0</v>
      </c>
      <c r="G669" s="301">
        <v>0</v>
      </c>
      <c r="H669" s="301">
        <v>0</v>
      </c>
      <c r="I669" s="301">
        <v>0</v>
      </c>
      <c r="J669" s="301">
        <v>0</v>
      </c>
      <c r="K669" s="302">
        <v>0</v>
      </c>
      <c r="L669" s="301">
        <v>0</v>
      </c>
      <c r="M669" s="301">
        <v>0</v>
      </c>
      <c r="N669" s="301">
        <v>0</v>
      </c>
      <c r="O669" s="301">
        <v>671600</v>
      </c>
      <c r="P669" s="301">
        <v>0</v>
      </c>
      <c r="Q669" s="301">
        <v>0</v>
      </c>
      <c r="R669" s="301">
        <v>0</v>
      </c>
      <c r="S669" s="301">
        <v>0</v>
      </c>
      <c r="T669" s="301">
        <v>0</v>
      </c>
      <c r="U669" s="301">
        <v>0</v>
      </c>
      <c r="V669" s="301">
        <v>0</v>
      </c>
      <c r="W669" s="301">
        <v>0</v>
      </c>
      <c r="X669" s="301">
        <v>0</v>
      </c>
      <c r="Y669" s="301">
        <v>0</v>
      </c>
      <c r="Z669" s="301">
        <v>0</v>
      </c>
      <c r="AA669" s="301">
        <v>0</v>
      </c>
      <c r="AB669" s="303">
        <v>2020</v>
      </c>
    </row>
    <row r="670" spans="1:28" ht="35.25" customHeight="1" x14ac:dyDescent="0.5">
      <c r="A670">
        <v>1</v>
      </c>
      <c r="B670" s="80">
        <f>SUBTOTAL(103,$A$9:A670)</f>
        <v>653</v>
      </c>
      <c r="C670" s="300" t="s">
        <v>2711</v>
      </c>
      <c r="D670" s="296">
        <f t="shared" si="21"/>
        <v>502467</v>
      </c>
      <c r="E670" s="301">
        <v>0</v>
      </c>
      <c r="F670" s="301">
        <v>0</v>
      </c>
      <c r="G670" s="301">
        <v>502467</v>
      </c>
      <c r="H670" s="301">
        <v>0</v>
      </c>
      <c r="I670" s="301">
        <v>0</v>
      </c>
      <c r="J670" s="301">
        <v>0</v>
      </c>
      <c r="K670" s="302">
        <v>0</v>
      </c>
      <c r="L670" s="301">
        <v>0</v>
      </c>
      <c r="M670" s="301">
        <v>0</v>
      </c>
      <c r="N670" s="301">
        <v>0</v>
      </c>
      <c r="O670" s="301">
        <v>0</v>
      </c>
      <c r="P670" s="301">
        <v>0</v>
      </c>
      <c r="Q670" s="301">
        <v>0</v>
      </c>
      <c r="R670" s="301">
        <v>0</v>
      </c>
      <c r="S670" s="301">
        <v>0</v>
      </c>
      <c r="T670" s="301">
        <v>0</v>
      </c>
      <c r="U670" s="301">
        <v>0</v>
      </c>
      <c r="V670" s="301">
        <v>0</v>
      </c>
      <c r="W670" s="301">
        <v>0</v>
      </c>
      <c r="X670" s="301">
        <v>0</v>
      </c>
      <c r="Y670" s="301">
        <v>0</v>
      </c>
      <c r="Z670" s="301">
        <v>0</v>
      </c>
      <c r="AA670" s="301">
        <v>0</v>
      </c>
      <c r="AB670" s="303">
        <v>2020</v>
      </c>
    </row>
    <row r="671" spans="1:28" ht="35.25" customHeight="1" x14ac:dyDescent="0.5">
      <c r="A671">
        <v>1</v>
      </c>
      <c r="B671" s="80">
        <f>SUBTOTAL(103,$A$9:A671)</f>
        <v>654</v>
      </c>
      <c r="C671" s="300" t="s">
        <v>2979</v>
      </c>
      <c r="D671" s="296">
        <f t="shared" si="21"/>
        <v>189465</v>
      </c>
      <c r="E671" s="301">
        <v>0</v>
      </c>
      <c r="F671" s="301">
        <v>0</v>
      </c>
      <c r="G671" s="301">
        <v>189465</v>
      </c>
      <c r="H671" s="301">
        <v>0</v>
      </c>
      <c r="I671" s="301">
        <v>0</v>
      </c>
      <c r="J671" s="301">
        <v>0</v>
      </c>
      <c r="K671" s="302">
        <v>0</v>
      </c>
      <c r="L671" s="301">
        <v>0</v>
      </c>
      <c r="M671" s="301">
        <v>0</v>
      </c>
      <c r="N671" s="301">
        <v>0</v>
      </c>
      <c r="O671" s="301">
        <v>0</v>
      </c>
      <c r="P671" s="301">
        <v>0</v>
      </c>
      <c r="Q671" s="301">
        <v>0</v>
      </c>
      <c r="R671" s="301">
        <v>0</v>
      </c>
      <c r="S671" s="301">
        <v>0</v>
      </c>
      <c r="T671" s="301">
        <v>0</v>
      </c>
      <c r="U671" s="301">
        <v>0</v>
      </c>
      <c r="V671" s="301">
        <v>0</v>
      </c>
      <c r="W671" s="301">
        <v>0</v>
      </c>
      <c r="X671" s="301">
        <v>0</v>
      </c>
      <c r="Y671" s="301">
        <v>0</v>
      </c>
      <c r="Z671" s="301">
        <v>0</v>
      </c>
      <c r="AA671" s="301">
        <v>0</v>
      </c>
      <c r="AB671" s="303">
        <v>2020</v>
      </c>
    </row>
    <row r="672" spans="1:28" ht="35.25" customHeight="1" x14ac:dyDescent="0.5">
      <c r="A672">
        <v>1</v>
      </c>
      <c r="B672" s="80">
        <f>SUBTOTAL(103,$A$9:A672)</f>
        <v>655</v>
      </c>
      <c r="C672" s="300" t="s">
        <v>3541</v>
      </c>
      <c r="D672" s="296">
        <f t="shared" si="21"/>
        <v>1012933</v>
      </c>
      <c r="E672" s="301">
        <v>0</v>
      </c>
      <c r="F672" s="301">
        <v>0</v>
      </c>
      <c r="G672" s="301">
        <v>0</v>
      </c>
      <c r="H672" s="301">
        <v>0</v>
      </c>
      <c r="I672" s="301">
        <v>0</v>
      </c>
      <c r="J672" s="301">
        <v>0</v>
      </c>
      <c r="K672" s="302">
        <v>0</v>
      </c>
      <c r="L672" s="301">
        <v>0</v>
      </c>
      <c r="M672" s="301">
        <v>1012933</v>
      </c>
      <c r="N672" s="301">
        <v>0</v>
      </c>
      <c r="O672" s="301">
        <v>0</v>
      </c>
      <c r="P672" s="301">
        <v>0</v>
      </c>
      <c r="Q672" s="301">
        <v>0</v>
      </c>
      <c r="R672" s="301">
        <v>0</v>
      </c>
      <c r="S672" s="301">
        <v>0</v>
      </c>
      <c r="T672" s="301">
        <v>0</v>
      </c>
      <c r="U672" s="301">
        <v>0</v>
      </c>
      <c r="V672" s="301">
        <v>0</v>
      </c>
      <c r="W672" s="301">
        <v>0</v>
      </c>
      <c r="X672" s="301">
        <v>0</v>
      </c>
      <c r="Y672" s="301">
        <v>0</v>
      </c>
      <c r="Z672" s="301">
        <v>0</v>
      </c>
      <c r="AA672" s="301">
        <v>0</v>
      </c>
      <c r="AB672" s="303">
        <v>2020</v>
      </c>
    </row>
    <row r="673" spans="1:28" ht="35.25" customHeight="1" x14ac:dyDescent="0.5">
      <c r="A673">
        <v>1</v>
      </c>
      <c r="B673" s="80">
        <f>SUBTOTAL(103,$A$9:A673)</f>
        <v>656</v>
      </c>
      <c r="C673" s="300" t="s">
        <v>2068</v>
      </c>
      <c r="D673" s="296">
        <f t="shared" si="21"/>
        <v>1269855</v>
      </c>
      <c r="E673" s="301">
        <v>0</v>
      </c>
      <c r="F673" s="301">
        <v>0</v>
      </c>
      <c r="G673" s="301">
        <v>0</v>
      </c>
      <c r="H673" s="301">
        <v>0</v>
      </c>
      <c r="I673" s="301">
        <v>0</v>
      </c>
      <c r="J673" s="301">
        <v>0</v>
      </c>
      <c r="K673" s="302">
        <v>0</v>
      </c>
      <c r="L673" s="301">
        <v>0</v>
      </c>
      <c r="M673" s="301">
        <v>1120180</v>
      </c>
      <c r="N673" s="301">
        <v>0</v>
      </c>
      <c r="O673" s="301">
        <v>149675</v>
      </c>
      <c r="P673" s="301">
        <v>0</v>
      </c>
      <c r="Q673" s="301">
        <v>0</v>
      </c>
      <c r="R673" s="301">
        <v>0</v>
      </c>
      <c r="S673" s="301">
        <v>0</v>
      </c>
      <c r="T673" s="301">
        <v>0</v>
      </c>
      <c r="U673" s="301">
        <v>0</v>
      </c>
      <c r="V673" s="301">
        <v>0</v>
      </c>
      <c r="W673" s="301">
        <v>0</v>
      </c>
      <c r="X673" s="301">
        <v>0</v>
      </c>
      <c r="Y673" s="301">
        <v>0</v>
      </c>
      <c r="Z673" s="301">
        <v>0</v>
      </c>
      <c r="AA673" s="301">
        <v>0</v>
      </c>
      <c r="AB673" s="303">
        <v>2020</v>
      </c>
    </row>
    <row r="674" spans="1:28" ht="35.25" customHeight="1" x14ac:dyDescent="0.5">
      <c r="B674" s="300" t="s">
        <v>825</v>
      </c>
      <c r="C674" s="300"/>
      <c r="D674" s="296">
        <f t="shared" si="21"/>
        <v>855755</v>
      </c>
      <c r="E674" s="296">
        <f t="shared" ref="E674:AA674" si="22">SUM(E675:E676)</f>
        <v>0</v>
      </c>
      <c r="F674" s="296">
        <f t="shared" si="22"/>
        <v>0</v>
      </c>
      <c r="G674" s="296">
        <f t="shared" si="22"/>
        <v>0</v>
      </c>
      <c r="H674" s="296">
        <f t="shared" si="22"/>
        <v>0</v>
      </c>
      <c r="I674" s="296">
        <f t="shared" si="22"/>
        <v>0</v>
      </c>
      <c r="J674" s="296">
        <f t="shared" si="22"/>
        <v>0</v>
      </c>
      <c r="K674" s="302">
        <f t="shared" si="22"/>
        <v>0</v>
      </c>
      <c r="L674" s="296">
        <f t="shared" si="22"/>
        <v>0</v>
      </c>
      <c r="M674" s="296">
        <f t="shared" si="22"/>
        <v>0</v>
      </c>
      <c r="N674" s="296">
        <f t="shared" si="22"/>
        <v>855755</v>
      </c>
      <c r="O674" s="296">
        <f t="shared" si="22"/>
        <v>0</v>
      </c>
      <c r="P674" s="296">
        <f t="shared" si="22"/>
        <v>0</v>
      </c>
      <c r="Q674" s="296">
        <f t="shared" si="22"/>
        <v>0</v>
      </c>
      <c r="R674" s="296">
        <f t="shared" si="22"/>
        <v>0</v>
      </c>
      <c r="S674" s="296">
        <f t="shared" si="22"/>
        <v>0</v>
      </c>
      <c r="T674" s="296">
        <f t="shared" si="22"/>
        <v>0</v>
      </c>
      <c r="U674" s="296">
        <f t="shared" si="22"/>
        <v>0</v>
      </c>
      <c r="V674" s="296">
        <f t="shared" si="22"/>
        <v>0</v>
      </c>
      <c r="W674" s="296">
        <f t="shared" si="22"/>
        <v>0</v>
      </c>
      <c r="X674" s="296">
        <f t="shared" si="22"/>
        <v>0</v>
      </c>
      <c r="Y674" s="296">
        <f t="shared" si="22"/>
        <v>0</v>
      </c>
      <c r="Z674" s="296">
        <f t="shared" si="22"/>
        <v>0</v>
      </c>
      <c r="AA674" s="296">
        <f t="shared" si="22"/>
        <v>0</v>
      </c>
      <c r="AB674" s="298" t="s">
        <v>835</v>
      </c>
    </row>
    <row r="675" spans="1:28" ht="35.25" customHeight="1" x14ac:dyDescent="0.5">
      <c r="A675">
        <v>1</v>
      </c>
      <c r="B675" s="80">
        <f>SUBTOTAL(103,$A$9:A675)</f>
        <v>657</v>
      </c>
      <c r="C675" s="300" t="s">
        <v>1754</v>
      </c>
      <c r="D675" s="296">
        <f t="shared" si="21"/>
        <v>488555</v>
      </c>
      <c r="E675" s="301">
        <v>0</v>
      </c>
      <c r="F675" s="301">
        <v>0</v>
      </c>
      <c r="G675" s="301">
        <v>0</v>
      </c>
      <c r="H675" s="301">
        <v>0</v>
      </c>
      <c r="I675" s="301">
        <v>0</v>
      </c>
      <c r="J675" s="301">
        <v>0</v>
      </c>
      <c r="K675" s="302">
        <v>0</v>
      </c>
      <c r="L675" s="301">
        <v>0</v>
      </c>
      <c r="M675" s="301">
        <v>0</v>
      </c>
      <c r="N675" s="301">
        <v>488555</v>
      </c>
      <c r="O675" s="301">
        <v>0</v>
      </c>
      <c r="P675" s="301">
        <v>0</v>
      </c>
      <c r="Q675" s="301">
        <v>0</v>
      </c>
      <c r="R675" s="301">
        <v>0</v>
      </c>
      <c r="S675" s="301">
        <v>0</v>
      </c>
      <c r="T675" s="301">
        <v>0</v>
      </c>
      <c r="U675" s="301">
        <v>0</v>
      </c>
      <c r="V675" s="301">
        <v>0</v>
      </c>
      <c r="W675" s="301">
        <v>0</v>
      </c>
      <c r="X675" s="301">
        <v>0</v>
      </c>
      <c r="Y675" s="301">
        <v>0</v>
      </c>
      <c r="Z675" s="301">
        <v>0</v>
      </c>
      <c r="AA675" s="301">
        <v>0</v>
      </c>
      <c r="AB675" s="303">
        <v>2020</v>
      </c>
    </row>
    <row r="676" spans="1:28" ht="35.25" customHeight="1" x14ac:dyDescent="0.5">
      <c r="A676">
        <v>1</v>
      </c>
      <c r="B676" s="80">
        <f>SUBTOTAL(103,$A$9:A676)</f>
        <v>658</v>
      </c>
      <c r="C676" s="300" t="s">
        <v>1755</v>
      </c>
      <c r="D676" s="296">
        <f t="shared" si="21"/>
        <v>367200</v>
      </c>
      <c r="E676" s="301">
        <v>0</v>
      </c>
      <c r="F676" s="301">
        <v>0</v>
      </c>
      <c r="G676" s="301">
        <v>0</v>
      </c>
      <c r="H676" s="301">
        <v>0</v>
      </c>
      <c r="I676" s="301">
        <v>0</v>
      </c>
      <c r="J676" s="301">
        <v>0</v>
      </c>
      <c r="K676" s="302">
        <v>0</v>
      </c>
      <c r="L676" s="301">
        <v>0</v>
      </c>
      <c r="M676" s="301">
        <v>0</v>
      </c>
      <c r="N676" s="301">
        <v>367200</v>
      </c>
      <c r="O676" s="301">
        <v>0</v>
      </c>
      <c r="P676" s="301">
        <v>0</v>
      </c>
      <c r="Q676" s="301">
        <v>0</v>
      </c>
      <c r="R676" s="301">
        <v>0</v>
      </c>
      <c r="S676" s="301">
        <v>0</v>
      </c>
      <c r="T676" s="301">
        <v>0</v>
      </c>
      <c r="U676" s="301">
        <v>0</v>
      </c>
      <c r="V676" s="301">
        <v>0</v>
      </c>
      <c r="W676" s="301">
        <v>0</v>
      </c>
      <c r="X676" s="301">
        <v>0</v>
      </c>
      <c r="Y676" s="301">
        <v>0</v>
      </c>
      <c r="Z676" s="301">
        <v>0</v>
      </c>
      <c r="AA676" s="301">
        <v>0</v>
      </c>
      <c r="AB676" s="303">
        <v>2020</v>
      </c>
    </row>
    <row r="677" spans="1:28" ht="35.25" customHeight="1" x14ac:dyDescent="0.5">
      <c r="B677" s="299" t="s">
        <v>773</v>
      </c>
      <c r="C677" s="300"/>
      <c r="D677" s="296">
        <f t="shared" si="21"/>
        <v>6039426.3499999996</v>
      </c>
      <c r="E677" s="296">
        <f t="shared" ref="E677:AA677" si="23">SUM(E678:E690)</f>
        <v>98498.3</v>
      </c>
      <c r="F677" s="296">
        <f t="shared" si="23"/>
        <v>0</v>
      </c>
      <c r="G677" s="296">
        <f t="shared" si="23"/>
        <v>1536598.68</v>
      </c>
      <c r="H677" s="296">
        <f t="shared" si="23"/>
        <v>0</v>
      </c>
      <c r="I677" s="296">
        <f t="shared" si="23"/>
        <v>0</v>
      </c>
      <c r="J677" s="296">
        <f t="shared" si="23"/>
        <v>0</v>
      </c>
      <c r="K677" s="302">
        <f t="shared" si="23"/>
        <v>0</v>
      </c>
      <c r="L677" s="296">
        <f t="shared" si="23"/>
        <v>0</v>
      </c>
      <c r="M677" s="296">
        <f t="shared" si="23"/>
        <v>933637.37</v>
      </c>
      <c r="N677" s="296">
        <f t="shared" si="23"/>
        <v>386080</v>
      </c>
      <c r="O677" s="296">
        <f t="shared" si="23"/>
        <v>3084612</v>
      </c>
      <c r="P677" s="296">
        <f t="shared" si="23"/>
        <v>0</v>
      </c>
      <c r="Q677" s="296">
        <f t="shared" si="23"/>
        <v>0</v>
      </c>
      <c r="R677" s="296">
        <f t="shared" si="23"/>
        <v>0</v>
      </c>
      <c r="S677" s="296">
        <f t="shared" si="23"/>
        <v>0</v>
      </c>
      <c r="T677" s="296">
        <f t="shared" si="23"/>
        <v>0</v>
      </c>
      <c r="U677" s="296">
        <f t="shared" si="23"/>
        <v>0</v>
      </c>
      <c r="V677" s="296">
        <f t="shared" si="23"/>
        <v>0</v>
      </c>
      <c r="W677" s="296">
        <f t="shared" si="23"/>
        <v>0</v>
      </c>
      <c r="X677" s="296">
        <f t="shared" si="23"/>
        <v>0</v>
      </c>
      <c r="Y677" s="296">
        <f t="shared" si="23"/>
        <v>0</v>
      </c>
      <c r="Z677" s="296">
        <f t="shared" si="23"/>
        <v>0</v>
      </c>
      <c r="AA677" s="296">
        <f t="shared" si="23"/>
        <v>0</v>
      </c>
      <c r="AB677" s="298" t="s">
        <v>835</v>
      </c>
    </row>
    <row r="678" spans="1:28" ht="35.25" customHeight="1" x14ac:dyDescent="0.5">
      <c r="A678">
        <v>1</v>
      </c>
      <c r="B678" s="80">
        <f>SUBTOTAL(103,$A$9:A678)</f>
        <v>659</v>
      </c>
      <c r="C678" s="300" t="s">
        <v>2069</v>
      </c>
      <c r="D678" s="296">
        <f t="shared" si="21"/>
        <v>338400</v>
      </c>
      <c r="E678" s="304">
        <v>0</v>
      </c>
      <c r="F678" s="304">
        <v>0</v>
      </c>
      <c r="G678" s="301">
        <v>0</v>
      </c>
      <c r="H678" s="301">
        <v>0</v>
      </c>
      <c r="I678" s="301">
        <v>0</v>
      </c>
      <c r="J678" s="301">
        <v>0</v>
      </c>
      <c r="K678" s="302">
        <v>0</v>
      </c>
      <c r="L678" s="301">
        <v>0</v>
      </c>
      <c r="M678" s="304">
        <v>0</v>
      </c>
      <c r="N678" s="301">
        <v>0</v>
      </c>
      <c r="O678" s="301">
        <v>338400</v>
      </c>
      <c r="P678" s="301">
        <v>0</v>
      </c>
      <c r="Q678" s="301">
        <v>0</v>
      </c>
      <c r="R678" s="301">
        <v>0</v>
      </c>
      <c r="S678" s="301">
        <v>0</v>
      </c>
      <c r="T678" s="301">
        <v>0</v>
      </c>
      <c r="U678" s="301">
        <v>0</v>
      </c>
      <c r="V678" s="301">
        <v>0</v>
      </c>
      <c r="W678" s="301">
        <v>0</v>
      </c>
      <c r="X678" s="301">
        <v>0</v>
      </c>
      <c r="Y678" s="301">
        <v>0</v>
      </c>
      <c r="Z678" s="301">
        <v>0</v>
      </c>
      <c r="AA678" s="301">
        <v>0</v>
      </c>
      <c r="AB678" s="303">
        <v>2020</v>
      </c>
    </row>
    <row r="679" spans="1:28" ht="35.25" customHeight="1" x14ac:dyDescent="0.5">
      <c r="A679">
        <v>1</v>
      </c>
      <c r="B679" s="80">
        <f>SUBTOTAL(103,$A$9:A679)</f>
        <v>660</v>
      </c>
      <c r="C679" s="300" t="s">
        <v>2436</v>
      </c>
      <c r="D679" s="296">
        <f t="shared" si="21"/>
        <v>98498.3</v>
      </c>
      <c r="E679" s="304">
        <v>98498.3</v>
      </c>
      <c r="F679" s="304">
        <v>0</v>
      </c>
      <c r="G679" s="301">
        <v>0</v>
      </c>
      <c r="H679" s="301">
        <v>0</v>
      </c>
      <c r="I679" s="301">
        <v>0</v>
      </c>
      <c r="J679" s="301">
        <v>0</v>
      </c>
      <c r="K679" s="302">
        <v>0</v>
      </c>
      <c r="L679" s="301">
        <v>0</v>
      </c>
      <c r="M679" s="304">
        <v>0</v>
      </c>
      <c r="N679" s="301">
        <v>0</v>
      </c>
      <c r="O679" s="301">
        <v>0</v>
      </c>
      <c r="P679" s="301">
        <v>0</v>
      </c>
      <c r="Q679" s="301">
        <v>0</v>
      </c>
      <c r="R679" s="301">
        <v>0</v>
      </c>
      <c r="S679" s="301">
        <v>0</v>
      </c>
      <c r="T679" s="301">
        <v>0</v>
      </c>
      <c r="U679" s="301">
        <v>0</v>
      </c>
      <c r="V679" s="301">
        <v>0</v>
      </c>
      <c r="W679" s="301">
        <v>0</v>
      </c>
      <c r="X679" s="301">
        <v>0</v>
      </c>
      <c r="Y679" s="301">
        <v>0</v>
      </c>
      <c r="Z679" s="301">
        <v>0</v>
      </c>
      <c r="AA679" s="301">
        <v>0</v>
      </c>
      <c r="AB679" s="303">
        <v>2020</v>
      </c>
    </row>
    <row r="680" spans="1:28" ht="35.25" customHeight="1" x14ac:dyDescent="0.5">
      <c r="A680">
        <v>1</v>
      </c>
      <c r="B680" s="80">
        <f>SUBTOTAL(103,$A$9:A680)</f>
        <v>661</v>
      </c>
      <c r="C680" s="300" t="s">
        <v>2070</v>
      </c>
      <c r="D680" s="296">
        <f t="shared" si="21"/>
        <v>353445</v>
      </c>
      <c r="E680" s="304">
        <v>0</v>
      </c>
      <c r="F680" s="304">
        <v>0</v>
      </c>
      <c r="G680" s="301">
        <v>0</v>
      </c>
      <c r="H680" s="301">
        <v>0</v>
      </c>
      <c r="I680" s="301">
        <v>0</v>
      </c>
      <c r="J680" s="301">
        <v>0</v>
      </c>
      <c r="K680" s="302">
        <v>0</v>
      </c>
      <c r="L680" s="301">
        <v>0</v>
      </c>
      <c r="M680" s="304">
        <v>0</v>
      </c>
      <c r="N680" s="301">
        <v>0</v>
      </c>
      <c r="O680" s="301">
        <v>353445</v>
      </c>
      <c r="P680" s="301">
        <v>0</v>
      </c>
      <c r="Q680" s="301">
        <v>0</v>
      </c>
      <c r="R680" s="301">
        <v>0</v>
      </c>
      <c r="S680" s="301">
        <v>0</v>
      </c>
      <c r="T680" s="301">
        <v>0</v>
      </c>
      <c r="U680" s="301">
        <v>0</v>
      </c>
      <c r="V680" s="301">
        <v>0</v>
      </c>
      <c r="W680" s="301">
        <v>0</v>
      </c>
      <c r="X680" s="301">
        <v>0</v>
      </c>
      <c r="Y680" s="301">
        <v>0</v>
      </c>
      <c r="Z680" s="301">
        <v>0</v>
      </c>
      <c r="AA680" s="301">
        <v>0</v>
      </c>
      <c r="AB680" s="303">
        <v>2020</v>
      </c>
    </row>
    <row r="681" spans="1:28" ht="35.25" customHeight="1" x14ac:dyDescent="0.5">
      <c r="A681">
        <v>1</v>
      </c>
      <c r="B681" s="80">
        <f>SUBTOTAL(103,$A$9:A681)</f>
        <v>662</v>
      </c>
      <c r="C681" s="300" t="s">
        <v>2071</v>
      </c>
      <c r="D681" s="296">
        <f t="shared" si="21"/>
        <v>436897.68</v>
      </c>
      <c r="E681" s="304">
        <v>0</v>
      </c>
      <c r="F681" s="304">
        <v>0</v>
      </c>
      <c r="G681" s="301">
        <v>436897.68</v>
      </c>
      <c r="H681" s="301">
        <v>0</v>
      </c>
      <c r="I681" s="301">
        <v>0</v>
      </c>
      <c r="J681" s="301">
        <v>0</v>
      </c>
      <c r="K681" s="302">
        <v>0</v>
      </c>
      <c r="L681" s="301">
        <v>0</v>
      </c>
      <c r="M681" s="304">
        <v>0</v>
      </c>
      <c r="N681" s="301">
        <v>0</v>
      </c>
      <c r="O681" s="301">
        <v>0</v>
      </c>
      <c r="P681" s="301">
        <v>0</v>
      </c>
      <c r="Q681" s="301">
        <v>0</v>
      </c>
      <c r="R681" s="301">
        <v>0</v>
      </c>
      <c r="S681" s="301">
        <v>0</v>
      </c>
      <c r="T681" s="301">
        <v>0</v>
      </c>
      <c r="U681" s="301">
        <v>0</v>
      </c>
      <c r="V681" s="301">
        <v>0</v>
      </c>
      <c r="W681" s="301">
        <v>0</v>
      </c>
      <c r="X681" s="301">
        <v>0</v>
      </c>
      <c r="Y681" s="301">
        <v>0</v>
      </c>
      <c r="Z681" s="301">
        <v>0</v>
      </c>
      <c r="AA681" s="301">
        <v>0</v>
      </c>
      <c r="AB681" s="303">
        <v>2020</v>
      </c>
    </row>
    <row r="682" spans="1:28" ht="35.25" customHeight="1" x14ac:dyDescent="0.5">
      <c r="A682">
        <v>1</v>
      </c>
      <c r="B682" s="80">
        <f>SUBTOTAL(103,$A$9:A682)</f>
        <v>663</v>
      </c>
      <c r="C682" s="300" t="s">
        <v>2072</v>
      </c>
      <c r="D682" s="296">
        <f t="shared" si="21"/>
        <v>323557</v>
      </c>
      <c r="E682" s="304">
        <v>0</v>
      </c>
      <c r="F682" s="304">
        <v>0</v>
      </c>
      <c r="G682" s="301">
        <v>0</v>
      </c>
      <c r="H682" s="301">
        <v>0</v>
      </c>
      <c r="I682" s="301">
        <v>0</v>
      </c>
      <c r="J682" s="301">
        <v>0</v>
      </c>
      <c r="K682" s="302">
        <v>0</v>
      </c>
      <c r="L682" s="301">
        <v>0</v>
      </c>
      <c r="M682" s="304">
        <v>0</v>
      </c>
      <c r="N682" s="301">
        <v>0</v>
      </c>
      <c r="O682" s="301">
        <v>323557</v>
      </c>
      <c r="P682" s="301">
        <v>0</v>
      </c>
      <c r="Q682" s="301">
        <v>0</v>
      </c>
      <c r="R682" s="301">
        <v>0</v>
      </c>
      <c r="S682" s="301">
        <v>0</v>
      </c>
      <c r="T682" s="301">
        <v>0</v>
      </c>
      <c r="U682" s="301">
        <v>0</v>
      </c>
      <c r="V682" s="301">
        <v>0</v>
      </c>
      <c r="W682" s="301">
        <v>0</v>
      </c>
      <c r="X682" s="301">
        <v>0</v>
      </c>
      <c r="Y682" s="301">
        <v>0</v>
      </c>
      <c r="Z682" s="301">
        <v>0</v>
      </c>
      <c r="AA682" s="301">
        <v>0</v>
      </c>
      <c r="AB682" s="303">
        <v>2020</v>
      </c>
    </row>
    <row r="683" spans="1:28" ht="35.25" customHeight="1" x14ac:dyDescent="0.5">
      <c r="A683">
        <v>1</v>
      </c>
      <c r="B683" s="80">
        <f>SUBTOTAL(103,$A$9:A683)</f>
        <v>664</v>
      </c>
      <c r="C683" s="300" t="s">
        <v>2437</v>
      </c>
      <c r="D683" s="296">
        <f t="shared" si="21"/>
        <v>280317.37</v>
      </c>
      <c r="E683" s="304">
        <v>0</v>
      </c>
      <c r="F683" s="304">
        <v>0</v>
      </c>
      <c r="G683" s="301">
        <v>0</v>
      </c>
      <c r="H683" s="301">
        <v>0</v>
      </c>
      <c r="I683" s="301">
        <v>0</v>
      </c>
      <c r="J683" s="301">
        <v>0</v>
      </c>
      <c r="K683" s="302">
        <v>0</v>
      </c>
      <c r="L683" s="301">
        <v>0</v>
      </c>
      <c r="M683" s="304">
        <v>280317.37</v>
      </c>
      <c r="N683" s="301">
        <v>0</v>
      </c>
      <c r="O683" s="301">
        <v>0</v>
      </c>
      <c r="P683" s="301">
        <v>0</v>
      </c>
      <c r="Q683" s="301">
        <v>0</v>
      </c>
      <c r="R683" s="301">
        <v>0</v>
      </c>
      <c r="S683" s="301">
        <v>0</v>
      </c>
      <c r="T683" s="301">
        <v>0</v>
      </c>
      <c r="U683" s="301">
        <v>0</v>
      </c>
      <c r="V683" s="301">
        <v>0</v>
      </c>
      <c r="W683" s="301">
        <v>0</v>
      </c>
      <c r="X683" s="301">
        <v>0</v>
      </c>
      <c r="Y683" s="301">
        <v>0</v>
      </c>
      <c r="Z683" s="301">
        <v>0</v>
      </c>
      <c r="AA683" s="301">
        <v>0</v>
      </c>
      <c r="AB683" s="303">
        <v>2020</v>
      </c>
    </row>
    <row r="684" spans="1:28" ht="35.25" customHeight="1" x14ac:dyDescent="0.5">
      <c r="A684">
        <v>1</v>
      </c>
      <c r="B684" s="80">
        <f>SUBTOTAL(103,$A$9:A684)</f>
        <v>665</v>
      </c>
      <c r="C684" s="300" t="s">
        <v>2269</v>
      </c>
      <c r="D684" s="296">
        <f t="shared" si="21"/>
        <v>1524331</v>
      </c>
      <c r="E684" s="304">
        <v>0</v>
      </c>
      <c r="F684" s="304">
        <v>0</v>
      </c>
      <c r="G684" s="301">
        <v>0</v>
      </c>
      <c r="H684" s="301">
        <v>0</v>
      </c>
      <c r="I684" s="301">
        <v>0</v>
      </c>
      <c r="J684" s="301">
        <v>0</v>
      </c>
      <c r="K684" s="302">
        <v>0</v>
      </c>
      <c r="L684" s="301">
        <v>0</v>
      </c>
      <c r="M684" s="304">
        <v>0</v>
      </c>
      <c r="N684" s="301">
        <v>386080</v>
      </c>
      <c r="O684" s="301">
        <v>1138251</v>
      </c>
      <c r="P684" s="301">
        <v>0</v>
      </c>
      <c r="Q684" s="301">
        <v>0</v>
      </c>
      <c r="R684" s="301">
        <v>0</v>
      </c>
      <c r="S684" s="301">
        <v>0</v>
      </c>
      <c r="T684" s="301">
        <v>0</v>
      </c>
      <c r="U684" s="301">
        <v>0</v>
      </c>
      <c r="V684" s="301">
        <v>0</v>
      </c>
      <c r="W684" s="301">
        <v>0</v>
      </c>
      <c r="X684" s="301">
        <v>0</v>
      </c>
      <c r="Y684" s="301">
        <v>0</v>
      </c>
      <c r="Z684" s="301">
        <v>0</v>
      </c>
      <c r="AA684" s="301">
        <v>0</v>
      </c>
      <c r="AB684" s="303">
        <v>2020</v>
      </c>
    </row>
    <row r="685" spans="1:28" ht="35.25" customHeight="1" x14ac:dyDescent="0.5">
      <c r="A685">
        <v>1</v>
      </c>
      <c r="B685" s="80">
        <f>SUBTOTAL(103,$A$9:A685)</f>
        <v>666</v>
      </c>
      <c r="C685" s="300" t="s">
        <v>2073</v>
      </c>
      <c r="D685" s="296">
        <f t="shared" si="21"/>
        <v>574400</v>
      </c>
      <c r="E685" s="304">
        <v>0</v>
      </c>
      <c r="F685" s="304">
        <v>0</v>
      </c>
      <c r="G685" s="301">
        <v>0</v>
      </c>
      <c r="H685" s="301">
        <v>0</v>
      </c>
      <c r="I685" s="301">
        <v>0</v>
      </c>
      <c r="J685" s="301">
        <v>0</v>
      </c>
      <c r="K685" s="302">
        <v>0</v>
      </c>
      <c r="L685" s="301">
        <v>0</v>
      </c>
      <c r="M685" s="304">
        <v>333320</v>
      </c>
      <c r="N685" s="301">
        <v>0</v>
      </c>
      <c r="O685" s="301">
        <v>241080</v>
      </c>
      <c r="P685" s="301">
        <v>0</v>
      </c>
      <c r="Q685" s="301">
        <v>0</v>
      </c>
      <c r="R685" s="301">
        <v>0</v>
      </c>
      <c r="S685" s="301">
        <v>0</v>
      </c>
      <c r="T685" s="301">
        <v>0</v>
      </c>
      <c r="U685" s="301">
        <v>0</v>
      </c>
      <c r="V685" s="301">
        <v>0</v>
      </c>
      <c r="W685" s="301">
        <v>0</v>
      </c>
      <c r="X685" s="301">
        <v>0</v>
      </c>
      <c r="Y685" s="301">
        <v>0</v>
      </c>
      <c r="Z685" s="301">
        <v>0</v>
      </c>
      <c r="AA685" s="301">
        <v>0</v>
      </c>
      <c r="AB685" s="303">
        <v>2020</v>
      </c>
    </row>
    <row r="686" spans="1:28" ht="35.25" customHeight="1" x14ac:dyDescent="0.5">
      <c r="A686">
        <v>1</v>
      </c>
      <c r="B686" s="80">
        <f>SUBTOTAL(103,$A$9:A686)</f>
        <v>667</v>
      </c>
      <c r="C686" s="300" t="s">
        <v>2074</v>
      </c>
      <c r="D686" s="296">
        <f t="shared" si="21"/>
        <v>353445</v>
      </c>
      <c r="E686" s="304">
        <v>0</v>
      </c>
      <c r="F686" s="304">
        <v>0</v>
      </c>
      <c r="G686" s="301">
        <v>0</v>
      </c>
      <c r="H686" s="301">
        <v>0</v>
      </c>
      <c r="I686" s="301">
        <v>0</v>
      </c>
      <c r="J686" s="301">
        <v>0</v>
      </c>
      <c r="K686" s="302">
        <v>0</v>
      </c>
      <c r="L686" s="301">
        <v>0</v>
      </c>
      <c r="M686" s="304">
        <v>0</v>
      </c>
      <c r="N686" s="301">
        <v>0</v>
      </c>
      <c r="O686" s="301">
        <v>353445</v>
      </c>
      <c r="P686" s="301">
        <v>0</v>
      </c>
      <c r="Q686" s="301">
        <v>0</v>
      </c>
      <c r="R686" s="301">
        <v>0</v>
      </c>
      <c r="S686" s="301">
        <v>0</v>
      </c>
      <c r="T686" s="301">
        <v>0</v>
      </c>
      <c r="U686" s="301">
        <v>0</v>
      </c>
      <c r="V686" s="301">
        <v>0</v>
      </c>
      <c r="W686" s="301">
        <v>0</v>
      </c>
      <c r="X686" s="301">
        <v>0</v>
      </c>
      <c r="Y686" s="301">
        <v>0</v>
      </c>
      <c r="Z686" s="301">
        <v>0</v>
      </c>
      <c r="AA686" s="301">
        <v>0</v>
      </c>
      <c r="AB686" s="303">
        <v>2020</v>
      </c>
    </row>
    <row r="687" spans="1:28" ht="35.25" customHeight="1" x14ac:dyDescent="0.5">
      <c r="A687">
        <v>1</v>
      </c>
      <c r="B687" s="80">
        <f>SUBTOTAL(103,$A$9:A687)</f>
        <v>668</v>
      </c>
      <c r="C687" s="300" t="s">
        <v>2267</v>
      </c>
      <c r="D687" s="296">
        <f t="shared" si="21"/>
        <v>336434</v>
      </c>
      <c r="E687" s="304">
        <v>0</v>
      </c>
      <c r="F687" s="304">
        <v>0</v>
      </c>
      <c r="G687" s="301">
        <v>0</v>
      </c>
      <c r="H687" s="301">
        <v>0</v>
      </c>
      <c r="I687" s="301">
        <v>0</v>
      </c>
      <c r="J687" s="301">
        <v>0</v>
      </c>
      <c r="K687" s="302">
        <v>0</v>
      </c>
      <c r="L687" s="301">
        <v>0</v>
      </c>
      <c r="M687" s="304">
        <v>0</v>
      </c>
      <c r="N687" s="301">
        <v>0</v>
      </c>
      <c r="O687" s="301">
        <v>336434</v>
      </c>
      <c r="P687" s="301">
        <v>0</v>
      </c>
      <c r="Q687" s="301">
        <v>0</v>
      </c>
      <c r="R687" s="301">
        <v>0</v>
      </c>
      <c r="S687" s="301">
        <v>0</v>
      </c>
      <c r="T687" s="301">
        <v>0</v>
      </c>
      <c r="U687" s="301">
        <v>0</v>
      </c>
      <c r="V687" s="301">
        <v>0</v>
      </c>
      <c r="W687" s="301">
        <v>0</v>
      </c>
      <c r="X687" s="301">
        <v>0</v>
      </c>
      <c r="Y687" s="301">
        <v>0</v>
      </c>
      <c r="Z687" s="301">
        <v>0</v>
      </c>
      <c r="AA687" s="301">
        <v>0</v>
      </c>
      <c r="AB687" s="303">
        <v>2020</v>
      </c>
    </row>
    <row r="688" spans="1:28" ht="35.25" customHeight="1" x14ac:dyDescent="0.5">
      <c r="A688">
        <v>1</v>
      </c>
      <c r="B688" s="80">
        <f>SUBTOTAL(103,$A$9:A688)</f>
        <v>669</v>
      </c>
      <c r="C688" s="300" t="s">
        <v>2268</v>
      </c>
      <c r="D688" s="296">
        <f t="shared" si="21"/>
        <v>796882</v>
      </c>
      <c r="E688" s="304">
        <v>0</v>
      </c>
      <c r="F688" s="304">
        <v>0</v>
      </c>
      <c r="G688" s="301">
        <v>796882</v>
      </c>
      <c r="H688" s="301">
        <v>0</v>
      </c>
      <c r="I688" s="301">
        <v>0</v>
      </c>
      <c r="J688" s="301">
        <v>0</v>
      </c>
      <c r="K688" s="302">
        <v>0</v>
      </c>
      <c r="L688" s="301">
        <v>0</v>
      </c>
      <c r="M688" s="304">
        <v>0</v>
      </c>
      <c r="N688" s="301">
        <v>0</v>
      </c>
      <c r="O688" s="301">
        <v>0</v>
      </c>
      <c r="P688" s="301">
        <v>0</v>
      </c>
      <c r="Q688" s="301">
        <v>0</v>
      </c>
      <c r="R688" s="301">
        <v>0</v>
      </c>
      <c r="S688" s="301">
        <v>0</v>
      </c>
      <c r="T688" s="301">
        <v>0</v>
      </c>
      <c r="U688" s="301">
        <v>0</v>
      </c>
      <c r="V688" s="301">
        <v>0</v>
      </c>
      <c r="W688" s="301">
        <v>0</v>
      </c>
      <c r="X688" s="301">
        <v>0</v>
      </c>
      <c r="Y688" s="301">
        <v>0</v>
      </c>
      <c r="Z688" s="301">
        <v>0</v>
      </c>
      <c r="AA688" s="301">
        <v>0</v>
      </c>
      <c r="AB688" s="303">
        <v>2020</v>
      </c>
    </row>
    <row r="689" spans="1:28" ht="35.25" customHeight="1" x14ac:dyDescent="0.5">
      <c r="A689">
        <v>1</v>
      </c>
      <c r="B689" s="80">
        <f>SUBTOTAL(103,$A$9:A689)</f>
        <v>670</v>
      </c>
      <c r="C689" s="300" t="s">
        <v>2270</v>
      </c>
      <c r="D689" s="296">
        <f t="shared" si="21"/>
        <v>320000</v>
      </c>
      <c r="E689" s="304">
        <v>0</v>
      </c>
      <c r="F689" s="304">
        <v>0</v>
      </c>
      <c r="G689" s="301">
        <v>0</v>
      </c>
      <c r="H689" s="301">
        <v>0</v>
      </c>
      <c r="I689" s="301">
        <v>0</v>
      </c>
      <c r="J689" s="301">
        <v>0</v>
      </c>
      <c r="K689" s="302">
        <v>0</v>
      </c>
      <c r="L689" s="301">
        <v>0</v>
      </c>
      <c r="M689" s="304">
        <v>320000</v>
      </c>
      <c r="N689" s="301">
        <v>0</v>
      </c>
      <c r="O689" s="301">
        <v>0</v>
      </c>
      <c r="P689" s="301">
        <v>0</v>
      </c>
      <c r="Q689" s="301">
        <v>0</v>
      </c>
      <c r="R689" s="301">
        <v>0</v>
      </c>
      <c r="S689" s="301">
        <v>0</v>
      </c>
      <c r="T689" s="301">
        <v>0</v>
      </c>
      <c r="U689" s="301">
        <v>0</v>
      </c>
      <c r="V689" s="301">
        <v>0</v>
      </c>
      <c r="W689" s="301">
        <v>0</v>
      </c>
      <c r="X689" s="301">
        <v>0</v>
      </c>
      <c r="Y689" s="301">
        <v>0</v>
      </c>
      <c r="Z689" s="301">
        <v>0</v>
      </c>
      <c r="AA689" s="301">
        <v>0</v>
      </c>
      <c r="AB689" s="303">
        <v>2020</v>
      </c>
    </row>
    <row r="690" spans="1:28" ht="35.25" customHeight="1" x14ac:dyDescent="0.5">
      <c r="A690">
        <v>1</v>
      </c>
      <c r="B690" s="80">
        <f>SUBTOTAL(103,$A$9:A690)</f>
        <v>671</v>
      </c>
      <c r="C690" s="300" t="s">
        <v>2075</v>
      </c>
      <c r="D690" s="296">
        <f t="shared" si="21"/>
        <v>302819</v>
      </c>
      <c r="E690" s="304">
        <v>0</v>
      </c>
      <c r="F690" s="304">
        <v>0</v>
      </c>
      <c r="G690" s="301">
        <v>302819</v>
      </c>
      <c r="H690" s="301">
        <v>0</v>
      </c>
      <c r="I690" s="301">
        <v>0</v>
      </c>
      <c r="J690" s="301">
        <v>0</v>
      </c>
      <c r="K690" s="302">
        <v>0</v>
      </c>
      <c r="L690" s="301">
        <v>0</v>
      </c>
      <c r="M690" s="304">
        <v>0</v>
      </c>
      <c r="N690" s="301">
        <v>0</v>
      </c>
      <c r="O690" s="301">
        <v>0</v>
      </c>
      <c r="P690" s="301">
        <v>0</v>
      </c>
      <c r="Q690" s="301">
        <v>0</v>
      </c>
      <c r="R690" s="301">
        <v>0</v>
      </c>
      <c r="S690" s="301">
        <v>0</v>
      </c>
      <c r="T690" s="301">
        <v>0</v>
      </c>
      <c r="U690" s="301">
        <v>0</v>
      </c>
      <c r="V690" s="301">
        <v>0</v>
      </c>
      <c r="W690" s="301">
        <v>0</v>
      </c>
      <c r="X690" s="301">
        <v>0</v>
      </c>
      <c r="Y690" s="301">
        <v>0</v>
      </c>
      <c r="Z690" s="301">
        <v>0</v>
      </c>
      <c r="AA690" s="301">
        <v>0</v>
      </c>
      <c r="AB690" s="303">
        <v>2020</v>
      </c>
    </row>
    <row r="691" spans="1:28" ht="35.25" customHeight="1" x14ac:dyDescent="0.5">
      <c r="B691" s="299" t="s">
        <v>807</v>
      </c>
      <c r="C691" s="300"/>
      <c r="D691" s="296">
        <f t="shared" si="21"/>
        <v>6594138</v>
      </c>
      <c r="E691" s="296">
        <f t="shared" ref="E691:AA691" si="24">SUM(E692:E700)</f>
        <v>0</v>
      </c>
      <c r="F691" s="296">
        <f t="shared" si="24"/>
        <v>0</v>
      </c>
      <c r="G691" s="296">
        <f t="shared" si="24"/>
        <v>448190</v>
      </c>
      <c r="H691" s="296">
        <f t="shared" si="24"/>
        <v>0</v>
      </c>
      <c r="I691" s="296">
        <f t="shared" si="24"/>
        <v>105000</v>
      </c>
      <c r="J691" s="296">
        <f t="shared" si="24"/>
        <v>0</v>
      </c>
      <c r="K691" s="297">
        <f t="shared" si="24"/>
        <v>0</v>
      </c>
      <c r="L691" s="296">
        <f t="shared" si="24"/>
        <v>0</v>
      </c>
      <c r="M691" s="296">
        <f t="shared" si="24"/>
        <v>0</v>
      </c>
      <c r="N691" s="296">
        <f t="shared" si="24"/>
        <v>0</v>
      </c>
      <c r="O691" s="296">
        <f t="shared" si="24"/>
        <v>6040948</v>
      </c>
      <c r="P691" s="296">
        <f t="shared" si="24"/>
        <v>0</v>
      </c>
      <c r="Q691" s="296">
        <f t="shared" si="24"/>
        <v>0</v>
      </c>
      <c r="R691" s="296">
        <f t="shared" si="24"/>
        <v>0</v>
      </c>
      <c r="S691" s="296">
        <f t="shared" si="24"/>
        <v>0</v>
      </c>
      <c r="T691" s="296">
        <f t="shared" si="24"/>
        <v>0</v>
      </c>
      <c r="U691" s="296">
        <f t="shared" si="24"/>
        <v>0</v>
      </c>
      <c r="V691" s="296">
        <f t="shared" si="24"/>
        <v>0</v>
      </c>
      <c r="W691" s="296">
        <f t="shared" si="24"/>
        <v>0</v>
      </c>
      <c r="X691" s="296">
        <f t="shared" si="24"/>
        <v>0</v>
      </c>
      <c r="Y691" s="296">
        <f t="shared" si="24"/>
        <v>0</v>
      </c>
      <c r="Z691" s="296">
        <f t="shared" si="24"/>
        <v>0</v>
      </c>
      <c r="AA691" s="296">
        <f t="shared" si="24"/>
        <v>0</v>
      </c>
      <c r="AB691" s="298" t="s">
        <v>835</v>
      </c>
    </row>
    <row r="692" spans="1:28" ht="35.25" customHeight="1" x14ac:dyDescent="0.5">
      <c r="A692">
        <v>1</v>
      </c>
      <c r="B692" s="80">
        <f>SUBTOTAL(103,$A$9:A692)</f>
        <v>672</v>
      </c>
      <c r="C692" s="300" t="s">
        <v>2076</v>
      </c>
      <c r="D692" s="296">
        <f t="shared" si="21"/>
        <v>512725</v>
      </c>
      <c r="E692" s="301">
        <v>0</v>
      </c>
      <c r="F692" s="301">
        <v>0</v>
      </c>
      <c r="G692" s="301">
        <v>0</v>
      </c>
      <c r="H692" s="301">
        <v>0</v>
      </c>
      <c r="I692" s="301">
        <v>0</v>
      </c>
      <c r="J692" s="301">
        <v>0</v>
      </c>
      <c r="K692" s="302">
        <v>0</v>
      </c>
      <c r="L692" s="301">
        <v>0</v>
      </c>
      <c r="M692" s="301">
        <v>0</v>
      </c>
      <c r="N692" s="301">
        <v>0</v>
      </c>
      <c r="O692" s="301">
        <v>512725</v>
      </c>
      <c r="P692" s="301">
        <v>0</v>
      </c>
      <c r="Q692" s="301">
        <v>0</v>
      </c>
      <c r="R692" s="301">
        <v>0</v>
      </c>
      <c r="S692" s="301">
        <v>0</v>
      </c>
      <c r="T692" s="301">
        <v>0</v>
      </c>
      <c r="U692" s="301">
        <v>0</v>
      </c>
      <c r="V692" s="301">
        <v>0</v>
      </c>
      <c r="W692" s="301">
        <v>0</v>
      </c>
      <c r="X692" s="301">
        <v>0</v>
      </c>
      <c r="Y692" s="301">
        <v>0</v>
      </c>
      <c r="Z692" s="301">
        <v>0</v>
      </c>
      <c r="AA692" s="301">
        <v>0</v>
      </c>
      <c r="AB692" s="303">
        <v>2020</v>
      </c>
    </row>
    <row r="693" spans="1:28" ht="35.25" customHeight="1" x14ac:dyDescent="0.5">
      <c r="A693">
        <v>1</v>
      </c>
      <c r="B693" s="80">
        <f>SUBTOTAL(103,$A$9:A693)</f>
        <v>673</v>
      </c>
      <c r="C693" s="300" t="s">
        <v>2077</v>
      </c>
      <c r="D693" s="296">
        <f t="shared" si="21"/>
        <v>1078018</v>
      </c>
      <c r="E693" s="301">
        <v>0</v>
      </c>
      <c r="F693" s="301">
        <v>0</v>
      </c>
      <c r="G693" s="301">
        <v>0</v>
      </c>
      <c r="H693" s="301">
        <v>0</v>
      </c>
      <c r="I693" s="301">
        <v>0</v>
      </c>
      <c r="J693" s="301">
        <v>0</v>
      </c>
      <c r="K693" s="302">
        <v>0</v>
      </c>
      <c r="L693" s="301">
        <v>0</v>
      </c>
      <c r="M693" s="301">
        <v>0</v>
      </c>
      <c r="N693" s="301">
        <v>0</v>
      </c>
      <c r="O693" s="301">
        <v>1078018</v>
      </c>
      <c r="P693" s="301">
        <v>0</v>
      </c>
      <c r="Q693" s="301">
        <v>0</v>
      </c>
      <c r="R693" s="301">
        <v>0</v>
      </c>
      <c r="S693" s="301">
        <v>0</v>
      </c>
      <c r="T693" s="301">
        <v>0</v>
      </c>
      <c r="U693" s="301">
        <v>0</v>
      </c>
      <c r="V693" s="301">
        <v>0</v>
      </c>
      <c r="W693" s="301">
        <v>0</v>
      </c>
      <c r="X693" s="301">
        <v>0</v>
      </c>
      <c r="Y693" s="301">
        <v>0</v>
      </c>
      <c r="Z693" s="301">
        <v>0</v>
      </c>
      <c r="AA693" s="301">
        <v>0</v>
      </c>
      <c r="AB693" s="303">
        <v>2020</v>
      </c>
    </row>
    <row r="694" spans="1:28" ht="35.25" customHeight="1" x14ac:dyDescent="0.5">
      <c r="A694">
        <v>1</v>
      </c>
      <c r="B694" s="80">
        <f>SUBTOTAL(103,$A$9:A694)</f>
        <v>674</v>
      </c>
      <c r="C694" s="300" t="s">
        <v>2438</v>
      </c>
      <c r="D694" s="296">
        <f t="shared" si="21"/>
        <v>105000</v>
      </c>
      <c r="E694" s="301">
        <v>0</v>
      </c>
      <c r="F694" s="301">
        <v>0</v>
      </c>
      <c r="G694" s="301">
        <v>0</v>
      </c>
      <c r="H694" s="301">
        <v>0</v>
      </c>
      <c r="I694" s="301">
        <v>105000</v>
      </c>
      <c r="J694" s="301">
        <v>0</v>
      </c>
      <c r="K694" s="302">
        <v>0</v>
      </c>
      <c r="L694" s="301">
        <v>0</v>
      </c>
      <c r="M694" s="301">
        <v>0</v>
      </c>
      <c r="N694" s="301">
        <v>0</v>
      </c>
      <c r="O694" s="301">
        <v>0</v>
      </c>
      <c r="P694" s="301">
        <v>0</v>
      </c>
      <c r="Q694" s="301">
        <v>0</v>
      </c>
      <c r="R694" s="301">
        <v>0</v>
      </c>
      <c r="S694" s="301">
        <v>0</v>
      </c>
      <c r="T694" s="301">
        <v>0</v>
      </c>
      <c r="U694" s="301">
        <v>0</v>
      </c>
      <c r="V694" s="301">
        <v>0</v>
      </c>
      <c r="W694" s="301">
        <v>0</v>
      </c>
      <c r="X694" s="301">
        <v>0</v>
      </c>
      <c r="Y694" s="301">
        <v>0</v>
      </c>
      <c r="Z694" s="301">
        <v>0</v>
      </c>
      <c r="AA694" s="301">
        <v>0</v>
      </c>
      <c r="AB694" s="303">
        <v>2020</v>
      </c>
    </row>
    <row r="695" spans="1:28" ht="35.25" customHeight="1" x14ac:dyDescent="0.5">
      <c r="A695">
        <v>1</v>
      </c>
      <c r="B695" s="80">
        <f>SUBTOTAL(103,$A$9:A695)</f>
        <v>675</v>
      </c>
      <c r="C695" s="300" t="s">
        <v>2439</v>
      </c>
      <c r="D695" s="296">
        <f t="shared" si="21"/>
        <v>448190</v>
      </c>
      <c r="E695" s="301">
        <v>0</v>
      </c>
      <c r="F695" s="301">
        <v>0</v>
      </c>
      <c r="G695" s="301">
        <v>448190</v>
      </c>
      <c r="H695" s="301">
        <v>0</v>
      </c>
      <c r="I695" s="301">
        <v>0</v>
      </c>
      <c r="J695" s="301">
        <v>0</v>
      </c>
      <c r="K695" s="302">
        <v>0</v>
      </c>
      <c r="L695" s="301">
        <v>0</v>
      </c>
      <c r="M695" s="301">
        <v>0</v>
      </c>
      <c r="N695" s="301">
        <v>0</v>
      </c>
      <c r="O695" s="301">
        <v>0</v>
      </c>
      <c r="P695" s="301">
        <v>0</v>
      </c>
      <c r="Q695" s="301">
        <v>0</v>
      </c>
      <c r="R695" s="301">
        <v>0</v>
      </c>
      <c r="S695" s="301">
        <v>0</v>
      </c>
      <c r="T695" s="301">
        <v>0</v>
      </c>
      <c r="U695" s="301">
        <v>0</v>
      </c>
      <c r="V695" s="301">
        <v>0</v>
      </c>
      <c r="W695" s="301">
        <v>0</v>
      </c>
      <c r="X695" s="301">
        <v>0</v>
      </c>
      <c r="Y695" s="301">
        <v>0</v>
      </c>
      <c r="Z695" s="301">
        <v>0</v>
      </c>
      <c r="AA695" s="301">
        <v>0</v>
      </c>
      <c r="AB695" s="303">
        <v>2020</v>
      </c>
    </row>
    <row r="696" spans="1:28" ht="35.25" customHeight="1" x14ac:dyDescent="0.5">
      <c r="A696">
        <v>1</v>
      </c>
      <c r="B696" s="80">
        <f>SUBTOTAL(103,$A$9:A696)</f>
        <v>676</v>
      </c>
      <c r="C696" s="300" t="s">
        <v>2078</v>
      </c>
      <c r="D696" s="296">
        <f t="shared" si="21"/>
        <v>685554</v>
      </c>
      <c r="E696" s="301">
        <v>0</v>
      </c>
      <c r="F696" s="301">
        <v>0</v>
      </c>
      <c r="G696" s="301">
        <v>0</v>
      </c>
      <c r="H696" s="301">
        <v>0</v>
      </c>
      <c r="I696" s="301">
        <v>0</v>
      </c>
      <c r="J696" s="301">
        <v>0</v>
      </c>
      <c r="K696" s="302">
        <v>0</v>
      </c>
      <c r="L696" s="301">
        <v>0</v>
      </c>
      <c r="M696" s="301">
        <v>0</v>
      </c>
      <c r="N696" s="301">
        <v>0</v>
      </c>
      <c r="O696" s="301">
        <v>685554</v>
      </c>
      <c r="P696" s="301">
        <v>0</v>
      </c>
      <c r="Q696" s="301">
        <v>0</v>
      </c>
      <c r="R696" s="301">
        <v>0</v>
      </c>
      <c r="S696" s="301">
        <v>0</v>
      </c>
      <c r="T696" s="301">
        <v>0</v>
      </c>
      <c r="U696" s="301">
        <v>0</v>
      </c>
      <c r="V696" s="301">
        <v>0</v>
      </c>
      <c r="W696" s="301">
        <v>0</v>
      </c>
      <c r="X696" s="301">
        <v>0</v>
      </c>
      <c r="Y696" s="301">
        <v>0</v>
      </c>
      <c r="Z696" s="301">
        <v>0</v>
      </c>
      <c r="AA696" s="301">
        <v>0</v>
      </c>
      <c r="AB696" s="303">
        <v>2020</v>
      </c>
    </row>
    <row r="697" spans="1:28" ht="35.25" customHeight="1" x14ac:dyDescent="0.5">
      <c r="A697">
        <v>1</v>
      </c>
      <c r="B697" s="80">
        <f>SUBTOTAL(103,$A$9:A697)</f>
        <v>677</v>
      </c>
      <c r="C697" s="300" t="s">
        <v>2079</v>
      </c>
      <c r="D697" s="296">
        <f t="shared" si="21"/>
        <v>1078018</v>
      </c>
      <c r="E697" s="301">
        <v>0</v>
      </c>
      <c r="F697" s="301">
        <v>0</v>
      </c>
      <c r="G697" s="301">
        <v>0</v>
      </c>
      <c r="H697" s="301">
        <v>0</v>
      </c>
      <c r="I697" s="301">
        <v>0</v>
      </c>
      <c r="J697" s="301">
        <v>0</v>
      </c>
      <c r="K697" s="302">
        <v>0</v>
      </c>
      <c r="L697" s="301">
        <v>0</v>
      </c>
      <c r="M697" s="301">
        <v>0</v>
      </c>
      <c r="N697" s="301">
        <v>0</v>
      </c>
      <c r="O697" s="301">
        <v>1078018</v>
      </c>
      <c r="P697" s="301">
        <v>0</v>
      </c>
      <c r="Q697" s="301">
        <v>0</v>
      </c>
      <c r="R697" s="301">
        <v>0</v>
      </c>
      <c r="S697" s="301">
        <v>0</v>
      </c>
      <c r="T697" s="301">
        <v>0</v>
      </c>
      <c r="U697" s="301">
        <v>0</v>
      </c>
      <c r="V697" s="301">
        <v>0</v>
      </c>
      <c r="W697" s="301">
        <v>0</v>
      </c>
      <c r="X697" s="301">
        <v>0</v>
      </c>
      <c r="Y697" s="301">
        <v>0</v>
      </c>
      <c r="Z697" s="301">
        <v>0</v>
      </c>
      <c r="AA697" s="301">
        <v>0</v>
      </c>
      <c r="AB697" s="303">
        <v>2020</v>
      </c>
    </row>
    <row r="698" spans="1:28" ht="35.25" customHeight="1" x14ac:dyDescent="0.5">
      <c r="A698">
        <v>1</v>
      </c>
      <c r="B698" s="80">
        <f>SUBTOTAL(103,$A$9:A698)</f>
        <v>678</v>
      </c>
      <c r="C698" s="300" t="s">
        <v>2080</v>
      </c>
      <c r="D698" s="296">
        <f t="shared" si="21"/>
        <v>1064400</v>
      </c>
      <c r="E698" s="301">
        <v>0</v>
      </c>
      <c r="F698" s="301">
        <v>0</v>
      </c>
      <c r="G698" s="301">
        <v>0</v>
      </c>
      <c r="H698" s="301">
        <v>0</v>
      </c>
      <c r="I698" s="301">
        <v>0</v>
      </c>
      <c r="J698" s="301">
        <v>0</v>
      </c>
      <c r="K698" s="302">
        <v>0</v>
      </c>
      <c r="L698" s="301">
        <v>0</v>
      </c>
      <c r="M698" s="301">
        <v>0</v>
      </c>
      <c r="N698" s="301">
        <v>0</v>
      </c>
      <c r="O698" s="301">
        <v>1064400</v>
      </c>
      <c r="P698" s="301">
        <v>0</v>
      </c>
      <c r="Q698" s="301">
        <v>0</v>
      </c>
      <c r="R698" s="301">
        <v>0</v>
      </c>
      <c r="S698" s="301">
        <v>0</v>
      </c>
      <c r="T698" s="301">
        <v>0</v>
      </c>
      <c r="U698" s="301">
        <v>0</v>
      </c>
      <c r="V698" s="301">
        <v>0</v>
      </c>
      <c r="W698" s="301">
        <v>0</v>
      </c>
      <c r="X698" s="301">
        <v>0</v>
      </c>
      <c r="Y698" s="301">
        <v>0</v>
      </c>
      <c r="Z698" s="301">
        <v>0</v>
      </c>
      <c r="AA698" s="301">
        <v>0</v>
      </c>
      <c r="AB698" s="303">
        <v>2020</v>
      </c>
    </row>
    <row r="699" spans="1:28" ht="35.25" customHeight="1" x14ac:dyDescent="0.5">
      <c r="A699">
        <v>1</v>
      </c>
      <c r="B699" s="80">
        <f>SUBTOTAL(103,$A$9:A699)</f>
        <v>679</v>
      </c>
      <c r="C699" s="300" t="s">
        <v>2271</v>
      </c>
      <c r="D699" s="296">
        <f t="shared" si="21"/>
        <v>544215</v>
      </c>
      <c r="E699" s="301">
        <v>0</v>
      </c>
      <c r="F699" s="301">
        <v>0</v>
      </c>
      <c r="G699" s="301">
        <v>0</v>
      </c>
      <c r="H699" s="301">
        <v>0</v>
      </c>
      <c r="I699" s="301">
        <v>0</v>
      </c>
      <c r="J699" s="301">
        <v>0</v>
      </c>
      <c r="K699" s="302">
        <v>0</v>
      </c>
      <c r="L699" s="301">
        <v>0</v>
      </c>
      <c r="M699" s="301">
        <v>0</v>
      </c>
      <c r="N699" s="301">
        <v>0</v>
      </c>
      <c r="O699" s="301">
        <v>544215</v>
      </c>
      <c r="P699" s="301">
        <v>0</v>
      </c>
      <c r="Q699" s="301">
        <v>0</v>
      </c>
      <c r="R699" s="301">
        <v>0</v>
      </c>
      <c r="S699" s="301">
        <v>0</v>
      </c>
      <c r="T699" s="301">
        <v>0</v>
      </c>
      <c r="U699" s="301">
        <v>0</v>
      </c>
      <c r="V699" s="301">
        <v>0</v>
      </c>
      <c r="W699" s="301">
        <v>0</v>
      </c>
      <c r="X699" s="301">
        <v>0</v>
      </c>
      <c r="Y699" s="301">
        <v>0</v>
      </c>
      <c r="Z699" s="301">
        <v>0</v>
      </c>
      <c r="AA699" s="301">
        <v>0</v>
      </c>
      <c r="AB699" s="303">
        <v>2020</v>
      </c>
    </row>
    <row r="700" spans="1:28" ht="35.25" customHeight="1" x14ac:dyDescent="0.5">
      <c r="A700">
        <v>1</v>
      </c>
      <c r="B700" s="80">
        <f>SUBTOTAL(103,$A$9:A700)</f>
        <v>680</v>
      </c>
      <c r="C700" s="300" t="s">
        <v>2081</v>
      </c>
      <c r="D700" s="296">
        <f t="shared" si="21"/>
        <v>1078018</v>
      </c>
      <c r="E700" s="301">
        <v>0</v>
      </c>
      <c r="F700" s="301">
        <v>0</v>
      </c>
      <c r="G700" s="301">
        <v>0</v>
      </c>
      <c r="H700" s="301">
        <v>0</v>
      </c>
      <c r="I700" s="301">
        <v>0</v>
      </c>
      <c r="J700" s="301">
        <v>0</v>
      </c>
      <c r="K700" s="302">
        <v>0</v>
      </c>
      <c r="L700" s="301">
        <v>0</v>
      </c>
      <c r="M700" s="301">
        <v>0</v>
      </c>
      <c r="N700" s="301">
        <v>0</v>
      </c>
      <c r="O700" s="301">
        <v>1078018</v>
      </c>
      <c r="P700" s="301">
        <v>0</v>
      </c>
      <c r="Q700" s="301">
        <v>0</v>
      </c>
      <c r="R700" s="301">
        <v>0</v>
      </c>
      <c r="S700" s="301">
        <v>0</v>
      </c>
      <c r="T700" s="301">
        <v>0</v>
      </c>
      <c r="U700" s="301">
        <v>0</v>
      </c>
      <c r="V700" s="301">
        <v>0</v>
      </c>
      <c r="W700" s="301">
        <v>0</v>
      </c>
      <c r="X700" s="301">
        <v>0</v>
      </c>
      <c r="Y700" s="301">
        <v>0</v>
      </c>
      <c r="Z700" s="301">
        <v>0</v>
      </c>
      <c r="AA700" s="301">
        <v>0</v>
      </c>
      <c r="AB700" s="303">
        <v>2020</v>
      </c>
    </row>
    <row r="701" spans="1:28" ht="35.25" customHeight="1" x14ac:dyDescent="0.5">
      <c r="B701" s="299" t="s">
        <v>768</v>
      </c>
      <c r="C701" s="300"/>
      <c r="D701" s="296">
        <f t="shared" si="21"/>
        <v>8698768.8499999996</v>
      </c>
      <c r="E701" s="296">
        <f t="shared" ref="E701:AA701" si="25">SUM(E702:E712)</f>
        <v>0</v>
      </c>
      <c r="F701" s="296">
        <f t="shared" si="25"/>
        <v>365414</v>
      </c>
      <c r="G701" s="296">
        <f t="shared" si="25"/>
        <v>1182561.3999999999</v>
      </c>
      <c r="H701" s="296">
        <f t="shared" si="25"/>
        <v>0</v>
      </c>
      <c r="I701" s="296">
        <f t="shared" si="25"/>
        <v>0</v>
      </c>
      <c r="J701" s="296">
        <f t="shared" si="25"/>
        <v>0</v>
      </c>
      <c r="K701" s="297">
        <f t="shared" si="25"/>
        <v>0</v>
      </c>
      <c r="L701" s="296">
        <f t="shared" si="25"/>
        <v>0</v>
      </c>
      <c r="M701" s="296">
        <f t="shared" si="25"/>
        <v>2776056.45</v>
      </c>
      <c r="N701" s="296">
        <f t="shared" si="25"/>
        <v>242049</v>
      </c>
      <c r="O701" s="296">
        <f t="shared" si="25"/>
        <v>2389046</v>
      </c>
      <c r="P701" s="296">
        <f t="shared" si="25"/>
        <v>1743642</v>
      </c>
      <c r="Q701" s="296">
        <f t="shared" si="25"/>
        <v>0</v>
      </c>
      <c r="R701" s="296">
        <f t="shared" si="25"/>
        <v>0</v>
      </c>
      <c r="S701" s="296">
        <f t="shared" si="25"/>
        <v>0</v>
      </c>
      <c r="T701" s="296">
        <f t="shared" si="25"/>
        <v>0</v>
      </c>
      <c r="U701" s="296">
        <f t="shared" si="25"/>
        <v>0</v>
      </c>
      <c r="V701" s="296">
        <f t="shared" si="25"/>
        <v>0</v>
      </c>
      <c r="W701" s="296">
        <f t="shared" si="25"/>
        <v>0</v>
      </c>
      <c r="X701" s="296">
        <f t="shared" si="25"/>
        <v>0</v>
      </c>
      <c r="Y701" s="296">
        <f t="shared" si="25"/>
        <v>0</v>
      </c>
      <c r="Z701" s="296">
        <f t="shared" si="25"/>
        <v>0</v>
      </c>
      <c r="AA701" s="296">
        <f t="shared" si="25"/>
        <v>0</v>
      </c>
      <c r="AB701" s="298" t="s">
        <v>835</v>
      </c>
    </row>
    <row r="702" spans="1:28" ht="35.25" customHeight="1" x14ac:dyDescent="0.5">
      <c r="A702">
        <v>1</v>
      </c>
      <c r="B702" s="80">
        <f>SUBTOTAL(103,$A$9:A702)</f>
        <v>681</v>
      </c>
      <c r="C702" s="300" t="s">
        <v>2082</v>
      </c>
      <c r="D702" s="296">
        <f t="shared" si="21"/>
        <v>211213</v>
      </c>
      <c r="E702" s="301">
        <v>0</v>
      </c>
      <c r="F702" s="301">
        <v>211213</v>
      </c>
      <c r="G702" s="301">
        <v>0</v>
      </c>
      <c r="H702" s="301">
        <v>0</v>
      </c>
      <c r="I702" s="301">
        <v>0</v>
      </c>
      <c r="J702" s="301">
        <v>0</v>
      </c>
      <c r="K702" s="302">
        <v>0</v>
      </c>
      <c r="L702" s="301">
        <v>0</v>
      </c>
      <c r="M702" s="301">
        <v>0</v>
      </c>
      <c r="N702" s="301">
        <v>0</v>
      </c>
      <c r="O702" s="301">
        <v>0</v>
      </c>
      <c r="P702" s="301">
        <v>0</v>
      </c>
      <c r="Q702" s="301">
        <v>0</v>
      </c>
      <c r="R702" s="301">
        <v>0</v>
      </c>
      <c r="S702" s="301">
        <v>0</v>
      </c>
      <c r="T702" s="301">
        <v>0</v>
      </c>
      <c r="U702" s="301">
        <v>0</v>
      </c>
      <c r="V702" s="301">
        <v>0</v>
      </c>
      <c r="W702" s="301">
        <v>0</v>
      </c>
      <c r="X702" s="301">
        <v>0</v>
      </c>
      <c r="Y702" s="301">
        <v>0</v>
      </c>
      <c r="Z702" s="301">
        <v>0</v>
      </c>
      <c r="AA702" s="301">
        <v>0</v>
      </c>
      <c r="AB702" s="303">
        <v>2020</v>
      </c>
    </row>
    <row r="703" spans="1:28" ht="35.25" customHeight="1" x14ac:dyDescent="0.5">
      <c r="A703">
        <v>1</v>
      </c>
      <c r="B703" s="80">
        <f>SUBTOTAL(103,$A$9:A703)</f>
        <v>682</v>
      </c>
      <c r="C703" s="300" t="s">
        <v>2083</v>
      </c>
      <c r="D703" s="296">
        <f t="shared" si="21"/>
        <v>2078725.5</v>
      </c>
      <c r="E703" s="301">
        <v>0</v>
      </c>
      <c r="F703" s="301">
        <v>0</v>
      </c>
      <c r="G703" s="301">
        <v>0</v>
      </c>
      <c r="H703" s="301">
        <v>0</v>
      </c>
      <c r="I703" s="301">
        <v>0</v>
      </c>
      <c r="J703" s="301">
        <v>0</v>
      </c>
      <c r="K703" s="302">
        <v>0</v>
      </c>
      <c r="L703" s="301">
        <v>0</v>
      </c>
      <c r="M703" s="301">
        <v>397664.5</v>
      </c>
      <c r="N703" s="301">
        <v>0</v>
      </c>
      <c r="O703" s="304">
        <v>363080</v>
      </c>
      <c r="P703" s="301">
        <v>1317981</v>
      </c>
      <c r="Q703" s="301">
        <v>0</v>
      </c>
      <c r="R703" s="301">
        <v>0</v>
      </c>
      <c r="S703" s="301">
        <v>0</v>
      </c>
      <c r="T703" s="301">
        <v>0</v>
      </c>
      <c r="U703" s="301">
        <v>0</v>
      </c>
      <c r="V703" s="301">
        <v>0</v>
      </c>
      <c r="W703" s="301">
        <v>0</v>
      </c>
      <c r="X703" s="301">
        <v>0</v>
      </c>
      <c r="Y703" s="301">
        <v>0</v>
      </c>
      <c r="Z703" s="301">
        <v>0</v>
      </c>
      <c r="AA703" s="301">
        <v>0</v>
      </c>
      <c r="AB703" s="303">
        <v>2020</v>
      </c>
    </row>
    <row r="704" spans="1:28" ht="35.25" customHeight="1" x14ac:dyDescent="0.5">
      <c r="A704">
        <v>1</v>
      </c>
      <c r="B704" s="80">
        <f>SUBTOTAL(103,$A$9:A704)</f>
        <v>683</v>
      </c>
      <c r="C704" s="300" t="s">
        <v>2084</v>
      </c>
      <c r="D704" s="296">
        <f t="shared" si="21"/>
        <v>154201</v>
      </c>
      <c r="E704" s="301">
        <v>0</v>
      </c>
      <c r="F704" s="301">
        <v>154201</v>
      </c>
      <c r="G704" s="301">
        <v>0</v>
      </c>
      <c r="H704" s="301">
        <v>0</v>
      </c>
      <c r="I704" s="301">
        <v>0</v>
      </c>
      <c r="J704" s="301">
        <v>0</v>
      </c>
      <c r="K704" s="302">
        <v>0</v>
      </c>
      <c r="L704" s="301">
        <v>0</v>
      </c>
      <c r="M704" s="301">
        <v>0</v>
      </c>
      <c r="N704" s="301">
        <v>0</v>
      </c>
      <c r="O704" s="301">
        <v>0</v>
      </c>
      <c r="P704" s="301">
        <v>0</v>
      </c>
      <c r="Q704" s="301">
        <v>0</v>
      </c>
      <c r="R704" s="301">
        <v>0</v>
      </c>
      <c r="S704" s="301">
        <v>0</v>
      </c>
      <c r="T704" s="301">
        <v>0</v>
      </c>
      <c r="U704" s="301">
        <v>0</v>
      </c>
      <c r="V704" s="301">
        <v>0</v>
      </c>
      <c r="W704" s="301">
        <v>0</v>
      </c>
      <c r="X704" s="301">
        <v>0</v>
      </c>
      <c r="Y704" s="301">
        <v>0</v>
      </c>
      <c r="Z704" s="301">
        <v>0</v>
      </c>
      <c r="AA704" s="301">
        <v>0</v>
      </c>
      <c r="AB704" s="303">
        <v>2020</v>
      </c>
    </row>
    <row r="705" spans="1:28" ht="35.25" customHeight="1" x14ac:dyDescent="0.5">
      <c r="A705">
        <v>1</v>
      </c>
      <c r="B705" s="80">
        <f>SUBTOTAL(103,$A$9:A705)</f>
        <v>684</v>
      </c>
      <c r="C705" s="300" t="s">
        <v>2085</v>
      </c>
      <c r="D705" s="296">
        <f t="shared" si="21"/>
        <v>827266</v>
      </c>
      <c r="E705" s="301">
        <v>0</v>
      </c>
      <c r="F705" s="301">
        <v>0</v>
      </c>
      <c r="G705" s="301">
        <v>585217</v>
      </c>
      <c r="H705" s="301">
        <v>0</v>
      </c>
      <c r="I705" s="301">
        <v>0</v>
      </c>
      <c r="J705" s="301">
        <v>0</v>
      </c>
      <c r="K705" s="302">
        <v>0</v>
      </c>
      <c r="L705" s="301">
        <v>0</v>
      </c>
      <c r="M705" s="301">
        <v>0</v>
      </c>
      <c r="N705" s="301">
        <v>242049</v>
      </c>
      <c r="O705" s="301">
        <v>0</v>
      </c>
      <c r="P705" s="301">
        <v>0</v>
      </c>
      <c r="Q705" s="301">
        <v>0</v>
      </c>
      <c r="R705" s="301">
        <v>0</v>
      </c>
      <c r="S705" s="301">
        <v>0</v>
      </c>
      <c r="T705" s="301">
        <v>0</v>
      </c>
      <c r="U705" s="301">
        <v>0</v>
      </c>
      <c r="V705" s="301">
        <v>0</v>
      </c>
      <c r="W705" s="301">
        <v>0</v>
      </c>
      <c r="X705" s="301">
        <v>0</v>
      </c>
      <c r="Y705" s="301">
        <v>0</v>
      </c>
      <c r="Z705" s="301">
        <v>0</v>
      </c>
      <c r="AA705" s="301">
        <v>0</v>
      </c>
      <c r="AB705" s="303">
        <v>2020</v>
      </c>
    </row>
    <row r="706" spans="1:28" ht="35.25" customHeight="1" x14ac:dyDescent="0.5">
      <c r="A706">
        <v>1</v>
      </c>
      <c r="B706" s="80">
        <f>SUBTOTAL(103,$A$9:A706)</f>
        <v>685</v>
      </c>
      <c r="C706" s="300" t="s">
        <v>2086</v>
      </c>
      <c r="D706" s="296">
        <f t="shared" si="21"/>
        <v>156387</v>
      </c>
      <c r="E706" s="301">
        <v>0</v>
      </c>
      <c r="F706" s="301">
        <v>0</v>
      </c>
      <c r="G706" s="301">
        <v>0</v>
      </c>
      <c r="H706" s="301">
        <v>0</v>
      </c>
      <c r="I706" s="301">
        <v>0</v>
      </c>
      <c r="J706" s="301">
        <v>0</v>
      </c>
      <c r="K706" s="302">
        <v>0</v>
      </c>
      <c r="L706" s="301">
        <v>0</v>
      </c>
      <c r="M706" s="301">
        <v>0</v>
      </c>
      <c r="N706" s="301">
        <v>0</v>
      </c>
      <c r="O706" s="301">
        <v>156387</v>
      </c>
      <c r="P706" s="301">
        <v>0</v>
      </c>
      <c r="Q706" s="301">
        <v>0</v>
      </c>
      <c r="R706" s="301">
        <v>0</v>
      </c>
      <c r="S706" s="301">
        <v>0</v>
      </c>
      <c r="T706" s="301">
        <v>0</v>
      </c>
      <c r="U706" s="301">
        <v>0</v>
      </c>
      <c r="V706" s="301">
        <v>0</v>
      </c>
      <c r="W706" s="301">
        <v>0</v>
      </c>
      <c r="X706" s="301">
        <v>0</v>
      </c>
      <c r="Y706" s="301">
        <v>0</v>
      </c>
      <c r="Z706" s="301">
        <v>0</v>
      </c>
      <c r="AA706" s="301">
        <v>0</v>
      </c>
      <c r="AB706" s="303">
        <v>2020</v>
      </c>
    </row>
    <row r="707" spans="1:28" ht="35.25" customHeight="1" x14ac:dyDescent="0.5">
      <c r="A707">
        <v>1</v>
      </c>
      <c r="B707" s="80">
        <f>SUBTOTAL(103,$A$9:A707)</f>
        <v>686</v>
      </c>
      <c r="C707" s="300" t="s">
        <v>2087</v>
      </c>
      <c r="D707" s="296">
        <f t="shared" si="21"/>
        <v>550214</v>
      </c>
      <c r="E707" s="301">
        <v>0</v>
      </c>
      <c r="F707" s="301">
        <v>0</v>
      </c>
      <c r="G707" s="301">
        <v>0</v>
      </c>
      <c r="H707" s="301">
        <v>0</v>
      </c>
      <c r="I707" s="301">
        <v>0</v>
      </c>
      <c r="J707" s="301">
        <v>0</v>
      </c>
      <c r="K707" s="302">
        <v>0</v>
      </c>
      <c r="L707" s="301">
        <v>0</v>
      </c>
      <c r="M707" s="301">
        <v>0</v>
      </c>
      <c r="N707" s="301">
        <v>0</v>
      </c>
      <c r="O707" s="301">
        <v>550214</v>
      </c>
      <c r="P707" s="301">
        <v>0</v>
      </c>
      <c r="Q707" s="301">
        <v>0</v>
      </c>
      <c r="R707" s="301">
        <v>0</v>
      </c>
      <c r="S707" s="301">
        <v>0</v>
      </c>
      <c r="T707" s="301">
        <v>0</v>
      </c>
      <c r="U707" s="301">
        <v>0</v>
      </c>
      <c r="V707" s="301">
        <v>0</v>
      </c>
      <c r="W707" s="301">
        <v>0</v>
      </c>
      <c r="X707" s="301">
        <v>0</v>
      </c>
      <c r="Y707" s="301">
        <v>0</v>
      </c>
      <c r="Z707" s="301">
        <v>0</v>
      </c>
      <c r="AA707" s="301">
        <v>0</v>
      </c>
      <c r="AB707" s="303">
        <v>2020</v>
      </c>
    </row>
    <row r="708" spans="1:28" ht="35.25" customHeight="1" x14ac:dyDescent="0.5">
      <c r="A708">
        <v>1</v>
      </c>
      <c r="B708" s="80">
        <f>SUBTOTAL(103,$A$9:A708)</f>
        <v>687</v>
      </c>
      <c r="C708" s="300" t="s">
        <v>2440</v>
      </c>
      <c r="D708" s="296">
        <f t="shared" si="21"/>
        <v>825043</v>
      </c>
      <c r="E708" s="301">
        <v>0</v>
      </c>
      <c r="F708" s="301">
        <v>0</v>
      </c>
      <c r="G708" s="301">
        <v>0</v>
      </c>
      <c r="H708" s="301">
        <v>0</v>
      </c>
      <c r="I708" s="301">
        <v>0</v>
      </c>
      <c r="J708" s="301">
        <v>0</v>
      </c>
      <c r="K708" s="302">
        <v>0</v>
      </c>
      <c r="L708" s="301">
        <v>0</v>
      </c>
      <c r="M708" s="301">
        <v>825043</v>
      </c>
      <c r="N708" s="301">
        <v>0</v>
      </c>
      <c r="O708" s="301">
        <v>0</v>
      </c>
      <c r="P708" s="301">
        <v>0</v>
      </c>
      <c r="Q708" s="301">
        <v>0</v>
      </c>
      <c r="R708" s="301">
        <v>0</v>
      </c>
      <c r="S708" s="301">
        <v>0</v>
      </c>
      <c r="T708" s="301">
        <v>0</v>
      </c>
      <c r="U708" s="301">
        <v>0</v>
      </c>
      <c r="V708" s="301">
        <v>0</v>
      </c>
      <c r="W708" s="301">
        <v>0</v>
      </c>
      <c r="X708" s="301">
        <v>0</v>
      </c>
      <c r="Y708" s="301">
        <v>0</v>
      </c>
      <c r="Z708" s="301">
        <v>0</v>
      </c>
      <c r="AA708" s="301">
        <v>0</v>
      </c>
      <c r="AB708" s="303">
        <v>2020</v>
      </c>
    </row>
    <row r="709" spans="1:28" ht="35.25" customHeight="1" x14ac:dyDescent="0.5">
      <c r="A709">
        <v>1</v>
      </c>
      <c r="B709" s="80">
        <f>SUBTOTAL(103,$A$9:A709)</f>
        <v>688</v>
      </c>
      <c r="C709" s="300" t="s">
        <v>2441</v>
      </c>
      <c r="D709" s="296">
        <f t="shared" si="21"/>
        <v>425661</v>
      </c>
      <c r="E709" s="301">
        <v>0</v>
      </c>
      <c r="F709" s="301">
        <v>0</v>
      </c>
      <c r="G709" s="301">
        <v>0</v>
      </c>
      <c r="H709" s="301">
        <v>0</v>
      </c>
      <c r="I709" s="301">
        <v>0</v>
      </c>
      <c r="J709" s="301">
        <v>0</v>
      </c>
      <c r="K709" s="302">
        <v>0</v>
      </c>
      <c r="L709" s="301">
        <v>0</v>
      </c>
      <c r="M709" s="301">
        <v>0</v>
      </c>
      <c r="N709" s="301">
        <v>0</v>
      </c>
      <c r="O709" s="301">
        <v>0</v>
      </c>
      <c r="P709" s="301">
        <v>425661</v>
      </c>
      <c r="Q709" s="301">
        <v>0</v>
      </c>
      <c r="R709" s="301">
        <v>0</v>
      </c>
      <c r="S709" s="301">
        <v>0</v>
      </c>
      <c r="T709" s="301">
        <v>0</v>
      </c>
      <c r="U709" s="301">
        <v>0</v>
      </c>
      <c r="V709" s="301">
        <v>0</v>
      </c>
      <c r="W709" s="301">
        <v>0</v>
      </c>
      <c r="X709" s="301">
        <v>0</v>
      </c>
      <c r="Y709" s="301">
        <v>0</v>
      </c>
      <c r="Z709" s="301">
        <v>0</v>
      </c>
      <c r="AA709" s="301">
        <v>0</v>
      </c>
      <c r="AB709" s="303">
        <v>2020</v>
      </c>
    </row>
    <row r="710" spans="1:28" ht="35.25" customHeight="1" x14ac:dyDescent="0.5">
      <c r="A710">
        <v>1</v>
      </c>
      <c r="B710" s="80">
        <f>SUBTOTAL(103,$A$9:A710)</f>
        <v>689</v>
      </c>
      <c r="C710" s="300" t="s">
        <v>2442</v>
      </c>
      <c r="D710" s="296">
        <f t="shared" si="21"/>
        <v>1553348.95</v>
      </c>
      <c r="E710" s="301">
        <v>0</v>
      </c>
      <c r="F710" s="301">
        <v>0</v>
      </c>
      <c r="G710" s="301">
        <v>0</v>
      </c>
      <c r="H710" s="301">
        <v>0</v>
      </c>
      <c r="I710" s="301">
        <v>0</v>
      </c>
      <c r="J710" s="301">
        <v>0</v>
      </c>
      <c r="K710" s="302">
        <v>0</v>
      </c>
      <c r="L710" s="301">
        <v>0</v>
      </c>
      <c r="M710" s="301">
        <v>1553348.95</v>
      </c>
      <c r="N710" s="301">
        <v>0</v>
      </c>
      <c r="O710" s="301">
        <v>0</v>
      </c>
      <c r="P710" s="301">
        <v>0</v>
      </c>
      <c r="Q710" s="301">
        <v>0</v>
      </c>
      <c r="R710" s="301">
        <v>0</v>
      </c>
      <c r="S710" s="301">
        <v>0</v>
      </c>
      <c r="T710" s="301">
        <v>0</v>
      </c>
      <c r="U710" s="301">
        <v>0</v>
      </c>
      <c r="V710" s="301">
        <v>0</v>
      </c>
      <c r="W710" s="301">
        <v>0</v>
      </c>
      <c r="X710" s="301">
        <v>0</v>
      </c>
      <c r="Y710" s="301">
        <v>0</v>
      </c>
      <c r="Z710" s="301">
        <v>0</v>
      </c>
      <c r="AA710" s="301">
        <v>0</v>
      </c>
      <c r="AB710" s="303">
        <v>2020</v>
      </c>
    </row>
    <row r="711" spans="1:28" ht="35.25" customHeight="1" x14ac:dyDescent="0.5">
      <c r="A711">
        <v>1</v>
      </c>
      <c r="B711" s="80">
        <f>SUBTOTAL(103,$A$9:A711)</f>
        <v>690</v>
      </c>
      <c r="C711" s="300" t="s">
        <v>2712</v>
      </c>
      <c r="D711" s="296">
        <f t="shared" si="21"/>
        <v>1319365</v>
      </c>
      <c r="E711" s="301">
        <v>0</v>
      </c>
      <c r="F711" s="301">
        <v>0</v>
      </c>
      <c r="G711" s="301">
        <v>0</v>
      </c>
      <c r="H711" s="301">
        <v>0</v>
      </c>
      <c r="I711" s="301">
        <v>0</v>
      </c>
      <c r="J711" s="301">
        <v>0</v>
      </c>
      <c r="K711" s="302">
        <v>0</v>
      </c>
      <c r="L711" s="301">
        <v>0</v>
      </c>
      <c r="M711" s="301">
        <v>0</v>
      </c>
      <c r="N711" s="301">
        <v>0</v>
      </c>
      <c r="O711" s="301">
        <v>1319365</v>
      </c>
      <c r="P711" s="301">
        <v>0</v>
      </c>
      <c r="Q711" s="301">
        <v>0</v>
      </c>
      <c r="R711" s="301">
        <v>0</v>
      </c>
      <c r="S711" s="301">
        <v>0</v>
      </c>
      <c r="T711" s="301">
        <v>0</v>
      </c>
      <c r="U711" s="301">
        <v>0</v>
      </c>
      <c r="V711" s="301">
        <v>0</v>
      </c>
      <c r="W711" s="301">
        <v>0</v>
      </c>
      <c r="X711" s="301">
        <v>0</v>
      </c>
      <c r="Y711" s="301">
        <v>0</v>
      </c>
      <c r="Z711" s="301">
        <v>0</v>
      </c>
      <c r="AA711" s="301">
        <v>0</v>
      </c>
      <c r="AB711" s="303">
        <v>2020</v>
      </c>
    </row>
    <row r="712" spans="1:28" ht="35.25" customHeight="1" x14ac:dyDescent="0.5">
      <c r="A712">
        <v>1</v>
      </c>
      <c r="B712" s="80">
        <f>SUBTOTAL(103,$A$9:A712)</f>
        <v>691</v>
      </c>
      <c r="C712" s="300" t="s">
        <v>2272</v>
      </c>
      <c r="D712" s="296">
        <f t="shared" si="21"/>
        <v>597344.4</v>
      </c>
      <c r="E712" s="301">
        <v>0</v>
      </c>
      <c r="F712" s="301">
        <v>0</v>
      </c>
      <c r="G712" s="301">
        <v>597344.4</v>
      </c>
      <c r="H712" s="301">
        <v>0</v>
      </c>
      <c r="I712" s="301">
        <v>0</v>
      </c>
      <c r="J712" s="301">
        <v>0</v>
      </c>
      <c r="K712" s="302">
        <v>0</v>
      </c>
      <c r="L712" s="301">
        <v>0</v>
      </c>
      <c r="M712" s="301">
        <v>0</v>
      </c>
      <c r="N712" s="301">
        <v>0</v>
      </c>
      <c r="O712" s="301">
        <v>0</v>
      </c>
      <c r="P712" s="301">
        <v>0</v>
      </c>
      <c r="Q712" s="301">
        <v>0</v>
      </c>
      <c r="R712" s="301">
        <v>0</v>
      </c>
      <c r="S712" s="301">
        <v>0</v>
      </c>
      <c r="T712" s="301">
        <v>0</v>
      </c>
      <c r="U712" s="301">
        <v>0</v>
      </c>
      <c r="V712" s="301">
        <v>0</v>
      </c>
      <c r="W712" s="301">
        <v>0</v>
      </c>
      <c r="X712" s="301">
        <v>0</v>
      </c>
      <c r="Y712" s="301">
        <v>0</v>
      </c>
      <c r="Z712" s="301">
        <v>0</v>
      </c>
      <c r="AA712" s="301">
        <v>0</v>
      </c>
      <c r="AB712" s="303">
        <v>2020</v>
      </c>
    </row>
    <row r="713" spans="1:28" ht="35.25" customHeight="1" x14ac:dyDescent="0.5">
      <c r="B713" s="299" t="s">
        <v>1325</v>
      </c>
      <c r="C713" s="300"/>
      <c r="D713" s="296">
        <f t="shared" ref="D713:D776" si="26">E713+F713+G713+H713+I713+J713+L713+M713+N713+O713+P713+Q713+R713+S713+T713+U713+V713+W713+X713+Y713+Z713+AA713</f>
        <v>2085529</v>
      </c>
      <c r="E713" s="296">
        <f t="shared" ref="E713:AA713" si="27">SUM(E714:E718)</f>
        <v>0</v>
      </c>
      <c r="F713" s="296">
        <f t="shared" si="27"/>
        <v>0</v>
      </c>
      <c r="G713" s="296">
        <f t="shared" si="27"/>
        <v>0</v>
      </c>
      <c r="H713" s="296">
        <f t="shared" si="27"/>
        <v>100608</v>
      </c>
      <c r="I713" s="296">
        <f t="shared" si="27"/>
        <v>0</v>
      </c>
      <c r="J713" s="296">
        <f t="shared" si="27"/>
        <v>0</v>
      </c>
      <c r="K713" s="297">
        <f t="shared" si="27"/>
        <v>0</v>
      </c>
      <c r="L713" s="296">
        <f t="shared" si="27"/>
        <v>0</v>
      </c>
      <c r="M713" s="296">
        <f t="shared" si="27"/>
        <v>0</v>
      </c>
      <c r="N713" s="296">
        <f t="shared" si="27"/>
        <v>0</v>
      </c>
      <c r="O713" s="296">
        <f t="shared" si="27"/>
        <v>1984921</v>
      </c>
      <c r="P713" s="296">
        <f t="shared" si="27"/>
        <v>0</v>
      </c>
      <c r="Q713" s="296">
        <f t="shared" si="27"/>
        <v>0</v>
      </c>
      <c r="R713" s="296">
        <f t="shared" si="27"/>
        <v>0</v>
      </c>
      <c r="S713" s="296">
        <f t="shared" si="27"/>
        <v>0</v>
      </c>
      <c r="T713" s="296">
        <f t="shared" si="27"/>
        <v>0</v>
      </c>
      <c r="U713" s="296">
        <f t="shared" si="27"/>
        <v>0</v>
      </c>
      <c r="V713" s="296">
        <f t="shared" si="27"/>
        <v>0</v>
      </c>
      <c r="W713" s="296">
        <f t="shared" si="27"/>
        <v>0</v>
      </c>
      <c r="X713" s="296">
        <f t="shared" si="27"/>
        <v>0</v>
      </c>
      <c r="Y713" s="296">
        <f t="shared" si="27"/>
        <v>0</v>
      </c>
      <c r="Z713" s="296">
        <f t="shared" si="27"/>
        <v>0</v>
      </c>
      <c r="AA713" s="296">
        <f t="shared" si="27"/>
        <v>0</v>
      </c>
      <c r="AB713" s="298" t="s">
        <v>835</v>
      </c>
    </row>
    <row r="714" spans="1:28" ht="35.25" customHeight="1" x14ac:dyDescent="0.5">
      <c r="A714">
        <v>1</v>
      </c>
      <c r="B714" s="80">
        <f>SUBTOTAL(103,$A$9:A714)</f>
        <v>692</v>
      </c>
      <c r="C714" s="300" t="s">
        <v>2088</v>
      </c>
      <c r="D714" s="296">
        <f t="shared" si="26"/>
        <v>552011</v>
      </c>
      <c r="E714" s="301">
        <v>0</v>
      </c>
      <c r="F714" s="301">
        <v>0</v>
      </c>
      <c r="G714" s="301">
        <v>0</v>
      </c>
      <c r="H714" s="301">
        <v>0</v>
      </c>
      <c r="I714" s="301">
        <v>0</v>
      </c>
      <c r="J714" s="301">
        <v>0</v>
      </c>
      <c r="K714" s="302">
        <v>0</v>
      </c>
      <c r="L714" s="301">
        <v>0</v>
      </c>
      <c r="M714" s="301">
        <v>0</v>
      </c>
      <c r="N714" s="301">
        <v>0</v>
      </c>
      <c r="O714" s="301">
        <v>552011</v>
      </c>
      <c r="P714" s="301">
        <v>0</v>
      </c>
      <c r="Q714" s="301">
        <v>0</v>
      </c>
      <c r="R714" s="301">
        <v>0</v>
      </c>
      <c r="S714" s="301">
        <v>0</v>
      </c>
      <c r="T714" s="301">
        <v>0</v>
      </c>
      <c r="U714" s="301">
        <v>0</v>
      </c>
      <c r="V714" s="301">
        <v>0</v>
      </c>
      <c r="W714" s="301">
        <v>0</v>
      </c>
      <c r="X714" s="301">
        <v>0</v>
      </c>
      <c r="Y714" s="301">
        <v>0</v>
      </c>
      <c r="Z714" s="301">
        <v>0</v>
      </c>
      <c r="AA714" s="301">
        <v>0</v>
      </c>
      <c r="AB714" s="303">
        <v>2020</v>
      </c>
    </row>
    <row r="715" spans="1:28" ht="35.25" customHeight="1" x14ac:dyDescent="0.5">
      <c r="A715">
        <v>1</v>
      </c>
      <c r="B715" s="80">
        <f>SUBTOTAL(103,$A$9:A715)</f>
        <v>693</v>
      </c>
      <c r="C715" s="300" t="s">
        <v>2443</v>
      </c>
      <c r="D715" s="296">
        <f t="shared" si="26"/>
        <v>100608</v>
      </c>
      <c r="E715" s="301">
        <v>0</v>
      </c>
      <c r="F715" s="301">
        <v>0</v>
      </c>
      <c r="G715" s="301">
        <v>0</v>
      </c>
      <c r="H715" s="301">
        <v>100608</v>
      </c>
      <c r="I715" s="301">
        <v>0</v>
      </c>
      <c r="J715" s="301">
        <v>0</v>
      </c>
      <c r="K715" s="302">
        <v>0</v>
      </c>
      <c r="L715" s="301">
        <v>0</v>
      </c>
      <c r="M715" s="301">
        <v>0</v>
      </c>
      <c r="N715" s="301">
        <v>0</v>
      </c>
      <c r="O715" s="301">
        <v>0</v>
      </c>
      <c r="P715" s="301">
        <v>0</v>
      </c>
      <c r="Q715" s="301">
        <v>0</v>
      </c>
      <c r="R715" s="301">
        <v>0</v>
      </c>
      <c r="S715" s="301">
        <v>0</v>
      </c>
      <c r="T715" s="301">
        <v>0</v>
      </c>
      <c r="U715" s="301">
        <v>0</v>
      </c>
      <c r="V715" s="301">
        <v>0</v>
      </c>
      <c r="W715" s="301">
        <v>0</v>
      </c>
      <c r="X715" s="301">
        <v>0</v>
      </c>
      <c r="Y715" s="301">
        <v>0</v>
      </c>
      <c r="Z715" s="301">
        <v>0</v>
      </c>
      <c r="AA715" s="301">
        <v>0</v>
      </c>
      <c r="AB715" s="303">
        <v>2020</v>
      </c>
    </row>
    <row r="716" spans="1:28" ht="35.25" customHeight="1" x14ac:dyDescent="0.5">
      <c r="A716">
        <v>1</v>
      </c>
      <c r="B716" s="80">
        <f>SUBTOTAL(103,$A$9:A716)</f>
        <v>694</v>
      </c>
      <c r="C716" s="300" t="s">
        <v>2089</v>
      </c>
      <c r="D716" s="296">
        <f t="shared" si="26"/>
        <v>780050</v>
      </c>
      <c r="E716" s="301">
        <v>0</v>
      </c>
      <c r="F716" s="301">
        <v>0</v>
      </c>
      <c r="G716" s="301">
        <v>0</v>
      </c>
      <c r="H716" s="301">
        <v>0</v>
      </c>
      <c r="I716" s="301">
        <v>0</v>
      </c>
      <c r="J716" s="301">
        <v>0</v>
      </c>
      <c r="K716" s="302">
        <v>0</v>
      </c>
      <c r="L716" s="301">
        <v>0</v>
      </c>
      <c r="M716" s="301">
        <v>0</v>
      </c>
      <c r="N716" s="301">
        <v>0</v>
      </c>
      <c r="O716" s="301">
        <v>780050</v>
      </c>
      <c r="P716" s="301">
        <v>0</v>
      </c>
      <c r="Q716" s="301">
        <v>0</v>
      </c>
      <c r="R716" s="301">
        <v>0</v>
      </c>
      <c r="S716" s="301">
        <v>0</v>
      </c>
      <c r="T716" s="301">
        <v>0</v>
      </c>
      <c r="U716" s="301">
        <v>0</v>
      </c>
      <c r="V716" s="301">
        <v>0</v>
      </c>
      <c r="W716" s="301">
        <v>0</v>
      </c>
      <c r="X716" s="301">
        <v>0</v>
      </c>
      <c r="Y716" s="301">
        <v>0</v>
      </c>
      <c r="Z716" s="301">
        <v>0</v>
      </c>
      <c r="AA716" s="301">
        <v>0</v>
      </c>
      <c r="AB716" s="303">
        <v>2020</v>
      </c>
    </row>
    <row r="717" spans="1:28" ht="35.25" customHeight="1" x14ac:dyDescent="0.5">
      <c r="A717">
        <v>1</v>
      </c>
      <c r="B717" s="80">
        <f>SUBTOTAL(103,$A$9:A717)</f>
        <v>695</v>
      </c>
      <c r="C717" s="300" t="s">
        <v>2444</v>
      </c>
      <c r="D717" s="296">
        <f t="shared" si="26"/>
        <v>224012</v>
      </c>
      <c r="E717" s="301">
        <v>0</v>
      </c>
      <c r="F717" s="301">
        <v>0</v>
      </c>
      <c r="G717" s="301">
        <v>0</v>
      </c>
      <c r="H717" s="301">
        <v>0</v>
      </c>
      <c r="I717" s="301">
        <v>0</v>
      </c>
      <c r="J717" s="301">
        <v>0</v>
      </c>
      <c r="K717" s="302">
        <v>0</v>
      </c>
      <c r="L717" s="301">
        <v>0</v>
      </c>
      <c r="M717" s="301">
        <v>0</v>
      </c>
      <c r="N717" s="301">
        <v>0</v>
      </c>
      <c r="O717" s="301">
        <v>224012</v>
      </c>
      <c r="P717" s="301">
        <v>0</v>
      </c>
      <c r="Q717" s="301">
        <v>0</v>
      </c>
      <c r="R717" s="301">
        <v>0</v>
      </c>
      <c r="S717" s="301">
        <v>0</v>
      </c>
      <c r="T717" s="301">
        <v>0</v>
      </c>
      <c r="U717" s="301">
        <v>0</v>
      </c>
      <c r="V717" s="301">
        <v>0</v>
      </c>
      <c r="W717" s="301">
        <v>0</v>
      </c>
      <c r="X717" s="301">
        <v>0</v>
      </c>
      <c r="Y717" s="301">
        <v>0</v>
      </c>
      <c r="Z717" s="301">
        <v>0</v>
      </c>
      <c r="AA717" s="301">
        <v>0</v>
      </c>
      <c r="AB717" s="303">
        <v>2020</v>
      </c>
    </row>
    <row r="718" spans="1:28" ht="35.25" customHeight="1" x14ac:dyDescent="0.5">
      <c r="A718">
        <v>1</v>
      </c>
      <c r="B718" s="80">
        <f>SUBTOTAL(103,$A$9:A718)</f>
        <v>696</v>
      </c>
      <c r="C718" s="300" t="s">
        <v>2090</v>
      </c>
      <c r="D718" s="296">
        <f t="shared" si="26"/>
        <v>428848</v>
      </c>
      <c r="E718" s="301">
        <v>0</v>
      </c>
      <c r="F718" s="301">
        <v>0</v>
      </c>
      <c r="G718" s="301">
        <v>0</v>
      </c>
      <c r="H718" s="301">
        <v>0</v>
      </c>
      <c r="I718" s="301">
        <v>0</v>
      </c>
      <c r="J718" s="301">
        <v>0</v>
      </c>
      <c r="K718" s="302">
        <v>0</v>
      </c>
      <c r="L718" s="301">
        <v>0</v>
      </c>
      <c r="M718" s="301">
        <v>0</v>
      </c>
      <c r="N718" s="301">
        <v>0</v>
      </c>
      <c r="O718" s="301">
        <v>428848</v>
      </c>
      <c r="P718" s="301">
        <v>0</v>
      </c>
      <c r="Q718" s="301">
        <v>0</v>
      </c>
      <c r="R718" s="301">
        <v>0</v>
      </c>
      <c r="S718" s="301">
        <v>0</v>
      </c>
      <c r="T718" s="301">
        <v>0</v>
      </c>
      <c r="U718" s="301">
        <v>0</v>
      </c>
      <c r="V718" s="301">
        <v>0</v>
      </c>
      <c r="W718" s="301">
        <v>0</v>
      </c>
      <c r="X718" s="301">
        <v>0</v>
      </c>
      <c r="Y718" s="301">
        <v>0</v>
      </c>
      <c r="Z718" s="301">
        <v>0</v>
      </c>
      <c r="AA718" s="301">
        <v>0</v>
      </c>
      <c r="AB718" s="303">
        <v>2020</v>
      </c>
    </row>
    <row r="719" spans="1:28" ht="35.25" customHeight="1" x14ac:dyDescent="0.5">
      <c r="B719" s="299" t="s">
        <v>776</v>
      </c>
      <c r="C719" s="300"/>
      <c r="D719" s="296">
        <f t="shared" si="26"/>
        <v>516900</v>
      </c>
      <c r="E719" s="296">
        <f t="shared" ref="E719:AA719" si="28">SUM(E720:E721)</f>
        <v>0</v>
      </c>
      <c r="F719" s="296">
        <f t="shared" si="28"/>
        <v>0</v>
      </c>
      <c r="G719" s="296">
        <f t="shared" si="28"/>
        <v>175000</v>
      </c>
      <c r="H719" s="296">
        <f t="shared" si="28"/>
        <v>0</v>
      </c>
      <c r="I719" s="296">
        <f t="shared" si="28"/>
        <v>0</v>
      </c>
      <c r="J719" s="296">
        <f t="shared" si="28"/>
        <v>0</v>
      </c>
      <c r="K719" s="297">
        <f t="shared" si="28"/>
        <v>0</v>
      </c>
      <c r="L719" s="296">
        <f t="shared" si="28"/>
        <v>0</v>
      </c>
      <c r="M719" s="296">
        <f t="shared" si="28"/>
        <v>0</v>
      </c>
      <c r="N719" s="296">
        <f t="shared" si="28"/>
        <v>341900</v>
      </c>
      <c r="O719" s="296">
        <f t="shared" si="28"/>
        <v>0</v>
      </c>
      <c r="P719" s="296">
        <f t="shared" si="28"/>
        <v>0</v>
      </c>
      <c r="Q719" s="296">
        <f t="shared" si="28"/>
        <v>0</v>
      </c>
      <c r="R719" s="296">
        <f t="shared" si="28"/>
        <v>0</v>
      </c>
      <c r="S719" s="296">
        <f t="shared" si="28"/>
        <v>0</v>
      </c>
      <c r="T719" s="296">
        <f t="shared" si="28"/>
        <v>0</v>
      </c>
      <c r="U719" s="296">
        <f t="shared" si="28"/>
        <v>0</v>
      </c>
      <c r="V719" s="296">
        <f t="shared" si="28"/>
        <v>0</v>
      </c>
      <c r="W719" s="296">
        <f t="shared" si="28"/>
        <v>0</v>
      </c>
      <c r="X719" s="296">
        <f t="shared" si="28"/>
        <v>0</v>
      </c>
      <c r="Y719" s="296">
        <f t="shared" si="28"/>
        <v>0</v>
      </c>
      <c r="Z719" s="296">
        <f t="shared" si="28"/>
        <v>0</v>
      </c>
      <c r="AA719" s="296">
        <f t="shared" si="28"/>
        <v>0</v>
      </c>
      <c r="AB719" s="298" t="s">
        <v>835</v>
      </c>
    </row>
    <row r="720" spans="1:28" ht="35.25" customHeight="1" x14ac:dyDescent="0.5">
      <c r="A720">
        <v>1</v>
      </c>
      <c r="B720" s="80">
        <f>SUBTOTAL(103,$A$9:A720)</f>
        <v>697</v>
      </c>
      <c r="C720" s="300" t="s">
        <v>2091</v>
      </c>
      <c r="D720" s="296">
        <f t="shared" si="26"/>
        <v>175000</v>
      </c>
      <c r="E720" s="301">
        <v>0</v>
      </c>
      <c r="F720" s="301">
        <v>0</v>
      </c>
      <c r="G720" s="301">
        <v>175000</v>
      </c>
      <c r="H720" s="301">
        <v>0</v>
      </c>
      <c r="I720" s="301">
        <v>0</v>
      </c>
      <c r="J720" s="301">
        <v>0</v>
      </c>
      <c r="K720" s="302">
        <v>0</v>
      </c>
      <c r="L720" s="301">
        <v>0</v>
      </c>
      <c r="M720" s="301">
        <v>0</v>
      </c>
      <c r="N720" s="301">
        <v>0</v>
      </c>
      <c r="O720" s="301">
        <v>0</v>
      </c>
      <c r="P720" s="301">
        <v>0</v>
      </c>
      <c r="Q720" s="301">
        <v>0</v>
      </c>
      <c r="R720" s="301">
        <v>0</v>
      </c>
      <c r="S720" s="301">
        <v>0</v>
      </c>
      <c r="T720" s="301">
        <v>0</v>
      </c>
      <c r="U720" s="301">
        <v>0</v>
      </c>
      <c r="V720" s="301">
        <v>0</v>
      </c>
      <c r="W720" s="301">
        <v>0</v>
      </c>
      <c r="X720" s="301">
        <v>0</v>
      </c>
      <c r="Y720" s="301">
        <v>0</v>
      </c>
      <c r="Z720" s="301">
        <v>0</v>
      </c>
      <c r="AA720" s="301">
        <v>0</v>
      </c>
      <c r="AB720" s="303">
        <v>2020</v>
      </c>
    </row>
    <row r="721" spans="1:28" ht="35.25" customHeight="1" x14ac:dyDescent="0.5">
      <c r="A721">
        <v>1</v>
      </c>
      <c r="B721" s="80">
        <f>SUBTOTAL(103,$A$9:A721)</f>
        <v>698</v>
      </c>
      <c r="C721" s="300" t="s">
        <v>2092</v>
      </c>
      <c r="D721" s="296">
        <f t="shared" si="26"/>
        <v>341900</v>
      </c>
      <c r="E721" s="301">
        <v>0</v>
      </c>
      <c r="F721" s="301">
        <v>0</v>
      </c>
      <c r="G721" s="301">
        <v>0</v>
      </c>
      <c r="H721" s="301">
        <v>0</v>
      </c>
      <c r="I721" s="301">
        <v>0</v>
      </c>
      <c r="J721" s="301">
        <v>0</v>
      </c>
      <c r="K721" s="302">
        <v>0</v>
      </c>
      <c r="L721" s="301">
        <v>0</v>
      </c>
      <c r="M721" s="301">
        <v>0</v>
      </c>
      <c r="N721" s="301">
        <v>341900</v>
      </c>
      <c r="O721" s="301">
        <v>0</v>
      </c>
      <c r="P721" s="301">
        <v>0</v>
      </c>
      <c r="Q721" s="301">
        <v>0</v>
      </c>
      <c r="R721" s="301">
        <v>0</v>
      </c>
      <c r="S721" s="301">
        <v>0</v>
      </c>
      <c r="T721" s="301">
        <v>0</v>
      </c>
      <c r="U721" s="301">
        <v>0</v>
      </c>
      <c r="V721" s="301">
        <v>0</v>
      </c>
      <c r="W721" s="301">
        <v>0</v>
      </c>
      <c r="X721" s="301">
        <v>0</v>
      </c>
      <c r="Y721" s="301">
        <v>0</v>
      </c>
      <c r="Z721" s="301">
        <v>0</v>
      </c>
      <c r="AA721" s="301">
        <v>0</v>
      </c>
      <c r="AB721" s="303">
        <v>2020</v>
      </c>
    </row>
    <row r="722" spans="1:28" ht="35.25" customHeight="1" x14ac:dyDescent="0.5">
      <c r="B722" s="299" t="s">
        <v>785</v>
      </c>
      <c r="C722" s="300"/>
      <c r="D722" s="296">
        <f t="shared" si="26"/>
        <v>1650060.4</v>
      </c>
      <c r="E722" s="296">
        <f t="shared" ref="E722:AA722" si="29">SUM(E723:E724)</f>
        <v>0</v>
      </c>
      <c r="F722" s="296">
        <f t="shared" si="29"/>
        <v>0</v>
      </c>
      <c r="G722" s="296">
        <f t="shared" si="29"/>
        <v>0</v>
      </c>
      <c r="H722" s="296">
        <f t="shared" si="29"/>
        <v>0</v>
      </c>
      <c r="I722" s="296">
        <f t="shared" si="29"/>
        <v>0</v>
      </c>
      <c r="J722" s="296">
        <f t="shared" si="29"/>
        <v>0</v>
      </c>
      <c r="K722" s="297">
        <f t="shared" si="29"/>
        <v>0</v>
      </c>
      <c r="L722" s="296">
        <f t="shared" si="29"/>
        <v>0</v>
      </c>
      <c r="M722" s="296">
        <f t="shared" si="29"/>
        <v>1187096</v>
      </c>
      <c r="N722" s="296">
        <f t="shared" si="29"/>
        <v>0</v>
      </c>
      <c r="O722" s="296">
        <f t="shared" si="29"/>
        <v>462964.4</v>
      </c>
      <c r="P722" s="296">
        <f t="shared" si="29"/>
        <v>0</v>
      </c>
      <c r="Q722" s="296">
        <f t="shared" si="29"/>
        <v>0</v>
      </c>
      <c r="R722" s="296">
        <f t="shared" si="29"/>
        <v>0</v>
      </c>
      <c r="S722" s="296">
        <f t="shared" si="29"/>
        <v>0</v>
      </c>
      <c r="T722" s="296">
        <f t="shared" si="29"/>
        <v>0</v>
      </c>
      <c r="U722" s="296">
        <f t="shared" si="29"/>
        <v>0</v>
      </c>
      <c r="V722" s="296">
        <f t="shared" si="29"/>
        <v>0</v>
      </c>
      <c r="W722" s="296">
        <f t="shared" si="29"/>
        <v>0</v>
      </c>
      <c r="X722" s="296">
        <f t="shared" si="29"/>
        <v>0</v>
      </c>
      <c r="Y722" s="296">
        <f t="shared" si="29"/>
        <v>0</v>
      </c>
      <c r="Z722" s="296">
        <f t="shared" si="29"/>
        <v>0</v>
      </c>
      <c r="AA722" s="296">
        <f t="shared" si="29"/>
        <v>0</v>
      </c>
      <c r="AB722" s="298" t="s">
        <v>835</v>
      </c>
    </row>
    <row r="723" spans="1:28" ht="35.25" customHeight="1" x14ac:dyDescent="0.5">
      <c r="A723">
        <v>1</v>
      </c>
      <c r="B723" s="80">
        <f>SUBTOTAL(103,$A$9:A723)</f>
        <v>699</v>
      </c>
      <c r="C723" s="300" t="s">
        <v>2093</v>
      </c>
      <c r="D723" s="296">
        <f t="shared" si="26"/>
        <v>1187096</v>
      </c>
      <c r="E723" s="301">
        <v>0</v>
      </c>
      <c r="F723" s="301">
        <v>0</v>
      </c>
      <c r="G723" s="301">
        <v>0</v>
      </c>
      <c r="H723" s="301">
        <v>0</v>
      </c>
      <c r="I723" s="301">
        <v>0</v>
      </c>
      <c r="J723" s="301">
        <v>0</v>
      </c>
      <c r="K723" s="302">
        <v>0</v>
      </c>
      <c r="L723" s="301">
        <v>0</v>
      </c>
      <c r="M723" s="301">
        <v>1187096</v>
      </c>
      <c r="N723" s="301">
        <v>0</v>
      </c>
      <c r="O723" s="301">
        <v>0</v>
      </c>
      <c r="P723" s="301">
        <v>0</v>
      </c>
      <c r="Q723" s="301">
        <v>0</v>
      </c>
      <c r="R723" s="301">
        <v>0</v>
      </c>
      <c r="S723" s="301">
        <v>0</v>
      </c>
      <c r="T723" s="301">
        <v>0</v>
      </c>
      <c r="U723" s="301">
        <v>0</v>
      </c>
      <c r="V723" s="301">
        <v>0</v>
      </c>
      <c r="W723" s="301">
        <v>0</v>
      </c>
      <c r="X723" s="301">
        <v>0</v>
      </c>
      <c r="Y723" s="301">
        <v>0</v>
      </c>
      <c r="Z723" s="301">
        <v>0</v>
      </c>
      <c r="AA723" s="301">
        <v>0</v>
      </c>
      <c r="AB723" s="303">
        <v>2020</v>
      </c>
    </row>
    <row r="724" spans="1:28" ht="35.25" customHeight="1" x14ac:dyDescent="0.5">
      <c r="A724">
        <v>1</v>
      </c>
      <c r="B724" s="80">
        <f>SUBTOTAL(103,$A$9:A724)</f>
        <v>700</v>
      </c>
      <c r="C724" s="300" t="s">
        <v>2445</v>
      </c>
      <c r="D724" s="296">
        <f t="shared" si="26"/>
        <v>462964.4</v>
      </c>
      <c r="E724" s="301">
        <v>0</v>
      </c>
      <c r="F724" s="301">
        <v>0</v>
      </c>
      <c r="G724" s="301">
        <v>0</v>
      </c>
      <c r="H724" s="301">
        <v>0</v>
      </c>
      <c r="I724" s="301">
        <v>0</v>
      </c>
      <c r="J724" s="301">
        <v>0</v>
      </c>
      <c r="K724" s="302">
        <v>0</v>
      </c>
      <c r="L724" s="301">
        <v>0</v>
      </c>
      <c r="M724" s="301">
        <v>0</v>
      </c>
      <c r="N724" s="301">
        <v>0</v>
      </c>
      <c r="O724" s="301">
        <v>462964.4</v>
      </c>
      <c r="P724" s="301">
        <v>0</v>
      </c>
      <c r="Q724" s="301">
        <v>0</v>
      </c>
      <c r="R724" s="301">
        <v>0</v>
      </c>
      <c r="S724" s="301">
        <v>0</v>
      </c>
      <c r="T724" s="301">
        <v>0</v>
      </c>
      <c r="U724" s="301">
        <v>0</v>
      </c>
      <c r="V724" s="301">
        <v>0</v>
      </c>
      <c r="W724" s="301">
        <v>0</v>
      </c>
      <c r="X724" s="301">
        <v>0</v>
      </c>
      <c r="Y724" s="301">
        <v>0</v>
      </c>
      <c r="Z724" s="301">
        <v>0</v>
      </c>
      <c r="AA724" s="301">
        <v>0</v>
      </c>
      <c r="AB724" s="303">
        <v>2020</v>
      </c>
    </row>
    <row r="725" spans="1:28" ht="35.25" customHeight="1" x14ac:dyDescent="0.5">
      <c r="B725" s="300" t="s">
        <v>2094</v>
      </c>
      <c r="C725" s="300"/>
      <c r="D725" s="296">
        <f t="shared" si="26"/>
        <v>60000</v>
      </c>
      <c r="E725" s="296">
        <f t="shared" ref="E725:AA725" si="30">E726</f>
        <v>0</v>
      </c>
      <c r="F725" s="296">
        <f t="shared" si="30"/>
        <v>0</v>
      </c>
      <c r="G725" s="296">
        <f t="shared" si="30"/>
        <v>0</v>
      </c>
      <c r="H725" s="296">
        <f t="shared" si="30"/>
        <v>0</v>
      </c>
      <c r="I725" s="296">
        <f t="shared" si="30"/>
        <v>0</v>
      </c>
      <c r="J725" s="296">
        <f t="shared" si="30"/>
        <v>0</v>
      </c>
      <c r="K725" s="297">
        <f t="shared" si="30"/>
        <v>0</v>
      </c>
      <c r="L725" s="296">
        <f t="shared" si="30"/>
        <v>0</v>
      </c>
      <c r="M725" s="296">
        <f t="shared" si="30"/>
        <v>60000</v>
      </c>
      <c r="N725" s="296">
        <f t="shared" si="30"/>
        <v>0</v>
      </c>
      <c r="O725" s="296">
        <f t="shared" si="30"/>
        <v>0</v>
      </c>
      <c r="P725" s="296">
        <f t="shared" si="30"/>
        <v>0</v>
      </c>
      <c r="Q725" s="296">
        <f t="shared" si="30"/>
        <v>0</v>
      </c>
      <c r="R725" s="296">
        <f t="shared" si="30"/>
        <v>0</v>
      </c>
      <c r="S725" s="296">
        <f t="shared" si="30"/>
        <v>0</v>
      </c>
      <c r="T725" s="296">
        <f t="shared" si="30"/>
        <v>0</v>
      </c>
      <c r="U725" s="296">
        <f t="shared" si="30"/>
        <v>0</v>
      </c>
      <c r="V725" s="296">
        <f t="shared" si="30"/>
        <v>0</v>
      </c>
      <c r="W725" s="296">
        <f t="shared" si="30"/>
        <v>0</v>
      </c>
      <c r="X725" s="296">
        <f t="shared" si="30"/>
        <v>0</v>
      </c>
      <c r="Y725" s="296">
        <f t="shared" si="30"/>
        <v>0</v>
      </c>
      <c r="Z725" s="296">
        <f t="shared" si="30"/>
        <v>0</v>
      </c>
      <c r="AA725" s="296">
        <f t="shared" si="30"/>
        <v>0</v>
      </c>
      <c r="AB725" s="298" t="s">
        <v>835</v>
      </c>
    </row>
    <row r="726" spans="1:28" ht="35.25" customHeight="1" x14ac:dyDescent="0.5">
      <c r="A726">
        <v>1</v>
      </c>
      <c r="B726" s="80">
        <f>SUBTOTAL(103,$A$9:A726)</f>
        <v>701</v>
      </c>
      <c r="C726" s="300" t="s">
        <v>2095</v>
      </c>
      <c r="D726" s="296">
        <f t="shared" si="26"/>
        <v>60000</v>
      </c>
      <c r="E726" s="301">
        <v>0</v>
      </c>
      <c r="F726" s="301">
        <v>0</v>
      </c>
      <c r="G726" s="301">
        <v>0</v>
      </c>
      <c r="H726" s="301">
        <v>0</v>
      </c>
      <c r="I726" s="301">
        <v>0</v>
      </c>
      <c r="J726" s="301">
        <v>0</v>
      </c>
      <c r="K726" s="302">
        <v>0</v>
      </c>
      <c r="L726" s="301">
        <v>0</v>
      </c>
      <c r="M726" s="301">
        <v>60000</v>
      </c>
      <c r="N726" s="301">
        <v>0</v>
      </c>
      <c r="O726" s="301">
        <v>0</v>
      </c>
      <c r="P726" s="301">
        <v>0</v>
      </c>
      <c r="Q726" s="301">
        <v>0</v>
      </c>
      <c r="R726" s="301">
        <v>0</v>
      </c>
      <c r="S726" s="301">
        <v>0</v>
      </c>
      <c r="T726" s="301">
        <v>0</v>
      </c>
      <c r="U726" s="301">
        <v>0</v>
      </c>
      <c r="V726" s="301">
        <v>0</v>
      </c>
      <c r="W726" s="301">
        <v>0</v>
      </c>
      <c r="X726" s="301">
        <v>0</v>
      </c>
      <c r="Y726" s="301">
        <v>0</v>
      </c>
      <c r="Z726" s="301">
        <v>0</v>
      </c>
      <c r="AA726" s="301">
        <v>0</v>
      </c>
      <c r="AB726" s="303">
        <v>2020</v>
      </c>
    </row>
    <row r="727" spans="1:28" ht="35.25" customHeight="1" x14ac:dyDescent="0.5">
      <c r="B727" s="299" t="s">
        <v>788</v>
      </c>
      <c r="C727" s="300"/>
      <c r="D727" s="296">
        <f t="shared" si="26"/>
        <v>2160133.2400000002</v>
      </c>
      <c r="E727" s="296">
        <f t="shared" ref="E727:AA727" si="31">SUM(E728:E729)</f>
        <v>0</v>
      </c>
      <c r="F727" s="296">
        <f t="shared" si="31"/>
        <v>784582</v>
      </c>
      <c r="G727" s="296">
        <f t="shared" si="31"/>
        <v>0</v>
      </c>
      <c r="H727" s="296">
        <f t="shared" si="31"/>
        <v>0</v>
      </c>
      <c r="I727" s="296">
        <f t="shared" si="31"/>
        <v>0</v>
      </c>
      <c r="J727" s="296">
        <f t="shared" si="31"/>
        <v>0</v>
      </c>
      <c r="K727" s="297">
        <f t="shared" si="31"/>
        <v>0</v>
      </c>
      <c r="L727" s="296">
        <f t="shared" si="31"/>
        <v>0</v>
      </c>
      <c r="M727" s="296">
        <f t="shared" si="31"/>
        <v>1375551.24</v>
      </c>
      <c r="N727" s="296">
        <f t="shared" si="31"/>
        <v>0</v>
      </c>
      <c r="O727" s="296">
        <f t="shared" si="31"/>
        <v>0</v>
      </c>
      <c r="P727" s="296">
        <f t="shared" si="31"/>
        <v>0</v>
      </c>
      <c r="Q727" s="296">
        <f t="shared" si="31"/>
        <v>0</v>
      </c>
      <c r="R727" s="296">
        <f t="shared" si="31"/>
        <v>0</v>
      </c>
      <c r="S727" s="296">
        <f t="shared" si="31"/>
        <v>0</v>
      </c>
      <c r="T727" s="296">
        <f t="shared" si="31"/>
        <v>0</v>
      </c>
      <c r="U727" s="296">
        <f t="shared" si="31"/>
        <v>0</v>
      </c>
      <c r="V727" s="296">
        <f t="shared" si="31"/>
        <v>0</v>
      </c>
      <c r="W727" s="296">
        <f t="shared" si="31"/>
        <v>0</v>
      </c>
      <c r="X727" s="296">
        <f t="shared" si="31"/>
        <v>0</v>
      </c>
      <c r="Y727" s="296">
        <f t="shared" si="31"/>
        <v>0</v>
      </c>
      <c r="Z727" s="296">
        <f t="shared" si="31"/>
        <v>0</v>
      </c>
      <c r="AA727" s="296">
        <f t="shared" si="31"/>
        <v>0</v>
      </c>
      <c r="AB727" s="298" t="s">
        <v>835</v>
      </c>
    </row>
    <row r="728" spans="1:28" ht="35.25" customHeight="1" x14ac:dyDescent="0.5">
      <c r="A728">
        <v>1</v>
      </c>
      <c r="B728" s="80">
        <f>SUBTOTAL(103,$A$9:A728)</f>
        <v>702</v>
      </c>
      <c r="C728" s="300" t="s">
        <v>2096</v>
      </c>
      <c r="D728" s="296">
        <f t="shared" si="26"/>
        <v>1375551.24</v>
      </c>
      <c r="E728" s="301">
        <v>0</v>
      </c>
      <c r="F728" s="301">
        <v>0</v>
      </c>
      <c r="G728" s="301">
        <v>0</v>
      </c>
      <c r="H728" s="301">
        <v>0</v>
      </c>
      <c r="I728" s="301">
        <v>0</v>
      </c>
      <c r="J728" s="301">
        <v>0</v>
      </c>
      <c r="K728" s="302">
        <v>0</v>
      </c>
      <c r="L728" s="301">
        <v>0</v>
      </c>
      <c r="M728" s="301">
        <v>1375551.24</v>
      </c>
      <c r="N728" s="301">
        <v>0</v>
      </c>
      <c r="O728" s="301">
        <v>0</v>
      </c>
      <c r="P728" s="301">
        <v>0</v>
      </c>
      <c r="Q728" s="301">
        <v>0</v>
      </c>
      <c r="R728" s="301">
        <v>0</v>
      </c>
      <c r="S728" s="301">
        <v>0</v>
      </c>
      <c r="T728" s="301">
        <v>0</v>
      </c>
      <c r="U728" s="301">
        <v>0</v>
      </c>
      <c r="V728" s="301">
        <v>0</v>
      </c>
      <c r="W728" s="301">
        <v>0</v>
      </c>
      <c r="X728" s="301">
        <v>0</v>
      </c>
      <c r="Y728" s="301">
        <v>0</v>
      </c>
      <c r="Z728" s="301">
        <v>0</v>
      </c>
      <c r="AA728" s="301">
        <v>0</v>
      </c>
      <c r="AB728" s="303">
        <v>2020</v>
      </c>
    </row>
    <row r="729" spans="1:28" ht="35.25" customHeight="1" x14ac:dyDescent="0.5">
      <c r="A729">
        <v>1</v>
      </c>
      <c r="B729" s="80">
        <f>SUBTOTAL(103,$A$9:A729)</f>
        <v>703</v>
      </c>
      <c r="C729" s="300" t="s">
        <v>2446</v>
      </c>
      <c r="D729" s="296">
        <f t="shared" si="26"/>
        <v>784582</v>
      </c>
      <c r="E729" s="301">
        <v>0</v>
      </c>
      <c r="F729" s="301">
        <v>784582</v>
      </c>
      <c r="G729" s="301">
        <v>0</v>
      </c>
      <c r="H729" s="301">
        <v>0</v>
      </c>
      <c r="I729" s="301">
        <v>0</v>
      </c>
      <c r="J729" s="301">
        <v>0</v>
      </c>
      <c r="K729" s="302">
        <v>0</v>
      </c>
      <c r="L729" s="301">
        <v>0</v>
      </c>
      <c r="M729" s="301">
        <v>0</v>
      </c>
      <c r="N729" s="301">
        <v>0</v>
      </c>
      <c r="O729" s="301">
        <v>0</v>
      </c>
      <c r="P729" s="301">
        <v>0</v>
      </c>
      <c r="Q729" s="301">
        <v>0</v>
      </c>
      <c r="R729" s="301">
        <v>0</v>
      </c>
      <c r="S729" s="301">
        <v>0</v>
      </c>
      <c r="T729" s="301">
        <v>0</v>
      </c>
      <c r="U729" s="301">
        <v>0</v>
      </c>
      <c r="V729" s="301">
        <v>0</v>
      </c>
      <c r="W729" s="301">
        <v>0</v>
      </c>
      <c r="X729" s="301">
        <v>0</v>
      </c>
      <c r="Y729" s="301">
        <v>0</v>
      </c>
      <c r="Z729" s="301">
        <v>0</v>
      </c>
      <c r="AA729" s="301">
        <v>0</v>
      </c>
      <c r="AB729" s="303">
        <v>2020</v>
      </c>
    </row>
    <row r="730" spans="1:28" ht="35.25" customHeight="1" x14ac:dyDescent="0.5">
      <c r="B730" s="299" t="s">
        <v>791</v>
      </c>
      <c r="C730" s="300"/>
      <c r="D730" s="296">
        <f t="shared" si="26"/>
        <v>1098385.6200000001</v>
      </c>
      <c r="E730" s="296">
        <f t="shared" ref="E730:AA730" si="32">SUM(E731:E732)</f>
        <v>0</v>
      </c>
      <c r="F730" s="296">
        <f t="shared" si="32"/>
        <v>439256.62</v>
      </c>
      <c r="G730" s="296">
        <f t="shared" si="32"/>
        <v>0</v>
      </c>
      <c r="H730" s="296">
        <f t="shared" si="32"/>
        <v>0</v>
      </c>
      <c r="I730" s="296">
        <f t="shared" si="32"/>
        <v>0</v>
      </c>
      <c r="J730" s="296">
        <f t="shared" si="32"/>
        <v>0</v>
      </c>
      <c r="K730" s="297">
        <f t="shared" si="32"/>
        <v>0</v>
      </c>
      <c r="L730" s="296">
        <f t="shared" si="32"/>
        <v>0</v>
      </c>
      <c r="M730" s="296">
        <f t="shared" si="32"/>
        <v>0</v>
      </c>
      <c r="N730" s="296">
        <f t="shared" si="32"/>
        <v>0</v>
      </c>
      <c r="O730" s="296">
        <f t="shared" si="32"/>
        <v>659129</v>
      </c>
      <c r="P730" s="296">
        <f t="shared" si="32"/>
        <v>0</v>
      </c>
      <c r="Q730" s="296">
        <f t="shared" si="32"/>
        <v>0</v>
      </c>
      <c r="R730" s="296">
        <f t="shared" si="32"/>
        <v>0</v>
      </c>
      <c r="S730" s="296">
        <f t="shared" si="32"/>
        <v>0</v>
      </c>
      <c r="T730" s="296">
        <f t="shared" si="32"/>
        <v>0</v>
      </c>
      <c r="U730" s="296">
        <f t="shared" si="32"/>
        <v>0</v>
      </c>
      <c r="V730" s="296">
        <f t="shared" si="32"/>
        <v>0</v>
      </c>
      <c r="W730" s="296">
        <f t="shared" si="32"/>
        <v>0</v>
      </c>
      <c r="X730" s="296">
        <f t="shared" si="32"/>
        <v>0</v>
      </c>
      <c r="Y730" s="296">
        <f t="shared" si="32"/>
        <v>0</v>
      </c>
      <c r="Z730" s="296">
        <f t="shared" si="32"/>
        <v>0</v>
      </c>
      <c r="AA730" s="296">
        <f t="shared" si="32"/>
        <v>0</v>
      </c>
      <c r="AB730" s="298" t="s">
        <v>835</v>
      </c>
    </row>
    <row r="731" spans="1:28" ht="35.25" customHeight="1" x14ac:dyDescent="0.5">
      <c r="A731">
        <v>1</v>
      </c>
      <c r="B731" s="80">
        <f>SUBTOTAL(103,$A$9:A731)</f>
        <v>704</v>
      </c>
      <c r="C731" s="300" t="s">
        <v>2097</v>
      </c>
      <c r="D731" s="296">
        <f t="shared" si="26"/>
        <v>439256.62</v>
      </c>
      <c r="E731" s="301">
        <v>0</v>
      </c>
      <c r="F731" s="301">
        <v>439256.62</v>
      </c>
      <c r="G731" s="301">
        <v>0</v>
      </c>
      <c r="H731" s="301">
        <v>0</v>
      </c>
      <c r="I731" s="301">
        <v>0</v>
      </c>
      <c r="J731" s="301">
        <v>0</v>
      </c>
      <c r="K731" s="302">
        <v>0</v>
      </c>
      <c r="L731" s="301">
        <v>0</v>
      </c>
      <c r="M731" s="301">
        <v>0</v>
      </c>
      <c r="N731" s="301">
        <v>0</v>
      </c>
      <c r="O731" s="301">
        <v>0</v>
      </c>
      <c r="P731" s="301">
        <v>0</v>
      </c>
      <c r="Q731" s="301">
        <v>0</v>
      </c>
      <c r="R731" s="301">
        <v>0</v>
      </c>
      <c r="S731" s="301">
        <v>0</v>
      </c>
      <c r="T731" s="301">
        <v>0</v>
      </c>
      <c r="U731" s="301">
        <v>0</v>
      </c>
      <c r="V731" s="301">
        <v>0</v>
      </c>
      <c r="W731" s="301">
        <v>0</v>
      </c>
      <c r="X731" s="301">
        <v>0</v>
      </c>
      <c r="Y731" s="301">
        <v>0</v>
      </c>
      <c r="Z731" s="301">
        <v>0</v>
      </c>
      <c r="AA731" s="301">
        <v>0</v>
      </c>
      <c r="AB731" s="303">
        <v>2020</v>
      </c>
    </row>
    <row r="732" spans="1:28" ht="35.25" customHeight="1" x14ac:dyDescent="0.5">
      <c r="A732">
        <v>1</v>
      </c>
      <c r="B732" s="80">
        <f>SUBTOTAL(103,$A$9:A732)</f>
        <v>705</v>
      </c>
      <c r="C732" s="300" t="s">
        <v>2098</v>
      </c>
      <c r="D732" s="296">
        <f t="shared" si="26"/>
        <v>659129</v>
      </c>
      <c r="E732" s="301">
        <v>0</v>
      </c>
      <c r="F732" s="301">
        <v>0</v>
      </c>
      <c r="G732" s="301">
        <v>0</v>
      </c>
      <c r="H732" s="301">
        <v>0</v>
      </c>
      <c r="I732" s="301">
        <v>0</v>
      </c>
      <c r="J732" s="301">
        <v>0</v>
      </c>
      <c r="K732" s="302">
        <v>0</v>
      </c>
      <c r="L732" s="301">
        <v>0</v>
      </c>
      <c r="M732" s="301">
        <v>0</v>
      </c>
      <c r="N732" s="301">
        <v>0</v>
      </c>
      <c r="O732" s="301">
        <v>659129</v>
      </c>
      <c r="P732" s="301">
        <v>0</v>
      </c>
      <c r="Q732" s="301">
        <v>0</v>
      </c>
      <c r="R732" s="301">
        <v>0</v>
      </c>
      <c r="S732" s="301">
        <v>0</v>
      </c>
      <c r="T732" s="301">
        <v>0</v>
      </c>
      <c r="U732" s="301">
        <v>0</v>
      </c>
      <c r="V732" s="301">
        <v>0</v>
      </c>
      <c r="W732" s="301">
        <v>0</v>
      </c>
      <c r="X732" s="301">
        <v>0</v>
      </c>
      <c r="Y732" s="301">
        <v>0</v>
      </c>
      <c r="Z732" s="301">
        <v>0</v>
      </c>
      <c r="AA732" s="301">
        <v>0</v>
      </c>
      <c r="AB732" s="303">
        <v>2020</v>
      </c>
    </row>
    <row r="733" spans="1:28" ht="35.25" customHeight="1" x14ac:dyDescent="0.5">
      <c r="B733" s="299" t="s">
        <v>798</v>
      </c>
      <c r="C733" s="300"/>
      <c r="D733" s="296">
        <f t="shared" si="26"/>
        <v>7097949.4900000002</v>
      </c>
      <c r="E733" s="296">
        <f t="shared" ref="E733:AA733" si="33">SUM(E734:E746)</f>
        <v>117654</v>
      </c>
      <c r="F733" s="296">
        <f t="shared" si="33"/>
        <v>0</v>
      </c>
      <c r="G733" s="296">
        <f t="shared" si="33"/>
        <v>979023</v>
      </c>
      <c r="H733" s="296">
        <f t="shared" si="33"/>
        <v>0</v>
      </c>
      <c r="I733" s="296">
        <f t="shared" si="33"/>
        <v>44789.7</v>
      </c>
      <c r="J733" s="296">
        <f t="shared" si="33"/>
        <v>0</v>
      </c>
      <c r="K733" s="297">
        <f t="shared" si="33"/>
        <v>0</v>
      </c>
      <c r="L733" s="296">
        <f t="shared" si="33"/>
        <v>0</v>
      </c>
      <c r="M733" s="296">
        <f t="shared" si="33"/>
        <v>0</v>
      </c>
      <c r="N733" s="296">
        <f t="shared" si="33"/>
        <v>0</v>
      </c>
      <c r="O733" s="296">
        <f t="shared" si="33"/>
        <v>5956482.79</v>
      </c>
      <c r="P733" s="296">
        <f t="shared" si="33"/>
        <v>0</v>
      </c>
      <c r="Q733" s="296">
        <f t="shared" si="33"/>
        <v>0</v>
      </c>
      <c r="R733" s="296">
        <f t="shared" si="33"/>
        <v>0</v>
      </c>
      <c r="S733" s="296">
        <f t="shared" si="33"/>
        <v>0</v>
      </c>
      <c r="T733" s="296">
        <f t="shared" si="33"/>
        <v>0</v>
      </c>
      <c r="U733" s="296">
        <f t="shared" si="33"/>
        <v>0</v>
      </c>
      <c r="V733" s="296">
        <f t="shared" si="33"/>
        <v>0</v>
      </c>
      <c r="W733" s="296">
        <f t="shared" si="33"/>
        <v>0</v>
      </c>
      <c r="X733" s="296">
        <f t="shared" si="33"/>
        <v>0</v>
      </c>
      <c r="Y733" s="296">
        <f t="shared" si="33"/>
        <v>0</v>
      </c>
      <c r="Z733" s="296">
        <f t="shared" si="33"/>
        <v>0</v>
      </c>
      <c r="AA733" s="296">
        <f t="shared" si="33"/>
        <v>0</v>
      </c>
      <c r="AB733" s="298" t="s">
        <v>835</v>
      </c>
    </row>
    <row r="734" spans="1:28" ht="35.25" customHeight="1" x14ac:dyDescent="0.5">
      <c r="A734">
        <v>1</v>
      </c>
      <c r="B734" s="80">
        <f>SUBTOTAL(103,$A$9:A734)</f>
        <v>706</v>
      </c>
      <c r="C734" s="300" t="s">
        <v>2099</v>
      </c>
      <c r="D734" s="296">
        <f t="shared" si="26"/>
        <v>824183</v>
      </c>
      <c r="E734" s="301">
        <v>0</v>
      </c>
      <c r="F734" s="301">
        <v>0</v>
      </c>
      <c r="G734" s="301">
        <v>0</v>
      </c>
      <c r="H734" s="301">
        <v>0</v>
      </c>
      <c r="I734" s="301">
        <v>0</v>
      </c>
      <c r="J734" s="301">
        <v>0</v>
      </c>
      <c r="K734" s="302">
        <v>0</v>
      </c>
      <c r="L734" s="301">
        <v>0</v>
      </c>
      <c r="M734" s="301">
        <v>0</v>
      </c>
      <c r="N734" s="301">
        <v>0</v>
      </c>
      <c r="O734" s="301">
        <v>824183</v>
      </c>
      <c r="P734" s="301">
        <v>0</v>
      </c>
      <c r="Q734" s="301">
        <v>0</v>
      </c>
      <c r="R734" s="301">
        <v>0</v>
      </c>
      <c r="S734" s="301">
        <v>0</v>
      </c>
      <c r="T734" s="301">
        <v>0</v>
      </c>
      <c r="U734" s="301">
        <v>0</v>
      </c>
      <c r="V734" s="301">
        <v>0</v>
      </c>
      <c r="W734" s="301">
        <v>0</v>
      </c>
      <c r="X734" s="301">
        <v>0</v>
      </c>
      <c r="Y734" s="301">
        <v>0</v>
      </c>
      <c r="Z734" s="301">
        <v>0</v>
      </c>
      <c r="AA734" s="301">
        <v>0</v>
      </c>
      <c r="AB734" s="303">
        <v>2020</v>
      </c>
    </row>
    <row r="735" spans="1:28" ht="35.25" customHeight="1" x14ac:dyDescent="0.5">
      <c r="A735">
        <v>1</v>
      </c>
      <c r="B735" s="80">
        <f>SUBTOTAL(103,$A$9:A735)</f>
        <v>707</v>
      </c>
      <c r="C735" s="300" t="s">
        <v>2447</v>
      </c>
      <c r="D735" s="296">
        <f t="shared" si="26"/>
        <v>817400</v>
      </c>
      <c r="E735" s="301">
        <v>0</v>
      </c>
      <c r="F735" s="301">
        <v>0</v>
      </c>
      <c r="G735" s="301">
        <v>0</v>
      </c>
      <c r="H735" s="301">
        <v>0</v>
      </c>
      <c r="I735" s="301">
        <v>0</v>
      </c>
      <c r="J735" s="301">
        <v>0</v>
      </c>
      <c r="K735" s="302">
        <v>0</v>
      </c>
      <c r="L735" s="301">
        <v>0</v>
      </c>
      <c r="M735" s="301">
        <v>0</v>
      </c>
      <c r="N735" s="301">
        <v>0</v>
      </c>
      <c r="O735" s="301">
        <v>817400</v>
      </c>
      <c r="P735" s="301">
        <v>0</v>
      </c>
      <c r="Q735" s="301">
        <v>0</v>
      </c>
      <c r="R735" s="301">
        <v>0</v>
      </c>
      <c r="S735" s="301">
        <v>0</v>
      </c>
      <c r="T735" s="301">
        <v>0</v>
      </c>
      <c r="U735" s="301">
        <v>0</v>
      </c>
      <c r="V735" s="301">
        <v>0</v>
      </c>
      <c r="W735" s="301">
        <v>0</v>
      </c>
      <c r="X735" s="301">
        <v>0</v>
      </c>
      <c r="Y735" s="301">
        <v>0</v>
      </c>
      <c r="Z735" s="301">
        <v>0</v>
      </c>
      <c r="AA735" s="301">
        <v>0</v>
      </c>
      <c r="AB735" s="303">
        <v>2020</v>
      </c>
    </row>
    <row r="736" spans="1:28" ht="35.25" customHeight="1" x14ac:dyDescent="0.5">
      <c r="A736">
        <v>1</v>
      </c>
      <c r="B736" s="80">
        <f>SUBTOTAL(103,$A$9:A736)</f>
        <v>708</v>
      </c>
      <c r="C736" s="300" t="s">
        <v>2448</v>
      </c>
      <c r="D736" s="296">
        <f t="shared" si="26"/>
        <v>334400</v>
      </c>
      <c r="E736" s="301">
        <v>0</v>
      </c>
      <c r="F736" s="301">
        <v>0</v>
      </c>
      <c r="G736" s="301">
        <v>0</v>
      </c>
      <c r="H736" s="301">
        <v>0</v>
      </c>
      <c r="I736" s="301">
        <v>0</v>
      </c>
      <c r="J736" s="301">
        <v>0</v>
      </c>
      <c r="K736" s="302">
        <v>0</v>
      </c>
      <c r="L736" s="301">
        <v>0</v>
      </c>
      <c r="M736" s="301">
        <v>0</v>
      </c>
      <c r="N736" s="301">
        <v>0</v>
      </c>
      <c r="O736" s="301">
        <v>334400</v>
      </c>
      <c r="P736" s="301">
        <v>0</v>
      </c>
      <c r="Q736" s="301">
        <v>0</v>
      </c>
      <c r="R736" s="301">
        <v>0</v>
      </c>
      <c r="S736" s="301">
        <v>0</v>
      </c>
      <c r="T736" s="301">
        <v>0</v>
      </c>
      <c r="U736" s="301">
        <v>0</v>
      </c>
      <c r="V736" s="301">
        <v>0</v>
      </c>
      <c r="W736" s="301">
        <v>0</v>
      </c>
      <c r="X736" s="301">
        <v>0</v>
      </c>
      <c r="Y736" s="301">
        <v>0</v>
      </c>
      <c r="Z736" s="301">
        <v>0</v>
      </c>
      <c r="AA736" s="301">
        <v>0</v>
      </c>
      <c r="AB736" s="303">
        <v>2020</v>
      </c>
    </row>
    <row r="737" spans="1:28" ht="35.25" customHeight="1" x14ac:dyDescent="0.5">
      <c r="A737">
        <v>1</v>
      </c>
      <c r="B737" s="80">
        <f>SUBTOTAL(103,$A$9:A737)</f>
        <v>709</v>
      </c>
      <c r="C737" s="300" t="s">
        <v>2449</v>
      </c>
      <c r="D737" s="296">
        <f t="shared" si="26"/>
        <v>549603</v>
      </c>
      <c r="E737" s="301">
        <v>0</v>
      </c>
      <c r="F737" s="301">
        <v>0</v>
      </c>
      <c r="G737" s="301">
        <v>0</v>
      </c>
      <c r="H737" s="301">
        <v>0</v>
      </c>
      <c r="I737" s="301">
        <v>0</v>
      </c>
      <c r="J737" s="301">
        <v>0</v>
      </c>
      <c r="K737" s="302">
        <v>0</v>
      </c>
      <c r="L737" s="301">
        <v>0</v>
      </c>
      <c r="M737" s="301">
        <v>0</v>
      </c>
      <c r="N737" s="301">
        <v>0</v>
      </c>
      <c r="O737" s="301">
        <v>549603</v>
      </c>
      <c r="P737" s="301">
        <v>0</v>
      </c>
      <c r="Q737" s="301">
        <v>0</v>
      </c>
      <c r="R737" s="301">
        <v>0</v>
      </c>
      <c r="S737" s="301">
        <v>0</v>
      </c>
      <c r="T737" s="301">
        <v>0</v>
      </c>
      <c r="U737" s="301">
        <v>0</v>
      </c>
      <c r="V737" s="301">
        <v>0</v>
      </c>
      <c r="W737" s="301">
        <v>0</v>
      </c>
      <c r="X737" s="301">
        <v>0</v>
      </c>
      <c r="Y737" s="301">
        <v>0</v>
      </c>
      <c r="Z737" s="301">
        <v>0</v>
      </c>
      <c r="AA737" s="301">
        <v>0</v>
      </c>
      <c r="AB737" s="303">
        <v>2020</v>
      </c>
    </row>
    <row r="738" spans="1:28" ht="35.25" customHeight="1" x14ac:dyDescent="0.5">
      <c r="A738">
        <v>1</v>
      </c>
      <c r="B738" s="80">
        <f>SUBTOTAL(103,$A$9:A738)</f>
        <v>710</v>
      </c>
      <c r="C738" s="300" t="s">
        <v>2450</v>
      </c>
      <c r="D738" s="296">
        <f t="shared" si="26"/>
        <v>500400</v>
      </c>
      <c r="E738" s="301">
        <v>0</v>
      </c>
      <c r="F738" s="301">
        <v>0</v>
      </c>
      <c r="G738" s="301">
        <v>0</v>
      </c>
      <c r="H738" s="301">
        <v>0</v>
      </c>
      <c r="I738" s="301">
        <v>0</v>
      </c>
      <c r="J738" s="301">
        <v>0</v>
      </c>
      <c r="K738" s="302">
        <v>0</v>
      </c>
      <c r="L738" s="301">
        <v>0</v>
      </c>
      <c r="M738" s="301">
        <v>0</v>
      </c>
      <c r="N738" s="301">
        <v>0</v>
      </c>
      <c r="O738" s="301">
        <v>500400</v>
      </c>
      <c r="P738" s="301">
        <v>0</v>
      </c>
      <c r="Q738" s="301">
        <v>0</v>
      </c>
      <c r="R738" s="301">
        <v>0</v>
      </c>
      <c r="S738" s="301">
        <v>0</v>
      </c>
      <c r="T738" s="301">
        <v>0</v>
      </c>
      <c r="U738" s="301">
        <v>0</v>
      </c>
      <c r="V738" s="301">
        <v>0</v>
      </c>
      <c r="W738" s="301">
        <v>0</v>
      </c>
      <c r="X738" s="301">
        <v>0</v>
      </c>
      <c r="Y738" s="301">
        <v>0</v>
      </c>
      <c r="Z738" s="301">
        <v>0</v>
      </c>
      <c r="AA738" s="301">
        <v>0</v>
      </c>
      <c r="AB738" s="303">
        <v>2020</v>
      </c>
    </row>
    <row r="739" spans="1:28" ht="35.25" customHeight="1" x14ac:dyDescent="0.5">
      <c r="A739">
        <v>1</v>
      </c>
      <c r="B739" s="80">
        <f>SUBTOTAL(103,$A$9:A739)</f>
        <v>711</v>
      </c>
      <c r="C739" s="300" t="s">
        <v>2451</v>
      </c>
      <c r="D739" s="296">
        <f t="shared" si="26"/>
        <v>44789.7</v>
      </c>
      <c r="E739" s="301">
        <v>0</v>
      </c>
      <c r="F739" s="301">
        <v>0</v>
      </c>
      <c r="G739" s="301">
        <v>0</v>
      </c>
      <c r="H739" s="301">
        <v>0</v>
      </c>
      <c r="I739" s="301">
        <v>44789.7</v>
      </c>
      <c r="J739" s="301">
        <v>0</v>
      </c>
      <c r="K739" s="302">
        <v>0</v>
      </c>
      <c r="L739" s="301">
        <v>0</v>
      </c>
      <c r="M739" s="301">
        <v>0</v>
      </c>
      <c r="N739" s="301">
        <v>0</v>
      </c>
      <c r="O739" s="301">
        <v>0</v>
      </c>
      <c r="P739" s="301">
        <v>0</v>
      </c>
      <c r="Q739" s="301">
        <v>0</v>
      </c>
      <c r="R739" s="301">
        <v>0</v>
      </c>
      <c r="S739" s="301">
        <v>0</v>
      </c>
      <c r="T739" s="301">
        <v>0</v>
      </c>
      <c r="U739" s="301">
        <v>0</v>
      </c>
      <c r="V739" s="301">
        <v>0</v>
      </c>
      <c r="W739" s="301">
        <v>0</v>
      </c>
      <c r="X739" s="301">
        <v>0</v>
      </c>
      <c r="Y739" s="301">
        <v>0</v>
      </c>
      <c r="Z739" s="301">
        <v>0</v>
      </c>
      <c r="AA739" s="301">
        <v>0</v>
      </c>
      <c r="AB739" s="303">
        <v>2020</v>
      </c>
    </row>
    <row r="740" spans="1:28" ht="35.25" customHeight="1" x14ac:dyDescent="0.5">
      <c r="A740">
        <v>1</v>
      </c>
      <c r="B740" s="80">
        <f>SUBTOTAL(103,$A$9:A740)</f>
        <v>712</v>
      </c>
      <c r="C740" s="300" t="s">
        <v>2100</v>
      </c>
      <c r="D740" s="296">
        <f t="shared" si="26"/>
        <v>851863.79</v>
      </c>
      <c r="E740" s="301">
        <v>0</v>
      </c>
      <c r="F740" s="301">
        <v>0</v>
      </c>
      <c r="G740" s="301">
        <v>0</v>
      </c>
      <c r="H740" s="301">
        <v>0</v>
      </c>
      <c r="I740" s="301">
        <v>0</v>
      </c>
      <c r="J740" s="301">
        <v>0</v>
      </c>
      <c r="K740" s="302">
        <v>0</v>
      </c>
      <c r="L740" s="301">
        <v>0</v>
      </c>
      <c r="M740" s="301">
        <v>0</v>
      </c>
      <c r="N740" s="301">
        <v>0</v>
      </c>
      <c r="O740" s="301">
        <v>851863.79</v>
      </c>
      <c r="P740" s="301">
        <v>0</v>
      </c>
      <c r="Q740" s="301">
        <v>0</v>
      </c>
      <c r="R740" s="301">
        <v>0</v>
      </c>
      <c r="S740" s="301">
        <v>0</v>
      </c>
      <c r="T740" s="301">
        <v>0</v>
      </c>
      <c r="U740" s="301">
        <v>0</v>
      </c>
      <c r="V740" s="301">
        <v>0</v>
      </c>
      <c r="W740" s="301">
        <v>0</v>
      </c>
      <c r="X740" s="301">
        <v>0</v>
      </c>
      <c r="Y740" s="301">
        <v>0</v>
      </c>
      <c r="Z740" s="301">
        <v>0</v>
      </c>
      <c r="AA740" s="301">
        <v>0</v>
      </c>
      <c r="AB740" s="303">
        <v>2020</v>
      </c>
    </row>
    <row r="741" spans="1:28" ht="35.25" customHeight="1" x14ac:dyDescent="0.5">
      <c r="A741">
        <v>1</v>
      </c>
      <c r="B741" s="80">
        <f>SUBTOTAL(103,$A$9:A741)</f>
        <v>713</v>
      </c>
      <c r="C741" s="300" t="s">
        <v>2101</v>
      </c>
      <c r="D741" s="296">
        <f t="shared" si="26"/>
        <v>1228623</v>
      </c>
      <c r="E741" s="301">
        <v>0</v>
      </c>
      <c r="F741" s="301">
        <v>0</v>
      </c>
      <c r="G741" s="301">
        <v>979023</v>
      </c>
      <c r="H741" s="301">
        <v>0</v>
      </c>
      <c r="I741" s="301">
        <v>0</v>
      </c>
      <c r="J741" s="301">
        <v>0</v>
      </c>
      <c r="K741" s="302">
        <v>0</v>
      </c>
      <c r="L741" s="301">
        <v>0</v>
      </c>
      <c r="M741" s="301">
        <v>0</v>
      </c>
      <c r="N741" s="301">
        <v>0</v>
      </c>
      <c r="O741" s="301">
        <v>249600</v>
      </c>
      <c r="P741" s="301">
        <v>0</v>
      </c>
      <c r="Q741" s="301">
        <v>0</v>
      </c>
      <c r="R741" s="301">
        <v>0</v>
      </c>
      <c r="S741" s="301">
        <v>0</v>
      </c>
      <c r="T741" s="301">
        <v>0</v>
      </c>
      <c r="U741" s="301">
        <v>0</v>
      </c>
      <c r="V741" s="301">
        <v>0</v>
      </c>
      <c r="W741" s="301">
        <v>0</v>
      </c>
      <c r="X741" s="301">
        <v>0</v>
      </c>
      <c r="Y741" s="301">
        <v>0</v>
      </c>
      <c r="Z741" s="301">
        <v>0</v>
      </c>
      <c r="AA741" s="301">
        <v>0</v>
      </c>
      <c r="AB741" s="303">
        <v>2020</v>
      </c>
    </row>
    <row r="742" spans="1:28" ht="35.25" customHeight="1" x14ac:dyDescent="0.5">
      <c r="A742">
        <v>1</v>
      </c>
      <c r="B742" s="80">
        <f>SUBTOTAL(103,$A$9:A742)</f>
        <v>714</v>
      </c>
      <c r="C742" s="300" t="s">
        <v>2102</v>
      </c>
      <c r="D742" s="296">
        <f t="shared" si="26"/>
        <v>798318</v>
      </c>
      <c r="E742" s="301">
        <v>0</v>
      </c>
      <c r="F742" s="301">
        <v>0</v>
      </c>
      <c r="G742" s="301">
        <v>0</v>
      </c>
      <c r="H742" s="301">
        <v>0</v>
      </c>
      <c r="I742" s="301">
        <v>0</v>
      </c>
      <c r="J742" s="301">
        <v>0</v>
      </c>
      <c r="K742" s="302">
        <v>0</v>
      </c>
      <c r="L742" s="301">
        <v>0</v>
      </c>
      <c r="M742" s="301">
        <v>0</v>
      </c>
      <c r="N742" s="301">
        <v>0</v>
      </c>
      <c r="O742" s="301">
        <v>798318</v>
      </c>
      <c r="P742" s="301">
        <v>0</v>
      </c>
      <c r="Q742" s="301">
        <v>0</v>
      </c>
      <c r="R742" s="301">
        <v>0</v>
      </c>
      <c r="S742" s="301">
        <v>0</v>
      </c>
      <c r="T742" s="301">
        <v>0</v>
      </c>
      <c r="U742" s="301">
        <v>0</v>
      </c>
      <c r="V742" s="301">
        <v>0</v>
      </c>
      <c r="W742" s="301">
        <v>0</v>
      </c>
      <c r="X742" s="301">
        <v>0</v>
      </c>
      <c r="Y742" s="301">
        <v>0</v>
      </c>
      <c r="Z742" s="301">
        <v>0</v>
      </c>
      <c r="AA742" s="301">
        <v>0</v>
      </c>
      <c r="AB742" s="303">
        <v>2020</v>
      </c>
    </row>
    <row r="743" spans="1:28" ht="35.25" customHeight="1" x14ac:dyDescent="0.5">
      <c r="A743">
        <v>1</v>
      </c>
      <c r="B743" s="80">
        <f>SUBTOTAL(103,$A$9:A743)</f>
        <v>715</v>
      </c>
      <c r="C743" s="300" t="s">
        <v>1750</v>
      </c>
      <c r="D743" s="296">
        <f t="shared" si="26"/>
        <v>61000</v>
      </c>
      <c r="E743" s="301">
        <v>0</v>
      </c>
      <c r="F743" s="301">
        <v>0</v>
      </c>
      <c r="G743" s="301">
        <v>0</v>
      </c>
      <c r="H743" s="301">
        <v>0</v>
      </c>
      <c r="I743" s="301">
        <v>0</v>
      </c>
      <c r="J743" s="301">
        <v>0</v>
      </c>
      <c r="K743" s="302">
        <v>0</v>
      </c>
      <c r="L743" s="301">
        <v>0</v>
      </c>
      <c r="M743" s="301">
        <v>0</v>
      </c>
      <c r="N743" s="301">
        <v>0</v>
      </c>
      <c r="O743" s="301">
        <v>61000</v>
      </c>
      <c r="P743" s="301">
        <v>0</v>
      </c>
      <c r="Q743" s="301">
        <v>0</v>
      </c>
      <c r="R743" s="301">
        <v>0</v>
      </c>
      <c r="S743" s="301">
        <v>0</v>
      </c>
      <c r="T743" s="301">
        <v>0</v>
      </c>
      <c r="U743" s="301">
        <v>0</v>
      </c>
      <c r="V743" s="301">
        <v>0</v>
      </c>
      <c r="W743" s="301">
        <v>0</v>
      </c>
      <c r="X743" s="301">
        <v>0</v>
      </c>
      <c r="Y743" s="301">
        <v>0</v>
      </c>
      <c r="Z743" s="301">
        <v>0</v>
      </c>
      <c r="AA743" s="301">
        <v>0</v>
      </c>
      <c r="AB743" s="303">
        <v>2020</v>
      </c>
    </row>
    <row r="744" spans="1:28" ht="35.25" customHeight="1" x14ac:dyDescent="0.5">
      <c r="A744">
        <v>1</v>
      </c>
      <c r="B744" s="80">
        <f>SUBTOTAL(103,$A$9:A744)</f>
        <v>716</v>
      </c>
      <c r="C744" s="300" t="s">
        <v>1751</v>
      </c>
      <c r="D744" s="296">
        <f t="shared" si="26"/>
        <v>44000</v>
      </c>
      <c r="E744" s="301">
        <v>0</v>
      </c>
      <c r="F744" s="301">
        <v>0</v>
      </c>
      <c r="G744" s="301">
        <v>0</v>
      </c>
      <c r="H744" s="301">
        <v>0</v>
      </c>
      <c r="I744" s="301">
        <v>0</v>
      </c>
      <c r="J744" s="301">
        <v>0</v>
      </c>
      <c r="K744" s="302">
        <v>0</v>
      </c>
      <c r="L744" s="301">
        <v>0</v>
      </c>
      <c r="M744" s="301">
        <v>0</v>
      </c>
      <c r="N744" s="301">
        <v>0</v>
      </c>
      <c r="O744" s="301">
        <v>44000</v>
      </c>
      <c r="P744" s="301">
        <v>0</v>
      </c>
      <c r="Q744" s="301">
        <v>0</v>
      </c>
      <c r="R744" s="301">
        <v>0</v>
      </c>
      <c r="S744" s="301">
        <v>0</v>
      </c>
      <c r="T744" s="301">
        <v>0</v>
      </c>
      <c r="U744" s="301">
        <v>0</v>
      </c>
      <c r="V744" s="301">
        <v>0</v>
      </c>
      <c r="W744" s="301">
        <v>0</v>
      </c>
      <c r="X744" s="301">
        <v>0</v>
      </c>
      <c r="Y744" s="301">
        <v>0</v>
      </c>
      <c r="Z744" s="301">
        <v>0</v>
      </c>
      <c r="AA744" s="301">
        <v>0</v>
      </c>
      <c r="AB744" s="303">
        <v>2020</v>
      </c>
    </row>
    <row r="745" spans="1:28" ht="35.25" customHeight="1" x14ac:dyDescent="0.5">
      <c r="A745">
        <v>1</v>
      </c>
      <c r="B745" s="80">
        <f>SUBTOTAL(103,$A$9:A745)</f>
        <v>717</v>
      </c>
      <c r="C745" s="300" t="s">
        <v>1752</v>
      </c>
      <c r="D745" s="296">
        <f t="shared" si="26"/>
        <v>44000</v>
      </c>
      <c r="E745" s="301">
        <v>0</v>
      </c>
      <c r="F745" s="301">
        <v>0</v>
      </c>
      <c r="G745" s="301">
        <v>0</v>
      </c>
      <c r="H745" s="301">
        <v>0</v>
      </c>
      <c r="I745" s="301">
        <v>0</v>
      </c>
      <c r="J745" s="301">
        <v>0</v>
      </c>
      <c r="K745" s="302">
        <v>0</v>
      </c>
      <c r="L745" s="301">
        <v>0</v>
      </c>
      <c r="M745" s="301">
        <v>0</v>
      </c>
      <c r="N745" s="301">
        <v>0</v>
      </c>
      <c r="O745" s="301">
        <v>44000</v>
      </c>
      <c r="P745" s="301">
        <v>0</v>
      </c>
      <c r="Q745" s="301">
        <v>0</v>
      </c>
      <c r="R745" s="301">
        <v>0</v>
      </c>
      <c r="S745" s="301">
        <v>0</v>
      </c>
      <c r="T745" s="301">
        <v>0</v>
      </c>
      <c r="U745" s="301">
        <v>0</v>
      </c>
      <c r="V745" s="301">
        <v>0</v>
      </c>
      <c r="W745" s="301">
        <v>0</v>
      </c>
      <c r="X745" s="301">
        <v>0</v>
      </c>
      <c r="Y745" s="301">
        <v>0</v>
      </c>
      <c r="Z745" s="301">
        <v>0</v>
      </c>
      <c r="AA745" s="301">
        <v>0</v>
      </c>
      <c r="AB745" s="303">
        <v>2020</v>
      </c>
    </row>
    <row r="746" spans="1:28" ht="35.25" customHeight="1" x14ac:dyDescent="0.5">
      <c r="A746">
        <v>1</v>
      </c>
      <c r="B746" s="80">
        <f>SUBTOTAL(103,$A$9:A746)</f>
        <v>718</v>
      </c>
      <c r="C746" s="300" t="s">
        <v>2103</v>
      </c>
      <c r="D746" s="296">
        <f t="shared" si="26"/>
        <v>999369</v>
      </c>
      <c r="E746" s="301">
        <v>117654</v>
      </c>
      <c r="F746" s="301">
        <v>0</v>
      </c>
      <c r="G746" s="301">
        <v>0</v>
      </c>
      <c r="H746" s="301">
        <v>0</v>
      </c>
      <c r="I746" s="301">
        <v>0</v>
      </c>
      <c r="J746" s="301">
        <v>0</v>
      </c>
      <c r="K746" s="302">
        <v>0</v>
      </c>
      <c r="L746" s="301">
        <v>0</v>
      </c>
      <c r="M746" s="301">
        <v>0</v>
      </c>
      <c r="N746" s="301">
        <v>0</v>
      </c>
      <c r="O746" s="301">
        <v>881715</v>
      </c>
      <c r="P746" s="301">
        <v>0</v>
      </c>
      <c r="Q746" s="301">
        <v>0</v>
      </c>
      <c r="R746" s="301">
        <v>0</v>
      </c>
      <c r="S746" s="301">
        <v>0</v>
      </c>
      <c r="T746" s="301">
        <v>0</v>
      </c>
      <c r="U746" s="301">
        <v>0</v>
      </c>
      <c r="V746" s="301">
        <v>0</v>
      </c>
      <c r="W746" s="301">
        <v>0</v>
      </c>
      <c r="X746" s="301">
        <v>0</v>
      </c>
      <c r="Y746" s="301">
        <v>0</v>
      </c>
      <c r="Z746" s="301">
        <v>0</v>
      </c>
      <c r="AA746" s="301">
        <v>0</v>
      </c>
      <c r="AB746" s="303">
        <v>2020</v>
      </c>
    </row>
    <row r="747" spans="1:28" ht="35.25" customHeight="1" x14ac:dyDescent="0.5">
      <c r="B747" s="299" t="s">
        <v>797</v>
      </c>
      <c r="C747" s="300"/>
      <c r="D747" s="296">
        <f t="shared" si="26"/>
        <v>10495265</v>
      </c>
      <c r="E747" s="296">
        <f t="shared" ref="E747:AA747" si="34">SUM(E748:E755)</f>
        <v>0</v>
      </c>
      <c r="F747" s="296">
        <f t="shared" si="34"/>
        <v>0</v>
      </c>
      <c r="G747" s="296">
        <f t="shared" si="34"/>
        <v>0</v>
      </c>
      <c r="H747" s="296">
        <f t="shared" si="34"/>
        <v>0</v>
      </c>
      <c r="I747" s="296">
        <f t="shared" si="34"/>
        <v>941331</v>
      </c>
      <c r="J747" s="296">
        <f t="shared" si="34"/>
        <v>0</v>
      </c>
      <c r="K747" s="297">
        <f t="shared" si="34"/>
        <v>0</v>
      </c>
      <c r="L747" s="296">
        <f t="shared" si="34"/>
        <v>0</v>
      </c>
      <c r="M747" s="296">
        <f t="shared" si="34"/>
        <v>3080898</v>
      </c>
      <c r="N747" s="296">
        <f t="shared" si="34"/>
        <v>2689388</v>
      </c>
      <c r="O747" s="296">
        <f t="shared" si="34"/>
        <v>3783648</v>
      </c>
      <c r="P747" s="296">
        <f t="shared" si="34"/>
        <v>0</v>
      </c>
      <c r="Q747" s="296">
        <f t="shared" si="34"/>
        <v>0</v>
      </c>
      <c r="R747" s="296">
        <f t="shared" si="34"/>
        <v>0</v>
      </c>
      <c r="S747" s="296">
        <f t="shared" si="34"/>
        <v>0</v>
      </c>
      <c r="T747" s="296">
        <f t="shared" si="34"/>
        <v>0</v>
      </c>
      <c r="U747" s="296">
        <f t="shared" si="34"/>
        <v>0</v>
      </c>
      <c r="V747" s="296">
        <f t="shared" si="34"/>
        <v>0</v>
      </c>
      <c r="W747" s="296">
        <f t="shared" si="34"/>
        <v>0</v>
      </c>
      <c r="X747" s="296">
        <f t="shared" si="34"/>
        <v>0</v>
      </c>
      <c r="Y747" s="296">
        <f t="shared" si="34"/>
        <v>0</v>
      </c>
      <c r="Z747" s="296">
        <f t="shared" si="34"/>
        <v>0</v>
      </c>
      <c r="AA747" s="296">
        <f t="shared" si="34"/>
        <v>0</v>
      </c>
      <c r="AB747" s="298" t="s">
        <v>835</v>
      </c>
    </row>
    <row r="748" spans="1:28" ht="35.25" customHeight="1" x14ac:dyDescent="0.5">
      <c r="A748">
        <v>1</v>
      </c>
      <c r="B748" s="80">
        <f>SUBTOTAL(103,$A$9:A748)</f>
        <v>719</v>
      </c>
      <c r="C748" s="300" t="s">
        <v>2104</v>
      </c>
      <c r="D748" s="296">
        <f t="shared" si="26"/>
        <v>1531213</v>
      </c>
      <c r="E748" s="301">
        <v>0</v>
      </c>
      <c r="F748" s="301">
        <v>0</v>
      </c>
      <c r="G748" s="301">
        <v>0</v>
      </c>
      <c r="H748" s="301">
        <v>0</v>
      </c>
      <c r="I748" s="301">
        <v>0</v>
      </c>
      <c r="J748" s="301">
        <v>0</v>
      </c>
      <c r="K748" s="302">
        <v>0</v>
      </c>
      <c r="L748" s="301">
        <v>0</v>
      </c>
      <c r="M748" s="301">
        <v>1531213</v>
      </c>
      <c r="N748" s="301">
        <v>0</v>
      </c>
      <c r="O748" s="301">
        <v>0</v>
      </c>
      <c r="P748" s="301">
        <v>0</v>
      </c>
      <c r="Q748" s="301">
        <v>0</v>
      </c>
      <c r="R748" s="301">
        <v>0</v>
      </c>
      <c r="S748" s="301">
        <v>0</v>
      </c>
      <c r="T748" s="301">
        <v>0</v>
      </c>
      <c r="U748" s="301">
        <v>0</v>
      </c>
      <c r="V748" s="301">
        <v>0</v>
      </c>
      <c r="W748" s="301">
        <v>0</v>
      </c>
      <c r="X748" s="301">
        <v>0</v>
      </c>
      <c r="Y748" s="301">
        <v>0</v>
      </c>
      <c r="Z748" s="301">
        <v>0</v>
      </c>
      <c r="AA748" s="301">
        <v>0</v>
      </c>
      <c r="AB748" s="303">
        <v>2020</v>
      </c>
    </row>
    <row r="749" spans="1:28" ht="35.25" customHeight="1" x14ac:dyDescent="0.5">
      <c r="A749">
        <v>1</v>
      </c>
      <c r="B749" s="80">
        <f>SUBTOTAL(103,$A$9:A749)</f>
        <v>720</v>
      </c>
      <c r="C749" s="300" t="s">
        <v>2105</v>
      </c>
      <c r="D749" s="296">
        <f t="shared" si="26"/>
        <v>800005</v>
      </c>
      <c r="E749" s="301">
        <v>0</v>
      </c>
      <c r="F749" s="301">
        <v>0</v>
      </c>
      <c r="G749" s="301">
        <v>0</v>
      </c>
      <c r="H749" s="301">
        <v>0</v>
      </c>
      <c r="I749" s="301">
        <v>0</v>
      </c>
      <c r="J749" s="301">
        <v>0</v>
      </c>
      <c r="K749" s="302">
        <v>0</v>
      </c>
      <c r="L749" s="301">
        <v>0</v>
      </c>
      <c r="M749" s="301">
        <v>0</v>
      </c>
      <c r="N749" s="301">
        <v>0</v>
      </c>
      <c r="O749" s="301">
        <v>800005</v>
      </c>
      <c r="P749" s="301">
        <v>0</v>
      </c>
      <c r="Q749" s="301">
        <v>0</v>
      </c>
      <c r="R749" s="301">
        <v>0</v>
      </c>
      <c r="S749" s="301">
        <v>0</v>
      </c>
      <c r="T749" s="301">
        <v>0</v>
      </c>
      <c r="U749" s="301">
        <v>0</v>
      </c>
      <c r="V749" s="301">
        <v>0</v>
      </c>
      <c r="W749" s="301">
        <v>0</v>
      </c>
      <c r="X749" s="301">
        <v>0</v>
      </c>
      <c r="Y749" s="301">
        <v>0</v>
      </c>
      <c r="Z749" s="301">
        <v>0</v>
      </c>
      <c r="AA749" s="301">
        <v>0</v>
      </c>
      <c r="AB749" s="303">
        <v>2020</v>
      </c>
    </row>
    <row r="750" spans="1:28" ht="35.25" customHeight="1" x14ac:dyDescent="0.5">
      <c r="A750">
        <v>1</v>
      </c>
      <c r="B750" s="80">
        <f>SUBTOTAL(103,$A$9:A750)</f>
        <v>721</v>
      </c>
      <c r="C750" s="300" t="s">
        <v>2452</v>
      </c>
      <c r="D750" s="296">
        <f t="shared" si="26"/>
        <v>2240000</v>
      </c>
      <c r="E750" s="301">
        <v>0</v>
      </c>
      <c r="F750" s="301">
        <v>0</v>
      </c>
      <c r="G750" s="301">
        <v>0</v>
      </c>
      <c r="H750" s="301">
        <v>0</v>
      </c>
      <c r="I750" s="301">
        <v>0</v>
      </c>
      <c r="J750" s="301">
        <v>0</v>
      </c>
      <c r="K750" s="302">
        <v>0</v>
      </c>
      <c r="L750" s="301">
        <v>0</v>
      </c>
      <c r="M750" s="301">
        <v>0</v>
      </c>
      <c r="N750" s="301">
        <v>1439388</v>
      </c>
      <c r="O750" s="301">
        <v>800612</v>
      </c>
      <c r="P750" s="301">
        <v>0</v>
      </c>
      <c r="Q750" s="301">
        <v>0</v>
      </c>
      <c r="R750" s="301">
        <v>0</v>
      </c>
      <c r="S750" s="301">
        <v>0</v>
      </c>
      <c r="T750" s="301">
        <v>0</v>
      </c>
      <c r="U750" s="301">
        <v>0</v>
      </c>
      <c r="V750" s="301">
        <v>0</v>
      </c>
      <c r="W750" s="301">
        <v>0</v>
      </c>
      <c r="X750" s="301">
        <v>0</v>
      </c>
      <c r="Y750" s="301">
        <v>0</v>
      </c>
      <c r="Z750" s="301">
        <v>0</v>
      </c>
      <c r="AA750" s="301">
        <v>0</v>
      </c>
      <c r="AB750" s="303">
        <v>2020</v>
      </c>
    </row>
    <row r="751" spans="1:28" ht="35.25" customHeight="1" x14ac:dyDescent="0.5">
      <c r="A751">
        <v>1</v>
      </c>
      <c r="B751" s="80">
        <f>SUBTOTAL(103,$A$9:A751)</f>
        <v>722</v>
      </c>
      <c r="C751" s="300" t="s">
        <v>2453</v>
      </c>
      <c r="D751" s="296">
        <f t="shared" si="26"/>
        <v>1823014</v>
      </c>
      <c r="E751" s="301">
        <v>0</v>
      </c>
      <c r="F751" s="301">
        <v>0</v>
      </c>
      <c r="G751" s="301">
        <v>0</v>
      </c>
      <c r="H751" s="301">
        <v>0</v>
      </c>
      <c r="I751" s="301">
        <v>573014</v>
      </c>
      <c r="J751" s="301">
        <v>0</v>
      </c>
      <c r="K751" s="302">
        <v>0</v>
      </c>
      <c r="L751" s="301">
        <v>0</v>
      </c>
      <c r="M751" s="301">
        <v>0</v>
      </c>
      <c r="N751" s="301">
        <v>1250000</v>
      </c>
      <c r="O751" s="301">
        <v>0</v>
      </c>
      <c r="P751" s="301">
        <v>0</v>
      </c>
      <c r="Q751" s="301">
        <v>0</v>
      </c>
      <c r="R751" s="301">
        <v>0</v>
      </c>
      <c r="S751" s="301">
        <v>0</v>
      </c>
      <c r="T751" s="301">
        <v>0</v>
      </c>
      <c r="U751" s="301">
        <v>0</v>
      </c>
      <c r="V751" s="301">
        <v>0</v>
      </c>
      <c r="W751" s="301">
        <v>0</v>
      </c>
      <c r="X751" s="301">
        <v>0</v>
      </c>
      <c r="Y751" s="301">
        <v>0</v>
      </c>
      <c r="Z751" s="301">
        <v>0</v>
      </c>
      <c r="AA751" s="301">
        <v>0</v>
      </c>
      <c r="AB751" s="303">
        <v>2020</v>
      </c>
    </row>
    <row r="752" spans="1:28" ht="35.25" customHeight="1" x14ac:dyDescent="0.5">
      <c r="A752">
        <v>1</v>
      </c>
      <c r="B752" s="80">
        <f>SUBTOTAL(103,$A$9:A752)</f>
        <v>723</v>
      </c>
      <c r="C752" s="300" t="s">
        <v>2454</v>
      </c>
      <c r="D752" s="296">
        <f t="shared" si="26"/>
        <v>1885685</v>
      </c>
      <c r="E752" s="301">
        <v>0</v>
      </c>
      <c r="F752" s="301">
        <v>0</v>
      </c>
      <c r="G752" s="301">
        <v>0</v>
      </c>
      <c r="H752" s="301">
        <v>0</v>
      </c>
      <c r="I752" s="301">
        <v>0</v>
      </c>
      <c r="J752" s="301">
        <v>0</v>
      </c>
      <c r="K752" s="302">
        <v>0</v>
      </c>
      <c r="L752" s="301">
        <v>0</v>
      </c>
      <c r="M752" s="301">
        <v>1549685</v>
      </c>
      <c r="N752" s="301">
        <v>0</v>
      </c>
      <c r="O752" s="301">
        <v>336000</v>
      </c>
      <c r="P752" s="301">
        <v>0</v>
      </c>
      <c r="Q752" s="301">
        <v>0</v>
      </c>
      <c r="R752" s="301">
        <v>0</v>
      </c>
      <c r="S752" s="301">
        <v>0</v>
      </c>
      <c r="T752" s="301">
        <v>0</v>
      </c>
      <c r="U752" s="301">
        <v>0</v>
      </c>
      <c r="V752" s="301">
        <v>0</v>
      </c>
      <c r="W752" s="301">
        <v>0</v>
      </c>
      <c r="X752" s="301">
        <v>0</v>
      </c>
      <c r="Y752" s="301">
        <v>0</v>
      </c>
      <c r="Z752" s="301">
        <v>0</v>
      </c>
      <c r="AA752" s="301">
        <v>0</v>
      </c>
      <c r="AB752" s="303">
        <v>2020</v>
      </c>
    </row>
    <row r="753" spans="1:28" ht="35.25" customHeight="1" x14ac:dyDescent="0.5">
      <c r="A753">
        <v>1</v>
      </c>
      <c r="B753" s="80">
        <f>SUBTOTAL(103,$A$9:A753)</f>
        <v>724</v>
      </c>
      <c r="C753" s="300" t="s">
        <v>2455</v>
      </c>
      <c r="D753" s="296">
        <f t="shared" si="26"/>
        <v>953170</v>
      </c>
      <c r="E753" s="301">
        <v>0</v>
      </c>
      <c r="F753" s="301">
        <v>0</v>
      </c>
      <c r="G753" s="301">
        <v>0</v>
      </c>
      <c r="H753" s="301">
        <v>0</v>
      </c>
      <c r="I753" s="301">
        <v>0</v>
      </c>
      <c r="J753" s="301">
        <v>0</v>
      </c>
      <c r="K753" s="302">
        <v>0</v>
      </c>
      <c r="L753" s="301">
        <v>0</v>
      </c>
      <c r="M753" s="301">
        <v>0</v>
      </c>
      <c r="N753" s="301">
        <v>0</v>
      </c>
      <c r="O753" s="301">
        <v>953170</v>
      </c>
      <c r="P753" s="301">
        <v>0</v>
      </c>
      <c r="Q753" s="301">
        <v>0</v>
      </c>
      <c r="R753" s="301">
        <v>0</v>
      </c>
      <c r="S753" s="301">
        <v>0</v>
      </c>
      <c r="T753" s="301">
        <v>0</v>
      </c>
      <c r="U753" s="301">
        <v>0</v>
      </c>
      <c r="V753" s="301">
        <v>0</v>
      </c>
      <c r="W753" s="301">
        <v>0</v>
      </c>
      <c r="X753" s="301">
        <v>0</v>
      </c>
      <c r="Y753" s="301">
        <v>0</v>
      </c>
      <c r="Z753" s="301">
        <v>0</v>
      </c>
      <c r="AA753" s="301">
        <v>0</v>
      </c>
      <c r="AB753" s="303">
        <v>2020</v>
      </c>
    </row>
    <row r="754" spans="1:28" ht="35.25" customHeight="1" x14ac:dyDescent="0.5">
      <c r="A754">
        <v>1</v>
      </c>
      <c r="B754" s="80">
        <f>SUBTOTAL(103,$A$9:A754)</f>
        <v>725</v>
      </c>
      <c r="C754" s="300" t="s">
        <v>1753</v>
      </c>
      <c r="D754" s="296">
        <f t="shared" si="26"/>
        <v>243861</v>
      </c>
      <c r="E754" s="301">
        <v>0</v>
      </c>
      <c r="F754" s="301">
        <v>0</v>
      </c>
      <c r="G754" s="301">
        <v>0</v>
      </c>
      <c r="H754" s="301">
        <v>0</v>
      </c>
      <c r="I754" s="301">
        <v>0</v>
      </c>
      <c r="J754" s="301">
        <v>0</v>
      </c>
      <c r="K754" s="302">
        <v>0</v>
      </c>
      <c r="L754" s="301">
        <v>0</v>
      </c>
      <c r="M754" s="301">
        <v>0</v>
      </c>
      <c r="N754" s="301">
        <v>0</v>
      </c>
      <c r="O754" s="301">
        <v>243861</v>
      </c>
      <c r="P754" s="301">
        <v>0</v>
      </c>
      <c r="Q754" s="301">
        <v>0</v>
      </c>
      <c r="R754" s="301">
        <v>0</v>
      </c>
      <c r="S754" s="301">
        <v>0</v>
      </c>
      <c r="T754" s="301">
        <v>0</v>
      </c>
      <c r="U754" s="301">
        <v>0</v>
      </c>
      <c r="V754" s="301">
        <v>0</v>
      </c>
      <c r="W754" s="301">
        <v>0</v>
      </c>
      <c r="X754" s="301">
        <v>0</v>
      </c>
      <c r="Y754" s="301">
        <v>0</v>
      </c>
      <c r="Z754" s="301">
        <v>0</v>
      </c>
      <c r="AA754" s="301">
        <v>0</v>
      </c>
      <c r="AB754" s="303">
        <v>2020</v>
      </c>
    </row>
    <row r="755" spans="1:28" ht="35.25" customHeight="1" x14ac:dyDescent="0.5">
      <c r="A755">
        <v>1</v>
      </c>
      <c r="B755" s="80">
        <f>SUBTOTAL(103,$A$9:A755)</f>
        <v>726</v>
      </c>
      <c r="C755" s="300" t="s">
        <v>2106</v>
      </c>
      <c r="D755" s="296">
        <f t="shared" si="26"/>
        <v>1018317</v>
      </c>
      <c r="E755" s="301">
        <v>0</v>
      </c>
      <c r="F755" s="301">
        <v>0</v>
      </c>
      <c r="G755" s="301">
        <v>0</v>
      </c>
      <c r="H755" s="301">
        <v>0</v>
      </c>
      <c r="I755" s="301">
        <v>368317</v>
      </c>
      <c r="J755" s="301">
        <v>0</v>
      </c>
      <c r="K755" s="302">
        <v>0</v>
      </c>
      <c r="L755" s="301">
        <v>0</v>
      </c>
      <c r="M755" s="301">
        <v>0</v>
      </c>
      <c r="N755" s="301">
        <v>0</v>
      </c>
      <c r="O755" s="301">
        <v>650000</v>
      </c>
      <c r="P755" s="301">
        <v>0</v>
      </c>
      <c r="Q755" s="301">
        <v>0</v>
      </c>
      <c r="R755" s="301">
        <v>0</v>
      </c>
      <c r="S755" s="301">
        <v>0</v>
      </c>
      <c r="T755" s="301">
        <v>0</v>
      </c>
      <c r="U755" s="301">
        <v>0</v>
      </c>
      <c r="V755" s="301">
        <v>0</v>
      </c>
      <c r="W755" s="301">
        <v>0</v>
      </c>
      <c r="X755" s="301">
        <v>0</v>
      </c>
      <c r="Y755" s="301">
        <v>0</v>
      </c>
      <c r="Z755" s="301">
        <v>0</v>
      </c>
      <c r="AA755" s="301">
        <v>0</v>
      </c>
      <c r="AB755" s="303">
        <v>2020</v>
      </c>
    </row>
    <row r="756" spans="1:28" ht="35.25" customHeight="1" x14ac:dyDescent="0.5">
      <c r="B756" s="299" t="s">
        <v>796</v>
      </c>
      <c r="C756" s="300"/>
      <c r="D756" s="296">
        <f t="shared" si="26"/>
        <v>11578317.719999999</v>
      </c>
      <c r="E756" s="296">
        <f t="shared" ref="E756:AA756" si="35">SUM(E757:E766)</f>
        <v>0</v>
      </c>
      <c r="F756" s="296">
        <f t="shared" si="35"/>
        <v>0</v>
      </c>
      <c r="G756" s="296">
        <f t="shared" si="35"/>
        <v>0</v>
      </c>
      <c r="H756" s="296">
        <f t="shared" si="35"/>
        <v>0</v>
      </c>
      <c r="I756" s="296">
        <f t="shared" si="35"/>
        <v>0</v>
      </c>
      <c r="J756" s="296">
        <f t="shared" si="35"/>
        <v>0</v>
      </c>
      <c r="K756" s="297">
        <f t="shared" si="35"/>
        <v>0</v>
      </c>
      <c r="L756" s="296">
        <f t="shared" si="35"/>
        <v>0</v>
      </c>
      <c r="M756" s="296">
        <f t="shared" si="35"/>
        <v>10028372.35</v>
      </c>
      <c r="N756" s="296">
        <f t="shared" si="35"/>
        <v>0</v>
      </c>
      <c r="O756" s="296">
        <f t="shared" si="35"/>
        <v>663650</v>
      </c>
      <c r="P756" s="296">
        <f t="shared" si="35"/>
        <v>886295.37</v>
      </c>
      <c r="Q756" s="296">
        <f t="shared" si="35"/>
        <v>0</v>
      </c>
      <c r="R756" s="296">
        <f t="shared" si="35"/>
        <v>0</v>
      </c>
      <c r="S756" s="296">
        <f t="shared" si="35"/>
        <v>0</v>
      </c>
      <c r="T756" s="296">
        <f t="shared" si="35"/>
        <v>0</v>
      </c>
      <c r="U756" s="296">
        <f t="shared" si="35"/>
        <v>0</v>
      </c>
      <c r="V756" s="296">
        <f t="shared" si="35"/>
        <v>0</v>
      </c>
      <c r="W756" s="296">
        <f t="shared" si="35"/>
        <v>0</v>
      </c>
      <c r="X756" s="296">
        <f t="shared" si="35"/>
        <v>0</v>
      </c>
      <c r="Y756" s="296">
        <f t="shared" si="35"/>
        <v>0</v>
      </c>
      <c r="Z756" s="296">
        <f t="shared" si="35"/>
        <v>0</v>
      </c>
      <c r="AA756" s="296">
        <f t="shared" si="35"/>
        <v>0</v>
      </c>
      <c r="AB756" s="298" t="s">
        <v>835</v>
      </c>
    </row>
    <row r="757" spans="1:28" ht="35.25" customHeight="1" x14ac:dyDescent="0.5">
      <c r="A757">
        <v>1</v>
      </c>
      <c r="B757" s="80">
        <f>SUBTOTAL(103,$A$9:A757)</f>
        <v>727</v>
      </c>
      <c r="C757" s="300" t="s">
        <v>2107</v>
      </c>
      <c r="D757" s="296">
        <f t="shared" si="26"/>
        <v>639795.56999999995</v>
      </c>
      <c r="E757" s="301">
        <v>0</v>
      </c>
      <c r="F757" s="301">
        <v>0</v>
      </c>
      <c r="G757" s="301">
        <v>0</v>
      </c>
      <c r="H757" s="301">
        <v>0</v>
      </c>
      <c r="I757" s="301">
        <v>0</v>
      </c>
      <c r="J757" s="301">
        <v>0</v>
      </c>
      <c r="K757" s="302">
        <v>0</v>
      </c>
      <c r="L757" s="301">
        <v>0</v>
      </c>
      <c r="M757" s="301">
        <v>410951.19999999995</v>
      </c>
      <c r="N757" s="301">
        <v>0</v>
      </c>
      <c r="O757" s="301">
        <v>0</v>
      </c>
      <c r="P757" s="301">
        <v>228844.37</v>
      </c>
      <c r="Q757" s="301">
        <v>0</v>
      </c>
      <c r="R757" s="301">
        <v>0</v>
      </c>
      <c r="S757" s="301">
        <v>0</v>
      </c>
      <c r="T757" s="301">
        <v>0</v>
      </c>
      <c r="U757" s="301">
        <v>0</v>
      </c>
      <c r="V757" s="301">
        <v>0</v>
      </c>
      <c r="W757" s="301">
        <v>0</v>
      </c>
      <c r="X757" s="301">
        <v>0</v>
      </c>
      <c r="Y757" s="301">
        <v>0</v>
      </c>
      <c r="Z757" s="301">
        <v>0</v>
      </c>
      <c r="AA757" s="301">
        <v>0</v>
      </c>
      <c r="AB757" s="303">
        <v>2020</v>
      </c>
    </row>
    <row r="758" spans="1:28" ht="35.25" customHeight="1" x14ac:dyDescent="0.5">
      <c r="A758">
        <v>1</v>
      </c>
      <c r="B758" s="80">
        <f>SUBTOTAL(103,$A$9:A758)</f>
        <v>728</v>
      </c>
      <c r="C758" s="300" t="s">
        <v>2108</v>
      </c>
      <c r="D758" s="296">
        <f t="shared" si="26"/>
        <v>1940000</v>
      </c>
      <c r="E758" s="301">
        <v>0</v>
      </c>
      <c r="F758" s="301">
        <v>0</v>
      </c>
      <c r="G758" s="301">
        <v>0</v>
      </c>
      <c r="H758" s="301">
        <v>0</v>
      </c>
      <c r="I758" s="301">
        <v>0</v>
      </c>
      <c r="J758" s="301">
        <v>0</v>
      </c>
      <c r="K758" s="302">
        <v>0</v>
      </c>
      <c r="L758" s="301">
        <v>0</v>
      </c>
      <c r="M758" s="301">
        <v>1940000</v>
      </c>
      <c r="N758" s="301">
        <v>0</v>
      </c>
      <c r="O758" s="301">
        <v>0</v>
      </c>
      <c r="P758" s="301">
        <v>0</v>
      </c>
      <c r="Q758" s="301">
        <v>0</v>
      </c>
      <c r="R758" s="301">
        <v>0</v>
      </c>
      <c r="S758" s="301">
        <v>0</v>
      </c>
      <c r="T758" s="301">
        <v>0</v>
      </c>
      <c r="U758" s="301">
        <v>0</v>
      </c>
      <c r="V758" s="301">
        <v>0</v>
      </c>
      <c r="W758" s="301">
        <v>0</v>
      </c>
      <c r="X758" s="301">
        <v>0</v>
      </c>
      <c r="Y758" s="301">
        <v>0</v>
      </c>
      <c r="Z758" s="301">
        <v>0</v>
      </c>
      <c r="AA758" s="301">
        <v>0</v>
      </c>
      <c r="AB758" s="303">
        <v>2020</v>
      </c>
    </row>
    <row r="759" spans="1:28" ht="35.25" customHeight="1" x14ac:dyDescent="0.5">
      <c r="A759">
        <v>1</v>
      </c>
      <c r="B759" s="80">
        <f>SUBTOTAL(103,$A$9:A759)</f>
        <v>729</v>
      </c>
      <c r="C759" s="300" t="s">
        <v>2109</v>
      </c>
      <c r="D759" s="296">
        <f t="shared" si="26"/>
        <v>1363012</v>
      </c>
      <c r="E759" s="301">
        <v>0</v>
      </c>
      <c r="F759" s="301">
        <v>0</v>
      </c>
      <c r="G759" s="301">
        <v>0</v>
      </c>
      <c r="H759" s="301">
        <v>0</v>
      </c>
      <c r="I759" s="301">
        <v>0</v>
      </c>
      <c r="J759" s="301">
        <v>0</v>
      </c>
      <c r="K759" s="302">
        <v>0</v>
      </c>
      <c r="L759" s="301">
        <v>0</v>
      </c>
      <c r="M759" s="301">
        <v>1363012</v>
      </c>
      <c r="N759" s="301">
        <v>0</v>
      </c>
      <c r="O759" s="301">
        <v>0</v>
      </c>
      <c r="P759" s="301">
        <v>0</v>
      </c>
      <c r="Q759" s="301">
        <v>0</v>
      </c>
      <c r="R759" s="301">
        <v>0</v>
      </c>
      <c r="S759" s="301">
        <v>0</v>
      </c>
      <c r="T759" s="301">
        <v>0</v>
      </c>
      <c r="U759" s="301">
        <v>0</v>
      </c>
      <c r="V759" s="301">
        <v>0</v>
      </c>
      <c r="W759" s="301">
        <v>0</v>
      </c>
      <c r="X759" s="301">
        <v>0</v>
      </c>
      <c r="Y759" s="301">
        <v>0</v>
      </c>
      <c r="Z759" s="301">
        <v>0</v>
      </c>
      <c r="AA759" s="301">
        <v>0</v>
      </c>
      <c r="AB759" s="303">
        <v>2020</v>
      </c>
    </row>
    <row r="760" spans="1:28" ht="35.25" customHeight="1" x14ac:dyDescent="0.5">
      <c r="A760">
        <v>1</v>
      </c>
      <c r="B760" s="80">
        <f>SUBTOTAL(103,$A$9:A760)</f>
        <v>730</v>
      </c>
      <c r="C760" s="300" t="s">
        <v>2456</v>
      </c>
      <c r="D760" s="296">
        <f t="shared" si="26"/>
        <v>1310776</v>
      </c>
      <c r="E760" s="301">
        <v>0</v>
      </c>
      <c r="F760" s="301">
        <v>0</v>
      </c>
      <c r="G760" s="301">
        <v>0</v>
      </c>
      <c r="H760" s="301">
        <v>0</v>
      </c>
      <c r="I760" s="301">
        <v>0</v>
      </c>
      <c r="J760" s="301">
        <v>0</v>
      </c>
      <c r="K760" s="302">
        <v>0</v>
      </c>
      <c r="L760" s="301">
        <v>0</v>
      </c>
      <c r="M760" s="301">
        <v>1310776</v>
      </c>
      <c r="N760" s="301">
        <v>0</v>
      </c>
      <c r="O760" s="301">
        <v>0</v>
      </c>
      <c r="P760" s="301">
        <v>0</v>
      </c>
      <c r="Q760" s="301">
        <v>0</v>
      </c>
      <c r="R760" s="301">
        <v>0</v>
      </c>
      <c r="S760" s="301">
        <v>0</v>
      </c>
      <c r="T760" s="301">
        <v>0</v>
      </c>
      <c r="U760" s="301">
        <v>0</v>
      </c>
      <c r="V760" s="301">
        <v>0</v>
      </c>
      <c r="W760" s="301">
        <v>0</v>
      </c>
      <c r="X760" s="301">
        <v>0</v>
      </c>
      <c r="Y760" s="301">
        <v>0</v>
      </c>
      <c r="Z760" s="301">
        <v>0</v>
      </c>
      <c r="AA760" s="301">
        <v>0</v>
      </c>
      <c r="AB760" s="303">
        <v>2020</v>
      </c>
    </row>
    <row r="761" spans="1:28" ht="35.25" customHeight="1" x14ac:dyDescent="0.5">
      <c r="A761">
        <v>1</v>
      </c>
      <c r="B761" s="80">
        <f>SUBTOTAL(103,$A$9:A761)</f>
        <v>731</v>
      </c>
      <c r="C761" s="300" t="s">
        <v>2457</v>
      </c>
      <c r="D761" s="296">
        <f t="shared" si="26"/>
        <v>1408680</v>
      </c>
      <c r="E761" s="301">
        <v>0</v>
      </c>
      <c r="F761" s="301">
        <v>0</v>
      </c>
      <c r="G761" s="301">
        <v>0</v>
      </c>
      <c r="H761" s="301">
        <v>0</v>
      </c>
      <c r="I761" s="301">
        <v>0</v>
      </c>
      <c r="J761" s="301">
        <v>0</v>
      </c>
      <c r="K761" s="302">
        <v>0</v>
      </c>
      <c r="L761" s="301">
        <v>0</v>
      </c>
      <c r="M761" s="301">
        <v>1408680</v>
      </c>
      <c r="N761" s="301">
        <v>0</v>
      </c>
      <c r="O761" s="301">
        <v>0</v>
      </c>
      <c r="P761" s="301">
        <v>0</v>
      </c>
      <c r="Q761" s="301">
        <v>0</v>
      </c>
      <c r="R761" s="301">
        <v>0</v>
      </c>
      <c r="S761" s="301">
        <v>0</v>
      </c>
      <c r="T761" s="301">
        <v>0</v>
      </c>
      <c r="U761" s="301">
        <v>0</v>
      </c>
      <c r="V761" s="301">
        <v>0</v>
      </c>
      <c r="W761" s="301">
        <v>0</v>
      </c>
      <c r="X761" s="301">
        <v>0</v>
      </c>
      <c r="Y761" s="301">
        <v>0</v>
      </c>
      <c r="Z761" s="301">
        <v>0</v>
      </c>
      <c r="AA761" s="301">
        <v>0</v>
      </c>
      <c r="AB761" s="303">
        <v>2020</v>
      </c>
    </row>
    <row r="762" spans="1:28" ht="35.25" customHeight="1" x14ac:dyDescent="0.5">
      <c r="A762">
        <v>1</v>
      </c>
      <c r="B762" s="80">
        <f>SUBTOTAL(103,$A$9:A762)</f>
        <v>732</v>
      </c>
      <c r="C762" s="300" t="s">
        <v>2458</v>
      </c>
      <c r="D762" s="296">
        <f t="shared" si="26"/>
        <v>1180351</v>
      </c>
      <c r="E762" s="301">
        <v>0</v>
      </c>
      <c r="F762" s="301">
        <v>0</v>
      </c>
      <c r="G762" s="301">
        <v>0</v>
      </c>
      <c r="H762" s="301">
        <v>0</v>
      </c>
      <c r="I762" s="301">
        <v>0</v>
      </c>
      <c r="J762" s="301">
        <v>0</v>
      </c>
      <c r="K762" s="302">
        <v>0</v>
      </c>
      <c r="L762" s="301">
        <v>0</v>
      </c>
      <c r="M762" s="301">
        <v>1180351</v>
      </c>
      <c r="N762" s="301">
        <v>0</v>
      </c>
      <c r="O762" s="301">
        <v>0</v>
      </c>
      <c r="P762" s="301">
        <v>0</v>
      </c>
      <c r="Q762" s="301">
        <v>0</v>
      </c>
      <c r="R762" s="301">
        <v>0</v>
      </c>
      <c r="S762" s="301">
        <v>0</v>
      </c>
      <c r="T762" s="301">
        <v>0</v>
      </c>
      <c r="U762" s="301">
        <v>0</v>
      </c>
      <c r="V762" s="301">
        <v>0</v>
      </c>
      <c r="W762" s="301">
        <v>0</v>
      </c>
      <c r="X762" s="301">
        <v>0</v>
      </c>
      <c r="Y762" s="301">
        <v>0</v>
      </c>
      <c r="Z762" s="301">
        <v>0</v>
      </c>
      <c r="AA762" s="301">
        <v>0</v>
      </c>
      <c r="AB762" s="303">
        <v>2020</v>
      </c>
    </row>
    <row r="763" spans="1:28" ht="35.25" customHeight="1" x14ac:dyDescent="0.5">
      <c r="A763">
        <v>1</v>
      </c>
      <c r="B763" s="80">
        <f>SUBTOTAL(103,$A$9:A763)</f>
        <v>733</v>
      </c>
      <c r="C763" s="300" t="s">
        <v>2459</v>
      </c>
      <c r="D763" s="296">
        <f t="shared" si="26"/>
        <v>1401968</v>
      </c>
      <c r="E763" s="301">
        <v>0</v>
      </c>
      <c r="F763" s="301">
        <v>0</v>
      </c>
      <c r="G763" s="301">
        <v>0</v>
      </c>
      <c r="H763" s="301">
        <v>0</v>
      </c>
      <c r="I763" s="301">
        <v>0</v>
      </c>
      <c r="J763" s="301">
        <v>0</v>
      </c>
      <c r="K763" s="302">
        <v>0</v>
      </c>
      <c r="L763" s="301">
        <v>0</v>
      </c>
      <c r="M763" s="301">
        <v>1401968</v>
      </c>
      <c r="N763" s="301">
        <v>0</v>
      </c>
      <c r="O763" s="301">
        <v>0</v>
      </c>
      <c r="P763" s="301">
        <v>0</v>
      </c>
      <c r="Q763" s="301">
        <v>0</v>
      </c>
      <c r="R763" s="301">
        <v>0</v>
      </c>
      <c r="S763" s="301">
        <v>0</v>
      </c>
      <c r="T763" s="301">
        <v>0</v>
      </c>
      <c r="U763" s="301">
        <v>0</v>
      </c>
      <c r="V763" s="301">
        <v>0</v>
      </c>
      <c r="W763" s="301">
        <v>0</v>
      </c>
      <c r="X763" s="301">
        <v>0</v>
      </c>
      <c r="Y763" s="301">
        <v>0</v>
      </c>
      <c r="Z763" s="301">
        <v>0</v>
      </c>
      <c r="AA763" s="301">
        <v>0</v>
      </c>
      <c r="AB763" s="303">
        <v>2020</v>
      </c>
    </row>
    <row r="764" spans="1:28" ht="35.25" customHeight="1" x14ac:dyDescent="0.5">
      <c r="A764">
        <v>1</v>
      </c>
      <c r="B764" s="80">
        <f>SUBTOTAL(103,$A$9:A764)</f>
        <v>734</v>
      </c>
      <c r="C764" s="300" t="s">
        <v>2460</v>
      </c>
      <c r="D764" s="296">
        <f t="shared" si="26"/>
        <v>657451</v>
      </c>
      <c r="E764" s="301">
        <v>0</v>
      </c>
      <c r="F764" s="301">
        <v>0</v>
      </c>
      <c r="G764" s="301">
        <v>0</v>
      </c>
      <c r="H764" s="301">
        <v>0</v>
      </c>
      <c r="I764" s="301">
        <v>0</v>
      </c>
      <c r="J764" s="301">
        <v>0</v>
      </c>
      <c r="K764" s="302">
        <v>0</v>
      </c>
      <c r="L764" s="301">
        <v>0</v>
      </c>
      <c r="M764" s="301">
        <v>0</v>
      </c>
      <c r="N764" s="301">
        <v>0</v>
      </c>
      <c r="O764" s="301">
        <v>0</v>
      </c>
      <c r="P764" s="301">
        <v>657451</v>
      </c>
      <c r="Q764" s="301">
        <v>0</v>
      </c>
      <c r="R764" s="301">
        <v>0</v>
      </c>
      <c r="S764" s="301">
        <v>0</v>
      </c>
      <c r="T764" s="301">
        <v>0</v>
      </c>
      <c r="U764" s="301">
        <v>0</v>
      </c>
      <c r="V764" s="301">
        <v>0</v>
      </c>
      <c r="W764" s="301">
        <v>0</v>
      </c>
      <c r="X764" s="301">
        <v>0</v>
      </c>
      <c r="Y764" s="301">
        <v>0</v>
      </c>
      <c r="Z764" s="301">
        <v>0</v>
      </c>
      <c r="AA764" s="301">
        <v>0</v>
      </c>
      <c r="AB764" s="303">
        <v>2020</v>
      </c>
    </row>
    <row r="765" spans="1:28" ht="35.25" customHeight="1" x14ac:dyDescent="0.5">
      <c r="A765">
        <v>1</v>
      </c>
      <c r="B765" s="80">
        <f>SUBTOTAL(103,$A$9:A765)</f>
        <v>735</v>
      </c>
      <c r="C765" s="300" t="s">
        <v>3542</v>
      </c>
      <c r="D765" s="296">
        <f t="shared" si="26"/>
        <v>1012634.15</v>
      </c>
      <c r="E765" s="301">
        <v>0</v>
      </c>
      <c r="F765" s="301">
        <v>0</v>
      </c>
      <c r="G765" s="301">
        <v>0</v>
      </c>
      <c r="H765" s="301">
        <v>0</v>
      </c>
      <c r="I765" s="301">
        <v>0</v>
      </c>
      <c r="J765" s="301">
        <v>0</v>
      </c>
      <c r="K765" s="302">
        <v>0</v>
      </c>
      <c r="L765" s="301">
        <v>0</v>
      </c>
      <c r="M765" s="301">
        <v>1012634.15</v>
      </c>
      <c r="N765" s="301">
        <v>0</v>
      </c>
      <c r="O765" s="301">
        <v>0</v>
      </c>
      <c r="P765" s="301">
        <v>0</v>
      </c>
      <c r="Q765" s="301">
        <v>0</v>
      </c>
      <c r="R765" s="301">
        <v>0</v>
      </c>
      <c r="S765" s="301">
        <v>0</v>
      </c>
      <c r="T765" s="301">
        <v>0</v>
      </c>
      <c r="U765" s="301">
        <v>0</v>
      </c>
      <c r="V765" s="301">
        <v>0</v>
      </c>
      <c r="W765" s="301">
        <v>0</v>
      </c>
      <c r="X765" s="301">
        <v>0</v>
      </c>
      <c r="Y765" s="301">
        <v>0</v>
      </c>
      <c r="Z765" s="301">
        <v>0</v>
      </c>
      <c r="AA765" s="301">
        <v>0</v>
      </c>
      <c r="AB765" s="303">
        <v>2020</v>
      </c>
    </row>
    <row r="766" spans="1:28" ht="35.25" customHeight="1" x14ac:dyDescent="0.5">
      <c r="A766">
        <v>1</v>
      </c>
      <c r="B766" s="80">
        <f>SUBTOTAL(103,$A$9:A766)</f>
        <v>736</v>
      </c>
      <c r="C766" s="300" t="s">
        <v>2110</v>
      </c>
      <c r="D766" s="296">
        <f t="shared" si="26"/>
        <v>663650</v>
      </c>
      <c r="E766" s="301">
        <v>0</v>
      </c>
      <c r="F766" s="301">
        <v>0</v>
      </c>
      <c r="G766" s="301">
        <v>0</v>
      </c>
      <c r="H766" s="301">
        <v>0</v>
      </c>
      <c r="I766" s="301">
        <v>0</v>
      </c>
      <c r="J766" s="301">
        <v>0</v>
      </c>
      <c r="K766" s="302">
        <v>0</v>
      </c>
      <c r="L766" s="301">
        <v>0</v>
      </c>
      <c r="M766" s="301">
        <v>0</v>
      </c>
      <c r="N766" s="301">
        <v>0</v>
      </c>
      <c r="O766" s="301">
        <v>663650</v>
      </c>
      <c r="P766" s="301">
        <v>0</v>
      </c>
      <c r="Q766" s="301">
        <v>0</v>
      </c>
      <c r="R766" s="301">
        <v>0</v>
      </c>
      <c r="S766" s="301">
        <v>0</v>
      </c>
      <c r="T766" s="301">
        <v>0</v>
      </c>
      <c r="U766" s="301">
        <v>0</v>
      </c>
      <c r="V766" s="301">
        <v>0</v>
      </c>
      <c r="W766" s="301">
        <v>0</v>
      </c>
      <c r="X766" s="301">
        <v>0</v>
      </c>
      <c r="Y766" s="301">
        <v>0</v>
      </c>
      <c r="Z766" s="301">
        <v>0</v>
      </c>
      <c r="AA766" s="301">
        <v>0</v>
      </c>
      <c r="AB766" s="303">
        <v>2020</v>
      </c>
    </row>
    <row r="767" spans="1:28" ht="35.25" customHeight="1" x14ac:dyDescent="0.5">
      <c r="B767" s="299" t="s">
        <v>804</v>
      </c>
      <c r="C767" s="300"/>
      <c r="D767" s="296">
        <f t="shared" si="26"/>
        <v>5406374.4199999999</v>
      </c>
      <c r="E767" s="296">
        <f t="shared" ref="E767:AA767" si="36">SUM(E768:E777)</f>
        <v>0</v>
      </c>
      <c r="F767" s="296">
        <f t="shared" si="36"/>
        <v>0</v>
      </c>
      <c r="G767" s="296">
        <f t="shared" si="36"/>
        <v>0</v>
      </c>
      <c r="H767" s="296">
        <f t="shared" si="36"/>
        <v>0</v>
      </c>
      <c r="I767" s="296">
        <f t="shared" si="36"/>
        <v>617671.73</v>
      </c>
      <c r="J767" s="296">
        <f t="shared" si="36"/>
        <v>0</v>
      </c>
      <c r="K767" s="297">
        <f t="shared" si="36"/>
        <v>0</v>
      </c>
      <c r="L767" s="296">
        <f t="shared" si="36"/>
        <v>0</v>
      </c>
      <c r="M767" s="296">
        <f t="shared" si="36"/>
        <v>0</v>
      </c>
      <c r="N767" s="296">
        <f t="shared" si="36"/>
        <v>78045.73</v>
      </c>
      <c r="O767" s="296">
        <f t="shared" si="36"/>
        <v>4546627.16</v>
      </c>
      <c r="P767" s="296">
        <f t="shared" si="36"/>
        <v>164029.79999999999</v>
      </c>
      <c r="Q767" s="296">
        <f t="shared" si="36"/>
        <v>0</v>
      </c>
      <c r="R767" s="296">
        <f t="shared" si="36"/>
        <v>0</v>
      </c>
      <c r="S767" s="296">
        <f t="shared" si="36"/>
        <v>0</v>
      </c>
      <c r="T767" s="296">
        <f t="shared" si="36"/>
        <v>0</v>
      </c>
      <c r="U767" s="296">
        <f t="shared" si="36"/>
        <v>0</v>
      </c>
      <c r="V767" s="296">
        <f t="shared" si="36"/>
        <v>0</v>
      </c>
      <c r="W767" s="296">
        <f t="shared" si="36"/>
        <v>0</v>
      </c>
      <c r="X767" s="296">
        <f t="shared" si="36"/>
        <v>0</v>
      </c>
      <c r="Y767" s="296">
        <f t="shared" si="36"/>
        <v>0</v>
      </c>
      <c r="Z767" s="296">
        <f t="shared" si="36"/>
        <v>0</v>
      </c>
      <c r="AA767" s="296">
        <f t="shared" si="36"/>
        <v>0</v>
      </c>
      <c r="AB767" s="298" t="s">
        <v>835</v>
      </c>
    </row>
    <row r="768" spans="1:28" ht="35.25" customHeight="1" x14ac:dyDescent="0.5">
      <c r="A768">
        <v>1</v>
      </c>
      <c r="B768" s="80">
        <f>SUBTOTAL(103,$A$9:A768)</f>
        <v>737</v>
      </c>
      <c r="C768" s="300" t="s">
        <v>2111</v>
      </c>
      <c r="D768" s="296">
        <f t="shared" si="26"/>
        <v>190801.84</v>
      </c>
      <c r="E768" s="301">
        <v>0</v>
      </c>
      <c r="F768" s="301">
        <v>0</v>
      </c>
      <c r="G768" s="301">
        <v>0</v>
      </c>
      <c r="H768" s="301">
        <v>0</v>
      </c>
      <c r="I768" s="301">
        <v>0</v>
      </c>
      <c r="J768" s="301">
        <v>0</v>
      </c>
      <c r="K768" s="302">
        <v>0</v>
      </c>
      <c r="L768" s="301">
        <v>0</v>
      </c>
      <c r="M768" s="301">
        <v>0</v>
      </c>
      <c r="N768" s="301">
        <v>0</v>
      </c>
      <c r="O768" s="301">
        <v>190801.84</v>
      </c>
      <c r="P768" s="301">
        <v>0</v>
      </c>
      <c r="Q768" s="301">
        <v>0</v>
      </c>
      <c r="R768" s="301">
        <v>0</v>
      </c>
      <c r="S768" s="301">
        <v>0</v>
      </c>
      <c r="T768" s="301">
        <v>0</v>
      </c>
      <c r="U768" s="301">
        <v>0</v>
      </c>
      <c r="V768" s="301">
        <v>0</v>
      </c>
      <c r="W768" s="301">
        <v>0</v>
      </c>
      <c r="X768" s="301">
        <v>0</v>
      </c>
      <c r="Y768" s="301">
        <v>0</v>
      </c>
      <c r="Z768" s="301">
        <v>0</v>
      </c>
      <c r="AA768" s="301">
        <v>0</v>
      </c>
      <c r="AB768" s="303">
        <v>2020</v>
      </c>
    </row>
    <row r="769" spans="1:28" ht="35.25" customHeight="1" x14ac:dyDescent="0.5">
      <c r="A769">
        <v>1</v>
      </c>
      <c r="B769" s="80">
        <f>SUBTOTAL(103,$A$9:A769)</f>
        <v>738</v>
      </c>
      <c r="C769" s="300" t="s">
        <v>2112</v>
      </c>
      <c r="D769" s="296">
        <f t="shared" si="26"/>
        <v>78045.73</v>
      </c>
      <c r="E769" s="301">
        <v>0</v>
      </c>
      <c r="F769" s="301">
        <v>0</v>
      </c>
      <c r="G769" s="301">
        <v>0</v>
      </c>
      <c r="H769" s="301">
        <v>0</v>
      </c>
      <c r="I769" s="301">
        <v>0</v>
      </c>
      <c r="J769" s="301">
        <v>0</v>
      </c>
      <c r="K769" s="302">
        <v>0</v>
      </c>
      <c r="L769" s="301">
        <v>0</v>
      </c>
      <c r="M769" s="301">
        <v>0</v>
      </c>
      <c r="N769" s="301">
        <v>78045.73</v>
      </c>
      <c r="O769" s="301">
        <v>0</v>
      </c>
      <c r="P769" s="301">
        <v>0</v>
      </c>
      <c r="Q769" s="301">
        <v>0</v>
      </c>
      <c r="R769" s="301">
        <v>0</v>
      </c>
      <c r="S769" s="301">
        <v>0</v>
      </c>
      <c r="T769" s="301">
        <v>0</v>
      </c>
      <c r="U769" s="301">
        <v>0</v>
      </c>
      <c r="V769" s="301">
        <v>0</v>
      </c>
      <c r="W769" s="301">
        <v>0</v>
      </c>
      <c r="X769" s="301">
        <v>0</v>
      </c>
      <c r="Y769" s="301">
        <v>0</v>
      </c>
      <c r="Z769" s="301">
        <v>0</v>
      </c>
      <c r="AA769" s="301">
        <v>0</v>
      </c>
      <c r="AB769" s="303">
        <v>2020</v>
      </c>
    </row>
    <row r="770" spans="1:28" ht="35.25" customHeight="1" x14ac:dyDescent="0.5">
      <c r="A770">
        <v>1</v>
      </c>
      <c r="B770" s="80">
        <f>SUBTOTAL(103,$A$9:A770)</f>
        <v>739</v>
      </c>
      <c r="C770" s="300" t="s">
        <v>2113</v>
      </c>
      <c r="D770" s="296">
        <f t="shared" si="26"/>
        <v>282509.7</v>
      </c>
      <c r="E770" s="301">
        <v>0</v>
      </c>
      <c r="F770" s="301">
        <v>0</v>
      </c>
      <c r="G770" s="301">
        <v>0</v>
      </c>
      <c r="H770" s="301">
        <v>0</v>
      </c>
      <c r="I770" s="301">
        <v>0</v>
      </c>
      <c r="J770" s="301">
        <v>0</v>
      </c>
      <c r="K770" s="302">
        <v>0</v>
      </c>
      <c r="L770" s="301">
        <v>0</v>
      </c>
      <c r="M770" s="301">
        <v>0</v>
      </c>
      <c r="N770" s="301">
        <v>0</v>
      </c>
      <c r="O770" s="301">
        <v>282509.7</v>
      </c>
      <c r="P770" s="301">
        <v>0</v>
      </c>
      <c r="Q770" s="301">
        <v>0</v>
      </c>
      <c r="R770" s="301">
        <v>0</v>
      </c>
      <c r="S770" s="301">
        <v>0</v>
      </c>
      <c r="T770" s="301">
        <v>0</v>
      </c>
      <c r="U770" s="301">
        <v>0</v>
      </c>
      <c r="V770" s="301">
        <v>0</v>
      </c>
      <c r="W770" s="301">
        <v>0</v>
      </c>
      <c r="X770" s="301">
        <v>0</v>
      </c>
      <c r="Y770" s="301">
        <v>0</v>
      </c>
      <c r="Z770" s="301">
        <v>0</v>
      </c>
      <c r="AA770" s="301">
        <v>0</v>
      </c>
      <c r="AB770" s="303">
        <v>2020</v>
      </c>
    </row>
    <row r="771" spans="1:28" ht="35.25" customHeight="1" x14ac:dyDescent="0.5">
      <c r="A771">
        <v>1</v>
      </c>
      <c r="B771" s="80">
        <f>SUBTOTAL(103,$A$9:A771)</f>
        <v>740</v>
      </c>
      <c r="C771" s="300" t="s">
        <v>2114</v>
      </c>
      <c r="D771" s="296">
        <f t="shared" si="26"/>
        <v>1726093</v>
      </c>
      <c r="E771" s="301">
        <v>0</v>
      </c>
      <c r="F771" s="301">
        <v>0</v>
      </c>
      <c r="G771" s="301">
        <v>0</v>
      </c>
      <c r="H771" s="301">
        <v>0</v>
      </c>
      <c r="I771" s="301">
        <v>400852</v>
      </c>
      <c r="J771" s="301">
        <v>0</v>
      </c>
      <c r="K771" s="302">
        <v>0</v>
      </c>
      <c r="L771" s="301">
        <v>0</v>
      </c>
      <c r="M771" s="301">
        <v>0</v>
      </c>
      <c r="N771" s="301">
        <v>0</v>
      </c>
      <c r="O771" s="301">
        <v>1325241</v>
      </c>
      <c r="P771" s="301">
        <v>0</v>
      </c>
      <c r="Q771" s="301">
        <v>0</v>
      </c>
      <c r="R771" s="301">
        <v>0</v>
      </c>
      <c r="S771" s="301">
        <v>0</v>
      </c>
      <c r="T771" s="301">
        <v>0</v>
      </c>
      <c r="U771" s="301">
        <v>0</v>
      </c>
      <c r="V771" s="301">
        <v>0</v>
      </c>
      <c r="W771" s="301">
        <v>0</v>
      </c>
      <c r="X771" s="301">
        <v>0</v>
      </c>
      <c r="Y771" s="301">
        <v>0</v>
      </c>
      <c r="Z771" s="301">
        <v>0</v>
      </c>
      <c r="AA771" s="301">
        <v>0</v>
      </c>
      <c r="AB771" s="303">
        <v>2020</v>
      </c>
    </row>
    <row r="772" spans="1:28" ht="35.25" customHeight="1" x14ac:dyDescent="0.5">
      <c r="A772">
        <v>1</v>
      </c>
      <c r="B772" s="80">
        <f>SUBTOTAL(103,$A$9:A772)</f>
        <v>741</v>
      </c>
      <c r="C772" s="300" t="s">
        <v>2461</v>
      </c>
      <c r="D772" s="296">
        <f t="shared" si="26"/>
        <v>744990</v>
      </c>
      <c r="E772" s="301">
        <v>0</v>
      </c>
      <c r="F772" s="301">
        <v>0</v>
      </c>
      <c r="G772" s="301">
        <v>0</v>
      </c>
      <c r="H772" s="301">
        <v>0</v>
      </c>
      <c r="I772" s="301">
        <v>0</v>
      </c>
      <c r="J772" s="301">
        <v>0</v>
      </c>
      <c r="K772" s="302">
        <v>0</v>
      </c>
      <c r="L772" s="301">
        <v>0</v>
      </c>
      <c r="M772" s="301">
        <v>0</v>
      </c>
      <c r="N772" s="301">
        <v>0</v>
      </c>
      <c r="O772" s="301">
        <v>744990</v>
      </c>
      <c r="P772" s="301">
        <v>0</v>
      </c>
      <c r="Q772" s="301">
        <v>0</v>
      </c>
      <c r="R772" s="301">
        <v>0</v>
      </c>
      <c r="S772" s="301">
        <v>0</v>
      </c>
      <c r="T772" s="301">
        <v>0</v>
      </c>
      <c r="U772" s="301">
        <v>0</v>
      </c>
      <c r="V772" s="301">
        <v>0</v>
      </c>
      <c r="W772" s="301">
        <v>0</v>
      </c>
      <c r="X772" s="301">
        <v>0</v>
      </c>
      <c r="Y772" s="301">
        <v>0</v>
      </c>
      <c r="Z772" s="301">
        <v>0</v>
      </c>
      <c r="AA772" s="301">
        <v>0</v>
      </c>
      <c r="AB772" s="303">
        <v>2020</v>
      </c>
    </row>
    <row r="773" spans="1:28" ht="35.25" customHeight="1" x14ac:dyDescent="0.5">
      <c r="A773">
        <v>1</v>
      </c>
      <c r="B773" s="80">
        <f>SUBTOTAL(103,$A$9:A773)</f>
        <v>742</v>
      </c>
      <c r="C773" s="300" t="s">
        <v>2462</v>
      </c>
      <c r="D773" s="296">
        <f t="shared" si="26"/>
        <v>920919</v>
      </c>
      <c r="E773" s="301">
        <v>0</v>
      </c>
      <c r="F773" s="301">
        <v>0</v>
      </c>
      <c r="G773" s="301">
        <v>0</v>
      </c>
      <c r="H773" s="301">
        <v>0</v>
      </c>
      <c r="I773" s="301">
        <v>0</v>
      </c>
      <c r="J773" s="301">
        <v>0</v>
      </c>
      <c r="K773" s="302">
        <v>0</v>
      </c>
      <c r="L773" s="301">
        <v>0</v>
      </c>
      <c r="M773" s="301">
        <v>0</v>
      </c>
      <c r="N773" s="301">
        <v>0</v>
      </c>
      <c r="O773" s="301">
        <v>920919</v>
      </c>
      <c r="P773" s="301">
        <v>0</v>
      </c>
      <c r="Q773" s="301">
        <v>0</v>
      </c>
      <c r="R773" s="301">
        <v>0</v>
      </c>
      <c r="S773" s="301">
        <v>0</v>
      </c>
      <c r="T773" s="301">
        <v>0</v>
      </c>
      <c r="U773" s="301">
        <v>0</v>
      </c>
      <c r="V773" s="301">
        <v>0</v>
      </c>
      <c r="W773" s="301">
        <v>0</v>
      </c>
      <c r="X773" s="301">
        <v>0</v>
      </c>
      <c r="Y773" s="301">
        <v>0</v>
      </c>
      <c r="Z773" s="301">
        <v>0</v>
      </c>
      <c r="AA773" s="301">
        <v>0</v>
      </c>
      <c r="AB773" s="303">
        <v>2020</v>
      </c>
    </row>
    <row r="774" spans="1:28" ht="35.25" customHeight="1" x14ac:dyDescent="0.5">
      <c r="A774">
        <v>1</v>
      </c>
      <c r="B774" s="80">
        <f>SUBTOTAL(103,$A$9:A774)</f>
        <v>743</v>
      </c>
      <c r="C774" s="300" t="s">
        <v>2463</v>
      </c>
      <c r="D774" s="296">
        <f t="shared" si="26"/>
        <v>424001.66</v>
      </c>
      <c r="E774" s="301">
        <v>0</v>
      </c>
      <c r="F774" s="301">
        <v>0</v>
      </c>
      <c r="G774" s="301">
        <v>0</v>
      </c>
      <c r="H774" s="301">
        <v>0</v>
      </c>
      <c r="I774" s="301">
        <v>0</v>
      </c>
      <c r="J774" s="301">
        <v>0</v>
      </c>
      <c r="K774" s="302">
        <v>0</v>
      </c>
      <c r="L774" s="301">
        <v>0</v>
      </c>
      <c r="M774" s="301">
        <v>0</v>
      </c>
      <c r="N774" s="301">
        <v>0</v>
      </c>
      <c r="O774" s="301">
        <v>424001.66</v>
      </c>
      <c r="P774" s="301">
        <v>0</v>
      </c>
      <c r="Q774" s="301">
        <v>0</v>
      </c>
      <c r="R774" s="301">
        <v>0</v>
      </c>
      <c r="S774" s="301">
        <v>0</v>
      </c>
      <c r="T774" s="301">
        <v>0</v>
      </c>
      <c r="U774" s="301">
        <v>0</v>
      </c>
      <c r="V774" s="301">
        <v>0</v>
      </c>
      <c r="W774" s="301">
        <v>0</v>
      </c>
      <c r="X774" s="301">
        <v>0</v>
      </c>
      <c r="Y774" s="301">
        <v>0</v>
      </c>
      <c r="Z774" s="301">
        <v>0</v>
      </c>
      <c r="AA774" s="301">
        <v>0</v>
      </c>
      <c r="AB774" s="303">
        <v>2020</v>
      </c>
    </row>
    <row r="775" spans="1:28" ht="35.25" customHeight="1" x14ac:dyDescent="0.5">
      <c r="A775">
        <v>1</v>
      </c>
      <c r="B775" s="80">
        <f>SUBTOTAL(103,$A$9:A775)</f>
        <v>744</v>
      </c>
      <c r="C775" s="300" t="s">
        <v>2115</v>
      </c>
      <c r="D775" s="296">
        <f t="shared" si="26"/>
        <v>658163.96</v>
      </c>
      <c r="E775" s="301">
        <v>0</v>
      </c>
      <c r="F775" s="301">
        <v>0</v>
      </c>
      <c r="G775" s="301">
        <v>0</v>
      </c>
      <c r="H775" s="301">
        <v>0</v>
      </c>
      <c r="I775" s="301">
        <v>0</v>
      </c>
      <c r="J775" s="301">
        <v>0</v>
      </c>
      <c r="K775" s="302">
        <v>0</v>
      </c>
      <c r="L775" s="301">
        <v>0</v>
      </c>
      <c r="M775" s="301">
        <v>0</v>
      </c>
      <c r="N775" s="301">
        <v>0</v>
      </c>
      <c r="O775" s="301">
        <v>658163.96</v>
      </c>
      <c r="P775" s="301">
        <v>0</v>
      </c>
      <c r="Q775" s="301">
        <v>0</v>
      </c>
      <c r="R775" s="301">
        <v>0</v>
      </c>
      <c r="S775" s="301">
        <v>0</v>
      </c>
      <c r="T775" s="301">
        <v>0</v>
      </c>
      <c r="U775" s="301">
        <v>0</v>
      </c>
      <c r="V775" s="301">
        <v>0</v>
      </c>
      <c r="W775" s="301">
        <v>0</v>
      </c>
      <c r="X775" s="301">
        <v>0</v>
      </c>
      <c r="Y775" s="301">
        <v>0</v>
      </c>
      <c r="Z775" s="301">
        <v>0</v>
      </c>
      <c r="AA775" s="301">
        <v>0</v>
      </c>
      <c r="AB775" s="303">
        <v>2020</v>
      </c>
    </row>
    <row r="776" spans="1:28" ht="35.25" customHeight="1" x14ac:dyDescent="0.5">
      <c r="A776">
        <v>1</v>
      </c>
      <c r="B776" s="80">
        <f>SUBTOTAL(103,$A$9:A776)</f>
        <v>745</v>
      </c>
      <c r="C776" s="300" t="s">
        <v>2273</v>
      </c>
      <c r="D776" s="296">
        <f t="shared" si="26"/>
        <v>216819.73</v>
      </c>
      <c r="E776" s="301">
        <v>0</v>
      </c>
      <c r="F776" s="301">
        <v>0</v>
      </c>
      <c r="G776" s="301">
        <v>0</v>
      </c>
      <c r="H776" s="301">
        <v>0</v>
      </c>
      <c r="I776" s="301">
        <v>216819.73</v>
      </c>
      <c r="J776" s="301">
        <v>0</v>
      </c>
      <c r="K776" s="302">
        <v>0</v>
      </c>
      <c r="L776" s="301">
        <v>0</v>
      </c>
      <c r="M776" s="301">
        <v>0</v>
      </c>
      <c r="N776" s="301">
        <v>0</v>
      </c>
      <c r="O776" s="301">
        <v>0</v>
      </c>
      <c r="P776" s="301">
        <v>0</v>
      </c>
      <c r="Q776" s="301">
        <v>0</v>
      </c>
      <c r="R776" s="301">
        <v>0</v>
      </c>
      <c r="S776" s="301">
        <v>0</v>
      </c>
      <c r="T776" s="301">
        <v>0</v>
      </c>
      <c r="U776" s="301">
        <v>0</v>
      </c>
      <c r="V776" s="301">
        <v>0</v>
      </c>
      <c r="W776" s="301">
        <v>0</v>
      </c>
      <c r="X776" s="301">
        <v>0</v>
      </c>
      <c r="Y776" s="301">
        <v>0</v>
      </c>
      <c r="Z776" s="301">
        <v>0</v>
      </c>
      <c r="AA776" s="301">
        <v>0</v>
      </c>
      <c r="AB776" s="303">
        <v>2020</v>
      </c>
    </row>
    <row r="777" spans="1:28" ht="35.25" customHeight="1" x14ac:dyDescent="0.5">
      <c r="A777">
        <v>1</v>
      </c>
      <c r="B777" s="80">
        <f>SUBTOTAL(103,$A$9:A777)</f>
        <v>746</v>
      </c>
      <c r="C777" s="300" t="s">
        <v>2116</v>
      </c>
      <c r="D777" s="296">
        <f t="shared" ref="D777:D840" si="37">E777+F777+G777+H777+I777+J777+L777+M777+N777+O777+P777+Q777+R777+S777+T777+U777+V777+W777+X777+Y777+Z777+AA777</f>
        <v>164029.79999999999</v>
      </c>
      <c r="E777" s="301">
        <v>0</v>
      </c>
      <c r="F777" s="301">
        <v>0</v>
      </c>
      <c r="G777" s="301">
        <v>0</v>
      </c>
      <c r="H777" s="301">
        <v>0</v>
      </c>
      <c r="I777" s="301">
        <v>0</v>
      </c>
      <c r="J777" s="301">
        <v>0</v>
      </c>
      <c r="K777" s="302">
        <v>0</v>
      </c>
      <c r="L777" s="301">
        <v>0</v>
      </c>
      <c r="M777" s="301">
        <v>0</v>
      </c>
      <c r="N777" s="301">
        <v>0</v>
      </c>
      <c r="O777" s="301">
        <v>0</v>
      </c>
      <c r="P777" s="301">
        <v>164029.79999999999</v>
      </c>
      <c r="Q777" s="301">
        <v>0</v>
      </c>
      <c r="R777" s="301">
        <v>0</v>
      </c>
      <c r="S777" s="301">
        <v>0</v>
      </c>
      <c r="T777" s="301">
        <v>0</v>
      </c>
      <c r="U777" s="301">
        <v>0</v>
      </c>
      <c r="V777" s="301">
        <v>0</v>
      </c>
      <c r="W777" s="301">
        <v>0</v>
      </c>
      <c r="X777" s="301">
        <v>0</v>
      </c>
      <c r="Y777" s="301">
        <v>0</v>
      </c>
      <c r="Z777" s="301">
        <v>0</v>
      </c>
      <c r="AA777" s="301">
        <v>0</v>
      </c>
      <c r="AB777" s="303">
        <v>2020</v>
      </c>
    </row>
    <row r="778" spans="1:28" ht="35.25" customHeight="1" x14ac:dyDescent="0.5">
      <c r="B778" s="299" t="s">
        <v>2117</v>
      </c>
      <c r="C778" s="300"/>
      <c r="D778" s="296">
        <f t="shared" si="37"/>
        <v>1171071.47</v>
      </c>
      <c r="E778" s="296">
        <f t="shared" ref="E778:AA778" si="38">SUM(E779:E783)</f>
        <v>0</v>
      </c>
      <c r="F778" s="296">
        <f t="shared" si="38"/>
        <v>0</v>
      </c>
      <c r="G778" s="296">
        <f t="shared" si="38"/>
        <v>526489.5</v>
      </c>
      <c r="H778" s="296">
        <f t="shared" si="38"/>
        <v>0</v>
      </c>
      <c r="I778" s="296">
        <f t="shared" si="38"/>
        <v>190000</v>
      </c>
      <c r="J778" s="296">
        <f t="shared" si="38"/>
        <v>0</v>
      </c>
      <c r="K778" s="297">
        <f t="shared" si="38"/>
        <v>0</v>
      </c>
      <c r="L778" s="296">
        <f t="shared" si="38"/>
        <v>0</v>
      </c>
      <c r="M778" s="296">
        <f t="shared" si="38"/>
        <v>0</v>
      </c>
      <c r="N778" s="296">
        <f t="shared" si="38"/>
        <v>0</v>
      </c>
      <c r="O778" s="296">
        <f t="shared" si="38"/>
        <v>454581.97</v>
      </c>
      <c r="P778" s="296">
        <f t="shared" si="38"/>
        <v>0</v>
      </c>
      <c r="Q778" s="296">
        <f t="shared" si="38"/>
        <v>0</v>
      </c>
      <c r="R778" s="296">
        <f t="shared" si="38"/>
        <v>0</v>
      </c>
      <c r="S778" s="296">
        <f t="shared" si="38"/>
        <v>0</v>
      </c>
      <c r="T778" s="296">
        <f t="shared" si="38"/>
        <v>0</v>
      </c>
      <c r="U778" s="296">
        <f t="shared" si="38"/>
        <v>0</v>
      </c>
      <c r="V778" s="296">
        <f t="shared" si="38"/>
        <v>0</v>
      </c>
      <c r="W778" s="296">
        <f t="shared" si="38"/>
        <v>0</v>
      </c>
      <c r="X778" s="296">
        <f t="shared" si="38"/>
        <v>0</v>
      </c>
      <c r="Y778" s="296">
        <f t="shared" si="38"/>
        <v>0</v>
      </c>
      <c r="Z778" s="296">
        <f t="shared" si="38"/>
        <v>0</v>
      </c>
      <c r="AA778" s="296">
        <f t="shared" si="38"/>
        <v>0</v>
      </c>
      <c r="AB778" s="298" t="s">
        <v>835</v>
      </c>
    </row>
    <row r="779" spans="1:28" ht="35.25" customHeight="1" x14ac:dyDescent="0.5">
      <c r="A779">
        <v>1</v>
      </c>
      <c r="B779" s="80">
        <f>SUBTOTAL(103,$A$9:A779)</f>
        <v>747</v>
      </c>
      <c r="C779" s="300" t="s">
        <v>2118</v>
      </c>
      <c r="D779" s="296">
        <f t="shared" si="37"/>
        <v>230565</v>
      </c>
      <c r="E779" s="301">
        <v>0</v>
      </c>
      <c r="F779" s="301">
        <v>0</v>
      </c>
      <c r="G779" s="301">
        <v>230565</v>
      </c>
      <c r="H779" s="301">
        <v>0</v>
      </c>
      <c r="I779" s="301">
        <v>0</v>
      </c>
      <c r="J779" s="301">
        <v>0</v>
      </c>
      <c r="K779" s="302">
        <v>0</v>
      </c>
      <c r="L779" s="301">
        <v>0</v>
      </c>
      <c r="M779" s="301">
        <v>0</v>
      </c>
      <c r="N779" s="301">
        <v>0</v>
      </c>
      <c r="O779" s="301">
        <v>0</v>
      </c>
      <c r="P779" s="301">
        <v>0</v>
      </c>
      <c r="Q779" s="301">
        <v>0</v>
      </c>
      <c r="R779" s="301">
        <v>0</v>
      </c>
      <c r="S779" s="301">
        <v>0</v>
      </c>
      <c r="T779" s="301">
        <v>0</v>
      </c>
      <c r="U779" s="301">
        <v>0</v>
      </c>
      <c r="V779" s="301">
        <v>0</v>
      </c>
      <c r="W779" s="301">
        <v>0</v>
      </c>
      <c r="X779" s="301">
        <v>0</v>
      </c>
      <c r="Y779" s="301">
        <v>0</v>
      </c>
      <c r="Z779" s="301">
        <v>0</v>
      </c>
      <c r="AA779" s="301">
        <v>0</v>
      </c>
      <c r="AB779" s="303">
        <v>2020</v>
      </c>
    </row>
    <row r="780" spans="1:28" ht="35.25" customHeight="1" x14ac:dyDescent="0.5">
      <c r="A780">
        <v>1</v>
      </c>
      <c r="B780" s="80">
        <f>SUBTOTAL(103,$A$9:A780)</f>
        <v>748</v>
      </c>
      <c r="C780" s="300" t="s">
        <v>2464</v>
      </c>
      <c r="D780" s="296">
        <f t="shared" si="37"/>
        <v>190000</v>
      </c>
      <c r="E780" s="301">
        <v>0</v>
      </c>
      <c r="F780" s="301">
        <v>0</v>
      </c>
      <c r="G780" s="301">
        <v>0</v>
      </c>
      <c r="H780" s="301">
        <v>0</v>
      </c>
      <c r="I780" s="301">
        <v>190000</v>
      </c>
      <c r="J780" s="301">
        <v>0</v>
      </c>
      <c r="K780" s="302">
        <v>0</v>
      </c>
      <c r="L780" s="301">
        <v>0</v>
      </c>
      <c r="M780" s="301">
        <v>0</v>
      </c>
      <c r="N780" s="301">
        <v>0</v>
      </c>
      <c r="O780" s="301">
        <v>0</v>
      </c>
      <c r="P780" s="301">
        <v>0</v>
      </c>
      <c r="Q780" s="301">
        <v>0</v>
      </c>
      <c r="R780" s="301">
        <v>0</v>
      </c>
      <c r="S780" s="301">
        <v>0</v>
      </c>
      <c r="T780" s="301">
        <v>0</v>
      </c>
      <c r="U780" s="301">
        <v>0</v>
      </c>
      <c r="V780" s="301">
        <v>0</v>
      </c>
      <c r="W780" s="301">
        <v>0</v>
      </c>
      <c r="X780" s="301">
        <v>0</v>
      </c>
      <c r="Y780" s="301">
        <v>0</v>
      </c>
      <c r="Z780" s="301">
        <v>0</v>
      </c>
      <c r="AA780" s="301">
        <v>0</v>
      </c>
      <c r="AB780" s="303">
        <v>2020</v>
      </c>
    </row>
    <row r="781" spans="1:28" ht="35.25" customHeight="1" x14ac:dyDescent="0.5">
      <c r="A781">
        <v>1</v>
      </c>
      <c r="B781" s="80">
        <f>SUBTOTAL(103,$A$9:A781)</f>
        <v>749</v>
      </c>
      <c r="C781" s="300" t="s">
        <v>2274</v>
      </c>
      <c r="D781" s="296">
        <f t="shared" si="37"/>
        <v>204581.97</v>
      </c>
      <c r="E781" s="301">
        <v>0</v>
      </c>
      <c r="F781" s="301">
        <v>0</v>
      </c>
      <c r="G781" s="301">
        <v>0</v>
      </c>
      <c r="H781" s="301">
        <v>0</v>
      </c>
      <c r="I781" s="301">
        <v>0</v>
      </c>
      <c r="J781" s="301">
        <v>0</v>
      </c>
      <c r="K781" s="302">
        <v>0</v>
      </c>
      <c r="L781" s="301">
        <v>0</v>
      </c>
      <c r="M781" s="301">
        <v>0</v>
      </c>
      <c r="N781" s="301">
        <v>0</v>
      </c>
      <c r="O781" s="301">
        <v>204581.97</v>
      </c>
      <c r="P781" s="301">
        <v>0</v>
      </c>
      <c r="Q781" s="301">
        <v>0</v>
      </c>
      <c r="R781" s="301">
        <v>0</v>
      </c>
      <c r="S781" s="301">
        <v>0</v>
      </c>
      <c r="T781" s="301">
        <v>0</v>
      </c>
      <c r="U781" s="301">
        <v>0</v>
      </c>
      <c r="V781" s="301">
        <v>0</v>
      </c>
      <c r="W781" s="301">
        <v>0</v>
      </c>
      <c r="X781" s="301">
        <v>0</v>
      </c>
      <c r="Y781" s="301">
        <v>0</v>
      </c>
      <c r="Z781" s="301">
        <v>0</v>
      </c>
      <c r="AA781" s="301">
        <v>0</v>
      </c>
      <c r="AB781" s="303">
        <v>2020</v>
      </c>
    </row>
    <row r="782" spans="1:28" ht="35.25" customHeight="1" x14ac:dyDescent="0.5">
      <c r="A782">
        <v>1</v>
      </c>
      <c r="B782" s="80">
        <f>SUBTOTAL(103,$A$9:A782)</f>
        <v>750</v>
      </c>
      <c r="C782" s="300" t="s">
        <v>2625</v>
      </c>
      <c r="D782" s="296">
        <f t="shared" si="37"/>
        <v>250000</v>
      </c>
      <c r="E782" s="301">
        <v>0</v>
      </c>
      <c r="F782" s="301">
        <v>0</v>
      </c>
      <c r="G782" s="301">
        <v>0</v>
      </c>
      <c r="H782" s="301">
        <v>0</v>
      </c>
      <c r="I782" s="301">
        <v>0</v>
      </c>
      <c r="J782" s="301">
        <v>0</v>
      </c>
      <c r="K782" s="302">
        <v>0</v>
      </c>
      <c r="L782" s="301">
        <v>0</v>
      </c>
      <c r="M782" s="301">
        <v>0</v>
      </c>
      <c r="N782" s="301">
        <v>0</v>
      </c>
      <c r="O782" s="301">
        <v>250000</v>
      </c>
      <c r="P782" s="301">
        <v>0</v>
      </c>
      <c r="Q782" s="301">
        <v>0</v>
      </c>
      <c r="R782" s="301">
        <v>0</v>
      </c>
      <c r="S782" s="301">
        <v>0</v>
      </c>
      <c r="T782" s="301">
        <v>0</v>
      </c>
      <c r="U782" s="301">
        <v>0</v>
      </c>
      <c r="V782" s="301">
        <v>0</v>
      </c>
      <c r="W782" s="301">
        <v>0</v>
      </c>
      <c r="X782" s="301">
        <v>0</v>
      </c>
      <c r="Y782" s="301">
        <v>0</v>
      </c>
      <c r="Z782" s="301">
        <v>0</v>
      </c>
      <c r="AA782" s="301">
        <v>0</v>
      </c>
      <c r="AB782" s="303">
        <v>2020</v>
      </c>
    </row>
    <row r="783" spans="1:28" ht="35.25" customHeight="1" x14ac:dyDescent="0.5">
      <c r="A783">
        <v>1</v>
      </c>
      <c r="B783" s="80">
        <f>SUBTOTAL(103,$A$9:A783)</f>
        <v>751</v>
      </c>
      <c r="C783" s="300" t="s">
        <v>2119</v>
      </c>
      <c r="D783" s="296">
        <f t="shared" si="37"/>
        <v>295924.5</v>
      </c>
      <c r="E783" s="301">
        <v>0</v>
      </c>
      <c r="F783" s="301">
        <v>0</v>
      </c>
      <c r="G783" s="301">
        <v>295924.5</v>
      </c>
      <c r="H783" s="301">
        <v>0</v>
      </c>
      <c r="I783" s="301">
        <v>0</v>
      </c>
      <c r="J783" s="301">
        <v>0</v>
      </c>
      <c r="K783" s="302">
        <v>0</v>
      </c>
      <c r="L783" s="301">
        <v>0</v>
      </c>
      <c r="M783" s="301">
        <v>0</v>
      </c>
      <c r="N783" s="301">
        <v>0</v>
      </c>
      <c r="O783" s="301">
        <v>0</v>
      </c>
      <c r="P783" s="301">
        <v>0</v>
      </c>
      <c r="Q783" s="301">
        <v>0</v>
      </c>
      <c r="R783" s="301">
        <v>0</v>
      </c>
      <c r="S783" s="301">
        <v>0</v>
      </c>
      <c r="T783" s="301">
        <v>0</v>
      </c>
      <c r="U783" s="301">
        <v>0</v>
      </c>
      <c r="V783" s="301">
        <v>0</v>
      </c>
      <c r="W783" s="301">
        <v>0</v>
      </c>
      <c r="X783" s="301">
        <v>0</v>
      </c>
      <c r="Y783" s="301">
        <v>0</v>
      </c>
      <c r="Z783" s="301">
        <v>0</v>
      </c>
      <c r="AA783" s="301">
        <v>0</v>
      </c>
      <c r="AB783" s="303">
        <v>2020</v>
      </c>
    </row>
    <row r="784" spans="1:28" ht="35.25" customHeight="1" x14ac:dyDescent="0.5">
      <c r="B784" s="300" t="s">
        <v>825</v>
      </c>
      <c r="C784" s="300"/>
      <c r="D784" s="296">
        <f t="shared" si="37"/>
        <v>2633179.2199999997</v>
      </c>
      <c r="E784" s="296">
        <f t="shared" ref="E784:AA784" si="39">SUM(E785:E788)</f>
        <v>0</v>
      </c>
      <c r="F784" s="296">
        <f t="shared" si="39"/>
        <v>161860.35</v>
      </c>
      <c r="G784" s="296">
        <f t="shared" si="39"/>
        <v>547875.87</v>
      </c>
      <c r="H784" s="296">
        <f t="shared" si="39"/>
        <v>0</v>
      </c>
      <c r="I784" s="296">
        <f t="shared" si="39"/>
        <v>0</v>
      </c>
      <c r="J784" s="296">
        <f t="shared" si="39"/>
        <v>0</v>
      </c>
      <c r="K784" s="297">
        <f t="shared" si="39"/>
        <v>0</v>
      </c>
      <c r="L784" s="296">
        <f t="shared" si="39"/>
        <v>0</v>
      </c>
      <c r="M784" s="296">
        <f t="shared" si="39"/>
        <v>1546431</v>
      </c>
      <c r="N784" s="296">
        <f t="shared" si="39"/>
        <v>0</v>
      </c>
      <c r="O784" s="296">
        <f t="shared" si="39"/>
        <v>0</v>
      </c>
      <c r="P784" s="296">
        <f t="shared" si="39"/>
        <v>377012</v>
      </c>
      <c r="Q784" s="296">
        <f t="shared" si="39"/>
        <v>0</v>
      </c>
      <c r="R784" s="296">
        <f t="shared" si="39"/>
        <v>0</v>
      </c>
      <c r="S784" s="296">
        <f t="shared" si="39"/>
        <v>0</v>
      </c>
      <c r="T784" s="296">
        <f t="shared" si="39"/>
        <v>0</v>
      </c>
      <c r="U784" s="296">
        <f t="shared" si="39"/>
        <v>0</v>
      </c>
      <c r="V784" s="296">
        <f t="shared" si="39"/>
        <v>0</v>
      </c>
      <c r="W784" s="296">
        <f t="shared" si="39"/>
        <v>0</v>
      </c>
      <c r="X784" s="296">
        <f t="shared" si="39"/>
        <v>0</v>
      </c>
      <c r="Y784" s="296">
        <f t="shared" si="39"/>
        <v>0</v>
      </c>
      <c r="Z784" s="296">
        <f t="shared" si="39"/>
        <v>0</v>
      </c>
      <c r="AA784" s="296">
        <f t="shared" si="39"/>
        <v>0</v>
      </c>
      <c r="AB784" s="298" t="s">
        <v>835</v>
      </c>
    </row>
    <row r="785" spans="1:28" ht="35.25" customHeight="1" x14ac:dyDescent="0.5">
      <c r="A785">
        <v>1</v>
      </c>
      <c r="B785" s="80">
        <f>SUBTOTAL(103,$A$9:A785)</f>
        <v>752</v>
      </c>
      <c r="C785" s="300" t="s">
        <v>2120</v>
      </c>
      <c r="D785" s="296">
        <f t="shared" si="37"/>
        <v>124987</v>
      </c>
      <c r="E785" s="301">
        <v>0</v>
      </c>
      <c r="F785" s="301">
        <v>0</v>
      </c>
      <c r="G785" s="301">
        <v>124987</v>
      </c>
      <c r="H785" s="301">
        <v>0</v>
      </c>
      <c r="I785" s="301">
        <v>0</v>
      </c>
      <c r="J785" s="301">
        <v>0</v>
      </c>
      <c r="K785" s="302">
        <v>0</v>
      </c>
      <c r="L785" s="301">
        <v>0</v>
      </c>
      <c r="M785" s="301">
        <v>0</v>
      </c>
      <c r="N785" s="301">
        <v>0</v>
      </c>
      <c r="O785" s="301">
        <v>0</v>
      </c>
      <c r="P785" s="301">
        <v>0</v>
      </c>
      <c r="Q785" s="301">
        <v>0</v>
      </c>
      <c r="R785" s="301">
        <v>0</v>
      </c>
      <c r="S785" s="301">
        <v>0</v>
      </c>
      <c r="T785" s="301">
        <v>0</v>
      </c>
      <c r="U785" s="301">
        <v>0</v>
      </c>
      <c r="V785" s="301">
        <v>0</v>
      </c>
      <c r="W785" s="301">
        <v>0</v>
      </c>
      <c r="X785" s="301">
        <v>0</v>
      </c>
      <c r="Y785" s="301">
        <v>0</v>
      </c>
      <c r="Z785" s="301">
        <v>0</v>
      </c>
      <c r="AA785" s="301">
        <v>0</v>
      </c>
      <c r="AB785" s="303">
        <v>2020</v>
      </c>
    </row>
    <row r="786" spans="1:28" ht="35.25" customHeight="1" x14ac:dyDescent="0.5">
      <c r="A786">
        <v>1</v>
      </c>
      <c r="B786" s="80">
        <f>SUBTOTAL(103,$A$9:A786)</f>
        <v>753</v>
      </c>
      <c r="C786" s="300" t="s">
        <v>2275</v>
      </c>
      <c r="D786" s="296">
        <f t="shared" si="37"/>
        <v>584749.22</v>
      </c>
      <c r="E786" s="301">
        <v>0</v>
      </c>
      <c r="F786" s="301">
        <v>161860.35</v>
      </c>
      <c r="G786" s="301">
        <v>422888.87</v>
      </c>
      <c r="H786" s="301">
        <v>0</v>
      </c>
      <c r="I786" s="301">
        <v>0</v>
      </c>
      <c r="J786" s="301">
        <v>0</v>
      </c>
      <c r="K786" s="302">
        <v>0</v>
      </c>
      <c r="L786" s="301">
        <v>0</v>
      </c>
      <c r="M786" s="301">
        <v>0</v>
      </c>
      <c r="N786" s="301">
        <v>0</v>
      </c>
      <c r="O786" s="301">
        <v>0</v>
      </c>
      <c r="P786" s="301">
        <v>0</v>
      </c>
      <c r="Q786" s="301">
        <v>0</v>
      </c>
      <c r="R786" s="301">
        <v>0</v>
      </c>
      <c r="S786" s="301">
        <v>0</v>
      </c>
      <c r="T786" s="301">
        <v>0</v>
      </c>
      <c r="U786" s="301">
        <v>0</v>
      </c>
      <c r="V786" s="301">
        <v>0</v>
      </c>
      <c r="W786" s="301">
        <v>0</v>
      </c>
      <c r="X786" s="301">
        <v>0</v>
      </c>
      <c r="Y786" s="301">
        <v>0</v>
      </c>
      <c r="Z786" s="301">
        <v>0</v>
      </c>
      <c r="AA786" s="301">
        <v>0</v>
      </c>
      <c r="AB786" s="303">
        <v>2020</v>
      </c>
    </row>
    <row r="787" spans="1:28" ht="35.25" customHeight="1" x14ac:dyDescent="0.5">
      <c r="A787">
        <v>1</v>
      </c>
      <c r="B787" s="80">
        <f>SUBTOTAL(103,$A$9:A787)</f>
        <v>754</v>
      </c>
      <c r="C787" s="300" t="s">
        <v>2980</v>
      </c>
      <c r="D787" s="296">
        <f t="shared" si="37"/>
        <v>1546431</v>
      </c>
      <c r="E787" s="301">
        <v>0</v>
      </c>
      <c r="F787" s="301">
        <v>0</v>
      </c>
      <c r="G787" s="301">
        <v>0</v>
      </c>
      <c r="H787" s="301">
        <v>0</v>
      </c>
      <c r="I787" s="301">
        <v>0</v>
      </c>
      <c r="J787" s="301">
        <v>0</v>
      </c>
      <c r="K787" s="302">
        <v>0</v>
      </c>
      <c r="L787" s="301">
        <v>0</v>
      </c>
      <c r="M787" s="301">
        <v>1546431</v>
      </c>
      <c r="N787" s="301">
        <v>0</v>
      </c>
      <c r="O787" s="301">
        <v>0</v>
      </c>
      <c r="P787" s="301">
        <v>0</v>
      </c>
      <c r="Q787" s="301">
        <v>0</v>
      </c>
      <c r="R787" s="301">
        <v>0</v>
      </c>
      <c r="S787" s="301">
        <v>0</v>
      </c>
      <c r="T787" s="301">
        <v>0</v>
      </c>
      <c r="U787" s="301">
        <v>0</v>
      </c>
      <c r="V787" s="301">
        <v>0</v>
      </c>
      <c r="W787" s="301">
        <v>0</v>
      </c>
      <c r="X787" s="301">
        <v>0</v>
      </c>
      <c r="Y787" s="301">
        <v>0</v>
      </c>
      <c r="Z787" s="301">
        <v>0</v>
      </c>
      <c r="AA787" s="301">
        <v>0</v>
      </c>
      <c r="AB787" s="303" t="s">
        <v>2977</v>
      </c>
    </row>
    <row r="788" spans="1:28" ht="35.25" customHeight="1" x14ac:dyDescent="0.5">
      <c r="A788">
        <v>1</v>
      </c>
      <c r="B788" s="80">
        <f>SUBTOTAL(103,$A$9:A788)</f>
        <v>755</v>
      </c>
      <c r="C788" s="300" t="s">
        <v>2121</v>
      </c>
      <c r="D788" s="296">
        <f t="shared" si="37"/>
        <v>377012</v>
      </c>
      <c r="E788" s="301">
        <v>0</v>
      </c>
      <c r="F788" s="301">
        <v>0</v>
      </c>
      <c r="G788" s="301">
        <v>0</v>
      </c>
      <c r="H788" s="301">
        <v>0</v>
      </c>
      <c r="I788" s="301">
        <v>0</v>
      </c>
      <c r="J788" s="301">
        <v>0</v>
      </c>
      <c r="K788" s="302">
        <v>0</v>
      </c>
      <c r="L788" s="301">
        <v>0</v>
      </c>
      <c r="M788" s="301">
        <v>0</v>
      </c>
      <c r="N788" s="301">
        <v>0</v>
      </c>
      <c r="O788" s="301">
        <v>0</v>
      </c>
      <c r="P788" s="301">
        <v>377012</v>
      </c>
      <c r="Q788" s="301">
        <v>0</v>
      </c>
      <c r="R788" s="301">
        <v>0</v>
      </c>
      <c r="S788" s="301">
        <v>0</v>
      </c>
      <c r="T788" s="301">
        <v>0</v>
      </c>
      <c r="U788" s="301">
        <v>0</v>
      </c>
      <c r="V788" s="301">
        <v>0</v>
      </c>
      <c r="W788" s="301">
        <v>0</v>
      </c>
      <c r="X788" s="301">
        <v>0</v>
      </c>
      <c r="Y788" s="301">
        <v>0</v>
      </c>
      <c r="Z788" s="301">
        <v>0</v>
      </c>
      <c r="AA788" s="301">
        <v>0</v>
      </c>
      <c r="AB788" s="303">
        <v>2020</v>
      </c>
    </row>
    <row r="789" spans="1:28" ht="35.25" customHeight="1" x14ac:dyDescent="0.5">
      <c r="B789" s="299" t="s">
        <v>792</v>
      </c>
      <c r="C789" s="300"/>
      <c r="D789" s="296">
        <f t="shared" si="37"/>
        <v>1986455</v>
      </c>
      <c r="E789" s="296">
        <f t="shared" ref="E789:AA789" si="40">SUM(E790:E794)</f>
        <v>0</v>
      </c>
      <c r="F789" s="296">
        <f t="shared" si="40"/>
        <v>0</v>
      </c>
      <c r="G789" s="296">
        <f t="shared" si="40"/>
        <v>164320</v>
      </c>
      <c r="H789" s="296">
        <f t="shared" si="40"/>
        <v>0</v>
      </c>
      <c r="I789" s="296">
        <f t="shared" si="40"/>
        <v>0</v>
      </c>
      <c r="J789" s="296">
        <f t="shared" si="40"/>
        <v>0</v>
      </c>
      <c r="K789" s="297">
        <f t="shared" si="40"/>
        <v>0</v>
      </c>
      <c r="L789" s="296">
        <f t="shared" si="40"/>
        <v>0</v>
      </c>
      <c r="M789" s="296">
        <f t="shared" si="40"/>
        <v>0</v>
      </c>
      <c r="N789" s="296">
        <f t="shared" si="40"/>
        <v>777240</v>
      </c>
      <c r="O789" s="296">
        <f t="shared" si="40"/>
        <v>1044895</v>
      </c>
      <c r="P789" s="296">
        <f t="shared" si="40"/>
        <v>0</v>
      </c>
      <c r="Q789" s="296">
        <f t="shared" si="40"/>
        <v>0</v>
      </c>
      <c r="R789" s="296">
        <f t="shared" si="40"/>
        <v>0</v>
      </c>
      <c r="S789" s="296">
        <f t="shared" si="40"/>
        <v>0</v>
      </c>
      <c r="T789" s="296">
        <f t="shared" si="40"/>
        <v>0</v>
      </c>
      <c r="U789" s="296">
        <f t="shared" si="40"/>
        <v>0</v>
      </c>
      <c r="V789" s="296">
        <f t="shared" si="40"/>
        <v>0</v>
      </c>
      <c r="W789" s="296">
        <f t="shared" si="40"/>
        <v>0</v>
      </c>
      <c r="X789" s="296">
        <f t="shared" si="40"/>
        <v>0</v>
      </c>
      <c r="Y789" s="296">
        <f t="shared" si="40"/>
        <v>0</v>
      </c>
      <c r="Z789" s="296">
        <f t="shared" si="40"/>
        <v>0</v>
      </c>
      <c r="AA789" s="296">
        <f t="shared" si="40"/>
        <v>0</v>
      </c>
      <c r="AB789" s="298" t="s">
        <v>835</v>
      </c>
    </row>
    <row r="790" spans="1:28" ht="35.25" customHeight="1" x14ac:dyDescent="0.5">
      <c r="A790">
        <v>1</v>
      </c>
      <c r="B790" s="80">
        <f>SUBTOTAL(103,$A$9:A790)</f>
        <v>756</v>
      </c>
      <c r="C790" s="300" t="s">
        <v>2276</v>
      </c>
      <c r="D790" s="296">
        <f t="shared" si="37"/>
        <v>164320</v>
      </c>
      <c r="E790" s="301">
        <v>0</v>
      </c>
      <c r="F790" s="301">
        <v>0</v>
      </c>
      <c r="G790" s="301">
        <v>164320</v>
      </c>
      <c r="H790" s="301">
        <v>0</v>
      </c>
      <c r="I790" s="301">
        <v>0</v>
      </c>
      <c r="J790" s="301">
        <v>0</v>
      </c>
      <c r="K790" s="302">
        <v>0</v>
      </c>
      <c r="L790" s="301">
        <v>0</v>
      </c>
      <c r="M790" s="301">
        <v>0</v>
      </c>
      <c r="N790" s="301">
        <v>0</v>
      </c>
      <c r="O790" s="301">
        <v>0</v>
      </c>
      <c r="P790" s="301">
        <v>0</v>
      </c>
      <c r="Q790" s="301">
        <v>0</v>
      </c>
      <c r="R790" s="301">
        <v>0</v>
      </c>
      <c r="S790" s="301">
        <v>0</v>
      </c>
      <c r="T790" s="301">
        <v>0</v>
      </c>
      <c r="U790" s="301">
        <v>0</v>
      </c>
      <c r="V790" s="301">
        <v>0</v>
      </c>
      <c r="W790" s="301">
        <v>0</v>
      </c>
      <c r="X790" s="301">
        <v>0</v>
      </c>
      <c r="Y790" s="301">
        <v>0</v>
      </c>
      <c r="Z790" s="301">
        <v>0</v>
      </c>
      <c r="AA790" s="301">
        <v>0</v>
      </c>
      <c r="AB790" s="303">
        <v>2020</v>
      </c>
    </row>
    <row r="791" spans="1:28" ht="35.25" customHeight="1" x14ac:dyDescent="0.5">
      <c r="A791">
        <v>1</v>
      </c>
      <c r="B791" s="80">
        <f>SUBTOTAL(103,$A$9:A791)</f>
        <v>757</v>
      </c>
      <c r="C791" s="300" t="s">
        <v>2277</v>
      </c>
      <c r="D791" s="296">
        <f t="shared" si="37"/>
        <v>777240</v>
      </c>
      <c r="E791" s="301">
        <v>0</v>
      </c>
      <c r="F791" s="301">
        <v>0</v>
      </c>
      <c r="G791" s="301">
        <v>0</v>
      </c>
      <c r="H791" s="301">
        <v>0</v>
      </c>
      <c r="I791" s="301">
        <v>0</v>
      </c>
      <c r="J791" s="301">
        <v>0</v>
      </c>
      <c r="K791" s="302">
        <v>0</v>
      </c>
      <c r="L791" s="301">
        <v>0</v>
      </c>
      <c r="M791" s="301">
        <v>0</v>
      </c>
      <c r="N791" s="301">
        <v>777240</v>
      </c>
      <c r="O791" s="301">
        <v>0</v>
      </c>
      <c r="P791" s="301">
        <v>0</v>
      </c>
      <c r="Q791" s="301">
        <v>0</v>
      </c>
      <c r="R791" s="301">
        <v>0</v>
      </c>
      <c r="S791" s="301">
        <v>0</v>
      </c>
      <c r="T791" s="301">
        <v>0</v>
      </c>
      <c r="U791" s="301">
        <v>0</v>
      </c>
      <c r="V791" s="301">
        <v>0</v>
      </c>
      <c r="W791" s="301">
        <v>0</v>
      </c>
      <c r="X791" s="301">
        <v>0</v>
      </c>
      <c r="Y791" s="301">
        <v>0</v>
      </c>
      <c r="Z791" s="301">
        <v>0</v>
      </c>
      <c r="AA791" s="301">
        <v>0</v>
      </c>
      <c r="AB791" s="303">
        <v>2020</v>
      </c>
    </row>
    <row r="792" spans="1:28" ht="35.25" customHeight="1" x14ac:dyDescent="0.5">
      <c r="A792">
        <v>1</v>
      </c>
      <c r="B792" s="80">
        <f>SUBTOTAL(103,$A$9:A792)</f>
        <v>758</v>
      </c>
      <c r="C792" s="300" t="s">
        <v>2278</v>
      </c>
      <c r="D792" s="296">
        <f t="shared" si="37"/>
        <v>334627</v>
      </c>
      <c r="E792" s="301">
        <v>0</v>
      </c>
      <c r="F792" s="301">
        <v>0</v>
      </c>
      <c r="G792" s="301">
        <v>0</v>
      </c>
      <c r="H792" s="301">
        <v>0</v>
      </c>
      <c r="I792" s="301">
        <v>0</v>
      </c>
      <c r="J792" s="301">
        <v>0</v>
      </c>
      <c r="K792" s="302">
        <v>0</v>
      </c>
      <c r="L792" s="301">
        <v>0</v>
      </c>
      <c r="M792" s="301">
        <v>0</v>
      </c>
      <c r="N792" s="301">
        <v>0</v>
      </c>
      <c r="O792" s="301">
        <v>334627</v>
      </c>
      <c r="P792" s="301">
        <v>0</v>
      </c>
      <c r="Q792" s="301">
        <v>0</v>
      </c>
      <c r="R792" s="301">
        <v>0</v>
      </c>
      <c r="S792" s="301">
        <v>0</v>
      </c>
      <c r="T792" s="301">
        <v>0</v>
      </c>
      <c r="U792" s="301">
        <v>0</v>
      </c>
      <c r="V792" s="301">
        <v>0</v>
      </c>
      <c r="W792" s="301">
        <v>0</v>
      </c>
      <c r="X792" s="301">
        <v>0</v>
      </c>
      <c r="Y792" s="301">
        <v>0</v>
      </c>
      <c r="Z792" s="301">
        <v>0</v>
      </c>
      <c r="AA792" s="301">
        <v>0</v>
      </c>
      <c r="AB792" s="303">
        <v>2020</v>
      </c>
    </row>
    <row r="793" spans="1:28" ht="35.25" customHeight="1" x14ac:dyDescent="0.5">
      <c r="A793">
        <v>1</v>
      </c>
      <c r="B793" s="80">
        <f>SUBTOTAL(103,$A$9:A793)</f>
        <v>759</v>
      </c>
      <c r="C793" s="300" t="s">
        <v>2279</v>
      </c>
      <c r="D793" s="296">
        <f t="shared" si="37"/>
        <v>382704</v>
      </c>
      <c r="E793" s="301">
        <v>0</v>
      </c>
      <c r="F793" s="301">
        <v>0</v>
      </c>
      <c r="G793" s="301">
        <v>0</v>
      </c>
      <c r="H793" s="301">
        <v>0</v>
      </c>
      <c r="I793" s="301">
        <v>0</v>
      </c>
      <c r="J793" s="301">
        <v>0</v>
      </c>
      <c r="K793" s="302">
        <v>0</v>
      </c>
      <c r="L793" s="301">
        <v>0</v>
      </c>
      <c r="M793" s="301">
        <v>0</v>
      </c>
      <c r="N793" s="301">
        <v>0</v>
      </c>
      <c r="O793" s="301">
        <f>195571+187133</f>
        <v>382704</v>
      </c>
      <c r="P793" s="301">
        <v>0</v>
      </c>
      <c r="Q793" s="301">
        <v>0</v>
      </c>
      <c r="R793" s="301">
        <v>0</v>
      </c>
      <c r="S793" s="301">
        <v>0</v>
      </c>
      <c r="T793" s="301">
        <v>0</v>
      </c>
      <c r="U793" s="301">
        <v>0</v>
      </c>
      <c r="V793" s="301">
        <v>0</v>
      </c>
      <c r="W793" s="301">
        <v>0</v>
      </c>
      <c r="X793" s="301">
        <v>0</v>
      </c>
      <c r="Y793" s="301">
        <v>0</v>
      </c>
      <c r="Z793" s="301">
        <v>0</v>
      </c>
      <c r="AA793" s="301">
        <v>0</v>
      </c>
      <c r="AB793" s="303">
        <v>2020</v>
      </c>
    </row>
    <row r="794" spans="1:28" ht="35.25" customHeight="1" x14ac:dyDescent="0.5">
      <c r="A794">
        <v>1</v>
      </c>
      <c r="B794" s="80">
        <f>SUBTOTAL(103,$A$9:A794)</f>
        <v>760</v>
      </c>
      <c r="C794" s="300" t="s">
        <v>2280</v>
      </c>
      <c r="D794" s="296">
        <f t="shared" si="37"/>
        <v>327564</v>
      </c>
      <c r="E794" s="301">
        <v>0</v>
      </c>
      <c r="F794" s="301">
        <v>0</v>
      </c>
      <c r="G794" s="301">
        <v>0</v>
      </c>
      <c r="H794" s="301">
        <v>0</v>
      </c>
      <c r="I794" s="301">
        <v>0</v>
      </c>
      <c r="J794" s="301">
        <v>0</v>
      </c>
      <c r="K794" s="302">
        <v>0</v>
      </c>
      <c r="L794" s="301">
        <v>0</v>
      </c>
      <c r="M794" s="301">
        <v>0</v>
      </c>
      <c r="N794" s="301">
        <v>0</v>
      </c>
      <c r="O794" s="301">
        <v>327564</v>
      </c>
      <c r="P794" s="301">
        <v>0</v>
      </c>
      <c r="Q794" s="301">
        <v>0</v>
      </c>
      <c r="R794" s="301">
        <v>0</v>
      </c>
      <c r="S794" s="301">
        <v>0</v>
      </c>
      <c r="T794" s="301">
        <v>0</v>
      </c>
      <c r="U794" s="301">
        <v>0</v>
      </c>
      <c r="V794" s="301">
        <v>0</v>
      </c>
      <c r="W794" s="301">
        <v>0</v>
      </c>
      <c r="X794" s="301">
        <v>0</v>
      </c>
      <c r="Y794" s="301">
        <v>0</v>
      </c>
      <c r="Z794" s="301">
        <v>0</v>
      </c>
      <c r="AA794" s="301">
        <v>0</v>
      </c>
      <c r="AB794" s="303">
        <v>2020</v>
      </c>
    </row>
    <row r="795" spans="1:28" ht="35.25" customHeight="1" x14ac:dyDescent="0.5">
      <c r="B795" s="299" t="s">
        <v>824</v>
      </c>
      <c r="C795" s="300"/>
      <c r="D795" s="296">
        <f t="shared" si="37"/>
        <v>1294543.06</v>
      </c>
      <c r="E795" s="296">
        <f t="shared" ref="E795:AA795" si="41">SUM(E796:E797)</f>
        <v>0</v>
      </c>
      <c r="F795" s="296">
        <f t="shared" si="41"/>
        <v>0</v>
      </c>
      <c r="G795" s="296">
        <f t="shared" si="41"/>
        <v>0</v>
      </c>
      <c r="H795" s="296">
        <f t="shared" si="41"/>
        <v>0</v>
      </c>
      <c r="I795" s="296">
        <f t="shared" si="41"/>
        <v>0</v>
      </c>
      <c r="J795" s="296">
        <f t="shared" si="41"/>
        <v>0</v>
      </c>
      <c r="K795" s="297">
        <f t="shared" si="41"/>
        <v>0</v>
      </c>
      <c r="L795" s="296">
        <f t="shared" si="41"/>
        <v>0</v>
      </c>
      <c r="M795" s="296">
        <f t="shared" si="41"/>
        <v>1180000</v>
      </c>
      <c r="N795" s="296">
        <f t="shared" si="41"/>
        <v>0</v>
      </c>
      <c r="O795" s="296">
        <f t="shared" si="41"/>
        <v>114543.06</v>
      </c>
      <c r="P795" s="296">
        <f t="shared" si="41"/>
        <v>0</v>
      </c>
      <c r="Q795" s="296">
        <f t="shared" si="41"/>
        <v>0</v>
      </c>
      <c r="R795" s="296">
        <f t="shared" si="41"/>
        <v>0</v>
      </c>
      <c r="S795" s="296">
        <f t="shared" si="41"/>
        <v>0</v>
      </c>
      <c r="T795" s="296">
        <f t="shared" si="41"/>
        <v>0</v>
      </c>
      <c r="U795" s="296">
        <f t="shared" si="41"/>
        <v>0</v>
      </c>
      <c r="V795" s="296">
        <f t="shared" si="41"/>
        <v>0</v>
      </c>
      <c r="W795" s="296">
        <f t="shared" si="41"/>
        <v>0</v>
      </c>
      <c r="X795" s="296">
        <f t="shared" si="41"/>
        <v>0</v>
      </c>
      <c r="Y795" s="296">
        <f t="shared" si="41"/>
        <v>0</v>
      </c>
      <c r="Z795" s="296">
        <f t="shared" si="41"/>
        <v>0</v>
      </c>
      <c r="AA795" s="296">
        <f t="shared" si="41"/>
        <v>0</v>
      </c>
      <c r="AB795" s="298" t="s">
        <v>835</v>
      </c>
    </row>
    <row r="796" spans="1:28" ht="35.25" customHeight="1" x14ac:dyDescent="0.5">
      <c r="A796">
        <v>1</v>
      </c>
      <c r="B796" s="80">
        <f>SUBTOTAL(103,$A$9:A796)</f>
        <v>761</v>
      </c>
      <c r="C796" s="300" t="s">
        <v>2281</v>
      </c>
      <c r="D796" s="296">
        <f t="shared" si="37"/>
        <v>114543.06</v>
      </c>
      <c r="E796" s="301">
        <v>0</v>
      </c>
      <c r="F796" s="301">
        <v>0</v>
      </c>
      <c r="G796" s="301">
        <v>0</v>
      </c>
      <c r="H796" s="301">
        <v>0</v>
      </c>
      <c r="I796" s="301">
        <v>0</v>
      </c>
      <c r="J796" s="301">
        <v>0</v>
      </c>
      <c r="K796" s="302">
        <v>0</v>
      </c>
      <c r="L796" s="301">
        <v>0</v>
      </c>
      <c r="M796" s="301">
        <v>0</v>
      </c>
      <c r="N796" s="301">
        <v>0</v>
      </c>
      <c r="O796" s="301">
        <v>114543.06</v>
      </c>
      <c r="P796" s="301">
        <v>0</v>
      </c>
      <c r="Q796" s="301">
        <v>0</v>
      </c>
      <c r="R796" s="301">
        <v>0</v>
      </c>
      <c r="S796" s="301">
        <v>0</v>
      </c>
      <c r="T796" s="301">
        <v>0</v>
      </c>
      <c r="U796" s="301">
        <v>0</v>
      </c>
      <c r="V796" s="301">
        <v>0</v>
      </c>
      <c r="W796" s="301">
        <v>0</v>
      </c>
      <c r="X796" s="301">
        <v>0</v>
      </c>
      <c r="Y796" s="301">
        <v>0</v>
      </c>
      <c r="Z796" s="301">
        <v>0</v>
      </c>
      <c r="AA796" s="301">
        <v>0</v>
      </c>
      <c r="AB796" s="303">
        <v>2020</v>
      </c>
    </row>
    <row r="797" spans="1:28" ht="35.25" customHeight="1" x14ac:dyDescent="0.5">
      <c r="A797">
        <v>1</v>
      </c>
      <c r="B797" s="80">
        <f>SUBTOTAL(103,$A$9:A797)</f>
        <v>762</v>
      </c>
      <c r="C797" s="300" t="s">
        <v>2626</v>
      </c>
      <c r="D797" s="296">
        <f t="shared" si="37"/>
        <v>1180000</v>
      </c>
      <c r="E797" s="301">
        <v>0</v>
      </c>
      <c r="F797" s="301">
        <v>0</v>
      </c>
      <c r="G797" s="301">
        <v>0</v>
      </c>
      <c r="H797" s="301">
        <v>0</v>
      </c>
      <c r="I797" s="301">
        <v>0</v>
      </c>
      <c r="J797" s="301">
        <v>0</v>
      </c>
      <c r="K797" s="302">
        <v>0</v>
      </c>
      <c r="L797" s="301">
        <v>0</v>
      </c>
      <c r="M797" s="301">
        <v>1180000</v>
      </c>
      <c r="N797" s="301">
        <v>0</v>
      </c>
      <c r="O797" s="301">
        <v>0</v>
      </c>
      <c r="P797" s="301">
        <v>0</v>
      </c>
      <c r="Q797" s="301">
        <v>0</v>
      </c>
      <c r="R797" s="301">
        <v>0</v>
      </c>
      <c r="S797" s="301">
        <v>0</v>
      </c>
      <c r="T797" s="301">
        <v>0</v>
      </c>
      <c r="U797" s="301">
        <v>0</v>
      </c>
      <c r="V797" s="301">
        <v>0</v>
      </c>
      <c r="W797" s="301">
        <v>0</v>
      </c>
      <c r="X797" s="301">
        <v>0</v>
      </c>
      <c r="Y797" s="301">
        <v>0</v>
      </c>
      <c r="Z797" s="301">
        <v>0</v>
      </c>
      <c r="AA797" s="301">
        <v>0</v>
      </c>
      <c r="AB797" s="303">
        <v>2020</v>
      </c>
    </row>
    <row r="798" spans="1:28" ht="35.25" customHeight="1" x14ac:dyDescent="0.5">
      <c r="B798" s="299" t="s">
        <v>817</v>
      </c>
      <c r="C798" s="300"/>
      <c r="D798" s="296">
        <f t="shared" si="37"/>
        <v>308647</v>
      </c>
      <c r="E798" s="296">
        <f t="shared" ref="E798:AA798" si="42">SUM(E799)</f>
        <v>108647</v>
      </c>
      <c r="F798" s="296">
        <f t="shared" si="42"/>
        <v>200000</v>
      </c>
      <c r="G798" s="296">
        <f t="shared" si="42"/>
        <v>0</v>
      </c>
      <c r="H798" s="296">
        <f t="shared" si="42"/>
        <v>0</v>
      </c>
      <c r="I798" s="296">
        <f t="shared" si="42"/>
        <v>0</v>
      </c>
      <c r="J798" s="296">
        <f t="shared" si="42"/>
        <v>0</v>
      </c>
      <c r="K798" s="297">
        <f t="shared" si="42"/>
        <v>0</v>
      </c>
      <c r="L798" s="296">
        <f t="shared" si="42"/>
        <v>0</v>
      </c>
      <c r="M798" s="296">
        <f t="shared" si="42"/>
        <v>0</v>
      </c>
      <c r="N798" s="296">
        <f t="shared" si="42"/>
        <v>0</v>
      </c>
      <c r="O798" s="296">
        <f t="shared" si="42"/>
        <v>0</v>
      </c>
      <c r="P798" s="296">
        <f t="shared" si="42"/>
        <v>0</v>
      </c>
      <c r="Q798" s="296">
        <f t="shared" si="42"/>
        <v>0</v>
      </c>
      <c r="R798" s="296">
        <f t="shared" si="42"/>
        <v>0</v>
      </c>
      <c r="S798" s="296">
        <f t="shared" si="42"/>
        <v>0</v>
      </c>
      <c r="T798" s="296">
        <f t="shared" si="42"/>
        <v>0</v>
      </c>
      <c r="U798" s="296">
        <f t="shared" si="42"/>
        <v>0</v>
      </c>
      <c r="V798" s="296">
        <f t="shared" si="42"/>
        <v>0</v>
      </c>
      <c r="W798" s="296">
        <f t="shared" si="42"/>
        <v>0</v>
      </c>
      <c r="X798" s="296">
        <f t="shared" si="42"/>
        <v>0</v>
      </c>
      <c r="Y798" s="296">
        <f t="shared" si="42"/>
        <v>0</v>
      </c>
      <c r="Z798" s="296">
        <f t="shared" si="42"/>
        <v>0</v>
      </c>
      <c r="AA798" s="296">
        <f t="shared" si="42"/>
        <v>0</v>
      </c>
      <c r="AB798" s="298" t="s">
        <v>835</v>
      </c>
    </row>
    <row r="799" spans="1:28" ht="35.25" customHeight="1" x14ac:dyDescent="0.5">
      <c r="A799">
        <v>1</v>
      </c>
      <c r="B799" s="80">
        <f>SUBTOTAL(103,$A$9:A799)</f>
        <v>763</v>
      </c>
      <c r="C799" s="300" t="s">
        <v>2465</v>
      </c>
      <c r="D799" s="296">
        <f t="shared" si="37"/>
        <v>308647</v>
      </c>
      <c r="E799" s="301">
        <v>108647</v>
      </c>
      <c r="F799" s="301">
        <v>200000</v>
      </c>
      <c r="G799" s="301">
        <v>0</v>
      </c>
      <c r="H799" s="301">
        <v>0</v>
      </c>
      <c r="I799" s="301">
        <v>0</v>
      </c>
      <c r="J799" s="301">
        <v>0</v>
      </c>
      <c r="K799" s="302">
        <v>0</v>
      </c>
      <c r="L799" s="301">
        <v>0</v>
      </c>
      <c r="M799" s="301">
        <v>0</v>
      </c>
      <c r="N799" s="301">
        <v>0</v>
      </c>
      <c r="O799" s="301">
        <v>0</v>
      </c>
      <c r="P799" s="301">
        <v>0</v>
      </c>
      <c r="Q799" s="301">
        <v>0</v>
      </c>
      <c r="R799" s="301">
        <v>0</v>
      </c>
      <c r="S799" s="301">
        <v>0</v>
      </c>
      <c r="T799" s="301">
        <v>0</v>
      </c>
      <c r="U799" s="301">
        <v>0</v>
      </c>
      <c r="V799" s="301">
        <v>0</v>
      </c>
      <c r="W799" s="301">
        <v>0</v>
      </c>
      <c r="X799" s="301">
        <v>0</v>
      </c>
      <c r="Y799" s="301">
        <v>0</v>
      </c>
      <c r="Z799" s="301">
        <v>0</v>
      </c>
      <c r="AA799" s="301">
        <v>0</v>
      </c>
      <c r="AB799" s="303">
        <v>2020</v>
      </c>
    </row>
    <row r="800" spans="1:28" ht="35.25" customHeight="1" x14ac:dyDescent="0.5">
      <c r="B800" s="299" t="s">
        <v>832</v>
      </c>
      <c r="C800" s="300"/>
      <c r="D800" s="296">
        <f t="shared" si="37"/>
        <v>2491224</v>
      </c>
      <c r="E800" s="296">
        <f t="shared" ref="E800:AA800" si="43">SUM(E801:E803)</f>
        <v>0</v>
      </c>
      <c r="F800" s="296">
        <f t="shared" si="43"/>
        <v>0</v>
      </c>
      <c r="G800" s="296">
        <f t="shared" si="43"/>
        <v>0</v>
      </c>
      <c r="H800" s="296">
        <f t="shared" si="43"/>
        <v>0</v>
      </c>
      <c r="I800" s="296">
        <f t="shared" si="43"/>
        <v>0</v>
      </c>
      <c r="J800" s="296">
        <f t="shared" si="43"/>
        <v>0</v>
      </c>
      <c r="K800" s="297">
        <f t="shared" si="43"/>
        <v>0</v>
      </c>
      <c r="L800" s="296">
        <f t="shared" si="43"/>
        <v>0</v>
      </c>
      <c r="M800" s="296">
        <f t="shared" si="43"/>
        <v>2491224</v>
      </c>
      <c r="N800" s="296">
        <f t="shared" si="43"/>
        <v>0</v>
      </c>
      <c r="O800" s="296">
        <f t="shared" si="43"/>
        <v>0</v>
      </c>
      <c r="P800" s="296">
        <f t="shared" si="43"/>
        <v>0</v>
      </c>
      <c r="Q800" s="296">
        <f t="shared" si="43"/>
        <v>0</v>
      </c>
      <c r="R800" s="296">
        <f t="shared" si="43"/>
        <v>0</v>
      </c>
      <c r="S800" s="296">
        <f t="shared" si="43"/>
        <v>0</v>
      </c>
      <c r="T800" s="296">
        <f t="shared" si="43"/>
        <v>0</v>
      </c>
      <c r="U800" s="296">
        <f t="shared" si="43"/>
        <v>0</v>
      </c>
      <c r="V800" s="296">
        <f t="shared" si="43"/>
        <v>0</v>
      </c>
      <c r="W800" s="296">
        <f t="shared" si="43"/>
        <v>0</v>
      </c>
      <c r="X800" s="296">
        <f t="shared" si="43"/>
        <v>0</v>
      </c>
      <c r="Y800" s="296">
        <f t="shared" si="43"/>
        <v>0</v>
      </c>
      <c r="Z800" s="296">
        <f t="shared" si="43"/>
        <v>0</v>
      </c>
      <c r="AA800" s="296">
        <f t="shared" si="43"/>
        <v>0</v>
      </c>
      <c r="AB800" s="298" t="s">
        <v>835</v>
      </c>
    </row>
    <row r="801" spans="1:28" ht="35.25" customHeight="1" x14ac:dyDescent="0.5">
      <c r="A801">
        <v>1</v>
      </c>
      <c r="B801" s="80">
        <f>SUBTOTAL(103,$A$9:A801)</f>
        <v>764</v>
      </c>
      <c r="C801" s="300" t="s">
        <v>2627</v>
      </c>
      <c r="D801" s="296">
        <f t="shared" si="37"/>
        <v>1370738</v>
      </c>
      <c r="E801" s="301">
        <v>0</v>
      </c>
      <c r="F801" s="301">
        <v>0</v>
      </c>
      <c r="G801" s="301">
        <v>0</v>
      </c>
      <c r="H801" s="301">
        <v>0</v>
      </c>
      <c r="I801" s="301">
        <v>0</v>
      </c>
      <c r="J801" s="301">
        <v>0</v>
      </c>
      <c r="K801" s="302">
        <v>0</v>
      </c>
      <c r="L801" s="301">
        <v>0</v>
      </c>
      <c r="M801" s="301">
        <v>1370738</v>
      </c>
      <c r="N801" s="301">
        <v>0</v>
      </c>
      <c r="O801" s="301">
        <v>0</v>
      </c>
      <c r="P801" s="301">
        <v>0</v>
      </c>
      <c r="Q801" s="301">
        <v>0</v>
      </c>
      <c r="R801" s="301">
        <v>0</v>
      </c>
      <c r="S801" s="301">
        <v>0</v>
      </c>
      <c r="T801" s="301">
        <v>0</v>
      </c>
      <c r="U801" s="301">
        <v>0</v>
      </c>
      <c r="V801" s="301">
        <v>0</v>
      </c>
      <c r="W801" s="301">
        <v>0</v>
      </c>
      <c r="X801" s="301">
        <v>0</v>
      </c>
      <c r="Y801" s="301">
        <v>0</v>
      </c>
      <c r="Z801" s="301">
        <v>0</v>
      </c>
      <c r="AA801" s="301">
        <v>0</v>
      </c>
      <c r="AB801" s="303">
        <v>2020</v>
      </c>
    </row>
    <row r="802" spans="1:28" ht="35.25" customHeight="1" x14ac:dyDescent="0.5">
      <c r="A802">
        <v>1</v>
      </c>
      <c r="B802" s="80">
        <f>SUBTOTAL(103,$A$9:A802)</f>
        <v>765</v>
      </c>
      <c r="C802" s="300" t="s">
        <v>2628</v>
      </c>
      <c r="D802" s="296">
        <f t="shared" si="37"/>
        <v>560243</v>
      </c>
      <c r="E802" s="301">
        <v>0</v>
      </c>
      <c r="F802" s="301">
        <v>0</v>
      </c>
      <c r="G802" s="301">
        <v>0</v>
      </c>
      <c r="H802" s="301">
        <v>0</v>
      </c>
      <c r="I802" s="301">
        <v>0</v>
      </c>
      <c r="J802" s="301">
        <v>0</v>
      </c>
      <c r="K802" s="302">
        <v>0</v>
      </c>
      <c r="L802" s="301">
        <v>0</v>
      </c>
      <c r="M802" s="301">
        <v>560243</v>
      </c>
      <c r="N802" s="301">
        <v>0</v>
      </c>
      <c r="O802" s="301">
        <v>0</v>
      </c>
      <c r="P802" s="301">
        <v>0</v>
      </c>
      <c r="Q802" s="301">
        <v>0</v>
      </c>
      <c r="R802" s="301">
        <v>0</v>
      </c>
      <c r="S802" s="301">
        <v>0</v>
      </c>
      <c r="T802" s="301">
        <v>0</v>
      </c>
      <c r="U802" s="301">
        <v>0</v>
      </c>
      <c r="V802" s="301">
        <v>0</v>
      </c>
      <c r="W802" s="301">
        <v>0</v>
      </c>
      <c r="X802" s="301">
        <v>0</v>
      </c>
      <c r="Y802" s="301">
        <v>0</v>
      </c>
      <c r="Z802" s="301">
        <v>0</v>
      </c>
      <c r="AA802" s="301">
        <v>0</v>
      </c>
      <c r="AB802" s="303">
        <v>2020</v>
      </c>
    </row>
    <row r="803" spans="1:28" ht="35.25" customHeight="1" x14ac:dyDescent="0.5">
      <c r="A803">
        <v>1</v>
      </c>
      <c r="B803" s="80">
        <f>SUBTOTAL(103,$A$9:A803)</f>
        <v>766</v>
      </c>
      <c r="C803" s="300" t="s">
        <v>2629</v>
      </c>
      <c r="D803" s="296">
        <f t="shared" si="37"/>
        <v>560243</v>
      </c>
      <c r="E803" s="301">
        <v>0</v>
      </c>
      <c r="F803" s="301">
        <v>0</v>
      </c>
      <c r="G803" s="301">
        <v>0</v>
      </c>
      <c r="H803" s="301">
        <v>0</v>
      </c>
      <c r="I803" s="301">
        <v>0</v>
      </c>
      <c r="J803" s="301">
        <v>0</v>
      </c>
      <c r="K803" s="302">
        <v>0</v>
      </c>
      <c r="L803" s="301">
        <v>0</v>
      </c>
      <c r="M803" s="301">
        <v>560243</v>
      </c>
      <c r="N803" s="301">
        <v>0</v>
      </c>
      <c r="O803" s="301">
        <v>0</v>
      </c>
      <c r="P803" s="301">
        <v>0</v>
      </c>
      <c r="Q803" s="301">
        <v>0</v>
      </c>
      <c r="R803" s="301">
        <v>0</v>
      </c>
      <c r="S803" s="301">
        <v>0</v>
      </c>
      <c r="T803" s="301">
        <v>0</v>
      </c>
      <c r="U803" s="301">
        <v>0</v>
      </c>
      <c r="V803" s="301">
        <v>0</v>
      </c>
      <c r="W803" s="301">
        <v>0</v>
      </c>
      <c r="X803" s="301">
        <v>0</v>
      </c>
      <c r="Y803" s="301">
        <v>0</v>
      </c>
      <c r="Z803" s="301">
        <v>0</v>
      </c>
      <c r="AA803" s="301">
        <v>0</v>
      </c>
      <c r="AB803" s="303">
        <v>2020</v>
      </c>
    </row>
    <row r="804" spans="1:28" ht="35.25" customHeight="1" x14ac:dyDescent="0.5">
      <c r="B804" s="299" t="s">
        <v>2630</v>
      </c>
      <c r="C804" s="300"/>
      <c r="D804" s="296">
        <f t="shared" si="37"/>
        <v>2256496.0699999998</v>
      </c>
      <c r="E804" s="296">
        <f t="shared" ref="E804:AA804" si="44">SUM(E805)</f>
        <v>0</v>
      </c>
      <c r="F804" s="296">
        <f t="shared" si="44"/>
        <v>0</v>
      </c>
      <c r="G804" s="296">
        <f t="shared" si="44"/>
        <v>0</v>
      </c>
      <c r="H804" s="296">
        <f t="shared" si="44"/>
        <v>0</v>
      </c>
      <c r="I804" s="296">
        <f t="shared" si="44"/>
        <v>0</v>
      </c>
      <c r="J804" s="296">
        <f t="shared" si="44"/>
        <v>0</v>
      </c>
      <c r="K804" s="297">
        <f t="shared" si="44"/>
        <v>0</v>
      </c>
      <c r="L804" s="296">
        <f t="shared" si="44"/>
        <v>0</v>
      </c>
      <c r="M804" s="296">
        <f t="shared" si="44"/>
        <v>2256496.0699999998</v>
      </c>
      <c r="N804" s="296">
        <f t="shared" si="44"/>
        <v>0</v>
      </c>
      <c r="O804" s="296">
        <f t="shared" si="44"/>
        <v>0</v>
      </c>
      <c r="P804" s="296">
        <f t="shared" si="44"/>
        <v>0</v>
      </c>
      <c r="Q804" s="296">
        <f t="shared" si="44"/>
        <v>0</v>
      </c>
      <c r="R804" s="296">
        <f t="shared" si="44"/>
        <v>0</v>
      </c>
      <c r="S804" s="296">
        <f t="shared" si="44"/>
        <v>0</v>
      </c>
      <c r="T804" s="296">
        <f t="shared" si="44"/>
        <v>0</v>
      </c>
      <c r="U804" s="296">
        <f t="shared" si="44"/>
        <v>0</v>
      </c>
      <c r="V804" s="296">
        <f t="shared" si="44"/>
        <v>0</v>
      </c>
      <c r="W804" s="296">
        <f t="shared" si="44"/>
        <v>0</v>
      </c>
      <c r="X804" s="296">
        <f t="shared" si="44"/>
        <v>0</v>
      </c>
      <c r="Y804" s="296">
        <f t="shared" si="44"/>
        <v>0</v>
      </c>
      <c r="Z804" s="296">
        <f t="shared" si="44"/>
        <v>0</v>
      </c>
      <c r="AA804" s="296">
        <f t="shared" si="44"/>
        <v>0</v>
      </c>
      <c r="AB804" s="298" t="s">
        <v>835</v>
      </c>
    </row>
    <row r="805" spans="1:28" ht="35.25" customHeight="1" x14ac:dyDescent="0.5">
      <c r="A805">
        <v>1</v>
      </c>
      <c r="B805" s="80">
        <f>SUBTOTAL(103,$A$9:A805)</f>
        <v>767</v>
      </c>
      <c r="C805" s="300" t="s">
        <v>2631</v>
      </c>
      <c r="D805" s="296">
        <f t="shared" si="37"/>
        <v>2256496.0699999998</v>
      </c>
      <c r="E805" s="301">
        <v>0</v>
      </c>
      <c r="F805" s="301">
        <v>0</v>
      </c>
      <c r="G805" s="301">
        <v>0</v>
      </c>
      <c r="H805" s="301">
        <v>0</v>
      </c>
      <c r="I805" s="301">
        <v>0</v>
      </c>
      <c r="J805" s="301">
        <v>0</v>
      </c>
      <c r="K805" s="302">
        <v>0</v>
      </c>
      <c r="L805" s="301">
        <v>0</v>
      </c>
      <c r="M805" s="301">
        <v>2256496.0699999998</v>
      </c>
      <c r="N805" s="301">
        <v>0</v>
      </c>
      <c r="O805" s="301">
        <v>0</v>
      </c>
      <c r="P805" s="301">
        <v>0</v>
      </c>
      <c r="Q805" s="301">
        <v>0</v>
      </c>
      <c r="R805" s="301">
        <v>0</v>
      </c>
      <c r="S805" s="301">
        <v>0</v>
      </c>
      <c r="T805" s="301">
        <v>0</v>
      </c>
      <c r="U805" s="301">
        <v>0</v>
      </c>
      <c r="V805" s="301">
        <v>0</v>
      </c>
      <c r="W805" s="301">
        <v>0</v>
      </c>
      <c r="X805" s="301">
        <v>0</v>
      </c>
      <c r="Y805" s="301">
        <v>0</v>
      </c>
      <c r="Z805" s="301">
        <v>0</v>
      </c>
      <c r="AA805" s="301">
        <v>0</v>
      </c>
      <c r="AB805" s="303">
        <v>2020</v>
      </c>
    </row>
    <row r="806" spans="1:28" ht="35.25" customHeight="1" x14ac:dyDescent="0.5">
      <c r="A806" s="293"/>
      <c r="B806" s="299" t="s">
        <v>2282</v>
      </c>
      <c r="C806" s="300"/>
      <c r="D806" s="296">
        <f t="shared" si="37"/>
        <v>1024986134.4700001</v>
      </c>
      <c r="E806" s="296">
        <f t="shared" ref="E806:AA806" si="45">E807+E1138+E1220+E1297+E1339+E1512+E1519+E1523+E1527+E1552+E1556+E1566+E1571+E1591+E1596+E1608+E1630+E1637+E1644+E1647+E1652+E1656+E1661+E1665+E1668+E1690+E1693+E1688+E1682+E1680+E1678+E1674+E1521</f>
        <v>16155022.129999997</v>
      </c>
      <c r="F806" s="296">
        <f t="shared" si="45"/>
        <v>17808801.960000001</v>
      </c>
      <c r="G806" s="296">
        <f t="shared" si="45"/>
        <v>85477110.25</v>
      </c>
      <c r="H806" s="296">
        <f t="shared" si="45"/>
        <v>9648081.1100000013</v>
      </c>
      <c r="I806" s="296">
        <f t="shared" si="45"/>
        <v>33568382.839999996</v>
      </c>
      <c r="J806" s="296">
        <f t="shared" si="45"/>
        <v>2309494.7799999998</v>
      </c>
      <c r="K806" s="297">
        <f t="shared" si="45"/>
        <v>121</v>
      </c>
      <c r="L806" s="296">
        <f t="shared" si="45"/>
        <v>213858911.94</v>
      </c>
      <c r="M806" s="296">
        <f t="shared" si="45"/>
        <v>304082535.14000005</v>
      </c>
      <c r="N806" s="296">
        <f t="shared" si="45"/>
        <v>14264206.99</v>
      </c>
      <c r="O806" s="296">
        <f t="shared" si="45"/>
        <v>306096044.5</v>
      </c>
      <c r="P806" s="296">
        <f t="shared" si="45"/>
        <v>12197383.629999999</v>
      </c>
      <c r="Q806" s="296">
        <f t="shared" si="45"/>
        <v>0</v>
      </c>
      <c r="R806" s="296">
        <f t="shared" si="45"/>
        <v>0</v>
      </c>
      <c r="S806" s="296">
        <f t="shared" si="45"/>
        <v>0</v>
      </c>
      <c r="T806" s="296">
        <f t="shared" si="45"/>
        <v>0</v>
      </c>
      <c r="U806" s="296">
        <f t="shared" si="45"/>
        <v>0</v>
      </c>
      <c r="V806" s="296">
        <f t="shared" si="45"/>
        <v>0</v>
      </c>
      <c r="W806" s="296">
        <f t="shared" si="45"/>
        <v>8458152</v>
      </c>
      <c r="X806" s="296">
        <f t="shared" si="45"/>
        <v>0</v>
      </c>
      <c r="Y806" s="296">
        <f t="shared" si="45"/>
        <v>0</v>
      </c>
      <c r="Z806" s="296">
        <f t="shared" si="45"/>
        <v>1062007.2000000002</v>
      </c>
      <c r="AA806" s="296">
        <f t="shared" si="45"/>
        <v>0</v>
      </c>
      <c r="AB806" s="298" t="s">
        <v>835</v>
      </c>
    </row>
    <row r="807" spans="1:28" ht="35.25" customHeight="1" x14ac:dyDescent="0.5">
      <c r="A807" s="293"/>
      <c r="B807" s="294" t="s">
        <v>985</v>
      </c>
      <c r="C807" s="295"/>
      <c r="D807" s="296">
        <f t="shared" si="37"/>
        <v>491835618.93000007</v>
      </c>
      <c r="E807" s="296">
        <f t="shared" ref="E807:AA807" si="46">SUM(E808:E1137)</f>
        <v>7247510.8299999991</v>
      </c>
      <c r="F807" s="296">
        <f t="shared" si="46"/>
        <v>7547962.1400000006</v>
      </c>
      <c r="G807" s="296">
        <f t="shared" si="46"/>
        <v>47762400.769999996</v>
      </c>
      <c r="H807" s="296">
        <f t="shared" si="46"/>
        <v>2346918.8199999998</v>
      </c>
      <c r="I807" s="296">
        <f t="shared" si="46"/>
        <v>14645000.039999999</v>
      </c>
      <c r="J807" s="296">
        <f t="shared" si="46"/>
        <v>507014.15</v>
      </c>
      <c r="K807" s="297">
        <f t="shared" si="46"/>
        <v>73</v>
      </c>
      <c r="L807" s="296">
        <f t="shared" si="46"/>
        <v>125405007.72000001</v>
      </c>
      <c r="M807" s="296">
        <f t="shared" si="46"/>
        <v>134662588.51000005</v>
      </c>
      <c r="N807" s="296">
        <f t="shared" si="46"/>
        <v>6441842.8999999994</v>
      </c>
      <c r="O807" s="296">
        <f t="shared" si="46"/>
        <v>139287943.91999999</v>
      </c>
      <c r="P807" s="296">
        <f t="shared" si="46"/>
        <v>1508409.9300000002</v>
      </c>
      <c r="Q807" s="296">
        <f t="shared" si="46"/>
        <v>0</v>
      </c>
      <c r="R807" s="296">
        <f t="shared" si="46"/>
        <v>0</v>
      </c>
      <c r="S807" s="296">
        <f t="shared" si="46"/>
        <v>0</v>
      </c>
      <c r="T807" s="296">
        <f t="shared" si="46"/>
        <v>0</v>
      </c>
      <c r="U807" s="296">
        <f t="shared" si="46"/>
        <v>0</v>
      </c>
      <c r="V807" s="296">
        <f t="shared" si="46"/>
        <v>0</v>
      </c>
      <c r="W807" s="296">
        <f t="shared" si="46"/>
        <v>3411012</v>
      </c>
      <c r="X807" s="296">
        <f t="shared" si="46"/>
        <v>0</v>
      </c>
      <c r="Y807" s="296">
        <f t="shared" si="46"/>
        <v>0</v>
      </c>
      <c r="Z807" s="296">
        <f t="shared" si="46"/>
        <v>1062007.2000000002</v>
      </c>
      <c r="AA807" s="296">
        <f t="shared" si="46"/>
        <v>0</v>
      </c>
      <c r="AB807" s="298" t="s">
        <v>835</v>
      </c>
    </row>
    <row r="808" spans="1:28" ht="35.25" customHeight="1" x14ac:dyDescent="0.5">
      <c r="A808">
        <v>1</v>
      </c>
      <c r="B808" s="80">
        <f>SUBTOTAL(103,$A$808:A808)</f>
        <v>1</v>
      </c>
      <c r="C808" s="300" t="s">
        <v>1664</v>
      </c>
      <c r="D808" s="296">
        <f t="shared" si="37"/>
        <v>1465085.67</v>
      </c>
      <c r="E808" s="301">
        <v>0</v>
      </c>
      <c r="F808" s="301">
        <v>0</v>
      </c>
      <c r="G808" s="301">
        <v>1465085.67</v>
      </c>
      <c r="H808" s="301">
        <v>0</v>
      </c>
      <c r="I808" s="301">
        <v>0</v>
      </c>
      <c r="J808" s="301">
        <v>0</v>
      </c>
      <c r="K808" s="302">
        <v>0</v>
      </c>
      <c r="L808" s="301">
        <v>0</v>
      </c>
      <c r="M808" s="301">
        <v>0</v>
      </c>
      <c r="N808" s="301">
        <v>0</v>
      </c>
      <c r="O808" s="301">
        <v>0</v>
      </c>
      <c r="P808" s="301">
        <v>0</v>
      </c>
      <c r="Q808" s="301">
        <v>0</v>
      </c>
      <c r="R808" s="301">
        <v>0</v>
      </c>
      <c r="S808" s="301">
        <v>0</v>
      </c>
      <c r="T808" s="301">
        <v>0</v>
      </c>
      <c r="U808" s="301">
        <v>0</v>
      </c>
      <c r="V808" s="301">
        <v>0</v>
      </c>
      <c r="W808" s="301">
        <v>0</v>
      </c>
      <c r="X808" s="301">
        <v>0</v>
      </c>
      <c r="Y808" s="301">
        <v>0</v>
      </c>
      <c r="Z808" s="301">
        <v>0</v>
      </c>
      <c r="AA808" s="301">
        <v>0</v>
      </c>
      <c r="AB808" s="303">
        <v>2021</v>
      </c>
    </row>
    <row r="809" spans="1:28" ht="35.25" customHeight="1" x14ac:dyDescent="0.5">
      <c r="A809">
        <v>1</v>
      </c>
      <c r="B809" s="80">
        <f>SUBTOTAL(103,$A$808:A809)</f>
        <v>2</v>
      </c>
      <c r="C809" s="300" t="s">
        <v>2588</v>
      </c>
      <c r="D809" s="296">
        <f t="shared" si="37"/>
        <v>8795105</v>
      </c>
      <c r="E809" s="304">
        <v>0</v>
      </c>
      <c r="F809" s="304">
        <v>0</v>
      </c>
      <c r="G809" s="304">
        <v>0</v>
      </c>
      <c r="H809" s="304">
        <v>0</v>
      </c>
      <c r="I809" s="304">
        <v>0</v>
      </c>
      <c r="J809" s="304">
        <v>0</v>
      </c>
      <c r="K809" s="305">
        <v>0</v>
      </c>
      <c r="L809" s="304">
        <v>0</v>
      </c>
      <c r="M809" s="304">
        <v>0</v>
      </c>
      <c r="N809" s="304">
        <v>0</v>
      </c>
      <c r="O809" s="304">
        <v>8795105</v>
      </c>
      <c r="P809" s="304">
        <v>0</v>
      </c>
      <c r="Q809" s="304">
        <v>0</v>
      </c>
      <c r="R809" s="304">
        <v>0</v>
      </c>
      <c r="S809" s="304">
        <v>0</v>
      </c>
      <c r="T809" s="304">
        <v>0</v>
      </c>
      <c r="U809" s="304">
        <v>0</v>
      </c>
      <c r="V809" s="304">
        <v>0</v>
      </c>
      <c r="W809" s="304">
        <v>0</v>
      </c>
      <c r="X809" s="304">
        <v>0</v>
      </c>
      <c r="Y809" s="304">
        <v>0</v>
      </c>
      <c r="Z809" s="304">
        <v>0</v>
      </c>
      <c r="AA809" s="304">
        <v>0</v>
      </c>
      <c r="AB809" s="307">
        <v>2021</v>
      </c>
    </row>
    <row r="810" spans="1:28" ht="35.25" customHeight="1" x14ac:dyDescent="0.5">
      <c r="A810">
        <v>1</v>
      </c>
      <c r="B810" s="80">
        <f>SUBTOTAL(103,$A$808:A810)</f>
        <v>3</v>
      </c>
      <c r="C810" s="300" t="s">
        <v>1678</v>
      </c>
      <c r="D810" s="296">
        <f t="shared" si="37"/>
        <v>250767.47</v>
      </c>
      <c r="E810" s="301">
        <v>0</v>
      </c>
      <c r="F810" s="301">
        <v>0</v>
      </c>
      <c r="G810" s="301">
        <v>250767.47</v>
      </c>
      <c r="H810" s="301">
        <v>0</v>
      </c>
      <c r="I810" s="301">
        <v>0</v>
      </c>
      <c r="J810" s="301">
        <v>0</v>
      </c>
      <c r="K810" s="302">
        <v>0</v>
      </c>
      <c r="L810" s="301">
        <v>0</v>
      </c>
      <c r="M810" s="301">
        <v>0</v>
      </c>
      <c r="N810" s="301">
        <v>0</v>
      </c>
      <c r="O810" s="301">
        <v>0</v>
      </c>
      <c r="P810" s="301">
        <v>0</v>
      </c>
      <c r="Q810" s="301">
        <v>0</v>
      </c>
      <c r="R810" s="301">
        <v>0</v>
      </c>
      <c r="S810" s="301">
        <v>0</v>
      </c>
      <c r="T810" s="301">
        <v>0</v>
      </c>
      <c r="U810" s="301">
        <v>0</v>
      </c>
      <c r="V810" s="301">
        <v>0</v>
      </c>
      <c r="W810" s="301">
        <v>0</v>
      </c>
      <c r="X810" s="301">
        <v>0</v>
      </c>
      <c r="Y810" s="301">
        <v>0</v>
      </c>
      <c r="Z810" s="301">
        <v>0</v>
      </c>
      <c r="AA810" s="301">
        <v>0</v>
      </c>
      <c r="AB810" s="303">
        <v>2021</v>
      </c>
    </row>
    <row r="811" spans="1:28" ht="35.25" customHeight="1" x14ac:dyDescent="0.5">
      <c r="A811">
        <v>1</v>
      </c>
      <c r="B811" s="80">
        <f>SUBTOTAL(103,$A$808:A811)</f>
        <v>4</v>
      </c>
      <c r="C811" s="300" t="s">
        <v>2466</v>
      </c>
      <c r="D811" s="296">
        <f t="shared" si="37"/>
        <v>1341938.77</v>
      </c>
      <c r="E811" s="301">
        <v>0</v>
      </c>
      <c r="F811" s="301">
        <v>0</v>
      </c>
      <c r="G811" s="301">
        <v>0</v>
      </c>
      <c r="H811" s="301">
        <v>164839</v>
      </c>
      <c r="I811" s="301">
        <v>1177099.77</v>
      </c>
      <c r="J811" s="301">
        <v>0</v>
      </c>
      <c r="K811" s="302">
        <v>0</v>
      </c>
      <c r="L811" s="301">
        <v>0</v>
      </c>
      <c r="M811" s="301">
        <v>0</v>
      </c>
      <c r="N811" s="301">
        <v>0</v>
      </c>
      <c r="O811" s="301">
        <v>0</v>
      </c>
      <c r="P811" s="301">
        <v>0</v>
      </c>
      <c r="Q811" s="301">
        <v>0</v>
      </c>
      <c r="R811" s="301">
        <v>0</v>
      </c>
      <c r="S811" s="301">
        <v>0</v>
      </c>
      <c r="T811" s="301">
        <v>0</v>
      </c>
      <c r="U811" s="301">
        <v>0</v>
      </c>
      <c r="V811" s="301">
        <v>0</v>
      </c>
      <c r="W811" s="301">
        <v>0</v>
      </c>
      <c r="X811" s="301">
        <v>0</v>
      </c>
      <c r="Y811" s="301">
        <v>0</v>
      </c>
      <c r="Z811" s="301">
        <v>0</v>
      </c>
      <c r="AA811" s="301">
        <v>0</v>
      </c>
      <c r="AB811" s="303">
        <v>2021</v>
      </c>
    </row>
    <row r="812" spans="1:28" ht="35.25" customHeight="1" x14ac:dyDescent="0.5">
      <c r="A812">
        <v>1</v>
      </c>
      <c r="B812" s="80">
        <f>SUBTOTAL(103,$A$808:A812)</f>
        <v>5</v>
      </c>
      <c r="C812" s="300" t="s">
        <v>2467</v>
      </c>
      <c r="D812" s="296">
        <f t="shared" si="37"/>
        <v>2180000</v>
      </c>
      <c r="E812" s="301">
        <v>0</v>
      </c>
      <c r="F812" s="301">
        <v>0</v>
      </c>
      <c r="G812" s="301">
        <v>0</v>
      </c>
      <c r="H812" s="301">
        <v>0</v>
      </c>
      <c r="I812" s="301">
        <v>2180000</v>
      </c>
      <c r="J812" s="301">
        <v>0</v>
      </c>
      <c r="K812" s="302">
        <v>0</v>
      </c>
      <c r="L812" s="301">
        <v>0</v>
      </c>
      <c r="M812" s="301">
        <v>0</v>
      </c>
      <c r="N812" s="301">
        <v>0</v>
      </c>
      <c r="O812" s="301">
        <v>0</v>
      </c>
      <c r="P812" s="301">
        <v>0</v>
      </c>
      <c r="Q812" s="301">
        <v>0</v>
      </c>
      <c r="R812" s="301">
        <v>0</v>
      </c>
      <c r="S812" s="301">
        <v>0</v>
      </c>
      <c r="T812" s="301">
        <v>0</v>
      </c>
      <c r="U812" s="301">
        <v>0</v>
      </c>
      <c r="V812" s="301">
        <v>0</v>
      </c>
      <c r="W812" s="301">
        <v>0</v>
      </c>
      <c r="X812" s="301">
        <v>0</v>
      </c>
      <c r="Y812" s="301">
        <v>0</v>
      </c>
      <c r="Z812" s="301">
        <v>0</v>
      </c>
      <c r="AA812" s="301">
        <v>0</v>
      </c>
      <c r="AB812" s="303">
        <v>2021</v>
      </c>
    </row>
    <row r="813" spans="1:28" ht="35.25" customHeight="1" x14ac:dyDescent="0.5">
      <c r="A813">
        <v>1</v>
      </c>
      <c r="B813" s="80">
        <f>SUBTOTAL(103,$A$808:A813)</f>
        <v>6</v>
      </c>
      <c r="C813" s="300" t="s">
        <v>2468</v>
      </c>
      <c r="D813" s="296">
        <f t="shared" si="37"/>
        <v>1152134</v>
      </c>
      <c r="E813" s="301">
        <v>0</v>
      </c>
      <c r="F813" s="301">
        <v>0</v>
      </c>
      <c r="G813" s="301">
        <v>0</v>
      </c>
      <c r="H813" s="301">
        <v>0</v>
      </c>
      <c r="I813" s="301">
        <v>1152134</v>
      </c>
      <c r="J813" s="301">
        <v>0</v>
      </c>
      <c r="K813" s="302">
        <v>0</v>
      </c>
      <c r="L813" s="301">
        <v>0</v>
      </c>
      <c r="M813" s="301">
        <v>0</v>
      </c>
      <c r="N813" s="301">
        <v>0</v>
      </c>
      <c r="O813" s="301">
        <v>0</v>
      </c>
      <c r="P813" s="301">
        <v>0</v>
      </c>
      <c r="Q813" s="301">
        <v>0</v>
      </c>
      <c r="R813" s="301">
        <v>0</v>
      </c>
      <c r="S813" s="301">
        <v>0</v>
      </c>
      <c r="T813" s="301">
        <v>0</v>
      </c>
      <c r="U813" s="301">
        <v>0</v>
      </c>
      <c r="V813" s="301">
        <v>0</v>
      </c>
      <c r="W813" s="301">
        <v>0</v>
      </c>
      <c r="X813" s="301">
        <v>0</v>
      </c>
      <c r="Y813" s="301">
        <v>0</v>
      </c>
      <c r="Z813" s="301">
        <v>0</v>
      </c>
      <c r="AA813" s="301">
        <v>0</v>
      </c>
      <c r="AB813" s="303">
        <v>2021</v>
      </c>
    </row>
    <row r="814" spans="1:28" ht="35.25" customHeight="1" x14ac:dyDescent="0.5">
      <c r="A814">
        <v>1</v>
      </c>
      <c r="B814" s="80">
        <f>SUBTOTAL(103,$A$808:A814)</f>
        <v>7</v>
      </c>
      <c r="C814" s="300" t="s">
        <v>2469</v>
      </c>
      <c r="D814" s="296">
        <f t="shared" si="37"/>
        <v>2180121</v>
      </c>
      <c r="E814" s="301">
        <v>0</v>
      </c>
      <c r="F814" s="301">
        <v>0</v>
      </c>
      <c r="G814" s="301">
        <v>0</v>
      </c>
      <c r="H814" s="301">
        <v>0</v>
      </c>
      <c r="I814" s="301">
        <v>0</v>
      </c>
      <c r="J814" s="301">
        <v>0</v>
      </c>
      <c r="K814" s="302">
        <v>1</v>
      </c>
      <c r="L814" s="301">
        <v>2180121</v>
      </c>
      <c r="M814" s="301">
        <v>0</v>
      </c>
      <c r="N814" s="301">
        <v>0</v>
      </c>
      <c r="O814" s="301">
        <v>0</v>
      </c>
      <c r="P814" s="301">
        <v>0</v>
      </c>
      <c r="Q814" s="301">
        <v>0</v>
      </c>
      <c r="R814" s="301">
        <v>0</v>
      </c>
      <c r="S814" s="301">
        <v>0</v>
      </c>
      <c r="T814" s="301">
        <v>0</v>
      </c>
      <c r="U814" s="301">
        <v>0</v>
      </c>
      <c r="V814" s="301">
        <v>0</v>
      </c>
      <c r="W814" s="301">
        <v>0</v>
      </c>
      <c r="X814" s="301">
        <v>0</v>
      </c>
      <c r="Y814" s="301">
        <v>0</v>
      </c>
      <c r="Z814" s="301">
        <v>0</v>
      </c>
      <c r="AA814" s="301">
        <v>0</v>
      </c>
      <c r="AB814" s="303">
        <v>2021</v>
      </c>
    </row>
    <row r="815" spans="1:28" ht="35.25" customHeight="1" x14ac:dyDescent="0.5">
      <c r="A815">
        <v>1</v>
      </c>
      <c r="B815" s="80">
        <f>SUBTOTAL(103,$A$808:A815)</f>
        <v>8</v>
      </c>
      <c r="C815" s="300" t="s">
        <v>2470</v>
      </c>
      <c r="D815" s="296">
        <f t="shared" si="37"/>
        <v>4593584</v>
      </c>
      <c r="E815" s="301">
        <v>0</v>
      </c>
      <c r="F815" s="301">
        <v>0</v>
      </c>
      <c r="G815" s="301">
        <v>0</v>
      </c>
      <c r="H815" s="301">
        <v>0</v>
      </c>
      <c r="I815" s="301">
        <v>0</v>
      </c>
      <c r="J815" s="301">
        <v>0</v>
      </c>
      <c r="K815" s="302">
        <v>0</v>
      </c>
      <c r="L815" s="301">
        <v>0</v>
      </c>
      <c r="M815" s="301">
        <v>2196084</v>
      </c>
      <c r="N815" s="301">
        <v>0</v>
      </c>
      <c r="O815" s="301">
        <v>2397500</v>
      </c>
      <c r="P815" s="301">
        <v>0</v>
      </c>
      <c r="Q815" s="301">
        <v>0</v>
      </c>
      <c r="R815" s="301">
        <v>0</v>
      </c>
      <c r="S815" s="301">
        <v>0</v>
      </c>
      <c r="T815" s="301">
        <v>0</v>
      </c>
      <c r="U815" s="301">
        <v>0</v>
      </c>
      <c r="V815" s="301">
        <v>0</v>
      </c>
      <c r="W815" s="301">
        <v>0</v>
      </c>
      <c r="X815" s="301">
        <v>0</v>
      </c>
      <c r="Y815" s="301">
        <v>0</v>
      </c>
      <c r="Z815" s="301">
        <v>0</v>
      </c>
      <c r="AA815" s="301">
        <v>0</v>
      </c>
      <c r="AB815" s="303">
        <v>2021</v>
      </c>
    </row>
    <row r="816" spans="1:28" ht="35.25" customHeight="1" x14ac:dyDescent="0.5">
      <c r="A816">
        <v>1</v>
      </c>
      <c r="B816" s="80">
        <f>SUBTOTAL(103,$A$808:A816)</f>
        <v>9</v>
      </c>
      <c r="C816" s="300" t="s">
        <v>2511</v>
      </c>
      <c r="D816" s="296">
        <f t="shared" si="37"/>
        <v>4200000</v>
      </c>
      <c r="E816" s="301">
        <v>0</v>
      </c>
      <c r="F816" s="301">
        <v>0</v>
      </c>
      <c r="G816" s="301">
        <v>0</v>
      </c>
      <c r="H816" s="301">
        <v>0</v>
      </c>
      <c r="I816" s="301">
        <v>0</v>
      </c>
      <c r="J816" s="301">
        <v>0</v>
      </c>
      <c r="K816" s="302">
        <v>2</v>
      </c>
      <c r="L816" s="301">
        <v>4200000</v>
      </c>
      <c r="M816" s="301">
        <v>0</v>
      </c>
      <c r="N816" s="301">
        <v>0</v>
      </c>
      <c r="O816" s="301">
        <v>0</v>
      </c>
      <c r="P816" s="301">
        <v>0</v>
      </c>
      <c r="Q816" s="301">
        <v>0</v>
      </c>
      <c r="R816" s="301">
        <v>0</v>
      </c>
      <c r="S816" s="301">
        <v>0</v>
      </c>
      <c r="T816" s="301">
        <v>0</v>
      </c>
      <c r="U816" s="301">
        <v>0</v>
      </c>
      <c r="V816" s="301">
        <v>0</v>
      </c>
      <c r="W816" s="301">
        <v>0</v>
      </c>
      <c r="X816" s="301">
        <v>0</v>
      </c>
      <c r="Y816" s="301">
        <v>0</v>
      </c>
      <c r="Z816" s="301">
        <v>0</v>
      </c>
      <c r="AA816" s="301">
        <v>0</v>
      </c>
      <c r="AB816" s="303">
        <v>2021</v>
      </c>
    </row>
    <row r="817" spans="1:28" ht="35.25" customHeight="1" x14ac:dyDescent="0.5">
      <c r="A817">
        <v>1</v>
      </c>
      <c r="B817" s="80">
        <f>SUBTOTAL(103,$A$808:A817)</f>
        <v>10</v>
      </c>
      <c r="C817" s="300" t="s">
        <v>2512</v>
      </c>
      <c r="D817" s="296">
        <f t="shared" si="37"/>
        <v>6495908</v>
      </c>
      <c r="E817" s="301">
        <v>0</v>
      </c>
      <c r="F817" s="301">
        <v>1260000</v>
      </c>
      <c r="G817" s="301">
        <v>835908</v>
      </c>
      <c r="H817" s="301">
        <v>0</v>
      </c>
      <c r="I817" s="301">
        <v>0</v>
      </c>
      <c r="J817" s="301">
        <v>0</v>
      </c>
      <c r="K817" s="302">
        <v>2</v>
      </c>
      <c r="L817" s="301">
        <v>4400000</v>
      </c>
      <c r="M817" s="301">
        <v>0</v>
      </c>
      <c r="N817" s="301">
        <v>0</v>
      </c>
      <c r="O817" s="301">
        <v>0</v>
      </c>
      <c r="P817" s="301">
        <v>0</v>
      </c>
      <c r="Q817" s="301">
        <v>0</v>
      </c>
      <c r="R817" s="301">
        <v>0</v>
      </c>
      <c r="S817" s="301">
        <v>0</v>
      </c>
      <c r="T817" s="301">
        <v>0</v>
      </c>
      <c r="U817" s="301">
        <v>0</v>
      </c>
      <c r="V817" s="301">
        <v>0</v>
      </c>
      <c r="W817" s="301">
        <v>0</v>
      </c>
      <c r="X817" s="301">
        <v>0</v>
      </c>
      <c r="Y817" s="301">
        <v>0</v>
      </c>
      <c r="Z817" s="301">
        <v>0</v>
      </c>
      <c r="AA817" s="301">
        <v>0</v>
      </c>
      <c r="AB817" s="303">
        <v>2021</v>
      </c>
    </row>
    <row r="818" spans="1:28" ht="35.25" customHeight="1" x14ac:dyDescent="0.5">
      <c r="A818">
        <v>1</v>
      </c>
      <c r="B818" s="80">
        <f>SUBTOTAL(103,$A$808:A818)</f>
        <v>11</v>
      </c>
      <c r="C818" s="300" t="s">
        <v>2187</v>
      </c>
      <c r="D818" s="296">
        <f t="shared" si="37"/>
        <v>495954</v>
      </c>
      <c r="E818" s="301">
        <v>0</v>
      </c>
      <c r="F818" s="301">
        <v>0</v>
      </c>
      <c r="G818" s="301">
        <v>0</v>
      </c>
      <c r="H818" s="301">
        <v>0</v>
      </c>
      <c r="I818" s="301">
        <v>0</v>
      </c>
      <c r="J818" s="301">
        <v>0</v>
      </c>
      <c r="K818" s="302">
        <v>0</v>
      </c>
      <c r="L818" s="301">
        <v>0</v>
      </c>
      <c r="M818" s="301">
        <v>0</v>
      </c>
      <c r="N818" s="301">
        <v>0</v>
      </c>
      <c r="O818" s="301">
        <v>495954</v>
      </c>
      <c r="P818" s="301">
        <v>0</v>
      </c>
      <c r="Q818" s="301">
        <v>0</v>
      </c>
      <c r="R818" s="301">
        <v>0</v>
      </c>
      <c r="S818" s="301">
        <v>0</v>
      </c>
      <c r="T818" s="301">
        <v>0</v>
      </c>
      <c r="U818" s="301">
        <v>0</v>
      </c>
      <c r="V818" s="301">
        <v>0</v>
      </c>
      <c r="W818" s="301">
        <v>0</v>
      </c>
      <c r="X818" s="301">
        <v>0</v>
      </c>
      <c r="Y818" s="301">
        <v>0</v>
      </c>
      <c r="Z818" s="301">
        <v>0</v>
      </c>
      <c r="AA818" s="301">
        <v>0</v>
      </c>
      <c r="AB818" s="303">
        <v>2021</v>
      </c>
    </row>
    <row r="819" spans="1:28" ht="35.25" customHeight="1" x14ac:dyDescent="0.5">
      <c r="A819">
        <v>1</v>
      </c>
      <c r="B819" s="80">
        <f>SUBTOTAL(103,$A$808:A819)</f>
        <v>12</v>
      </c>
      <c r="C819" s="300" t="s">
        <v>2632</v>
      </c>
      <c r="D819" s="296">
        <f t="shared" si="37"/>
        <v>2689050.45</v>
      </c>
      <c r="E819" s="301">
        <v>0</v>
      </c>
      <c r="F819" s="301">
        <v>0</v>
      </c>
      <c r="G819" s="301">
        <v>0</v>
      </c>
      <c r="H819" s="301">
        <v>0</v>
      </c>
      <c r="I819" s="301">
        <v>0</v>
      </c>
      <c r="J819" s="301">
        <v>0</v>
      </c>
      <c r="K819" s="302">
        <v>0</v>
      </c>
      <c r="L819" s="301">
        <v>0</v>
      </c>
      <c r="M819" s="301">
        <v>2689050.45</v>
      </c>
      <c r="N819" s="301">
        <v>0</v>
      </c>
      <c r="O819" s="301">
        <v>0</v>
      </c>
      <c r="P819" s="301">
        <v>0</v>
      </c>
      <c r="Q819" s="301">
        <v>0</v>
      </c>
      <c r="R819" s="301">
        <v>0</v>
      </c>
      <c r="S819" s="301">
        <v>0</v>
      </c>
      <c r="T819" s="301">
        <v>0</v>
      </c>
      <c r="U819" s="301">
        <v>0</v>
      </c>
      <c r="V819" s="301">
        <v>0</v>
      </c>
      <c r="W819" s="301">
        <v>0</v>
      </c>
      <c r="X819" s="301">
        <v>0</v>
      </c>
      <c r="Y819" s="301">
        <v>0</v>
      </c>
      <c r="Z819" s="301">
        <v>0</v>
      </c>
      <c r="AA819" s="301">
        <v>0</v>
      </c>
      <c r="AB819" s="303">
        <v>2021</v>
      </c>
    </row>
    <row r="820" spans="1:28" ht="35.25" customHeight="1" x14ac:dyDescent="0.5">
      <c r="A820">
        <v>1</v>
      </c>
      <c r="B820" s="80">
        <f>SUBTOTAL(103,$A$808:A820)</f>
        <v>13</v>
      </c>
      <c r="C820" s="300" t="s">
        <v>2633</v>
      </c>
      <c r="D820" s="296">
        <f t="shared" si="37"/>
        <v>1311217.33</v>
      </c>
      <c r="E820" s="301">
        <v>0</v>
      </c>
      <c r="F820" s="301">
        <v>0</v>
      </c>
      <c r="G820" s="301">
        <v>0</v>
      </c>
      <c r="H820" s="301">
        <v>0</v>
      </c>
      <c r="I820" s="301">
        <v>0</v>
      </c>
      <c r="J820" s="301">
        <v>0</v>
      </c>
      <c r="K820" s="302">
        <v>0</v>
      </c>
      <c r="L820" s="301">
        <v>0</v>
      </c>
      <c r="M820" s="301">
        <v>0</v>
      </c>
      <c r="N820" s="301">
        <v>0</v>
      </c>
      <c r="O820" s="301">
        <v>1311217.33</v>
      </c>
      <c r="P820" s="301">
        <v>0</v>
      </c>
      <c r="Q820" s="301">
        <v>0</v>
      </c>
      <c r="R820" s="301">
        <v>0</v>
      </c>
      <c r="S820" s="301">
        <v>0</v>
      </c>
      <c r="T820" s="301">
        <v>0</v>
      </c>
      <c r="U820" s="301">
        <v>0</v>
      </c>
      <c r="V820" s="301">
        <v>0</v>
      </c>
      <c r="W820" s="301">
        <v>0</v>
      </c>
      <c r="X820" s="301">
        <v>0</v>
      </c>
      <c r="Y820" s="301">
        <v>0</v>
      </c>
      <c r="Z820" s="301">
        <v>0</v>
      </c>
      <c r="AA820" s="301">
        <v>0</v>
      </c>
      <c r="AB820" s="303">
        <v>2021</v>
      </c>
    </row>
    <row r="821" spans="1:28" ht="35.25" customHeight="1" x14ac:dyDescent="0.5">
      <c r="A821">
        <v>1</v>
      </c>
      <c r="B821" s="80">
        <f>SUBTOTAL(103,$A$808:A821)</f>
        <v>14</v>
      </c>
      <c r="C821" s="300" t="s">
        <v>2179</v>
      </c>
      <c r="D821" s="296">
        <f t="shared" si="37"/>
        <v>1049570</v>
      </c>
      <c r="E821" s="301">
        <v>0</v>
      </c>
      <c r="F821" s="301">
        <v>0</v>
      </c>
      <c r="G821" s="301">
        <v>0</v>
      </c>
      <c r="H821" s="301">
        <v>0</v>
      </c>
      <c r="I821" s="301">
        <v>0</v>
      </c>
      <c r="J821" s="301">
        <v>0</v>
      </c>
      <c r="K821" s="302">
        <v>0</v>
      </c>
      <c r="L821" s="301">
        <v>0</v>
      </c>
      <c r="M821" s="301">
        <v>1049570</v>
      </c>
      <c r="N821" s="301">
        <v>0</v>
      </c>
      <c r="O821" s="301">
        <v>0</v>
      </c>
      <c r="P821" s="301">
        <v>0</v>
      </c>
      <c r="Q821" s="301">
        <v>0</v>
      </c>
      <c r="R821" s="301">
        <v>0</v>
      </c>
      <c r="S821" s="301">
        <v>0</v>
      </c>
      <c r="T821" s="301">
        <v>0</v>
      </c>
      <c r="U821" s="301">
        <v>0</v>
      </c>
      <c r="V821" s="301">
        <v>0</v>
      </c>
      <c r="W821" s="301">
        <v>0</v>
      </c>
      <c r="X821" s="301">
        <v>0</v>
      </c>
      <c r="Y821" s="301">
        <v>0</v>
      </c>
      <c r="Z821" s="301">
        <v>0</v>
      </c>
      <c r="AA821" s="301">
        <v>0</v>
      </c>
      <c r="AB821" s="303">
        <v>2021</v>
      </c>
    </row>
    <row r="822" spans="1:28" ht="35.25" customHeight="1" x14ac:dyDescent="0.5">
      <c r="A822">
        <v>1</v>
      </c>
      <c r="B822" s="80">
        <f>SUBTOTAL(103,$A$808:A822)</f>
        <v>15</v>
      </c>
      <c r="C822" s="300" t="s">
        <v>2634</v>
      </c>
      <c r="D822" s="296">
        <f t="shared" si="37"/>
        <v>878454.18</v>
      </c>
      <c r="E822" s="301">
        <v>0</v>
      </c>
      <c r="F822" s="301">
        <v>0</v>
      </c>
      <c r="G822" s="301">
        <v>0</v>
      </c>
      <c r="H822" s="301">
        <v>125490</v>
      </c>
      <c r="I822" s="301">
        <v>0</v>
      </c>
      <c r="J822" s="301">
        <v>0</v>
      </c>
      <c r="K822" s="302">
        <v>0</v>
      </c>
      <c r="L822" s="301">
        <v>0</v>
      </c>
      <c r="M822" s="301">
        <v>752964.18</v>
      </c>
      <c r="N822" s="301">
        <v>0</v>
      </c>
      <c r="O822" s="301">
        <v>0</v>
      </c>
      <c r="P822" s="301">
        <v>0</v>
      </c>
      <c r="Q822" s="301">
        <v>0</v>
      </c>
      <c r="R822" s="301">
        <v>0</v>
      </c>
      <c r="S822" s="301">
        <v>0</v>
      </c>
      <c r="T822" s="301">
        <v>0</v>
      </c>
      <c r="U822" s="301">
        <v>0</v>
      </c>
      <c r="V822" s="301">
        <v>0</v>
      </c>
      <c r="W822" s="301">
        <v>0</v>
      </c>
      <c r="X822" s="301">
        <v>0</v>
      </c>
      <c r="Y822" s="301">
        <v>0</v>
      </c>
      <c r="Z822" s="301">
        <v>0</v>
      </c>
      <c r="AA822" s="301">
        <v>0</v>
      </c>
      <c r="AB822" s="303">
        <v>2021</v>
      </c>
    </row>
    <row r="823" spans="1:28" ht="35.25" customHeight="1" x14ac:dyDescent="0.5">
      <c r="A823">
        <v>1</v>
      </c>
      <c r="B823" s="80">
        <f>SUBTOTAL(103,$A$808:A823)</f>
        <v>16</v>
      </c>
      <c r="C823" s="300" t="s">
        <v>2635</v>
      </c>
      <c r="D823" s="296">
        <f t="shared" si="37"/>
        <v>1768192</v>
      </c>
      <c r="E823" s="301">
        <v>0</v>
      </c>
      <c r="F823" s="301">
        <v>0</v>
      </c>
      <c r="G823" s="301">
        <v>0</v>
      </c>
      <c r="H823" s="301">
        <v>0</v>
      </c>
      <c r="I823" s="301">
        <v>0</v>
      </c>
      <c r="J823" s="301">
        <v>0</v>
      </c>
      <c r="K823" s="302">
        <v>0</v>
      </c>
      <c r="L823" s="301">
        <v>0</v>
      </c>
      <c r="M823" s="301">
        <v>0</v>
      </c>
      <c r="N823" s="301">
        <v>0</v>
      </c>
      <c r="O823" s="301">
        <v>1768192</v>
      </c>
      <c r="P823" s="301">
        <v>0</v>
      </c>
      <c r="Q823" s="301">
        <v>0</v>
      </c>
      <c r="R823" s="301">
        <v>0</v>
      </c>
      <c r="S823" s="301">
        <v>0</v>
      </c>
      <c r="T823" s="301">
        <v>0</v>
      </c>
      <c r="U823" s="301">
        <v>0</v>
      </c>
      <c r="V823" s="301">
        <v>0</v>
      </c>
      <c r="W823" s="301">
        <v>0</v>
      </c>
      <c r="X823" s="301">
        <v>0</v>
      </c>
      <c r="Y823" s="301">
        <v>0</v>
      </c>
      <c r="Z823" s="301">
        <v>0</v>
      </c>
      <c r="AA823" s="301">
        <v>0</v>
      </c>
      <c r="AB823" s="303">
        <v>2021</v>
      </c>
    </row>
    <row r="824" spans="1:28" ht="35.25" customHeight="1" x14ac:dyDescent="0.5">
      <c r="A824">
        <v>1</v>
      </c>
      <c r="B824" s="80">
        <f>SUBTOTAL(103,$A$808:A824)</f>
        <v>17</v>
      </c>
      <c r="C824" s="300" t="s">
        <v>1828</v>
      </c>
      <c r="D824" s="296">
        <f t="shared" si="37"/>
        <v>1263000</v>
      </c>
      <c r="E824" s="301">
        <v>0</v>
      </c>
      <c r="F824" s="301">
        <v>0</v>
      </c>
      <c r="G824" s="301">
        <v>1200000</v>
      </c>
      <c r="H824" s="301">
        <v>0</v>
      </c>
      <c r="I824" s="301">
        <v>63000</v>
      </c>
      <c r="J824" s="301">
        <v>0</v>
      </c>
      <c r="K824" s="302">
        <v>0</v>
      </c>
      <c r="L824" s="301">
        <v>0</v>
      </c>
      <c r="M824" s="301">
        <v>0</v>
      </c>
      <c r="N824" s="301">
        <v>0</v>
      </c>
      <c r="O824" s="304">
        <v>0</v>
      </c>
      <c r="P824" s="301">
        <v>0</v>
      </c>
      <c r="Q824" s="301">
        <v>0</v>
      </c>
      <c r="R824" s="301">
        <v>0</v>
      </c>
      <c r="S824" s="301">
        <v>0</v>
      </c>
      <c r="T824" s="301">
        <v>0</v>
      </c>
      <c r="U824" s="301">
        <v>0</v>
      </c>
      <c r="V824" s="301">
        <v>0</v>
      </c>
      <c r="W824" s="301">
        <v>0</v>
      </c>
      <c r="X824" s="301">
        <v>0</v>
      </c>
      <c r="Y824" s="301">
        <v>0</v>
      </c>
      <c r="Z824" s="301">
        <v>0</v>
      </c>
      <c r="AA824" s="301">
        <v>0</v>
      </c>
      <c r="AB824" s="303">
        <v>2021</v>
      </c>
    </row>
    <row r="825" spans="1:28" ht="35.25" customHeight="1" x14ac:dyDescent="0.5">
      <c r="A825">
        <v>1</v>
      </c>
      <c r="B825" s="80">
        <f>SUBTOTAL(103,$A$808:A825)</f>
        <v>18</v>
      </c>
      <c r="C825" s="300" t="s">
        <v>2636</v>
      </c>
      <c r="D825" s="296">
        <f t="shared" si="37"/>
        <v>1400000</v>
      </c>
      <c r="E825" s="301">
        <v>0</v>
      </c>
      <c r="F825" s="301">
        <v>0</v>
      </c>
      <c r="G825" s="301">
        <v>1400000</v>
      </c>
      <c r="H825" s="301">
        <v>0</v>
      </c>
      <c r="I825" s="301">
        <v>0</v>
      </c>
      <c r="J825" s="301">
        <v>0</v>
      </c>
      <c r="K825" s="302">
        <v>0</v>
      </c>
      <c r="L825" s="301">
        <v>0</v>
      </c>
      <c r="M825" s="301">
        <v>0</v>
      </c>
      <c r="N825" s="301">
        <v>0</v>
      </c>
      <c r="O825" s="304">
        <v>0</v>
      </c>
      <c r="P825" s="301">
        <v>0</v>
      </c>
      <c r="Q825" s="301">
        <v>0</v>
      </c>
      <c r="R825" s="301">
        <v>0</v>
      </c>
      <c r="S825" s="301">
        <v>0</v>
      </c>
      <c r="T825" s="301">
        <v>0</v>
      </c>
      <c r="U825" s="301">
        <v>0</v>
      </c>
      <c r="V825" s="301">
        <v>0</v>
      </c>
      <c r="W825" s="301">
        <v>0</v>
      </c>
      <c r="X825" s="301">
        <v>0</v>
      </c>
      <c r="Y825" s="301">
        <v>0</v>
      </c>
      <c r="Z825" s="301">
        <v>0</v>
      </c>
      <c r="AA825" s="301">
        <v>0</v>
      </c>
      <c r="AB825" s="303">
        <v>2021</v>
      </c>
    </row>
    <row r="826" spans="1:28" ht="35.25" customHeight="1" x14ac:dyDescent="0.5">
      <c r="A826">
        <v>1</v>
      </c>
      <c r="B826" s="80">
        <f>SUBTOTAL(103,$A$808:A826)</f>
        <v>19</v>
      </c>
      <c r="C826" s="300" t="s">
        <v>2637</v>
      </c>
      <c r="D826" s="296">
        <f t="shared" si="37"/>
        <v>1003768</v>
      </c>
      <c r="E826" s="301">
        <v>0</v>
      </c>
      <c r="F826" s="301">
        <v>0</v>
      </c>
      <c r="G826" s="301">
        <v>0</v>
      </c>
      <c r="H826" s="301">
        <v>0</v>
      </c>
      <c r="I826" s="301">
        <v>1003768</v>
      </c>
      <c r="J826" s="301">
        <v>0</v>
      </c>
      <c r="K826" s="302">
        <v>0</v>
      </c>
      <c r="L826" s="301">
        <v>0</v>
      </c>
      <c r="M826" s="301">
        <v>0</v>
      </c>
      <c r="N826" s="301">
        <v>0</v>
      </c>
      <c r="O826" s="304">
        <v>0</v>
      </c>
      <c r="P826" s="301">
        <v>0</v>
      </c>
      <c r="Q826" s="301">
        <v>0</v>
      </c>
      <c r="R826" s="301">
        <v>0</v>
      </c>
      <c r="S826" s="301">
        <v>0</v>
      </c>
      <c r="T826" s="301">
        <v>0</v>
      </c>
      <c r="U826" s="301">
        <v>0</v>
      </c>
      <c r="V826" s="301">
        <v>0</v>
      </c>
      <c r="W826" s="301">
        <v>0</v>
      </c>
      <c r="X826" s="301">
        <v>0</v>
      </c>
      <c r="Y826" s="301">
        <v>0</v>
      </c>
      <c r="Z826" s="301">
        <v>0</v>
      </c>
      <c r="AA826" s="301">
        <v>0</v>
      </c>
      <c r="AB826" s="303">
        <v>2021</v>
      </c>
    </row>
    <row r="827" spans="1:28" ht="35.25" customHeight="1" x14ac:dyDescent="0.5">
      <c r="A827">
        <v>1</v>
      </c>
      <c r="B827" s="80">
        <f>SUBTOTAL(103,$A$808:A827)</f>
        <v>20</v>
      </c>
      <c r="C827" s="300" t="s">
        <v>2638</v>
      </c>
      <c r="D827" s="296">
        <f t="shared" si="37"/>
        <v>1272140</v>
      </c>
      <c r="E827" s="301">
        <v>0</v>
      </c>
      <c r="F827" s="301">
        <v>0</v>
      </c>
      <c r="G827" s="301">
        <v>0</v>
      </c>
      <c r="H827" s="301">
        <v>0</v>
      </c>
      <c r="I827" s="301">
        <v>0</v>
      </c>
      <c r="J827" s="301">
        <v>0</v>
      </c>
      <c r="K827" s="302">
        <v>0</v>
      </c>
      <c r="L827" s="301">
        <v>0</v>
      </c>
      <c r="M827" s="301">
        <v>1272140</v>
      </c>
      <c r="N827" s="301">
        <v>0</v>
      </c>
      <c r="O827" s="301">
        <v>0</v>
      </c>
      <c r="P827" s="301">
        <v>0</v>
      </c>
      <c r="Q827" s="301">
        <v>0</v>
      </c>
      <c r="R827" s="301">
        <v>0</v>
      </c>
      <c r="S827" s="301">
        <v>0</v>
      </c>
      <c r="T827" s="301">
        <v>0</v>
      </c>
      <c r="U827" s="301">
        <v>0</v>
      </c>
      <c r="V827" s="301">
        <v>0</v>
      </c>
      <c r="W827" s="301">
        <v>0</v>
      </c>
      <c r="X827" s="301">
        <v>0</v>
      </c>
      <c r="Y827" s="301">
        <v>0</v>
      </c>
      <c r="Z827" s="301">
        <v>0</v>
      </c>
      <c r="AA827" s="301">
        <v>0</v>
      </c>
      <c r="AB827" s="303">
        <v>2021</v>
      </c>
    </row>
    <row r="828" spans="1:28" ht="35.25" customHeight="1" x14ac:dyDescent="0.5">
      <c r="A828">
        <v>1</v>
      </c>
      <c r="B828" s="80">
        <f>SUBTOTAL(103,$A$808:A828)</f>
        <v>21</v>
      </c>
      <c r="C828" s="300" t="s">
        <v>2639</v>
      </c>
      <c r="D828" s="296">
        <f t="shared" si="37"/>
        <v>651000</v>
      </c>
      <c r="E828" s="301">
        <v>0</v>
      </c>
      <c r="F828" s="301">
        <v>0</v>
      </c>
      <c r="G828" s="301">
        <v>0</v>
      </c>
      <c r="H828" s="301">
        <v>0</v>
      </c>
      <c r="I828" s="301">
        <v>0</v>
      </c>
      <c r="J828" s="301">
        <v>0</v>
      </c>
      <c r="K828" s="302">
        <v>0</v>
      </c>
      <c r="L828" s="301">
        <v>0</v>
      </c>
      <c r="M828" s="301">
        <v>0</v>
      </c>
      <c r="N828" s="301">
        <v>0</v>
      </c>
      <c r="O828" s="301">
        <v>651000</v>
      </c>
      <c r="P828" s="301">
        <v>0</v>
      </c>
      <c r="Q828" s="301">
        <v>0</v>
      </c>
      <c r="R828" s="301">
        <v>0</v>
      </c>
      <c r="S828" s="301">
        <v>0</v>
      </c>
      <c r="T828" s="301">
        <v>0</v>
      </c>
      <c r="U828" s="301">
        <v>0</v>
      </c>
      <c r="V828" s="301">
        <v>0</v>
      </c>
      <c r="W828" s="301">
        <v>0</v>
      </c>
      <c r="X828" s="301">
        <v>0</v>
      </c>
      <c r="Y828" s="301">
        <v>0</v>
      </c>
      <c r="Z828" s="301">
        <v>0</v>
      </c>
      <c r="AA828" s="301">
        <v>0</v>
      </c>
      <c r="AB828" s="303">
        <v>2021</v>
      </c>
    </row>
    <row r="829" spans="1:28" ht="35.25" customHeight="1" x14ac:dyDescent="0.5">
      <c r="A829">
        <v>1</v>
      </c>
      <c r="B829" s="80">
        <f>SUBTOTAL(103,$A$808:A829)</f>
        <v>22</v>
      </c>
      <c r="C829" s="300" t="s">
        <v>1834</v>
      </c>
      <c r="D829" s="296">
        <f t="shared" si="37"/>
        <v>735038</v>
      </c>
      <c r="E829" s="301">
        <v>0</v>
      </c>
      <c r="F829" s="301">
        <v>0</v>
      </c>
      <c r="G829" s="301">
        <v>0</v>
      </c>
      <c r="H829" s="301">
        <v>0</v>
      </c>
      <c r="I829" s="301">
        <v>0</v>
      </c>
      <c r="J829" s="301">
        <v>0</v>
      </c>
      <c r="K829" s="302">
        <v>0</v>
      </c>
      <c r="L829" s="301">
        <v>0</v>
      </c>
      <c r="M829" s="301">
        <v>0</v>
      </c>
      <c r="N829" s="301">
        <v>0</v>
      </c>
      <c r="O829" s="304">
        <v>495100</v>
      </c>
      <c r="P829" s="301">
        <v>0</v>
      </c>
      <c r="Q829" s="301">
        <v>0</v>
      </c>
      <c r="R829" s="301">
        <v>0</v>
      </c>
      <c r="S829" s="301">
        <v>0</v>
      </c>
      <c r="T829" s="301">
        <v>0</v>
      </c>
      <c r="U829" s="301">
        <v>0</v>
      </c>
      <c r="V829" s="301">
        <v>0</v>
      </c>
      <c r="W829" s="301">
        <v>239938</v>
      </c>
      <c r="X829" s="301">
        <v>0</v>
      </c>
      <c r="Y829" s="301">
        <v>0</v>
      </c>
      <c r="Z829" s="301">
        <v>0</v>
      </c>
      <c r="AA829" s="301">
        <v>0</v>
      </c>
      <c r="AB829" s="303">
        <v>2021</v>
      </c>
    </row>
    <row r="830" spans="1:28" ht="35.25" customHeight="1" x14ac:dyDescent="0.5">
      <c r="A830">
        <v>1</v>
      </c>
      <c r="B830" s="80">
        <f>SUBTOTAL(103,$A$808:A830)</f>
        <v>23</v>
      </c>
      <c r="C830" s="300" t="s">
        <v>1663</v>
      </c>
      <c r="D830" s="296">
        <f t="shared" si="37"/>
        <v>1330802</v>
      </c>
      <c r="E830" s="301">
        <v>0</v>
      </c>
      <c r="F830" s="301">
        <v>0</v>
      </c>
      <c r="G830" s="301">
        <v>0</v>
      </c>
      <c r="H830" s="301">
        <v>0</v>
      </c>
      <c r="I830" s="301">
        <v>0</v>
      </c>
      <c r="J830" s="301">
        <v>0</v>
      </c>
      <c r="K830" s="302">
        <v>0</v>
      </c>
      <c r="L830" s="301">
        <v>0</v>
      </c>
      <c r="M830" s="301">
        <v>0</v>
      </c>
      <c r="N830" s="301">
        <v>0</v>
      </c>
      <c r="O830" s="301">
        <v>1330802</v>
      </c>
      <c r="P830" s="301">
        <v>0</v>
      </c>
      <c r="Q830" s="301">
        <v>0</v>
      </c>
      <c r="R830" s="301">
        <v>0</v>
      </c>
      <c r="S830" s="301">
        <v>0</v>
      </c>
      <c r="T830" s="301">
        <v>0</v>
      </c>
      <c r="U830" s="301">
        <v>0</v>
      </c>
      <c r="V830" s="301">
        <v>0</v>
      </c>
      <c r="W830" s="301">
        <v>0</v>
      </c>
      <c r="X830" s="301">
        <v>0</v>
      </c>
      <c r="Y830" s="301">
        <v>0</v>
      </c>
      <c r="Z830" s="301">
        <v>0</v>
      </c>
      <c r="AA830" s="301">
        <v>0</v>
      </c>
      <c r="AB830" s="303">
        <v>2021</v>
      </c>
    </row>
    <row r="831" spans="1:28" ht="35.25" customHeight="1" x14ac:dyDescent="0.5">
      <c r="A831">
        <v>1</v>
      </c>
      <c r="B831" s="80">
        <f>SUBTOTAL(103,$A$808:A831)</f>
        <v>24</v>
      </c>
      <c r="C831" s="300" t="s">
        <v>2640</v>
      </c>
      <c r="D831" s="296">
        <f t="shared" si="37"/>
        <v>246222</v>
      </c>
      <c r="E831" s="301">
        <v>0</v>
      </c>
      <c r="F831" s="301">
        <v>0</v>
      </c>
      <c r="G831" s="301">
        <v>0</v>
      </c>
      <c r="H831" s="301">
        <v>0</v>
      </c>
      <c r="I831" s="301">
        <v>0</v>
      </c>
      <c r="J831" s="301">
        <v>0</v>
      </c>
      <c r="K831" s="302">
        <v>0</v>
      </c>
      <c r="L831" s="301">
        <v>0</v>
      </c>
      <c r="M831" s="301">
        <v>0</v>
      </c>
      <c r="N831" s="301">
        <v>0</v>
      </c>
      <c r="O831" s="301">
        <v>246222</v>
      </c>
      <c r="P831" s="301">
        <v>0</v>
      </c>
      <c r="Q831" s="301">
        <v>0</v>
      </c>
      <c r="R831" s="301">
        <v>0</v>
      </c>
      <c r="S831" s="301">
        <v>0</v>
      </c>
      <c r="T831" s="301">
        <v>0</v>
      </c>
      <c r="U831" s="301">
        <v>0</v>
      </c>
      <c r="V831" s="301">
        <v>0</v>
      </c>
      <c r="W831" s="301">
        <v>0</v>
      </c>
      <c r="X831" s="301">
        <v>0</v>
      </c>
      <c r="Y831" s="301">
        <v>0</v>
      </c>
      <c r="Z831" s="301">
        <v>0</v>
      </c>
      <c r="AA831" s="301">
        <v>0</v>
      </c>
      <c r="AB831" s="303">
        <v>2021</v>
      </c>
    </row>
    <row r="832" spans="1:28" ht="35.25" customHeight="1" x14ac:dyDescent="0.5">
      <c r="A832">
        <v>1</v>
      </c>
      <c r="B832" s="80">
        <f>SUBTOTAL(103,$A$808:A832)</f>
        <v>25</v>
      </c>
      <c r="C832" s="300" t="s">
        <v>2641</v>
      </c>
      <c r="D832" s="296">
        <f t="shared" si="37"/>
        <v>1134426</v>
      </c>
      <c r="E832" s="301">
        <v>0</v>
      </c>
      <c r="F832" s="301">
        <v>0</v>
      </c>
      <c r="G832" s="301">
        <v>0</v>
      </c>
      <c r="H832" s="301">
        <v>0</v>
      </c>
      <c r="I832" s="301">
        <v>0</v>
      </c>
      <c r="J832" s="301">
        <v>0</v>
      </c>
      <c r="K832" s="302">
        <v>0</v>
      </c>
      <c r="L832" s="301">
        <v>0</v>
      </c>
      <c r="M832" s="301">
        <v>0</v>
      </c>
      <c r="N832" s="301">
        <v>0</v>
      </c>
      <c r="O832" s="301">
        <f>506429+627997</f>
        <v>1134426</v>
      </c>
      <c r="P832" s="301">
        <v>0</v>
      </c>
      <c r="Q832" s="301">
        <v>0</v>
      </c>
      <c r="R832" s="301">
        <v>0</v>
      </c>
      <c r="S832" s="301">
        <v>0</v>
      </c>
      <c r="T832" s="301">
        <v>0</v>
      </c>
      <c r="U832" s="301">
        <v>0</v>
      </c>
      <c r="V832" s="301">
        <v>0</v>
      </c>
      <c r="W832" s="301">
        <v>0</v>
      </c>
      <c r="X832" s="301">
        <v>0</v>
      </c>
      <c r="Y832" s="301">
        <v>0</v>
      </c>
      <c r="Z832" s="301">
        <v>0</v>
      </c>
      <c r="AA832" s="301">
        <v>0</v>
      </c>
      <c r="AB832" s="303">
        <v>2021</v>
      </c>
    </row>
    <row r="833" spans="1:28" ht="35.25" customHeight="1" x14ac:dyDescent="0.5">
      <c r="A833">
        <v>1</v>
      </c>
      <c r="B833" s="80">
        <f>SUBTOTAL(103,$A$808:A833)</f>
        <v>26</v>
      </c>
      <c r="C833" s="300" t="s">
        <v>1672</v>
      </c>
      <c r="D833" s="296">
        <f t="shared" si="37"/>
        <v>512296</v>
      </c>
      <c r="E833" s="301">
        <v>0</v>
      </c>
      <c r="F833" s="301">
        <v>0</v>
      </c>
      <c r="G833" s="301">
        <v>0</v>
      </c>
      <c r="H833" s="301">
        <v>0</v>
      </c>
      <c r="I833" s="301">
        <v>0</v>
      </c>
      <c r="J833" s="301">
        <v>0</v>
      </c>
      <c r="K833" s="302">
        <v>0</v>
      </c>
      <c r="L833" s="301">
        <v>0</v>
      </c>
      <c r="M833" s="301">
        <v>0</v>
      </c>
      <c r="N833" s="301">
        <v>0</v>
      </c>
      <c r="O833" s="301">
        <v>512296</v>
      </c>
      <c r="P833" s="301">
        <v>0</v>
      </c>
      <c r="Q833" s="301">
        <v>0</v>
      </c>
      <c r="R833" s="301">
        <v>0</v>
      </c>
      <c r="S833" s="301">
        <v>0</v>
      </c>
      <c r="T833" s="301">
        <v>0</v>
      </c>
      <c r="U833" s="301">
        <v>0</v>
      </c>
      <c r="V833" s="301">
        <v>0</v>
      </c>
      <c r="W833" s="301">
        <v>0</v>
      </c>
      <c r="X833" s="301">
        <v>0</v>
      </c>
      <c r="Y833" s="301">
        <v>0</v>
      </c>
      <c r="Z833" s="301">
        <v>0</v>
      </c>
      <c r="AA833" s="301">
        <v>0</v>
      </c>
      <c r="AB833" s="303">
        <v>2021</v>
      </c>
    </row>
    <row r="834" spans="1:28" ht="35.25" customHeight="1" x14ac:dyDescent="0.5">
      <c r="A834">
        <v>1</v>
      </c>
      <c r="B834" s="80">
        <f>SUBTOTAL(103,$A$808:A834)</f>
        <v>27</v>
      </c>
      <c r="C834" s="300" t="s">
        <v>1673</v>
      </c>
      <c r="D834" s="296">
        <f t="shared" si="37"/>
        <v>488307</v>
      </c>
      <c r="E834" s="301">
        <v>0</v>
      </c>
      <c r="F834" s="301">
        <v>0</v>
      </c>
      <c r="G834" s="301">
        <v>0</v>
      </c>
      <c r="H834" s="301">
        <v>0</v>
      </c>
      <c r="I834" s="301">
        <v>0</v>
      </c>
      <c r="J834" s="301">
        <v>0</v>
      </c>
      <c r="K834" s="302">
        <v>0</v>
      </c>
      <c r="L834" s="301">
        <v>0</v>
      </c>
      <c r="M834" s="301">
        <v>0</v>
      </c>
      <c r="N834" s="301">
        <v>0</v>
      </c>
      <c r="O834" s="301">
        <v>488307</v>
      </c>
      <c r="P834" s="301">
        <v>0</v>
      </c>
      <c r="Q834" s="301">
        <v>0</v>
      </c>
      <c r="R834" s="301">
        <v>0</v>
      </c>
      <c r="S834" s="301">
        <v>0</v>
      </c>
      <c r="T834" s="301">
        <v>0</v>
      </c>
      <c r="U834" s="301">
        <v>0</v>
      </c>
      <c r="V834" s="301">
        <v>0</v>
      </c>
      <c r="W834" s="301">
        <v>0</v>
      </c>
      <c r="X834" s="301">
        <v>0</v>
      </c>
      <c r="Y834" s="301">
        <v>0</v>
      </c>
      <c r="Z834" s="301">
        <v>0</v>
      </c>
      <c r="AA834" s="301">
        <v>0</v>
      </c>
      <c r="AB834" s="303">
        <v>2021</v>
      </c>
    </row>
    <row r="835" spans="1:28" ht="35.25" customHeight="1" x14ac:dyDescent="0.5">
      <c r="A835">
        <v>1</v>
      </c>
      <c r="B835" s="80">
        <f>SUBTOTAL(103,$A$808:A835)</f>
        <v>28</v>
      </c>
      <c r="C835" s="300" t="s">
        <v>2642</v>
      </c>
      <c r="D835" s="296">
        <f t="shared" si="37"/>
        <v>361996</v>
      </c>
      <c r="E835" s="301">
        <v>0</v>
      </c>
      <c r="F835" s="301">
        <v>0</v>
      </c>
      <c r="G835" s="301">
        <v>0</v>
      </c>
      <c r="H835" s="301">
        <v>0</v>
      </c>
      <c r="I835" s="301">
        <v>0</v>
      </c>
      <c r="J835" s="301">
        <v>0</v>
      </c>
      <c r="K835" s="302">
        <v>0</v>
      </c>
      <c r="L835" s="301">
        <v>0</v>
      </c>
      <c r="M835" s="301">
        <v>0</v>
      </c>
      <c r="N835" s="301">
        <v>0</v>
      </c>
      <c r="O835" s="301">
        <v>361996</v>
      </c>
      <c r="P835" s="301">
        <v>0</v>
      </c>
      <c r="Q835" s="301">
        <v>0</v>
      </c>
      <c r="R835" s="301">
        <v>0</v>
      </c>
      <c r="S835" s="301">
        <v>0</v>
      </c>
      <c r="T835" s="301">
        <v>0</v>
      </c>
      <c r="U835" s="301">
        <v>0</v>
      </c>
      <c r="V835" s="301">
        <v>0</v>
      </c>
      <c r="W835" s="301">
        <v>0</v>
      </c>
      <c r="X835" s="301">
        <v>0</v>
      </c>
      <c r="Y835" s="301">
        <v>0</v>
      </c>
      <c r="Z835" s="301">
        <v>0</v>
      </c>
      <c r="AA835" s="301">
        <v>0</v>
      </c>
      <c r="AB835" s="303">
        <v>2021</v>
      </c>
    </row>
    <row r="836" spans="1:28" ht="35.25" customHeight="1" x14ac:dyDescent="0.5">
      <c r="A836">
        <v>1</v>
      </c>
      <c r="B836" s="80">
        <f>SUBTOTAL(103,$A$808:A836)</f>
        <v>29</v>
      </c>
      <c r="C836" s="300" t="s">
        <v>2643</v>
      </c>
      <c r="D836" s="296">
        <f t="shared" si="37"/>
        <v>412830</v>
      </c>
      <c r="E836" s="301">
        <v>0</v>
      </c>
      <c r="F836" s="301">
        <v>0</v>
      </c>
      <c r="G836" s="301">
        <v>0</v>
      </c>
      <c r="H836" s="301">
        <v>0</v>
      </c>
      <c r="I836" s="301">
        <v>0</v>
      </c>
      <c r="J836" s="301">
        <v>0</v>
      </c>
      <c r="K836" s="302">
        <v>0</v>
      </c>
      <c r="L836" s="301">
        <v>0</v>
      </c>
      <c r="M836" s="301">
        <v>0</v>
      </c>
      <c r="N836" s="301">
        <v>0</v>
      </c>
      <c r="O836" s="301">
        <v>412830</v>
      </c>
      <c r="P836" s="301">
        <v>0</v>
      </c>
      <c r="Q836" s="301">
        <v>0</v>
      </c>
      <c r="R836" s="301">
        <v>0</v>
      </c>
      <c r="S836" s="301">
        <v>0</v>
      </c>
      <c r="T836" s="301">
        <v>0</v>
      </c>
      <c r="U836" s="301">
        <v>0</v>
      </c>
      <c r="V836" s="301">
        <v>0</v>
      </c>
      <c r="W836" s="301">
        <v>0</v>
      </c>
      <c r="X836" s="301">
        <v>0</v>
      </c>
      <c r="Y836" s="301">
        <v>0</v>
      </c>
      <c r="Z836" s="301">
        <v>0</v>
      </c>
      <c r="AA836" s="301">
        <v>0</v>
      </c>
      <c r="AB836" s="303">
        <v>2021</v>
      </c>
    </row>
    <row r="837" spans="1:28" ht="35.25" customHeight="1" x14ac:dyDescent="0.5">
      <c r="A837">
        <v>1</v>
      </c>
      <c r="B837" s="80">
        <f>SUBTOTAL(103,$A$808:A837)</f>
        <v>30</v>
      </c>
      <c r="C837" s="300" t="s">
        <v>2644</v>
      </c>
      <c r="D837" s="296">
        <f t="shared" si="37"/>
        <v>1450000</v>
      </c>
      <c r="E837" s="301">
        <v>0</v>
      </c>
      <c r="F837" s="301">
        <v>0</v>
      </c>
      <c r="G837" s="301">
        <v>0</v>
      </c>
      <c r="H837" s="301">
        <v>0</v>
      </c>
      <c r="I837" s="301">
        <v>0</v>
      </c>
      <c r="J837" s="301">
        <v>0</v>
      </c>
      <c r="K837" s="302">
        <v>0</v>
      </c>
      <c r="L837" s="301">
        <v>0</v>
      </c>
      <c r="M837" s="301">
        <v>1450000</v>
      </c>
      <c r="N837" s="301">
        <v>0</v>
      </c>
      <c r="O837" s="301">
        <v>0</v>
      </c>
      <c r="P837" s="301">
        <v>0</v>
      </c>
      <c r="Q837" s="301">
        <v>0</v>
      </c>
      <c r="R837" s="301">
        <v>0</v>
      </c>
      <c r="S837" s="301">
        <v>0</v>
      </c>
      <c r="T837" s="301">
        <v>0</v>
      </c>
      <c r="U837" s="301">
        <v>0</v>
      </c>
      <c r="V837" s="301">
        <v>0</v>
      </c>
      <c r="W837" s="301">
        <v>0</v>
      </c>
      <c r="X837" s="301">
        <v>0</v>
      </c>
      <c r="Y837" s="301">
        <v>0</v>
      </c>
      <c r="Z837" s="301">
        <v>0</v>
      </c>
      <c r="AA837" s="301">
        <v>0</v>
      </c>
      <c r="AB837" s="303">
        <v>2021</v>
      </c>
    </row>
    <row r="838" spans="1:28" ht="35.25" customHeight="1" x14ac:dyDescent="0.5">
      <c r="A838">
        <v>1</v>
      </c>
      <c r="B838" s="80">
        <f>SUBTOTAL(103,$A$808:A838)</f>
        <v>31</v>
      </c>
      <c r="C838" s="300" t="s">
        <v>2645</v>
      </c>
      <c r="D838" s="296">
        <f t="shared" si="37"/>
        <v>5700000</v>
      </c>
      <c r="E838" s="301">
        <v>0</v>
      </c>
      <c r="F838" s="301">
        <v>0</v>
      </c>
      <c r="G838" s="301">
        <v>0</v>
      </c>
      <c r="H838" s="301">
        <v>0</v>
      </c>
      <c r="I838" s="301">
        <v>0</v>
      </c>
      <c r="J838" s="301">
        <v>0</v>
      </c>
      <c r="K838" s="302">
        <v>3</v>
      </c>
      <c r="L838" s="301">
        <v>5700000</v>
      </c>
      <c r="M838" s="301">
        <v>0</v>
      </c>
      <c r="N838" s="301">
        <v>0</v>
      </c>
      <c r="O838" s="304">
        <v>0</v>
      </c>
      <c r="P838" s="301">
        <v>0</v>
      </c>
      <c r="Q838" s="301">
        <v>0</v>
      </c>
      <c r="R838" s="301">
        <v>0</v>
      </c>
      <c r="S838" s="301">
        <v>0</v>
      </c>
      <c r="T838" s="301">
        <v>0</v>
      </c>
      <c r="U838" s="301">
        <v>0</v>
      </c>
      <c r="V838" s="301">
        <v>0</v>
      </c>
      <c r="W838" s="301">
        <v>0</v>
      </c>
      <c r="X838" s="301">
        <v>0</v>
      </c>
      <c r="Y838" s="301">
        <v>0</v>
      </c>
      <c r="Z838" s="301">
        <v>0</v>
      </c>
      <c r="AA838" s="301">
        <v>0</v>
      </c>
      <c r="AB838" s="303">
        <v>2021</v>
      </c>
    </row>
    <row r="839" spans="1:28" ht="35.25" customHeight="1" x14ac:dyDescent="0.5">
      <c r="A839">
        <v>1</v>
      </c>
      <c r="B839" s="80">
        <f>SUBTOTAL(103,$A$808:A839)</f>
        <v>32</v>
      </c>
      <c r="C839" s="300" t="s">
        <v>2646</v>
      </c>
      <c r="D839" s="296">
        <f t="shared" si="37"/>
        <v>391000</v>
      </c>
      <c r="E839" s="301">
        <v>0</v>
      </c>
      <c r="F839" s="301">
        <v>0</v>
      </c>
      <c r="G839" s="301">
        <v>0</v>
      </c>
      <c r="H839" s="301">
        <v>0</v>
      </c>
      <c r="I839" s="301">
        <v>0</v>
      </c>
      <c r="J839" s="301">
        <v>0</v>
      </c>
      <c r="K839" s="302">
        <v>0</v>
      </c>
      <c r="L839" s="301">
        <v>0</v>
      </c>
      <c r="M839" s="301">
        <v>0</v>
      </c>
      <c r="N839" s="301">
        <v>0</v>
      </c>
      <c r="O839" s="301">
        <v>391000</v>
      </c>
      <c r="P839" s="301">
        <v>0</v>
      </c>
      <c r="Q839" s="301">
        <v>0</v>
      </c>
      <c r="R839" s="301">
        <v>0</v>
      </c>
      <c r="S839" s="301">
        <v>0</v>
      </c>
      <c r="T839" s="301">
        <v>0</v>
      </c>
      <c r="U839" s="301">
        <v>0</v>
      </c>
      <c r="V839" s="301">
        <v>0</v>
      </c>
      <c r="W839" s="301">
        <v>0</v>
      </c>
      <c r="X839" s="301">
        <v>0</v>
      </c>
      <c r="Y839" s="301">
        <v>0</v>
      </c>
      <c r="Z839" s="301">
        <v>0</v>
      </c>
      <c r="AA839" s="301">
        <v>0</v>
      </c>
      <c r="AB839" s="303">
        <v>2021</v>
      </c>
    </row>
    <row r="840" spans="1:28" ht="35.25" customHeight="1" x14ac:dyDescent="0.5">
      <c r="A840">
        <v>1</v>
      </c>
      <c r="B840" s="80">
        <f>SUBTOTAL(103,$A$808:A840)</f>
        <v>33</v>
      </c>
      <c r="C840" s="300" t="s">
        <v>1677</v>
      </c>
      <c r="D840" s="296">
        <f t="shared" si="37"/>
        <v>1387994</v>
      </c>
      <c r="E840" s="301">
        <v>0</v>
      </c>
      <c r="F840" s="301">
        <v>0</v>
      </c>
      <c r="G840" s="301">
        <v>0</v>
      </c>
      <c r="H840" s="301">
        <v>0</v>
      </c>
      <c r="I840" s="301">
        <v>0</v>
      </c>
      <c r="J840" s="301">
        <v>0</v>
      </c>
      <c r="K840" s="302">
        <v>0</v>
      </c>
      <c r="L840" s="301">
        <v>0</v>
      </c>
      <c r="M840" s="301">
        <v>0</v>
      </c>
      <c r="N840" s="301">
        <v>0</v>
      </c>
      <c r="O840" s="301">
        <v>596648</v>
      </c>
      <c r="P840" s="301">
        <v>0</v>
      </c>
      <c r="Q840" s="301">
        <v>0</v>
      </c>
      <c r="R840" s="301">
        <v>0</v>
      </c>
      <c r="S840" s="301">
        <v>0</v>
      </c>
      <c r="T840" s="301">
        <v>0</v>
      </c>
      <c r="U840" s="301">
        <v>0</v>
      </c>
      <c r="V840" s="301">
        <v>0</v>
      </c>
      <c r="W840" s="301">
        <v>791346</v>
      </c>
      <c r="X840" s="301">
        <v>0</v>
      </c>
      <c r="Y840" s="301">
        <v>0</v>
      </c>
      <c r="Z840" s="301">
        <v>0</v>
      </c>
      <c r="AA840" s="301">
        <v>0</v>
      </c>
      <c r="AB840" s="303">
        <v>2021</v>
      </c>
    </row>
    <row r="841" spans="1:28" ht="35.25" customHeight="1" x14ac:dyDescent="0.5">
      <c r="A841">
        <v>1</v>
      </c>
      <c r="B841" s="80">
        <f>SUBTOTAL(103,$A$808:A841)</f>
        <v>34</v>
      </c>
      <c r="C841" s="300" t="s">
        <v>2647</v>
      </c>
      <c r="D841" s="296">
        <f t="shared" ref="D841:D904" si="47">E841+F841+G841+H841+I841+J841+L841+M841+N841+O841+P841+Q841+R841+S841+T841+U841+V841+W841+X841+Y841+Z841+AA841</f>
        <v>1846060</v>
      </c>
      <c r="E841" s="301">
        <v>0</v>
      </c>
      <c r="F841" s="301">
        <v>0</v>
      </c>
      <c r="G841" s="301">
        <v>0</v>
      </c>
      <c r="H841" s="301">
        <v>0</v>
      </c>
      <c r="I841" s="301">
        <v>0</v>
      </c>
      <c r="J841" s="301">
        <v>0</v>
      </c>
      <c r="K841" s="302">
        <v>0</v>
      </c>
      <c r="L841" s="301">
        <v>0</v>
      </c>
      <c r="M841" s="301">
        <v>1846060</v>
      </c>
      <c r="N841" s="301">
        <v>0</v>
      </c>
      <c r="O841" s="301">
        <v>0</v>
      </c>
      <c r="P841" s="301">
        <v>0</v>
      </c>
      <c r="Q841" s="301">
        <v>0</v>
      </c>
      <c r="R841" s="301">
        <v>0</v>
      </c>
      <c r="S841" s="301">
        <v>0</v>
      </c>
      <c r="T841" s="301">
        <v>0</v>
      </c>
      <c r="U841" s="301">
        <v>0</v>
      </c>
      <c r="V841" s="301">
        <v>0</v>
      </c>
      <c r="W841" s="301">
        <v>0</v>
      </c>
      <c r="X841" s="301">
        <v>0</v>
      </c>
      <c r="Y841" s="301">
        <v>0</v>
      </c>
      <c r="Z841" s="301">
        <v>0</v>
      </c>
      <c r="AA841" s="301">
        <v>0</v>
      </c>
      <c r="AB841" s="303">
        <v>2021</v>
      </c>
    </row>
    <row r="842" spans="1:28" ht="35.25" customHeight="1" x14ac:dyDescent="0.5">
      <c r="A842">
        <v>1</v>
      </c>
      <c r="B842" s="80">
        <f>SUBTOTAL(103,$A$808:A842)</f>
        <v>35</v>
      </c>
      <c r="C842" s="300" t="s">
        <v>2648</v>
      </c>
      <c r="D842" s="296">
        <f t="shared" si="47"/>
        <v>1575000</v>
      </c>
      <c r="E842" s="301">
        <v>0</v>
      </c>
      <c r="F842" s="301">
        <v>0</v>
      </c>
      <c r="G842" s="301">
        <v>0</v>
      </c>
      <c r="H842" s="301">
        <v>0</v>
      </c>
      <c r="I842" s="301">
        <v>0</v>
      </c>
      <c r="J842" s="301">
        <v>0</v>
      </c>
      <c r="K842" s="302">
        <v>0</v>
      </c>
      <c r="L842" s="301">
        <v>0</v>
      </c>
      <c r="M842" s="301">
        <v>1575000</v>
      </c>
      <c r="N842" s="301">
        <v>0</v>
      </c>
      <c r="O842" s="301">
        <v>0</v>
      </c>
      <c r="P842" s="301">
        <v>0</v>
      </c>
      <c r="Q842" s="301">
        <v>0</v>
      </c>
      <c r="R842" s="301">
        <v>0</v>
      </c>
      <c r="S842" s="301">
        <v>0</v>
      </c>
      <c r="T842" s="301">
        <v>0</v>
      </c>
      <c r="U842" s="301">
        <v>0</v>
      </c>
      <c r="V842" s="301">
        <v>0</v>
      </c>
      <c r="W842" s="301">
        <v>0</v>
      </c>
      <c r="X842" s="301">
        <v>0</v>
      </c>
      <c r="Y842" s="301">
        <v>0</v>
      </c>
      <c r="Z842" s="301">
        <v>0</v>
      </c>
      <c r="AA842" s="301">
        <v>0</v>
      </c>
      <c r="AB842" s="303">
        <v>2021</v>
      </c>
    </row>
    <row r="843" spans="1:28" ht="35.25" customHeight="1" x14ac:dyDescent="0.5">
      <c r="A843">
        <v>1</v>
      </c>
      <c r="B843" s="80">
        <f>SUBTOTAL(103,$A$808:A843)</f>
        <v>36</v>
      </c>
      <c r="C843" s="300" t="s">
        <v>2649</v>
      </c>
      <c r="D843" s="296">
        <f t="shared" si="47"/>
        <v>1283963</v>
      </c>
      <c r="E843" s="301">
        <v>0</v>
      </c>
      <c r="F843" s="301">
        <v>0</v>
      </c>
      <c r="G843" s="301">
        <v>0</v>
      </c>
      <c r="H843" s="301">
        <v>0</v>
      </c>
      <c r="I843" s="301">
        <v>0</v>
      </c>
      <c r="J843" s="301">
        <v>0</v>
      </c>
      <c r="K843" s="302">
        <v>0</v>
      </c>
      <c r="L843" s="301">
        <v>0</v>
      </c>
      <c r="M843" s="301">
        <v>1283963</v>
      </c>
      <c r="N843" s="301">
        <v>0</v>
      </c>
      <c r="O843" s="301">
        <v>0</v>
      </c>
      <c r="P843" s="301">
        <v>0</v>
      </c>
      <c r="Q843" s="301">
        <v>0</v>
      </c>
      <c r="R843" s="301">
        <v>0</v>
      </c>
      <c r="S843" s="301">
        <v>0</v>
      </c>
      <c r="T843" s="301">
        <v>0</v>
      </c>
      <c r="U843" s="301">
        <v>0</v>
      </c>
      <c r="V843" s="301">
        <v>0</v>
      </c>
      <c r="W843" s="301">
        <v>0</v>
      </c>
      <c r="X843" s="301">
        <v>0</v>
      </c>
      <c r="Y843" s="301">
        <v>0</v>
      </c>
      <c r="Z843" s="301">
        <v>0</v>
      </c>
      <c r="AA843" s="301">
        <v>0</v>
      </c>
      <c r="AB843" s="303">
        <v>2021</v>
      </c>
    </row>
    <row r="844" spans="1:28" ht="35.25" customHeight="1" x14ac:dyDescent="0.5">
      <c r="A844">
        <v>1</v>
      </c>
      <c r="B844" s="80">
        <f>SUBTOTAL(103,$A$808:A844)</f>
        <v>37</v>
      </c>
      <c r="C844" s="300" t="s">
        <v>1846</v>
      </c>
      <c r="D844" s="296">
        <f t="shared" si="47"/>
        <v>1538891.46</v>
      </c>
      <c r="E844" s="301">
        <v>0</v>
      </c>
      <c r="F844" s="301">
        <v>0</v>
      </c>
      <c r="G844" s="301">
        <v>0</v>
      </c>
      <c r="H844" s="301">
        <v>0</v>
      </c>
      <c r="I844" s="301">
        <v>0</v>
      </c>
      <c r="J844" s="301">
        <v>0</v>
      </c>
      <c r="K844" s="302">
        <v>0</v>
      </c>
      <c r="L844" s="301">
        <v>0</v>
      </c>
      <c r="M844" s="301">
        <v>1538891.46</v>
      </c>
      <c r="N844" s="301">
        <v>0</v>
      </c>
      <c r="O844" s="301">
        <v>0</v>
      </c>
      <c r="P844" s="301">
        <v>0</v>
      </c>
      <c r="Q844" s="301">
        <v>0</v>
      </c>
      <c r="R844" s="301">
        <v>0</v>
      </c>
      <c r="S844" s="301">
        <v>0</v>
      </c>
      <c r="T844" s="301">
        <v>0</v>
      </c>
      <c r="U844" s="301">
        <v>0</v>
      </c>
      <c r="V844" s="301">
        <v>0</v>
      </c>
      <c r="W844" s="301">
        <v>0</v>
      </c>
      <c r="X844" s="301">
        <v>0</v>
      </c>
      <c r="Y844" s="301">
        <v>0</v>
      </c>
      <c r="Z844" s="301">
        <v>0</v>
      </c>
      <c r="AA844" s="301">
        <v>0</v>
      </c>
      <c r="AB844" s="303">
        <v>2021</v>
      </c>
    </row>
    <row r="845" spans="1:28" ht="35.25" customHeight="1" x14ac:dyDescent="0.5">
      <c r="A845">
        <v>1</v>
      </c>
      <c r="B845" s="80">
        <f>SUBTOTAL(103,$A$808:A845)</f>
        <v>38</v>
      </c>
      <c r="C845" s="300" t="s">
        <v>2650</v>
      </c>
      <c r="D845" s="296">
        <f t="shared" si="47"/>
        <v>4162911</v>
      </c>
      <c r="E845" s="301">
        <v>0</v>
      </c>
      <c r="F845" s="301">
        <v>0</v>
      </c>
      <c r="G845" s="301">
        <v>0</v>
      </c>
      <c r="H845" s="301">
        <v>0</v>
      </c>
      <c r="I845" s="301">
        <v>0</v>
      </c>
      <c r="J845" s="301">
        <v>0</v>
      </c>
      <c r="K845" s="302">
        <v>0</v>
      </c>
      <c r="L845" s="301">
        <v>0</v>
      </c>
      <c r="M845" s="301">
        <v>4162911</v>
      </c>
      <c r="N845" s="301">
        <v>0</v>
      </c>
      <c r="O845" s="301">
        <v>0</v>
      </c>
      <c r="P845" s="301">
        <v>0</v>
      </c>
      <c r="Q845" s="301">
        <v>0</v>
      </c>
      <c r="R845" s="301">
        <v>0</v>
      </c>
      <c r="S845" s="301">
        <v>0</v>
      </c>
      <c r="T845" s="301">
        <v>0</v>
      </c>
      <c r="U845" s="301">
        <v>0</v>
      </c>
      <c r="V845" s="301">
        <v>0</v>
      </c>
      <c r="W845" s="301">
        <v>0</v>
      </c>
      <c r="X845" s="301">
        <v>0</v>
      </c>
      <c r="Y845" s="301">
        <v>0</v>
      </c>
      <c r="Z845" s="301">
        <v>0</v>
      </c>
      <c r="AA845" s="301">
        <v>0</v>
      </c>
      <c r="AB845" s="303">
        <v>2021</v>
      </c>
    </row>
    <row r="846" spans="1:28" ht="35.25" customHeight="1" x14ac:dyDescent="0.5">
      <c r="A846">
        <v>1</v>
      </c>
      <c r="B846" s="80">
        <f>SUBTOTAL(103,$A$808:A846)</f>
        <v>39</v>
      </c>
      <c r="C846" s="300" t="s">
        <v>2651</v>
      </c>
      <c r="D846" s="296">
        <f t="shared" si="47"/>
        <v>171600</v>
      </c>
      <c r="E846" s="301">
        <v>0</v>
      </c>
      <c r="F846" s="301">
        <v>0</v>
      </c>
      <c r="G846" s="301">
        <v>0</v>
      </c>
      <c r="H846" s="301">
        <v>0</v>
      </c>
      <c r="I846" s="301">
        <v>0</v>
      </c>
      <c r="J846" s="301">
        <v>0</v>
      </c>
      <c r="K846" s="302">
        <v>0</v>
      </c>
      <c r="L846" s="301">
        <v>0</v>
      </c>
      <c r="M846" s="301">
        <v>0</v>
      </c>
      <c r="N846" s="301">
        <v>0</v>
      </c>
      <c r="O846" s="301">
        <v>171600</v>
      </c>
      <c r="P846" s="301">
        <v>0</v>
      </c>
      <c r="Q846" s="301">
        <v>0</v>
      </c>
      <c r="R846" s="301">
        <v>0</v>
      </c>
      <c r="S846" s="301">
        <v>0</v>
      </c>
      <c r="T846" s="301">
        <v>0</v>
      </c>
      <c r="U846" s="301">
        <v>0</v>
      </c>
      <c r="V846" s="301">
        <v>0</v>
      </c>
      <c r="W846" s="301">
        <v>0</v>
      </c>
      <c r="X846" s="301">
        <v>0</v>
      </c>
      <c r="Y846" s="301">
        <v>0</v>
      </c>
      <c r="Z846" s="301">
        <v>0</v>
      </c>
      <c r="AA846" s="301">
        <v>0</v>
      </c>
      <c r="AB846" s="303">
        <v>2021</v>
      </c>
    </row>
    <row r="847" spans="1:28" ht="35.25" customHeight="1" x14ac:dyDescent="0.5">
      <c r="A847">
        <v>1</v>
      </c>
      <c r="B847" s="80">
        <f>SUBTOTAL(103,$A$808:A847)</f>
        <v>40</v>
      </c>
      <c r="C847" s="300" t="s">
        <v>2652</v>
      </c>
      <c r="D847" s="296">
        <f t="shared" si="47"/>
        <v>1293323.72</v>
      </c>
      <c r="E847" s="301">
        <v>0</v>
      </c>
      <c r="F847" s="301">
        <v>261266.72</v>
      </c>
      <c r="G847" s="301">
        <v>0</v>
      </c>
      <c r="H847" s="301">
        <v>0</v>
      </c>
      <c r="I847" s="301">
        <v>0</v>
      </c>
      <c r="J847" s="301">
        <v>0</v>
      </c>
      <c r="K847" s="302">
        <v>0</v>
      </c>
      <c r="L847" s="301">
        <v>0</v>
      </c>
      <c r="M847" s="301">
        <v>1032057</v>
      </c>
      <c r="N847" s="301">
        <v>0</v>
      </c>
      <c r="O847" s="301">
        <v>0</v>
      </c>
      <c r="P847" s="301">
        <v>0</v>
      </c>
      <c r="Q847" s="301">
        <v>0</v>
      </c>
      <c r="R847" s="301">
        <v>0</v>
      </c>
      <c r="S847" s="301">
        <v>0</v>
      </c>
      <c r="T847" s="301">
        <v>0</v>
      </c>
      <c r="U847" s="301">
        <v>0</v>
      </c>
      <c r="V847" s="301">
        <v>0</v>
      </c>
      <c r="W847" s="301">
        <v>0</v>
      </c>
      <c r="X847" s="301">
        <v>0</v>
      </c>
      <c r="Y847" s="301">
        <v>0</v>
      </c>
      <c r="Z847" s="301">
        <v>0</v>
      </c>
      <c r="AA847" s="301">
        <v>0</v>
      </c>
      <c r="AB847" s="303">
        <v>2021</v>
      </c>
    </row>
    <row r="848" spans="1:28" ht="35.25" customHeight="1" x14ac:dyDescent="0.5">
      <c r="A848">
        <v>1</v>
      </c>
      <c r="B848" s="80">
        <f>SUBTOTAL(103,$A$808:A848)</f>
        <v>41</v>
      </c>
      <c r="C848" s="300" t="s">
        <v>2653</v>
      </c>
      <c r="D848" s="296">
        <f t="shared" si="47"/>
        <v>1808716</v>
      </c>
      <c r="E848" s="301">
        <v>0</v>
      </c>
      <c r="F848" s="301">
        <v>0</v>
      </c>
      <c r="G848" s="301">
        <v>0</v>
      </c>
      <c r="H848" s="301">
        <v>0</v>
      </c>
      <c r="I848" s="301">
        <v>0</v>
      </c>
      <c r="J848" s="301">
        <v>0</v>
      </c>
      <c r="K848" s="302">
        <v>0</v>
      </c>
      <c r="L848" s="301">
        <v>0</v>
      </c>
      <c r="M848" s="301">
        <v>1416509</v>
      </c>
      <c r="N848" s="301">
        <v>0</v>
      </c>
      <c r="O848" s="301">
        <v>392207</v>
      </c>
      <c r="P848" s="301">
        <v>0</v>
      </c>
      <c r="Q848" s="301">
        <v>0</v>
      </c>
      <c r="R848" s="301">
        <v>0</v>
      </c>
      <c r="S848" s="301">
        <v>0</v>
      </c>
      <c r="T848" s="301">
        <v>0</v>
      </c>
      <c r="U848" s="301">
        <v>0</v>
      </c>
      <c r="V848" s="301">
        <v>0</v>
      </c>
      <c r="W848" s="301">
        <v>0</v>
      </c>
      <c r="X848" s="301">
        <v>0</v>
      </c>
      <c r="Y848" s="301">
        <v>0</v>
      </c>
      <c r="Z848" s="301">
        <v>0</v>
      </c>
      <c r="AA848" s="301">
        <v>0</v>
      </c>
      <c r="AB848" s="303">
        <v>2021</v>
      </c>
    </row>
    <row r="849" spans="1:28" ht="35.25" customHeight="1" x14ac:dyDescent="0.5">
      <c r="A849">
        <v>1</v>
      </c>
      <c r="B849" s="80">
        <f>SUBTOTAL(103,$A$808:A849)</f>
        <v>42</v>
      </c>
      <c r="C849" s="300" t="s">
        <v>2654</v>
      </c>
      <c r="D849" s="296">
        <f t="shared" si="47"/>
        <v>1249504</v>
      </c>
      <c r="E849" s="301">
        <v>0</v>
      </c>
      <c r="F849" s="301">
        <v>0</v>
      </c>
      <c r="G849" s="301">
        <v>149360</v>
      </c>
      <c r="H849" s="301">
        <v>0</v>
      </c>
      <c r="I849" s="301">
        <v>0</v>
      </c>
      <c r="J849" s="301">
        <v>0</v>
      </c>
      <c r="K849" s="302">
        <v>0</v>
      </c>
      <c r="L849" s="301">
        <v>0</v>
      </c>
      <c r="M849" s="301">
        <v>1100144</v>
      </c>
      <c r="N849" s="301">
        <v>0</v>
      </c>
      <c r="O849" s="301">
        <v>0</v>
      </c>
      <c r="P849" s="301">
        <v>0</v>
      </c>
      <c r="Q849" s="301">
        <v>0</v>
      </c>
      <c r="R849" s="301">
        <v>0</v>
      </c>
      <c r="S849" s="301">
        <v>0</v>
      </c>
      <c r="T849" s="301">
        <v>0</v>
      </c>
      <c r="U849" s="301">
        <v>0</v>
      </c>
      <c r="V849" s="301">
        <v>0</v>
      </c>
      <c r="W849" s="301">
        <v>0</v>
      </c>
      <c r="X849" s="301">
        <v>0</v>
      </c>
      <c r="Y849" s="301">
        <v>0</v>
      </c>
      <c r="Z849" s="301">
        <v>0</v>
      </c>
      <c r="AA849" s="301">
        <v>0</v>
      </c>
      <c r="AB849" s="303">
        <v>2021</v>
      </c>
    </row>
    <row r="850" spans="1:28" ht="35.25" customHeight="1" x14ac:dyDescent="0.5">
      <c r="A850">
        <v>1</v>
      </c>
      <c r="B850" s="80">
        <f>SUBTOTAL(103,$A$808:A850)</f>
        <v>43</v>
      </c>
      <c r="C850" s="300" t="s">
        <v>2655</v>
      </c>
      <c r="D850" s="296">
        <f t="shared" si="47"/>
        <v>2139105.69</v>
      </c>
      <c r="E850" s="301">
        <v>0</v>
      </c>
      <c r="F850" s="301">
        <v>0</v>
      </c>
      <c r="G850" s="301">
        <v>0</v>
      </c>
      <c r="H850" s="301">
        <v>0</v>
      </c>
      <c r="I850" s="301">
        <v>0</v>
      </c>
      <c r="J850" s="301">
        <v>0</v>
      </c>
      <c r="K850" s="302">
        <v>0</v>
      </c>
      <c r="L850" s="301">
        <v>0</v>
      </c>
      <c r="M850" s="301">
        <v>0</v>
      </c>
      <c r="N850" s="301">
        <v>0</v>
      </c>
      <c r="O850" s="301">
        <v>2139105.69</v>
      </c>
      <c r="P850" s="301">
        <v>0</v>
      </c>
      <c r="Q850" s="301">
        <v>0</v>
      </c>
      <c r="R850" s="301">
        <v>0</v>
      </c>
      <c r="S850" s="301">
        <v>0</v>
      </c>
      <c r="T850" s="301">
        <v>0</v>
      </c>
      <c r="U850" s="301">
        <v>0</v>
      </c>
      <c r="V850" s="301">
        <v>0</v>
      </c>
      <c r="W850" s="301">
        <v>0</v>
      </c>
      <c r="X850" s="301">
        <v>0</v>
      </c>
      <c r="Y850" s="301">
        <v>0</v>
      </c>
      <c r="Z850" s="301">
        <v>0</v>
      </c>
      <c r="AA850" s="301">
        <v>0</v>
      </c>
      <c r="AB850" s="303">
        <v>2021</v>
      </c>
    </row>
    <row r="851" spans="1:28" ht="35.25" customHeight="1" x14ac:dyDescent="0.5">
      <c r="A851">
        <v>1</v>
      </c>
      <c r="B851" s="80">
        <f>SUBTOTAL(103,$A$808:A851)</f>
        <v>44</v>
      </c>
      <c r="C851" s="300" t="s">
        <v>2656</v>
      </c>
      <c r="D851" s="296">
        <f t="shared" si="47"/>
        <v>465791.69</v>
      </c>
      <c r="E851" s="301">
        <v>0</v>
      </c>
      <c r="F851" s="301">
        <v>0</v>
      </c>
      <c r="G851" s="301">
        <v>465791.69</v>
      </c>
      <c r="H851" s="301">
        <v>0</v>
      </c>
      <c r="I851" s="301">
        <v>0</v>
      </c>
      <c r="J851" s="301">
        <v>0</v>
      </c>
      <c r="K851" s="302">
        <v>0</v>
      </c>
      <c r="L851" s="301">
        <v>0</v>
      </c>
      <c r="M851" s="301">
        <v>0</v>
      </c>
      <c r="N851" s="301">
        <v>0</v>
      </c>
      <c r="O851" s="304">
        <v>0</v>
      </c>
      <c r="P851" s="301">
        <v>0</v>
      </c>
      <c r="Q851" s="301">
        <v>0</v>
      </c>
      <c r="R851" s="301">
        <v>0</v>
      </c>
      <c r="S851" s="301">
        <v>0</v>
      </c>
      <c r="T851" s="301">
        <v>0</v>
      </c>
      <c r="U851" s="301">
        <v>0</v>
      </c>
      <c r="V851" s="301">
        <v>0</v>
      </c>
      <c r="W851" s="301">
        <v>0</v>
      </c>
      <c r="X851" s="301">
        <v>0</v>
      </c>
      <c r="Y851" s="301">
        <v>0</v>
      </c>
      <c r="Z851" s="301">
        <v>0</v>
      </c>
      <c r="AA851" s="301">
        <v>0</v>
      </c>
      <c r="AB851" s="303">
        <v>2021</v>
      </c>
    </row>
    <row r="852" spans="1:28" ht="35.25" customHeight="1" x14ac:dyDescent="0.5">
      <c r="A852">
        <v>1</v>
      </c>
      <c r="B852" s="80">
        <f>SUBTOTAL(103,$A$808:A852)</f>
        <v>45</v>
      </c>
      <c r="C852" s="300" t="s">
        <v>2657</v>
      </c>
      <c r="D852" s="296">
        <f t="shared" si="47"/>
        <v>755540.39</v>
      </c>
      <c r="E852" s="301">
        <v>0</v>
      </c>
      <c r="F852" s="301">
        <v>0</v>
      </c>
      <c r="G852" s="301">
        <v>0</v>
      </c>
      <c r="H852" s="301">
        <v>0</v>
      </c>
      <c r="I852" s="301">
        <v>755540.39</v>
      </c>
      <c r="J852" s="301">
        <v>0</v>
      </c>
      <c r="K852" s="302">
        <v>0</v>
      </c>
      <c r="L852" s="301">
        <v>0</v>
      </c>
      <c r="M852" s="301">
        <v>0</v>
      </c>
      <c r="N852" s="301">
        <v>0</v>
      </c>
      <c r="O852" s="304">
        <v>0</v>
      </c>
      <c r="P852" s="301">
        <v>0</v>
      </c>
      <c r="Q852" s="301">
        <v>0</v>
      </c>
      <c r="R852" s="301">
        <v>0</v>
      </c>
      <c r="S852" s="301">
        <v>0</v>
      </c>
      <c r="T852" s="301">
        <v>0</v>
      </c>
      <c r="U852" s="301">
        <v>0</v>
      </c>
      <c r="V852" s="301">
        <v>0</v>
      </c>
      <c r="W852" s="301">
        <v>0</v>
      </c>
      <c r="X852" s="301">
        <v>0</v>
      </c>
      <c r="Y852" s="301">
        <v>0</v>
      </c>
      <c r="Z852" s="301">
        <v>0</v>
      </c>
      <c r="AA852" s="301">
        <v>0</v>
      </c>
      <c r="AB852" s="303">
        <v>2021</v>
      </c>
    </row>
    <row r="853" spans="1:28" ht="35.25" customHeight="1" x14ac:dyDescent="0.5">
      <c r="A853">
        <v>1</v>
      </c>
      <c r="B853" s="80">
        <f>SUBTOTAL(103,$A$808:A853)</f>
        <v>46</v>
      </c>
      <c r="C853" s="300" t="s">
        <v>2658</v>
      </c>
      <c r="D853" s="296">
        <f t="shared" si="47"/>
        <v>1473050</v>
      </c>
      <c r="E853" s="301">
        <v>0</v>
      </c>
      <c r="F853" s="301">
        <v>0</v>
      </c>
      <c r="G853" s="301">
        <v>0</v>
      </c>
      <c r="H853" s="301">
        <v>0</v>
      </c>
      <c r="I853" s="301">
        <v>0</v>
      </c>
      <c r="J853" s="301">
        <v>0</v>
      </c>
      <c r="K853" s="302">
        <v>0</v>
      </c>
      <c r="L853" s="301">
        <v>0</v>
      </c>
      <c r="M853" s="301">
        <v>1473050</v>
      </c>
      <c r="N853" s="301">
        <v>0</v>
      </c>
      <c r="O853" s="301">
        <v>0</v>
      </c>
      <c r="P853" s="301">
        <v>0</v>
      </c>
      <c r="Q853" s="301">
        <v>0</v>
      </c>
      <c r="R853" s="301">
        <v>0</v>
      </c>
      <c r="S853" s="301">
        <v>0</v>
      </c>
      <c r="T853" s="301">
        <v>0</v>
      </c>
      <c r="U853" s="301">
        <v>0</v>
      </c>
      <c r="V853" s="301">
        <v>0</v>
      </c>
      <c r="W853" s="301">
        <v>0</v>
      </c>
      <c r="X853" s="301">
        <v>0</v>
      </c>
      <c r="Y853" s="301">
        <v>0</v>
      </c>
      <c r="Z853" s="301">
        <v>0</v>
      </c>
      <c r="AA853" s="301">
        <v>0</v>
      </c>
      <c r="AB853" s="303">
        <v>2021</v>
      </c>
    </row>
    <row r="854" spans="1:28" ht="35.25" customHeight="1" x14ac:dyDescent="0.5">
      <c r="A854">
        <v>1</v>
      </c>
      <c r="B854" s="80">
        <f>SUBTOTAL(103,$A$808:A854)</f>
        <v>47</v>
      </c>
      <c r="C854" s="300" t="s">
        <v>2659</v>
      </c>
      <c r="D854" s="296">
        <f t="shared" si="47"/>
        <v>584306</v>
      </c>
      <c r="E854" s="301">
        <v>0</v>
      </c>
      <c r="F854" s="301">
        <v>0</v>
      </c>
      <c r="G854" s="301">
        <v>0</v>
      </c>
      <c r="H854" s="301">
        <v>0</v>
      </c>
      <c r="I854" s="301">
        <v>0</v>
      </c>
      <c r="J854" s="301">
        <v>0</v>
      </c>
      <c r="K854" s="302">
        <v>0</v>
      </c>
      <c r="L854" s="301">
        <v>0</v>
      </c>
      <c r="M854" s="301">
        <v>0</v>
      </c>
      <c r="N854" s="301">
        <v>0</v>
      </c>
      <c r="O854" s="301">
        <v>584306</v>
      </c>
      <c r="P854" s="301">
        <v>0</v>
      </c>
      <c r="Q854" s="301">
        <v>0</v>
      </c>
      <c r="R854" s="301">
        <v>0</v>
      </c>
      <c r="S854" s="301">
        <v>0</v>
      </c>
      <c r="T854" s="301">
        <v>0</v>
      </c>
      <c r="U854" s="301">
        <v>0</v>
      </c>
      <c r="V854" s="301">
        <v>0</v>
      </c>
      <c r="W854" s="301">
        <v>0</v>
      </c>
      <c r="X854" s="301">
        <v>0</v>
      </c>
      <c r="Y854" s="301">
        <v>0</v>
      </c>
      <c r="Z854" s="301">
        <v>0</v>
      </c>
      <c r="AA854" s="301">
        <v>0</v>
      </c>
      <c r="AB854" s="303">
        <v>2021</v>
      </c>
    </row>
    <row r="855" spans="1:28" ht="35.25" customHeight="1" x14ac:dyDescent="0.5">
      <c r="A855">
        <v>1</v>
      </c>
      <c r="B855" s="80">
        <f>SUBTOTAL(103,$A$808:A855)</f>
        <v>48</v>
      </c>
      <c r="C855" s="300" t="s">
        <v>2660</v>
      </c>
      <c r="D855" s="296">
        <f t="shared" si="47"/>
        <v>1442078</v>
      </c>
      <c r="E855" s="301">
        <v>0</v>
      </c>
      <c r="F855" s="301">
        <v>0</v>
      </c>
      <c r="G855" s="301">
        <v>0</v>
      </c>
      <c r="H855" s="301">
        <v>0</v>
      </c>
      <c r="I855" s="301">
        <v>0</v>
      </c>
      <c r="J855" s="301">
        <v>0</v>
      </c>
      <c r="K855" s="302">
        <v>0</v>
      </c>
      <c r="L855" s="301">
        <v>0</v>
      </c>
      <c r="M855" s="301">
        <v>0</v>
      </c>
      <c r="N855" s="301">
        <v>0</v>
      </c>
      <c r="O855" s="301">
        <v>1442078</v>
      </c>
      <c r="P855" s="301">
        <v>0</v>
      </c>
      <c r="Q855" s="301">
        <v>0</v>
      </c>
      <c r="R855" s="301">
        <v>0</v>
      </c>
      <c r="S855" s="301">
        <v>0</v>
      </c>
      <c r="T855" s="301">
        <v>0</v>
      </c>
      <c r="U855" s="301">
        <v>0</v>
      </c>
      <c r="V855" s="301">
        <v>0</v>
      </c>
      <c r="W855" s="301">
        <v>0</v>
      </c>
      <c r="X855" s="301">
        <v>0</v>
      </c>
      <c r="Y855" s="301">
        <v>0</v>
      </c>
      <c r="Z855" s="301">
        <v>0</v>
      </c>
      <c r="AA855" s="301">
        <v>0</v>
      </c>
      <c r="AB855" s="303">
        <v>2021</v>
      </c>
    </row>
    <row r="856" spans="1:28" ht="35.25" customHeight="1" x14ac:dyDescent="0.5">
      <c r="A856">
        <v>1</v>
      </c>
      <c r="B856" s="80">
        <f>SUBTOTAL(103,$A$808:A856)</f>
        <v>49</v>
      </c>
      <c r="C856" s="300" t="s">
        <v>1683</v>
      </c>
      <c r="D856" s="296">
        <f t="shared" si="47"/>
        <v>1471437</v>
      </c>
      <c r="E856" s="301">
        <v>0</v>
      </c>
      <c r="F856" s="301">
        <v>0</v>
      </c>
      <c r="G856" s="301">
        <v>0</v>
      </c>
      <c r="H856" s="301">
        <v>0</v>
      </c>
      <c r="I856" s="301">
        <v>0</v>
      </c>
      <c r="J856" s="301">
        <v>0</v>
      </c>
      <c r="K856" s="302">
        <v>0</v>
      </c>
      <c r="L856" s="301">
        <v>0</v>
      </c>
      <c r="M856" s="301">
        <v>0</v>
      </c>
      <c r="N856" s="301">
        <v>0</v>
      </c>
      <c r="O856" s="301">
        <v>1471437</v>
      </c>
      <c r="P856" s="301">
        <v>0</v>
      </c>
      <c r="Q856" s="301">
        <v>0</v>
      </c>
      <c r="R856" s="301">
        <v>0</v>
      </c>
      <c r="S856" s="301">
        <v>0</v>
      </c>
      <c r="T856" s="301">
        <v>0</v>
      </c>
      <c r="U856" s="301">
        <v>0</v>
      </c>
      <c r="V856" s="301">
        <v>0</v>
      </c>
      <c r="W856" s="301">
        <v>0</v>
      </c>
      <c r="X856" s="301">
        <v>0</v>
      </c>
      <c r="Y856" s="301">
        <v>0</v>
      </c>
      <c r="Z856" s="301">
        <v>0</v>
      </c>
      <c r="AA856" s="301">
        <v>0</v>
      </c>
      <c r="AB856" s="303">
        <v>2021</v>
      </c>
    </row>
    <row r="857" spans="1:28" ht="35.25" customHeight="1" x14ac:dyDescent="0.5">
      <c r="A857">
        <v>1</v>
      </c>
      <c r="B857" s="80">
        <f>SUBTOTAL(103,$A$808:A857)</f>
        <v>50</v>
      </c>
      <c r="C857" s="300" t="s">
        <v>2661</v>
      </c>
      <c r="D857" s="296">
        <f t="shared" si="47"/>
        <v>2176427</v>
      </c>
      <c r="E857" s="301">
        <v>0</v>
      </c>
      <c r="F857" s="301">
        <v>0</v>
      </c>
      <c r="G857" s="301">
        <v>0</v>
      </c>
      <c r="H857" s="301">
        <v>0</v>
      </c>
      <c r="I857" s="301">
        <v>0</v>
      </c>
      <c r="J857" s="301">
        <v>0</v>
      </c>
      <c r="K857" s="302">
        <v>0</v>
      </c>
      <c r="L857" s="301">
        <v>0</v>
      </c>
      <c r="M857" s="301">
        <v>1530258</v>
      </c>
      <c r="N857" s="301">
        <v>0</v>
      </c>
      <c r="O857" s="301">
        <v>646169</v>
      </c>
      <c r="P857" s="301">
        <v>0</v>
      </c>
      <c r="Q857" s="301">
        <v>0</v>
      </c>
      <c r="R857" s="301">
        <v>0</v>
      </c>
      <c r="S857" s="301">
        <v>0</v>
      </c>
      <c r="T857" s="301">
        <v>0</v>
      </c>
      <c r="U857" s="301">
        <v>0</v>
      </c>
      <c r="V857" s="301">
        <v>0</v>
      </c>
      <c r="W857" s="301">
        <v>0</v>
      </c>
      <c r="X857" s="301">
        <v>0</v>
      </c>
      <c r="Y857" s="301">
        <v>0</v>
      </c>
      <c r="Z857" s="301">
        <v>0</v>
      </c>
      <c r="AA857" s="301">
        <v>0</v>
      </c>
      <c r="AB857" s="303">
        <v>2021</v>
      </c>
    </row>
    <row r="858" spans="1:28" ht="35.25" customHeight="1" x14ac:dyDescent="0.5">
      <c r="A858">
        <v>1</v>
      </c>
      <c r="B858" s="80">
        <f>SUBTOTAL(103,$A$808:A858)</f>
        <v>51</v>
      </c>
      <c r="C858" s="300" t="s">
        <v>2662</v>
      </c>
      <c r="D858" s="296">
        <f t="shared" si="47"/>
        <v>3972907.34</v>
      </c>
      <c r="E858" s="301">
        <v>0</v>
      </c>
      <c r="F858" s="301">
        <v>0</v>
      </c>
      <c r="G858" s="301">
        <v>0</v>
      </c>
      <c r="H858" s="301">
        <v>0</v>
      </c>
      <c r="I858" s="301">
        <v>0</v>
      </c>
      <c r="J858" s="301">
        <v>0</v>
      </c>
      <c r="K858" s="302">
        <v>0</v>
      </c>
      <c r="L858" s="301">
        <v>0</v>
      </c>
      <c r="M858" s="301">
        <v>3106020</v>
      </c>
      <c r="N858" s="301">
        <v>0</v>
      </c>
      <c r="O858" s="301">
        <v>866887.34</v>
      </c>
      <c r="P858" s="301">
        <v>0</v>
      </c>
      <c r="Q858" s="301">
        <v>0</v>
      </c>
      <c r="R858" s="301">
        <v>0</v>
      </c>
      <c r="S858" s="301">
        <v>0</v>
      </c>
      <c r="T858" s="301">
        <v>0</v>
      </c>
      <c r="U858" s="301">
        <v>0</v>
      </c>
      <c r="V858" s="301">
        <v>0</v>
      </c>
      <c r="W858" s="301">
        <v>0</v>
      </c>
      <c r="X858" s="301">
        <v>0</v>
      </c>
      <c r="Y858" s="301">
        <v>0</v>
      </c>
      <c r="Z858" s="301">
        <v>0</v>
      </c>
      <c r="AA858" s="301">
        <v>0</v>
      </c>
      <c r="AB858" s="303">
        <v>2021</v>
      </c>
    </row>
    <row r="859" spans="1:28" ht="35.25" customHeight="1" x14ac:dyDescent="0.5">
      <c r="A859">
        <v>1</v>
      </c>
      <c r="B859" s="80">
        <f>SUBTOTAL(103,$A$808:A859)</f>
        <v>52</v>
      </c>
      <c r="C859" s="300" t="s">
        <v>2663</v>
      </c>
      <c r="D859" s="296">
        <f t="shared" si="47"/>
        <v>398619</v>
      </c>
      <c r="E859" s="301">
        <v>207817</v>
      </c>
      <c r="F859" s="301">
        <v>190802</v>
      </c>
      <c r="G859" s="301">
        <v>0</v>
      </c>
      <c r="H859" s="301">
        <v>0</v>
      </c>
      <c r="I859" s="301">
        <v>0</v>
      </c>
      <c r="J859" s="301">
        <v>0</v>
      </c>
      <c r="K859" s="302">
        <v>0</v>
      </c>
      <c r="L859" s="301">
        <v>0</v>
      </c>
      <c r="M859" s="301">
        <v>0</v>
      </c>
      <c r="N859" s="301">
        <v>0</v>
      </c>
      <c r="O859" s="304">
        <v>0</v>
      </c>
      <c r="P859" s="301">
        <v>0</v>
      </c>
      <c r="Q859" s="301">
        <v>0</v>
      </c>
      <c r="R859" s="301">
        <v>0</v>
      </c>
      <c r="S859" s="301">
        <v>0</v>
      </c>
      <c r="T859" s="301">
        <v>0</v>
      </c>
      <c r="U859" s="301">
        <v>0</v>
      </c>
      <c r="V859" s="301">
        <v>0</v>
      </c>
      <c r="W859" s="301">
        <v>0</v>
      </c>
      <c r="X859" s="301">
        <v>0</v>
      </c>
      <c r="Y859" s="301">
        <v>0</v>
      </c>
      <c r="Z859" s="301">
        <v>0</v>
      </c>
      <c r="AA859" s="301">
        <v>0</v>
      </c>
      <c r="AB859" s="303">
        <v>2021</v>
      </c>
    </row>
    <row r="860" spans="1:28" ht="35.25" customHeight="1" x14ac:dyDescent="0.5">
      <c r="A860">
        <v>1</v>
      </c>
      <c r="B860" s="80">
        <f>SUBTOTAL(103,$A$808:A860)</f>
        <v>53</v>
      </c>
      <c r="C860" s="300" t="s">
        <v>2664</v>
      </c>
      <c r="D860" s="296">
        <f t="shared" si="47"/>
        <v>1103928</v>
      </c>
      <c r="E860" s="301">
        <v>0</v>
      </c>
      <c r="F860" s="301">
        <v>0</v>
      </c>
      <c r="G860" s="301">
        <v>0</v>
      </c>
      <c r="H860" s="301">
        <v>0</v>
      </c>
      <c r="I860" s="301">
        <v>0</v>
      </c>
      <c r="J860" s="301">
        <v>0</v>
      </c>
      <c r="K860" s="302">
        <v>0</v>
      </c>
      <c r="L860" s="301">
        <v>0</v>
      </c>
      <c r="M860" s="301">
        <v>0</v>
      </c>
      <c r="N860" s="301">
        <v>0</v>
      </c>
      <c r="O860" s="301">
        <v>1103928</v>
      </c>
      <c r="P860" s="301">
        <v>0</v>
      </c>
      <c r="Q860" s="301">
        <v>0</v>
      </c>
      <c r="R860" s="301">
        <v>0</v>
      </c>
      <c r="S860" s="301">
        <v>0</v>
      </c>
      <c r="T860" s="301">
        <v>0</v>
      </c>
      <c r="U860" s="301">
        <v>0</v>
      </c>
      <c r="V860" s="301">
        <v>0</v>
      </c>
      <c r="W860" s="301">
        <v>0</v>
      </c>
      <c r="X860" s="301">
        <v>0</v>
      </c>
      <c r="Y860" s="301">
        <v>0</v>
      </c>
      <c r="Z860" s="301">
        <v>0</v>
      </c>
      <c r="AA860" s="301">
        <v>0</v>
      </c>
      <c r="AB860" s="303">
        <v>2021</v>
      </c>
    </row>
    <row r="861" spans="1:28" ht="35.25" customHeight="1" x14ac:dyDescent="0.5">
      <c r="A861">
        <v>1</v>
      </c>
      <c r="B861" s="80">
        <f>SUBTOTAL(103,$A$808:A861)</f>
        <v>54</v>
      </c>
      <c r="C861" s="300" t="s">
        <v>2713</v>
      </c>
      <c r="D861" s="296">
        <f t="shared" si="47"/>
        <v>887960</v>
      </c>
      <c r="E861" s="301">
        <v>151900</v>
      </c>
      <c r="F861" s="301">
        <v>180000</v>
      </c>
      <c r="G861" s="301">
        <v>556060</v>
      </c>
      <c r="H861" s="301">
        <v>0</v>
      </c>
      <c r="I861" s="301">
        <v>0</v>
      </c>
      <c r="J861" s="301">
        <v>0</v>
      </c>
      <c r="K861" s="302">
        <v>0</v>
      </c>
      <c r="L861" s="301">
        <v>0</v>
      </c>
      <c r="M861" s="301">
        <v>0</v>
      </c>
      <c r="N861" s="301">
        <v>0</v>
      </c>
      <c r="O861" s="301">
        <v>0</v>
      </c>
      <c r="P861" s="301">
        <v>0</v>
      </c>
      <c r="Q861" s="301">
        <v>0</v>
      </c>
      <c r="R861" s="301">
        <v>0</v>
      </c>
      <c r="S861" s="301">
        <v>0</v>
      </c>
      <c r="T861" s="301">
        <v>0</v>
      </c>
      <c r="U861" s="301">
        <v>0</v>
      </c>
      <c r="V861" s="301">
        <v>0</v>
      </c>
      <c r="W861" s="301">
        <v>0</v>
      </c>
      <c r="X861" s="301">
        <v>0</v>
      </c>
      <c r="Y861" s="301">
        <v>0</v>
      </c>
      <c r="Z861" s="301">
        <v>0</v>
      </c>
      <c r="AA861" s="301">
        <v>0</v>
      </c>
      <c r="AB861" s="303">
        <v>2021</v>
      </c>
    </row>
    <row r="862" spans="1:28" ht="35.25" customHeight="1" x14ac:dyDescent="0.5">
      <c r="A862">
        <v>1</v>
      </c>
      <c r="B862" s="80">
        <f>SUBTOTAL(103,$A$808:A862)</f>
        <v>55</v>
      </c>
      <c r="C862" s="300" t="s">
        <v>1615</v>
      </c>
      <c r="D862" s="296">
        <f t="shared" si="47"/>
        <v>431852</v>
      </c>
      <c r="E862" s="301">
        <v>0</v>
      </c>
      <c r="F862" s="301">
        <v>0</v>
      </c>
      <c r="G862" s="301">
        <v>0</v>
      </c>
      <c r="H862" s="301">
        <v>0</v>
      </c>
      <c r="I862" s="301">
        <v>0</v>
      </c>
      <c r="J862" s="301">
        <v>0</v>
      </c>
      <c r="K862" s="302">
        <v>0</v>
      </c>
      <c r="L862" s="301">
        <v>0</v>
      </c>
      <c r="M862" s="301">
        <v>0</v>
      </c>
      <c r="N862" s="301">
        <v>0</v>
      </c>
      <c r="O862" s="301">
        <v>431852</v>
      </c>
      <c r="P862" s="301">
        <v>0</v>
      </c>
      <c r="Q862" s="301">
        <v>0</v>
      </c>
      <c r="R862" s="301">
        <v>0</v>
      </c>
      <c r="S862" s="301">
        <v>0</v>
      </c>
      <c r="T862" s="301">
        <v>0</v>
      </c>
      <c r="U862" s="301">
        <v>0</v>
      </c>
      <c r="V862" s="301">
        <v>0</v>
      </c>
      <c r="W862" s="301">
        <v>0</v>
      </c>
      <c r="X862" s="301">
        <v>0</v>
      </c>
      <c r="Y862" s="301">
        <v>0</v>
      </c>
      <c r="Z862" s="301">
        <v>0</v>
      </c>
      <c r="AA862" s="301">
        <v>0</v>
      </c>
      <c r="AB862" s="303">
        <v>2021</v>
      </c>
    </row>
    <row r="863" spans="1:28" ht="35.25" customHeight="1" x14ac:dyDescent="0.5">
      <c r="A863">
        <v>1</v>
      </c>
      <c r="B863" s="80">
        <f>SUBTOTAL(103,$A$808:A863)</f>
        <v>56</v>
      </c>
      <c r="C863" s="300" t="s">
        <v>2714</v>
      </c>
      <c r="D863" s="296">
        <f t="shared" si="47"/>
        <v>129251</v>
      </c>
      <c r="E863" s="301">
        <v>0</v>
      </c>
      <c r="F863" s="301">
        <v>0</v>
      </c>
      <c r="G863" s="301">
        <v>129251</v>
      </c>
      <c r="H863" s="301">
        <v>0</v>
      </c>
      <c r="I863" s="301">
        <v>0</v>
      </c>
      <c r="J863" s="301">
        <v>0</v>
      </c>
      <c r="K863" s="302">
        <v>0</v>
      </c>
      <c r="L863" s="301">
        <v>0</v>
      </c>
      <c r="M863" s="301">
        <v>0</v>
      </c>
      <c r="N863" s="301">
        <v>0</v>
      </c>
      <c r="O863" s="301">
        <v>0</v>
      </c>
      <c r="P863" s="301">
        <v>0</v>
      </c>
      <c r="Q863" s="301">
        <v>0</v>
      </c>
      <c r="R863" s="301">
        <v>0</v>
      </c>
      <c r="S863" s="301">
        <v>0</v>
      </c>
      <c r="T863" s="301">
        <v>0</v>
      </c>
      <c r="U863" s="301">
        <v>0</v>
      </c>
      <c r="V863" s="301">
        <v>0</v>
      </c>
      <c r="W863" s="301">
        <v>0</v>
      </c>
      <c r="X863" s="301">
        <v>0</v>
      </c>
      <c r="Y863" s="301">
        <v>0</v>
      </c>
      <c r="Z863" s="301">
        <v>0</v>
      </c>
      <c r="AA863" s="301">
        <v>0</v>
      </c>
      <c r="AB863" s="303">
        <v>2021</v>
      </c>
    </row>
    <row r="864" spans="1:28" ht="35.25" customHeight="1" x14ac:dyDescent="0.5">
      <c r="A864">
        <v>1</v>
      </c>
      <c r="B864" s="80">
        <f>SUBTOTAL(103,$A$808:A864)</f>
        <v>57</v>
      </c>
      <c r="C864" s="300" t="s">
        <v>2715</v>
      </c>
      <c r="D864" s="296">
        <f t="shared" si="47"/>
        <v>82000</v>
      </c>
      <c r="E864" s="301">
        <v>0</v>
      </c>
      <c r="F864" s="301">
        <v>82000</v>
      </c>
      <c r="G864" s="301">
        <v>0</v>
      </c>
      <c r="H864" s="301">
        <v>0</v>
      </c>
      <c r="I864" s="301">
        <v>0</v>
      </c>
      <c r="J864" s="301">
        <v>0</v>
      </c>
      <c r="K864" s="302">
        <v>0</v>
      </c>
      <c r="L864" s="301">
        <v>0</v>
      </c>
      <c r="M864" s="301">
        <v>0</v>
      </c>
      <c r="N864" s="301">
        <v>0</v>
      </c>
      <c r="O864" s="301">
        <v>0</v>
      </c>
      <c r="P864" s="301">
        <v>0</v>
      </c>
      <c r="Q864" s="301">
        <v>0</v>
      </c>
      <c r="R864" s="301">
        <v>0</v>
      </c>
      <c r="S864" s="301">
        <v>0</v>
      </c>
      <c r="T864" s="301">
        <v>0</v>
      </c>
      <c r="U864" s="301">
        <v>0</v>
      </c>
      <c r="V864" s="301">
        <v>0</v>
      </c>
      <c r="W864" s="301">
        <v>0</v>
      </c>
      <c r="X864" s="301">
        <v>0</v>
      </c>
      <c r="Y864" s="301">
        <v>0</v>
      </c>
      <c r="Z864" s="301">
        <v>0</v>
      </c>
      <c r="AA864" s="301">
        <v>0</v>
      </c>
      <c r="AB864" s="303">
        <v>2021</v>
      </c>
    </row>
    <row r="865" spans="1:28" ht="35.25" customHeight="1" x14ac:dyDescent="0.5">
      <c r="A865">
        <v>1</v>
      </c>
      <c r="B865" s="80">
        <f>SUBTOTAL(103,$A$808:A865)</f>
        <v>58</v>
      </c>
      <c r="C865" s="300" t="s">
        <v>1616</v>
      </c>
      <c r="D865" s="296">
        <f t="shared" si="47"/>
        <v>412300</v>
      </c>
      <c r="E865" s="301">
        <v>0</v>
      </c>
      <c r="F865" s="301">
        <v>0</v>
      </c>
      <c r="G865" s="301">
        <v>0</v>
      </c>
      <c r="H865" s="301">
        <v>0</v>
      </c>
      <c r="I865" s="301">
        <v>0</v>
      </c>
      <c r="J865" s="301">
        <v>0</v>
      </c>
      <c r="K865" s="302">
        <v>0</v>
      </c>
      <c r="L865" s="301">
        <v>0</v>
      </c>
      <c r="M865" s="301">
        <v>0</v>
      </c>
      <c r="N865" s="301">
        <v>0</v>
      </c>
      <c r="O865" s="301">
        <v>412300</v>
      </c>
      <c r="P865" s="301">
        <v>0</v>
      </c>
      <c r="Q865" s="301">
        <v>0</v>
      </c>
      <c r="R865" s="301">
        <v>0</v>
      </c>
      <c r="S865" s="301">
        <v>0</v>
      </c>
      <c r="T865" s="301">
        <v>0</v>
      </c>
      <c r="U865" s="301">
        <v>0</v>
      </c>
      <c r="V865" s="301">
        <v>0</v>
      </c>
      <c r="W865" s="301">
        <v>0</v>
      </c>
      <c r="X865" s="301">
        <v>0</v>
      </c>
      <c r="Y865" s="301">
        <v>0</v>
      </c>
      <c r="Z865" s="301">
        <v>0</v>
      </c>
      <c r="AA865" s="301">
        <v>0</v>
      </c>
      <c r="AB865" s="303">
        <v>2021</v>
      </c>
    </row>
    <row r="866" spans="1:28" ht="35.25" customHeight="1" x14ac:dyDescent="0.5">
      <c r="A866">
        <v>1</v>
      </c>
      <c r="B866" s="80">
        <f>SUBTOTAL(103,$A$808:A866)</f>
        <v>59</v>
      </c>
      <c r="C866" s="300" t="s">
        <v>2716</v>
      </c>
      <c r="D866" s="296">
        <f t="shared" si="47"/>
        <v>1265200</v>
      </c>
      <c r="E866" s="301">
        <v>0</v>
      </c>
      <c r="F866" s="301">
        <v>0</v>
      </c>
      <c r="G866" s="301">
        <v>0</v>
      </c>
      <c r="H866" s="301">
        <v>0</v>
      </c>
      <c r="I866" s="301">
        <v>0</v>
      </c>
      <c r="J866" s="301">
        <v>0</v>
      </c>
      <c r="K866" s="302">
        <v>0</v>
      </c>
      <c r="L866" s="301">
        <v>0</v>
      </c>
      <c r="M866" s="301">
        <v>1265200</v>
      </c>
      <c r="N866" s="301">
        <v>0</v>
      </c>
      <c r="O866" s="301">
        <v>0</v>
      </c>
      <c r="P866" s="301">
        <v>0</v>
      </c>
      <c r="Q866" s="301">
        <v>0</v>
      </c>
      <c r="R866" s="301">
        <v>0</v>
      </c>
      <c r="S866" s="301">
        <v>0</v>
      </c>
      <c r="T866" s="301">
        <v>0</v>
      </c>
      <c r="U866" s="301">
        <v>0</v>
      </c>
      <c r="V866" s="301">
        <v>0</v>
      </c>
      <c r="W866" s="301">
        <v>0</v>
      </c>
      <c r="X866" s="301">
        <v>0</v>
      </c>
      <c r="Y866" s="301">
        <v>0</v>
      </c>
      <c r="Z866" s="301">
        <v>0</v>
      </c>
      <c r="AA866" s="301">
        <v>0</v>
      </c>
      <c r="AB866" s="303">
        <v>2021</v>
      </c>
    </row>
    <row r="867" spans="1:28" ht="35.25" customHeight="1" x14ac:dyDescent="0.5">
      <c r="A867">
        <v>1</v>
      </c>
      <c r="B867" s="80">
        <f>SUBTOTAL(103,$A$808:A867)</f>
        <v>60</v>
      </c>
      <c r="C867" s="300" t="s">
        <v>1618</v>
      </c>
      <c r="D867" s="296">
        <f t="shared" si="47"/>
        <v>72625.3</v>
      </c>
      <c r="E867" s="301">
        <v>0</v>
      </c>
      <c r="F867" s="301">
        <v>0</v>
      </c>
      <c r="G867" s="301">
        <v>0</v>
      </c>
      <c r="H867" s="301">
        <v>0</v>
      </c>
      <c r="I867" s="301">
        <v>72625.3</v>
      </c>
      <c r="J867" s="301">
        <v>0</v>
      </c>
      <c r="K867" s="302">
        <v>0</v>
      </c>
      <c r="L867" s="301">
        <v>0</v>
      </c>
      <c r="M867" s="301">
        <v>0</v>
      </c>
      <c r="N867" s="301">
        <v>0</v>
      </c>
      <c r="O867" s="301">
        <v>0</v>
      </c>
      <c r="P867" s="301">
        <v>0</v>
      </c>
      <c r="Q867" s="301">
        <v>0</v>
      </c>
      <c r="R867" s="301">
        <v>0</v>
      </c>
      <c r="S867" s="301">
        <v>0</v>
      </c>
      <c r="T867" s="301">
        <v>0</v>
      </c>
      <c r="U867" s="301">
        <v>0</v>
      </c>
      <c r="V867" s="301">
        <v>0</v>
      </c>
      <c r="W867" s="301">
        <v>0</v>
      </c>
      <c r="X867" s="301">
        <v>0</v>
      </c>
      <c r="Y867" s="301">
        <v>0</v>
      </c>
      <c r="Z867" s="301">
        <v>0</v>
      </c>
      <c r="AA867" s="301">
        <v>0</v>
      </c>
      <c r="AB867" s="303">
        <v>2021</v>
      </c>
    </row>
    <row r="868" spans="1:28" ht="35.25" customHeight="1" x14ac:dyDescent="0.5">
      <c r="A868">
        <v>1</v>
      </c>
      <c r="B868" s="80">
        <f>SUBTOTAL(103,$A$808:A868)</f>
        <v>61</v>
      </c>
      <c r="C868" s="300" t="s">
        <v>1620</v>
      </c>
      <c r="D868" s="296">
        <f t="shared" si="47"/>
        <v>1685869</v>
      </c>
      <c r="E868" s="301">
        <v>0</v>
      </c>
      <c r="F868" s="301">
        <v>0</v>
      </c>
      <c r="G868" s="301">
        <v>0</v>
      </c>
      <c r="H868" s="301">
        <v>0</v>
      </c>
      <c r="I868" s="301">
        <v>0</v>
      </c>
      <c r="J868" s="301">
        <v>0</v>
      </c>
      <c r="K868" s="302">
        <v>0</v>
      </c>
      <c r="L868" s="301">
        <v>0</v>
      </c>
      <c r="M868" s="301">
        <v>71725.429999999993</v>
      </c>
      <c r="N868" s="301">
        <v>30739.57</v>
      </c>
      <c r="O868" s="301">
        <v>1583404</v>
      </c>
      <c r="P868" s="301">
        <v>0</v>
      </c>
      <c r="Q868" s="301">
        <v>0</v>
      </c>
      <c r="R868" s="301">
        <v>0</v>
      </c>
      <c r="S868" s="301">
        <v>0</v>
      </c>
      <c r="T868" s="301">
        <v>0</v>
      </c>
      <c r="U868" s="301">
        <v>0</v>
      </c>
      <c r="V868" s="301">
        <v>0</v>
      </c>
      <c r="W868" s="301">
        <v>0</v>
      </c>
      <c r="X868" s="301">
        <v>0</v>
      </c>
      <c r="Y868" s="301">
        <v>0</v>
      </c>
      <c r="Z868" s="301">
        <v>0</v>
      </c>
      <c r="AA868" s="301">
        <v>0</v>
      </c>
      <c r="AB868" s="303">
        <v>2021</v>
      </c>
    </row>
    <row r="869" spans="1:28" ht="35.25" customHeight="1" x14ac:dyDescent="0.5">
      <c r="A869">
        <v>1</v>
      </c>
      <c r="B869" s="80">
        <f>SUBTOTAL(103,$A$808:A869)</f>
        <v>62</v>
      </c>
      <c r="C869" s="300" t="s">
        <v>2336</v>
      </c>
      <c r="D869" s="296">
        <f t="shared" si="47"/>
        <v>5550000</v>
      </c>
      <c r="E869" s="301">
        <v>0</v>
      </c>
      <c r="F869" s="301">
        <v>0</v>
      </c>
      <c r="G869" s="301">
        <v>0</v>
      </c>
      <c r="H869" s="301">
        <v>0</v>
      </c>
      <c r="I869" s="301">
        <v>0</v>
      </c>
      <c r="J869" s="301">
        <v>0</v>
      </c>
      <c r="K869" s="302">
        <v>3</v>
      </c>
      <c r="L869" s="301">
        <v>5550000</v>
      </c>
      <c r="M869" s="301">
        <v>0</v>
      </c>
      <c r="N869" s="301">
        <v>0</v>
      </c>
      <c r="O869" s="301">
        <v>0</v>
      </c>
      <c r="P869" s="301">
        <v>0</v>
      </c>
      <c r="Q869" s="301">
        <v>0</v>
      </c>
      <c r="R869" s="301">
        <v>0</v>
      </c>
      <c r="S869" s="301">
        <v>0</v>
      </c>
      <c r="T869" s="301">
        <v>0</v>
      </c>
      <c r="U869" s="301">
        <v>0</v>
      </c>
      <c r="V869" s="301">
        <v>0</v>
      </c>
      <c r="W869" s="301">
        <v>0</v>
      </c>
      <c r="X869" s="301">
        <v>0</v>
      </c>
      <c r="Y869" s="301">
        <v>0</v>
      </c>
      <c r="Z869" s="301">
        <v>0</v>
      </c>
      <c r="AA869" s="301">
        <v>0</v>
      </c>
      <c r="AB869" s="303">
        <v>2021</v>
      </c>
    </row>
    <row r="870" spans="1:28" ht="35.25" customHeight="1" x14ac:dyDescent="0.5">
      <c r="A870">
        <v>1</v>
      </c>
      <c r="B870" s="80">
        <f>SUBTOTAL(103,$A$808:A870)</f>
        <v>63</v>
      </c>
      <c r="C870" s="300" t="s">
        <v>1858</v>
      </c>
      <c r="D870" s="296">
        <f t="shared" si="47"/>
        <v>1075505</v>
      </c>
      <c r="E870" s="301">
        <v>0</v>
      </c>
      <c r="F870" s="301">
        <v>0</v>
      </c>
      <c r="G870" s="301">
        <v>130067</v>
      </c>
      <c r="H870" s="301">
        <v>245910</v>
      </c>
      <c r="I870" s="301">
        <v>0</v>
      </c>
      <c r="J870" s="301">
        <v>0</v>
      </c>
      <c r="K870" s="302">
        <v>0</v>
      </c>
      <c r="L870" s="301">
        <v>0</v>
      </c>
      <c r="M870" s="301">
        <v>0</v>
      </c>
      <c r="N870" s="301">
        <v>0</v>
      </c>
      <c r="O870" s="301">
        <v>699528</v>
      </c>
      <c r="P870" s="301">
        <v>0</v>
      </c>
      <c r="Q870" s="301">
        <v>0</v>
      </c>
      <c r="R870" s="301">
        <v>0</v>
      </c>
      <c r="S870" s="301">
        <v>0</v>
      </c>
      <c r="T870" s="301">
        <v>0</v>
      </c>
      <c r="U870" s="301">
        <v>0</v>
      </c>
      <c r="V870" s="301">
        <v>0</v>
      </c>
      <c r="W870" s="301">
        <v>0</v>
      </c>
      <c r="X870" s="301">
        <v>0</v>
      </c>
      <c r="Y870" s="301">
        <v>0</v>
      </c>
      <c r="Z870" s="301">
        <v>0</v>
      </c>
      <c r="AA870" s="301">
        <v>0</v>
      </c>
      <c r="AB870" s="303">
        <v>2021</v>
      </c>
    </row>
    <row r="871" spans="1:28" ht="35.25" customHeight="1" x14ac:dyDescent="0.5">
      <c r="A871">
        <v>1</v>
      </c>
      <c r="B871" s="80">
        <f>SUBTOTAL(103,$A$808:A871)</f>
        <v>64</v>
      </c>
      <c r="C871" s="300" t="s">
        <v>2337</v>
      </c>
      <c r="D871" s="296">
        <f t="shared" si="47"/>
        <v>298117</v>
      </c>
      <c r="E871" s="301">
        <v>0</v>
      </c>
      <c r="F871" s="301">
        <v>0</v>
      </c>
      <c r="G871" s="301">
        <v>272472</v>
      </c>
      <c r="H871" s="301">
        <v>25645</v>
      </c>
      <c r="I871" s="301">
        <v>0</v>
      </c>
      <c r="J871" s="301">
        <v>0</v>
      </c>
      <c r="K871" s="302">
        <v>0</v>
      </c>
      <c r="L871" s="301">
        <v>0</v>
      </c>
      <c r="M871" s="301">
        <v>0</v>
      </c>
      <c r="N871" s="301">
        <v>0</v>
      </c>
      <c r="O871" s="301">
        <v>0</v>
      </c>
      <c r="P871" s="301">
        <v>0</v>
      </c>
      <c r="Q871" s="301">
        <v>0</v>
      </c>
      <c r="R871" s="301">
        <v>0</v>
      </c>
      <c r="S871" s="301">
        <v>0</v>
      </c>
      <c r="T871" s="301">
        <v>0</v>
      </c>
      <c r="U871" s="301">
        <v>0</v>
      </c>
      <c r="V871" s="301">
        <v>0</v>
      </c>
      <c r="W871" s="301">
        <v>0</v>
      </c>
      <c r="X871" s="301">
        <v>0</v>
      </c>
      <c r="Y871" s="301">
        <v>0</v>
      </c>
      <c r="Z871" s="301">
        <v>0</v>
      </c>
      <c r="AA871" s="301">
        <v>0</v>
      </c>
      <c r="AB871" s="303">
        <v>2021</v>
      </c>
    </row>
    <row r="872" spans="1:28" ht="35.25" customHeight="1" x14ac:dyDescent="0.5">
      <c r="A872">
        <v>1</v>
      </c>
      <c r="B872" s="80">
        <f>SUBTOTAL(103,$A$808:A872)</f>
        <v>65</v>
      </c>
      <c r="C872" s="300" t="s">
        <v>1860</v>
      </c>
      <c r="D872" s="296">
        <f t="shared" si="47"/>
        <v>842792</v>
      </c>
      <c r="E872" s="301">
        <v>0</v>
      </c>
      <c r="F872" s="301">
        <v>0</v>
      </c>
      <c r="G872" s="301">
        <v>193272</v>
      </c>
      <c r="H872" s="301">
        <v>0</v>
      </c>
      <c r="I872" s="301">
        <v>0</v>
      </c>
      <c r="J872" s="301">
        <v>0</v>
      </c>
      <c r="K872" s="302">
        <v>0</v>
      </c>
      <c r="L872" s="301">
        <v>0</v>
      </c>
      <c r="M872" s="301">
        <v>454000</v>
      </c>
      <c r="N872" s="301">
        <v>0</v>
      </c>
      <c r="O872" s="301">
        <v>195520</v>
      </c>
      <c r="P872" s="301">
        <v>0</v>
      </c>
      <c r="Q872" s="301">
        <v>0</v>
      </c>
      <c r="R872" s="301">
        <v>0</v>
      </c>
      <c r="S872" s="301">
        <v>0</v>
      </c>
      <c r="T872" s="301">
        <v>0</v>
      </c>
      <c r="U872" s="301">
        <v>0</v>
      </c>
      <c r="V872" s="301">
        <v>0</v>
      </c>
      <c r="W872" s="301">
        <v>0</v>
      </c>
      <c r="X872" s="301">
        <v>0</v>
      </c>
      <c r="Y872" s="301">
        <v>0</v>
      </c>
      <c r="Z872" s="301">
        <v>0</v>
      </c>
      <c r="AA872" s="301">
        <v>0</v>
      </c>
      <c r="AB872" s="303">
        <v>2021</v>
      </c>
    </row>
    <row r="873" spans="1:28" ht="35.25" customHeight="1" x14ac:dyDescent="0.5">
      <c r="A873">
        <v>1</v>
      </c>
      <c r="B873" s="80">
        <f>SUBTOTAL(103,$A$808:A873)</f>
        <v>66</v>
      </c>
      <c r="C873" s="300" t="s">
        <v>1622</v>
      </c>
      <c r="D873" s="296">
        <f t="shared" si="47"/>
        <v>87227.260000000009</v>
      </c>
      <c r="E873" s="301">
        <v>0</v>
      </c>
      <c r="F873" s="301">
        <v>35254.26</v>
      </c>
      <c r="G873" s="301">
        <v>0</v>
      </c>
      <c r="H873" s="301">
        <v>0</v>
      </c>
      <c r="I873" s="301">
        <v>0</v>
      </c>
      <c r="J873" s="301">
        <v>0</v>
      </c>
      <c r="K873" s="302">
        <v>0</v>
      </c>
      <c r="L873" s="301">
        <v>0</v>
      </c>
      <c r="M873" s="301">
        <v>0</v>
      </c>
      <c r="N873" s="301">
        <v>51973</v>
      </c>
      <c r="O873" s="301">
        <v>0</v>
      </c>
      <c r="P873" s="301">
        <v>0</v>
      </c>
      <c r="Q873" s="301">
        <v>0</v>
      </c>
      <c r="R873" s="301">
        <v>0</v>
      </c>
      <c r="S873" s="301">
        <v>0</v>
      </c>
      <c r="T873" s="301">
        <v>0</v>
      </c>
      <c r="U873" s="301">
        <v>0</v>
      </c>
      <c r="V873" s="301">
        <v>0</v>
      </c>
      <c r="W873" s="301">
        <v>0</v>
      </c>
      <c r="X873" s="301">
        <v>0</v>
      </c>
      <c r="Y873" s="301">
        <v>0</v>
      </c>
      <c r="Z873" s="301">
        <v>0</v>
      </c>
      <c r="AA873" s="301">
        <v>0</v>
      </c>
      <c r="AB873" s="303">
        <v>2021</v>
      </c>
    </row>
    <row r="874" spans="1:28" ht="35.25" customHeight="1" x14ac:dyDescent="0.5">
      <c r="A874">
        <v>1</v>
      </c>
      <c r="B874" s="80">
        <f>SUBTOTAL(103,$A$808:A874)</f>
        <v>67</v>
      </c>
      <c r="C874" s="300" t="s">
        <v>1623</v>
      </c>
      <c r="D874" s="296">
        <f t="shared" si="47"/>
        <v>147514</v>
      </c>
      <c r="E874" s="301">
        <v>101125</v>
      </c>
      <c r="F874" s="301">
        <v>0</v>
      </c>
      <c r="G874" s="301">
        <v>0</v>
      </c>
      <c r="H874" s="301">
        <v>0</v>
      </c>
      <c r="I874" s="301">
        <v>0</v>
      </c>
      <c r="J874" s="301">
        <v>0</v>
      </c>
      <c r="K874" s="302">
        <v>1</v>
      </c>
      <c r="L874" s="301">
        <v>46389</v>
      </c>
      <c r="M874" s="301">
        <v>0</v>
      </c>
      <c r="N874" s="301">
        <v>0</v>
      </c>
      <c r="O874" s="301">
        <v>0</v>
      </c>
      <c r="P874" s="301">
        <v>0</v>
      </c>
      <c r="Q874" s="301">
        <v>0</v>
      </c>
      <c r="R874" s="301">
        <v>0</v>
      </c>
      <c r="S874" s="301">
        <v>0</v>
      </c>
      <c r="T874" s="301">
        <v>0</v>
      </c>
      <c r="U874" s="301">
        <v>0</v>
      </c>
      <c r="V874" s="301">
        <v>0</v>
      </c>
      <c r="W874" s="301">
        <v>0</v>
      </c>
      <c r="X874" s="301">
        <v>0</v>
      </c>
      <c r="Y874" s="301">
        <v>0</v>
      </c>
      <c r="Z874" s="301">
        <v>0</v>
      </c>
      <c r="AA874" s="301">
        <v>0</v>
      </c>
      <c r="AB874" s="303">
        <v>2021</v>
      </c>
    </row>
    <row r="875" spans="1:28" ht="35.25" x14ac:dyDescent="0.5">
      <c r="A875">
        <v>1</v>
      </c>
      <c r="B875" s="80">
        <f>SUBTOTAL(103,$A$808:A875)</f>
        <v>68</v>
      </c>
      <c r="C875" s="300" t="s">
        <v>3204</v>
      </c>
      <c r="D875" s="296">
        <f t="shared" si="47"/>
        <v>467015.2</v>
      </c>
      <c r="E875" s="301">
        <v>0</v>
      </c>
      <c r="F875" s="301">
        <v>0</v>
      </c>
      <c r="G875" s="301">
        <v>0</v>
      </c>
      <c r="H875" s="301">
        <v>0</v>
      </c>
      <c r="I875" s="301">
        <v>0</v>
      </c>
      <c r="J875" s="301">
        <v>0</v>
      </c>
      <c r="K875" s="302">
        <v>0</v>
      </c>
      <c r="L875" s="301">
        <v>0</v>
      </c>
      <c r="M875" s="301">
        <v>0</v>
      </c>
      <c r="N875" s="301">
        <v>0</v>
      </c>
      <c r="O875" s="301">
        <v>467015.2</v>
      </c>
      <c r="P875" s="301">
        <v>0</v>
      </c>
      <c r="Q875" s="301">
        <v>0</v>
      </c>
      <c r="R875" s="301">
        <v>0</v>
      </c>
      <c r="S875" s="301">
        <v>0</v>
      </c>
      <c r="T875" s="301">
        <v>0</v>
      </c>
      <c r="U875" s="301">
        <v>0</v>
      </c>
      <c r="V875" s="301">
        <v>0</v>
      </c>
      <c r="W875" s="301">
        <v>0</v>
      </c>
      <c r="X875" s="301">
        <v>0</v>
      </c>
      <c r="Y875" s="301">
        <v>0</v>
      </c>
      <c r="Z875" s="301">
        <v>0</v>
      </c>
      <c r="AA875" s="301">
        <v>0</v>
      </c>
      <c r="AB875" s="303">
        <v>2021</v>
      </c>
    </row>
    <row r="876" spans="1:28" ht="35.25" customHeight="1" x14ac:dyDescent="0.5">
      <c r="A876">
        <v>1</v>
      </c>
      <c r="B876" s="80">
        <f>SUBTOTAL(103,$A$808:A876)</f>
        <v>69</v>
      </c>
      <c r="C876" s="300" t="s">
        <v>2718</v>
      </c>
      <c r="D876" s="296">
        <f t="shared" si="47"/>
        <v>518300</v>
      </c>
      <c r="E876" s="301">
        <v>0</v>
      </c>
      <c r="F876" s="301">
        <v>0</v>
      </c>
      <c r="G876" s="301">
        <v>0</v>
      </c>
      <c r="H876" s="301">
        <v>0</v>
      </c>
      <c r="I876" s="301">
        <v>0</v>
      </c>
      <c r="J876" s="301">
        <v>0</v>
      </c>
      <c r="K876" s="302">
        <v>0</v>
      </c>
      <c r="L876" s="301">
        <v>0</v>
      </c>
      <c r="M876" s="301">
        <v>0</v>
      </c>
      <c r="N876" s="301">
        <v>0</v>
      </c>
      <c r="O876" s="301">
        <v>518300</v>
      </c>
      <c r="P876" s="301">
        <v>0</v>
      </c>
      <c r="Q876" s="301">
        <v>0</v>
      </c>
      <c r="R876" s="301">
        <v>0</v>
      </c>
      <c r="S876" s="301">
        <v>0</v>
      </c>
      <c r="T876" s="301">
        <v>0</v>
      </c>
      <c r="U876" s="301">
        <v>0</v>
      </c>
      <c r="V876" s="301">
        <v>0</v>
      </c>
      <c r="W876" s="301">
        <v>0</v>
      </c>
      <c r="X876" s="301">
        <v>0</v>
      </c>
      <c r="Y876" s="301">
        <v>0</v>
      </c>
      <c r="Z876" s="301">
        <v>0</v>
      </c>
      <c r="AA876" s="301">
        <v>0</v>
      </c>
      <c r="AB876" s="303">
        <v>2021</v>
      </c>
    </row>
    <row r="877" spans="1:28" ht="35.25" customHeight="1" x14ac:dyDescent="0.5">
      <c r="A877">
        <v>1</v>
      </c>
      <c r="B877" s="80">
        <f>SUBTOTAL(103,$A$808:A877)</f>
        <v>70</v>
      </c>
      <c r="C877" s="300" t="s">
        <v>2719</v>
      </c>
      <c r="D877" s="296">
        <f t="shared" si="47"/>
        <v>304078.62</v>
      </c>
      <c r="E877" s="301">
        <v>0</v>
      </c>
      <c r="F877" s="301">
        <v>0</v>
      </c>
      <c r="G877" s="301">
        <v>166624.62</v>
      </c>
      <c r="H877" s="301">
        <v>137454</v>
      </c>
      <c r="I877" s="301">
        <v>0</v>
      </c>
      <c r="J877" s="301">
        <v>0</v>
      </c>
      <c r="K877" s="302">
        <v>0</v>
      </c>
      <c r="L877" s="301">
        <v>0</v>
      </c>
      <c r="M877" s="301">
        <v>0</v>
      </c>
      <c r="N877" s="301">
        <v>0</v>
      </c>
      <c r="O877" s="301">
        <v>0</v>
      </c>
      <c r="P877" s="301">
        <v>0</v>
      </c>
      <c r="Q877" s="301">
        <v>0</v>
      </c>
      <c r="R877" s="301">
        <v>0</v>
      </c>
      <c r="S877" s="301">
        <v>0</v>
      </c>
      <c r="T877" s="301">
        <v>0</v>
      </c>
      <c r="U877" s="301">
        <v>0</v>
      </c>
      <c r="V877" s="301">
        <v>0</v>
      </c>
      <c r="W877" s="301">
        <v>0</v>
      </c>
      <c r="X877" s="301">
        <v>0</v>
      </c>
      <c r="Y877" s="301">
        <v>0</v>
      </c>
      <c r="Z877" s="301">
        <v>0</v>
      </c>
      <c r="AA877" s="301">
        <v>0</v>
      </c>
      <c r="AB877" s="303">
        <v>2021</v>
      </c>
    </row>
    <row r="878" spans="1:28" ht="35.25" customHeight="1" x14ac:dyDescent="0.5">
      <c r="A878">
        <v>1</v>
      </c>
      <c r="B878" s="80">
        <f>SUBTOTAL(103,$A$808:A878)</f>
        <v>71</v>
      </c>
      <c r="C878" s="300" t="s">
        <v>2333</v>
      </c>
      <c r="D878" s="296">
        <f t="shared" si="47"/>
        <v>764909</v>
      </c>
      <c r="E878" s="301">
        <v>0</v>
      </c>
      <c r="F878" s="301">
        <v>0</v>
      </c>
      <c r="G878" s="301">
        <v>318670</v>
      </c>
      <c r="H878" s="301">
        <v>0</v>
      </c>
      <c r="I878" s="301">
        <v>0</v>
      </c>
      <c r="J878" s="301">
        <v>0</v>
      </c>
      <c r="K878" s="302">
        <v>2</v>
      </c>
      <c r="L878" s="301">
        <v>446239</v>
      </c>
      <c r="M878" s="301">
        <v>0</v>
      </c>
      <c r="N878" s="301">
        <v>0</v>
      </c>
      <c r="O878" s="301">
        <v>0</v>
      </c>
      <c r="P878" s="301">
        <v>0</v>
      </c>
      <c r="Q878" s="301">
        <v>0</v>
      </c>
      <c r="R878" s="301">
        <v>0</v>
      </c>
      <c r="S878" s="301">
        <v>0</v>
      </c>
      <c r="T878" s="301">
        <v>0</v>
      </c>
      <c r="U878" s="301">
        <v>0</v>
      </c>
      <c r="V878" s="301">
        <v>0</v>
      </c>
      <c r="W878" s="301">
        <v>0</v>
      </c>
      <c r="X878" s="301">
        <v>0</v>
      </c>
      <c r="Y878" s="301">
        <v>0</v>
      </c>
      <c r="Z878" s="301">
        <v>0</v>
      </c>
      <c r="AA878" s="301">
        <v>0</v>
      </c>
      <c r="AB878" s="303">
        <v>2021</v>
      </c>
    </row>
    <row r="879" spans="1:28" ht="35.25" customHeight="1" x14ac:dyDescent="0.5">
      <c r="A879">
        <v>1</v>
      </c>
      <c r="B879" s="80">
        <f>SUBTOTAL(103,$A$808:A879)</f>
        <v>72</v>
      </c>
      <c r="C879" s="300" t="s">
        <v>2720</v>
      </c>
      <c r="D879" s="296">
        <f t="shared" si="47"/>
        <v>1467509.9</v>
      </c>
      <c r="E879" s="301">
        <v>0</v>
      </c>
      <c r="F879" s="301">
        <v>0</v>
      </c>
      <c r="G879" s="301">
        <v>0</v>
      </c>
      <c r="H879" s="301">
        <v>0</v>
      </c>
      <c r="I879" s="301">
        <v>0</v>
      </c>
      <c r="J879" s="301">
        <v>0</v>
      </c>
      <c r="K879" s="302">
        <v>0</v>
      </c>
      <c r="L879" s="301">
        <v>0</v>
      </c>
      <c r="M879" s="301">
        <v>1467509.9</v>
      </c>
      <c r="N879" s="301">
        <v>0</v>
      </c>
      <c r="O879" s="301">
        <v>0</v>
      </c>
      <c r="P879" s="301">
        <v>0</v>
      </c>
      <c r="Q879" s="301">
        <v>0</v>
      </c>
      <c r="R879" s="301">
        <v>0</v>
      </c>
      <c r="S879" s="301">
        <v>0</v>
      </c>
      <c r="T879" s="301">
        <v>0</v>
      </c>
      <c r="U879" s="301">
        <v>0</v>
      </c>
      <c r="V879" s="301">
        <v>0</v>
      </c>
      <c r="W879" s="301">
        <v>0</v>
      </c>
      <c r="X879" s="301">
        <v>0</v>
      </c>
      <c r="Y879" s="301">
        <v>0</v>
      </c>
      <c r="Z879" s="301">
        <v>0</v>
      </c>
      <c r="AA879" s="301">
        <v>0</v>
      </c>
      <c r="AB879" s="303">
        <v>2021</v>
      </c>
    </row>
    <row r="880" spans="1:28" ht="35.25" customHeight="1" x14ac:dyDescent="0.5">
      <c r="A880">
        <v>1</v>
      </c>
      <c r="B880" s="80">
        <f>SUBTOTAL(103,$A$808:A880)</f>
        <v>73</v>
      </c>
      <c r="C880" s="300" t="s">
        <v>1868</v>
      </c>
      <c r="D880" s="296">
        <f t="shared" si="47"/>
        <v>573200</v>
      </c>
      <c r="E880" s="301">
        <v>0</v>
      </c>
      <c r="F880" s="301">
        <v>0</v>
      </c>
      <c r="G880" s="301">
        <v>0</v>
      </c>
      <c r="H880" s="301">
        <v>0</v>
      </c>
      <c r="I880" s="301">
        <v>0</v>
      </c>
      <c r="J880" s="301">
        <v>0</v>
      </c>
      <c r="K880" s="302">
        <v>0</v>
      </c>
      <c r="L880" s="301">
        <v>0</v>
      </c>
      <c r="M880" s="301">
        <v>0</v>
      </c>
      <c r="N880" s="301">
        <v>0</v>
      </c>
      <c r="O880" s="301">
        <v>573200</v>
      </c>
      <c r="P880" s="301">
        <v>0</v>
      </c>
      <c r="Q880" s="301">
        <v>0</v>
      </c>
      <c r="R880" s="301">
        <v>0</v>
      </c>
      <c r="S880" s="301">
        <v>0</v>
      </c>
      <c r="T880" s="301">
        <v>0</v>
      </c>
      <c r="U880" s="301">
        <v>0</v>
      </c>
      <c r="V880" s="301">
        <v>0</v>
      </c>
      <c r="W880" s="301">
        <v>0</v>
      </c>
      <c r="X880" s="301">
        <v>0</v>
      </c>
      <c r="Y880" s="301">
        <v>0</v>
      </c>
      <c r="Z880" s="301">
        <v>0</v>
      </c>
      <c r="AA880" s="301">
        <v>0</v>
      </c>
      <c r="AB880" s="303">
        <v>2021</v>
      </c>
    </row>
    <row r="881" spans="1:28" ht="35.25" customHeight="1" x14ac:dyDescent="0.5">
      <c r="A881">
        <v>1</v>
      </c>
      <c r="B881" s="80">
        <f>SUBTOTAL(103,$A$808:A881)</f>
        <v>74</v>
      </c>
      <c r="C881" s="300" t="s">
        <v>2721</v>
      </c>
      <c r="D881" s="296">
        <f t="shared" si="47"/>
        <v>2000661.7999999998</v>
      </c>
      <c r="E881" s="301">
        <v>0</v>
      </c>
      <c r="F881" s="301">
        <v>0</v>
      </c>
      <c r="G881" s="301">
        <v>0</v>
      </c>
      <c r="H881" s="301">
        <v>0</v>
      </c>
      <c r="I881" s="301">
        <v>0</v>
      </c>
      <c r="J881" s="301">
        <v>0</v>
      </c>
      <c r="K881" s="302">
        <v>0</v>
      </c>
      <c r="L881" s="301">
        <v>0</v>
      </c>
      <c r="M881" s="301">
        <v>0</v>
      </c>
      <c r="N881" s="301">
        <v>0</v>
      </c>
      <c r="O881" s="301">
        <v>2000661.7999999998</v>
      </c>
      <c r="P881" s="301">
        <v>0</v>
      </c>
      <c r="Q881" s="301">
        <v>0</v>
      </c>
      <c r="R881" s="301">
        <v>0</v>
      </c>
      <c r="S881" s="301">
        <v>0</v>
      </c>
      <c r="T881" s="301">
        <v>0</v>
      </c>
      <c r="U881" s="301">
        <v>0</v>
      </c>
      <c r="V881" s="301">
        <v>0</v>
      </c>
      <c r="W881" s="301">
        <v>0</v>
      </c>
      <c r="X881" s="301">
        <v>0</v>
      </c>
      <c r="Y881" s="301">
        <v>0</v>
      </c>
      <c r="Z881" s="301">
        <v>0</v>
      </c>
      <c r="AA881" s="301">
        <v>0</v>
      </c>
      <c r="AB881" s="303">
        <v>2021</v>
      </c>
    </row>
    <row r="882" spans="1:28" ht="35.25" customHeight="1" x14ac:dyDescent="0.5">
      <c r="A882">
        <v>1</v>
      </c>
      <c r="B882" s="80">
        <f>SUBTOTAL(103,$A$808:A882)</f>
        <v>75</v>
      </c>
      <c r="C882" s="300" t="s">
        <v>2722</v>
      </c>
      <c r="D882" s="296">
        <f t="shared" si="47"/>
        <v>120000</v>
      </c>
      <c r="E882" s="301">
        <v>0</v>
      </c>
      <c r="F882" s="301">
        <v>0</v>
      </c>
      <c r="G882" s="301">
        <v>120000</v>
      </c>
      <c r="H882" s="301">
        <v>0</v>
      </c>
      <c r="I882" s="301">
        <v>0</v>
      </c>
      <c r="J882" s="301">
        <v>0</v>
      </c>
      <c r="K882" s="302">
        <v>0</v>
      </c>
      <c r="L882" s="301">
        <v>0</v>
      </c>
      <c r="M882" s="301">
        <v>0</v>
      </c>
      <c r="N882" s="301">
        <v>0</v>
      </c>
      <c r="O882" s="301">
        <v>0</v>
      </c>
      <c r="P882" s="301">
        <v>0</v>
      </c>
      <c r="Q882" s="301">
        <v>0</v>
      </c>
      <c r="R882" s="301">
        <v>0</v>
      </c>
      <c r="S882" s="301">
        <v>0</v>
      </c>
      <c r="T882" s="301">
        <v>0</v>
      </c>
      <c r="U882" s="301">
        <v>0</v>
      </c>
      <c r="V882" s="301">
        <v>0</v>
      </c>
      <c r="W882" s="301">
        <v>0</v>
      </c>
      <c r="X882" s="301">
        <v>0</v>
      </c>
      <c r="Y882" s="301">
        <v>0</v>
      </c>
      <c r="Z882" s="301">
        <v>0</v>
      </c>
      <c r="AA882" s="301">
        <v>0</v>
      </c>
      <c r="AB882" s="303">
        <v>2021</v>
      </c>
    </row>
    <row r="883" spans="1:28" ht="35.25" customHeight="1" x14ac:dyDescent="0.5">
      <c r="A883">
        <v>1</v>
      </c>
      <c r="B883" s="80">
        <f>SUBTOTAL(103,$A$808:A883)</f>
        <v>76</v>
      </c>
      <c r="C883" s="300" t="s">
        <v>2723</v>
      </c>
      <c r="D883" s="296">
        <f t="shared" si="47"/>
        <v>466268.45</v>
      </c>
      <c r="E883" s="301">
        <v>0</v>
      </c>
      <c r="F883" s="301">
        <v>0</v>
      </c>
      <c r="G883" s="301">
        <v>0</v>
      </c>
      <c r="H883" s="301">
        <v>0</v>
      </c>
      <c r="I883" s="301">
        <v>0</v>
      </c>
      <c r="J883" s="301">
        <v>0</v>
      </c>
      <c r="K883" s="302">
        <v>0</v>
      </c>
      <c r="L883" s="301">
        <v>0</v>
      </c>
      <c r="M883" s="301">
        <v>0</v>
      </c>
      <c r="N883" s="301">
        <v>0</v>
      </c>
      <c r="O883" s="301">
        <v>466268.45</v>
      </c>
      <c r="P883" s="301">
        <v>0</v>
      </c>
      <c r="Q883" s="301">
        <v>0</v>
      </c>
      <c r="R883" s="301">
        <v>0</v>
      </c>
      <c r="S883" s="301">
        <v>0</v>
      </c>
      <c r="T883" s="301">
        <v>0</v>
      </c>
      <c r="U883" s="301">
        <v>0</v>
      </c>
      <c r="V883" s="301">
        <v>0</v>
      </c>
      <c r="W883" s="301">
        <v>0</v>
      </c>
      <c r="X883" s="301">
        <v>0</v>
      </c>
      <c r="Y883" s="301">
        <v>0</v>
      </c>
      <c r="Z883" s="301">
        <v>0</v>
      </c>
      <c r="AA883" s="301">
        <v>0</v>
      </c>
      <c r="AB883" s="303">
        <v>2021</v>
      </c>
    </row>
    <row r="884" spans="1:28" ht="35.25" customHeight="1" x14ac:dyDescent="0.5">
      <c r="A884">
        <v>1</v>
      </c>
      <c r="B884" s="80">
        <f>SUBTOTAL(103,$A$808:A884)</f>
        <v>77</v>
      </c>
      <c r="C884" s="300" t="s">
        <v>2724</v>
      </c>
      <c r="D884" s="296">
        <f t="shared" si="47"/>
        <v>1850661</v>
      </c>
      <c r="E884" s="301">
        <v>0</v>
      </c>
      <c r="F884" s="301">
        <v>0</v>
      </c>
      <c r="G884" s="301">
        <v>0</v>
      </c>
      <c r="H884" s="301">
        <v>0</v>
      </c>
      <c r="I884" s="301">
        <v>0</v>
      </c>
      <c r="J884" s="301">
        <v>0</v>
      </c>
      <c r="K884" s="302">
        <v>0</v>
      </c>
      <c r="L884" s="301">
        <v>0</v>
      </c>
      <c r="M884" s="301">
        <f>1265981+12000</f>
        <v>1277981</v>
      </c>
      <c r="N884" s="301">
        <v>0</v>
      </c>
      <c r="O884" s="301">
        <v>572680</v>
      </c>
      <c r="P884" s="301">
        <v>0</v>
      </c>
      <c r="Q884" s="301">
        <v>0</v>
      </c>
      <c r="R884" s="301">
        <v>0</v>
      </c>
      <c r="S884" s="301">
        <v>0</v>
      </c>
      <c r="T884" s="301">
        <v>0</v>
      </c>
      <c r="U884" s="301">
        <v>0</v>
      </c>
      <c r="V884" s="301">
        <v>0</v>
      </c>
      <c r="W884" s="301">
        <v>0</v>
      </c>
      <c r="X884" s="301">
        <v>0</v>
      </c>
      <c r="Y884" s="301">
        <v>0</v>
      </c>
      <c r="Z884" s="301">
        <v>0</v>
      </c>
      <c r="AA884" s="301">
        <v>0</v>
      </c>
      <c r="AB884" s="303">
        <v>2021</v>
      </c>
    </row>
    <row r="885" spans="1:28" ht="35.25" customHeight="1" x14ac:dyDescent="0.5">
      <c r="A885">
        <v>1</v>
      </c>
      <c r="B885" s="80">
        <f>SUBTOTAL(103,$A$808:A885)</f>
        <v>78</v>
      </c>
      <c r="C885" s="300" t="s">
        <v>1871</v>
      </c>
      <c r="D885" s="296">
        <f t="shared" si="47"/>
        <v>110676.5</v>
      </c>
      <c r="E885" s="301">
        <v>0</v>
      </c>
      <c r="F885" s="301">
        <v>0</v>
      </c>
      <c r="G885" s="301">
        <v>0</v>
      </c>
      <c r="H885" s="301">
        <v>0</v>
      </c>
      <c r="I885" s="301">
        <v>0</v>
      </c>
      <c r="J885" s="301">
        <v>0</v>
      </c>
      <c r="K885" s="302">
        <v>0</v>
      </c>
      <c r="L885" s="301">
        <v>0</v>
      </c>
      <c r="M885" s="301">
        <v>110676.5</v>
      </c>
      <c r="N885" s="301">
        <v>0</v>
      </c>
      <c r="O885" s="301">
        <v>0</v>
      </c>
      <c r="P885" s="301">
        <v>0</v>
      </c>
      <c r="Q885" s="301">
        <v>0</v>
      </c>
      <c r="R885" s="301">
        <v>0</v>
      </c>
      <c r="S885" s="301">
        <v>0</v>
      </c>
      <c r="T885" s="301">
        <v>0</v>
      </c>
      <c r="U885" s="301">
        <v>0</v>
      </c>
      <c r="V885" s="301">
        <v>0</v>
      </c>
      <c r="W885" s="301">
        <v>0</v>
      </c>
      <c r="X885" s="301">
        <v>0</v>
      </c>
      <c r="Y885" s="301">
        <v>0</v>
      </c>
      <c r="Z885" s="301">
        <v>0</v>
      </c>
      <c r="AA885" s="301">
        <v>0</v>
      </c>
      <c r="AB885" s="303">
        <v>2021</v>
      </c>
    </row>
    <row r="886" spans="1:28" ht="35.25" customHeight="1" x14ac:dyDescent="0.5">
      <c r="A886">
        <v>1</v>
      </c>
      <c r="B886" s="80">
        <f>SUBTOTAL(103,$A$808:A886)</f>
        <v>79</v>
      </c>
      <c r="C886" s="300" t="s">
        <v>2725</v>
      </c>
      <c r="D886" s="296">
        <f t="shared" si="47"/>
        <v>1272107</v>
      </c>
      <c r="E886" s="301">
        <v>0</v>
      </c>
      <c r="F886" s="301">
        <v>0</v>
      </c>
      <c r="G886" s="301">
        <v>0</v>
      </c>
      <c r="H886" s="301">
        <v>0</v>
      </c>
      <c r="I886" s="301">
        <v>0</v>
      </c>
      <c r="J886" s="301">
        <v>0</v>
      </c>
      <c r="K886" s="302">
        <v>0</v>
      </c>
      <c r="L886" s="301">
        <v>0</v>
      </c>
      <c r="M886" s="301">
        <v>1272107</v>
      </c>
      <c r="N886" s="301">
        <v>0</v>
      </c>
      <c r="O886" s="301">
        <v>0</v>
      </c>
      <c r="P886" s="301">
        <v>0</v>
      </c>
      <c r="Q886" s="301">
        <v>0</v>
      </c>
      <c r="R886" s="301">
        <v>0</v>
      </c>
      <c r="S886" s="301">
        <v>0</v>
      </c>
      <c r="T886" s="301">
        <v>0</v>
      </c>
      <c r="U886" s="301">
        <v>0</v>
      </c>
      <c r="V886" s="301">
        <v>0</v>
      </c>
      <c r="W886" s="301">
        <v>0</v>
      </c>
      <c r="X886" s="301">
        <v>0</v>
      </c>
      <c r="Y886" s="301">
        <v>0</v>
      </c>
      <c r="Z886" s="301">
        <v>0</v>
      </c>
      <c r="AA886" s="301">
        <v>0</v>
      </c>
      <c r="AB886" s="303">
        <v>2021</v>
      </c>
    </row>
    <row r="887" spans="1:28" ht="35.25" customHeight="1" x14ac:dyDescent="0.5">
      <c r="A887">
        <v>1</v>
      </c>
      <c r="B887" s="80">
        <f>SUBTOTAL(103,$A$808:A887)</f>
        <v>80</v>
      </c>
      <c r="C887" s="300" t="s">
        <v>2726</v>
      </c>
      <c r="D887" s="296">
        <f t="shared" si="47"/>
        <v>425705</v>
      </c>
      <c r="E887" s="301">
        <v>0</v>
      </c>
      <c r="F887" s="301">
        <v>0</v>
      </c>
      <c r="G887" s="301">
        <v>0</v>
      </c>
      <c r="H887" s="301">
        <v>0</v>
      </c>
      <c r="I887" s="301">
        <v>277705</v>
      </c>
      <c r="J887" s="301">
        <v>0</v>
      </c>
      <c r="K887" s="302">
        <v>0</v>
      </c>
      <c r="L887" s="301">
        <v>0</v>
      </c>
      <c r="M887" s="301">
        <v>0</v>
      </c>
      <c r="N887" s="301">
        <v>0</v>
      </c>
      <c r="O887" s="301">
        <v>148000</v>
      </c>
      <c r="P887" s="301">
        <v>0</v>
      </c>
      <c r="Q887" s="301">
        <v>0</v>
      </c>
      <c r="R887" s="301">
        <v>0</v>
      </c>
      <c r="S887" s="301">
        <v>0</v>
      </c>
      <c r="T887" s="301">
        <v>0</v>
      </c>
      <c r="U887" s="301">
        <v>0</v>
      </c>
      <c r="V887" s="301">
        <v>0</v>
      </c>
      <c r="W887" s="301">
        <v>0</v>
      </c>
      <c r="X887" s="301">
        <v>0</v>
      </c>
      <c r="Y887" s="301">
        <v>0</v>
      </c>
      <c r="Z887" s="301">
        <v>0</v>
      </c>
      <c r="AA887" s="301">
        <v>0</v>
      </c>
      <c r="AB887" s="303">
        <v>2021</v>
      </c>
    </row>
    <row r="888" spans="1:28" ht="35.25" customHeight="1" x14ac:dyDescent="0.5">
      <c r="A888">
        <v>1</v>
      </c>
      <c r="B888" s="80">
        <f>SUBTOTAL(103,$A$808:A888)</f>
        <v>81</v>
      </c>
      <c r="C888" s="300" t="s">
        <v>2727</v>
      </c>
      <c r="D888" s="296">
        <f t="shared" si="47"/>
        <v>653000</v>
      </c>
      <c r="E888" s="301">
        <v>365000</v>
      </c>
      <c r="F888" s="301">
        <v>0</v>
      </c>
      <c r="G888" s="301">
        <v>0</v>
      </c>
      <c r="H888" s="301">
        <v>0</v>
      </c>
      <c r="I888" s="301">
        <v>0</v>
      </c>
      <c r="J888" s="301">
        <v>0</v>
      </c>
      <c r="K888" s="302">
        <v>0</v>
      </c>
      <c r="L888" s="301">
        <v>0</v>
      </c>
      <c r="M888" s="301">
        <v>0</v>
      </c>
      <c r="N888" s="301">
        <v>0</v>
      </c>
      <c r="O888" s="301">
        <v>288000</v>
      </c>
      <c r="P888" s="301">
        <v>0</v>
      </c>
      <c r="Q888" s="301">
        <v>0</v>
      </c>
      <c r="R888" s="301">
        <v>0</v>
      </c>
      <c r="S888" s="301">
        <v>0</v>
      </c>
      <c r="T888" s="301">
        <v>0</v>
      </c>
      <c r="U888" s="301">
        <v>0</v>
      </c>
      <c r="V888" s="301">
        <v>0</v>
      </c>
      <c r="W888" s="301">
        <v>0</v>
      </c>
      <c r="X888" s="301">
        <v>0</v>
      </c>
      <c r="Y888" s="301">
        <v>0</v>
      </c>
      <c r="Z888" s="301">
        <v>0</v>
      </c>
      <c r="AA888" s="301">
        <v>0</v>
      </c>
      <c r="AB888" s="303">
        <v>2021</v>
      </c>
    </row>
    <row r="889" spans="1:28" ht="35.25" customHeight="1" x14ac:dyDescent="0.5">
      <c r="A889">
        <v>1</v>
      </c>
      <c r="B889" s="80">
        <f>SUBTOTAL(103,$A$808:A889)</f>
        <v>82</v>
      </c>
      <c r="C889" s="300" t="s">
        <v>2728</v>
      </c>
      <c r="D889" s="296">
        <f t="shared" si="47"/>
        <v>967778.02</v>
      </c>
      <c r="E889" s="301">
        <v>0</v>
      </c>
      <c r="F889" s="301">
        <v>0</v>
      </c>
      <c r="G889" s="301">
        <v>0</v>
      </c>
      <c r="H889" s="301">
        <v>0</v>
      </c>
      <c r="I889" s="301">
        <v>0</v>
      </c>
      <c r="J889" s="301">
        <v>0</v>
      </c>
      <c r="K889" s="302">
        <v>0</v>
      </c>
      <c r="L889" s="301">
        <v>0</v>
      </c>
      <c r="M889" s="301">
        <v>284317.02</v>
      </c>
      <c r="N889" s="301">
        <v>0</v>
      </c>
      <c r="O889" s="301">
        <v>683461</v>
      </c>
      <c r="P889" s="301">
        <v>0</v>
      </c>
      <c r="Q889" s="301">
        <v>0</v>
      </c>
      <c r="R889" s="301">
        <v>0</v>
      </c>
      <c r="S889" s="301">
        <v>0</v>
      </c>
      <c r="T889" s="301">
        <v>0</v>
      </c>
      <c r="U889" s="301">
        <v>0</v>
      </c>
      <c r="V889" s="301">
        <v>0</v>
      </c>
      <c r="W889" s="301">
        <v>0</v>
      </c>
      <c r="X889" s="301">
        <v>0</v>
      </c>
      <c r="Y889" s="301">
        <v>0</v>
      </c>
      <c r="Z889" s="301">
        <v>0</v>
      </c>
      <c r="AA889" s="301">
        <v>0</v>
      </c>
      <c r="AB889" s="303">
        <v>2021</v>
      </c>
    </row>
    <row r="890" spans="1:28" ht="35.25" customHeight="1" x14ac:dyDescent="0.5">
      <c r="A890">
        <v>1</v>
      </c>
      <c r="B890" s="80">
        <f>SUBTOTAL(103,$A$808:A890)</f>
        <v>83</v>
      </c>
      <c r="C890" s="300" t="s">
        <v>1628</v>
      </c>
      <c r="D890" s="296">
        <f t="shared" si="47"/>
        <v>2175000.02</v>
      </c>
      <c r="E890" s="301">
        <v>136850</v>
      </c>
      <c r="F890" s="301">
        <v>0</v>
      </c>
      <c r="G890" s="301">
        <v>1832100</v>
      </c>
      <c r="H890" s="301">
        <v>0</v>
      </c>
      <c r="I890" s="301">
        <v>0</v>
      </c>
      <c r="J890" s="301">
        <v>0</v>
      </c>
      <c r="K890" s="302">
        <v>1</v>
      </c>
      <c r="L890" s="301">
        <v>206050.02000000002</v>
      </c>
      <c r="M890" s="301">
        <v>0</v>
      </c>
      <c r="N890" s="301">
        <v>0</v>
      </c>
      <c r="O890" s="301">
        <v>0</v>
      </c>
      <c r="P890" s="301">
        <v>0</v>
      </c>
      <c r="Q890" s="301">
        <v>0</v>
      </c>
      <c r="R890" s="301">
        <v>0</v>
      </c>
      <c r="S890" s="301">
        <v>0</v>
      </c>
      <c r="T890" s="301">
        <v>0</v>
      </c>
      <c r="U890" s="301">
        <v>0</v>
      </c>
      <c r="V890" s="301">
        <v>0</v>
      </c>
      <c r="W890" s="301">
        <v>0</v>
      </c>
      <c r="X890" s="301">
        <v>0</v>
      </c>
      <c r="Y890" s="301">
        <v>0</v>
      </c>
      <c r="Z890" s="301">
        <v>0</v>
      </c>
      <c r="AA890" s="301">
        <v>0</v>
      </c>
      <c r="AB890" s="303">
        <v>2021</v>
      </c>
    </row>
    <row r="891" spans="1:28" ht="35.25" customHeight="1" x14ac:dyDescent="0.5">
      <c r="A891">
        <v>1</v>
      </c>
      <c r="B891" s="80">
        <f>SUBTOTAL(103,$A$808:A891)</f>
        <v>84</v>
      </c>
      <c r="C891" s="300" t="s">
        <v>1629</v>
      </c>
      <c r="D891" s="296">
        <f t="shared" si="47"/>
        <v>390295.3</v>
      </c>
      <c r="E891" s="301">
        <v>0</v>
      </c>
      <c r="F891" s="301">
        <v>0</v>
      </c>
      <c r="G891" s="301">
        <v>0</v>
      </c>
      <c r="H891" s="301">
        <v>0</v>
      </c>
      <c r="I891" s="301">
        <v>0</v>
      </c>
      <c r="J891" s="301">
        <v>0</v>
      </c>
      <c r="K891" s="302">
        <v>0</v>
      </c>
      <c r="L891" s="301">
        <v>0</v>
      </c>
      <c r="M891" s="301">
        <v>0</v>
      </c>
      <c r="N891" s="301">
        <v>0</v>
      </c>
      <c r="O891" s="301">
        <v>0</v>
      </c>
      <c r="P891" s="301">
        <v>390295.3</v>
      </c>
      <c r="Q891" s="301">
        <v>0</v>
      </c>
      <c r="R891" s="301">
        <v>0</v>
      </c>
      <c r="S891" s="301">
        <v>0</v>
      </c>
      <c r="T891" s="301">
        <v>0</v>
      </c>
      <c r="U891" s="301">
        <v>0</v>
      </c>
      <c r="V891" s="301">
        <v>0</v>
      </c>
      <c r="W891" s="301">
        <v>0</v>
      </c>
      <c r="X891" s="301">
        <v>0</v>
      </c>
      <c r="Y891" s="301">
        <v>0</v>
      </c>
      <c r="Z891" s="301">
        <v>0</v>
      </c>
      <c r="AA891" s="301">
        <v>0</v>
      </c>
      <c r="AB891" s="303">
        <v>2021</v>
      </c>
    </row>
    <row r="892" spans="1:28" ht="35.25" customHeight="1" x14ac:dyDescent="0.5">
      <c r="A892">
        <v>1</v>
      </c>
      <c r="B892" s="80">
        <f>SUBTOTAL(103,$A$808:A892)</f>
        <v>85</v>
      </c>
      <c r="C892" s="300" t="s">
        <v>1630</v>
      </c>
      <c r="D892" s="296">
        <f t="shared" si="47"/>
        <v>1024459.91</v>
      </c>
      <c r="E892" s="301">
        <v>0</v>
      </c>
      <c r="F892" s="301">
        <v>0</v>
      </c>
      <c r="G892" s="301">
        <v>0</v>
      </c>
      <c r="H892" s="301">
        <v>0</v>
      </c>
      <c r="I892" s="301">
        <v>0</v>
      </c>
      <c r="J892" s="301">
        <v>0</v>
      </c>
      <c r="K892" s="302">
        <v>0</v>
      </c>
      <c r="L892" s="301">
        <v>0</v>
      </c>
      <c r="M892" s="301">
        <v>0</v>
      </c>
      <c r="N892" s="301">
        <v>0</v>
      </c>
      <c r="O892" s="301">
        <v>1024459.91</v>
      </c>
      <c r="P892" s="301">
        <v>0</v>
      </c>
      <c r="Q892" s="301">
        <v>0</v>
      </c>
      <c r="R892" s="301">
        <v>0</v>
      </c>
      <c r="S892" s="301">
        <v>0</v>
      </c>
      <c r="T892" s="301">
        <v>0</v>
      </c>
      <c r="U892" s="301">
        <v>0</v>
      </c>
      <c r="V892" s="301">
        <v>0</v>
      </c>
      <c r="W892" s="301">
        <v>0</v>
      </c>
      <c r="X892" s="301">
        <v>0</v>
      </c>
      <c r="Y892" s="301">
        <v>0</v>
      </c>
      <c r="Z892" s="301">
        <v>0</v>
      </c>
      <c r="AA892" s="301">
        <v>0</v>
      </c>
      <c r="AB892" s="303">
        <v>2021</v>
      </c>
    </row>
    <row r="893" spans="1:28" ht="35.25" customHeight="1" x14ac:dyDescent="0.5">
      <c r="A893">
        <v>1</v>
      </c>
      <c r="B893" s="80">
        <f>SUBTOTAL(103,$A$808:A893)</f>
        <v>86</v>
      </c>
      <c r="C893" s="300" t="s">
        <v>2328</v>
      </c>
      <c r="D893" s="296">
        <f t="shared" si="47"/>
        <v>760207</v>
      </c>
      <c r="E893" s="301">
        <v>0</v>
      </c>
      <c r="F893" s="301">
        <v>285207</v>
      </c>
      <c r="G893" s="301">
        <v>0</v>
      </c>
      <c r="H893" s="301">
        <v>0</v>
      </c>
      <c r="I893" s="301">
        <v>0</v>
      </c>
      <c r="J893" s="301">
        <v>0</v>
      </c>
      <c r="K893" s="302">
        <v>0</v>
      </c>
      <c r="L893" s="301">
        <v>0</v>
      </c>
      <c r="M893" s="301">
        <v>475000</v>
      </c>
      <c r="N893" s="301">
        <v>0</v>
      </c>
      <c r="O893" s="301">
        <v>0</v>
      </c>
      <c r="P893" s="301">
        <v>0</v>
      </c>
      <c r="Q893" s="301">
        <v>0</v>
      </c>
      <c r="R893" s="301">
        <v>0</v>
      </c>
      <c r="S893" s="301">
        <v>0</v>
      </c>
      <c r="T893" s="301">
        <v>0</v>
      </c>
      <c r="U893" s="301">
        <v>0</v>
      </c>
      <c r="V893" s="301">
        <v>0</v>
      </c>
      <c r="W893" s="301">
        <v>0</v>
      </c>
      <c r="X893" s="301">
        <v>0</v>
      </c>
      <c r="Y893" s="301">
        <v>0</v>
      </c>
      <c r="Z893" s="301">
        <v>0</v>
      </c>
      <c r="AA893" s="301">
        <v>0</v>
      </c>
      <c r="AB893" s="303">
        <v>2021</v>
      </c>
    </row>
    <row r="894" spans="1:28" ht="35.25" customHeight="1" x14ac:dyDescent="0.5">
      <c r="A894">
        <v>1</v>
      </c>
      <c r="B894" s="80">
        <f>SUBTOTAL(103,$A$808:A894)</f>
        <v>87</v>
      </c>
      <c r="C894" s="300" t="s">
        <v>1876</v>
      </c>
      <c r="D894" s="296">
        <f t="shared" si="47"/>
        <v>215820</v>
      </c>
      <c r="E894" s="301">
        <v>0</v>
      </c>
      <c r="F894" s="301">
        <v>0</v>
      </c>
      <c r="G894" s="301">
        <v>0</v>
      </c>
      <c r="H894" s="301">
        <v>0</v>
      </c>
      <c r="I894" s="301">
        <v>0</v>
      </c>
      <c r="J894" s="301">
        <v>0</v>
      </c>
      <c r="K894" s="302">
        <v>0</v>
      </c>
      <c r="L894" s="301">
        <v>0</v>
      </c>
      <c r="M894" s="301">
        <v>0</v>
      </c>
      <c r="N894" s="301">
        <v>0</v>
      </c>
      <c r="O894" s="301">
        <v>215820</v>
      </c>
      <c r="P894" s="301">
        <v>0</v>
      </c>
      <c r="Q894" s="301">
        <v>0</v>
      </c>
      <c r="R894" s="301">
        <v>0</v>
      </c>
      <c r="S894" s="301">
        <v>0</v>
      </c>
      <c r="T894" s="301">
        <v>0</v>
      </c>
      <c r="U894" s="301">
        <v>0</v>
      </c>
      <c r="V894" s="301">
        <v>0</v>
      </c>
      <c r="W894" s="301">
        <v>0</v>
      </c>
      <c r="X894" s="301">
        <v>0</v>
      </c>
      <c r="Y894" s="301">
        <v>0</v>
      </c>
      <c r="Z894" s="301">
        <v>0</v>
      </c>
      <c r="AA894" s="301">
        <v>0</v>
      </c>
      <c r="AB894" s="303">
        <v>2021</v>
      </c>
    </row>
    <row r="895" spans="1:28" ht="35.25" customHeight="1" x14ac:dyDescent="0.5">
      <c r="A895">
        <v>1</v>
      </c>
      <c r="B895" s="80">
        <f>SUBTOTAL(103,$A$808:A895)</f>
        <v>88</v>
      </c>
      <c r="C895" s="300" t="s">
        <v>1877</v>
      </c>
      <c r="D895" s="296">
        <f t="shared" si="47"/>
        <v>468000</v>
      </c>
      <c r="E895" s="301">
        <v>0</v>
      </c>
      <c r="F895" s="301">
        <v>0</v>
      </c>
      <c r="G895" s="301">
        <v>0</v>
      </c>
      <c r="H895" s="301">
        <v>0</v>
      </c>
      <c r="I895" s="301">
        <v>0</v>
      </c>
      <c r="J895" s="301">
        <v>0</v>
      </c>
      <c r="K895" s="302">
        <v>0</v>
      </c>
      <c r="L895" s="301">
        <v>0</v>
      </c>
      <c r="M895" s="301">
        <v>468000</v>
      </c>
      <c r="N895" s="301">
        <v>0</v>
      </c>
      <c r="O895" s="301">
        <v>0</v>
      </c>
      <c r="P895" s="301">
        <v>0</v>
      </c>
      <c r="Q895" s="301">
        <v>0</v>
      </c>
      <c r="R895" s="301">
        <v>0</v>
      </c>
      <c r="S895" s="301">
        <v>0</v>
      </c>
      <c r="T895" s="301">
        <v>0</v>
      </c>
      <c r="U895" s="301">
        <v>0</v>
      </c>
      <c r="V895" s="301">
        <v>0</v>
      </c>
      <c r="W895" s="301">
        <v>0</v>
      </c>
      <c r="X895" s="301">
        <v>0</v>
      </c>
      <c r="Y895" s="301">
        <v>0</v>
      </c>
      <c r="Z895" s="301">
        <v>0</v>
      </c>
      <c r="AA895" s="301">
        <v>0</v>
      </c>
      <c r="AB895" s="303">
        <v>2021</v>
      </c>
    </row>
    <row r="896" spans="1:28" ht="35.25" customHeight="1" x14ac:dyDescent="0.5">
      <c r="A896">
        <v>1</v>
      </c>
      <c r="B896" s="80">
        <f>SUBTOTAL(103,$A$808:A896)</f>
        <v>89</v>
      </c>
      <c r="C896" s="300" t="s">
        <v>1631</v>
      </c>
      <c r="D896" s="296">
        <f t="shared" si="47"/>
        <v>2886118.91</v>
      </c>
      <c r="E896" s="301">
        <v>0</v>
      </c>
      <c r="F896" s="301">
        <v>0</v>
      </c>
      <c r="G896" s="301">
        <v>0</v>
      </c>
      <c r="H896" s="301">
        <v>0</v>
      </c>
      <c r="I896" s="301">
        <v>0</v>
      </c>
      <c r="J896" s="301">
        <v>0</v>
      </c>
      <c r="K896" s="302">
        <v>0</v>
      </c>
      <c r="L896" s="301">
        <v>0</v>
      </c>
      <c r="M896" s="301">
        <v>1833288.28</v>
      </c>
      <c r="N896" s="301">
        <v>0</v>
      </c>
      <c r="O896" s="301">
        <v>1052830.6299999999</v>
      </c>
      <c r="P896" s="301">
        <v>0</v>
      </c>
      <c r="Q896" s="301">
        <v>0</v>
      </c>
      <c r="R896" s="301">
        <v>0</v>
      </c>
      <c r="S896" s="301">
        <v>0</v>
      </c>
      <c r="T896" s="301">
        <v>0</v>
      </c>
      <c r="U896" s="301">
        <v>0</v>
      </c>
      <c r="V896" s="301">
        <v>0</v>
      </c>
      <c r="W896" s="301">
        <v>0</v>
      </c>
      <c r="X896" s="301">
        <v>0</v>
      </c>
      <c r="Y896" s="301">
        <v>0</v>
      </c>
      <c r="Z896" s="301">
        <v>0</v>
      </c>
      <c r="AA896" s="301">
        <v>0</v>
      </c>
      <c r="AB896" s="303">
        <v>2021</v>
      </c>
    </row>
    <row r="897" spans="1:28" ht="35.25" customHeight="1" x14ac:dyDescent="0.5">
      <c r="A897">
        <v>1</v>
      </c>
      <c r="B897" s="80">
        <f>SUBTOTAL(103,$A$808:A897)</f>
        <v>90</v>
      </c>
      <c r="C897" s="300" t="s">
        <v>2729</v>
      </c>
      <c r="D897" s="296">
        <f t="shared" si="47"/>
        <v>133000</v>
      </c>
      <c r="E897" s="301">
        <v>0</v>
      </c>
      <c r="F897" s="301">
        <v>0</v>
      </c>
      <c r="G897" s="301">
        <v>0</v>
      </c>
      <c r="H897" s="301">
        <v>0</v>
      </c>
      <c r="I897" s="301">
        <v>0</v>
      </c>
      <c r="J897" s="301">
        <v>0</v>
      </c>
      <c r="K897" s="302">
        <v>1</v>
      </c>
      <c r="L897" s="301">
        <v>133000</v>
      </c>
      <c r="M897" s="301">
        <v>0</v>
      </c>
      <c r="N897" s="301">
        <v>0</v>
      </c>
      <c r="O897" s="301">
        <v>0</v>
      </c>
      <c r="P897" s="301">
        <v>0</v>
      </c>
      <c r="Q897" s="301">
        <v>0</v>
      </c>
      <c r="R897" s="301">
        <v>0</v>
      </c>
      <c r="S897" s="301">
        <v>0</v>
      </c>
      <c r="T897" s="301">
        <v>0</v>
      </c>
      <c r="U897" s="301">
        <v>0</v>
      </c>
      <c r="V897" s="301">
        <v>0</v>
      </c>
      <c r="W897" s="301">
        <v>0</v>
      </c>
      <c r="X897" s="301">
        <v>0</v>
      </c>
      <c r="Y897" s="301">
        <v>0</v>
      </c>
      <c r="Z897" s="301">
        <v>0</v>
      </c>
      <c r="AA897" s="301">
        <v>0</v>
      </c>
      <c r="AB897" s="303">
        <v>2021</v>
      </c>
    </row>
    <row r="898" spans="1:28" ht="35.25" customHeight="1" x14ac:dyDescent="0.5">
      <c r="A898">
        <v>1</v>
      </c>
      <c r="B898" s="80">
        <f>SUBTOTAL(103,$A$808:A898)</f>
        <v>91</v>
      </c>
      <c r="C898" s="300" t="s">
        <v>2329</v>
      </c>
      <c r="D898" s="296">
        <f t="shared" si="47"/>
        <v>989307.33</v>
      </c>
      <c r="E898" s="301">
        <v>0</v>
      </c>
      <c r="F898" s="301">
        <v>193421.33</v>
      </c>
      <c r="G898" s="301">
        <v>0</v>
      </c>
      <c r="H898" s="301">
        <v>0</v>
      </c>
      <c r="I898" s="301">
        <v>0</v>
      </c>
      <c r="J898" s="301">
        <v>0</v>
      </c>
      <c r="K898" s="302">
        <v>0</v>
      </c>
      <c r="L898" s="301">
        <v>0</v>
      </c>
      <c r="M898" s="301">
        <v>0</v>
      </c>
      <c r="N898" s="301">
        <v>795886</v>
      </c>
      <c r="O898" s="301">
        <v>0</v>
      </c>
      <c r="P898" s="301">
        <v>0</v>
      </c>
      <c r="Q898" s="301">
        <v>0</v>
      </c>
      <c r="R898" s="301">
        <v>0</v>
      </c>
      <c r="S898" s="301">
        <v>0</v>
      </c>
      <c r="T898" s="301">
        <v>0</v>
      </c>
      <c r="U898" s="301">
        <v>0</v>
      </c>
      <c r="V898" s="301">
        <v>0</v>
      </c>
      <c r="W898" s="301">
        <v>0</v>
      </c>
      <c r="X898" s="301">
        <v>0</v>
      </c>
      <c r="Y898" s="301">
        <v>0</v>
      </c>
      <c r="Z898" s="301">
        <v>0</v>
      </c>
      <c r="AA898" s="301">
        <v>0</v>
      </c>
      <c r="AB898" s="303">
        <v>2021</v>
      </c>
    </row>
    <row r="899" spans="1:28" ht="35.25" customHeight="1" x14ac:dyDescent="0.5">
      <c r="A899">
        <v>1</v>
      </c>
      <c r="B899" s="80">
        <f>SUBTOTAL(103,$A$808:A899)</f>
        <v>92</v>
      </c>
      <c r="C899" s="300" t="s">
        <v>1883</v>
      </c>
      <c r="D899" s="296">
        <f t="shared" si="47"/>
        <v>451582</v>
      </c>
      <c r="E899" s="301">
        <v>0</v>
      </c>
      <c r="F899" s="301">
        <v>313384</v>
      </c>
      <c r="G899" s="301">
        <v>0</v>
      </c>
      <c r="H899" s="301">
        <v>0</v>
      </c>
      <c r="I899" s="301">
        <v>0</v>
      </c>
      <c r="J899" s="301">
        <v>0</v>
      </c>
      <c r="K899" s="302">
        <v>0</v>
      </c>
      <c r="L899" s="301">
        <v>0</v>
      </c>
      <c r="M899" s="301">
        <v>138198</v>
      </c>
      <c r="N899" s="301">
        <v>0</v>
      </c>
      <c r="O899" s="301">
        <v>0</v>
      </c>
      <c r="P899" s="301">
        <v>0</v>
      </c>
      <c r="Q899" s="301">
        <v>0</v>
      </c>
      <c r="R899" s="301">
        <v>0</v>
      </c>
      <c r="S899" s="301">
        <v>0</v>
      </c>
      <c r="T899" s="301">
        <v>0</v>
      </c>
      <c r="U899" s="301">
        <v>0</v>
      </c>
      <c r="V899" s="301">
        <v>0</v>
      </c>
      <c r="W899" s="301">
        <v>0</v>
      </c>
      <c r="X899" s="301">
        <v>0</v>
      </c>
      <c r="Y899" s="301">
        <v>0</v>
      </c>
      <c r="Z899" s="301">
        <v>0</v>
      </c>
      <c r="AA899" s="301">
        <v>0</v>
      </c>
      <c r="AB899" s="303">
        <v>2021</v>
      </c>
    </row>
    <row r="900" spans="1:28" ht="35.25" customHeight="1" x14ac:dyDescent="0.5">
      <c r="A900">
        <v>1</v>
      </c>
      <c r="B900" s="80">
        <f>SUBTOTAL(103,$A$808:A900)</f>
        <v>93</v>
      </c>
      <c r="C900" s="300" t="s">
        <v>2730</v>
      </c>
      <c r="D900" s="296">
        <f t="shared" si="47"/>
        <v>252646</v>
      </c>
      <c r="E900" s="301">
        <v>0</v>
      </c>
      <c r="F900" s="301">
        <v>0</v>
      </c>
      <c r="G900" s="301">
        <v>0</v>
      </c>
      <c r="H900" s="301">
        <v>0</v>
      </c>
      <c r="I900" s="301">
        <v>0</v>
      </c>
      <c r="J900" s="301">
        <v>0</v>
      </c>
      <c r="K900" s="302">
        <v>0</v>
      </c>
      <c r="L900" s="301">
        <v>0</v>
      </c>
      <c r="M900" s="301">
        <v>0</v>
      </c>
      <c r="N900" s="301">
        <v>0</v>
      </c>
      <c r="O900" s="301">
        <v>252646</v>
      </c>
      <c r="P900" s="301">
        <v>0</v>
      </c>
      <c r="Q900" s="301">
        <v>0</v>
      </c>
      <c r="R900" s="301">
        <v>0</v>
      </c>
      <c r="S900" s="301">
        <v>0</v>
      </c>
      <c r="T900" s="301">
        <v>0</v>
      </c>
      <c r="U900" s="301">
        <v>0</v>
      </c>
      <c r="V900" s="301">
        <v>0</v>
      </c>
      <c r="W900" s="301">
        <v>0</v>
      </c>
      <c r="X900" s="301">
        <v>0</v>
      </c>
      <c r="Y900" s="301">
        <v>0</v>
      </c>
      <c r="Z900" s="301">
        <v>0</v>
      </c>
      <c r="AA900" s="301">
        <v>0</v>
      </c>
      <c r="AB900" s="303">
        <v>2021</v>
      </c>
    </row>
    <row r="901" spans="1:28" ht="35.25" customHeight="1" x14ac:dyDescent="0.5">
      <c r="A901">
        <v>1</v>
      </c>
      <c r="B901" s="80">
        <f>SUBTOTAL(103,$A$808:A901)</f>
        <v>94</v>
      </c>
      <c r="C901" s="300" t="s">
        <v>2731</v>
      </c>
      <c r="D901" s="296">
        <f t="shared" si="47"/>
        <v>547360</v>
      </c>
      <c r="E901" s="301">
        <v>0</v>
      </c>
      <c r="F901" s="301">
        <v>0</v>
      </c>
      <c r="G901" s="301">
        <v>0</v>
      </c>
      <c r="H901" s="301">
        <v>0</v>
      </c>
      <c r="I901" s="301">
        <v>547360</v>
      </c>
      <c r="J901" s="301">
        <v>0</v>
      </c>
      <c r="K901" s="302">
        <v>0</v>
      </c>
      <c r="L901" s="301">
        <v>0</v>
      </c>
      <c r="M901" s="301">
        <v>0</v>
      </c>
      <c r="N901" s="301">
        <v>0</v>
      </c>
      <c r="O901" s="301">
        <v>0</v>
      </c>
      <c r="P901" s="301">
        <v>0</v>
      </c>
      <c r="Q901" s="301">
        <v>0</v>
      </c>
      <c r="R901" s="301">
        <v>0</v>
      </c>
      <c r="S901" s="301">
        <v>0</v>
      </c>
      <c r="T901" s="301">
        <v>0</v>
      </c>
      <c r="U901" s="301">
        <v>0</v>
      </c>
      <c r="V901" s="301">
        <v>0</v>
      </c>
      <c r="W901" s="301">
        <v>0</v>
      </c>
      <c r="X901" s="301">
        <v>0</v>
      </c>
      <c r="Y901" s="301">
        <v>0</v>
      </c>
      <c r="Z901" s="301">
        <v>0</v>
      </c>
      <c r="AA901" s="301">
        <v>0</v>
      </c>
      <c r="AB901" s="303">
        <v>2021</v>
      </c>
    </row>
    <row r="902" spans="1:28" ht="35.25" customHeight="1" x14ac:dyDescent="0.5">
      <c r="A902">
        <v>1</v>
      </c>
      <c r="B902" s="80">
        <f>SUBTOTAL(103,$A$808:A902)</f>
        <v>95</v>
      </c>
      <c r="C902" s="300" t="s">
        <v>1884</v>
      </c>
      <c r="D902" s="296">
        <f t="shared" si="47"/>
        <v>230000</v>
      </c>
      <c r="E902" s="301">
        <v>0</v>
      </c>
      <c r="F902" s="301">
        <v>0</v>
      </c>
      <c r="G902" s="301">
        <v>0</v>
      </c>
      <c r="H902" s="301">
        <v>0</v>
      </c>
      <c r="I902" s="301">
        <v>230000</v>
      </c>
      <c r="J902" s="301">
        <v>0</v>
      </c>
      <c r="K902" s="302">
        <v>0</v>
      </c>
      <c r="L902" s="301">
        <v>0</v>
      </c>
      <c r="M902" s="301">
        <v>0</v>
      </c>
      <c r="N902" s="301">
        <v>0</v>
      </c>
      <c r="O902" s="301">
        <v>0</v>
      </c>
      <c r="P902" s="301">
        <v>0</v>
      </c>
      <c r="Q902" s="301">
        <v>0</v>
      </c>
      <c r="R902" s="301">
        <v>0</v>
      </c>
      <c r="S902" s="301">
        <v>0</v>
      </c>
      <c r="T902" s="301">
        <v>0</v>
      </c>
      <c r="U902" s="301">
        <v>0</v>
      </c>
      <c r="V902" s="301">
        <v>0</v>
      </c>
      <c r="W902" s="301">
        <v>0</v>
      </c>
      <c r="X902" s="301">
        <v>0</v>
      </c>
      <c r="Y902" s="301">
        <v>0</v>
      </c>
      <c r="Z902" s="301">
        <v>0</v>
      </c>
      <c r="AA902" s="301">
        <v>0</v>
      </c>
      <c r="AB902" s="303">
        <v>2021</v>
      </c>
    </row>
    <row r="903" spans="1:28" ht="35.25" customHeight="1" x14ac:dyDescent="0.5">
      <c r="A903">
        <v>1</v>
      </c>
      <c r="B903" s="80">
        <f>SUBTOTAL(103,$A$808:A903)</f>
        <v>96</v>
      </c>
      <c r="C903" s="300" t="s">
        <v>1882</v>
      </c>
      <c r="D903" s="296">
        <f t="shared" si="47"/>
        <v>287000</v>
      </c>
      <c r="E903" s="301">
        <v>0</v>
      </c>
      <c r="F903" s="301">
        <v>0</v>
      </c>
      <c r="G903" s="301">
        <v>0</v>
      </c>
      <c r="H903" s="301">
        <v>0</v>
      </c>
      <c r="I903" s="301">
        <v>0</v>
      </c>
      <c r="J903" s="301">
        <v>0</v>
      </c>
      <c r="K903" s="302">
        <v>0</v>
      </c>
      <c r="L903" s="301">
        <v>0</v>
      </c>
      <c r="M903" s="301">
        <v>287000</v>
      </c>
      <c r="N903" s="301">
        <v>0</v>
      </c>
      <c r="O903" s="301">
        <v>0</v>
      </c>
      <c r="P903" s="301">
        <v>0</v>
      </c>
      <c r="Q903" s="301">
        <v>0</v>
      </c>
      <c r="R903" s="301">
        <v>0</v>
      </c>
      <c r="S903" s="301">
        <v>0</v>
      </c>
      <c r="T903" s="301">
        <v>0</v>
      </c>
      <c r="U903" s="301">
        <v>0</v>
      </c>
      <c r="V903" s="301">
        <v>0</v>
      </c>
      <c r="W903" s="301">
        <v>0</v>
      </c>
      <c r="X903" s="301">
        <v>0</v>
      </c>
      <c r="Y903" s="301">
        <v>0</v>
      </c>
      <c r="Z903" s="301">
        <v>0</v>
      </c>
      <c r="AA903" s="301">
        <v>0</v>
      </c>
      <c r="AB903" s="303">
        <v>2021</v>
      </c>
    </row>
    <row r="904" spans="1:28" ht="35.25" customHeight="1" x14ac:dyDescent="0.5">
      <c r="A904">
        <v>1</v>
      </c>
      <c r="B904" s="80">
        <f>SUBTOTAL(103,$A$808:A904)</f>
        <v>97</v>
      </c>
      <c r="C904" s="300" t="s">
        <v>2732</v>
      </c>
      <c r="D904" s="296">
        <f t="shared" si="47"/>
        <v>213915</v>
      </c>
      <c r="E904" s="301">
        <v>0</v>
      </c>
      <c r="F904" s="301">
        <v>0</v>
      </c>
      <c r="G904" s="301">
        <v>0</v>
      </c>
      <c r="H904" s="301">
        <v>0</v>
      </c>
      <c r="I904" s="301">
        <v>96387</v>
      </c>
      <c r="J904" s="301">
        <v>0</v>
      </c>
      <c r="K904" s="302">
        <v>0</v>
      </c>
      <c r="L904" s="301">
        <v>0</v>
      </c>
      <c r="M904" s="301">
        <v>117528</v>
      </c>
      <c r="N904" s="301">
        <v>0</v>
      </c>
      <c r="O904" s="301">
        <v>0</v>
      </c>
      <c r="P904" s="301">
        <v>0</v>
      </c>
      <c r="Q904" s="301">
        <v>0</v>
      </c>
      <c r="R904" s="301">
        <v>0</v>
      </c>
      <c r="S904" s="301">
        <v>0</v>
      </c>
      <c r="T904" s="301">
        <v>0</v>
      </c>
      <c r="U904" s="301">
        <v>0</v>
      </c>
      <c r="V904" s="301">
        <v>0</v>
      </c>
      <c r="W904" s="301">
        <v>0</v>
      </c>
      <c r="X904" s="301">
        <v>0</v>
      </c>
      <c r="Y904" s="301">
        <v>0</v>
      </c>
      <c r="Z904" s="301">
        <v>0</v>
      </c>
      <c r="AA904" s="301">
        <v>0</v>
      </c>
      <c r="AB904" s="303">
        <v>2021</v>
      </c>
    </row>
    <row r="905" spans="1:28" ht="35.25" customHeight="1" x14ac:dyDescent="0.5">
      <c r="A905">
        <v>1</v>
      </c>
      <c r="B905" s="80">
        <f>SUBTOTAL(103,$A$808:A905)</f>
        <v>98</v>
      </c>
      <c r="C905" s="300" t="s">
        <v>1633</v>
      </c>
      <c r="D905" s="296">
        <f t="shared" ref="D905:D968" si="48">E905+F905+G905+H905+I905+J905+L905+M905+N905+O905+P905+Q905+R905+S905+T905+U905+V905+W905+X905+Y905+Z905+AA905</f>
        <v>2217504.2999999998</v>
      </c>
      <c r="E905" s="301">
        <v>0</v>
      </c>
      <c r="F905" s="301">
        <v>0</v>
      </c>
      <c r="G905" s="301">
        <v>0</v>
      </c>
      <c r="H905" s="301">
        <v>0</v>
      </c>
      <c r="I905" s="301">
        <v>0</v>
      </c>
      <c r="J905" s="301">
        <v>0</v>
      </c>
      <c r="K905" s="302">
        <v>0</v>
      </c>
      <c r="L905" s="301">
        <v>0</v>
      </c>
      <c r="M905" s="301">
        <v>0</v>
      </c>
      <c r="N905" s="301">
        <v>2217504.2999999998</v>
      </c>
      <c r="O905" s="301">
        <v>0</v>
      </c>
      <c r="P905" s="301">
        <v>0</v>
      </c>
      <c r="Q905" s="301">
        <v>0</v>
      </c>
      <c r="R905" s="301">
        <v>0</v>
      </c>
      <c r="S905" s="301">
        <v>0</v>
      </c>
      <c r="T905" s="301">
        <v>0</v>
      </c>
      <c r="U905" s="301">
        <v>0</v>
      </c>
      <c r="V905" s="301">
        <v>0</v>
      </c>
      <c r="W905" s="301">
        <v>0</v>
      </c>
      <c r="X905" s="301">
        <v>0</v>
      </c>
      <c r="Y905" s="301">
        <v>0</v>
      </c>
      <c r="Z905" s="301">
        <v>0</v>
      </c>
      <c r="AA905" s="301">
        <v>0</v>
      </c>
      <c r="AB905" s="303">
        <v>2021</v>
      </c>
    </row>
    <row r="906" spans="1:28" ht="35.25" customHeight="1" x14ac:dyDescent="0.5">
      <c r="A906">
        <v>1</v>
      </c>
      <c r="B906" s="80">
        <f>SUBTOTAL(103,$A$808:A906)</f>
        <v>99</v>
      </c>
      <c r="C906" s="300" t="s">
        <v>2733</v>
      </c>
      <c r="D906" s="296">
        <f t="shared" si="48"/>
        <v>135000</v>
      </c>
      <c r="E906" s="301">
        <v>0</v>
      </c>
      <c r="F906" s="301">
        <v>0</v>
      </c>
      <c r="G906" s="301">
        <v>0</v>
      </c>
      <c r="H906" s="301">
        <v>0</v>
      </c>
      <c r="I906" s="301">
        <v>0</v>
      </c>
      <c r="J906" s="301">
        <v>0</v>
      </c>
      <c r="K906" s="302">
        <v>1</v>
      </c>
      <c r="L906" s="301">
        <v>135000</v>
      </c>
      <c r="M906" s="301">
        <v>0</v>
      </c>
      <c r="N906" s="301">
        <v>0</v>
      </c>
      <c r="O906" s="301">
        <v>0</v>
      </c>
      <c r="P906" s="301">
        <v>0</v>
      </c>
      <c r="Q906" s="301">
        <v>0</v>
      </c>
      <c r="R906" s="301">
        <v>0</v>
      </c>
      <c r="S906" s="301">
        <v>0</v>
      </c>
      <c r="T906" s="301">
        <v>0</v>
      </c>
      <c r="U906" s="301">
        <v>0</v>
      </c>
      <c r="V906" s="301">
        <v>0</v>
      </c>
      <c r="W906" s="301">
        <v>0</v>
      </c>
      <c r="X906" s="301">
        <v>0</v>
      </c>
      <c r="Y906" s="301">
        <v>0</v>
      </c>
      <c r="Z906" s="301">
        <v>0</v>
      </c>
      <c r="AA906" s="301">
        <v>0</v>
      </c>
      <c r="AB906" s="303">
        <v>2021</v>
      </c>
    </row>
    <row r="907" spans="1:28" ht="35.25" customHeight="1" x14ac:dyDescent="0.5">
      <c r="A907">
        <v>1</v>
      </c>
      <c r="B907" s="80">
        <f>SUBTOTAL(103,$A$808:A907)</f>
        <v>100</v>
      </c>
      <c r="C907" s="300" t="s">
        <v>1886</v>
      </c>
      <c r="D907" s="296">
        <f t="shared" si="48"/>
        <v>315774.64</v>
      </c>
      <c r="E907" s="301">
        <v>0</v>
      </c>
      <c r="F907" s="301">
        <v>0</v>
      </c>
      <c r="G907" s="301">
        <v>0</v>
      </c>
      <c r="H907" s="301">
        <v>0</v>
      </c>
      <c r="I907" s="301">
        <v>0</v>
      </c>
      <c r="J907" s="301">
        <v>0</v>
      </c>
      <c r="K907" s="302">
        <v>0</v>
      </c>
      <c r="L907" s="301">
        <v>0</v>
      </c>
      <c r="M907" s="301">
        <v>315774.64</v>
      </c>
      <c r="N907" s="301">
        <v>0</v>
      </c>
      <c r="O907" s="301">
        <v>0</v>
      </c>
      <c r="P907" s="301">
        <v>0</v>
      </c>
      <c r="Q907" s="301">
        <v>0</v>
      </c>
      <c r="R907" s="301">
        <v>0</v>
      </c>
      <c r="S907" s="301">
        <v>0</v>
      </c>
      <c r="T907" s="301">
        <v>0</v>
      </c>
      <c r="U907" s="301">
        <v>0</v>
      </c>
      <c r="V907" s="301">
        <v>0</v>
      </c>
      <c r="W907" s="301">
        <v>0</v>
      </c>
      <c r="X907" s="301">
        <v>0</v>
      </c>
      <c r="Y907" s="301">
        <v>0</v>
      </c>
      <c r="Z907" s="301">
        <v>0</v>
      </c>
      <c r="AA907" s="301">
        <v>0</v>
      </c>
      <c r="AB907" s="303">
        <v>2021</v>
      </c>
    </row>
    <row r="908" spans="1:28" ht="35.25" customHeight="1" x14ac:dyDescent="0.5">
      <c r="A908">
        <v>1</v>
      </c>
      <c r="B908" s="80">
        <f>SUBTOTAL(103,$A$808:A908)</f>
        <v>101</v>
      </c>
      <c r="C908" s="300" t="s">
        <v>1635</v>
      </c>
      <c r="D908" s="296">
        <f t="shared" si="48"/>
        <v>1204260.7</v>
      </c>
      <c r="E908" s="301">
        <v>0</v>
      </c>
      <c r="F908" s="301">
        <v>0</v>
      </c>
      <c r="G908" s="301">
        <v>100088.4</v>
      </c>
      <c r="H908" s="301">
        <v>0</v>
      </c>
      <c r="I908" s="301">
        <v>52047.3</v>
      </c>
      <c r="J908" s="301">
        <v>0</v>
      </c>
      <c r="K908" s="302">
        <v>0</v>
      </c>
      <c r="L908" s="301">
        <v>0</v>
      </c>
      <c r="M908" s="301">
        <v>0</v>
      </c>
      <c r="N908" s="301">
        <v>558625</v>
      </c>
      <c r="O908" s="301">
        <v>493500</v>
      </c>
      <c r="P908" s="301">
        <v>0</v>
      </c>
      <c r="Q908" s="301">
        <v>0</v>
      </c>
      <c r="R908" s="301">
        <v>0</v>
      </c>
      <c r="S908" s="301">
        <v>0</v>
      </c>
      <c r="T908" s="301">
        <v>0</v>
      </c>
      <c r="U908" s="301">
        <v>0</v>
      </c>
      <c r="V908" s="301">
        <v>0</v>
      </c>
      <c r="W908" s="301">
        <v>0</v>
      </c>
      <c r="X908" s="301">
        <v>0</v>
      </c>
      <c r="Y908" s="301">
        <v>0</v>
      </c>
      <c r="Z908" s="301">
        <v>0</v>
      </c>
      <c r="AA908" s="301">
        <v>0</v>
      </c>
      <c r="AB908" s="303">
        <v>2021</v>
      </c>
    </row>
    <row r="909" spans="1:28" ht="35.25" customHeight="1" x14ac:dyDescent="0.5">
      <c r="A909">
        <v>1</v>
      </c>
      <c r="B909" s="80">
        <f>SUBTOTAL(103,$A$808:A909)</f>
        <v>102</v>
      </c>
      <c r="C909" s="300" t="s">
        <v>2734</v>
      </c>
      <c r="D909" s="296">
        <f t="shared" si="48"/>
        <v>1760000</v>
      </c>
      <c r="E909" s="301">
        <v>0</v>
      </c>
      <c r="F909" s="301">
        <v>0</v>
      </c>
      <c r="G909" s="301">
        <v>0</v>
      </c>
      <c r="H909" s="301">
        <v>0</v>
      </c>
      <c r="I909" s="301">
        <v>0</v>
      </c>
      <c r="J909" s="301">
        <v>0</v>
      </c>
      <c r="K909" s="302">
        <v>1</v>
      </c>
      <c r="L909" s="301">
        <v>1760000</v>
      </c>
      <c r="M909" s="301">
        <v>0</v>
      </c>
      <c r="N909" s="301">
        <v>0</v>
      </c>
      <c r="O909" s="301">
        <v>0</v>
      </c>
      <c r="P909" s="301">
        <v>0</v>
      </c>
      <c r="Q909" s="301">
        <v>0</v>
      </c>
      <c r="R909" s="301">
        <v>0</v>
      </c>
      <c r="S909" s="301">
        <v>0</v>
      </c>
      <c r="T909" s="301">
        <v>0</v>
      </c>
      <c r="U909" s="301">
        <v>0</v>
      </c>
      <c r="V909" s="301">
        <v>0</v>
      </c>
      <c r="W909" s="301">
        <v>0</v>
      </c>
      <c r="X909" s="301">
        <v>0</v>
      </c>
      <c r="Y909" s="301">
        <v>0</v>
      </c>
      <c r="Z909" s="301">
        <v>0</v>
      </c>
      <c r="AA909" s="301">
        <v>0</v>
      </c>
      <c r="AB909" s="303">
        <v>2021</v>
      </c>
    </row>
    <row r="910" spans="1:28" ht="35.25" customHeight="1" x14ac:dyDescent="0.5">
      <c r="A910">
        <v>1</v>
      </c>
      <c r="B910" s="80">
        <f>SUBTOTAL(103,$A$808:A910)</f>
        <v>103</v>
      </c>
      <c r="C910" s="300" t="s">
        <v>2735</v>
      </c>
      <c r="D910" s="296">
        <f t="shared" si="48"/>
        <v>893603.7</v>
      </c>
      <c r="E910" s="301">
        <v>0</v>
      </c>
      <c r="F910" s="301">
        <v>0</v>
      </c>
      <c r="G910" s="301">
        <v>0</v>
      </c>
      <c r="H910" s="301">
        <v>0</v>
      </c>
      <c r="I910" s="301">
        <v>0</v>
      </c>
      <c r="J910" s="301">
        <v>0</v>
      </c>
      <c r="K910" s="302">
        <v>0</v>
      </c>
      <c r="L910" s="301">
        <v>0</v>
      </c>
      <c r="M910" s="301">
        <v>893603.7</v>
      </c>
      <c r="N910" s="301">
        <v>0</v>
      </c>
      <c r="O910" s="301">
        <v>0</v>
      </c>
      <c r="P910" s="301">
        <v>0</v>
      </c>
      <c r="Q910" s="301">
        <v>0</v>
      </c>
      <c r="R910" s="301">
        <v>0</v>
      </c>
      <c r="S910" s="301">
        <v>0</v>
      </c>
      <c r="T910" s="301">
        <v>0</v>
      </c>
      <c r="U910" s="301">
        <v>0</v>
      </c>
      <c r="V910" s="301">
        <v>0</v>
      </c>
      <c r="W910" s="301">
        <v>0</v>
      </c>
      <c r="X910" s="301">
        <v>0</v>
      </c>
      <c r="Y910" s="301">
        <v>0</v>
      </c>
      <c r="Z910" s="301">
        <v>0</v>
      </c>
      <c r="AA910" s="301">
        <v>0</v>
      </c>
      <c r="AB910" s="303">
        <v>2021</v>
      </c>
    </row>
    <row r="911" spans="1:28" ht="35.25" customHeight="1" x14ac:dyDescent="0.5">
      <c r="A911">
        <v>1</v>
      </c>
      <c r="B911" s="80">
        <f>SUBTOTAL(103,$A$808:A911)</f>
        <v>104</v>
      </c>
      <c r="C911" s="300" t="s">
        <v>1638</v>
      </c>
      <c r="D911" s="296">
        <f t="shared" si="48"/>
        <v>2216657.37</v>
      </c>
      <c r="E911" s="301">
        <v>0</v>
      </c>
      <c r="F911" s="301">
        <v>260091.3</v>
      </c>
      <c r="G911" s="301">
        <v>0</v>
      </c>
      <c r="H911" s="301">
        <v>392063.69</v>
      </c>
      <c r="I911" s="301">
        <v>0</v>
      </c>
      <c r="J911" s="301">
        <v>0</v>
      </c>
      <c r="K911" s="302">
        <v>0</v>
      </c>
      <c r="L911" s="301">
        <v>0</v>
      </c>
      <c r="M911" s="301">
        <v>0</v>
      </c>
      <c r="N911" s="301">
        <v>0</v>
      </c>
      <c r="O911" s="301">
        <v>1564502.38</v>
      </c>
      <c r="P911" s="301">
        <v>0</v>
      </c>
      <c r="Q911" s="301">
        <v>0</v>
      </c>
      <c r="R911" s="301">
        <v>0</v>
      </c>
      <c r="S911" s="301">
        <v>0</v>
      </c>
      <c r="T911" s="301">
        <v>0</v>
      </c>
      <c r="U911" s="301">
        <v>0</v>
      </c>
      <c r="V911" s="301">
        <v>0</v>
      </c>
      <c r="W911" s="301">
        <v>0</v>
      </c>
      <c r="X911" s="301">
        <v>0</v>
      </c>
      <c r="Y911" s="301">
        <v>0</v>
      </c>
      <c r="Z911" s="301">
        <v>0</v>
      </c>
      <c r="AA911" s="301">
        <v>0</v>
      </c>
      <c r="AB911" s="303">
        <v>2021</v>
      </c>
    </row>
    <row r="912" spans="1:28" ht="35.25" customHeight="1" x14ac:dyDescent="0.5">
      <c r="A912">
        <v>1</v>
      </c>
      <c r="B912" s="80">
        <f>SUBTOTAL(103,$A$592:A1128)</f>
        <v>514</v>
      </c>
      <c r="C912" s="300" t="s">
        <v>1888</v>
      </c>
      <c r="D912" s="296">
        <f t="shared" si="48"/>
        <v>2647108.7199999997</v>
      </c>
      <c r="E912" s="301">
        <v>787725</v>
      </c>
      <c r="F912" s="301">
        <v>0</v>
      </c>
      <c r="G912" s="301">
        <v>1514000</v>
      </c>
      <c r="H912" s="301">
        <v>0</v>
      </c>
      <c r="I912" s="301">
        <v>0</v>
      </c>
      <c r="J912" s="301">
        <v>0</v>
      </c>
      <c r="K912" s="302">
        <v>0</v>
      </c>
      <c r="L912" s="301">
        <v>0</v>
      </c>
      <c r="M912" s="301">
        <v>345383.72</v>
      </c>
      <c r="N912" s="301">
        <v>0</v>
      </c>
      <c r="O912" s="301">
        <v>0</v>
      </c>
      <c r="P912" s="301">
        <v>0</v>
      </c>
      <c r="Q912" s="301">
        <v>0</v>
      </c>
      <c r="R912" s="301">
        <v>0</v>
      </c>
      <c r="S912" s="301">
        <v>0</v>
      </c>
      <c r="T912" s="301">
        <v>0</v>
      </c>
      <c r="U912" s="301">
        <v>0</v>
      </c>
      <c r="V912" s="301">
        <v>0</v>
      </c>
      <c r="W912" s="301">
        <v>0</v>
      </c>
      <c r="X912" s="301">
        <v>0</v>
      </c>
      <c r="Y912" s="301">
        <v>0</v>
      </c>
      <c r="Z912" s="301">
        <v>0</v>
      </c>
      <c r="AA912" s="301">
        <v>0</v>
      </c>
      <c r="AB912" s="303">
        <v>2021</v>
      </c>
    </row>
    <row r="913" spans="1:28" ht="35.25" customHeight="1" x14ac:dyDescent="0.5">
      <c r="A913">
        <v>1</v>
      </c>
      <c r="B913" s="80">
        <f>SUBTOTAL(103,$A$808:A913)</f>
        <v>106</v>
      </c>
      <c r="C913" s="300" t="s">
        <v>1890</v>
      </c>
      <c r="D913" s="296">
        <f t="shared" si="48"/>
        <v>620099</v>
      </c>
      <c r="E913" s="301">
        <v>0</v>
      </c>
      <c r="F913" s="301">
        <v>0</v>
      </c>
      <c r="G913" s="301">
        <v>251300</v>
      </c>
      <c r="H913" s="301">
        <v>0</v>
      </c>
      <c r="I913" s="301">
        <v>0</v>
      </c>
      <c r="J913" s="301">
        <v>0</v>
      </c>
      <c r="K913" s="302">
        <v>0</v>
      </c>
      <c r="L913" s="301">
        <v>0</v>
      </c>
      <c r="M913" s="301">
        <v>368799</v>
      </c>
      <c r="N913" s="301">
        <v>0</v>
      </c>
      <c r="O913" s="301">
        <v>0</v>
      </c>
      <c r="P913" s="301">
        <v>0</v>
      </c>
      <c r="Q913" s="301">
        <v>0</v>
      </c>
      <c r="R913" s="301">
        <v>0</v>
      </c>
      <c r="S913" s="301">
        <v>0</v>
      </c>
      <c r="T913" s="301">
        <v>0</v>
      </c>
      <c r="U913" s="301">
        <v>0</v>
      </c>
      <c r="V913" s="301">
        <v>0</v>
      </c>
      <c r="W913" s="301">
        <v>0</v>
      </c>
      <c r="X913" s="301">
        <v>0</v>
      </c>
      <c r="Y913" s="301">
        <v>0</v>
      </c>
      <c r="Z913" s="301">
        <v>0</v>
      </c>
      <c r="AA913" s="301">
        <v>0</v>
      </c>
      <c r="AB913" s="303">
        <v>2021</v>
      </c>
    </row>
    <row r="914" spans="1:28" ht="35.25" customHeight="1" x14ac:dyDescent="0.5">
      <c r="A914">
        <v>1</v>
      </c>
      <c r="B914" s="80">
        <f>SUBTOTAL(103,$A$808:A914)</f>
        <v>107</v>
      </c>
      <c r="C914" s="300" t="s">
        <v>2736</v>
      </c>
      <c r="D914" s="296">
        <f t="shared" si="48"/>
        <v>83108</v>
      </c>
      <c r="E914" s="301">
        <v>0</v>
      </c>
      <c r="F914" s="301">
        <v>0</v>
      </c>
      <c r="G914" s="301">
        <v>83108</v>
      </c>
      <c r="H914" s="301">
        <v>0</v>
      </c>
      <c r="I914" s="301">
        <v>0</v>
      </c>
      <c r="J914" s="301">
        <v>0</v>
      </c>
      <c r="K914" s="302">
        <v>0</v>
      </c>
      <c r="L914" s="301">
        <v>0</v>
      </c>
      <c r="M914" s="301">
        <v>0</v>
      </c>
      <c r="N914" s="301">
        <v>0</v>
      </c>
      <c r="O914" s="301">
        <v>0</v>
      </c>
      <c r="P914" s="301">
        <v>0</v>
      </c>
      <c r="Q914" s="301">
        <v>0</v>
      </c>
      <c r="R914" s="301">
        <v>0</v>
      </c>
      <c r="S914" s="301">
        <v>0</v>
      </c>
      <c r="T914" s="301">
        <v>0</v>
      </c>
      <c r="U914" s="301">
        <v>0</v>
      </c>
      <c r="V914" s="301">
        <v>0</v>
      </c>
      <c r="W914" s="301">
        <v>0</v>
      </c>
      <c r="X914" s="301">
        <v>0</v>
      </c>
      <c r="Y914" s="301">
        <v>0</v>
      </c>
      <c r="Z914" s="301">
        <v>0</v>
      </c>
      <c r="AA914" s="301">
        <v>0</v>
      </c>
      <c r="AB914" s="303">
        <v>2021</v>
      </c>
    </row>
    <row r="915" spans="1:28" ht="35.25" customHeight="1" x14ac:dyDescent="0.5">
      <c r="A915">
        <v>1</v>
      </c>
      <c r="B915" s="80">
        <f>SUBTOTAL(103,$A$808:A915)</f>
        <v>108</v>
      </c>
      <c r="C915" s="300" t="s">
        <v>2737</v>
      </c>
      <c r="D915" s="296">
        <f t="shared" si="48"/>
        <v>1367391</v>
      </c>
      <c r="E915" s="301">
        <v>0</v>
      </c>
      <c r="F915" s="301">
        <v>0</v>
      </c>
      <c r="G915" s="301">
        <v>0</v>
      </c>
      <c r="H915" s="301">
        <v>0</v>
      </c>
      <c r="I915" s="301">
        <v>0</v>
      </c>
      <c r="J915" s="301">
        <v>0</v>
      </c>
      <c r="K915" s="302">
        <v>0</v>
      </c>
      <c r="L915" s="301">
        <v>0</v>
      </c>
      <c r="M915" s="301">
        <v>0</v>
      </c>
      <c r="N915" s="301">
        <v>28715.19</v>
      </c>
      <c r="O915" s="301">
        <v>1125362.97</v>
      </c>
      <c r="P915" s="301">
        <v>213312.84</v>
      </c>
      <c r="Q915" s="301">
        <v>0</v>
      </c>
      <c r="R915" s="301">
        <v>0</v>
      </c>
      <c r="S915" s="301">
        <v>0</v>
      </c>
      <c r="T915" s="301">
        <v>0</v>
      </c>
      <c r="U915" s="301">
        <v>0</v>
      </c>
      <c r="V915" s="301">
        <v>0</v>
      </c>
      <c r="W915" s="301">
        <v>0</v>
      </c>
      <c r="X915" s="301">
        <v>0</v>
      </c>
      <c r="Y915" s="301">
        <v>0</v>
      </c>
      <c r="Z915" s="301">
        <v>0</v>
      </c>
      <c r="AA915" s="301">
        <v>0</v>
      </c>
      <c r="AB915" s="303">
        <v>2021</v>
      </c>
    </row>
    <row r="916" spans="1:28" ht="35.25" customHeight="1" x14ac:dyDescent="0.5">
      <c r="A916">
        <v>1</v>
      </c>
      <c r="B916" s="80">
        <f>SUBTOTAL(103,$A$808:A916)</f>
        <v>109</v>
      </c>
      <c r="C916" s="300" t="s">
        <v>2738</v>
      </c>
      <c r="D916" s="296">
        <f t="shared" si="48"/>
        <v>469154.1</v>
      </c>
      <c r="E916" s="301">
        <v>0</v>
      </c>
      <c r="F916" s="301">
        <v>0</v>
      </c>
      <c r="G916" s="301">
        <v>469154.1</v>
      </c>
      <c r="H916" s="301">
        <v>0</v>
      </c>
      <c r="I916" s="301">
        <v>0</v>
      </c>
      <c r="J916" s="301">
        <v>0</v>
      </c>
      <c r="K916" s="302">
        <v>0</v>
      </c>
      <c r="L916" s="301">
        <v>0</v>
      </c>
      <c r="M916" s="301">
        <v>0</v>
      </c>
      <c r="N916" s="301">
        <v>0</v>
      </c>
      <c r="O916" s="301">
        <v>0</v>
      </c>
      <c r="P916" s="301">
        <v>0</v>
      </c>
      <c r="Q916" s="301">
        <v>0</v>
      </c>
      <c r="R916" s="301">
        <v>0</v>
      </c>
      <c r="S916" s="301">
        <v>0</v>
      </c>
      <c r="T916" s="301">
        <v>0</v>
      </c>
      <c r="U916" s="301">
        <v>0</v>
      </c>
      <c r="V916" s="301">
        <v>0</v>
      </c>
      <c r="W916" s="301">
        <v>0</v>
      </c>
      <c r="X916" s="301">
        <v>0</v>
      </c>
      <c r="Y916" s="301">
        <v>0</v>
      </c>
      <c r="Z916" s="301">
        <v>0</v>
      </c>
      <c r="AA916" s="301">
        <v>0</v>
      </c>
      <c r="AB916" s="303">
        <v>2021</v>
      </c>
    </row>
    <row r="917" spans="1:28" ht="35.25" customHeight="1" x14ac:dyDescent="0.5">
      <c r="A917">
        <v>1</v>
      </c>
      <c r="B917" s="80">
        <f>SUBTOTAL(103,$A$808:A917)</f>
        <v>110</v>
      </c>
      <c r="C917" s="300" t="s">
        <v>2344</v>
      </c>
      <c r="D917" s="296">
        <f t="shared" si="48"/>
        <v>169798</v>
      </c>
      <c r="E917" s="301">
        <v>169798</v>
      </c>
      <c r="F917" s="301">
        <v>0</v>
      </c>
      <c r="G917" s="301">
        <v>0</v>
      </c>
      <c r="H917" s="301">
        <v>0</v>
      </c>
      <c r="I917" s="301">
        <v>0</v>
      </c>
      <c r="J917" s="301">
        <v>0</v>
      </c>
      <c r="K917" s="302">
        <v>0</v>
      </c>
      <c r="L917" s="301">
        <v>0</v>
      </c>
      <c r="M917" s="301">
        <v>0</v>
      </c>
      <c r="N917" s="301">
        <v>0</v>
      </c>
      <c r="O917" s="301">
        <v>0</v>
      </c>
      <c r="P917" s="301">
        <v>0</v>
      </c>
      <c r="Q917" s="301">
        <v>0</v>
      </c>
      <c r="R917" s="301">
        <v>0</v>
      </c>
      <c r="S917" s="301">
        <v>0</v>
      </c>
      <c r="T917" s="301">
        <v>0</v>
      </c>
      <c r="U917" s="301">
        <v>0</v>
      </c>
      <c r="V917" s="301">
        <v>0</v>
      </c>
      <c r="W917" s="301">
        <v>0</v>
      </c>
      <c r="X917" s="301">
        <v>0</v>
      </c>
      <c r="Y917" s="301">
        <v>0</v>
      </c>
      <c r="Z917" s="301">
        <v>0</v>
      </c>
      <c r="AA917" s="301">
        <v>0</v>
      </c>
      <c r="AB917" s="303">
        <v>2021</v>
      </c>
    </row>
    <row r="918" spans="1:28" ht="35.25" customHeight="1" x14ac:dyDescent="0.5">
      <c r="A918">
        <v>1</v>
      </c>
      <c r="B918" s="80">
        <f>SUBTOTAL(103,$A$808:A918)</f>
        <v>111</v>
      </c>
      <c r="C918" s="300" t="s">
        <v>2739</v>
      </c>
      <c r="D918" s="296">
        <f t="shared" si="48"/>
        <v>268258</v>
      </c>
      <c r="E918" s="301">
        <v>0</v>
      </c>
      <c r="F918" s="301">
        <v>0</v>
      </c>
      <c r="G918" s="301">
        <v>0</v>
      </c>
      <c r="H918" s="301">
        <v>0</v>
      </c>
      <c r="I918" s="301">
        <v>0</v>
      </c>
      <c r="J918" s="301">
        <v>0</v>
      </c>
      <c r="K918" s="302">
        <v>0</v>
      </c>
      <c r="L918" s="301">
        <v>0</v>
      </c>
      <c r="M918" s="301">
        <v>0</v>
      </c>
      <c r="N918" s="301">
        <v>0</v>
      </c>
      <c r="O918" s="301">
        <v>268258</v>
      </c>
      <c r="P918" s="301">
        <v>0</v>
      </c>
      <c r="Q918" s="301">
        <v>0</v>
      </c>
      <c r="R918" s="301">
        <v>0</v>
      </c>
      <c r="S918" s="301">
        <v>0</v>
      </c>
      <c r="T918" s="301">
        <v>0</v>
      </c>
      <c r="U918" s="301">
        <v>0</v>
      </c>
      <c r="V918" s="301">
        <v>0</v>
      </c>
      <c r="W918" s="301">
        <v>0</v>
      </c>
      <c r="X918" s="301">
        <v>0</v>
      </c>
      <c r="Y918" s="301">
        <v>0</v>
      </c>
      <c r="Z918" s="301">
        <v>0</v>
      </c>
      <c r="AA918" s="301">
        <v>0</v>
      </c>
      <c r="AB918" s="303">
        <v>2021</v>
      </c>
    </row>
    <row r="919" spans="1:28" ht="35.25" customHeight="1" x14ac:dyDescent="0.5">
      <c r="A919">
        <v>1</v>
      </c>
      <c r="B919" s="80">
        <f>SUBTOTAL(103,$A$808:A919)</f>
        <v>112</v>
      </c>
      <c r="C919" s="300" t="s">
        <v>2740</v>
      </c>
      <c r="D919" s="296">
        <f t="shared" si="48"/>
        <v>170239.05</v>
      </c>
      <c r="E919" s="301">
        <v>0</v>
      </c>
      <c r="F919" s="301">
        <v>0</v>
      </c>
      <c r="G919" s="301">
        <v>170239.05</v>
      </c>
      <c r="H919" s="301">
        <v>0</v>
      </c>
      <c r="I919" s="301">
        <v>0</v>
      </c>
      <c r="J919" s="301">
        <v>0</v>
      </c>
      <c r="K919" s="302">
        <v>0</v>
      </c>
      <c r="L919" s="301">
        <v>0</v>
      </c>
      <c r="M919" s="301">
        <v>0</v>
      </c>
      <c r="N919" s="301">
        <v>0</v>
      </c>
      <c r="O919" s="301">
        <v>0</v>
      </c>
      <c r="P919" s="301">
        <v>0</v>
      </c>
      <c r="Q919" s="301">
        <v>0</v>
      </c>
      <c r="R919" s="301">
        <v>0</v>
      </c>
      <c r="S919" s="301">
        <v>0</v>
      </c>
      <c r="T919" s="301">
        <v>0</v>
      </c>
      <c r="U919" s="301">
        <v>0</v>
      </c>
      <c r="V919" s="301">
        <v>0</v>
      </c>
      <c r="W919" s="301">
        <v>0</v>
      </c>
      <c r="X919" s="301">
        <v>0</v>
      </c>
      <c r="Y919" s="301">
        <v>0</v>
      </c>
      <c r="Z919" s="301">
        <v>0</v>
      </c>
      <c r="AA919" s="301">
        <v>0</v>
      </c>
      <c r="AB919" s="303">
        <v>2021</v>
      </c>
    </row>
    <row r="920" spans="1:28" ht="35.25" customHeight="1" x14ac:dyDescent="0.5">
      <c r="A920">
        <v>1</v>
      </c>
      <c r="B920" s="80">
        <f>SUBTOTAL(103,$A$808:A920)</f>
        <v>113</v>
      </c>
      <c r="C920" s="300" t="s">
        <v>1897</v>
      </c>
      <c r="D920" s="296">
        <f t="shared" si="48"/>
        <v>416756.5</v>
      </c>
      <c r="E920" s="301">
        <v>0</v>
      </c>
      <c r="F920" s="301">
        <v>0</v>
      </c>
      <c r="G920" s="301">
        <v>0</v>
      </c>
      <c r="H920" s="301">
        <v>0</v>
      </c>
      <c r="I920" s="301">
        <v>0</v>
      </c>
      <c r="J920" s="301">
        <v>0</v>
      </c>
      <c r="K920" s="302">
        <v>0</v>
      </c>
      <c r="L920" s="301">
        <v>0</v>
      </c>
      <c r="M920" s="301">
        <v>416756.5</v>
      </c>
      <c r="N920" s="301">
        <v>0</v>
      </c>
      <c r="O920" s="301">
        <v>0</v>
      </c>
      <c r="P920" s="301">
        <v>0</v>
      </c>
      <c r="Q920" s="301">
        <v>0</v>
      </c>
      <c r="R920" s="301">
        <v>0</v>
      </c>
      <c r="S920" s="301">
        <v>0</v>
      </c>
      <c r="T920" s="301">
        <v>0</v>
      </c>
      <c r="U920" s="301">
        <v>0</v>
      </c>
      <c r="V920" s="301">
        <v>0</v>
      </c>
      <c r="W920" s="301">
        <v>0</v>
      </c>
      <c r="X920" s="301">
        <v>0</v>
      </c>
      <c r="Y920" s="301">
        <v>0</v>
      </c>
      <c r="Z920" s="301">
        <v>0</v>
      </c>
      <c r="AA920" s="301">
        <v>0</v>
      </c>
      <c r="AB920" s="303">
        <v>2021</v>
      </c>
    </row>
    <row r="921" spans="1:28" ht="35.25" customHeight="1" x14ac:dyDescent="0.5">
      <c r="A921">
        <v>1</v>
      </c>
      <c r="B921" s="80">
        <f>SUBTOTAL(103,$A$808:A921)</f>
        <v>114</v>
      </c>
      <c r="C921" s="300" t="s">
        <v>1641</v>
      </c>
      <c r="D921" s="296">
        <f t="shared" si="48"/>
        <v>286647.04000000004</v>
      </c>
      <c r="E921" s="301">
        <v>0</v>
      </c>
      <c r="F921" s="301">
        <v>0</v>
      </c>
      <c r="G921" s="301">
        <v>139954</v>
      </c>
      <c r="H921" s="301">
        <v>0</v>
      </c>
      <c r="I921" s="301">
        <v>0</v>
      </c>
      <c r="J921" s="301">
        <v>0</v>
      </c>
      <c r="K921" s="302">
        <v>0</v>
      </c>
      <c r="L921" s="301">
        <v>0</v>
      </c>
      <c r="M921" s="301">
        <v>0</v>
      </c>
      <c r="N921" s="301">
        <v>146693.04</v>
      </c>
      <c r="O921" s="301">
        <v>0</v>
      </c>
      <c r="P921" s="301">
        <v>0</v>
      </c>
      <c r="Q921" s="301">
        <v>0</v>
      </c>
      <c r="R921" s="301">
        <v>0</v>
      </c>
      <c r="S921" s="301">
        <v>0</v>
      </c>
      <c r="T921" s="301">
        <v>0</v>
      </c>
      <c r="U921" s="301">
        <v>0</v>
      </c>
      <c r="V921" s="301">
        <v>0</v>
      </c>
      <c r="W921" s="301">
        <v>0</v>
      </c>
      <c r="X921" s="301">
        <v>0</v>
      </c>
      <c r="Y921" s="301">
        <v>0</v>
      </c>
      <c r="Z921" s="301">
        <v>0</v>
      </c>
      <c r="AA921" s="301">
        <v>0</v>
      </c>
      <c r="AB921" s="303">
        <v>2021</v>
      </c>
    </row>
    <row r="922" spans="1:28" ht="35.25" customHeight="1" x14ac:dyDescent="0.5">
      <c r="A922">
        <v>1</v>
      </c>
      <c r="B922" s="80">
        <f>SUBTOTAL(103,$A$808:A922)</f>
        <v>115</v>
      </c>
      <c r="C922" s="300" t="s">
        <v>2741</v>
      </c>
      <c r="D922" s="296">
        <f t="shared" si="48"/>
        <v>137975.26</v>
      </c>
      <c r="E922" s="301">
        <v>137975.26</v>
      </c>
      <c r="F922" s="301">
        <v>0</v>
      </c>
      <c r="G922" s="301">
        <v>0</v>
      </c>
      <c r="H922" s="301">
        <v>0</v>
      </c>
      <c r="I922" s="301">
        <v>0</v>
      </c>
      <c r="J922" s="301">
        <v>0</v>
      </c>
      <c r="K922" s="302">
        <v>0</v>
      </c>
      <c r="L922" s="301">
        <v>0</v>
      </c>
      <c r="M922" s="301">
        <v>0</v>
      </c>
      <c r="N922" s="301">
        <v>0</v>
      </c>
      <c r="O922" s="301">
        <v>0</v>
      </c>
      <c r="P922" s="301">
        <v>0</v>
      </c>
      <c r="Q922" s="301">
        <v>0</v>
      </c>
      <c r="R922" s="301">
        <v>0</v>
      </c>
      <c r="S922" s="301">
        <v>0</v>
      </c>
      <c r="T922" s="301">
        <v>0</v>
      </c>
      <c r="U922" s="301">
        <v>0</v>
      </c>
      <c r="V922" s="301">
        <v>0</v>
      </c>
      <c r="W922" s="301">
        <v>0</v>
      </c>
      <c r="X922" s="301">
        <v>0</v>
      </c>
      <c r="Y922" s="301">
        <v>0</v>
      </c>
      <c r="Z922" s="301">
        <v>0</v>
      </c>
      <c r="AA922" s="301">
        <v>0</v>
      </c>
      <c r="AB922" s="303">
        <v>2021</v>
      </c>
    </row>
    <row r="923" spans="1:28" ht="35.25" customHeight="1" x14ac:dyDescent="0.5">
      <c r="A923">
        <v>1</v>
      </c>
      <c r="B923" s="80">
        <f>SUBTOTAL(103,$A$808:A923)</f>
        <v>116</v>
      </c>
      <c r="C923" s="300" t="s">
        <v>1642</v>
      </c>
      <c r="D923" s="296">
        <f t="shared" si="48"/>
        <v>825991.79</v>
      </c>
      <c r="E923" s="301">
        <v>0</v>
      </c>
      <c r="F923" s="301">
        <v>0</v>
      </c>
      <c r="G923" s="301">
        <v>0</v>
      </c>
      <c r="H923" s="301">
        <v>0</v>
      </c>
      <c r="I923" s="301">
        <v>0</v>
      </c>
      <c r="J923" s="301">
        <v>0</v>
      </c>
      <c r="K923" s="302">
        <v>0</v>
      </c>
      <c r="L923" s="301">
        <v>0</v>
      </c>
      <c r="M923" s="301">
        <v>0</v>
      </c>
      <c r="N923" s="301">
        <v>0</v>
      </c>
      <c r="O923" s="301">
        <v>825991.79</v>
      </c>
      <c r="P923" s="301">
        <v>0</v>
      </c>
      <c r="Q923" s="301">
        <v>0</v>
      </c>
      <c r="R923" s="301">
        <v>0</v>
      </c>
      <c r="S923" s="301">
        <v>0</v>
      </c>
      <c r="T923" s="301">
        <v>0</v>
      </c>
      <c r="U923" s="301">
        <v>0</v>
      </c>
      <c r="V923" s="301">
        <v>0</v>
      </c>
      <c r="W923" s="301">
        <v>0</v>
      </c>
      <c r="X923" s="301">
        <v>0</v>
      </c>
      <c r="Y923" s="301">
        <v>0</v>
      </c>
      <c r="Z923" s="301">
        <v>0</v>
      </c>
      <c r="AA923" s="301">
        <v>0</v>
      </c>
      <c r="AB923" s="303">
        <v>2021</v>
      </c>
    </row>
    <row r="924" spans="1:28" ht="35.25" customHeight="1" x14ac:dyDescent="0.5">
      <c r="A924">
        <v>1</v>
      </c>
      <c r="B924" s="80">
        <f>SUBTOTAL(103,$A$808:A924)</f>
        <v>117</v>
      </c>
      <c r="C924" s="300" t="s">
        <v>1899</v>
      </c>
      <c r="D924" s="296">
        <f t="shared" si="48"/>
        <v>1635000</v>
      </c>
      <c r="E924" s="301">
        <v>0</v>
      </c>
      <c r="F924" s="301">
        <v>0</v>
      </c>
      <c r="G924" s="301">
        <v>1635000</v>
      </c>
      <c r="H924" s="301">
        <v>0</v>
      </c>
      <c r="I924" s="301">
        <v>0</v>
      </c>
      <c r="J924" s="301">
        <v>0</v>
      </c>
      <c r="K924" s="302">
        <v>0</v>
      </c>
      <c r="L924" s="301">
        <v>0</v>
      </c>
      <c r="M924" s="301">
        <v>0</v>
      </c>
      <c r="N924" s="301">
        <v>0</v>
      </c>
      <c r="O924" s="301">
        <v>0</v>
      </c>
      <c r="P924" s="301">
        <v>0</v>
      </c>
      <c r="Q924" s="301">
        <v>0</v>
      </c>
      <c r="R924" s="301">
        <v>0</v>
      </c>
      <c r="S924" s="301">
        <v>0</v>
      </c>
      <c r="T924" s="301">
        <v>0</v>
      </c>
      <c r="U924" s="301">
        <v>0</v>
      </c>
      <c r="V924" s="301">
        <v>0</v>
      </c>
      <c r="W924" s="301">
        <v>0</v>
      </c>
      <c r="X924" s="301">
        <v>0</v>
      </c>
      <c r="Y924" s="301">
        <v>0</v>
      </c>
      <c r="Z924" s="301">
        <v>0</v>
      </c>
      <c r="AA924" s="301">
        <v>0</v>
      </c>
      <c r="AB924" s="303">
        <v>2021</v>
      </c>
    </row>
    <row r="925" spans="1:28" ht="35.25" customHeight="1" x14ac:dyDescent="0.5">
      <c r="A925">
        <v>1</v>
      </c>
      <c r="B925" s="80">
        <f>SUBTOTAL(103,$A$808:A925)</f>
        <v>118</v>
      </c>
      <c r="C925" s="300" t="s">
        <v>2742</v>
      </c>
      <c r="D925" s="296">
        <f t="shared" si="48"/>
        <v>725000</v>
      </c>
      <c r="E925" s="301">
        <v>0</v>
      </c>
      <c r="F925" s="301">
        <v>0</v>
      </c>
      <c r="G925" s="301">
        <v>0</v>
      </c>
      <c r="H925" s="301">
        <v>0</v>
      </c>
      <c r="I925" s="301">
        <v>0</v>
      </c>
      <c r="J925" s="301">
        <v>0</v>
      </c>
      <c r="K925" s="302">
        <v>0</v>
      </c>
      <c r="L925" s="301">
        <v>0</v>
      </c>
      <c r="M925" s="301">
        <v>0</v>
      </c>
      <c r="N925" s="301">
        <v>0</v>
      </c>
      <c r="O925" s="301">
        <v>725000</v>
      </c>
      <c r="P925" s="301">
        <v>0</v>
      </c>
      <c r="Q925" s="301">
        <v>0</v>
      </c>
      <c r="R925" s="301">
        <v>0</v>
      </c>
      <c r="S925" s="301">
        <v>0</v>
      </c>
      <c r="T925" s="301">
        <v>0</v>
      </c>
      <c r="U925" s="301">
        <v>0</v>
      </c>
      <c r="V925" s="301">
        <v>0</v>
      </c>
      <c r="W925" s="301">
        <v>0</v>
      </c>
      <c r="X925" s="301">
        <v>0</v>
      </c>
      <c r="Y925" s="301">
        <v>0</v>
      </c>
      <c r="Z925" s="301">
        <v>0</v>
      </c>
      <c r="AA925" s="301">
        <v>0</v>
      </c>
      <c r="AB925" s="303">
        <v>2021</v>
      </c>
    </row>
    <row r="926" spans="1:28" ht="35.25" customHeight="1" x14ac:dyDescent="0.5">
      <c r="A926">
        <v>1</v>
      </c>
      <c r="B926" s="80">
        <f>SUBTOTAL(103,$A$808:A926)</f>
        <v>119</v>
      </c>
      <c r="C926" s="300" t="s">
        <v>1644</v>
      </c>
      <c r="D926" s="296">
        <f t="shared" si="48"/>
        <v>466142</v>
      </c>
      <c r="E926" s="301">
        <v>0</v>
      </c>
      <c r="F926" s="301">
        <v>0</v>
      </c>
      <c r="G926" s="301">
        <v>0</v>
      </c>
      <c r="H926" s="301">
        <v>0</v>
      </c>
      <c r="I926" s="301">
        <v>0</v>
      </c>
      <c r="J926" s="301">
        <v>0</v>
      </c>
      <c r="K926" s="302">
        <v>0</v>
      </c>
      <c r="L926" s="301">
        <v>0</v>
      </c>
      <c r="M926" s="301">
        <v>0</v>
      </c>
      <c r="N926" s="301">
        <v>466142</v>
      </c>
      <c r="O926" s="301">
        <v>0</v>
      </c>
      <c r="P926" s="301">
        <v>0</v>
      </c>
      <c r="Q926" s="301">
        <v>0</v>
      </c>
      <c r="R926" s="301">
        <v>0</v>
      </c>
      <c r="S926" s="301">
        <v>0</v>
      </c>
      <c r="T926" s="301">
        <v>0</v>
      </c>
      <c r="U926" s="301">
        <v>0</v>
      </c>
      <c r="V926" s="301">
        <v>0</v>
      </c>
      <c r="W926" s="301">
        <v>0</v>
      </c>
      <c r="X926" s="301">
        <v>0</v>
      </c>
      <c r="Y926" s="301">
        <v>0</v>
      </c>
      <c r="Z926" s="301">
        <v>0</v>
      </c>
      <c r="AA926" s="301">
        <v>0</v>
      </c>
      <c r="AB926" s="303">
        <v>2021</v>
      </c>
    </row>
    <row r="927" spans="1:28" ht="35.25" customHeight="1" x14ac:dyDescent="0.5">
      <c r="A927">
        <v>1</v>
      </c>
      <c r="B927" s="80">
        <f>SUBTOTAL(103,$A$808:A927)</f>
        <v>120</v>
      </c>
      <c r="C927" s="300" t="s">
        <v>2743</v>
      </c>
      <c r="D927" s="296">
        <f t="shared" si="48"/>
        <v>1500888.2</v>
      </c>
      <c r="E927" s="301">
        <v>0</v>
      </c>
      <c r="F927" s="301">
        <v>0</v>
      </c>
      <c r="G927" s="301">
        <v>0</v>
      </c>
      <c r="H927" s="301">
        <v>0</v>
      </c>
      <c r="I927" s="301">
        <v>0</v>
      </c>
      <c r="J927" s="301">
        <v>0</v>
      </c>
      <c r="K927" s="302">
        <v>0</v>
      </c>
      <c r="L927" s="301">
        <v>0</v>
      </c>
      <c r="M927" s="301">
        <v>977166</v>
      </c>
      <c r="N927" s="301">
        <v>0</v>
      </c>
      <c r="O927" s="301">
        <v>523722.19999999995</v>
      </c>
      <c r="P927" s="301">
        <v>0</v>
      </c>
      <c r="Q927" s="301">
        <v>0</v>
      </c>
      <c r="R927" s="301">
        <v>0</v>
      </c>
      <c r="S927" s="301">
        <v>0</v>
      </c>
      <c r="T927" s="301">
        <v>0</v>
      </c>
      <c r="U927" s="301">
        <v>0</v>
      </c>
      <c r="V927" s="301">
        <v>0</v>
      </c>
      <c r="W927" s="301">
        <v>0</v>
      </c>
      <c r="X927" s="301">
        <v>0</v>
      </c>
      <c r="Y927" s="301">
        <v>0</v>
      </c>
      <c r="Z927" s="301">
        <v>0</v>
      </c>
      <c r="AA927" s="301">
        <v>0</v>
      </c>
      <c r="AB927" s="303">
        <v>2021</v>
      </c>
    </row>
    <row r="928" spans="1:28" ht="35.25" customHeight="1" x14ac:dyDescent="0.5">
      <c r="A928">
        <v>1</v>
      </c>
      <c r="B928" s="80">
        <f>SUBTOTAL(103,$A$808:A928)</f>
        <v>121</v>
      </c>
      <c r="C928" s="300" t="s">
        <v>2744</v>
      </c>
      <c r="D928" s="296">
        <f t="shared" si="48"/>
        <v>599339.4</v>
      </c>
      <c r="E928" s="301">
        <v>0</v>
      </c>
      <c r="F928" s="301">
        <v>0</v>
      </c>
      <c r="G928" s="301">
        <v>0</v>
      </c>
      <c r="H928" s="301">
        <v>0</v>
      </c>
      <c r="I928" s="301">
        <v>0</v>
      </c>
      <c r="J928" s="301">
        <v>0</v>
      </c>
      <c r="K928" s="302">
        <v>0</v>
      </c>
      <c r="L928" s="301">
        <v>0</v>
      </c>
      <c r="M928" s="301">
        <v>599339.4</v>
      </c>
      <c r="N928" s="301">
        <v>0</v>
      </c>
      <c r="O928" s="301">
        <v>0</v>
      </c>
      <c r="P928" s="301">
        <v>0</v>
      </c>
      <c r="Q928" s="301">
        <v>0</v>
      </c>
      <c r="R928" s="301">
        <v>0</v>
      </c>
      <c r="S928" s="301">
        <v>0</v>
      </c>
      <c r="T928" s="301">
        <v>0</v>
      </c>
      <c r="U928" s="301">
        <v>0</v>
      </c>
      <c r="V928" s="301">
        <v>0</v>
      </c>
      <c r="W928" s="301">
        <v>0</v>
      </c>
      <c r="X928" s="301">
        <v>0</v>
      </c>
      <c r="Y928" s="301">
        <v>0</v>
      </c>
      <c r="Z928" s="301">
        <v>0</v>
      </c>
      <c r="AA928" s="301">
        <v>0</v>
      </c>
      <c r="AB928" s="303">
        <v>2021</v>
      </c>
    </row>
    <row r="929" spans="1:28" ht="35.25" customHeight="1" x14ac:dyDescent="0.5">
      <c r="A929">
        <v>1</v>
      </c>
      <c r="B929" s="80">
        <f>SUBTOTAL(103,$A$808:A929)</f>
        <v>122</v>
      </c>
      <c r="C929" s="300" t="s">
        <v>2745</v>
      </c>
      <c r="D929" s="296">
        <f t="shared" si="48"/>
        <v>1870000</v>
      </c>
      <c r="E929" s="301">
        <v>0</v>
      </c>
      <c r="F929" s="301">
        <v>0</v>
      </c>
      <c r="G929" s="301">
        <v>0</v>
      </c>
      <c r="H929" s="301">
        <v>0</v>
      </c>
      <c r="I929" s="301">
        <v>0</v>
      </c>
      <c r="J929" s="301">
        <v>0</v>
      </c>
      <c r="K929" s="302">
        <v>1</v>
      </c>
      <c r="L929" s="301">
        <v>1870000</v>
      </c>
      <c r="M929" s="301">
        <v>0</v>
      </c>
      <c r="N929" s="301">
        <v>0</v>
      </c>
      <c r="O929" s="301">
        <v>0</v>
      </c>
      <c r="P929" s="301">
        <v>0</v>
      </c>
      <c r="Q929" s="301">
        <v>0</v>
      </c>
      <c r="R929" s="301">
        <v>0</v>
      </c>
      <c r="S929" s="301">
        <v>0</v>
      </c>
      <c r="T929" s="301">
        <v>0</v>
      </c>
      <c r="U929" s="301">
        <v>0</v>
      </c>
      <c r="V929" s="301">
        <v>0</v>
      </c>
      <c r="W929" s="301">
        <v>0</v>
      </c>
      <c r="X929" s="301">
        <v>0</v>
      </c>
      <c r="Y929" s="301">
        <v>0</v>
      </c>
      <c r="Z929" s="301">
        <v>0</v>
      </c>
      <c r="AA929" s="301">
        <v>0</v>
      </c>
      <c r="AB929" s="303">
        <v>2021</v>
      </c>
    </row>
    <row r="930" spans="1:28" ht="35.25" customHeight="1" x14ac:dyDescent="0.5">
      <c r="A930">
        <v>1</v>
      </c>
      <c r="B930" s="80">
        <f>SUBTOTAL(103,$A$808:A930)</f>
        <v>123</v>
      </c>
      <c r="C930" s="300" t="s">
        <v>1901</v>
      </c>
      <c r="D930" s="296">
        <f t="shared" si="48"/>
        <v>715562</v>
      </c>
      <c r="E930" s="301">
        <v>0</v>
      </c>
      <c r="F930" s="301">
        <v>0</v>
      </c>
      <c r="G930" s="301">
        <v>0</v>
      </c>
      <c r="H930" s="301">
        <v>0</v>
      </c>
      <c r="I930" s="301">
        <v>0</v>
      </c>
      <c r="J930" s="301">
        <v>0</v>
      </c>
      <c r="K930" s="302">
        <v>0</v>
      </c>
      <c r="L930" s="301">
        <v>0</v>
      </c>
      <c r="M930" s="301">
        <v>73905</v>
      </c>
      <c r="N930" s="301">
        <v>0</v>
      </c>
      <c r="O930" s="301">
        <v>641657</v>
      </c>
      <c r="P930" s="301">
        <v>0</v>
      </c>
      <c r="Q930" s="301">
        <v>0</v>
      </c>
      <c r="R930" s="301">
        <v>0</v>
      </c>
      <c r="S930" s="301">
        <v>0</v>
      </c>
      <c r="T930" s="301">
        <v>0</v>
      </c>
      <c r="U930" s="301">
        <v>0</v>
      </c>
      <c r="V930" s="301">
        <v>0</v>
      </c>
      <c r="W930" s="301">
        <v>0</v>
      </c>
      <c r="X930" s="301">
        <v>0</v>
      </c>
      <c r="Y930" s="301">
        <v>0</v>
      </c>
      <c r="Z930" s="301">
        <v>0</v>
      </c>
      <c r="AA930" s="301">
        <v>0</v>
      </c>
      <c r="AB930" s="303">
        <v>2021</v>
      </c>
    </row>
    <row r="931" spans="1:28" ht="35.25" customHeight="1" x14ac:dyDescent="0.5">
      <c r="A931">
        <v>1</v>
      </c>
      <c r="B931" s="80">
        <f>SUBTOTAL(103,$A$808:A931)</f>
        <v>124</v>
      </c>
      <c r="C931" s="300" t="s">
        <v>1902</v>
      </c>
      <c r="D931" s="296">
        <f t="shared" si="48"/>
        <v>772433</v>
      </c>
      <c r="E931" s="301">
        <v>0</v>
      </c>
      <c r="F931" s="301">
        <v>0</v>
      </c>
      <c r="G931" s="301">
        <v>0</v>
      </c>
      <c r="H931" s="301">
        <v>0</v>
      </c>
      <c r="I931" s="301">
        <v>0</v>
      </c>
      <c r="J931" s="301">
        <v>0</v>
      </c>
      <c r="K931" s="302">
        <v>0</v>
      </c>
      <c r="L931" s="301">
        <v>0</v>
      </c>
      <c r="M931" s="301">
        <v>772433</v>
      </c>
      <c r="N931" s="301">
        <v>0</v>
      </c>
      <c r="O931" s="301">
        <v>0</v>
      </c>
      <c r="P931" s="301">
        <v>0</v>
      </c>
      <c r="Q931" s="301">
        <v>0</v>
      </c>
      <c r="R931" s="301">
        <v>0</v>
      </c>
      <c r="S931" s="301">
        <v>0</v>
      </c>
      <c r="T931" s="301">
        <v>0</v>
      </c>
      <c r="U931" s="301">
        <v>0</v>
      </c>
      <c r="V931" s="301">
        <v>0</v>
      </c>
      <c r="W931" s="301">
        <v>0</v>
      </c>
      <c r="X931" s="301">
        <v>0</v>
      </c>
      <c r="Y931" s="301">
        <v>0</v>
      </c>
      <c r="Z931" s="301">
        <v>0</v>
      </c>
      <c r="AA931" s="301">
        <v>0</v>
      </c>
      <c r="AB931" s="303">
        <v>2021</v>
      </c>
    </row>
    <row r="932" spans="1:28" ht="35.25" customHeight="1" x14ac:dyDescent="0.5">
      <c r="A932">
        <v>1</v>
      </c>
      <c r="B932" s="80">
        <f>SUBTOTAL(103,$A$808:A932)</f>
        <v>125</v>
      </c>
      <c r="C932" s="300" t="s">
        <v>1903</v>
      </c>
      <c r="D932" s="296">
        <f t="shared" si="48"/>
        <v>999987.96</v>
      </c>
      <c r="E932" s="301">
        <v>0</v>
      </c>
      <c r="F932" s="301">
        <v>0</v>
      </c>
      <c r="G932" s="301">
        <v>999987.96</v>
      </c>
      <c r="H932" s="301">
        <v>0</v>
      </c>
      <c r="I932" s="301">
        <v>0</v>
      </c>
      <c r="J932" s="301">
        <v>0</v>
      </c>
      <c r="K932" s="302">
        <v>0</v>
      </c>
      <c r="L932" s="301">
        <v>0</v>
      </c>
      <c r="M932" s="301">
        <v>0</v>
      </c>
      <c r="N932" s="301">
        <v>0</v>
      </c>
      <c r="O932" s="301">
        <v>0</v>
      </c>
      <c r="P932" s="301">
        <v>0</v>
      </c>
      <c r="Q932" s="301">
        <v>0</v>
      </c>
      <c r="R932" s="301">
        <v>0</v>
      </c>
      <c r="S932" s="301">
        <v>0</v>
      </c>
      <c r="T932" s="301">
        <v>0</v>
      </c>
      <c r="U932" s="301">
        <v>0</v>
      </c>
      <c r="V932" s="301">
        <v>0</v>
      </c>
      <c r="W932" s="301">
        <v>0</v>
      </c>
      <c r="X932" s="301">
        <v>0</v>
      </c>
      <c r="Y932" s="301">
        <v>0</v>
      </c>
      <c r="Z932" s="301">
        <v>0</v>
      </c>
      <c r="AA932" s="301">
        <v>0</v>
      </c>
      <c r="AB932" s="303">
        <v>2021</v>
      </c>
    </row>
    <row r="933" spans="1:28" ht="35.25" customHeight="1" x14ac:dyDescent="0.5">
      <c r="A933">
        <v>1</v>
      </c>
      <c r="B933" s="80">
        <f>SUBTOTAL(103,$A$808:A933)</f>
        <v>126</v>
      </c>
      <c r="C933" s="300" t="s">
        <v>2746</v>
      </c>
      <c r="D933" s="296">
        <f t="shared" si="48"/>
        <v>180665</v>
      </c>
      <c r="E933" s="301">
        <v>0</v>
      </c>
      <c r="F933" s="301">
        <v>0</v>
      </c>
      <c r="G933" s="301">
        <v>0</v>
      </c>
      <c r="H933" s="301">
        <v>0</v>
      </c>
      <c r="I933" s="301">
        <v>180665</v>
      </c>
      <c r="J933" s="301">
        <v>0</v>
      </c>
      <c r="K933" s="302">
        <v>0</v>
      </c>
      <c r="L933" s="301">
        <v>0</v>
      </c>
      <c r="M933" s="301">
        <v>0</v>
      </c>
      <c r="N933" s="301">
        <v>0</v>
      </c>
      <c r="O933" s="301">
        <v>0</v>
      </c>
      <c r="P933" s="301">
        <v>0</v>
      </c>
      <c r="Q933" s="301">
        <v>0</v>
      </c>
      <c r="R933" s="301">
        <v>0</v>
      </c>
      <c r="S933" s="301">
        <v>0</v>
      </c>
      <c r="T933" s="301">
        <v>0</v>
      </c>
      <c r="U933" s="301">
        <v>0</v>
      </c>
      <c r="V933" s="301">
        <v>0</v>
      </c>
      <c r="W933" s="301">
        <v>0</v>
      </c>
      <c r="X933" s="301">
        <v>0</v>
      </c>
      <c r="Y933" s="301">
        <v>0</v>
      </c>
      <c r="Z933" s="301">
        <v>0</v>
      </c>
      <c r="AA933" s="301">
        <v>0</v>
      </c>
      <c r="AB933" s="303">
        <v>2021</v>
      </c>
    </row>
    <row r="934" spans="1:28" ht="35.25" customHeight="1" x14ac:dyDescent="0.5">
      <c r="A934">
        <v>1</v>
      </c>
      <c r="B934" s="80">
        <f>SUBTOTAL(103,$A$808:A934)</f>
        <v>127</v>
      </c>
      <c r="C934" s="300" t="s">
        <v>1906</v>
      </c>
      <c r="D934" s="296">
        <f t="shared" si="48"/>
        <v>431852</v>
      </c>
      <c r="E934" s="301">
        <v>0</v>
      </c>
      <c r="F934" s="301">
        <v>0</v>
      </c>
      <c r="G934" s="301">
        <v>0</v>
      </c>
      <c r="H934" s="301">
        <v>0</v>
      </c>
      <c r="I934" s="301">
        <v>0</v>
      </c>
      <c r="J934" s="301">
        <v>0</v>
      </c>
      <c r="K934" s="302">
        <v>0</v>
      </c>
      <c r="L934" s="301">
        <v>0</v>
      </c>
      <c r="M934" s="301">
        <v>0</v>
      </c>
      <c r="N934" s="301">
        <v>0</v>
      </c>
      <c r="O934" s="301">
        <v>431852</v>
      </c>
      <c r="P934" s="301">
        <v>0</v>
      </c>
      <c r="Q934" s="301">
        <v>0</v>
      </c>
      <c r="R934" s="301">
        <v>0</v>
      </c>
      <c r="S934" s="301">
        <v>0</v>
      </c>
      <c r="T934" s="301">
        <v>0</v>
      </c>
      <c r="U934" s="301">
        <v>0</v>
      </c>
      <c r="V934" s="301">
        <v>0</v>
      </c>
      <c r="W934" s="301">
        <v>0</v>
      </c>
      <c r="X934" s="301">
        <v>0</v>
      </c>
      <c r="Y934" s="301">
        <v>0</v>
      </c>
      <c r="Z934" s="301">
        <v>0</v>
      </c>
      <c r="AA934" s="301">
        <v>0</v>
      </c>
      <c r="AB934" s="303">
        <v>2021</v>
      </c>
    </row>
    <row r="935" spans="1:28" ht="35.25" customHeight="1" x14ac:dyDescent="0.5">
      <c r="A935">
        <v>1</v>
      </c>
      <c r="B935" s="80">
        <f>SUBTOTAL(103,$A$808:A935)</f>
        <v>128</v>
      </c>
      <c r="C935" s="300" t="s">
        <v>2747</v>
      </c>
      <c r="D935" s="296">
        <f t="shared" si="48"/>
        <v>509063</v>
      </c>
      <c r="E935" s="301">
        <v>0</v>
      </c>
      <c r="F935" s="301">
        <v>0</v>
      </c>
      <c r="G935" s="301">
        <v>0</v>
      </c>
      <c r="H935" s="301">
        <v>0</v>
      </c>
      <c r="I935" s="301">
        <v>0</v>
      </c>
      <c r="J935" s="301">
        <v>0</v>
      </c>
      <c r="K935" s="302">
        <v>0</v>
      </c>
      <c r="L935" s="301">
        <v>0</v>
      </c>
      <c r="M935" s="301">
        <v>509063</v>
      </c>
      <c r="N935" s="301">
        <v>0</v>
      </c>
      <c r="O935" s="301">
        <v>0</v>
      </c>
      <c r="P935" s="301">
        <v>0</v>
      </c>
      <c r="Q935" s="301">
        <v>0</v>
      </c>
      <c r="R935" s="301">
        <v>0</v>
      </c>
      <c r="S935" s="301">
        <v>0</v>
      </c>
      <c r="T935" s="301">
        <v>0</v>
      </c>
      <c r="U935" s="301">
        <v>0</v>
      </c>
      <c r="V935" s="301">
        <v>0</v>
      </c>
      <c r="W935" s="301">
        <v>0</v>
      </c>
      <c r="X935" s="301">
        <v>0</v>
      </c>
      <c r="Y935" s="301">
        <v>0</v>
      </c>
      <c r="Z935" s="301">
        <v>0</v>
      </c>
      <c r="AA935" s="301">
        <v>0</v>
      </c>
      <c r="AB935" s="303">
        <v>2021</v>
      </c>
    </row>
    <row r="936" spans="1:28" ht="35.25" customHeight="1" x14ac:dyDescent="0.5">
      <c r="A936">
        <v>1</v>
      </c>
      <c r="B936" s="80">
        <f>SUBTOTAL(103,$A$808:A936)</f>
        <v>129</v>
      </c>
      <c r="C936" s="300" t="s">
        <v>2748</v>
      </c>
      <c r="D936" s="296">
        <f t="shared" si="48"/>
        <v>1092699</v>
      </c>
      <c r="E936" s="301">
        <v>0</v>
      </c>
      <c r="F936" s="301">
        <v>0</v>
      </c>
      <c r="G936" s="301">
        <v>0</v>
      </c>
      <c r="H936" s="301">
        <v>0</v>
      </c>
      <c r="I936" s="301">
        <v>1092699</v>
      </c>
      <c r="J936" s="301">
        <v>0</v>
      </c>
      <c r="K936" s="302">
        <v>0</v>
      </c>
      <c r="L936" s="301">
        <v>0</v>
      </c>
      <c r="M936" s="301">
        <v>0</v>
      </c>
      <c r="N936" s="301">
        <v>0</v>
      </c>
      <c r="O936" s="301">
        <v>0</v>
      </c>
      <c r="P936" s="301">
        <v>0</v>
      </c>
      <c r="Q936" s="301">
        <v>0</v>
      </c>
      <c r="R936" s="301">
        <v>0</v>
      </c>
      <c r="S936" s="301">
        <v>0</v>
      </c>
      <c r="T936" s="301">
        <v>0</v>
      </c>
      <c r="U936" s="301">
        <v>0</v>
      </c>
      <c r="V936" s="301">
        <v>0</v>
      </c>
      <c r="W936" s="301">
        <v>0</v>
      </c>
      <c r="X936" s="301">
        <v>0</v>
      </c>
      <c r="Y936" s="301">
        <v>0</v>
      </c>
      <c r="Z936" s="301">
        <v>0</v>
      </c>
      <c r="AA936" s="301">
        <v>0</v>
      </c>
      <c r="AB936" s="303">
        <v>2021</v>
      </c>
    </row>
    <row r="937" spans="1:28" ht="35.25" customHeight="1" x14ac:dyDescent="0.5">
      <c r="A937">
        <v>1</v>
      </c>
      <c r="B937" s="80">
        <f>SUBTOTAL(103,$A$808:A937)</f>
        <v>130</v>
      </c>
      <c r="C937" s="300" t="s">
        <v>2749</v>
      </c>
      <c r="D937" s="296">
        <f t="shared" si="48"/>
        <v>71504.739999999991</v>
      </c>
      <c r="E937" s="301">
        <v>0</v>
      </c>
      <c r="F937" s="301">
        <v>0</v>
      </c>
      <c r="G937" s="301">
        <v>0</v>
      </c>
      <c r="H937" s="301">
        <v>0</v>
      </c>
      <c r="I937" s="301">
        <v>0</v>
      </c>
      <c r="J937" s="301">
        <v>0</v>
      </c>
      <c r="K937" s="302">
        <v>0</v>
      </c>
      <c r="L937" s="301">
        <v>0</v>
      </c>
      <c r="M937" s="301">
        <v>71504.739999999991</v>
      </c>
      <c r="N937" s="301">
        <v>0</v>
      </c>
      <c r="O937" s="301">
        <v>0</v>
      </c>
      <c r="P937" s="301">
        <v>0</v>
      </c>
      <c r="Q937" s="301">
        <v>0</v>
      </c>
      <c r="R937" s="301">
        <v>0</v>
      </c>
      <c r="S937" s="301">
        <v>0</v>
      </c>
      <c r="T937" s="301">
        <v>0</v>
      </c>
      <c r="U937" s="301">
        <v>0</v>
      </c>
      <c r="V937" s="301">
        <v>0</v>
      </c>
      <c r="W937" s="301">
        <v>0</v>
      </c>
      <c r="X937" s="301">
        <v>0</v>
      </c>
      <c r="Y937" s="301">
        <v>0</v>
      </c>
      <c r="Z937" s="301">
        <v>0</v>
      </c>
      <c r="AA937" s="301">
        <v>0</v>
      </c>
      <c r="AB937" s="303">
        <v>2021</v>
      </c>
    </row>
    <row r="938" spans="1:28" ht="35.25" customHeight="1" x14ac:dyDescent="0.5">
      <c r="A938">
        <v>1</v>
      </c>
      <c r="B938" s="80">
        <f>SUBTOTAL(103,$A$808:A938)</f>
        <v>131</v>
      </c>
      <c r="C938" s="300" t="s">
        <v>1917</v>
      </c>
      <c r="D938" s="296">
        <f t="shared" si="48"/>
        <v>564666</v>
      </c>
      <c r="E938" s="301">
        <v>0</v>
      </c>
      <c r="F938" s="301">
        <v>0</v>
      </c>
      <c r="G938" s="301">
        <v>0</v>
      </c>
      <c r="H938" s="301">
        <v>0</v>
      </c>
      <c r="I938" s="301">
        <v>0</v>
      </c>
      <c r="J938" s="301">
        <v>0</v>
      </c>
      <c r="K938" s="302">
        <v>0</v>
      </c>
      <c r="L938" s="301">
        <v>0</v>
      </c>
      <c r="M938" s="301">
        <v>0</v>
      </c>
      <c r="N938" s="301">
        <v>178399.8</v>
      </c>
      <c r="O938" s="301">
        <v>0</v>
      </c>
      <c r="P938" s="301">
        <v>386266.2</v>
      </c>
      <c r="Q938" s="301">
        <v>0</v>
      </c>
      <c r="R938" s="301">
        <v>0</v>
      </c>
      <c r="S938" s="301">
        <v>0</v>
      </c>
      <c r="T938" s="301">
        <v>0</v>
      </c>
      <c r="U938" s="301">
        <v>0</v>
      </c>
      <c r="V938" s="301">
        <v>0</v>
      </c>
      <c r="W938" s="301">
        <v>0</v>
      </c>
      <c r="X938" s="301">
        <v>0</v>
      </c>
      <c r="Y938" s="301">
        <v>0</v>
      </c>
      <c r="Z938" s="301">
        <v>0</v>
      </c>
      <c r="AA938" s="301">
        <v>0</v>
      </c>
      <c r="AB938" s="303">
        <v>2021</v>
      </c>
    </row>
    <row r="939" spans="1:28" ht="35.25" customHeight="1" x14ac:dyDescent="0.5">
      <c r="A939">
        <v>1</v>
      </c>
      <c r="B939" s="80">
        <f>SUBTOTAL(103,$A$808:A939)</f>
        <v>132</v>
      </c>
      <c r="C939" s="300" t="s">
        <v>2750</v>
      </c>
      <c r="D939" s="296">
        <f t="shared" si="48"/>
        <v>189387</v>
      </c>
      <c r="E939" s="301">
        <v>0</v>
      </c>
      <c r="F939" s="301">
        <v>0</v>
      </c>
      <c r="G939" s="301">
        <v>0</v>
      </c>
      <c r="H939" s="301">
        <v>0</v>
      </c>
      <c r="I939" s="301">
        <v>0</v>
      </c>
      <c r="J939" s="301">
        <v>0</v>
      </c>
      <c r="K939" s="302">
        <v>0</v>
      </c>
      <c r="L939" s="301">
        <v>0</v>
      </c>
      <c r="M939" s="301">
        <v>0</v>
      </c>
      <c r="N939" s="301">
        <v>0</v>
      </c>
      <c r="O939" s="301">
        <v>189387</v>
      </c>
      <c r="P939" s="301">
        <v>0</v>
      </c>
      <c r="Q939" s="301">
        <v>0</v>
      </c>
      <c r="R939" s="301">
        <v>0</v>
      </c>
      <c r="S939" s="301">
        <v>0</v>
      </c>
      <c r="T939" s="301">
        <v>0</v>
      </c>
      <c r="U939" s="301">
        <v>0</v>
      </c>
      <c r="V939" s="301">
        <v>0</v>
      </c>
      <c r="W939" s="301">
        <v>0</v>
      </c>
      <c r="X939" s="301">
        <v>0</v>
      </c>
      <c r="Y939" s="301">
        <v>0</v>
      </c>
      <c r="Z939" s="301">
        <v>0</v>
      </c>
      <c r="AA939" s="301">
        <v>0</v>
      </c>
      <c r="AB939" s="303">
        <v>2021</v>
      </c>
    </row>
    <row r="940" spans="1:28" ht="35.25" customHeight="1" x14ac:dyDescent="0.5">
      <c r="A940">
        <v>1</v>
      </c>
      <c r="B940" s="80">
        <f>SUBTOTAL(103,$A$808:A940)</f>
        <v>133</v>
      </c>
      <c r="C940" s="300" t="s">
        <v>2751</v>
      </c>
      <c r="D940" s="296">
        <f t="shared" si="48"/>
        <v>90715</v>
      </c>
      <c r="E940" s="301">
        <v>0</v>
      </c>
      <c r="F940" s="301">
        <v>90715</v>
      </c>
      <c r="G940" s="301">
        <v>0</v>
      </c>
      <c r="H940" s="301">
        <v>0</v>
      </c>
      <c r="I940" s="301">
        <v>0</v>
      </c>
      <c r="J940" s="301">
        <v>0</v>
      </c>
      <c r="K940" s="302">
        <v>0</v>
      </c>
      <c r="L940" s="301">
        <v>0</v>
      </c>
      <c r="M940" s="301">
        <v>0</v>
      </c>
      <c r="N940" s="301">
        <v>0</v>
      </c>
      <c r="O940" s="301">
        <v>0</v>
      </c>
      <c r="P940" s="301">
        <v>0</v>
      </c>
      <c r="Q940" s="301">
        <v>0</v>
      </c>
      <c r="R940" s="301">
        <v>0</v>
      </c>
      <c r="S940" s="301">
        <v>0</v>
      </c>
      <c r="T940" s="301">
        <v>0</v>
      </c>
      <c r="U940" s="301">
        <v>0</v>
      </c>
      <c r="V940" s="301">
        <v>0</v>
      </c>
      <c r="W940" s="301">
        <v>0</v>
      </c>
      <c r="X940" s="301">
        <v>0</v>
      </c>
      <c r="Y940" s="301">
        <v>0</v>
      </c>
      <c r="Z940" s="301">
        <v>0</v>
      </c>
      <c r="AA940" s="301">
        <v>0</v>
      </c>
      <c r="AB940" s="303">
        <v>2021</v>
      </c>
    </row>
    <row r="941" spans="1:28" ht="35.25" customHeight="1" x14ac:dyDescent="0.5">
      <c r="A941">
        <v>1</v>
      </c>
      <c r="B941" s="80">
        <f>SUBTOTAL(103,$A$808:A941)</f>
        <v>134</v>
      </c>
      <c r="C941" s="300" t="s">
        <v>2752</v>
      </c>
      <c r="D941" s="296">
        <f t="shared" si="48"/>
        <v>834237</v>
      </c>
      <c r="E941" s="301">
        <v>0</v>
      </c>
      <c r="F941" s="301">
        <v>0</v>
      </c>
      <c r="G941" s="301">
        <v>0</v>
      </c>
      <c r="H941" s="301">
        <v>0</v>
      </c>
      <c r="I941" s="301">
        <v>0</v>
      </c>
      <c r="J941" s="301">
        <v>0</v>
      </c>
      <c r="K941" s="302">
        <v>0</v>
      </c>
      <c r="L941" s="301">
        <v>0</v>
      </c>
      <c r="M941" s="301">
        <v>834237</v>
      </c>
      <c r="N941" s="301">
        <v>0</v>
      </c>
      <c r="O941" s="301">
        <v>0</v>
      </c>
      <c r="P941" s="301">
        <v>0</v>
      </c>
      <c r="Q941" s="301">
        <v>0</v>
      </c>
      <c r="R941" s="301">
        <v>0</v>
      </c>
      <c r="S941" s="301">
        <v>0</v>
      </c>
      <c r="T941" s="301">
        <v>0</v>
      </c>
      <c r="U941" s="301">
        <v>0</v>
      </c>
      <c r="V941" s="301">
        <v>0</v>
      </c>
      <c r="W941" s="301">
        <v>0</v>
      </c>
      <c r="X941" s="301">
        <v>0</v>
      </c>
      <c r="Y941" s="301">
        <v>0</v>
      </c>
      <c r="Z941" s="301">
        <v>0</v>
      </c>
      <c r="AA941" s="301">
        <v>0</v>
      </c>
      <c r="AB941" s="303">
        <v>2021</v>
      </c>
    </row>
    <row r="942" spans="1:28" ht="35.25" customHeight="1" x14ac:dyDescent="0.5">
      <c r="A942">
        <v>1</v>
      </c>
      <c r="B942" s="80">
        <f>SUBTOTAL(103,$A$808:A942)</f>
        <v>135</v>
      </c>
      <c r="C942" s="300" t="s">
        <v>2753</v>
      </c>
      <c r="D942" s="296">
        <f t="shared" si="48"/>
        <v>4299964</v>
      </c>
      <c r="E942" s="301">
        <v>0</v>
      </c>
      <c r="F942" s="301">
        <v>0</v>
      </c>
      <c r="G942" s="301">
        <v>0</v>
      </c>
      <c r="H942" s="301">
        <v>0</v>
      </c>
      <c r="I942" s="301">
        <v>0</v>
      </c>
      <c r="J942" s="301">
        <v>0</v>
      </c>
      <c r="K942" s="302">
        <v>0</v>
      </c>
      <c r="L942" s="301">
        <v>0</v>
      </c>
      <c r="M942" s="301">
        <v>4299964</v>
      </c>
      <c r="N942" s="301">
        <v>0</v>
      </c>
      <c r="O942" s="301">
        <v>0</v>
      </c>
      <c r="P942" s="301">
        <v>0</v>
      </c>
      <c r="Q942" s="301">
        <v>0</v>
      </c>
      <c r="R942" s="301">
        <v>0</v>
      </c>
      <c r="S942" s="301">
        <v>0</v>
      </c>
      <c r="T942" s="301">
        <v>0</v>
      </c>
      <c r="U942" s="301">
        <v>0</v>
      </c>
      <c r="V942" s="301">
        <v>0</v>
      </c>
      <c r="W942" s="301">
        <v>0</v>
      </c>
      <c r="X942" s="301">
        <v>0</v>
      </c>
      <c r="Y942" s="301">
        <v>0</v>
      </c>
      <c r="Z942" s="301">
        <v>0</v>
      </c>
      <c r="AA942" s="301">
        <v>0</v>
      </c>
      <c r="AB942" s="303">
        <v>2021</v>
      </c>
    </row>
    <row r="943" spans="1:28" ht="35.25" customHeight="1" x14ac:dyDescent="0.5">
      <c r="A943">
        <v>1</v>
      </c>
      <c r="B943" s="80">
        <f>SUBTOTAL(103,$A$808:A943)</f>
        <v>136</v>
      </c>
      <c r="C943" s="300" t="s">
        <v>2754</v>
      </c>
      <c r="D943" s="296">
        <f t="shared" si="48"/>
        <v>693215</v>
      </c>
      <c r="E943" s="301">
        <v>0</v>
      </c>
      <c r="F943" s="301">
        <v>0</v>
      </c>
      <c r="G943" s="301">
        <v>0</v>
      </c>
      <c r="H943" s="301">
        <v>0</v>
      </c>
      <c r="I943" s="301">
        <v>0</v>
      </c>
      <c r="J943" s="301">
        <v>0</v>
      </c>
      <c r="K943" s="302">
        <v>0</v>
      </c>
      <c r="L943" s="301">
        <v>0</v>
      </c>
      <c r="M943" s="301">
        <v>693215</v>
      </c>
      <c r="N943" s="301">
        <v>0</v>
      </c>
      <c r="O943" s="301">
        <v>0</v>
      </c>
      <c r="P943" s="301">
        <v>0</v>
      </c>
      <c r="Q943" s="301">
        <v>0</v>
      </c>
      <c r="R943" s="301">
        <v>0</v>
      </c>
      <c r="S943" s="301">
        <v>0</v>
      </c>
      <c r="T943" s="301">
        <v>0</v>
      </c>
      <c r="U943" s="301">
        <v>0</v>
      </c>
      <c r="V943" s="301">
        <v>0</v>
      </c>
      <c r="W943" s="301">
        <v>0</v>
      </c>
      <c r="X943" s="301">
        <v>0</v>
      </c>
      <c r="Y943" s="301">
        <v>0</v>
      </c>
      <c r="Z943" s="301">
        <v>0</v>
      </c>
      <c r="AA943" s="301">
        <v>0</v>
      </c>
      <c r="AB943" s="303">
        <v>2021</v>
      </c>
    </row>
    <row r="944" spans="1:28" ht="35.25" customHeight="1" x14ac:dyDescent="0.5">
      <c r="A944">
        <v>1</v>
      </c>
      <c r="B944" s="80">
        <f>SUBTOTAL(103,$A$808:A944)</f>
        <v>137</v>
      </c>
      <c r="C944" s="300" t="s">
        <v>2755</v>
      </c>
      <c r="D944" s="296">
        <f t="shared" si="48"/>
        <v>1352500</v>
      </c>
      <c r="E944" s="301">
        <v>0</v>
      </c>
      <c r="F944" s="301">
        <v>0</v>
      </c>
      <c r="G944" s="301">
        <v>0</v>
      </c>
      <c r="H944" s="301">
        <v>0</v>
      </c>
      <c r="I944" s="301">
        <v>0</v>
      </c>
      <c r="J944" s="301">
        <v>0</v>
      </c>
      <c r="K944" s="302">
        <v>0</v>
      </c>
      <c r="L944" s="301">
        <v>0</v>
      </c>
      <c r="M944" s="301">
        <v>1352500</v>
      </c>
      <c r="N944" s="301">
        <v>0</v>
      </c>
      <c r="O944" s="301">
        <v>0</v>
      </c>
      <c r="P944" s="301">
        <v>0</v>
      </c>
      <c r="Q944" s="301">
        <v>0</v>
      </c>
      <c r="R944" s="301">
        <v>0</v>
      </c>
      <c r="S944" s="301">
        <v>0</v>
      </c>
      <c r="T944" s="301">
        <v>0</v>
      </c>
      <c r="U944" s="301">
        <v>0</v>
      </c>
      <c r="V944" s="301">
        <v>0</v>
      </c>
      <c r="W944" s="301">
        <v>0</v>
      </c>
      <c r="X944" s="301">
        <v>0</v>
      </c>
      <c r="Y944" s="301">
        <v>0</v>
      </c>
      <c r="Z944" s="301">
        <v>0</v>
      </c>
      <c r="AA944" s="301">
        <v>0</v>
      </c>
      <c r="AB944" s="303">
        <v>2021</v>
      </c>
    </row>
    <row r="945" spans="1:28" ht="35.25" customHeight="1" x14ac:dyDescent="0.5">
      <c r="A945">
        <v>1</v>
      </c>
      <c r="B945" s="80">
        <f>SUBTOTAL(103,$A$808:A945)</f>
        <v>138</v>
      </c>
      <c r="C945" s="300" t="s">
        <v>2756</v>
      </c>
      <c r="D945" s="296">
        <f t="shared" si="48"/>
        <v>390000</v>
      </c>
      <c r="E945" s="301">
        <v>0</v>
      </c>
      <c r="F945" s="301">
        <v>0</v>
      </c>
      <c r="G945" s="301">
        <v>0</v>
      </c>
      <c r="H945" s="301">
        <v>0</v>
      </c>
      <c r="I945" s="301">
        <v>0</v>
      </c>
      <c r="J945" s="301">
        <v>0</v>
      </c>
      <c r="K945" s="302">
        <v>0</v>
      </c>
      <c r="L945" s="301">
        <v>0</v>
      </c>
      <c r="M945" s="301">
        <v>0</v>
      </c>
      <c r="N945" s="301">
        <v>0</v>
      </c>
      <c r="O945" s="301">
        <v>390000</v>
      </c>
      <c r="P945" s="301">
        <v>0</v>
      </c>
      <c r="Q945" s="301">
        <v>0</v>
      </c>
      <c r="R945" s="301">
        <v>0</v>
      </c>
      <c r="S945" s="301">
        <v>0</v>
      </c>
      <c r="T945" s="301">
        <v>0</v>
      </c>
      <c r="U945" s="301">
        <v>0</v>
      </c>
      <c r="V945" s="301">
        <v>0</v>
      </c>
      <c r="W945" s="301">
        <v>0</v>
      </c>
      <c r="X945" s="301">
        <v>0</v>
      </c>
      <c r="Y945" s="301">
        <v>0</v>
      </c>
      <c r="Z945" s="301">
        <v>0</v>
      </c>
      <c r="AA945" s="301">
        <v>0</v>
      </c>
      <c r="AB945" s="303">
        <v>2021</v>
      </c>
    </row>
    <row r="946" spans="1:28" ht="35.25" customHeight="1" x14ac:dyDescent="0.5">
      <c r="A946">
        <v>1</v>
      </c>
      <c r="B946" s="80">
        <f>SUBTOTAL(103,$A$808:A946)</f>
        <v>139</v>
      </c>
      <c r="C946" s="300" t="s">
        <v>2757</v>
      </c>
      <c r="D946" s="296">
        <f t="shared" si="48"/>
        <v>1377274</v>
      </c>
      <c r="E946" s="301">
        <v>0</v>
      </c>
      <c r="F946" s="301">
        <v>0</v>
      </c>
      <c r="G946" s="301">
        <v>0</v>
      </c>
      <c r="H946" s="301">
        <v>0</v>
      </c>
      <c r="I946" s="301">
        <v>0</v>
      </c>
      <c r="J946" s="301">
        <v>0</v>
      </c>
      <c r="K946" s="302">
        <v>0</v>
      </c>
      <c r="L946" s="301">
        <v>0</v>
      </c>
      <c r="M946" s="301">
        <v>1377274</v>
      </c>
      <c r="N946" s="301">
        <v>0</v>
      </c>
      <c r="O946" s="301">
        <v>0</v>
      </c>
      <c r="P946" s="301">
        <v>0</v>
      </c>
      <c r="Q946" s="301">
        <v>0</v>
      </c>
      <c r="R946" s="301">
        <v>0</v>
      </c>
      <c r="S946" s="301">
        <v>0</v>
      </c>
      <c r="T946" s="301">
        <v>0</v>
      </c>
      <c r="U946" s="301">
        <v>0</v>
      </c>
      <c r="V946" s="301">
        <v>0</v>
      </c>
      <c r="W946" s="301">
        <v>0</v>
      </c>
      <c r="X946" s="301">
        <v>0</v>
      </c>
      <c r="Y946" s="301">
        <v>0</v>
      </c>
      <c r="Z946" s="301">
        <v>0</v>
      </c>
      <c r="AA946" s="301">
        <v>0</v>
      </c>
      <c r="AB946" s="303">
        <v>2021</v>
      </c>
    </row>
    <row r="947" spans="1:28" ht="35.25" customHeight="1" x14ac:dyDescent="0.5">
      <c r="A947">
        <v>1</v>
      </c>
      <c r="B947" s="80">
        <f>SUBTOTAL(103,$A$808:A947)</f>
        <v>140</v>
      </c>
      <c r="C947" s="300" t="s">
        <v>2758</v>
      </c>
      <c r="D947" s="296">
        <f t="shared" si="48"/>
        <v>2049728</v>
      </c>
      <c r="E947" s="301">
        <v>0</v>
      </c>
      <c r="F947" s="301">
        <v>0</v>
      </c>
      <c r="G947" s="301">
        <v>0</v>
      </c>
      <c r="H947" s="301">
        <v>0</v>
      </c>
      <c r="I947" s="301">
        <v>0</v>
      </c>
      <c r="J947" s="301">
        <v>0</v>
      </c>
      <c r="K947" s="302">
        <v>0</v>
      </c>
      <c r="L947" s="301">
        <v>0</v>
      </c>
      <c r="M947" s="301">
        <v>1640755</v>
      </c>
      <c r="N947" s="301">
        <v>0</v>
      </c>
      <c r="O947" s="301">
        <v>408973</v>
      </c>
      <c r="P947" s="301">
        <v>0</v>
      </c>
      <c r="Q947" s="301">
        <v>0</v>
      </c>
      <c r="R947" s="301">
        <v>0</v>
      </c>
      <c r="S947" s="301">
        <v>0</v>
      </c>
      <c r="T947" s="301">
        <v>0</v>
      </c>
      <c r="U947" s="301">
        <v>0</v>
      </c>
      <c r="V947" s="301">
        <v>0</v>
      </c>
      <c r="W947" s="301">
        <v>0</v>
      </c>
      <c r="X947" s="301">
        <v>0</v>
      </c>
      <c r="Y947" s="301">
        <v>0</v>
      </c>
      <c r="Z947" s="301">
        <v>0</v>
      </c>
      <c r="AA947" s="301">
        <v>0</v>
      </c>
      <c r="AB947" s="303">
        <v>2021</v>
      </c>
    </row>
    <row r="948" spans="1:28" ht="35.25" customHeight="1" x14ac:dyDescent="0.5">
      <c r="A948">
        <v>1</v>
      </c>
      <c r="B948" s="80">
        <f>SUBTOTAL(103,$A$808:A948)</f>
        <v>141</v>
      </c>
      <c r="C948" s="300" t="s">
        <v>2759</v>
      </c>
      <c r="D948" s="296">
        <f t="shared" si="48"/>
        <v>2091977</v>
      </c>
      <c r="E948" s="301">
        <v>0</v>
      </c>
      <c r="F948" s="301">
        <v>0</v>
      </c>
      <c r="G948" s="301">
        <v>0</v>
      </c>
      <c r="H948" s="301">
        <v>0</v>
      </c>
      <c r="I948" s="301">
        <v>0</v>
      </c>
      <c r="J948" s="301">
        <v>0</v>
      </c>
      <c r="K948" s="302">
        <v>0</v>
      </c>
      <c r="L948" s="301">
        <v>0</v>
      </c>
      <c r="M948" s="301">
        <v>1345760</v>
      </c>
      <c r="N948" s="301">
        <v>0</v>
      </c>
      <c r="O948" s="301">
        <v>746217</v>
      </c>
      <c r="P948" s="301">
        <v>0</v>
      </c>
      <c r="Q948" s="301">
        <v>0</v>
      </c>
      <c r="R948" s="301">
        <v>0</v>
      </c>
      <c r="S948" s="301">
        <v>0</v>
      </c>
      <c r="T948" s="301">
        <v>0</v>
      </c>
      <c r="U948" s="301">
        <v>0</v>
      </c>
      <c r="V948" s="301">
        <v>0</v>
      </c>
      <c r="W948" s="301">
        <v>0</v>
      </c>
      <c r="X948" s="301">
        <v>0</v>
      </c>
      <c r="Y948" s="301">
        <v>0</v>
      </c>
      <c r="Z948" s="301">
        <v>0</v>
      </c>
      <c r="AA948" s="301">
        <v>0</v>
      </c>
      <c r="AB948" s="303">
        <v>2021</v>
      </c>
    </row>
    <row r="949" spans="1:28" ht="35.25" customHeight="1" x14ac:dyDescent="0.5">
      <c r="A949">
        <v>1</v>
      </c>
      <c r="B949" s="80">
        <f>SUBTOTAL(103,$A$808:A949)</f>
        <v>142</v>
      </c>
      <c r="C949" s="300" t="s">
        <v>2760</v>
      </c>
      <c r="D949" s="296">
        <f t="shared" si="48"/>
        <v>2840655.5399999996</v>
      </c>
      <c r="E949" s="301">
        <v>169729.28</v>
      </c>
      <c r="F949" s="301">
        <v>211197.43</v>
      </c>
      <c r="G949" s="301">
        <v>2024638.44</v>
      </c>
      <c r="H949" s="301">
        <v>311730.13</v>
      </c>
      <c r="I949" s="301">
        <v>123360.26</v>
      </c>
      <c r="J949" s="301">
        <v>0</v>
      </c>
      <c r="K949" s="302">
        <v>0</v>
      </c>
      <c r="L949" s="301">
        <v>0</v>
      </c>
      <c r="M949" s="301">
        <v>0</v>
      </c>
      <c r="N949" s="301">
        <v>0</v>
      </c>
      <c r="O949" s="301">
        <v>0</v>
      </c>
      <c r="P949" s="301">
        <v>0</v>
      </c>
      <c r="Q949" s="301">
        <v>0</v>
      </c>
      <c r="R949" s="301">
        <v>0</v>
      </c>
      <c r="S949" s="301">
        <v>0</v>
      </c>
      <c r="T949" s="301">
        <v>0</v>
      </c>
      <c r="U949" s="301">
        <v>0</v>
      </c>
      <c r="V949" s="301">
        <v>0</v>
      </c>
      <c r="W949" s="301">
        <v>0</v>
      </c>
      <c r="X949" s="301">
        <v>0</v>
      </c>
      <c r="Y949" s="301">
        <v>0</v>
      </c>
      <c r="Z949" s="301">
        <v>0</v>
      </c>
      <c r="AA949" s="301">
        <v>0</v>
      </c>
      <c r="AB949" s="303">
        <v>2021</v>
      </c>
    </row>
    <row r="950" spans="1:28" ht="35.25" customHeight="1" x14ac:dyDescent="0.5">
      <c r="A950">
        <v>1</v>
      </c>
      <c r="B950" s="80">
        <f>SUBTOTAL(103,$A$808:A950)</f>
        <v>143</v>
      </c>
      <c r="C950" s="300" t="s">
        <v>1827</v>
      </c>
      <c r="D950" s="296">
        <f t="shared" si="48"/>
        <v>1301202</v>
      </c>
      <c r="E950" s="301">
        <v>0</v>
      </c>
      <c r="F950" s="301">
        <v>0</v>
      </c>
      <c r="G950" s="301">
        <v>0</v>
      </c>
      <c r="H950" s="301">
        <v>0</v>
      </c>
      <c r="I950" s="301">
        <v>0</v>
      </c>
      <c r="J950" s="301">
        <v>0</v>
      </c>
      <c r="K950" s="302">
        <v>0</v>
      </c>
      <c r="L950" s="301">
        <v>0</v>
      </c>
      <c r="M950" s="301">
        <v>1301202</v>
      </c>
      <c r="N950" s="301">
        <v>0</v>
      </c>
      <c r="O950" s="301">
        <v>0</v>
      </c>
      <c r="P950" s="301">
        <v>0</v>
      </c>
      <c r="Q950" s="301">
        <v>0</v>
      </c>
      <c r="R950" s="301">
        <v>0</v>
      </c>
      <c r="S950" s="301">
        <v>0</v>
      </c>
      <c r="T950" s="301">
        <v>0</v>
      </c>
      <c r="U950" s="301">
        <v>0</v>
      </c>
      <c r="V950" s="301">
        <v>0</v>
      </c>
      <c r="W950" s="301">
        <v>0</v>
      </c>
      <c r="X950" s="301">
        <v>0</v>
      </c>
      <c r="Y950" s="301">
        <v>0</v>
      </c>
      <c r="Z950" s="301">
        <v>0</v>
      </c>
      <c r="AA950" s="301">
        <v>0</v>
      </c>
      <c r="AB950" s="303">
        <v>2021</v>
      </c>
    </row>
    <row r="951" spans="1:28" ht="35.25" customHeight="1" x14ac:dyDescent="0.5">
      <c r="A951">
        <v>1</v>
      </c>
      <c r="B951" s="80">
        <f>SUBTOTAL(103,$A$808:A951)</f>
        <v>144</v>
      </c>
      <c r="C951" s="300" t="s">
        <v>2761</v>
      </c>
      <c r="D951" s="296">
        <f t="shared" si="48"/>
        <v>2100000</v>
      </c>
      <c r="E951" s="301">
        <v>0</v>
      </c>
      <c r="F951" s="301">
        <v>0</v>
      </c>
      <c r="G951" s="301">
        <v>0</v>
      </c>
      <c r="H951" s="301">
        <v>0</v>
      </c>
      <c r="I951" s="301">
        <v>0</v>
      </c>
      <c r="J951" s="301">
        <v>0</v>
      </c>
      <c r="K951" s="302">
        <v>1</v>
      </c>
      <c r="L951" s="301">
        <v>2100000</v>
      </c>
      <c r="M951" s="301">
        <v>0</v>
      </c>
      <c r="N951" s="301">
        <v>0</v>
      </c>
      <c r="O951" s="301">
        <v>0</v>
      </c>
      <c r="P951" s="301">
        <v>0</v>
      </c>
      <c r="Q951" s="301">
        <v>0</v>
      </c>
      <c r="R951" s="301">
        <v>0</v>
      </c>
      <c r="S951" s="301">
        <v>0</v>
      </c>
      <c r="T951" s="301">
        <v>0</v>
      </c>
      <c r="U951" s="301">
        <v>0</v>
      </c>
      <c r="V951" s="301">
        <v>0</v>
      </c>
      <c r="W951" s="301">
        <v>0</v>
      </c>
      <c r="X951" s="301">
        <v>0</v>
      </c>
      <c r="Y951" s="301">
        <v>0</v>
      </c>
      <c r="Z951" s="301">
        <v>0</v>
      </c>
      <c r="AA951" s="301">
        <v>0</v>
      </c>
      <c r="AB951" s="303">
        <v>2021</v>
      </c>
    </row>
    <row r="952" spans="1:28" ht="35.25" customHeight="1" x14ac:dyDescent="0.5">
      <c r="A952">
        <v>1</v>
      </c>
      <c r="B952" s="80">
        <f>SUBTOTAL(103,$A$808:A952)</f>
        <v>145</v>
      </c>
      <c r="C952" s="300" t="s">
        <v>2762</v>
      </c>
      <c r="D952" s="296">
        <f t="shared" si="48"/>
        <v>1265000</v>
      </c>
      <c r="E952" s="301">
        <v>0</v>
      </c>
      <c r="F952" s="301">
        <v>0</v>
      </c>
      <c r="G952" s="301">
        <v>1265000</v>
      </c>
      <c r="H952" s="301">
        <v>0</v>
      </c>
      <c r="I952" s="301">
        <v>0</v>
      </c>
      <c r="J952" s="301">
        <v>0</v>
      </c>
      <c r="K952" s="302">
        <v>0</v>
      </c>
      <c r="L952" s="301">
        <v>0</v>
      </c>
      <c r="M952" s="301">
        <v>0</v>
      </c>
      <c r="N952" s="301">
        <v>0</v>
      </c>
      <c r="O952" s="301">
        <v>0</v>
      </c>
      <c r="P952" s="301">
        <v>0</v>
      </c>
      <c r="Q952" s="301">
        <v>0</v>
      </c>
      <c r="R952" s="301">
        <v>0</v>
      </c>
      <c r="S952" s="301">
        <v>0</v>
      </c>
      <c r="T952" s="301">
        <v>0</v>
      </c>
      <c r="U952" s="301">
        <v>0</v>
      </c>
      <c r="V952" s="301">
        <v>0</v>
      </c>
      <c r="W952" s="301">
        <v>0</v>
      </c>
      <c r="X952" s="301">
        <v>0</v>
      </c>
      <c r="Y952" s="301">
        <v>0</v>
      </c>
      <c r="Z952" s="301">
        <v>0</v>
      </c>
      <c r="AA952" s="301">
        <v>0</v>
      </c>
      <c r="AB952" s="303">
        <v>2021</v>
      </c>
    </row>
    <row r="953" spans="1:28" ht="35.25" customHeight="1" x14ac:dyDescent="0.5">
      <c r="A953">
        <v>1</v>
      </c>
      <c r="B953" s="80">
        <f>SUBTOTAL(103,$A$808:A953)</f>
        <v>146</v>
      </c>
      <c r="C953" s="300" t="s">
        <v>2763</v>
      </c>
      <c r="D953" s="296">
        <f t="shared" si="48"/>
        <v>1035000</v>
      </c>
      <c r="E953" s="301">
        <v>0</v>
      </c>
      <c r="F953" s="301">
        <v>0</v>
      </c>
      <c r="G953" s="301">
        <v>0</v>
      </c>
      <c r="H953" s="301">
        <v>0</v>
      </c>
      <c r="I953" s="301">
        <v>0</v>
      </c>
      <c r="J953" s="301">
        <v>0</v>
      </c>
      <c r="K953" s="302">
        <v>0</v>
      </c>
      <c r="L953" s="301">
        <v>0</v>
      </c>
      <c r="M953" s="301">
        <v>0</v>
      </c>
      <c r="N953" s="301">
        <v>0</v>
      </c>
      <c r="O953" s="301">
        <v>1035000</v>
      </c>
      <c r="P953" s="301">
        <v>0</v>
      </c>
      <c r="Q953" s="301">
        <v>0</v>
      </c>
      <c r="R953" s="301">
        <v>0</v>
      </c>
      <c r="S953" s="301">
        <v>0</v>
      </c>
      <c r="T953" s="301">
        <v>0</v>
      </c>
      <c r="U953" s="301">
        <v>0</v>
      </c>
      <c r="V953" s="301">
        <v>0</v>
      </c>
      <c r="W953" s="301">
        <v>0</v>
      </c>
      <c r="X953" s="301">
        <v>0</v>
      </c>
      <c r="Y953" s="301">
        <v>0</v>
      </c>
      <c r="Z953" s="301">
        <v>0</v>
      </c>
      <c r="AA953" s="301">
        <v>0</v>
      </c>
      <c r="AB953" s="303">
        <v>2021</v>
      </c>
    </row>
    <row r="954" spans="1:28" ht="35.25" customHeight="1" x14ac:dyDescent="0.5">
      <c r="A954">
        <v>1</v>
      </c>
      <c r="B954" s="80">
        <f>SUBTOTAL(103,$A$808:A954)</f>
        <v>147</v>
      </c>
      <c r="C954" s="300" t="s">
        <v>2764</v>
      </c>
      <c r="D954" s="296">
        <f t="shared" si="48"/>
        <v>2314730</v>
      </c>
      <c r="E954" s="301">
        <v>0</v>
      </c>
      <c r="F954" s="301">
        <v>0</v>
      </c>
      <c r="G954" s="301">
        <v>0</v>
      </c>
      <c r="H954" s="301">
        <v>0</v>
      </c>
      <c r="I954" s="301">
        <v>0</v>
      </c>
      <c r="J954" s="301">
        <v>0</v>
      </c>
      <c r="K954" s="302">
        <v>0</v>
      </c>
      <c r="L954" s="301">
        <v>0</v>
      </c>
      <c r="M954" s="301">
        <v>2314730</v>
      </c>
      <c r="N954" s="301">
        <v>0</v>
      </c>
      <c r="O954" s="301">
        <v>0</v>
      </c>
      <c r="P954" s="301">
        <v>0</v>
      </c>
      <c r="Q954" s="301">
        <v>0</v>
      </c>
      <c r="R954" s="301">
        <v>0</v>
      </c>
      <c r="S954" s="301">
        <v>0</v>
      </c>
      <c r="T954" s="301">
        <v>0</v>
      </c>
      <c r="U954" s="301">
        <v>0</v>
      </c>
      <c r="V954" s="301">
        <v>0</v>
      </c>
      <c r="W954" s="301">
        <v>0</v>
      </c>
      <c r="X954" s="301">
        <v>0</v>
      </c>
      <c r="Y954" s="301">
        <v>0</v>
      </c>
      <c r="Z954" s="301">
        <v>0</v>
      </c>
      <c r="AA954" s="301">
        <v>0</v>
      </c>
      <c r="AB954" s="303">
        <v>2021</v>
      </c>
    </row>
    <row r="955" spans="1:28" ht="35.25" customHeight="1" x14ac:dyDescent="0.5">
      <c r="A955">
        <v>1</v>
      </c>
      <c r="B955" s="80">
        <f>SUBTOTAL(103,$A$808:A955)</f>
        <v>148</v>
      </c>
      <c r="C955" s="300" t="s">
        <v>2765</v>
      </c>
      <c r="D955" s="296">
        <f t="shared" si="48"/>
        <v>401500</v>
      </c>
      <c r="E955" s="301">
        <v>0</v>
      </c>
      <c r="F955" s="301">
        <v>0</v>
      </c>
      <c r="G955" s="301">
        <v>0</v>
      </c>
      <c r="H955" s="301">
        <v>0</v>
      </c>
      <c r="I955" s="301">
        <v>0</v>
      </c>
      <c r="J955" s="301">
        <v>0</v>
      </c>
      <c r="K955" s="302">
        <v>0</v>
      </c>
      <c r="L955" s="301">
        <v>0</v>
      </c>
      <c r="M955" s="301">
        <v>0</v>
      </c>
      <c r="N955" s="301">
        <v>0</v>
      </c>
      <c r="O955" s="301">
        <v>401500</v>
      </c>
      <c r="P955" s="301">
        <v>0</v>
      </c>
      <c r="Q955" s="301">
        <v>0</v>
      </c>
      <c r="R955" s="301">
        <v>0</v>
      </c>
      <c r="S955" s="301">
        <v>0</v>
      </c>
      <c r="T955" s="301">
        <v>0</v>
      </c>
      <c r="U955" s="301">
        <v>0</v>
      </c>
      <c r="V955" s="301">
        <v>0</v>
      </c>
      <c r="W955" s="301">
        <v>0</v>
      </c>
      <c r="X955" s="301">
        <v>0</v>
      </c>
      <c r="Y955" s="301">
        <v>0</v>
      </c>
      <c r="Z955" s="301">
        <v>0</v>
      </c>
      <c r="AA955" s="301">
        <v>0</v>
      </c>
      <c r="AB955" s="303">
        <v>2021</v>
      </c>
    </row>
    <row r="956" spans="1:28" ht="35.25" customHeight="1" x14ac:dyDescent="0.5">
      <c r="A956">
        <v>1</v>
      </c>
      <c r="B956" s="80">
        <f>SUBTOTAL(103,$A$808:A956)</f>
        <v>149</v>
      </c>
      <c r="C956" s="300" t="s">
        <v>2766</v>
      </c>
      <c r="D956" s="296">
        <f t="shared" si="48"/>
        <v>2482326</v>
      </c>
      <c r="E956" s="301">
        <v>0</v>
      </c>
      <c r="F956" s="301">
        <v>0</v>
      </c>
      <c r="G956" s="301">
        <v>0</v>
      </c>
      <c r="H956" s="301">
        <v>0</v>
      </c>
      <c r="I956" s="301">
        <v>0</v>
      </c>
      <c r="J956" s="301">
        <v>0</v>
      </c>
      <c r="K956" s="302">
        <v>0</v>
      </c>
      <c r="L956" s="301">
        <v>0</v>
      </c>
      <c r="M956" s="301">
        <v>2482326</v>
      </c>
      <c r="N956" s="301">
        <v>0</v>
      </c>
      <c r="O956" s="301">
        <v>0</v>
      </c>
      <c r="P956" s="301">
        <v>0</v>
      </c>
      <c r="Q956" s="301">
        <v>0</v>
      </c>
      <c r="R956" s="301">
        <v>0</v>
      </c>
      <c r="S956" s="301">
        <v>0</v>
      </c>
      <c r="T956" s="301">
        <v>0</v>
      </c>
      <c r="U956" s="301">
        <v>0</v>
      </c>
      <c r="V956" s="301">
        <v>0</v>
      </c>
      <c r="W956" s="301">
        <v>0</v>
      </c>
      <c r="X956" s="301">
        <v>0</v>
      </c>
      <c r="Y956" s="301">
        <v>0</v>
      </c>
      <c r="Z956" s="301">
        <v>0</v>
      </c>
      <c r="AA956" s="301">
        <v>0</v>
      </c>
      <c r="AB956" s="303">
        <v>2021</v>
      </c>
    </row>
    <row r="957" spans="1:28" ht="35.25" customHeight="1" x14ac:dyDescent="0.5">
      <c r="A957">
        <v>1</v>
      </c>
      <c r="B957" s="80">
        <f>SUBTOTAL(103,$A$808:A957)</f>
        <v>150</v>
      </c>
      <c r="C957" s="300" t="s">
        <v>2767</v>
      </c>
      <c r="D957" s="296">
        <f t="shared" si="48"/>
        <v>337836</v>
      </c>
      <c r="E957" s="301">
        <v>0</v>
      </c>
      <c r="F957" s="301">
        <v>0</v>
      </c>
      <c r="G957" s="301">
        <v>337836</v>
      </c>
      <c r="H957" s="301">
        <v>0</v>
      </c>
      <c r="I957" s="301">
        <v>0</v>
      </c>
      <c r="J957" s="301">
        <v>0</v>
      </c>
      <c r="K957" s="302">
        <v>0</v>
      </c>
      <c r="L957" s="301">
        <v>0</v>
      </c>
      <c r="M957" s="301">
        <v>0</v>
      </c>
      <c r="N957" s="301">
        <v>0</v>
      </c>
      <c r="O957" s="301">
        <v>0</v>
      </c>
      <c r="P957" s="301">
        <v>0</v>
      </c>
      <c r="Q957" s="301">
        <v>0</v>
      </c>
      <c r="R957" s="301">
        <v>0</v>
      </c>
      <c r="S957" s="301">
        <v>0</v>
      </c>
      <c r="T957" s="301">
        <v>0</v>
      </c>
      <c r="U957" s="301">
        <v>0</v>
      </c>
      <c r="V957" s="301">
        <v>0</v>
      </c>
      <c r="W957" s="301">
        <v>0</v>
      </c>
      <c r="X957" s="301">
        <v>0</v>
      </c>
      <c r="Y957" s="301">
        <v>0</v>
      </c>
      <c r="Z957" s="301">
        <v>0</v>
      </c>
      <c r="AA957" s="301">
        <v>0</v>
      </c>
      <c r="AB957" s="303">
        <v>2021</v>
      </c>
    </row>
    <row r="958" spans="1:28" ht="35.25" customHeight="1" x14ac:dyDescent="0.5">
      <c r="A958">
        <v>1</v>
      </c>
      <c r="B958" s="80">
        <f>SUBTOTAL(103,$A$808:A958)</f>
        <v>151</v>
      </c>
      <c r="C958" s="300" t="s">
        <v>2768</v>
      </c>
      <c r="D958" s="296">
        <f t="shared" si="48"/>
        <v>8613450</v>
      </c>
      <c r="E958" s="301">
        <v>0</v>
      </c>
      <c r="F958" s="301">
        <v>0</v>
      </c>
      <c r="G958" s="301">
        <v>783542</v>
      </c>
      <c r="H958" s="301">
        <v>0</v>
      </c>
      <c r="I958" s="301">
        <v>0</v>
      </c>
      <c r="J958" s="301">
        <v>0</v>
      </c>
      <c r="K958" s="302">
        <v>0</v>
      </c>
      <c r="L958" s="301">
        <v>0</v>
      </c>
      <c r="M958" s="301">
        <v>1468500</v>
      </c>
      <c r="N958" s="301">
        <v>0</v>
      </c>
      <c r="O958" s="301">
        <v>6361408</v>
      </c>
      <c r="P958" s="301">
        <v>0</v>
      </c>
      <c r="Q958" s="301">
        <v>0</v>
      </c>
      <c r="R958" s="301">
        <v>0</v>
      </c>
      <c r="S958" s="301">
        <v>0</v>
      </c>
      <c r="T958" s="301">
        <v>0</v>
      </c>
      <c r="U958" s="301">
        <v>0</v>
      </c>
      <c r="V958" s="301">
        <v>0</v>
      </c>
      <c r="W958" s="301">
        <v>0</v>
      </c>
      <c r="X958" s="301">
        <v>0</v>
      </c>
      <c r="Y958" s="301">
        <v>0</v>
      </c>
      <c r="Z958" s="301">
        <v>0</v>
      </c>
      <c r="AA958" s="301">
        <v>0</v>
      </c>
      <c r="AB958" s="303">
        <v>2021</v>
      </c>
    </row>
    <row r="959" spans="1:28" ht="35.25" customHeight="1" x14ac:dyDescent="0.5">
      <c r="A959">
        <v>1</v>
      </c>
      <c r="B959" s="80">
        <f>SUBTOTAL(103,$A$808:A959)</f>
        <v>152</v>
      </c>
      <c r="C959" s="300" t="s">
        <v>2181</v>
      </c>
      <c r="D959" s="296">
        <f t="shared" si="48"/>
        <v>1743477.94</v>
      </c>
      <c r="E959" s="301">
        <v>0</v>
      </c>
      <c r="F959" s="301">
        <v>563749.93999999994</v>
      </c>
      <c r="G959" s="301">
        <v>0</v>
      </c>
      <c r="H959" s="301">
        <v>0</v>
      </c>
      <c r="I959" s="301">
        <v>0</v>
      </c>
      <c r="J959" s="301">
        <v>0</v>
      </c>
      <c r="K959" s="302">
        <v>0</v>
      </c>
      <c r="L959" s="301">
        <v>0</v>
      </c>
      <c r="M959" s="301">
        <v>0</v>
      </c>
      <c r="N959" s="301">
        <v>0</v>
      </c>
      <c r="O959" s="301">
        <v>0</v>
      </c>
      <c r="P959" s="301">
        <v>0</v>
      </c>
      <c r="Q959" s="301">
        <v>0</v>
      </c>
      <c r="R959" s="301">
        <v>0</v>
      </c>
      <c r="S959" s="301">
        <v>0</v>
      </c>
      <c r="T959" s="301">
        <v>0</v>
      </c>
      <c r="U959" s="301">
        <v>0</v>
      </c>
      <c r="V959" s="301">
        <v>0</v>
      </c>
      <c r="W959" s="301">
        <v>1179728</v>
      </c>
      <c r="X959" s="301">
        <v>0</v>
      </c>
      <c r="Y959" s="301">
        <v>0</v>
      </c>
      <c r="Z959" s="301">
        <v>0</v>
      </c>
      <c r="AA959" s="301">
        <v>0</v>
      </c>
      <c r="AB959" s="303">
        <v>2021</v>
      </c>
    </row>
    <row r="960" spans="1:28" ht="35.25" customHeight="1" x14ac:dyDescent="0.5">
      <c r="A960">
        <v>1</v>
      </c>
      <c r="B960" s="80">
        <f>SUBTOTAL(103,$A$808:A960)</f>
        <v>153</v>
      </c>
      <c r="C960" s="300" t="s">
        <v>1837</v>
      </c>
      <c r="D960" s="296">
        <f t="shared" si="48"/>
        <v>381703</v>
      </c>
      <c r="E960" s="301">
        <v>0</v>
      </c>
      <c r="F960" s="301">
        <v>0</v>
      </c>
      <c r="G960" s="301">
        <v>0</v>
      </c>
      <c r="H960" s="301">
        <v>0</v>
      </c>
      <c r="I960" s="301">
        <v>0</v>
      </c>
      <c r="J960" s="301">
        <v>0</v>
      </c>
      <c r="K960" s="302">
        <v>0</v>
      </c>
      <c r="L960" s="301">
        <v>0</v>
      </c>
      <c r="M960" s="301">
        <v>0</v>
      </c>
      <c r="N960" s="301">
        <v>0</v>
      </c>
      <c r="O960" s="301">
        <v>381703</v>
      </c>
      <c r="P960" s="301">
        <v>0</v>
      </c>
      <c r="Q960" s="301">
        <v>0</v>
      </c>
      <c r="R960" s="301">
        <v>0</v>
      </c>
      <c r="S960" s="301">
        <v>0</v>
      </c>
      <c r="T960" s="301">
        <v>0</v>
      </c>
      <c r="U960" s="301">
        <v>0</v>
      </c>
      <c r="V960" s="301">
        <v>0</v>
      </c>
      <c r="W960" s="301">
        <v>0</v>
      </c>
      <c r="X960" s="301">
        <v>0</v>
      </c>
      <c r="Y960" s="301">
        <v>0</v>
      </c>
      <c r="Z960" s="301">
        <v>0</v>
      </c>
      <c r="AA960" s="301">
        <v>0</v>
      </c>
      <c r="AB960" s="303">
        <v>2021</v>
      </c>
    </row>
    <row r="961" spans="1:28" ht="35.25" customHeight="1" x14ac:dyDescent="0.5">
      <c r="A961">
        <v>1</v>
      </c>
      <c r="B961" s="80">
        <f>SUBTOTAL(103,$A$808:A961)</f>
        <v>154</v>
      </c>
      <c r="C961" s="300" t="s">
        <v>2205</v>
      </c>
      <c r="D961" s="296">
        <f t="shared" si="48"/>
        <v>626788</v>
      </c>
      <c r="E961" s="301">
        <v>0</v>
      </c>
      <c r="F961" s="301">
        <v>0</v>
      </c>
      <c r="G961" s="301">
        <v>0</v>
      </c>
      <c r="H961" s="301">
        <v>0</v>
      </c>
      <c r="I961" s="301">
        <v>0</v>
      </c>
      <c r="J961" s="301">
        <v>0</v>
      </c>
      <c r="K961" s="302">
        <v>0</v>
      </c>
      <c r="L961" s="301">
        <v>0</v>
      </c>
      <c r="M961" s="301">
        <v>0</v>
      </c>
      <c r="N961" s="301">
        <v>0</v>
      </c>
      <c r="O961" s="301">
        <v>626788</v>
      </c>
      <c r="P961" s="301">
        <v>0</v>
      </c>
      <c r="Q961" s="301">
        <v>0</v>
      </c>
      <c r="R961" s="301">
        <v>0</v>
      </c>
      <c r="S961" s="301">
        <v>0</v>
      </c>
      <c r="T961" s="301">
        <v>0</v>
      </c>
      <c r="U961" s="301">
        <v>0</v>
      </c>
      <c r="V961" s="301">
        <v>0</v>
      </c>
      <c r="W961" s="301">
        <v>0</v>
      </c>
      <c r="X961" s="301">
        <v>0</v>
      </c>
      <c r="Y961" s="301">
        <v>0</v>
      </c>
      <c r="Z961" s="301">
        <v>0</v>
      </c>
      <c r="AA961" s="301">
        <v>0</v>
      </c>
      <c r="AB961" s="303">
        <v>2021</v>
      </c>
    </row>
    <row r="962" spans="1:28" ht="35.25" customHeight="1" x14ac:dyDescent="0.5">
      <c r="A962">
        <v>1</v>
      </c>
      <c r="B962" s="80">
        <f>SUBTOTAL(103,$A$808:A962)</f>
        <v>155</v>
      </c>
      <c r="C962" s="300" t="s">
        <v>2769</v>
      </c>
      <c r="D962" s="296">
        <f t="shared" si="48"/>
        <v>3989926.17</v>
      </c>
      <c r="E962" s="301">
        <v>0</v>
      </c>
      <c r="F962" s="301">
        <v>0</v>
      </c>
      <c r="G962" s="301">
        <v>0</v>
      </c>
      <c r="H962" s="301">
        <v>0</v>
      </c>
      <c r="I962" s="301">
        <v>0</v>
      </c>
      <c r="J962" s="301">
        <v>0</v>
      </c>
      <c r="K962" s="302">
        <v>0</v>
      </c>
      <c r="L962" s="301">
        <v>0</v>
      </c>
      <c r="M962" s="301">
        <v>0</v>
      </c>
      <c r="N962" s="301">
        <v>0</v>
      </c>
      <c r="O962" s="301">
        <v>3989926.17</v>
      </c>
      <c r="P962" s="301">
        <v>0</v>
      </c>
      <c r="Q962" s="301">
        <v>0</v>
      </c>
      <c r="R962" s="301">
        <v>0</v>
      </c>
      <c r="S962" s="301">
        <v>0</v>
      </c>
      <c r="T962" s="301">
        <v>0</v>
      </c>
      <c r="U962" s="301">
        <v>0</v>
      </c>
      <c r="V962" s="301">
        <v>0</v>
      </c>
      <c r="W962" s="301">
        <v>0</v>
      </c>
      <c r="X962" s="301">
        <v>0</v>
      </c>
      <c r="Y962" s="301">
        <v>0</v>
      </c>
      <c r="Z962" s="301">
        <v>0</v>
      </c>
      <c r="AA962" s="301">
        <v>0</v>
      </c>
      <c r="AB962" s="303">
        <v>2021</v>
      </c>
    </row>
    <row r="963" spans="1:28" ht="35.25" customHeight="1" x14ac:dyDescent="0.5">
      <c r="A963">
        <v>1</v>
      </c>
      <c r="B963" s="80">
        <f>SUBTOTAL(103,$A$808:A963)</f>
        <v>156</v>
      </c>
      <c r="C963" s="300" t="s">
        <v>2770</v>
      </c>
      <c r="D963" s="296">
        <f t="shared" si="48"/>
        <v>308099.84000000003</v>
      </c>
      <c r="E963" s="301">
        <v>0</v>
      </c>
      <c r="F963" s="301">
        <v>0</v>
      </c>
      <c r="G963" s="301">
        <v>0</v>
      </c>
      <c r="H963" s="301">
        <v>0</v>
      </c>
      <c r="I963" s="301">
        <v>0</v>
      </c>
      <c r="J963" s="301">
        <v>0</v>
      </c>
      <c r="K963" s="302">
        <v>0</v>
      </c>
      <c r="L963" s="301">
        <v>0</v>
      </c>
      <c r="M963" s="301">
        <v>0</v>
      </c>
      <c r="N963" s="301">
        <v>0</v>
      </c>
      <c r="O963" s="301">
        <v>308099.84000000003</v>
      </c>
      <c r="P963" s="301">
        <v>0</v>
      </c>
      <c r="Q963" s="301">
        <v>0</v>
      </c>
      <c r="R963" s="301">
        <v>0</v>
      </c>
      <c r="S963" s="301">
        <v>0</v>
      </c>
      <c r="T963" s="301">
        <v>0</v>
      </c>
      <c r="U963" s="301">
        <v>0</v>
      </c>
      <c r="V963" s="301">
        <v>0</v>
      </c>
      <c r="W963" s="301">
        <v>0</v>
      </c>
      <c r="X963" s="301">
        <v>0</v>
      </c>
      <c r="Y963" s="301">
        <v>0</v>
      </c>
      <c r="Z963" s="301">
        <v>0</v>
      </c>
      <c r="AA963" s="301">
        <v>0</v>
      </c>
      <c r="AB963" s="303">
        <v>2021</v>
      </c>
    </row>
    <row r="964" spans="1:28" ht="35.25" customHeight="1" x14ac:dyDescent="0.5">
      <c r="A964">
        <v>1</v>
      </c>
      <c r="B964" s="80">
        <f>SUBTOTAL(103,$A$808:A964)</f>
        <v>157</v>
      </c>
      <c r="C964" s="300" t="s">
        <v>2771</v>
      </c>
      <c r="D964" s="296">
        <f t="shared" si="48"/>
        <v>160000</v>
      </c>
      <c r="E964" s="301">
        <v>0</v>
      </c>
      <c r="F964" s="301">
        <v>160000</v>
      </c>
      <c r="G964" s="301">
        <v>0</v>
      </c>
      <c r="H964" s="301">
        <v>0</v>
      </c>
      <c r="I964" s="301">
        <v>0</v>
      </c>
      <c r="J964" s="301">
        <v>0</v>
      </c>
      <c r="K964" s="302">
        <v>0</v>
      </c>
      <c r="L964" s="301">
        <v>0</v>
      </c>
      <c r="M964" s="301">
        <v>0</v>
      </c>
      <c r="N964" s="301">
        <v>0</v>
      </c>
      <c r="O964" s="301">
        <v>0</v>
      </c>
      <c r="P964" s="301">
        <v>0</v>
      </c>
      <c r="Q964" s="301">
        <v>0</v>
      </c>
      <c r="R964" s="301">
        <v>0</v>
      </c>
      <c r="S964" s="301">
        <v>0</v>
      </c>
      <c r="T964" s="301">
        <v>0</v>
      </c>
      <c r="U964" s="301">
        <v>0</v>
      </c>
      <c r="V964" s="301">
        <v>0</v>
      </c>
      <c r="W964" s="301">
        <v>0</v>
      </c>
      <c r="X964" s="301">
        <v>0</v>
      </c>
      <c r="Y964" s="301">
        <v>0</v>
      </c>
      <c r="Z964" s="301">
        <v>0</v>
      </c>
      <c r="AA964" s="301">
        <v>0</v>
      </c>
      <c r="AB964" s="303">
        <v>2021</v>
      </c>
    </row>
    <row r="965" spans="1:28" ht="35.25" customHeight="1" x14ac:dyDescent="0.5">
      <c r="A965">
        <v>1</v>
      </c>
      <c r="B965" s="80">
        <f>SUBTOTAL(103,$A$808:A965)</f>
        <v>158</v>
      </c>
      <c r="C965" s="300" t="s">
        <v>2772</v>
      </c>
      <c r="D965" s="296">
        <f t="shared" si="48"/>
        <v>451852.5</v>
      </c>
      <c r="E965" s="301">
        <v>0</v>
      </c>
      <c r="F965" s="301">
        <v>0</v>
      </c>
      <c r="G965" s="301">
        <v>171210</v>
      </c>
      <c r="H965" s="301">
        <v>0</v>
      </c>
      <c r="I965" s="301">
        <v>0</v>
      </c>
      <c r="J965" s="301">
        <v>0</v>
      </c>
      <c r="K965" s="302">
        <v>0</v>
      </c>
      <c r="L965" s="301">
        <v>0</v>
      </c>
      <c r="M965" s="301">
        <v>0</v>
      </c>
      <c r="N965" s="301">
        <v>0</v>
      </c>
      <c r="O965" s="301">
        <v>280642.5</v>
      </c>
      <c r="P965" s="301">
        <v>0</v>
      </c>
      <c r="Q965" s="301">
        <v>0</v>
      </c>
      <c r="R965" s="301">
        <v>0</v>
      </c>
      <c r="S965" s="301">
        <v>0</v>
      </c>
      <c r="T965" s="301">
        <v>0</v>
      </c>
      <c r="U965" s="301">
        <v>0</v>
      </c>
      <c r="V965" s="301">
        <v>0</v>
      </c>
      <c r="W965" s="301">
        <v>0</v>
      </c>
      <c r="X965" s="301">
        <v>0</v>
      </c>
      <c r="Y965" s="301">
        <v>0</v>
      </c>
      <c r="Z965" s="301">
        <v>0</v>
      </c>
      <c r="AA965" s="301">
        <v>0</v>
      </c>
      <c r="AB965" s="303">
        <v>2021</v>
      </c>
    </row>
    <row r="966" spans="1:28" ht="35.25" customHeight="1" x14ac:dyDescent="0.5">
      <c r="A966">
        <v>1</v>
      </c>
      <c r="B966" s="80">
        <f>SUBTOTAL(103,$A$808:A966)</f>
        <v>159</v>
      </c>
      <c r="C966" s="300" t="s">
        <v>2773</v>
      </c>
      <c r="D966" s="296">
        <f t="shared" si="48"/>
        <v>1615652</v>
      </c>
      <c r="E966" s="301">
        <v>0</v>
      </c>
      <c r="F966" s="301">
        <v>0</v>
      </c>
      <c r="G966" s="301">
        <v>0</v>
      </c>
      <c r="H966" s="301">
        <v>0</v>
      </c>
      <c r="I966" s="301">
        <v>0</v>
      </c>
      <c r="J966" s="301">
        <v>0</v>
      </c>
      <c r="K966" s="302">
        <v>0</v>
      </c>
      <c r="L966" s="301">
        <v>0</v>
      </c>
      <c r="M966" s="301">
        <v>1615652</v>
      </c>
      <c r="N966" s="301">
        <v>0</v>
      </c>
      <c r="O966" s="301">
        <v>0</v>
      </c>
      <c r="P966" s="301">
        <v>0</v>
      </c>
      <c r="Q966" s="301">
        <v>0</v>
      </c>
      <c r="R966" s="301">
        <v>0</v>
      </c>
      <c r="S966" s="301">
        <v>0</v>
      </c>
      <c r="T966" s="301">
        <v>0</v>
      </c>
      <c r="U966" s="301">
        <v>0</v>
      </c>
      <c r="V966" s="301">
        <v>0</v>
      </c>
      <c r="W966" s="301">
        <v>0</v>
      </c>
      <c r="X966" s="301">
        <v>0</v>
      </c>
      <c r="Y966" s="301">
        <v>0</v>
      </c>
      <c r="Z966" s="301">
        <v>0</v>
      </c>
      <c r="AA966" s="301">
        <v>0</v>
      </c>
      <c r="AB966" s="303">
        <v>2021</v>
      </c>
    </row>
    <row r="967" spans="1:28" ht="35.25" customHeight="1" x14ac:dyDescent="0.5">
      <c r="A967">
        <v>1</v>
      </c>
      <c r="B967" s="80">
        <f>SUBTOTAL(103,$A$808:A967)</f>
        <v>160</v>
      </c>
      <c r="C967" s="300" t="s">
        <v>2182</v>
      </c>
      <c r="D967" s="296">
        <f t="shared" si="48"/>
        <v>413289</v>
      </c>
      <c r="E967" s="301">
        <v>0</v>
      </c>
      <c r="F967" s="301">
        <v>0</v>
      </c>
      <c r="G967" s="301">
        <v>0</v>
      </c>
      <c r="H967" s="301">
        <v>0</v>
      </c>
      <c r="I967" s="301">
        <v>0</v>
      </c>
      <c r="J967" s="301">
        <v>0</v>
      </c>
      <c r="K967" s="302">
        <v>0</v>
      </c>
      <c r="L967" s="301">
        <v>0</v>
      </c>
      <c r="M967" s="301">
        <v>0</v>
      </c>
      <c r="N967" s="301">
        <v>0</v>
      </c>
      <c r="O967" s="301">
        <v>413289</v>
      </c>
      <c r="P967" s="301">
        <v>0</v>
      </c>
      <c r="Q967" s="301">
        <v>0</v>
      </c>
      <c r="R967" s="301">
        <v>0</v>
      </c>
      <c r="S967" s="301">
        <v>0</v>
      </c>
      <c r="T967" s="301">
        <v>0</v>
      </c>
      <c r="U967" s="301">
        <v>0</v>
      </c>
      <c r="V967" s="301">
        <v>0</v>
      </c>
      <c r="W967" s="301">
        <v>0</v>
      </c>
      <c r="X967" s="301">
        <v>0</v>
      </c>
      <c r="Y967" s="301">
        <v>0</v>
      </c>
      <c r="Z967" s="301">
        <v>0</v>
      </c>
      <c r="AA967" s="301">
        <v>0</v>
      </c>
      <c r="AB967" s="303">
        <v>2021</v>
      </c>
    </row>
    <row r="968" spans="1:28" ht="35.25" customHeight="1" x14ac:dyDescent="0.5">
      <c r="A968">
        <v>1</v>
      </c>
      <c r="B968" s="80">
        <f>SUBTOTAL(103,$A$808:A968)</f>
        <v>161</v>
      </c>
      <c r="C968" s="300" t="s">
        <v>2774</v>
      </c>
      <c r="D968" s="296">
        <f t="shared" si="48"/>
        <v>2685487</v>
      </c>
      <c r="E968" s="301">
        <v>314811</v>
      </c>
      <c r="F968" s="301">
        <v>500000</v>
      </c>
      <c r="G968" s="301">
        <v>0</v>
      </c>
      <c r="H968" s="301">
        <v>0</v>
      </c>
      <c r="I968" s="301">
        <v>0</v>
      </c>
      <c r="J968" s="301">
        <v>0</v>
      </c>
      <c r="K968" s="302">
        <v>0</v>
      </c>
      <c r="L968" s="301">
        <v>0</v>
      </c>
      <c r="M968" s="301">
        <v>968986</v>
      </c>
      <c r="N968" s="301">
        <v>0</v>
      </c>
      <c r="O968" s="301">
        <v>901690</v>
      </c>
      <c r="P968" s="301">
        <v>0</v>
      </c>
      <c r="Q968" s="301">
        <v>0</v>
      </c>
      <c r="R968" s="301">
        <v>0</v>
      </c>
      <c r="S968" s="301">
        <v>0</v>
      </c>
      <c r="T968" s="301">
        <v>0</v>
      </c>
      <c r="U968" s="301">
        <v>0</v>
      </c>
      <c r="V968" s="301">
        <v>0</v>
      </c>
      <c r="W968" s="301">
        <v>0</v>
      </c>
      <c r="X968" s="301">
        <v>0</v>
      </c>
      <c r="Y968" s="301">
        <v>0</v>
      </c>
      <c r="Z968" s="301">
        <v>0</v>
      </c>
      <c r="AA968" s="301">
        <v>0</v>
      </c>
      <c r="AB968" s="303">
        <v>2021</v>
      </c>
    </row>
    <row r="969" spans="1:28" ht="35.25" customHeight="1" x14ac:dyDescent="0.5">
      <c r="A969">
        <v>1</v>
      </c>
      <c r="B969" s="80">
        <f>SUBTOTAL(103,$A$808:A969)</f>
        <v>162</v>
      </c>
      <c r="C969" s="300" t="s">
        <v>2775</v>
      </c>
      <c r="D969" s="296">
        <f t="shared" ref="D969:D1032" si="49">E969+F969+G969+H969+I969+J969+L969+M969+N969+O969+P969+Q969+R969+S969+T969+U969+V969+W969+X969+Y969+Z969+AA969</f>
        <v>2036450.2</v>
      </c>
      <c r="E969" s="301">
        <v>0</v>
      </c>
      <c r="F969" s="301">
        <v>0</v>
      </c>
      <c r="G969" s="301">
        <v>0</v>
      </c>
      <c r="H969" s="301">
        <v>0</v>
      </c>
      <c r="I969" s="301">
        <v>0</v>
      </c>
      <c r="J969" s="301">
        <v>0</v>
      </c>
      <c r="K969" s="302">
        <v>1</v>
      </c>
      <c r="L969" s="301">
        <v>385516.2</v>
      </c>
      <c r="M969" s="301">
        <v>1650934</v>
      </c>
      <c r="N969" s="301">
        <v>0</v>
      </c>
      <c r="O969" s="301">
        <v>0</v>
      </c>
      <c r="P969" s="301">
        <v>0</v>
      </c>
      <c r="Q969" s="301">
        <v>0</v>
      </c>
      <c r="R969" s="301">
        <v>0</v>
      </c>
      <c r="S969" s="301">
        <v>0</v>
      </c>
      <c r="T969" s="301">
        <v>0</v>
      </c>
      <c r="U969" s="301">
        <v>0</v>
      </c>
      <c r="V969" s="301">
        <v>0</v>
      </c>
      <c r="W969" s="301">
        <v>0</v>
      </c>
      <c r="X969" s="301">
        <v>0</v>
      </c>
      <c r="Y969" s="301">
        <v>0</v>
      </c>
      <c r="Z969" s="301">
        <v>0</v>
      </c>
      <c r="AA969" s="301">
        <v>0</v>
      </c>
      <c r="AB969" s="303">
        <v>2021</v>
      </c>
    </row>
    <row r="970" spans="1:28" ht="35.25" customHeight="1" x14ac:dyDescent="0.5">
      <c r="A970">
        <v>1</v>
      </c>
      <c r="B970" s="80">
        <f>SUBTOTAL(103,$A$808:A970)</f>
        <v>163</v>
      </c>
      <c r="C970" s="300" t="s">
        <v>2776</v>
      </c>
      <c r="D970" s="296">
        <f t="shared" si="49"/>
        <v>1745618</v>
      </c>
      <c r="E970" s="301">
        <v>0</v>
      </c>
      <c r="F970" s="301">
        <v>0</v>
      </c>
      <c r="G970" s="301">
        <v>0</v>
      </c>
      <c r="H970" s="301">
        <v>0</v>
      </c>
      <c r="I970" s="301">
        <v>0</v>
      </c>
      <c r="J970" s="301">
        <v>0</v>
      </c>
      <c r="K970" s="302">
        <v>0</v>
      </c>
      <c r="L970" s="301">
        <v>0</v>
      </c>
      <c r="M970" s="301">
        <v>1151489</v>
      </c>
      <c r="N970" s="301">
        <v>0</v>
      </c>
      <c r="O970" s="301">
        <v>594129</v>
      </c>
      <c r="P970" s="301">
        <v>0</v>
      </c>
      <c r="Q970" s="301">
        <v>0</v>
      </c>
      <c r="R970" s="301">
        <v>0</v>
      </c>
      <c r="S970" s="301">
        <v>0</v>
      </c>
      <c r="T970" s="301">
        <v>0</v>
      </c>
      <c r="U970" s="301">
        <v>0</v>
      </c>
      <c r="V970" s="301">
        <v>0</v>
      </c>
      <c r="W970" s="301">
        <v>0</v>
      </c>
      <c r="X970" s="301">
        <v>0</v>
      </c>
      <c r="Y970" s="301">
        <v>0</v>
      </c>
      <c r="Z970" s="301">
        <v>0</v>
      </c>
      <c r="AA970" s="301">
        <v>0</v>
      </c>
      <c r="AB970" s="303">
        <v>2021</v>
      </c>
    </row>
    <row r="971" spans="1:28" ht="35.25" customHeight="1" x14ac:dyDescent="0.5">
      <c r="A971">
        <v>1</v>
      </c>
      <c r="B971" s="80">
        <f>SUBTOTAL(103,$A$808:A971)</f>
        <v>164</v>
      </c>
      <c r="C971" s="300" t="s">
        <v>2777</v>
      </c>
      <c r="D971" s="296">
        <f t="shared" si="49"/>
        <v>2030763.5</v>
      </c>
      <c r="E971" s="301">
        <v>0</v>
      </c>
      <c r="F971" s="301">
        <v>0</v>
      </c>
      <c r="G971" s="301">
        <v>0</v>
      </c>
      <c r="H971" s="301">
        <v>0</v>
      </c>
      <c r="I971" s="301">
        <v>0</v>
      </c>
      <c r="J971" s="301">
        <v>0</v>
      </c>
      <c r="K971" s="302">
        <v>0</v>
      </c>
      <c r="L971" s="301">
        <v>0</v>
      </c>
      <c r="M971" s="301">
        <v>1411410</v>
      </c>
      <c r="N971" s="301">
        <v>0</v>
      </c>
      <c r="O971" s="301">
        <v>619353.5</v>
      </c>
      <c r="P971" s="301">
        <v>0</v>
      </c>
      <c r="Q971" s="301">
        <v>0</v>
      </c>
      <c r="R971" s="301">
        <v>0</v>
      </c>
      <c r="S971" s="301">
        <v>0</v>
      </c>
      <c r="T971" s="301">
        <v>0</v>
      </c>
      <c r="U971" s="301">
        <v>0</v>
      </c>
      <c r="V971" s="301">
        <v>0</v>
      </c>
      <c r="W971" s="301">
        <v>0</v>
      </c>
      <c r="X971" s="301">
        <v>0</v>
      </c>
      <c r="Y971" s="301">
        <v>0</v>
      </c>
      <c r="Z971" s="301">
        <v>0</v>
      </c>
      <c r="AA971" s="301">
        <v>0</v>
      </c>
      <c r="AB971" s="303">
        <v>2021</v>
      </c>
    </row>
    <row r="972" spans="1:28" ht="35.25" customHeight="1" x14ac:dyDescent="0.5">
      <c r="A972">
        <v>1</v>
      </c>
      <c r="B972" s="80">
        <f>SUBTOTAL(103,$A$808:A972)</f>
        <v>165</v>
      </c>
      <c r="C972" s="300" t="s">
        <v>2778</v>
      </c>
      <c r="D972" s="296">
        <f t="shared" si="49"/>
        <v>299243</v>
      </c>
      <c r="E972" s="301">
        <v>299243</v>
      </c>
      <c r="F972" s="301">
        <v>0</v>
      </c>
      <c r="G972" s="301">
        <v>0</v>
      </c>
      <c r="H972" s="301">
        <v>0</v>
      </c>
      <c r="I972" s="301">
        <v>0</v>
      </c>
      <c r="J972" s="301">
        <v>0</v>
      </c>
      <c r="K972" s="302">
        <v>0</v>
      </c>
      <c r="L972" s="301">
        <v>0</v>
      </c>
      <c r="M972" s="301">
        <v>0</v>
      </c>
      <c r="N972" s="301">
        <v>0</v>
      </c>
      <c r="O972" s="301">
        <v>0</v>
      </c>
      <c r="P972" s="301">
        <v>0</v>
      </c>
      <c r="Q972" s="301">
        <v>0</v>
      </c>
      <c r="R972" s="301">
        <v>0</v>
      </c>
      <c r="S972" s="301">
        <v>0</v>
      </c>
      <c r="T972" s="301">
        <v>0</v>
      </c>
      <c r="U972" s="301">
        <v>0</v>
      </c>
      <c r="V972" s="301">
        <v>0</v>
      </c>
      <c r="W972" s="301">
        <v>0</v>
      </c>
      <c r="X972" s="301">
        <v>0</v>
      </c>
      <c r="Y972" s="301">
        <v>0</v>
      </c>
      <c r="Z972" s="301">
        <v>0</v>
      </c>
      <c r="AA972" s="301">
        <v>0</v>
      </c>
      <c r="AB972" s="303">
        <v>2021</v>
      </c>
    </row>
    <row r="973" spans="1:28" ht="35.25" customHeight="1" x14ac:dyDescent="0.5">
      <c r="A973">
        <v>1</v>
      </c>
      <c r="B973" s="80">
        <f>SUBTOTAL(103,$A$808:A973)</f>
        <v>166</v>
      </c>
      <c r="C973" s="300" t="s">
        <v>2779</v>
      </c>
      <c r="D973" s="296">
        <f t="shared" si="49"/>
        <v>1302636.77</v>
      </c>
      <c r="E973" s="301">
        <v>421058</v>
      </c>
      <c r="F973" s="301">
        <v>0</v>
      </c>
      <c r="G973" s="301">
        <v>881578.77</v>
      </c>
      <c r="H973" s="301">
        <v>0</v>
      </c>
      <c r="I973" s="301">
        <v>0</v>
      </c>
      <c r="J973" s="301">
        <v>0</v>
      </c>
      <c r="K973" s="302">
        <v>0</v>
      </c>
      <c r="L973" s="301">
        <v>0</v>
      </c>
      <c r="M973" s="301">
        <v>0</v>
      </c>
      <c r="N973" s="301">
        <v>0</v>
      </c>
      <c r="O973" s="301">
        <v>0</v>
      </c>
      <c r="P973" s="301">
        <v>0</v>
      </c>
      <c r="Q973" s="301">
        <v>0</v>
      </c>
      <c r="R973" s="301">
        <v>0</v>
      </c>
      <c r="S973" s="301">
        <v>0</v>
      </c>
      <c r="T973" s="301">
        <v>0</v>
      </c>
      <c r="U973" s="301">
        <v>0</v>
      </c>
      <c r="V973" s="301">
        <v>0</v>
      </c>
      <c r="W973" s="301">
        <v>0</v>
      </c>
      <c r="X973" s="301">
        <v>0</v>
      </c>
      <c r="Y973" s="301">
        <v>0</v>
      </c>
      <c r="Z973" s="301">
        <v>0</v>
      </c>
      <c r="AA973" s="301">
        <v>0</v>
      </c>
      <c r="AB973" s="303">
        <v>2021</v>
      </c>
    </row>
    <row r="974" spans="1:28" ht="35.25" customHeight="1" x14ac:dyDescent="0.5">
      <c r="A974">
        <v>1</v>
      </c>
      <c r="B974" s="80">
        <f>SUBTOTAL(103,$A$808:A974)</f>
        <v>167</v>
      </c>
      <c r="C974" s="300" t="s">
        <v>2780</v>
      </c>
      <c r="D974" s="296">
        <f t="shared" si="49"/>
        <v>1049410.0699999998</v>
      </c>
      <c r="E974" s="301">
        <v>0</v>
      </c>
      <c r="F974" s="301">
        <v>0</v>
      </c>
      <c r="G974" s="301">
        <v>142506</v>
      </c>
      <c r="H974" s="301">
        <v>0</v>
      </c>
      <c r="I974" s="301">
        <v>906904.07</v>
      </c>
      <c r="J974" s="301">
        <v>0</v>
      </c>
      <c r="K974" s="302">
        <v>0</v>
      </c>
      <c r="L974" s="301">
        <v>0</v>
      </c>
      <c r="M974" s="301">
        <v>0</v>
      </c>
      <c r="N974" s="301">
        <v>0</v>
      </c>
      <c r="O974" s="301">
        <v>0</v>
      </c>
      <c r="P974" s="301">
        <v>0</v>
      </c>
      <c r="Q974" s="301">
        <v>0</v>
      </c>
      <c r="R974" s="301">
        <v>0</v>
      </c>
      <c r="S974" s="301">
        <v>0</v>
      </c>
      <c r="T974" s="301">
        <v>0</v>
      </c>
      <c r="U974" s="301">
        <v>0</v>
      </c>
      <c r="V974" s="301">
        <v>0</v>
      </c>
      <c r="W974" s="301">
        <v>0</v>
      </c>
      <c r="X974" s="301">
        <v>0</v>
      </c>
      <c r="Y974" s="301">
        <v>0</v>
      </c>
      <c r="Z974" s="301">
        <v>0</v>
      </c>
      <c r="AA974" s="301">
        <v>0</v>
      </c>
      <c r="AB974" s="303">
        <v>2021</v>
      </c>
    </row>
    <row r="975" spans="1:28" ht="35.25" customHeight="1" x14ac:dyDescent="0.5">
      <c r="A975">
        <v>1</v>
      </c>
      <c r="B975" s="80">
        <f>SUBTOTAL(103,$A$808:A975)</f>
        <v>168</v>
      </c>
      <c r="C975" s="300" t="s">
        <v>2781</v>
      </c>
      <c r="D975" s="296">
        <f t="shared" si="49"/>
        <v>421242</v>
      </c>
      <c r="E975" s="301">
        <v>175526</v>
      </c>
      <c r="F975" s="301">
        <v>245716</v>
      </c>
      <c r="G975" s="301">
        <v>0</v>
      </c>
      <c r="H975" s="301">
        <v>0</v>
      </c>
      <c r="I975" s="301">
        <v>0</v>
      </c>
      <c r="J975" s="301">
        <v>0</v>
      </c>
      <c r="K975" s="302">
        <v>0</v>
      </c>
      <c r="L975" s="301">
        <v>0</v>
      </c>
      <c r="M975" s="301">
        <v>0</v>
      </c>
      <c r="N975" s="301">
        <v>0</v>
      </c>
      <c r="O975" s="301">
        <v>0</v>
      </c>
      <c r="P975" s="301">
        <v>0</v>
      </c>
      <c r="Q975" s="301">
        <v>0</v>
      </c>
      <c r="R975" s="301">
        <v>0</v>
      </c>
      <c r="S975" s="301">
        <v>0</v>
      </c>
      <c r="T975" s="301">
        <v>0</v>
      </c>
      <c r="U975" s="301">
        <v>0</v>
      </c>
      <c r="V975" s="301">
        <v>0</v>
      </c>
      <c r="W975" s="301">
        <v>0</v>
      </c>
      <c r="X975" s="301">
        <v>0</v>
      </c>
      <c r="Y975" s="301">
        <v>0</v>
      </c>
      <c r="Z975" s="301">
        <v>0</v>
      </c>
      <c r="AA975" s="301">
        <v>0</v>
      </c>
      <c r="AB975" s="303">
        <v>2021</v>
      </c>
    </row>
    <row r="976" spans="1:28" ht="35.25" customHeight="1" x14ac:dyDescent="0.5">
      <c r="A976">
        <v>1</v>
      </c>
      <c r="B976" s="80">
        <f>SUBTOTAL(103,$A$808:A976)</f>
        <v>169</v>
      </c>
      <c r="C976" s="300" t="s">
        <v>2782</v>
      </c>
      <c r="D976" s="296">
        <f t="shared" si="49"/>
        <v>2126771.9300000002</v>
      </c>
      <c r="E976" s="301">
        <v>0</v>
      </c>
      <c r="F976" s="301">
        <v>0</v>
      </c>
      <c r="G976" s="301">
        <v>0</v>
      </c>
      <c r="H976" s="301">
        <v>0</v>
      </c>
      <c r="I976" s="301">
        <v>0</v>
      </c>
      <c r="J976" s="301">
        <v>0</v>
      </c>
      <c r="K976" s="302">
        <v>0</v>
      </c>
      <c r="L976" s="301">
        <v>0</v>
      </c>
      <c r="M976" s="301">
        <v>1345260</v>
      </c>
      <c r="N976" s="301">
        <v>0</v>
      </c>
      <c r="O976" s="301">
        <v>781511.93</v>
      </c>
      <c r="P976" s="301">
        <v>0</v>
      </c>
      <c r="Q976" s="301">
        <v>0</v>
      </c>
      <c r="R976" s="301">
        <v>0</v>
      </c>
      <c r="S976" s="301">
        <v>0</v>
      </c>
      <c r="T976" s="301">
        <v>0</v>
      </c>
      <c r="U976" s="301">
        <v>0</v>
      </c>
      <c r="V976" s="301">
        <v>0</v>
      </c>
      <c r="W976" s="301">
        <v>0</v>
      </c>
      <c r="X976" s="301">
        <v>0</v>
      </c>
      <c r="Y976" s="301">
        <v>0</v>
      </c>
      <c r="Z976" s="301">
        <v>0</v>
      </c>
      <c r="AA976" s="301">
        <v>0</v>
      </c>
      <c r="AB976" s="303">
        <v>2021</v>
      </c>
    </row>
    <row r="977" spans="1:28" ht="35.25" customHeight="1" x14ac:dyDescent="0.5">
      <c r="A977">
        <v>1</v>
      </c>
      <c r="B977" s="80">
        <f>SUBTOTAL(103,$A$808:A977)</f>
        <v>170</v>
      </c>
      <c r="C977" s="300" t="s">
        <v>2783</v>
      </c>
      <c r="D977" s="296">
        <f t="shared" si="49"/>
        <v>1151615</v>
      </c>
      <c r="E977" s="301">
        <v>0</v>
      </c>
      <c r="F977" s="301">
        <v>0</v>
      </c>
      <c r="G977" s="301">
        <v>0</v>
      </c>
      <c r="H977" s="301">
        <v>0</v>
      </c>
      <c r="I977" s="301">
        <v>0</v>
      </c>
      <c r="J977" s="301">
        <v>0</v>
      </c>
      <c r="K977" s="302">
        <v>0</v>
      </c>
      <c r="L977" s="301">
        <v>0</v>
      </c>
      <c r="M977" s="301">
        <v>0</v>
      </c>
      <c r="N977" s="301">
        <v>0</v>
      </c>
      <c r="O977" s="301">
        <v>1151615</v>
      </c>
      <c r="P977" s="301">
        <v>0</v>
      </c>
      <c r="Q977" s="301">
        <v>0</v>
      </c>
      <c r="R977" s="301">
        <v>0</v>
      </c>
      <c r="S977" s="301">
        <v>0</v>
      </c>
      <c r="T977" s="301">
        <v>0</v>
      </c>
      <c r="U977" s="301">
        <v>0</v>
      </c>
      <c r="V977" s="301">
        <v>0</v>
      </c>
      <c r="W977" s="301">
        <v>0</v>
      </c>
      <c r="X977" s="301">
        <v>0</v>
      </c>
      <c r="Y977" s="301">
        <v>0</v>
      </c>
      <c r="Z977" s="301">
        <v>0</v>
      </c>
      <c r="AA977" s="301">
        <v>0</v>
      </c>
      <c r="AB977" s="303">
        <v>2021</v>
      </c>
    </row>
    <row r="978" spans="1:28" ht="35.25" customHeight="1" x14ac:dyDescent="0.5">
      <c r="A978">
        <v>1</v>
      </c>
      <c r="B978" s="80">
        <f>SUBTOTAL(103,$A$808:A978)</f>
        <v>171</v>
      </c>
      <c r="C978" s="300" t="s">
        <v>2784</v>
      </c>
      <c r="D978" s="296">
        <f t="shared" si="49"/>
        <v>490000</v>
      </c>
      <c r="E978" s="301">
        <v>0</v>
      </c>
      <c r="F978" s="301">
        <v>0</v>
      </c>
      <c r="G978" s="301">
        <v>0</v>
      </c>
      <c r="H978" s="301">
        <v>0</v>
      </c>
      <c r="I978" s="301">
        <v>0</v>
      </c>
      <c r="J978" s="301">
        <v>0</v>
      </c>
      <c r="K978" s="302">
        <v>0</v>
      </c>
      <c r="L978" s="301">
        <v>0</v>
      </c>
      <c r="M978" s="301">
        <v>0</v>
      </c>
      <c r="N978" s="301">
        <v>0</v>
      </c>
      <c r="O978" s="301">
        <v>490000</v>
      </c>
      <c r="P978" s="301">
        <v>0</v>
      </c>
      <c r="Q978" s="301">
        <v>0</v>
      </c>
      <c r="R978" s="301">
        <v>0</v>
      </c>
      <c r="S978" s="301">
        <v>0</v>
      </c>
      <c r="T978" s="301">
        <v>0</v>
      </c>
      <c r="U978" s="301">
        <v>0</v>
      </c>
      <c r="V978" s="301">
        <v>0</v>
      </c>
      <c r="W978" s="301">
        <v>0</v>
      </c>
      <c r="X978" s="301">
        <v>0</v>
      </c>
      <c r="Y978" s="301">
        <v>0</v>
      </c>
      <c r="Z978" s="301">
        <v>0</v>
      </c>
      <c r="AA978" s="301">
        <v>0</v>
      </c>
      <c r="AB978" s="303">
        <v>2021</v>
      </c>
    </row>
    <row r="979" spans="1:28" ht="35.25" customHeight="1" x14ac:dyDescent="0.5">
      <c r="A979">
        <v>1</v>
      </c>
      <c r="B979" s="80">
        <f>SUBTOTAL(103,$A$808:A979)</f>
        <v>172</v>
      </c>
      <c r="C979" s="300" t="s">
        <v>2785</v>
      </c>
      <c r="D979" s="296">
        <f t="shared" si="49"/>
        <v>1200000</v>
      </c>
      <c r="E979" s="301">
        <v>0</v>
      </c>
      <c r="F979" s="301">
        <v>0</v>
      </c>
      <c r="G979" s="301">
        <v>0</v>
      </c>
      <c r="H979" s="301">
        <v>0</v>
      </c>
      <c r="I979" s="301">
        <v>0</v>
      </c>
      <c r="J979" s="301">
        <v>0</v>
      </c>
      <c r="K979" s="302">
        <v>0</v>
      </c>
      <c r="L979" s="301">
        <v>0</v>
      </c>
      <c r="M979" s="301">
        <v>1200000</v>
      </c>
      <c r="N979" s="301">
        <v>0</v>
      </c>
      <c r="O979" s="301">
        <v>0</v>
      </c>
      <c r="P979" s="301">
        <v>0</v>
      </c>
      <c r="Q979" s="301">
        <v>0</v>
      </c>
      <c r="R979" s="301">
        <v>0</v>
      </c>
      <c r="S979" s="301">
        <v>0</v>
      </c>
      <c r="T979" s="301">
        <v>0</v>
      </c>
      <c r="U979" s="301">
        <v>0</v>
      </c>
      <c r="V979" s="301">
        <v>0</v>
      </c>
      <c r="W979" s="301">
        <v>0</v>
      </c>
      <c r="X979" s="301">
        <v>0</v>
      </c>
      <c r="Y979" s="301">
        <v>0</v>
      </c>
      <c r="Z979" s="301">
        <v>0</v>
      </c>
      <c r="AA979" s="301">
        <v>0</v>
      </c>
      <c r="AB979" s="303">
        <v>2021</v>
      </c>
    </row>
    <row r="980" spans="1:28" ht="35.25" customHeight="1" x14ac:dyDescent="0.5">
      <c r="A980">
        <v>1</v>
      </c>
      <c r="B980" s="80">
        <f>SUBTOTAL(103,$A$808:A980)</f>
        <v>173</v>
      </c>
      <c r="C980" s="300" t="s">
        <v>2786</v>
      </c>
      <c r="D980" s="296">
        <f t="shared" si="49"/>
        <v>980000</v>
      </c>
      <c r="E980" s="301">
        <v>0</v>
      </c>
      <c r="F980" s="301">
        <v>0</v>
      </c>
      <c r="G980" s="301">
        <v>0</v>
      </c>
      <c r="H980" s="301">
        <v>0</v>
      </c>
      <c r="I980" s="301">
        <v>0</v>
      </c>
      <c r="J980" s="301">
        <v>0</v>
      </c>
      <c r="K980" s="302">
        <v>0</v>
      </c>
      <c r="L980" s="301">
        <v>0</v>
      </c>
      <c r="M980" s="301">
        <v>0</v>
      </c>
      <c r="N980" s="301">
        <v>0</v>
      </c>
      <c r="O980" s="301">
        <v>980000</v>
      </c>
      <c r="P980" s="301">
        <v>0</v>
      </c>
      <c r="Q980" s="301">
        <v>0</v>
      </c>
      <c r="R980" s="301">
        <v>0</v>
      </c>
      <c r="S980" s="301">
        <v>0</v>
      </c>
      <c r="T980" s="301">
        <v>0</v>
      </c>
      <c r="U980" s="301">
        <v>0</v>
      </c>
      <c r="V980" s="301">
        <v>0</v>
      </c>
      <c r="W980" s="301">
        <v>0</v>
      </c>
      <c r="X980" s="301">
        <v>0</v>
      </c>
      <c r="Y980" s="301">
        <v>0</v>
      </c>
      <c r="Z980" s="301">
        <v>0</v>
      </c>
      <c r="AA980" s="301">
        <v>0</v>
      </c>
      <c r="AB980" s="303">
        <v>2021</v>
      </c>
    </row>
    <row r="981" spans="1:28" ht="35.25" customHeight="1" x14ac:dyDescent="0.5">
      <c r="A981">
        <v>1</v>
      </c>
      <c r="B981" s="80">
        <f>SUBTOTAL(103,$A$808:A981)</f>
        <v>174</v>
      </c>
      <c r="C981" s="300" t="s">
        <v>2471</v>
      </c>
      <c r="D981" s="296">
        <f t="shared" si="49"/>
        <v>1611744</v>
      </c>
      <c r="E981" s="301">
        <v>0</v>
      </c>
      <c r="F981" s="301">
        <v>0</v>
      </c>
      <c r="G981" s="301">
        <v>0</v>
      </c>
      <c r="H981" s="301">
        <v>0</v>
      </c>
      <c r="I981" s="301">
        <v>0</v>
      </c>
      <c r="J981" s="301">
        <v>0</v>
      </c>
      <c r="K981" s="302">
        <v>0</v>
      </c>
      <c r="L981" s="301">
        <v>0</v>
      </c>
      <c r="M981" s="301">
        <v>0</v>
      </c>
      <c r="N981" s="301">
        <v>0</v>
      </c>
      <c r="O981" s="301">
        <v>1611744</v>
      </c>
      <c r="P981" s="301">
        <v>0</v>
      </c>
      <c r="Q981" s="301">
        <v>0</v>
      </c>
      <c r="R981" s="301">
        <v>0</v>
      </c>
      <c r="S981" s="301">
        <v>0</v>
      </c>
      <c r="T981" s="301">
        <v>0</v>
      </c>
      <c r="U981" s="301">
        <v>0</v>
      </c>
      <c r="V981" s="301">
        <v>0</v>
      </c>
      <c r="W981" s="301">
        <v>0</v>
      </c>
      <c r="X981" s="301">
        <v>0</v>
      </c>
      <c r="Y981" s="301">
        <v>0</v>
      </c>
      <c r="Z981" s="301">
        <v>0</v>
      </c>
      <c r="AA981" s="301">
        <v>0</v>
      </c>
      <c r="AB981" s="303">
        <v>2021</v>
      </c>
    </row>
    <row r="982" spans="1:28" ht="35.25" customHeight="1" x14ac:dyDescent="0.5">
      <c r="A982">
        <v>1</v>
      </c>
      <c r="B982" s="80">
        <f>SUBTOTAL(103,$A$808:A982)</f>
        <v>175</v>
      </c>
      <c r="C982" s="308" t="s">
        <v>2918</v>
      </c>
      <c r="D982" s="296">
        <f t="shared" si="49"/>
        <v>1628100</v>
      </c>
      <c r="E982" s="301">
        <v>0</v>
      </c>
      <c r="F982" s="301">
        <v>0</v>
      </c>
      <c r="G982" s="301">
        <v>0</v>
      </c>
      <c r="H982" s="301">
        <v>0</v>
      </c>
      <c r="I982" s="301">
        <v>0</v>
      </c>
      <c r="J982" s="301">
        <v>0</v>
      </c>
      <c r="K982" s="302">
        <v>0</v>
      </c>
      <c r="L982" s="301">
        <v>0</v>
      </c>
      <c r="M982" s="301">
        <v>1628100</v>
      </c>
      <c r="N982" s="301">
        <v>0</v>
      </c>
      <c r="O982" s="301">
        <v>0</v>
      </c>
      <c r="P982" s="301">
        <v>0</v>
      </c>
      <c r="Q982" s="301">
        <v>0</v>
      </c>
      <c r="R982" s="301">
        <v>0</v>
      </c>
      <c r="S982" s="301">
        <v>0</v>
      </c>
      <c r="T982" s="301">
        <v>0</v>
      </c>
      <c r="U982" s="301">
        <v>0</v>
      </c>
      <c r="V982" s="301">
        <v>0</v>
      </c>
      <c r="W982" s="301">
        <v>0</v>
      </c>
      <c r="X982" s="301">
        <v>0</v>
      </c>
      <c r="Y982" s="301">
        <v>0</v>
      </c>
      <c r="Z982" s="301">
        <v>0</v>
      </c>
      <c r="AA982" s="301">
        <v>0</v>
      </c>
      <c r="AB982" s="303">
        <v>2021</v>
      </c>
    </row>
    <row r="983" spans="1:28" ht="35.25" customHeight="1" x14ac:dyDescent="0.5">
      <c r="A983">
        <v>1</v>
      </c>
      <c r="B983" s="80">
        <f>SUBTOTAL(103,$A$808:A983)</f>
        <v>176</v>
      </c>
      <c r="C983" s="308" t="s">
        <v>2919</v>
      </c>
      <c r="D983" s="296">
        <f t="shared" si="49"/>
        <v>1959532</v>
      </c>
      <c r="E983" s="301">
        <v>0</v>
      </c>
      <c r="F983" s="301">
        <v>0</v>
      </c>
      <c r="G983" s="301">
        <v>0</v>
      </c>
      <c r="H983" s="301">
        <v>0</v>
      </c>
      <c r="I983" s="301">
        <v>0</v>
      </c>
      <c r="J983" s="301">
        <v>0</v>
      </c>
      <c r="K983" s="302">
        <v>0</v>
      </c>
      <c r="L983" s="301">
        <v>0</v>
      </c>
      <c r="M983" s="301">
        <v>1959532</v>
      </c>
      <c r="N983" s="301">
        <v>0</v>
      </c>
      <c r="O983" s="301">
        <v>0</v>
      </c>
      <c r="P983" s="301">
        <v>0</v>
      </c>
      <c r="Q983" s="301">
        <v>0</v>
      </c>
      <c r="R983" s="301">
        <v>0</v>
      </c>
      <c r="S983" s="301">
        <v>0</v>
      </c>
      <c r="T983" s="301">
        <v>0</v>
      </c>
      <c r="U983" s="301">
        <v>0</v>
      </c>
      <c r="V983" s="301">
        <v>0</v>
      </c>
      <c r="W983" s="301">
        <v>0</v>
      </c>
      <c r="X983" s="301">
        <v>0</v>
      </c>
      <c r="Y983" s="301">
        <v>0</v>
      </c>
      <c r="Z983" s="301">
        <v>0</v>
      </c>
      <c r="AA983" s="301">
        <v>0</v>
      </c>
      <c r="AB983" s="303">
        <v>2021</v>
      </c>
    </row>
    <row r="984" spans="1:28" ht="35.25" customHeight="1" x14ac:dyDescent="0.5">
      <c r="A984">
        <v>1</v>
      </c>
      <c r="B984" s="80">
        <f>SUBTOTAL(103,$A$808:A984)</f>
        <v>177</v>
      </c>
      <c r="C984" s="308" t="s">
        <v>2920</v>
      </c>
      <c r="D984" s="296">
        <f t="shared" si="49"/>
        <v>2499497</v>
      </c>
      <c r="E984" s="301">
        <v>0</v>
      </c>
      <c r="F984" s="301">
        <v>0</v>
      </c>
      <c r="G984" s="301">
        <v>0</v>
      </c>
      <c r="H984" s="301">
        <v>0</v>
      </c>
      <c r="I984" s="301">
        <v>0</v>
      </c>
      <c r="J984" s="301">
        <v>0</v>
      </c>
      <c r="K984" s="302">
        <v>0</v>
      </c>
      <c r="L984" s="301">
        <v>0</v>
      </c>
      <c r="M984" s="301">
        <v>0</v>
      </c>
      <c r="N984" s="301">
        <v>0</v>
      </c>
      <c r="O984" s="301">
        <v>2499497</v>
      </c>
      <c r="P984" s="301">
        <v>0</v>
      </c>
      <c r="Q984" s="301">
        <v>0</v>
      </c>
      <c r="R984" s="301">
        <v>0</v>
      </c>
      <c r="S984" s="301">
        <v>0</v>
      </c>
      <c r="T984" s="301">
        <v>0</v>
      </c>
      <c r="U984" s="301">
        <v>0</v>
      </c>
      <c r="V984" s="301">
        <v>0</v>
      </c>
      <c r="W984" s="301">
        <v>0</v>
      </c>
      <c r="X984" s="301">
        <v>0</v>
      </c>
      <c r="Y984" s="301">
        <v>0</v>
      </c>
      <c r="Z984" s="301">
        <v>0</v>
      </c>
      <c r="AA984" s="301">
        <v>0</v>
      </c>
      <c r="AB984" s="303">
        <v>2021</v>
      </c>
    </row>
    <row r="985" spans="1:28" ht="35.25" customHeight="1" x14ac:dyDescent="0.5">
      <c r="A985">
        <v>1</v>
      </c>
      <c r="B985" s="80">
        <f>SUBTOTAL(103,$A$808:A985)</f>
        <v>178</v>
      </c>
      <c r="C985" s="308" t="s">
        <v>2921</v>
      </c>
      <c r="D985" s="296">
        <f t="shared" si="49"/>
        <v>2098468</v>
      </c>
      <c r="E985" s="301">
        <v>0</v>
      </c>
      <c r="F985" s="301">
        <v>0</v>
      </c>
      <c r="G985" s="301">
        <v>0</v>
      </c>
      <c r="H985" s="301">
        <v>0</v>
      </c>
      <c r="I985" s="301">
        <v>0</v>
      </c>
      <c r="J985" s="301">
        <v>0</v>
      </c>
      <c r="K985" s="302">
        <v>0</v>
      </c>
      <c r="L985" s="301">
        <v>0</v>
      </c>
      <c r="M985" s="301">
        <v>2098468</v>
      </c>
      <c r="N985" s="301">
        <v>0</v>
      </c>
      <c r="O985" s="301">
        <v>0</v>
      </c>
      <c r="P985" s="301">
        <v>0</v>
      </c>
      <c r="Q985" s="301">
        <v>0</v>
      </c>
      <c r="R985" s="301">
        <v>0</v>
      </c>
      <c r="S985" s="301">
        <v>0</v>
      </c>
      <c r="T985" s="301">
        <v>0</v>
      </c>
      <c r="U985" s="301">
        <v>0</v>
      </c>
      <c r="V985" s="301">
        <v>0</v>
      </c>
      <c r="W985" s="301">
        <v>0</v>
      </c>
      <c r="X985" s="301">
        <v>0</v>
      </c>
      <c r="Y985" s="301">
        <v>0</v>
      </c>
      <c r="Z985" s="301">
        <v>0</v>
      </c>
      <c r="AA985" s="301">
        <v>0</v>
      </c>
      <c r="AB985" s="303">
        <v>2021</v>
      </c>
    </row>
    <row r="986" spans="1:28" ht="35.25" customHeight="1" x14ac:dyDescent="0.5">
      <c r="A986">
        <v>1</v>
      </c>
      <c r="B986" s="80">
        <f>SUBTOTAL(103,$A$808:A986)</f>
        <v>179</v>
      </c>
      <c r="C986" s="308" t="s">
        <v>2922</v>
      </c>
      <c r="D986" s="296">
        <f t="shared" si="49"/>
        <v>2158150</v>
      </c>
      <c r="E986" s="301">
        <v>0</v>
      </c>
      <c r="F986" s="301">
        <v>0</v>
      </c>
      <c r="G986" s="301">
        <v>0</v>
      </c>
      <c r="H986" s="301">
        <v>0</v>
      </c>
      <c r="I986" s="301">
        <v>0</v>
      </c>
      <c r="J986" s="301">
        <v>0</v>
      </c>
      <c r="K986" s="302">
        <v>0</v>
      </c>
      <c r="L986" s="301">
        <v>0</v>
      </c>
      <c r="M986" s="301">
        <v>2158150</v>
      </c>
      <c r="N986" s="301">
        <v>0</v>
      </c>
      <c r="O986" s="301">
        <v>0</v>
      </c>
      <c r="P986" s="301">
        <v>0</v>
      </c>
      <c r="Q986" s="301">
        <v>0</v>
      </c>
      <c r="R986" s="301">
        <v>0</v>
      </c>
      <c r="S986" s="301">
        <v>0</v>
      </c>
      <c r="T986" s="301">
        <v>0</v>
      </c>
      <c r="U986" s="301">
        <v>0</v>
      </c>
      <c r="V986" s="301">
        <v>0</v>
      </c>
      <c r="W986" s="301">
        <v>0</v>
      </c>
      <c r="X986" s="301">
        <v>0</v>
      </c>
      <c r="Y986" s="301">
        <v>0</v>
      </c>
      <c r="Z986" s="301">
        <v>0</v>
      </c>
      <c r="AA986" s="301">
        <v>0</v>
      </c>
      <c r="AB986" s="303">
        <v>2021</v>
      </c>
    </row>
    <row r="987" spans="1:28" ht="35.25" customHeight="1" x14ac:dyDescent="0.5">
      <c r="A987">
        <v>1</v>
      </c>
      <c r="B987" s="80">
        <f>SUBTOTAL(103,$A$808:A987)</f>
        <v>180</v>
      </c>
      <c r="C987" s="308" t="s">
        <v>2923</v>
      </c>
      <c r="D987" s="296">
        <f t="shared" si="49"/>
        <v>3600890</v>
      </c>
      <c r="E987" s="301">
        <v>0</v>
      </c>
      <c r="F987" s="301">
        <v>0</v>
      </c>
      <c r="G987" s="301">
        <v>0</v>
      </c>
      <c r="H987" s="301">
        <v>0</v>
      </c>
      <c r="I987" s="301">
        <v>0</v>
      </c>
      <c r="J987" s="301">
        <v>0</v>
      </c>
      <c r="K987" s="302">
        <v>0</v>
      </c>
      <c r="L987" s="301">
        <v>0</v>
      </c>
      <c r="M987" s="301">
        <v>3600890</v>
      </c>
      <c r="N987" s="301">
        <v>0</v>
      </c>
      <c r="O987" s="301">
        <v>0</v>
      </c>
      <c r="P987" s="301">
        <v>0</v>
      </c>
      <c r="Q987" s="301">
        <v>0</v>
      </c>
      <c r="R987" s="301">
        <v>0</v>
      </c>
      <c r="S987" s="301">
        <v>0</v>
      </c>
      <c r="T987" s="301">
        <v>0</v>
      </c>
      <c r="U987" s="301">
        <v>0</v>
      </c>
      <c r="V987" s="301">
        <v>0</v>
      </c>
      <c r="W987" s="301">
        <v>0</v>
      </c>
      <c r="X987" s="301">
        <v>0</v>
      </c>
      <c r="Y987" s="301">
        <v>0</v>
      </c>
      <c r="Z987" s="301">
        <v>0</v>
      </c>
      <c r="AA987" s="301">
        <v>0</v>
      </c>
      <c r="AB987" s="303">
        <v>2021</v>
      </c>
    </row>
    <row r="988" spans="1:28" ht="35.25" customHeight="1" x14ac:dyDescent="0.5">
      <c r="A988">
        <v>1</v>
      </c>
      <c r="B988" s="80">
        <f>SUBTOTAL(103,$A$808:A988)</f>
        <v>181</v>
      </c>
      <c r="C988" s="308" t="s">
        <v>2924</v>
      </c>
      <c r="D988" s="296">
        <f t="shared" si="49"/>
        <v>1619775.36</v>
      </c>
      <c r="E988" s="301">
        <v>0</v>
      </c>
      <c r="F988" s="301">
        <v>0</v>
      </c>
      <c r="G988" s="301">
        <v>0</v>
      </c>
      <c r="H988" s="301">
        <v>0</v>
      </c>
      <c r="I988" s="301">
        <v>0</v>
      </c>
      <c r="J988" s="301">
        <v>0</v>
      </c>
      <c r="K988" s="302">
        <v>0</v>
      </c>
      <c r="L988" s="301">
        <v>0</v>
      </c>
      <c r="M988" s="301">
        <v>0</v>
      </c>
      <c r="N988" s="301">
        <v>0</v>
      </c>
      <c r="O988" s="301">
        <v>1619775.36</v>
      </c>
      <c r="P988" s="301">
        <v>0</v>
      </c>
      <c r="Q988" s="301">
        <v>0</v>
      </c>
      <c r="R988" s="301">
        <v>0</v>
      </c>
      <c r="S988" s="301">
        <v>0</v>
      </c>
      <c r="T988" s="301">
        <v>0</v>
      </c>
      <c r="U988" s="301">
        <v>0</v>
      </c>
      <c r="V988" s="301">
        <v>0</v>
      </c>
      <c r="W988" s="301">
        <v>0</v>
      </c>
      <c r="X988" s="301">
        <v>0</v>
      </c>
      <c r="Y988" s="301">
        <v>0</v>
      </c>
      <c r="Z988" s="301">
        <v>0</v>
      </c>
      <c r="AA988" s="301">
        <v>0</v>
      </c>
      <c r="AB988" s="303">
        <v>2021</v>
      </c>
    </row>
    <row r="989" spans="1:28" ht="35.25" customHeight="1" x14ac:dyDescent="0.5">
      <c r="A989">
        <v>1</v>
      </c>
      <c r="B989" s="80">
        <f>SUBTOTAL(103,$A$808:A989)</f>
        <v>182</v>
      </c>
      <c r="C989" s="308" t="s">
        <v>2925</v>
      </c>
      <c r="D989" s="296">
        <f t="shared" si="49"/>
        <v>1548000</v>
      </c>
      <c r="E989" s="301">
        <v>0</v>
      </c>
      <c r="F989" s="301">
        <v>0</v>
      </c>
      <c r="G989" s="301">
        <v>1548000</v>
      </c>
      <c r="H989" s="301">
        <v>0</v>
      </c>
      <c r="I989" s="301">
        <v>0</v>
      </c>
      <c r="J989" s="301">
        <v>0</v>
      </c>
      <c r="K989" s="302">
        <v>0</v>
      </c>
      <c r="L989" s="301">
        <v>0</v>
      </c>
      <c r="M989" s="301">
        <v>0</v>
      </c>
      <c r="N989" s="301">
        <v>0</v>
      </c>
      <c r="O989" s="301">
        <v>0</v>
      </c>
      <c r="P989" s="301">
        <v>0</v>
      </c>
      <c r="Q989" s="301">
        <v>0</v>
      </c>
      <c r="R989" s="301">
        <v>0</v>
      </c>
      <c r="S989" s="301">
        <v>0</v>
      </c>
      <c r="T989" s="301">
        <v>0</v>
      </c>
      <c r="U989" s="301">
        <v>0</v>
      </c>
      <c r="V989" s="301">
        <v>0</v>
      </c>
      <c r="W989" s="301">
        <v>0</v>
      </c>
      <c r="X989" s="301">
        <v>0</v>
      </c>
      <c r="Y989" s="301">
        <v>0</v>
      </c>
      <c r="Z989" s="301">
        <v>0</v>
      </c>
      <c r="AA989" s="301">
        <v>0</v>
      </c>
      <c r="AB989" s="303">
        <v>2021</v>
      </c>
    </row>
    <row r="990" spans="1:28" ht="35.25" customHeight="1" x14ac:dyDescent="0.5">
      <c r="A990">
        <v>1</v>
      </c>
      <c r="B990" s="80">
        <f>SUBTOTAL(103,$A$808:A990)</f>
        <v>183</v>
      </c>
      <c r="C990" s="308" t="s">
        <v>2926</v>
      </c>
      <c r="D990" s="296">
        <f t="shared" si="49"/>
        <v>1330802</v>
      </c>
      <c r="E990" s="301">
        <v>0</v>
      </c>
      <c r="F990" s="301">
        <v>0</v>
      </c>
      <c r="G990" s="301">
        <v>0</v>
      </c>
      <c r="H990" s="301">
        <v>0</v>
      </c>
      <c r="I990" s="301">
        <v>0</v>
      </c>
      <c r="J990" s="301">
        <v>0</v>
      </c>
      <c r="K990" s="302">
        <v>0</v>
      </c>
      <c r="L990" s="301">
        <v>0</v>
      </c>
      <c r="M990" s="301">
        <v>0</v>
      </c>
      <c r="N990" s="301">
        <v>0</v>
      </c>
      <c r="O990" s="301">
        <v>1330802</v>
      </c>
      <c r="P990" s="301">
        <v>0</v>
      </c>
      <c r="Q990" s="301">
        <v>0</v>
      </c>
      <c r="R990" s="301">
        <v>0</v>
      </c>
      <c r="S990" s="301">
        <v>0</v>
      </c>
      <c r="T990" s="301">
        <v>0</v>
      </c>
      <c r="U990" s="301">
        <v>0</v>
      </c>
      <c r="V990" s="301">
        <v>0</v>
      </c>
      <c r="W990" s="301">
        <v>0</v>
      </c>
      <c r="X990" s="301">
        <v>0</v>
      </c>
      <c r="Y990" s="301">
        <v>0</v>
      </c>
      <c r="Z990" s="301">
        <v>0</v>
      </c>
      <c r="AA990" s="301">
        <v>0</v>
      </c>
      <c r="AB990" s="303">
        <v>2021</v>
      </c>
    </row>
    <row r="991" spans="1:28" ht="35.25" customHeight="1" x14ac:dyDescent="0.5">
      <c r="A991">
        <v>1</v>
      </c>
      <c r="B991" s="80">
        <f>SUBTOTAL(103,$A$808:A991)</f>
        <v>184</v>
      </c>
      <c r="C991" s="308" t="s">
        <v>2927</v>
      </c>
      <c r="D991" s="296">
        <f t="shared" si="49"/>
        <v>1760519.24</v>
      </c>
      <c r="E991" s="301">
        <v>0</v>
      </c>
      <c r="F991" s="301">
        <v>0</v>
      </c>
      <c r="G991" s="301">
        <v>0</v>
      </c>
      <c r="H991" s="301">
        <v>0</v>
      </c>
      <c r="I991" s="301">
        <v>0</v>
      </c>
      <c r="J991" s="301">
        <v>0</v>
      </c>
      <c r="K991" s="302">
        <v>0</v>
      </c>
      <c r="L991" s="301">
        <v>0</v>
      </c>
      <c r="M991" s="301">
        <v>0</v>
      </c>
      <c r="N991" s="301">
        <v>0</v>
      </c>
      <c r="O991" s="301">
        <v>1760519.24</v>
      </c>
      <c r="P991" s="301">
        <v>0</v>
      </c>
      <c r="Q991" s="301">
        <v>0</v>
      </c>
      <c r="R991" s="301">
        <v>0</v>
      </c>
      <c r="S991" s="301">
        <v>0</v>
      </c>
      <c r="T991" s="301">
        <v>0</v>
      </c>
      <c r="U991" s="301">
        <v>0</v>
      </c>
      <c r="V991" s="301">
        <v>0</v>
      </c>
      <c r="W991" s="301">
        <v>0</v>
      </c>
      <c r="X991" s="301">
        <v>0</v>
      </c>
      <c r="Y991" s="301">
        <v>0</v>
      </c>
      <c r="Z991" s="301">
        <v>0</v>
      </c>
      <c r="AA991" s="301">
        <v>0</v>
      </c>
      <c r="AB991" s="303">
        <v>2021</v>
      </c>
    </row>
    <row r="992" spans="1:28" ht="35.25" customHeight="1" x14ac:dyDescent="0.5">
      <c r="A992">
        <v>1</v>
      </c>
      <c r="B992" s="80">
        <f>SUBTOTAL(103,$A$808:A992)</f>
        <v>185</v>
      </c>
      <c r="C992" s="308" t="s">
        <v>2928</v>
      </c>
      <c r="D992" s="296">
        <f t="shared" si="49"/>
        <v>1330802</v>
      </c>
      <c r="E992" s="301">
        <v>0</v>
      </c>
      <c r="F992" s="301">
        <v>0</v>
      </c>
      <c r="G992" s="301">
        <v>0</v>
      </c>
      <c r="H992" s="301">
        <v>0</v>
      </c>
      <c r="I992" s="301">
        <v>0</v>
      </c>
      <c r="J992" s="301">
        <v>0</v>
      </c>
      <c r="K992" s="302">
        <v>0</v>
      </c>
      <c r="L992" s="301">
        <v>0</v>
      </c>
      <c r="M992" s="301">
        <v>0</v>
      </c>
      <c r="N992" s="301">
        <v>0</v>
      </c>
      <c r="O992" s="301">
        <v>1330802</v>
      </c>
      <c r="P992" s="301">
        <v>0</v>
      </c>
      <c r="Q992" s="301">
        <v>0</v>
      </c>
      <c r="R992" s="301">
        <v>0</v>
      </c>
      <c r="S992" s="301">
        <v>0</v>
      </c>
      <c r="T992" s="301">
        <v>0</v>
      </c>
      <c r="U992" s="301">
        <v>0</v>
      </c>
      <c r="V992" s="301">
        <v>0</v>
      </c>
      <c r="W992" s="301">
        <v>0</v>
      </c>
      <c r="X992" s="301">
        <v>0</v>
      </c>
      <c r="Y992" s="301">
        <v>0</v>
      </c>
      <c r="Z992" s="301">
        <v>0</v>
      </c>
      <c r="AA992" s="301">
        <v>0</v>
      </c>
      <c r="AB992" s="303">
        <v>2021</v>
      </c>
    </row>
    <row r="993" spans="1:28" ht="35.25" customHeight="1" x14ac:dyDescent="0.5">
      <c r="A993">
        <v>1</v>
      </c>
      <c r="B993" s="80">
        <f>SUBTOTAL(103,$A$808:A993)</f>
        <v>186</v>
      </c>
      <c r="C993" s="308" t="s">
        <v>2929</v>
      </c>
      <c r="D993" s="296">
        <f t="shared" si="49"/>
        <v>1755600</v>
      </c>
      <c r="E993" s="301">
        <v>0</v>
      </c>
      <c r="F993" s="301">
        <v>0</v>
      </c>
      <c r="G993" s="301">
        <v>0</v>
      </c>
      <c r="H993" s="301">
        <v>0</v>
      </c>
      <c r="I993" s="301">
        <v>0</v>
      </c>
      <c r="J993" s="301">
        <v>0</v>
      </c>
      <c r="K993" s="302">
        <v>0</v>
      </c>
      <c r="L993" s="301">
        <v>0</v>
      </c>
      <c r="M993" s="301">
        <v>0</v>
      </c>
      <c r="N993" s="301">
        <v>0</v>
      </c>
      <c r="O993" s="301">
        <v>1755600</v>
      </c>
      <c r="P993" s="301">
        <v>0</v>
      </c>
      <c r="Q993" s="301">
        <v>0</v>
      </c>
      <c r="R993" s="301">
        <v>0</v>
      </c>
      <c r="S993" s="301">
        <v>0</v>
      </c>
      <c r="T993" s="301">
        <v>0</v>
      </c>
      <c r="U993" s="301">
        <v>0</v>
      </c>
      <c r="V993" s="301">
        <v>0</v>
      </c>
      <c r="W993" s="301">
        <v>0</v>
      </c>
      <c r="X993" s="301">
        <v>0</v>
      </c>
      <c r="Y993" s="301">
        <v>0</v>
      </c>
      <c r="Z993" s="301">
        <v>0</v>
      </c>
      <c r="AA993" s="301">
        <v>0</v>
      </c>
      <c r="AB993" s="303">
        <v>2021</v>
      </c>
    </row>
    <row r="994" spans="1:28" ht="35.25" customHeight="1" x14ac:dyDescent="0.5">
      <c r="A994">
        <v>1</v>
      </c>
      <c r="B994" s="80">
        <f>SUBTOTAL(103,$A$808:A994)</f>
        <v>187</v>
      </c>
      <c r="C994" s="308" t="s">
        <v>2930</v>
      </c>
      <c r="D994" s="296">
        <f t="shared" si="49"/>
        <v>1760519.24</v>
      </c>
      <c r="E994" s="301">
        <v>0</v>
      </c>
      <c r="F994" s="301">
        <v>0</v>
      </c>
      <c r="G994" s="301">
        <v>0</v>
      </c>
      <c r="H994" s="301">
        <v>0</v>
      </c>
      <c r="I994" s="301">
        <v>0</v>
      </c>
      <c r="J994" s="301">
        <v>0</v>
      </c>
      <c r="K994" s="302">
        <v>0</v>
      </c>
      <c r="L994" s="301">
        <v>0</v>
      </c>
      <c r="M994" s="301">
        <v>0</v>
      </c>
      <c r="N994" s="301">
        <v>0</v>
      </c>
      <c r="O994" s="301">
        <v>1760519.24</v>
      </c>
      <c r="P994" s="301">
        <v>0</v>
      </c>
      <c r="Q994" s="301">
        <v>0</v>
      </c>
      <c r="R994" s="301">
        <v>0</v>
      </c>
      <c r="S994" s="301">
        <v>0</v>
      </c>
      <c r="T994" s="301">
        <v>0</v>
      </c>
      <c r="U994" s="301">
        <v>0</v>
      </c>
      <c r="V994" s="301">
        <v>0</v>
      </c>
      <c r="W994" s="301">
        <v>0</v>
      </c>
      <c r="X994" s="301">
        <v>0</v>
      </c>
      <c r="Y994" s="301">
        <v>0</v>
      </c>
      <c r="Z994" s="301">
        <v>0</v>
      </c>
      <c r="AA994" s="301">
        <v>0</v>
      </c>
      <c r="AB994" s="303">
        <v>2021</v>
      </c>
    </row>
    <row r="995" spans="1:28" ht="35.25" customHeight="1" x14ac:dyDescent="0.5">
      <c r="A995">
        <v>1</v>
      </c>
      <c r="B995" s="80">
        <f>SUBTOTAL(103,$A$808:A995)</f>
        <v>188</v>
      </c>
      <c r="C995" s="308" t="s">
        <v>2931</v>
      </c>
      <c r="D995" s="296">
        <f t="shared" si="49"/>
        <v>248500</v>
      </c>
      <c r="E995" s="301">
        <v>0</v>
      </c>
      <c r="F995" s="301">
        <v>0</v>
      </c>
      <c r="G995" s="301">
        <v>0</v>
      </c>
      <c r="H995" s="301">
        <v>0</v>
      </c>
      <c r="I995" s="301">
        <v>0</v>
      </c>
      <c r="J995" s="301">
        <v>0</v>
      </c>
      <c r="K995" s="302">
        <v>0</v>
      </c>
      <c r="L995" s="301">
        <v>0</v>
      </c>
      <c r="M995" s="301">
        <v>0</v>
      </c>
      <c r="N995" s="301">
        <v>0</v>
      </c>
      <c r="O995" s="301">
        <v>248500</v>
      </c>
      <c r="P995" s="301">
        <v>0</v>
      </c>
      <c r="Q995" s="301">
        <v>0</v>
      </c>
      <c r="R995" s="301">
        <v>0</v>
      </c>
      <c r="S995" s="301">
        <v>0</v>
      </c>
      <c r="T995" s="301">
        <v>0</v>
      </c>
      <c r="U995" s="301">
        <v>0</v>
      </c>
      <c r="V995" s="301">
        <v>0</v>
      </c>
      <c r="W995" s="301">
        <v>0</v>
      </c>
      <c r="X995" s="301">
        <v>0</v>
      </c>
      <c r="Y995" s="301">
        <v>0</v>
      </c>
      <c r="Z995" s="301">
        <v>0</v>
      </c>
      <c r="AA995" s="301">
        <v>0</v>
      </c>
      <c r="AB995" s="303">
        <v>2021</v>
      </c>
    </row>
    <row r="996" spans="1:28" ht="35.25" customHeight="1" x14ac:dyDescent="0.5">
      <c r="A996">
        <v>1</v>
      </c>
      <c r="B996" s="80">
        <f>SUBTOTAL(103,$A$808:A996)</f>
        <v>189</v>
      </c>
      <c r="C996" s="308" t="s">
        <v>2932</v>
      </c>
      <c r="D996" s="296">
        <f t="shared" si="49"/>
        <v>1089879</v>
      </c>
      <c r="E996" s="301">
        <v>0</v>
      </c>
      <c r="F996" s="301">
        <v>0</v>
      </c>
      <c r="G996" s="301">
        <v>0</v>
      </c>
      <c r="H996" s="301">
        <v>0</v>
      </c>
      <c r="I996" s="301">
        <v>0</v>
      </c>
      <c r="J996" s="301">
        <v>0</v>
      </c>
      <c r="K996" s="302">
        <v>0</v>
      </c>
      <c r="L996" s="301">
        <v>0</v>
      </c>
      <c r="M996" s="301">
        <v>1089879</v>
      </c>
      <c r="N996" s="301">
        <v>0</v>
      </c>
      <c r="O996" s="301">
        <v>0</v>
      </c>
      <c r="P996" s="301">
        <v>0</v>
      </c>
      <c r="Q996" s="301">
        <v>0</v>
      </c>
      <c r="R996" s="301">
        <v>0</v>
      </c>
      <c r="S996" s="301">
        <v>0</v>
      </c>
      <c r="T996" s="301">
        <v>0</v>
      </c>
      <c r="U996" s="301">
        <v>0</v>
      </c>
      <c r="V996" s="301">
        <v>0</v>
      </c>
      <c r="W996" s="301">
        <v>0</v>
      </c>
      <c r="X996" s="301">
        <v>0</v>
      </c>
      <c r="Y996" s="301">
        <v>0</v>
      </c>
      <c r="Z996" s="301">
        <v>0</v>
      </c>
      <c r="AA996" s="301">
        <v>0</v>
      </c>
      <c r="AB996" s="303">
        <v>2021</v>
      </c>
    </row>
    <row r="997" spans="1:28" ht="35.25" customHeight="1" x14ac:dyDescent="0.5">
      <c r="A997">
        <v>1</v>
      </c>
      <c r="B997" s="80">
        <f>SUBTOTAL(103,$A$808:A997)</f>
        <v>190</v>
      </c>
      <c r="C997" s="308" t="s">
        <v>2933</v>
      </c>
      <c r="D997" s="296">
        <f t="shared" si="49"/>
        <v>2582860</v>
      </c>
      <c r="E997" s="301">
        <v>0</v>
      </c>
      <c r="F997" s="301">
        <v>0</v>
      </c>
      <c r="G997" s="301">
        <v>0</v>
      </c>
      <c r="H997" s="301">
        <v>0</v>
      </c>
      <c r="I997" s="301">
        <v>0</v>
      </c>
      <c r="J997" s="301">
        <v>0</v>
      </c>
      <c r="K997" s="302">
        <v>0</v>
      </c>
      <c r="L997" s="301">
        <v>0</v>
      </c>
      <c r="M997" s="301">
        <v>2582860</v>
      </c>
      <c r="N997" s="301">
        <v>0</v>
      </c>
      <c r="O997" s="301">
        <v>0</v>
      </c>
      <c r="P997" s="301">
        <v>0</v>
      </c>
      <c r="Q997" s="301">
        <v>0</v>
      </c>
      <c r="R997" s="301">
        <v>0</v>
      </c>
      <c r="S997" s="301">
        <v>0</v>
      </c>
      <c r="T997" s="301">
        <v>0</v>
      </c>
      <c r="U997" s="301">
        <v>0</v>
      </c>
      <c r="V997" s="301">
        <v>0</v>
      </c>
      <c r="W997" s="301">
        <v>0</v>
      </c>
      <c r="X997" s="301">
        <v>0</v>
      </c>
      <c r="Y997" s="301">
        <v>0</v>
      </c>
      <c r="Z997" s="301">
        <v>0</v>
      </c>
      <c r="AA997" s="301">
        <v>0</v>
      </c>
      <c r="AB997" s="303">
        <v>2021</v>
      </c>
    </row>
    <row r="998" spans="1:28" ht="35.25" customHeight="1" x14ac:dyDescent="0.5">
      <c r="A998">
        <v>1</v>
      </c>
      <c r="B998" s="80">
        <f>SUBTOTAL(103,$A$808:A998)</f>
        <v>191</v>
      </c>
      <c r="C998" s="308" t="s">
        <v>2934</v>
      </c>
      <c r="D998" s="296">
        <f t="shared" si="49"/>
        <v>2496140</v>
      </c>
      <c r="E998" s="301">
        <v>0</v>
      </c>
      <c r="F998" s="301">
        <v>0</v>
      </c>
      <c r="G998" s="301">
        <v>0</v>
      </c>
      <c r="H998" s="301">
        <v>0</v>
      </c>
      <c r="I998" s="301">
        <v>0</v>
      </c>
      <c r="J998" s="301">
        <v>0</v>
      </c>
      <c r="K998" s="302">
        <v>0</v>
      </c>
      <c r="L998" s="301">
        <v>0</v>
      </c>
      <c r="M998" s="301">
        <v>2496140</v>
      </c>
      <c r="N998" s="301">
        <v>0</v>
      </c>
      <c r="O998" s="301">
        <v>0</v>
      </c>
      <c r="P998" s="301">
        <v>0</v>
      </c>
      <c r="Q998" s="301">
        <v>0</v>
      </c>
      <c r="R998" s="301">
        <v>0</v>
      </c>
      <c r="S998" s="301">
        <v>0</v>
      </c>
      <c r="T998" s="301">
        <v>0</v>
      </c>
      <c r="U998" s="301">
        <v>0</v>
      </c>
      <c r="V998" s="301">
        <v>0</v>
      </c>
      <c r="W998" s="301">
        <v>0</v>
      </c>
      <c r="X998" s="301">
        <v>0</v>
      </c>
      <c r="Y998" s="301">
        <v>0</v>
      </c>
      <c r="Z998" s="301">
        <v>0</v>
      </c>
      <c r="AA998" s="301">
        <v>0</v>
      </c>
      <c r="AB998" s="303">
        <v>2021</v>
      </c>
    </row>
    <row r="999" spans="1:28" ht="35.25" customHeight="1" x14ac:dyDescent="0.5">
      <c r="A999">
        <v>1</v>
      </c>
      <c r="B999" s="80">
        <f>SUBTOTAL(103,$A$808:A999)</f>
        <v>192</v>
      </c>
      <c r="C999" s="308" t="s">
        <v>2935</v>
      </c>
      <c r="D999" s="296">
        <f t="shared" si="49"/>
        <v>966049.6</v>
      </c>
      <c r="E999" s="301">
        <v>0</v>
      </c>
      <c r="F999" s="301">
        <v>0</v>
      </c>
      <c r="G999" s="301">
        <v>0</v>
      </c>
      <c r="H999" s="301">
        <v>0</v>
      </c>
      <c r="I999" s="301">
        <v>0</v>
      </c>
      <c r="J999" s="301">
        <v>0</v>
      </c>
      <c r="K999" s="302">
        <v>0</v>
      </c>
      <c r="L999" s="301">
        <v>0</v>
      </c>
      <c r="M999" s="301">
        <v>0</v>
      </c>
      <c r="N999" s="301">
        <v>0</v>
      </c>
      <c r="O999" s="301">
        <v>966049.6</v>
      </c>
      <c r="P999" s="301">
        <v>0</v>
      </c>
      <c r="Q999" s="301">
        <v>0</v>
      </c>
      <c r="R999" s="301">
        <v>0</v>
      </c>
      <c r="S999" s="301">
        <v>0</v>
      </c>
      <c r="T999" s="301">
        <v>0</v>
      </c>
      <c r="U999" s="301">
        <v>0</v>
      </c>
      <c r="V999" s="301">
        <v>0</v>
      </c>
      <c r="W999" s="301">
        <v>0</v>
      </c>
      <c r="X999" s="301">
        <v>0</v>
      </c>
      <c r="Y999" s="301">
        <v>0</v>
      </c>
      <c r="Z999" s="301">
        <v>0</v>
      </c>
      <c r="AA999" s="301">
        <v>0</v>
      </c>
      <c r="AB999" s="303">
        <v>2021</v>
      </c>
    </row>
    <row r="1000" spans="1:28" ht="35.25" customHeight="1" x14ac:dyDescent="0.5">
      <c r="A1000">
        <v>1</v>
      </c>
      <c r="B1000" s="80">
        <f>SUBTOTAL(103,$A$808:A1000)</f>
        <v>193</v>
      </c>
      <c r="C1000" s="308" t="s">
        <v>2936</v>
      </c>
      <c r="D1000" s="296">
        <f t="shared" si="49"/>
        <v>998750</v>
      </c>
      <c r="E1000" s="301">
        <v>0</v>
      </c>
      <c r="F1000" s="301">
        <v>0</v>
      </c>
      <c r="G1000" s="301">
        <v>0</v>
      </c>
      <c r="H1000" s="301">
        <v>0</v>
      </c>
      <c r="I1000" s="301">
        <v>0</v>
      </c>
      <c r="J1000" s="301">
        <v>0</v>
      </c>
      <c r="K1000" s="302">
        <v>0</v>
      </c>
      <c r="L1000" s="301">
        <v>0</v>
      </c>
      <c r="M1000" s="301">
        <v>0</v>
      </c>
      <c r="N1000" s="301">
        <v>0</v>
      </c>
      <c r="O1000" s="301">
        <v>998750</v>
      </c>
      <c r="P1000" s="301">
        <v>0</v>
      </c>
      <c r="Q1000" s="301">
        <v>0</v>
      </c>
      <c r="R1000" s="301">
        <v>0</v>
      </c>
      <c r="S1000" s="301">
        <v>0</v>
      </c>
      <c r="T1000" s="301">
        <v>0</v>
      </c>
      <c r="U1000" s="301">
        <v>0</v>
      </c>
      <c r="V1000" s="301">
        <v>0</v>
      </c>
      <c r="W1000" s="301">
        <v>0</v>
      </c>
      <c r="X1000" s="301">
        <v>0</v>
      </c>
      <c r="Y1000" s="301">
        <v>0</v>
      </c>
      <c r="Z1000" s="301">
        <v>0</v>
      </c>
      <c r="AA1000" s="301">
        <v>0</v>
      </c>
      <c r="AB1000" s="303">
        <v>2021</v>
      </c>
    </row>
    <row r="1001" spans="1:28" ht="35.25" customHeight="1" x14ac:dyDescent="0.5">
      <c r="A1001">
        <v>1</v>
      </c>
      <c r="B1001" s="80">
        <f>SUBTOTAL(103,$A$808:A1001)</f>
        <v>194</v>
      </c>
      <c r="C1001" s="308" t="s">
        <v>1658</v>
      </c>
      <c r="D1001" s="296">
        <f t="shared" si="49"/>
        <v>13300715</v>
      </c>
      <c r="E1001" s="301">
        <v>0</v>
      </c>
      <c r="F1001" s="301">
        <v>0</v>
      </c>
      <c r="G1001" s="301">
        <v>1800000</v>
      </c>
      <c r="H1001" s="301">
        <v>0</v>
      </c>
      <c r="I1001" s="301">
        <v>0</v>
      </c>
      <c r="J1001" s="301">
        <v>0</v>
      </c>
      <c r="K1001" s="302">
        <v>0</v>
      </c>
      <c r="L1001" s="301">
        <v>0</v>
      </c>
      <c r="M1001" s="301">
        <v>0</v>
      </c>
      <c r="N1001" s="301">
        <v>0</v>
      </c>
      <c r="O1001" s="301">
        <v>11500715</v>
      </c>
      <c r="P1001" s="301">
        <v>0</v>
      </c>
      <c r="Q1001" s="301">
        <v>0</v>
      </c>
      <c r="R1001" s="301">
        <v>0</v>
      </c>
      <c r="S1001" s="301">
        <v>0</v>
      </c>
      <c r="T1001" s="301">
        <v>0</v>
      </c>
      <c r="U1001" s="301">
        <v>0</v>
      </c>
      <c r="V1001" s="301">
        <v>0</v>
      </c>
      <c r="W1001" s="301">
        <v>0</v>
      </c>
      <c r="X1001" s="301">
        <v>0</v>
      </c>
      <c r="Y1001" s="301">
        <v>0</v>
      </c>
      <c r="Z1001" s="301">
        <v>0</v>
      </c>
      <c r="AA1001" s="301">
        <v>0</v>
      </c>
      <c r="AB1001" s="303">
        <v>2021</v>
      </c>
    </row>
    <row r="1002" spans="1:28" ht="35.25" customHeight="1" x14ac:dyDescent="0.5">
      <c r="A1002">
        <v>1</v>
      </c>
      <c r="B1002" s="80">
        <f>SUBTOTAL(103,$A$808:A1002)</f>
        <v>195</v>
      </c>
      <c r="C1002" s="308" t="s">
        <v>1836</v>
      </c>
      <c r="D1002" s="296">
        <f t="shared" si="49"/>
        <v>1755600</v>
      </c>
      <c r="E1002" s="301">
        <v>0</v>
      </c>
      <c r="F1002" s="301">
        <v>0</v>
      </c>
      <c r="G1002" s="301">
        <v>0</v>
      </c>
      <c r="H1002" s="301">
        <v>0</v>
      </c>
      <c r="I1002" s="301">
        <v>0</v>
      </c>
      <c r="J1002" s="301">
        <v>0</v>
      </c>
      <c r="K1002" s="302">
        <v>0</v>
      </c>
      <c r="L1002" s="301">
        <v>0</v>
      </c>
      <c r="M1002" s="301">
        <v>0</v>
      </c>
      <c r="N1002" s="301">
        <v>0</v>
      </c>
      <c r="O1002" s="301">
        <v>1755600</v>
      </c>
      <c r="P1002" s="301">
        <v>0</v>
      </c>
      <c r="Q1002" s="301">
        <v>0</v>
      </c>
      <c r="R1002" s="301">
        <v>0</v>
      </c>
      <c r="S1002" s="301">
        <v>0</v>
      </c>
      <c r="T1002" s="301">
        <v>0</v>
      </c>
      <c r="U1002" s="301">
        <v>0</v>
      </c>
      <c r="V1002" s="301">
        <v>0</v>
      </c>
      <c r="W1002" s="301">
        <v>0</v>
      </c>
      <c r="X1002" s="301">
        <v>0</v>
      </c>
      <c r="Y1002" s="301">
        <v>0</v>
      </c>
      <c r="Z1002" s="301">
        <v>0</v>
      </c>
      <c r="AA1002" s="301">
        <v>0</v>
      </c>
      <c r="AB1002" s="303">
        <v>2021</v>
      </c>
    </row>
    <row r="1003" spans="1:28" ht="35.25" customHeight="1" x14ac:dyDescent="0.5">
      <c r="A1003">
        <v>1</v>
      </c>
      <c r="B1003" s="80">
        <f>SUBTOTAL(103,$A$808:A1003)</f>
        <v>196</v>
      </c>
      <c r="C1003" s="308" t="s">
        <v>2937</v>
      </c>
      <c r="D1003" s="296">
        <f t="shared" si="49"/>
        <v>1160558</v>
      </c>
      <c r="E1003" s="301">
        <v>0</v>
      </c>
      <c r="F1003" s="301">
        <v>0</v>
      </c>
      <c r="G1003" s="301">
        <v>0</v>
      </c>
      <c r="H1003" s="301">
        <v>0</v>
      </c>
      <c r="I1003" s="301">
        <v>0</v>
      </c>
      <c r="J1003" s="301">
        <v>0</v>
      </c>
      <c r="K1003" s="302">
        <v>0</v>
      </c>
      <c r="L1003" s="301">
        <v>0</v>
      </c>
      <c r="M1003" s="301">
        <v>0</v>
      </c>
      <c r="N1003" s="301">
        <v>0</v>
      </c>
      <c r="O1003" s="301">
        <v>1160558</v>
      </c>
      <c r="P1003" s="301">
        <v>0</v>
      </c>
      <c r="Q1003" s="301">
        <v>0</v>
      </c>
      <c r="R1003" s="301">
        <v>0</v>
      </c>
      <c r="S1003" s="301">
        <v>0</v>
      </c>
      <c r="T1003" s="301">
        <v>0</v>
      </c>
      <c r="U1003" s="301">
        <v>0</v>
      </c>
      <c r="V1003" s="301">
        <v>0</v>
      </c>
      <c r="W1003" s="301">
        <v>0</v>
      </c>
      <c r="X1003" s="301">
        <v>0</v>
      </c>
      <c r="Y1003" s="301">
        <v>0</v>
      </c>
      <c r="Z1003" s="301">
        <v>0</v>
      </c>
      <c r="AA1003" s="301">
        <v>0</v>
      </c>
      <c r="AB1003" s="303">
        <v>2021</v>
      </c>
    </row>
    <row r="1004" spans="1:28" ht="35.25" customHeight="1" x14ac:dyDescent="0.5">
      <c r="A1004">
        <v>1</v>
      </c>
      <c r="B1004" s="80">
        <f>SUBTOTAL(103,$A$808:A1004)</f>
        <v>197</v>
      </c>
      <c r="C1004" s="308" t="s">
        <v>2938</v>
      </c>
      <c r="D1004" s="296">
        <f t="shared" si="49"/>
        <v>411389</v>
      </c>
      <c r="E1004" s="301">
        <v>0</v>
      </c>
      <c r="F1004" s="301">
        <v>0</v>
      </c>
      <c r="G1004" s="301">
        <v>0</v>
      </c>
      <c r="H1004" s="301">
        <v>0</v>
      </c>
      <c r="I1004" s="301">
        <v>0</v>
      </c>
      <c r="J1004" s="301">
        <v>0</v>
      </c>
      <c r="K1004" s="302">
        <v>0</v>
      </c>
      <c r="L1004" s="301">
        <v>0</v>
      </c>
      <c r="M1004" s="301">
        <v>0</v>
      </c>
      <c r="N1004" s="301">
        <v>411389</v>
      </c>
      <c r="O1004" s="301">
        <v>0</v>
      </c>
      <c r="P1004" s="301">
        <v>0</v>
      </c>
      <c r="Q1004" s="301">
        <v>0</v>
      </c>
      <c r="R1004" s="301">
        <v>0</v>
      </c>
      <c r="S1004" s="301">
        <v>0</v>
      </c>
      <c r="T1004" s="301">
        <v>0</v>
      </c>
      <c r="U1004" s="301">
        <v>0</v>
      </c>
      <c r="V1004" s="301">
        <v>0</v>
      </c>
      <c r="W1004" s="301">
        <v>0</v>
      </c>
      <c r="X1004" s="301">
        <v>0</v>
      </c>
      <c r="Y1004" s="301">
        <v>0</v>
      </c>
      <c r="Z1004" s="301">
        <v>0</v>
      </c>
      <c r="AA1004" s="301">
        <v>0</v>
      </c>
      <c r="AB1004" s="303">
        <v>2021</v>
      </c>
    </row>
    <row r="1005" spans="1:28" ht="35.25" customHeight="1" x14ac:dyDescent="0.5">
      <c r="A1005">
        <v>1</v>
      </c>
      <c r="B1005" s="80">
        <f>SUBTOTAL(103,$A$808:A1005)</f>
        <v>198</v>
      </c>
      <c r="C1005" s="308" t="s">
        <v>2939</v>
      </c>
      <c r="D1005" s="296">
        <f t="shared" si="49"/>
        <v>352982</v>
      </c>
      <c r="E1005" s="301">
        <v>0</v>
      </c>
      <c r="F1005" s="301">
        <v>0</v>
      </c>
      <c r="G1005" s="301">
        <v>0</v>
      </c>
      <c r="H1005" s="301">
        <v>0</v>
      </c>
      <c r="I1005" s="301">
        <v>0</v>
      </c>
      <c r="J1005" s="301">
        <v>0</v>
      </c>
      <c r="K1005" s="302">
        <v>0</v>
      </c>
      <c r="L1005" s="301">
        <v>0</v>
      </c>
      <c r="M1005" s="301">
        <v>0</v>
      </c>
      <c r="N1005" s="301">
        <v>0</v>
      </c>
      <c r="O1005" s="301">
        <v>352982</v>
      </c>
      <c r="P1005" s="301">
        <v>0</v>
      </c>
      <c r="Q1005" s="301">
        <v>0</v>
      </c>
      <c r="R1005" s="301">
        <v>0</v>
      </c>
      <c r="S1005" s="301">
        <v>0</v>
      </c>
      <c r="T1005" s="301">
        <v>0</v>
      </c>
      <c r="U1005" s="301">
        <v>0</v>
      </c>
      <c r="V1005" s="301">
        <v>0</v>
      </c>
      <c r="W1005" s="301">
        <v>0</v>
      </c>
      <c r="X1005" s="301">
        <v>0</v>
      </c>
      <c r="Y1005" s="301">
        <v>0</v>
      </c>
      <c r="Z1005" s="301">
        <v>0</v>
      </c>
      <c r="AA1005" s="301">
        <v>0</v>
      </c>
      <c r="AB1005" s="303">
        <v>2021</v>
      </c>
    </row>
    <row r="1006" spans="1:28" ht="35.25" customHeight="1" x14ac:dyDescent="0.5">
      <c r="A1006">
        <v>1</v>
      </c>
      <c r="B1006" s="80">
        <f>SUBTOTAL(103,$A$808:A1006)</f>
        <v>199</v>
      </c>
      <c r="C1006" s="308" t="s">
        <v>1847</v>
      </c>
      <c r="D1006" s="296">
        <f t="shared" si="49"/>
        <v>1660128</v>
      </c>
      <c r="E1006" s="301">
        <v>0</v>
      </c>
      <c r="F1006" s="301">
        <v>0</v>
      </c>
      <c r="G1006" s="301">
        <v>0</v>
      </c>
      <c r="H1006" s="301">
        <v>0</v>
      </c>
      <c r="I1006" s="301">
        <v>0</v>
      </c>
      <c r="J1006" s="301">
        <v>0</v>
      </c>
      <c r="K1006" s="302">
        <v>0</v>
      </c>
      <c r="L1006" s="301">
        <v>0</v>
      </c>
      <c r="M1006" s="301">
        <v>1660128</v>
      </c>
      <c r="N1006" s="301">
        <v>0</v>
      </c>
      <c r="O1006" s="301">
        <v>0</v>
      </c>
      <c r="P1006" s="301">
        <v>0</v>
      </c>
      <c r="Q1006" s="301">
        <v>0</v>
      </c>
      <c r="R1006" s="301">
        <v>0</v>
      </c>
      <c r="S1006" s="301">
        <v>0</v>
      </c>
      <c r="T1006" s="301">
        <v>0</v>
      </c>
      <c r="U1006" s="301">
        <v>0</v>
      </c>
      <c r="V1006" s="301">
        <v>0</v>
      </c>
      <c r="W1006" s="301">
        <v>0</v>
      </c>
      <c r="X1006" s="301">
        <v>0</v>
      </c>
      <c r="Y1006" s="301">
        <v>0</v>
      </c>
      <c r="Z1006" s="301">
        <v>0</v>
      </c>
      <c r="AA1006" s="301">
        <v>0</v>
      </c>
      <c r="AB1006" s="303">
        <v>2021</v>
      </c>
    </row>
    <row r="1007" spans="1:28" ht="35.25" customHeight="1" x14ac:dyDescent="0.5">
      <c r="A1007">
        <v>1</v>
      </c>
      <c r="B1007" s="80">
        <f>SUBTOTAL(103,$A$808:A1007)</f>
        <v>200</v>
      </c>
      <c r="C1007" s="308" t="s">
        <v>2940</v>
      </c>
      <c r="D1007" s="296">
        <f t="shared" si="49"/>
        <v>2638757</v>
      </c>
      <c r="E1007" s="301">
        <v>0</v>
      </c>
      <c r="F1007" s="301">
        <v>0</v>
      </c>
      <c r="G1007" s="301">
        <v>0</v>
      </c>
      <c r="H1007" s="301">
        <v>0</v>
      </c>
      <c r="I1007" s="301">
        <v>0</v>
      </c>
      <c r="J1007" s="301">
        <v>0</v>
      </c>
      <c r="K1007" s="302">
        <v>0</v>
      </c>
      <c r="L1007" s="301">
        <v>0</v>
      </c>
      <c r="M1007" s="301">
        <v>2638757</v>
      </c>
      <c r="N1007" s="301">
        <v>0</v>
      </c>
      <c r="O1007" s="301">
        <v>0</v>
      </c>
      <c r="P1007" s="301">
        <v>0</v>
      </c>
      <c r="Q1007" s="301">
        <v>0</v>
      </c>
      <c r="R1007" s="301">
        <v>0</v>
      </c>
      <c r="S1007" s="301">
        <v>0</v>
      </c>
      <c r="T1007" s="301">
        <v>0</v>
      </c>
      <c r="U1007" s="301">
        <v>0</v>
      </c>
      <c r="V1007" s="301">
        <v>0</v>
      </c>
      <c r="W1007" s="301">
        <v>0</v>
      </c>
      <c r="X1007" s="301">
        <v>0</v>
      </c>
      <c r="Y1007" s="301">
        <v>0</v>
      </c>
      <c r="Z1007" s="301">
        <v>0</v>
      </c>
      <c r="AA1007" s="301">
        <v>0</v>
      </c>
      <c r="AB1007" s="303">
        <v>2021</v>
      </c>
    </row>
    <row r="1008" spans="1:28" ht="35.25" customHeight="1" x14ac:dyDescent="0.5">
      <c r="A1008">
        <v>1</v>
      </c>
      <c r="B1008" s="80">
        <f>SUBTOTAL(103,$A$808:A1008)</f>
        <v>201</v>
      </c>
      <c r="C1008" s="308" t="s">
        <v>2941</v>
      </c>
      <c r="D1008" s="296">
        <f t="shared" si="49"/>
        <v>5798566</v>
      </c>
      <c r="E1008" s="301">
        <v>0</v>
      </c>
      <c r="F1008" s="301">
        <v>0</v>
      </c>
      <c r="G1008" s="301">
        <v>1100000</v>
      </c>
      <c r="H1008" s="301">
        <v>0</v>
      </c>
      <c r="I1008" s="301">
        <v>0</v>
      </c>
      <c r="J1008" s="301">
        <v>0</v>
      </c>
      <c r="K1008" s="302">
        <v>0</v>
      </c>
      <c r="L1008" s="301">
        <v>0</v>
      </c>
      <c r="M1008" s="301">
        <v>2999723</v>
      </c>
      <c r="N1008" s="301">
        <v>0</v>
      </c>
      <c r="O1008" s="301">
        <v>498843</v>
      </c>
      <c r="P1008" s="301">
        <v>0</v>
      </c>
      <c r="Q1008" s="301">
        <v>0</v>
      </c>
      <c r="R1008" s="301">
        <v>0</v>
      </c>
      <c r="S1008" s="301">
        <v>0</v>
      </c>
      <c r="T1008" s="301">
        <v>0</v>
      </c>
      <c r="U1008" s="301">
        <v>0</v>
      </c>
      <c r="V1008" s="301">
        <v>0</v>
      </c>
      <c r="W1008" s="301">
        <v>1200000</v>
      </c>
      <c r="X1008" s="301">
        <v>0</v>
      </c>
      <c r="Y1008" s="301">
        <v>0</v>
      </c>
      <c r="Z1008" s="301">
        <v>0</v>
      </c>
      <c r="AA1008" s="301">
        <v>0</v>
      </c>
      <c r="AB1008" s="303">
        <v>2021</v>
      </c>
    </row>
    <row r="1009" spans="1:28" ht="35.25" customHeight="1" x14ac:dyDescent="0.5">
      <c r="A1009">
        <v>1</v>
      </c>
      <c r="B1009" s="80">
        <f>SUBTOTAL(103,$A$808:A1009)</f>
        <v>202</v>
      </c>
      <c r="C1009" s="308" t="s">
        <v>1849</v>
      </c>
      <c r="D1009" s="296">
        <f t="shared" si="49"/>
        <v>1110000</v>
      </c>
      <c r="E1009" s="301">
        <v>0</v>
      </c>
      <c r="F1009" s="301">
        <v>0</v>
      </c>
      <c r="G1009" s="301">
        <v>1110000</v>
      </c>
      <c r="H1009" s="301">
        <v>0</v>
      </c>
      <c r="I1009" s="301">
        <v>0</v>
      </c>
      <c r="J1009" s="301">
        <v>0</v>
      </c>
      <c r="K1009" s="302">
        <v>0</v>
      </c>
      <c r="L1009" s="301">
        <v>0</v>
      </c>
      <c r="M1009" s="301">
        <v>0</v>
      </c>
      <c r="N1009" s="301">
        <v>0</v>
      </c>
      <c r="O1009" s="301">
        <v>0</v>
      </c>
      <c r="P1009" s="301">
        <v>0</v>
      </c>
      <c r="Q1009" s="301">
        <v>0</v>
      </c>
      <c r="R1009" s="301">
        <v>0</v>
      </c>
      <c r="S1009" s="301">
        <v>0</v>
      </c>
      <c r="T1009" s="301">
        <v>0</v>
      </c>
      <c r="U1009" s="301">
        <v>0</v>
      </c>
      <c r="V1009" s="301">
        <v>0</v>
      </c>
      <c r="W1009" s="301">
        <v>0</v>
      </c>
      <c r="X1009" s="301">
        <v>0</v>
      </c>
      <c r="Y1009" s="301">
        <v>0</v>
      </c>
      <c r="Z1009" s="301">
        <v>0</v>
      </c>
      <c r="AA1009" s="301">
        <v>0</v>
      </c>
      <c r="AB1009" s="303">
        <v>2021</v>
      </c>
    </row>
    <row r="1010" spans="1:28" ht="35.25" customHeight="1" x14ac:dyDescent="0.5">
      <c r="A1010">
        <v>1</v>
      </c>
      <c r="B1010" s="80">
        <f>SUBTOTAL(103,$A$808:A1010)</f>
        <v>203</v>
      </c>
      <c r="C1010" s="308" t="s">
        <v>2218</v>
      </c>
      <c r="D1010" s="296">
        <f t="shared" si="49"/>
        <v>2444775</v>
      </c>
      <c r="E1010" s="301">
        <v>0</v>
      </c>
      <c r="F1010" s="301">
        <v>0</v>
      </c>
      <c r="G1010" s="301">
        <v>0</v>
      </c>
      <c r="H1010" s="301">
        <v>0</v>
      </c>
      <c r="I1010" s="301">
        <v>0</v>
      </c>
      <c r="J1010" s="301">
        <v>0</v>
      </c>
      <c r="K1010" s="302">
        <v>0</v>
      </c>
      <c r="L1010" s="301">
        <v>0</v>
      </c>
      <c r="M1010" s="301">
        <v>0</v>
      </c>
      <c r="N1010" s="301">
        <v>0</v>
      </c>
      <c r="O1010" s="301">
        <v>2444775</v>
      </c>
      <c r="P1010" s="301">
        <v>0</v>
      </c>
      <c r="Q1010" s="301">
        <v>0</v>
      </c>
      <c r="R1010" s="301">
        <v>0</v>
      </c>
      <c r="S1010" s="301">
        <v>0</v>
      </c>
      <c r="T1010" s="301">
        <v>0</v>
      </c>
      <c r="U1010" s="301">
        <v>0</v>
      </c>
      <c r="V1010" s="301">
        <v>0</v>
      </c>
      <c r="W1010" s="301">
        <v>0</v>
      </c>
      <c r="X1010" s="301">
        <v>0</v>
      </c>
      <c r="Y1010" s="301">
        <v>0</v>
      </c>
      <c r="Z1010" s="301">
        <v>0</v>
      </c>
      <c r="AA1010" s="301">
        <v>0</v>
      </c>
      <c r="AB1010" s="303">
        <v>2021</v>
      </c>
    </row>
    <row r="1011" spans="1:28" ht="35.25" customHeight="1" x14ac:dyDescent="0.5">
      <c r="A1011">
        <v>1</v>
      </c>
      <c r="B1011" s="80">
        <f>SUBTOTAL(103,$A$808:A1011)</f>
        <v>204</v>
      </c>
      <c r="C1011" s="308" t="s">
        <v>2561</v>
      </c>
      <c r="D1011" s="296">
        <f t="shared" si="49"/>
        <v>8392000.8000000007</v>
      </c>
      <c r="E1011" s="301">
        <v>0</v>
      </c>
      <c r="F1011" s="301">
        <v>0</v>
      </c>
      <c r="G1011" s="301">
        <v>0</v>
      </c>
      <c r="H1011" s="301">
        <v>0</v>
      </c>
      <c r="I1011" s="301">
        <v>0</v>
      </c>
      <c r="J1011" s="301">
        <v>0</v>
      </c>
      <c r="K1011" s="302">
        <v>4</v>
      </c>
      <c r="L1011" s="301">
        <v>8274000</v>
      </c>
      <c r="M1011" s="301">
        <v>0</v>
      </c>
      <c r="N1011" s="301">
        <v>0</v>
      </c>
      <c r="O1011" s="301">
        <v>0</v>
      </c>
      <c r="P1011" s="301">
        <v>0</v>
      </c>
      <c r="Q1011" s="301">
        <v>0</v>
      </c>
      <c r="R1011" s="301">
        <v>0</v>
      </c>
      <c r="S1011" s="301">
        <v>0</v>
      </c>
      <c r="T1011" s="301">
        <v>0</v>
      </c>
      <c r="U1011" s="301">
        <v>0</v>
      </c>
      <c r="V1011" s="301">
        <v>0</v>
      </c>
      <c r="W1011" s="301">
        <v>0</v>
      </c>
      <c r="X1011" s="301">
        <v>0</v>
      </c>
      <c r="Y1011" s="301">
        <v>0</v>
      </c>
      <c r="Z1011" s="301">
        <v>118000.8</v>
      </c>
      <c r="AA1011" s="301">
        <v>0</v>
      </c>
      <c r="AB1011" s="303">
        <v>2021</v>
      </c>
    </row>
    <row r="1012" spans="1:28" ht="35.25" customHeight="1" x14ac:dyDescent="0.5">
      <c r="A1012">
        <v>1</v>
      </c>
      <c r="B1012" s="80">
        <f>SUBTOTAL(103,$A$808:A1012)</f>
        <v>205</v>
      </c>
      <c r="C1012" s="308" t="s">
        <v>2562</v>
      </c>
      <c r="D1012" s="296">
        <f t="shared" si="49"/>
        <v>4255000.8</v>
      </c>
      <c r="E1012" s="301">
        <v>0</v>
      </c>
      <c r="F1012" s="301">
        <v>0</v>
      </c>
      <c r="G1012" s="301">
        <v>0</v>
      </c>
      <c r="H1012" s="301">
        <v>0</v>
      </c>
      <c r="I1012" s="301">
        <v>0</v>
      </c>
      <c r="J1012" s="301">
        <v>0</v>
      </c>
      <c r="K1012" s="302">
        <v>2</v>
      </c>
      <c r="L1012" s="301">
        <v>4137000</v>
      </c>
      <c r="M1012" s="301">
        <v>0</v>
      </c>
      <c r="N1012" s="301">
        <v>0</v>
      </c>
      <c r="O1012" s="301">
        <v>0</v>
      </c>
      <c r="P1012" s="301">
        <v>0</v>
      </c>
      <c r="Q1012" s="301">
        <v>0</v>
      </c>
      <c r="R1012" s="301">
        <v>0</v>
      </c>
      <c r="S1012" s="301">
        <v>0</v>
      </c>
      <c r="T1012" s="301">
        <v>0</v>
      </c>
      <c r="U1012" s="301">
        <v>0</v>
      </c>
      <c r="V1012" s="301">
        <v>0</v>
      </c>
      <c r="W1012" s="301">
        <v>0</v>
      </c>
      <c r="X1012" s="301">
        <v>0</v>
      </c>
      <c r="Y1012" s="301">
        <v>0</v>
      </c>
      <c r="Z1012" s="301">
        <v>118000.8</v>
      </c>
      <c r="AA1012" s="301">
        <v>0</v>
      </c>
      <c r="AB1012" s="303">
        <v>2021</v>
      </c>
    </row>
    <row r="1013" spans="1:28" ht="35.25" customHeight="1" x14ac:dyDescent="0.5">
      <c r="A1013">
        <v>1</v>
      </c>
      <c r="B1013" s="80">
        <f>SUBTOTAL(103,$A$808:A1013)</f>
        <v>206</v>
      </c>
      <c r="C1013" s="308" t="s">
        <v>2563</v>
      </c>
      <c r="D1013" s="296">
        <f t="shared" si="49"/>
        <v>12529000.800000001</v>
      </c>
      <c r="E1013" s="301">
        <v>0</v>
      </c>
      <c r="F1013" s="301">
        <v>0</v>
      </c>
      <c r="G1013" s="301">
        <v>0</v>
      </c>
      <c r="H1013" s="301">
        <v>0</v>
      </c>
      <c r="I1013" s="301">
        <v>0</v>
      </c>
      <c r="J1013" s="301">
        <v>0</v>
      </c>
      <c r="K1013" s="302">
        <v>6</v>
      </c>
      <c r="L1013" s="301">
        <v>12411000</v>
      </c>
      <c r="M1013" s="301">
        <v>0</v>
      </c>
      <c r="N1013" s="301">
        <v>0</v>
      </c>
      <c r="O1013" s="301">
        <v>0</v>
      </c>
      <c r="P1013" s="301">
        <v>0</v>
      </c>
      <c r="Q1013" s="301">
        <v>0</v>
      </c>
      <c r="R1013" s="301">
        <v>0</v>
      </c>
      <c r="S1013" s="301">
        <v>0</v>
      </c>
      <c r="T1013" s="301">
        <v>0</v>
      </c>
      <c r="U1013" s="301">
        <v>0</v>
      </c>
      <c r="V1013" s="301">
        <v>0</v>
      </c>
      <c r="W1013" s="301">
        <v>0</v>
      </c>
      <c r="X1013" s="301">
        <v>0</v>
      </c>
      <c r="Y1013" s="301">
        <v>0</v>
      </c>
      <c r="Z1013" s="301">
        <v>118000.8</v>
      </c>
      <c r="AA1013" s="301">
        <v>0</v>
      </c>
      <c r="AB1013" s="303">
        <v>2021</v>
      </c>
    </row>
    <row r="1014" spans="1:28" ht="35.25" customHeight="1" x14ac:dyDescent="0.5">
      <c r="A1014">
        <v>1</v>
      </c>
      <c r="B1014" s="80">
        <f>SUBTOTAL(103,$A$808:A1014)</f>
        <v>207</v>
      </c>
      <c r="C1014" s="308" t="s">
        <v>2564</v>
      </c>
      <c r="D1014" s="296">
        <f t="shared" si="49"/>
        <v>8392000.8000000007</v>
      </c>
      <c r="E1014" s="301">
        <v>0</v>
      </c>
      <c r="F1014" s="301">
        <v>0</v>
      </c>
      <c r="G1014" s="301">
        <v>0</v>
      </c>
      <c r="H1014" s="301">
        <v>0</v>
      </c>
      <c r="I1014" s="301">
        <v>0</v>
      </c>
      <c r="J1014" s="301">
        <v>0</v>
      </c>
      <c r="K1014" s="302">
        <v>4</v>
      </c>
      <c r="L1014" s="301">
        <v>8274000</v>
      </c>
      <c r="M1014" s="301">
        <v>0</v>
      </c>
      <c r="N1014" s="301">
        <v>0</v>
      </c>
      <c r="O1014" s="301">
        <v>0</v>
      </c>
      <c r="P1014" s="301">
        <v>0</v>
      </c>
      <c r="Q1014" s="301">
        <v>0</v>
      </c>
      <c r="R1014" s="301">
        <v>0</v>
      </c>
      <c r="S1014" s="301">
        <v>0</v>
      </c>
      <c r="T1014" s="301">
        <v>0</v>
      </c>
      <c r="U1014" s="301">
        <v>0</v>
      </c>
      <c r="V1014" s="301">
        <v>0</v>
      </c>
      <c r="W1014" s="301">
        <v>0</v>
      </c>
      <c r="X1014" s="301">
        <v>0</v>
      </c>
      <c r="Y1014" s="301">
        <v>0</v>
      </c>
      <c r="Z1014" s="301">
        <v>118000.8</v>
      </c>
      <c r="AA1014" s="301">
        <v>0</v>
      </c>
      <c r="AB1014" s="303">
        <v>2021</v>
      </c>
    </row>
    <row r="1015" spans="1:28" ht="35.25" customHeight="1" x14ac:dyDescent="0.5">
      <c r="A1015">
        <v>1</v>
      </c>
      <c r="B1015" s="80">
        <f>SUBTOTAL(103,$A$808:A1015)</f>
        <v>208</v>
      </c>
      <c r="C1015" s="308" t="s">
        <v>2565</v>
      </c>
      <c r="D1015" s="296">
        <f t="shared" si="49"/>
        <v>6205500</v>
      </c>
      <c r="E1015" s="301">
        <v>0</v>
      </c>
      <c r="F1015" s="301">
        <v>0</v>
      </c>
      <c r="G1015" s="301">
        <v>0</v>
      </c>
      <c r="H1015" s="301">
        <v>0</v>
      </c>
      <c r="I1015" s="301">
        <v>0</v>
      </c>
      <c r="J1015" s="301">
        <v>0</v>
      </c>
      <c r="K1015" s="302">
        <v>3</v>
      </c>
      <c r="L1015" s="301">
        <v>6205500</v>
      </c>
      <c r="M1015" s="301">
        <v>0</v>
      </c>
      <c r="N1015" s="301">
        <v>0</v>
      </c>
      <c r="O1015" s="301">
        <v>0</v>
      </c>
      <c r="P1015" s="301">
        <v>0</v>
      </c>
      <c r="Q1015" s="301">
        <v>0</v>
      </c>
      <c r="R1015" s="301">
        <v>0</v>
      </c>
      <c r="S1015" s="301">
        <v>0</v>
      </c>
      <c r="T1015" s="301">
        <v>0</v>
      </c>
      <c r="U1015" s="301">
        <v>0</v>
      </c>
      <c r="V1015" s="301">
        <v>0</v>
      </c>
      <c r="W1015" s="301">
        <v>0</v>
      </c>
      <c r="X1015" s="301">
        <v>0</v>
      </c>
      <c r="Y1015" s="301">
        <v>0</v>
      </c>
      <c r="Z1015" s="301">
        <v>0</v>
      </c>
      <c r="AA1015" s="301">
        <v>0</v>
      </c>
      <c r="AB1015" s="303">
        <v>2021</v>
      </c>
    </row>
    <row r="1016" spans="1:28" ht="35.25" customHeight="1" x14ac:dyDescent="0.5">
      <c r="A1016">
        <v>1</v>
      </c>
      <c r="B1016" s="80">
        <f>SUBTOTAL(103,$A$808:A1016)</f>
        <v>209</v>
      </c>
      <c r="C1016" s="308" t="s">
        <v>2566</v>
      </c>
      <c r="D1016" s="296">
        <f t="shared" si="49"/>
        <v>14597500.800000001</v>
      </c>
      <c r="E1016" s="301">
        <v>0</v>
      </c>
      <c r="F1016" s="301">
        <v>0</v>
      </c>
      <c r="G1016" s="301">
        <v>0</v>
      </c>
      <c r="H1016" s="301">
        <v>0</v>
      </c>
      <c r="I1016" s="301">
        <v>0</v>
      </c>
      <c r="J1016" s="301">
        <v>0</v>
      </c>
      <c r="K1016" s="302">
        <v>7</v>
      </c>
      <c r="L1016" s="301">
        <v>14479500</v>
      </c>
      <c r="M1016" s="301">
        <v>0</v>
      </c>
      <c r="N1016" s="301">
        <v>0</v>
      </c>
      <c r="O1016" s="301">
        <v>0</v>
      </c>
      <c r="P1016" s="301">
        <v>0</v>
      </c>
      <c r="Q1016" s="301">
        <v>0</v>
      </c>
      <c r="R1016" s="301">
        <v>0</v>
      </c>
      <c r="S1016" s="301">
        <v>0</v>
      </c>
      <c r="T1016" s="301">
        <v>0</v>
      </c>
      <c r="U1016" s="301">
        <v>0</v>
      </c>
      <c r="V1016" s="301">
        <v>0</v>
      </c>
      <c r="W1016" s="301">
        <v>0</v>
      </c>
      <c r="X1016" s="301">
        <v>0</v>
      </c>
      <c r="Y1016" s="301">
        <v>0</v>
      </c>
      <c r="Z1016" s="301">
        <v>118000.8</v>
      </c>
      <c r="AA1016" s="301">
        <v>0</v>
      </c>
      <c r="AB1016" s="303">
        <v>2021</v>
      </c>
    </row>
    <row r="1017" spans="1:28" ht="35.25" customHeight="1" x14ac:dyDescent="0.5">
      <c r="A1017">
        <v>1</v>
      </c>
      <c r="B1017" s="80">
        <f>SUBTOTAL(103,$A$808:A1017)</f>
        <v>210</v>
      </c>
      <c r="C1017" s="308" t="s">
        <v>2567</v>
      </c>
      <c r="D1017" s="296">
        <f t="shared" si="49"/>
        <v>12411000</v>
      </c>
      <c r="E1017" s="301">
        <v>0</v>
      </c>
      <c r="F1017" s="301">
        <v>0</v>
      </c>
      <c r="G1017" s="301">
        <v>0</v>
      </c>
      <c r="H1017" s="301">
        <v>0</v>
      </c>
      <c r="I1017" s="301">
        <v>0</v>
      </c>
      <c r="J1017" s="301">
        <v>0</v>
      </c>
      <c r="K1017" s="302">
        <v>6</v>
      </c>
      <c r="L1017" s="301">
        <v>12411000</v>
      </c>
      <c r="M1017" s="301">
        <v>0</v>
      </c>
      <c r="N1017" s="301">
        <v>0</v>
      </c>
      <c r="O1017" s="301">
        <v>0</v>
      </c>
      <c r="P1017" s="301">
        <v>0</v>
      </c>
      <c r="Q1017" s="301">
        <v>0</v>
      </c>
      <c r="R1017" s="301">
        <v>0</v>
      </c>
      <c r="S1017" s="301">
        <v>0</v>
      </c>
      <c r="T1017" s="301">
        <v>0</v>
      </c>
      <c r="U1017" s="301">
        <v>0</v>
      </c>
      <c r="V1017" s="301">
        <v>0</v>
      </c>
      <c r="W1017" s="301">
        <v>0</v>
      </c>
      <c r="X1017" s="301">
        <v>0</v>
      </c>
      <c r="Y1017" s="301">
        <v>0</v>
      </c>
      <c r="Z1017" s="301">
        <v>0</v>
      </c>
      <c r="AA1017" s="301">
        <v>0</v>
      </c>
      <c r="AB1017" s="303">
        <v>2021</v>
      </c>
    </row>
    <row r="1018" spans="1:28" ht="35.25" customHeight="1" x14ac:dyDescent="0.5">
      <c r="A1018">
        <v>1</v>
      </c>
      <c r="B1018" s="80">
        <f>SUBTOTAL(103,$A$808:A1018)</f>
        <v>211</v>
      </c>
      <c r="C1018" s="308" t="s">
        <v>2568</v>
      </c>
      <c r="D1018" s="296">
        <f t="shared" si="49"/>
        <v>7159108.7999999998</v>
      </c>
      <c r="E1018" s="301">
        <v>0</v>
      </c>
      <c r="F1018" s="301">
        <v>0</v>
      </c>
      <c r="G1018" s="301">
        <v>0</v>
      </c>
      <c r="H1018" s="301">
        <v>0</v>
      </c>
      <c r="I1018" s="301">
        <v>0</v>
      </c>
      <c r="J1018" s="301">
        <v>0</v>
      </c>
      <c r="K1018" s="302">
        <v>3</v>
      </c>
      <c r="L1018" s="301">
        <v>7041108</v>
      </c>
      <c r="M1018" s="301">
        <v>0</v>
      </c>
      <c r="N1018" s="301">
        <v>0</v>
      </c>
      <c r="O1018" s="301">
        <v>0</v>
      </c>
      <c r="P1018" s="301">
        <v>0</v>
      </c>
      <c r="Q1018" s="301">
        <v>0</v>
      </c>
      <c r="R1018" s="301">
        <v>0</v>
      </c>
      <c r="S1018" s="301">
        <v>0</v>
      </c>
      <c r="T1018" s="301">
        <v>0</v>
      </c>
      <c r="U1018" s="301">
        <v>0</v>
      </c>
      <c r="V1018" s="301">
        <v>0</v>
      </c>
      <c r="W1018" s="301">
        <v>0</v>
      </c>
      <c r="X1018" s="301">
        <v>0</v>
      </c>
      <c r="Y1018" s="301">
        <v>0</v>
      </c>
      <c r="Z1018" s="301">
        <v>118000.8</v>
      </c>
      <c r="AA1018" s="301">
        <v>0</v>
      </c>
      <c r="AB1018" s="303">
        <v>2021</v>
      </c>
    </row>
    <row r="1019" spans="1:28" ht="35.25" customHeight="1" x14ac:dyDescent="0.5">
      <c r="A1019">
        <v>1</v>
      </c>
      <c r="B1019" s="80">
        <f>SUBTOTAL(103,$A$808:A1019)</f>
        <v>212</v>
      </c>
      <c r="C1019" s="308" t="s">
        <v>2569</v>
      </c>
      <c r="D1019" s="296">
        <f t="shared" si="49"/>
        <v>2433489.5999999996</v>
      </c>
      <c r="E1019" s="301">
        <v>0</v>
      </c>
      <c r="F1019" s="301">
        <v>0</v>
      </c>
      <c r="G1019" s="301">
        <v>0</v>
      </c>
      <c r="H1019" s="301">
        <v>0</v>
      </c>
      <c r="I1019" s="301">
        <v>0</v>
      </c>
      <c r="J1019" s="301">
        <v>0</v>
      </c>
      <c r="K1019" s="302">
        <v>1</v>
      </c>
      <c r="L1019" s="301">
        <v>2315488.7999999998</v>
      </c>
      <c r="M1019" s="301">
        <v>0</v>
      </c>
      <c r="N1019" s="301">
        <v>0</v>
      </c>
      <c r="O1019" s="301">
        <v>0</v>
      </c>
      <c r="P1019" s="301">
        <v>0</v>
      </c>
      <c r="Q1019" s="301">
        <v>0</v>
      </c>
      <c r="R1019" s="301">
        <v>0</v>
      </c>
      <c r="S1019" s="301">
        <v>0</v>
      </c>
      <c r="T1019" s="301">
        <v>0</v>
      </c>
      <c r="U1019" s="301">
        <v>0</v>
      </c>
      <c r="V1019" s="301">
        <v>0</v>
      </c>
      <c r="W1019" s="301">
        <v>0</v>
      </c>
      <c r="X1019" s="301">
        <v>0</v>
      </c>
      <c r="Y1019" s="301">
        <v>0</v>
      </c>
      <c r="Z1019" s="301">
        <v>118000.8</v>
      </c>
      <c r="AA1019" s="301">
        <v>0</v>
      </c>
      <c r="AB1019" s="303">
        <v>2021</v>
      </c>
    </row>
    <row r="1020" spans="1:28" ht="35.25" customHeight="1" x14ac:dyDescent="0.5">
      <c r="A1020">
        <v>1</v>
      </c>
      <c r="B1020" s="80">
        <f>SUBTOTAL(103,$A$808:A1020)</f>
        <v>213</v>
      </c>
      <c r="C1020" s="308" t="s">
        <v>2570</v>
      </c>
      <c r="D1020" s="296">
        <f t="shared" si="49"/>
        <v>4777987.2</v>
      </c>
      <c r="E1020" s="301">
        <v>0</v>
      </c>
      <c r="F1020" s="301">
        <v>0</v>
      </c>
      <c r="G1020" s="301">
        <v>0</v>
      </c>
      <c r="H1020" s="301">
        <v>0</v>
      </c>
      <c r="I1020" s="301">
        <v>0</v>
      </c>
      <c r="J1020" s="301">
        <v>0</v>
      </c>
      <c r="K1020" s="302">
        <v>2</v>
      </c>
      <c r="L1020" s="301">
        <v>4659986.4000000004</v>
      </c>
      <c r="M1020" s="301">
        <v>0</v>
      </c>
      <c r="N1020" s="301">
        <v>0</v>
      </c>
      <c r="O1020" s="301">
        <v>0</v>
      </c>
      <c r="P1020" s="301">
        <v>0</v>
      </c>
      <c r="Q1020" s="301">
        <v>0</v>
      </c>
      <c r="R1020" s="301">
        <v>0</v>
      </c>
      <c r="S1020" s="301">
        <v>0</v>
      </c>
      <c r="T1020" s="301">
        <v>0</v>
      </c>
      <c r="U1020" s="301">
        <v>0</v>
      </c>
      <c r="V1020" s="301">
        <v>0</v>
      </c>
      <c r="W1020" s="301">
        <v>0</v>
      </c>
      <c r="X1020" s="301">
        <v>0</v>
      </c>
      <c r="Y1020" s="301">
        <v>0</v>
      </c>
      <c r="Z1020" s="301">
        <v>118000.8</v>
      </c>
      <c r="AA1020" s="301">
        <v>0</v>
      </c>
      <c r="AB1020" s="303">
        <v>2021</v>
      </c>
    </row>
    <row r="1021" spans="1:28" ht="35.25" customHeight="1" x14ac:dyDescent="0.5">
      <c r="A1021">
        <v>1</v>
      </c>
      <c r="B1021" s="80">
        <f>SUBTOTAL(103,$A$808:A1021)</f>
        <v>214</v>
      </c>
      <c r="C1021" s="308" t="s">
        <v>2586</v>
      </c>
      <c r="D1021" s="296">
        <f t="shared" si="49"/>
        <v>4176612.8</v>
      </c>
      <c r="E1021" s="301">
        <v>0</v>
      </c>
      <c r="F1021" s="301">
        <v>0</v>
      </c>
      <c r="G1021" s="301">
        <v>0</v>
      </c>
      <c r="H1021" s="301">
        <v>0</v>
      </c>
      <c r="I1021" s="301">
        <v>0</v>
      </c>
      <c r="J1021" s="301">
        <v>0</v>
      </c>
      <c r="K1021" s="302">
        <v>2</v>
      </c>
      <c r="L1021" s="301">
        <v>4058612</v>
      </c>
      <c r="M1021" s="301">
        <v>0</v>
      </c>
      <c r="N1021" s="301">
        <v>0</v>
      </c>
      <c r="O1021" s="301">
        <v>0</v>
      </c>
      <c r="P1021" s="301">
        <v>0</v>
      </c>
      <c r="Q1021" s="301">
        <v>0</v>
      </c>
      <c r="R1021" s="301">
        <v>0</v>
      </c>
      <c r="S1021" s="301">
        <v>0</v>
      </c>
      <c r="T1021" s="301">
        <v>0</v>
      </c>
      <c r="U1021" s="301">
        <v>0</v>
      </c>
      <c r="V1021" s="301">
        <v>0</v>
      </c>
      <c r="W1021" s="301">
        <v>0</v>
      </c>
      <c r="X1021" s="301">
        <v>0</v>
      </c>
      <c r="Y1021" s="301">
        <v>0</v>
      </c>
      <c r="Z1021" s="301">
        <v>118000.8</v>
      </c>
      <c r="AA1021" s="301">
        <v>0</v>
      </c>
      <c r="AB1021" s="303">
        <v>2021</v>
      </c>
    </row>
    <row r="1022" spans="1:28" ht="35.25" customHeight="1" x14ac:dyDescent="0.5">
      <c r="A1022">
        <v>1</v>
      </c>
      <c r="B1022" s="80">
        <f>SUBTOTAL(103,$A$808:A1022)</f>
        <v>215</v>
      </c>
      <c r="C1022" s="308" t="s">
        <v>1852</v>
      </c>
      <c r="D1022" s="296">
        <f t="shared" si="49"/>
        <v>553992.5</v>
      </c>
      <c r="E1022" s="301">
        <v>0</v>
      </c>
      <c r="F1022" s="301">
        <v>0</v>
      </c>
      <c r="G1022" s="301">
        <v>0</v>
      </c>
      <c r="H1022" s="301">
        <v>0</v>
      </c>
      <c r="I1022" s="301">
        <v>0</v>
      </c>
      <c r="J1022" s="301">
        <v>0</v>
      </c>
      <c r="K1022" s="302">
        <v>0</v>
      </c>
      <c r="L1022" s="301">
        <v>0</v>
      </c>
      <c r="M1022" s="301">
        <v>0</v>
      </c>
      <c r="N1022" s="301">
        <v>0</v>
      </c>
      <c r="O1022" s="301">
        <v>553992.5</v>
      </c>
      <c r="P1022" s="301">
        <v>0</v>
      </c>
      <c r="Q1022" s="301">
        <v>0</v>
      </c>
      <c r="R1022" s="301">
        <v>0</v>
      </c>
      <c r="S1022" s="301">
        <v>0</v>
      </c>
      <c r="T1022" s="301">
        <v>0</v>
      </c>
      <c r="U1022" s="301">
        <v>0</v>
      </c>
      <c r="V1022" s="301">
        <v>0</v>
      </c>
      <c r="W1022" s="301">
        <v>0</v>
      </c>
      <c r="X1022" s="301">
        <v>0</v>
      </c>
      <c r="Y1022" s="301">
        <v>0</v>
      </c>
      <c r="Z1022" s="301">
        <v>0</v>
      </c>
      <c r="AA1022" s="301">
        <v>0</v>
      </c>
      <c r="AB1022" s="303" t="s">
        <v>2981</v>
      </c>
    </row>
    <row r="1023" spans="1:28" ht="35.25" customHeight="1" x14ac:dyDescent="0.5">
      <c r="A1023">
        <v>1</v>
      </c>
      <c r="B1023" s="80">
        <f>SUBTOTAL(103,$A$808:A1023)</f>
        <v>216</v>
      </c>
      <c r="C1023" s="308" t="s">
        <v>1854</v>
      </c>
      <c r="D1023" s="296">
        <f t="shared" si="49"/>
        <v>2257200</v>
      </c>
      <c r="E1023" s="301">
        <v>0</v>
      </c>
      <c r="F1023" s="301">
        <v>0</v>
      </c>
      <c r="G1023" s="301">
        <v>0</v>
      </c>
      <c r="H1023" s="301">
        <v>0</v>
      </c>
      <c r="I1023" s="301">
        <v>0</v>
      </c>
      <c r="J1023" s="301">
        <v>0</v>
      </c>
      <c r="K1023" s="302">
        <v>0</v>
      </c>
      <c r="L1023" s="301">
        <v>0</v>
      </c>
      <c r="M1023" s="301">
        <v>1115000</v>
      </c>
      <c r="N1023" s="301">
        <v>0</v>
      </c>
      <c r="O1023" s="301">
        <v>1142200</v>
      </c>
      <c r="P1023" s="301">
        <v>0</v>
      </c>
      <c r="Q1023" s="301">
        <v>0</v>
      </c>
      <c r="R1023" s="301">
        <v>0</v>
      </c>
      <c r="S1023" s="301">
        <v>0</v>
      </c>
      <c r="T1023" s="301">
        <v>0</v>
      </c>
      <c r="U1023" s="301">
        <v>0</v>
      </c>
      <c r="V1023" s="301">
        <v>0</v>
      </c>
      <c r="W1023" s="301">
        <v>0</v>
      </c>
      <c r="X1023" s="301">
        <v>0</v>
      </c>
      <c r="Y1023" s="301">
        <v>0</v>
      </c>
      <c r="Z1023" s="301">
        <v>0</v>
      </c>
      <c r="AA1023" s="301">
        <v>0</v>
      </c>
      <c r="AB1023" s="303" t="s">
        <v>2981</v>
      </c>
    </row>
    <row r="1024" spans="1:28" ht="35.25" customHeight="1" x14ac:dyDescent="0.5">
      <c r="A1024">
        <v>1</v>
      </c>
      <c r="B1024" s="80">
        <f>SUBTOTAL(103,$A$808:A1024)</f>
        <v>217</v>
      </c>
      <c r="C1024" s="308" t="s">
        <v>2982</v>
      </c>
      <c r="D1024" s="296">
        <f t="shared" si="49"/>
        <v>86647</v>
      </c>
      <c r="E1024" s="301">
        <v>0</v>
      </c>
      <c r="F1024" s="301">
        <v>0</v>
      </c>
      <c r="G1024" s="301">
        <v>0</v>
      </c>
      <c r="H1024" s="301">
        <v>0</v>
      </c>
      <c r="I1024" s="301">
        <v>0</v>
      </c>
      <c r="J1024" s="301">
        <v>0</v>
      </c>
      <c r="K1024" s="302">
        <v>0</v>
      </c>
      <c r="L1024" s="301">
        <v>0</v>
      </c>
      <c r="M1024" s="301">
        <v>86647</v>
      </c>
      <c r="N1024" s="301">
        <v>0</v>
      </c>
      <c r="O1024" s="301">
        <v>0</v>
      </c>
      <c r="P1024" s="301">
        <v>0</v>
      </c>
      <c r="Q1024" s="301">
        <v>0</v>
      </c>
      <c r="R1024" s="301">
        <v>0</v>
      </c>
      <c r="S1024" s="301">
        <v>0</v>
      </c>
      <c r="T1024" s="301">
        <v>0</v>
      </c>
      <c r="U1024" s="301">
        <v>0</v>
      </c>
      <c r="V1024" s="301">
        <v>0</v>
      </c>
      <c r="W1024" s="301">
        <v>0</v>
      </c>
      <c r="X1024" s="301">
        <v>0</v>
      </c>
      <c r="Y1024" s="301">
        <v>0</v>
      </c>
      <c r="Z1024" s="301">
        <v>0</v>
      </c>
      <c r="AA1024" s="301">
        <v>0</v>
      </c>
      <c r="AB1024" s="303" t="s">
        <v>2981</v>
      </c>
    </row>
    <row r="1025" spans="1:28" ht="35.25" customHeight="1" x14ac:dyDescent="0.5">
      <c r="A1025">
        <v>1</v>
      </c>
      <c r="B1025" s="80">
        <f>SUBTOTAL(103,$A$808:A1025)</f>
        <v>218</v>
      </c>
      <c r="C1025" s="308" t="s">
        <v>2335</v>
      </c>
      <c r="D1025" s="296">
        <f t="shared" si="49"/>
        <v>959079</v>
      </c>
      <c r="E1025" s="301">
        <v>0</v>
      </c>
      <c r="F1025" s="301">
        <v>0</v>
      </c>
      <c r="G1025" s="301">
        <v>0</v>
      </c>
      <c r="H1025" s="301">
        <v>0</v>
      </c>
      <c r="I1025" s="301">
        <v>846054</v>
      </c>
      <c r="J1025" s="301">
        <v>0</v>
      </c>
      <c r="K1025" s="302">
        <v>0</v>
      </c>
      <c r="L1025" s="301">
        <v>0</v>
      </c>
      <c r="M1025" s="301">
        <v>0</v>
      </c>
      <c r="N1025" s="301">
        <v>0</v>
      </c>
      <c r="O1025" s="301">
        <v>113025</v>
      </c>
      <c r="P1025" s="301">
        <v>0</v>
      </c>
      <c r="Q1025" s="301">
        <v>0</v>
      </c>
      <c r="R1025" s="301">
        <v>0</v>
      </c>
      <c r="S1025" s="301">
        <v>0</v>
      </c>
      <c r="T1025" s="301">
        <v>0</v>
      </c>
      <c r="U1025" s="301">
        <v>0</v>
      </c>
      <c r="V1025" s="301">
        <v>0</v>
      </c>
      <c r="W1025" s="301">
        <v>0</v>
      </c>
      <c r="X1025" s="301">
        <v>0</v>
      </c>
      <c r="Y1025" s="301">
        <v>0</v>
      </c>
      <c r="Z1025" s="301">
        <v>0</v>
      </c>
      <c r="AA1025" s="301">
        <v>0</v>
      </c>
      <c r="AB1025" s="303" t="s">
        <v>2981</v>
      </c>
    </row>
    <row r="1026" spans="1:28" ht="35.25" customHeight="1" x14ac:dyDescent="0.5">
      <c r="A1026">
        <v>1</v>
      </c>
      <c r="B1026" s="80">
        <f>SUBTOTAL(103,$A$808:A1026)</f>
        <v>219</v>
      </c>
      <c r="C1026" s="308" t="s">
        <v>2324</v>
      </c>
      <c r="D1026" s="296">
        <f t="shared" si="49"/>
        <v>385524</v>
      </c>
      <c r="E1026" s="301">
        <v>0</v>
      </c>
      <c r="F1026" s="301">
        <v>0</v>
      </c>
      <c r="G1026" s="301">
        <v>0</v>
      </c>
      <c r="H1026" s="301">
        <v>0</v>
      </c>
      <c r="I1026" s="301">
        <v>0</v>
      </c>
      <c r="J1026" s="301">
        <v>0</v>
      </c>
      <c r="K1026" s="302">
        <v>0</v>
      </c>
      <c r="L1026" s="301">
        <v>0</v>
      </c>
      <c r="M1026" s="301">
        <v>0</v>
      </c>
      <c r="N1026" s="301">
        <v>0</v>
      </c>
      <c r="O1026" s="301">
        <v>385524</v>
      </c>
      <c r="P1026" s="301">
        <v>0</v>
      </c>
      <c r="Q1026" s="301">
        <v>0</v>
      </c>
      <c r="R1026" s="301">
        <v>0</v>
      </c>
      <c r="S1026" s="301">
        <v>0</v>
      </c>
      <c r="T1026" s="301">
        <v>0</v>
      </c>
      <c r="U1026" s="301">
        <v>0</v>
      </c>
      <c r="V1026" s="301">
        <v>0</v>
      </c>
      <c r="W1026" s="301">
        <v>0</v>
      </c>
      <c r="X1026" s="301">
        <v>0</v>
      </c>
      <c r="Y1026" s="301">
        <v>0</v>
      </c>
      <c r="Z1026" s="301">
        <v>0</v>
      </c>
      <c r="AA1026" s="301">
        <v>0</v>
      </c>
      <c r="AB1026" s="303" t="s">
        <v>2981</v>
      </c>
    </row>
    <row r="1027" spans="1:28" ht="35.25" customHeight="1" x14ac:dyDescent="0.5">
      <c r="A1027">
        <v>1</v>
      </c>
      <c r="B1027" s="80">
        <f>SUBTOTAL(103,$A$808:A1027)</f>
        <v>220</v>
      </c>
      <c r="C1027" s="308" t="s">
        <v>1625</v>
      </c>
      <c r="D1027" s="296">
        <f t="shared" si="49"/>
        <v>2225740</v>
      </c>
      <c r="E1027" s="301">
        <v>0</v>
      </c>
      <c r="F1027" s="301">
        <v>0</v>
      </c>
      <c r="G1027" s="301">
        <v>0</v>
      </c>
      <c r="H1027" s="301">
        <v>0</v>
      </c>
      <c r="I1027" s="301">
        <v>0</v>
      </c>
      <c r="J1027" s="301">
        <v>0</v>
      </c>
      <c r="K1027" s="302">
        <v>0</v>
      </c>
      <c r="L1027" s="301">
        <v>0</v>
      </c>
      <c r="M1027" s="301">
        <v>0</v>
      </c>
      <c r="N1027" s="301">
        <v>0</v>
      </c>
      <c r="O1027" s="301">
        <v>2225740</v>
      </c>
      <c r="P1027" s="301">
        <v>0</v>
      </c>
      <c r="Q1027" s="301">
        <v>0</v>
      </c>
      <c r="R1027" s="301">
        <v>0</v>
      </c>
      <c r="S1027" s="301">
        <v>0</v>
      </c>
      <c r="T1027" s="301">
        <v>0</v>
      </c>
      <c r="U1027" s="301">
        <v>0</v>
      </c>
      <c r="V1027" s="301">
        <v>0</v>
      </c>
      <c r="W1027" s="301">
        <v>0</v>
      </c>
      <c r="X1027" s="301">
        <v>0</v>
      </c>
      <c r="Y1027" s="301">
        <v>0</v>
      </c>
      <c r="Z1027" s="301">
        <v>0</v>
      </c>
      <c r="AA1027" s="301">
        <v>0</v>
      </c>
      <c r="AB1027" s="303" t="s">
        <v>2981</v>
      </c>
    </row>
    <row r="1028" spans="1:28" ht="35.25" customHeight="1" x14ac:dyDescent="0.5">
      <c r="A1028">
        <v>1</v>
      </c>
      <c r="B1028" s="80">
        <f>SUBTOTAL(103,$A$808:A1028)</f>
        <v>221</v>
      </c>
      <c r="C1028" s="308" t="s">
        <v>2983</v>
      </c>
      <c r="D1028" s="296">
        <f t="shared" si="49"/>
        <v>3949906.89</v>
      </c>
      <c r="E1028" s="301">
        <v>0</v>
      </c>
      <c r="F1028" s="301">
        <v>0</v>
      </c>
      <c r="G1028" s="301">
        <v>0</v>
      </c>
      <c r="H1028" s="301">
        <v>0</v>
      </c>
      <c r="I1028" s="301">
        <v>177970</v>
      </c>
      <c r="J1028" s="301">
        <v>0</v>
      </c>
      <c r="K1028" s="302">
        <v>0</v>
      </c>
      <c r="L1028" s="301">
        <v>0</v>
      </c>
      <c r="M1028" s="301">
        <v>3479936.89</v>
      </c>
      <c r="N1028" s="301">
        <v>0</v>
      </c>
      <c r="O1028" s="301">
        <v>292000</v>
      </c>
      <c r="P1028" s="301">
        <v>0</v>
      </c>
      <c r="Q1028" s="301">
        <v>0</v>
      </c>
      <c r="R1028" s="301">
        <v>0</v>
      </c>
      <c r="S1028" s="301">
        <v>0</v>
      </c>
      <c r="T1028" s="301">
        <v>0</v>
      </c>
      <c r="U1028" s="301">
        <v>0</v>
      </c>
      <c r="V1028" s="301">
        <v>0</v>
      </c>
      <c r="W1028" s="301">
        <v>0</v>
      </c>
      <c r="X1028" s="301">
        <v>0</v>
      </c>
      <c r="Y1028" s="301">
        <v>0</v>
      </c>
      <c r="Z1028" s="301">
        <v>0</v>
      </c>
      <c r="AA1028" s="301">
        <v>0</v>
      </c>
      <c r="AB1028" s="303" t="s">
        <v>2981</v>
      </c>
    </row>
    <row r="1029" spans="1:28" ht="35.25" customHeight="1" x14ac:dyDescent="0.5">
      <c r="A1029">
        <v>1</v>
      </c>
      <c r="B1029" s="80">
        <f>SUBTOTAL(103,$A$808:A1029)</f>
        <v>222</v>
      </c>
      <c r="C1029" s="308" t="s">
        <v>2331</v>
      </c>
      <c r="D1029" s="296">
        <f t="shared" si="49"/>
        <v>895000</v>
      </c>
      <c r="E1029" s="301">
        <v>0</v>
      </c>
      <c r="F1029" s="301">
        <v>0</v>
      </c>
      <c r="G1029" s="301">
        <v>895000</v>
      </c>
      <c r="H1029" s="301">
        <v>0</v>
      </c>
      <c r="I1029" s="301">
        <v>0</v>
      </c>
      <c r="J1029" s="301">
        <v>0</v>
      </c>
      <c r="K1029" s="302">
        <v>0</v>
      </c>
      <c r="L1029" s="301">
        <v>0</v>
      </c>
      <c r="M1029" s="301">
        <v>0</v>
      </c>
      <c r="N1029" s="301">
        <v>0</v>
      </c>
      <c r="O1029" s="301">
        <v>0</v>
      </c>
      <c r="P1029" s="301">
        <v>0</v>
      </c>
      <c r="Q1029" s="301">
        <v>0</v>
      </c>
      <c r="R1029" s="301">
        <v>0</v>
      </c>
      <c r="S1029" s="301">
        <v>0</v>
      </c>
      <c r="T1029" s="301">
        <v>0</v>
      </c>
      <c r="U1029" s="301">
        <v>0</v>
      </c>
      <c r="V1029" s="301">
        <v>0</v>
      </c>
      <c r="W1029" s="301">
        <v>0</v>
      </c>
      <c r="X1029" s="301">
        <v>0</v>
      </c>
      <c r="Y1029" s="301">
        <v>0</v>
      </c>
      <c r="Z1029" s="301">
        <v>0</v>
      </c>
      <c r="AA1029" s="301">
        <v>0</v>
      </c>
      <c r="AB1029" s="303" t="s">
        <v>2981</v>
      </c>
    </row>
    <row r="1030" spans="1:28" ht="35.25" customHeight="1" x14ac:dyDescent="0.5">
      <c r="A1030">
        <v>1</v>
      </c>
      <c r="B1030" s="80">
        <f>SUBTOTAL(103,$A$808:A1030)</f>
        <v>223</v>
      </c>
      <c r="C1030" s="308" t="s">
        <v>1864</v>
      </c>
      <c r="D1030" s="296">
        <f t="shared" si="49"/>
        <v>394900.43</v>
      </c>
      <c r="E1030" s="301">
        <v>0</v>
      </c>
      <c r="F1030" s="301">
        <v>0</v>
      </c>
      <c r="G1030" s="301">
        <v>0</v>
      </c>
      <c r="H1030" s="301">
        <v>0</v>
      </c>
      <c r="I1030" s="301">
        <v>0</v>
      </c>
      <c r="J1030" s="301">
        <v>0</v>
      </c>
      <c r="K1030" s="302">
        <v>0</v>
      </c>
      <c r="L1030" s="301">
        <v>0</v>
      </c>
      <c r="M1030" s="301">
        <v>0</v>
      </c>
      <c r="N1030" s="301">
        <v>0</v>
      </c>
      <c r="O1030" s="301">
        <v>394900.43</v>
      </c>
      <c r="P1030" s="301">
        <v>0</v>
      </c>
      <c r="Q1030" s="301">
        <v>0</v>
      </c>
      <c r="R1030" s="301">
        <v>0</v>
      </c>
      <c r="S1030" s="301">
        <v>0</v>
      </c>
      <c r="T1030" s="301">
        <v>0</v>
      </c>
      <c r="U1030" s="301">
        <v>0</v>
      </c>
      <c r="V1030" s="301">
        <v>0</v>
      </c>
      <c r="W1030" s="301">
        <v>0</v>
      </c>
      <c r="X1030" s="301">
        <v>0</v>
      </c>
      <c r="Y1030" s="301">
        <v>0</v>
      </c>
      <c r="Z1030" s="301">
        <v>0</v>
      </c>
      <c r="AA1030" s="301">
        <v>0</v>
      </c>
      <c r="AB1030" s="303" t="s">
        <v>2981</v>
      </c>
    </row>
    <row r="1031" spans="1:28" ht="35.25" customHeight="1" x14ac:dyDescent="0.5">
      <c r="A1031">
        <v>1</v>
      </c>
      <c r="B1031" s="80">
        <f>SUBTOTAL(103,$A$808:A1031)</f>
        <v>224</v>
      </c>
      <c r="C1031" s="308" t="s">
        <v>1866</v>
      </c>
      <c r="D1031" s="296">
        <f t="shared" si="49"/>
        <v>335965.7</v>
      </c>
      <c r="E1031" s="301">
        <v>0</v>
      </c>
      <c r="F1031" s="301">
        <v>0</v>
      </c>
      <c r="G1031" s="301">
        <v>0</v>
      </c>
      <c r="H1031" s="301">
        <v>0</v>
      </c>
      <c r="I1031" s="301">
        <v>0</v>
      </c>
      <c r="J1031" s="301">
        <v>0</v>
      </c>
      <c r="K1031" s="302">
        <v>0</v>
      </c>
      <c r="L1031" s="301">
        <v>0</v>
      </c>
      <c r="M1031" s="301">
        <v>0</v>
      </c>
      <c r="N1031" s="301">
        <v>0</v>
      </c>
      <c r="O1031" s="301">
        <v>335965.7</v>
      </c>
      <c r="P1031" s="301">
        <v>0</v>
      </c>
      <c r="Q1031" s="301">
        <v>0</v>
      </c>
      <c r="R1031" s="301">
        <v>0</v>
      </c>
      <c r="S1031" s="301">
        <v>0</v>
      </c>
      <c r="T1031" s="301">
        <v>0</v>
      </c>
      <c r="U1031" s="301">
        <v>0</v>
      </c>
      <c r="V1031" s="301">
        <v>0</v>
      </c>
      <c r="W1031" s="301">
        <v>0</v>
      </c>
      <c r="X1031" s="301">
        <v>0</v>
      </c>
      <c r="Y1031" s="301">
        <v>0</v>
      </c>
      <c r="Z1031" s="301">
        <v>0</v>
      </c>
      <c r="AA1031" s="301">
        <v>0</v>
      </c>
      <c r="AB1031" s="303" t="s">
        <v>2981</v>
      </c>
    </row>
    <row r="1032" spans="1:28" ht="35.25" customHeight="1" x14ac:dyDescent="0.5">
      <c r="A1032">
        <v>1</v>
      </c>
      <c r="B1032" s="80">
        <f>SUBTOTAL(103,$A$808:A1032)</f>
        <v>225</v>
      </c>
      <c r="C1032" s="308" t="s">
        <v>2984</v>
      </c>
      <c r="D1032" s="296">
        <f t="shared" si="49"/>
        <v>1973770</v>
      </c>
      <c r="E1032" s="301">
        <v>0</v>
      </c>
      <c r="F1032" s="301">
        <v>0</v>
      </c>
      <c r="G1032" s="301">
        <v>0</v>
      </c>
      <c r="H1032" s="301">
        <v>0</v>
      </c>
      <c r="I1032" s="301">
        <v>0</v>
      </c>
      <c r="J1032" s="301">
        <v>0</v>
      </c>
      <c r="K1032" s="302">
        <v>0</v>
      </c>
      <c r="L1032" s="301">
        <v>0</v>
      </c>
      <c r="M1032" s="301">
        <v>1525610</v>
      </c>
      <c r="N1032" s="301">
        <v>0</v>
      </c>
      <c r="O1032" s="301">
        <v>448160</v>
      </c>
      <c r="P1032" s="301">
        <v>0</v>
      </c>
      <c r="Q1032" s="301">
        <v>0</v>
      </c>
      <c r="R1032" s="301">
        <v>0</v>
      </c>
      <c r="S1032" s="301">
        <v>0</v>
      </c>
      <c r="T1032" s="301">
        <v>0</v>
      </c>
      <c r="U1032" s="301">
        <v>0</v>
      </c>
      <c r="V1032" s="301">
        <v>0</v>
      </c>
      <c r="W1032" s="301">
        <v>0</v>
      </c>
      <c r="X1032" s="301">
        <v>0</v>
      </c>
      <c r="Y1032" s="301">
        <v>0</v>
      </c>
      <c r="Z1032" s="301">
        <v>0</v>
      </c>
      <c r="AA1032" s="301">
        <v>0</v>
      </c>
      <c r="AB1032" s="303" t="s">
        <v>2981</v>
      </c>
    </row>
    <row r="1033" spans="1:28" ht="35.25" customHeight="1" x14ac:dyDescent="0.5">
      <c r="A1033">
        <v>1</v>
      </c>
      <c r="B1033" s="80">
        <f>SUBTOTAL(103,$A$808:A1033)</f>
        <v>226</v>
      </c>
      <c r="C1033" s="308" t="s">
        <v>2985</v>
      </c>
      <c r="D1033" s="296">
        <f t="shared" ref="D1033:D1096" si="50">E1033+F1033+G1033+H1033+I1033+J1033+L1033+M1033+N1033+O1033+P1033+Q1033+R1033+S1033+T1033+U1033+V1033+W1033+X1033+Y1033+Z1033+AA1033</f>
        <v>364206.21</v>
      </c>
      <c r="E1033" s="301">
        <v>0</v>
      </c>
      <c r="F1033" s="301">
        <v>0</v>
      </c>
      <c r="G1033" s="301">
        <v>0</v>
      </c>
      <c r="H1033" s="301">
        <v>0</v>
      </c>
      <c r="I1033" s="301">
        <v>0</v>
      </c>
      <c r="J1033" s="301">
        <v>0</v>
      </c>
      <c r="K1033" s="302">
        <v>0</v>
      </c>
      <c r="L1033" s="301">
        <v>0</v>
      </c>
      <c r="M1033" s="301">
        <v>0</v>
      </c>
      <c r="N1033" s="301">
        <v>0</v>
      </c>
      <c r="O1033" s="301">
        <v>364206.21</v>
      </c>
      <c r="P1033" s="301">
        <v>0</v>
      </c>
      <c r="Q1033" s="301">
        <v>0</v>
      </c>
      <c r="R1033" s="301">
        <v>0</v>
      </c>
      <c r="S1033" s="301">
        <v>0</v>
      </c>
      <c r="T1033" s="301">
        <v>0</v>
      </c>
      <c r="U1033" s="301">
        <v>0</v>
      </c>
      <c r="V1033" s="301">
        <v>0</v>
      </c>
      <c r="W1033" s="301">
        <v>0</v>
      </c>
      <c r="X1033" s="301">
        <v>0</v>
      </c>
      <c r="Y1033" s="301">
        <v>0</v>
      </c>
      <c r="Z1033" s="301">
        <v>0</v>
      </c>
      <c r="AA1033" s="301">
        <v>0</v>
      </c>
      <c r="AB1033" s="303" t="s">
        <v>2981</v>
      </c>
    </row>
    <row r="1034" spans="1:28" ht="35.25" customHeight="1" x14ac:dyDescent="0.5">
      <c r="A1034">
        <v>1</v>
      </c>
      <c r="B1034" s="80">
        <f>SUBTOTAL(103,$A$808:A1034)</f>
        <v>227</v>
      </c>
      <c r="C1034" s="308" t="s">
        <v>2986</v>
      </c>
      <c r="D1034" s="296">
        <f t="shared" si="50"/>
        <v>897000</v>
      </c>
      <c r="E1034" s="301">
        <v>0</v>
      </c>
      <c r="F1034" s="301">
        <v>0</v>
      </c>
      <c r="G1034" s="301">
        <v>507000</v>
      </c>
      <c r="H1034" s="301">
        <v>0</v>
      </c>
      <c r="I1034" s="301">
        <v>0</v>
      </c>
      <c r="J1034" s="301">
        <v>0</v>
      </c>
      <c r="K1034" s="302">
        <v>0</v>
      </c>
      <c r="L1034" s="301">
        <v>0</v>
      </c>
      <c r="M1034" s="301">
        <v>0</v>
      </c>
      <c r="N1034" s="301">
        <v>0</v>
      </c>
      <c r="O1034" s="301">
        <v>390000</v>
      </c>
      <c r="P1034" s="301">
        <v>0</v>
      </c>
      <c r="Q1034" s="301">
        <v>0</v>
      </c>
      <c r="R1034" s="301">
        <v>0</v>
      </c>
      <c r="S1034" s="301">
        <v>0</v>
      </c>
      <c r="T1034" s="301">
        <v>0</v>
      </c>
      <c r="U1034" s="301">
        <v>0</v>
      </c>
      <c r="V1034" s="301">
        <v>0</v>
      </c>
      <c r="W1034" s="301">
        <v>0</v>
      </c>
      <c r="X1034" s="301">
        <v>0</v>
      </c>
      <c r="Y1034" s="301">
        <v>0</v>
      </c>
      <c r="Z1034" s="301">
        <v>0</v>
      </c>
      <c r="AA1034" s="301">
        <v>0</v>
      </c>
      <c r="AB1034" s="303" t="s">
        <v>2981</v>
      </c>
    </row>
    <row r="1035" spans="1:28" ht="35.25" customHeight="1" x14ac:dyDescent="0.5">
      <c r="A1035">
        <v>1</v>
      </c>
      <c r="B1035" s="80">
        <f>SUBTOTAL(103,$A$808:A1035)</f>
        <v>228</v>
      </c>
      <c r="C1035" s="308" t="s">
        <v>2987</v>
      </c>
      <c r="D1035" s="296">
        <f t="shared" si="50"/>
        <v>704158</v>
      </c>
      <c r="E1035" s="301">
        <v>0</v>
      </c>
      <c r="F1035" s="301">
        <v>0</v>
      </c>
      <c r="G1035" s="301">
        <v>0</v>
      </c>
      <c r="H1035" s="301">
        <v>0</v>
      </c>
      <c r="I1035" s="301">
        <v>0</v>
      </c>
      <c r="J1035" s="301">
        <v>0</v>
      </c>
      <c r="K1035" s="302">
        <v>0</v>
      </c>
      <c r="L1035" s="301">
        <v>0</v>
      </c>
      <c r="M1035" s="301">
        <v>704158</v>
      </c>
      <c r="N1035" s="301">
        <v>0</v>
      </c>
      <c r="O1035" s="301">
        <v>0</v>
      </c>
      <c r="P1035" s="301">
        <v>0</v>
      </c>
      <c r="Q1035" s="301">
        <v>0</v>
      </c>
      <c r="R1035" s="301">
        <v>0</v>
      </c>
      <c r="S1035" s="301">
        <v>0</v>
      </c>
      <c r="T1035" s="301">
        <v>0</v>
      </c>
      <c r="U1035" s="301">
        <v>0</v>
      </c>
      <c r="V1035" s="301">
        <v>0</v>
      </c>
      <c r="W1035" s="301">
        <v>0</v>
      </c>
      <c r="X1035" s="301">
        <v>0</v>
      </c>
      <c r="Y1035" s="301">
        <v>0</v>
      </c>
      <c r="Z1035" s="301">
        <v>0</v>
      </c>
      <c r="AA1035" s="301">
        <v>0</v>
      </c>
      <c r="AB1035" s="303" t="s">
        <v>2981</v>
      </c>
    </row>
    <row r="1036" spans="1:28" ht="35.25" customHeight="1" x14ac:dyDescent="0.5">
      <c r="A1036">
        <v>1</v>
      </c>
      <c r="B1036" s="80">
        <f>SUBTOTAL(103,$A$808:A1036)</f>
        <v>229</v>
      </c>
      <c r="C1036" s="308" t="s">
        <v>2195</v>
      </c>
      <c r="D1036" s="296">
        <f t="shared" si="50"/>
        <v>644000.09</v>
      </c>
      <c r="E1036" s="301">
        <v>0</v>
      </c>
      <c r="F1036" s="301">
        <v>0</v>
      </c>
      <c r="G1036" s="301">
        <v>0</v>
      </c>
      <c r="H1036" s="301">
        <v>0</v>
      </c>
      <c r="I1036" s="301">
        <v>0</v>
      </c>
      <c r="J1036" s="301">
        <v>0</v>
      </c>
      <c r="K1036" s="302">
        <v>0</v>
      </c>
      <c r="L1036" s="301">
        <v>0</v>
      </c>
      <c r="M1036" s="301">
        <v>644000.09</v>
      </c>
      <c r="N1036" s="301">
        <v>0</v>
      </c>
      <c r="O1036" s="301">
        <v>0</v>
      </c>
      <c r="P1036" s="301">
        <v>0</v>
      </c>
      <c r="Q1036" s="301">
        <v>0</v>
      </c>
      <c r="R1036" s="301">
        <v>0</v>
      </c>
      <c r="S1036" s="301">
        <v>0</v>
      </c>
      <c r="T1036" s="301">
        <v>0</v>
      </c>
      <c r="U1036" s="301">
        <v>0</v>
      </c>
      <c r="V1036" s="301">
        <v>0</v>
      </c>
      <c r="W1036" s="301">
        <v>0</v>
      </c>
      <c r="X1036" s="301">
        <v>0</v>
      </c>
      <c r="Y1036" s="301">
        <v>0</v>
      </c>
      <c r="Z1036" s="301">
        <v>0</v>
      </c>
      <c r="AA1036" s="301">
        <v>0</v>
      </c>
      <c r="AB1036" s="303" t="s">
        <v>2981</v>
      </c>
    </row>
    <row r="1037" spans="1:28" ht="35.25" customHeight="1" x14ac:dyDescent="0.5">
      <c r="A1037">
        <v>1</v>
      </c>
      <c r="B1037" s="80">
        <f>SUBTOTAL(103,$A$808:A1037)</f>
        <v>230</v>
      </c>
      <c r="C1037" s="308" t="s">
        <v>2988</v>
      </c>
      <c r="D1037" s="296">
        <f t="shared" si="50"/>
        <v>597957</v>
      </c>
      <c r="E1037" s="301">
        <v>0</v>
      </c>
      <c r="F1037" s="301">
        <v>0</v>
      </c>
      <c r="G1037" s="301">
        <v>597957</v>
      </c>
      <c r="H1037" s="301">
        <v>0</v>
      </c>
      <c r="I1037" s="301">
        <v>0</v>
      </c>
      <c r="J1037" s="301">
        <v>0</v>
      </c>
      <c r="K1037" s="302">
        <v>0</v>
      </c>
      <c r="L1037" s="301">
        <v>0</v>
      </c>
      <c r="M1037" s="301">
        <v>0</v>
      </c>
      <c r="N1037" s="301">
        <v>0</v>
      </c>
      <c r="O1037" s="301">
        <v>0</v>
      </c>
      <c r="P1037" s="301">
        <v>0</v>
      </c>
      <c r="Q1037" s="301">
        <v>0</v>
      </c>
      <c r="R1037" s="301">
        <v>0</v>
      </c>
      <c r="S1037" s="301">
        <v>0</v>
      </c>
      <c r="T1037" s="301">
        <v>0</v>
      </c>
      <c r="U1037" s="301">
        <v>0</v>
      </c>
      <c r="V1037" s="301">
        <v>0</v>
      </c>
      <c r="W1037" s="301">
        <v>0</v>
      </c>
      <c r="X1037" s="301">
        <v>0</v>
      </c>
      <c r="Y1037" s="301">
        <v>0</v>
      </c>
      <c r="Z1037" s="301">
        <v>0</v>
      </c>
      <c r="AA1037" s="301">
        <v>0</v>
      </c>
      <c r="AB1037" s="303" t="s">
        <v>2981</v>
      </c>
    </row>
    <row r="1038" spans="1:28" ht="35.25" customHeight="1" x14ac:dyDescent="0.5">
      <c r="A1038">
        <v>1</v>
      </c>
      <c r="B1038" s="80">
        <f>SUBTOTAL(103,$A$808:A1038)</f>
        <v>231</v>
      </c>
      <c r="C1038" s="308" t="s">
        <v>1875</v>
      </c>
      <c r="D1038" s="296">
        <f t="shared" si="50"/>
        <v>222380.68</v>
      </c>
      <c r="E1038" s="301">
        <v>0</v>
      </c>
      <c r="F1038" s="301">
        <v>0</v>
      </c>
      <c r="G1038" s="301">
        <v>0</v>
      </c>
      <c r="H1038" s="301">
        <v>0</v>
      </c>
      <c r="I1038" s="301">
        <v>0</v>
      </c>
      <c r="J1038" s="301">
        <v>0</v>
      </c>
      <c r="K1038" s="302">
        <v>0</v>
      </c>
      <c r="L1038" s="301">
        <v>0</v>
      </c>
      <c r="M1038" s="301">
        <v>0</v>
      </c>
      <c r="N1038" s="301">
        <v>0</v>
      </c>
      <c r="O1038" s="301">
        <v>0</v>
      </c>
      <c r="P1038" s="301">
        <v>222380.68</v>
      </c>
      <c r="Q1038" s="301">
        <v>0</v>
      </c>
      <c r="R1038" s="301">
        <v>0</v>
      </c>
      <c r="S1038" s="301">
        <v>0</v>
      </c>
      <c r="T1038" s="301">
        <v>0</v>
      </c>
      <c r="U1038" s="301">
        <v>0</v>
      </c>
      <c r="V1038" s="301">
        <v>0</v>
      </c>
      <c r="W1038" s="301">
        <v>0</v>
      </c>
      <c r="X1038" s="301">
        <v>0</v>
      </c>
      <c r="Y1038" s="301">
        <v>0</v>
      </c>
      <c r="Z1038" s="301">
        <v>0</v>
      </c>
      <c r="AA1038" s="301">
        <v>0</v>
      </c>
      <c r="AB1038" s="303" t="s">
        <v>2981</v>
      </c>
    </row>
    <row r="1039" spans="1:28" ht="35.25" customHeight="1" x14ac:dyDescent="0.5">
      <c r="A1039">
        <v>1</v>
      </c>
      <c r="B1039" s="80">
        <f>SUBTOTAL(103,$A$808:A1039)</f>
        <v>232</v>
      </c>
      <c r="C1039" s="308" t="s">
        <v>2989</v>
      </c>
      <c r="D1039" s="296">
        <f t="shared" si="50"/>
        <v>89763.8</v>
      </c>
      <c r="E1039" s="301">
        <v>0</v>
      </c>
      <c r="F1039" s="301">
        <v>0</v>
      </c>
      <c r="G1039" s="301">
        <v>0</v>
      </c>
      <c r="H1039" s="301">
        <v>0</v>
      </c>
      <c r="I1039" s="301">
        <v>0</v>
      </c>
      <c r="J1039" s="301">
        <v>0</v>
      </c>
      <c r="K1039" s="302">
        <v>0</v>
      </c>
      <c r="L1039" s="301">
        <v>0</v>
      </c>
      <c r="M1039" s="301">
        <v>0</v>
      </c>
      <c r="N1039" s="301">
        <v>0</v>
      </c>
      <c r="O1039" s="301">
        <v>89763.8</v>
      </c>
      <c r="P1039" s="301">
        <v>0</v>
      </c>
      <c r="Q1039" s="301">
        <v>0</v>
      </c>
      <c r="R1039" s="301">
        <v>0</v>
      </c>
      <c r="S1039" s="301">
        <v>0</v>
      </c>
      <c r="T1039" s="301">
        <v>0</v>
      </c>
      <c r="U1039" s="301">
        <v>0</v>
      </c>
      <c r="V1039" s="301">
        <v>0</v>
      </c>
      <c r="W1039" s="301">
        <v>0</v>
      </c>
      <c r="X1039" s="301">
        <v>0</v>
      </c>
      <c r="Y1039" s="301">
        <v>0</v>
      </c>
      <c r="Z1039" s="301">
        <v>0</v>
      </c>
      <c r="AA1039" s="301">
        <v>0</v>
      </c>
      <c r="AB1039" s="303" t="s">
        <v>2981</v>
      </c>
    </row>
    <row r="1040" spans="1:28" ht="35.25" customHeight="1" x14ac:dyDescent="0.5">
      <c r="A1040">
        <v>1</v>
      </c>
      <c r="B1040" s="80">
        <f>SUBTOTAL(103,$A$808:A1040)</f>
        <v>233</v>
      </c>
      <c r="C1040" s="308" t="s">
        <v>2990</v>
      </c>
      <c r="D1040" s="296">
        <f t="shared" si="50"/>
        <v>824611.20000000007</v>
      </c>
      <c r="E1040" s="301">
        <v>0</v>
      </c>
      <c r="F1040" s="301">
        <v>0</v>
      </c>
      <c r="G1040" s="301">
        <v>607124</v>
      </c>
      <c r="H1040" s="301">
        <v>0</v>
      </c>
      <c r="I1040" s="301">
        <v>0</v>
      </c>
      <c r="J1040" s="301">
        <v>0</v>
      </c>
      <c r="K1040" s="302">
        <v>1</v>
      </c>
      <c r="L1040" s="301">
        <v>152241.04</v>
      </c>
      <c r="M1040" s="301">
        <v>0</v>
      </c>
      <c r="N1040" s="301">
        <v>0</v>
      </c>
      <c r="O1040" s="301">
        <v>65246.16</v>
      </c>
      <c r="P1040" s="301">
        <v>0</v>
      </c>
      <c r="Q1040" s="301">
        <v>0</v>
      </c>
      <c r="R1040" s="301">
        <v>0</v>
      </c>
      <c r="S1040" s="301">
        <v>0</v>
      </c>
      <c r="T1040" s="301">
        <v>0</v>
      </c>
      <c r="U1040" s="301">
        <v>0</v>
      </c>
      <c r="V1040" s="301">
        <v>0</v>
      </c>
      <c r="W1040" s="301">
        <v>0</v>
      </c>
      <c r="X1040" s="301">
        <v>0</v>
      </c>
      <c r="Y1040" s="301">
        <v>0</v>
      </c>
      <c r="Z1040" s="301">
        <v>0</v>
      </c>
      <c r="AA1040" s="301">
        <v>0</v>
      </c>
      <c r="AB1040" s="303" t="s">
        <v>2981</v>
      </c>
    </row>
    <row r="1041" spans="1:28" ht="35.25" customHeight="1" x14ac:dyDescent="0.5">
      <c r="A1041">
        <v>1</v>
      </c>
      <c r="B1041" s="80">
        <f>SUBTOTAL(103,$A$808:A1041)</f>
        <v>234</v>
      </c>
      <c r="C1041" s="308" t="s">
        <v>2991</v>
      </c>
      <c r="D1041" s="296">
        <f t="shared" si="50"/>
        <v>1996226</v>
      </c>
      <c r="E1041" s="301">
        <v>0</v>
      </c>
      <c r="F1041" s="301">
        <v>0</v>
      </c>
      <c r="G1041" s="301">
        <v>0</v>
      </c>
      <c r="H1041" s="301">
        <v>0</v>
      </c>
      <c r="I1041" s="301">
        <v>0</v>
      </c>
      <c r="J1041" s="301">
        <v>0</v>
      </c>
      <c r="K1041" s="302">
        <v>0</v>
      </c>
      <c r="L1041" s="301">
        <v>0</v>
      </c>
      <c r="M1041" s="301">
        <v>1996226</v>
      </c>
      <c r="N1041" s="301">
        <v>0</v>
      </c>
      <c r="O1041" s="301">
        <v>0</v>
      </c>
      <c r="P1041" s="301">
        <v>0</v>
      </c>
      <c r="Q1041" s="301">
        <v>0</v>
      </c>
      <c r="R1041" s="301">
        <v>0</v>
      </c>
      <c r="S1041" s="301">
        <v>0</v>
      </c>
      <c r="T1041" s="301">
        <v>0</v>
      </c>
      <c r="U1041" s="301">
        <v>0</v>
      </c>
      <c r="V1041" s="301">
        <v>0</v>
      </c>
      <c r="W1041" s="301">
        <v>0</v>
      </c>
      <c r="X1041" s="301">
        <v>0</v>
      </c>
      <c r="Y1041" s="301">
        <v>0</v>
      </c>
      <c r="Z1041" s="301">
        <v>0</v>
      </c>
      <c r="AA1041" s="301">
        <v>0</v>
      </c>
      <c r="AB1041" s="303" t="s">
        <v>2981</v>
      </c>
    </row>
    <row r="1042" spans="1:28" ht="35.25" customHeight="1" x14ac:dyDescent="0.5">
      <c r="A1042">
        <v>1</v>
      </c>
      <c r="B1042" s="80">
        <f>SUBTOTAL(103,$A$808:A1042)</f>
        <v>235</v>
      </c>
      <c r="C1042" s="308" t="s">
        <v>2992</v>
      </c>
      <c r="D1042" s="296">
        <f t="shared" si="50"/>
        <v>748470</v>
      </c>
      <c r="E1042" s="301">
        <v>0</v>
      </c>
      <c r="F1042" s="301">
        <v>0</v>
      </c>
      <c r="G1042" s="301">
        <v>0</v>
      </c>
      <c r="H1042" s="301">
        <v>0</v>
      </c>
      <c r="I1042" s="301">
        <v>0</v>
      </c>
      <c r="J1042" s="301">
        <v>0</v>
      </c>
      <c r="K1042" s="302">
        <v>0</v>
      </c>
      <c r="L1042" s="301">
        <v>0</v>
      </c>
      <c r="M1042" s="301">
        <v>0</v>
      </c>
      <c r="N1042" s="301">
        <v>748470</v>
      </c>
      <c r="O1042" s="301">
        <v>0</v>
      </c>
      <c r="P1042" s="301">
        <v>0</v>
      </c>
      <c r="Q1042" s="301">
        <v>0</v>
      </c>
      <c r="R1042" s="301">
        <v>0</v>
      </c>
      <c r="S1042" s="301">
        <v>0</v>
      </c>
      <c r="T1042" s="301">
        <v>0</v>
      </c>
      <c r="U1042" s="301">
        <v>0</v>
      </c>
      <c r="V1042" s="301">
        <v>0</v>
      </c>
      <c r="W1042" s="301">
        <v>0</v>
      </c>
      <c r="X1042" s="301">
        <v>0</v>
      </c>
      <c r="Y1042" s="301">
        <v>0</v>
      </c>
      <c r="Z1042" s="301">
        <v>0</v>
      </c>
      <c r="AA1042" s="301">
        <v>0</v>
      </c>
      <c r="AB1042" s="303" t="s">
        <v>2981</v>
      </c>
    </row>
    <row r="1043" spans="1:28" ht="35.25" customHeight="1" x14ac:dyDescent="0.5">
      <c r="A1043">
        <v>1</v>
      </c>
      <c r="B1043" s="80">
        <f>SUBTOTAL(103,$A$808:A1043)</f>
        <v>236</v>
      </c>
      <c r="C1043" s="308" t="s">
        <v>2993</v>
      </c>
      <c r="D1043" s="296">
        <f t="shared" si="50"/>
        <v>509711</v>
      </c>
      <c r="E1043" s="301">
        <v>0</v>
      </c>
      <c r="F1043" s="301">
        <v>0</v>
      </c>
      <c r="G1043" s="301">
        <v>0</v>
      </c>
      <c r="H1043" s="301">
        <v>0</v>
      </c>
      <c r="I1043" s="301">
        <v>0</v>
      </c>
      <c r="J1043" s="301">
        <v>0</v>
      </c>
      <c r="K1043" s="302">
        <v>0</v>
      </c>
      <c r="L1043" s="301">
        <v>0</v>
      </c>
      <c r="M1043" s="301">
        <v>232230</v>
      </c>
      <c r="N1043" s="301">
        <v>277481</v>
      </c>
      <c r="O1043" s="301">
        <v>0</v>
      </c>
      <c r="P1043" s="301">
        <v>0</v>
      </c>
      <c r="Q1043" s="301">
        <v>0</v>
      </c>
      <c r="R1043" s="301">
        <v>0</v>
      </c>
      <c r="S1043" s="301">
        <v>0</v>
      </c>
      <c r="T1043" s="301">
        <v>0</v>
      </c>
      <c r="U1043" s="301">
        <v>0</v>
      </c>
      <c r="V1043" s="301">
        <v>0</v>
      </c>
      <c r="W1043" s="301">
        <v>0</v>
      </c>
      <c r="X1043" s="301">
        <v>0</v>
      </c>
      <c r="Y1043" s="301">
        <v>0</v>
      </c>
      <c r="Z1043" s="301">
        <v>0</v>
      </c>
      <c r="AA1043" s="301">
        <v>0</v>
      </c>
      <c r="AB1043" s="303" t="s">
        <v>2981</v>
      </c>
    </row>
    <row r="1044" spans="1:28" ht="35.25" customHeight="1" x14ac:dyDescent="0.5">
      <c r="A1044">
        <v>1</v>
      </c>
      <c r="B1044" s="80">
        <f>SUBTOTAL(103,$A$808:A1044)</f>
        <v>237</v>
      </c>
      <c r="C1044" s="308" t="s">
        <v>1880</v>
      </c>
      <c r="D1044" s="296">
        <f t="shared" si="50"/>
        <v>4341571.7</v>
      </c>
      <c r="E1044" s="301">
        <v>0</v>
      </c>
      <c r="F1044" s="301">
        <v>0</v>
      </c>
      <c r="G1044" s="301">
        <v>0</v>
      </c>
      <c r="H1044" s="301">
        <v>0</v>
      </c>
      <c r="I1044" s="301">
        <v>0</v>
      </c>
      <c r="J1044" s="301">
        <v>0</v>
      </c>
      <c r="K1044" s="302">
        <v>0</v>
      </c>
      <c r="L1044" s="301">
        <v>0</v>
      </c>
      <c r="M1044" s="301">
        <v>3565403.4</v>
      </c>
      <c r="N1044" s="301">
        <v>0</v>
      </c>
      <c r="O1044" s="301">
        <v>776168.3</v>
      </c>
      <c r="P1044" s="301">
        <v>0</v>
      </c>
      <c r="Q1044" s="301">
        <v>0</v>
      </c>
      <c r="R1044" s="301">
        <v>0</v>
      </c>
      <c r="S1044" s="301">
        <v>0</v>
      </c>
      <c r="T1044" s="301">
        <v>0</v>
      </c>
      <c r="U1044" s="301">
        <v>0</v>
      </c>
      <c r="V1044" s="301">
        <v>0</v>
      </c>
      <c r="W1044" s="301">
        <v>0</v>
      </c>
      <c r="X1044" s="301">
        <v>0</v>
      </c>
      <c r="Y1044" s="301">
        <v>0</v>
      </c>
      <c r="Z1044" s="301">
        <v>0</v>
      </c>
      <c r="AA1044" s="301">
        <v>0</v>
      </c>
      <c r="AB1044" s="303" t="s">
        <v>2981</v>
      </c>
    </row>
    <row r="1045" spans="1:28" ht="35.25" customHeight="1" x14ac:dyDescent="0.5">
      <c r="A1045">
        <v>1</v>
      </c>
      <c r="B1045" s="80">
        <f>SUBTOTAL(103,$A$808:A1045)</f>
        <v>238</v>
      </c>
      <c r="C1045" s="308" t="s">
        <v>2994</v>
      </c>
      <c r="D1045" s="296">
        <f t="shared" si="50"/>
        <v>1065756</v>
      </c>
      <c r="E1045" s="301">
        <v>341293</v>
      </c>
      <c r="F1045" s="301">
        <v>0</v>
      </c>
      <c r="G1045" s="301">
        <v>0</v>
      </c>
      <c r="H1045" s="301">
        <v>0</v>
      </c>
      <c r="I1045" s="301">
        <v>0</v>
      </c>
      <c r="J1045" s="301">
        <v>0</v>
      </c>
      <c r="K1045" s="302">
        <v>0</v>
      </c>
      <c r="L1045" s="301">
        <v>0</v>
      </c>
      <c r="M1045" s="301">
        <v>0</v>
      </c>
      <c r="N1045" s="301">
        <v>0</v>
      </c>
      <c r="O1045" s="301">
        <v>724463</v>
      </c>
      <c r="P1045" s="301">
        <v>0</v>
      </c>
      <c r="Q1045" s="301">
        <v>0</v>
      </c>
      <c r="R1045" s="301">
        <v>0</v>
      </c>
      <c r="S1045" s="301">
        <v>0</v>
      </c>
      <c r="T1045" s="301">
        <v>0</v>
      </c>
      <c r="U1045" s="301">
        <v>0</v>
      </c>
      <c r="V1045" s="301">
        <v>0</v>
      </c>
      <c r="W1045" s="301">
        <v>0</v>
      </c>
      <c r="X1045" s="301">
        <v>0</v>
      </c>
      <c r="Y1045" s="301">
        <v>0</v>
      </c>
      <c r="Z1045" s="301">
        <v>0</v>
      </c>
      <c r="AA1045" s="301">
        <v>0</v>
      </c>
      <c r="AB1045" s="303" t="s">
        <v>2981</v>
      </c>
    </row>
    <row r="1046" spans="1:28" ht="35.25" customHeight="1" x14ac:dyDescent="0.5">
      <c r="A1046">
        <v>1</v>
      </c>
      <c r="B1046" s="80">
        <f>SUBTOTAL(103,$A$808:A1046)</f>
        <v>239</v>
      </c>
      <c r="C1046" s="308" t="s">
        <v>2995</v>
      </c>
      <c r="D1046" s="296">
        <f t="shared" si="50"/>
        <v>351000</v>
      </c>
      <c r="E1046" s="301">
        <v>0</v>
      </c>
      <c r="F1046" s="301">
        <v>0</v>
      </c>
      <c r="G1046" s="301">
        <v>0</v>
      </c>
      <c r="H1046" s="301">
        <v>0</v>
      </c>
      <c r="I1046" s="301">
        <v>0</v>
      </c>
      <c r="J1046" s="301">
        <v>0</v>
      </c>
      <c r="K1046" s="302">
        <v>0</v>
      </c>
      <c r="L1046" s="301">
        <v>0</v>
      </c>
      <c r="M1046" s="301">
        <v>351000</v>
      </c>
      <c r="N1046" s="301">
        <v>0</v>
      </c>
      <c r="O1046" s="301">
        <v>0</v>
      </c>
      <c r="P1046" s="301">
        <v>0</v>
      </c>
      <c r="Q1046" s="301">
        <v>0</v>
      </c>
      <c r="R1046" s="301">
        <v>0</v>
      </c>
      <c r="S1046" s="301">
        <v>0</v>
      </c>
      <c r="T1046" s="301">
        <v>0</v>
      </c>
      <c r="U1046" s="301">
        <v>0</v>
      </c>
      <c r="V1046" s="301">
        <v>0</v>
      </c>
      <c r="W1046" s="301">
        <v>0</v>
      </c>
      <c r="X1046" s="301">
        <v>0</v>
      </c>
      <c r="Y1046" s="301">
        <v>0</v>
      </c>
      <c r="Z1046" s="301">
        <v>0</v>
      </c>
      <c r="AA1046" s="301">
        <v>0</v>
      </c>
      <c r="AB1046" s="303" t="s">
        <v>2981</v>
      </c>
    </row>
    <row r="1047" spans="1:28" ht="35.25" customHeight="1" x14ac:dyDescent="0.5">
      <c r="A1047">
        <v>1</v>
      </c>
      <c r="B1047" s="80">
        <f>SUBTOTAL(103,$A$808:A1047)</f>
        <v>240</v>
      </c>
      <c r="C1047" s="308" t="s">
        <v>2996</v>
      </c>
      <c r="D1047" s="296">
        <f t="shared" si="50"/>
        <v>1319281</v>
      </c>
      <c r="E1047" s="301">
        <v>0</v>
      </c>
      <c r="F1047" s="301">
        <v>0</v>
      </c>
      <c r="G1047" s="301">
        <v>0</v>
      </c>
      <c r="H1047" s="301">
        <v>0</v>
      </c>
      <c r="I1047" s="301">
        <v>0</v>
      </c>
      <c r="J1047" s="301">
        <v>0</v>
      </c>
      <c r="K1047" s="302">
        <v>0</v>
      </c>
      <c r="L1047" s="301">
        <v>0</v>
      </c>
      <c r="M1047" s="301">
        <v>1319281</v>
      </c>
      <c r="N1047" s="301">
        <v>0</v>
      </c>
      <c r="O1047" s="301">
        <v>0</v>
      </c>
      <c r="P1047" s="301">
        <v>0</v>
      </c>
      <c r="Q1047" s="301">
        <v>0</v>
      </c>
      <c r="R1047" s="301">
        <v>0</v>
      </c>
      <c r="S1047" s="301">
        <v>0</v>
      </c>
      <c r="T1047" s="301">
        <v>0</v>
      </c>
      <c r="U1047" s="301">
        <v>0</v>
      </c>
      <c r="V1047" s="301">
        <v>0</v>
      </c>
      <c r="W1047" s="301">
        <v>0</v>
      </c>
      <c r="X1047" s="301">
        <v>0</v>
      </c>
      <c r="Y1047" s="301">
        <v>0</v>
      </c>
      <c r="Z1047" s="301">
        <v>0</v>
      </c>
      <c r="AA1047" s="301">
        <v>0</v>
      </c>
      <c r="AB1047" s="303" t="s">
        <v>2981</v>
      </c>
    </row>
    <row r="1048" spans="1:28" ht="35.25" customHeight="1" x14ac:dyDescent="0.5">
      <c r="A1048">
        <v>1</v>
      </c>
      <c r="B1048" s="80">
        <f>SUBTOTAL(103,$A$808:A1048)</f>
        <v>241</v>
      </c>
      <c r="C1048" s="308" t="s">
        <v>1634</v>
      </c>
      <c r="D1048" s="296">
        <f t="shared" si="50"/>
        <v>378007.2</v>
      </c>
      <c r="E1048" s="301">
        <v>0</v>
      </c>
      <c r="F1048" s="301">
        <v>0</v>
      </c>
      <c r="G1048" s="301">
        <v>0</v>
      </c>
      <c r="H1048" s="301">
        <v>0</v>
      </c>
      <c r="I1048" s="301">
        <v>0</v>
      </c>
      <c r="J1048" s="301">
        <v>0</v>
      </c>
      <c r="K1048" s="302">
        <v>1</v>
      </c>
      <c r="L1048" s="301">
        <v>378007.2</v>
      </c>
      <c r="M1048" s="301">
        <v>0</v>
      </c>
      <c r="N1048" s="301">
        <v>0</v>
      </c>
      <c r="O1048" s="301">
        <v>0</v>
      </c>
      <c r="P1048" s="301">
        <v>0</v>
      </c>
      <c r="Q1048" s="301">
        <v>0</v>
      </c>
      <c r="R1048" s="301">
        <v>0</v>
      </c>
      <c r="S1048" s="301">
        <v>0</v>
      </c>
      <c r="T1048" s="301">
        <v>0</v>
      </c>
      <c r="U1048" s="301">
        <v>0</v>
      </c>
      <c r="V1048" s="301">
        <v>0</v>
      </c>
      <c r="W1048" s="301">
        <v>0</v>
      </c>
      <c r="X1048" s="301">
        <v>0</v>
      </c>
      <c r="Y1048" s="301">
        <v>0</v>
      </c>
      <c r="Z1048" s="301">
        <v>0</v>
      </c>
      <c r="AA1048" s="301">
        <v>0</v>
      </c>
      <c r="AB1048" s="303" t="s">
        <v>2981</v>
      </c>
    </row>
    <row r="1049" spans="1:28" ht="35.25" customHeight="1" x14ac:dyDescent="0.5">
      <c r="A1049">
        <v>1</v>
      </c>
      <c r="B1049" s="80">
        <f>SUBTOTAL(103,$A$808:A1049)</f>
        <v>242</v>
      </c>
      <c r="C1049" s="308" t="s">
        <v>2997</v>
      </c>
      <c r="D1049" s="296">
        <f t="shared" si="50"/>
        <v>19485</v>
      </c>
      <c r="E1049" s="301">
        <v>0</v>
      </c>
      <c r="F1049" s="301">
        <v>0</v>
      </c>
      <c r="G1049" s="301">
        <v>19485</v>
      </c>
      <c r="H1049" s="301">
        <v>0</v>
      </c>
      <c r="I1049" s="301">
        <v>0</v>
      </c>
      <c r="J1049" s="301">
        <v>0</v>
      </c>
      <c r="K1049" s="302">
        <v>0</v>
      </c>
      <c r="L1049" s="301">
        <v>0</v>
      </c>
      <c r="M1049" s="301">
        <v>0</v>
      </c>
      <c r="N1049" s="301">
        <v>0</v>
      </c>
      <c r="O1049" s="301">
        <v>0</v>
      </c>
      <c r="P1049" s="301">
        <v>0</v>
      </c>
      <c r="Q1049" s="301">
        <v>0</v>
      </c>
      <c r="R1049" s="301">
        <v>0</v>
      </c>
      <c r="S1049" s="301">
        <v>0</v>
      </c>
      <c r="T1049" s="301">
        <v>0</v>
      </c>
      <c r="U1049" s="301">
        <v>0</v>
      </c>
      <c r="V1049" s="301">
        <v>0</v>
      </c>
      <c r="W1049" s="301">
        <v>0</v>
      </c>
      <c r="X1049" s="301">
        <v>0</v>
      </c>
      <c r="Y1049" s="301">
        <v>0</v>
      </c>
      <c r="Z1049" s="301">
        <v>0</v>
      </c>
      <c r="AA1049" s="301">
        <v>0</v>
      </c>
      <c r="AB1049" s="303" t="s">
        <v>2981</v>
      </c>
    </row>
    <row r="1050" spans="1:28" ht="35.25" customHeight="1" x14ac:dyDescent="0.5">
      <c r="A1050">
        <v>1</v>
      </c>
      <c r="B1050" s="80">
        <f>SUBTOTAL(103,$A$808:A1050)</f>
        <v>243</v>
      </c>
      <c r="C1050" s="308" t="s">
        <v>2998</v>
      </c>
      <c r="D1050" s="296">
        <f t="shared" si="50"/>
        <v>136237.64000000001</v>
      </c>
      <c r="E1050" s="301">
        <v>0</v>
      </c>
      <c r="F1050" s="301">
        <v>0</v>
      </c>
      <c r="G1050" s="301">
        <v>0</v>
      </c>
      <c r="H1050" s="301">
        <v>0</v>
      </c>
      <c r="I1050" s="301">
        <v>0</v>
      </c>
      <c r="J1050" s="301">
        <v>0</v>
      </c>
      <c r="K1050" s="302">
        <v>1</v>
      </c>
      <c r="L1050" s="301">
        <v>136237.64000000001</v>
      </c>
      <c r="M1050" s="301">
        <v>0</v>
      </c>
      <c r="N1050" s="301">
        <v>0</v>
      </c>
      <c r="O1050" s="301">
        <v>0</v>
      </c>
      <c r="P1050" s="301">
        <v>0</v>
      </c>
      <c r="Q1050" s="301">
        <v>0</v>
      </c>
      <c r="R1050" s="301">
        <v>0</v>
      </c>
      <c r="S1050" s="301">
        <v>0</v>
      </c>
      <c r="T1050" s="301">
        <v>0</v>
      </c>
      <c r="U1050" s="301">
        <v>0</v>
      </c>
      <c r="V1050" s="301">
        <v>0</v>
      </c>
      <c r="W1050" s="301">
        <v>0</v>
      </c>
      <c r="X1050" s="301">
        <v>0</v>
      </c>
      <c r="Y1050" s="301">
        <v>0</v>
      </c>
      <c r="Z1050" s="301">
        <v>0</v>
      </c>
      <c r="AA1050" s="301">
        <v>0</v>
      </c>
      <c r="AB1050" s="303" t="s">
        <v>2981</v>
      </c>
    </row>
    <row r="1051" spans="1:28" ht="35.25" customHeight="1" x14ac:dyDescent="0.5">
      <c r="A1051">
        <v>1</v>
      </c>
      <c r="B1051" s="80">
        <f>SUBTOTAL(103,$A$808:A1051)</f>
        <v>244</v>
      </c>
      <c r="C1051" s="308" t="s">
        <v>1889</v>
      </c>
      <c r="D1051" s="296">
        <f t="shared" si="50"/>
        <v>518000</v>
      </c>
      <c r="E1051" s="301">
        <v>0</v>
      </c>
      <c r="F1051" s="301">
        <v>0</v>
      </c>
      <c r="G1051" s="301">
        <v>133600</v>
      </c>
      <c r="H1051" s="301">
        <v>0</v>
      </c>
      <c r="I1051" s="301">
        <v>0</v>
      </c>
      <c r="J1051" s="301">
        <v>0</v>
      </c>
      <c r="K1051" s="302">
        <v>0</v>
      </c>
      <c r="L1051" s="301">
        <v>0</v>
      </c>
      <c r="M1051" s="301">
        <v>0</v>
      </c>
      <c r="N1051" s="301">
        <v>0</v>
      </c>
      <c r="O1051" s="301">
        <v>384400</v>
      </c>
      <c r="P1051" s="301">
        <v>0</v>
      </c>
      <c r="Q1051" s="301">
        <v>0</v>
      </c>
      <c r="R1051" s="301">
        <v>0</v>
      </c>
      <c r="S1051" s="301">
        <v>0</v>
      </c>
      <c r="T1051" s="301">
        <v>0</v>
      </c>
      <c r="U1051" s="301">
        <v>0</v>
      </c>
      <c r="V1051" s="301">
        <v>0</v>
      </c>
      <c r="W1051" s="301">
        <v>0</v>
      </c>
      <c r="X1051" s="301">
        <v>0</v>
      </c>
      <c r="Y1051" s="301">
        <v>0</v>
      </c>
      <c r="Z1051" s="301">
        <v>0</v>
      </c>
      <c r="AA1051" s="301">
        <v>0</v>
      </c>
      <c r="AB1051" s="303" t="s">
        <v>2981</v>
      </c>
    </row>
    <row r="1052" spans="1:28" ht="35.25" customHeight="1" x14ac:dyDescent="0.5">
      <c r="A1052">
        <v>1</v>
      </c>
      <c r="B1052" s="80">
        <f>SUBTOTAL(103,$A$808:A1052)</f>
        <v>245</v>
      </c>
      <c r="C1052" s="308" t="s">
        <v>1891</v>
      </c>
      <c r="D1052" s="296">
        <f t="shared" si="50"/>
        <v>151835</v>
      </c>
      <c r="E1052" s="301">
        <v>0</v>
      </c>
      <c r="F1052" s="301">
        <v>0</v>
      </c>
      <c r="G1052" s="301">
        <v>41890</v>
      </c>
      <c r="H1052" s="301">
        <v>0</v>
      </c>
      <c r="I1052" s="301">
        <v>0</v>
      </c>
      <c r="J1052" s="301">
        <v>0</v>
      </c>
      <c r="K1052" s="302">
        <v>0</v>
      </c>
      <c r="L1052" s="301">
        <v>0</v>
      </c>
      <c r="M1052" s="301">
        <v>0</v>
      </c>
      <c r="N1052" s="301">
        <v>109945</v>
      </c>
      <c r="O1052" s="301">
        <v>0</v>
      </c>
      <c r="P1052" s="301">
        <v>0</v>
      </c>
      <c r="Q1052" s="301">
        <v>0</v>
      </c>
      <c r="R1052" s="301">
        <v>0</v>
      </c>
      <c r="S1052" s="301">
        <v>0</v>
      </c>
      <c r="T1052" s="301">
        <v>0</v>
      </c>
      <c r="U1052" s="301">
        <v>0</v>
      </c>
      <c r="V1052" s="301">
        <v>0</v>
      </c>
      <c r="W1052" s="301">
        <v>0</v>
      </c>
      <c r="X1052" s="301">
        <v>0</v>
      </c>
      <c r="Y1052" s="301">
        <v>0</v>
      </c>
      <c r="Z1052" s="301">
        <v>0</v>
      </c>
      <c r="AA1052" s="301">
        <v>0</v>
      </c>
      <c r="AB1052" s="303" t="s">
        <v>2981</v>
      </c>
    </row>
    <row r="1053" spans="1:28" ht="35.25" customHeight="1" x14ac:dyDescent="0.5">
      <c r="A1053">
        <v>1</v>
      </c>
      <c r="B1053" s="80">
        <f>SUBTOTAL(103,$A$808:A1053)</f>
        <v>246</v>
      </c>
      <c r="C1053" s="308" t="s">
        <v>2343</v>
      </c>
      <c r="D1053" s="296">
        <f t="shared" si="50"/>
        <v>3226208.9</v>
      </c>
      <c r="E1053" s="301">
        <v>0</v>
      </c>
      <c r="F1053" s="301">
        <v>0</v>
      </c>
      <c r="G1053" s="301">
        <v>982030</v>
      </c>
      <c r="H1053" s="301">
        <v>0</v>
      </c>
      <c r="I1053" s="301">
        <v>146178.9</v>
      </c>
      <c r="J1053" s="301">
        <v>0</v>
      </c>
      <c r="K1053" s="302">
        <v>0</v>
      </c>
      <c r="L1053" s="301">
        <v>0</v>
      </c>
      <c r="M1053" s="301">
        <v>1468600</v>
      </c>
      <c r="N1053" s="301">
        <v>0</v>
      </c>
      <c r="O1053" s="301">
        <v>629400</v>
      </c>
      <c r="P1053" s="301">
        <v>0</v>
      </c>
      <c r="Q1053" s="301">
        <v>0</v>
      </c>
      <c r="R1053" s="301">
        <v>0</v>
      </c>
      <c r="S1053" s="301">
        <v>0</v>
      </c>
      <c r="T1053" s="301">
        <v>0</v>
      </c>
      <c r="U1053" s="301">
        <v>0</v>
      </c>
      <c r="V1053" s="301">
        <v>0</v>
      </c>
      <c r="W1053" s="301">
        <v>0</v>
      </c>
      <c r="X1053" s="301">
        <v>0</v>
      </c>
      <c r="Y1053" s="301">
        <v>0</v>
      </c>
      <c r="Z1053" s="301">
        <v>0</v>
      </c>
      <c r="AA1053" s="301">
        <v>0</v>
      </c>
      <c r="AB1053" s="303" t="s">
        <v>2981</v>
      </c>
    </row>
    <row r="1054" spans="1:28" ht="35.25" customHeight="1" x14ac:dyDescent="0.5">
      <c r="A1054">
        <v>1</v>
      </c>
      <c r="B1054" s="80">
        <f>SUBTOTAL(103,$A$808:A1054)</f>
        <v>247</v>
      </c>
      <c r="C1054" s="308" t="s">
        <v>2999</v>
      </c>
      <c r="D1054" s="296">
        <f t="shared" si="50"/>
        <v>95898.57</v>
      </c>
      <c r="E1054" s="301">
        <v>0</v>
      </c>
      <c r="F1054" s="301">
        <v>0</v>
      </c>
      <c r="G1054" s="301">
        <v>0</v>
      </c>
      <c r="H1054" s="301">
        <v>0</v>
      </c>
      <c r="I1054" s="301">
        <v>0</v>
      </c>
      <c r="J1054" s="301">
        <v>0</v>
      </c>
      <c r="K1054" s="302">
        <v>0</v>
      </c>
      <c r="L1054" s="301">
        <v>0</v>
      </c>
      <c r="M1054" s="301">
        <v>0</v>
      </c>
      <c r="N1054" s="301">
        <v>0</v>
      </c>
      <c r="O1054" s="301">
        <v>95898.57</v>
      </c>
      <c r="P1054" s="301">
        <v>0</v>
      </c>
      <c r="Q1054" s="301">
        <v>0</v>
      </c>
      <c r="R1054" s="301">
        <v>0</v>
      </c>
      <c r="S1054" s="301">
        <v>0</v>
      </c>
      <c r="T1054" s="301">
        <v>0</v>
      </c>
      <c r="U1054" s="301">
        <v>0</v>
      </c>
      <c r="V1054" s="301">
        <v>0</v>
      </c>
      <c r="W1054" s="301">
        <v>0</v>
      </c>
      <c r="X1054" s="301">
        <v>0</v>
      </c>
      <c r="Y1054" s="301">
        <v>0</v>
      </c>
      <c r="Z1054" s="301">
        <v>0</v>
      </c>
      <c r="AA1054" s="301">
        <v>0</v>
      </c>
      <c r="AB1054" s="303" t="s">
        <v>2981</v>
      </c>
    </row>
    <row r="1055" spans="1:28" ht="35.25" customHeight="1" x14ac:dyDescent="0.5">
      <c r="A1055">
        <v>1</v>
      </c>
      <c r="B1055" s="80">
        <f>SUBTOTAL(103,$A$808:A1055)</f>
        <v>248</v>
      </c>
      <c r="C1055" s="308" t="s">
        <v>3000</v>
      </c>
      <c r="D1055" s="296">
        <f t="shared" si="50"/>
        <v>616000</v>
      </c>
      <c r="E1055" s="301">
        <v>0</v>
      </c>
      <c r="F1055" s="301">
        <v>0</v>
      </c>
      <c r="G1055" s="301">
        <v>0</v>
      </c>
      <c r="H1055" s="301">
        <v>0</v>
      </c>
      <c r="I1055" s="301">
        <v>0</v>
      </c>
      <c r="J1055" s="301">
        <v>0</v>
      </c>
      <c r="K1055" s="302">
        <v>0</v>
      </c>
      <c r="L1055" s="301">
        <v>0</v>
      </c>
      <c r="M1055" s="301">
        <v>616000</v>
      </c>
      <c r="N1055" s="301">
        <v>0</v>
      </c>
      <c r="O1055" s="301">
        <v>0</v>
      </c>
      <c r="P1055" s="301">
        <v>0</v>
      </c>
      <c r="Q1055" s="301">
        <v>0</v>
      </c>
      <c r="R1055" s="301">
        <v>0</v>
      </c>
      <c r="S1055" s="301">
        <v>0</v>
      </c>
      <c r="T1055" s="301">
        <v>0</v>
      </c>
      <c r="U1055" s="301">
        <v>0</v>
      </c>
      <c r="V1055" s="301">
        <v>0</v>
      </c>
      <c r="W1055" s="301">
        <v>0</v>
      </c>
      <c r="X1055" s="301">
        <v>0</v>
      </c>
      <c r="Y1055" s="301">
        <v>0</v>
      </c>
      <c r="Z1055" s="301">
        <v>0</v>
      </c>
      <c r="AA1055" s="301">
        <v>0</v>
      </c>
      <c r="AB1055" s="303" t="s">
        <v>2981</v>
      </c>
    </row>
    <row r="1056" spans="1:28" ht="35.25" customHeight="1" x14ac:dyDescent="0.5">
      <c r="A1056">
        <v>1</v>
      </c>
      <c r="B1056" s="80">
        <f>SUBTOTAL(103,$A$808:A1056)</f>
        <v>249</v>
      </c>
      <c r="C1056" s="308" t="s">
        <v>1898</v>
      </c>
      <c r="D1056" s="296">
        <f t="shared" si="50"/>
        <v>776258</v>
      </c>
      <c r="E1056" s="301">
        <v>0</v>
      </c>
      <c r="F1056" s="301">
        <v>0</v>
      </c>
      <c r="G1056" s="301">
        <v>0</v>
      </c>
      <c r="H1056" s="301">
        <v>0</v>
      </c>
      <c r="I1056" s="301">
        <v>0</v>
      </c>
      <c r="J1056" s="301">
        <v>0</v>
      </c>
      <c r="K1056" s="302">
        <v>0</v>
      </c>
      <c r="L1056" s="301">
        <v>0</v>
      </c>
      <c r="M1056" s="301">
        <v>776258</v>
      </c>
      <c r="N1056" s="301">
        <v>0</v>
      </c>
      <c r="O1056" s="301">
        <v>0</v>
      </c>
      <c r="P1056" s="301">
        <v>0</v>
      </c>
      <c r="Q1056" s="301">
        <v>0</v>
      </c>
      <c r="R1056" s="301">
        <v>0</v>
      </c>
      <c r="S1056" s="301">
        <v>0</v>
      </c>
      <c r="T1056" s="301">
        <v>0</v>
      </c>
      <c r="U1056" s="301">
        <v>0</v>
      </c>
      <c r="V1056" s="301">
        <v>0</v>
      </c>
      <c r="W1056" s="301">
        <v>0</v>
      </c>
      <c r="X1056" s="301">
        <v>0</v>
      </c>
      <c r="Y1056" s="301">
        <v>0</v>
      </c>
      <c r="Z1056" s="301">
        <v>0</v>
      </c>
      <c r="AA1056" s="301">
        <v>0</v>
      </c>
      <c r="AB1056" s="303" t="s">
        <v>2981</v>
      </c>
    </row>
    <row r="1057" spans="1:28" ht="35.25" customHeight="1" x14ac:dyDescent="0.5">
      <c r="A1057">
        <v>1</v>
      </c>
      <c r="B1057" s="80">
        <f>SUBTOTAL(103,$A$808:A1057)</f>
        <v>250</v>
      </c>
      <c r="C1057" s="308" t="s">
        <v>1645</v>
      </c>
      <c r="D1057" s="296">
        <f t="shared" si="50"/>
        <v>125000</v>
      </c>
      <c r="E1057" s="301">
        <v>0</v>
      </c>
      <c r="F1057" s="301">
        <v>0</v>
      </c>
      <c r="G1057" s="301">
        <v>0</v>
      </c>
      <c r="H1057" s="301">
        <v>0</v>
      </c>
      <c r="I1057" s="301">
        <v>0</v>
      </c>
      <c r="J1057" s="301">
        <v>0</v>
      </c>
      <c r="K1057" s="302">
        <v>0</v>
      </c>
      <c r="L1057" s="301">
        <v>0</v>
      </c>
      <c r="M1057" s="301">
        <v>0</v>
      </c>
      <c r="N1057" s="301">
        <v>0</v>
      </c>
      <c r="O1057" s="301">
        <v>125000</v>
      </c>
      <c r="P1057" s="301">
        <v>0</v>
      </c>
      <c r="Q1057" s="301">
        <v>0</v>
      </c>
      <c r="R1057" s="301">
        <v>0</v>
      </c>
      <c r="S1057" s="301">
        <v>0</v>
      </c>
      <c r="T1057" s="301">
        <v>0</v>
      </c>
      <c r="U1057" s="301">
        <v>0</v>
      </c>
      <c r="V1057" s="301">
        <v>0</v>
      </c>
      <c r="W1057" s="301">
        <v>0</v>
      </c>
      <c r="X1057" s="301">
        <v>0</v>
      </c>
      <c r="Y1057" s="301">
        <v>0</v>
      </c>
      <c r="Z1057" s="301">
        <v>0</v>
      </c>
      <c r="AA1057" s="301">
        <v>0</v>
      </c>
      <c r="AB1057" s="303" t="s">
        <v>2981</v>
      </c>
    </row>
    <row r="1058" spans="1:28" ht="35.25" customHeight="1" x14ac:dyDescent="0.5">
      <c r="A1058">
        <v>1</v>
      </c>
      <c r="B1058" s="80">
        <f>SUBTOTAL(103,$A$808:A1058)</f>
        <v>251</v>
      </c>
      <c r="C1058" s="308" t="s">
        <v>3001</v>
      </c>
      <c r="D1058" s="296">
        <f t="shared" si="50"/>
        <v>509824</v>
      </c>
      <c r="E1058" s="301">
        <v>0</v>
      </c>
      <c r="F1058" s="301">
        <v>0</v>
      </c>
      <c r="G1058" s="301">
        <v>0</v>
      </c>
      <c r="H1058" s="301">
        <v>0</v>
      </c>
      <c r="I1058" s="301">
        <v>0</v>
      </c>
      <c r="J1058" s="301">
        <v>0</v>
      </c>
      <c r="K1058" s="302">
        <v>0</v>
      </c>
      <c r="L1058" s="301">
        <v>0</v>
      </c>
      <c r="M1058" s="301">
        <v>0</v>
      </c>
      <c r="N1058" s="301">
        <v>419880</v>
      </c>
      <c r="O1058" s="301">
        <v>89944</v>
      </c>
      <c r="P1058" s="301">
        <v>0</v>
      </c>
      <c r="Q1058" s="301">
        <v>0</v>
      </c>
      <c r="R1058" s="301">
        <v>0</v>
      </c>
      <c r="S1058" s="301">
        <v>0</v>
      </c>
      <c r="T1058" s="301">
        <v>0</v>
      </c>
      <c r="U1058" s="301">
        <v>0</v>
      </c>
      <c r="V1058" s="301">
        <v>0</v>
      </c>
      <c r="W1058" s="301">
        <v>0</v>
      </c>
      <c r="X1058" s="301">
        <v>0</v>
      </c>
      <c r="Y1058" s="301">
        <v>0</v>
      </c>
      <c r="Z1058" s="301">
        <v>0</v>
      </c>
      <c r="AA1058" s="301">
        <v>0</v>
      </c>
      <c r="AB1058" s="303" t="s">
        <v>2981</v>
      </c>
    </row>
    <row r="1059" spans="1:28" ht="35.25" customHeight="1" x14ac:dyDescent="0.5">
      <c r="A1059">
        <v>1</v>
      </c>
      <c r="B1059" s="80">
        <f>SUBTOTAL(103,$A$808:A1059)</f>
        <v>252</v>
      </c>
      <c r="C1059" s="308" t="s">
        <v>3002</v>
      </c>
      <c r="D1059" s="296">
        <f t="shared" si="50"/>
        <v>698000</v>
      </c>
      <c r="E1059" s="301">
        <v>0</v>
      </c>
      <c r="F1059" s="301">
        <v>0</v>
      </c>
      <c r="G1059" s="301">
        <v>698000</v>
      </c>
      <c r="H1059" s="301">
        <v>0</v>
      </c>
      <c r="I1059" s="301">
        <v>0</v>
      </c>
      <c r="J1059" s="301">
        <v>0</v>
      </c>
      <c r="K1059" s="302">
        <v>0</v>
      </c>
      <c r="L1059" s="301">
        <v>0</v>
      </c>
      <c r="M1059" s="301">
        <v>0</v>
      </c>
      <c r="N1059" s="301">
        <v>0</v>
      </c>
      <c r="O1059" s="301">
        <v>0</v>
      </c>
      <c r="P1059" s="301">
        <v>0</v>
      </c>
      <c r="Q1059" s="301">
        <v>0</v>
      </c>
      <c r="R1059" s="301">
        <v>0</v>
      </c>
      <c r="S1059" s="301">
        <v>0</v>
      </c>
      <c r="T1059" s="301">
        <v>0</v>
      </c>
      <c r="U1059" s="301">
        <v>0</v>
      </c>
      <c r="V1059" s="301">
        <v>0</v>
      </c>
      <c r="W1059" s="301">
        <v>0</v>
      </c>
      <c r="X1059" s="301">
        <v>0</v>
      </c>
      <c r="Y1059" s="301">
        <v>0</v>
      </c>
      <c r="Z1059" s="301">
        <v>0</v>
      </c>
      <c r="AA1059" s="301">
        <v>0</v>
      </c>
      <c r="AB1059" s="303" t="s">
        <v>2981</v>
      </c>
    </row>
    <row r="1060" spans="1:28" ht="35.25" customHeight="1" x14ac:dyDescent="0.5">
      <c r="A1060">
        <v>1</v>
      </c>
      <c r="B1060" s="80">
        <f>SUBTOTAL(103,$A$808:A1060)</f>
        <v>253</v>
      </c>
      <c r="C1060" s="308" t="s">
        <v>3003</v>
      </c>
      <c r="D1060" s="296">
        <f t="shared" si="50"/>
        <v>399830</v>
      </c>
      <c r="E1060" s="301">
        <v>399830</v>
      </c>
      <c r="F1060" s="301">
        <v>0</v>
      </c>
      <c r="G1060" s="301">
        <v>0</v>
      </c>
      <c r="H1060" s="301">
        <v>0</v>
      </c>
      <c r="I1060" s="301">
        <v>0</v>
      </c>
      <c r="J1060" s="301">
        <v>0</v>
      </c>
      <c r="K1060" s="302">
        <v>0</v>
      </c>
      <c r="L1060" s="301">
        <v>0</v>
      </c>
      <c r="M1060" s="301">
        <v>0</v>
      </c>
      <c r="N1060" s="301">
        <v>0</v>
      </c>
      <c r="O1060" s="301">
        <v>0</v>
      </c>
      <c r="P1060" s="301">
        <v>0</v>
      </c>
      <c r="Q1060" s="301">
        <v>0</v>
      </c>
      <c r="R1060" s="301">
        <v>0</v>
      </c>
      <c r="S1060" s="301">
        <v>0</v>
      </c>
      <c r="T1060" s="301">
        <v>0</v>
      </c>
      <c r="U1060" s="301">
        <v>0</v>
      </c>
      <c r="V1060" s="301">
        <v>0</v>
      </c>
      <c r="W1060" s="301">
        <v>0</v>
      </c>
      <c r="X1060" s="301">
        <v>0</v>
      </c>
      <c r="Y1060" s="301">
        <v>0</v>
      </c>
      <c r="Z1060" s="301">
        <v>0</v>
      </c>
      <c r="AA1060" s="301">
        <v>0</v>
      </c>
      <c r="AB1060" s="303" t="s">
        <v>2981</v>
      </c>
    </row>
    <row r="1061" spans="1:28" ht="35.25" customHeight="1" x14ac:dyDescent="0.5">
      <c r="A1061">
        <v>1</v>
      </c>
      <c r="B1061" s="80">
        <f>SUBTOTAL(103,$A$672:A1198)</f>
        <v>503</v>
      </c>
      <c r="C1061" s="308" t="s">
        <v>3004</v>
      </c>
      <c r="D1061" s="296">
        <f t="shared" si="50"/>
        <v>395000</v>
      </c>
      <c r="E1061" s="301">
        <v>0</v>
      </c>
      <c r="F1061" s="301">
        <v>0</v>
      </c>
      <c r="G1061" s="301">
        <v>0</v>
      </c>
      <c r="H1061" s="301">
        <v>0</v>
      </c>
      <c r="I1061" s="301">
        <f>118500+276500</f>
        <v>395000</v>
      </c>
      <c r="J1061" s="301">
        <v>0</v>
      </c>
      <c r="K1061" s="302">
        <v>0</v>
      </c>
      <c r="L1061" s="301">
        <v>0</v>
      </c>
      <c r="M1061" s="301">
        <v>0</v>
      </c>
      <c r="N1061" s="301">
        <v>0</v>
      </c>
      <c r="O1061" s="301">
        <v>0</v>
      </c>
      <c r="P1061" s="301">
        <v>0</v>
      </c>
      <c r="Q1061" s="301">
        <v>0</v>
      </c>
      <c r="R1061" s="301">
        <v>0</v>
      </c>
      <c r="S1061" s="301">
        <v>0</v>
      </c>
      <c r="T1061" s="301">
        <v>0</v>
      </c>
      <c r="U1061" s="301">
        <v>0</v>
      </c>
      <c r="V1061" s="301">
        <v>0</v>
      </c>
      <c r="W1061" s="301">
        <v>0</v>
      </c>
      <c r="X1061" s="301">
        <v>0</v>
      </c>
      <c r="Y1061" s="301">
        <v>0</v>
      </c>
      <c r="Z1061" s="301">
        <v>0</v>
      </c>
      <c r="AA1061" s="301">
        <v>0</v>
      </c>
      <c r="AB1061" s="303" t="s">
        <v>2981</v>
      </c>
    </row>
    <row r="1062" spans="1:28" ht="35.25" customHeight="1" x14ac:dyDescent="0.5">
      <c r="A1062">
        <v>1</v>
      </c>
      <c r="B1062" s="80">
        <f>SUBTOTAL(103,$A$808:A1062)</f>
        <v>255</v>
      </c>
      <c r="C1062" s="308" t="s">
        <v>1908</v>
      </c>
      <c r="D1062" s="296">
        <f t="shared" si="50"/>
        <v>138685.57999999999</v>
      </c>
      <c r="E1062" s="301">
        <v>0</v>
      </c>
      <c r="F1062" s="301">
        <v>0</v>
      </c>
      <c r="G1062" s="301">
        <v>0</v>
      </c>
      <c r="H1062" s="301">
        <v>0</v>
      </c>
      <c r="I1062" s="301">
        <v>0</v>
      </c>
      <c r="J1062" s="301">
        <v>0</v>
      </c>
      <c r="K1062" s="302">
        <v>0</v>
      </c>
      <c r="L1062" s="301">
        <v>0</v>
      </c>
      <c r="M1062" s="301">
        <v>0</v>
      </c>
      <c r="N1062" s="301">
        <v>0</v>
      </c>
      <c r="O1062" s="301">
        <v>138685.57999999999</v>
      </c>
      <c r="P1062" s="301">
        <v>0</v>
      </c>
      <c r="Q1062" s="301">
        <v>0</v>
      </c>
      <c r="R1062" s="301">
        <v>0</v>
      </c>
      <c r="S1062" s="301">
        <v>0</v>
      </c>
      <c r="T1062" s="301">
        <v>0</v>
      </c>
      <c r="U1062" s="301">
        <v>0</v>
      </c>
      <c r="V1062" s="301">
        <v>0</v>
      </c>
      <c r="W1062" s="301">
        <v>0</v>
      </c>
      <c r="X1062" s="301">
        <v>0</v>
      </c>
      <c r="Y1062" s="301">
        <v>0</v>
      </c>
      <c r="Z1062" s="301">
        <v>0</v>
      </c>
      <c r="AA1062" s="301">
        <v>0</v>
      </c>
      <c r="AB1062" s="303" t="s">
        <v>2981</v>
      </c>
    </row>
    <row r="1063" spans="1:28" ht="35.25" customHeight="1" x14ac:dyDescent="0.5">
      <c r="A1063">
        <v>1</v>
      </c>
      <c r="B1063" s="80">
        <f>SUBTOTAL(103,$A$808:A1063)</f>
        <v>256</v>
      </c>
      <c r="C1063" s="308" t="s">
        <v>3005</v>
      </c>
      <c r="D1063" s="296">
        <f t="shared" si="50"/>
        <v>1362667.2</v>
      </c>
      <c r="E1063" s="301">
        <v>0</v>
      </c>
      <c r="F1063" s="301">
        <v>0</v>
      </c>
      <c r="G1063" s="301">
        <v>0</v>
      </c>
      <c r="H1063" s="301">
        <v>0</v>
      </c>
      <c r="I1063" s="301">
        <v>0</v>
      </c>
      <c r="J1063" s="301">
        <v>0</v>
      </c>
      <c r="K1063" s="302">
        <v>1</v>
      </c>
      <c r="L1063" s="301">
        <v>83967.2</v>
      </c>
      <c r="M1063" s="301">
        <v>1278700</v>
      </c>
      <c r="N1063" s="301">
        <v>0</v>
      </c>
      <c r="O1063" s="301">
        <v>0</v>
      </c>
      <c r="P1063" s="301">
        <v>0</v>
      </c>
      <c r="Q1063" s="301">
        <v>0</v>
      </c>
      <c r="R1063" s="301">
        <v>0</v>
      </c>
      <c r="S1063" s="301">
        <v>0</v>
      </c>
      <c r="T1063" s="301">
        <v>0</v>
      </c>
      <c r="U1063" s="301">
        <v>0</v>
      </c>
      <c r="V1063" s="301">
        <v>0</v>
      </c>
      <c r="W1063" s="301">
        <v>0</v>
      </c>
      <c r="X1063" s="301">
        <v>0</v>
      </c>
      <c r="Y1063" s="301">
        <v>0</v>
      </c>
      <c r="Z1063" s="301">
        <v>0</v>
      </c>
      <c r="AA1063" s="301">
        <v>0</v>
      </c>
      <c r="AB1063" s="303" t="s">
        <v>2981</v>
      </c>
    </row>
    <row r="1064" spans="1:28" ht="35.25" customHeight="1" x14ac:dyDescent="0.5">
      <c r="A1064">
        <v>1</v>
      </c>
      <c r="B1064" s="80">
        <f>SUBTOTAL(103,$A$808:A1064)</f>
        <v>257</v>
      </c>
      <c r="C1064" s="308" t="s">
        <v>2700</v>
      </c>
      <c r="D1064" s="296">
        <f t="shared" si="50"/>
        <v>1870000</v>
      </c>
      <c r="E1064" s="301">
        <v>0</v>
      </c>
      <c r="F1064" s="301">
        <v>0</v>
      </c>
      <c r="G1064" s="301">
        <v>0</v>
      </c>
      <c r="H1064" s="301">
        <v>0</v>
      </c>
      <c r="I1064" s="301">
        <v>0</v>
      </c>
      <c r="J1064" s="301">
        <v>0</v>
      </c>
      <c r="K1064" s="302">
        <v>1</v>
      </c>
      <c r="L1064" s="301">
        <v>1870000</v>
      </c>
      <c r="M1064" s="301">
        <v>0</v>
      </c>
      <c r="N1064" s="301">
        <v>0</v>
      </c>
      <c r="O1064" s="301">
        <v>0</v>
      </c>
      <c r="P1064" s="301">
        <v>0</v>
      </c>
      <c r="Q1064" s="301">
        <v>0</v>
      </c>
      <c r="R1064" s="301">
        <v>0</v>
      </c>
      <c r="S1064" s="301">
        <v>0</v>
      </c>
      <c r="T1064" s="301">
        <v>0</v>
      </c>
      <c r="U1064" s="301">
        <v>0</v>
      </c>
      <c r="V1064" s="301">
        <v>0</v>
      </c>
      <c r="W1064" s="301">
        <v>0</v>
      </c>
      <c r="X1064" s="301">
        <v>0</v>
      </c>
      <c r="Y1064" s="301">
        <v>0</v>
      </c>
      <c r="Z1064" s="301">
        <v>0</v>
      </c>
      <c r="AA1064" s="301">
        <v>0</v>
      </c>
      <c r="AB1064" s="303" t="s">
        <v>2981</v>
      </c>
    </row>
    <row r="1065" spans="1:28" ht="35.25" customHeight="1" x14ac:dyDescent="0.5">
      <c r="A1065">
        <v>1</v>
      </c>
      <c r="B1065" s="80">
        <f>SUBTOTAL(103,$A$808:A1065)</f>
        <v>258</v>
      </c>
      <c r="C1065" s="308" t="s">
        <v>1652</v>
      </c>
      <c r="D1065" s="296">
        <f t="shared" si="50"/>
        <v>979821</v>
      </c>
      <c r="E1065" s="301">
        <v>196579</v>
      </c>
      <c r="F1065" s="301">
        <v>655262</v>
      </c>
      <c r="G1065" s="301">
        <v>0</v>
      </c>
      <c r="H1065" s="301">
        <v>0</v>
      </c>
      <c r="I1065" s="301">
        <v>0</v>
      </c>
      <c r="J1065" s="301">
        <v>0</v>
      </c>
      <c r="K1065" s="302">
        <v>0</v>
      </c>
      <c r="L1065" s="301">
        <v>0</v>
      </c>
      <c r="M1065" s="301">
        <v>127980</v>
      </c>
      <c r="N1065" s="301">
        <v>0</v>
      </c>
      <c r="O1065" s="301">
        <v>0</v>
      </c>
      <c r="P1065" s="301">
        <v>0</v>
      </c>
      <c r="Q1065" s="301">
        <v>0</v>
      </c>
      <c r="R1065" s="301">
        <v>0</v>
      </c>
      <c r="S1065" s="301">
        <v>0</v>
      </c>
      <c r="T1065" s="301">
        <v>0</v>
      </c>
      <c r="U1065" s="301">
        <v>0</v>
      </c>
      <c r="V1065" s="301">
        <v>0</v>
      </c>
      <c r="W1065" s="301">
        <v>0</v>
      </c>
      <c r="X1065" s="301">
        <v>0</v>
      </c>
      <c r="Y1065" s="301">
        <v>0</v>
      </c>
      <c r="Z1065" s="301">
        <v>0</v>
      </c>
      <c r="AA1065" s="301">
        <v>0</v>
      </c>
      <c r="AB1065" s="303" t="s">
        <v>2981</v>
      </c>
    </row>
    <row r="1066" spans="1:28" ht="35.25" customHeight="1" x14ac:dyDescent="0.5">
      <c r="A1066">
        <v>1</v>
      </c>
      <c r="B1066" s="80">
        <f>SUBTOTAL(103,$A$808:A1066)</f>
        <v>259</v>
      </c>
      <c r="C1066" s="308" t="s">
        <v>1915</v>
      </c>
      <c r="D1066" s="296">
        <f t="shared" si="50"/>
        <v>356152.57</v>
      </c>
      <c r="E1066" s="301">
        <v>0</v>
      </c>
      <c r="F1066" s="301">
        <v>0</v>
      </c>
      <c r="G1066" s="301">
        <v>0</v>
      </c>
      <c r="H1066" s="301">
        <v>0</v>
      </c>
      <c r="I1066" s="301">
        <v>0</v>
      </c>
      <c r="J1066" s="301">
        <v>0</v>
      </c>
      <c r="K1066" s="302">
        <v>0</v>
      </c>
      <c r="L1066" s="301">
        <v>0</v>
      </c>
      <c r="M1066" s="301">
        <v>0</v>
      </c>
      <c r="N1066" s="301">
        <v>0</v>
      </c>
      <c r="O1066" s="301">
        <v>356152.57</v>
      </c>
      <c r="P1066" s="301">
        <v>0</v>
      </c>
      <c r="Q1066" s="301">
        <v>0</v>
      </c>
      <c r="R1066" s="301">
        <v>0</v>
      </c>
      <c r="S1066" s="301">
        <v>0</v>
      </c>
      <c r="T1066" s="301">
        <v>0</v>
      </c>
      <c r="U1066" s="301">
        <v>0</v>
      </c>
      <c r="V1066" s="301">
        <v>0</v>
      </c>
      <c r="W1066" s="301">
        <v>0</v>
      </c>
      <c r="X1066" s="301">
        <v>0</v>
      </c>
      <c r="Y1066" s="301">
        <v>0</v>
      </c>
      <c r="Z1066" s="301">
        <v>0</v>
      </c>
      <c r="AA1066" s="301">
        <v>0</v>
      </c>
      <c r="AB1066" s="303" t="s">
        <v>2981</v>
      </c>
    </row>
    <row r="1067" spans="1:28" ht="35.25" customHeight="1" x14ac:dyDescent="0.5">
      <c r="A1067">
        <v>1</v>
      </c>
      <c r="B1067" s="80">
        <f>SUBTOTAL(103,$A$808:A1067)</f>
        <v>260</v>
      </c>
      <c r="C1067" s="308" t="s">
        <v>1916</v>
      </c>
      <c r="D1067" s="296">
        <f t="shared" si="50"/>
        <v>490323</v>
      </c>
      <c r="E1067" s="301">
        <v>0</v>
      </c>
      <c r="F1067" s="301">
        <v>0</v>
      </c>
      <c r="G1067" s="301">
        <v>0</v>
      </c>
      <c r="H1067" s="301">
        <v>0</v>
      </c>
      <c r="I1067" s="301">
        <v>0</v>
      </c>
      <c r="J1067" s="301">
        <v>0</v>
      </c>
      <c r="K1067" s="302">
        <v>0</v>
      </c>
      <c r="L1067" s="301">
        <v>0</v>
      </c>
      <c r="M1067" s="301">
        <v>0</v>
      </c>
      <c r="N1067" s="301">
        <v>0</v>
      </c>
      <c r="O1067" s="301">
        <v>490323</v>
      </c>
      <c r="P1067" s="301">
        <v>0</v>
      </c>
      <c r="Q1067" s="301">
        <v>0</v>
      </c>
      <c r="R1067" s="301">
        <v>0</v>
      </c>
      <c r="S1067" s="301">
        <v>0</v>
      </c>
      <c r="T1067" s="301">
        <v>0</v>
      </c>
      <c r="U1067" s="301">
        <v>0</v>
      </c>
      <c r="V1067" s="301">
        <v>0</v>
      </c>
      <c r="W1067" s="301">
        <v>0</v>
      </c>
      <c r="X1067" s="301">
        <v>0</v>
      </c>
      <c r="Y1067" s="301">
        <v>0</v>
      </c>
      <c r="Z1067" s="301">
        <v>0</v>
      </c>
      <c r="AA1067" s="301">
        <v>0</v>
      </c>
      <c r="AB1067" s="303" t="s">
        <v>2981</v>
      </c>
    </row>
    <row r="1068" spans="1:28" ht="35.25" customHeight="1" x14ac:dyDescent="0.5">
      <c r="A1068">
        <v>1</v>
      </c>
      <c r="B1068" s="80">
        <f>SUBTOTAL(103,$A$808:A1068)</f>
        <v>261</v>
      </c>
      <c r="C1068" s="308" t="s">
        <v>3006</v>
      </c>
      <c r="D1068" s="296">
        <f t="shared" si="50"/>
        <v>982500</v>
      </c>
      <c r="E1068" s="301">
        <v>0</v>
      </c>
      <c r="F1068" s="301">
        <v>0</v>
      </c>
      <c r="G1068" s="301">
        <v>982500</v>
      </c>
      <c r="H1068" s="301">
        <v>0</v>
      </c>
      <c r="I1068" s="301">
        <v>0</v>
      </c>
      <c r="J1068" s="301">
        <v>0</v>
      </c>
      <c r="K1068" s="302">
        <v>0</v>
      </c>
      <c r="L1068" s="301">
        <v>0</v>
      </c>
      <c r="M1068" s="301">
        <v>0</v>
      </c>
      <c r="N1068" s="301">
        <v>0</v>
      </c>
      <c r="O1068" s="301">
        <v>0</v>
      </c>
      <c r="P1068" s="301">
        <v>0</v>
      </c>
      <c r="Q1068" s="301">
        <v>0</v>
      </c>
      <c r="R1068" s="301">
        <v>0</v>
      </c>
      <c r="S1068" s="301">
        <v>0</v>
      </c>
      <c r="T1068" s="301">
        <v>0</v>
      </c>
      <c r="U1068" s="301">
        <v>0</v>
      </c>
      <c r="V1068" s="301">
        <v>0</v>
      </c>
      <c r="W1068" s="301">
        <v>0</v>
      </c>
      <c r="X1068" s="301">
        <v>0</v>
      </c>
      <c r="Y1068" s="301">
        <v>0</v>
      </c>
      <c r="Z1068" s="301">
        <v>0</v>
      </c>
      <c r="AA1068" s="301">
        <v>0</v>
      </c>
      <c r="AB1068" s="303">
        <v>2021</v>
      </c>
    </row>
    <row r="1069" spans="1:28" ht="35.25" customHeight="1" x14ac:dyDescent="0.5">
      <c r="A1069">
        <v>1</v>
      </c>
      <c r="B1069" s="80">
        <f>SUBTOTAL(103,$A$808:A1069)</f>
        <v>262</v>
      </c>
      <c r="C1069" s="308" t="s">
        <v>3007</v>
      </c>
      <c r="D1069" s="296">
        <f t="shared" si="50"/>
        <v>1504226.2</v>
      </c>
      <c r="E1069" s="301">
        <v>0</v>
      </c>
      <c r="F1069" s="301">
        <v>0</v>
      </c>
      <c r="G1069" s="301">
        <v>560000</v>
      </c>
      <c r="H1069" s="301">
        <v>0</v>
      </c>
      <c r="I1069" s="301">
        <v>0</v>
      </c>
      <c r="J1069" s="301">
        <v>0</v>
      </c>
      <c r="K1069" s="302">
        <v>0</v>
      </c>
      <c r="L1069" s="301">
        <v>0</v>
      </c>
      <c r="M1069" s="301">
        <v>944226.2</v>
      </c>
      <c r="N1069" s="301">
        <v>0</v>
      </c>
      <c r="O1069" s="301">
        <v>0</v>
      </c>
      <c r="P1069" s="301">
        <v>0</v>
      </c>
      <c r="Q1069" s="301">
        <v>0</v>
      </c>
      <c r="R1069" s="301">
        <v>0</v>
      </c>
      <c r="S1069" s="301">
        <v>0</v>
      </c>
      <c r="T1069" s="301">
        <v>0</v>
      </c>
      <c r="U1069" s="301">
        <v>0</v>
      </c>
      <c r="V1069" s="301">
        <v>0</v>
      </c>
      <c r="W1069" s="301">
        <v>0</v>
      </c>
      <c r="X1069" s="301">
        <v>0</v>
      </c>
      <c r="Y1069" s="301">
        <v>0</v>
      </c>
      <c r="Z1069" s="301">
        <v>0</v>
      </c>
      <c r="AA1069" s="301">
        <v>0</v>
      </c>
      <c r="AB1069" s="303">
        <v>2021</v>
      </c>
    </row>
    <row r="1070" spans="1:28" ht="35.25" customHeight="1" x14ac:dyDescent="0.5">
      <c r="A1070">
        <v>1</v>
      </c>
      <c r="B1070" s="80">
        <f>SUBTOTAL(103,$A$808:A1070)</f>
        <v>263</v>
      </c>
      <c r="C1070" s="308" t="s">
        <v>2188</v>
      </c>
      <c r="D1070" s="296">
        <f t="shared" si="50"/>
        <v>536157</v>
      </c>
      <c r="E1070" s="301">
        <v>0</v>
      </c>
      <c r="F1070" s="301">
        <v>0</v>
      </c>
      <c r="G1070" s="301">
        <v>0</v>
      </c>
      <c r="H1070" s="301">
        <v>0</v>
      </c>
      <c r="I1070" s="301">
        <v>0</v>
      </c>
      <c r="J1070" s="301">
        <v>0</v>
      </c>
      <c r="K1070" s="302">
        <v>0</v>
      </c>
      <c r="L1070" s="301">
        <v>0</v>
      </c>
      <c r="M1070" s="301">
        <v>0</v>
      </c>
      <c r="N1070" s="301">
        <v>0</v>
      </c>
      <c r="O1070" s="301">
        <v>536157</v>
      </c>
      <c r="P1070" s="301">
        <v>0</v>
      </c>
      <c r="Q1070" s="301">
        <v>0</v>
      </c>
      <c r="R1070" s="301">
        <v>0</v>
      </c>
      <c r="S1070" s="301">
        <v>0</v>
      </c>
      <c r="T1070" s="301">
        <v>0</v>
      </c>
      <c r="U1070" s="301">
        <v>0</v>
      </c>
      <c r="V1070" s="301">
        <v>0</v>
      </c>
      <c r="W1070" s="301">
        <v>0</v>
      </c>
      <c r="X1070" s="301">
        <v>0</v>
      </c>
      <c r="Y1070" s="301">
        <v>0</v>
      </c>
      <c r="Z1070" s="301">
        <v>0</v>
      </c>
      <c r="AA1070" s="301">
        <v>0</v>
      </c>
      <c r="AB1070" s="303">
        <v>2021</v>
      </c>
    </row>
    <row r="1071" spans="1:28" ht="35.25" customHeight="1" x14ac:dyDescent="0.5">
      <c r="A1071">
        <v>1</v>
      </c>
      <c r="B1071" s="80">
        <f>SUBTOTAL(103,$A$808:A1071)</f>
        <v>264</v>
      </c>
      <c r="C1071" s="308" t="s">
        <v>3008</v>
      </c>
      <c r="D1071" s="296">
        <f t="shared" si="50"/>
        <v>469400</v>
      </c>
      <c r="E1071" s="301">
        <v>0</v>
      </c>
      <c r="F1071" s="301">
        <v>0</v>
      </c>
      <c r="G1071" s="301">
        <v>469400</v>
      </c>
      <c r="H1071" s="301">
        <v>0</v>
      </c>
      <c r="I1071" s="301">
        <v>0</v>
      </c>
      <c r="J1071" s="301">
        <v>0</v>
      </c>
      <c r="K1071" s="302">
        <v>0</v>
      </c>
      <c r="L1071" s="301">
        <v>0</v>
      </c>
      <c r="M1071" s="301">
        <v>0</v>
      </c>
      <c r="N1071" s="301">
        <v>0</v>
      </c>
      <c r="O1071" s="301">
        <v>0</v>
      </c>
      <c r="P1071" s="301">
        <v>0</v>
      </c>
      <c r="Q1071" s="301">
        <v>0</v>
      </c>
      <c r="R1071" s="301">
        <v>0</v>
      </c>
      <c r="S1071" s="301">
        <v>0</v>
      </c>
      <c r="T1071" s="301">
        <v>0</v>
      </c>
      <c r="U1071" s="301">
        <v>0</v>
      </c>
      <c r="V1071" s="301">
        <v>0</v>
      </c>
      <c r="W1071" s="301">
        <v>0</v>
      </c>
      <c r="X1071" s="301">
        <v>0</v>
      </c>
      <c r="Y1071" s="301">
        <v>0</v>
      </c>
      <c r="Z1071" s="301">
        <v>0</v>
      </c>
      <c r="AA1071" s="301">
        <v>0</v>
      </c>
      <c r="AB1071" s="303">
        <v>2021</v>
      </c>
    </row>
    <row r="1072" spans="1:28" ht="35.25" customHeight="1" x14ac:dyDescent="0.5">
      <c r="A1072">
        <v>1</v>
      </c>
      <c r="B1072" s="80">
        <f>SUBTOTAL(103,$A$808:A1072)</f>
        <v>265</v>
      </c>
      <c r="C1072" s="308" t="s">
        <v>2191</v>
      </c>
      <c r="D1072" s="296">
        <f t="shared" si="50"/>
        <v>115041</v>
      </c>
      <c r="E1072" s="301">
        <v>115041</v>
      </c>
      <c r="F1072" s="301">
        <v>0</v>
      </c>
      <c r="G1072" s="301">
        <v>0</v>
      </c>
      <c r="H1072" s="301">
        <v>0</v>
      </c>
      <c r="I1072" s="301">
        <v>0</v>
      </c>
      <c r="J1072" s="301">
        <v>0</v>
      </c>
      <c r="K1072" s="302">
        <v>0</v>
      </c>
      <c r="L1072" s="301">
        <v>0</v>
      </c>
      <c r="M1072" s="301">
        <v>0</v>
      </c>
      <c r="N1072" s="301">
        <v>0</v>
      </c>
      <c r="O1072" s="301">
        <v>0</v>
      </c>
      <c r="P1072" s="301">
        <v>0</v>
      </c>
      <c r="Q1072" s="301">
        <v>0</v>
      </c>
      <c r="R1072" s="301">
        <v>0</v>
      </c>
      <c r="S1072" s="301">
        <v>0</v>
      </c>
      <c r="T1072" s="301">
        <v>0</v>
      </c>
      <c r="U1072" s="301">
        <v>0</v>
      </c>
      <c r="V1072" s="301">
        <v>0</v>
      </c>
      <c r="W1072" s="301">
        <v>0</v>
      </c>
      <c r="X1072" s="301">
        <v>0</v>
      </c>
      <c r="Y1072" s="301">
        <v>0</v>
      </c>
      <c r="Z1072" s="301">
        <v>0</v>
      </c>
      <c r="AA1072" s="301">
        <v>0</v>
      </c>
      <c r="AB1072" s="303">
        <v>2021</v>
      </c>
    </row>
    <row r="1073" spans="1:28" ht="35.25" customHeight="1" x14ac:dyDescent="0.5">
      <c r="A1073">
        <v>1</v>
      </c>
      <c r="B1073" s="80">
        <f>SUBTOTAL(103,$A$808:A1073)</f>
        <v>266</v>
      </c>
      <c r="C1073" s="308" t="s">
        <v>1657</v>
      </c>
      <c r="D1073" s="296">
        <f t="shared" si="50"/>
        <v>481081</v>
      </c>
      <c r="E1073" s="301">
        <v>194404</v>
      </c>
      <c r="F1073" s="301">
        <v>286677</v>
      </c>
      <c r="G1073" s="301">
        <v>0</v>
      </c>
      <c r="H1073" s="301">
        <v>0</v>
      </c>
      <c r="I1073" s="301">
        <v>0</v>
      </c>
      <c r="J1073" s="301">
        <v>0</v>
      </c>
      <c r="K1073" s="302">
        <v>0</v>
      </c>
      <c r="L1073" s="301">
        <v>0</v>
      </c>
      <c r="M1073" s="301">
        <v>0</v>
      </c>
      <c r="N1073" s="301">
        <v>0</v>
      </c>
      <c r="O1073" s="301">
        <v>0</v>
      </c>
      <c r="P1073" s="301">
        <v>0</v>
      </c>
      <c r="Q1073" s="301">
        <v>0</v>
      </c>
      <c r="R1073" s="301">
        <v>0</v>
      </c>
      <c r="S1073" s="301">
        <v>0</v>
      </c>
      <c r="T1073" s="301">
        <v>0</v>
      </c>
      <c r="U1073" s="301">
        <v>0</v>
      </c>
      <c r="V1073" s="301">
        <v>0</v>
      </c>
      <c r="W1073" s="301">
        <v>0</v>
      </c>
      <c r="X1073" s="301">
        <v>0</v>
      </c>
      <c r="Y1073" s="301">
        <v>0</v>
      </c>
      <c r="Z1073" s="301">
        <v>0</v>
      </c>
      <c r="AA1073" s="301">
        <v>0</v>
      </c>
      <c r="AB1073" s="303">
        <v>2021</v>
      </c>
    </row>
    <row r="1074" spans="1:28" ht="35.25" customHeight="1" x14ac:dyDescent="0.5">
      <c r="A1074">
        <v>1</v>
      </c>
      <c r="B1074" s="80">
        <f>SUBTOTAL(103,$A$808:A1074)</f>
        <v>267</v>
      </c>
      <c r="C1074" s="308" t="s">
        <v>1660</v>
      </c>
      <c r="D1074" s="296">
        <f t="shared" si="50"/>
        <v>521241.05</v>
      </c>
      <c r="E1074" s="301">
        <v>0</v>
      </c>
      <c r="F1074" s="301">
        <v>0</v>
      </c>
      <c r="G1074" s="301">
        <v>0</v>
      </c>
      <c r="H1074" s="301">
        <v>0</v>
      </c>
      <c r="I1074" s="301">
        <v>521241.05</v>
      </c>
      <c r="J1074" s="301">
        <v>0</v>
      </c>
      <c r="K1074" s="302">
        <v>0</v>
      </c>
      <c r="L1074" s="301">
        <v>0</v>
      </c>
      <c r="M1074" s="301">
        <v>0</v>
      </c>
      <c r="N1074" s="301">
        <v>0</v>
      </c>
      <c r="O1074" s="301">
        <v>0</v>
      </c>
      <c r="P1074" s="301">
        <v>0</v>
      </c>
      <c r="Q1074" s="301">
        <v>0</v>
      </c>
      <c r="R1074" s="301">
        <v>0</v>
      </c>
      <c r="S1074" s="301">
        <v>0</v>
      </c>
      <c r="T1074" s="301">
        <v>0</v>
      </c>
      <c r="U1074" s="301">
        <v>0</v>
      </c>
      <c r="V1074" s="301">
        <v>0</v>
      </c>
      <c r="W1074" s="301">
        <v>0</v>
      </c>
      <c r="X1074" s="301">
        <v>0</v>
      </c>
      <c r="Y1074" s="301">
        <v>0</v>
      </c>
      <c r="Z1074" s="301">
        <v>0</v>
      </c>
      <c r="AA1074" s="301">
        <v>0</v>
      </c>
      <c r="AB1074" s="303">
        <v>2021</v>
      </c>
    </row>
    <row r="1075" spans="1:28" ht="35.25" customHeight="1" x14ac:dyDescent="0.5">
      <c r="A1075">
        <v>1</v>
      </c>
      <c r="B1075" s="80">
        <f>SUBTOTAL(103,$A$808:A1075)</f>
        <v>268</v>
      </c>
      <c r="C1075" s="308" t="s">
        <v>3009</v>
      </c>
      <c r="D1075" s="296">
        <f t="shared" si="50"/>
        <v>601258</v>
      </c>
      <c r="E1075" s="301">
        <v>0</v>
      </c>
      <c r="F1075" s="301">
        <v>0</v>
      </c>
      <c r="G1075" s="301">
        <v>0</v>
      </c>
      <c r="H1075" s="301">
        <v>0</v>
      </c>
      <c r="I1075" s="301">
        <v>0</v>
      </c>
      <c r="J1075" s="301">
        <v>0</v>
      </c>
      <c r="K1075" s="302">
        <v>1</v>
      </c>
      <c r="L1075" s="301">
        <v>99608</v>
      </c>
      <c r="M1075" s="301">
        <v>0</v>
      </c>
      <c r="N1075" s="301">
        <v>0</v>
      </c>
      <c r="O1075" s="301">
        <v>501650</v>
      </c>
      <c r="P1075" s="301">
        <v>0</v>
      </c>
      <c r="Q1075" s="301">
        <v>0</v>
      </c>
      <c r="R1075" s="301">
        <v>0</v>
      </c>
      <c r="S1075" s="301">
        <v>0</v>
      </c>
      <c r="T1075" s="301">
        <v>0</v>
      </c>
      <c r="U1075" s="301">
        <v>0</v>
      </c>
      <c r="V1075" s="301">
        <v>0</v>
      </c>
      <c r="W1075" s="301">
        <v>0</v>
      </c>
      <c r="X1075" s="301">
        <v>0</v>
      </c>
      <c r="Y1075" s="301">
        <v>0</v>
      </c>
      <c r="Z1075" s="301">
        <v>0</v>
      </c>
      <c r="AA1075" s="301">
        <v>0</v>
      </c>
      <c r="AB1075" s="303">
        <v>2021</v>
      </c>
    </row>
    <row r="1076" spans="1:28" ht="35.25" customHeight="1" x14ac:dyDescent="0.5">
      <c r="A1076">
        <v>1</v>
      </c>
      <c r="B1076" s="80">
        <f>SUBTOTAL(103,$A$808:A1076)</f>
        <v>269</v>
      </c>
      <c r="C1076" s="308" t="s">
        <v>3010</v>
      </c>
      <c r="D1076" s="296">
        <f t="shared" si="50"/>
        <v>1221081</v>
      </c>
      <c r="E1076" s="301">
        <v>0</v>
      </c>
      <c r="F1076" s="301">
        <v>0</v>
      </c>
      <c r="G1076" s="301">
        <v>0</v>
      </c>
      <c r="H1076" s="301">
        <v>0</v>
      </c>
      <c r="I1076" s="301">
        <v>0</v>
      </c>
      <c r="J1076" s="301">
        <v>0</v>
      </c>
      <c r="K1076" s="302">
        <v>0</v>
      </c>
      <c r="L1076" s="301">
        <v>0</v>
      </c>
      <c r="M1076" s="301">
        <v>1221081</v>
      </c>
      <c r="N1076" s="301">
        <v>0</v>
      </c>
      <c r="O1076" s="301">
        <v>0</v>
      </c>
      <c r="P1076" s="301">
        <v>0</v>
      </c>
      <c r="Q1076" s="301">
        <v>0</v>
      </c>
      <c r="R1076" s="301">
        <v>0</v>
      </c>
      <c r="S1076" s="301">
        <v>0</v>
      </c>
      <c r="T1076" s="301">
        <v>0</v>
      </c>
      <c r="U1076" s="301">
        <v>0</v>
      </c>
      <c r="V1076" s="301">
        <v>0</v>
      </c>
      <c r="W1076" s="301">
        <v>0</v>
      </c>
      <c r="X1076" s="301">
        <v>0</v>
      </c>
      <c r="Y1076" s="301">
        <v>0</v>
      </c>
      <c r="Z1076" s="301">
        <v>0</v>
      </c>
      <c r="AA1076" s="301">
        <v>0</v>
      </c>
      <c r="AB1076" s="303">
        <v>2021</v>
      </c>
    </row>
    <row r="1077" spans="1:28" ht="35.25" customHeight="1" x14ac:dyDescent="0.5">
      <c r="A1077">
        <v>1</v>
      </c>
      <c r="B1077" s="80">
        <f>SUBTOTAL(103,$A$808:A1077)</f>
        <v>270</v>
      </c>
      <c r="C1077" s="308" t="s">
        <v>3011</v>
      </c>
      <c r="D1077" s="296">
        <f t="shared" si="50"/>
        <v>1333440.2</v>
      </c>
      <c r="E1077" s="301">
        <v>0</v>
      </c>
      <c r="F1077" s="301">
        <v>0</v>
      </c>
      <c r="G1077" s="301">
        <v>1233749</v>
      </c>
      <c r="H1077" s="301">
        <v>0</v>
      </c>
      <c r="I1077" s="301">
        <v>0</v>
      </c>
      <c r="J1077" s="301">
        <v>0</v>
      </c>
      <c r="K1077" s="302">
        <v>0</v>
      </c>
      <c r="L1077" s="301">
        <v>0</v>
      </c>
      <c r="M1077" s="301">
        <v>0</v>
      </c>
      <c r="N1077" s="301">
        <v>0</v>
      </c>
      <c r="O1077" s="301">
        <v>99691.199999999997</v>
      </c>
      <c r="P1077" s="301">
        <v>0</v>
      </c>
      <c r="Q1077" s="301">
        <v>0</v>
      </c>
      <c r="R1077" s="301">
        <v>0</v>
      </c>
      <c r="S1077" s="301">
        <v>0</v>
      </c>
      <c r="T1077" s="301">
        <v>0</v>
      </c>
      <c r="U1077" s="301">
        <v>0</v>
      </c>
      <c r="V1077" s="301">
        <v>0</v>
      </c>
      <c r="W1077" s="301">
        <v>0</v>
      </c>
      <c r="X1077" s="301">
        <v>0</v>
      </c>
      <c r="Y1077" s="301">
        <v>0</v>
      </c>
      <c r="Z1077" s="301">
        <v>0</v>
      </c>
      <c r="AA1077" s="301">
        <v>0</v>
      </c>
      <c r="AB1077" s="303">
        <v>2021</v>
      </c>
    </row>
    <row r="1078" spans="1:28" ht="35.25" customHeight="1" x14ac:dyDescent="0.5">
      <c r="A1078">
        <v>1</v>
      </c>
      <c r="B1078" s="80">
        <f>SUBTOTAL(103,$A$808:A1078)</f>
        <v>271</v>
      </c>
      <c r="C1078" s="308" t="s">
        <v>3012</v>
      </c>
      <c r="D1078" s="296">
        <f t="shared" si="50"/>
        <v>1189360</v>
      </c>
      <c r="E1078" s="301">
        <v>0</v>
      </c>
      <c r="F1078" s="301">
        <v>0</v>
      </c>
      <c r="G1078" s="301">
        <v>0</v>
      </c>
      <c r="H1078" s="301">
        <v>0</v>
      </c>
      <c r="I1078" s="301">
        <v>1189360</v>
      </c>
      <c r="J1078" s="301">
        <v>0</v>
      </c>
      <c r="K1078" s="302">
        <v>0</v>
      </c>
      <c r="L1078" s="301">
        <v>0</v>
      </c>
      <c r="M1078" s="301">
        <v>0</v>
      </c>
      <c r="N1078" s="301">
        <v>0</v>
      </c>
      <c r="O1078" s="301">
        <v>0</v>
      </c>
      <c r="P1078" s="301">
        <v>0</v>
      </c>
      <c r="Q1078" s="301">
        <v>0</v>
      </c>
      <c r="R1078" s="301">
        <v>0</v>
      </c>
      <c r="S1078" s="301">
        <v>0</v>
      </c>
      <c r="T1078" s="301">
        <v>0</v>
      </c>
      <c r="U1078" s="301">
        <v>0</v>
      </c>
      <c r="V1078" s="301">
        <v>0</v>
      </c>
      <c r="W1078" s="301">
        <v>0</v>
      </c>
      <c r="X1078" s="301">
        <v>0</v>
      </c>
      <c r="Y1078" s="301">
        <v>0</v>
      </c>
      <c r="Z1078" s="301">
        <v>0</v>
      </c>
      <c r="AA1078" s="301">
        <v>0</v>
      </c>
      <c r="AB1078" s="303">
        <v>2021</v>
      </c>
    </row>
    <row r="1079" spans="1:28" ht="35.25" customHeight="1" x14ac:dyDescent="0.5">
      <c r="A1079">
        <v>1</v>
      </c>
      <c r="B1079" s="80">
        <f>SUBTOTAL(103,$A$808:A1079)</f>
        <v>272</v>
      </c>
      <c r="C1079" s="308" t="s">
        <v>2350</v>
      </c>
      <c r="D1079" s="296">
        <f t="shared" si="50"/>
        <v>393976</v>
      </c>
      <c r="E1079" s="301">
        <v>0</v>
      </c>
      <c r="F1079" s="301">
        <v>0</v>
      </c>
      <c r="G1079" s="301">
        <v>393976</v>
      </c>
      <c r="H1079" s="301">
        <v>0</v>
      </c>
      <c r="I1079" s="301">
        <v>0</v>
      </c>
      <c r="J1079" s="301">
        <v>0</v>
      </c>
      <c r="K1079" s="302">
        <v>0</v>
      </c>
      <c r="L1079" s="301">
        <v>0</v>
      </c>
      <c r="M1079" s="301">
        <v>0</v>
      </c>
      <c r="N1079" s="301">
        <v>0</v>
      </c>
      <c r="O1079" s="301">
        <v>0</v>
      </c>
      <c r="P1079" s="301">
        <v>0</v>
      </c>
      <c r="Q1079" s="301">
        <v>0</v>
      </c>
      <c r="R1079" s="301">
        <v>0</v>
      </c>
      <c r="S1079" s="301">
        <v>0</v>
      </c>
      <c r="T1079" s="301">
        <v>0</v>
      </c>
      <c r="U1079" s="301">
        <v>0</v>
      </c>
      <c r="V1079" s="301">
        <v>0</v>
      </c>
      <c r="W1079" s="301">
        <v>0</v>
      </c>
      <c r="X1079" s="301">
        <v>0</v>
      </c>
      <c r="Y1079" s="301">
        <v>0</v>
      </c>
      <c r="Z1079" s="301">
        <v>0</v>
      </c>
      <c r="AA1079" s="301">
        <v>0</v>
      </c>
      <c r="AB1079" s="303">
        <v>2021</v>
      </c>
    </row>
    <row r="1080" spans="1:28" ht="35.25" customHeight="1" x14ac:dyDescent="0.5">
      <c r="A1080">
        <v>1</v>
      </c>
      <c r="B1080" s="80">
        <f>SUBTOTAL(103,$A$808:A1080)</f>
        <v>273</v>
      </c>
      <c r="C1080" s="308" t="s">
        <v>3013</v>
      </c>
      <c r="D1080" s="296">
        <f t="shared" si="50"/>
        <v>744123</v>
      </c>
      <c r="E1080" s="301">
        <v>0</v>
      </c>
      <c r="F1080" s="301">
        <v>0</v>
      </c>
      <c r="G1080" s="301">
        <v>0</v>
      </c>
      <c r="H1080" s="301">
        <v>0</v>
      </c>
      <c r="I1080" s="301">
        <v>0</v>
      </c>
      <c r="J1080" s="301">
        <v>0</v>
      </c>
      <c r="K1080" s="302">
        <v>0</v>
      </c>
      <c r="L1080" s="301">
        <v>0</v>
      </c>
      <c r="M1080" s="301">
        <v>0</v>
      </c>
      <c r="N1080" s="301">
        <v>0</v>
      </c>
      <c r="O1080" s="301">
        <v>744123</v>
      </c>
      <c r="P1080" s="301">
        <v>0</v>
      </c>
      <c r="Q1080" s="301">
        <v>0</v>
      </c>
      <c r="R1080" s="301">
        <v>0</v>
      </c>
      <c r="S1080" s="301">
        <v>0</v>
      </c>
      <c r="T1080" s="301">
        <v>0</v>
      </c>
      <c r="U1080" s="301">
        <v>0</v>
      </c>
      <c r="V1080" s="301">
        <v>0</v>
      </c>
      <c r="W1080" s="301">
        <v>0</v>
      </c>
      <c r="X1080" s="301">
        <v>0</v>
      </c>
      <c r="Y1080" s="301">
        <v>0</v>
      </c>
      <c r="Z1080" s="301">
        <v>0</v>
      </c>
      <c r="AA1080" s="301">
        <v>0</v>
      </c>
      <c r="AB1080" s="303">
        <v>2021</v>
      </c>
    </row>
    <row r="1081" spans="1:28" ht="35.25" customHeight="1" x14ac:dyDescent="0.5">
      <c r="A1081">
        <v>1</v>
      </c>
      <c r="B1081" s="80">
        <f>SUBTOTAL(103,$A$808:A1081)</f>
        <v>274</v>
      </c>
      <c r="C1081" s="308" t="s">
        <v>3014</v>
      </c>
      <c r="D1081" s="296">
        <f t="shared" si="50"/>
        <v>254810</v>
      </c>
      <c r="E1081" s="301">
        <v>0</v>
      </c>
      <c r="F1081" s="301">
        <v>0</v>
      </c>
      <c r="G1081" s="301">
        <v>0</v>
      </c>
      <c r="H1081" s="301">
        <v>0</v>
      </c>
      <c r="I1081" s="301">
        <v>0</v>
      </c>
      <c r="J1081" s="301">
        <v>0</v>
      </c>
      <c r="K1081" s="302">
        <v>0</v>
      </c>
      <c r="L1081" s="301">
        <v>0</v>
      </c>
      <c r="M1081" s="301">
        <v>0</v>
      </c>
      <c r="N1081" s="301">
        <v>0</v>
      </c>
      <c r="O1081" s="301">
        <v>254810</v>
      </c>
      <c r="P1081" s="301">
        <v>0</v>
      </c>
      <c r="Q1081" s="301">
        <v>0</v>
      </c>
      <c r="R1081" s="301">
        <v>0</v>
      </c>
      <c r="S1081" s="301">
        <v>0</v>
      </c>
      <c r="T1081" s="301">
        <v>0</v>
      </c>
      <c r="U1081" s="301">
        <v>0</v>
      </c>
      <c r="V1081" s="301">
        <v>0</v>
      </c>
      <c r="W1081" s="301">
        <v>0</v>
      </c>
      <c r="X1081" s="301">
        <v>0</v>
      </c>
      <c r="Y1081" s="301">
        <v>0</v>
      </c>
      <c r="Z1081" s="301">
        <v>0</v>
      </c>
      <c r="AA1081" s="301">
        <v>0</v>
      </c>
      <c r="AB1081" s="303">
        <v>2021</v>
      </c>
    </row>
    <row r="1082" spans="1:28" ht="35.25" customHeight="1" x14ac:dyDescent="0.5">
      <c r="A1082">
        <v>1</v>
      </c>
      <c r="B1082" s="80">
        <f>SUBTOTAL(103,$A$808:A1082)</f>
        <v>275</v>
      </c>
      <c r="C1082" s="308" t="s">
        <v>2975</v>
      </c>
      <c r="D1082" s="296">
        <f t="shared" si="50"/>
        <v>259480.25</v>
      </c>
      <c r="E1082" s="301">
        <v>0</v>
      </c>
      <c r="F1082" s="301">
        <v>0</v>
      </c>
      <c r="G1082" s="301">
        <v>0</v>
      </c>
      <c r="H1082" s="301">
        <v>0</v>
      </c>
      <c r="I1082" s="301">
        <v>0</v>
      </c>
      <c r="J1082" s="301">
        <v>0</v>
      </c>
      <c r="K1082" s="302">
        <v>0</v>
      </c>
      <c r="L1082" s="301">
        <v>0</v>
      </c>
      <c r="M1082" s="301">
        <v>0</v>
      </c>
      <c r="N1082" s="301">
        <v>0</v>
      </c>
      <c r="O1082" s="301">
        <v>259480.25</v>
      </c>
      <c r="P1082" s="301">
        <v>0</v>
      </c>
      <c r="Q1082" s="301">
        <v>0</v>
      </c>
      <c r="R1082" s="301">
        <v>0</v>
      </c>
      <c r="S1082" s="301">
        <v>0</v>
      </c>
      <c r="T1082" s="301">
        <v>0</v>
      </c>
      <c r="U1082" s="301">
        <v>0</v>
      </c>
      <c r="V1082" s="301">
        <v>0</v>
      </c>
      <c r="W1082" s="301">
        <v>0</v>
      </c>
      <c r="X1082" s="301">
        <v>0</v>
      </c>
      <c r="Y1082" s="301">
        <v>0</v>
      </c>
      <c r="Z1082" s="301">
        <v>0</v>
      </c>
      <c r="AA1082" s="301">
        <v>0</v>
      </c>
      <c r="AB1082" s="303">
        <v>2021</v>
      </c>
    </row>
    <row r="1083" spans="1:28" ht="35.25" customHeight="1" x14ac:dyDescent="0.5">
      <c r="A1083">
        <v>1</v>
      </c>
      <c r="B1083" s="80">
        <f>SUBTOTAL(103,$A$808:A1083)</f>
        <v>276</v>
      </c>
      <c r="C1083" s="308" t="s">
        <v>3015</v>
      </c>
      <c r="D1083" s="296">
        <f t="shared" si="50"/>
        <v>798000</v>
      </c>
      <c r="E1083" s="301">
        <v>0</v>
      </c>
      <c r="F1083" s="301">
        <v>0</v>
      </c>
      <c r="G1083" s="301">
        <v>0</v>
      </c>
      <c r="H1083" s="301">
        <v>0</v>
      </c>
      <c r="I1083" s="301">
        <v>0</v>
      </c>
      <c r="J1083" s="301">
        <v>0</v>
      </c>
      <c r="K1083" s="302">
        <v>0</v>
      </c>
      <c r="L1083" s="301">
        <v>0</v>
      </c>
      <c r="M1083" s="301">
        <v>0</v>
      </c>
      <c r="N1083" s="301">
        <v>0</v>
      </c>
      <c r="O1083" s="301">
        <v>798000</v>
      </c>
      <c r="P1083" s="301">
        <v>0</v>
      </c>
      <c r="Q1083" s="301">
        <v>0</v>
      </c>
      <c r="R1083" s="301">
        <v>0</v>
      </c>
      <c r="S1083" s="301">
        <v>0</v>
      </c>
      <c r="T1083" s="301">
        <v>0</v>
      </c>
      <c r="U1083" s="301">
        <v>0</v>
      </c>
      <c r="V1083" s="301">
        <v>0</v>
      </c>
      <c r="W1083" s="301">
        <v>0</v>
      </c>
      <c r="X1083" s="301">
        <v>0</v>
      </c>
      <c r="Y1083" s="301">
        <v>0</v>
      </c>
      <c r="Z1083" s="301">
        <v>0</v>
      </c>
      <c r="AA1083" s="301">
        <v>0</v>
      </c>
      <c r="AB1083" s="303">
        <v>2021</v>
      </c>
    </row>
    <row r="1084" spans="1:28" ht="35.25" customHeight="1" x14ac:dyDescent="0.5">
      <c r="A1084">
        <v>1</v>
      </c>
      <c r="B1084" s="80">
        <f>SUBTOTAL(103,$A$808:A1084)</f>
        <v>277</v>
      </c>
      <c r="C1084" s="308" t="s">
        <v>3016</v>
      </c>
      <c r="D1084" s="296">
        <f t="shared" si="50"/>
        <v>1544166</v>
      </c>
      <c r="E1084" s="301">
        <v>0</v>
      </c>
      <c r="F1084" s="301">
        <v>204641</v>
      </c>
      <c r="G1084" s="301">
        <v>1339525</v>
      </c>
      <c r="H1084" s="301">
        <v>0</v>
      </c>
      <c r="I1084" s="301">
        <v>0</v>
      </c>
      <c r="J1084" s="301">
        <v>0</v>
      </c>
      <c r="K1084" s="302">
        <v>0</v>
      </c>
      <c r="L1084" s="301">
        <v>0</v>
      </c>
      <c r="M1084" s="301">
        <v>0</v>
      </c>
      <c r="N1084" s="301">
        <v>0</v>
      </c>
      <c r="O1084" s="301">
        <v>0</v>
      </c>
      <c r="P1084" s="301">
        <v>0</v>
      </c>
      <c r="Q1084" s="301">
        <v>0</v>
      </c>
      <c r="R1084" s="301">
        <v>0</v>
      </c>
      <c r="S1084" s="301">
        <v>0</v>
      </c>
      <c r="T1084" s="301">
        <v>0</v>
      </c>
      <c r="U1084" s="301">
        <v>0</v>
      </c>
      <c r="V1084" s="301">
        <v>0</v>
      </c>
      <c r="W1084" s="301">
        <v>0</v>
      </c>
      <c r="X1084" s="301">
        <v>0</v>
      </c>
      <c r="Y1084" s="301">
        <v>0</v>
      </c>
      <c r="Z1084" s="301">
        <v>0</v>
      </c>
      <c r="AA1084" s="301">
        <v>0</v>
      </c>
      <c r="AB1084" s="303">
        <v>2021</v>
      </c>
    </row>
    <row r="1085" spans="1:28" ht="35.25" customHeight="1" x14ac:dyDescent="0.5">
      <c r="A1085">
        <v>1</v>
      </c>
      <c r="B1085" s="80">
        <f>SUBTOTAL(103,$A$808:A1085)</f>
        <v>278</v>
      </c>
      <c r="C1085" s="308" t="s">
        <v>3017</v>
      </c>
      <c r="D1085" s="296">
        <f t="shared" si="50"/>
        <v>8472532</v>
      </c>
      <c r="E1085" s="301">
        <v>0</v>
      </c>
      <c r="F1085" s="301">
        <v>0</v>
      </c>
      <c r="G1085" s="301">
        <v>700000</v>
      </c>
      <c r="H1085" s="301">
        <v>0</v>
      </c>
      <c r="I1085" s="301">
        <v>0</v>
      </c>
      <c r="J1085" s="301">
        <v>0</v>
      </c>
      <c r="K1085" s="302">
        <v>0</v>
      </c>
      <c r="L1085" s="301">
        <v>0</v>
      </c>
      <c r="M1085" s="301">
        <v>0</v>
      </c>
      <c r="N1085" s="301">
        <v>0</v>
      </c>
      <c r="O1085" s="301">
        <v>7772532</v>
      </c>
      <c r="P1085" s="301">
        <v>0</v>
      </c>
      <c r="Q1085" s="301">
        <v>0</v>
      </c>
      <c r="R1085" s="301">
        <v>0</v>
      </c>
      <c r="S1085" s="301">
        <v>0</v>
      </c>
      <c r="T1085" s="301">
        <v>0</v>
      </c>
      <c r="U1085" s="301">
        <v>0</v>
      </c>
      <c r="V1085" s="301">
        <v>0</v>
      </c>
      <c r="W1085" s="301">
        <v>0</v>
      </c>
      <c r="X1085" s="301">
        <v>0</v>
      </c>
      <c r="Y1085" s="301">
        <v>0</v>
      </c>
      <c r="Z1085" s="301">
        <v>0</v>
      </c>
      <c r="AA1085" s="301">
        <v>0</v>
      </c>
      <c r="AB1085" s="303">
        <v>2021</v>
      </c>
    </row>
    <row r="1086" spans="1:28" ht="35.25" customHeight="1" x14ac:dyDescent="0.5">
      <c r="A1086">
        <v>1</v>
      </c>
      <c r="B1086" s="80">
        <f>SUBTOTAL(103,$A$808:A1086)</f>
        <v>279</v>
      </c>
      <c r="C1086" s="308" t="s">
        <v>3018</v>
      </c>
      <c r="D1086" s="296">
        <f t="shared" si="50"/>
        <v>1900000</v>
      </c>
      <c r="E1086" s="301">
        <v>0</v>
      </c>
      <c r="F1086" s="301">
        <v>0</v>
      </c>
      <c r="G1086" s="301">
        <v>0</v>
      </c>
      <c r="H1086" s="301">
        <v>0</v>
      </c>
      <c r="I1086" s="301">
        <v>0</v>
      </c>
      <c r="J1086" s="301">
        <v>0</v>
      </c>
      <c r="K1086" s="302">
        <v>0</v>
      </c>
      <c r="L1086" s="301">
        <v>0</v>
      </c>
      <c r="M1086" s="301">
        <v>1900000</v>
      </c>
      <c r="N1086" s="301">
        <v>0</v>
      </c>
      <c r="O1086" s="301">
        <v>0</v>
      </c>
      <c r="P1086" s="301">
        <v>0</v>
      </c>
      <c r="Q1086" s="301">
        <v>0</v>
      </c>
      <c r="R1086" s="301">
        <v>0</v>
      </c>
      <c r="S1086" s="301">
        <v>0</v>
      </c>
      <c r="T1086" s="301">
        <v>0</v>
      </c>
      <c r="U1086" s="301">
        <v>0</v>
      </c>
      <c r="V1086" s="301">
        <v>0</v>
      </c>
      <c r="W1086" s="301">
        <v>0</v>
      </c>
      <c r="X1086" s="301">
        <v>0</v>
      </c>
      <c r="Y1086" s="301">
        <v>0</v>
      </c>
      <c r="Z1086" s="301">
        <v>0</v>
      </c>
      <c r="AA1086" s="301">
        <v>0</v>
      </c>
      <c r="AB1086" s="303">
        <v>2021</v>
      </c>
    </row>
    <row r="1087" spans="1:28" ht="35.25" customHeight="1" x14ac:dyDescent="0.5">
      <c r="A1087">
        <v>1</v>
      </c>
      <c r="B1087" s="80">
        <f>SUBTOTAL(103,$A$808:A1087)</f>
        <v>280</v>
      </c>
      <c r="C1087" s="308" t="s">
        <v>3019</v>
      </c>
      <c r="D1087" s="296">
        <f t="shared" si="50"/>
        <v>669583.80000000005</v>
      </c>
      <c r="E1087" s="301">
        <v>0</v>
      </c>
      <c r="F1087" s="301">
        <v>0</v>
      </c>
      <c r="G1087" s="301">
        <v>669583.80000000005</v>
      </c>
      <c r="H1087" s="301">
        <v>0</v>
      </c>
      <c r="I1087" s="301">
        <v>0</v>
      </c>
      <c r="J1087" s="301">
        <v>0</v>
      </c>
      <c r="K1087" s="302">
        <v>0</v>
      </c>
      <c r="L1087" s="301">
        <v>0</v>
      </c>
      <c r="M1087" s="301">
        <v>0</v>
      </c>
      <c r="N1087" s="301">
        <v>0</v>
      </c>
      <c r="O1087" s="301">
        <v>0</v>
      </c>
      <c r="P1087" s="301">
        <v>0</v>
      </c>
      <c r="Q1087" s="301">
        <v>0</v>
      </c>
      <c r="R1087" s="301">
        <v>0</v>
      </c>
      <c r="S1087" s="301">
        <v>0</v>
      </c>
      <c r="T1087" s="301">
        <v>0</v>
      </c>
      <c r="U1087" s="301">
        <v>0</v>
      </c>
      <c r="V1087" s="301">
        <v>0</v>
      </c>
      <c r="W1087" s="301">
        <v>0</v>
      </c>
      <c r="X1087" s="301">
        <v>0</v>
      </c>
      <c r="Y1087" s="301">
        <v>0</v>
      </c>
      <c r="Z1087" s="301">
        <v>0</v>
      </c>
      <c r="AA1087" s="301">
        <v>0</v>
      </c>
      <c r="AB1087" s="303">
        <v>2021</v>
      </c>
    </row>
    <row r="1088" spans="1:28" ht="35.25" customHeight="1" x14ac:dyDescent="0.5">
      <c r="A1088">
        <v>1</v>
      </c>
      <c r="B1088" s="80">
        <f>SUBTOTAL(103,$A$808:A1088)</f>
        <v>281</v>
      </c>
      <c r="C1088" s="308" t="s">
        <v>3020</v>
      </c>
      <c r="D1088" s="296">
        <f t="shared" si="50"/>
        <v>1699977</v>
      </c>
      <c r="E1088" s="301">
        <v>0</v>
      </c>
      <c r="F1088" s="301">
        <v>0</v>
      </c>
      <c r="G1088" s="301">
        <v>0</v>
      </c>
      <c r="H1088" s="301">
        <v>0</v>
      </c>
      <c r="I1088" s="301">
        <v>0</v>
      </c>
      <c r="J1088" s="301">
        <v>0</v>
      </c>
      <c r="K1088" s="302">
        <v>0</v>
      </c>
      <c r="L1088" s="301">
        <v>0</v>
      </c>
      <c r="M1088" s="301">
        <v>0</v>
      </c>
      <c r="N1088" s="301">
        <v>0</v>
      </c>
      <c r="O1088" s="301">
        <v>1699977</v>
      </c>
      <c r="P1088" s="301">
        <v>0</v>
      </c>
      <c r="Q1088" s="301">
        <v>0</v>
      </c>
      <c r="R1088" s="301">
        <v>0</v>
      </c>
      <c r="S1088" s="301">
        <v>0</v>
      </c>
      <c r="T1088" s="301">
        <v>0</v>
      </c>
      <c r="U1088" s="301">
        <v>0</v>
      </c>
      <c r="V1088" s="301">
        <v>0</v>
      </c>
      <c r="W1088" s="301">
        <v>0</v>
      </c>
      <c r="X1088" s="301">
        <v>0</v>
      </c>
      <c r="Y1088" s="301">
        <v>0</v>
      </c>
      <c r="Z1088" s="301">
        <v>0</v>
      </c>
      <c r="AA1088" s="301">
        <v>0</v>
      </c>
      <c r="AB1088" s="303">
        <v>2021</v>
      </c>
    </row>
    <row r="1089" spans="1:28" ht="35.25" customHeight="1" x14ac:dyDescent="0.5">
      <c r="A1089">
        <v>1</v>
      </c>
      <c r="B1089" s="80">
        <f>SUBTOTAL(103,$A$808:A1089)</f>
        <v>282</v>
      </c>
      <c r="C1089" s="308" t="s">
        <v>3021</v>
      </c>
      <c r="D1089" s="296">
        <f t="shared" si="50"/>
        <v>1443311</v>
      </c>
      <c r="E1089" s="301">
        <v>327100</v>
      </c>
      <c r="F1089" s="301">
        <v>400000</v>
      </c>
      <c r="G1089" s="301">
        <v>0</v>
      </c>
      <c r="H1089" s="301">
        <v>345805</v>
      </c>
      <c r="I1089" s="301">
        <v>83147</v>
      </c>
      <c r="J1089" s="301">
        <v>0</v>
      </c>
      <c r="K1089" s="302">
        <v>0</v>
      </c>
      <c r="L1089" s="301">
        <v>0</v>
      </c>
      <c r="M1089" s="301">
        <v>0</v>
      </c>
      <c r="N1089" s="301">
        <v>0</v>
      </c>
      <c r="O1089" s="301">
        <v>287259</v>
      </c>
      <c r="P1089" s="301">
        <v>0</v>
      </c>
      <c r="Q1089" s="301">
        <v>0</v>
      </c>
      <c r="R1089" s="301">
        <v>0</v>
      </c>
      <c r="S1089" s="301">
        <v>0</v>
      </c>
      <c r="T1089" s="301">
        <v>0</v>
      </c>
      <c r="U1089" s="301">
        <v>0</v>
      </c>
      <c r="V1089" s="301">
        <v>0</v>
      </c>
      <c r="W1089" s="301">
        <v>0</v>
      </c>
      <c r="X1089" s="301">
        <v>0</v>
      </c>
      <c r="Y1089" s="301">
        <v>0</v>
      </c>
      <c r="Z1089" s="301">
        <v>0</v>
      </c>
      <c r="AA1089" s="301">
        <v>0</v>
      </c>
      <c r="AB1089" s="303">
        <v>2021</v>
      </c>
    </row>
    <row r="1090" spans="1:28" ht="35.25" customHeight="1" x14ac:dyDescent="0.5">
      <c r="A1090">
        <v>1</v>
      </c>
      <c r="B1090" s="80">
        <f>SUBTOTAL(103,$A$808:A1090)</f>
        <v>283</v>
      </c>
      <c r="C1090" s="308" t="s">
        <v>3022</v>
      </c>
      <c r="D1090" s="296">
        <f t="shared" si="50"/>
        <v>2424064.7999999998</v>
      </c>
      <c r="E1090" s="301">
        <v>0</v>
      </c>
      <c r="F1090" s="301">
        <v>0</v>
      </c>
      <c r="G1090" s="301">
        <v>0</v>
      </c>
      <c r="H1090" s="301">
        <v>0</v>
      </c>
      <c r="I1090" s="301">
        <v>0</v>
      </c>
      <c r="J1090" s="301">
        <v>0</v>
      </c>
      <c r="K1090" s="302">
        <v>1</v>
      </c>
      <c r="L1090" s="301">
        <v>2424064.7999999998</v>
      </c>
      <c r="M1090" s="301">
        <v>0</v>
      </c>
      <c r="N1090" s="301">
        <v>0</v>
      </c>
      <c r="O1090" s="301">
        <v>0</v>
      </c>
      <c r="P1090" s="301">
        <v>0</v>
      </c>
      <c r="Q1090" s="301">
        <v>0</v>
      </c>
      <c r="R1090" s="301">
        <v>0</v>
      </c>
      <c r="S1090" s="301">
        <v>0</v>
      </c>
      <c r="T1090" s="301">
        <v>0</v>
      </c>
      <c r="U1090" s="301">
        <v>0</v>
      </c>
      <c r="V1090" s="301">
        <v>0</v>
      </c>
      <c r="W1090" s="301">
        <v>0</v>
      </c>
      <c r="X1090" s="301">
        <v>0</v>
      </c>
      <c r="Y1090" s="301">
        <v>0</v>
      </c>
      <c r="Z1090" s="301">
        <v>0</v>
      </c>
      <c r="AA1090" s="301">
        <v>0</v>
      </c>
      <c r="AB1090" s="303">
        <v>2021</v>
      </c>
    </row>
    <row r="1091" spans="1:28" ht="35.25" customHeight="1" x14ac:dyDescent="0.5">
      <c r="A1091">
        <v>1</v>
      </c>
      <c r="B1091" s="80">
        <f>SUBTOTAL(103,$A$808:A1091)</f>
        <v>284</v>
      </c>
      <c r="C1091" s="308" t="s">
        <v>3023</v>
      </c>
      <c r="D1091" s="296">
        <f t="shared" si="50"/>
        <v>1497379.01</v>
      </c>
      <c r="E1091" s="301">
        <v>0</v>
      </c>
      <c r="F1091" s="301">
        <v>0</v>
      </c>
      <c r="G1091" s="301">
        <v>0</v>
      </c>
      <c r="H1091" s="301">
        <v>0</v>
      </c>
      <c r="I1091" s="301">
        <v>0</v>
      </c>
      <c r="J1091" s="301">
        <v>0</v>
      </c>
      <c r="K1091" s="302">
        <v>0</v>
      </c>
      <c r="L1091" s="301">
        <v>0</v>
      </c>
      <c r="M1091" s="301">
        <v>1497379.01</v>
      </c>
      <c r="N1091" s="301">
        <v>0</v>
      </c>
      <c r="O1091" s="301">
        <v>0</v>
      </c>
      <c r="P1091" s="301">
        <v>0</v>
      </c>
      <c r="Q1091" s="301">
        <v>0</v>
      </c>
      <c r="R1091" s="301">
        <v>0</v>
      </c>
      <c r="S1091" s="301">
        <v>0</v>
      </c>
      <c r="T1091" s="301">
        <v>0</v>
      </c>
      <c r="U1091" s="301">
        <v>0</v>
      </c>
      <c r="V1091" s="301">
        <v>0</v>
      </c>
      <c r="W1091" s="301">
        <v>0</v>
      </c>
      <c r="X1091" s="301">
        <v>0</v>
      </c>
      <c r="Y1091" s="301">
        <v>0</v>
      </c>
      <c r="Z1091" s="301">
        <v>0</v>
      </c>
      <c r="AA1091" s="301">
        <v>0</v>
      </c>
      <c r="AB1091" s="303">
        <v>2021</v>
      </c>
    </row>
    <row r="1092" spans="1:28" ht="35.25" customHeight="1" x14ac:dyDescent="0.5">
      <c r="A1092">
        <v>1</v>
      </c>
      <c r="B1092" s="80">
        <f>SUBTOTAL(103,$A$808:A1092)</f>
        <v>285</v>
      </c>
      <c r="C1092" s="308" t="s">
        <v>3024</v>
      </c>
      <c r="D1092" s="296">
        <f t="shared" si="50"/>
        <v>1600000</v>
      </c>
      <c r="E1092" s="301">
        <v>0</v>
      </c>
      <c r="F1092" s="301">
        <v>0</v>
      </c>
      <c r="G1092" s="301">
        <v>0</v>
      </c>
      <c r="H1092" s="301">
        <v>0</v>
      </c>
      <c r="I1092" s="301">
        <v>0</v>
      </c>
      <c r="J1092" s="301">
        <v>0</v>
      </c>
      <c r="K1092" s="302">
        <v>0</v>
      </c>
      <c r="L1092" s="301">
        <v>0</v>
      </c>
      <c r="M1092" s="301">
        <v>0</v>
      </c>
      <c r="N1092" s="301">
        <v>0</v>
      </c>
      <c r="O1092" s="301">
        <v>1600000</v>
      </c>
      <c r="P1092" s="301">
        <v>0</v>
      </c>
      <c r="Q1092" s="301">
        <v>0</v>
      </c>
      <c r="R1092" s="301">
        <v>0</v>
      </c>
      <c r="S1092" s="301">
        <v>0</v>
      </c>
      <c r="T1092" s="301">
        <v>0</v>
      </c>
      <c r="U1092" s="301">
        <v>0</v>
      </c>
      <c r="V1092" s="301">
        <v>0</v>
      </c>
      <c r="W1092" s="301">
        <v>0</v>
      </c>
      <c r="X1092" s="301">
        <v>0</v>
      </c>
      <c r="Y1092" s="301">
        <v>0</v>
      </c>
      <c r="Z1092" s="301">
        <v>0</v>
      </c>
      <c r="AA1092" s="301">
        <v>0</v>
      </c>
      <c r="AB1092" s="303">
        <v>2021</v>
      </c>
    </row>
    <row r="1093" spans="1:28" ht="35.25" customHeight="1" x14ac:dyDescent="0.5">
      <c r="A1093">
        <v>1</v>
      </c>
      <c r="B1093" s="80">
        <f>SUBTOTAL(103,$A$808:A1093)</f>
        <v>286</v>
      </c>
      <c r="C1093" s="308" t="s">
        <v>2222</v>
      </c>
      <c r="D1093" s="296">
        <f t="shared" si="50"/>
        <v>594264</v>
      </c>
      <c r="E1093" s="301">
        <v>400574</v>
      </c>
      <c r="F1093" s="301">
        <v>193690</v>
      </c>
      <c r="G1093" s="301">
        <v>0</v>
      </c>
      <c r="H1093" s="301">
        <v>0</v>
      </c>
      <c r="I1093" s="301">
        <v>0</v>
      </c>
      <c r="J1093" s="301">
        <v>0</v>
      </c>
      <c r="K1093" s="302">
        <v>0</v>
      </c>
      <c r="L1093" s="301">
        <v>0</v>
      </c>
      <c r="M1093" s="301">
        <v>0</v>
      </c>
      <c r="N1093" s="301">
        <v>0</v>
      </c>
      <c r="O1093" s="301">
        <v>0</v>
      </c>
      <c r="P1093" s="301">
        <v>0</v>
      </c>
      <c r="Q1093" s="301">
        <v>0</v>
      </c>
      <c r="R1093" s="301">
        <v>0</v>
      </c>
      <c r="S1093" s="301">
        <v>0</v>
      </c>
      <c r="T1093" s="301">
        <v>0</v>
      </c>
      <c r="U1093" s="301">
        <v>0</v>
      </c>
      <c r="V1093" s="301">
        <v>0</v>
      </c>
      <c r="W1093" s="301">
        <v>0</v>
      </c>
      <c r="X1093" s="301">
        <v>0</v>
      </c>
      <c r="Y1093" s="301">
        <v>0</v>
      </c>
      <c r="Z1093" s="301">
        <v>0</v>
      </c>
      <c r="AA1093" s="301">
        <v>0</v>
      </c>
      <c r="AB1093" s="303">
        <v>2021</v>
      </c>
    </row>
    <row r="1094" spans="1:28" ht="35.25" customHeight="1" x14ac:dyDescent="0.5">
      <c r="A1094">
        <v>1</v>
      </c>
      <c r="B1094" s="80">
        <f>SUBTOTAL(103,$A$808:A1094)</f>
        <v>287</v>
      </c>
      <c r="C1094" s="308" t="s">
        <v>3025</v>
      </c>
      <c r="D1094" s="296">
        <f t="shared" si="50"/>
        <v>362063</v>
      </c>
      <c r="E1094" s="301">
        <v>0</v>
      </c>
      <c r="F1094" s="301">
        <v>0</v>
      </c>
      <c r="G1094" s="301">
        <v>0</v>
      </c>
      <c r="H1094" s="301">
        <v>362063</v>
      </c>
      <c r="I1094" s="301">
        <v>0</v>
      </c>
      <c r="J1094" s="301">
        <v>0</v>
      </c>
      <c r="K1094" s="302">
        <v>0</v>
      </c>
      <c r="L1094" s="301">
        <v>0</v>
      </c>
      <c r="M1094" s="301">
        <v>0</v>
      </c>
      <c r="N1094" s="301">
        <v>0</v>
      </c>
      <c r="O1094" s="301">
        <v>0</v>
      </c>
      <c r="P1094" s="301">
        <v>0</v>
      </c>
      <c r="Q1094" s="301">
        <v>0</v>
      </c>
      <c r="R1094" s="301">
        <v>0</v>
      </c>
      <c r="S1094" s="301">
        <v>0</v>
      </c>
      <c r="T1094" s="301">
        <v>0</v>
      </c>
      <c r="U1094" s="301">
        <v>0</v>
      </c>
      <c r="V1094" s="301">
        <v>0</v>
      </c>
      <c r="W1094" s="301">
        <v>0</v>
      </c>
      <c r="X1094" s="301">
        <v>0</v>
      </c>
      <c r="Y1094" s="301">
        <v>0</v>
      </c>
      <c r="Z1094" s="301">
        <v>0</v>
      </c>
      <c r="AA1094" s="301">
        <v>0</v>
      </c>
      <c r="AB1094" s="303">
        <v>2021</v>
      </c>
    </row>
    <row r="1095" spans="1:28" ht="35.25" customHeight="1" x14ac:dyDescent="0.5">
      <c r="A1095">
        <v>1</v>
      </c>
      <c r="B1095" s="80">
        <f>SUBTOTAL(103,$A$808:A1095)</f>
        <v>288</v>
      </c>
      <c r="C1095" s="308" t="s">
        <v>1621</v>
      </c>
      <c r="D1095" s="296">
        <f t="shared" si="50"/>
        <v>6843402</v>
      </c>
      <c r="E1095" s="301">
        <v>0</v>
      </c>
      <c r="F1095" s="301">
        <v>0</v>
      </c>
      <c r="G1095" s="301">
        <v>783542</v>
      </c>
      <c r="H1095" s="301">
        <v>0</v>
      </c>
      <c r="I1095" s="301">
        <v>0</v>
      </c>
      <c r="J1095" s="301">
        <v>0</v>
      </c>
      <c r="K1095" s="302">
        <v>0</v>
      </c>
      <c r="L1095" s="301">
        <v>0</v>
      </c>
      <c r="M1095" s="301">
        <v>1468500</v>
      </c>
      <c r="N1095" s="301">
        <v>0</v>
      </c>
      <c r="O1095" s="301">
        <v>4591360</v>
      </c>
      <c r="P1095" s="301">
        <v>0</v>
      </c>
      <c r="Q1095" s="301">
        <v>0</v>
      </c>
      <c r="R1095" s="301">
        <v>0</v>
      </c>
      <c r="S1095" s="301">
        <v>0</v>
      </c>
      <c r="T1095" s="301">
        <v>0</v>
      </c>
      <c r="U1095" s="301">
        <v>0</v>
      </c>
      <c r="V1095" s="301">
        <v>0</v>
      </c>
      <c r="W1095" s="301">
        <v>0</v>
      </c>
      <c r="X1095" s="301">
        <v>0</v>
      </c>
      <c r="Y1095" s="301">
        <v>0</v>
      </c>
      <c r="Z1095" s="301">
        <v>0</v>
      </c>
      <c r="AA1095" s="301">
        <v>0</v>
      </c>
      <c r="AB1095" s="303">
        <v>2021</v>
      </c>
    </row>
    <row r="1096" spans="1:28" ht="35.25" customHeight="1" x14ac:dyDescent="0.5">
      <c r="A1096">
        <v>1</v>
      </c>
      <c r="B1096" s="80">
        <f>SUBTOTAL(103,$A$808:A1096)</f>
        <v>289</v>
      </c>
      <c r="C1096" s="308" t="s">
        <v>3026</v>
      </c>
      <c r="D1096" s="296">
        <f t="shared" si="50"/>
        <v>384000</v>
      </c>
      <c r="E1096" s="301">
        <v>0</v>
      </c>
      <c r="F1096" s="301">
        <v>0</v>
      </c>
      <c r="G1096" s="301">
        <v>0</v>
      </c>
      <c r="H1096" s="301">
        <v>0</v>
      </c>
      <c r="I1096" s="301">
        <v>0</v>
      </c>
      <c r="J1096" s="301">
        <v>0</v>
      </c>
      <c r="K1096" s="302">
        <v>0</v>
      </c>
      <c r="L1096" s="301">
        <v>0</v>
      </c>
      <c r="M1096" s="301">
        <v>0</v>
      </c>
      <c r="N1096" s="301">
        <v>0</v>
      </c>
      <c r="O1096" s="301">
        <v>384000</v>
      </c>
      <c r="P1096" s="301">
        <v>0</v>
      </c>
      <c r="Q1096" s="301">
        <v>0</v>
      </c>
      <c r="R1096" s="301">
        <v>0</v>
      </c>
      <c r="S1096" s="301">
        <v>0</v>
      </c>
      <c r="T1096" s="301">
        <v>0</v>
      </c>
      <c r="U1096" s="301">
        <v>0</v>
      </c>
      <c r="V1096" s="301">
        <v>0</v>
      </c>
      <c r="W1096" s="301">
        <v>0</v>
      </c>
      <c r="X1096" s="301">
        <v>0</v>
      </c>
      <c r="Y1096" s="301">
        <v>0</v>
      </c>
      <c r="Z1096" s="301">
        <v>0</v>
      </c>
      <c r="AA1096" s="301">
        <v>0</v>
      </c>
      <c r="AB1096" s="303">
        <v>2021</v>
      </c>
    </row>
    <row r="1097" spans="1:28" ht="35.25" customHeight="1" x14ac:dyDescent="0.5">
      <c r="A1097">
        <v>1</v>
      </c>
      <c r="B1097" s="80">
        <f>SUBTOTAL(103,$A$808:A1097)</f>
        <v>290</v>
      </c>
      <c r="C1097" s="308" t="s">
        <v>3027</v>
      </c>
      <c r="D1097" s="296">
        <f t="shared" ref="D1097:D1160" si="51">E1097+F1097+G1097+H1097+I1097+J1097+L1097+M1097+N1097+O1097+P1097+Q1097+R1097+S1097+T1097+U1097+V1097+W1097+X1097+Y1097+Z1097+AA1097</f>
        <v>537014.15</v>
      </c>
      <c r="E1097" s="301">
        <v>0</v>
      </c>
      <c r="F1097" s="301">
        <v>0</v>
      </c>
      <c r="G1097" s="301">
        <v>0</v>
      </c>
      <c r="H1097" s="301">
        <v>0</v>
      </c>
      <c r="I1097" s="301">
        <v>0</v>
      </c>
      <c r="J1097" s="301">
        <v>507014.15</v>
      </c>
      <c r="K1097" s="302">
        <v>0</v>
      </c>
      <c r="L1097" s="301">
        <v>0</v>
      </c>
      <c r="M1097" s="301">
        <v>30000</v>
      </c>
      <c r="N1097" s="301">
        <v>0</v>
      </c>
      <c r="O1097" s="301">
        <v>0</v>
      </c>
      <c r="P1097" s="301">
        <v>0</v>
      </c>
      <c r="Q1097" s="301">
        <v>0</v>
      </c>
      <c r="R1097" s="301">
        <v>0</v>
      </c>
      <c r="S1097" s="301">
        <v>0</v>
      </c>
      <c r="T1097" s="301">
        <v>0</v>
      </c>
      <c r="U1097" s="301">
        <v>0</v>
      </c>
      <c r="V1097" s="301">
        <v>0</v>
      </c>
      <c r="W1097" s="301">
        <v>0</v>
      </c>
      <c r="X1097" s="301">
        <v>0</v>
      </c>
      <c r="Y1097" s="301">
        <v>0</v>
      </c>
      <c r="Z1097" s="301">
        <v>0</v>
      </c>
      <c r="AA1097" s="301">
        <v>0</v>
      </c>
      <c r="AB1097" s="303">
        <v>2021</v>
      </c>
    </row>
    <row r="1098" spans="1:28" ht="35.25" customHeight="1" x14ac:dyDescent="0.5">
      <c r="A1098">
        <v>1</v>
      </c>
      <c r="B1098" s="80">
        <f>SUBTOTAL(103,$A$808:A1098)</f>
        <v>291</v>
      </c>
      <c r="C1098" s="308" t="s">
        <v>3028</v>
      </c>
      <c r="D1098" s="296">
        <f t="shared" si="51"/>
        <v>898800</v>
      </c>
      <c r="E1098" s="301">
        <v>0</v>
      </c>
      <c r="F1098" s="301">
        <v>0</v>
      </c>
      <c r="G1098" s="301">
        <v>185000</v>
      </c>
      <c r="H1098" s="301">
        <v>0</v>
      </c>
      <c r="I1098" s="301">
        <v>0</v>
      </c>
      <c r="J1098" s="301">
        <v>0</v>
      </c>
      <c r="K1098" s="302">
        <v>0</v>
      </c>
      <c r="L1098" s="301">
        <v>0</v>
      </c>
      <c r="M1098" s="301">
        <v>0</v>
      </c>
      <c r="N1098" s="301">
        <v>0</v>
      </c>
      <c r="O1098" s="301">
        <v>713800</v>
      </c>
      <c r="P1098" s="301">
        <v>0</v>
      </c>
      <c r="Q1098" s="301">
        <v>0</v>
      </c>
      <c r="R1098" s="301">
        <v>0</v>
      </c>
      <c r="S1098" s="301">
        <v>0</v>
      </c>
      <c r="T1098" s="301">
        <v>0</v>
      </c>
      <c r="U1098" s="301">
        <v>0</v>
      </c>
      <c r="V1098" s="301">
        <v>0</v>
      </c>
      <c r="W1098" s="301">
        <v>0</v>
      </c>
      <c r="X1098" s="301">
        <v>0</v>
      </c>
      <c r="Y1098" s="301">
        <v>0</v>
      </c>
      <c r="Z1098" s="301">
        <v>0</v>
      </c>
      <c r="AA1098" s="301">
        <v>0</v>
      </c>
      <c r="AB1098" s="303">
        <v>2021</v>
      </c>
    </row>
    <row r="1099" spans="1:28" ht="35.25" customHeight="1" x14ac:dyDescent="0.5">
      <c r="A1099">
        <v>1</v>
      </c>
      <c r="B1099" s="80">
        <f>SUBTOTAL(103,$A$808:A1099)</f>
        <v>292</v>
      </c>
      <c r="C1099" s="308" t="s">
        <v>1626</v>
      </c>
      <c r="D1099" s="296">
        <f t="shared" si="51"/>
        <v>140900</v>
      </c>
      <c r="E1099" s="301">
        <v>0</v>
      </c>
      <c r="F1099" s="301">
        <v>140900</v>
      </c>
      <c r="G1099" s="301">
        <v>0</v>
      </c>
      <c r="H1099" s="301">
        <v>0</v>
      </c>
      <c r="I1099" s="301">
        <v>0</v>
      </c>
      <c r="J1099" s="301">
        <v>0</v>
      </c>
      <c r="K1099" s="302">
        <v>0</v>
      </c>
      <c r="L1099" s="301">
        <v>0</v>
      </c>
      <c r="M1099" s="301">
        <v>0</v>
      </c>
      <c r="N1099" s="301">
        <v>0</v>
      </c>
      <c r="O1099" s="301">
        <v>0</v>
      </c>
      <c r="P1099" s="301">
        <v>0</v>
      </c>
      <c r="Q1099" s="301">
        <v>0</v>
      </c>
      <c r="R1099" s="301">
        <v>0</v>
      </c>
      <c r="S1099" s="301">
        <v>0</v>
      </c>
      <c r="T1099" s="301">
        <v>0</v>
      </c>
      <c r="U1099" s="301">
        <v>0</v>
      </c>
      <c r="V1099" s="301">
        <v>0</v>
      </c>
      <c r="W1099" s="301">
        <v>0</v>
      </c>
      <c r="X1099" s="301">
        <v>0</v>
      </c>
      <c r="Y1099" s="301">
        <v>0</v>
      </c>
      <c r="Z1099" s="301">
        <v>0</v>
      </c>
      <c r="AA1099" s="301">
        <v>0</v>
      </c>
      <c r="AB1099" s="303">
        <v>2021</v>
      </c>
    </row>
    <row r="1100" spans="1:28" ht="35.25" customHeight="1" x14ac:dyDescent="0.5">
      <c r="A1100">
        <v>1</v>
      </c>
      <c r="B1100" s="80">
        <f>SUBTOTAL(103,$A$808:A1100)</f>
        <v>293</v>
      </c>
      <c r="C1100" s="308" t="s">
        <v>3029</v>
      </c>
      <c r="D1100" s="296">
        <f t="shared" si="51"/>
        <v>56600</v>
      </c>
      <c r="E1100" s="301">
        <v>0</v>
      </c>
      <c r="F1100" s="301">
        <v>0</v>
      </c>
      <c r="G1100" s="301">
        <v>0</v>
      </c>
      <c r="H1100" s="301">
        <v>0</v>
      </c>
      <c r="I1100" s="301">
        <v>0</v>
      </c>
      <c r="J1100" s="301">
        <v>0</v>
      </c>
      <c r="K1100" s="302">
        <v>0</v>
      </c>
      <c r="L1100" s="301">
        <v>0</v>
      </c>
      <c r="M1100" s="301">
        <v>0</v>
      </c>
      <c r="N1100" s="301">
        <v>0</v>
      </c>
      <c r="O1100" s="301">
        <v>56600</v>
      </c>
      <c r="P1100" s="301">
        <v>0</v>
      </c>
      <c r="Q1100" s="301">
        <v>0</v>
      </c>
      <c r="R1100" s="301">
        <v>0</v>
      </c>
      <c r="S1100" s="301">
        <v>0</v>
      </c>
      <c r="T1100" s="301">
        <v>0</v>
      </c>
      <c r="U1100" s="301">
        <v>0</v>
      </c>
      <c r="V1100" s="301">
        <v>0</v>
      </c>
      <c r="W1100" s="301">
        <v>0</v>
      </c>
      <c r="X1100" s="301">
        <v>0</v>
      </c>
      <c r="Y1100" s="301">
        <v>0</v>
      </c>
      <c r="Z1100" s="301">
        <v>0</v>
      </c>
      <c r="AA1100" s="301">
        <v>0</v>
      </c>
      <c r="AB1100" s="303">
        <v>2021</v>
      </c>
    </row>
    <row r="1101" spans="1:28" ht="35.25" customHeight="1" x14ac:dyDescent="0.5">
      <c r="A1101">
        <v>1</v>
      </c>
      <c r="B1101" s="80">
        <f>SUBTOTAL(103,$A$808:A1101)</f>
        <v>294</v>
      </c>
      <c r="C1101" s="308" t="s">
        <v>1639</v>
      </c>
      <c r="D1101" s="296">
        <f t="shared" si="51"/>
        <v>1161856.5</v>
      </c>
      <c r="E1101" s="301">
        <v>0</v>
      </c>
      <c r="F1101" s="301">
        <v>48409.5</v>
      </c>
      <c r="G1101" s="301">
        <v>1025962</v>
      </c>
      <c r="H1101" s="301">
        <v>0</v>
      </c>
      <c r="I1101" s="301">
        <v>0</v>
      </c>
      <c r="J1101" s="301">
        <v>0</v>
      </c>
      <c r="K1101" s="302">
        <v>0</v>
      </c>
      <c r="L1101" s="301">
        <v>0</v>
      </c>
      <c r="M1101" s="301">
        <v>0</v>
      </c>
      <c r="N1101" s="301">
        <v>0</v>
      </c>
      <c r="O1101" s="301">
        <v>87485</v>
      </c>
      <c r="P1101" s="301">
        <v>0</v>
      </c>
      <c r="Q1101" s="301">
        <v>0</v>
      </c>
      <c r="R1101" s="301">
        <v>0</v>
      </c>
      <c r="S1101" s="301">
        <v>0</v>
      </c>
      <c r="T1101" s="301">
        <v>0</v>
      </c>
      <c r="U1101" s="301">
        <v>0</v>
      </c>
      <c r="V1101" s="301">
        <v>0</v>
      </c>
      <c r="W1101" s="301">
        <v>0</v>
      </c>
      <c r="X1101" s="301">
        <v>0</v>
      </c>
      <c r="Y1101" s="301">
        <v>0</v>
      </c>
      <c r="Z1101" s="301">
        <v>0</v>
      </c>
      <c r="AA1101" s="301">
        <v>0</v>
      </c>
      <c r="AB1101" s="303">
        <v>2021</v>
      </c>
    </row>
    <row r="1102" spans="1:28" ht="35.25" customHeight="1" x14ac:dyDescent="0.5">
      <c r="A1102">
        <v>1</v>
      </c>
      <c r="B1102" s="80">
        <f>SUBTOTAL(103,$A$808:A1102)</f>
        <v>295</v>
      </c>
      <c r="C1102" s="308" t="s">
        <v>2341</v>
      </c>
      <c r="D1102" s="296">
        <f t="shared" si="51"/>
        <v>360326</v>
      </c>
      <c r="E1102" s="301">
        <v>0</v>
      </c>
      <c r="F1102" s="301">
        <v>118295</v>
      </c>
      <c r="G1102" s="301">
        <v>87000</v>
      </c>
      <c r="H1102" s="301">
        <v>0</v>
      </c>
      <c r="I1102" s="301">
        <v>0</v>
      </c>
      <c r="J1102" s="301">
        <v>0</v>
      </c>
      <c r="K1102" s="302">
        <v>1</v>
      </c>
      <c r="L1102" s="301">
        <v>100462</v>
      </c>
      <c r="M1102" s="301">
        <v>54569</v>
      </c>
      <c r="N1102" s="301">
        <v>0</v>
      </c>
      <c r="O1102" s="301">
        <v>0</v>
      </c>
      <c r="P1102" s="301">
        <v>0</v>
      </c>
      <c r="Q1102" s="301">
        <v>0</v>
      </c>
      <c r="R1102" s="301">
        <v>0</v>
      </c>
      <c r="S1102" s="301">
        <v>0</v>
      </c>
      <c r="T1102" s="301">
        <v>0</v>
      </c>
      <c r="U1102" s="301">
        <v>0</v>
      </c>
      <c r="V1102" s="301">
        <v>0</v>
      </c>
      <c r="W1102" s="301">
        <v>0</v>
      </c>
      <c r="X1102" s="301">
        <v>0</v>
      </c>
      <c r="Y1102" s="301">
        <v>0</v>
      </c>
      <c r="Z1102" s="301">
        <v>0</v>
      </c>
      <c r="AA1102" s="301">
        <v>0</v>
      </c>
      <c r="AB1102" s="303">
        <v>2021</v>
      </c>
    </row>
    <row r="1103" spans="1:28" ht="35.25" customHeight="1" x14ac:dyDescent="0.5">
      <c r="A1103">
        <v>1</v>
      </c>
      <c r="B1103" s="80">
        <f>SUBTOTAL(103,$A$808:A1103)</f>
        <v>296</v>
      </c>
      <c r="C1103" s="308" t="s">
        <v>3030</v>
      </c>
      <c r="D1103" s="296">
        <f t="shared" si="51"/>
        <v>338461</v>
      </c>
      <c r="E1103" s="301">
        <v>0</v>
      </c>
      <c r="F1103" s="301">
        <v>0</v>
      </c>
      <c r="G1103" s="301">
        <v>338461</v>
      </c>
      <c r="H1103" s="301">
        <v>0</v>
      </c>
      <c r="I1103" s="301">
        <v>0</v>
      </c>
      <c r="J1103" s="301">
        <v>0</v>
      </c>
      <c r="K1103" s="302">
        <v>0</v>
      </c>
      <c r="L1103" s="301">
        <v>0</v>
      </c>
      <c r="M1103" s="301">
        <v>0</v>
      </c>
      <c r="N1103" s="301">
        <v>0</v>
      </c>
      <c r="O1103" s="301">
        <v>0</v>
      </c>
      <c r="P1103" s="301">
        <v>0</v>
      </c>
      <c r="Q1103" s="301">
        <v>0</v>
      </c>
      <c r="R1103" s="301">
        <v>0</v>
      </c>
      <c r="S1103" s="301">
        <v>0</v>
      </c>
      <c r="T1103" s="301">
        <v>0</v>
      </c>
      <c r="U1103" s="301">
        <v>0</v>
      </c>
      <c r="V1103" s="301">
        <v>0</v>
      </c>
      <c r="W1103" s="301">
        <v>0</v>
      </c>
      <c r="X1103" s="301">
        <v>0</v>
      </c>
      <c r="Y1103" s="301">
        <v>0</v>
      </c>
      <c r="Z1103" s="301">
        <v>0</v>
      </c>
      <c r="AA1103" s="301">
        <v>0</v>
      </c>
      <c r="AB1103" s="303">
        <v>2021</v>
      </c>
    </row>
    <row r="1104" spans="1:28" ht="35.25" customHeight="1" x14ac:dyDescent="0.5">
      <c r="A1104">
        <v>1</v>
      </c>
      <c r="B1104" s="80">
        <f>SUBTOTAL(103,$A$808:A1104)</f>
        <v>297</v>
      </c>
      <c r="C1104" s="308" t="s">
        <v>3031</v>
      </c>
      <c r="D1104" s="296">
        <f t="shared" si="51"/>
        <v>84609.42</v>
      </c>
      <c r="E1104" s="301">
        <v>0</v>
      </c>
      <c r="F1104" s="301">
        <v>0</v>
      </c>
      <c r="G1104" s="301">
        <v>0</v>
      </c>
      <c r="H1104" s="301">
        <v>0</v>
      </c>
      <c r="I1104" s="301">
        <v>0</v>
      </c>
      <c r="J1104" s="301">
        <v>0</v>
      </c>
      <c r="K1104" s="302">
        <v>1</v>
      </c>
      <c r="L1104" s="301">
        <v>84609.42</v>
      </c>
      <c r="M1104" s="301">
        <v>0</v>
      </c>
      <c r="N1104" s="301">
        <v>0</v>
      </c>
      <c r="O1104" s="301">
        <v>0</v>
      </c>
      <c r="P1104" s="301">
        <v>0</v>
      </c>
      <c r="Q1104" s="301">
        <v>0</v>
      </c>
      <c r="R1104" s="301">
        <v>0</v>
      </c>
      <c r="S1104" s="301">
        <v>0</v>
      </c>
      <c r="T1104" s="301">
        <v>0</v>
      </c>
      <c r="U1104" s="301">
        <v>0</v>
      </c>
      <c r="V1104" s="301">
        <v>0</v>
      </c>
      <c r="W1104" s="301">
        <v>0</v>
      </c>
      <c r="X1104" s="301">
        <v>0</v>
      </c>
      <c r="Y1104" s="301">
        <v>0</v>
      </c>
      <c r="Z1104" s="301">
        <v>0</v>
      </c>
      <c r="AA1104" s="301">
        <v>0</v>
      </c>
      <c r="AB1104" s="303">
        <v>2021</v>
      </c>
    </row>
    <row r="1105" spans="1:28" ht="35.25" customHeight="1" x14ac:dyDescent="0.5">
      <c r="A1105">
        <v>1</v>
      </c>
      <c r="B1105" s="80">
        <f>SUBTOTAL(103,$A$808:A1105)</f>
        <v>298</v>
      </c>
      <c r="C1105" s="308" t="s">
        <v>3032</v>
      </c>
      <c r="D1105" s="296">
        <f t="shared" si="51"/>
        <v>317636</v>
      </c>
      <c r="E1105" s="301">
        <v>68000</v>
      </c>
      <c r="F1105" s="301">
        <v>68000</v>
      </c>
      <c r="G1105" s="301">
        <v>115536</v>
      </c>
      <c r="H1105" s="301">
        <v>66100</v>
      </c>
      <c r="I1105" s="301">
        <v>0</v>
      </c>
      <c r="J1105" s="301">
        <v>0</v>
      </c>
      <c r="K1105" s="302">
        <v>0</v>
      </c>
      <c r="L1105" s="301">
        <v>0</v>
      </c>
      <c r="M1105" s="301">
        <v>0</v>
      </c>
      <c r="N1105" s="301">
        <v>0</v>
      </c>
      <c r="O1105" s="301">
        <v>0</v>
      </c>
      <c r="P1105" s="301">
        <v>0</v>
      </c>
      <c r="Q1105" s="301">
        <v>0</v>
      </c>
      <c r="R1105" s="301">
        <v>0</v>
      </c>
      <c r="S1105" s="301">
        <v>0</v>
      </c>
      <c r="T1105" s="301">
        <v>0</v>
      </c>
      <c r="U1105" s="301">
        <v>0</v>
      </c>
      <c r="V1105" s="301">
        <v>0</v>
      </c>
      <c r="W1105" s="301">
        <v>0</v>
      </c>
      <c r="X1105" s="301">
        <v>0</v>
      </c>
      <c r="Y1105" s="301">
        <v>0</v>
      </c>
      <c r="Z1105" s="301">
        <v>0</v>
      </c>
      <c r="AA1105" s="301">
        <v>0</v>
      </c>
      <c r="AB1105" s="303">
        <v>2021</v>
      </c>
    </row>
    <row r="1106" spans="1:28" ht="35.25" customHeight="1" x14ac:dyDescent="0.5">
      <c r="A1106">
        <v>1</v>
      </c>
      <c r="B1106" s="80">
        <f>SUBTOTAL(103,$A$808:A1106)</f>
        <v>299</v>
      </c>
      <c r="C1106" s="308" t="s">
        <v>2330</v>
      </c>
      <c r="D1106" s="296">
        <f t="shared" si="51"/>
        <v>1500044</v>
      </c>
      <c r="E1106" s="301">
        <v>894799</v>
      </c>
      <c r="F1106" s="301">
        <v>0</v>
      </c>
      <c r="G1106" s="301">
        <v>0</v>
      </c>
      <c r="H1106" s="301">
        <v>0</v>
      </c>
      <c r="I1106" s="301">
        <v>0</v>
      </c>
      <c r="J1106" s="301">
        <v>0</v>
      </c>
      <c r="K1106" s="302">
        <v>0</v>
      </c>
      <c r="L1106" s="301">
        <v>0</v>
      </c>
      <c r="M1106" s="301">
        <v>0</v>
      </c>
      <c r="N1106" s="301">
        <v>0</v>
      </c>
      <c r="O1106" s="301">
        <v>605245</v>
      </c>
      <c r="P1106" s="301">
        <v>0</v>
      </c>
      <c r="Q1106" s="301">
        <v>0</v>
      </c>
      <c r="R1106" s="301">
        <v>0</v>
      </c>
      <c r="S1106" s="301">
        <v>0</v>
      </c>
      <c r="T1106" s="301">
        <v>0</v>
      </c>
      <c r="U1106" s="301">
        <v>0</v>
      </c>
      <c r="V1106" s="301">
        <v>0</v>
      </c>
      <c r="W1106" s="301">
        <v>0</v>
      </c>
      <c r="X1106" s="301">
        <v>0</v>
      </c>
      <c r="Y1106" s="301">
        <v>0</v>
      </c>
      <c r="Z1106" s="301">
        <v>0</v>
      </c>
      <c r="AA1106" s="301">
        <v>0</v>
      </c>
      <c r="AB1106" s="303">
        <v>2021</v>
      </c>
    </row>
    <row r="1107" spans="1:28" ht="35.25" customHeight="1" x14ac:dyDescent="0.5">
      <c r="A1107">
        <v>1</v>
      </c>
      <c r="B1107" s="80">
        <f>SUBTOTAL(103,$A$808:A1107)</f>
        <v>300</v>
      </c>
      <c r="C1107" s="308" t="s">
        <v>1912</v>
      </c>
      <c r="D1107" s="296">
        <f t="shared" si="51"/>
        <v>303837.8</v>
      </c>
      <c r="E1107" s="301">
        <v>168829</v>
      </c>
      <c r="F1107" s="301">
        <v>135008.79999999999</v>
      </c>
      <c r="G1107" s="301">
        <v>0</v>
      </c>
      <c r="H1107" s="301">
        <v>0</v>
      </c>
      <c r="I1107" s="301">
        <v>0</v>
      </c>
      <c r="J1107" s="301">
        <v>0</v>
      </c>
      <c r="K1107" s="302">
        <v>0</v>
      </c>
      <c r="L1107" s="301">
        <v>0</v>
      </c>
      <c r="M1107" s="301">
        <v>0</v>
      </c>
      <c r="N1107" s="301">
        <v>0</v>
      </c>
      <c r="O1107" s="301">
        <v>0</v>
      </c>
      <c r="P1107" s="301">
        <v>0</v>
      </c>
      <c r="Q1107" s="301">
        <v>0</v>
      </c>
      <c r="R1107" s="301">
        <v>0</v>
      </c>
      <c r="S1107" s="301">
        <v>0</v>
      </c>
      <c r="T1107" s="301">
        <v>0</v>
      </c>
      <c r="U1107" s="301">
        <v>0</v>
      </c>
      <c r="V1107" s="301">
        <v>0</v>
      </c>
      <c r="W1107" s="301">
        <v>0</v>
      </c>
      <c r="X1107" s="301">
        <v>0</v>
      </c>
      <c r="Y1107" s="301">
        <v>0</v>
      </c>
      <c r="Z1107" s="301">
        <v>0</v>
      </c>
      <c r="AA1107" s="301">
        <v>0</v>
      </c>
      <c r="AB1107" s="303">
        <v>2021</v>
      </c>
    </row>
    <row r="1108" spans="1:28" ht="35.25" customHeight="1" x14ac:dyDescent="0.5">
      <c r="A1108">
        <v>1</v>
      </c>
      <c r="B1108" s="80">
        <f>SUBTOTAL(103,$A$808:A1108)</f>
        <v>301</v>
      </c>
      <c r="C1108" s="308" t="s">
        <v>3186</v>
      </c>
      <c r="D1108" s="296">
        <f t="shared" si="51"/>
        <v>1350000</v>
      </c>
      <c r="E1108" s="301">
        <v>0</v>
      </c>
      <c r="F1108" s="301">
        <v>0</v>
      </c>
      <c r="G1108" s="301">
        <v>1350000</v>
      </c>
      <c r="H1108" s="301">
        <v>0</v>
      </c>
      <c r="I1108" s="301">
        <v>0</v>
      </c>
      <c r="J1108" s="301">
        <v>0</v>
      </c>
      <c r="K1108" s="302">
        <v>0</v>
      </c>
      <c r="L1108" s="301">
        <v>0</v>
      </c>
      <c r="M1108" s="301">
        <v>0</v>
      </c>
      <c r="N1108" s="301">
        <v>0</v>
      </c>
      <c r="O1108" s="301">
        <v>0</v>
      </c>
      <c r="P1108" s="301">
        <v>0</v>
      </c>
      <c r="Q1108" s="301">
        <v>0</v>
      </c>
      <c r="R1108" s="301">
        <v>0</v>
      </c>
      <c r="S1108" s="301">
        <v>0</v>
      </c>
      <c r="T1108" s="301">
        <v>0</v>
      </c>
      <c r="U1108" s="301">
        <v>0</v>
      </c>
      <c r="V1108" s="301">
        <v>0</v>
      </c>
      <c r="W1108" s="301">
        <v>0</v>
      </c>
      <c r="X1108" s="301">
        <v>0</v>
      </c>
      <c r="Y1108" s="301">
        <v>0</v>
      </c>
      <c r="Z1108" s="301">
        <v>0</v>
      </c>
      <c r="AA1108" s="301">
        <v>0</v>
      </c>
      <c r="AB1108" s="303">
        <v>2021</v>
      </c>
    </row>
    <row r="1109" spans="1:28" ht="35.25" customHeight="1" x14ac:dyDescent="0.5">
      <c r="A1109">
        <v>1</v>
      </c>
      <c r="B1109" s="80">
        <f>SUBTOTAL(103,$A$808:A1109)</f>
        <v>302</v>
      </c>
      <c r="C1109" s="308" t="s">
        <v>1656</v>
      </c>
      <c r="D1109" s="296">
        <f t="shared" si="51"/>
        <v>810672</v>
      </c>
      <c r="E1109" s="301">
        <v>0</v>
      </c>
      <c r="F1109" s="301">
        <v>0</v>
      </c>
      <c r="G1109" s="301">
        <v>810672</v>
      </c>
      <c r="H1109" s="301">
        <v>0</v>
      </c>
      <c r="I1109" s="301">
        <v>0</v>
      </c>
      <c r="J1109" s="301">
        <v>0</v>
      </c>
      <c r="K1109" s="302">
        <v>0</v>
      </c>
      <c r="L1109" s="301">
        <v>0</v>
      </c>
      <c r="M1109" s="301">
        <v>0</v>
      </c>
      <c r="N1109" s="301">
        <v>0</v>
      </c>
      <c r="O1109" s="301">
        <v>0</v>
      </c>
      <c r="P1109" s="301">
        <v>0</v>
      </c>
      <c r="Q1109" s="301">
        <v>0</v>
      </c>
      <c r="R1109" s="301">
        <v>0</v>
      </c>
      <c r="S1109" s="301">
        <v>0</v>
      </c>
      <c r="T1109" s="301">
        <v>0</v>
      </c>
      <c r="U1109" s="301">
        <v>0</v>
      </c>
      <c r="V1109" s="301">
        <v>0</v>
      </c>
      <c r="W1109" s="301">
        <v>0</v>
      </c>
      <c r="X1109" s="301">
        <v>0</v>
      </c>
      <c r="Y1109" s="301">
        <v>0</v>
      </c>
      <c r="Z1109" s="301">
        <v>0</v>
      </c>
      <c r="AA1109" s="301">
        <v>0</v>
      </c>
      <c r="AB1109" s="303">
        <v>2021</v>
      </c>
    </row>
    <row r="1110" spans="1:28" ht="35.25" customHeight="1" x14ac:dyDescent="0.5">
      <c r="A1110">
        <v>1</v>
      </c>
      <c r="B1110" s="80">
        <f>SUBTOTAL(103,$A$808:A1110)</f>
        <v>303</v>
      </c>
      <c r="C1110" s="308" t="s">
        <v>3187</v>
      </c>
      <c r="D1110" s="296">
        <f t="shared" si="51"/>
        <v>667500</v>
      </c>
      <c r="E1110" s="301">
        <v>0</v>
      </c>
      <c r="F1110" s="301">
        <v>0</v>
      </c>
      <c r="G1110" s="301">
        <v>667500</v>
      </c>
      <c r="H1110" s="301">
        <v>0</v>
      </c>
      <c r="I1110" s="301">
        <v>0</v>
      </c>
      <c r="J1110" s="301">
        <v>0</v>
      </c>
      <c r="K1110" s="302">
        <v>0</v>
      </c>
      <c r="L1110" s="301">
        <v>0</v>
      </c>
      <c r="M1110" s="301">
        <v>0</v>
      </c>
      <c r="N1110" s="301">
        <v>0</v>
      </c>
      <c r="O1110" s="301">
        <v>0</v>
      </c>
      <c r="P1110" s="301">
        <v>0</v>
      </c>
      <c r="Q1110" s="301">
        <v>0</v>
      </c>
      <c r="R1110" s="301">
        <v>0</v>
      </c>
      <c r="S1110" s="301">
        <v>0</v>
      </c>
      <c r="T1110" s="301">
        <v>0</v>
      </c>
      <c r="U1110" s="301">
        <v>0</v>
      </c>
      <c r="V1110" s="301">
        <v>0</v>
      </c>
      <c r="W1110" s="301">
        <v>0</v>
      </c>
      <c r="X1110" s="301">
        <v>0</v>
      </c>
      <c r="Y1110" s="301">
        <v>0</v>
      </c>
      <c r="Z1110" s="301">
        <v>0</v>
      </c>
      <c r="AA1110" s="301">
        <v>0</v>
      </c>
      <c r="AB1110" s="303">
        <v>2021</v>
      </c>
    </row>
    <row r="1111" spans="1:28" ht="35.25" customHeight="1" x14ac:dyDescent="0.5">
      <c r="A1111">
        <v>1</v>
      </c>
      <c r="B1111" s="80">
        <f>SUBTOTAL(103,$A$808:A1111)</f>
        <v>304</v>
      </c>
      <c r="C1111" s="308" t="s">
        <v>3188</v>
      </c>
      <c r="D1111" s="296">
        <f t="shared" si="51"/>
        <v>236060.4</v>
      </c>
      <c r="E1111" s="301">
        <v>0</v>
      </c>
      <c r="F1111" s="301">
        <v>0</v>
      </c>
      <c r="G1111" s="301">
        <v>0</v>
      </c>
      <c r="H1111" s="301">
        <v>0</v>
      </c>
      <c r="I1111" s="301">
        <v>0</v>
      </c>
      <c r="J1111" s="301">
        <v>0</v>
      </c>
      <c r="K1111" s="302">
        <v>0</v>
      </c>
      <c r="L1111" s="301">
        <v>0</v>
      </c>
      <c r="M1111" s="301">
        <v>0</v>
      </c>
      <c r="N1111" s="301">
        <v>0</v>
      </c>
      <c r="O1111" s="301">
        <v>236060.4</v>
      </c>
      <c r="P1111" s="301">
        <v>0</v>
      </c>
      <c r="Q1111" s="301">
        <v>0</v>
      </c>
      <c r="R1111" s="301">
        <v>0</v>
      </c>
      <c r="S1111" s="301">
        <v>0</v>
      </c>
      <c r="T1111" s="301">
        <v>0</v>
      </c>
      <c r="U1111" s="301">
        <v>0</v>
      </c>
      <c r="V1111" s="301">
        <v>0</v>
      </c>
      <c r="W1111" s="301">
        <v>0</v>
      </c>
      <c r="X1111" s="301">
        <v>0</v>
      </c>
      <c r="Y1111" s="301">
        <v>0</v>
      </c>
      <c r="Z1111" s="301">
        <v>0</v>
      </c>
      <c r="AA1111" s="301">
        <v>0</v>
      </c>
      <c r="AB1111" s="303">
        <v>2021</v>
      </c>
    </row>
    <row r="1112" spans="1:28" ht="35.25" customHeight="1" x14ac:dyDescent="0.5">
      <c r="A1112">
        <v>1</v>
      </c>
      <c r="B1112" s="80">
        <f>SUBTOTAL(103,$A$808:A1112)</f>
        <v>305</v>
      </c>
      <c r="C1112" s="308" t="s">
        <v>3189</v>
      </c>
      <c r="D1112" s="296">
        <f t="shared" si="51"/>
        <v>2400000</v>
      </c>
      <c r="E1112" s="301">
        <v>0</v>
      </c>
      <c r="F1112" s="301">
        <v>0</v>
      </c>
      <c r="G1112" s="301">
        <v>0</v>
      </c>
      <c r="H1112" s="301">
        <v>0</v>
      </c>
      <c r="I1112" s="301">
        <v>0</v>
      </c>
      <c r="J1112" s="301">
        <v>0</v>
      </c>
      <c r="K1112" s="302">
        <v>0</v>
      </c>
      <c r="L1112" s="301">
        <v>0</v>
      </c>
      <c r="M1112" s="301">
        <v>2400000</v>
      </c>
      <c r="N1112" s="301">
        <v>0</v>
      </c>
      <c r="O1112" s="301">
        <v>0</v>
      </c>
      <c r="P1112" s="301">
        <v>0</v>
      </c>
      <c r="Q1112" s="301">
        <v>0</v>
      </c>
      <c r="R1112" s="301">
        <v>0</v>
      </c>
      <c r="S1112" s="301">
        <v>0</v>
      </c>
      <c r="T1112" s="301">
        <v>0</v>
      </c>
      <c r="U1112" s="301">
        <v>0</v>
      </c>
      <c r="V1112" s="301">
        <v>0</v>
      </c>
      <c r="W1112" s="301">
        <v>0</v>
      </c>
      <c r="X1112" s="301">
        <v>0</v>
      </c>
      <c r="Y1112" s="301">
        <v>0</v>
      </c>
      <c r="Z1112" s="301">
        <v>0</v>
      </c>
      <c r="AA1112" s="301">
        <v>0</v>
      </c>
      <c r="AB1112" s="303">
        <v>2021</v>
      </c>
    </row>
    <row r="1113" spans="1:28" ht="35.25" customHeight="1" x14ac:dyDescent="0.5">
      <c r="A1113">
        <v>1</v>
      </c>
      <c r="B1113" s="80">
        <f>SUBTOTAL(103,$A$808:A1113)</f>
        <v>306</v>
      </c>
      <c r="C1113" s="308" t="s">
        <v>2197</v>
      </c>
      <c r="D1113" s="296">
        <f t="shared" si="51"/>
        <v>2336300</v>
      </c>
      <c r="E1113" s="301">
        <v>0</v>
      </c>
      <c r="F1113" s="301">
        <v>0</v>
      </c>
      <c r="G1113" s="301">
        <v>0</v>
      </c>
      <c r="H1113" s="301">
        <v>0</v>
      </c>
      <c r="I1113" s="301">
        <v>0</v>
      </c>
      <c r="J1113" s="301">
        <v>0</v>
      </c>
      <c r="K1113" s="302">
        <v>1</v>
      </c>
      <c r="L1113" s="301">
        <v>2336300</v>
      </c>
      <c r="M1113" s="301">
        <v>0</v>
      </c>
      <c r="N1113" s="301">
        <v>0</v>
      </c>
      <c r="O1113" s="301">
        <v>0</v>
      </c>
      <c r="P1113" s="301">
        <v>0</v>
      </c>
      <c r="Q1113" s="301">
        <v>0</v>
      </c>
      <c r="R1113" s="301">
        <v>0</v>
      </c>
      <c r="S1113" s="301">
        <v>0</v>
      </c>
      <c r="T1113" s="301">
        <v>0</v>
      </c>
      <c r="U1113" s="301">
        <v>0</v>
      </c>
      <c r="V1113" s="301">
        <v>0</v>
      </c>
      <c r="W1113" s="301">
        <v>0</v>
      </c>
      <c r="X1113" s="301">
        <v>0</v>
      </c>
      <c r="Y1113" s="301">
        <v>0</v>
      </c>
      <c r="Z1113" s="301">
        <v>0</v>
      </c>
      <c r="AA1113" s="301">
        <v>0</v>
      </c>
      <c r="AB1113" s="303">
        <v>2021</v>
      </c>
    </row>
    <row r="1114" spans="1:28" ht="35.25" customHeight="1" x14ac:dyDescent="0.5">
      <c r="A1114">
        <v>1</v>
      </c>
      <c r="B1114" s="80">
        <f>SUBTOTAL(103,$A$808:A1114)</f>
        <v>307</v>
      </c>
      <c r="C1114" s="308" t="s">
        <v>3190</v>
      </c>
      <c r="D1114" s="296">
        <f t="shared" si="51"/>
        <v>110150</v>
      </c>
      <c r="E1114" s="301">
        <v>0</v>
      </c>
      <c r="F1114" s="301">
        <v>0</v>
      </c>
      <c r="G1114" s="301">
        <v>0</v>
      </c>
      <c r="H1114" s="301">
        <v>0</v>
      </c>
      <c r="I1114" s="301">
        <v>0</v>
      </c>
      <c r="J1114" s="301">
        <v>0</v>
      </c>
      <c r="K1114" s="302">
        <v>0</v>
      </c>
      <c r="L1114" s="301">
        <v>0</v>
      </c>
      <c r="M1114" s="301">
        <v>110150</v>
      </c>
      <c r="N1114" s="301">
        <v>0</v>
      </c>
      <c r="O1114" s="301">
        <v>0</v>
      </c>
      <c r="P1114" s="301">
        <v>0</v>
      </c>
      <c r="Q1114" s="301">
        <v>0</v>
      </c>
      <c r="R1114" s="301">
        <v>0</v>
      </c>
      <c r="S1114" s="301">
        <v>0</v>
      </c>
      <c r="T1114" s="301">
        <v>0</v>
      </c>
      <c r="U1114" s="301">
        <v>0</v>
      </c>
      <c r="V1114" s="301">
        <v>0</v>
      </c>
      <c r="W1114" s="301">
        <v>0</v>
      </c>
      <c r="X1114" s="301">
        <v>0</v>
      </c>
      <c r="Y1114" s="301">
        <v>0</v>
      </c>
      <c r="Z1114" s="301">
        <v>0</v>
      </c>
      <c r="AA1114" s="301">
        <v>0</v>
      </c>
      <c r="AB1114" s="303">
        <v>2021</v>
      </c>
    </row>
    <row r="1115" spans="1:28" ht="35.25" customHeight="1" x14ac:dyDescent="0.5">
      <c r="A1115">
        <v>1</v>
      </c>
      <c r="B1115" s="80">
        <f>SUBTOTAL(103,$A$808:A1115)</f>
        <v>308</v>
      </c>
      <c r="C1115" s="308" t="s">
        <v>3191</v>
      </c>
      <c r="D1115" s="296">
        <f t="shared" si="51"/>
        <v>1860434</v>
      </c>
      <c r="E1115" s="301">
        <v>0</v>
      </c>
      <c r="F1115" s="301">
        <v>0</v>
      </c>
      <c r="G1115" s="301">
        <v>0</v>
      </c>
      <c r="H1115" s="301">
        <v>0</v>
      </c>
      <c r="I1115" s="301">
        <v>0</v>
      </c>
      <c r="J1115" s="301">
        <v>0</v>
      </c>
      <c r="K1115" s="302">
        <v>0</v>
      </c>
      <c r="L1115" s="301">
        <v>0</v>
      </c>
      <c r="M1115" s="301">
        <v>1860434</v>
      </c>
      <c r="N1115" s="301">
        <v>0</v>
      </c>
      <c r="O1115" s="301">
        <v>0</v>
      </c>
      <c r="P1115" s="301">
        <v>0</v>
      </c>
      <c r="Q1115" s="301">
        <v>0</v>
      </c>
      <c r="R1115" s="301">
        <v>0</v>
      </c>
      <c r="S1115" s="301">
        <v>0</v>
      </c>
      <c r="T1115" s="301">
        <v>0</v>
      </c>
      <c r="U1115" s="301">
        <v>0</v>
      </c>
      <c r="V1115" s="301">
        <v>0</v>
      </c>
      <c r="W1115" s="301">
        <v>0</v>
      </c>
      <c r="X1115" s="301">
        <v>0</v>
      </c>
      <c r="Y1115" s="301">
        <v>0</v>
      </c>
      <c r="Z1115" s="301">
        <v>0</v>
      </c>
      <c r="AA1115" s="301">
        <v>0</v>
      </c>
      <c r="AB1115" s="303">
        <v>2021</v>
      </c>
    </row>
    <row r="1116" spans="1:28" ht="35.25" customHeight="1" x14ac:dyDescent="0.5">
      <c r="A1116">
        <v>1</v>
      </c>
      <c r="B1116" s="80">
        <f>SUBTOTAL(103,$A$808:A1116)</f>
        <v>309</v>
      </c>
      <c r="C1116" s="308" t="s">
        <v>3192</v>
      </c>
      <c r="D1116" s="296">
        <f t="shared" si="51"/>
        <v>2421210</v>
      </c>
      <c r="E1116" s="301">
        <v>0</v>
      </c>
      <c r="F1116" s="301">
        <v>0</v>
      </c>
      <c r="G1116" s="301">
        <v>0</v>
      </c>
      <c r="H1116" s="301">
        <v>0</v>
      </c>
      <c r="I1116" s="301">
        <v>0</v>
      </c>
      <c r="J1116" s="301">
        <v>0</v>
      </c>
      <c r="K1116" s="302">
        <v>0</v>
      </c>
      <c r="L1116" s="301">
        <v>0</v>
      </c>
      <c r="M1116" s="301">
        <v>2421210</v>
      </c>
      <c r="N1116" s="301">
        <v>0</v>
      </c>
      <c r="O1116" s="301">
        <v>0</v>
      </c>
      <c r="P1116" s="301">
        <v>0</v>
      </c>
      <c r="Q1116" s="301">
        <v>0</v>
      </c>
      <c r="R1116" s="301">
        <v>0</v>
      </c>
      <c r="S1116" s="301">
        <v>0</v>
      </c>
      <c r="T1116" s="301">
        <v>0</v>
      </c>
      <c r="U1116" s="301">
        <v>0</v>
      </c>
      <c r="V1116" s="301">
        <v>0</v>
      </c>
      <c r="W1116" s="301">
        <v>0</v>
      </c>
      <c r="X1116" s="301">
        <v>0</v>
      </c>
      <c r="Y1116" s="301">
        <v>0</v>
      </c>
      <c r="Z1116" s="301">
        <v>0</v>
      </c>
      <c r="AA1116" s="301">
        <v>0</v>
      </c>
      <c r="AB1116" s="303">
        <v>2021</v>
      </c>
    </row>
    <row r="1117" spans="1:28" ht="35.25" customHeight="1" x14ac:dyDescent="0.5">
      <c r="A1117">
        <v>1</v>
      </c>
      <c r="B1117" s="80">
        <f>SUBTOTAL(103,$A$808:A1117)</f>
        <v>310</v>
      </c>
      <c r="C1117" s="308" t="s">
        <v>3193</v>
      </c>
      <c r="D1117" s="296">
        <f t="shared" si="51"/>
        <v>2989556</v>
      </c>
      <c r="E1117" s="301">
        <v>0</v>
      </c>
      <c r="F1117" s="301">
        <v>0</v>
      </c>
      <c r="G1117" s="301">
        <v>0</v>
      </c>
      <c r="H1117" s="301">
        <v>0</v>
      </c>
      <c r="I1117" s="301">
        <v>0</v>
      </c>
      <c r="J1117" s="301">
        <v>0</v>
      </c>
      <c r="K1117" s="302">
        <v>0</v>
      </c>
      <c r="L1117" s="301">
        <v>0</v>
      </c>
      <c r="M1117" s="301">
        <v>2989556</v>
      </c>
      <c r="N1117" s="301">
        <v>0</v>
      </c>
      <c r="O1117" s="301">
        <v>0</v>
      </c>
      <c r="P1117" s="301">
        <v>0</v>
      </c>
      <c r="Q1117" s="301">
        <v>0</v>
      </c>
      <c r="R1117" s="301">
        <v>0</v>
      </c>
      <c r="S1117" s="301">
        <v>0</v>
      </c>
      <c r="T1117" s="301">
        <v>0</v>
      </c>
      <c r="U1117" s="301">
        <v>0</v>
      </c>
      <c r="V1117" s="301">
        <v>0</v>
      </c>
      <c r="W1117" s="301">
        <v>0</v>
      </c>
      <c r="X1117" s="301">
        <v>0</v>
      </c>
      <c r="Y1117" s="301">
        <v>0</v>
      </c>
      <c r="Z1117" s="301">
        <v>0</v>
      </c>
      <c r="AA1117" s="301">
        <v>0</v>
      </c>
      <c r="AB1117" s="303">
        <v>2021</v>
      </c>
    </row>
    <row r="1118" spans="1:28" ht="35.25" customHeight="1" x14ac:dyDescent="0.5">
      <c r="A1118">
        <v>1</v>
      </c>
      <c r="B1118" s="80">
        <f>SUBTOTAL(103,$A$808:A1118)</f>
        <v>311</v>
      </c>
      <c r="C1118" s="308" t="s">
        <v>3194</v>
      </c>
      <c r="D1118" s="296">
        <f t="shared" si="51"/>
        <v>281200</v>
      </c>
      <c r="E1118" s="301">
        <v>0</v>
      </c>
      <c r="F1118" s="301">
        <v>0</v>
      </c>
      <c r="G1118" s="301">
        <v>0</v>
      </c>
      <c r="H1118" s="301">
        <v>0</v>
      </c>
      <c r="I1118" s="301">
        <v>0</v>
      </c>
      <c r="J1118" s="301">
        <v>0</v>
      </c>
      <c r="K1118" s="302">
        <v>0</v>
      </c>
      <c r="L1118" s="301">
        <v>0</v>
      </c>
      <c r="M1118" s="301">
        <v>0</v>
      </c>
      <c r="N1118" s="301">
        <v>0</v>
      </c>
      <c r="O1118" s="301">
        <v>281200</v>
      </c>
      <c r="P1118" s="301">
        <v>0</v>
      </c>
      <c r="Q1118" s="301">
        <v>0</v>
      </c>
      <c r="R1118" s="301">
        <v>0</v>
      </c>
      <c r="S1118" s="301">
        <v>0</v>
      </c>
      <c r="T1118" s="301">
        <v>0</v>
      </c>
      <c r="U1118" s="301">
        <v>0</v>
      </c>
      <c r="V1118" s="301">
        <v>0</v>
      </c>
      <c r="W1118" s="301">
        <v>0</v>
      </c>
      <c r="X1118" s="301">
        <v>0</v>
      </c>
      <c r="Y1118" s="301">
        <v>0</v>
      </c>
      <c r="Z1118" s="301">
        <v>0</v>
      </c>
      <c r="AA1118" s="301">
        <v>0</v>
      </c>
      <c r="AB1118" s="303">
        <v>2021</v>
      </c>
    </row>
    <row r="1119" spans="1:28" ht="35.25" customHeight="1" x14ac:dyDescent="0.5">
      <c r="A1119">
        <v>1</v>
      </c>
      <c r="B1119" s="80">
        <f>SUBTOTAL(103,$A$808:A1119)</f>
        <v>312</v>
      </c>
      <c r="C1119" s="308" t="s">
        <v>1680</v>
      </c>
      <c r="D1119" s="296">
        <f t="shared" si="51"/>
        <v>199800</v>
      </c>
      <c r="E1119" s="301">
        <v>0</v>
      </c>
      <c r="F1119" s="301">
        <v>0</v>
      </c>
      <c r="G1119" s="301">
        <v>199800</v>
      </c>
      <c r="H1119" s="301">
        <v>0</v>
      </c>
      <c r="I1119" s="301">
        <v>0</v>
      </c>
      <c r="J1119" s="301">
        <v>0</v>
      </c>
      <c r="K1119" s="302">
        <v>0</v>
      </c>
      <c r="L1119" s="301">
        <v>0</v>
      </c>
      <c r="M1119" s="301">
        <v>0</v>
      </c>
      <c r="N1119" s="301">
        <v>0</v>
      </c>
      <c r="O1119" s="301">
        <v>0</v>
      </c>
      <c r="P1119" s="301">
        <v>0</v>
      </c>
      <c r="Q1119" s="301">
        <v>0</v>
      </c>
      <c r="R1119" s="301">
        <v>0</v>
      </c>
      <c r="S1119" s="301">
        <v>0</v>
      </c>
      <c r="T1119" s="301">
        <v>0</v>
      </c>
      <c r="U1119" s="301">
        <v>0</v>
      </c>
      <c r="V1119" s="301">
        <v>0</v>
      </c>
      <c r="W1119" s="301">
        <v>0</v>
      </c>
      <c r="X1119" s="301">
        <v>0</v>
      </c>
      <c r="Y1119" s="301">
        <v>0</v>
      </c>
      <c r="Z1119" s="301">
        <v>0</v>
      </c>
      <c r="AA1119" s="301">
        <v>0</v>
      </c>
      <c r="AB1119" s="303">
        <v>2021</v>
      </c>
    </row>
    <row r="1120" spans="1:28" ht="35.25" customHeight="1" x14ac:dyDescent="0.5">
      <c r="A1120">
        <v>1</v>
      </c>
      <c r="B1120" s="80">
        <f>SUBTOTAL(103,$A$808:A1120)</f>
        <v>313</v>
      </c>
      <c r="C1120" s="308" t="s">
        <v>3195</v>
      </c>
      <c r="D1120" s="296">
        <f t="shared" si="51"/>
        <v>1110000</v>
      </c>
      <c r="E1120" s="301">
        <v>0</v>
      </c>
      <c r="F1120" s="301">
        <v>0</v>
      </c>
      <c r="G1120" s="301">
        <v>1110000</v>
      </c>
      <c r="H1120" s="301">
        <v>0</v>
      </c>
      <c r="I1120" s="301">
        <v>0</v>
      </c>
      <c r="J1120" s="301">
        <v>0</v>
      </c>
      <c r="K1120" s="302">
        <v>0</v>
      </c>
      <c r="L1120" s="301">
        <v>0</v>
      </c>
      <c r="M1120" s="301">
        <v>0</v>
      </c>
      <c r="N1120" s="301">
        <v>0</v>
      </c>
      <c r="O1120" s="301">
        <v>0</v>
      </c>
      <c r="P1120" s="301">
        <v>0</v>
      </c>
      <c r="Q1120" s="301">
        <v>0</v>
      </c>
      <c r="R1120" s="301">
        <v>0</v>
      </c>
      <c r="S1120" s="301">
        <v>0</v>
      </c>
      <c r="T1120" s="301">
        <v>0</v>
      </c>
      <c r="U1120" s="301">
        <v>0</v>
      </c>
      <c r="V1120" s="301">
        <v>0</v>
      </c>
      <c r="W1120" s="301">
        <v>0</v>
      </c>
      <c r="X1120" s="301">
        <v>0</v>
      </c>
      <c r="Y1120" s="301">
        <v>0</v>
      </c>
      <c r="Z1120" s="301">
        <v>0</v>
      </c>
      <c r="AA1120" s="301">
        <v>0</v>
      </c>
      <c r="AB1120" s="303">
        <v>2021</v>
      </c>
    </row>
    <row r="1121" spans="1:28" ht="35.25" customHeight="1" x14ac:dyDescent="0.5">
      <c r="A1121">
        <v>1</v>
      </c>
      <c r="B1121" s="80">
        <f>SUBTOTAL(103,$A$808:A1121)</f>
        <v>314</v>
      </c>
      <c r="C1121" s="308" t="s">
        <v>3196</v>
      </c>
      <c r="D1121" s="296">
        <f t="shared" si="51"/>
        <v>950000</v>
      </c>
      <c r="E1121" s="301">
        <v>0</v>
      </c>
      <c r="F1121" s="301">
        <v>0</v>
      </c>
      <c r="G1121" s="301">
        <v>950000</v>
      </c>
      <c r="H1121" s="301">
        <v>0</v>
      </c>
      <c r="I1121" s="301">
        <v>0</v>
      </c>
      <c r="J1121" s="301">
        <v>0</v>
      </c>
      <c r="K1121" s="302">
        <v>0</v>
      </c>
      <c r="L1121" s="301">
        <v>0</v>
      </c>
      <c r="M1121" s="301">
        <v>0</v>
      </c>
      <c r="N1121" s="301">
        <v>0</v>
      </c>
      <c r="O1121" s="301">
        <v>0</v>
      </c>
      <c r="P1121" s="301">
        <v>0</v>
      </c>
      <c r="Q1121" s="301">
        <v>0</v>
      </c>
      <c r="R1121" s="301">
        <v>0</v>
      </c>
      <c r="S1121" s="301">
        <v>0</v>
      </c>
      <c r="T1121" s="301">
        <v>0</v>
      </c>
      <c r="U1121" s="301">
        <v>0</v>
      </c>
      <c r="V1121" s="301">
        <v>0</v>
      </c>
      <c r="W1121" s="301">
        <v>0</v>
      </c>
      <c r="X1121" s="301">
        <v>0</v>
      </c>
      <c r="Y1121" s="301">
        <v>0</v>
      </c>
      <c r="Z1121" s="301">
        <v>0</v>
      </c>
      <c r="AA1121" s="301">
        <v>0</v>
      </c>
      <c r="AB1121" s="303">
        <v>2021</v>
      </c>
    </row>
    <row r="1122" spans="1:28" ht="35.25" customHeight="1" x14ac:dyDescent="0.5">
      <c r="A1122">
        <v>1</v>
      </c>
      <c r="B1122" s="80">
        <f>SUBTOTAL(103,$A$808:A1122)</f>
        <v>315</v>
      </c>
      <c r="C1122" s="308" t="s">
        <v>3301</v>
      </c>
      <c r="D1122" s="296">
        <f t="shared" si="51"/>
        <v>1374754</v>
      </c>
      <c r="E1122" s="301">
        <v>0</v>
      </c>
      <c r="F1122" s="301">
        <v>0</v>
      </c>
      <c r="G1122" s="301">
        <v>0</v>
      </c>
      <c r="H1122" s="301">
        <v>0</v>
      </c>
      <c r="I1122" s="301">
        <v>1374754</v>
      </c>
      <c r="J1122" s="301">
        <v>0</v>
      </c>
      <c r="K1122" s="302">
        <v>0</v>
      </c>
      <c r="L1122" s="301">
        <v>0</v>
      </c>
      <c r="M1122" s="301">
        <v>0</v>
      </c>
      <c r="N1122" s="301">
        <v>0</v>
      </c>
      <c r="O1122" s="301">
        <v>0</v>
      </c>
      <c r="P1122" s="301">
        <v>0</v>
      </c>
      <c r="Q1122" s="301">
        <v>0</v>
      </c>
      <c r="R1122" s="301">
        <v>0</v>
      </c>
      <c r="S1122" s="301">
        <v>0</v>
      </c>
      <c r="T1122" s="301">
        <v>0</v>
      </c>
      <c r="U1122" s="301">
        <v>0</v>
      </c>
      <c r="V1122" s="301">
        <v>0</v>
      </c>
      <c r="W1122" s="301">
        <v>0</v>
      </c>
      <c r="X1122" s="301">
        <v>0</v>
      </c>
      <c r="Y1122" s="301">
        <v>0</v>
      </c>
      <c r="Z1122" s="301">
        <v>0</v>
      </c>
      <c r="AA1122" s="301">
        <v>0</v>
      </c>
      <c r="AB1122" s="303">
        <v>2021</v>
      </c>
    </row>
    <row r="1123" spans="1:28" ht="35.25" customHeight="1" x14ac:dyDescent="0.5">
      <c r="A1123">
        <v>1</v>
      </c>
      <c r="B1123" s="80">
        <f>SUBTOTAL(103,$A$808:A1123)</f>
        <v>316</v>
      </c>
      <c r="C1123" s="308" t="s">
        <v>1907</v>
      </c>
      <c r="D1123" s="296">
        <f t="shared" si="51"/>
        <v>430859.38</v>
      </c>
      <c r="E1123" s="301">
        <v>292173.8</v>
      </c>
      <c r="F1123" s="301">
        <v>0</v>
      </c>
      <c r="G1123" s="301">
        <v>0</v>
      </c>
      <c r="H1123" s="301">
        <v>0</v>
      </c>
      <c r="I1123" s="301">
        <v>0</v>
      </c>
      <c r="J1123" s="301">
        <v>0</v>
      </c>
      <c r="K1123" s="302">
        <v>0</v>
      </c>
      <c r="L1123" s="301">
        <v>0</v>
      </c>
      <c r="M1123" s="301">
        <v>0</v>
      </c>
      <c r="N1123" s="301">
        <v>0</v>
      </c>
      <c r="O1123" s="301">
        <v>138685.57999999999</v>
      </c>
      <c r="P1123" s="301">
        <v>0</v>
      </c>
      <c r="Q1123" s="301">
        <v>0</v>
      </c>
      <c r="R1123" s="301">
        <v>0</v>
      </c>
      <c r="S1123" s="301">
        <v>0</v>
      </c>
      <c r="T1123" s="301">
        <v>0</v>
      </c>
      <c r="U1123" s="301">
        <v>0</v>
      </c>
      <c r="V1123" s="301">
        <v>0</v>
      </c>
      <c r="W1123" s="301">
        <v>0</v>
      </c>
      <c r="X1123" s="301">
        <v>0</v>
      </c>
      <c r="Y1123" s="301">
        <v>0</v>
      </c>
      <c r="Z1123" s="301">
        <v>0</v>
      </c>
      <c r="AA1123" s="301">
        <v>0</v>
      </c>
      <c r="AB1123" s="303">
        <v>2021</v>
      </c>
    </row>
    <row r="1124" spans="1:28" ht="35.25" customHeight="1" x14ac:dyDescent="0.5">
      <c r="A1124">
        <v>1</v>
      </c>
      <c r="B1124" s="80">
        <f>SUBTOTAL(103,$A$808:A1124)</f>
        <v>317</v>
      </c>
      <c r="C1124" s="308" t="s">
        <v>1650</v>
      </c>
      <c r="D1124" s="296">
        <f t="shared" si="51"/>
        <v>1210000</v>
      </c>
      <c r="E1124" s="301">
        <v>0</v>
      </c>
      <c r="F1124" s="301">
        <v>0</v>
      </c>
      <c r="G1124" s="301">
        <v>0</v>
      </c>
      <c r="H1124" s="301">
        <v>0</v>
      </c>
      <c r="I1124" s="301">
        <v>0</v>
      </c>
      <c r="J1124" s="301">
        <v>0</v>
      </c>
      <c r="K1124" s="302">
        <v>1</v>
      </c>
      <c r="L1124" s="301">
        <v>1210000</v>
      </c>
      <c r="M1124" s="301">
        <v>0</v>
      </c>
      <c r="N1124" s="301">
        <v>0</v>
      </c>
      <c r="O1124" s="301">
        <v>0</v>
      </c>
      <c r="P1124" s="301">
        <v>0</v>
      </c>
      <c r="Q1124" s="301">
        <v>0</v>
      </c>
      <c r="R1124" s="301">
        <v>0</v>
      </c>
      <c r="S1124" s="301">
        <v>0</v>
      </c>
      <c r="T1124" s="301">
        <v>0</v>
      </c>
      <c r="U1124" s="301">
        <v>0</v>
      </c>
      <c r="V1124" s="301">
        <v>0</v>
      </c>
      <c r="W1124" s="301">
        <v>0</v>
      </c>
      <c r="X1124" s="301">
        <v>0</v>
      </c>
      <c r="Y1124" s="301">
        <v>0</v>
      </c>
      <c r="Z1124" s="301">
        <v>0</v>
      </c>
      <c r="AA1124" s="301">
        <v>0</v>
      </c>
      <c r="AB1124" s="303">
        <v>2021</v>
      </c>
    </row>
    <row r="1125" spans="1:28" ht="35.25" customHeight="1" x14ac:dyDescent="0.5">
      <c r="A1125">
        <v>1</v>
      </c>
      <c r="B1125" s="80">
        <f>SUBTOTAL(103,$A$808:A1125)</f>
        <v>318</v>
      </c>
      <c r="C1125" s="308" t="s">
        <v>3300</v>
      </c>
      <c r="D1125" s="296">
        <f t="shared" si="51"/>
        <v>296154.91000000003</v>
      </c>
      <c r="E1125" s="301">
        <v>0</v>
      </c>
      <c r="F1125" s="301">
        <v>0</v>
      </c>
      <c r="G1125" s="301">
        <v>0</v>
      </c>
      <c r="H1125" s="301">
        <v>0</v>
      </c>
      <c r="I1125" s="301">
        <v>0</v>
      </c>
      <c r="J1125" s="301">
        <v>0</v>
      </c>
      <c r="K1125" s="302">
        <v>0</v>
      </c>
      <c r="L1125" s="301">
        <v>0</v>
      </c>
      <c r="M1125" s="301">
        <v>0</v>
      </c>
      <c r="N1125" s="301">
        <v>0</v>
      </c>
      <c r="O1125" s="301">
        <v>0</v>
      </c>
      <c r="P1125" s="301">
        <v>296154.91000000003</v>
      </c>
      <c r="Q1125" s="301">
        <v>0</v>
      </c>
      <c r="R1125" s="301">
        <v>0</v>
      </c>
      <c r="S1125" s="301">
        <v>0</v>
      </c>
      <c r="T1125" s="301">
        <v>0</v>
      </c>
      <c r="U1125" s="301">
        <v>0</v>
      </c>
      <c r="V1125" s="301">
        <v>0</v>
      </c>
      <c r="W1125" s="301">
        <v>0</v>
      </c>
      <c r="X1125" s="301">
        <v>0</v>
      </c>
      <c r="Y1125" s="301">
        <v>0</v>
      </c>
      <c r="Z1125" s="301">
        <v>0</v>
      </c>
      <c r="AA1125" s="301">
        <v>0</v>
      </c>
      <c r="AB1125" s="303" t="s">
        <v>2981</v>
      </c>
    </row>
    <row r="1126" spans="1:28" ht="35.25" customHeight="1" x14ac:dyDescent="0.5">
      <c r="A1126">
        <v>1</v>
      </c>
      <c r="B1126" s="80">
        <f>SUBTOTAL(103,$A$808:A1126)</f>
        <v>319</v>
      </c>
      <c r="C1126" s="308" t="s">
        <v>3302</v>
      </c>
      <c r="D1126" s="296">
        <f t="shared" si="51"/>
        <v>1557988.73</v>
      </c>
      <c r="E1126" s="301">
        <v>275598.93</v>
      </c>
      <c r="F1126" s="301">
        <v>0</v>
      </c>
      <c r="G1126" s="301">
        <v>731479.8</v>
      </c>
      <c r="H1126" s="301">
        <v>0</v>
      </c>
      <c r="I1126" s="301">
        <v>0</v>
      </c>
      <c r="J1126" s="301">
        <v>0</v>
      </c>
      <c r="K1126" s="302">
        <v>0</v>
      </c>
      <c r="L1126" s="301">
        <v>0</v>
      </c>
      <c r="M1126" s="301">
        <v>0</v>
      </c>
      <c r="N1126" s="301">
        <v>0</v>
      </c>
      <c r="O1126" s="301">
        <v>550910</v>
      </c>
      <c r="P1126" s="301">
        <v>0</v>
      </c>
      <c r="Q1126" s="301">
        <v>0</v>
      </c>
      <c r="R1126" s="301">
        <v>0</v>
      </c>
      <c r="S1126" s="301">
        <v>0</v>
      </c>
      <c r="T1126" s="301">
        <v>0</v>
      </c>
      <c r="U1126" s="301">
        <v>0</v>
      </c>
      <c r="V1126" s="301">
        <v>0</v>
      </c>
      <c r="W1126" s="301">
        <v>0</v>
      </c>
      <c r="X1126" s="301">
        <v>0</v>
      </c>
      <c r="Y1126" s="301">
        <v>0</v>
      </c>
      <c r="Z1126" s="301">
        <v>0</v>
      </c>
      <c r="AA1126" s="301">
        <v>0</v>
      </c>
      <c r="AB1126" s="303" t="s">
        <v>2981</v>
      </c>
    </row>
    <row r="1127" spans="1:28" ht="35.25" customHeight="1" x14ac:dyDescent="0.5">
      <c r="A1127">
        <v>1</v>
      </c>
      <c r="B1127" s="80">
        <f>SUBTOTAL(103,$A$808:A1127)</f>
        <v>320</v>
      </c>
      <c r="C1127" s="308" t="s">
        <v>3303</v>
      </c>
      <c r="D1127" s="296">
        <f t="shared" si="51"/>
        <v>1674549</v>
      </c>
      <c r="E1127" s="301">
        <v>0</v>
      </c>
      <c r="F1127" s="301">
        <v>0</v>
      </c>
      <c r="G1127" s="301">
        <v>1139730</v>
      </c>
      <c r="H1127" s="301">
        <v>169819</v>
      </c>
      <c r="I1127" s="301">
        <v>0</v>
      </c>
      <c r="J1127" s="301">
        <v>0</v>
      </c>
      <c r="K1127" s="302">
        <v>0</v>
      </c>
      <c r="L1127" s="301">
        <v>0</v>
      </c>
      <c r="M1127" s="301">
        <v>0</v>
      </c>
      <c r="N1127" s="301">
        <v>0</v>
      </c>
      <c r="O1127" s="301">
        <v>365000</v>
      </c>
      <c r="P1127" s="301">
        <v>0</v>
      </c>
      <c r="Q1127" s="301">
        <v>0</v>
      </c>
      <c r="R1127" s="301">
        <v>0</v>
      </c>
      <c r="S1127" s="301">
        <v>0</v>
      </c>
      <c r="T1127" s="301">
        <v>0</v>
      </c>
      <c r="U1127" s="301">
        <v>0</v>
      </c>
      <c r="V1127" s="301">
        <v>0</v>
      </c>
      <c r="W1127" s="301">
        <v>0</v>
      </c>
      <c r="X1127" s="301">
        <v>0</v>
      </c>
      <c r="Y1127" s="301">
        <v>0</v>
      </c>
      <c r="Z1127" s="301">
        <v>0</v>
      </c>
      <c r="AA1127" s="301">
        <v>0</v>
      </c>
      <c r="AB1127" s="303" t="s">
        <v>2981</v>
      </c>
    </row>
    <row r="1128" spans="1:28" ht="35.25" customHeight="1" x14ac:dyDescent="0.5">
      <c r="A1128">
        <v>1</v>
      </c>
      <c r="B1128" s="80">
        <f>SUBTOTAL(103,$A$808:A1128)</f>
        <v>321</v>
      </c>
      <c r="C1128" s="308" t="s">
        <v>2190</v>
      </c>
      <c r="D1128" s="296">
        <f t="shared" si="51"/>
        <v>988356</v>
      </c>
      <c r="E1128" s="301">
        <v>0</v>
      </c>
      <c r="F1128" s="301">
        <v>0</v>
      </c>
      <c r="G1128" s="301">
        <v>988356</v>
      </c>
      <c r="H1128" s="301">
        <v>0</v>
      </c>
      <c r="I1128" s="301">
        <v>0</v>
      </c>
      <c r="J1128" s="301">
        <v>0</v>
      </c>
      <c r="K1128" s="302">
        <v>0</v>
      </c>
      <c r="L1128" s="301">
        <v>0</v>
      </c>
      <c r="M1128" s="301">
        <v>0</v>
      </c>
      <c r="N1128" s="301">
        <v>0</v>
      </c>
      <c r="O1128" s="301">
        <v>0</v>
      </c>
      <c r="P1128" s="301">
        <v>0</v>
      </c>
      <c r="Q1128" s="301">
        <v>0</v>
      </c>
      <c r="R1128" s="301">
        <v>0</v>
      </c>
      <c r="S1128" s="301">
        <v>0</v>
      </c>
      <c r="T1128" s="301">
        <v>0</v>
      </c>
      <c r="U1128" s="301">
        <v>0</v>
      </c>
      <c r="V1128" s="301">
        <v>0</v>
      </c>
      <c r="W1128" s="301">
        <v>0</v>
      </c>
      <c r="X1128" s="301">
        <v>0</v>
      </c>
      <c r="Y1128" s="301">
        <v>0</v>
      </c>
      <c r="Z1128" s="301">
        <v>0</v>
      </c>
      <c r="AA1128" s="301">
        <v>0</v>
      </c>
      <c r="AB1128" s="303">
        <v>2021</v>
      </c>
    </row>
    <row r="1129" spans="1:28" ht="35.25" customHeight="1" x14ac:dyDescent="0.5">
      <c r="A1129">
        <v>1</v>
      </c>
      <c r="B1129" s="80">
        <f>SUBTOTAL(103,$A$808:A1129)</f>
        <v>322</v>
      </c>
      <c r="C1129" s="308" t="s">
        <v>3379</v>
      </c>
      <c r="D1129" s="296">
        <f t="shared" si="51"/>
        <v>1815001</v>
      </c>
      <c r="E1129" s="301">
        <v>0</v>
      </c>
      <c r="F1129" s="301">
        <v>0</v>
      </c>
      <c r="G1129" s="301">
        <v>0</v>
      </c>
      <c r="H1129" s="301">
        <v>0</v>
      </c>
      <c r="I1129" s="301">
        <v>0</v>
      </c>
      <c r="J1129" s="301">
        <v>0</v>
      </c>
      <c r="K1129" s="302">
        <v>0</v>
      </c>
      <c r="L1129" s="301">
        <v>0</v>
      </c>
      <c r="M1129" s="301">
        <v>0</v>
      </c>
      <c r="N1129" s="301">
        <v>0</v>
      </c>
      <c r="O1129" s="301">
        <v>1815001</v>
      </c>
      <c r="P1129" s="301">
        <v>0</v>
      </c>
      <c r="Q1129" s="301">
        <v>0</v>
      </c>
      <c r="R1129" s="301">
        <v>0</v>
      </c>
      <c r="S1129" s="301">
        <v>0</v>
      </c>
      <c r="T1129" s="301">
        <v>0</v>
      </c>
      <c r="U1129" s="301">
        <v>0</v>
      </c>
      <c r="V1129" s="301">
        <v>0</v>
      </c>
      <c r="W1129" s="301">
        <v>0</v>
      </c>
      <c r="X1129" s="301">
        <v>0</v>
      </c>
      <c r="Y1129" s="301">
        <v>0</v>
      </c>
      <c r="Z1129" s="301">
        <v>0</v>
      </c>
      <c r="AA1129" s="301">
        <v>0</v>
      </c>
      <c r="AB1129" s="303">
        <v>2021</v>
      </c>
    </row>
    <row r="1130" spans="1:28" ht="35.25" customHeight="1" x14ac:dyDescent="0.5">
      <c r="A1130">
        <v>1</v>
      </c>
      <c r="B1130" s="80">
        <f>SUBTOTAL(103,$A$808:A1130)</f>
        <v>323</v>
      </c>
      <c r="C1130" s="308" t="s">
        <v>3380</v>
      </c>
      <c r="D1130" s="296">
        <f t="shared" si="51"/>
        <v>274663</v>
      </c>
      <c r="E1130" s="301">
        <v>0</v>
      </c>
      <c r="F1130" s="301">
        <v>274663</v>
      </c>
      <c r="G1130" s="301">
        <v>0</v>
      </c>
      <c r="H1130" s="301">
        <v>0</v>
      </c>
      <c r="I1130" s="301">
        <v>0</v>
      </c>
      <c r="J1130" s="301">
        <v>0</v>
      </c>
      <c r="K1130" s="302">
        <v>0</v>
      </c>
      <c r="L1130" s="301">
        <v>0</v>
      </c>
      <c r="M1130" s="301">
        <v>0</v>
      </c>
      <c r="N1130" s="301">
        <v>0</v>
      </c>
      <c r="O1130" s="301">
        <v>0</v>
      </c>
      <c r="P1130" s="301">
        <v>0</v>
      </c>
      <c r="Q1130" s="301">
        <v>0</v>
      </c>
      <c r="R1130" s="301">
        <v>0</v>
      </c>
      <c r="S1130" s="301">
        <v>0</v>
      </c>
      <c r="T1130" s="301">
        <v>0</v>
      </c>
      <c r="U1130" s="301">
        <v>0</v>
      </c>
      <c r="V1130" s="301">
        <v>0</v>
      </c>
      <c r="W1130" s="301">
        <v>0</v>
      </c>
      <c r="X1130" s="301">
        <v>0</v>
      </c>
      <c r="Y1130" s="301">
        <v>0</v>
      </c>
      <c r="Z1130" s="301">
        <v>0</v>
      </c>
      <c r="AA1130" s="301">
        <v>0</v>
      </c>
      <c r="AB1130" s="303">
        <v>2021</v>
      </c>
    </row>
    <row r="1131" spans="1:28" ht="35.25" customHeight="1" x14ac:dyDescent="0.5">
      <c r="A1131">
        <v>1</v>
      </c>
      <c r="B1131" s="80">
        <f>SUBTOTAL(103,$A$808:A1131)</f>
        <v>324</v>
      </c>
      <c r="C1131" s="308" t="s">
        <v>3381</v>
      </c>
      <c r="D1131" s="296">
        <f t="shared" si="51"/>
        <v>324342.42</v>
      </c>
      <c r="E1131" s="301">
        <v>134731.56</v>
      </c>
      <c r="F1131" s="301">
        <v>189610.86</v>
      </c>
      <c r="G1131" s="301">
        <v>0</v>
      </c>
      <c r="H1131" s="301">
        <v>0</v>
      </c>
      <c r="I1131" s="301">
        <v>0</v>
      </c>
      <c r="J1131" s="301">
        <v>0</v>
      </c>
      <c r="K1131" s="302">
        <v>0</v>
      </c>
      <c r="L1131" s="301">
        <v>0</v>
      </c>
      <c r="M1131" s="301">
        <v>0</v>
      </c>
      <c r="N1131" s="301">
        <v>0</v>
      </c>
      <c r="O1131" s="301">
        <v>0</v>
      </c>
      <c r="P1131" s="301">
        <v>0</v>
      </c>
      <c r="Q1131" s="301">
        <v>0</v>
      </c>
      <c r="R1131" s="301">
        <v>0</v>
      </c>
      <c r="S1131" s="301">
        <v>0</v>
      </c>
      <c r="T1131" s="301">
        <v>0</v>
      </c>
      <c r="U1131" s="301">
        <v>0</v>
      </c>
      <c r="V1131" s="301">
        <v>0</v>
      </c>
      <c r="W1131" s="301">
        <v>0</v>
      </c>
      <c r="X1131" s="301">
        <v>0</v>
      </c>
      <c r="Y1131" s="301">
        <v>0</v>
      </c>
      <c r="Z1131" s="301">
        <v>0</v>
      </c>
      <c r="AA1131" s="301">
        <v>0</v>
      </c>
      <c r="AB1131" s="303">
        <v>2021</v>
      </c>
    </row>
    <row r="1132" spans="1:28" ht="35.25" customHeight="1" x14ac:dyDescent="0.5">
      <c r="A1132">
        <v>1</v>
      </c>
      <c r="B1132" s="80">
        <f>SUBTOTAL(103,$A$808:A1132)</f>
        <v>325</v>
      </c>
      <c r="C1132" s="308" t="s">
        <v>2323</v>
      </c>
      <c r="D1132" s="296">
        <f t="shared" si="51"/>
        <v>267000</v>
      </c>
      <c r="E1132" s="301">
        <v>0</v>
      </c>
      <c r="F1132" s="301">
        <v>0</v>
      </c>
      <c r="G1132" s="301">
        <v>0</v>
      </c>
      <c r="H1132" s="301">
        <v>0</v>
      </c>
      <c r="I1132" s="301">
        <v>0</v>
      </c>
      <c r="J1132" s="301">
        <v>0</v>
      </c>
      <c r="K1132" s="302">
        <v>0</v>
      </c>
      <c r="L1132" s="301">
        <v>0</v>
      </c>
      <c r="M1132" s="301">
        <v>0</v>
      </c>
      <c r="N1132" s="301">
        <v>0</v>
      </c>
      <c r="O1132" s="301">
        <v>267000</v>
      </c>
      <c r="P1132" s="301">
        <v>0</v>
      </c>
      <c r="Q1132" s="301">
        <v>0</v>
      </c>
      <c r="R1132" s="301">
        <v>0</v>
      </c>
      <c r="S1132" s="301">
        <v>0</v>
      </c>
      <c r="T1132" s="301">
        <v>0</v>
      </c>
      <c r="U1132" s="301">
        <v>0</v>
      </c>
      <c r="V1132" s="301">
        <v>0</v>
      </c>
      <c r="W1132" s="301">
        <v>0</v>
      </c>
      <c r="X1132" s="301">
        <v>0</v>
      </c>
      <c r="Y1132" s="301">
        <v>0</v>
      </c>
      <c r="Z1132" s="301">
        <v>0</v>
      </c>
      <c r="AA1132" s="301">
        <v>0</v>
      </c>
      <c r="AB1132" s="303">
        <v>2021</v>
      </c>
    </row>
    <row r="1133" spans="1:28" ht="35.25" customHeight="1" x14ac:dyDescent="0.5">
      <c r="A1133">
        <v>1</v>
      </c>
      <c r="B1133" s="80">
        <f>SUBTOTAL(103,$A$808:A1133)</f>
        <v>326</v>
      </c>
      <c r="C1133" s="308" t="s">
        <v>3543</v>
      </c>
      <c r="D1133" s="296">
        <f t="shared" si="51"/>
        <v>48975</v>
      </c>
      <c r="E1133" s="301">
        <v>0</v>
      </c>
      <c r="F1133" s="301">
        <v>0</v>
      </c>
      <c r="G1133" s="301">
        <v>0</v>
      </c>
      <c r="H1133" s="301">
        <v>0</v>
      </c>
      <c r="I1133" s="301">
        <v>0</v>
      </c>
      <c r="J1133" s="301">
        <v>0</v>
      </c>
      <c r="K1133" s="302">
        <v>0</v>
      </c>
      <c r="L1133" s="301">
        <v>0</v>
      </c>
      <c r="M1133" s="301">
        <v>0</v>
      </c>
      <c r="N1133" s="301">
        <v>0</v>
      </c>
      <c r="O1133" s="301">
        <v>48975</v>
      </c>
      <c r="P1133" s="301">
        <v>0</v>
      </c>
      <c r="Q1133" s="301">
        <v>0</v>
      </c>
      <c r="R1133" s="301">
        <v>0</v>
      </c>
      <c r="S1133" s="301">
        <v>0</v>
      </c>
      <c r="T1133" s="301">
        <v>0</v>
      </c>
      <c r="U1133" s="301">
        <v>0</v>
      </c>
      <c r="V1133" s="301">
        <v>0</v>
      </c>
      <c r="W1133" s="301">
        <v>0</v>
      </c>
      <c r="X1133" s="301">
        <v>0</v>
      </c>
      <c r="Y1133" s="301">
        <v>0</v>
      </c>
      <c r="Z1133" s="301">
        <v>0</v>
      </c>
      <c r="AA1133" s="301">
        <v>0</v>
      </c>
      <c r="AB1133" s="303">
        <v>2021</v>
      </c>
    </row>
    <row r="1134" spans="1:28" ht="35.25" customHeight="1" x14ac:dyDescent="0.5">
      <c r="A1134">
        <v>1</v>
      </c>
      <c r="B1134" s="80">
        <f>SUBTOTAL(103,$A$808:A1134)</f>
        <v>327</v>
      </c>
      <c r="C1134" s="308" t="s">
        <v>3544</v>
      </c>
      <c r="D1134" s="296">
        <f t="shared" si="51"/>
        <v>1136697</v>
      </c>
      <c r="E1134" s="301">
        <v>0</v>
      </c>
      <c r="F1134" s="301">
        <v>0</v>
      </c>
      <c r="G1134" s="301">
        <v>283970</v>
      </c>
      <c r="H1134" s="301">
        <v>0</v>
      </c>
      <c r="I1134" s="301">
        <v>0</v>
      </c>
      <c r="J1134" s="301">
        <v>0</v>
      </c>
      <c r="K1134" s="302">
        <v>0</v>
      </c>
      <c r="L1134" s="301">
        <v>0</v>
      </c>
      <c r="M1134" s="301">
        <v>770700</v>
      </c>
      <c r="N1134" s="301">
        <v>0</v>
      </c>
      <c r="O1134" s="301">
        <v>82027</v>
      </c>
      <c r="P1134" s="301">
        <v>0</v>
      </c>
      <c r="Q1134" s="301">
        <v>0</v>
      </c>
      <c r="R1134" s="301">
        <v>0</v>
      </c>
      <c r="S1134" s="301">
        <v>0</v>
      </c>
      <c r="T1134" s="301">
        <v>0</v>
      </c>
      <c r="U1134" s="301">
        <v>0</v>
      </c>
      <c r="V1134" s="301">
        <v>0</v>
      </c>
      <c r="W1134" s="301">
        <v>0</v>
      </c>
      <c r="X1134" s="301">
        <v>0</v>
      </c>
      <c r="Y1134" s="301">
        <v>0</v>
      </c>
      <c r="Z1134" s="301">
        <v>0</v>
      </c>
      <c r="AA1134" s="301">
        <v>0</v>
      </c>
      <c r="AB1134" s="303">
        <v>2021</v>
      </c>
    </row>
    <row r="1135" spans="1:28" ht="35.25" customHeight="1" x14ac:dyDescent="0.5">
      <c r="A1135">
        <v>1</v>
      </c>
      <c r="B1135" s="80">
        <f>SUBTOTAL(103,$A$808:A1135)</f>
        <v>328</v>
      </c>
      <c r="C1135" s="308" t="s">
        <v>3545</v>
      </c>
      <c r="D1135" s="296">
        <f t="shared" si="51"/>
        <v>152000</v>
      </c>
      <c r="E1135" s="301">
        <v>0</v>
      </c>
      <c r="F1135" s="301">
        <v>0</v>
      </c>
      <c r="G1135" s="301">
        <v>152000</v>
      </c>
      <c r="H1135" s="301">
        <v>0</v>
      </c>
      <c r="I1135" s="301">
        <v>0</v>
      </c>
      <c r="J1135" s="301">
        <v>0</v>
      </c>
      <c r="K1135" s="302">
        <v>0</v>
      </c>
      <c r="L1135" s="301">
        <v>0</v>
      </c>
      <c r="M1135" s="301">
        <v>0</v>
      </c>
      <c r="N1135" s="301">
        <v>0</v>
      </c>
      <c r="O1135" s="301">
        <v>0</v>
      </c>
      <c r="P1135" s="301">
        <v>0</v>
      </c>
      <c r="Q1135" s="301">
        <v>0</v>
      </c>
      <c r="R1135" s="301">
        <v>0</v>
      </c>
      <c r="S1135" s="301">
        <v>0</v>
      </c>
      <c r="T1135" s="301">
        <v>0</v>
      </c>
      <c r="U1135" s="301">
        <v>0</v>
      </c>
      <c r="V1135" s="301">
        <v>0</v>
      </c>
      <c r="W1135" s="301">
        <v>0</v>
      </c>
      <c r="X1135" s="301">
        <v>0</v>
      </c>
      <c r="Y1135" s="301">
        <v>0</v>
      </c>
      <c r="Z1135" s="301">
        <v>0</v>
      </c>
      <c r="AA1135" s="301">
        <v>0</v>
      </c>
      <c r="AB1135" s="303">
        <v>2021</v>
      </c>
    </row>
    <row r="1136" spans="1:28" ht="35.25" customHeight="1" x14ac:dyDescent="0.5">
      <c r="A1136">
        <v>1</v>
      </c>
      <c r="B1136" s="80">
        <f>SUBTOTAL(103,$A$808:A1136)</f>
        <v>329</v>
      </c>
      <c r="C1136" s="308" t="s">
        <v>3655</v>
      </c>
      <c r="D1136" s="296">
        <f t="shared" si="51"/>
        <v>3150000</v>
      </c>
      <c r="E1136" s="301">
        <v>0</v>
      </c>
      <c r="F1136" s="301">
        <v>0</v>
      </c>
      <c r="G1136" s="301">
        <v>0</v>
      </c>
      <c r="H1136" s="301">
        <v>0</v>
      </c>
      <c r="I1136" s="301">
        <v>0</v>
      </c>
      <c r="J1136" s="301">
        <v>0</v>
      </c>
      <c r="K1136" s="302">
        <v>1</v>
      </c>
      <c r="L1136" s="301">
        <v>3150000</v>
      </c>
      <c r="M1136" s="301">
        <v>0</v>
      </c>
      <c r="N1136" s="301">
        <v>0</v>
      </c>
      <c r="O1136" s="301">
        <v>0</v>
      </c>
      <c r="P1136" s="301">
        <v>0</v>
      </c>
      <c r="Q1136" s="301">
        <v>0</v>
      </c>
      <c r="R1136" s="301">
        <v>0</v>
      </c>
      <c r="S1136" s="301">
        <v>0</v>
      </c>
      <c r="T1136" s="301">
        <v>0</v>
      </c>
      <c r="U1136" s="301">
        <v>0</v>
      </c>
      <c r="V1136" s="301">
        <v>0</v>
      </c>
      <c r="W1136" s="301">
        <v>0</v>
      </c>
      <c r="X1136" s="301">
        <v>0</v>
      </c>
      <c r="Y1136" s="301">
        <v>0</v>
      </c>
      <c r="Z1136" s="301">
        <v>0</v>
      </c>
      <c r="AA1136" s="301">
        <v>0</v>
      </c>
      <c r="AB1136" s="303">
        <v>2021</v>
      </c>
    </row>
    <row r="1137" spans="1:28" ht="35.25" customHeight="1" x14ac:dyDescent="0.5">
      <c r="A1137">
        <v>1</v>
      </c>
      <c r="B1137" s="80">
        <f>SUBTOTAL(103,$A$808:A1137)</f>
        <v>330</v>
      </c>
      <c r="C1137" s="308" t="s">
        <v>1686</v>
      </c>
      <c r="D1137" s="296">
        <f t="shared" si="51"/>
        <v>860385.6</v>
      </c>
      <c r="E1137" s="301">
        <v>0</v>
      </c>
      <c r="F1137" s="301">
        <v>0</v>
      </c>
      <c r="G1137" s="301">
        <v>0</v>
      </c>
      <c r="H1137" s="301">
        <v>0</v>
      </c>
      <c r="I1137" s="301">
        <v>0</v>
      </c>
      <c r="J1137" s="301">
        <v>0</v>
      </c>
      <c r="K1137" s="302">
        <v>0</v>
      </c>
      <c r="L1137" s="301">
        <v>0</v>
      </c>
      <c r="M1137" s="301">
        <v>0</v>
      </c>
      <c r="N1137" s="301">
        <v>0</v>
      </c>
      <c r="O1137" s="301">
        <v>860385.6</v>
      </c>
      <c r="P1137" s="301">
        <v>0</v>
      </c>
      <c r="Q1137" s="301">
        <v>0</v>
      </c>
      <c r="R1137" s="301">
        <v>0</v>
      </c>
      <c r="S1137" s="301">
        <v>0</v>
      </c>
      <c r="T1137" s="301">
        <v>0</v>
      </c>
      <c r="U1137" s="301">
        <v>0</v>
      </c>
      <c r="V1137" s="301">
        <v>0</v>
      </c>
      <c r="W1137" s="301">
        <v>0</v>
      </c>
      <c r="X1137" s="301">
        <v>0</v>
      </c>
      <c r="Y1137" s="301">
        <v>0</v>
      </c>
      <c r="Z1137" s="301">
        <v>0</v>
      </c>
      <c r="AA1137" s="301">
        <v>0</v>
      </c>
      <c r="AB1137" s="303">
        <v>2021</v>
      </c>
    </row>
    <row r="1138" spans="1:28" ht="35.25" customHeight="1" x14ac:dyDescent="0.5">
      <c r="B1138" s="294" t="s">
        <v>783</v>
      </c>
      <c r="C1138" s="295"/>
      <c r="D1138" s="296">
        <f t="shared" si="51"/>
        <v>89607992.189999998</v>
      </c>
      <c r="E1138" s="296">
        <f t="shared" ref="E1138:AA1138" si="52">SUM(E1139:E1219)</f>
        <v>2133562.7000000002</v>
      </c>
      <c r="F1138" s="296">
        <f t="shared" si="52"/>
        <v>993481.82000000007</v>
      </c>
      <c r="G1138" s="296">
        <f t="shared" si="52"/>
        <v>10980618.539999999</v>
      </c>
      <c r="H1138" s="296">
        <f t="shared" si="52"/>
        <v>343278.4</v>
      </c>
      <c r="I1138" s="296">
        <f t="shared" si="52"/>
        <v>184500</v>
      </c>
      <c r="J1138" s="296">
        <f t="shared" si="52"/>
        <v>0</v>
      </c>
      <c r="K1138" s="297">
        <f t="shared" si="52"/>
        <v>5</v>
      </c>
      <c r="L1138" s="296">
        <f t="shared" si="52"/>
        <v>10412845.219999999</v>
      </c>
      <c r="M1138" s="296">
        <f t="shared" si="52"/>
        <v>27926654.060000002</v>
      </c>
      <c r="N1138" s="296">
        <f t="shared" si="52"/>
        <v>3599958.01</v>
      </c>
      <c r="O1138" s="296">
        <f t="shared" si="52"/>
        <v>31455246.439999998</v>
      </c>
      <c r="P1138" s="296">
        <f t="shared" si="52"/>
        <v>0</v>
      </c>
      <c r="Q1138" s="296">
        <f t="shared" si="52"/>
        <v>0</v>
      </c>
      <c r="R1138" s="296">
        <f t="shared" si="52"/>
        <v>0</v>
      </c>
      <c r="S1138" s="296">
        <f t="shared" si="52"/>
        <v>0</v>
      </c>
      <c r="T1138" s="296">
        <f t="shared" si="52"/>
        <v>0</v>
      </c>
      <c r="U1138" s="296">
        <f t="shared" si="52"/>
        <v>0</v>
      </c>
      <c r="V1138" s="296">
        <f t="shared" si="52"/>
        <v>0</v>
      </c>
      <c r="W1138" s="296">
        <f t="shared" si="52"/>
        <v>1577847</v>
      </c>
      <c r="X1138" s="296">
        <f t="shared" si="52"/>
        <v>0</v>
      </c>
      <c r="Y1138" s="296">
        <f t="shared" si="52"/>
        <v>0</v>
      </c>
      <c r="Z1138" s="296">
        <f t="shared" si="52"/>
        <v>0</v>
      </c>
      <c r="AA1138" s="296">
        <f t="shared" si="52"/>
        <v>0</v>
      </c>
      <c r="AB1138" s="298" t="s">
        <v>835</v>
      </c>
    </row>
    <row r="1139" spans="1:28" ht="35.25" customHeight="1" x14ac:dyDescent="0.5">
      <c r="A1139">
        <v>1</v>
      </c>
      <c r="B1139" s="80">
        <f>SUBTOTAL(103,$A$808:A1139)</f>
        <v>331</v>
      </c>
      <c r="C1139" s="300" t="s">
        <v>2472</v>
      </c>
      <c r="D1139" s="296">
        <f t="shared" si="51"/>
        <v>233398.86</v>
      </c>
      <c r="E1139" s="301">
        <v>0</v>
      </c>
      <c r="F1139" s="301">
        <v>0</v>
      </c>
      <c r="G1139" s="301">
        <v>0</v>
      </c>
      <c r="H1139" s="301">
        <v>0</v>
      </c>
      <c r="I1139" s="301">
        <v>0</v>
      </c>
      <c r="J1139" s="301">
        <v>0</v>
      </c>
      <c r="K1139" s="302">
        <v>0</v>
      </c>
      <c r="L1139" s="301">
        <v>0</v>
      </c>
      <c r="M1139" s="301">
        <v>0</v>
      </c>
      <c r="N1139" s="301">
        <v>165751.97</v>
      </c>
      <c r="O1139" s="301">
        <v>67646.89</v>
      </c>
      <c r="P1139" s="301">
        <v>0</v>
      </c>
      <c r="Q1139" s="301">
        <v>0</v>
      </c>
      <c r="R1139" s="301">
        <v>0</v>
      </c>
      <c r="S1139" s="301">
        <v>0</v>
      </c>
      <c r="T1139" s="301">
        <v>0</v>
      </c>
      <c r="U1139" s="301">
        <v>0</v>
      </c>
      <c r="V1139" s="301">
        <v>0</v>
      </c>
      <c r="W1139" s="301">
        <v>0</v>
      </c>
      <c r="X1139" s="301">
        <v>0</v>
      </c>
      <c r="Y1139" s="301">
        <v>0</v>
      </c>
      <c r="Z1139" s="301">
        <v>0</v>
      </c>
      <c r="AA1139" s="301">
        <v>0</v>
      </c>
      <c r="AB1139" s="303">
        <v>2021</v>
      </c>
    </row>
    <row r="1140" spans="1:28" ht="35.25" customHeight="1" x14ac:dyDescent="0.5">
      <c r="A1140">
        <v>1</v>
      </c>
      <c r="B1140" s="80">
        <f>SUBTOTAL(103,$A$808:A1140)</f>
        <v>332</v>
      </c>
      <c r="C1140" s="300" t="s">
        <v>2473</v>
      </c>
      <c r="D1140" s="296">
        <f t="shared" si="51"/>
        <v>324572.02</v>
      </c>
      <c r="E1140" s="301">
        <v>0</v>
      </c>
      <c r="F1140" s="301">
        <v>0</v>
      </c>
      <c r="G1140" s="301">
        <v>140292.01999999999</v>
      </c>
      <c r="H1140" s="301">
        <v>184280</v>
      </c>
      <c r="I1140" s="301">
        <v>0</v>
      </c>
      <c r="J1140" s="301">
        <v>0</v>
      </c>
      <c r="K1140" s="302">
        <v>0</v>
      </c>
      <c r="L1140" s="301">
        <v>0</v>
      </c>
      <c r="M1140" s="301">
        <v>0</v>
      </c>
      <c r="N1140" s="301">
        <v>0</v>
      </c>
      <c r="O1140" s="301">
        <v>0</v>
      </c>
      <c r="P1140" s="301">
        <v>0</v>
      </c>
      <c r="Q1140" s="301">
        <v>0</v>
      </c>
      <c r="R1140" s="301">
        <v>0</v>
      </c>
      <c r="S1140" s="301">
        <v>0</v>
      </c>
      <c r="T1140" s="301">
        <v>0</v>
      </c>
      <c r="U1140" s="301">
        <v>0</v>
      </c>
      <c r="V1140" s="301">
        <v>0</v>
      </c>
      <c r="W1140" s="301">
        <v>0</v>
      </c>
      <c r="X1140" s="301">
        <v>0</v>
      </c>
      <c r="Y1140" s="301">
        <v>0</v>
      </c>
      <c r="Z1140" s="301">
        <v>0</v>
      </c>
      <c r="AA1140" s="301">
        <v>0</v>
      </c>
      <c r="AB1140" s="303">
        <v>2021</v>
      </c>
    </row>
    <row r="1141" spans="1:28" ht="35.25" customHeight="1" x14ac:dyDescent="0.5">
      <c r="A1141">
        <v>1</v>
      </c>
      <c r="B1141" s="80">
        <f>SUBTOTAL(103,$A$808:A1141)</f>
        <v>333</v>
      </c>
      <c r="C1141" s="300" t="s">
        <v>2474</v>
      </c>
      <c r="D1141" s="296">
        <f t="shared" si="51"/>
        <v>171297.21</v>
      </c>
      <c r="E1141" s="301">
        <v>0</v>
      </c>
      <c r="F1141" s="301">
        <v>0</v>
      </c>
      <c r="G1141" s="301">
        <v>171297.21</v>
      </c>
      <c r="H1141" s="301">
        <v>0</v>
      </c>
      <c r="I1141" s="301">
        <v>0</v>
      </c>
      <c r="J1141" s="301">
        <v>0</v>
      </c>
      <c r="K1141" s="302">
        <v>0</v>
      </c>
      <c r="L1141" s="301">
        <v>0</v>
      </c>
      <c r="M1141" s="301">
        <v>0</v>
      </c>
      <c r="N1141" s="301">
        <v>0</v>
      </c>
      <c r="O1141" s="301">
        <v>0</v>
      </c>
      <c r="P1141" s="301">
        <v>0</v>
      </c>
      <c r="Q1141" s="301">
        <v>0</v>
      </c>
      <c r="R1141" s="301">
        <v>0</v>
      </c>
      <c r="S1141" s="301">
        <v>0</v>
      </c>
      <c r="T1141" s="301">
        <v>0</v>
      </c>
      <c r="U1141" s="301">
        <v>0</v>
      </c>
      <c r="V1141" s="301">
        <v>0</v>
      </c>
      <c r="W1141" s="301">
        <v>0</v>
      </c>
      <c r="X1141" s="301">
        <v>0</v>
      </c>
      <c r="Y1141" s="301">
        <v>0</v>
      </c>
      <c r="Z1141" s="301">
        <v>0</v>
      </c>
      <c r="AA1141" s="301">
        <v>0</v>
      </c>
      <c r="AB1141" s="303">
        <v>2021</v>
      </c>
    </row>
    <row r="1142" spans="1:28" ht="35.25" customHeight="1" x14ac:dyDescent="0.5">
      <c r="A1142">
        <v>1</v>
      </c>
      <c r="B1142" s="80">
        <f>SUBTOTAL(103,$A$808:A1142)</f>
        <v>334</v>
      </c>
      <c r="C1142" s="300" t="s">
        <v>2665</v>
      </c>
      <c r="D1142" s="296">
        <f t="shared" si="51"/>
        <v>330000</v>
      </c>
      <c r="E1142" s="301">
        <v>0</v>
      </c>
      <c r="F1142" s="301">
        <v>0</v>
      </c>
      <c r="G1142" s="301">
        <v>0</v>
      </c>
      <c r="H1142" s="301">
        <v>0</v>
      </c>
      <c r="I1142" s="301">
        <v>0</v>
      </c>
      <c r="J1142" s="301">
        <v>0</v>
      </c>
      <c r="K1142" s="302">
        <v>0</v>
      </c>
      <c r="L1142" s="301">
        <v>0</v>
      </c>
      <c r="M1142" s="301">
        <v>0</v>
      </c>
      <c r="N1142" s="301">
        <v>0</v>
      </c>
      <c r="O1142" s="301">
        <v>330000</v>
      </c>
      <c r="P1142" s="301">
        <v>0</v>
      </c>
      <c r="Q1142" s="301">
        <v>0</v>
      </c>
      <c r="R1142" s="301">
        <v>0</v>
      </c>
      <c r="S1142" s="301">
        <v>0</v>
      </c>
      <c r="T1142" s="301">
        <v>0</v>
      </c>
      <c r="U1142" s="301">
        <v>0</v>
      </c>
      <c r="V1142" s="301">
        <v>0</v>
      </c>
      <c r="W1142" s="301">
        <v>0</v>
      </c>
      <c r="X1142" s="301">
        <v>0</v>
      </c>
      <c r="Y1142" s="301">
        <v>0</v>
      </c>
      <c r="Z1142" s="301">
        <v>0</v>
      </c>
      <c r="AA1142" s="301">
        <v>0</v>
      </c>
      <c r="AB1142" s="303">
        <v>2021</v>
      </c>
    </row>
    <row r="1143" spans="1:28" ht="35.25" customHeight="1" x14ac:dyDescent="0.5">
      <c r="A1143">
        <v>1</v>
      </c>
      <c r="B1143" s="80">
        <f>SUBTOTAL(103,$A$808:A1143)</f>
        <v>335</v>
      </c>
      <c r="C1143" s="300" t="s">
        <v>2666</v>
      </c>
      <c r="D1143" s="296">
        <f t="shared" si="51"/>
        <v>2739815</v>
      </c>
      <c r="E1143" s="301">
        <v>0</v>
      </c>
      <c r="F1143" s="301">
        <v>0</v>
      </c>
      <c r="G1143" s="301">
        <v>0</v>
      </c>
      <c r="H1143" s="301">
        <v>0</v>
      </c>
      <c r="I1143" s="301">
        <v>0</v>
      </c>
      <c r="J1143" s="301">
        <v>0</v>
      </c>
      <c r="K1143" s="302">
        <v>0</v>
      </c>
      <c r="L1143" s="301">
        <v>0</v>
      </c>
      <c r="M1143" s="301">
        <v>2739815</v>
      </c>
      <c r="N1143" s="301">
        <v>0</v>
      </c>
      <c r="O1143" s="301">
        <v>0</v>
      </c>
      <c r="P1143" s="301">
        <v>0</v>
      </c>
      <c r="Q1143" s="301">
        <v>0</v>
      </c>
      <c r="R1143" s="301">
        <v>0</v>
      </c>
      <c r="S1143" s="301">
        <v>0</v>
      </c>
      <c r="T1143" s="301">
        <v>0</v>
      </c>
      <c r="U1143" s="301">
        <v>0</v>
      </c>
      <c r="V1143" s="301">
        <v>0</v>
      </c>
      <c r="W1143" s="301">
        <v>0</v>
      </c>
      <c r="X1143" s="301">
        <v>0</v>
      </c>
      <c r="Y1143" s="301">
        <v>0</v>
      </c>
      <c r="Z1143" s="301">
        <v>0</v>
      </c>
      <c r="AA1143" s="301">
        <v>0</v>
      </c>
      <c r="AB1143" s="303">
        <v>2021</v>
      </c>
    </row>
    <row r="1144" spans="1:28" ht="35.25" customHeight="1" x14ac:dyDescent="0.5">
      <c r="A1144">
        <v>1</v>
      </c>
      <c r="B1144" s="80">
        <f>SUBTOTAL(103,$A$808:A1144)</f>
        <v>336</v>
      </c>
      <c r="C1144" s="300" t="s">
        <v>2667</v>
      </c>
      <c r="D1144" s="296">
        <f t="shared" si="51"/>
        <v>964150</v>
      </c>
      <c r="E1144" s="301">
        <v>0</v>
      </c>
      <c r="F1144" s="301">
        <v>0</v>
      </c>
      <c r="G1144" s="301">
        <v>0</v>
      </c>
      <c r="H1144" s="301">
        <v>0</v>
      </c>
      <c r="I1144" s="301">
        <v>0</v>
      </c>
      <c r="J1144" s="301">
        <v>0</v>
      </c>
      <c r="K1144" s="302">
        <v>0</v>
      </c>
      <c r="L1144" s="301">
        <v>0</v>
      </c>
      <c r="M1144" s="301">
        <v>964150</v>
      </c>
      <c r="N1144" s="301">
        <v>0</v>
      </c>
      <c r="O1144" s="301">
        <v>0</v>
      </c>
      <c r="P1144" s="301">
        <v>0</v>
      </c>
      <c r="Q1144" s="301">
        <v>0</v>
      </c>
      <c r="R1144" s="301">
        <v>0</v>
      </c>
      <c r="S1144" s="301">
        <v>0</v>
      </c>
      <c r="T1144" s="301">
        <v>0</v>
      </c>
      <c r="U1144" s="301">
        <v>0</v>
      </c>
      <c r="V1144" s="301">
        <v>0</v>
      </c>
      <c r="W1144" s="301">
        <v>0</v>
      </c>
      <c r="X1144" s="301">
        <v>0</v>
      </c>
      <c r="Y1144" s="301">
        <v>0</v>
      </c>
      <c r="Z1144" s="301">
        <v>0</v>
      </c>
      <c r="AA1144" s="301">
        <v>0</v>
      </c>
      <c r="AB1144" s="303">
        <v>2021</v>
      </c>
    </row>
    <row r="1145" spans="1:28" ht="35.25" customHeight="1" x14ac:dyDescent="0.5">
      <c r="A1145">
        <v>1</v>
      </c>
      <c r="B1145" s="80">
        <f>SUBTOTAL(103,$A$808:A1145)</f>
        <v>337</v>
      </c>
      <c r="C1145" s="300" t="s">
        <v>2668</v>
      </c>
      <c r="D1145" s="296">
        <f t="shared" si="51"/>
        <v>359656.8</v>
      </c>
      <c r="E1145" s="301">
        <v>0</v>
      </c>
      <c r="F1145" s="301">
        <v>0</v>
      </c>
      <c r="G1145" s="301">
        <v>0</v>
      </c>
      <c r="H1145" s="301">
        <v>0</v>
      </c>
      <c r="I1145" s="301">
        <v>0</v>
      </c>
      <c r="J1145" s="301">
        <v>0</v>
      </c>
      <c r="K1145" s="302">
        <v>0</v>
      </c>
      <c r="L1145" s="301">
        <v>0</v>
      </c>
      <c r="M1145" s="301">
        <v>0</v>
      </c>
      <c r="N1145" s="301">
        <v>0</v>
      </c>
      <c r="O1145" s="301">
        <v>359656.8</v>
      </c>
      <c r="P1145" s="301">
        <v>0</v>
      </c>
      <c r="Q1145" s="301">
        <v>0</v>
      </c>
      <c r="R1145" s="301">
        <v>0</v>
      </c>
      <c r="S1145" s="301">
        <v>0</v>
      </c>
      <c r="T1145" s="301">
        <v>0</v>
      </c>
      <c r="U1145" s="301">
        <v>0</v>
      </c>
      <c r="V1145" s="301">
        <v>0</v>
      </c>
      <c r="W1145" s="301">
        <v>0</v>
      </c>
      <c r="X1145" s="301">
        <v>0</v>
      </c>
      <c r="Y1145" s="301">
        <v>0</v>
      </c>
      <c r="Z1145" s="301">
        <v>0</v>
      </c>
      <c r="AA1145" s="301">
        <v>0</v>
      </c>
      <c r="AB1145" s="303">
        <v>2021</v>
      </c>
    </row>
    <row r="1146" spans="1:28" ht="35.25" customHeight="1" x14ac:dyDescent="0.5">
      <c r="A1146">
        <v>1</v>
      </c>
      <c r="B1146" s="80">
        <f>SUBTOTAL(103,$A$808:A1146)</f>
        <v>338</v>
      </c>
      <c r="C1146" s="300" t="s">
        <v>2237</v>
      </c>
      <c r="D1146" s="296">
        <f t="shared" si="51"/>
        <v>372500</v>
      </c>
      <c r="E1146" s="301">
        <v>0</v>
      </c>
      <c r="F1146" s="301">
        <v>0</v>
      </c>
      <c r="G1146" s="301">
        <v>0</v>
      </c>
      <c r="H1146" s="301">
        <v>0</v>
      </c>
      <c r="I1146" s="301">
        <v>0</v>
      </c>
      <c r="J1146" s="301">
        <v>0</v>
      </c>
      <c r="K1146" s="302">
        <v>0</v>
      </c>
      <c r="L1146" s="301">
        <v>0</v>
      </c>
      <c r="M1146" s="301">
        <v>0</v>
      </c>
      <c r="N1146" s="301">
        <v>0</v>
      </c>
      <c r="O1146" s="301">
        <v>372500</v>
      </c>
      <c r="P1146" s="301">
        <v>0</v>
      </c>
      <c r="Q1146" s="301">
        <v>0</v>
      </c>
      <c r="R1146" s="301">
        <v>0</v>
      </c>
      <c r="S1146" s="301">
        <v>0</v>
      </c>
      <c r="T1146" s="301">
        <v>0</v>
      </c>
      <c r="U1146" s="301">
        <v>0</v>
      </c>
      <c r="V1146" s="301">
        <v>0</v>
      </c>
      <c r="W1146" s="301">
        <v>0</v>
      </c>
      <c r="X1146" s="301">
        <v>0</v>
      </c>
      <c r="Y1146" s="301">
        <v>0</v>
      </c>
      <c r="Z1146" s="301">
        <v>0</v>
      </c>
      <c r="AA1146" s="301">
        <v>0</v>
      </c>
      <c r="AB1146" s="303">
        <v>2021</v>
      </c>
    </row>
    <row r="1147" spans="1:28" ht="35.25" customHeight="1" x14ac:dyDescent="0.5">
      <c r="A1147">
        <v>1</v>
      </c>
      <c r="B1147" s="80">
        <f>SUBTOTAL(103,$A$808:A1147)</f>
        <v>339</v>
      </c>
      <c r="C1147" s="300" t="s">
        <v>2669</v>
      </c>
      <c r="D1147" s="296">
        <f t="shared" si="51"/>
        <v>1005740</v>
      </c>
      <c r="E1147" s="301">
        <v>0</v>
      </c>
      <c r="F1147" s="301">
        <v>0</v>
      </c>
      <c r="G1147" s="301">
        <v>0</v>
      </c>
      <c r="H1147" s="301">
        <v>0</v>
      </c>
      <c r="I1147" s="301">
        <v>0</v>
      </c>
      <c r="J1147" s="301">
        <v>0</v>
      </c>
      <c r="K1147" s="302">
        <v>0</v>
      </c>
      <c r="L1147" s="301">
        <v>0</v>
      </c>
      <c r="M1147" s="301">
        <v>0</v>
      </c>
      <c r="N1147" s="301">
        <v>0</v>
      </c>
      <c r="O1147" s="301">
        <v>1005740</v>
      </c>
      <c r="P1147" s="301">
        <v>0</v>
      </c>
      <c r="Q1147" s="301">
        <v>0</v>
      </c>
      <c r="R1147" s="301">
        <v>0</v>
      </c>
      <c r="S1147" s="301">
        <v>0</v>
      </c>
      <c r="T1147" s="301">
        <v>0</v>
      </c>
      <c r="U1147" s="301">
        <v>0</v>
      </c>
      <c r="V1147" s="301">
        <v>0</v>
      </c>
      <c r="W1147" s="301">
        <v>0</v>
      </c>
      <c r="X1147" s="301">
        <v>0</v>
      </c>
      <c r="Y1147" s="301">
        <v>0</v>
      </c>
      <c r="Z1147" s="301">
        <v>0</v>
      </c>
      <c r="AA1147" s="301">
        <v>0</v>
      </c>
      <c r="AB1147" s="303">
        <v>2021</v>
      </c>
    </row>
    <row r="1148" spans="1:28" ht="35.25" customHeight="1" x14ac:dyDescent="0.5">
      <c r="A1148">
        <v>1</v>
      </c>
      <c r="B1148" s="80">
        <f>SUBTOTAL(103,$A$808:A1148)</f>
        <v>340</v>
      </c>
      <c r="C1148" s="300" t="s">
        <v>2618</v>
      </c>
      <c r="D1148" s="296">
        <f t="shared" si="51"/>
        <v>214867.71</v>
      </c>
      <c r="E1148" s="301">
        <v>214867.71</v>
      </c>
      <c r="F1148" s="301">
        <v>0</v>
      </c>
      <c r="G1148" s="301">
        <v>0</v>
      </c>
      <c r="H1148" s="301">
        <v>0</v>
      </c>
      <c r="I1148" s="301">
        <v>0</v>
      </c>
      <c r="J1148" s="301">
        <v>0</v>
      </c>
      <c r="K1148" s="302">
        <v>0</v>
      </c>
      <c r="L1148" s="301">
        <v>0</v>
      </c>
      <c r="M1148" s="301">
        <v>0</v>
      </c>
      <c r="N1148" s="301">
        <v>0</v>
      </c>
      <c r="O1148" s="304">
        <v>0</v>
      </c>
      <c r="P1148" s="301">
        <v>0</v>
      </c>
      <c r="Q1148" s="301">
        <v>0</v>
      </c>
      <c r="R1148" s="301">
        <v>0</v>
      </c>
      <c r="S1148" s="301">
        <v>0</v>
      </c>
      <c r="T1148" s="301">
        <v>0</v>
      </c>
      <c r="U1148" s="301">
        <v>0</v>
      </c>
      <c r="V1148" s="301">
        <v>0</v>
      </c>
      <c r="W1148" s="301">
        <v>0</v>
      </c>
      <c r="X1148" s="301">
        <v>0</v>
      </c>
      <c r="Y1148" s="301">
        <v>0</v>
      </c>
      <c r="Z1148" s="301">
        <v>0</v>
      </c>
      <c r="AA1148" s="301">
        <v>0</v>
      </c>
      <c r="AB1148" s="303">
        <v>2021</v>
      </c>
    </row>
    <row r="1149" spans="1:28" ht="35.25" customHeight="1" x14ac:dyDescent="0.5">
      <c r="A1149">
        <v>1</v>
      </c>
      <c r="B1149" s="80">
        <f>SUBTOTAL(103,$A$808:A1149)</f>
        <v>341</v>
      </c>
      <c r="C1149" s="300" t="s">
        <v>2245</v>
      </c>
      <c r="D1149" s="296">
        <f t="shared" si="51"/>
        <v>218045.75</v>
      </c>
      <c r="E1149" s="301">
        <v>118045.75</v>
      </c>
      <c r="F1149" s="301">
        <v>100000</v>
      </c>
      <c r="G1149" s="301">
        <v>0</v>
      </c>
      <c r="H1149" s="301">
        <v>0</v>
      </c>
      <c r="I1149" s="301">
        <v>0</v>
      </c>
      <c r="J1149" s="301">
        <v>0</v>
      </c>
      <c r="K1149" s="302">
        <v>0</v>
      </c>
      <c r="L1149" s="301">
        <v>0</v>
      </c>
      <c r="M1149" s="301">
        <v>0</v>
      </c>
      <c r="N1149" s="301">
        <v>0</v>
      </c>
      <c r="O1149" s="304">
        <v>0</v>
      </c>
      <c r="P1149" s="301">
        <v>0</v>
      </c>
      <c r="Q1149" s="301">
        <v>0</v>
      </c>
      <c r="R1149" s="301">
        <v>0</v>
      </c>
      <c r="S1149" s="301">
        <v>0</v>
      </c>
      <c r="T1149" s="301">
        <v>0</v>
      </c>
      <c r="U1149" s="301">
        <v>0</v>
      </c>
      <c r="V1149" s="301">
        <v>0</v>
      </c>
      <c r="W1149" s="301">
        <v>0</v>
      </c>
      <c r="X1149" s="301">
        <v>0</v>
      </c>
      <c r="Y1149" s="301">
        <v>0</v>
      </c>
      <c r="Z1149" s="301">
        <v>0</v>
      </c>
      <c r="AA1149" s="301">
        <v>0</v>
      </c>
      <c r="AB1149" s="303">
        <v>2021</v>
      </c>
    </row>
    <row r="1150" spans="1:28" ht="35.25" customHeight="1" x14ac:dyDescent="0.5">
      <c r="A1150">
        <v>1</v>
      </c>
      <c r="B1150" s="80">
        <f>SUBTOTAL(103,$A$808:A1150)</f>
        <v>342</v>
      </c>
      <c r="C1150" s="300" t="s">
        <v>2670</v>
      </c>
      <c r="D1150" s="296">
        <f t="shared" si="51"/>
        <v>2409320.06</v>
      </c>
      <c r="E1150" s="301">
        <v>0</v>
      </c>
      <c r="F1150" s="301">
        <v>0</v>
      </c>
      <c r="G1150" s="301">
        <v>0</v>
      </c>
      <c r="H1150" s="301">
        <v>0</v>
      </c>
      <c r="I1150" s="301">
        <v>0</v>
      </c>
      <c r="J1150" s="301">
        <v>0</v>
      </c>
      <c r="K1150" s="302">
        <v>0</v>
      </c>
      <c r="L1150" s="301">
        <v>0</v>
      </c>
      <c r="M1150" s="301">
        <v>2409320.06</v>
      </c>
      <c r="N1150" s="301">
        <v>0</v>
      </c>
      <c r="O1150" s="301">
        <v>0</v>
      </c>
      <c r="P1150" s="301">
        <v>0</v>
      </c>
      <c r="Q1150" s="301">
        <v>0</v>
      </c>
      <c r="R1150" s="301">
        <v>0</v>
      </c>
      <c r="S1150" s="301">
        <v>0</v>
      </c>
      <c r="T1150" s="301">
        <v>0</v>
      </c>
      <c r="U1150" s="301">
        <v>0</v>
      </c>
      <c r="V1150" s="301">
        <v>0</v>
      </c>
      <c r="W1150" s="301">
        <v>0</v>
      </c>
      <c r="X1150" s="301">
        <v>0</v>
      </c>
      <c r="Y1150" s="301">
        <v>0</v>
      </c>
      <c r="Z1150" s="301">
        <v>0</v>
      </c>
      <c r="AA1150" s="301">
        <v>0</v>
      </c>
      <c r="AB1150" s="303">
        <v>2021</v>
      </c>
    </row>
    <row r="1151" spans="1:28" ht="35.25" customHeight="1" x14ac:dyDescent="0.5">
      <c r="A1151">
        <v>1</v>
      </c>
      <c r="B1151" s="80">
        <f>SUBTOTAL(103,$A$808:A1151)</f>
        <v>343</v>
      </c>
      <c r="C1151" s="300" t="s">
        <v>2671</v>
      </c>
      <c r="D1151" s="296">
        <f t="shared" si="51"/>
        <v>749921.42</v>
      </c>
      <c r="E1151" s="301">
        <v>0</v>
      </c>
      <c r="F1151" s="301">
        <v>242121.42</v>
      </c>
      <c r="G1151" s="301">
        <v>400000</v>
      </c>
      <c r="H1151" s="301">
        <v>0</v>
      </c>
      <c r="I1151" s="301">
        <v>0</v>
      </c>
      <c r="J1151" s="301">
        <v>0</v>
      </c>
      <c r="K1151" s="302">
        <v>0</v>
      </c>
      <c r="L1151" s="301">
        <v>0</v>
      </c>
      <c r="M1151" s="301">
        <v>0</v>
      </c>
      <c r="N1151" s="301">
        <v>0</v>
      </c>
      <c r="O1151" s="301">
        <v>107800</v>
      </c>
      <c r="P1151" s="301">
        <v>0</v>
      </c>
      <c r="Q1151" s="301">
        <v>0</v>
      </c>
      <c r="R1151" s="301">
        <v>0</v>
      </c>
      <c r="S1151" s="301">
        <v>0</v>
      </c>
      <c r="T1151" s="301">
        <v>0</v>
      </c>
      <c r="U1151" s="301">
        <v>0</v>
      </c>
      <c r="V1151" s="301">
        <v>0</v>
      </c>
      <c r="W1151" s="301">
        <v>0</v>
      </c>
      <c r="X1151" s="301">
        <v>0</v>
      </c>
      <c r="Y1151" s="301">
        <v>0</v>
      </c>
      <c r="Z1151" s="301">
        <v>0</v>
      </c>
      <c r="AA1151" s="301">
        <v>0</v>
      </c>
      <c r="AB1151" s="303">
        <v>2021</v>
      </c>
    </row>
    <row r="1152" spans="1:28" ht="35.25" customHeight="1" x14ac:dyDescent="0.5">
      <c r="A1152">
        <v>1</v>
      </c>
      <c r="B1152" s="80">
        <f>SUBTOTAL(103,$A$808:A1152)</f>
        <v>344</v>
      </c>
      <c r="C1152" s="300" t="s">
        <v>2787</v>
      </c>
      <c r="D1152" s="296">
        <f t="shared" si="51"/>
        <v>873700</v>
      </c>
      <c r="E1152" s="301">
        <v>0</v>
      </c>
      <c r="F1152" s="301">
        <v>0</v>
      </c>
      <c r="G1152" s="301">
        <v>0</v>
      </c>
      <c r="H1152" s="301">
        <v>0</v>
      </c>
      <c r="I1152" s="301">
        <v>0</v>
      </c>
      <c r="J1152" s="301">
        <v>0</v>
      </c>
      <c r="K1152" s="302">
        <v>0</v>
      </c>
      <c r="L1152" s="301">
        <v>0</v>
      </c>
      <c r="M1152" s="301">
        <v>0</v>
      </c>
      <c r="N1152" s="301">
        <v>0</v>
      </c>
      <c r="O1152" s="301">
        <v>873700</v>
      </c>
      <c r="P1152" s="301">
        <v>0</v>
      </c>
      <c r="Q1152" s="301">
        <v>0</v>
      </c>
      <c r="R1152" s="301">
        <v>0</v>
      </c>
      <c r="S1152" s="301">
        <v>0</v>
      </c>
      <c r="T1152" s="301">
        <v>0</v>
      </c>
      <c r="U1152" s="301">
        <v>0</v>
      </c>
      <c r="V1152" s="301">
        <v>0</v>
      </c>
      <c r="W1152" s="301">
        <v>0</v>
      </c>
      <c r="X1152" s="301">
        <v>0</v>
      </c>
      <c r="Y1152" s="301">
        <v>0</v>
      </c>
      <c r="Z1152" s="301">
        <v>0</v>
      </c>
      <c r="AA1152" s="301">
        <v>0</v>
      </c>
      <c r="AB1152" s="303">
        <v>2021</v>
      </c>
    </row>
    <row r="1153" spans="1:28" ht="35.25" customHeight="1" x14ac:dyDescent="0.5">
      <c r="A1153">
        <v>1</v>
      </c>
      <c r="B1153" s="80">
        <f>SUBTOTAL(103,$A$808:A1153)</f>
        <v>345</v>
      </c>
      <c r="C1153" s="300" t="s">
        <v>2788</v>
      </c>
      <c r="D1153" s="296">
        <f t="shared" si="51"/>
        <v>307000</v>
      </c>
      <c r="E1153" s="301">
        <v>0</v>
      </c>
      <c r="F1153" s="301">
        <v>0</v>
      </c>
      <c r="G1153" s="301">
        <v>0</v>
      </c>
      <c r="H1153" s="301">
        <v>0</v>
      </c>
      <c r="I1153" s="301">
        <v>0</v>
      </c>
      <c r="J1153" s="301">
        <v>0</v>
      </c>
      <c r="K1153" s="302">
        <v>0</v>
      </c>
      <c r="L1153" s="301">
        <v>0</v>
      </c>
      <c r="M1153" s="301">
        <v>307000</v>
      </c>
      <c r="N1153" s="301">
        <v>0</v>
      </c>
      <c r="O1153" s="301">
        <v>0</v>
      </c>
      <c r="P1153" s="301">
        <v>0</v>
      </c>
      <c r="Q1153" s="301">
        <v>0</v>
      </c>
      <c r="R1153" s="301">
        <v>0</v>
      </c>
      <c r="S1153" s="301">
        <v>0</v>
      </c>
      <c r="T1153" s="301">
        <v>0</v>
      </c>
      <c r="U1153" s="301">
        <v>0</v>
      </c>
      <c r="V1153" s="301">
        <v>0</v>
      </c>
      <c r="W1153" s="301">
        <v>0</v>
      </c>
      <c r="X1153" s="301">
        <v>0</v>
      </c>
      <c r="Y1153" s="301">
        <v>0</v>
      </c>
      <c r="Z1153" s="301">
        <v>0</v>
      </c>
      <c r="AA1153" s="301">
        <v>0</v>
      </c>
      <c r="AB1153" s="303">
        <v>2021</v>
      </c>
    </row>
    <row r="1154" spans="1:28" ht="35.25" customHeight="1" x14ac:dyDescent="0.5">
      <c r="A1154">
        <v>1</v>
      </c>
      <c r="B1154" s="80">
        <f>SUBTOTAL(103,$A$808:A1154)</f>
        <v>346</v>
      </c>
      <c r="C1154" s="300" t="s">
        <v>2033</v>
      </c>
      <c r="D1154" s="296">
        <f t="shared" si="51"/>
        <v>90000</v>
      </c>
      <c r="E1154" s="301">
        <v>0</v>
      </c>
      <c r="F1154" s="301">
        <v>0</v>
      </c>
      <c r="G1154" s="301">
        <v>0</v>
      </c>
      <c r="H1154" s="301">
        <v>0</v>
      </c>
      <c r="I1154" s="301">
        <v>0</v>
      </c>
      <c r="J1154" s="301">
        <v>0</v>
      </c>
      <c r="K1154" s="302">
        <v>0</v>
      </c>
      <c r="L1154" s="301">
        <v>0</v>
      </c>
      <c r="M1154" s="301">
        <v>90000</v>
      </c>
      <c r="N1154" s="301">
        <v>0</v>
      </c>
      <c r="O1154" s="301">
        <v>0</v>
      </c>
      <c r="P1154" s="301">
        <v>0</v>
      </c>
      <c r="Q1154" s="301">
        <v>0</v>
      </c>
      <c r="R1154" s="301">
        <v>0</v>
      </c>
      <c r="S1154" s="301">
        <v>0</v>
      </c>
      <c r="T1154" s="301">
        <v>0</v>
      </c>
      <c r="U1154" s="301">
        <v>0</v>
      </c>
      <c r="V1154" s="301">
        <v>0</v>
      </c>
      <c r="W1154" s="301">
        <v>0</v>
      </c>
      <c r="X1154" s="301">
        <v>0</v>
      </c>
      <c r="Y1154" s="301">
        <v>0</v>
      </c>
      <c r="Z1154" s="301">
        <v>0</v>
      </c>
      <c r="AA1154" s="301">
        <v>0</v>
      </c>
      <c r="AB1154" s="303">
        <v>2021</v>
      </c>
    </row>
    <row r="1155" spans="1:28" ht="35.25" customHeight="1" x14ac:dyDescent="0.5">
      <c r="A1155">
        <v>1</v>
      </c>
      <c r="B1155" s="80">
        <f>SUBTOTAL(103,$A$808:A1155)</f>
        <v>347</v>
      </c>
      <c r="C1155" s="300" t="s">
        <v>2030</v>
      </c>
      <c r="D1155" s="296">
        <f t="shared" si="51"/>
        <v>40000</v>
      </c>
      <c r="E1155" s="301">
        <v>0</v>
      </c>
      <c r="F1155" s="301">
        <v>0</v>
      </c>
      <c r="G1155" s="301">
        <v>0</v>
      </c>
      <c r="H1155" s="301">
        <v>0</v>
      </c>
      <c r="I1155" s="301">
        <v>0</v>
      </c>
      <c r="J1155" s="301">
        <v>0</v>
      </c>
      <c r="K1155" s="302">
        <v>0</v>
      </c>
      <c r="L1155" s="301">
        <v>0</v>
      </c>
      <c r="M1155" s="301">
        <v>40000</v>
      </c>
      <c r="N1155" s="301">
        <v>0</v>
      </c>
      <c r="O1155" s="301">
        <v>0</v>
      </c>
      <c r="P1155" s="301">
        <v>0</v>
      </c>
      <c r="Q1155" s="301">
        <v>0</v>
      </c>
      <c r="R1155" s="301">
        <v>0</v>
      </c>
      <c r="S1155" s="301">
        <v>0</v>
      </c>
      <c r="T1155" s="301">
        <v>0</v>
      </c>
      <c r="U1155" s="301">
        <v>0</v>
      </c>
      <c r="V1155" s="301">
        <v>0</v>
      </c>
      <c r="W1155" s="301">
        <v>0</v>
      </c>
      <c r="X1155" s="301">
        <v>0</v>
      </c>
      <c r="Y1155" s="301">
        <v>0</v>
      </c>
      <c r="Z1155" s="301">
        <v>0</v>
      </c>
      <c r="AA1155" s="301">
        <v>0</v>
      </c>
      <c r="AB1155" s="303">
        <v>2021</v>
      </c>
    </row>
    <row r="1156" spans="1:28" ht="35.25" customHeight="1" x14ac:dyDescent="0.5">
      <c r="A1156">
        <v>1</v>
      </c>
      <c r="B1156" s="80">
        <f>SUBTOTAL(103,$A$808:A1156)</f>
        <v>348</v>
      </c>
      <c r="C1156" s="300" t="s">
        <v>2034</v>
      </c>
      <c r="D1156" s="296">
        <f t="shared" si="51"/>
        <v>440000</v>
      </c>
      <c r="E1156" s="301">
        <v>0</v>
      </c>
      <c r="F1156" s="301">
        <v>0</v>
      </c>
      <c r="G1156" s="301">
        <v>0</v>
      </c>
      <c r="H1156" s="301">
        <v>0</v>
      </c>
      <c r="I1156" s="301">
        <v>0</v>
      </c>
      <c r="J1156" s="301">
        <v>0</v>
      </c>
      <c r="K1156" s="302">
        <v>0</v>
      </c>
      <c r="L1156" s="301">
        <v>0</v>
      </c>
      <c r="M1156" s="301">
        <v>440000</v>
      </c>
      <c r="N1156" s="301">
        <v>0</v>
      </c>
      <c r="O1156" s="301">
        <v>0</v>
      </c>
      <c r="P1156" s="301">
        <v>0</v>
      </c>
      <c r="Q1156" s="301">
        <v>0</v>
      </c>
      <c r="R1156" s="301">
        <v>0</v>
      </c>
      <c r="S1156" s="301">
        <v>0</v>
      </c>
      <c r="T1156" s="301">
        <v>0</v>
      </c>
      <c r="U1156" s="301">
        <v>0</v>
      </c>
      <c r="V1156" s="301">
        <v>0</v>
      </c>
      <c r="W1156" s="301">
        <v>0</v>
      </c>
      <c r="X1156" s="301">
        <v>0</v>
      </c>
      <c r="Y1156" s="301">
        <v>0</v>
      </c>
      <c r="Z1156" s="301">
        <v>0</v>
      </c>
      <c r="AA1156" s="301">
        <v>0</v>
      </c>
      <c r="AB1156" s="303">
        <v>2021</v>
      </c>
    </row>
    <row r="1157" spans="1:28" ht="35.25" customHeight="1" x14ac:dyDescent="0.5">
      <c r="A1157">
        <v>1</v>
      </c>
      <c r="B1157" s="80">
        <f>SUBTOTAL(103,$A$808:A1157)</f>
        <v>349</v>
      </c>
      <c r="C1157" s="300" t="s">
        <v>2035</v>
      </c>
      <c r="D1157" s="296">
        <f t="shared" si="51"/>
        <v>189553.1</v>
      </c>
      <c r="E1157" s="301">
        <v>72553.100000000006</v>
      </c>
      <c r="F1157" s="301">
        <v>0</v>
      </c>
      <c r="G1157" s="301">
        <v>0</v>
      </c>
      <c r="H1157" s="301">
        <v>0</v>
      </c>
      <c r="I1157" s="301">
        <v>60000</v>
      </c>
      <c r="J1157" s="301">
        <v>0</v>
      </c>
      <c r="K1157" s="302">
        <v>0</v>
      </c>
      <c r="L1157" s="301">
        <v>0</v>
      </c>
      <c r="M1157" s="301">
        <v>57000</v>
      </c>
      <c r="N1157" s="301">
        <v>0</v>
      </c>
      <c r="O1157" s="301">
        <v>0</v>
      </c>
      <c r="P1157" s="301">
        <v>0</v>
      </c>
      <c r="Q1157" s="301">
        <v>0</v>
      </c>
      <c r="R1157" s="301">
        <v>0</v>
      </c>
      <c r="S1157" s="301">
        <v>0</v>
      </c>
      <c r="T1157" s="301">
        <v>0</v>
      </c>
      <c r="U1157" s="301">
        <v>0</v>
      </c>
      <c r="V1157" s="301">
        <v>0</v>
      </c>
      <c r="W1157" s="301">
        <v>0</v>
      </c>
      <c r="X1157" s="301">
        <v>0</v>
      </c>
      <c r="Y1157" s="301">
        <v>0</v>
      </c>
      <c r="Z1157" s="301">
        <v>0</v>
      </c>
      <c r="AA1157" s="301">
        <v>0</v>
      </c>
      <c r="AB1157" s="303">
        <v>2021</v>
      </c>
    </row>
    <row r="1158" spans="1:28" ht="35.25" customHeight="1" x14ac:dyDescent="0.5">
      <c r="A1158">
        <v>1</v>
      </c>
      <c r="B1158" s="80">
        <f>SUBTOTAL(103,$A$808:A1158)</f>
        <v>350</v>
      </c>
      <c r="C1158" s="300" t="s">
        <v>2037</v>
      </c>
      <c r="D1158" s="296">
        <f t="shared" si="51"/>
        <v>1830000</v>
      </c>
      <c r="E1158" s="301">
        <v>0</v>
      </c>
      <c r="F1158" s="301">
        <v>0</v>
      </c>
      <c r="G1158" s="301">
        <v>0</v>
      </c>
      <c r="H1158" s="301">
        <v>0</v>
      </c>
      <c r="I1158" s="301">
        <v>0</v>
      </c>
      <c r="J1158" s="301">
        <v>0</v>
      </c>
      <c r="K1158" s="302">
        <v>1</v>
      </c>
      <c r="L1158" s="301">
        <v>1830000</v>
      </c>
      <c r="M1158" s="301">
        <v>0</v>
      </c>
      <c r="N1158" s="301">
        <v>0</v>
      </c>
      <c r="O1158" s="301">
        <v>0</v>
      </c>
      <c r="P1158" s="301">
        <v>0</v>
      </c>
      <c r="Q1158" s="301">
        <v>0</v>
      </c>
      <c r="R1158" s="301">
        <v>0</v>
      </c>
      <c r="S1158" s="301">
        <v>0</v>
      </c>
      <c r="T1158" s="301">
        <v>0</v>
      </c>
      <c r="U1158" s="301">
        <v>0</v>
      </c>
      <c r="V1158" s="301">
        <v>0</v>
      </c>
      <c r="W1158" s="301">
        <v>0</v>
      </c>
      <c r="X1158" s="301">
        <v>0</v>
      </c>
      <c r="Y1158" s="301">
        <v>0</v>
      </c>
      <c r="Z1158" s="301">
        <v>0</v>
      </c>
      <c r="AA1158" s="301">
        <v>0</v>
      </c>
      <c r="AB1158" s="303">
        <v>2021</v>
      </c>
    </row>
    <row r="1159" spans="1:28" ht="35.25" customHeight="1" x14ac:dyDescent="0.5">
      <c r="A1159">
        <v>1</v>
      </c>
      <c r="B1159" s="80">
        <f>SUBTOTAL(103,$A$808:A1159)</f>
        <v>351</v>
      </c>
      <c r="C1159" s="300" t="s">
        <v>2040</v>
      </c>
      <c r="D1159" s="296">
        <f t="shared" si="51"/>
        <v>448405.99</v>
      </c>
      <c r="E1159" s="301">
        <v>0</v>
      </c>
      <c r="F1159" s="301">
        <v>387405.99</v>
      </c>
      <c r="G1159" s="301">
        <v>0</v>
      </c>
      <c r="H1159" s="301">
        <v>0</v>
      </c>
      <c r="I1159" s="301">
        <v>0</v>
      </c>
      <c r="J1159" s="301">
        <v>0</v>
      </c>
      <c r="K1159" s="302">
        <v>0</v>
      </c>
      <c r="L1159" s="301">
        <v>0</v>
      </c>
      <c r="M1159" s="301">
        <v>0</v>
      </c>
      <c r="N1159" s="301">
        <v>0</v>
      </c>
      <c r="O1159" s="301">
        <v>61000</v>
      </c>
      <c r="P1159" s="301">
        <v>0</v>
      </c>
      <c r="Q1159" s="301">
        <v>0</v>
      </c>
      <c r="R1159" s="301">
        <v>0</v>
      </c>
      <c r="S1159" s="301">
        <v>0</v>
      </c>
      <c r="T1159" s="301">
        <v>0</v>
      </c>
      <c r="U1159" s="301">
        <v>0</v>
      </c>
      <c r="V1159" s="301">
        <v>0</v>
      </c>
      <c r="W1159" s="301">
        <v>0</v>
      </c>
      <c r="X1159" s="301">
        <v>0</v>
      </c>
      <c r="Y1159" s="301">
        <v>0</v>
      </c>
      <c r="Z1159" s="301">
        <v>0</v>
      </c>
      <c r="AA1159" s="301">
        <v>0</v>
      </c>
      <c r="AB1159" s="303">
        <v>2021</v>
      </c>
    </row>
    <row r="1160" spans="1:28" ht="35.25" customHeight="1" x14ac:dyDescent="0.5">
      <c r="A1160">
        <v>1</v>
      </c>
      <c r="B1160" s="80">
        <f>SUBTOTAL(103,$A$808:A1160)</f>
        <v>352</v>
      </c>
      <c r="C1160" s="300" t="s">
        <v>2039</v>
      </c>
      <c r="D1160" s="296">
        <f t="shared" si="51"/>
        <v>194000</v>
      </c>
      <c r="E1160" s="301">
        <v>0</v>
      </c>
      <c r="F1160" s="301">
        <v>0</v>
      </c>
      <c r="G1160" s="301">
        <v>0</v>
      </c>
      <c r="H1160" s="301">
        <v>0</v>
      </c>
      <c r="I1160" s="301">
        <v>0</v>
      </c>
      <c r="J1160" s="301">
        <v>0</v>
      </c>
      <c r="K1160" s="302">
        <v>0</v>
      </c>
      <c r="L1160" s="301">
        <v>0</v>
      </c>
      <c r="M1160" s="301">
        <v>0</v>
      </c>
      <c r="N1160" s="301">
        <v>0</v>
      </c>
      <c r="O1160" s="301">
        <v>194000</v>
      </c>
      <c r="P1160" s="301">
        <v>0</v>
      </c>
      <c r="Q1160" s="301">
        <v>0</v>
      </c>
      <c r="R1160" s="301">
        <v>0</v>
      </c>
      <c r="S1160" s="301">
        <v>0</v>
      </c>
      <c r="T1160" s="301">
        <v>0</v>
      </c>
      <c r="U1160" s="301">
        <v>0</v>
      </c>
      <c r="V1160" s="301">
        <v>0</v>
      </c>
      <c r="W1160" s="301">
        <v>0</v>
      </c>
      <c r="X1160" s="301">
        <v>0</v>
      </c>
      <c r="Y1160" s="301">
        <v>0</v>
      </c>
      <c r="Z1160" s="301">
        <v>0</v>
      </c>
      <c r="AA1160" s="301">
        <v>0</v>
      </c>
      <c r="AB1160" s="303">
        <v>2021</v>
      </c>
    </row>
    <row r="1161" spans="1:28" ht="35.25" customHeight="1" x14ac:dyDescent="0.5">
      <c r="A1161">
        <v>1</v>
      </c>
      <c r="B1161" s="80">
        <f>SUBTOTAL(103,$A$808:A1161)</f>
        <v>353</v>
      </c>
      <c r="C1161" s="300" t="s">
        <v>2789</v>
      </c>
      <c r="D1161" s="296">
        <f t="shared" ref="D1161:D1224" si="53">E1161+F1161+G1161+H1161+I1161+J1161+L1161+M1161+N1161+O1161+P1161+Q1161+R1161+S1161+T1161+U1161+V1161+W1161+X1161+Y1161+Z1161+AA1161</f>
        <v>170447</v>
      </c>
      <c r="E1161" s="301">
        <v>90417</v>
      </c>
      <c r="F1161" s="301">
        <v>0</v>
      </c>
      <c r="G1161" s="301">
        <v>0</v>
      </c>
      <c r="H1161" s="301">
        <v>0</v>
      </c>
      <c r="I1161" s="301">
        <v>0</v>
      </c>
      <c r="J1161" s="301">
        <v>0</v>
      </c>
      <c r="K1161" s="302">
        <v>0</v>
      </c>
      <c r="L1161" s="301">
        <v>0</v>
      </c>
      <c r="M1161" s="301">
        <v>0</v>
      </c>
      <c r="N1161" s="301">
        <v>0</v>
      </c>
      <c r="O1161" s="301">
        <v>80030</v>
      </c>
      <c r="P1161" s="301">
        <v>0</v>
      </c>
      <c r="Q1161" s="301">
        <v>0</v>
      </c>
      <c r="R1161" s="301">
        <v>0</v>
      </c>
      <c r="S1161" s="301">
        <v>0</v>
      </c>
      <c r="T1161" s="301">
        <v>0</v>
      </c>
      <c r="U1161" s="301">
        <v>0</v>
      </c>
      <c r="V1161" s="301">
        <v>0</v>
      </c>
      <c r="W1161" s="301">
        <v>0</v>
      </c>
      <c r="X1161" s="301">
        <v>0</v>
      </c>
      <c r="Y1161" s="301">
        <v>0</v>
      </c>
      <c r="Z1161" s="301">
        <v>0</v>
      </c>
      <c r="AA1161" s="301">
        <v>0</v>
      </c>
      <c r="AB1161" s="303">
        <v>2021</v>
      </c>
    </row>
    <row r="1162" spans="1:28" ht="35.25" customHeight="1" x14ac:dyDescent="0.5">
      <c r="A1162">
        <v>1</v>
      </c>
      <c r="B1162" s="80">
        <f>SUBTOTAL(103,$A$808:A1162)</f>
        <v>354</v>
      </c>
      <c r="C1162" s="300" t="s">
        <v>2410</v>
      </c>
      <c r="D1162" s="296">
        <f t="shared" si="53"/>
        <v>543300</v>
      </c>
      <c r="E1162" s="301">
        <v>0</v>
      </c>
      <c r="F1162" s="301">
        <v>0</v>
      </c>
      <c r="G1162" s="301">
        <v>0</v>
      </c>
      <c r="H1162" s="301">
        <v>0</v>
      </c>
      <c r="I1162" s="301">
        <v>0</v>
      </c>
      <c r="J1162" s="301">
        <v>0</v>
      </c>
      <c r="K1162" s="302">
        <v>0</v>
      </c>
      <c r="L1162" s="301">
        <v>0</v>
      </c>
      <c r="M1162" s="301">
        <v>543300</v>
      </c>
      <c r="N1162" s="301">
        <v>0</v>
      </c>
      <c r="O1162" s="301">
        <v>0</v>
      </c>
      <c r="P1162" s="301">
        <v>0</v>
      </c>
      <c r="Q1162" s="301">
        <v>0</v>
      </c>
      <c r="R1162" s="301">
        <v>0</v>
      </c>
      <c r="S1162" s="301">
        <v>0</v>
      </c>
      <c r="T1162" s="301">
        <v>0</v>
      </c>
      <c r="U1162" s="301">
        <v>0</v>
      </c>
      <c r="V1162" s="301">
        <v>0</v>
      </c>
      <c r="W1162" s="301">
        <v>0</v>
      </c>
      <c r="X1162" s="301">
        <v>0</v>
      </c>
      <c r="Y1162" s="301">
        <v>0</v>
      </c>
      <c r="Z1162" s="301">
        <v>0</v>
      </c>
      <c r="AA1162" s="301">
        <v>0</v>
      </c>
      <c r="AB1162" s="303">
        <v>2021</v>
      </c>
    </row>
    <row r="1163" spans="1:28" ht="35.25" customHeight="1" x14ac:dyDescent="0.5">
      <c r="A1163">
        <v>1</v>
      </c>
      <c r="B1163" s="80">
        <f>SUBTOTAL(103,$A$808:A1163)</f>
        <v>355</v>
      </c>
      <c r="C1163" s="300" t="s">
        <v>2041</v>
      </c>
      <c r="D1163" s="296">
        <f t="shared" si="53"/>
        <v>152795.6</v>
      </c>
      <c r="E1163" s="301">
        <v>0</v>
      </c>
      <c r="F1163" s="301">
        <v>0</v>
      </c>
      <c r="G1163" s="301">
        <v>152795.6</v>
      </c>
      <c r="H1163" s="301">
        <v>0</v>
      </c>
      <c r="I1163" s="301">
        <v>0</v>
      </c>
      <c r="J1163" s="301">
        <v>0</v>
      </c>
      <c r="K1163" s="302">
        <v>0</v>
      </c>
      <c r="L1163" s="301">
        <v>0</v>
      </c>
      <c r="M1163" s="301">
        <v>0</v>
      </c>
      <c r="N1163" s="301">
        <v>0</v>
      </c>
      <c r="O1163" s="301">
        <v>0</v>
      </c>
      <c r="P1163" s="301">
        <v>0</v>
      </c>
      <c r="Q1163" s="301">
        <v>0</v>
      </c>
      <c r="R1163" s="301">
        <v>0</v>
      </c>
      <c r="S1163" s="301">
        <v>0</v>
      </c>
      <c r="T1163" s="301">
        <v>0</v>
      </c>
      <c r="U1163" s="301">
        <v>0</v>
      </c>
      <c r="V1163" s="301">
        <v>0</v>
      </c>
      <c r="W1163" s="301">
        <v>0</v>
      </c>
      <c r="X1163" s="301">
        <v>0</v>
      </c>
      <c r="Y1163" s="301">
        <v>0</v>
      </c>
      <c r="Z1163" s="301">
        <v>0</v>
      </c>
      <c r="AA1163" s="301">
        <v>0</v>
      </c>
      <c r="AB1163" s="303">
        <v>2021</v>
      </c>
    </row>
    <row r="1164" spans="1:28" ht="35.25" customHeight="1" x14ac:dyDescent="0.5">
      <c r="A1164">
        <v>1</v>
      </c>
      <c r="B1164" s="80">
        <f>SUBTOTAL(103,$A$808:A1164)</f>
        <v>356</v>
      </c>
      <c r="C1164" s="300" t="s">
        <v>2790</v>
      </c>
      <c r="D1164" s="296">
        <f t="shared" si="53"/>
        <v>347020</v>
      </c>
      <c r="E1164" s="301">
        <v>0</v>
      </c>
      <c r="F1164" s="301">
        <v>0</v>
      </c>
      <c r="G1164" s="301">
        <v>0</v>
      </c>
      <c r="H1164" s="301">
        <v>0</v>
      </c>
      <c r="I1164" s="301">
        <v>0</v>
      </c>
      <c r="J1164" s="301">
        <v>0</v>
      </c>
      <c r="K1164" s="302">
        <v>0</v>
      </c>
      <c r="L1164" s="301">
        <v>0</v>
      </c>
      <c r="M1164" s="301">
        <v>0</v>
      </c>
      <c r="N1164" s="301">
        <v>0</v>
      </c>
      <c r="O1164" s="301">
        <v>347020</v>
      </c>
      <c r="P1164" s="301">
        <v>0</v>
      </c>
      <c r="Q1164" s="301">
        <v>0</v>
      </c>
      <c r="R1164" s="301">
        <v>0</v>
      </c>
      <c r="S1164" s="301">
        <v>0</v>
      </c>
      <c r="T1164" s="301">
        <v>0</v>
      </c>
      <c r="U1164" s="301">
        <v>0</v>
      </c>
      <c r="V1164" s="301">
        <v>0</v>
      </c>
      <c r="W1164" s="301">
        <v>0</v>
      </c>
      <c r="X1164" s="301">
        <v>0</v>
      </c>
      <c r="Y1164" s="301">
        <v>0</v>
      </c>
      <c r="Z1164" s="301">
        <v>0</v>
      </c>
      <c r="AA1164" s="301">
        <v>0</v>
      </c>
      <c r="AB1164" s="303">
        <v>2021</v>
      </c>
    </row>
    <row r="1165" spans="1:28" ht="35.25" customHeight="1" x14ac:dyDescent="0.5">
      <c r="A1165">
        <v>1</v>
      </c>
      <c r="B1165" s="80">
        <f>SUBTOTAL(103,$A$808:A1165)</f>
        <v>357</v>
      </c>
      <c r="C1165" s="300" t="s">
        <v>2791</v>
      </c>
      <c r="D1165" s="296">
        <f t="shared" si="53"/>
        <v>1300000</v>
      </c>
      <c r="E1165" s="301">
        <v>0</v>
      </c>
      <c r="F1165" s="301">
        <v>0</v>
      </c>
      <c r="G1165" s="301">
        <v>1300000</v>
      </c>
      <c r="H1165" s="301">
        <v>0</v>
      </c>
      <c r="I1165" s="301">
        <v>0</v>
      </c>
      <c r="J1165" s="301">
        <v>0</v>
      </c>
      <c r="K1165" s="302">
        <v>0</v>
      </c>
      <c r="L1165" s="301">
        <v>0</v>
      </c>
      <c r="M1165" s="301">
        <v>0</v>
      </c>
      <c r="N1165" s="301">
        <v>0</v>
      </c>
      <c r="O1165" s="301">
        <v>0</v>
      </c>
      <c r="P1165" s="301">
        <v>0</v>
      </c>
      <c r="Q1165" s="301">
        <v>0</v>
      </c>
      <c r="R1165" s="301">
        <v>0</v>
      </c>
      <c r="S1165" s="301">
        <v>0</v>
      </c>
      <c r="T1165" s="301">
        <v>0</v>
      </c>
      <c r="U1165" s="301">
        <v>0</v>
      </c>
      <c r="V1165" s="301">
        <v>0</v>
      </c>
      <c r="W1165" s="301">
        <v>0</v>
      </c>
      <c r="X1165" s="301">
        <v>0</v>
      </c>
      <c r="Y1165" s="301">
        <v>0</v>
      </c>
      <c r="Z1165" s="301">
        <v>0</v>
      </c>
      <c r="AA1165" s="301">
        <v>0</v>
      </c>
      <c r="AB1165" s="303">
        <v>2021</v>
      </c>
    </row>
    <row r="1166" spans="1:28" ht="35.25" customHeight="1" x14ac:dyDescent="0.5">
      <c r="A1166">
        <v>1</v>
      </c>
      <c r="B1166" s="80">
        <f>SUBTOTAL(103,$A$808:A1166)</f>
        <v>358</v>
      </c>
      <c r="C1166" s="300" t="s">
        <v>2792</v>
      </c>
      <c r="D1166" s="296">
        <f t="shared" si="53"/>
        <v>218158.4</v>
      </c>
      <c r="E1166" s="301">
        <v>0</v>
      </c>
      <c r="F1166" s="301">
        <v>0</v>
      </c>
      <c r="G1166" s="301">
        <v>0</v>
      </c>
      <c r="H1166" s="301">
        <v>0</v>
      </c>
      <c r="I1166" s="301">
        <v>0</v>
      </c>
      <c r="J1166" s="301">
        <v>0</v>
      </c>
      <c r="K1166" s="302">
        <v>0</v>
      </c>
      <c r="L1166" s="301">
        <v>0</v>
      </c>
      <c r="M1166" s="301">
        <v>0</v>
      </c>
      <c r="N1166" s="301">
        <v>0</v>
      </c>
      <c r="O1166" s="301">
        <v>218158.4</v>
      </c>
      <c r="P1166" s="301">
        <v>0</v>
      </c>
      <c r="Q1166" s="301">
        <v>0</v>
      </c>
      <c r="R1166" s="301">
        <v>0</v>
      </c>
      <c r="S1166" s="301">
        <v>0</v>
      </c>
      <c r="T1166" s="301">
        <v>0</v>
      </c>
      <c r="U1166" s="301">
        <v>0</v>
      </c>
      <c r="V1166" s="301">
        <v>0</v>
      </c>
      <c r="W1166" s="301">
        <v>0</v>
      </c>
      <c r="X1166" s="301">
        <v>0</v>
      </c>
      <c r="Y1166" s="301">
        <v>0</v>
      </c>
      <c r="Z1166" s="301">
        <v>0</v>
      </c>
      <c r="AA1166" s="301">
        <v>0</v>
      </c>
      <c r="AB1166" s="303">
        <v>2021</v>
      </c>
    </row>
    <row r="1167" spans="1:28" ht="35.25" customHeight="1" x14ac:dyDescent="0.5">
      <c r="A1167">
        <v>1</v>
      </c>
      <c r="B1167" s="80">
        <f>SUBTOTAL(103,$A$808:A1167)</f>
        <v>359</v>
      </c>
      <c r="C1167" s="300" t="s">
        <v>2793</v>
      </c>
      <c r="D1167" s="296">
        <f t="shared" si="53"/>
        <v>1267115</v>
      </c>
      <c r="E1167" s="301">
        <v>0</v>
      </c>
      <c r="F1167" s="301">
        <v>0</v>
      </c>
      <c r="G1167" s="301">
        <v>642346</v>
      </c>
      <c r="H1167" s="301">
        <v>0</v>
      </c>
      <c r="I1167" s="301">
        <v>0</v>
      </c>
      <c r="J1167" s="301">
        <v>0</v>
      </c>
      <c r="K1167" s="302">
        <v>0</v>
      </c>
      <c r="L1167" s="301">
        <v>0</v>
      </c>
      <c r="M1167" s="301">
        <v>0</v>
      </c>
      <c r="N1167" s="301">
        <v>0</v>
      </c>
      <c r="O1167" s="301">
        <v>624769</v>
      </c>
      <c r="P1167" s="301">
        <v>0</v>
      </c>
      <c r="Q1167" s="301">
        <v>0</v>
      </c>
      <c r="R1167" s="301">
        <v>0</v>
      </c>
      <c r="S1167" s="301">
        <v>0</v>
      </c>
      <c r="T1167" s="301">
        <v>0</v>
      </c>
      <c r="U1167" s="301">
        <v>0</v>
      </c>
      <c r="V1167" s="301">
        <v>0</v>
      </c>
      <c r="W1167" s="301">
        <v>0</v>
      </c>
      <c r="X1167" s="301">
        <v>0</v>
      </c>
      <c r="Y1167" s="301">
        <v>0</v>
      </c>
      <c r="Z1167" s="301">
        <v>0</v>
      </c>
      <c r="AA1167" s="301">
        <v>0</v>
      </c>
      <c r="AB1167" s="303">
        <v>2021</v>
      </c>
    </row>
    <row r="1168" spans="1:28" ht="35.25" customHeight="1" x14ac:dyDescent="0.5">
      <c r="A1168">
        <v>1</v>
      </c>
      <c r="B1168" s="80">
        <f>SUBTOTAL(103,$A$808:A1168)</f>
        <v>360</v>
      </c>
      <c r="C1168" s="300" t="s">
        <v>2794</v>
      </c>
      <c r="D1168" s="296">
        <f t="shared" si="53"/>
        <v>107269.2</v>
      </c>
      <c r="E1168" s="301">
        <v>0</v>
      </c>
      <c r="F1168" s="301">
        <v>0</v>
      </c>
      <c r="G1168" s="301">
        <v>0</v>
      </c>
      <c r="H1168" s="301">
        <v>0</v>
      </c>
      <c r="I1168" s="301">
        <v>0</v>
      </c>
      <c r="J1168" s="301">
        <v>0</v>
      </c>
      <c r="K1168" s="302">
        <v>0</v>
      </c>
      <c r="L1168" s="301">
        <v>0</v>
      </c>
      <c r="M1168" s="301">
        <v>0</v>
      </c>
      <c r="N1168" s="301">
        <v>107269.2</v>
      </c>
      <c r="O1168" s="301">
        <v>0</v>
      </c>
      <c r="P1168" s="301">
        <v>0</v>
      </c>
      <c r="Q1168" s="301">
        <v>0</v>
      </c>
      <c r="R1168" s="301">
        <v>0</v>
      </c>
      <c r="S1168" s="301">
        <v>0</v>
      </c>
      <c r="T1168" s="301">
        <v>0</v>
      </c>
      <c r="U1168" s="301">
        <v>0</v>
      </c>
      <c r="V1168" s="301">
        <v>0</v>
      </c>
      <c r="W1168" s="301">
        <v>0</v>
      </c>
      <c r="X1168" s="301">
        <v>0</v>
      </c>
      <c r="Y1168" s="301">
        <v>0</v>
      </c>
      <c r="Z1168" s="301">
        <v>0</v>
      </c>
      <c r="AA1168" s="301">
        <v>0</v>
      </c>
      <c r="AB1168" s="303">
        <v>2021</v>
      </c>
    </row>
    <row r="1169" spans="1:28" ht="35.25" customHeight="1" x14ac:dyDescent="0.5">
      <c r="A1169">
        <v>1</v>
      </c>
      <c r="B1169" s="80">
        <f>SUBTOTAL(103,$A$808:A1169)</f>
        <v>361</v>
      </c>
      <c r="C1169" s="300" t="s">
        <v>2795</v>
      </c>
      <c r="D1169" s="296">
        <f t="shared" si="53"/>
        <v>1170000</v>
      </c>
      <c r="E1169" s="301">
        <v>0</v>
      </c>
      <c r="F1169" s="301">
        <v>0</v>
      </c>
      <c r="G1169" s="301">
        <v>0</v>
      </c>
      <c r="H1169" s="301">
        <v>0</v>
      </c>
      <c r="I1169" s="301">
        <v>0</v>
      </c>
      <c r="J1169" s="301">
        <v>0</v>
      </c>
      <c r="K1169" s="302">
        <v>0</v>
      </c>
      <c r="L1169" s="301">
        <v>0</v>
      </c>
      <c r="M1169" s="301">
        <v>1170000</v>
      </c>
      <c r="N1169" s="301">
        <v>0</v>
      </c>
      <c r="O1169" s="301">
        <v>0</v>
      </c>
      <c r="P1169" s="301">
        <v>0</v>
      </c>
      <c r="Q1169" s="301">
        <v>0</v>
      </c>
      <c r="R1169" s="301">
        <v>0</v>
      </c>
      <c r="S1169" s="301">
        <v>0</v>
      </c>
      <c r="T1169" s="301">
        <v>0</v>
      </c>
      <c r="U1169" s="301">
        <v>0</v>
      </c>
      <c r="V1169" s="301">
        <v>0</v>
      </c>
      <c r="W1169" s="301">
        <v>0</v>
      </c>
      <c r="X1169" s="301">
        <v>0</v>
      </c>
      <c r="Y1169" s="301">
        <v>0</v>
      </c>
      <c r="Z1169" s="301">
        <v>0</v>
      </c>
      <c r="AA1169" s="301">
        <v>0</v>
      </c>
      <c r="AB1169" s="303">
        <v>2021</v>
      </c>
    </row>
    <row r="1170" spans="1:28" ht="35.25" customHeight="1" x14ac:dyDescent="0.5">
      <c r="A1170">
        <v>1</v>
      </c>
      <c r="B1170" s="80">
        <f>SUBTOTAL(103,$A$808:A1170)</f>
        <v>362</v>
      </c>
      <c r="C1170" s="300" t="s">
        <v>2796</v>
      </c>
      <c r="D1170" s="296">
        <f t="shared" si="53"/>
        <v>124500</v>
      </c>
      <c r="E1170" s="301">
        <v>0</v>
      </c>
      <c r="F1170" s="301">
        <v>0</v>
      </c>
      <c r="G1170" s="301">
        <v>0</v>
      </c>
      <c r="H1170" s="301">
        <v>0</v>
      </c>
      <c r="I1170" s="301">
        <v>124500</v>
      </c>
      <c r="J1170" s="301">
        <v>0</v>
      </c>
      <c r="K1170" s="302">
        <v>0</v>
      </c>
      <c r="L1170" s="301">
        <v>0</v>
      </c>
      <c r="M1170" s="301">
        <v>0</v>
      </c>
      <c r="N1170" s="301">
        <v>0</v>
      </c>
      <c r="O1170" s="301">
        <v>0</v>
      </c>
      <c r="P1170" s="301">
        <v>0</v>
      </c>
      <c r="Q1170" s="301">
        <v>0</v>
      </c>
      <c r="R1170" s="301">
        <v>0</v>
      </c>
      <c r="S1170" s="301">
        <v>0</v>
      </c>
      <c r="T1170" s="301">
        <v>0</v>
      </c>
      <c r="U1170" s="301">
        <v>0</v>
      </c>
      <c r="V1170" s="301">
        <v>0</v>
      </c>
      <c r="W1170" s="301">
        <v>0</v>
      </c>
      <c r="X1170" s="301">
        <v>0</v>
      </c>
      <c r="Y1170" s="301">
        <v>0</v>
      </c>
      <c r="Z1170" s="301">
        <v>0</v>
      </c>
      <c r="AA1170" s="301">
        <v>0</v>
      </c>
      <c r="AB1170" s="303">
        <v>2021</v>
      </c>
    </row>
    <row r="1171" spans="1:28" ht="35.25" customHeight="1" x14ac:dyDescent="0.5">
      <c r="A1171">
        <v>1</v>
      </c>
      <c r="B1171" s="80">
        <f>SUBTOTAL(103,$A$808:A1171)</f>
        <v>363</v>
      </c>
      <c r="C1171" s="300" t="s">
        <v>1723</v>
      </c>
      <c r="D1171" s="296">
        <f t="shared" si="53"/>
        <v>264000</v>
      </c>
      <c r="E1171" s="301">
        <v>0</v>
      </c>
      <c r="F1171" s="301">
        <v>0</v>
      </c>
      <c r="G1171" s="301">
        <v>0</v>
      </c>
      <c r="H1171" s="301">
        <v>0</v>
      </c>
      <c r="I1171" s="301">
        <v>0</v>
      </c>
      <c r="J1171" s="301">
        <v>0</v>
      </c>
      <c r="K1171" s="302">
        <v>0</v>
      </c>
      <c r="L1171" s="301">
        <v>0</v>
      </c>
      <c r="M1171" s="301">
        <v>0</v>
      </c>
      <c r="N1171" s="301">
        <v>0</v>
      </c>
      <c r="O1171" s="301">
        <v>264000</v>
      </c>
      <c r="P1171" s="301">
        <v>0</v>
      </c>
      <c r="Q1171" s="301">
        <v>0</v>
      </c>
      <c r="R1171" s="301">
        <v>0</v>
      </c>
      <c r="S1171" s="301">
        <v>0</v>
      </c>
      <c r="T1171" s="301">
        <v>0</v>
      </c>
      <c r="U1171" s="301">
        <v>0</v>
      </c>
      <c r="V1171" s="301">
        <v>0</v>
      </c>
      <c r="W1171" s="301">
        <v>0</v>
      </c>
      <c r="X1171" s="301">
        <v>0</v>
      </c>
      <c r="Y1171" s="301">
        <v>0</v>
      </c>
      <c r="Z1171" s="301">
        <v>0</v>
      </c>
      <c r="AA1171" s="301">
        <v>0</v>
      </c>
      <c r="AB1171" s="303">
        <v>2021</v>
      </c>
    </row>
    <row r="1172" spans="1:28" ht="35.25" customHeight="1" x14ac:dyDescent="0.5">
      <c r="A1172">
        <v>1</v>
      </c>
      <c r="B1172" s="80">
        <f>SUBTOTAL(103,$A$808:A1172)</f>
        <v>364</v>
      </c>
      <c r="C1172" s="300" t="s">
        <v>2797</v>
      </c>
      <c r="D1172" s="296">
        <f t="shared" si="53"/>
        <v>415710.84</v>
      </c>
      <c r="E1172" s="301">
        <v>0</v>
      </c>
      <c r="F1172" s="301">
        <v>0</v>
      </c>
      <c r="G1172" s="301">
        <v>0</v>
      </c>
      <c r="H1172" s="301">
        <v>0</v>
      </c>
      <c r="I1172" s="301">
        <v>0</v>
      </c>
      <c r="J1172" s="301">
        <v>0</v>
      </c>
      <c r="K1172" s="302">
        <v>0</v>
      </c>
      <c r="L1172" s="301">
        <v>0</v>
      </c>
      <c r="M1172" s="301">
        <v>0</v>
      </c>
      <c r="N1172" s="301">
        <v>415710.84</v>
      </c>
      <c r="O1172" s="301">
        <v>0</v>
      </c>
      <c r="P1172" s="301">
        <v>0</v>
      </c>
      <c r="Q1172" s="301">
        <v>0</v>
      </c>
      <c r="R1172" s="301">
        <v>0</v>
      </c>
      <c r="S1172" s="301">
        <v>0</v>
      </c>
      <c r="T1172" s="301">
        <v>0</v>
      </c>
      <c r="U1172" s="301">
        <v>0</v>
      </c>
      <c r="V1172" s="301">
        <v>0</v>
      </c>
      <c r="W1172" s="301">
        <v>0</v>
      </c>
      <c r="X1172" s="301">
        <v>0</v>
      </c>
      <c r="Y1172" s="301">
        <v>0</v>
      </c>
      <c r="Z1172" s="301">
        <v>0</v>
      </c>
      <c r="AA1172" s="301">
        <v>0</v>
      </c>
      <c r="AB1172" s="303">
        <v>2021</v>
      </c>
    </row>
    <row r="1173" spans="1:28" ht="35.25" customHeight="1" x14ac:dyDescent="0.5">
      <c r="A1173">
        <v>1</v>
      </c>
      <c r="B1173" s="80">
        <f>SUBTOTAL(103,$A$808:A1173)</f>
        <v>365</v>
      </c>
      <c r="C1173" s="300" t="s">
        <v>2798</v>
      </c>
      <c r="D1173" s="296">
        <f t="shared" si="53"/>
        <v>2194229.6</v>
      </c>
      <c r="E1173" s="301">
        <v>0</v>
      </c>
      <c r="F1173" s="301">
        <v>0</v>
      </c>
      <c r="G1173" s="301">
        <v>0</v>
      </c>
      <c r="H1173" s="301">
        <v>0</v>
      </c>
      <c r="I1173" s="301">
        <v>0</v>
      </c>
      <c r="J1173" s="301">
        <v>0</v>
      </c>
      <c r="K1173" s="302">
        <v>0</v>
      </c>
      <c r="L1173" s="301">
        <v>0</v>
      </c>
      <c r="M1173" s="301">
        <v>0</v>
      </c>
      <c r="N1173" s="301">
        <v>0</v>
      </c>
      <c r="O1173" s="301">
        <f>555229.6+1639000</f>
        <v>2194229.6</v>
      </c>
      <c r="P1173" s="301">
        <v>0</v>
      </c>
      <c r="Q1173" s="301">
        <v>0</v>
      </c>
      <c r="R1173" s="301">
        <v>0</v>
      </c>
      <c r="S1173" s="301">
        <v>0</v>
      </c>
      <c r="T1173" s="301">
        <v>0</v>
      </c>
      <c r="U1173" s="301">
        <v>0</v>
      </c>
      <c r="V1173" s="301">
        <v>0</v>
      </c>
      <c r="W1173" s="301">
        <v>0</v>
      </c>
      <c r="X1173" s="301">
        <v>0</v>
      </c>
      <c r="Y1173" s="301">
        <v>0</v>
      </c>
      <c r="Z1173" s="301">
        <v>0</v>
      </c>
      <c r="AA1173" s="301">
        <v>0</v>
      </c>
      <c r="AB1173" s="303">
        <v>2021</v>
      </c>
    </row>
    <row r="1174" spans="1:28" ht="35.25" customHeight="1" x14ac:dyDescent="0.5">
      <c r="A1174">
        <v>1</v>
      </c>
      <c r="B1174" s="80">
        <f>SUBTOTAL(103,$A$808:A1174)</f>
        <v>366</v>
      </c>
      <c r="C1174" s="300" t="s">
        <v>2799</v>
      </c>
      <c r="D1174" s="296">
        <f t="shared" si="53"/>
        <v>1022267</v>
      </c>
      <c r="E1174" s="301">
        <v>0</v>
      </c>
      <c r="F1174" s="301">
        <v>0</v>
      </c>
      <c r="G1174" s="301">
        <v>574523</v>
      </c>
      <c r="H1174" s="301">
        <v>0</v>
      </c>
      <c r="I1174" s="301">
        <v>0</v>
      </c>
      <c r="J1174" s="301">
        <v>0</v>
      </c>
      <c r="K1174" s="302">
        <v>0</v>
      </c>
      <c r="L1174" s="301">
        <v>0</v>
      </c>
      <c r="M1174" s="301">
        <v>0</v>
      </c>
      <c r="N1174" s="301">
        <v>0</v>
      </c>
      <c r="O1174" s="301">
        <v>447744</v>
      </c>
      <c r="P1174" s="301">
        <v>0</v>
      </c>
      <c r="Q1174" s="301">
        <v>0</v>
      </c>
      <c r="R1174" s="301">
        <v>0</v>
      </c>
      <c r="S1174" s="301">
        <v>0</v>
      </c>
      <c r="T1174" s="301">
        <v>0</v>
      </c>
      <c r="U1174" s="301">
        <v>0</v>
      </c>
      <c r="V1174" s="301">
        <v>0</v>
      </c>
      <c r="W1174" s="301">
        <v>0</v>
      </c>
      <c r="X1174" s="301">
        <v>0</v>
      </c>
      <c r="Y1174" s="301">
        <v>0</v>
      </c>
      <c r="Z1174" s="301">
        <v>0</v>
      </c>
      <c r="AA1174" s="301">
        <v>0</v>
      </c>
      <c r="AB1174" s="303">
        <v>2021</v>
      </c>
    </row>
    <row r="1175" spans="1:28" ht="35.25" customHeight="1" x14ac:dyDescent="0.5">
      <c r="A1175">
        <v>1</v>
      </c>
      <c r="B1175" s="80">
        <f>SUBTOTAL(103,$A$808:A1175)</f>
        <v>367</v>
      </c>
      <c r="C1175" s="300" t="s">
        <v>2800</v>
      </c>
      <c r="D1175" s="296">
        <f t="shared" si="53"/>
        <v>982845.39999999991</v>
      </c>
      <c r="E1175" s="301">
        <v>0</v>
      </c>
      <c r="F1175" s="301">
        <v>0</v>
      </c>
      <c r="G1175" s="301">
        <v>614518.6</v>
      </c>
      <c r="H1175" s="301">
        <v>0</v>
      </c>
      <c r="I1175" s="301">
        <v>0</v>
      </c>
      <c r="J1175" s="301">
        <v>0</v>
      </c>
      <c r="K1175" s="302">
        <v>0</v>
      </c>
      <c r="L1175" s="301">
        <v>0</v>
      </c>
      <c r="M1175" s="301">
        <v>0</v>
      </c>
      <c r="N1175" s="301">
        <v>0</v>
      </c>
      <c r="O1175" s="301">
        <v>368326.8</v>
      </c>
      <c r="P1175" s="301">
        <v>0</v>
      </c>
      <c r="Q1175" s="301">
        <v>0</v>
      </c>
      <c r="R1175" s="301">
        <v>0</v>
      </c>
      <c r="S1175" s="301">
        <v>0</v>
      </c>
      <c r="T1175" s="301">
        <v>0</v>
      </c>
      <c r="U1175" s="301">
        <v>0</v>
      </c>
      <c r="V1175" s="301">
        <v>0</v>
      </c>
      <c r="W1175" s="301">
        <v>0</v>
      </c>
      <c r="X1175" s="301">
        <v>0</v>
      </c>
      <c r="Y1175" s="301">
        <v>0</v>
      </c>
      <c r="Z1175" s="301">
        <v>0</v>
      </c>
      <c r="AA1175" s="301">
        <v>0</v>
      </c>
      <c r="AB1175" s="303">
        <v>2021</v>
      </c>
    </row>
    <row r="1176" spans="1:28" ht="35.25" customHeight="1" x14ac:dyDescent="0.5">
      <c r="A1176">
        <v>1</v>
      </c>
      <c r="B1176" s="80">
        <f>SUBTOTAL(103,$A$808:A1176)</f>
        <v>368</v>
      </c>
      <c r="C1176" s="300" t="s">
        <v>2942</v>
      </c>
      <c r="D1176" s="296">
        <f t="shared" si="53"/>
        <v>741892</v>
      </c>
      <c r="E1176" s="301">
        <v>0</v>
      </c>
      <c r="F1176" s="301">
        <v>0</v>
      </c>
      <c r="G1176" s="301">
        <v>0</v>
      </c>
      <c r="H1176" s="301">
        <v>0</v>
      </c>
      <c r="I1176" s="301">
        <v>0</v>
      </c>
      <c r="J1176" s="301">
        <v>0</v>
      </c>
      <c r="K1176" s="302">
        <v>0</v>
      </c>
      <c r="L1176" s="301">
        <v>0</v>
      </c>
      <c r="M1176" s="301">
        <v>741892</v>
      </c>
      <c r="N1176" s="301">
        <v>0</v>
      </c>
      <c r="O1176" s="301">
        <v>0</v>
      </c>
      <c r="P1176" s="301">
        <v>0</v>
      </c>
      <c r="Q1176" s="301">
        <v>0</v>
      </c>
      <c r="R1176" s="301">
        <v>0</v>
      </c>
      <c r="S1176" s="301">
        <v>0</v>
      </c>
      <c r="T1176" s="301">
        <v>0</v>
      </c>
      <c r="U1176" s="301">
        <v>0</v>
      </c>
      <c r="V1176" s="301">
        <v>0</v>
      </c>
      <c r="W1176" s="301">
        <v>0</v>
      </c>
      <c r="X1176" s="301">
        <v>0</v>
      </c>
      <c r="Y1176" s="301">
        <v>0</v>
      </c>
      <c r="Z1176" s="301">
        <v>0</v>
      </c>
      <c r="AA1176" s="301">
        <v>0</v>
      </c>
      <c r="AB1176" s="303">
        <v>2021</v>
      </c>
    </row>
    <row r="1177" spans="1:28" ht="35.25" customHeight="1" x14ac:dyDescent="0.5">
      <c r="A1177">
        <v>1</v>
      </c>
      <c r="B1177" s="80">
        <f>SUBTOTAL(103,$A$808:A1177)</f>
        <v>369</v>
      </c>
      <c r="C1177" s="300" t="s">
        <v>2943</v>
      </c>
      <c r="D1177" s="296">
        <f t="shared" si="53"/>
        <v>916626.68</v>
      </c>
      <c r="E1177" s="301">
        <v>0</v>
      </c>
      <c r="F1177" s="301">
        <v>0</v>
      </c>
      <c r="G1177" s="301">
        <v>916626.68</v>
      </c>
      <c r="H1177" s="301">
        <v>0</v>
      </c>
      <c r="I1177" s="301">
        <v>0</v>
      </c>
      <c r="J1177" s="301">
        <v>0</v>
      </c>
      <c r="K1177" s="302">
        <v>0</v>
      </c>
      <c r="L1177" s="301">
        <v>0</v>
      </c>
      <c r="M1177" s="301">
        <v>0</v>
      </c>
      <c r="N1177" s="301">
        <v>0</v>
      </c>
      <c r="O1177" s="301">
        <v>0</v>
      </c>
      <c r="P1177" s="301">
        <v>0</v>
      </c>
      <c r="Q1177" s="301">
        <v>0</v>
      </c>
      <c r="R1177" s="301">
        <v>0</v>
      </c>
      <c r="S1177" s="301">
        <v>0</v>
      </c>
      <c r="T1177" s="301">
        <v>0</v>
      </c>
      <c r="U1177" s="301">
        <v>0</v>
      </c>
      <c r="V1177" s="301">
        <v>0</v>
      </c>
      <c r="W1177" s="301">
        <v>0</v>
      </c>
      <c r="X1177" s="301">
        <v>0</v>
      </c>
      <c r="Y1177" s="301">
        <v>0</v>
      </c>
      <c r="Z1177" s="301">
        <v>0</v>
      </c>
      <c r="AA1177" s="301">
        <v>0</v>
      </c>
      <c r="AB1177" s="303">
        <v>2021</v>
      </c>
    </row>
    <row r="1178" spans="1:28" ht="35.25" customHeight="1" x14ac:dyDescent="0.5">
      <c r="A1178">
        <v>1</v>
      </c>
      <c r="B1178" s="80">
        <f>SUBTOTAL(103,$A$808:A1178)</f>
        <v>370</v>
      </c>
      <c r="C1178" s="300" t="s">
        <v>2613</v>
      </c>
      <c r="D1178" s="296">
        <f t="shared" si="53"/>
        <v>2213429</v>
      </c>
      <c r="E1178" s="301">
        <v>0</v>
      </c>
      <c r="F1178" s="301">
        <v>0</v>
      </c>
      <c r="G1178" s="301">
        <v>332352</v>
      </c>
      <c r="H1178" s="301">
        <v>0</v>
      </c>
      <c r="I1178" s="301">
        <v>0</v>
      </c>
      <c r="J1178" s="301">
        <v>0</v>
      </c>
      <c r="K1178" s="302">
        <v>0</v>
      </c>
      <c r="L1178" s="301">
        <v>0</v>
      </c>
      <c r="M1178" s="301">
        <v>0</v>
      </c>
      <c r="N1178" s="301">
        <v>0</v>
      </c>
      <c r="O1178" s="301">
        <v>1881077</v>
      </c>
      <c r="P1178" s="301">
        <v>0</v>
      </c>
      <c r="Q1178" s="301">
        <v>0</v>
      </c>
      <c r="R1178" s="301">
        <v>0</v>
      </c>
      <c r="S1178" s="301">
        <v>0</v>
      </c>
      <c r="T1178" s="301">
        <v>0</v>
      </c>
      <c r="U1178" s="301">
        <v>0</v>
      </c>
      <c r="V1178" s="301">
        <v>0</v>
      </c>
      <c r="W1178" s="301">
        <v>0</v>
      </c>
      <c r="X1178" s="301">
        <v>0</v>
      </c>
      <c r="Y1178" s="301">
        <v>0</v>
      </c>
      <c r="Z1178" s="301">
        <v>0</v>
      </c>
      <c r="AA1178" s="301">
        <v>0</v>
      </c>
      <c r="AB1178" s="303">
        <v>2021</v>
      </c>
    </row>
    <row r="1179" spans="1:28" ht="35.25" customHeight="1" x14ac:dyDescent="0.5">
      <c r="A1179">
        <v>1</v>
      </c>
      <c r="B1179" s="80">
        <f>SUBTOTAL(103,$A$808:A1179)</f>
        <v>371</v>
      </c>
      <c r="C1179" s="300" t="s">
        <v>2944</v>
      </c>
      <c r="D1179" s="296">
        <f t="shared" si="53"/>
        <v>1841469</v>
      </c>
      <c r="E1179" s="301">
        <v>0</v>
      </c>
      <c r="F1179" s="301">
        <v>0</v>
      </c>
      <c r="G1179" s="301">
        <v>623495</v>
      </c>
      <c r="H1179" s="301">
        <v>0</v>
      </c>
      <c r="I1179" s="301">
        <v>0</v>
      </c>
      <c r="J1179" s="301">
        <v>0</v>
      </c>
      <c r="K1179" s="302">
        <v>0</v>
      </c>
      <c r="L1179" s="301">
        <v>0</v>
      </c>
      <c r="M1179" s="301">
        <v>0</v>
      </c>
      <c r="N1179" s="301">
        <v>0</v>
      </c>
      <c r="O1179" s="301">
        <v>1217974</v>
      </c>
      <c r="P1179" s="301">
        <v>0</v>
      </c>
      <c r="Q1179" s="301">
        <v>0</v>
      </c>
      <c r="R1179" s="301">
        <v>0</v>
      </c>
      <c r="S1179" s="301">
        <v>0</v>
      </c>
      <c r="T1179" s="301">
        <v>0</v>
      </c>
      <c r="U1179" s="301">
        <v>0</v>
      </c>
      <c r="V1179" s="301">
        <v>0</v>
      </c>
      <c r="W1179" s="301">
        <v>0</v>
      </c>
      <c r="X1179" s="301">
        <v>0</v>
      </c>
      <c r="Y1179" s="301">
        <v>0</v>
      </c>
      <c r="Z1179" s="301">
        <v>0</v>
      </c>
      <c r="AA1179" s="301">
        <v>0</v>
      </c>
      <c r="AB1179" s="303">
        <v>2021</v>
      </c>
    </row>
    <row r="1180" spans="1:28" ht="35.25" customHeight="1" x14ac:dyDescent="0.5">
      <c r="A1180">
        <v>1</v>
      </c>
      <c r="B1180" s="80">
        <f>SUBTOTAL(103,$A$808:A1180)</f>
        <v>372</v>
      </c>
      <c r="C1180" s="300" t="s">
        <v>2614</v>
      </c>
      <c r="D1180" s="296">
        <f t="shared" si="53"/>
        <v>5018767</v>
      </c>
      <c r="E1180" s="301">
        <v>0</v>
      </c>
      <c r="F1180" s="301">
        <v>0</v>
      </c>
      <c r="G1180" s="301">
        <v>911627</v>
      </c>
      <c r="H1180" s="301">
        <v>0</v>
      </c>
      <c r="I1180" s="301">
        <v>0</v>
      </c>
      <c r="J1180" s="301">
        <v>0</v>
      </c>
      <c r="K1180" s="302">
        <v>0</v>
      </c>
      <c r="L1180" s="301">
        <v>0</v>
      </c>
      <c r="M1180" s="301">
        <v>0</v>
      </c>
      <c r="N1180" s="301">
        <v>0</v>
      </c>
      <c r="O1180" s="301">
        <v>4107140</v>
      </c>
      <c r="P1180" s="301">
        <v>0</v>
      </c>
      <c r="Q1180" s="301">
        <v>0</v>
      </c>
      <c r="R1180" s="301">
        <v>0</v>
      </c>
      <c r="S1180" s="301">
        <v>0</v>
      </c>
      <c r="T1180" s="301">
        <v>0</v>
      </c>
      <c r="U1180" s="301">
        <v>0</v>
      </c>
      <c r="V1180" s="301">
        <v>0</v>
      </c>
      <c r="W1180" s="301">
        <v>0</v>
      </c>
      <c r="X1180" s="301">
        <v>0</v>
      </c>
      <c r="Y1180" s="301">
        <v>0</v>
      </c>
      <c r="Z1180" s="301">
        <v>0</v>
      </c>
      <c r="AA1180" s="301">
        <v>0</v>
      </c>
      <c r="AB1180" s="303">
        <v>2021</v>
      </c>
    </row>
    <row r="1181" spans="1:28" ht="35.25" customHeight="1" x14ac:dyDescent="0.5">
      <c r="A1181">
        <v>1</v>
      </c>
      <c r="B1181" s="80">
        <f>SUBTOTAL(103,$A$808:A1181)</f>
        <v>373</v>
      </c>
      <c r="C1181" s="300" t="s">
        <v>1727</v>
      </c>
      <c r="D1181" s="296">
        <f t="shared" si="53"/>
        <v>965001</v>
      </c>
      <c r="E1181" s="301">
        <v>0</v>
      </c>
      <c r="F1181" s="301">
        <v>0</v>
      </c>
      <c r="G1181" s="301">
        <v>0</v>
      </c>
      <c r="H1181" s="301">
        <v>0</v>
      </c>
      <c r="I1181" s="301">
        <v>0</v>
      </c>
      <c r="J1181" s="301">
        <v>0</v>
      </c>
      <c r="K1181" s="302">
        <v>0</v>
      </c>
      <c r="L1181" s="301">
        <v>0</v>
      </c>
      <c r="M1181" s="301">
        <v>965001</v>
      </c>
      <c r="N1181" s="301">
        <v>0</v>
      </c>
      <c r="O1181" s="301">
        <v>0</v>
      </c>
      <c r="P1181" s="301">
        <v>0</v>
      </c>
      <c r="Q1181" s="301">
        <v>0</v>
      </c>
      <c r="R1181" s="301">
        <v>0</v>
      </c>
      <c r="S1181" s="301">
        <v>0</v>
      </c>
      <c r="T1181" s="301">
        <v>0</v>
      </c>
      <c r="U1181" s="301">
        <v>0</v>
      </c>
      <c r="V1181" s="301">
        <v>0</v>
      </c>
      <c r="W1181" s="301">
        <v>0</v>
      </c>
      <c r="X1181" s="301">
        <v>0</v>
      </c>
      <c r="Y1181" s="301">
        <v>0</v>
      </c>
      <c r="Z1181" s="301">
        <v>0</v>
      </c>
      <c r="AA1181" s="301">
        <v>0</v>
      </c>
      <c r="AB1181" s="303">
        <v>2021</v>
      </c>
    </row>
    <row r="1182" spans="1:28" ht="35.25" customHeight="1" x14ac:dyDescent="0.5">
      <c r="A1182">
        <v>1</v>
      </c>
      <c r="B1182" s="80">
        <f>SUBTOTAL(103,$A$808:A1182)</f>
        <v>374</v>
      </c>
      <c r="C1182" s="300" t="s">
        <v>2945</v>
      </c>
      <c r="D1182" s="296">
        <f t="shared" si="53"/>
        <v>667338</v>
      </c>
      <c r="E1182" s="301">
        <v>0</v>
      </c>
      <c r="F1182" s="301">
        <v>0</v>
      </c>
      <c r="G1182" s="301">
        <v>0</v>
      </c>
      <c r="H1182" s="301">
        <v>0</v>
      </c>
      <c r="I1182" s="301">
        <v>0</v>
      </c>
      <c r="J1182" s="301">
        <v>0</v>
      </c>
      <c r="K1182" s="302">
        <v>0</v>
      </c>
      <c r="L1182" s="301">
        <v>0</v>
      </c>
      <c r="M1182" s="301">
        <v>0</v>
      </c>
      <c r="N1182" s="301">
        <v>667338</v>
      </c>
      <c r="O1182" s="301">
        <v>0</v>
      </c>
      <c r="P1182" s="301">
        <v>0</v>
      </c>
      <c r="Q1182" s="301">
        <v>0</v>
      </c>
      <c r="R1182" s="301">
        <v>0</v>
      </c>
      <c r="S1182" s="301">
        <v>0</v>
      </c>
      <c r="T1182" s="301">
        <v>0</v>
      </c>
      <c r="U1182" s="301">
        <v>0</v>
      </c>
      <c r="V1182" s="301">
        <v>0</v>
      </c>
      <c r="W1182" s="301">
        <v>0</v>
      </c>
      <c r="X1182" s="301">
        <v>0</v>
      </c>
      <c r="Y1182" s="301">
        <v>0</v>
      </c>
      <c r="Z1182" s="301">
        <v>0</v>
      </c>
      <c r="AA1182" s="301">
        <v>0</v>
      </c>
      <c r="AB1182" s="303">
        <v>2021</v>
      </c>
    </row>
    <row r="1183" spans="1:28" ht="35.25" customHeight="1" x14ac:dyDescent="0.5">
      <c r="A1183">
        <v>1</v>
      </c>
      <c r="B1183" s="80">
        <f>SUBTOTAL(103,$A$808:A1183)</f>
        <v>375</v>
      </c>
      <c r="C1183" s="300" t="s">
        <v>1613</v>
      </c>
      <c r="D1183" s="296">
        <f t="shared" si="53"/>
        <v>538273.19999999995</v>
      </c>
      <c r="E1183" s="301">
        <v>0</v>
      </c>
      <c r="F1183" s="301">
        <v>0</v>
      </c>
      <c r="G1183" s="301">
        <v>538273.19999999995</v>
      </c>
      <c r="H1183" s="301">
        <v>0</v>
      </c>
      <c r="I1183" s="301">
        <v>0</v>
      </c>
      <c r="J1183" s="301">
        <v>0</v>
      </c>
      <c r="K1183" s="302">
        <v>0</v>
      </c>
      <c r="L1183" s="301">
        <v>0</v>
      </c>
      <c r="M1183" s="301">
        <v>0</v>
      </c>
      <c r="N1183" s="301">
        <v>0</v>
      </c>
      <c r="O1183" s="301">
        <v>0</v>
      </c>
      <c r="P1183" s="301">
        <v>0</v>
      </c>
      <c r="Q1183" s="301">
        <v>0</v>
      </c>
      <c r="R1183" s="301">
        <v>0</v>
      </c>
      <c r="S1183" s="301">
        <v>0</v>
      </c>
      <c r="T1183" s="301">
        <v>0</v>
      </c>
      <c r="U1183" s="301">
        <v>0</v>
      </c>
      <c r="V1183" s="301">
        <v>0</v>
      </c>
      <c r="W1183" s="301">
        <v>0</v>
      </c>
      <c r="X1183" s="301">
        <v>0</v>
      </c>
      <c r="Y1183" s="301">
        <v>0</v>
      </c>
      <c r="Z1183" s="301">
        <v>0</v>
      </c>
      <c r="AA1183" s="301">
        <v>0</v>
      </c>
      <c r="AB1183" s="303">
        <v>2021</v>
      </c>
    </row>
    <row r="1184" spans="1:28" ht="35.25" customHeight="1" x14ac:dyDescent="0.5">
      <c r="A1184">
        <v>1</v>
      </c>
      <c r="B1184" s="80">
        <f>SUBTOTAL(103,$A$808:A1184)</f>
        <v>376</v>
      </c>
      <c r="C1184" s="300" t="s">
        <v>2946</v>
      </c>
      <c r="D1184" s="296">
        <f t="shared" si="53"/>
        <v>595667</v>
      </c>
      <c r="E1184" s="301">
        <v>0</v>
      </c>
      <c r="F1184" s="301">
        <v>0</v>
      </c>
      <c r="G1184" s="301">
        <v>0</v>
      </c>
      <c r="H1184" s="301">
        <v>0</v>
      </c>
      <c r="I1184" s="301">
        <v>0</v>
      </c>
      <c r="J1184" s="301">
        <v>0</v>
      </c>
      <c r="K1184" s="302">
        <v>0</v>
      </c>
      <c r="L1184" s="301">
        <v>0</v>
      </c>
      <c r="M1184" s="301">
        <v>0</v>
      </c>
      <c r="N1184" s="301">
        <v>595667</v>
      </c>
      <c r="O1184" s="301">
        <v>0</v>
      </c>
      <c r="P1184" s="301">
        <v>0</v>
      </c>
      <c r="Q1184" s="301">
        <v>0</v>
      </c>
      <c r="R1184" s="301">
        <v>0</v>
      </c>
      <c r="S1184" s="301">
        <v>0</v>
      </c>
      <c r="T1184" s="301">
        <v>0</v>
      </c>
      <c r="U1184" s="301">
        <v>0</v>
      </c>
      <c r="V1184" s="301">
        <v>0</v>
      </c>
      <c r="W1184" s="301">
        <v>0</v>
      </c>
      <c r="X1184" s="301">
        <v>0</v>
      </c>
      <c r="Y1184" s="301">
        <v>0</v>
      </c>
      <c r="Z1184" s="301">
        <v>0</v>
      </c>
      <c r="AA1184" s="301">
        <v>0</v>
      </c>
      <c r="AB1184" s="303">
        <v>2021</v>
      </c>
    </row>
    <row r="1185" spans="1:28" ht="35.25" customHeight="1" x14ac:dyDescent="0.5">
      <c r="A1185">
        <v>1</v>
      </c>
      <c r="B1185" s="80">
        <f>SUBTOTAL(103,$A$808:A1185)</f>
        <v>377</v>
      </c>
      <c r="C1185" s="300" t="s">
        <v>2947</v>
      </c>
      <c r="D1185" s="296">
        <f t="shared" si="53"/>
        <v>735893</v>
      </c>
      <c r="E1185" s="301">
        <v>307879</v>
      </c>
      <c r="F1185" s="301">
        <v>0</v>
      </c>
      <c r="G1185" s="301">
        <v>0</v>
      </c>
      <c r="H1185" s="301">
        <v>0</v>
      </c>
      <c r="I1185" s="301">
        <v>0</v>
      </c>
      <c r="J1185" s="301">
        <v>0</v>
      </c>
      <c r="K1185" s="302">
        <v>0</v>
      </c>
      <c r="L1185" s="301">
        <v>0</v>
      </c>
      <c r="M1185" s="301">
        <v>0</v>
      </c>
      <c r="N1185" s="301">
        <v>245064</v>
      </c>
      <c r="O1185" s="301">
        <v>182950</v>
      </c>
      <c r="P1185" s="301">
        <v>0</v>
      </c>
      <c r="Q1185" s="301">
        <v>0</v>
      </c>
      <c r="R1185" s="301">
        <v>0</v>
      </c>
      <c r="S1185" s="301">
        <v>0</v>
      </c>
      <c r="T1185" s="301">
        <v>0</v>
      </c>
      <c r="U1185" s="301">
        <v>0</v>
      </c>
      <c r="V1185" s="301">
        <v>0</v>
      </c>
      <c r="W1185" s="301">
        <v>0</v>
      </c>
      <c r="X1185" s="301">
        <v>0</v>
      </c>
      <c r="Y1185" s="301">
        <v>0</v>
      </c>
      <c r="Z1185" s="301">
        <v>0</v>
      </c>
      <c r="AA1185" s="301">
        <v>0</v>
      </c>
      <c r="AB1185" s="303">
        <v>2021</v>
      </c>
    </row>
    <row r="1186" spans="1:28" ht="35.25" customHeight="1" x14ac:dyDescent="0.5">
      <c r="A1186">
        <v>1</v>
      </c>
      <c r="B1186" s="80">
        <f>SUBTOTAL(103,$A$808:A1186)</f>
        <v>378</v>
      </c>
      <c r="C1186" s="300" t="s">
        <v>2948</v>
      </c>
      <c r="D1186" s="296">
        <f t="shared" si="53"/>
        <v>3875707</v>
      </c>
      <c r="E1186" s="301">
        <v>0</v>
      </c>
      <c r="F1186" s="301">
        <v>0</v>
      </c>
      <c r="G1186" s="301">
        <v>895374</v>
      </c>
      <c r="H1186" s="301">
        <v>0</v>
      </c>
      <c r="I1186" s="301">
        <v>0</v>
      </c>
      <c r="J1186" s="301">
        <v>0</v>
      </c>
      <c r="K1186" s="302">
        <v>0</v>
      </c>
      <c r="L1186" s="301">
        <v>0</v>
      </c>
      <c r="M1186" s="301">
        <v>1723963</v>
      </c>
      <c r="N1186" s="301">
        <v>0</v>
      </c>
      <c r="O1186" s="301">
        <v>1256370</v>
      </c>
      <c r="P1186" s="301">
        <v>0</v>
      </c>
      <c r="Q1186" s="301">
        <v>0</v>
      </c>
      <c r="R1186" s="301">
        <v>0</v>
      </c>
      <c r="S1186" s="301">
        <v>0</v>
      </c>
      <c r="T1186" s="301">
        <v>0</v>
      </c>
      <c r="U1186" s="301">
        <v>0</v>
      </c>
      <c r="V1186" s="301">
        <v>0</v>
      </c>
      <c r="W1186" s="301">
        <v>0</v>
      </c>
      <c r="X1186" s="301">
        <v>0</v>
      </c>
      <c r="Y1186" s="301">
        <v>0</v>
      </c>
      <c r="Z1186" s="301">
        <v>0</v>
      </c>
      <c r="AA1186" s="301">
        <v>0</v>
      </c>
      <c r="AB1186" s="303">
        <v>2021</v>
      </c>
    </row>
    <row r="1187" spans="1:28" ht="35.25" customHeight="1" x14ac:dyDescent="0.5">
      <c r="A1187">
        <v>1</v>
      </c>
      <c r="B1187" s="80">
        <f>SUBTOTAL(103,$A$808:A1187)</f>
        <v>379</v>
      </c>
      <c r="C1187" s="300" t="s">
        <v>2949</v>
      </c>
      <c r="D1187" s="296">
        <f t="shared" si="53"/>
        <v>3704141</v>
      </c>
      <c r="E1187" s="301">
        <v>0</v>
      </c>
      <c r="F1187" s="301">
        <v>0</v>
      </c>
      <c r="G1187" s="301">
        <v>895374</v>
      </c>
      <c r="H1187" s="301">
        <v>0</v>
      </c>
      <c r="I1187" s="301">
        <v>0</v>
      </c>
      <c r="J1187" s="301">
        <v>0</v>
      </c>
      <c r="K1187" s="302">
        <v>0</v>
      </c>
      <c r="L1187" s="301">
        <v>0</v>
      </c>
      <c r="M1187" s="301">
        <v>1981506</v>
      </c>
      <c r="N1187" s="301">
        <v>0</v>
      </c>
      <c r="O1187" s="301">
        <v>827261</v>
      </c>
      <c r="P1187" s="301">
        <v>0</v>
      </c>
      <c r="Q1187" s="301">
        <v>0</v>
      </c>
      <c r="R1187" s="301">
        <v>0</v>
      </c>
      <c r="S1187" s="301">
        <v>0</v>
      </c>
      <c r="T1187" s="301">
        <v>0</v>
      </c>
      <c r="U1187" s="301">
        <v>0</v>
      </c>
      <c r="V1187" s="301">
        <v>0</v>
      </c>
      <c r="W1187" s="301">
        <v>0</v>
      </c>
      <c r="X1187" s="301">
        <v>0</v>
      </c>
      <c r="Y1187" s="301">
        <v>0</v>
      </c>
      <c r="Z1187" s="301">
        <v>0</v>
      </c>
      <c r="AA1187" s="301">
        <v>0</v>
      </c>
      <c r="AB1187" s="303">
        <v>2021</v>
      </c>
    </row>
    <row r="1188" spans="1:28" ht="35.25" customHeight="1" x14ac:dyDescent="0.5">
      <c r="A1188">
        <v>1</v>
      </c>
      <c r="B1188" s="80">
        <f>SUBTOTAL(103,$A$808:A1188)</f>
        <v>380</v>
      </c>
      <c r="C1188" s="300" t="s">
        <v>2950</v>
      </c>
      <c r="D1188" s="296">
        <f t="shared" si="53"/>
        <v>2301847</v>
      </c>
      <c r="E1188" s="301">
        <v>0</v>
      </c>
      <c r="F1188" s="301">
        <v>0</v>
      </c>
      <c r="G1188" s="301">
        <v>0</v>
      </c>
      <c r="H1188" s="301">
        <v>0</v>
      </c>
      <c r="I1188" s="301">
        <v>0</v>
      </c>
      <c r="J1188" s="301">
        <v>0</v>
      </c>
      <c r="K1188" s="302">
        <v>0</v>
      </c>
      <c r="L1188" s="301">
        <v>0</v>
      </c>
      <c r="M1188" s="301">
        <v>2301847</v>
      </c>
      <c r="N1188" s="301">
        <v>0</v>
      </c>
      <c r="O1188" s="301">
        <v>0</v>
      </c>
      <c r="P1188" s="301">
        <v>0</v>
      </c>
      <c r="Q1188" s="301">
        <v>0</v>
      </c>
      <c r="R1188" s="301">
        <v>0</v>
      </c>
      <c r="S1188" s="301">
        <v>0</v>
      </c>
      <c r="T1188" s="301">
        <v>0</v>
      </c>
      <c r="U1188" s="301">
        <v>0</v>
      </c>
      <c r="V1188" s="301">
        <v>0</v>
      </c>
      <c r="W1188" s="301">
        <v>0</v>
      </c>
      <c r="X1188" s="301">
        <v>0</v>
      </c>
      <c r="Y1188" s="301">
        <v>0</v>
      </c>
      <c r="Z1188" s="301">
        <v>0</v>
      </c>
      <c r="AA1188" s="301">
        <v>0</v>
      </c>
      <c r="AB1188" s="303">
        <v>2021</v>
      </c>
    </row>
    <row r="1189" spans="1:28" ht="35.25" customHeight="1" x14ac:dyDescent="0.5">
      <c r="A1189">
        <v>1</v>
      </c>
      <c r="B1189" s="80">
        <f>SUBTOTAL(103,$A$808:A1189)</f>
        <v>381</v>
      </c>
      <c r="C1189" s="300" t="s">
        <v>2409</v>
      </c>
      <c r="D1189" s="296">
        <f t="shared" si="53"/>
        <v>3908712</v>
      </c>
      <c r="E1189" s="301">
        <v>0</v>
      </c>
      <c r="F1189" s="301">
        <v>0</v>
      </c>
      <c r="G1189" s="301">
        <v>0</v>
      </c>
      <c r="H1189" s="301">
        <v>0</v>
      </c>
      <c r="I1189" s="301">
        <v>0</v>
      </c>
      <c r="J1189" s="301">
        <v>0</v>
      </c>
      <c r="K1189" s="302">
        <v>0</v>
      </c>
      <c r="L1189" s="301">
        <v>0</v>
      </c>
      <c r="M1189" s="301">
        <v>0</v>
      </c>
      <c r="N1189" s="301">
        <v>0</v>
      </c>
      <c r="O1189" s="301">
        <v>3437250</v>
      </c>
      <c r="P1189" s="301">
        <v>0</v>
      </c>
      <c r="Q1189" s="301">
        <v>0</v>
      </c>
      <c r="R1189" s="301">
        <v>0</v>
      </c>
      <c r="S1189" s="301">
        <v>0</v>
      </c>
      <c r="T1189" s="301">
        <v>0</v>
      </c>
      <c r="U1189" s="301">
        <v>0</v>
      </c>
      <c r="V1189" s="301">
        <v>0</v>
      </c>
      <c r="W1189" s="301">
        <v>471462</v>
      </c>
      <c r="X1189" s="301">
        <v>0</v>
      </c>
      <c r="Y1189" s="301">
        <v>0</v>
      </c>
      <c r="Z1189" s="301">
        <v>0</v>
      </c>
      <c r="AA1189" s="301">
        <v>0</v>
      </c>
      <c r="AB1189" s="303">
        <v>2021</v>
      </c>
    </row>
    <row r="1190" spans="1:28" ht="35.25" customHeight="1" x14ac:dyDescent="0.5">
      <c r="A1190">
        <v>1</v>
      </c>
      <c r="B1190" s="80">
        <f>SUBTOTAL(103,$A$808:A1190)</f>
        <v>382</v>
      </c>
      <c r="C1190" s="300" t="s">
        <v>2951</v>
      </c>
      <c r="D1190" s="296">
        <f t="shared" si="53"/>
        <v>811021</v>
      </c>
      <c r="E1190" s="301">
        <v>0</v>
      </c>
      <c r="F1190" s="301">
        <v>0</v>
      </c>
      <c r="G1190" s="301">
        <v>0</v>
      </c>
      <c r="H1190" s="301">
        <v>0</v>
      </c>
      <c r="I1190" s="301">
        <v>0</v>
      </c>
      <c r="J1190" s="301">
        <v>0</v>
      </c>
      <c r="K1190" s="302">
        <v>0</v>
      </c>
      <c r="L1190" s="301">
        <v>0</v>
      </c>
      <c r="M1190" s="301">
        <v>0</v>
      </c>
      <c r="N1190" s="301">
        <v>0</v>
      </c>
      <c r="O1190" s="301">
        <v>811021</v>
      </c>
      <c r="P1190" s="301">
        <v>0</v>
      </c>
      <c r="Q1190" s="301">
        <v>0</v>
      </c>
      <c r="R1190" s="301">
        <v>0</v>
      </c>
      <c r="S1190" s="301">
        <v>0</v>
      </c>
      <c r="T1190" s="301">
        <v>0</v>
      </c>
      <c r="U1190" s="301">
        <v>0</v>
      </c>
      <c r="V1190" s="301">
        <v>0</v>
      </c>
      <c r="W1190" s="301">
        <v>0</v>
      </c>
      <c r="X1190" s="301">
        <v>0</v>
      </c>
      <c r="Y1190" s="301">
        <v>0</v>
      </c>
      <c r="Z1190" s="301">
        <v>0</v>
      </c>
      <c r="AA1190" s="301">
        <v>0</v>
      </c>
      <c r="AB1190" s="303">
        <v>2021</v>
      </c>
    </row>
    <row r="1191" spans="1:28" ht="35.25" customHeight="1" x14ac:dyDescent="0.5">
      <c r="A1191">
        <v>1</v>
      </c>
      <c r="B1191" s="80">
        <f>SUBTOTAL(103,$A$808:A1191)</f>
        <v>383</v>
      </c>
      <c r="C1191" s="300" t="s">
        <v>2952</v>
      </c>
      <c r="D1191" s="296">
        <f t="shared" si="53"/>
        <v>6222845.2199999997</v>
      </c>
      <c r="E1191" s="301">
        <v>0</v>
      </c>
      <c r="F1191" s="301">
        <v>0</v>
      </c>
      <c r="G1191" s="301">
        <v>0</v>
      </c>
      <c r="H1191" s="301">
        <v>0</v>
      </c>
      <c r="I1191" s="301">
        <v>0</v>
      </c>
      <c r="J1191" s="301">
        <v>0</v>
      </c>
      <c r="K1191" s="302">
        <v>3</v>
      </c>
      <c r="L1191" s="301">
        <v>6222845.2199999997</v>
      </c>
      <c r="M1191" s="301">
        <v>0</v>
      </c>
      <c r="N1191" s="301">
        <v>0</v>
      </c>
      <c r="O1191" s="301">
        <v>0</v>
      </c>
      <c r="P1191" s="301">
        <v>0</v>
      </c>
      <c r="Q1191" s="301">
        <v>0</v>
      </c>
      <c r="R1191" s="301">
        <v>0</v>
      </c>
      <c r="S1191" s="301">
        <v>0</v>
      </c>
      <c r="T1191" s="301">
        <v>0</v>
      </c>
      <c r="U1191" s="301">
        <v>0</v>
      </c>
      <c r="V1191" s="301">
        <v>0</v>
      </c>
      <c r="W1191" s="301">
        <v>0</v>
      </c>
      <c r="X1191" s="301">
        <v>0</v>
      </c>
      <c r="Y1191" s="301">
        <v>0</v>
      </c>
      <c r="Z1191" s="301">
        <v>0</v>
      </c>
      <c r="AA1191" s="301">
        <v>0</v>
      </c>
      <c r="AB1191" s="303">
        <v>2021</v>
      </c>
    </row>
    <row r="1192" spans="1:28" ht="35.25" customHeight="1" x14ac:dyDescent="0.5">
      <c r="A1192">
        <v>1</v>
      </c>
      <c r="B1192" s="80">
        <f>SUBTOTAL(103,$A$808:A1192)</f>
        <v>384</v>
      </c>
      <c r="C1192" s="300" t="s">
        <v>2953</v>
      </c>
      <c r="D1192" s="296">
        <f t="shared" si="53"/>
        <v>2851102</v>
      </c>
      <c r="E1192" s="301">
        <v>0</v>
      </c>
      <c r="F1192" s="301">
        <v>0</v>
      </c>
      <c r="G1192" s="301">
        <v>0</v>
      </c>
      <c r="H1192" s="301">
        <v>0</v>
      </c>
      <c r="I1192" s="301">
        <v>0</v>
      </c>
      <c r="J1192" s="301">
        <v>0</v>
      </c>
      <c r="K1192" s="302">
        <v>0</v>
      </c>
      <c r="L1192" s="301">
        <v>0</v>
      </c>
      <c r="M1192" s="301">
        <v>2851102</v>
      </c>
      <c r="N1192" s="301">
        <v>0</v>
      </c>
      <c r="O1192" s="301">
        <v>0</v>
      </c>
      <c r="P1192" s="301">
        <v>0</v>
      </c>
      <c r="Q1192" s="301">
        <v>0</v>
      </c>
      <c r="R1192" s="301">
        <v>0</v>
      </c>
      <c r="S1192" s="301">
        <v>0</v>
      </c>
      <c r="T1192" s="301">
        <v>0</v>
      </c>
      <c r="U1192" s="301">
        <v>0</v>
      </c>
      <c r="V1192" s="301">
        <v>0</v>
      </c>
      <c r="W1192" s="301">
        <v>0</v>
      </c>
      <c r="X1192" s="301">
        <v>0</v>
      </c>
      <c r="Y1192" s="301">
        <v>0</v>
      </c>
      <c r="Z1192" s="301">
        <v>0</v>
      </c>
      <c r="AA1192" s="301">
        <v>0</v>
      </c>
      <c r="AB1192" s="303">
        <v>2021</v>
      </c>
    </row>
    <row r="1193" spans="1:28" ht="35.25" customHeight="1" x14ac:dyDescent="0.5">
      <c r="A1193">
        <v>1</v>
      </c>
      <c r="B1193" s="80">
        <f>SUBTOTAL(103,$A$808:A1193)</f>
        <v>385</v>
      </c>
      <c r="C1193" s="300" t="s">
        <v>3033</v>
      </c>
      <c r="D1193" s="296">
        <f t="shared" si="53"/>
        <v>673235</v>
      </c>
      <c r="E1193" s="301">
        <v>0</v>
      </c>
      <c r="F1193" s="301">
        <v>0</v>
      </c>
      <c r="G1193" s="301">
        <v>0</v>
      </c>
      <c r="H1193" s="301">
        <v>0</v>
      </c>
      <c r="I1193" s="301">
        <v>0</v>
      </c>
      <c r="J1193" s="301">
        <v>0</v>
      </c>
      <c r="K1193" s="302">
        <v>0</v>
      </c>
      <c r="L1193" s="301">
        <v>0</v>
      </c>
      <c r="M1193" s="301">
        <v>0</v>
      </c>
      <c r="N1193" s="301">
        <v>673235</v>
      </c>
      <c r="O1193" s="301">
        <v>0</v>
      </c>
      <c r="P1193" s="301">
        <v>0</v>
      </c>
      <c r="Q1193" s="301">
        <v>0</v>
      </c>
      <c r="R1193" s="301">
        <v>0</v>
      </c>
      <c r="S1193" s="301">
        <v>0</v>
      </c>
      <c r="T1193" s="301">
        <v>0</v>
      </c>
      <c r="U1193" s="301">
        <v>0</v>
      </c>
      <c r="V1193" s="301">
        <v>0</v>
      </c>
      <c r="W1193" s="301">
        <v>0</v>
      </c>
      <c r="X1193" s="301">
        <v>0</v>
      </c>
      <c r="Y1193" s="301">
        <v>0</v>
      </c>
      <c r="Z1193" s="301">
        <v>0</v>
      </c>
      <c r="AA1193" s="301">
        <v>0</v>
      </c>
      <c r="AB1193" s="303" t="s">
        <v>2981</v>
      </c>
    </row>
    <row r="1194" spans="1:28" ht="35.25" customHeight="1" x14ac:dyDescent="0.5">
      <c r="A1194">
        <v>1</v>
      </c>
      <c r="B1194" s="80">
        <f>SUBTOTAL(103,$A$808:A1194)</f>
        <v>386</v>
      </c>
      <c r="C1194" s="300" t="s">
        <v>3034</v>
      </c>
      <c r="D1194" s="296">
        <f t="shared" si="53"/>
        <v>201968.36</v>
      </c>
      <c r="E1194" s="301">
        <v>0</v>
      </c>
      <c r="F1194" s="301">
        <v>0</v>
      </c>
      <c r="G1194" s="301">
        <v>201968.36</v>
      </c>
      <c r="H1194" s="301">
        <v>0</v>
      </c>
      <c r="I1194" s="301">
        <v>0</v>
      </c>
      <c r="J1194" s="301">
        <v>0</v>
      </c>
      <c r="K1194" s="302">
        <v>0</v>
      </c>
      <c r="L1194" s="301">
        <v>0</v>
      </c>
      <c r="M1194" s="301">
        <v>0</v>
      </c>
      <c r="N1194" s="301">
        <v>0</v>
      </c>
      <c r="O1194" s="301">
        <v>0</v>
      </c>
      <c r="P1194" s="301">
        <v>0</v>
      </c>
      <c r="Q1194" s="301">
        <v>0</v>
      </c>
      <c r="R1194" s="301">
        <v>0</v>
      </c>
      <c r="S1194" s="301">
        <v>0</v>
      </c>
      <c r="T1194" s="301">
        <v>0</v>
      </c>
      <c r="U1194" s="301">
        <v>0</v>
      </c>
      <c r="V1194" s="301">
        <v>0</v>
      </c>
      <c r="W1194" s="301">
        <v>0</v>
      </c>
      <c r="X1194" s="301">
        <v>0</v>
      </c>
      <c r="Y1194" s="301">
        <v>0</v>
      </c>
      <c r="Z1194" s="301">
        <v>0</v>
      </c>
      <c r="AA1194" s="301">
        <v>0</v>
      </c>
      <c r="AB1194" s="303" t="s">
        <v>2981</v>
      </c>
    </row>
    <row r="1195" spans="1:28" ht="35.25" customHeight="1" x14ac:dyDescent="0.5">
      <c r="A1195">
        <v>1</v>
      </c>
      <c r="B1195" s="80">
        <f>SUBTOTAL(103,$A$808:A1195)</f>
        <v>387</v>
      </c>
      <c r="C1195" s="300" t="s">
        <v>2709</v>
      </c>
      <c r="D1195" s="296">
        <f t="shared" si="53"/>
        <v>113970</v>
      </c>
      <c r="E1195" s="301">
        <v>0</v>
      </c>
      <c r="F1195" s="301">
        <v>0</v>
      </c>
      <c r="G1195" s="301">
        <v>113970</v>
      </c>
      <c r="H1195" s="301">
        <v>0</v>
      </c>
      <c r="I1195" s="301">
        <v>0</v>
      </c>
      <c r="J1195" s="301">
        <v>0</v>
      </c>
      <c r="K1195" s="302">
        <v>0</v>
      </c>
      <c r="L1195" s="301">
        <v>0</v>
      </c>
      <c r="M1195" s="301">
        <v>0</v>
      </c>
      <c r="N1195" s="301">
        <v>0</v>
      </c>
      <c r="O1195" s="301">
        <v>0</v>
      </c>
      <c r="P1195" s="301">
        <v>0</v>
      </c>
      <c r="Q1195" s="301">
        <v>0</v>
      </c>
      <c r="R1195" s="301">
        <v>0</v>
      </c>
      <c r="S1195" s="301">
        <v>0</v>
      </c>
      <c r="T1195" s="301">
        <v>0</v>
      </c>
      <c r="U1195" s="301">
        <v>0</v>
      </c>
      <c r="V1195" s="301">
        <v>0</v>
      </c>
      <c r="W1195" s="301">
        <v>0</v>
      </c>
      <c r="X1195" s="301">
        <v>0</v>
      </c>
      <c r="Y1195" s="301">
        <v>0</v>
      </c>
      <c r="Z1195" s="301">
        <v>0</v>
      </c>
      <c r="AA1195" s="301">
        <v>0</v>
      </c>
      <c r="AB1195" s="303" t="s">
        <v>2981</v>
      </c>
    </row>
    <row r="1196" spans="1:28" ht="35.25" customHeight="1" x14ac:dyDescent="0.5">
      <c r="A1196">
        <v>1</v>
      </c>
      <c r="B1196" s="80">
        <f>SUBTOTAL(103,$A$808:A1196)</f>
        <v>388</v>
      </c>
      <c r="C1196" s="300" t="s">
        <v>3035</v>
      </c>
      <c r="D1196" s="296">
        <f t="shared" si="53"/>
        <v>540920.59</v>
      </c>
      <c r="E1196" s="301">
        <v>0</v>
      </c>
      <c r="F1196" s="301">
        <v>0</v>
      </c>
      <c r="G1196" s="301">
        <v>540920.59</v>
      </c>
      <c r="H1196" s="301">
        <v>0</v>
      </c>
      <c r="I1196" s="301">
        <v>0</v>
      </c>
      <c r="J1196" s="301">
        <v>0</v>
      </c>
      <c r="K1196" s="302">
        <v>0</v>
      </c>
      <c r="L1196" s="301">
        <v>0</v>
      </c>
      <c r="M1196" s="301">
        <v>0</v>
      </c>
      <c r="N1196" s="301">
        <v>0</v>
      </c>
      <c r="O1196" s="301">
        <v>0</v>
      </c>
      <c r="P1196" s="301">
        <v>0</v>
      </c>
      <c r="Q1196" s="301">
        <v>0</v>
      </c>
      <c r="R1196" s="301">
        <v>0</v>
      </c>
      <c r="S1196" s="301">
        <v>0</v>
      </c>
      <c r="T1196" s="301">
        <v>0</v>
      </c>
      <c r="U1196" s="301">
        <v>0</v>
      </c>
      <c r="V1196" s="301">
        <v>0</v>
      </c>
      <c r="W1196" s="301">
        <v>0</v>
      </c>
      <c r="X1196" s="301">
        <v>0</v>
      </c>
      <c r="Y1196" s="301">
        <v>0</v>
      </c>
      <c r="Z1196" s="301">
        <v>0</v>
      </c>
      <c r="AA1196" s="301">
        <v>0</v>
      </c>
      <c r="AB1196" s="303" t="s">
        <v>2981</v>
      </c>
    </row>
    <row r="1197" spans="1:28" ht="35.25" customHeight="1" x14ac:dyDescent="0.5">
      <c r="A1197">
        <v>1</v>
      </c>
      <c r="B1197" s="80">
        <f>SUBTOTAL(103,$A$808:A1197)</f>
        <v>389</v>
      </c>
      <c r="C1197" s="300" t="s">
        <v>2411</v>
      </c>
      <c r="D1197" s="296">
        <f t="shared" si="53"/>
        <v>232600</v>
      </c>
      <c r="E1197" s="301">
        <v>0</v>
      </c>
      <c r="F1197" s="301">
        <v>0</v>
      </c>
      <c r="G1197" s="301">
        <v>0</v>
      </c>
      <c r="H1197" s="301">
        <v>0</v>
      </c>
      <c r="I1197" s="301">
        <v>0</v>
      </c>
      <c r="J1197" s="301">
        <v>0</v>
      </c>
      <c r="K1197" s="302">
        <v>0</v>
      </c>
      <c r="L1197" s="301">
        <v>0</v>
      </c>
      <c r="M1197" s="301">
        <v>0</v>
      </c>
      <c r="N1197" s="301">
        <v>0</v>
      </c>
      <c r="O1197" s="301">
        <v>232600</v>
      </c>
      <c r="P1197" s="301">
        <v>0</v>
      </c>
      <c r="Q1197" s="301">
        <v>0</v>
      </c>
      <c r="R1197" s="301">
        <v>0</v>
      </c>
      <c r="S1197" s="301">
        <v>0</v>
      </c>
      <c r="T1197" s="301">
        <v>0</v>
      </c>
      <c r="U1197" s="301">
        <v>0</v>
      </c>
      <c r="V1197" s="301">
        <v>0</v>
      </c>
      <c r="W1197" s="301">
        <v>0</v>
      </c>
      <c r="X1197" s="301">
        <v>0</v>
      </c>
      <c r="Y1197" s="301">
        <v>0</v>
      </c>
      <c r="Z1197" s="301">
        <v>0</v>
      </c>
      <c r="AA1197" s="301">
        <v>0</v>
      </c>
      <c r="AB1197" s="303" t="s">
        <v>2981</v>
      </c>
    </row>
    <row r="1198" spans="1:28" ht="35.25" customHeight="1" x14ac:dyDescent="0.5">
      <c r="A1198">
        <v>1</v>
      </c>
      <c r="B1198" s="80">
        <f>SUBTOTAL(103,$A$808:A1198)</f>
        <v>390</v>
      </c>
      <c r="C1198" s="300" t="s">
        <v>3036</v>
      </c>
      <c r="D1198" s="296">
        <f t="shared" si="53"/>
        <v>3308000</v>
      </c>
      <c r="E1198" s="301">
        <v>0</v>
      </c>
      <c r="F1198" s="301">
        <v>0</v>
      </c>
      <c r="G1198" s="301">
        <v>0</v>
      </c>
      <c r="H1198" s="301">
        <v>0</v>
      </c>
      <c r="I1198" s="301">
        <v>0</v>
      </c>
      <c r="J1198" s="301">
        <v>0</v>
      </c>
      <c r="K1198" s="302">
        <v>0</v>
      </c>
      <c r="L1198" s="301">
        <v>0</v>
      </c>
      <c r="M1198" s="301">
        <v>3308000</v>
      </c>
      <c r="N1198" s="301">
        <v>0</v>
      </c>
      <c r="O1198" s="301">
        <v>0</v>
      </c>
      <c r="P1198" s="301">
        <v>0</v>
      </c>
      <c r="Q1198" s="301">
        <v>0</v>
      </c>
      <c r="R1198" s="301">
        <v>0</v>
      </c>
      <c r="S1198" s="301">
        <v>0</v>
      </c>
      <c r="T1198" s="301">
        <v>0</v>
      </c>
      <c r="U1198" s="301">
        <v>0</v>
      </c>
      <c r="V1198" s="301">
        <v>0</v>
      </c>
      <c r="W1198" s="301">
        <v>0</v>
      </c>
      <c r="X1198" s="301">
        <v>0</v>
      </c>
      <c r="Y1198" s="301">
        <v>0</v>
      </c>
      <c r="Z1198" s="301">
        <v>0</v>
      </c>
      <c r="AA1198" s="301">
        <v>0</v>
      </c>
      <c r="AB1198" s="303" t="s">
        <v>2981</v>
      </c>
    </row>
    <row r="1199" spans="1:28" ht="35.25" customHeight="1" x14ac:dyDescent="0.5">
      <c r="A1199">
        <v>1</v>
      </c>
      <c r="B1199" s="80">
        <f>SUBTOTAL(103,$A$808:A1199)</f>
        <v>391</v>
      </c>
      <c r="C1199" s="300" t="s">
        <v>3037</v>
      </c>
      <c r="D1199" s="296">
        <f t="shared" si="53"/>
        <v>634000</v>
      </c>
      <c r="E1199" s="301">
        <v>0</v>
      </c>
      <c r="F1199" s="301">
        <v>0</v>
      </c>
      <c r="G1199" s="301">
        <v>0</v>
      </c>
      <c r="H1199" s="301">
        <v>0</v>
      </c>
      <c r="I1199" s="301">
        <v>0</v>
      </c>
      <c r="J1199" s="301">
        <v>0</v>
      </c>
      <c r="K1199" s="302">
        <v>0</v>
      </c>
      <c r="L1199" s="301">
        <v>0</v>
      </c>
      <c r="M1199" s="301">
        <v>0</v>
      </c>
      <c r="N1199" s="301">
        <v>0</v>
      </c>
      <c r="O1199" s="301">
        <v>634000</v>
      </c>
      <c r="P1199" s="301">
        <v>0</v>
      </c>
      <c r="Q1199" s="301">
        <v>0</v>
      </c>
      <c r="R1199" s="301">
        <v>0</v>
      </c>
      <c r="S1199" s="301">
        <v>0</v>
      </c>
      <c r="T1199" s="301">
        <v>0</v>
      </c>
      <c r="U1199" s="301">
        <v>0</v>
      </c>
      <c r="V1199" s="301">
        <v>0</v>
      </c>
      <c r="W1199" s="301">
        <v>0</v>
      </c>
      <c r="X1199" s="301">
        <v>0</v>
      </c>
      <c r="Y1199" s="301">
        <v>0</v>
      </c>
      <c r="Z1199" s="301">
        <v>0</v>
      </c>
      <c r="AA1199" s="301">
        <v>0</v>
      </c>
      <c r="AB1199" s="303">
        <v>2021</v>
      </c>
    </row>
    <row r="1200" spans="1:28" ht="35.25" customHeight="1" x14ac:dyDescent="0.5">
      <c r="A1200">
        <v>1</v>
      </c>
      <c r="B1200" s="80">
        <f>SUBTOTAL(103,$A$808:A1200)</f>
        <v>392</v>
      </c>
      <c r="C1200" s="300" t="s">
        <v>2416</v>
      </c>
      <c r="D1200" s="296">
        <f t="shared" si="53"/>
        <v>774329.8</v>
      </c>
      <c r="E1200" s="301">
        <v>0</v>
      </c>
      <c r="F1200" s="301">
        <v>0</v>
      </c>
      <c r="G1200" s="301">
        <v>0</v>
      </c>
      <c r="H1200" s="301">
        <v>0</v>
      </c>
      <c r="I1200" s="301">
        <v>0</v>
      </c>
      <c r="J1200" s="301">
        <v>0</v>
      </c>
      <c r="K1200" s="302">
        <v>0</v>
      </c>
      <c r="L1200" s="301">
        <v>0</v>
      </c>
      <c r="M1200" s="301">
        <v>0</v>
      </c>
      <c r="N1200" s="301">
        <v>0</v>
      </c>
      <c r="O1200" s="301">
        <v>774329.8</v>
      </c>
      <c r="P1200" s="301">
        <v>0</v>
      </c>
      <c r="Q1200" s="301">
        <v>0</v>
      </c>
      <c r="R1200" s="301">
        <v>0</v>
      </c>
      <c r="S1200" s="301">
        <v>0</v>
      </c>
      <c r="T1200" s="301">
        <v>0</v>
      </c>
      <c r="U1200" s="301">
        <v>0</v>
      </c>
      <c r="V1200" s="301">
        <v>0</v>
      </c>
      <c r="W1200" s="301">
        <v>0</v>
      </c>
      <c r="X1200" s="301">
        <v>0</v>
      </c>
      <c r="Y1200" s="301">
        <v>0</v>
      </c>
      <c r="Z1200" s="301">
        <v>0</v>
      </c>
      <c r="AA1200" s="301">
        <v>0</v>
      </c>
      <c r="AB1200" s="303">
        <v>2021</v>
      </c>
    </row>
    <row r="1201" spans="1:28" ht="35.25" customHeight="1" x14ac:dyDescent="0.5">
      <c r="A1201">
        <v>1</v>
      </c>
      <c r="B1201" s="80">
        <f>SUBTOTAL(103,$A$808:A1201)</f>
        <v>393</v>
      </c>
      <c r="C1201" s="300" t="s">
        <v>3038</v>
      </c>
      <c r="D1201" s="296">
        <f t="shared" si="53"/>
        <v>150000</v>
      </c>
      <c r="E1201" s="301">
        <v>0</v>
      </c>
      <c r="F1201" s="301">
        <v>0</v>
      </c>
      <c r="G1201" s="301">
        <v>0</v>
      </c>
      <c r="H1201" s="301">
        <v>0</v>
      </c>
      <c r="I1201" s="301">
        <v>0</v>
      </c>
      <c r="J1201" s="301">
        <v>0</v>
      </c>
      <c r="K1201" s="302">
        <v>0</v>
      </c>
      <c r="L1201" s="301">
        <v>0</v>
      </c>
      <c r="M1201" s="301">
        <v>0</v>
      </c>
      <c r="N1201" s="301">
        <v>0</v>
      </c>
      <c r="O1201" s="301">
        <v>150000</v>
      </c>
      <c r="P1201" s="301">
        <v>0</v>
      </c>
      <c r="Q1201" s="301">
        <v>0</v>
      </c>
      <c r="R1201" s="301">
        <v>0</v>
      </c>
      <c r="S1201" s="301">
        <v>0</v>
      </c>
      <c r="T1201" s="301">
        <v>0</v>
      </c>
      <c r="U1201" s="301">
        <v>0</v>
      </c>
      <c r="V1201" s="301">
        <v>0</v>
      </c>
      <c r="W1201" s="301">
        <v>0</v>
      </c>
      <c r="X1201" s="301">
        <v>0</v>
      </c>
      <c r="Y1201" s="301">
        <v>0</v>
      </c>
      <c r="Z1201" s="301">
        <v>0</v>
      </c>
      <c r="AA1201" s="301">
        <v>0</v>
      </c>
      <c r="AB1201" s="303">
        <v>2021</v>
      </c>
    </row>
    <row r="1202" spans="1:28" ht="35.25" customHeight="1" x14ac:dyDescent="0.5">
      <c r="A1202">
        <v>1</v>
      </c>
      <c r="B1202" s="80">
        <f>SUBTOTAL(103,$A$808:A1202)</f>
        <v>394</v>
      </c>
      <c r="C1202" s="300" t="s">
        <v>3039</v>
      </c>
      <c r="D1202" s="296">
        <f t="shared" si="53"/>
        <v>359717</v>
      </c>
      <c r="E1202" s="301">
        <v>0</v>
      </c>
      <c r="F1202" s="301">
        <v>0</v>
      </c>
      <c r="G1202" s="301">
        <v>0</v>
      </c>
      <c r="H1202" s="301">
        <v>0</v>
      </c>
      <c r="I1202" s="301">
        <v>0</v>
      </c>
      <c r="J1202" s="301">
        <v>0</v>
      </c>
      <c r="K1202" s="302">
        <v>0</v>
      </c>
      <c r="L1202" s="301">
        <v>0</v>
      </c>
      <c r="M1202" s="301">
        <v>0</v>
      </c>
      <c r="N1202" s="301">
        <v>0</v>
      </c>
      <c r="O1202" s="301">
        <v>359717</v>
      </c>
      <c r="P1202" s="301">
        <v>0</v>
      </c>
      <c r="Q1202" s="301">
        <v>0</v>
      </c>
      <c r="R1202" s="301">
        <v>0</v>
      </c>
      <c r="S1202" s="301">
        <v>0</v>
      </c>
      <c r="T1202" s="301">
        <v>0</v>
      </c>
      <c r="U1202" s="301">
        <v>0</v>
      </c>
      <c r="V1202" s="301">
        <v>0</v>
      </c>
      <c r="W1202" s="301">
        <v>0</v>
      </c>
      <c r="X1202" s="301">
        <v>0</v>
      </c>
      <c r="Y1202" s="301">
        <v>0</v>
      </c>
      <c r="Z1202" s="301">
        <v>0</v>
      </c>
      <c r="AA1202" s="301">
        <v>0</v>
      </c>
      <c r="AB1202" s="303">
        <v>2021</v>
      </c>
    </row>
    <row r="1203" spans="1:28" ht="35.25" customHeight="1" x14ac:dyDescent="0.5">
      <c r="A1203">
        <v>1</v>
      </c>
      <c r="B1203" s="80">
        <f>SUBTOTAL(103,$A$808:A1203)</f>
        <v>395</v>
      </c>
      <c r="C1203" s="300" t="s">
        <v>3040</v>
      </c>
      <c r="D1203" s="296">
        <f t="shared" si="53"/>
        <v>158998.39999999999</v>
      </c>
      <c r="E1203" s="301">
        <v>0</v>
      </c>
      <c r="F1203" s="301">
        <v>0</v>
      </c>
      <c r="G1203" s="301">
        <v>0</v>
      </c>
      <c r="H1203" s="301">
        <v>158998.39999999999</v>
      </c>
      <c r="I1203" s="301">
        <v>0</v>
      </c>
      <c r="J1203" s="301">
        <v>0</v>
      </c>
      <c r="K1203" s="302">
        <v>0</v>
      </c>
      <c r="L1203" s="301">
        <v>0</v>
      </c>
      <c r="M1203" s="301">
        <v>0</v>
      </c>
      <c r="N1203" s="301">
        <v>0</v>
      </c>
      <c r="O1203" s="301">
        <v>0</v>
      </c>
      <c r="P1203" s="301">
        <v>0</v>
      </c>
      <c r="Q1203" s="301">
        <v>0</v>
      </c>
      <c r="R1203" s="301">
        <v>0</v>
      </c>
      <c r="S1203" s="301">
        <v>0</v>
      </c>
      <c r="T1203" s="301">
        <v>0</v>
      </c>
      <c r="U1203" s="301">
        <v>0</v>
      </c>
      <c r="V1203" s="301">
        <v>0</v>
      </c>
      <c r="W1203" s="301">
        <v>0</v>
      </c>
      <c r="X1203" s="301">
        <v>0</v>
      </c>
      <c r="Y1203" s="301">
        <v>0</v>
      </c>
      <c r="Z1203" s="301">
        <v>0</v>
      </c>
      <c r="AA1203" s="301">
        <v>0</v>
      </c>
      <c r="AB1203" s="303">
        <v>2021</v>
      </c>
    </row>
    <row r="1204" spans="1:28" ht="35.25" customHeight="1" x14ac:dyDescent="0.5">
      <c r="A1204">
        <v>1</v>
      </c>
      <c r="B1204" s="80">
        <f>SUBTOTAL(103,$A$808:A1204)</f>
        <v>396</v>
      </c>
      <c r="C1204" s="300" t="s">
        <v>3041</v>
      </c>
      <c r="D1204" s="296">
        <f t="shared" si="53"/>
        <v>280000</v>
      </c>
      <c r="E1204" s="301">
        <v>0</v>
      </c>
      <c r="F1204" s="301">
        <v>0</v>
      </c>
      <c r="G1204" s="301">
        <v>0</v>
      </c>
      <c r="H1204" s="301">
        <v>0</v>
      </c>
      <c r="I1204" s="301">
        <v>0</v>
      </c>
      <c r="J1204" s="301">
        <v>0</v>
      </c>
      <c r="K1204" s="302">
        <v>0</v>
      </c>
      <c r="L1204" s="301">
        <v>0</v>
      </c>
      <c r="M1204" s="301">
        <v>0</v>
      </c>
      <c r="N1204" s="301">
        <v>0</v>
      </c>
      <c r="O1204" s="301">
        <v>280000</v>
      </c>
      <c r="P1204" s="301">
        <v>0</v>
      </c>
      <c r="Q1204" s="301">
        <v>0</v>
      </c>
      <c r="R1204" s="301">
        <v>0</v>
      </c>
      <c r="S1204" s="301">
        <v>0</v>
      </c>
      <c r="T1204" s="301">
        <v>0</v>
      </c>
      <c r="U1204" s="301">
        <v>0</v>
      </c>
      <c r="V1204" s="301">
        <v>0</v>
      </c>
      <c r="W1204" s="301">
        <v>0</v>
      </c>
      <c r="X1204" s="301">
        <v>0</v>
      </c>
      <c r="Y1204" s="301">
        <v>0</v>
      </c>
      <c r="Z1204" s="301">
        <v>0</v>
      </c>
      <c r="AA1204" s="301">
        <v>0</v>
      </c>
      <c r="AB1204" s="303">
        <v>2021</v>
      </c>
    </row>
    <row r="1205" spans="1:28" ht="35.25" customHeight="1" x14ac:dyDescent="0.5">
      <c r="A1205">
        <v>1</v>
      </c>
      <c r="B1205" s="80">
        <f>SUBTOTAL(103,$A$808:A1205)</f>
        <v>397</v>
      </c>
      <c r="C1205" s="300" t="s">
        <v>3042</v>
      </c>
      <c r="D1205" s="296">
        <f t="shared" si="53"/>
        <v>732621.6</v>
      </c>
      <c r="E1205" s="301">
        <v>282621.59999999998</v>
      </c>
      <c r="F1205" s="301">
        <v>0</v>
      </c>
      <c r="G1205" s="301">
        <v>0</v>
      </c>
      <c r="H1205" s="301">
        <v>0</v>
      </c>
      <c r="I1205" s="301">
        <v>0</v>
      </c>
      <c r="J1205" s="301">
        <v>0</v>
      </c>
      <c r="K1205" s="302">
        <v>0</v>
      </c>
      <c r="L1205" s="301">
        <v>0</v>
      </c>
      <c r="M1205" s="301">
        <v>0</v>
      </c>
      <c r="N1205" s="301">
        <v>0</v>
      </c>
      <c r="O1205" s="301">
        <v>450000</v>
      </c>
      <c r="P1205" s="301">
        <v>0</v>
      </c>
      <c r="Q1205" s="301">
        <v>0</v>
      </c>
      <c r="R1205" s="301">
        <v>0</v>
      </c>
      <c r="S1205" s="301">
        <v>0</v>
      </c>
      <c r="T1205" s="301">
        <v>0</v>
      </c>
      <c r="U1205" s="301">
        <v>0</v>
      </c>
      <c r="V1205" s="301">
        <v>0</v>
      </c>
      <c r="W1205" s="301">
        <v>0</v>
      </c>
      <c r="X1205" s="301">
        <v>0</v>
      </c>
      <c r="Y1205" s="301">
        <v>0</v>
      </c>
      <c r="Z1205" s="301">
        <v>0</v>
      </c>
      <c r="AA1205" s="301">
        <v>0</v>
      </c>
      <c r="AB1205" s="303">
        <v>2021</v>
      </c>
    </row>
    <row r="1206" spans="1:28" ht="35.25" customHeight="1" x14ac:dyDescent="0.5">
      <c r="A1206">
        <v>1</v>
      </c>
      <c r="B1206" s="80">
        <f>SUBTOTAL(103,$A$808:A1206)</f>
        <v>398</v>
      </c>
      <c r="C1206" s="300" t="s">
        <v>2240</v>
      </c>
      <c r="D1206" s="296">
        <f t="shared" si="53"/>
        <v>781165</v>
      </c>
      <c r="E1206" s="301">
        <v>0</v>
      </c>
      <c r="F1206" s="301">
        <v>0</v>
      </c>
      <c r="G1206" s="301">
        <v>781165</v>
      </c>
      <c r="H1206" s="301">
        <v>0</v>
      </c>
      <c r="I1206" s="301">
        <v>0</v>
      </c>
      <c r="J1206" s="301">
        <v>0</v>
      </c>
      <c r="K1206" s="302">
        <v>0</v>
      </c>
      <c r="L1206" s="301">
        <v>0</v>
      </c>
      <c r="M1206" s="301">
        <v>0</v>
      </c>
      <c r="N1206" s="301">
        <v>0</v>
      </c>
      <c r="O1206" s="301">
        <v>0</v>
      </c>
      <c r="P1206" s="301">
        <v>0</v>
      </c>
      <c r="Q1206" s="301">
        <v>0</v>
      </c>
      <c r="R1206" s="301">
        <v>0</v>
      </c>
      <c r="S1206" s="301">
        <v>0</v>
      </c>
      <c r="T1206" s="301">
        <v>0</v>
      </c>
      <c r="U1206" s="301">
        <v>0</v>
      </c>
      <c r="V1206" s="301">
        <v>0</v>
      </c>
      <c r="W1206" s="301">
        <v>0</v>
      </c>
      <c r="X1206" s="301">
        <v>0</v>
      </c>
      <c r="Y1206" s="301">
        <v>0</v>
      </c>
      <c r="Z1206" s="301">
        <v>0</v>
      </c>
      <c r="AA1206" s="301">
        <v>0</v>
      </c>
      <c r="AB1206" s="303">
        <v>2021</v>
      </c>
    </row>
    <row r="1207" spans="1:28" ht="35.25" customHeight="1" x14ac:dyDescent="0.5">
      <c r="A1207">
        <v>1</v>
      </c>
      <c r="B1207" s="80">
        <f>SUBTOTAL(103,$A$808:A1207)</f>
        <v>399</v>
      </c>
      <c r="C1207" s="300" t="s">
        <v>3043</v>
      </c>
      <c r="D1207" s="296">
        <f t="shared" si="53"/>
        <v>578299</v>
      </c>
      <c r="E1207" s="301">
        <v>0</v>
      </c>
      <c r="F1207" s="301">
        <v>0</v>
      </c>
      <c r="G1207" s="301">
        <v>0</v>
      </c>
      <c r="H1207" s="301">
        <v>0</v>
      </c>
      <c r="I1207" s="301">
        <v>0</v>
      </c>
      <c r="J1207" s="301">
        <v>0</v>
      </c>
      <c r="K1207" s="302">
        <v>0</v>
      </c>
      <c r="L1207" s="301">
        <v>0</v>
      </c>
      <c r="M1207" s="301">
        <v>0</v>
      </c>
      <c r="N1207" s="301">
        <v>0</v>
      </c>
      <c r="O1207" s="301">
        <v>578299</v>
      </c>
      <c r="P1207" s="301">
        <v>0</v>
      </c>
      <c r="Q1207" s="301">
        <v>0</v>
      </c>
      <c r="R1207" s="301">
        <v>0</v>
      </c>
      <c r="S1207" s="301">
        <v>0</v>
      </c>
      <c r="T1207" s="301">
        <v>0</v>
      </c>
      <c r="U1207" s="301">
        <v>0</v>
      </c>
      <c r="V1207" s="301">
        <v>0</v>
      </c>
      <c r="W1207" s="301">
        <v>0</v>
      </c>
      <c r="X1207" s="301">
        <v>0</v>
      </c>
      <c r="Y1207" s="301">
        <v>0</v>
      </c>
      <c r="Z1207" s="301">
        <v>0</v>
      </c>
      <c r="AA1207" s="301">
        <v>0</v>
      </c>
      <c r="AB1207" s="303">
        <v>2021</v>
      </c>
    </row>
    <row r="1208" spans="1:28" ht="35.25" customHeight="1" x14ac:dyDescent="0.5">
      <c r="A1208">
        <v>1</v>
      </c>
      <c r="B1208" s="80">
        <f>SUBTOTAL(103,$A$808:A1208)</f>
        <v>400</v>
      </c>
      <c r="C1208" s="300" t="s">
        <v>2413</v>
      </c>
      <c r="D1208" s="296">
        <f t="shared" si="53"/>
        <v>1280000</v>
      </c>
      <c r="E1208" s="301">
        <v>0</v>
      </c>
      <c r="F1208" s="301">
        <v>0</v>
      </c>
      <c r="G1208" s="301">
        <v>0</v>
      </c>
      <c r="H1208" s="301">
        <v>0</v>
      </c>
      <c r="I1208" s="301">
        <v>0</v>
      </c>
      <c r="J1208" s="301">
        <v>0</v>
      </c>
      <c r="K1208" s="302">
        <v>0</v>
      </c>
      <c r="L1208" s="301">
        <v>0</v>
      </c>
      <c r="M1208" s="301">
        <v>0</v>
      </c>
      <c r="N1208" s="301">
        <v>0</v>
      </c>
      <c r="O1208" s="301">
        <v>1280000</v>
      </c>
      <c r="P1208" s="301">
        <v>0</v>
      </c>
      <c r="Q1208" s="301">
        <v>0</v>
      </c>
      <c r="R1208" s="301">
        <v>0</v>
      </c>
      <c r="S1208" s="301">
        <v>0</v>
      </c>
      <c r="T1208" s="301">
        <v>0</v>
      </c>
      <c r="U1208" s="301">
        <v>0</v>
      </c>
      <c r="V1208" s="301">
        <v>0</v>
      </c>
      <c r="W1208" s="301">
        <v>0</v>
      </c>
      <c r="X1208" s="301">
        <v>0</v>
      </c>
      <c r="Y1208" s="301">
        <v>0</v>
      </c>
      <c r="Z1208" s="301">
        <v>0</v>
      </c>
      <c r="AA1208" s="301">
        <v>0</v>
      </c>
      <c r="AB1208" s="303">
        <v>2021</v>
      </c>
    </row>
    <row r="1209" spans="1:28" ht="35.25" customHeight="1" x14ac:dyDescent="0.5">
      <c r="A1209">
        <v>1</v>
      </c>
      <c r="B1209" s="80">
        <f>SUBTOTAL(103,$A$808:A1209)</f>
        <v>401</v>
      </c>
      <c r="C1209" s="300" t="s">
        <v>2418</v>
      </c>
      <c r="D1209" s="296">
        <f t="shared" si="53"/>
        <v>400000</v>
      </c>
      <c r="E1209" s="301">
        <v>0</v>
      </c>
      <c r="F1209" s="301">
        <v>0</v>
      </c>
      <c r="G1209" s="301">
        <v>0</v>
      </c>
      <c r="H1209" s="301">
        <v>0</v>
      </c>
      <c r="I1209" s="301">
        <v>0</v>
      </c>
      <c r="J1209" s="301">
        <v>0</v>
      </c>
      <c r="K1209" s="302">
        <v>0</v>
      </c>
      <c r="L1209" s="301">
        <v>0</v>
      </c>
      <c r="M1209" s="301">
        <v>0</v>
      </c>
      <c r="N1209" s="301">
        <v>0</v>
      </c>
      <c r="O1209" s="301">
        <v>400000</v>
      </c>
      <c r="P1209" s="301">
        <v>0</v>
      </c>
      <c r="Q1209" s="301">
        <v>0</v>
      </c>
      <c r="R1209" s="301">
        <v>0</v>
      </c>
      <c r="S1209" s="301">
        <v>0</v>
      </c>
      <c r="T1209" s="301">
        <v>0</v>
      </c>
      <c r="U1209" s="301">
        <v>0</v>
      </c>
      <c r="V1209" s="301">
        <v>0</v>
      </c>
      <c r="W1209" s="301">
        <v>0</v>
      </c>
      <c r="X1209" s="301">
        <v>0</v>
      </c>
      <c r="Y1209" s="301">
        <v>0</v>
      </c>
      <c r="Z1209" s="301">
        <v>0</v>
      </c>
      <c r="AA1209" s="301">
        <v>0</v>
      </c>
      <c r="AB1209" s="303">
        <v>2021</v>
      </c>
    </row>
    <row r="1210" spans="1:28" ht="35.25" customHeight="1" x14ac:dyDescent="0.5">
      <c r="A1210">
        <v>1</v>
      </c>
      <c r="B1210" s="80">
        <f>SUBTOTAL(103,$A$808:A1210)</f>
        <v>402</v>
      </c>
      <c r="C1210" s="300" t="s">
        <v>3044</v>
      </c>
      <c r="D1210" s="296">
        <f t="shared" si="53"/>
        <v>135700</v>
      </c>
      <c r="E1210" s="301">
        <v>0</v>
      </c>
      <c r="F1210" s="301">
        <v>0</v>
      </c>
      <c r="G1210" s="301">
        <v>135700</v>
      </c>
      <c r="H1210" s="301">
        <v>0</v>
      </c>
      <c r="I1210" s="301">
        <v>0</v>
      </c>
      <c r="J1210" s="301">
        <v>0</v>
      </c>
      <c r="K1210" s="302">
        <v>0</v>
      </c>
      <c r="L1210" s="301">
        <v>0</v>
      </c>
      <c r="M1210" s="301">
        <v>0</v>
      </c>
      <c r="N1210" s="301">
        <v>0</v>
      </c>
      <c r="O1210" s="301">
        <v>0</v>
      </c>
      <c r="P1210" s="301">
        <v>0</v>
      </c>
      <c r="Q1210" s="301">
        <v>0</v>
      </c>
      <c r="R1210" s="301">
        <v>0</v>
      </c>
      <c r="S1210" s="301">
        <v>0</v>
      </c>
      <c r="T1210" s="301">
        <v>0</v>
      </c>
      <c r="U1210" s="301">
        <v>0</v>
      </c>
      <c r="V1210" s="301">
        <v>0</v>
      </c>
      <c r="W1210" s="301">
        <v>0</v>
      </c>
      <c r="X1210" s="301">
        <v>0</v>
      </c>
      <c r="Y1210" s="301">
        <v>0</v>
      </c>
      <c r="Z1210" s="301">
        <v>0</v>
      </c>
      <c r="AA1210" s="301">
        <v>0</v>
      </c>
      <c r="AB1210" s="303">
        <v>2021</v>
      </c>
    </row>
    <row r="1211" spans="1:28" ht="35.25" customHeight="1" x14ac:dyDescent="0.5">
      <c r="A1211">
        <v>1</v>
      </c>
      <c r="B1211" s="80">
        <f>SUBTOTAL(103,$A$808:A1211)</f>
        <v>403</v>
      </c>
      <c r="C1211" s="300" t="s">
        <v>3045</v>
      </c>
      <c r="D1211" s="296">
        <f t="shared" si="53"/>
        <v>631311</v>
      </c>
      <c r="E1211" s="301">
        <v>631311</v>
      </c>
      <c r="F1211" s="301">
        <v>0</v>
      </c>
      <c r="G1211" s="301">
        <v>0</v>
      </c>
      <c r="H1211" s="301">
        <v>0</v>
      </c>
      <c r="I1211" s="301">
        <v>0</v>
      </c>
      <c r="J1211" s="301">
        <v>0</v>
      </c>
      <c r="K1211" s="302">
        <v>0</v>
      </c>
      <c r="L1211" s="301">
        <v>0</v>
      </c>
      <c r="M1211" s="301">
        <v>0</v>
      </c>
      <c r="N1211" s="301">
        <v>0</v>
      </c>
      <c r="O1211" s="301">
        <v>0</v>
      </c>
      <c r="P1211" s="301">
        <v>0</v>
      </c>
      <c r="Q1211" s="301">
        <v>0</v>
      </c>
      <c r="R1211" s="301">
        <v>0</v>
      </c>
      <c r="S1211" s="301">
        <v>0</v>
      </c>
      <c r="T1211" s="301">
        <v>0</v>
      </c>
      <c r="U1211" s="301">
        <v>0</v>
      </c>
      <c r="V1211" s="301">
        <v>0</v>
      </c>
      <c r="W1211" s="301">
        <v>0</v>
      </c>
      <c r="X1211" s="301">
        <v>0</v>
      </c>
      <c r="Y1211" s="301">
        <v>0</v>
      </c>
      <c r="Z1211" s="301">
        <v>0</v>
      </c>
      <c r="AA1211" s="301">
        <v>0</v>
      </c>
      <c r="AB1211" s="303">
        <v>2021</v>
      </c>
    </row>
    <row r="1212" spans="1:28" ht="35.25" customHeight="1" x14ac:dyDescent="0.5">
      <c r="A1212">
        <v>1</v>
      </c>
      <c r="B1212" s="80">
        <f>SUBTOTAL(103,$A$765:A1255)</f>
        <v>479</v>
      </c>
      <c r="C1212" s="300" t="s">
        <v>3046</v>
      </c>
      <c r="D1212" s="296">
        <f t="shared" si="53"/>
        <v>468929.97</v>
      </c>
      <c r="E1212" s="301">
        <v>315867.53999999998</v>
      </c>
      <c r="F1212" s="301">
        <v>0</v>
      </c>
      <c r="G1212" s="301">
        <v>98000.28</v>
      </c>
      <c r="H1212" s="301">
        <v>0</v>
      </c>
      <c r="I1212" s="301">
        <v>0</v>
      </c>
      <c r="J1212" s="301">
        <v>0</v>
      </c>
      <c r="K1212" s="302">
        <v>0</v>
      </c>
      <c r="L1212" s="301">
        <v>0</v>
      </c>
      <c r="M1212" s="301">
        <v>0</v>
      </c>
      <c r="N1212" s="301">
        <v>0</v>
      </c>
      <c r="O1212" s="301">
        <v>55062.15</v>
      </c>
      <c r="P1212" s="301">
        <v>0</v>
      </c>
      <c r="Q1212" s="301">
        <v>0</v>
      </c>
      <c r="R1212" s="301">
        <v>0</v>
      </c>
      <c r="S1212" s="301">
        <v>0</v>
      </c>
      <c r="T1212" s="301">
        <v>0</v>
      </c>
      <c r="U1212" s="301">
        <v>0</v>
      </c>
      <c r="V1212" s="301">
        <v>0</v>
      </c>
      <c r="W1212" s="301">
        <v>0</v>
      </c>
      <c r="X1212" s="301">
        <v>0</v>
      </c>
      <c r="Y1212" s="301">
        <v>0</v>
      </c>
      <c r="Z1212" s="301">
        <v>0</v>
      </c>
      <c r="AA1212" s="301">
        <v>0</v>
      </c>
      <c r="AB1212" s="303">
        <v>2021</v>
      </c>
    </row>
    <row r="1213" spans="1:28" ht="35.25" customHeight="1" x14ac:dyDescent="0.5">
      <c r="A1213">
        <v>1</v>
      </c>
      <c r="B1213" s="80">
        <f>SUBTOTAL(103,$A$808:A1213)</f>
        <v>405</v>
      </c>
      <c r="C1213" s="300" t="s">
        <v>3197</v>
      </c>
      <c r="D1213" s="296">
        <f t="shared" si="53"/>
        <v>1200000</v>
      </c>
      <c r="E1213" s="301">
        <v>0</v>
      </c>
      <c r="F1213" s="301">
        <v>0</v>
      </c>
      <c r="G1213" s="301">
        <v>0</v>
      </c>
      <c r="H1213" s="301">
        <v>0</v>
      </c>
      <c r="I1213" s="301">
        <v>0</v>
      </c>
      <c r="J1213" s="301">
        <v>0</v>
      </c>
      <c r="K1213" s="302">
        <v>0</v>
      </c>
      <c r="L1213" s="301">
        <v>0</v>
      </c>
      <c r="M1213" s="301">
        <v>0</v>
      </c>
      <c r="N1213" s="301">
        <v>0</v>
      </c>
      <c r="O1213" s="301">
        <v>1200000</v>
      </c>
      <c r="P1213" s="301">
        <v>0</v>
      </c>
      <c r="Q1213" s="301">
        <v>0</v>
      </c>
      <c r="R1213" s="301">
        <v>0</v>
      </c>
      <c r="S1213" s="301">
        <v>0</v>
      </c>
      <c r="T1213" s="301">
        <v>0</v>
      </c>
      <c r="U1213" s="301">
        <v>0</v>
      </c>
      <c r="V1213" s="301">
        <v>0</v>
      </c>
      <c r="W1213" s="301">
        <v>0</v>
      </c>
      <c r="X1213" s="301">
        <v>0</v>
      </c>
      <c r="Y1213" s="301">
        <v>0</v>
      </c>
      <c r="Z1213" s="301">
        <v>0</v>
      </c>
      <c r="AA1213" s="301">
        <v>0</v>
      </c>
      <c r="AB1213" s="303">
        <v>2021</v>
      </c>
    </row>
    <row r="1214" spans="1:28" ht="35.25" customHeight="1" x14ac:dyDescent="0.5">
      <c r="A1214">
        <v>1</v>
      </c>
      <c r="B1214" s="80">
        <f>SUBTOTAL(103,$A$808:A1214)</f>
        <v>406</v>
      </c>
      <c r="C1214" s="300" t="s">
        <v>3198</v>
      </c>
      <c r="D1214" s="296">
        <f t="shared" si="53"/>
        <v>3204441</v>
      </c>
      <c r="E1214" s="301">
        <v>0</v>
      </c>
      <c r="F1214" s="301">
        <v>0</v>
      </c>
      <c r="G1214" s="301">
        <v>0</v>
      </c>
      <c r="H1214" s="301">
        <v>0</v>
      </c>
      <c r="I1214" s="301">
        <v>0</v>
      </c>
      <c r="J1214" s="301">
        <v>0</v>
      </c>
      <c r="K1214" s="302">
        <v>0</v>
      </c>
      <c r="L1214" s="301">
        <v>0</v>
      </c>
      <c r="M1214" s="301">
        <v>0</v>
      </c>
      <c r="N1214" s="301">
        <v>0</v>
      </c>
      <c r="O1214" s="301">
        <v>2098056</v>
      </c>
      <c r="P1214" s="301">
        <v>0</v>
      </c>
      <c r="Q1214" s="301">
        <v>0</v>
      </c>
      <c r="R1214" s="301">
        <v>0</v>
      </c>
      <c r="S1214" s="301">
        <v>0</v>
      </c>
      <c r="T1214" s="301">
        <v>0</v>
      </c>
      <c r="U1214" s="301">
        <v>0</v>
      </c>
      <c r="V1214" s="301">
        <v>0</v>
      </c>
      <c r="W1214" s="301">
        <v>1106385</v>
      </c>
      <c r="X1214" s="301">
        <v>0</v>
      </c>
      <c r="Y1214" s="301">
        <v>0</v>
      </c>
      <c r="Z1214" s="301">
        <v>0</v>
      </c>
      <c r="AA1214" s="301">
        <v>0</v>
      </c>
      <c r="AB1214" s="303">
        <v>2021</v>
      </c>
    </row>
    <row r="1215" spans="1:28" ht="35.25" customHeight="1" x14ac:dyDescent="0.5">
      <c r="A1215">
        <v>1</v>
      </c>
      <c r="B1215" s="80">
        <f>SUBTOTAL(103,$A$808:A1215)</f>
        <v>407</v>
      </c>
      <c r="C1215" s="300" t="s">
        <v>3199</v>
      </c>
      <c r="D1215" s="296">
        <f t="shared" si="53"/>
        <v>2360000</v>
      </c>
      <c r="E1215" s="301">
        <v>0</v>
      </c>
      <c r="F1215" s="301">
        <v>0</v>
      </c>
      <c r="G1215" s="301">
        <v>0</v>
      </c>
      <c r="H1215" s="301">
        <v>0</v>
      </c>
      <c r="I1215" s="301">
        <v>0</v>
      </c>
      <c r="J1215" s="301">
        <v>0</v>
      </c>
      <c r="K1215" s="302">
        <v>1</v>
      </c>
      <c r="L1215" s="301">
        <v>2360000</v>
      </c>
      <c r="M1215" s="301">
        <v>0</v>
      </c>
      <c r="N1215" s="301">
        <v>0</v>
      </c>
      <c r="O1215" s="301">
        <v>0</v>
      </c>
      <c r="P1215" s="301">
        <v>0</v>
      </c>
      <c r="Q1215" s="301">
        <v>0</v>
      </c>
      <c r="R1215" s="301">
        <v>0</v>
      </c>
      <c r="S1215" s="301">
        <v>0</v>
      </c>
      <c r="T1215" s="301">
        <v>0</v>
      </c>
      <c r="U1215" s="301">
        <v>0</v>
      </c>
      <c r="V1215" s="301">
        <v>0</v>
      </c>
      <c r="W1215" s="301">
        <v>0</v>
      </c>
      <c r="X1215" s="301">
        <v>0</v>
      </c>
      <c r="Y1215" s="301">
        <v>0</v>
      </c>
      <c r="Z1215" s="301">
        <v>0</v>
      </c>
      <c r="AA1215" s="301">
        <v>0</v>
      </c>
      <c r="AB1215" s="303">
        <v>2021</v>
      </c>
    </row>
    <row r="1216" spans="1:28" ht="35.25" customHeight="1" x14ac:dyDescent="0.5">
      <c r="A1216">
        <v>1</v>
      </c>
      <c r="B1216" s="80">
        <f>SUBTOTAL(103,$A$808:A1216)</f>
        <v>408</v>
      </c>
      <c r="C1216" s="300" t="s">
        <v>3304</v>
      </c>
      <c r="D1216" s="296">
        <f t="shared" si="53"/>
        <v>1292758</v>
      </c>
      <c r="E1216" s="301">
        <v>0</v>
      </c>
      <c r="F1216" s="301">
        <v>0</v>
      </c>
      <c r="G1216" s="301">
        <v>0</v>
      </c>
      <c r="H1216" s="301">
        <v>0</v>
      </c>
      <c r="I1216" s="301">
        <v>0</v>
      </c>
      <c r="J1216" s="301">
        <v>0</v>
      </c>
      <c r="K1216" s="302">
        <v>0</v>
      </c>
      <c r="L1216" s="301">
        <v>0</v>
      </c>
      <c r="M1216" s="301">
        <v>1292758</v>
      </c>
      <c r="N1216" s="301">
        <v>0</v>
      </c>
      <c r="O1216" s="301">
        <v>0</v>
      </c>
      <c r="P1216" s="301">
        <v>0</v>
      </c>
      <c r="Q1216" s="301">
        <v>0</v>
      </c>
      <c r="R1216" s="301">
        <v>0</v>
      </c>
      <c r="S1216" s="301">
        <v>0</v>
      </c>
      <c r="T1216" s="301">
        <v>0</v>
      </c>
      <c r="U1216" s="301">
        <v>0</v>
      </c>
      <c r="V1216" s="301">
        <v>0</v>
      </c>
      <c r="W1216" s="301">
        <v>0</v>
      </c>
      <c r="X1216" s="301">
        <v>0</v>
      </c>
      <c r="Y1216" s="301">
        <v>0</v>
      </c>
      <c r="Z1216" s="301">
        <v>0</v>
      </c>
      <c r="AA1216" s="301">
        <v>0</v>
      </c>
      <c r="AB1216" s="303">
        <v>2021</v>
      </c>
    </row>
    <row r="1217" spans="1:28" ht="35.25" customHeight="1" x14ac:dyDescent="0.5">
      <c r="A1217">
        <v>1</v>
      </c>
      <c r="B1217" s="80">
        <f>SUBTOTAL(103,$A$808:A1217)</f>
        <v>409</v>
      </c>
      <c r="C1217" s="300" t="s">
        <v>3382</v>
      </c>
      <c r="D1217" s="296">
        <f t="shared" si="53"/>
        <v>4000000</v>
      </c>
      <c r="E1217" s="301">
        <v>0</v>
      </c>
      <c r="F1217" s="301">
        <v>0</v>
      </c>
      <c r="G1217" s="301">
        <v>0</v>
      </c>
      <c r="H1217" s="301">
        <v>0</v>
      </c>
      <c r="I1217" s="301">
        <v>0</v>
      </c>
      <c r="J1217" s="301">
        <v>0</v>
      </c>
      <c r="K1217" s="302">
        <v>0</v>
      </c>
      <c r="L1217" s="301">
        <v>0</v>
      </c>
      <c r="M1217" s="301">
        <v>4000000</v>
      </c>
      <c r="N1217" s="301">
        <v>0</v>
      </c>
      <c r="O1217" s="301">
        <v>0</v>
      </c>
      <c r="P1217" s="301">
        <v>0</v>
      </c>
      <c r="Q1217" s="301">
        <v>0</v>
      </c>
      <c r="R1217" s="301">
        <v>0</v>
      </c>
      <c r="S1217" s="301">
        <v>0</v>
      </c>
      <c r="T1217" s="301">
        <v>0</v>
      </c>
      <c r="U1217" s="301">
        <v>0</v>
      </c>
      <c r="V1217" s="301">
        <v>0</v>
      </c>
      <c r="W1217" s="301">
        <v>0</v>
      </c>
      <c r="X1217" s="301">
        <v>0</v>
      </c>
      <c r="Y1217" s="301">
        <v>0</v>
      </c>
      <c r="Z1217" s="301">
        <v>0</v>
      </c>
      <c r="AA1217" s="301">
        <v>0</v>
      </c>
      <c r="AB1217" s="303">
        <v>2021</v>
      </c>
    </row>
    <row r="1218" spans="1:28" ht="35.25" customHeight="1" x14ac:dyDescent="0.5">
      <c r="A1218">
        <v>1</v>
      </c>
      <c r="B1218" s="80">
        <f>SUBTOTAL(103,$A$808:A1218)</f>
        <v>410</v>
      </c>
      <c r="C1218" s="300" t="s">
        <v>3484</v>
      </c>
      <c r="D1218" s="296">
        <f t="shared" si="53"/>
        <v>1213140</v>
      </c>
      <c r="E1218" s="301">
        <v>0</v>
      </c>
      <c r="F1218" s="301">
        <v>0</v>
      </c>
      <c r="G1218" s="301">
        <v>0</v>
      </c>
      <c r="H1218" s="301">
        <v>0</v>
      </c>
      <c r="I1218" s="301">
        <v>0</v>
      </c>
      <c r="J1218" s="301">
        <v>0</v>
      </c>
      <c r="K1218" s="302">
        <v>0</v>
      </c>
      <c r="L1218" s="301">
        <v>0</v>
      </c>
      <c r="M1218" s="301">
        <v>0</v>
      </c>
      <c r="N1218" s="301">
        <v>729922</v>
      </c>
      <c r="O1218" s="301">
        <v>483218</v>
      </c>
      <c r="P1218" s="301">
        <v>0</v>
      </c>
      <c r="Q1218" s="301">
        <v>0</v>
      </c>
      <c r="R1218" s="301">
        <v>0</v>
      </c>
      <c r="S1218" s="301">
        <v>0</v>
      </c>
      <c r="T1218" s="301">
        <v>0</v>
      </c>
      <c r="U1218" s="301">
        <v>0</v>
      </c>
      <c r="V1218" s="301">
        <v>0</v>
      </c>
      <c r="W1218" s="301">
        <v>0</v>
      </c>
      <c r="X1218" s="301">
        <v>0</v>
      </c>
      <c r="Y1218" s="301">
        <v>0</v>
      </c>
      <c r="Z1218" s="301">
        <v>0</v>
      </c>
      <c r="AA1218" s="301">
        <v>0</v>
      </c>
      <c r="AB1218" s="303">
        <v>2021</v>
      </c>
    </row>
    <row r="1219" spans="1:28" ht="35.25" customHeight="1" x14ac:dyDescent="0.5">
      <c r="A1219">
        <v>1</v>
      </c>
      <c r="B1219" s="80">
        <f>SUBTOTAL(103,$A$808:A1219)</f>
        <v>411</v>
      </c>
      <c r="C1219" s="300" t="s">
        <v>2475</v>
      </c>
      <c r="D1219" s="296">
        <f t="shared" si="53"/>
        <v>1206554.4099999999</v>
      </c>
      <c r="E1219" s="301">
        <v>100000</v>
      </c>
      <c r="F1219" s="301">
        <v>263954.40999999997</v>
      </c>
      <c r="G1219" s="301">
        <v>0</v>
      </c>
      <c r="H1219" s="301">
        <v>0</v>
      </c>
      <c r="I1219" s="301">
        <v>0</v>
      </c>
      <c r="J1219" s="301">
        <v>0</v>
      </c>
      <c r="K1219" s="302">
        <v>0</v>
      </c>
      <c r="L1219" s="301">
        <v>0</v>
      </c>
      <c r="M1219" s="301">
        <v>0</v>
      </c>
      <c r="N1219" s="301">
        <v>0</v>
      </c>
      <c r="O1219" s="301">
        <v>842600</v>
      </c>
      <c r="P1219" s="301">
        <v>0</v>
      </c>
      <c r="Q1219" s="301">
        <v>0</v>
      </c>
      <c r="R1219" s="301">
        <v>0</v>
      </c>
      <c r="S1219" s="301">
        <v>0</v>
      </c>
      <c r="T1219" s="301">
        <v>0</v>
      </c>
      <c r="U1219" s="301">
        <v>0</v>
      </c>
      <c r="V1219" s="301">
        <v>0</v>
      </c>
      <c r="W1219" s="301">
        <v>0</v>
      </c>
      <c r="X1219" s="301">
        <v>0</v>
      </c>
      <c r="Y1219" s="301">
        <v>0</v>
      </c>
      <c r="Z1219" s="301">
        <v>0</v>
      </c>
      <c r="AA1219" s="301">
        <v>0</v>
      </c>
      <c r="AB1219" s="303">
        <v>2021</v>
      </c>
    </row>
    <row r="1220" spans="1:28" ht="35.25" customHeight="1" x14ac:dyDescent="0.5">
      <c r="B1220" s="300" t="s">
        <v>987</v>
      </c>
      <c r="C1220" s="300"/>
      <c r="D1220" s="296">
        <f t="shared" si="53"/>
        <v>105369982.60000001</v>
      </c>
      <c r="E1220" s="296">
        <f t="shared" ref="E1220:AA1220" si="54">SUM(E1221:E1296)</f>
        <v>3716432.3899999997</v>
      </c>
      <c r="F1220" s="296">
        <f t="shared" si="54"/>
        <v>3731217.0199999996</v>
      </c>
      <c r="G1220" s="296">
        <f t="shared" si="54"/>
        <v>8041974.5299999993</v>
      </c>
      <c r="H1220" s="296">
        <f t="shared" si="54"/>
        <v>1529188.57</v>
      </c>
      <c r="I1220" s="296">
        <f t="shared" si="54"/>
        <v>6272877.7999999998</v>
      </c>
      <c r="J1220" s="296">
        <f t="shared" si="54"/>
        <v>0</v>
      </c>
      <c r="K1220" s="297">
        <f t="shared" si="54"/>
        <v>15</v>
      </c>
      <c r="L1220" s="296">
        <f t="shared" si="54"/>
        <v>28985020</v>
      </c>
      <c r="M1220" s="296">
        <f t="shared" si="54"/>
        <v>31994946.48</v>
      </c>
      <c r="N1220" s="296">
        <f t="shared" si="54"/>
        <v>511946</v>
      </c>
      <c r="O1220" s="296">
        <f t="shared" si="54"/>
        <v>18896997.809999999</v>
      </c>
      <c r="P1220" s="296">
        <f t="shared" si="54"/>
        <v>1689382</v>
      </c>
      <c r="Q1220" s="296">
        <f t="shared" si="54"/>
        <v>0</v>
      </c>
      <c r="R1220" s="296">
        <f t="shared" si="54"/>
        <v>0</v>
      </c>
      <c r="S1220" s="296">
        <f t="shared" si="54"/>
        <v>0</v>
      </c>
      <c r="T1220" s="296">
        <f t="shared" si="54"/>
        <v>0</v>
      </c>
      <c r="U1220" s="296">
        <f t="shared" si="54"/>
        <v>0</v>
      </c>
      <c r="V1220" s="296">
        <f t="shared" si="54"/>
        <v>0</v>
      </c>
      <c r="W1220" s="296">
        <f t="shared" si="54"/>
        <v>0</v>
      </c>
      <c r="X1220" s="296">
        <f t="shared" si="54"/>
        <v>0</v>
      </c>
      <c r="Y1220" s="296">
        <f t="shared" si="54"/>
        <v>0</v>
      </c>
      <c r="Z1220" s="296">
        <f t="shared" si="54"/>
        <v>0</v>
      </c>
      <c r="AA1220" s="296">
        <f t="shared" si="54"/>
        <v>0</v>
      </c>
      <c r="AB1220" s="298" t="s">
        <v>835</v>
      </c>
    </row>
    <row r="1221" spans="1:28" ht="35.25" customHeight="1" x14ac:dyDescent="0.5">
      <c r="A1221">
        <v>1</v>
      </c>
      <c r="B1221" s="80">
        <f>SUBTOTAL(103,$A$808:A1221)</f>
        <v>412</v>
      </c>
      <c r="C1221" s="300" t="s">
        <v>2476</v>
      </c>
      <c r="D1221" s="296">
        <f t="shared" si="53"/>
        <v>616290.43000000005</v>
      </c>
      <c r="E1221" s="301">
        <v>225804.28</v>
      </c>
      <c r="F1221" s="301">
        <v>390486.15</v>
      </c>
      <c r="G1221" s="301">
        <v>0</v>
      </c>
      <c r="H1221" s="301">
        <v>0</v>
      </c>
      <c r="I1221" s="301">
        <v>0</v>
      </c>
      <c r="J1221" s="301">
        <v>0</v>
      </c>
      <c r="K1221" s="302">
        <v>0</v>
      </c>
      <c r="L1221" s="301">
        <v>0</v>
      </c>
      <c r="M1221" s="301">
        <v>0</v>
      </c>
      <c r="N1221" s="301">
        <v>0</v>
      </c>
      <c r="O1221" s="301">
        <v>0</v>
      </c>
      <c r="P1221" s="301">
        <v>0</v>
      </c>
      <c r="Q1221" s="301">
        <v>0</v>
      </c>
      <c r="R1221" s="301">
        <v>0</v>
      </c>
      <c r="S1221" s="301">
        <v>0</v>
      </c>
      <c r="T1221" s="301">
        <v>0</v>
      </c>
      <c r="U1221" s="301">
        <v>0</v>
      </c>
      <c r="V1221" s="301">
        <v>0</v>
      </c>
      <c r="W1221" s="301">
        <v>0</v>
      </c>
      <c r="X1221" s="301">
        <v>0</v>
      </c>
      <c r="Y1221" s="301">
        <v>0</v>
      </c>
      <c r="Z1221" s="301">
        <v>0</v>
      </c>
      <c r="AA1221" s="301">
        <v>0</v>
      </c>
      <c r="AB1221" s="303">
        <v>2021</v>
      </c>
    </row>
    <row r="1222" spans="1:28" ht="35.25" customHeight="1" x14ac:dyDescent="0.5">
      <c r="A1222">
        <v>1</v>
      </c>
      <c r="B1222" s="80">
        <f>SUBTOTAL(103,$A$808:A1222)</f>
        <v>413</v>
      </c>
      <c r="C1222" s="300" t="s">
        <v>2672</v>
      </c>
      <c r="D1222" s="296">
        <f t="shared" si="53"/>
        <v>1852000</v>
      </c>
      <c r="E1222" s="301">
        <v>0</v>
      </c>
      <c r="F1222" s="301">
        <v>0</v>
      </c>
      <c r="G1222" s="301">
        <v>0</v>
      </c>
      <c r="H1222" s="301">
        <v>0</v>
      </c>
      <c r="I1222" s="301">
        <v>0</v>
      </c>
      <c r="J1222" s="301">
        <v>0</v>
      </c>
      <c r="K1222" s="302">
        <v>1</v>
      </c>
      <c r="L1222" s="301">
        <v>1852000</v>
      </c>
      <c r="M1222" s="301">
        <v>0</v>
      </c>
      <c r="N1222" s="301">
        <v>0</v>
      </c>
      <c r="O1222" s="304">
        <v>0</v>
      </c>
      <c r="P1222" s="301">
        <v>0</v>
      </c>
      <c r="Q1222" s="301">
        <v>0</v>
      </c>
      <c r="R1222" s="301">
        <v>0</v>
      </c>
      <c r="S1222" s="301">
        <v>0</v>
      </c>
      <c r="T1222" s="301">
        <v>0</v>
      </c>
      <c r="U1222" s="301">
        <v>0</v>
      </c>
      <c r="V1222" s="301">
        <v>0</v>
      </c>
      <c r="W1222" s="301">
        <v>0</v>
      </c>
      <c r="X1222" s="301">
        <v>0</v>
      </c>
      <c r="Y1222" s="301">
        <v>0</v>
      </c>
      <c r="Z1222" s="301">
        <v>0</v>
      </c>
      <c r="AA1222" s="301">
        <v>0</v>
      </c>
      <c r="AB1222" s="303">
        <v>2021</v>
      </c>
    </row>
    <row r="1223" spans="1:28" ht="35.25" customHeight="1" x14ac:dyDescent="0.5">
      <c r="A1223">
        <v>1</v>
      </c>
      <c r="B1223" s="80">
        <f>SUBTOTAL(103,$A$808:A1223)</f>
        <v>414</v>
      </c>
      <c r="C1223" s="300" t="s">
        <v>2673</v>
      </c>
      <c r="D1223" s="296">
        <f t="shared" si="53"/>
        <v>494953</v>
      </c>
      <c r="E1223" s="301">
        <v>0</v>
      </c>
      <c r="F1223" s="301">
        <v>0</v>
      </c>
      <c r="G1223" s="301">
        <v>0</v>
      </c>
      <c r="H1223" s="301">
        <v>0</v>
      </c>
      <c r="I1223" s="301">
        <v>0</v>
      </c>
      <c r="J1223" s="301">
        <v>0</v>
      </c>
      <c r="K1223" s="302">
        <v>0</v>
      </c>
      <c r="L1223" s="301">
        <v>0</v>
      </c>
      <c r="M1223" s="301">
        <v>494953</v>
      </c>
      <c r="N1223" s="301">
        <v>0</v>
      </c>
      <c r="O1223" s="301">
        <v>0</v>
      </c>
      <c r="P1223" s="301">
        <v>0</v>
      </c>
      <c r="Q1223" s="301">
        <v>0</v>
      </c>
      <c r="R1223" s="301">
        <v>0</v>
      </c>
      <c r="S1223" s="301">
        <v>0</v>
      </c>
      <c r="T1223" s="301">
        <v>0</v>
      </c>
      <c r="U1223" s="301">
        <v>0</v>
      </c>
      <c r="V1223" s="301">
        <v>0</v>
      </c>
      <c r="W1223" s="301">
        <v>0</v>
      </c>
      <c r="X1223" s="301">
        <v>0</v>
      </c>
      <c r="Y1223" s="301">
        <v>0</v>
      </c>
      <c r="Z1223" s="301">
        <v>0</v>
      </c>
      <c r="AA1223" s="301">
        <v>0</v>
      </c>
      <c r="AB1223" s="303">
        <v>2021</v>
      </c>
    </row>
    <row r="1224" spans="1:28" ht="35.25" customHeight="1" x14ac:dyDescent="0.5">
      <c r="A1224">
        <v>1</v>
      </c>
      <c r="B1224" s="80">
        <f>SUBTOTAL(103,$A$808:A1224)</f>
        <v>415</v>
      </c>
      <c r="C1224" s="300" t="s">
        <v>1748</v>
      </c>
      <c r="D1224" s="296">
        <f t="shared" si="53"/>
        <v>1877941</v>
      </c>
      <c r="E1224" s="301">
        <v>0</v>
      </c>
      <c r="F1224" s="301">
        <v>0</v>
      </c>
      <c r="G1224" s="301">
        <v>0</v>
      </c>
      <c r="H1224" s="301">
        <v>0</v>
      </c>
      <c r="I1224" s="301">
        <v>0</v>
      </c>
      <c r="J1224" s="301">
        <v>0</v>
      </c>
      <c r="K1224" s="302">
        <v>0</v>
      </c>
      <c r="L1224" s="301">
        <v>0</v>
      </c>
      <c r="M1224" s="301">
        <v>1877941</v>
      </c>
      <c r="N1224" s="301">
        <v>0</v>
      </c>
      <c r="O1224" s="301">
        <v>0</v>
      </c>
      <c r="P1224" s="301">
        <v>0</v>
      </c>
      <c r="Q1224" s="301">
        <v>0</v>
      </c>
      <c r="R1224" s="301">
        <v>0</v>
      </c>
      <c r="S1224" s="301">
        <v>0</v>
      </c>
      <c r="T1224" s="301">
        <v>0</v>
      </c>
      <c r="U1224" s="301">
        <v>0</v>
      </c>
      <c r="V1224" s="301">
        <v>0</v>
      </c>
      <c r="W1224" s="301">
        <v>0</v>
      </c>
      <c r="X1224" s="301">
        <v>0</v>
      </c>
      <c r="Y1224" s="301">
        <v>0</v>
      </c>
      <c r="Z1224" s="301">
        <v>0</v>
      </c>
      <c r="AA1224" s="301">
        <v>0</v>
      </c>
      <c r="AB1224" s="303">
        <v>2021</v>
      </c>
    </row>
    <row r="1225" spans="1:28" ht="35.25" customHeight="1" x14ac:dyDescent="0.5">
      <c r="A1225">
        <v>1</v>
      </c>
      <c r="B1225" s="80">
        <f>SUBTOTAL(103,$A$808:A1225)</f>
        <v>416</v>
      </c>
      <c r="C1225" s="300" t="s">
        <v>2674</v>
      </c>
      <c r="D1225" s="296">
        <f t="shared" ref="D1225:D1288" si="55">E1225+F1225+G1225+H1225+I1225+J1225+L1225+M1225+N1225+O1225+P1225+Q1225+R1225+S1225+T1225+U1225+V1225+W1225+X1225+Y1225+Z1225+AA1225</f>
        <v>1681088</v>
      </c>
      <c r="E1225" s="301">
        <v>0</v>
      </c>
      <c r="F1225" s="301">
        <v>0</v>
      </c>
      <c r="G1225" s="301">
        <v>0</v>
      </c>
      <c r="H1225" s="301">
        <v>0</v>
      </c>
      <c r="I1225" s="301">
        <v>0</v>
      </c>
      <c r="J1225" s="301">
        <v>0</v>
      </c>
      <c r="K1225" s="302">
        <v>0</v>
      </c>
      <c r="L1225" s="301">
        <v>0</v>
      </c>
      <c r="M1225" s="301">
        <v>1681088</v>
      </c>
      <c r="N1225" s="301">
        <v>0</v>
      </c>
      <c r="O1225" s="301">
        <v>0</v>
      </c>
      <c r="P1225" s="301">
        <v>0</v>
      </c>
      <c r="Q1225" s="301">
        <v>0</v>
      </c>
      <c r="R1225" s="301">
        <v>0</v>
      </c>
      <c r="S1225" s="301">
        <v>0</v>
      </c>
      <c r="T1225" s="301">
        <v>0</v>
      </c>
      <c r="U1225" s="301">
        <v>0</v>
      </c>
      <c r="V1225" s="301">
        <v>0</v>
      </c>
      <c r="W1225" s="301">
        <v>0</v>
      </c>
      <c r="X1225" s="301">
        <v>0</v>
      </c>
      <c r="Y1225" s="301">
        <v>0</v>
      </c>
      <c r="Z1225" s="301">
        <v>0</v>
      </c>
      <c r="AA1225" s="301">
        <v>0</v>
      </c>
      <c r="AB1225" s="303">
        <v>2021</v>
      </c>
    </row>
    <row r="1226" spans="1:28" ht="35.25" customHeight="1" x14ac:dyDescent="0.5">
      <c r="A1226">
        <v>1</v>
      </c>
      <c r="B1226" s="80">
        <f>SUBTOTAL(103,$A$808:A1226)</f>
        <v>417</v>
      </c>
      <c r="C1226" s="300" t="s">
        <v>2675</v>
      </c>
      <c r="D1226" s="296">
        <f t="shared" si="55"/>
        <v>1254910</v>
      </c>
      <c r="E1226" s="301">
        <v>0</v>
      </c>
      <c r="F1226" s="301">
        <v>0</v>
      </c>
      <c r="G1226" s="301">
        <v>0</v>
      </c>
      <c r="H1226" s="301">
        <v>0</v>
      </c>
      <c r="I1226" s="301">
        <v>0</v>
      </c>
      <c r="J1226" s="301">
        <v>0</v>
      </c>
      <c r="K1226" s="302">
        <v>0</v>
      </c>
      <c r="L1226" s="301">
        <v>0</v>
      </c>
      <c r="M1226" s="301">
        <v>1254910</v>
      </c>
      <c r="N1226" s="301">
        <v>0</v>
      </c>
      <c r="O1226" s="301">
        <v>0</v>
      </c>
      <c r="P1226" s="301">
        <v>0</v>
      </c>
      <c r="Q1226" s="301">
        <v>0</v>
      </c>
      <c r="R1226" s="301">
        <v>0</v>
      </c>
      <c r="S1226" s="301">
        <v>0</v>
      </c>
      <c r="T1226" s="301">
        <v>0</v>
      </c>
      <c r="U1226" s="301">
        <v>0</v>
      </c>
      <c r="V1226" s="301">
        <v>0</v>
      </c>
      <c r="W1226" s="301">
        <v>0</v>
      </c>
      <c r="X1226" s="301">
        <v>0</v>
      </c>
      <c r="Y1226" s="301">
        <v>0</v>
      </c>
      <c r="Z1226" s="301">
        <v>0</v>
      </c>
      <c r="AA1226" s="301">
        <v>0</v>
      </c>
      <c r="AB1226" s="303">
        <v>2021</v>
      </c>
    </row>
    <row r="1227" spans="1:28" ht="35.25" customHeight="1" x14ac:dyDescent="0.5">
      <c r="A1227">
        <v>1</v>
      </c>
      <c r="B1227" s="80">
        <f>SUBTOTAL(103,$A$808:A1227)</f>
        <v>418</v>
      </c>
      <c r="C1227" s="300" t="s">
        <v>2427</v>
      </c>
      <c r="D1227" s="296">
        <f t="shared" si="55"/>
        <v>134128.20000000001</v>
      </c>
      <c r="E1227" s="301">
        <v>0</v>
      </c>
      <c r="F1227" s="301">
        <v>0</v>
      </c>
      <c r="G1227" s="301">
        <v>0</v>
      </c>
      <c r="H1227" s="301">
        <v>0</v>
      </c>
      <c r="I1227" s="301">
        <v>0</v>
      </c>
      <c r="J1227" s="301">
        <v>0</v>
      </c>
      <c r="K1227" s="302">
        <v>0</v>
      </c>
      <c r="L1227" s="301">
        <v>0</v>
      </c>
      <c r="M1227" s="301">
        <v>134128.20000000001</v>
      </c>
      <c r="N1227" s="301">
        <v>0</v>
      </c>
      <c r="O1227" s="301">
        <v>0</v>
      </c>
      <c r="P1227" s="301">
        <v>0</v>
      </c>
      <c r="Q1227" s="301">
        <v>0</v>
      </c>
      <c r="R1227" s="301">
        <v>0</v>
      </c>
      <c r="S1227" s="301">
        <v>0</v>
      </c>
      <c r="T1227" s="301">
        <v>0</v>
      </c>
      <c r="U1227" s="301">
        <v>0</v>
      </c>
      <c r="V1227" s="301">
        <v>0</v>
      </c>
      <c r="W1227" s="301">
        <v>0</v>
      </c>
      <c r="X1227" s="301">
        <v>0</v>
      </c>
      <c r="Y1227" s="301">
        <v>0</v>
      </c>
      <c r="Z1227" s="301">
        <v>0</v>
      </c>
      <c r="AA1227" s="301">
        <v>0</v>
      </c>
      <c r="AB1227" s="303">
        <v>2021</v>
      </c>
    </row>
    <row r="1228" spans="1:28" ht="35.25" customHeight="1" x14ac:dyDescent="0.5">
      <c r="A1228">
        <v>1</v>
      </c>
      <c r="B1228" s="80">
        <f>SUBTOTAL(103,$A$808:A1228)</f>
        <v>419</v>
      </c>
      <c r="C1228" s="300" t="s">
        <v>2710</v>
      </c>
      <c r="D1228" s="296">
        <f t="shared" si="55"/>
        <v>1036870</v>
      </c>
      <c r="E1228" s="301">
        <v>0</v>
      </c>
      <c r="F1228" s="301">
        <v>0</v>
      </c>
      <c r="G1228" s="301">
        <v>0</v>
      </c>
      <c r="H1228" s="301">
        <v>0</v>
      </c>
      <c r="I1228" s="301">
        <v>0</v>
      </c>
      <c r="J1228" s="301">
        <v>0</v>
      </c>
      <c r="K1228" s="302">
        <v>0</v>
      </c>
      <c r="L1228" s="301">
        <v>0</v>
      </c>
      <c r="M1228" s="301">
        <v>0</v>
      </c>
      <c r="N1228" s="301">
        <v>0</v>
      </c>
      <c r="O1228" s="301">
        <v>1036870</v>
      </c>
      <c r="P1228" s="301">
        <v>0</v>
      </c>
      <c r="Q1228" s="301">
        <v>0</v>
      </c>
      <c r="R1228" s="301">
        <v>0</v>
      </c>
      <c r="S1228" s="301">
        <v>0</v>
      </c>
      <c r="T1228" s="301">
        <v>0</v>
      </c>
      <c r="U1228" s="301">
        <v>0</v>
      </c>
      <c r="V1228" s="301">
        <v>0</v>
      </c>
      <c r="W1228" s="301">
        <v>0</v>
      </c>
      <c r="X1228" s="301">
        <v>0</v>
      </c>
      <c r="Y1228" s="301">
        <v>0</v>
      </c>
      <c r="Z1228" s="301">
        <v>0</v>
      </c>
      <c r="AA1228" s="301">
        <v>0</v>
      </c>
      <c r="AB1228" s="303">
        <v>2021</v>
      </c>
    </row>
    <row r="1229" spans="1:28" ht="35.25" customHeight="1" x14ac:dyDescent="0.5">
      <c r="A1229">
        <v>1</v>
      </c>
      <c r="B1229" s="80">
        <f>SUBTOTAL(103,$A$808:A1229)</f>
        <v>420</v>
      </c>
      <c r="C1229" s="300" t="s">
        <v>2046</v>
      </c>
      <c r="D1229" s="296">
        <f t="shared" si="55"/>
        <v>9000</v>
      </c>
      <c r="E1229" s="301">
        <v>0</v>
      </c>
      <c r="F1229" s="301">
        <v>0</v>
      </c>
      <c r="G1229" s="301">
        <v>9000</v>
      </c>
      <c r="H1229" s="301">
        <v>0</v>
      </c>
      <c r="I1229" s="301">
        <v>0</v>
      </c>
      <c r="J1229" s="301">
        <v>0</v>
      </c>
      <c r="K1229" s="302">
        <v>0</v>
      </c>
      <c r="L1229" s="301">
        <v>0</v>
      </c>
      <c r="M1229" s="301">
        <v>0</v>
      </c>
      <c r="N1229" s="301">
        <v>0</v>
      </c>
      <c r="O1229" s="301">
        <v>0</v>
      </c>
      <c r="P1229" s="301">
        <v>0</v>
      </c>
      <c r="Q1229" s="301">
        <v>0</v>
      </c>
      <c r="R1229" s="301">
        <v>0</v>
      </c>
      <c r="S1229" s="301">
        <v>0</v>
      </c>
      <c r="T1229" s="301">
        <v>0</v>
      </c>
      <c r="U1229" s="301">
        <v>0</v>
      </c>
      <c r="V1229" s="301">
        <v>0</v>
      </c>
      <c r="W1229" s="301">
        <v>0</v>
      </c>
      <c r="X1229" s="301">
        <v>0</v>
      </c>
      <c r="Y1229" s="301">
        <v>0</v>
      </c>
      <c r="Z1229" s="301">
        <v>0</v>
      </c>
      <c r="AA1229" s="301">
        <v>0</v>
      </c>
      <c r="AB1229" s="303">
        <v>2021</v>
      </c>
    </row>
    <row r="1230" spans="1:28" ht="35.25" customHeight="1" x14ac:dyDescent="0.5">
      <c r="A1230">
        <v>1</v>
      </c>
      <c r="B1230" s="80">
        <f>SUBTOTAL(103,$A$808:A1230)</f>
        <v>421</v>
      </c>
      <c r="C1230" s="300" t="s">
        <v>2801</v>
      </c>
      <c r="D1230" s="296">
        <f t="shared" si="55"/>
        <v>5556000</v>
      </c>
      <c r="E1230" s="301">
        <v>0</v>
      </c>
      <c r="F1230" s="301">
        <v>0</v>
      </c>
      <c r="G1230" s="301">
        <v>0</v>
      </c>
      <c r="H1230" s="301">
        <v>0</v>
      </c>
      <c r="I1230" s="301">
        <v>0</v>
      </c>
      <c r="J1230" s="301">
        <v>0</v>
      </c>
      <c r="K1230" s="302">
        <v>3</v>
      </c>
      <c r="L1230" s="301">
        <v>5556000</v>
      </c>
      <c r="M1230" s="301">
        <v>0</v>
      </c>
      <c r="N1230" s="301">
        <v>0</v>
      </c>
      <c r="O1230" s="301">
        <v>0</v>
      </c>
      <c r="P1230" s="301">
        <v>0</v>
      </c>
      <c r="Q1230" s="301">
        <v>0</v>
      </c>
      <c r="R1230" s="301">
        <v>0</v>
      </c>
      <c r="S1230" s="301">
        <v>0</v>
      </c>
      <c r="T1230" s="301">
        <v>0</v>
      </c>
      <c r="U1230" s="301">
        <v>0</v>
      </c>
      <c r="V1230" s="301">
        <v>0</v>
      </c>
      <c r="W1230" s="301">
        <v>0</v>
      </c>
      <c r="X1230" s="301">
        <v>0</v>
      </c>
      <c r="Y1230" s="301">
        <v>0</v>
      </c>
      <c r="Z1230" s="301">
        <v>0</v>
      </c>
      <c r="AA1230" s="301">
        <v>0</v>
      </c>
      <c r="AB1230" s="303">
        <v>2021</v>
      </c>
    </row>
    <row r="1231" spans="1:28" ht="35.25" customHeight="1" x14ac:dyDescent="0.5">
      <c r="A1231">
        <v>1</v>
      </c>
      <c r="B1231" s="80">
        <f>SUBTOTAL(103,$A$808:A1231)</f>
        <v>422</v>
      </c>
      <c r="C1231" s="300" t="s">
        <v>2050</v>
      </c>
      <c r="D1231" s="296">
        <f t="shared" si="55"/>
        <v>347000</v>
      </c>
      <c r="E1231" s="301">
        <v>0</v>
      </c>
      <c r="F1231" s="301">
        <v>0</v>
      </c>
      <c r="G1231" s="301">
        <v>0</v>
      </c>
      <c r="H1231" s="301">
        <v>0</v>
      </c>
      <c r="I1231" s="301">
        <v>0</v>
      </c>
      <c r="J1231" s="301">
        <v>0</v>
      </c>
      <c r="K1231" s="302">
        <v>0</v>
      </c>
      <c r="L1231" s="301">
        <v>0</v>
      </c>
      <c r="M1231" s="301">
        <f>257000+90000</f>
        <v>347000</v>
      </c>
      <c r="N1231" s="301">
        <v>0</v>
      </c>
      <c r="O1231" s="301">
        <v>0</v>
      </c>
      <c r="P1231" s="301">
        <v>0</v>
      </c>
      <c r="Q1231" s="301">
        <v>0</v>
      </c>
      <c r="R1231" s="301">
        <v>0</v>
      </c>
      <c r="S1231" s="301">
        <v>0</v>
      </c>
      <c r="T1231" s="301">
        <v>0</v>
      </c>
      <c r="U1231" s="301">
        <v>0</v>
      </c>
      <c r="V1231" s="301">
        <v>0</v>
      </c>
      <c r="W1231" s="301">
        <v>0</v>
      </c>
      <c r="X1231" s="301">
        <v>0</v>
      </c>
      <c r="Y1231" s="301">
        <v>0</v>
      </c>
      <c r="Z1231" s="301">
        <v>0</v>
      </c>
      <c r="AA1231" s="301">
        <v>0</v>
      </c>
      <c r="AB1231" s="303">
        <v>2021</v>
      </c>
    </row>
    <row r="1232" spans="1:28" ht="35.25" customHeight="1" x14ac:dyDescent="0.5">
      <c r="A1232">
        <v>1</v>
      </c>
      <c r="B1232" s="80">
        <f>SUBTOTAL(103,$A$808:A1232)</f>
        <v>423</v>
      </c>
      <c r="C1232" s="300" t="s">
        <v>2424</v>
      </c>
      <c r="D1232" s="296">
        <f t="shared" si="55"/>
        <v>2147745</v>
      </c>
      <c r="E1232" s="301">
        <v>0</v>
      </c>
      <c r="F1232" s="301">
        <v>0</v>
      </c>
      <c r="G1232" s="301">
        <v>0</v>
      </c>
      <c r="H1232" s="301">
        <v>56615</v>
      </c>
      <c r="I1232" s="301">
        <v>1704530</v>
      </c>
      <c r="J1232" s="301">
        <v>0</v>
      </c>
      <c r="K1232" s="302">
        <v>0</v>
      </c>
      <c r="L1232" s="301">
        <v>0</v>
      </c>
      <c r="M1232" s="301">
        <v>0</v>
      </c>
      <c r="N1232" s="301">
        <v>0</v>
      </c>
      <c r="O1232" s="301">
        <v>386600</v>
      </c>
      <c r="P1232" s="301">
        <v>0</v>
      </c>
      <c r="Q1232" s="301">
        <v>0</v>
      </c>
      <c r="R1232" s="301">
        <v>0</v>
      </c>
      <c r="S1232" s="301">
        <v>0</v>
      </c>
      <c r="T1232" s="301">
        <v>0</v>
      </c>
      <c r="U1232" s="301">
        <v>0</v>
      </c>
      <c r="V1232" s="301">
        <v>0</v>
      </c>
      <c r="W1232" s="301">
        <v>0</v>
      </c>
      <c r="X1232" s="301">
        <v>0</v>
      </c>
      <c r="Y1232" s="301">
        <v>0</v>
      </c>
      <c r="Z1232" s="301">
        <v>0</v>
      </c>
      <c r="AA1232" s="301">
        <v>0</v>
      </c>
      <c r="AB1232" s="303">
        <v>2021</v>
      </c>
    </row>
    <row r="1233" spans="1:28" ht="35.25" customHeight="1" x14ac:dyDescent="0.5">
      <c r="A1233">
        <v>1</v>
      </c>
      <c r="B1233" s="80">
        <f>SUBTOTAL(103,$A$808:A1233)</f>
        <v>424</v>
      </c>
      <c r="C1233" s="300" t="s">
        <v>2054</v>
      </c>
      <c r="D1233" s="296">
        <f t="shared" si="55"/>
        <v>458134</v>
      </c>
      <c r="E1233" s="301">
        <v>0</v>
      </c>
      <c r="F1233" s="301">
        <v>0</v>
      </c>
      <c r="G1233" s="301">
        <v>320018</v>
      </c>
      <c r="H1233" s="301">
        <v>138116</v>
      </c>
      <c r="I1233" s="301">
        <v>0</v>
      </c>
      <c r="J1233" s="301">
        <v>0</v>
      </c>
      <c r="K1233" s="302">
        <v>0</v>
      </c>
      <c r="L1233" s="301">
        <v>0</v>
      </c>
      <c r="M1233" s="301">
        <v>0</v>
      </c>
      <c r="N1233" s="301">
        <v>0</v>
      </c>
      <c r="O1233" s="301">
        <v>0</v>
      </c>
      <c r="P1233" s="301">
        <v>0</v>
      </c>
      <c r="Q1233" s="301">
        <v>0</v>
      </c>
      <c r="R1233" s="301">
        <v>0</v>
      </c>
      <c r="S1233" s="301">
        <v>0</v>
      </c>
      <c r="T1233" s="301">
        <v>0</v>
      </c>
      <c r="U1233" s="301">
        <v>0</v>
      </c>
      <c r="V1233" s="301">
        <v>0</v>
      </c>
      <c r="W1233" s="301">
        <v>0</v>
      </c>
      <c r="X1233" s="301">
        <v>0</v>
      </c>
      <c r="Y1233" s="301">
        <v>0</v>
      </c>
      <c r="Z1233" s="301">
        <v>0</v>
      </c>
      <c r="AA1233" s="301">
        <v>0</v>
      </c>
      <c r="AB1233" s="303">
        <v>2021</v>
      </c>
    </row>
    <row r="1234" spans="1:28" ht="35.25" customHeight="1" x14ac:dyDescent="0.5">
      <c r="A1234">
        <v>1</v>
      </c>
      <c r="B1234" s="80">
        <f>SUBTOTAL(103,$A$808:A1234)</f>
        <v>425</v>
      </c>
      <c r="C1234" s="300" t="s">
        <v>2425</v>
      </c>
      <c r="D1234" s="296">
        <f t="shared" si="55"/>
        <v>187107</v>
      </c>
      <c r="E1234" s="301">
        <v>0</v>
      </c>
      <c r="F1234" s="301">
        <v>0</v>
      </c>
      <c r="G1234" s="301">
        <v>0</v>
      </c>
      <c r="H1234" s="301">
        <v>17350</v>
      </c>
      <c r="I1234" s="301">
        <v>0</v>
      </c>
      <c r="J1234" s="301">
        <v>0</v>
      </c>
      <c r="K1234" s="302">
        <v>0</v>
      </c>
      <c r="L1234" s="301">
        <v>0</v>
      </c>
      <c r="M1234" s="301">
        <v>169757</v>
      </c>
      <c r="N1234" s="301">
        <v>0</v>
      </c>
      <c r="O1234" s="301">
        <v>0</v>
      </c>
      <c r="P1234" s="301">
        <v>0</v>
      </c>
      <c r="Q1234" s="301">
        <v>0</v>
      </c>
      <c r="R1234" s="301">
        <v>0</v>
      </c>
      <c r="S1234" s="301">
        <v>0</v>
      </c>
      <c r="T1234" s="301">
        <v>0</v>
      </c>
      <c r="U1234" s="301">
        <v>0</v>
      </c>
      <c r="V1234" s="301">
        <v>0</v>
      </c>
      <c r="W1234" s="301">
        <v>0</v>
      </c>
      <c r="X1234" s="301">
        <v>0</v>
      </c>
      <c r="Y1234" s="301">
        <v>0</v>
      </c>
      <c r="Z1234" s="301">
        <v>0</v>
      </c>
      <c r="AA1234" s="301">
        <v>0</v>
      </c>
      <c r="AB1234" s="303">
        <v>2021</v>
      </c>
    </row>
    <row r="1235" spans="1:28" ht="35.25" customHeight="1" x14ac:dyDescent="0.5">
      <c r="A1235">
        <v>1</v>
      </c>
      <c r="B1235" s="80">
        <f>SUBTOTAL(103,$A$808:A1235)</f>
        <v>426</v>
      </c>
      <c r="C1235" s="300" t="s">
        <v>2426</v>
      </c>
      <c r="D1235" s="296">
        <f t="shared" si="55"/>
        <v>2237020</v>
      </c>
      <c r="E1235" s="301">
        <v>0</v>
      </c>
      <c r="F1235" s="301">
        <v>0</v>
      </c>
      <c r="G1235" s="301">
        <v>0</v>
      </c>
      <c r="H1235" s="301">
        <v>0</v>
      </c>
      <c r="I1235" s="301">
        <v>0</v>
      </c>
      <c r="J1235" s="301">
        <v>0</v>
      </c>
      <c r="K1235" s="302">
        <v>1</v>
      </c>
      <c r="L1235" s="301">
        <v>2237020</v>
      </c>
      <c r="M1235" s="301">
        <v>0</v>
      </c>
      <c r="N1235" s="301">
        <v>0</v>
      </c>
      <c r="O1235" s="301">
        <v>0</v>
      </c>
      <c r="P1235" s="301">
        <v>0</v>
      </c>
      <c r="Q1235" s="301">
        <v>0</v>
      </c>
      <c r="R1235" s="301">
        <v>0</v>
      </c>
      <c r="S1235" s="301">
        <v>0</v>
      </c>
      <c r="T1235" s="301">
        <v>0</v>
      </c>
      <c r="U1235" s="301">
        <v>0</v>
      </c>
      <c r="V1235" s="301">
        <v>0</v>
      </c>
      <c r="W1235" s="301">
        <v>0</v>
      </c>
      <c r="X1235" s="301">
        <v>0</v>
      </c>
      <c r="Y1235" s="301">
        <v>0</v>
      </c>
      <c r="Z1235" s="301">
        <v>0</v>
      </c>
      <c r="AA1235" s="301">
        <v>0</v>
      </c>
      <c r="AB1235" s="303">
        <v>2021</v>
      </c>
    </row>
    <row r="1236" spans="1:28" ht="35.25" customHeight="1" x14ac:dyDescent="0.5">
      <c r="A1236">
        <v>1</v>
      </c>
      <c r="B1236" s="80">
        <f>SUBTOTAL(103,$A$808:A1236)</f>
        <v>427</v>
      </c>
      <c r="C1236" s="300" t="s">
        <v>2057</v>
      </c>
      <c r="D1236" s="296">
        <f t="shared" si="55"/>
        <v>234400</v>
      </c>
      <c r="E1236" s="301">
        <v>0</v>
      </c>
      <c r="F1236" s="301">
        <v>0</v>
      </c>
      <c r="G1236" s="301">
        <v>0</v>
      </c>
      <c r="H1236" s="301">
        <v>0</v>
      </c>
      <c r="I1236" s="301">
        <v>0</v>
      </c>
      <c r="J1236" s="301">
        <v>0</v>
      </c>
      <c r="K1236" s="302">
        <v>0</v>
      </c>
      <c r="L1236" s="301">
        <v>0</v>
      </c>
      <c r="M1236" s="301">
        <v>0</v>
      </c>
      <c r="N1236" s="301">
        <v>0</v>
      </c>
      <c r="O1236" s="301">
        <v>234400</v>
      </c>
      <c r="P1236" s="301">
        <v>0</v>
      </c>
      <c r="Q1236" s="301">
        <v>0</v>
      </c>
      <c r="R1236" s="301">
        <v>0</v>
      </c>
      <c r="S1236" s="301">
        <v>0</v>
      </c>
      <c r="T1236" s="301">
        <v>0</v>
      </c>
      <c r="U1236" s="301">
        <v>0</v>
      </c>
      <c r="V1236" s="301">
        <v>0</v>
      </c>
      <c r="W1236" s="301">
        <v>0</v>
      </c>
      <c r="X1236" s="301">
        <v>0</v>
      </c>
      <c r="Y1236" s="301">
        <v>0</v>
      </c>
      <c r="Z1236" s="301">
        <v>0</v>
      </c>
      <c r="AA1236" s="301">
        <v>0</v>
      </c>
      <c r="AB1236" s="303">
        <v>2021</v>
      </c>
    </row>
    <row r="1237" spans="1:28" ht="35.25" customHeight="1" x14ac:dyDescent="0.5">
      <c r="A1237">
        <v>1</v>
      </c>
      <c r="B1237" s="80">
        <f>SUBTOTAL(103,$A$808:A1237)</f>
        <v>428</v>
      </c>
      <c r="C1237" s="300" t="s">
        <v>2802</v>
      </c>
      <c r="D1237" s="296">
        <f t="shared" si="55"/>
        <v>674818.9</v>
      </c>
      <c r="E1237" s="301">
        <v>0</v>
      </c>
      <c r="F1237" s="301">
        <v>0</v>
      </c>
      <c r="G1237" s="301">
        <v>0</v>
      </c>
      <c r="H1237" s="301">
        <v>0</v>
      </c>
      <c r="I1237" s="301">
        <v>0</v>
      </c>
      <c r="J1237" s="301">
        <v>0</v>
      </c>
      <c r="K1237" s="302">
        <v>0</v>
      </c>
      <c r="L1237" s="301">
        <v>0</v>
      </c>
      <c r="M1237" s="301">
        <v>674818.9</v>
      </c>
      <c r="N1237" s="301">
        <v>0</v>
      </c>
      <c r="O1237" s="301">
        <v>0</v>
      </c>
      <c r="P1237" s="301">
        <v>0</v>
      </c>
      <c r="Q1237" s="301">
        <v>0</v>
      </c>
      <c r="R1237" s="301">
        <v>0</v>
      </c>
      <c r="S1237" s="301">
        <v>0</v>
      </c>
      <c r="T1237" s="301">
        <v>0</v>
      </c>
      <c r="U1237" s="301">
        <v>0</v>
      </c>
      <c r="V1237" s="301">
        <v>0</v>
      </c>
      <c r="W1237" s="301">
        <v>0</v>
      </c>
      <c r="X1237" s="301">
        <v>0</v>
      </c>
      <c r="Y1237" s="301">
        <v>0</v>
      </c>
      <c r="Z1237" s="301">
        <v>0</v>
      </c>
      <c r="AA1237" s="301">
        <v>0</v>
      </c>
      <c r="AB1237" s="303">
        <v>2021</v>
      </c>
    </row>
    <row r="1238" spans="1:28" ht="35.25" customHeight="1" x14ac:dyDescent="0.5">
      <c r="A1238">
        <v>1</v>
      </c>
      <c r="B1238" s="80">
        <f>SUBTOTAL(103,$A$808:A1238)</f>
        <v>429</v>
      </c>
      <c r="C1238" s="300" t="s">
        <v>2803</v>
      </c>
      <c r="D1238" s="296">
        <f t="shared" si="55"/>
        <v>2977431.1799999997</v>
      </c>
      <c r="E1238" s="301">
        <v>0</v>
      </c>
      <c r="F1238" s="301">
        <v>0</v>
      </c>
      <c r="G1238" s="301">
        <v>0</v>
      </c>
      <c r="H1238" s="301">
        <v>0</v>
      </c>
      <c r="I1238" s="301">
        <v>0</v>
      </c>
      <c r="J1238" s="301">
        <v>0</v>
      </c>
      <c r="K1238" s="302">
        <v>0</v>
      </c>
      <c r="L1238" s="301">
        <v>0</v>
      </c>
      <c r="M1238" s="301">
        <v>2977431.1799999997</v>
      </c>
      <c r="N1238" s="301">
        <v>0</v>
      </c>
      <c r="O1238" s="301">
        <v>0</v>
      </c>
      <c r="P1238" s="301">
        <v>0</v>
      </c>
      <c r="Q1238" s="301">
        <v>0</v>
      </c>
      <c r="R1238" s="301">
        <v>0</v>
      </c>
      <c r="S1238" s="301">
        <v>0</v>
      </c>
      <c r="T1238" s="301">
        <v>0</v>
      </c>
      <c r="U1238" s="301">
        <v>0</v>
      </c>
      <c r="V1238" s="301">
        <v>0</v>
      </c>
      <c r="W1238" s="301">
        <v>0</v>
      </c>
      <c r="X1238" s="301">
        <v>0</v>
      </c>
      <c r="Y1238" s="301">
        <v>0</v>
      </c>
      <c r="Z1238" s="301">
        <v>0</v>
      </c>
      <c r="AA1238" s="301">
        <v>0</v>
      </c>
      <c r="AB1238" s="303">
        <v>2021</v>
      </c>
    </row>
    <row r="1239" spans="1:28" ht="35.25" customHeight="1" x14ac:dyDescent="0.5">
      <c r="A1239">
        <v>1</v>
      </c>
      <c r="B1239" s="80">
        <f>SUBTOTAL(103,$A$808:A1239)</f>
        <v>430</v>
      </c>
      <c r="C1239" s="300" t="s">
        <v>2420</v>
      </c>
      <c r="D1239" s="296">
        <f t="shared" si="55"/>
        <v>437980</v>
      </c>
      <c r="E1239" s="301">
        <v>0</v>
      </c>
      <c r="F1239" s="301">
        <v>0</v>
      </c>
      <c r="G1239" s="301">
        <v>0</v>
      </c>
      <c r="H1239" s="301">
        <v>0</v>
      </c>
      <c r="I1239" s="301">
        <v>437980</v>
      </c>
      <c r="J1239" s="301">
        <v>0</v>
      </c>
      <c r="K1239" s="302">
        <v>0</v>
      </c>
      <c r="L1239" s="301">
        <v>0</v>
      </c>
      <c r="M1239" s="301">
        <v>0</v>
      </c>
      <c r="N1239" s="301">
        <v>0</v>
      </c>
      <c r="O1239" s="301">
        <v>0</v>
      </c>
      <c r="P1239" s="301">
        <v>0</v>
      </c>
      <c r="Q1239" s="301">
        <v>0</v>
      </c>
      <c r="R1239" s="301">
        <v>0</v>
      </c>
      <c r="S1239" s="301">
        <v>0</v>
      </c>
      <c r="T1239" s="301">
        <v>0</v>
      </c>
      <c r="U1239" s="301">
        <v>0</v>
      </c>
      <c r="V1239" s="301">
        <v>0</v>
      </c>
      <c r="W1239" s="301">
        <v>0</v>
      </c>
      <c r="X1239" s="301">
        <v>0</v>
      </c>
      <c r="Y1239" s="301">
        <v>0</v>
      </c>
      <c r="Z1239" s="301">
        <v>0</v>
      </c>
      <c r="AA1239" s="301">
        <v>0</v>
      </c>
      <c r="AB1239" s="303">
        <v>2021</v>
      </c>
    </row>
    <row r="1240" spans="1:28" ht="35.25" customHeight="1" x14ac:dyDescent="0.5">
      <c r="A1240">
        <v>1</v>
      </c>
      <c r="B1240" s="80">
        <f>SUBTOTAL(103,$A$808:A1240)</f>
        <v>431</v>
      </c>
      <c r="C1240" s="300" t="s">
        <v>2421</v>
      </c>
      <c r="D1240" s="296">
        <f t="shared" si="55"/>
        <v>1136720</v>
      </c>
      <c r="E1240" s="301">
        <v>0</v>
      </c>
      <c r="F1240" s="301">
        <v>0</v>
      </c>
      <c r="G1240" s="301">
        <v>0</v>
      </c>
      <c r="H1240" s="301">
        <v>0</v>
      </c>
      <c r="I1240" s="301">
        <v>0</v>
      </c>
      <c r="J1240" s="301">
        <v>0</v>
      </c>
      <c r="K1240" s="302">
        <v>0</v>
      </c>
      <c r="L1240" s="301">
        <v>0</v>
      </c>
      <c r="M1240" s="301">
        <v>1136720</v>
      </c>
      <c r="N1240" s="301">
        <v>0</v>
      </c>
      <c r="O1240" s="301">
        <v>0</v>
      </c>
      <c r="P1240" s="301">
        <v>0</v>
      </c>
      <c r="Q1240" s="301">
        <v>0</v>
      </c>
      <c r="R1240" s="301">
        <v>0</v>
      </c>
      <c r="S1240" s="301">
        <v>0</v>
      </c>
      <c r="T1240" s="301">
        <v>0</v>
      </c>
      <c r="U1240" s="301">
        <v>0</v>
      </c>
      <c r="V1240" s="301">
        <v>0</v>
      </c>
      <c r="W1240" s="301">
        <v>0</v>
      </c>
      <c r="X1240" s="301">
        <v>0</v>
      </c>
      <c r="Y1240" s="301">
        <v>0</v>
      </c>
      <c r="Z1240" s="301">
        <v>0</v>
      </c>
      <c r="AA1240" s="301">
        <v>0</v>
      </c>
      <c r="AB1240" s="303">
        <v>2021</v>
      </c>
    </row>
    <row r="1241" spans="1:28" ht="35.25" customHeight="1" x14ac:dyDescent="0.5">
      <c r="A1241">
        <v>1</v>
      </c>
      <c r="B1241" s="80">
        <f>SUBTOTAL(103,$A$808:A1241)</f>
        <v>432</v>
      </c>
      <c r="C1241" s="300" t="s">
        <v>2428</v>
      </c>
      <c r="D1241" s="296">
        <f t="shared" si="55"/>
        <v>345000</v>
      </c>
      <c r="E1241" s="301">
        <v>0</v>
      </c>
      <c r="F1241" s="301">
        <v>0</v>
      </c>
      <c r="G1241" s="301">
        <v>0</v>
      </c>
      <c r="H1241" s="301">
        <v>0</v>
      </c>
      <c r="I1241" s="301">
        <v>345000</v>
      </c>
      <c r="J1241" s="301">
        <v>0</v>
      </c>
      <c r="K1241" s="302">
        <v>0</v>
      </c>
      <c r="L1241" s="301">
        <v>0</v>
      </c>
      <c r="M1241" s="301">
        <v>0</v>
      </c>
      <c r="N1241" s="301">
        <v>0</v>
      </c>
      <c r="O1241" s="301">
        <v>0</v>
      </c>
      <c r="P1241" s="301">
        <v>0</v>
      </c>
      <c r="Q1241" s="301">
        <v>0</v>
      </c>
      <c r="R1241" s="301">
        <v>0</v>
      </c>
      <c r="S1241" s="301">
        <v>0</v>
      </c>
      <c r="T1241" s="301">
        <v>0</v>
      </c>
      <c r="U1241" s="301">
        <v>0</v>
      </c>
      <c r="V1241" s="301">
        <v>0</v>
      </c>
      <c r="W1241" s="301">
        <v>0</v>
      </c>
      <c r="X1241" s="301">
        <v>0</v>
      </c>
      <c r="Y1241" s="301">
        <v>0</v>
      </c>
      <c r="Z1241" s="301">
        <v>0</v>
      </c>
      <c r="AA1241" s="301">
        <v>0</v>
      </c>
      <c r="AB1241" s="303">
        <v>2021</v>
      </c>
    </row>
    <row r="1242" spans="1:28" ht="35.25" customHeight="1" x14ac:dyDescent="0.5">
      <c r="A1242">
        <v>1</v>
      </c>
      <c r="B1242" s="80">
        <f>SUBTOTAL(103,$A$808:A1242)</f>
        <v>433</v>
      </c>
      <c r="C1242" s="300" t="s">
        <v>2430</v>
      </c>
      <c r="D1242" s="296">
        <f t="shared" si="55"/>
        <v>2756004.04</v>
      </c>
      <c r="E1242" s="301">
        <v>0</v>
      </c>
      <c r="F1242" s="301">
        <v>0</v>
      </c>
      <c r="G1242" s="301">
        <v>0</v>
      </c>
      <c r="H1242" s="301">
        <v>0</v>
      </c>
      <c r="I1242" s="301">
        <v>0</v>
      </c>
      <c r="J1242" s="301">
        <v>0</v>
      </c>
      <c r="K1242" s="302">
        <v>0</v>
      </c>
      <c r="L1242" s="301">
        <v>0</v>
      </c>
      <c r="M1242" s="301">
        <v>2756004.04</v>
      </c>
      <c r="N1242" s="301">
        <v>0</v>
      </c>
      <c r="O1242" s="301">
        <v>0</v>
      </c>
      <c r="P1242" s="301">
        <v>0</v>
      </c>
      <c r="Q1242" s="301">
        <v>0</v>
      </c>
      <c r="R1242" s="301">
        <v>0</v>
      </c>
      <c r="S1242" s="301">
        <v>0</v>
      </c>
      <c r="T1242" s="301">
        <v>0</v>
      </c>
      <c r="U1242" s="301">
        <v>0</v>
      </c>
      <c r="V1242" s="301">
        <v>0</v>
      </c>
      <c r="W1242" s="301">
        <v>0</v>
      </c>
      <c r="X1242" s="301">
        <v>0</v>
      </c>
      <c r="Y1242" s="301">
        <v>0</v>
      </c>
      <c r="Z1242" s="301">
        <v>0</v>
      </c>
      <c r="AA1242" s="301">
        <v>0</v>
      </c>
      <c r="AB1242" s="303">
        <v>2021</v>
      </c>
    </row>
    <row r="1243" spans="1:28" ht="35.25" customHeight="1" x14ac:dyDescent="0.5">
      <c r="A1243">
        <v>1</v>
      </c>
      <c r="B1243" s="80">
        <f>SUBTOTAL(103,$A$808:A1243)</f>
        <v>434</v>
      </c>
      <c r="C1243" s="300" t="s">
        <v>2063</v>
      </c>
      <c r="D1243" s="296">
        <f t="shared" si="55"/>
        <v>5988164</v>
      </c>
      <c r="E1243" s="301">
        <v>0</v>
      </c>
      <c r="F1243" s="301">
        <v>150000</v>
      </c>
      <c r="G1243" s="301">
        <v>1150000</v>
      </c>
      <c r="H1243" s="301">
        <v>0</v>
      </c>
      <c r="I1243" s="301">
        <v>0</v>
      </c>
      <c r="J1243" s="301">
        <v>0</v>
      </c>
      <c r="K1243" s="302">
        <v>0</v>
      </c>
      <c r="L1243" s="301">
        <v>0</v>
      </c>
      <c r="M1243" s="301">
        <v>0</v>
      </c>
      <c r="N1243" s="301">
        <v>0</v>
      </c>
      <c r="O1243" s="301">
        <f>3231414.71+943937.65+512811.64</f>
        <v>4688164</v>
      </c>
      <c r="P1243" s="301">
        <v>0</v>
      </c>
      <c r="Q1243" s="301">
        <v>0</v>
      </c>
      <c r="R1243" s="301">
        <v>0</v>
      </c>
      <c r="S1243" s="301">
        <v>0</v>
      </c>
      <c r="T1243" s="301">
        <v>0</v>
      </c>
      <c r="U1243" s="301">
        <v>0</v>
      </c>
      <c r="V1243" s="301">
        <v>0</v>
      </c>
      <c r="W1243" s="301">
        <v>0</v>
      </c>
      <c r="X1243" s="301">
        <v>0</v>
      </c>
      <c r="Y1243" s="301">
        <v>0</v>
      </c>
      <c r="Z1243" s="301">
        <v>0</v>
      </c>
      <c r="AA1243" s="301">
        <v>0</v>
      </c>
      <c r="AB1243" s="303">
        <v>2021</v>
      </c>
    </row>
    <row r="1244" spans="1:28" ht="35.25" customHeight="1" x14ac:dyDescent="0.5">
      <c r="A1244">
        <v>1</v>
      </c>
      <c r="B1244" s="80">
        <f>SUBTOTAL(103,$A$808:A1244)</f>
        <v>435</v>
      </c>
      <c r="C1244" s="300" t="s">
        <v>2429</v>
      </c>
      <c r="D1244" s="296">
        <f t="shared" si="55"/>
        <v>368111.1</v>
      </c>
      <c r="E1244" s="301">
        <v>0</v>
      </c>
      <c r="F1244" s="301">
        <v>0</v>
      </c>
      <c r="G1244" s="301">
        <v>0</v>
      </c>
      <c r="H1244" s="301">
        <v>0</v>
      </c>
      <c r="I1244" s="301">
        <v>0</v>
      </c>
      <c r="J1244" s="301">
        <v>0</v>
      </c>
      <c r="K1244" s="302">
        <v>0</v>
      </c>
      <c r="L1244" s="301">
        <v>0</v>
      </c>
      <c r="M1244" s="301">
        <v>0</v>
      </c>
      <c r="N1244" s="301">
        <v>0</v>
      </c>
      <c r="O1244" s="301">
        <v>368111.1</v>
      </c>
      <c r="P1244" s="301">
        <v>0</v>
      </c>
      <c r="Q1244" s="301">
        <v>0</v>
      </c>
      <c r="R1244" s="301">
        <v>0</v>
      </c>
      <c r="S1244" s="301">
        <v>0</v>
      </c>
      <c r="T1244" s="301">
        <v>0</v>
      </c>
      <c r="U1244" s="301">
        <v>0</v>
      </c>
      <c r="V1244" s="301">
        <v>0</v>
      </c>
      <c r="W1244" s="301">
        <v>0</v>
      </c>
      <c r="X1244" s="301">
        <v>0</v>
      </c>
      <c r="Y1244" s="301">
        <v>0</v>
      </c>
      <c r="Z1244" s="301">
        <v>0</v>
      </c>
      <c r="AA1244" s="301">
        <v>0</v>
      </c>
      <c r="AB1244" s="303">
        <v>2021</v>
      </c>
    </row>
    <row r="1245" spans="1:28" ht="35.25" customHeight="1" x14ac:dyDescent="0.5">
      <c r="A1245">
        <v>1</v>
      </c>
      <c r="B1245" s="80">
        <f>SUBTOTAL(103,$A$808:A1245)</f>
        <v>436</v>
      </c>
      <c r="C1245" s="300" t="s">
        <v>1743</v>
      </c>
      <c r="D1245" s="296">
        <f t="shared" si="55"/>
        <v>932216</v>
      </c>
      <c r="E1245" s="301">
        <v>932216</v>
      </c>
      <c r="F1245" s="301">
        <v>0</v>
      </c>
      <c r="G1245" s="301">
        <v>0</v>
      </c>
      <c r="H1245" s="301">
        <v>0</v>
      </c>
      <c r="I1245" s="301">
        <v>0</v>
      </c>
      <c r="J1245" s="301">
        <v>0</v>
      </c>
      <c r="K1245" s="302">
        <v>0</v>
      </c>
      <c r="L1245" s="301">
        <v>0</v>
      </c>
      <c r="M1245" s="301">
        <v>0</v>
      </c>
      <c r="N1245" s="301">
        <v>0</v>
      </c>
      <c r="O1245" s="301">
        <v>0</v>
      </c>
      <c r="P1245" s="301">
        <v>0</v>
      </c>
      <c r="Q1245" s="301">
        <v>0</v>
      </c>
      <c r="R1245" s="301">
        <v>0</v>
      </c>
      <c r="S1245" s="301">
        <v>0</v>
      </c>
      <c r="T1245" s="301">
        <v>0</v>
      </c>
      <c r="U1245" s="301">
        <v>0</v>
      </c>
      <c r="V1245" s="301">
        <v>0</v>
      </c>
      <c r="W1245" s="301">
        <v>0</v>
      </c>
      <c r="X1245" s="301">
        <v>0</v>
      </c>
      <c r="Y1245" s="301">
        <v>0</v>
      </c>
      <c r="Z1245" s="301">
        <v>0</v>
      </c>
      <c r="AA1245" s="301">
        <v>0</v>
      </c>
      <c r="AB1245" s="303">
        <v>2021</v>
      </c>
    </row>
    <row r="1246" spans="1:28" ht="35.25" customHeight="1" x14ac:dyDescent="0.5">
      <c r="A1246">
        <v>1</v>
      </c>
      <c r="B1246" s="80">
        <f>SUBTOTAL(103,$A$808:A1246)</f>
        <v>437</v>
      </c>
      <c r="C1246" s="300" t="s">
        <v>2804</v>
      </c>
      <c r="D1246" s="296">
        <f t="shared" si="55"/>
        <v>135219</v>
      </c>
      <c r="E1246" s="301">
        <v>135219</v>
      </c>
      <c r="F1246" s="301">
        <v>0</v>
      </c>
      <c r="G1246" s="301">
        <v>0</v>
      </c>
      <c r="H1246" s="301">
        <v>0</v>
      </c>
      <c r="I1246" s="301">
        <v>0</v>
      </c>
      <c r="J1246" s="301">
        <v>0</v>
      </c>
      <c r="K1246" s="302">
        <v>0</v>
      </c>
      <c r="L1246" s="301">
        <v>0</v>
      </c>
      <c r="M1246" s="301">
        <v>0</v>
      </c>
      <c r="N1246" s="301">
        <v>0</v>
      </c>
      <c r="O1246" s="301">
        <v>0</v>
      </c>
      <c r="P1246" s="301">
        <v>0</v>
      </c>
      <c r="Q1246" s="301">
        <v>0</v>
      </c>
      <c r="R1246" s="301">
        <v>0</v>
      </c>
      <c r="S1246" s="301">
        <v>0</v>
      </c>
      <c r="T1246" s="301">
        <v>0</v>
      </c>
      <c r="U1246" s="301">
        <v>0</v>
      </c>
      <c r="V1246" s="301">
        <v>0</v>
      </c>
      <c r="W1246" s="301">
        <v>0</v>
      </c>
      <c r="X1246" s="301">
        <v>0</v>
      </c>
      <c r="Y1246" s="301">
        <v>0</v>
      </c>
      <c r="Z1246" s="301">
        <v>0</v>
      </c>
      <c r="AA1246" s="301">
        <v>0</v>
      </c>
      <c r="AB1246" s="303">
        <v>2021</v>
      </c>
    </row>
    <row r="1247" spans="1:28" ht="35.25" customHeight="1" x14ac:dyDescent="0.5">
      <c r="A1247">
        <v>1</v>
      </c>
      <c r="B1247" s="80">
        <f>SUBTOTAL(103,$A$808:A1247)</f>
        <v>438</v>
      </c>
      <c r="C1247" s="300" t="s">
        <v>2711</v>
      </c>
      <c r="D1247" s="296">
        <f t="shared" si="55"/>
        <v>569598</v>
      </c>
      <c r="E1247" s="301">
        <v>0</v>
      </c>
      <c r="F1247" s="301">
        <v>0</v>
      </c>
      <c r="G1247" s="301">
        <v>0</v>
      </c>
      <c r="H1247" s="301">
        <v>0</v>
      </c>
      <c r="I1247" s="301">
        <v>0</v>
      </c>
      <c r="J1247" s="301">
        <v>0</v>
      </c>
      <c r="K1247" s="302">
        <v>0</v>
      </c>
      <c r="L1247" s="301">
        <v>0</v>
      </c>
      <c r="M1247" s="301">
        <v>0</v>
      </c>
      <c r="N1247" s="301">
        <v>0</v>
      </c>
      <c r="O1247" s="301">
        <v>569598</v>
      </c>
      <c r="P1247" s="301">
        <v>0</v>
      </c>
      <c r="Q1247" s="301">
        <v>0</v>
      </c>
      <c r="R1247" s="301">
        <v>0</v>
      </c>
      <c r="S1247" s="301">
        <v>0</v>
      </c>
      <c r="T1247" s="301">
        <v>0</v>
      </c>
      <c r="U1247" s="301">
        <v>0</v>
      </c>
      <c r="V1247" s="301">
        <v>0</v>
      </c>
      <c r="W1247" s="301">
        <v>0</v>
      </c>
      <c r="X1247" s="301">
        <v>0</v>
      </c>
      <c r="Y1247" s="301">
        <v>0</v>
      </c>
      <c r="Z1247" s="301">
        <v>0</v>
      </c>
      <c r="AA1247" s="301">
        <v>0</v>
      </c>
      <c r="AB1247" s="303">
        <v>2021</v>
      </c>
    </row>
    <row r="1248" spans="1:28" ht="35.25" customHeight="1" x14ac:dyDescent="0.5">
      <c r="A1248">
        <v>1</v>
      </c>
      <c r="B1248" s="80">
        <f>SUBTOTAL(103,$A$808:A1248)</f>
        <v>439</v>
      </c>
      <c r="C1248" s="300" t="s">
        <v>2432</v>
      </c>
      <c r="D1248" s="296">
        <f t="shared" si="55"/>
        <v>702346</v>
      </c>
      <c r="E1248" s="301">
        <v>0</v>
      </c>
      <c r="F1248" s="301">
        <v>0</v>
      </c>
      <c r="G1248" s="301">
        <v>0</v>
      </c>
      <c r="H1248" s="301">
        <v>0</v>
      </c>
      <c r="I1248" s="301">
        <v>702346</v>
      </c>
      <c r="J1248" s="301">
        <v>0</v>
      </c>
      <c r="K1248" s="302">
        <v>0</v>
      </c>
      <c r="L1248" s="301">
        <v>0</v>
      </c>
      <c r="M1248" s="301">
        <v>0</v>
      </c>
      <c r="N1248" s="301">
        <v>0</v>
      </c>
      <c r="O1248" s="301">
        <v>0</v>
      </c>
      <c r="P1248" s="301">
        <v>0</v>
      </c>
      <c r="Q1248" s="301">
        <v>0</v>
      </c>
      <c r="R1248" s="301">
        <v>0</v>
      </c>
      <c r="S1248" s="301">
        <v>0</v>
      </c>
      <c r="T1248" s="301">
        <v>0</v>
      </c>
      <c r="U1248" s="301">
        <v>0</v>
      </c>
      <c r="V1248" s="301">
        <v>0</v>
      </c>
      <c r="W1248" s="301">
        <v>0</v>
      </c>
      <c r="X1248" s="301">
        <v>0</v>
      </c>
      <c r="Y1248" s="301">
        <v>0</v>
      </c>
      <c r="Z1248" s="301">
        <v>0</v>
      </c>
      <c r="AA1248" s="301">
        <v>0</v>
      </c>
      <c r="AB1248" s="303">
        <v>2021</v>
      </c>
    </row>
    <row r="1249" spans="1:28" ht="35.25" customHeight="1" x14ac:dyDescent="0.5">
      <c r="A1249">
        <v>1</v>
      </c>
      <c r="B1249" s="80">
        <f>SUBTOTAL(103,$A$808:A1249)</f>
        <v>440</v>
      </c>
      <c r="C1249" s="300" t="s">
        <v>2423</v>
      </c>
      <c r="D1249" s="296">
        <f t="shared" si="55"/>
        <v>809000</v>
      </c>
      <c r="E1249" s="301">
        <v>0</v>
      </c>
      <c r="F1249" s="301">
        <v>0</v>
      </c>
      <c r="G1249" s="301">
        <v>0</v>
      </c>
      <c r="H1249" s="301">
        <v>0</v>
      </c>
      <c r="I1249" s="301">
        <v>0</v>
      </c>
      <c r="J1249" s="301">
        <v>0</v>
      </c>
      <c r="K1249" s="302">
        <v>0</v>
      </c>
      <c r="L1249" s="301">
        <v>0</v>
      </c>
      <c r="M1249" s="301">
        <v>0</v>
      </c>
      <c r="N1249" s="301">
        <v>0</v>
      </c>
      <c r="O1249" s="301">
        <v>809000</v>
      </c>
      <c r="P1249" s="301">
        <v>0</v>
      </c>
      <c r="Q1249" s="301">
        <v>0</v>
      </c>
      <c r="R1249" s="301">
        <v>0</v>
      </c>
      <c r="S1249" s="301">
        <v>0</v>
      </c>
      <c r="T1249" s="301">
        <v>0</v>
      </c>
      <c r="U1249" s="301">
        <v>0</v>
      </c>
      <c r="V1249" s="301">
        <v>0</v>
      </c>
      <c r="W1249" s="301">
        <v>0</v>
      </c>
      <c r="X1249" s="301">
        <v>0</v>
      </c>
      <c r="Y1249" s="301">
        <v>0</v>
      </c>
      <c r="Z1249" s="301">
        <v>0</v>
      </c>
      <c r="AA1249" s="301">
        <v>0</v>
      </c>
      <c r="AB1249" s="303">
        <v>2021</v>
      </c>
    </row>
    <row r="1250" spans="1:28" ht="35.25" customHeight="1" x14ac:dyDescent="0.5">
      <c r="A1250">
        <v>1</v>
      </c>
      <c r="B1250" s="80">
        <f>SUBTOTAL(103,$A$808:A1250)</f>
        <v>441</v>
      </c>
      <c r="C1250" s="300" t="s">
        <v>2805</v>
      </c>
      <c r="D1250" s="296">
        <f t="shared" si="55"/>
        <v>5508000</v>
      </c>
      <c r="E1250" s="301">
        <v>0</v>
      </c>
      <c r="F1250" s="301">
        <v>0</v>
      </c>
      <c r="G1250" s="301">
        <v>0</v>
      </c>
      <c r="H1250" s="301">
        <v>0</v>
      </c>
      <c r="I1250" s="301">
        <v>0</v>
      </c>
      <c r="J1250" s="301">
        <v>0</v>
      </c>
      <c r="K1250" s="302">
        <v>3</v>
      </c>
      <c r="L1250" s="301">
        <v>5508000</v>
      </c>
      <c r="M1250" s="301">
        <v>0</v>
      </c>
      <c r="N1250" s="301">
        <v>0</v>
      </c>
      <c r="O1250" s="301">
        <v>0</v>
      </c>
      <c r="P1250" s="301">
        <v>0</v>
      </c>
      <c r="Q1250" s="301">
        <v>0</v>
      </c>
      <c r="R1250" s="301">
        <v>0</v>
      </c>
      <c r="S1250" s="301">
        <v>0</v>
      </c>
      <c r="T1250" s="301">
        <v>0</v>
      </c>
      <c r="U1250" s="301">
        <v>0</v>
      </c>
      <c r="V1250" s="301">
        <v>0</v>
      </c>
      <c r="W1250" s="301">
        <v>0</v>
      </c>
      <c r="X1250" s="301">
        <v>0</v>
      </c>
      <c r="Y1250" s="301">
        <v>0</v>
      </c>
      <c r="Z1250" s="301">
        <v>0</v>
      </c>
      <c r="AA1250" s="301">
        <v>0</v>
      </c>
      <c r="AB1250" s="303">
        <v>2021</v>
      </c>
    </row>
    <row r="1251" spans="1:28" ht="35.25" customHeight="1" x14ac:dyDescent="0.5">
      <c r="A1251">
        <v>1</v>
      </c>
      <c r="B1251" s="80">
        <f>SUBTOTAL(103,$A$808:A1251)</f>
        <v>442</v>
      </c>
      <c r="C1251" s="300" t="s">
        <v>2806</v>
      </c>
      <c r="D1251" s="296">
        <f t="shared" si="55"/>
        <v>2000000</v>
      </c>
      <c r="E1251" s="301">
        <v>0</v>
      </c>
      <c r="F1251" s="301">
        <v>0</v>
      </c>
      <c r="G1251" s="301">
        <v>0</v>
      </c>
      <c r="H1251" s="301">
        <v>0</v>
      </c>
      <c r="I1251" s="301">
        <v>0</v>
      </c>
      <c r="J1251" s="301">
        <v>0</v>
      </c>
      <c r="K1251" s="302">
        <v>1</v>
      </c>
      <c r="L1251" s="301">
        <v>2000000</v>
      </c>
      <c r="M1251" s="301">
        <v>0</v>
      </c>
      <c r="N1251" s="301">
        <v>0</v>
      </c>
      <c r="O1251" s="301">
        <v>0</v>
      </c>
      <c r="P1251" s="301">
        <v>0</v>
      </c>
      <c r="Q1251" s="301">
        <v>0</v>
      </c>
      <c r="R1251" s="301">
        <v>0</v>
      </c>
      <c r="S1251" s="301">
        <v>0</v>
      </c>
      <c r="T1251" s="301">
        <v>0</v>
      </c>
      <c r="U1251" s="301">
        <v>0</v>
      </c>
      <c r="V1251" s="301">
        <v>0</v>
      </c>
      <c r="W1251" s="301">
        <v>0</v>
      </c>
      <c r="X1251" s="301">
        <v>0</v>
      </c>
      <c r="Y1251" s="301">
        <v>0</v>
      </c>
      <c r="Z1251" s="301">
        <v>0</v>
      </c>
      <c r="AA1251" s="301">
        <v>0</v>
      </c>
      <c r="AB1251" s="303">
        <v>2021</v>
      </c>
    </row>
    <row r="1252" spans="1:28" ht="35.25" customHeight="1" x14ac:dyDescent="0.5">
      <c r="A1252">
        <v>1</v>
      </c>
      <c r="B1252" s="80">
        <f>SUBTOTAL(103,$A$808:A1252)</f>
        <v>443</v>
      </c>
      <c r="C1252" s="300" t="s">
        <v>2431</v>
      </c>
      <c r="D1252" s="296">
        <f t="shared" si="55"/>
        <v>959065</v>
      </c>
      <c r="E1252" s="301">
        <v>0</v>
      </c>
      <c r="F1252" s="301">
        <v>0</v>
      </c>
      <c r="G1252" s="301">
        <v>929265</v>
      </c>
      <c r="H1252" s="301">
        <v>0</v>
      </c>
      <c r="I1252" s="301">
        <v>0</v>
      </c>
      <c r="J1252" s="301">
        <v>0</v>
      </c>
      <c r="K1252" s="302">
        <v>0</v>
      </c>
      <c r="L1252" s="301">
        <v>0</v>
      </c>
      <c r="M1252" s="301">
        <v>0</v>
      </c>
      <c r="N1252" s="301">
        <v>0</v>
      </c>
      <c r="O1252" s="301">
        <v>29800</v>
      </c>
      <c r="P1252" s="301">
        <v>0</v>
      </c>
      <c r="Q1252" s="301">
        <v>0</v>
      </c>
      <c r="R1252" s="301">
        <v>0</v>
      </c>
      <c r="S1252" s="301">
        <v>0</v>
      </c>
      <c r="T1252" s="301">
        <v>0</v>
      </c>
      <c r="U1252" s="301">
        <v>0</v>
      </c>
      <c r="V1252" s="301">
        <v>0</v>
      </c>
      <c r="W1252" s="301">
        <v>0</v>
      </c>
      <c r="X1252" s="301">
        <v>0</v>
      </c>
      <c r="Y1252" s="301">
        <v>0</v>
      </c>
      <c r="Z1252" s="301">
        <v>0</v>
      </c>
      <c r="AA1252" s="301">
        <v>0</v>
      </c>
      <c r="AB1252" s="303">
        <v>2021</v>
      </c>
    </row>
    <row r="1253" spans="1:28" ht="35.25" customHeight="1" x14ac:dyDescent="0.5">
      <c r="A1253">
        <v>1</v>
      </c>
      <c r="B1253" s="80">
        <f>SUBTOTAL(103,$A$808:A1253)</f>
        <v>444</v>
      </c>
      <c r="C1253" s="300" t="s">
        <v>2807</v>
      </c>
      <c r="D1253" s="296">
        <f t="shared" si="55"/>
        <v>2281968.66</v>
      </c>
      <c r="E1253" s="301">
        <v>0</v>
      </c>
      <c r="F1253" s="301">
        <v>0</v>
      </c>
      <c r="G1253" s="301">
        <v>0</v>
      </c>
      <c r="H1253" s="301">
        <v>0</v>
      </c>
      <c r="I1253" s="301">
        <v>0</v>
      </c>
      <c r="J1253" s="301">
        <v>0</v>
      </c>
      <c r="K1253" s="302">
        <v>0</v>
      </c>
      <c r="L1253" s="301">
        <v>0</v>
      </c>
      <c r="M1253" s="301">
        <v>2281968.66</v>
      </c>
      <c r="N1253" s="301">
        <v>0</v>
      </c>
      <c r="O1253" s="301">
        <v>0</v>
      </c>
      <c r="P1253" s="301">
        <v>0</v>
      </c>
      <c r="Q1253" s="301">
        <v>0</v>
      </c>
      <c r="R1253" s="301">
        <v>0</v>
      </c>
      <c r="S1253" s="301">
        <v>0</v>
      </c>
      <c r="T1253" s="301">
        <v>0</v>
      </c>
      <c r="U1253" s="301">
        <v>0</v>
      </c>
      <c r="V1253" s="301">
        <v>0</v>
      </c>
      <c r="W1253" s="301">
        <v>0</v>
      </c>
      <c r="X1253" s="301">
        <v>0</v>
      </c>
      <c r="Y1253" s="301">
        <v>0</v>
      </c>
      <c r="Z1253" s="301">
        <v>0</v>
      </c>
      <c r="AA1253" s="301">
        <v>0</v>
      </c>
      <c r="AB1253" s="303">
        <v>2021</v>
      </c>
    </row>
    <row r="1254" spans="1:28" ht="35.25" customHeight="1" x14ac:dyDescent="0.5">
      <c r="A1254">
        <v>1</v>
      </c>
      <c r="B1254" s="80">
        <f>SUBTOTAL(103,$A$808:A1254)</f>
        <v>445</v>
      </c>
      <c r="C1254" s="300" t="s">
        <v>2808</v>
      </c>
      <c r="D1254" s="296">
        <f t="shared" si="55"/>
        <v>826030</v>
      </c>
      <c r="E1254" s="301">
        <v>148969</v>
      </c>
      <c r="F1254" s="301">
        <v>0</v>
      </c>
      <c r="G1254" s="301">
        <v>0</v>
      </c>
      <c r="H1254" s="301">
        <v>0</v>
      </c>
      <c r="I1254" s="301">
        <v>677061</v>
      </c>
      <c r="J1254" s="301">
        <v>0</v>
      </c>
      <c r="K1254" s="302">
        <v>0</v>
      </c>
      <c r="L1254" s="301">
        <v>0</v>
      </c>
      <c r="M1254" s="301">
        <v>0</v>
      </c>
      <c r="N1254" s="301">
        <v>0</v>
      </c>
      <c r="O1254" s="301">
        <v>0</v>
      </c>
      <c r="P1254" s="301">
        <v>0</v>
      </c>
      <c r="Q1254" s="301">
        <v>0</v>
      </c>
      <c r="R1254" s="301">
        <v>0</v>
      </c>
      <c r="S1254" s="301">
        <v>0</v>
      </c>
      <c r="T1254" s="301">
        <v>0</v>
      </c>
      <c r="U1254" s="301">
        <v>0</v>
      </c>
      <c r="V1254" s="301">
        <v>0</v>
      </c>
      <c r="W1254" s="301">
        <v>0</v>
      </c>
      <c r="X1254" s="301">
        <v>0</v>
      </c>
      <c r="Y1254" s="301">
        <v>0</v>
      </c>
      <c r="Z1254" s="301">
        <v>0</v>
      </c>
      <c r="AA1254" s="301">
        <v>0</v>
      </c>
      <c r="AB1254" s="303">
        <v>2021</v>
      </c>
    </row>
    <row r="1255" spans="1:28" ht="35.25" customHeight="1" x14ac:dyDescent="0.5">
      <c r="A1255">
        <v>1</v>
      </c>
      <c r="B1255" s="80">
        <f>SUBTOTAL(103,$A$808:A1255)</f>
        <v>446</v>
      </c>
      <c r="C1255" s="300" t="s">
        <v>2809</v>
      </c>
      <c r="D1255" s="296">
        <f t="shared" si="55"/>
        <v>3886000</v>
      </c>
      <c r="E1255" s="301">
        <v>0</v>
      </c>
      <c r="F1255" s="301">
        <v>0</v>
      </c>
      <c r="G1255" s="301">
        <v>0</v>
      </c>
      <c r="H1255" s="301">
        <v>0</v>
      </c>
      <c r="I1255" s="301">
        <v>0</v>
      </c>
      <c r="J1255" s="301">
        <v>0</v>
      </c>
      <c r="K1255" s="302">
        <v>2</v>
      </c>
      <c r="L1255" s="301">
        <v>3886000</v>
      </c>
      <c r="M1255" s="301">
        <v>0</v>
      </c>
      <c r="N1255" s="301">
        <v>0</v>
      </c>
      <c r="O1255" s="301">
        <v>0</v>
      </c>
      <c r="P1255" s="301">
        <v>0</v>
      </c>
      <c r="Q1255" s="301">
        <v>0</v>
      </c>
      <c r="R1255" s="301">
        <v>0</v>
      </c>
      <c r="S1255" s="301">
        <v>0</v>
      </c>
      <c r="T1255" s="301">
        <v>0</v>
      </c>
      <c r="U1255" s="301">
        <v>0</v>
      </c>
      <c r="V1255" s="301">
        <v>0</v>
      </c>
      <c r="W1255" s="301">
        <v>0</v>
      </c>
      <c r="X1255" s="301">
        <v>0</v>
      </c>
      <c r="Y1255" s="301">
        <v>0</v>
      </c>
      <c r="Z1255" s="301">
        <v>0</v>
      </c>
      <c r="AA1255" s="301">
        <v>0</v>
      </c>
      <c r="AB1255" s="303">
        <v>2021</v>
      </c>
    </row>
    <row r="1256" spans="1:28" ht="35.25" customHeight="1" x14ac:dyDescent="0.5">
      <c r="A1256">
        <v>1</v>
      </c>
      <c r="B1256" s="80">
        <f>SUBTOTAL(103,$A$808:A1256)</f>
        <v>447</v>
      </c>
      <c r="C1256" s="300" t="s">
        <v>2810</v>
      </c>
      <c r="D1256" s="296">
        <f t="shared" si="55"/>
        <v>1850000</v>
      </c>
      <c r="E1256" s="301">
        <v>0</v>
      </c>
      <c r="F1256" s="301">
        <v>0</v>
      </c>
      <c r="G1256" s="301">
        <v>0</v>
      </c>
      <c r="H1256" s="301">
        <v>0</v>
      </c>
      <c r="I1256" s="301">
        <v>0</v>
      </c>
      <c r="J1256" s="301">
        <v>0</v>
      </c>
      <c r="K1256" s="302">
        <v>1</v>
      </c>
      <c r="L1256" s="301">
        <v>1850000</v>
      </c>
      <c r="M1256" s="301">
        <v>0</v>
      </c>
      <c r="N1256" s="301">
        <v>0</v>
      </c>
      <c r="O1256" s="301">
        <v>0</v>
      </c>
      <c r="P1256" s="301">
        <v>0</v>
      </c>
      <c r="Q1256" s="301">
        <v>0</v>
      </c>
      <c r="R1256" s="301">
        <v>0</v>
      </c>
      <c r="S1256" s="301">
        <v>0</v>
      </c>
      <c r="T1256" s="301">
        <v>0</v>
      </c>
      <c r="U1256" s="301">
        <v>0</v>
      </c>
      <c r="V1256" s="301">
        <v>0</v>
      </c>
      <c r="W1256" s="301">
        <v>0</v>
      </c>
      <c r="X1256" s="301">
        <v>0</v>
      </c>
      <c r="Y1256" s="301">
        <v>0</v>
      </c>
      <c r="Z1256" s="301">
        <v>0</v>
      </c>
      <c r="AA1256" s="301">
        <v>0</v>
      </c>
      <c r="AB1256" s="303">
        <v>2021</v>
      </c>
    </row>
    <row r="1257" spans="1:28" ht="35.25" customHeight="1" x14ac:dyDescent="0.5">
      <c r="A1257">
        <v>1</v>
      </c>
      <c r="B1257" s="80">
        <f>SUBTOTAL(103,$A$808:A1257)</f>
        <v>448</v>
      </c>
      <c r="C1257" s="300" t="s">
        <v>2811</v>
      </c>
      <c r="D1257" s="296">
        <f t="shared" si="55"/>
        <v>176878.18</v>
      </c>
      <c r="E1257" s="301">
        <v>176878.18</v>
      </c>
      <c r="F1257" s="301">
        <v>0</v>
      </c>
      <c r="G1257" s="301">
        <v>0</v>
      </c>
      <c r="H1257" s="301">
        <v>0</v>
      </c>
      <c r="I1257" s="301">
        <v>0</v>
      </c>
      <c r="J1257" s="301">
        <v>0</v>
      </c>
      <c r="K1257" s="302">
        <v>0</v>
      </c>
      <c r="L1257" s="301">
        <v>0</v>
      </c>
      <c r="M1257" s="301">
        <v>0</v>
      </c>
      <c r="N1257" s="301">
        <v>0</v>
      </c>
      <c r="O1257" s="301">
        <v>0</v>
      </c>
      <c r="P1257" s="301">
        <v>0</v>
      </c>
      <c r="Q1257" s="301">
        <v>0</v>
      </c>
      <c r="R1257" s="301">
        <v>0</v>
      </c>
      <c r="S1257" s="301">
        <v>0</v>
      </c>
      <c r="T1257" s="301">
        <v>0</v>
      </c>
      <c r="U1257" s="301">
        <v>0</v>
      </c>
      <c r="V1257" s="301">
        <v>0</v>
      </c>
      <c r="W1257" s="301">
        <v>0</v>
      </c>
      <c r="X1257" s="301">
        <v>0</v>
      </c>
      <c r="Y1257" s="301">
        <v>0</v>
      </c>
      <c r="Z1257" s="301">
        <v>0</v>
      </c>
      <c r="AA1257" s="301">
        <v>0</v>
      </c>
      <c r="AB1257" s="303">
        <v>2021</v>
      </c>
    </row>
    <row r="1258" spans="1:28" ht="35.25" customHeight="1" x14ac:dyDescent="0.5">
      <c r="A1258">
        <v>1</v>
      </c>
      <c r="B1258" s="80">
        <f>SUBTOTAL(103,$A$808:A1258)</f>
        <v>449</v>
      </c>
      <c r="C1258" s="300" t="s">
        <v>2812</v>
      </c>
      <c r="D1258" s="296">
        <f t="shared" si="55"/>
        <v>176878.18</v>
      </c>
      <c r="E1258" s="301">
        <v>176878.18</v>
      </c>
      <c r="F1258" s="301">
        <v>0</v>
      </c>
      <c r="G1258" s="301">
        <v>0</v>
      </c>
      <c r="H1258" s="301">
        <v>0</v>
      </c>
      <c r="I1258" s="301">
        <v>0</v>
      </c>
      <c r="J1258" s="301">
        <v>0</v>
      </c>
      <c r="K1258" s="302">
        <v>0</v>
      </c>
      <c r="L1258" s="301">
        <v>0</v>
      </c>
      <c r="M1258" s="301">
        <v>0</v>
      </c>
      <c r="N1258" s="301">
        <v>0</v>
      </c>
      <c r="O1258" s="301">
        <v>0</v>
      </c>
      <c r="P1258" s="301">
        <v>0</v>
      </c>
      <c r="Q1258" s="301">
        <v>0</v>
      </c>
      <c r="R1258" s="301">
        <v>0</v>
      </c>
      <c r="S1258" s="301">
        <v>0</v>
      </c>
      <c r="T1258" s="301">
        <v>0</v>
      </c>
      <c r="U1258" s="301">
        <v>0</v>
      </c>
      <c r="V1258" s="301">
        <v>0</v>
      </c>
      <c r="W1258" s="301">
        <v>0</v>
      </c>
      <c r="X1258" s="301">
        <v>0</v>
      </c>
      <c r="Y1258" s="301">
        <v>0</v>
      </c>
      <c r="Z1258" s="301">
        <v>0</v>
      </c>
      <c r="AA1258" s="301">
        <v>0</v>
      </c>
      <c r="AB1258" s="303">
        <v>2021</v>
      </c>
    </row>
    <row r="1259" spans="1:28" ht="35.25" customHeight="1" x14ac:dyDescent="0.5">
      <c r="A1259">
        <v>1</v>
      </c>
      <c r="B1259" s="80">
        <f>SUBTOTAL(103,$A$808:A1259)</f>
        <v>450</v>
      </c>
      <c r="C1259" s="300" t="s">
        <v>2260</v>
      </c>
      <c r="D1259" s="296">
        <f t="shared" si="55"/>
        <v>300000</v>
      </c>
      <c r="E1259" s="301">
        <v>0</v>
      </c>
      <c r="F1259" s="301">
        <v>0</v>
      </c>
      <c r="G1259" s="301">
        <v>0</v>
      </c>
      <c r="H1259" s="301">
        <v>0</v>
      </c>
      <c r="I1259" s="301">
        <v>0</v>
      </c>
      <c r="J1259" s="301">
        <v>0</v>
      </c>
      <c r="K1259" s="302">
        <v>0</v>
      </c>
      <c r="L1259" s="301">
        <v>0</v>
      </c>
      <c r="M1259" s="301">
        <v>0</v>
      </c>
      <c r="N1259" s="301">
        <v>0</v>
      </c>
      <c r="O1259" s="301">
        <v>300000</v>
      </c>
      <c r="P1259" s="301">
        <v>0</v>
      </c>
      <c r="Q1259" s="301">
        <v>0</v>
      </c>
      <c r="R1259" s="301">
        <v>0</v>
      </c>
      <c r="S1259" s="301">
        <v>0</v>
      </c>
      <c r="T1259" s="301">
        <v>0</v>
      </c>
      <c r="U1259" s="301">
        <v>0</v>
      </c>
      <c r="V1259" s="301">
        <v>0</v>
      </c>
      <c r="W1259" s="301">
        <v>0</v>
      </c>
      <c r="X1259" s="301">
        <v>0</v>
      </c>
      <c r="Y1259" s="301">
        <v>0</v>
      </c>
      <c r="Z1259" s="301">
        <v>0</v>
      </c>
      <c r="AA1259" s="301">
        <v>0</v>
      </c>
      <c r="AB1259" s="303">
        <v>2021</v>
      </c>
    </row>
    <row r="1260" spans="1:28" ht="35.25" customHeight="1" x14ac:dyDescent="0.5">
      <c r="A1260">
        <v>1</v>
      </c>
      <c r="B1260" s="80">
        <f>SUBTOTAL(103,$A$808:A1260)</f>
        <v>451</v>
      </c>
      <c r="C1260" s="300" t="s">
        <v>2813</v>
      </c>
      <c r="D1260" s="296">
        <f t="shared" si="55"/>
        <v>1481841</v>
      </c>
      <c r="E1260" s="301">
        <v>0</v>
      </c>
      <c r="F1260" s="301">
        <v>0</v>
      </c>
      <c r="G1260" s="301">
        <v>0</v>
      </c>
      <c r="H1260" s="301">
        <v>0</v>
      </c>
      <c r="I1260" s="301">
        <v>0</v>
      </c>
      <c r="J1260" s="301">
        <v>0</v>
      </c>
      <c r="K1260" s="302">
        <v>0</v>
      </c>
      <c r="L1260" s="301">
        <v>0</v>
      </c>
      <c r="M1260" s="301">
        <v>1481841</v>
      </c>
      <c r="N1260" s="301">
        <v>0</v>
      </c>
      <c r="O1260" s="301">
        <v>0</v>
      </c>
      <c r="P1260" s="301">
        <v>0</v>
      </c>
      <c r="Q1260" s="301">
        <v>0</v>
      </c>
      <c r="R1260" s="301">
        <v>0</v>
      </c>
      <c r="S1260" s="301">
        <v>0</v>
      </c>
      <c r="T1260" s="301">
        <v>0</v>
      </c>
      <c r="U1260" s="301">
        <v>0</v>
      </c>
      <c r="V1260" s="301">
        <v>0</v>
      </c>
      <c r="W1260" s="301">
        <v>0</v>
      </c>
      <c r="X1260" s="301">
        <v>0</v>
      </c>
      <c r="Y1260" s="301">
        <v>0</v>
      </c>
      <c r="Z1260" s="301">
        <v>0</v>
      </c>
      <c r="AA1260" s="301">
        <v>0</v>
      </c>
      <c r="AB1260" s="303">
        <v>2021</v>
      </c>
    </row>
    <row r="1261" spans="1:28" ht="35.25" customHeight="1" x14ac:dyDescent="0.5">
      <c r="A1261">
        <v>1</v>
      </c>
      <c r="B1261" s="80">
        <f>SUBTOTAL(103,$A$808:A1261)</f>
        <v>452</v>
      </c>
      <c r="C1261" s="300" t="s">
        <v>1370</v>
      </c>
      <c r="D1261" s="296">
        <f t="shared" si="55"/>
        <v>1229059.51</v>
      </c>
      <c r="E1261" s="301">
        <v>0</v>
      </c>
      <c r="F1261" s="301">
        <v>0</v>
      </c>
      <c r="G1261" s="301">
        <v>0</v>
      </c>
      <c r="H1261" s="301">
        <v>0</v>
      </c>
      <c r="I1261" s="301">
        <v>0</v>
      </c>
      <c r="J1261" s="301">
        <v>0</v>
      </c>
      <c r="K1261" s="302">
        <v>0</v>
      </c>
      <c r="L1261" s="301">
        <v>0</v>
      </c>
      <c r="M1261" s="301">
        <v>0</v>
      </c>
      <c r="N1261" s="301">
        <v>0</v>
      </c>
      <c r="O1261" s="301">
        <v>1229059.51</v>
      </c>
      <c r="P1261" s="301">
        <v>0</v>
      </c>
      <c r="Q1261" s="301">
        <v>0</v>
      </c>
      <c r="R1261" s="301">
        <v>0</v>
      </c>
      <c r="S1261" s="301">
        <v>0</v>
      </c>
      <c r="T1261" s="301">
        <v>0</v>
      </c>
      <c r="U1261" s="301">
        <v>0</v>
      </c>
      <c r="V1261" s="301">
        <v>0</v>
      </c>
      <c r="W1261" s="301">
        <v>0</v>
      </c>
      <c r="X1261" s="301">
        <v>0</v>
      </c>
      <c r="Y1261" s="301">
        <v>0</v>
      </c>
      <c r="Z1261" s="301">
        <v>0</v>
      </c>
      <c r="AA1261" s="301">
        <v>0</v>
      </c>
      <c r="AB1261" s="303">
        <v>2021</v>
      </c>
    </row>
    <row r="1262" spans="1:28" ht="35.25" customHeight="1" x14ac:dyDescent="0.5">
      <c r="A1262">
        <v>1</v>
      </c>
      <c r="B1262" s="80">
        <f>SUBTOTAL(103,$A$808:A1262)</f>
        <v>453</v>
      </c>
      <c r="C1262" s="300" t="s">
        <v>2258</v>
      </c>
      <c r="D1262" s="296">
        <f t="shared" si="55"/>
        <v>520128</v>
      </c>
      <c r="E1262" s="301">
        <v>0</v>
      </c>
      <c r="F1262" s="301">
        <v>0</v>
      </c>
      <c r="G1262" s="301">
        <v>0</v>
      </c>
      <c r="H1262" s="301">
        <v>0</v>
      </c>
      <c r="I1262" s="301">
        <v>0</v>
      </c>
      <c r="J1262" s="301">
        <v>0</v>
      </c>
      <c r="K1262" s="302">
        <v>0</v>
      </c>
      <c r="L1262" s="301">
        <v>0</v>
      </c>
      <c r="M1262" s="301">
        <v>0</v>
      </c>
      <c r="N1262" s="301">
        <v>0</v>
      </c>
      <c r="O1262" s="301">
        <v>520128</v>
      </c>
      <c r="P1262" s="301">
        <v>0</v>
      </c>
      <c r="Q1262" s="301">
        <v>0</v>
      </c>
      <c r="R1262" s="301">
        <v>0</v>
      </c>
      <c r="S1262" s="301">
        <v>0</v>
      </c>
      <c r="T1262" s="301">
        <v>0</v>
      </c>
      <c r="U1262" s="301">
        <v>0</v>
      </c>
      <c r="V1262" s="301">
        <v>0</v>
      </c>
      <c r="W1262" s="301">
        <v>0</v>
      </c>
      <c r="X1262" s="301">
        <v>0</v>
      </c>
      <c r="Y1262" s="301">
        <v>0</v>
      </c>
      <c r="Z1262" s="301">
        <v>0</v>
      </c>
      <c r="AA1262" s="301">
        <v>0</v>
      </c>
      <c r="AB1262" s="303">
        <v>2021</v>
      </c>
    </row>
    <row r="1263" spans="1:28" ht="35.25" customHeight="1" x14ac:dyDescent="0.5">
      <c r="A1263">
        <v>1</v>
      </c>
      <c r="B1263" s="80">
        <f>SUBTOTAL(103,$A$808:A1263)</f>
        <v>454</v>
      </c>
      <c r="C1263" s="300" t="s">
        <v>2068</v>
      </c>
      <c r="D1263" s="296">
        <f t="shared" si="55"/>
        <v>315280</v>
      </c>
      <c r="E1263" s="301">
        <v>0</v>
      </c>
      <c r="F1263" s="301">
        <v>0</v>
      </c>
      <c r="G1263" s="301">
        <v>0</v>
      </c>
      <c r="H1263" s="301">
        <v>0</v>
      </c>
      <c r="I1263" s="301">
        <v>0</v>
      </c>
      <c r="J1263" s="301">
        <v>0</v>
      </c>
      <c r="K1263" s="302">
        <v>0</v>
      </c>
      <c r="L1263" s="301">
        <v>0</v>
      </c>
      <c r="M1263" s="301">
        <v>0</v>
      </c>
      <c r="N1263" s="301">
        <v>0</v>
      </c>
      <c r="O1263" s="301">
        <v>315280</v>
      </c>
      <c r="P1263" s="301">
        <v>0</v>
      </c>
      <c r="Q1263" s="301">
        <v>0</v>
      </c>
      <c r="R1263" s="301">
        <v>0</v>
      </c>
      <c r="S1263" s="301">
        <v>0</v>
      </c>
      <c r="T1263" s="301">
        <v>0</v>
      </c>
      <c r="U1263" s="301">
        <v>0</v>
      </c>
      <c r="V1263" s="301">
        <v>0</v>
      </c>
      <c r="W1263" s="301">
        <v>0</v>
      </c>
      <c r="X1263" s="301">
        <v>0</v>
      </c>
      <c r="Y1263" s="301">
        <v>0</v>
      </c>
      <c r="Z1263" s="301">
        <v>0</v>
      </c>
      <c r="AA1263" s="301">
        <v>0</v>
      </c>
      <c r="AB1263" s="303">
        <v>2021</v>
      </c>
    </row>
    <row r="1264" spans="1:28" ht="35.25" customHeight="1" x14ac:dyDescent="0.5">
      <c r="A1264">
        <v>1</v>
      </c>
      <c r="B1264" s="80">
        <f>SUBTOTAL(103,$A$808:A1264)</f>
        <v>455</v>
      </c>
      <c r="C1264" s="300" t="s">
        <v>2954</v>
      </c>
      <c r="D1264" s="296">
        <f t="shared" si="55"/>
        <v>927321</v>
      </c>
      <c r="E1264" s="301">
        <v>0</v>
      </c>
      <c r="F1264" s="301">
        <v>0</v>
      </c>
      <c r="G1264" s="301">
        <v>0</v>
      </c>
      <c r="H1264" s="301">
        <v>0</v>
      </c>
      <c r="I1264" s="301">
        <v>0</v>
      </c>
      <c r="J1264" s="301">
        <v>0</v>
      </c>
      <c r="K1264" s="302">
        <v>0</v>
      </c>
      <c r="L1264" s="301">
        <v>0</v>
      </c>
      <c r="M1264" s="301">
        <v>927321</v>
      </c>
      <c r="N1264" s="301">
        <v>0</v>
      </c>
      <c r="O1264" s="301">
        <v>0</v>
      </c>
      <c r="P1264" s="301">
        <v>0</v>
      </c>
      <c r="Q1264" s="301">
        <v>0</v>
      </c>
      <c r="R1264" s="301">
        <v>0</v>
      </c>
      <c r="S1264" s="301">
        <v>0</v>
      </c>
      <c r="T1264" s="301">
        <v>0</v>
      </c>
      <c r="U1264" s="301">
        <v>0</v>
      </c>
      <c r="V1264" s="301">
        <v>0</v>
      </c>
      <c r="W1264" s="301">
        <v>0</v>
      </c>
      <c r="X1264" s="301">
        <v>0</v>
      </c>
      <c r="Y1264" s="301">
        <v>0</v>
      </c>
      <c r="Z1264" s="301">
        <v>0</v>
      </c>
      <c r="AA1264" s="301">
        <v>0</v>
      </c>
      <c r="AB1264" s="303">
        <v>2021</v>
      </c>
    </row>
    <row r="1265" spans="1:28" ht="35.25" customHeight="1" x14ac:dyDescent="0.5">
      <c r="A1265">
        <v>1</v>
      </c>
      <c r="B1265" s="80">
        <f>SUBTOTAL(103,$A$808:A1265)</f>
        <v>456</v>
      </c>
      <c r="C1265" s="300" t="s">
        <v>3047</v>
      </c>
      <c r="D1265" s="296">
        <f t="shared" si="55"/>
        <v>483639</v>
      </c>
      <c r="E1265" s="301">
        <v>148969</v>
      </c>
      <c r="F1265" s="301">
        <v>0</v>
      </c>
      <c r="G1265" s="301">
        <v>148882</v>
      </c>
      <c r="H1265" s="301">
        <v>0</v>
      </c>
      <c r="I1265" s="301">
        <v>0</v>
      </c>
      <c r="J1265" s="301">
        <v>0</v>
      </c>
      <c r="K1265" s="302">
        <v>0</v>
      </c>
      <c r="L1265" s="301">
        <v>0</v>
      </c>
      <c r="M1265" s="301">
        <v>0</v>
      </c>
      <c r="N1265" s="301">
        <v>0</v>
      </c>
      <c r="O1265" s="301">
        <v>185788</v>
      </c>
      <c r="P1265" s="301">
        <v>0</v>
      </c>
      <c r="Q1265" s="301">
        <v>0</v>
      </c>
      <c r="R1265" s="301">
        <v>0</v>
      </c>
      <c r="S1265" s="301">
        <v>0</v>
      </c>
      <c r="T1265" s="301">
        <v>0</v>
      </c>
      <c r="U1265" s="301">
        <v>0</v>
      </c>
      <c r="V1265" s="301">
        <v>0</v>
      </c>
      <c r="W1265" s="301">
        <v>0</v>
      </c>
      <c r="X1265" s="301">
        <v>0</v>
      </c>
      <c r="Y1265" s="301">
        <v>0</v>
      </c>
      <c r="Z1265" s="301">
        <v>0</v>
      </c>
      <c r="AA1265" s="301">
        <v>0</v>
      </c>
      <c r="AB1265" s="303">
        <v>2021</v>
      </c>
    </row>
    <row r="1266" spans="1:28" ht="35.25" customHeight="1" x14ac:dyDescent="0.5">
      <c r="A1266">
        <v>1</v>
      </c>
      <c r="B1266" s="80">
        <f>SUBTOTAL(103,$A$808:A1266)</f>
        <v>457</v>
      </c>
      <c r="C1266" s="300" t="s">
        <v>2047</v>
      </c>
      <c r="D1266" s="296">
        <f t="shared" si="55"/>
        <v>393800</v>
      </c>
      <c r="E1266" s="301">
        <v>0</v>
      </c>
      <c r="F1266" s="301">
        <v>0</v>
      </c>
      <c r="G1266" s="301">
        <v>0</v>
      </c>
      <c r="H1266" s="301">
        <v>0</v>
      </c>
      <c r="I1266" s="301">
        <v>0</v>
      </c>
      <c r="J1266" s="301">
        <v>0</v>
      </c>
      <c r="K1266" s="302">
        <v>0</v>
      </c>
      <c r="L1266" s="301">
        <v>0</v>
      </c>
      <c r="M1266" s="301">
        <v>0</v>
      </c>
      <c r="N1266" s="301">
        <v>0</v>
      </c>
      <c r="O1266" s="301">
        <v>393800</v>
      </c>
      <c r="P1266" s="301">
        <v>0</v>
      </c>
      <c r="Q1266" s="301">
        <v>0</v>
      </c>
      <c r="R1266" s="301">
        <v>0</v>
      </c>
      <c r="S1266" s="301">
        <v>0</v>
      </c>
      <c r="T1266" s="301">
        <v>0</v>
      </c>
      <c r="U1266" s="301">
        <v>0</v>
      </c>
      <c r="V1266" s="301">
        <v>0</v>
      </c>
      <c r="W1266" s="301">
        <v>0</v>
      </c>
      <c r="X1266" s="301">
        <v>0</v>
      </c>
      <c r="Y1266" s="301">
        <v>0</v>
      </c>
      <c r="Z1266" s="301">
        <v>0</v>
      </c>
      <c r="AA1266" s="301">
        <v>0</v>
      </c>
      <c r="AB1266" s="303" t="s">
        <v>2981</v>
      </c>
    </row>
    <row r="1267" spans="1:28" ht="35.25" customHeight="1" x14ac:dyDescent="0.5">
      <c r="A1267">
        <v>1</v>
      </c>
      <c r="B1267" s="80">
        <f>SUBTOTAL(103,$A$808:A1267)</f>
        <v>458</v>
      </c>
      <c r="C1267" s="300" t="s">
        <v>3048</v>
      </c>
      <c r="D1267" s="296">
        <f t="shared" si="55"/>
        <v>85640</v>
      </c>
      <c r="E1267" s="301">
        <v>0</v>
      </c>
      <c r="F1267" s="301">
        <v>0</v>
      </c>
      <c r="G1267" s="301">
        <v>0</v>
      </c>
      <c r="H1267" s="301">
        <v>0</v>
      </c>
      <c r="I1267" s="301">
        <v>0</v>
      </c>
      <c r="J1267" s="301">
        <v>0</v>
      </c>
      <c r="K1267" s="302">
        <v>0</v>
      </c>
      <c r="L1267" s="301">
        <v>0</v>
      </c>
      <c r="M1267" s="301">
        <v>0</v>
      </c>
      <c r="N1267" s="301">
        <v>0</v>
      </c>
      <c r="O1267" s="301">
        <v>85640</v>
      </c>
      <c r="P1267" s="301">
        <v>0</v>
      </c>
      <c r="Q1267" s="301">
        <v>0</v>
      </c>
      <c r="R1267" s="301">
        <v>0</v>
      </c>
      <c r="S1267" s="301">
        <v>0</v>
      </c>
      <c r="T1267" s="301">
        <v>0</v>
      </c>
      <c r="U1267" s="301">
        <v>0</v>
      </c>
      <c r="V1267" s="301">
        <v>0</v>
      </c>
      <c r="W1267" s="301">
        <v>0</v>
      </c>
      <c r="X1267" s="301">
        <v>0</v>
      </c>
      <c r="Y1267" s="301">
        <v>0</v>
      </c>
      <c r="Z1267" s="301">
        <v>0</v>
      </c>
      <c r="AA1267" s="301">
        <v>0</v>
      </c>
      <c r="AB1267" s="303" t="s">
        <v>2981</v>
      </c>
    </row>
    <row r="1268" spans="1:28" ht="35.25" customHeight="1" x14ac:dyDescent="0.5">
      <c r="A1268">
        <v>1</v>
      </c>
      <c r="B1268" s="80">
        <f>SUBTOTAL(103,$A$808:A1268)</f>
        <v>459</v>
      </c>
      <c r="C1268" s="300" t="s">
        <v>3049</v>
      </c>
      <c r="D1268" s="296">
        <f t="shared" si="55"/>
        <v>6096000</v>
      </c>
      <c r="E1268" s="301">
        <v>0</v>
      </c>
      <c r="F1268" s="301">
        <v>0</v>
      </c>
      <c r="G1268" s="301">
        <v>0</v>
      </c>
      <c r="H1268" s="301">
        <v>0</v>
      </c>
      <c r="I1268" s="301">
        <v>0</v>
      </c>
      <c r="J1268" s="301">
        <v>0</v>
      </c>
      <c r="K1268" s="302">
        <v>3</v>
      </c>
      <c r="L1268" s="301">
        <v>6096000</v>
      </c>
      <c r="M1268" s="301">
        <v>0</v>
      </c>
      <c r="N1268" s="301">
        <v>0</v>
      </c>
      <c r="O1268" s="301">
        <v>0</v>
      </c>
      <c r="P1268" s="301">
        <v>0</v>
      </c>
      <c r="Q1268" s="301">
        <v>0</v>
      </c>
      <c r="R1268" s="301">
        <v>0</v>
      </c>
      <c r="S1268" s="301">
        <v>0</v>
      </c>
      <c r="T1268" s="301">
        <v>0</v>
      </c>
      <c r="U1268" s="301">
        <v>0</v>
      </c>
      <c r="V1268" s="301">
        <v>0</v>
      </c>
      <c r="W1268" s="301">
        <v>0</v>
      </c>
      <c r="X1268" s="301">
        <v>0</v>
      </c>
      <c r="Y1268" s="301">
        <v>0</v>
      </c>
      <c r="Z1268" s="301">
        <v>0</v>
      </c>
      <c r="AA1268" s="301">
        <v>0</v>
      </c>
      <c r="AB1268" s="303" t="s">
        <v>2981</v>
      </c>
    </row>
    <row r="1269" spans="1:28" ht="35.25" customHeight="1" x14ac:dyDescent="0.5">
      <c r="A1269">
        <v>1</v>
      </c>
      <c r="B1269" s="80">
        <f>SUBTOTAL(103,$A$808:A1269)</f>
        <v>460</v>
      </c>
      <c r="C1269" s="300" t="s">
        <v>3050</v>
      </c>
      <c r="D1269" s="296">
        <f t="shared" si="55"/>
        <v>176938</v>
      </c>
      <c r="E1269" s="301">
        <v>0</v>
      </c>
      <c r="F1269" s="301">
        <v>176938</v>
      </c>
      <c r="G1269" s="301">
        <v>0</v>
      </c>
      <c r="H1269" s="301">
        <v>0</v>
      </c>
      <c r="I1269" s="301">
        <v>0</v>
      </c>
      <c r="J1269" s="301">
        <v>0</v>
      </c>
      <c r="K1269" s="302">
        <v>0</v>
      </c>
      <c r="L1269" s="301">
        <v>0</v>
      </c>
      <c r="M1269" s="301">
        <v>0</v>
      </c>
      <c r="N1269" s="301">
        <v>0</v>
      </c>
      <c r="O1269" s="301">
        <v>0</v>
      </c>
      <c r="P1269" s="301">
        <v>0</v>
      </c>
      <c r="Q1269" s="301">
        <v>0</v>
      </c>
      <c r="R1269" s="301">
        <v>0</v>
      </c>
      <c r="S1269" s="301">
        <v>0</v>
      </c>
      <c r="T1269" s="301">
        <v>0</v>
      </c>
      <c r="U1269" s="301">
        <v>0</v>
      </c>
      <c r="V1269" s="301">
        <v>0</v>
      </c>
      <c r="W1269" s="301">
        <v>0</v>
      </c>
      <c r="X1269" s="301">
        <v>0</v>
      </c>
      <c r="Y1269" s="301">
        <v>0</v>
      </c>
      <c r="Z1269" s="301">
        <v>0</v>
      </c>
      <c r="AA1269" s="301">
        <v>0</v>
      </c>
      <c r="AB1269" s="303" t="s">
        <v>2981</v>
      </c>
    </row>
    <row r="1270" spans="1:28" ht="35.25" customHeight="1" x14ac:dyDescent="0.5">
      <c r="A1270">
        <v>1</v>
      </c>
      <c r="B1270" s="80">
        <f>SUBTOTAL(103,$A$808:A1270)</f>
        <v>461</v>
      </c>
      <c r="C1270" s="300" t="s">
        <v>2049</v>
      </c>
      <c r="D1270" s="296">
        <f t="shared" si="55"/>
        <v>441001</v>
      </c>
      <c r="E1270" s="301">
        <v>0</v>
      </c>
      <c r="F1270" s="301">
        <v>65000</v>
      </c>
      <c r="G1270" s="301">
        <v>0</v>
      </c>
      <c r="H1270" s="301">
        <v>0</v>
      </c>
      <c r="I1270" s="301">
        <v>60001</v>
      </c>
      <c r="J1270" s="301">
        <v>0</v>
      </c>
      <c r="K1270" s="302">
        <v>0</v>
      </c>
      <c r="L1270" s="301">
        <v>0</v>
      </c>
      <c r="M1270" s="301">
        <v>0</v>
      </c>
      <c r="N1270" s="301">
        <v>0</v>
      </c>
      <c r="O1270" s="301">
        <v>316000</v>
      </c>
      <c r="P1270" s="301">
        <v>0</v>
      </c>
      <c r="Q1270" s="301">
        <v>0</v>
      </c>
      <c r="R1270" s="301">
        <v>0</v>
      </c>
      <c r="S1270" s="301">
        <v>0</v>
      </c>
      <c r="T1270" s="301">
        <v>0</v>
      </c>
      <c r="U1270" s="301">
        <v>0</v>
      </c>
      <c r="V1270" s="301">
        <v>0</v>
      </c>
      <c r="W1270" s="301">
        <v>0</v>
      </c>
      <c r="X1270" s="301">
        <v>0</v>
      </c>
      <c r="Y1270" s="301">
        <v>0</v>
      </c>
      <c r="Z1270" s="301">
        <v>0</v>
      </c>
      <c r="AA1270" s="301">
        <v>0</v>
      </c>
      <c r="AB1270" s="303" t="s">
        <v>2981</v>
      </c>
    </row>
    <row r="1271" spans="1:28" ht="35.25" customHeight="1" x14ac:dyDescent="0.5">
      <c r="A1271">
        <v>1</v>
      </c>
      <c r="B1271" s="80">
        <f>SUBTOTAL(103,$A$808:A1271)</f>
        <v>462</v>
      </c>
      <c r="C1271" s="300" t="s">
        <v>3051</v>
      </c>
      <c r="D1271" s="296">
        <f t="shared" si="55"/>
        <v>3968592.8</v>
      </c>
      <c r="E1271" s="301">
        <v>0</v>
      </c>
      <c r="F1271" s="301">
        <v>0</v>
      </c>
      <c r="G1271" s="301">
        <v>3968592.8</v>
      </c>
      <c r="H1271" s="301">
        <v>0</v>
      </c>
      <c r="I1271" s="301">
        <v>0</v>
      </c>
      <c r="J1271" s="301">
        <v>0</v>
      </c>
      <c r="K1271" s="302">
        <v>0</v>
      </c>
      <c r="L1271" s="301">
        <v>0</v>
      </c>
      <c r="M1271" s="301">
        <v>0</v>
      </c>
      <c r="N1271" s="301">
        <v>0</v>
      </c>
      <c r="O1271" s="301">
        <v>0</v>
      </c>
      <c r="P1271" s="301">
        <v>0</v>
      </c>
      <c r="Q1271" s="301">
        <v>0</v>
      </c>
      <c r="R1271" s="301">
        <v>0</v>
      </c>
      <c r="S1271" s="301">
        <v>0</v>
      </c>
      <c r="T1271" s="301">
        <v>0</v>
      </c>
      <c r="U1271" s="301">
        <v>0</v>
      </c>
      <c r="V1271" s="301">
        <v>0</v>
      </c>
      <c r="W1271" s="301">
        <v>0</v>
      </c>
      <c r="X1271" s="301">
        <v>0</v>
      </c>
      <c r="Y1271" s="301">
        <v>0</v>
      </c>
      <c r="Z1271" s="301">
        <v>0</v>
      </c>
      <c r="AA1271" s="301">
        <v>0</v>
      </c>
      <c r="AB1271" s="303" t="s">
        <v>2981</v>
      </c>
    </row>
    <row r="1272" spans="1:28" ht="35.25" customHeight="1" x14ac:dyDescent="0.5">
      <c r="A1272">
        <v>1</v>
      </c>
      <c r="B1272" s="80">
        <f>SUBTOTAL(103,$A$808:A1272)</f>
        <v>463</v>
      </c>
      <c r="C1272" s="300" t="s">
        <v>3052</v>
      </c>
      <c r="D1272" s="296">
        <f t="shared" si="55"/>
        <v>433489.8</v>
      </c>
      <c r="E1272" s="301">
        <v>0</v>
      </c>
      <c r="F1272" s="301">
        <v>0</v>
      </c>
      <c r="G1272" s="301">
        <v>0</v>
      </c>
      <c r="H1272" s="301">
        <v>0</v>
      </c>
      <c r="I1272" s="301">
        <v>433489.8</v>
      </c>
      <c r="J1272" s="301">
        <v>0</v>
      </c>
      <c r="K1272" s="302">
        <v>0</v>
      </c>
      <c r="L1272" s="301">
        <v>0</v>
      </c>
      <c r="M1272" s="301">
        <v>0</v>
      </c>
      <c r="N1272" s="301">
        <v>0</v>
      </c>
      <c r="O1272" s="301">
        <v>0</v>
      </c>
      <c r="P1272" s="301">
        <v>0</v>
      </c>
      <c r="Q1272" s="301">
        <v>0</v>
      </c>
      <c r="R1272" s="301">
        <v>0</v>
      </c>
      <c r="S1272" s="301">
        <v>0</v>
      </c>
      <c r="T1272" s="301">
        <v>0</v>
      </c>
      <c r="U1272" s="301">
        <v>0</v>
      </c>
      <c r="V1272" s="301">
        <v>0</v>
      </c>
      <c r="W1272" s="301">
        <v>0</v>
      </c>
      <c r="X1272" s="301">
        <v>0</v>
      </c>
      <c r="Y1272" s="301">
        <v>0</v>
      </c>
      <c r="Z1272" s="301">
        <v>0</v>
      </c>
      <c r="AA1272" s="301">
        <v>0</v>
      </c>
      <c r="AB1272" s="303" t="s">
        <v>2981</v>
      </c>
    </row>
    <row r="1273" spans="1:28" ht="35.25" customHeight="1" x14ac:dyDescent="0.5">
      <c r="A1273">
        <v>1</v>
      </c>
      <c r="B1273" s="80">
        <f>SUBTOTAL(103,$A$808:A1273)</f>
        <v>464</v>
      </c>
      <c r="C1273" s="300" t="s">
        <v>2051</v>
      </c>
      <c r="D1273" s="296">
        <f t="shared" si="55"/>
        <v>581000</v>
      </c>
      <c r="E1273" s="301">
        <v>0</v>
      </c>
      <c r="F1273" s="301">
        <v>0</v>
      </c>
      <c r="G1273" s="301">
        <v>0</v>
      </c>
      <c r="H1273" s="301">
        <v>0</v>
      </c>
      <c r="I1273" s="301">
        <v>0</v>
      </c>
      <c r="J1273" s="301">
        <v>0</v>
      </c>
      <c r="K1273" s="302">
        <v>0</v>
      </c>
      <c r="L1273" s="301">
        <v>0</v>
      </c>
      <c r="M1273" s="301">
        <v>0</v>
      </c>
      <c r="N1273" s="301">
        <v>0</v>
      </c>
      <c r="O1273" s="301">
        <v>581000</v>
      </c>
      <c r="P1273" s="301">
        <v>0</v>
      </c>
      <c r="Q1273" s="301">
        <v>0</v>
      </c>
      <c r="R1273" s="301">
        <v>0</v>
      </c>
      <c r="S1273" s="301">
        <v>0</v>
      </c>
      <c r="T1273" s="301">
        <v>0</v>
      </c>
      <c r="U1273" s="301">
        <v>0</v>
      </c>
      <c r="V1273" s="301">
        <v>0</v>
      </c>
      <c r="W1273" s="301">
        <v>0</v>
      </c>
      <c r="X1273" s="301">
        <v>0</v>
      </c>
      <c r="Y1273" s="301">
        <v>0</v>
      </c>
      <c r="Z1273" s="301">
        <v>0</v>
      </c>
      <c r="AA1273" s="301">
        <v>0</v>
      </c>
      <c r="AB1273" s="303" t="s">
        <v>2981</v>
      </c>
    </row>
    <row r="1274" spans="1:28" ht="35.25" customHeight="1" x14ac:dyDescent="0.5">
      <c r="A1274">
        <v>1</v>
      </c>
      <c r="B1274" s="80">
        <f>SUBTOTAL(103,$A$808:A1274)</f>
        <v>465</v>
      </c>
      <c r="C1274" s="300" t="s">
        <v>1739</v>
      </c>
      <c r="D1274" s="296">
        <f t="shared" si="55"/>
        <v>874272</v>
      </c>
      <c r="E1274" s="301">
        <v>0</v>
      </c>
      <c r="F1274" s="301">
        <v>0</v>
      </c>
      <c r="G1274" s="301">
        <v>0</v>
      </c>
      <c r="H1274" s="301">
        <v>0</v>
      </c>
      <c r="I1274" s="301">
        <v>874272</v>
      </c>
      <c r="J1274" s="301">
        <v>0</v>
      </c>
      <c r="K1274" s="302">
        <v>0</v>
      </c>
      <c r="L1274" s="301">
        <v>0</v>
      </c>
      <c r="M1274" s="301">
        <v>0</v>
      </c>
      <c r="N1274" s="301">
        <v>0</v>
      </c>
      <c r="O1274" s="301">
        <v>0</v>
      </c>
      <c r="P1274" s="301">
        <v>0</v>
      </c>
      <c r="Q1274" s="301">
        <v>0</v>
      </c>
      <c r="R1274" s="301">
        <v>0</v>
      </c>
      <c r="S1274" s="301">
        <v>0</v>
      </c>
      <c r="T1274" s="301">
        <v>0</v>
      </c>
      <c r="U1274" s="301">
        <v>0</v>
      </c>
      <c r="V1274" s="301">
        <v>0</v>
      </c>
      <c r="W1274" s="301">
        <v>0</v>
      </c>
      <c r="X1274" s="301">
        <v>0</v>
      </c>
      <c r="Y1274" s="301">
        <v>0</v>
      </c>
      <c r="Z1274" s="301">
        <v>0</v>
      </c>
      <c r="AA1274" s="301">
        <v>0</v>
      </c>
      <c r="AB1274" s="303" t="s">
        <v>2981</v>
      </c>
    </row>
    <row r="1275" spans="1:28" ht="35.25" customHeight="1" x14ac:dyDescent="0.5">
      <c r="A1275">
        <v>1</v>
      </c>
      <c r="B1275" s="80">
        <f>SUBTOTAL(103,$A$808:A1275)</f>
        <v>466</v>
      </c>
      <c r="C1275" s="300" t="s">
        <v>3053</v>
      </c>
      <c r="D1275" s="296">
        <f t="shared" si="55"/>
        <v>1059300</v>
      </c>
      <c r="E1275" s="301">
        <v>0</v>
      </c>
      <c r="F1275" s="301">
        <v>0</v>
      </c>
      <c r="G1275" s="301">
        <v>0</v>
      </c>
      <c r="H1275" s="301">
        <v>0</v>
      </c>
      <c r="I1275" s="301">
        <v>0</v>
      </c>
      <c r="J1275" s="301">
        <v>0</v>
      </c>
      <c r="K1275" s="302">
        <v>0</v>
      </c>
      <c r="L1275" s="301">
        <v>0</v>
      </c>
      <c r="M1275" s="301">
        <v>0</v>
      </c>
      <c r="N1275" s="301">
        <v>0</v>
      </c>
      <c r="O1275" s="301">
        <v>1059300</v>
      </c>
      <c r="P1275" s="301">
        <v>0</v>
      </c>
      <c r="Q1275" s="301">
        <v>0</v>
      </c>
      <c r="R1275" s="301">
        <v>0</v>
      </c>
      <c r="S1275" s="301">
        <v>0</v>
      </c>
      <c r="T1275" s="301">
        <v>0</v>
      </c>
      <c r="U1275" s="301">
        <v>0</v>
      </c>
      <c r="V1275" s="301">
        <v>0</v>
      </c>
      <c r="W1275" s="301">
        <v>0</v>
      </c>
      <c r="X1275" s="301">
        <v>0</v>
      </c>
      <c r="Y1275" s="301">
        <v>0</v>
      </c>
      <c r="Z1275" s="301">
        <v>0</v>
      </c>
      <c r="AA1275" s="301">
        <v>0</v>
      </c>
      <c r="AB1275" s="303" t="s">
        <v>2981</v>
      </c>
    </row>
    <row r="1276" spans="1:28" ht="35.25" customHeight="1" x14ac:dyDescent="0.5">
      <c r="A1276">
        <v>1</v>
      </c>
      <c r="B1276" s="80">
        <f>SUBTOTAL(103,$A$808:A1276)</f>
        <v>467</v>
      </c>
      <c r="C1276" s="300" t="s">
        <v>3054</v>
      </c>
      <c r="D1276" s="296">
        <f t="shared" si="55"/>
        <v>4160465</v>
      </c>
      <c r="E1276" s="301">
        <v>0</v>
      </c>
      <c r="F1276" s="301">
        <v>0</v>
      </c>
      <c r="G1276" s="301">
        <v>0</v>
      </c>
      <c r="H1276" s="301">
        <v>0</v>
      </c>
      <c r="I1276" s="301">
        <v>0</v>
      </c>
      <c r="J1276" s="301">
        <v>0</v>
      </c>
      <c r="K1276" s="302">
        <v>0</v>
      </c>
      <c r="L1276" s="301">
        <v>0</v>
      </c>
      <c r="M1276" s="301">
        <v>0</v>
      </c>
      <c r="N1276" s="301">
        <v>511946</v>
      </c>
      <c r="O1276" s="301">
        <v>2276237</v>
      </c>
      <c r="P1276" s="301">
        <v>1372282</v>
      </c>
      <c r="Q1276" s="301">
        <v>0</v>
      </c>
      <c r="R1276" s="301">
        <v>0</v>
      </c>
      <c r="S1276" s="301">
        <v>0</v>
      </c>
      <c r="T1276" s="301">
        <v>0</v>
      </c>
      <c r="U1276" s="301">
        <v>0</v>
      </c>
      <c r="V1276" s="301">
        <v>0</v>
      </c>
      <c r="W1276" s="301">
        <v>0</v>
      </c>
      <c r="X1276" s="301">
        <v>0</v>
      </c>
      <c r="Y1276" s="301">
        <v>0</v>
      </c>
      <c r="Z1276" s="301">
        <v>0</v>
      </c>
      <c r="AA1276" s="301">
        <v>0</v>
      </c>
      <c r="AB1276" s="303" t="s">
        <v>2981</v>
      </c>
    </row>
    <row r="1277" spans="1:28" ht="35.25" customHeight="1" x14ac:dyDescent="0.5">
      <c r="A1277">
        <v>1</v>
      </c>
      <c r="B1277" s="80">
        <f>SUBTOTAL(103,$A$808:A1277)</f>
        <v>468</v>
      </c>
      <c r="C1277" s="300" t="s">
        <v>3055</v>
      </c>
      <c r="D1277" s="296">
        <f t="shared" si="55"/>
        <v>871561.5</v>
      </c>
      <c r="E1277" s="301">
        <v>0</v>
      </c>
      <c r="F1277" s="301">
        <v>0</v>
      </c>
      <c r="G1277" s="301">
        <v>0</v>
      </c>
      <c r="H1277" s="301">
        <v>0</v>
      </c>
      <c r="I1277" s="301">
        <v>0</v>
      </c>
      <c r="J1277" s="301">
        <v>0</v>
      </c>
      <c r="K1277" s="302">
        <v>0</v>
      </c>
      <c r="L1277" s="301">
        <v>0</v>
      </c>
      <c r="M1277" s="301">
        <v>871561.5</v>
      </c>
      <c r="N1277" s="301">
        <v>0</v>
      </c>
      <c r="O1277" s="301">
        <v>0</v>
      </c>
      <c r="P1277" s="301">
        <v>0</v>
      </c>
      <c r="Q1277" s="301">
        <v>0</v>
      </c>
      <c r="R1277" s="301">
        <v>0</v>
      </c>
      <c r="S1277" s="301">
        <v>0</v>
      </c>
      <c r="T1277" s="301">
        <v>0</v>
      </c>
      <c r="U1277" s="301">
        <v>0</v>
      </c>
      <c r="V1277" s="301">
        <v>0</v>
      </c>
      <c r="W1277" s="301">
        <v>0</v>
      </c>
      <c r="X1277" s="301">
        <v>0</v>
      </c>
      <c r="Y1277" s="301">
        <v>0</v>
      </c>
      <c r="Z1277" s="301">
        <v>0</v>
      </c>
      <c r="AA1277" s="301">
        <v>0</v>
      </c>
      <c r="AB1277" s="303" t="s">
        <v>2981</v>
      </c>
    </row>
    <row r="1278" spans="1:28" ht="35.25" customHeight="1" x14ac:dyDescent="0.5">
      <c r="A1278">
        <v>1</v>
      </c>
      <c r="B1278" s="80">
        <f>SUBTOTAL(103,$A$808:A1278)</f>
        <v>469</v>
      </c>
      <c r="C1278" s="300" t="s">
        <v>3056</v>
      </c>
      <c r="D1278" s="296">
        <f t="shared" si="55"/>
        <v>1178342</v>
      </c>
      <c r="E1278" s="301">
        <v>0</v>
      </c>
      <c r="F1278" s="301">
        <v>0</v>
      </c>
      <c r="G1278" s="301">
        <v>0</v>
      </c>
      <c r="H1278" s="301">
        <v>88342</v>
      </c>
      <c r="I1278" s="301">
        <v>0</v>
      </c>
      <c r="J1278" s="301">
        <v>0</v>
      </c>
      <c r="K1278" s="302">
        <v>0</v>
      </c>
      <c r="L1278" s="301">
        <v>0</v>
      </c>
      <c r="M1278" s="301">
        <f>930000+160000</f>
        <v>1090000</v>
      </c>
      <c r="N1278" s="301">
        <v>0</v>
      </c>
      <c r="O1278" s="301">
        <v>0</v>
      </c>
      <c r="P1278" s="301">
        <v>0</v>
      </c>
      <c r="Q1278" s="301">
        <v>0</v>
      </c>
      <c r="R1278" s="301">
        <v>0</v>
      </c>
      <c r="S1278" s="301">
        <v>0</v>
      </c>
      <c r="T1278" s="301">
        <v>0</v>
      </c>
      <c r="U1278" s="301">
        <v>0</v>
      </c>
      <c r="V1278" s="301">
        <v>0</v>
      </c>
      <c r="W1278" s="301">
        <v>0</v>
      </c>
      <c r="X1278" s="301">
        <v>0</v>
      </c>
      <c r="Y1278" s="301">
        <v>0</v>
      </c>
      <c r="Z1278" s="301">
        <v>0</v>
      </c>
      <c r="AA1278" s="301">
        <v>0</v>
      </c>
      <c r="AB1278" s="303" t="s">
        <v>2981</v>
      </c>
    </row>
    <row r="1279" spans="1:28" ht="35.25" customHeight="1" x14ac:dyDescent="0.5">
      <c r="A1279">
        <v>1</v>
      </c>
      <c r="B1279" s="80">
        <f>SUBTOTAL(103,$A$808:A1279)</f>
        <v>470</v>
      </c>
      <c r="C1279" s="300" t="s">
        <v>3057</v>
      </c>
      <c r="D1279" s="296">
        <f t="shared" si="55"/>
        <v>746237.73</v>
      </c>
      <c r="E1279" s="301">
        <v>0</v>
      </c>
      <c r="F1279" s="301">
        <v>0</v>
      </c>
      <c r="G1279" s="301">
        <v>746237.73</v>
      </c>
      <c r="H1279" s="301">
        <v>0</v>
      </c>
      <c r="I1279" s="301">
        <v>0</v>
      </c>
      <c r="J1279" s="301">
        <v>0</v>
      </c>
      <c r="K1279" s="302">
        <v>0</v>
      </c>
      <c r="L1279" s="301">
        <v>0</v>
      </c>
      <c r="M1279" s="301">
        <v>0</v>
      </c>
      <c r="N1279" s="301">
        <v>0</v>
      </c>
      <c r="O1279" s="301">
        <v>0</v>
      </c>
      <c r="P1279" s="301">
        <v>0</v>
      </c>
      <c r="Q1279" s="301">
        <v>0</v>
      </c>
      <c r="R1279" s="301">
        <v>0</v>
      </c>
      <c r="S1279" s="301">
        <v>0</v>
      </c>
      <c r="T1279" s="301">
        <v>0</v>
      </c>
      <c r="U1279" s="301">
        <v>0</v>
      </c>
      <c r="V1279" s="301">
        <v>0</v>
      </c>
      <c r="W1279" s="301">
        <v>0</v>
      </c>
      <c r="X1279" s="301">
        <v>0</v>
      </c>
      <c r="Y1279" s="301">
        <v>0</v>
      </c>
      <c r="Z1279" s="301">
        <v>0</v>
      </c>
      <c r="AA1279" s="301">
        <v>0</v>
      </c>
      <c r="AB1279" s="303" t="s">
        <v>2981</v>
      </c>
    </row>
    <row r="1280" spans="1:28" ht="35.25" customHeight="1" x14ac:dyDescent="0.5">
      <c r="A1280">
        <v>1</v>
      </c>
      <c r="B1280" s="80">
        <f>SUBTOTAL(103,$A$808:A1280)</f>
        <v>471</v>
      </c>
      <c r="C1280" s="300" t="s">
        <v>3058</v>
      </c>
      <c r="D1280" s="296">
        <f t="shared" si="55"/>
        <v>1968853</v>
      </c>
      <c r="E1280" s="301">
        <v>0</v>
      </c>
      <c r="F1280" s="301">
        <v>0</v>
      </c>
      <c r="G1280" s="301">
        <v>0</v>
      </c>
      <c r="H1280" s="301">
        <v>0</v>
      </c>
      <c r="I1280" s="301">
        <v>0</v>
      </c>
      <c r="J1280" s="301">
        <v>0</v>
      </c>
      <c r="K1280" s="302">
        <v>0</v>
      </c>
      <c r="L1280" s="301">
        <v>0</v>
      </c>
      <c r="M1280" s="301">
        <v>1968853</v>
      </c>
      <c r="N1280" s="301">
        <v>0</v>
      </c>
      <c r="O1280" s="301">
        <v>0</v>
      </c>
      <c r="P1280" s="301">
        <v>0</v>
      </c>
      <c r="Q1280" s="301">
        <v>0</v>
      </c>
      <c r="R1280" s="301">
        <v>0</v>
      </c>
      <c r="S1280" s="301">
        <v>0</v>
      </c>
      <c r="T1280" s="301">
        <v>0</v>
      </c>
      <c r="U1280" s="301">
        <v>0</v>
      </c>
      <c r="V1280" s="301">
        <v>0</v>
      </c>
      <c r="W1280" s="301">
        <v>0</v>
      </c>
      <c r="X1280" s="301">
        <v>0</v>
      </c>
      <c r="Y1280" s="301">
        <v>0</v>
      </c>
      <c r="Z1280" s="301">
        <v>0</v>
      </c>
      <c r="AA1280" s="301">
        <v>0</v>
      </c>
      <c r="AB1280" s="303">
        <v>2021</v>
      </c>
    </row>
    <row r="1281" spans="1:28" ht="35.25" customHeight="1" x14ac:dyDescent="0.5">
      <c r="A1281">
        <v>1</v>
      </c>
      <c r="B1281" s="80">
        <f>SUBTOTAL(103,$A$808:A1281)</f>
        <v>472</v>
      </c>
      <c r="C1281" s="300" t="s">
        <v>3059</v>
      </c>
      <c r="D1281" s="296">
        <f t="shared" si="55"/>
        <v>887143</v>
      </c>
      <c r="E1281" s="301">
        <v>0</v>
      </c>
      <c r="F1281" s="301">
        <v>0</v>
      </c>
      <c r="G1281" s="301">
        <v>0</v>
      </c>
      <c r="H1281" s="301">
        <v>0</v>
      </c>
      <c r="I1281" s="301">
        <v>0</v>
      </c>
      <c r="J1281" s="301">
        <v>0</v>
      </c>
      <c r="K1281" s="302">
        <v>0</v>
      </c>
      <c r="L1281" s="301">
        <v>0</v>
      </c>
      <c r="M1281" s="301">
        <v>0</v>
      </c>
      <c r="N1281" s="301">
        <v>0</v>
      </c>
      <c r="O1281" s="301">
        <v>887143</v>
      </c>
      <c r="P1281" s="301">
        <v>0</v>
      </c>
      <c r="Q1281" s="301">
        <v>0</v>
      </c>
      <c r="R1281" s="301">
        <v>0</v>
      </c>
      <c r="S1281" s="301">
        <v>0</v>
      </c>
      <c r="T1281" s="301">
        <v>0</v>
      </c>
      <c r="U1281" s="301">
        <v>0</v>
      </c>
      <c r="V1281" s="301">
        <v>0</v>
      </c>
      <c r="W1281" s="301">
        <v>0</v>
      </c>
      <c r="X1281" s="301">
        <v>0</v>
      </c>
      <c r="Y1281" s="301">
        <v>0</v>
      </c>
      <c r="Z1281" s="301">
        <v>0</v>
      </c>
      <c r="AA1281" s="301">
        <v>0</v>
      </c>
      <c r="AB1281" s="303">
        <v>2021</v>
      </c>
    </row>
    <row r="1282" spans="1:28" ht="35.25" customHeight="1" x14ac:dyDescent="0.5">
      <c r="A1282">
        <v>1</v>
      </c>
      <c r="B1282" s="80">
        <f>SUBTOTAL(103,$A$808:A1282)</f>
        <v>473</v>
      </c>
      <c r="C1282" s="300" t="s">
        <v>2252</v>
      </c>
      <c r="D1282" s="296">
        <f t="shared" si="55"/>
        <v>501607</v>
      </c>
      <c r="E1282" s="301">
        <v>0</v>
      </c>
      <c r="F1282" s="301">
        <v>0</v>
      </c>
      <c r="G1282" s="301">
        <v>0</v>
      </c>
      <c r="H1282" s="301">
        <v>0</v>
      </c>
      <c r="I1282" s="301">
        <v>0</v>
      </c>
      <c r="J1282" s="301">
        <v>0</v>
      </c>
      <c r="K1282" s="302">
        <v>0</v>
      </c>
      <c r="L1282" s="301">
        <v>0</v>
      </c>
      <c r="M1282" s="301">
        <v>0</v>
      </c>
      <c r="N1282" s="301">
        <v>0</v>
      </c>
      <c r="O1282" s="301">
        <v>501607</v>
      </c>
      <c r="P1282" s="301">
        <v>0</v>
      </c>
      <c r="Q1282" s="301">
        <v>0</v>
      </c>
      <c r="R1282" s="301">
        <v>0</v>
      </c>
      <c r="S1282" s="301">
        <v>0</v>
      </c>
      <c r="T1282" s="301">
        <v>0</v>
      </c>
      <c r="U1282" s="301">
        <v>0</v>
      </c>
      <c r="V1282" s="301">
        <v>0</v>
      </c>
      <c r="W1282" s="301">
        <v>0</v>
      </c>
      <c r="X1282" s="301">
        <v>0</v>
      </c>
      <c r="Y1282" s="301">
        <v>0</v>
      </c>
      <c r="Z1282" s="301">
        <v>0</v>
      </c>
      <c r="AA1282" s="301">
        <v>0</v>
      </c>
      <c r="AB1282" s="303">
        <v>2021</v>
      </c>
    </row>
    <row r="1283" spans="1:28" ht="35.25" customHeight="1" x14ac:dyDescent="0.5">
      <c r="A1283">
        <v>1</v>
      </c>
      <c r="B1283" s="80">
        <f>SUBTOTAL(103,$A$808:A1283)</f>
        <v>474</v>
      </c>
      <c r="C1283" s="300" t="s">
        <v>3060</v>
      </c>
      <c r="D1283" s="296">
        <f t="shared" si="55"/>
        <v>1038198</v>
      </c>
      <c r="E1283" s="301">
        <v>0</v>
      </c>
      <c r="F1283" s="301">
        <v>0</v>
      </c>
      <c r="G1283" s="301">
        <v>0</v>
      </c>
      <c r="H1283" s="301">
        <v>0</v>
      </c>
      <c r="I1283" s="301">
        <v>1038198</v>
      </c>
      <c r="J1283" s="301">
        <v>0</v>
      </c>
      <c r="K1283" s="302">
        <v>0</v>
      </c>
      <c r="L1283" s="301">
        <v>0</v>
      </c>
      <c r="M1283" s="301">
        <v>0</v>
      </c>
      <c r="N1283" s="301">
        <v>0</v>
      </c>
      <c r="O1283" s="301">
        <v>0</v>
      </c>
      <c r="P1283" s="301">
        <v>0</v>
      </c>
      <c r="Q1283" s="301">
        <v>0</v>
      </c>
      <c r="R1283" s="301">
        <v>0</v>
      </c>
      <c r="S1283" s="301">
        <v>0</v>
      </c>
      <c r="T1283" s="301">
        <v>0</v>
      </c>
      <c r="U1283" s="301">
        <v>0</v>
      </c>
      <c r="V1283" s="301">
        <v>0</v>
      </c>
      <c r="W1283" s="301">
        <v>0</v>
      </c>
      <c r="X1283" s="301">
        <v>0</v>
      </c>
      <c r="Y1283" s="301">
        <v>0</v>
      </c>
      <c r="Z1283" s="301">
        <v>0</v>
      </c>
      <c r="AA1283" s="301">
        <v>0</v>
      </c>
      <c r="AB1283" s="303">
        <v>2021</v>
      </c>
    </row>
    <row r="1284" spans="1:28" ht="35.25" customHeight="1" x14ac:dyDescent="0.5">
      <c r="A1284">
        <v>1</v>
      </c>
      <c r="B1284" s="80">
        <f>SUBTOTAL(103,$A$808:A1284)</f>
        <v>475</v>
      </c>
      <c r="C1284" s="300" t="s">
        <v>3061</v>
      </c>
      <c r="D1284" s="296">
        <f t="shared" si="55"/>
        <v>2640285.7999999998</v>
      </c>
      <c r="E1284" s="301">
        <v>0</v>
      </c>
      <c r="F1284" s="301">
        <v>0</v>
      </c>
      <c r="G1284" s="301">
        <v>0</v>
      </c>
      <c r="H1284" s="301">
        <v>387036.8</v>
      </c>
      <c r="I1284" s="301">
        <v>0</v>
      </c>
      <c r="J1284" s="301">
        <v>0</v>
      </c>
      <c r="K1284" s="302">
        <v>0</v>
      </c>
      <c r="L1284" s="301">
        <v>0</v>
      </c>
      <c r="M1284" s="301">
        <v>2168526</v>
      </c>
      <c r="N1284" s="301">
        <v>0</v>
      </c>
      <c r="O1284" s="301">
        <v>84723</v>
      </c>
      <c r="P1284" s="301">
        <v>0</v>
      </c>
      <c r="Q1284" s="301">
        <v>0</v>
      </c>
      <c r="R1284" s="301">
        <v>0</v>
      </c>
      <c r="S1284" s="301">
        <v>0</v>
      </c>
      <c r="T1284" s="301">
        <v>0</v>
      </c>
      <c r="U1284" s="301">
        <v>0</v>
      </c>
      <c r="V1284" s="301">
        <v>0</v>
      </c>
      <c r="W1284" s="301">
        <v>0</v>
      </c>
      <c r="X1284" s="301">
        <v>0</v>
      </c>
      <c r="Y1284" s="301">
        <v>0</v>
      </c>
      <c r="Z1284" s="301">
        <v>0</v>
      </c>
      <c r="AA1284" s="301">
        <v>0</v>
      </c>
      <c r="AB1284" s="303">
        <v>2021</v>
      </c>
    </row>
    <row r="1285" spans="1:28" ht="35.25" customHeight="1" x14ac:dyDescent="0.5">
      <c r="A1285">
        <v>1</v>
      </c>
      <c r="B1285" s="80">
        <f>SUBTOTAL(103,$A$808:A1285)</f>
        <v>476</v>
      </c>
      <c r="C1285" s="300" t="s">
        <v>3062</v>
      </c>
      <c r="D1285" s="296">
        <f t="shared" si="55"/>
        <v>769979</v>
      </c>
      <c r="E1285" s="301">
        <v>0</v>
      </c>
      <c r="F1285" s="301">
        <v>0</v>
      </c>
      <c r="G1285" s="301">
        <v>769979</v>
      </c>
      <c r="H1285" s="301">
        <v>0</v>
      </c>
      <c r="I1285" s="301">
        <v>0</v>
      </c>
      <c r="J1285" s="301">
        <v>0</v>
      </c>
      <c r="K1285" s="302">
        <v>0</v>
      </c>
      <c r="L1285" s="301">
        <v>0</v>
      </c>
      <c r="M1285" s="301">
        <v>0</v>
      </c>
      <c r="N1285" s="301">
        <v>0</v>
      </c>
      <c r="O1285" s="301">
        <v>0</v>
      </c>
      <c r="P1285" s="301">
        <v>0</v>
      </c>
      <c r="Q1285" s="301">
        <v>0</v>
      </c>
      <c r="R1285" s="301">
        <v>0</v>
      </c>
      <c r="S1285" s="301">
        <v>0</v>
      </c>
      <c r="T1285" s="301">
        <v>0</v>
      </c>
      <c r="U1285" s="301">
        <v>0</v>
      </c>
      <c r="V1285" s="301">
        <v>0</v>
      </c>
      <c r="W1285" s="301">
        <v>0</v>
      </c>
      <c r="X1285" s="301">
        <v>0</v>
      </c>
      <c r="Y1285" s="301">
        <v>0</v>
      </c>
      <c r="Z1285" s="301">
        <v>0</v>
      </c>
      <c r="AA1285" s="301">
        <v>0</v>
      </c>
      <c r="AB1285" s="303">
        <v>2021</v>
      </c>
    </row>
    <row r="1286" spans="1:28" ht="35.25" customHeight="1" x14ac:dyDescent="0.5">
      <c r="A1286">
        <v>1</v>
      </c>
      <c r="B1286" s="80">
        <f>SUBTOTAL(103,$A$808:A1286)</f>
        <v>477</v>
      </c>
      <c r="C1286" s="300" t="s">
        <v>2256</v>
      </c>
      <c r="D1286" s="296">
        <f t="shared" si="55"/>
        <v>380490</v>
      </c>
      <c r="E1286" s="301">
        <v>0</v>
      </c>
      <c r="F1286" s="301">
        <v>0</v>
      </c>
      <c r="G1286" s="301">
        <v>0</v>
      </c>
      <c r="H1286" s="301">
        <v>0</v>
      </c>
      <c r="I1286" s="301">
        <v>0</v>
      </c>
      <c r="J1286" s="301">
        <v>0</v>
      </c>
      <c r="K1286" s="302">
        <v>0</v>
      </c>
      <c r="L1286" s="301">
        <v>0</v>
      </c>
      <c r="M1286" s="301">
        <v>0</v>
      </c>
      <c r="N1286" s="301">
        <v>0</v>
      </c>
      <c r="O1286" s="301">
        <v>380490</v>
      </c>
      <c r="P1286" s="301">
        <v>0</v>
      </c>
      <c r="Q1286" s="301">
        <v>0</v>
      </c>
      <c r="R1286" s="301">
        <v>0</v>
      </c>
      <c r="S1286" s="301">
        <v>0</v>
      </c>
      <c r="T1286" s="301">
        <v>0</v>
      </c>
      <c r="U1286" s="301">
        <v>0</v>
      </c>
      <c r="V1286" s="301">
        <v>0</v>
      </c>
      <c r="W1286" s="301">
        <v>0</v>
      </c>
      <c r="X1286" s="301">
        <v>0</v>
      </c>
      <c r="Y1286" s="301">
        <v>0</v>
      </c>
      <c r="Z1286" s="301">
        <v>0</v>
      </c>
      <c r="AA1286" s="301">
        <v>0</v>
      </c>
      <c r="AB1286" s="303">
        <v>2021</v>
      </c>
    </row>
    <row r="1287" spans="1:28" ht="35.25" customHeight="1" x14ac:dyDescent="0.5">
      <c r="A1287">
        <v>1</v>
      </c>
      <c r="B1287" s="80">
        <f>SUBTOTAL(103,$A$808:A1287)</f>
        <v>478</v>
      </c>
      <c r="C1287" s="300" t="s">
        <v>3063</v>
      </c>
      <c r="D1287" s="296">
        <f t="shared" si="55"/>
        <v>806359.2</v>
      </c>
      <c r="E1287" s="301">
        <v>0</v>
      </c>
      <c r="F1287" s="301">
        <v>0</v>
      </c>
      <c r="G1287" s="301">
        <v>0</v>
      </c>
      <c r="H1287" s="301">
        <v>0</v>
      </c>
      <c r="I1287" s="301">
        <v>0</v>
      </c>
      <c r="J1287" s="301">
        <v>0</v>
      </c>
      <c r="K1287" s="302">
        <v>0</v>
      </c>
      <c r="L1287" s="301">
        <v>0</v>
      </c>
      <c r="M1287" s="301">
        <v>0</v>
      </c>
      <c r="N1287" s="301">
        <v>0</v>
      </c>
      <c r="O1287" s="301">
        <v>806359.2</v>
      </c>
      <c r="P1287" s="301">
        <v>0</v>
      </c>
      <c r="Q1287" s="301">
        <v>0</v>
      </c>
      <c r="R1287" s="301">
        <v>0</v>
      </c>
      <c r="S1287" s="301">
        <v>0</v>
      </c>
      <c r="T1287" s="301">
        <v>0</v>
      </c>
      <c r="U1287" s="301">
        <v>0</v>
      </c>
      <c r="V1287" s="301">
        <v>0</v>
      </c>
      <c r="W1287" s="301">
        <v>0</v>
      </c>
      <c r="X1287" s="301">
        <v>0</v>
      </c>
      <c r="Y1287" s="301">
        <v>0</v>
      </c>
      <c r="Z1287" s="301">
        <v>0</v>
      </c>
      <c r="AA1287" s="301">
        <v>0</v>
      </c>
      <c r="AB1287" s="303">
        <v>2021</v>
      </c>
    </row>
    <row r="1288" spans="1:28" ht="35.25" customHeight="1" x14ac:dyDescent="0.5">
      <c r="A1288">
        <v>1</v>
      </c>
      <c r="B1288" s="80">
        <f>SUBTOTAL(103,$A$808:A1288)</f>
        <v>479</v>
      </c>
      <c r="C1288" s="300" t="s">
        <v>3064</v>
      </c>
      <c r="D1288" s="296">
        <f t="shared" si="55"/>
        <v>1042534.5</v>
      </c>
      <c r="E1288" s="301">
        <v>521267.25</v>
      </c>
      <c r="F1288" s="301">
        <v>521267.25</v>
      </c>
      <c r="G1288" s="301">
        <v>0</v>
      </c>
      <c r="H1288" s="301">
        <v>0</v>
      </c>
      <c r="I1288" s="301">
        <v>0</v>
      </c>
      <c r="J1288" s="301">
        <v>0</v>
      </c>
      <c r="K1288" s="302">
        <v>0</v>
      </c>
      <c r="L1288" s="301">
        <v>0</v>
      </c>
      <c r="M1288" s="301">
        <v>0</v>
      </c>
      <c r="N1288" s="301">
        <v>0</v>
      </c>
      <c r="O1288" s="301">
        <v>0</v>
      </c>
      <c r="P1288" s="301">
        <v>0</v>
      </c>
      <c r="Q1288" s="301">
        <v>0</v>
      </c>
      <c r="R1288" s="301">
        <v>0</v>
      </c>
      <c r="S1288" s="301">
        <v>0</v>
      </c>
      <c r="T1288" s="301">
        <v>0</v>
      </c>
      <c r="U1288" s="301">
        <v>0</v>
      </c>
      <c r="V1288" s="301">
        <v>0</v>
      </c>
      <c r="W1288" s="301">
        <v>0</v>
      </c>
      <c r="X1288" s="301">
        <v>0</v>
      </c>
      <c r="Y1288" s="301">
        <v>0</v>
      </c>
      <c r="Z1288" s="301">
        <v>0</v>
      </c>
      <c r="AA1288" s="301">
        <v>0</v>
      </c>
      <c r="AB1288" s="303">
        <v>2021</v>
      </c>
    </row>
    <row r="1289" spans="1:28" ht="35.25" customHeight="1" x14ac:dyDescent="0.5">
      <c r="A1289">
        <v>1</v>
      </c>
      <c r="B1289" s="80">
        <f>SUBTOTAL(103,$A$808:A1289)</f>
        <v>480</v>
      </c>
      <c r="C1289" s="300" t="s">
        <v>2979</v>
      </c>
      <c r="D1289" s="296">
        <f t="shared" ref="D1289:D1352" si="56">E1289+F1289+G1289+H1289+I1289+J1289+L1289+M1289+N1289+O1289+P1289+Q1289+R1289+S1289+T1289+U1289+V1289+W1289+X1289+Y1289+Z1289+AA1289</f>
        <v>317100</v>
      </c>
      <c r="E1289" s="301">
        <v>0</v>
      </c>
      <c r="F1289" s="301">
        <v>0</v>
      </c>
      <c r="G1289" s="301">
        <v>0</v>
      </c>
      <c r="H1289" s="301">
        <v>0</v>
      </c>
      <c r="I1289" s="301">
        <v>0</v>
      </c>
      <c r="J1289" s="301">
        <v>0</v>
      </c>
      <c r="K1289" s="302">
        <v>0</v>
      </c>
      <c r="L1289" s="301">
        <v>0</v>
      </c>
      <c r="M1289" s="301">
        <v>0</v>
      </c>
      <c r="N1289" s="301">
        <v>0</v>
      </c>
      <c r="O1289" s="301">
        <v>0</v>
      </c>
      <c r="P1289" s="301">
        <v>317100</v>
      </c>
      <c r="Q1289" s="301">
        <v>0</v>
      </c>
      <c r="R1289" s="301">
        <v>0</v>
      </c>
      <c r="S1289" s="301">
        <v>0</v>
      </c>
      <c r="T1289" s="301">
        <v>0</v>
      </c>
      <c r="U1289" s="301">
        <v>0</v>
      </c>
      <c r="V1289" s="301">
        <v>0</v>
      </c>
      <c r="W1289" s="301">
        <v>0</v>
      </c>
      <c r="X1289" s="301">
        <v>0</v>
      </c>
      <c r="Y1289" s="301">
        <v>0</v>
      </c>
      <c r="Z1289" s="301">
        <v>0</v>
      </c>
      <c r="AA1289" s="301">
        <v>0</v>
      </c>
      <c r="AB1289" s="303">
        <v>2021</v>
      </c>
    </row>
    <row r="1290" spans="1:28" ht="35.25" customHeight="1" x14ac:dyDescent="0.5">
      <c r="A1290">
        <v>1</v>
      </c>
      <c r="B1290" s="80">
        <f>SUBTOTAL(103,$A$808:A1290)</f>
        <v>481</v>
      </c>
      <c r="C1290" s="300" t="s">
        <v>2052</v>
      </c>
      <c r="D1290" s="296">
        <f t="shared" si="56"/>
        <v>2123076</v>
      </c>
      <c r="E1290" s="301">
        <v>0</v>
      </c>
      <c r="F1290" s="301">
        <v>0</v>
      </c>
      <c r="G1290" s="301">
        <v>0</v>
      </c>
      <c r="H1290" s="301">
        <v>0</v>
      </c>
      <c r="I1290" s="301">
        <v>0</v>
      </c>
      <c r="J1290" s="301">
        <v>0</v>
      </c>
      <c r="K1290" s="302">
        <v>0</v>
      </c>
      <c r="L1290" s="301">
        <v>0</v>
      </c>
      <c r="M1290" s="301">
        <v>2123076</v>
      </c>
      <c r="N1290" s="301">
        <v>0</v>
      </c>
      <c r="O1290" s="301">
        <v>0</v>
      </c>
      <c r="P1290" s="301">
        <v>0</v>
      </c>
      <c r="Q1290" s="301">
        <v>0</v>
      </c>
      <c r="R1290" s="301">
        <v>0</v>
      </c>
      <c r="S1290" s="301">
        <v>0</v>
      </c>
      <c r="T1290" s="301">
        <v>0</v>
      </c>
      <c r="U1290" s="301">
        <v>0</v>
      </c>
      <c r="V1290" s="301">
        <v>0</v>
      </c>
      <c r="W1290" s="301">
        <v>0</v>
      </c>
      <c r="X1290" s="301">
        <v>0</v>
      </c>
      <c r="Y1290" s="301">
        <v>0</v>
      </c>
      <c r="Z1290" s="301">
        <v>0</v>
      </c>
      <c r="AA1290" s="301">
        <v>0</v>
      </c>
      <c r="AB1290" s="303">
        <v>2021</v>
      </c>
    </row>
    <row r="1291" spans="1:28" ht="35.25" customHeight="1" x14ac:dyDescent="0.5">
      <c r="A1291">
        <v>1</v>
      </c>
      <c r="B1291" s="80">
        <f>SUBTOTAL(103,$A$808:A1291)</f>
        <v>482</v>
      </c>
      <c r="C1291" s="300" t="s">
        <v>3065</v>
      </c>
      <c r="D1291" s="296">
        <f t="shared" si="56"/>
        <v>851900</v>
      </c>
      <c r="E1291" s="301">
        <v>0</v>
      </c>
      <c r="F1291" s="301">
        <v>0</v>
      </c>
      <c r="G1291" s="301">
        <v>0</v>
      </c>
      <c r="H1291" s="301">
        <v>0</v>
      </c>
      <c r="I1291" s="301">
        <v>0</v>
      </c>
      <c r="J1291" s="301">
        <v>0</v>
      </c>
      <c r="K1291" s="302">
        <v>0</v>
      </c>
      <c r="L1291" s="301">
        <v>0</v>
      </c>
      <c r="M1291" s="301">
        <v>0</v>
      </c>
      <c r="N1291" s="301">
        <v>0</v>
      </c>
      <c r="O1291" s="301">
        <v>851900</v>
      </c>
      <c r="P1291" s="301">
        <v>0</v>
      </c>
      <c r="Q1291" s="301">
        <v>0</v>
      </c>
      <c r="R1291" s="301">
        <v>0</v>
      </c>
      <c r="S1291" s="301">
        <v>0</v>
      </c>
      <c r="T1291" s="301">
        <v>0</v>
      </c>
      <c r="U1291" s="301">
        <v>0</v>
      </c>
      <c r="V1291" s="301">
        <v>0</v>
      </c>
      <c r="W1291" s="301">
        <v>0</v>
      </c>
      <c r="X1291" s="301">
        <v>0</v>
      </c>
      <c r="Y1291" s="301">
        <v>0</v>
      </c>
      <c r="Z1291" s="301">
        <v>0</v>
      </c>
      <c r="AA1291" s="301">
        <v>0</v>
      </c>
      <c r="AB1291" s="303">
        <v>2021</v>
      </c>
    </row>
    <row r="1292" spans="1:28" ht="35.25" customHeight="1" x14ac:dyDescent="0.5">
      <c r="A1292">
        <v>1</v>
      </c>
      <c r="B1292" s="80">
        <f>SUBTOTAL(103,$A$808:A1292)</f>
        <v>483</v>
      </c>
      <c r="C1292" s="300" t="s">
        <v>3066</v>
      </c>
      <c r="D1292" s="296">
        <f t="shared" si="56"/>
        <v>667048</v>
      </c>
      <c r="E1292" s="301">
        <v>0</v>
      </c>
      <c r="F1292" s="301">
        <v>0</v>
      </c>
      <c r="G1292" s="301">
        <v>0</v>
      </c>
      <c r="H1292" s="301">
        <v>0</v>
      </c>
      <c r="I1292" s="301">
        <v>0</v>
      </c>
      <c r="J1292" s="301">
        <v>0</v>
      </c>
      <c r="K1292" s="302">
        <v>0</v>
      </c>
      <c r="L1292" s="301">
        <v>0</v>
      </c>
      <c r="M1292" s="301">
        <v>667048</v>
      </c>
      <c r="N1292" s="301">
        <v>0</v>
      </c>
      <c r="O1292" s="301">
        <v>0</v>
      </c>
      <c r="P1292" s="301">
        <v>0</v>
      </c>
      <c r="Q1292" s="301">
        <v>0</v>
      </c>
      <c r="R1292" s="301">
        <v>0</v>
      </c>
      <c r="S1292" s="301">
        <v>0</v>
      </c>
      <c r="T1292" s="301">
        <v>0</v>
      </c>
      <c r="U1292" s="301">
        <v>0</v>
      </c>
      <c r="V1292" s="301">
        <v>0</v>
      </c>
      <c r="W1292" s="301">
        <v>0</v>
      </c>
      <c r="X1292" s="301">
        <v>0</v>
      </c>
      <c r="Y1292" s="301">
        <v>0</v>
      </c>
      <c r="Z1292" s="301">
        <v>0</v>
      </c>
      <c r="AA1292" s="301">
        <v>0</v>
      </c>
      <c r="AB1292" s="303">
        <v>2021</v>
      </c>
    </row>
    <row r="1293" spans="1:28" ht="35.25" customHeight="1" x14ac:dyDescent="0.5">
      <c r="A1293">
        <v>1</v>
      </c>
      <c r="B1293" s="80">
        <f>SUBTOTAL(103,$A$808:A1293)</f>
        <v>484</v>
      </c>
      <c r="C1293" s="300" t="s">
        <v>3067</v>
      </c>
      <c r="D1293" s="296">
        <f t="shared" si="56"/>
        <v>610000</v>
      </c>
      <c r="E1293" s="301">
        <v>0</v>
      </c>
      <c r="F1293" s="301">
        <v>0</v>
      </c>
      <c r="G1293" s="301">
        <v>0</v>
      </c>
      <c r="H1293" s="301">
        <v>0</v>
      </c>
      <c r="I1293" s="301">
        <v>0</v>
      </c>
      <c r="J1293" s="301">
        <v>0</v>
      </c>
      <c r="K1293" s="302">
        <v>0</v>
      </c>
      <c r="L1293" s="301">
        <v>0</v>
      </c>
      <c r="M1293" s="301">
        <v>610000</v>
      </c>
      <c r="N1293" s="301">
        <v>0</v>
      </c>
      <c r="O1293" s="301">
        <v>0</v>
      </c>
      <c r="P1293" s="301">
        <v>0</v>
      </c>
      <c r="Q1293" s="301">
        <v>0</v>
      </c>
      <c r="R1293" s="301">
        <v>0</v>
      </c>
      <c r="S1293" s="301">
        <v>0</v>
      </c>
      <c r="T1293" s="301">
        <v>0</v>
      </c>
      <c r="U1293" s="301">
        <v>0</v>
      </c>
      <c r="V1293" s="301">
        <v>0</v>
      </c>
      <c r="W1293" s="301">
        <v>0</v>
      </c>
      <c r="X1293" s="301">
        <v>0</v>
      </c>
      <c r="Y1293" s="301">
        <v>0</v>
      </c>
      <c r="Z1293" s="301">
        <v>0</v>
      </c>
      <c r="AA1293" s="301">
        <v>0</v>
      </c>
      <c r="AB1293" s="303">
        <v>2021</v>
      </c>
    </row>
    <row r="1294" spans="1:28" ht="35.25" customHeight="1" x14ac:dyDescent="0.5">
      <c r="A1294">
        <v>1</v>
      </c>
      <c r="B1294" s="80">
        <f>SUBTOTAL(103,$A$808:A1294)</f>
        <v>485</v>
      </c>
      <c r="C1294" s="300" t="s">
        <v>1742</v>
      </c>
      <c r="D1294" s="296">
        <f t="shared" si="56"/>
        <v>805278.98</v>
      </c>
      <c r="E1294" s="301">
        <v>348668.76</v>
      </c>
      <c r="F1294" s="301">
        <v>456610.22</v>
      </c>
      <c r="G1294" s="301">
        <v>0</v>
      </c>
      <c r="H1294" s="301">
        <v>0</v>
      </c>
      <c r="I1294" s="301">
        <v>0</v>
      </c>
      <c r="J1294" s="301">
        <v>0</v>
      </c>
      <c r="K1294" s="302">
        <v>0</v>
      </c>
      <c r="L1294" s="301">
        <v>0</v>
      </c>
      <c r="M1294" s="301">
        <v>0</v>
      </c>
      <c r="N1294" s="301">
        <v>0</v>
      </c>
      <c r="O1294" s="301">
        <v>0</v>
      </c>
      <c r="P1294" s="301">
        <v>0</v>
      </c>
      <c r="Q1294" s="301">
        <v>0</v>
      </c>
      <c r="R1294" s="301">
        <v>0</v>
      </c>
      <c r="S1294" s="301">
        <v>0</v>
      </c>
      <c r="T1294" s="301">
        <v>0</v>
      </c>
      <c r="U1294" s="301">
        <v>0</v>
      </c>
      <c r="V1294" s="301">
        <v>0</v>
      </c>
      <c r="W1294" s="301">
        <v>0</v>
      </c>
      <c r="X1294" s="301">
        <v>0</v>
      </c>
      <c r="Y1294" s="301">
        <v>0</v>
      </c>
      <c r="Z1294" s="301">
        <v>0</v>
      </c>
      <c r="AA1294" s="301">
        <v>0</v>
      </c>
      <c r="AB1294" s="303">
        <v>2021</v>
      </c>
    </row>
    <row r="1295" spans="1:28" ht="35.25" customHeight="1" x14ac:dyDescent="0.5">
      <c r="A1295">
        <v>1</v>
      </c>
      <c r="B1295" s="80">
        <f>SUBTOTAL(103,$A$808:A1295)</f>
        <v>486</v>
      </c>
      <c r="C1295" s="300" t="s">
        <v>3200</v>
      </c>
      <c r="D1295" s="296">
        <f t="shared" si="56"/>
        <v>4300000</v>
      </c>
      <c r="E1295" s="301">
        <v>0</v>
      </c>
      <c r="F1295" s="301">
        <v>0</v>
      </c>
      <c r="G1295" s="301">
        <v>0</v>
      </c>
      <c r="H1295" s="301">
        <v>0</v>
      </c>
      <c r="I1295" s="301">
        <v>0</v>
      </c>
      <c r="J1295" s="301">
        <v>0</v>
      </c>
      <c r="K1295" s="302">
        <v>0</v>
      </c>
      <c r="L1295" s="301">
        <v>0</v>
      </c>
      <c r="M1295" s="301">
        <v>4300000</v>
      </c>
      <c r="N1295" s="301">
        <v>0</v>
      </c>
      <c r="O1295" s="301">
        <v>0</v>
      </c>
      <c r="P1295" s="301">
        <v>0</v>
      </c>
      <c r="Q1295" s="301">
        <v>0</v>
      </c>
      <c r="R1295" s="301">
        <v>0</v>
      </c>
      <c r="S1295" s="301">
        <v>0</v>
      </c>
      <c r="T1295" s="301">
        <v>0</v>
      </c>
      <c r="U1295" s="301">
        <v>0</v>
      </c>
      <c r="V1295" s="301">
        <v>0</v>
      </c>
      <c r="W1295" s="301">
        <v>0</v>
      </c>
      <c r="X1295" s="301">
        <v>0</v>
      </c>
      <c r="Y1295" s="301">
        <v>0</v>
      </c>
      <c r="Z1295" s="301">
        <v>0</v>
      </c>
      <c r="AA1295" s="301">
        <v>0</v>
      </c>
      <c r="AB1295" s="303">
        <v>2021</v>
      </c>
    </row>
    <row r="1296" spans="1:28" ht="35.25" customHeight="1" x14ac:dyDescent="0.5">
      <c r="A1296">
        <v>1</v>
      </c>
      <c r="B1296" s="80">
        <f>SUBTOTAL(103,$A$808:A1296)</f>
        <v>487</v>
      </c>
      <c r="C1296" s="300" t="s">
        <v>2044</v>
      </c>
      <c r="D1296" s="296">
        <f t="shared" si="56"/>
        <v>3714206.9099999997</v>
      </c>
      <c r="E1296" s="301">
        <v>901562.74</v>
      </c>
      <c r="F1296" s="301">
        <v>1970915.4</v>
      </c>
      <c r="G1296" s="301">
        <v>0</v>
      </c>
      <c r="H1296" s="301">
        <v>841728.77</v>
      </c>
      <c r="I1296" s="301">
        <v>0</v>
      </c>
      <c r="J1296" s="301">
        <v>0</v>
      </c>
      <c r="K1296" s="302">
        <v>0</v>
      </c>
      <c r="L1296" s="301">
        <v>0</v>
      </c>
      <c r="M1296" s="301">
        <v>0</v>
      </c>
      <c r="N1296" s="301">
        <v>0</v>
      </c>
      <c r="O1296" s="304">
        <v>0</v>
      </c>
      <c r="P1296" s="301">
        <v>0</v>
      </c>
      <c r="Q1296" s="301">
        <v>0</v>
      </c>
      <c r="R1296" s="301">
        <v>0</v>
      </c>
      <c r="S1296" s="301">
        <v>0</v>
      </c>
      <c r="T1296" s="301">
        <v>0</v>
      </c>
      <c r="U1296" s="301">
        <v>0</v>
      </c>
      <c r="V1296" s="301">
        <v>0</v>
      </c>
      <c r="W1296" s="301">
        <v>0</v>
      </c>
      <c r="X1296" s="301">
        <v>0</v>
      </c>
      <c r="Y1296" s="301">
        <v>0</v>
      </c>
      <c r="Z1296" s="301">
        <v>0</v>
      </c>
      <c r="AA1296" s="301">
        <v>0</v>
      </c>
      <c r="AB1296" s="303">
        <v>2021</v>
      </c>
    </row>
    <row r="1297" spans="1:28" ht="35.25" customHeight="1" x14ac:dyDescent="0.5">
      <c r="B1297" s="294" t="s">
        <v>986</v>
      </c>
      <c r="C1297" s="300"/>
      <c r="D1297" s="296">
        <f t="shared" si="56"/>
        <v>39000872.310000002</v>
      </c>
      <c r="E1297" s="296">
        <f t="shared" ref="E1297:AA1297" si="57">SUM(E1298:E1338)</f>
        <v>534371.5</v>
      </c>
      <c r="F1297" s="296">
        <f t="shared" si="57"/>
        <v>823376.5</v>
      </c>
      <c r="G1297" s="296">
        <f t="shared" si="57"/>
        <v>4707654.4000000004</v>
      </c>
      <c r="H1297" s="296">
        <f t="shared" si="57"/>
        <v>2836619.76</v>
      </c>
      <c r="I1297" s="296">
        <f t="shared" si="57"/>
        <v>4688556.0599999996</v>
      </c>
      <c r="J1297" s="296">
        <f t="shared" si="57"/>
        <v>589859</v>
      </c>
      <c r="K1297" s="297">
        <f t="shared" si="57"/>
        <v>0</v>
      </c>
      <c r="L1297" s="296">
        <f t="shared" si="57"/>
        <v>0</v>
      </c>
      <c r="M1297" s="296">
        <f t="shared" si="57"/>
        <v>12346148.390000001</v>
      </c>
      <c r="N1297" s="296">
        <f t="shared" si="57"/>
        <v>790001</v>
      </c>
      <c r="O1297" s="296">
        <f t="shared" si="57"/>
        <v>7528992.7000000002</v>
      </c>
      <c r="P1297" s="296">
        <f t="shared" si="57"/>
        <v>686000</v>
      </c>
      <c r="Q1297" s="296">
        <f t="shared" si="57"/>
        <v>0</v>
      </c>
      <c r="R1297" s="296">
        <f t="shared" si="57"/>
        <v>0</v>
      </c>
      <c r="S1297" s="296">
        <f t="shared" si="57"/>
        <v>0</v>
      </c>
      <c r="T1297" s="296">
        <f t="shared" si="57"/>
        <v>0</v>
      </c>
      <c r="U1297" s="296">
        <f t="shared" si="57"/>
        <v>0</v>
      </c>
      <c r="V1297" s="296">
        <f t="shared" si="57"/>
        <v>0</v>
      </c>
      <c r="W1297" s="296">
        <f t="shared" si="57"/>
        <v>3469293</v>
      </c>
      <c r="X1297" s="296">
        <f t="shared" si="57"/>
        <v>0</v>
      </c>
      <c r="Y1297" s="296">
        <f t="shared" si="57"/>
        <v>0</v>
      </c>
      <c r="Z1297" s="296">
        <f t="shared" si="57"/>
        <v>0</v>
      </c>
      <c r="AA1297" s="296">
        <f t="shared" si="57"/>
        <v>0</v>
      </c>
      <c r="AB1297" s="298" t="s">
        <v>835</v>
      </c>
    </row>
    <row r="1298" spans="1:28" ht="35.25" customHeight="1" x14ac:dyDescent="0.5">
      <c r="A1298">
        <v>1</v>
      </c>
      <c r="B1298" s="80">
        <f>SUBTOTAL(103,$A$808:A1298)</f>
        <v>488</v>
      </c>
      <c r="C1298" s="300" t="s">
        <v>2676</v>
      </c>
      <c r="D1298" s="296">
        <f t="shared" si="56"/>
        <v>215348.93</v>
      </c>
      <c r="E1298" s="304">
        <v>0</v>
      </c>
      <c r="F1298" s="304">
        <v>0</v>
      </c>
      <c r="G1298" s="304">
        <v>0</v>
      </c>
      <c r="H1298" s="304">
        <v>0</v>
      </c>
      <c r="I1298" s="304">
        <v>215348.93</v>
      </c>
      <c r="J1298" s="304">
        <v>0</v>
      </c>
      <c r="K1298" s="305">
        <v>0</v>
      </c>
      <c r="L1298" s="304">
        <v>0</v>
      </c>
      <c r="M1298" s="304">
        <v>0</v>
      </c>
      <c r="N1298" s="304">
        <v>0</v>
      </c>
      <c r="O1298" s="304">
        <v>0</v>
      </c>
      <c r="P1298" s="304">
        <v>0</v>
      </c>
      <c r="Q1298" s="304">
        <v>0</v>
      </c>
      <c r="R1298" s="304">
        <v>0</v>
      </c>
      <c r="S1298" s="304">
        <v>0</v>
      </c>
      <c r="T1298" s="304">
        <v>0</v>
      </c>
      <c r="U1298" s="304">
        <v>0</v>
      </c>
      <c r="V1298" s="304">
        <v>0</v>
      </c>
      <c r="W1298" s="304">
        <v>0</v>
      </c>
      <c r="X1298" s="304">
        <v>0</v>
      </c>
      <c r="Y1298" s="304">
        <v>0</v>
      </c>
      <c r="Z1298" s="304">
        <v>0</v>
      </c>
      <c r="AA1298" s="304">
        <v>0</v>
      </c>
      <c r="AB1298" s="307">
        <v>2021</v>
      </c>
    </row>
    <row r="1299" spans="1:28" ht="35.25" customHeight="1" x14ac:dyDescent="0.5">
      <c r="A1299">
        <v>1</v>
      </c>
      <c r="B1299" s="80">
        <f>SUBTOTAL(103,$A$808:A1299)</f>
        <v>489</v>
      </c>
      <c r="C1299" s="300" t="s">
        <v>2814</v>
      </c>
      <c r="D1299" s="296">
        <f t="shared" si="56"/>
        <v>555878</v>
      </c>
      <c r="E1299" s="304">
        <v>0</v>
      </c>
      <c r="F1299" s="304">
        <v>0</v>
      </c>
      <c r="G1299" s="304">
        <v>0</v>
      </c>
      <c r="H1299" s="304">
        <v>0</v>
      </c>
      <c r="I1299" s="304">
        <v>555878</v>
      </c>
      <c r="J1299" s="304">
        <v>0</v>
      </c>
      <c r="K1299" s="305">
        <v>0</v>
      </c>
      <c r="L1299" s="304">
        <v>0</v>
      </c>
      <c r="M1299" s="304">
        <v>0</v>
      </c>
      <c r="N1299" s="304">
        <v>0</v>
      </c>
      <c r="O1299" s="304">
        <v>0</v>
      </c>
      <c r="P1299" s="304">
        <v>0</v>
      </c>
      <c r="Q1299" s="304">
        <v>0</v>
      </c>
      <c r="R1299" s="304">
        <v>0</v>
      </c>
      <c r="S1299" s="304">
        <v>0</v>
      </c>
      <c r="T1299" s="304">
        <v>0</v>
      </c>
      <c r="U1299" s="304">
        <v>0</v>
      </c>
      <c r="V1299" s="304">
        <v>0</v>
      </c>
      <c r="W1299" s="304">
        <v>0</v>
      </c>
      <c r="X1299" s="304">
        <v>0</v>
      </c>
      <c r="Y1299" s="304">
        <v>0</v>
      </c>
      <c r="Z1299" s="304">
        <v>0</v>
      </c>
      <c r="AA1299" s="304">
        <v>0</v>
      </c>
      <c r="AB1299" s="307">
        <v>2021</v>
      </c>
    </row>
    <row r="1300" spans="1:28" ht="35.25" customHeight="1" x14ac:dyDescent="0.5">
      <c r="A1300">
        <v>1</v>
      </c>
      <c r="B1300" s="80">
        <f>SUBTOTAL(103,$A$808:A1300)</f>
        <v>490</v>
      </c>
      <c r="C1300" s="300" t="s">
        <v>1932</v>
      </c>
      <c r="D1300" s="296">
        <f t="shared" si="56"/>
        <v>54540</v>
      </c>
      <c r="E1300" s="304">
        <v>0</v>
      </c>
      <c r="F1300" s="304">
        <v>0</v>
      </c>
      <c r="G1300" s="304">
        <v>0</v>
      </c>
      <c r="H1300" s="304">
        <v>0</v>
      </c>
      <c r="I1300" s="304">
        <v>0</v>
      </c>
      <c r="J1300" s="304">
        <v>0</v>
      </c>
      <c r="K1300" s="305">
        <v>0</v>
      </c>
      <c r="L1300" s="304">
        <v>0</v>
      </c>
      <c r="M1300" s="304">
        <v>54540</v>
      </c>
      <c r="N1300" s="304">
        <v>0</v>
      </c>
      <c r="O1300" s="304">
        <v>0</v>
      </c>
      <c r="P1300" s="304">
        <v>0</v>
      </c>
      <c r="Q1300" s="304">
        <v>0</v>
      </c>
      <c r="R1300" s="304">
        <v>0</v>
      </c>
      <c r="S1300" s="304">
        <v>0</v>
      </c>
      <c r="T1300" s="304">
        <v>0</v>
      </c>
      <c r="U1300" s="304">
        <v>0</v>
      </c>
      <c r="V1300" s="304">
        <v>0</v>
      </c>
      <c r="W1300" s="304">
        <v>0</v>
      </c>
      <c r="X1300" s="304">
        <v>0</v>
      </c>
      <c r="Y1300" s="304">
        <v>0</v>
      </c>
      <c r="Z1300" s="304">
        <v>0</v>
      </c>
      <c r="AA1300" s="304">
        <v>0</v>
      </c>
      <c r="AB1300" s="307">
        <v>2021</v>
      </c>
    </row>
    <row r="1301" spans="1:28" ht="35.25" customHeight="1" x14ac:dyDescent="0.5">
      <c r="A1301">
        <v>1</v>
      </c>
      <c r="B1301" s="80">
        <f>SUBTOTAL(103,$A$808:A1301)</f>
        <v>491</v>
      </c>
      <c r="C1301" s="300" t="s">
        <v>1688</v>
      </c>
      <c r="D1301" s="296">
        <f t="shared" si="56"/>
        <v>696000</v>
      </c>
      <c r="E1301" s="304">
        <v>0</v>
      </c>
      <c r="F1301" s="304">
        <v>0</v>
      </c>
      <c r="G1301" s="304">
        <v>0</v>
      </c>
      <c r="H1301" s="304">
        <v>0</v>
      </c>
      <c r="I1301" s="304">
        <v>0</v>
      </c>
      <c r="J1301" s="304">
        <v>0</v>
      </c>
      <c r="K1301" s="305">
        <v>0</v>
      </c>
      <c r="L1301" s="304">
        <v>0</v>
      </c>
      <c r="M1301" s="304">
        <v>696000</v>
      </c>
      <c r="N1301" s="304">
        <v>0</v>
      </c>
      <c r="O1301" s="304">
        <v>0</v>
      </c>
      <c r="P1301" s="304">
        <v>0</v>
      </c>
      <c r="Q1301" s="304">
        <v>0</v>
      </c>
      <c r="R1301" s="304">
        <v>0</v>
      </c>
      <c r="S1301" s="304">
        <v>0</v>
      </c>
      <c r="T1301" s="304">
        <v>0</v>
      </c>
      <c r="U1301" s="304">
        <v>0</v>
      </c>
      <c r="V1301" s="304">
        <v>0</v>
      </c>
      <c r="W1301" s="304">
        <v>0</v>
      </c>
      <c r="X1301" s="304">
        <v>0</v>
      </c>
      <c r="Y1301" s="304">
        <v>0</v>
      </c>
      <c r="Z1301" s="304">
        <v>0</v>
      </c>
      <c r="AA1301" s="304">
        <v>0</v>
      </c>
      <c r="AB1301" s="307">
        <v>2021</v>
      </c>
    </row>
    <row r="1302" spans="1:28" ht="35.25" customHeight="1" x14ac:dyDescent="0.5">
      <c r="A1302">
        <v>1</v>
      </c>
      <c r="B1302" s="80">
        <f>SUBTOTAL(103,$A$808:A1302)</f>
        <v>492</v>
      </c>
      <c r="C1302" s="300" t="s">
        <v>1933</v>
      </c>
      <c r="D1302" s="296">
        <f t="shared" si="56"/>
        <v>646329</v>
      </c>
      <c r="E1302" s="304">
        <v>116327</v>
      </c>
      <c r="F1302" s="304">
        <v>0</v>
      </c>
      <c r="G1302" s="304">
        <v>0</v>
      </c>
      <c r="H1302" s="304">
        <v>0</v>
      </c>
      <c r="I1302" s="304">
        <v>125000</v>
      </c>
      <c r="J1302" s="304">
        <v>0</v>
      </c>
      <c r="K1302" s="305">
        <v>0</v>
      </c>
      <c r="L1302" s="304">
        <v>0</v>
      </c>
      <c r="M1302" s="304">
        <v>0</v>
      </c>
      <c r="N1302" s="304">
        <v>405002</v>
      </c>
      <c r="O1302" s="304">
        <v>0</v>
      </c>
      <c r="P1302" s="304">
        <v>0</v>
      </c>
      <c r="Q1302" s="304">
        <v>0</v>
      </c>
      <c r="R1302" s="304">
        <v>0</v>
      </c>
      <c r="S1302" s="304">
        <v>0</v>
      </c>
      <c r="T1302" s="304">
        <v>0</v>
      </c>
      <c r="U1302" s="304">
        <v>0</v>
      </c>
      <c r="V1302" s="304">
        <v>0</v>
      </c>
      <c r="W1302" s="304">
        <v>0</v>
      </c>
      <c r="X1302" s="304">
        <v>0</v>
      </c>
      <c r="Y1302" s="304">
        <v>0</v>
      </c>
      <c r="Z1302" s="304">
        <v>0</v>
      </c>
      <c r="AA1302" s="304">
        <v>0</v>
      </c>
      <c r="AB1302" s="307">
        <v>2021</v>
      </c>
    </row>
    <row r="1303" spans="1:28" ht="35.25" customHeight="1" x14ac:dyDescent="0.5">
      <c r="A1303">
        <v>1</v>
      </c>
      <c r="B1303" s="80">
        <f>SUBTOTAL(103,$A$808:A1303)</f>
        <v>493</v>
      </c>
      <c r="C1303" s="300" t="s">
        <v>2815</v>
      </c>
      <c r="D1303" s="296">
        <f t="shared" si="56"/>
        <v>7803783.4399999995</v>
      </c>
      <c r="E1303" s="304">
        <v>0</v>
      </c>
      <c r="F1303" s="304">
        <v>0</v>
      </c>
      <c r="G1303" s="304">
        <v>0</v>
      </c>
      <c r="H1303" s="304">
        <v>0</v>
      </c>
      <c r="I1303" s="304">
        <v>0</v>
      </c>
      <c r="J1303" s="304">
        <v>319993</v>
      </c>
      <c r="K1303" s="305">
        <v>0</v>
      </c>
      <c r="L1303" s="304">
        <v>0</v>
      </c>
      <c r="M1303" s="304">
        <v>2749039.44</v>
      </c>
      <c r="N1303" s="304">
        <v>0</v>
      </c>
      <c r="O1303" s="304">
        <v>3134786</v>
      </c>
      <c r="P1303" s="304">
        <v>0</v>
      </c>
      <c r="Q1303" s="304">
        <v>0</v>
      </c>
      <c r="R1303" s="304">
        <v>0</v>
      </c>
      <c r="S1303" s="304">
        <v>0</v>
      </c>
      <c r="T1303" s="304">
        <v>0</v>
      </c>
      <c r="U1303" s="304">
        <v>0</v>
      </c>
      <c r="V1303" s="304">
        <v>0</v>
      </c>
      <c r="W1303" s="304">
        <v>1599965</v>
      </c>
      <c r="X1303" s="304">
        <v>0</v>
      </c>
      <c r="Y1303" s="304">
        <v>0</v>
      </c>
      <c r="Z1303" s="304">
        <v>0</v>
      </c>
      <c r="AA1303" s="304">
        <v>0</v>
      </c>
      <c r="AB1303" s="307">
        <v>2021</v>
      </c>
    </row>
    <row r="1304" spans="1:28" ht="35.25" customHeight="1" x14ac:dyDescent="0.5">
      <c r="A1304">
        <v>1</v>
      </c>
      <c r="B1304" s="80">
        <f>SUBTOTAL(103,$A$808:A1304)</f>
        <v>494</v>
      </c>
      <c r="C1304" s="300" t="s">
        <v>1936</v>
      </c>
      <c r="D1304" s="296">
        <f t="shared" si="56"/>
        <v>90000</v>
      </c>
      <c r="E1304" s="304">
        <v>0</v>
      </c>
      <c r="F1304" s="304">
        <v>0</v>
      </c>
      <c r="G1304" s="304">
        <v>0</v>
      </c>
      <c r="H1304" s="304">
        <v>0</v>
      </c>
      <c r="I1304" s="304">
        <v>0</v>
      </c>
      <c r="J1304" s="304">
        <v>0</v>
      </c>
      <c r="K1304" s="305">
        <v>0</v>
      </c>
      <c r="L1304" s="304">
        <v>0</v>
      </c>
      <c r="M1304" s="304">
        <v>0</v>
      </c>
      <c r="N1304" s="304">
        <v>0</v>
      </c>
      <c r="O1304" s="304">
        <v>0</v>
      </c>
      <c r="P1304" s="304">
        <v>90000</v>
      </c>
      <c r="Q1304" s="304">
        <v>0</v>
      </c>
      <c r="R1304" s="304">
        <v>0</v>
      </c>
      <c r="S1304" s="304">
        <v>0</v>
      </c>
      <c r="T1304" s="304">
        <v>0</v>
      </c>
      <c r="U1304" s="304">
        <v>0</v>
      </c>
      <c r="V1304" s="304">
        <v>0</v>
      </c>
      <c r="W1304" s="304">
        <v>0</v>
      </c>
      <c r="X1304" s="304">
        <v>0</v>
      </c>
      <c r="Y1304" s="304">
        <v>0</v>
      </c>
      <c r="Z1304" s="304">
        <v>0</v>
      </c>
      <c r="AA1304" s="304">
        <v>0</v>
      </c>
      <c r="AB1304" s="307">
        <v>2021</v>
      </c>
    </row>
    <row r="1305" spans="1:28" ht="35.25" customHeight="1" x14ac:dyDescent="0.5">
      <c r="A1305">
        <v>1</v>
      </c>
      <c r="B1305" s="80">
        <f>SUBTOTAL(103,$A$808:A1305)</f>
        <v>495</v>
      </c>
      <c r="C1305" s="300" t="s">
        <v>1937</v>
      </c>
      <c r="D1305" s="296">
        <f t="shared" si="56"/>
        <v>504000</v>
      </c>
      <c r="E1305" s="304">
        <v>0</v>
      </c>
      <c r="F1305" s="304">
        <v>0</v>
      </c>
      <c r="G1305" s="304">
        <v>0</v>
      </c>
      <c r="H1305" s="304">
        <v>0</v>
      </c>
      <c r="I1305" s="304">
        <v>0</v>
      </c>
      <c r="J1305" s="304">
        <v>0</v>
      </c>
      <c r="K1305" s="305">
        <v>0</v>
      </c>
      <c r="L1305" s="304">
        <v>0</v>
      </c>
      <c r="M1305" s="304">
        <v>504000</v>
      </c>
      <c r="N1305" s="304">
        <v>0</v>
      </c>
      <c r="O1305" s="304">
        <v>0</v>
      </c>
      <c r="P1305" s="304">
        <v>0</v>
      </c>
      <c r="Q1305" s="304">
        <v>0</v>
      </c>
      <c r="R1305" s="304">
        <v>0</v>
      </c>
      <c r="S1305" s="304">
        <v>0</v>
      </c>
      <c r="T1305" s="304">
        <v>0</v>
      </c>
      <c r="U1305" s="304">
        <v>0</v>
      </c>
      <c r="V1305" s="304">
        <v>0</v>
      </c>
      <c r="W1305" s="304">
        <v>0</v>
      </c>
      <c r="X1305" s="304">
        <v>0</v>
      </c>
      <c r="Y1305" s="304">
        <v>0</v>
      </c>
      <c r="Z1305" s="304">
        <v>0</v>
      </c>
      <c r="AA1305" s="304">
        <v>0</v>
      </c>
      <c r="AB1305" s="307">
        <v>2021</v>
      </c>
    </row>
    <row r="1306" spans="1:28" ht="35.25" customHeight="1" x14ac:dyDescent="0.5">
      <c r="A1306">
        <v>1</v>
      </c>
      <c r="B1306" s="80">
        <f>SUBTOTAL(103,$A$808:A1306)</f>
        <v>496</v>
      </c>
      <c r="C1306" s="300" t="s">
        <v>1939</v>
      </c>
      <c r="D1306" s="296">
        <f t="shared" si="56"/>
        <v>2062999.3</v>
      </c>
      <c r="E1306" s="304">
        <v>0</v>
      </c>
      <c r="F1306" s="304">
        <v>0</v>
      </c>
      <c r="G1306" s="304">
        <v>0</v>
      </c>
      <c r="H1306" s="304">
        <v>0</v>
      </c>
      <c r="I1306" s="304">
        <v>0</v>
      </c>
      <c r="J1306" s="304">
        <v>0</v>
      </c>
      <c r="K1306" s="305">
        <v>0</v>
      </c>
      <c r="L1306" s="304">
        <v>0</v>
      </c>
      <c r="M1306" s="304">
        <v>2062999.3</v>
      </c>
      <c r="N1306" s="304">
        <v>0</v>
      </c>
      <c r="O1306" s="304">
        <v>0</v>
      </c>
      <c r="P1306" s="304">
        <v>0</v>
      </c>
      <c r="Q1306" s="304">
        <v>0</v>
      </c>
      <c r="R1306" s="304">
        <v>0</v>
      </c>
      <c r="S1306" s="304">
        <v>0</v>
      </c>
      <c r="T1306" s="304">
        <v>0</v>
      </c>
      <c r="U1306" s="304">
        <v>0</v>
      </c>
      <c r="V1306" s="304">
        <v>0</v>
      </c>
      <c r="W1306" s="304">
        <v>0</v>
      </c>
      <c r="X1306" s="304">
        <v>0</v>
      </c>
      <c r="Y1306" s="304">
        <v>0</v>
      </c>
      <c r="Z1306" s="304">
        <v>0</v>
      </c>
      <c r="AA1306" s="304">
        <v>0</v>
      </c>
      <c r="AB1306" s="307">
        <v>2021</v>
      </c>
    </row>
    <row r="1307" spans="1:28" ht="35.25" customHeight="1" x14ac:dyDescent="0.5">
      <c r="A1307">
        <v>1</v>
      </c>
      <c r="B1307" s="80">
        <f>SUBTOTAL(103,$A$808:A1307)</f>
        <v>497</v>
      </c>
      <c r="C1307" s="300" t="s">
        <v>2373</v>
      </c>
      <c r="D1307" s="296">
        <f t="shared" si="56"/>
        <v>274547.24</v>
      </c>
      <c r="E1307" s="304">
        <v>0</v>
      </c>
      <c r="F1307" s="304">
        <v>0</v>
      </c>
      <c r="G1307" s="304">
        <v>0</v>
      </c>
      <c r="H1307" s="304">
        <v>0</v>
      </c>
      <c r="I1307" s="304">
        <v>0</v>
      </c>
      <c r="J1307" s="304">
        <v>0</v>
      </c>
      <c r="K1307" s="305">
        <v>0</v>
      </c>
      <c r="L1307" s="304">
        <v>0</v>
      </c>
      <c r="M1307" s="304">
        <v>0</v>
      </c>
      <c r="N1307" s="304">
        <v>0</v>
      </c>
      <c r="O1307" s="304">
        <v>274547.24</v>
      </c>
      <c r="P1307" s="304">
        <v>0</v>
      </c>
      <c r="Q1307" s="304">
        <v>0</v>
      </c>
      <c r="R1307" s="304">
        <v>0</v>
      </c>
      <c r="S1307" s="304">
        <v>0</v>
      </c>
      <c r="T1307" s="304">
        <v>0</v>
      </c>
      <c r="U1307" s="304">
        <v>0</v>
      </c>
      <c r="V1307" s="304">
        <v>0</v>
      </c>
      <c r="W1307" s="304">
        <v>0</v>
      </c>
      <c r="X1307" s="304">
        <v>0</v>
      </c>
      <c r="Y1307" s="304">
        <v>0</v>
      </c>
      <c r="Z1307" s="304">
        <v>0</v>
      </c>
      <c r="AA1307" s="304">
        <v>0</v>
      </c>
      <c r="AB1307" s="307">
        <v>2021</v>
      </c>
    </row>
    <row r="1308" spans="1:28" ht="35.25" customHeight="1" x14ac:dyDescent="0.5">
      <c r="A1308">
        <v>1</v>
      </c>
      <c r="B1308" s="80">
        <f>SUBTOTAL(103,$A$808:A1308)</f>
        <v>498</v>
      </c>
      <c r="C1308" s="300" t="s">
        <v>2374</v>
      </c>
      <c r="D1308" s="296">
        <f t="shared" si="56"/>
        <v>1141941.01</v>
      </c>
      <c r="E1308" s="304">
        <v>0</v>
      </c>
      <c r="F1308" s="304">
        <v>0</v>
      </c>
      <c r="G1308" s="304">
        <v>0</v>
      </c>
      <c r="H1308" s="304">
        <v>0</v>
      </c>
      <c r="I1308" s="304">
        <v>0</v>
      </c>
      <c r="J1308" s="304">
        <v>0</v>
      </c>
      <c r="K1308" s="305">
        <v>0</v>
      </c>
      <c r="L1308" s="304">
        <v>0</v>
      </c>
      <c r="M1308" s="304">
        <v>0</v>
      </c>
      <c r="N1308" s="304">
        <v>0</v>
      </c>
      <c r="O1308" s="304">
        <v>1141941.01</v>
      </c>
      <c r="P1308" s="304">
        <v>0</v>
      </c>
      <c r="Q1308" s="304">
        <v>0</v>
      </c>
      <c r="R1308" s="304">
        <v>0</v>
      </c>
      <c r="S1308" s="304">
        <v>0</v>
      </c>
      <c r="T1308" s="304">
        <v>0</v>
      </c>
      <c r="U1308" s="304">
        <v>0</v>
      </c>
      <c r="V1308" s="304">
        <v>0</v>
      </c>
      <c r="W1308" s="304">
        <v>0</v>
      </c>
      <c r="X1308" s="304">
        <v>0</v>
      </c>
      <c r="Y1308" s="304">
        <v>0</v>
      </c>
      <c r="Z1308" s="304">
        <v>0</v>
      </c>
      <c r="AA1308" s="304">
        <v>0</v>
      </c>
      <c r="AB1308" s="307">
        <v>2021</v>
      </c>
    </row>
    <row r="1309" spans="1:28" ht="35.25" customHeight="1" x14ac:dyDescent="0.5">
      <c r="A1309">
        <v>1</v>
      </c>
      <c r="B1309" s="80">
        <f>SUBTOTAL(103,$A$808:A1309)</f>
        <v>499</v>
      </c>
      <c r="C1309" s="300" t="s">
        <v>2816</v>
      </c>
      <c r="D1309" s="296">
        <f t="shared" si="56"/>
        <v>352996</v>
      </c>
      <c r="E1309" s="304">
        <v>0</v>
      </c>
      <c r="F1309" s="304">
        <v>0</v>
      </c>
      <c r="G1309" s="304">
        <v>0</v>
      </c>
      <c r="H1309" s="304">
        <v>0</v>
      </c>
      <c r="I1309" s="304">
        <v>352996</v>
      </c>
      <c r="J1309" s="304">
        <v>0</v>
      </c>
      <c r="K1309" s="305">
        <v>0</v>
      </c>
      <c r="L1309" s="304">
        <v>0</v>
      </c>
      <c r="M1309" s="304">
        <v>0</v>
      </c>
      <c r="N1309" s="304">
        <v>0</v>
      </c>
      <c r="O1309" s="304">
        <v>0</v>
      </c>
      <c r="P1309" s="304">
        <v>0</v>
      </c>
      <c r="Q1309" s="304">
        <v>0</v>
      </c>
      <c r="R1309" s="304">
        <v>0</v>
      </c>
      <c r="S1309" s="304">
        <v>0</v>
      </c>
      <c r="T1309" s="304">
        <v>0</v>
      </c>
      <c r="U1309" s="304">
        <v>0</v>
      </c>
      <c r="V1309" s="304">
        <v>0</v>
      </c>
      <c r="W1309" s="304">
        <v>0</v>
      </c>
      <c r="X1309" s="304">
        <v>0</v>
      </c>
      <c r="Y1309" s="304">
        <v>0</v>
      </c>
      <c r="Z1309" s="304">
        <v>0</v>
      </c>
      <c r="AA1309" s="304">
        <v>0</v>
      </c>
      <c r="AB1309" s="307">
        <v>2021</v>
      </c>
    </row>
    <row r="1310" spans="1:28" ht="35.25" customHeight="1" x14ac:dyDescent="0.5">
      <c r="A1310">
        <v>1</v>
      </c>
      <c r="B1310" s="80">
        <f>SUBTOTAL(103,$A$808:A1310)</f>
        <v>500</v>
      </c>
      <c r="C1310" s="300" t="s">
        <v>1940</v>
      </c>
      <c r="D1310" s="296">
        <f t="shared" si="56"/>
        <v>198554.4</v>
      </c>
      <c r="E1310" s="304">
        <v>0</v>
      </c>
      <c r="F1310" s="304">
        <v>0</v>
      </c>
      <c r="G1310" s="304">
        <v>198554.4</v>
      </c>
      <c r="H1310" s="304">
        <v>0</v>
      </c>
      <c r="I1310" s="304">
        <v>0</v>
      </c>
      <c r="J1310" s="304">
        <v>0</v>
      </c>
      <c r="K1310" s="305">
        <v>0</v>
      </c>
      <c r="L1310" s="304">
        <v>0</v>
      </c>
      <c r="M1310" s="304">
        <v>0</v>
      </c>
      <c r="N1310" s="304">
        <v>0</v>
      </c>
      <c r="O1310" s="304">
        <v>0</v>
      </c>
      <c r="P1310" s="304">
        <v>0</v>
      </c>
      <c r="Q1310" s="304">
        <v>0</v>
      </c>
      <c r="R1310" s="304">
        <v>0</v>
      </c>
      <c r="S1310" s="304">
        <v>0</v>
      </c>
      <c r="T1310" s="304">
        <v>0</v>
      </c>
      <c r="U1310" s="304">
        <v>0</v>
      </c>
      <c r="V1310" s="304">
        <v>0</v>
      </c>
      <c r="W1310" s="304">
        <v>0</v>
      </c>
      <c r="X1310" s="304">
        <v>0</v>
      </c>
      <c r="Y1310" s="304">
        <v>0</v>
      </c>
      <c r="Z1310" s="304">
        <v>0</v>
      </c>
      <c r="AA1310" s="304">
        <v>0</v>
      </c>
      <c r="AB1310" s="307">
        <v>2021</v>
      </c>
    </row>
    <row r="1311" spans="1:28" ht="35.25" customHeight="1" x14ac:dyDescent="0.5">
      <c r="A1311">
        <v>1</v>
      </c>
      <c r="B1311" s="80">
        <f>SUBTOTAL(103,$A$808:A1311)</f>
        <v>501</v>
      </c>
      <c r="C1311" s="300" t="s">
        <v>2817</v>
      </c>
      <c r="D1311" s="296">
        <f t="shared" si="56"/>
        <v>921600</v>
      </c>
      <c r="E1311" s="304">
        <v>0</v>
      </c>
      <c r="F1311" s="304">
        <v>0</v>
      </c>
      <c r="G1311" s="304">
        <v>0</v>
      </c>
      <c r="H1311" s="304">
        <v>921600</v>
      </c>
      <c r="I1311" s="304">
        <v>0</v>
      </c>
      <c r="J1311" s="304">
        <v>0</v>
      </c>
      <c r="K1311" s="305">
        <v>0</v>
      </c>
      <c r="L1311" s="304">
        <v>0</v>
      </c>
      <c r="M1311" s="304">
        <v>0</v>
      </c>
      <c r="N1311" s="304">
        <v>0</v>
      </c>
      <c r="O1311" s="304">
        <v>0</v>
      </c>
      <c r="P1311" s="304">
        <v>0</v>
      </c>
      <c r="Q1311" s="304">
        <v>0</v>
      </c>
      <c r="R1311" s="304">
        <v>0</v>
      </c>
      <c r="S1311" s="304">
        <v>0</v>
      </c>
      <c r="T1311" s="304">
        <v>0</v>
      </c>
      <c r="U1311" s="304">
        <v>0</v>
      </c>
      <c r="V1311" s="304">
        <v>0</v>
      </c>
      <c r="W1311" s="304">
        <v>0</v>
      </c>
      <c r="X1311" s="304">
        <v>0</v>
      </c>
      <c r="Y1311" s="304">
        <v>0</v>
      </c>
      <c r="Z1311" s="304">
        <v>0</v>
      </c>
      <c r="AA1311" s="304">
        <v>0</v>
      </c>
      <c r="AB1311" s="307">
        <v>2021</v>
      </c>
    </row>
    <row r="1312" spans="1:28" ht="35.25" customHeight="1" x14ac:dyDescent="0.5">
      <c r="A1312">
        <v>1</v>
      </c>
      <c r="B1312" s="80">
        <f>SUBTOTAL(103,$A$808:A1312)</f>
        <v>502</v>
      </c>
      <c r="C1312" s="300" t="s">
        <v>2818</v>
      </c>
      <c r="D1312" s="296">
        <f t="shared" si="56"/>
        <v>4318554</v>
      </c>
      <c r="E1312" s="304">
        <v>0</v>
      </c>
      <c r="F1312" s="304">
        <v>0</v>
      </c>
      <c r="G1312" s="304">
        <v>0</v>
      </c>
      <c r="H1312" s="304">
        <v>1287450</v>
      </c>
      <c r="I1312" s="304">
        <v>0</v>
      </c>
      <c r="J1312" s="304">
        <v>269866</v>
      </c>
      <c r="K1312" s="305">
        <v>0</v>
      </c>
      <c r="L1312" s="304">
        <v>0</v>
      </c>
      <c r="M1312" s="304">
        <v>1411916</v>
      </c>
      <c r="N1312" s="304">
        <v>0</v>
      </c>
      <c r="O1312" s="304">
        <v>0</v>
      </c>
      <c r="P1312" s="304">
        <v>0</v>
      </c>
      <c r="Q1312" s="304">
        <v>0</v>
      </c>
      <c r="R1312" s="304">
        <v>0</v>
      </c>
      <c r="S1312" s="304">
        <v>0</v>
      </c>
      <c r="T1312" s="304">
        <v>0</v>
      </c>
      <c r="U1312" s="304">
        <v>0</v>
      </c>
      <c r="V1312" s="304">
        <v>0</v>
      </c>
      <c r="W1312" s="304">
        <v>1349322</v>
      </c>
      <c r="X1312" s="304">
        <v>0</v>
      </c>
      <c r="Y1312" s="304">
        <v>0</v>
      </c>
      <c r="Z1312" s="304">
        <v>0</v>
      </c>
      <c r="AA1312" s="304">
        <v>0</v>
      </c>
      <c r="AB1312" s="307">
        <v>2021</v>
      </c>
    </row>
    <row r="1313" spans="1:28" ht="35.25" customHeight="1" x14ac:dyDescent="0.5">
      <c r="A1313">
        <v>1</v>
      </c>
      <c r="B1313" s="80">
        <f>SUBTOTAL(103,$A$808:A1313)</f>
        <v>503</v>
      </c>
      <c r="C1313" s="300" t="s">
        <v>2819</v>
      </c>
      <c r="D1313" s="296">
        <f t="shared" si="56"/>
        <v>1052200</v>
      </c>
      <c r="E1313" s="304">
        <v>0</v>
      </c>
      <c r="F1313" s="304">
        <v>0</v>
      </c>
      <c r="G1313" s="304">
        <v>0</v>
      </c>
      <c r="H1313" s="304">
        <v>0</v>
      </c>
      <c r="I1313" s="304">
        <v>1052200</v>
      </c>
      <c r="J1313" s="304">
        <v>0</v>
      </c>
      <c r="K1313" s="305">
        <v>0</v>
      </c>
      <c r="L1313" s="304">
        <v>0</v>
      </c>
      <c r="M1313" s="304">
        <v>0</v>
      </c>
      <c r="N1313" s="304">
        <v>0</v>
      </c>
      <c r="O1313" s="304">
        <v>0</v>
      </c>
      <c r="P1313" s="304">
        <v>0</v>
      </c>
      <c r="Q1313" s="304">
        <v>0</v>
      </c>
      <c r="R1313" s="304">
        <v>0</v>
      </c>
      <c r="S1313" s="304">
        <v>0</v>
      </c>
      <c r="T1313" s="304">
        <v>0</v>
      </c>
      <c r="U1313" s="304">
        <v>0</v>
      </c>
      <c r="V1313" s="304">
        <v>0</v>
      </c>
      <c r="W1313" s="304">
        <v>0</v>
      </c>
      <c r="X1313" s="304">
        <v>0</v>
      </c>
      <c r="Y1313" s="304">
        <v>0</v>
      </c>
      <c r="Z1313" s="304">
        <v>0</v>
      </c>
      <c r="AA1313" s="304">
        <v>0</v>
      </c>
      <c r="AB1313" s="307">
        <v>2021</v>
      </c>
    </row>
    <row r="1314" spans="1:28" ht="35.25" customHeight="1" x14ac:dyDescent="0.5">
      <c r="A1314">
        <v>1</v>
      </c>
      <c r="B1314" s="80">
        <f>SUBTOTAL(103,$A$808:A1314)</f>
        <v>504</v>
      </c>
      <c r="C1314" s="300" t="s">
        <v>1942</v>
      </c>
      <c r="D1314" s="296">
        <f t="shared" si="56"/>
        <v>244383</v>
      </c>
      <c r="E1314" s="304">
        <v>244383</v>
      </c>
      <c r="F1314" s="304">
        <v>0</v>
      </c>
      <c r="G1314" s="304">
        <v>0</v>
      </c>
      <c r="H1314" s="304">
        <v>0</v>
      </c>
      <c r="I1314" s="304">
        <v>0</v>
      </c>
      <c r="J1314" s="304">
        <v>0</v>
      </c>
      <c r="K1314" s="305">
        <v>0</v>
      </c>
      <c r="L1314" s="304">
        <v>0</v>
      </c>
      <c r="M1314" s="304">
        <v>0</v>
      </c>
      <c r="N1314" s="304">
        <v>0</v>
      </c>
      <c r="O1314" s="304">
        <v>0</v>
      </c>
      <c r="P1314" s="304">
        <v>0</v>
      </c>
      <c r="Q1314" s="304">
        <v>0</v>
      </c>
      <c r="R1314" s="304">
        <v>0</v>
      </c>
      <c r="S1314" s="304">
        <v>0</v>
      </c>
      <c r="T1314" s="304">
        <v>0</v>
      </c>
      <c r="U1314" s="304">
        <v>0</v>
      </c>
      <c r="V1314" s="304">
        <v>0</v>
      </c>
      <c r="W1314" s="304">
        <v>0</v>
      </c>
      <c r="X1314" s="304">
        <v>0</v>
      </c>
      <c r="Y1314" s="304">
        <v>0</v>
      </c>
      <c r="Z1314" s="304">
        <v>0</v>
      </c>
      <c r="AA1314" s="304">
        <v>0</v>
      </c>
      <c r="AB1314" s="307">
        <v>2021</v>
      </c>
    </row>
    <row r="1315" spans="1:28" ht="35.25" customHeight="1" x14ac:dyDescent="0.5">
      <c r="A1315">
        <v>1</v>
      </c>
      <c r="B1315" s="80">
        <f>SUBTOTAL(103,$A$808:A1315)</f>
        <v>505</v>
      </c>
      <c r="C1315" s="300" t="s">
        <v>1943</v>
      </c>
      <c r="D1315" s="296">
        <f t="shared" si="56"/>
        <v>788893.69</v>
      </c>
      <c r="E1315" s="304">
        <v>0</v>
      </c>
      <c r="F1315" s="304">
        <v>0</v>
      </c>
      <c r="G1315" s="304">
        <v>0</v>
      </c>
      <c r="H1315" s="304">
        <v>0</v>
      </c>
      <c r="I1315" s="304">
        <v>788893.69</v>
      </c>
      <c r="J1315" s="304">
        <v>0</v>
      </c>
      <c r="K1315" s="305">
        <v>0</v>
      </c>
      <c r="L1315" s="304">
        <v>0</v>
      </c>
      <c r="M1315" s="304">
        <v>0</v>
      </c>
      <c r="N1315" s="304">
        <v>0</v>
      </c>
      <c r="O1315" s="304">
        <v>0</v>
      </c>
      <c r="P1315" s="304">
        <v>0</v>
      </c>
      <c r="Q1315" s="304">
        <v>0</v>
      </c>
      <c r="R1315" s="304">
        <v>0</v>
      </c>
      <c r="S1315" s="304">
        <v>0</v>
      </c>
      <c r="T1315" s="304">
        <v>0</v>
      </c>
      <c r="U1315" s="304">
        <v>0</v>
      </c>
      <c r="V1315" s="304">
        <v>0</v>
      </c>
      <c r="W1315" s="304">
        <v>0</v>
      </c>
      <c r="X1315" s="304">
        <v>0</v>
      </c>
      <c r="Y1315" s="304">
        <v>0</v>
      </c>
      <c r="Z1315" s="304">
        <v>0</v>
      </c>
      <c r="AA1315" s="304">
        <v>0</v>
      </c>
      <c r="AB1315" s="307">
        <v>2021</v>
      </c>
    </row>
    <row r="1316" spans="1:28" ht="35.25" customHeight="1" x14ac:dyDescent="0.5">
      <c r="A1316">
        <v>1</v>
      </c>
      <c r="B1316" s="80">
        <f>SUBTOTAL(103,$A$808:A1316)</f>
        <v>506</v>
      </c>
      <c r="C1316" s="300" t="s">
        <v>2820</v>
      </c>
      <c r="D1316" s="296">
        <f t="shared" si="56"/>
        <v>413850</v>
      </c>
      <c r="E1316" s="304">
        <v>0</v>
      </c>
      <c r="F1316" s="304">
        <v>413850</v>
      </c>
      <c r="G1316" s="304">
        <v>0</v>
      </c>
      <c r="H1316" s="304">
        <v>0</v>
      </c>
      <c r="I1316" s="304">
        <v>0</v>
      </c>
      <c r="J1316" s="304">
        <v>0</v>
      </c>
      <c r="K1316" s="305">
        <v>0</v>
      </c>
      <c r="L1316" s="304">
        <v>0</v>
      </c>
      <c r="M1316" s="304">
        <v>0</v>
      </c>
      <c r="N1316" s="304">
        <v>0</v>
      </c>
      <c r="O1316" s="304">
        <v>0</v>
      </c>
      <c r="P1316" s="304">
        <v>0</v>
      </c>
      <c r="Q1316" s="304">
        <v>0</v>
      </c>
      <c r="R1316" s="304">
        <v>0</v>
      </c>
      <c r="S1316" s="304">
        <v>0</v>
      </c>
      <c r="T1316" s="304">
        <v>0</v>
      </c>
      <c r="U1316" s="304">
        <v>0</v>
      </c>
      <c r="V1316" s="304">
        <v>0</v>
      </c>
      <c r="W1316" s="304">
        <v>0</v>
      </c>
      <c r="X1316" s="304">
        <v>0</v>
      </c>
      <c r="Y1316" s="304">
        <v>0</v>
      </c>
      <c r="Z1316" s="304">
        <v>0</v>
      </c>
      <c r="AA1316" s="304">
        <v>0</v>
      </c>
      <c r="AB1316" s="307">
        <v>2021</v>
      </c>
    </row>
    <row r="1317" spans="1:28" ht="35.25" customHeight="1" x14ac:dyDescent="0.5">
      <c r="A1317">
        <v>1</v>
      </c>
      <c r="B1317" s="80">
        <f>SUBTOTAL(103,$A$808:A1317)</f>
        <v>507</v>
      </c>
      <c r="C1317" s="300" t="s">
        <v>2377</v>
      </c>
      <c r="D1317" s="296">
        <f t="shared" si="56"/>
        <v>465525.36</v>
      </c>
      <c r="E1317" s="304">
        <v>0</v>
      </c>
      <c r="F1317" s="304">
        <v>0</v>
      </c>
      <c r="G1317" s="304">
        <v>0</v>
      </c>
      <c r="H1317" s="301">
        <v>272554.36</v>
      </c>
      <c r="I1317" s="304">
        <v>0</v>
      </c>
      <c r="J1317" s="304">
        <v>0</v>
      </c>
      <c r="K1317" s="305">
        <v>0</v>
      </c>
      <c r="L1317" s="304">
        <v>0</v>
      </c>
      <c r="M1317" s="304">
        <v>192971</v>
      </c>
      <c r="N1317" s="304">
        <v>0</v>
      </c>
      <c r="O1317" s="304">
        <v>0</v>
      </c>
      <c r="P1317" s="304">
        <v>0</v>
      </c>
      <c r="Q1317" s="304">
        <v>0</v>
      </c>
      <c r="R1317" s="304">
        <v>0</v>
      </c>
      <c r="S1317" s="304">
        <v>0</v>
      </c>
      <c r="T1317" s="304">
        <v>0</v>
      </c>
      <c r="U1317" s="304">
        <v>0</v>
      </c>
      <c r="V1317" s="304">
        <v>0</v>
      </c>
      <c r="W1317" s="304">
        <v>0</v>
      </c>
      <c r="X1317" s="304">
        <v>0</v>
      </c>
      <c r="Y1317" s="304">
        <v>0</v>
      </c>
      <c r="Z1317" s="304">
        <v>0</v>
      </c>
      <c r="AA1317" s="304">
        <v>0</v>
      </c>
      <c r="AB1317" s="307">
        <v>2021</v>
      </c>
    </row>
    <row r="1318" spans="1:28" ht="35.25" customHeight="1" x14ac:dyDescent="0.5">
      <c r="A1318">
        <v>1</v>
      </c>
      <c r="B1318" s="80">
        <f>SUBTOTAL(103,$A$808:A1318)</f>
        <v>508</v>
      </c>
      <c r="C1318" s="300" t="s">
        <v>1944</v>
      </c>
      <c r="D1318" s="296">
        <f t="shared" si="56"/>
        <v>956006</v>
      </c>
      <c r="E1318" s="304">
        <v>0</v>
      </c>
      <c r="F1318" s="304">
        <v>0</v>
      </c>
      <c r="G1318" s="304">
        <v>0</v>
      </c>
      <c r="H1318" s="304">
        <v>0</v>
      </c>
      <c r="I1318" s="304">
        <v>0</v>
      </c>
      <c r="J1318" s="304">
        <v>0</v>
      </c>
      <c r="K1318" s="305">
        <v>0</v>
      </c>
      <c r="L1318" s="304">
        <v>0</v>
      </c>
      <c r="M1318" s="304">
        <v>0</v>
      </c>
      <c r="N1318" s="304">
        <v>0</v>
      </c>
      <c r="O1318" s="304">
        <v>436000</v>
      </c>
      <c r="P1318" s="304">
        <v>0</v>
      </c>
      <c r="Q1318" s="304">
        <v>0</v>
      </c>
      <c r="R1318" s="304">
        <v>0</v>
      </c>
      <c r="S1318" s="304">
        <v>0</v>
      </c>
      <c r="T1318" s="304">
        <v>0</v>
      </c>
      <c r="U1318" s="304">
        <v>0</v>
      </c>
      <c r="V1318" s="304">
        <v>0</v>
      </c>
      <c r="W1318" s="304">
        <v>520006</v>
      </c>
      <c r="X1318" s="304">
        <v>0</v>
      </c>
      <c r="Y1318" s="304">
        <v>0</v>
      </c>
      <c r="Z1318" s="304">
        <v>0</v>
      </c>
      <c r="AA1318" s="304">
        <v>0</v>
      </c>
      <c r="AB1318" s="307">
        <v>2021</v>
      </c>
    </row>
    <row r="1319" spans="1:28" ht="35.25" customHeight="1" x14ac:dyDescent="0.5">
      <c r="A1319">
        <v>1</v>
      </c>
      <c r="B1319" s="80">
        <f>SUBTOTAL(103,$A$808:A1319)</f>
        <v>509</v>
      </c>
      <c r="C1319" s="300" t="s">
        <v>2821</v>
      </c>
      <c r="D1319" s="296">
        <f t="shared" si="56"/>
        <v>853600.44</v>
      </c>
      <c r="E1319" s="301">
        <v>0</v>
      </c>
      <c r="F1319" s="301">
        <v>0</v>
      </c>
      <c r="G1319" s="301">
        <v>0</v>
      </c>
      <c r="H1319" s="301">
        <v>0</v>
      </c>
      <c r="I1319" s="301">
        <v>853600.44</v>
      </c>
      <c r="J1319" s="301">
        <v>0</v>
      </c>
      <c r="K1319" s="302">
        <v>0</v>
      </c>
      <c r="L1319" s="301">
        <v>0</v>
      </c>
      <c r="M1319" s="301">
        <v>0</v>
      </c>
      <c r="N1319" s="301">
        <v>0</v>
      </c>
      <c r="O1319" s="301">
        <v>0</v>
      </c>
      <c r="P1319" s="301">
        <v>0</v>
      </c>
      <c r="Q1319" s="301">
        <v>0</v>
      </c>
      <c r="R1319" s="301">
        <v>0</v>
      </c>
      <c r="S1319" s="301">
        <v>0</v>
      </c>
      <c r="T1319" s="301">
        <v>0</v>
      </c>
      <c r="U1319" s="301">
        <v>0</v>
      </c>
      <c r="V1319" s="301">
        <v>0</v>
      </c>
      <c r="W1319" s="301">
        <v>0</v>
      </c>
      <c r="X1319" s="301">
        <v>0</v>
      </c>
      <c r="Y1319" s="301">
        <v>0</v>
      </c>
      <c r="Z1319" s="301">
        <v>0</v>
      </c>
      <c r="AA1319" s="301">
        <v>0</v>
      </c>
      <c r="AB1319" s="303">
        <v>2021</v>
      </c>
    </row>
    <row r="1320" spans="1:28" ht="35.25" customHeight="1" x14ac:dyDescent="0.5">
      <c r="A1320">
        <v>1</v>
      </c>
      <c r="B1320" s="80">
        <f>SUBTOTAL(103,$A$808:A1320)</f>
        <v>510</v>
      </c>
      <c r="C1320" s="300" t="s">
        <v>3068</v>
      </c>
      <c r="D1320" s="296">
        <f t="shared" si="56"/>
        <v>284000</v>
      </c>
      <c r="E1320" s="301">
        <v>0</v>
      </c>
      <c r="F1320" s="301">
        <v>0</v>
      </c>
      <c r="G1320" s="301">
        <v>0</v>
      </c>
      <c r="H1320" s="301">
        <v>0</v>
      </c>
      <c r="I1320" s="301">
        <v>0</v>
      </c>
      <c r="J1320" s="301">
        <v>0</v>
      </c>
      <c r="K1320" s="302">
        <v>0</v>
      </c>
      <c r="L1320" s="301">
        <v>0</v>
      </c>
      <c r="M1320" s="301">
        <v>0</v>
      </c>
      <c r="N1320" s="301">
        <v>0</v>
      </c>
      <c r="O1320" s="301">
        <v>284000</v>
      </c>
      <c r="P1320" s="301">
        <v>0</v>
      </c>
      <c r="Q1320" s="301">
        <v>0</v>
      </c>
      <c r="R1320" s="301">
        <v>0</v>
      </c>
      <c r="S1320" s="301">
        <v>0</v>
      </c>
      <c r="T1320" s="301">
        <v>0</v>
      </c>
      <c r="U1320" s="301">
        <v>0</v>
      </c>
      <c r="V1320" s="301">
        <v>0</v>
      </c>
      <c r="W1320" s="301">
        <v>0</v>
      </c>
      <c r="X1320" s="301">
        <v>0</v>
      </c>
      <c r="Y1320" s="301">
        <v>0</v>
      </c>
      <c r="Z1320" s="301">
        <v>0</v>
      </c>
      <c r="AA1320" s="301">
        <v>0</v>
      </c>
      <c r="AB1320" s="303" t="s">
        <v>2981</v>
      </c>
    </row>
    <row r="1321" spans="1:28" ht="35.25" customHeight="1" x14ac:dyDescent="0.5">
      <c r="A1321">
        <v>1</v>
      </c>
      <c r="B1321" s="80">
        <f>SUBTOTAL(103,$A$808:A1321)</f>
        <v>511</v>
      </c>
      <c r="C1321" s="300" t="s">
        <v>3069</v>
      </c>
      <c r="D1321" s="296">
        <f t="shared" si="56"/>
        <v>75015.399999999994</v>
      </c>
      <c r="E1321" s="301">
        <v>0</v>
      </c>
      <c r="F1321" s="301">
        <v>0</v>
      </c>
      <c r="G1321" s="301">
        <v>0</v>
      </c>
      <c r="H1321" s="301">
        <v>75015.399999999994</v>
      </c>
      <c r="I1321" s="301">
        <v>0</v>
      </c>
      <c r="J1321" s="301">
        <v>0</v>
      </c>
      <c r="K1321" s="302">
        <v>0</v>
      </c>
      <c r="L1321" s="301">
        <v>0</v>
      </c>
      <c r="M1321" s="301">
        <v>0</v>
      </c>
      <c r="N1321" s="301">
        <v>0</v>
      </c>
      <c r="O1321" s="301">
        <v>0</v>
      </c>
      <c r="P1321" s="301">
        <v>0</v>
      </c>
      <c r="Q1321" s="301">
        <v>0</v>
      </c>
      <c r="R1321" s="301">
        <v>0</v>
      </c>
      <c r="S1321" s="301">
        <v>0</v>
      </c>
      <c r="T1321" s="301">
        <v>0</v>
      </c>
      <c r="U1321" s="301">
        <v>0</v>
      </c>
      <c r="V1321" s="301">
        <v>0</v>
      </c>
      <c r="W1321" s="301">
        <v>0</v>
      </c>
      <c r="X1321" s="301">
        <v>0</v>
      </c>
      <c r="Y1321" s="301">
        <v>0</v>
      </c>
      <c r="Z1321" s="301">
        <v>0</v>
      </c>
      <c r="AA1321" s="301">
        <v>0</v>
      </c>
      <c r="AB1321" s="303" t="s">
        <v>2981</v>
      </c>
    </row>
    <row r="1322" spans="1:28" ht="35.25" customHeight="1" x14ac:dyDescent="0.5">
      <c r="A1322">
        <v>1</v>
      </c>
      <c r="B1322" s="80">
        <f>SUBTOTAL(103,$A$808:A1322)</f>
        <v>512</v>
      </c>
      <c r="C1322" s="300" t="s">
        <v>1689</v>
      </c>
      <c r="D1322" s="296">
        <f t="shared" si="56"/>
        <v>890428</v>
      </c>
      <c r="E1322" s="301">
        <v>0</v>
      </c>
      <c r="F1322" s="301">
        <v>0</v>
      </c>
      <c r="G1322" s="301">
        <v>698428</v>
      </c>
      <c r="H1322" s="301">
        <v>0</v>
      </c>
      <c r="I1322" s="301">
        <v>0</v>
      </c>
      <c r="J1322" s="301">
        <v>0</v>
      </c>
      <c r="K1322" s="302">
        <v>0</v>
      </c>
      <c r="L1322" s="301">
        <v>0</v>
      </c>
      <c r="M1322" s="301">
        <v>0</v>
      </c>
      <c r="N1322" s="301">
        <v>0</v>
      </c>
      <c r="O1322" s="301">
        <v>192000</v>
      </c>
      <c r="P1322" s="301">
        <v>0</v>
      </c>
      <c r="Q1322" s="301">
        <v>0</v>
      </c>
      <c r="R1322" s="301">
        <v>0</v>
      </c>
      <c r="S1322" s="301">
        <v>0</v>
      </c>
      <c r="T1322" s="301">
        <v>0</v>
      </c>
      <c r="U1322" s="301">
        <v>0</v>
      </c>
      <c r="V1322" s="301">
        <v>0</v>
      </c>
      <c r="W1322" s="301">
        <v>0</v>
      </c>
      <c r="X1322" s="301">
        <v>0</v>
      </c>
      <c r="Y1322" s="301">
        <v>0</v>
      </c>
      <c r="Z1322" s="301">
        <v>0</v>
      </c>
      <c r="AA1322" s="301">
        <v>0</v>
      </c>
      <c r="AB1322" s="303" t="s">
        <v>2981</v>
      </c>
    </row>
    <row r="1323" spans="1:28" ht="35.25" customHeight="1" x14ac:dyDescent="0.5">
      <c r="A1323">
        <v>1</v>
      </c>
      <c r="B1323" s="80">
        <f>SUBTOTAL(103,$A$808:A1323)</f>
        <v>513</v>
      </c>
      <c r="C1323" s="300" t="s">
        <v>3070</v>
      </c>
      <c r="D1323" s="296">
        <f t="shared" si="56"/>
        <v>1522842</v>
      </c>
      <c r="E1323" s="301">
        <v>0</v>
      </c>
      <c r="F1323" s="301">
        <v>0</v>
      </c>
      <c r="G1323" s="301">
        <f>990989.4+531852.6</f>
        <v>1522842</v>
      </c>
      <c r="H1323" s="301">
        <v>0</v>
      </c>
      <c r="I1323" s="301">
        <v>0</v>
      </c>
      <c r="J1323" s="301">
        <v>0</v>
      </c>
      <c r="K1323" s="302">
        <v>0</v>
      </c>
      <c r="L1323" s="301">
        <v>0</v>
      </c>
      <c r="M1323" s="301">
        <v>0</v>
      </c>
      <c r="N1323" s="301">
        <v>0</v>
      </c>
      <c r="O1323" s="301">
        <v>0</v>
      </c>
      <c r="P1323" s="301">
        <v>0</v>
      </c>
      <c r="Q1323" s="301">
        <v>0</v>
      </c>
      <c r="R1323" s="301">
        <v>0</v>
      </c>
      <c r="S1323" s="301">
        <v>0</v>
      </c>
      <c r="T1323" s="301">
        <v>0</v>
      </c>
      <c r="U1323" s="301">
        <v>0</v>
      </c>
      <c r="V1323" s="301">
        <v>0</v>
      </c>
      <c r="W1323" s="301">
        <v>0</v>
      </c>
      <c r="X1323" s="301">
        <v>0</v>
      </c>
      <c r="Y1323" s="301">
        <v>0</v>
      </c>
      <c r="Z1323" s="301">
        <v>0</v>
      </c>
      <c r="AA1323" s="301">
        <v>0</v>
      </c>
      <c r="AB1323" s="303" t="s">
        <v>2981</v>
      </c>
    </row>
    <row r="1324" spans="1:28" ht="35.25" customHeight="1" x14ac:dyDescent="0.5">
      <c r="A1324">
        <v>1</v>
      </c>
      <c r="B1324" s="80">
        <f>SUBTOTAL(103,$A$808:A1324)</f>
        <v>514</v>
      </c>
      <c r="C1324" s="300" t="s">
        <v>3071</v>
      </c>
      <c r="D1324" s="296">
        <f t="shared" si="56"/>
        <v>320000</v>
      </c>
      <c r="E1324" s="301">
        <v>0</v>
      </c>
      <c r="F1324" s="301">
        <v>0</v>
      </c>
      <c r="G1324" s="301">
        <v>0</v>
      </c>
      <c r="H1324" s="301">
        <v>0</v>
      </c>
      <c r="I1324" s="301">
        <v>320000</v>
      </c>
      <c r="J1324" s="301">
        <v>0</v>
      </c>
      <c r="K1324" s="302">
        <v>0</v>
      </c>
      <c r="L1324" s="301">
        <v>0</v>
      </c>
      <c r="M1324" s="301">
        <v>0</v>
      </c>
      <c r="N1324" s="301">
        <v>0</v>
      </c>
      <c r="O1324" s="301">
        <v>0</v>
      </c>
      <c r="P1324" s="301">
        <v>0</v>
      </c>
      <c r="Q1324" s="301">
        <v>0</v>
      </c>
      <c r="R1324" s="301">
        <v>0</v>
      </c>
      <c r="S1324" s="301">
        <v>0</v>
      </c>
      <c r="T1324" s="301">
        <v>0</v>
      </c>
      <c r="U1324" s="301">
        <v>0</v>
      </c>
      <c r="V1324" s="301">
        <v>0</v>
      </c>
      <c r="W1324" s="301">
        <v>0</v>
      </c>
      <c r="X1324" s="301">
        <v>0</v>
      </c>
      <c r="Y1324" s="301">
        <v>0</v>
      </c>
      <c r="Z1324" s="301">
        <v>0</v>
      </c>
      <c r="AA1324" s="301">
        <v>0</v>
      </c>
      <c r="AB1324" s="303" t="s">
        <v>2981</v>
      </c>
    </row>
    <row r="1325" spans="1:28" ht="35.25" customHeight="1" x14ac:dyDescent="0.5">
      <c r="A1325">
        <v>1</v>
      </c>
      <c r="B1325" s="80">
        <f>SUBTOTAL(103,$A$808:A1325)</f>
        <v>515</v>
      </c>
      <c r="C1325" s="300" t="s">
        <v>1938</v>
      </c>
      <c r="D1325" s="296">
        <f t="shared" si="56"/>
        <v>228600</v>
      </c>
      <c r="E1325" s="301">
        <v>0</v>
      </c>
      <c r="F1325" s="301">
        <v>0</v>
      </c>
      <c r="G1325" s="301">
        <f>174400+54200</f>
        <v>228600</v>
      </c>
      <c r="H1325" s="301">
        <v>0</v>
      </c>
      <c r="I1325" s="301">
        <v>0</v>
      </c>
      <c r="J1325" s="301">
        <v>0</v>
      </c>
      <c r="K1325" s="302">
        <v>0</v>
      </c>
      <c r="L1325" s="301">
        <v>0</v>
      </c>
      <c r="M1325" s="301">
        <v>0</v>
      </c>
      <c r="N1325" s="301">
        <v>0</v>
      </c>
      <c r="O1325" s="301">
        <v>0</v>
      </c>
      <c r="P1325" s="301">
        <v>0</v>
      </c>
      <c r="Q1325" s="301">
        <v>0</v>
      </c>
      <c r="R1325" s="301">
        <v>0</v>
      </c>
      <c r="S1325" s="301">
        <v>0</v>
      </c>
      <c r="T1325" s="301">
        <v>0</v>
      </c>
      <c r="U1325" s="301">
        <v>0</v>
      </c>
      <c r="V1325" s="301">
        <v>0</v>
      </c>
      <c r="W1325" s="301">
        <v>0</v>
      </c>
      <c r="X1325" s="301">
        <v>0</v>
      </c>
      <c r="Y1325" s="301">
        <v>0</v>
      </c>
      <c r="Z1325" s="301">
        <v>0</v>
      </c>
      <c r="AA1325" s="301">
        <v>0</v>
      </c>
      <c r="AB1325" s="303" t="s">
        <v>2981</v>
      </c>
    </row>
    <row r="1326" spans="1:28" ht="35.25" customHeight="1" x14ac:dyDescent="0.5">
      <c r="A1326">
        <v>1</v>
      </c>
      <c r="B1326" s="80">
        <f>SUBTOTAL(103,$A$808:A1326)</f>
        <v>516</v>
      </c>
      <c r="C1326" s="300" t="s">
        <v>2372</v>
      </c>
      <c r="D1326" s="296">
        <f t="shared" si="56"/>
        <v>700644.25</v>
      </c>
      <c r="E1326" s="301">
        <v>0</v>
      </c>
      <c r="F1326" s="301">
        <v>0</v>
      </c>
      <c r="G1326" s="301">
        <v>0</v>
      </c>
      <c r="H1326" s="301">
        <v>0</v>
      </c>
      <c r="I1326" s="301">
        <v>0</v>
      </c>
      <c r="J1326" s="301">
        <v>0</v>
      </c>
      <c r="K1326" s="302">
        <v>0</v>
      </c>
      <c r="L1326" s="301">
        <v>0</v>
      </c>
      <c r="M1326" s="301">
        <v>700644.25</v>
      </c>
      <c r="N1326" s="301">
        <v>0</v>
      </c>
      <c r="O1326" s="301">
        <v>0</v>
      </c>
      <c r="P1326" s="301">
        <v>0</v>
      </c>
      <c r="Q1326" s="301">
        <v>0</v>
      </c>
      <c r="R1326" s="301">
        <v>0</v>
      </c>
      <c r="S1326" s="301">
        <v>0</v>
      </c>
      <c r="T1326" s="301">
        <v>0</v>
      </c>
      <c r="U1326" s="301">
        <v>0</v>
      </c>
      <c r="V1326" s="301">
        <v>0</v>
      </c>
      <c r="W1326" s="301">
        <v>0</v>
      </c>
      <c r="X1326" s="301">
        <v>0</v>
      </c>
      <c r="Y1326" s="301">
        <v>0</v>
      </c>
      <c r="Z1326" s="301">
        <v>0</v>
      </c>
      <c r="AA1326" s="301">
        <v>0</v>
      </c>
      <c r="AB1326" s="303" t="s">
        <v>2981</v>
      </c>
    </row>
    <row r="1327" spans="1:28" ht="35.25" customHeight="1" x14ac:dyDescent="0.5">
      <c r="A1327">
        <v>1</v>
      </c>
      <c r="B1327" s="80">
        <f>SUBTOTAL(103,$A$808:A1327)</f>
        <v>517</v>
      </c>
      <c r="C1327" s="300" t="s">
        <v>3072</v>
      </c>
      <c r="D1327" s="296">
        <f t="shared" si="56"/>
        <v>1505128</v>
      </c>
      <c r="E1327" s="301">
        <v>0</v>
      </c>
      <c r="F1327" s="301">
        <v>0</v>
      </c>
      <c r="G1327" s="301">
        <v>0</v>
      </c>
      <c r="H1327" s="301">
        <v>0</v>
      </c>
      <c r="I1327" s="301">
        <v>0</v>
      </c>
      <c r="J1327" s="301">
        <v>0</v>
      </c>
      <c r="K1327" s="302">
        <v>0</v>
      </c>
      <c r="L1327" s="301">
        <v>0</v>
      </c>
      <c r="M1327" s="301">
        <v>1505128</v>
      </c>
      <c r="N1327" s="301">
        <v>0</v>
      </c>
      <c r="O1327" s="301">
        <v>0</v>
      </c>
      <c r="P1327" s="301">
        <v>0</v>
      </c>
      <c r="Q1327" s="301">
        <v>0</v>
      </c>
      <c r="R1327" s="301">
        <v>0</v>
      </c>
      <c r="S1327" s="301">
        <v>0</v>
      </c>
      <c r="T1327" s="301">
        <v>0</v>
      </c>
      <c r="U1327" s="301">
        <v>0</v>
      </c>
      <c r="V1327" s="301">
        <v>0</v>
      </c>
      <c r="W1327" s="301">
        <v>0</v>
      </c>
      <c r="X1327" s="301">
        <v>0</v>
      </c>
      <c r="Y1327" s="301">
        <v>0</v>
      </c>
      <c r="Z1327" s="301">
        <v>0</v>
      </c>
      <c r="AA1327" s="301">
        <v>0</v>
      </c>
      <c r="AB1327" s="303" t="s">
        <v>2981</v>
      </c>
    </row>
    <row r="1328" spans="1:28" ht="35.25" customHeight="1" x14ac:dyDescent="0.5">
      <c r="A1328">
        <v>1</v>
      </c>
      <c r="B1328" s="80">
        <f>SUBTOTAL(103,$A$808:A1328)</f>
        <v>518</v>
      </c>
      <c r="C1328" s="300" t="s">
        <v>3073</v>
      </c>
      <c r="D1328" s="296">
        <f t="shared" si="56"/>
        <v>235865</v>
      </c>
      <c r="E1328" s="301">
        <v>0</v>
      </c>
      <c r="F1328" s="301">
        <v>235865</v>
      </c>
      <c r="G1328" s="301">
        <v>0</v>
      </c>
      <c r="H1328" s="301">
        <v>0</v>
      </c>
      <c r="I1328" s="301">
        <v>0</v>
      </c>
      <c r="J1328" s="301">
        <v>0</v>
      </c>
      <c r="K1328" s="302">
        <v>0</v>
      </c>
      <c r="L1328" s="301">
        <v>0</v>
      </c>
      <c r="M1328" s="301">
        <v>0</v>
      </c>
      <c r="N1328" s="301">
        <v>0</v>
      </c>
      <c r="O1328" s="301">
        <v>0</v>
      </c>
      <c r="P1328" s="301">
        <v>0</v>
      </c>
      <c r="Q1328" s="301">
        <v>0</v>
      </c>
      <c r="R1328" s="301">
        <v>0</v>
      </c>
      <c r="S1328" s="301">
        <v>0</v>
      </c>
      <c r="T1328" s="301">
        <v>0</v>
      </c>
      <c r="U1328" s="301">
        <v>0</v>
      </c>
      <c r="V1328" s="301">
        <v>0</v>
      </c>
      <c r="W1328" s="301">
        <v>0</v>
      </c>
      <c r="X1328" s="301">
        <v>0</v>
      </c>
      <c r="Y1328" s="301">
        <v>0</v>
      </c>
      <c r="Z1328" s="301">
        <v>0</v>
      </c>
      <c r="AA1328" s="301">
        <v>0</v>
      </c>
      <c r="AB1328" s="303" t="s">
        <v>2981</v>
      </c>
    </row>
    <row r="1329" spans="1:28" ht="35.25" customHeight="1" x14ac:dyDescent="0.5">
      <c r="A1329">
        <v>1</v>
      </c>
      <c r="B1329" s="80">
        <f>SUBTOTAL(103,$A$808:A1329)</f>
        <v>519</v>
      </c>
      <c r="C1329" s="300" t="s">
        <v>3074</v>
      </c>
      <c r="D1329" s="296">
        <f t="shared" si="56"/>
        <v>1436198</v>
      </c>
      <c r="E1329" s="301">
        <v>0</v>
      </c>
      <c r="F1329" s="301">
        <v>0</v>
      </c>
      <c r="G1329" s="301">
        <v>0</v>
      </c>
      <c r="H1329" s="301">
        <v>0</v>
      </c>
      <c r="I1329" s="301">
        <v>0</v>
      </c>
      <c r="J1329" s="301">
        <v>0</v>
      </c>
      <c r="K1329" s="302">
        <v>0</v>
      </c>
      <c r="L1329" s="301">
        <v>0</v>
      </c>
      <c r="M1329" s="301">
        <v>0</v>
      </c>
      <c r="N1329" s="301">
        <v>384999</v>
      </c>
      <c r="O1329" s="301">
        <v>1051199</v>
      </c>
      <c r="P1329" s="301">
        <v>0</v>
      </c>
      <c r="Q1329" s="301">
        <v>0</v>
      </c>
      <c r="R1329" s="301">
        <v>0</v>
      </c>
      <c r="S1329" s="301">
        <v>0</v>
      </c>
      <c r="T1329" s="301">
        <v>0</v>
      </c>
      <c r="U1329" s="301">
        <v>0</v>
      </c>
      <c r="V1329" s="301">
        <v>0</v>
      </c>
      <c r="W1329" s="301">
        <v>0</v>
      </c>
      <c r="X1329" s="301">
        <v>0</v>
      </c>
      <c r="Y1329" s="301">
        <v>0</v>
      </c>
      <c r="Z1329" s="301">
        <v>0</v>
      </c>
      <c r="AA1329" s="301">
        <v>0</v>
      </c>
      <c r="AB1329" s="303" t="s">
        <v>2981</v>
      </c>
    </row>
    <row r="1330" spans="1:28" ht="35.25" customHeight="1" x14ac:dyDescent="0.5">
      <c r="A1330">
        <v>1</v>
      </c>
      <c r="B1330" s="80">
        <f>SUBTOTAL(103,$A$808:A1330)</f>
        <v>520</v>
      </c>
      <c r="C1330" s="300" t="s">
        <v>1690</v>
      </c>
      <c r="D1330" s="296">
        <f t="shared" si="56"/>
        <v>424639</v>
      </c>
      <c r="E1330" s="301">
        <v>0</v>
      </c>
      <c r="F1330" s="301">
        <v>0</v>
      </c>
      <c r="G1330" s="301">
        <v>0</v>
      </c>
      <c r="H1330" s="301">
        <v>0</v>
      </c>
      <c r="I1330" s="301">
        <v>424639</v>
      </c>
      <c r="J1330" s="301">
        <v>0</v>
      </c>
      <c r="K1330" s="302">
        <v>0</v>
      </c>
      <c r="L1330" s="301">
        <v>0</v>
      </c>
      <c r="M1330" s="301">
        <v>0</v>
      </c>
      <c r="N1330" s="301">
        <v>0</v>
      </c>
      <c r="O1330" s="301">
        <v>0</v>
      </c>
      <c r="P1330" s="301">
        <v>0</v>
      </c>
      <c r="Q1330" s="301">
        <v>0</v>
      </c>
      <c r="R1330" s="301">
        <v>0</v>
      </c>
      <c r="S1330" s="301">
        <v>0</v>
      </c>
      <c r="T1330" s="301">
        <v>0</v>
      </c>
      <c r="U1330" s="301">
        <v>0</v>
      </c>
      <c r="V1330" s="301">
        <v>0</v>
      </c>
      <c r="W1330" s="301">
        <v>0</v>
      </c>
      <c r="X1330" s="301">
        <v>0</v>
      </c>
      <c r="Y1330" s="301">
        <v>0</v>
      </c>
      <c r="Z1330" s="301">
        <v>0</v>
      </c>
      <c r="AA1330" s="301">
        <v>0</v>
      </c>
      <c r="AB1330" s="303" t="s">
        <v>2981</v>
      </c>
    </row>
    <row r="1331" spans="1:28" ht="35.25" customHeight="1" x14ac:dyDescent="0.5">
      <c r="A1331">
        <v>1</v>
      </c>
      <c r="B1331" s="80">
        <f>SUBTOTAL(103,$A$808:A1331)</f>
        <v>521</v>
      </c>
      <c r="C1331" s="300" t="s">
        <v>3075</v>
      </c>
      <c r="D1331" s="296">
        <f t="shared" si="56"/>
        <v>1534914.4</v>
      </c>
      <c r="E1331" s="301">
        <v>0</v>
      </c>
      <c r="F1331" s="301">
        <v>0</v>
      </c>
      <c r="G1331" s="301">
        <v>0</v>
      </c>
      <c r="H1331" s="301">
        <v>0</v>
      </c>
      <c r="I1331" s="301">
        <v>0</v>
      </c>
      <c r="J1331" s="301">
        <v>0</v>
      </c>
      <c r="K1331" s="302">
        <v>0</v>
      </c>
      <c r="L1331" s="301">
        <v>0</v>
      </c>
      <c r="M1331" s="301">
        <v>1534914.4</v>
      </c>
      <c r="N1331" s="301">
        <v>0</v>
      </c>
      <c r="O1331" s="301">
        <v>0</v>
      </c>
      <c r="P1331" s="301">
        <v>0</v>
      </c>
      <c r="Q1331" s="301">
        <v>0</v>
      </c>
      <c r="R1331" s="301">
        <v>0</v>
      </c>
      <c r="S1331" s="301">
        <v>0</v>
      </c>
      <c r="T1331" s="301">
        <v>0</v>
      </c>
      <c r="U1331" s="301">
        <v>0</v>
      </c>
      <c r="V1331" s="301">
        <v>0</v>
      </c>
      <c r="W1331" s="301">
        <v>0</v>
      </c>
      <c r="X1331" s="301">
        <v>0</v>
      </c>
      <c r="Y1331" s="301">
        <v>0</v>
      </c>
      <c r="Z1331" s="301">
        <v>0</v>
      </c>
      <c r="AA1331" s="301">
        <v>0</v>
      </c>
      <c r="AB1331" s="303" t="s">
        <v>2981</v>
      </c>
    </row>
    <row r="1332" spans="1:28" ht="35.25" customHeight="1" x14ac:dyDescent="0.5">
      <c r="A1332">
        <v>1</v>
      </c>
      <c r="B1332" s="80">
        <f>SUBTOTAL(103,$A$808:A1332)</f>
        <v>522</v>
      </c>
      <c r="C1332" s="300" t="s">
        <v>1945</v>
      </c>
      <c r="D1332" s="296">
        <f t="shared" si="56"/>
        <v>203969.45</v>
      </c>
      <c r="E1332" s="301">
        <v>0</v>
      </c>
      <c r="F1332" s="301">
        <v>0</v>
      </c>
      <c r="G1332" s="301">
        <v>0</v>
      </c>
      <c r="H1332" s="301">
        <v>0</v>
      </c>
      <c r="I1332" s="301">
        <v>0</v>
      </c>
      <c r="J1332" s="301">
        <v>0</v>
      </c>
      <c r="K1332" s="302">
        <v>0</v>
      </c>
      <c r="L1332" s="301">
        <v>0</v>
      </c>
      <c r="M1332" s="301">
        <v>0</v>
      </c>
      <c r="N1332" s="301">
        <v>0</v>
      </c>
      <c r="O1332" s="301">
        <v>203969.45</v>
      </c>
      <c r="P1332" s="301">
        <v>0</v>
      </c>
      <c r="Q1332" s="301">
        <v>0</v>
      </c>
      <c r="R1332" s="301">
        <v>0</v>
      </c>
      <c r="S1332" s="301">
        <v>0</v>
      </c>
      <c r="T1332" s="301">
        <v>0</v>
      </c>
      <c r="U1332" s="301">
        <v>0</v>
      </c>
      <c r="V1332" s="301">
        <v>0</v>
      </c>
      <c r="W1332" s="301">
        <v>0</v>
      </c>
      <c r="X1332" s="301">
        <v>0</v>
      </c>
      <c r="Y1332" s="301">
        <v>0</v>
      </c>
      <c r="Z1332" s="301">
        <v>0</v>
      </c>
      <c r="AA1332" s="301">
        <v>0</v>
      </c>
      <c r="AB1332" s="303" t="s">
        <v>2981</v>
      </c>
    </row>
    <row r="1333" spans="1:28" ht="35.25" customHeight="1" x14ac:dyDescent="0.5">
      <c r="A1333">
        <v>1</v>
      </c>
      <c r="B1333" s="80">
        <f>SUBTOTAL(103,$A$808:A1333)</f>
        <v>523</v>
      </c>
      <c r="C1333" s="300" t="s">
        <v>3076</v>
      </c>
      <c r="D1333" s="296">
        <f t="shared" si="56"/>
        <v>596000</v>
      </c>
      <c r="E1333" s="301">
        <v>0</v>
      </c>
      <c r="F1333" s="301">
        <v>0</v>
      </c>
      <c r="G1333" s="301">
        <v>0</v>
      </c>
      <c r="H1333" s="301">
        <v>0</v>
      </c>
      <c r="I1333" s="301">
        <v>0</v>
      </c>
      <c r="J1333" s="301">
        <v>0</v>
      </c>
      <c r="K1333" s="302">
        <v>0</v>
      </c>
      <c r="L1333" s="301">
        <v>0</v>
      </c>
      <c r="M1333" s="301">
        <v>0</v>
      </c>
      <c r="N1333" s="301">
        <v>0</v>
      </c>
      <c r="O1333" s="301">
        <v>0</v>
      </c>
      <c r="P1333" s="301">
        <v>596000</v>
      </c>
      <c r="Q1333" s="301">
        <v>0</v>
      </c>
      <c r="R1333" s="301">
        <v>0</v>
      </c>
      <c r="S1333" s="301">
        <v>0</v>
      </c>
      <c r="T1333" s="301">
        <v>0</v>
      </c>
      <c r="U1333" s="301">
        <v>0</v>
      </c>
      <c r="V1333" s="301">
        <v>0</v>
      </c>
      <c r="W1333" s="301">
        <v>0</v>
      </c>
      <c r="X1333" s="301">
        <v>0</v>
      </c>
      <c r="Y1333" s="301">
        <v>0</v>
      </c>
      <c r="Z1333" s="301">
        <v>0</v>
      </c>
      <c r="AA1333" s="301">
        <v>0</v>
      </c>
      <c r="AB1333" s="303">
        <v>2021</v>
      </c>
    </row>
    <row r="1334" spans="1:28" ht="35.25" customHeight="1" x14ac:dyDescent="0.5">
      <c r="A1334">
        <v>1</v>
      </c>
      <c r="B1334" s="80">
        <f>SUBTOTAL(103,$A$808:A1334)</f>
        <v>524</v>
      </c>
      <c r="C1334" s="300" t="s">
        <v>3077</v>
      </c>
      <c r="D1334" s="296">
        <f t="shared" si="56"/>
        <v>909235</v>
      </c>
      <c r="E1334" s="301">
        <v>0</v>
      </c>
      <c r="F1334" s="301">
        <v>0</v>
      </c>
      <c r="G1334" s="301">
        <v>909235</v>
      </c>
      <c r="H1334" s="301">
        <v>0</v>
      </c>
      <c r="I1334" s="301">
        <v>0</v>
      </c>
      <c r="J1334" s="301">
        <v>0</v>
      </c>
      <c r="K1334" s="302">
        <v>0</v>
      </c>
      <c r="L1334" s="301">
        <v>0</v>
      </c>
      <c r="M1334" s="301">
        <v>0</v>
      </c>
      <c r="N1334" s="301">
        <v>0</v>
      </c>
      <c r="O1334" s="301">
        <v>0</v>
      </c>
      <c r="P1334" s="301">
        <v>0</v>
      </c>
      <c r="Q1334" s="301">
        <v>0</v>
      </c>
      <c r="R1334" s="301">
        <v>0</v>
      </c>
      <c r="S1334" s="301">
        <v>0</v>
      </c>
      <c r="T1334" s="301">
        <v>0</v>
      </c>
      <c r="U1334" s="301">
        <v>0</v>
      </c>
      <c r="V1334" s="301">
        <v>0</v>
      </c>
      <c r="W1334" s="301">
        <v>0</v>
      </c>
      <c r="X1334" s="301">
        <v>0</v>
      </c>
      <c r="Y1334" s="301">
        <v>0</v>
      </c>
      <c r="Z1334" s="301">
        <v>0</v>
      </c>
      <c r="AA1334" s="301">
        <v>0</v>
      </c>
      <c r="AB1334" s="303">
        <v>2021</v>
      </c>
    </row>
    <row r="1335" spans="1:28" ht="35.25" customHeight="1" x14ac:dyDescent="0.5">
      <c r="A1335">
        <v>1</v>
      </c>
      <c r="B1335" s="80">
        <f>SUBTOTAL(103,$A$808:A1335)</f>
        <v>525</v>
      </c>
      <c r="C1335" s="300" t="s">
        <v>1934</v>
      </c>
      <c r="D1335" s="296">
        <f t="shared" si="56"/>
        <v>347323</v>
      </c>
      <c r="E1335" s="301">
        <v>173661.5</v>
      </c>
      <c r="F1335" s="301">
        <v>173661.5</v>
      </c>
      <c r="G1335" s="301">
        <v>0</v>
      </c>
      <c r="H1335" s="301">
        <v>0</v>
      </c>
      <c r="I1335" s="301">
        <v>0</v>
      </c>
      <c r="J1335" s="301">
        <v>0</v>
      </c>
      <c r="K1335" s="302">
        <v>0</v>
      </c>
      <c r="L1335" s="301">
        <v>0</v>
      </c>
      <c r="M1335" s="301">
        <v>0</v>
      </c>
      <c r="N1335" s="301">
        <v>0</v>
      </c>
      <c r="O1335" s="301">
        <v>0</v>
      </c>
      <c r="P1335" s="301">
        <v>0</v>
      </c>
      <c r="Q1335" s="301">
        <v>0</v>
      </c>
      <c r="R1335" s="301">
        <v>0</v>
      </c>
      <c r="S1335" s="301">
        <v>0</v>
      </c>
      <c r="T1335" s="301">
        <v>0</v>
      </c>
      <c r="U1335" s="301">
        <v>0</v>
      </c>
      <c r="V1335" s="301">
        <v>0</v>
      </c>
      <c r="W1335" s="301">
        <v>0</v>
      </c>
      <c r="X1335" s="301">
        <v>0</v>
      </c>
      <c r="Y1335" s="301">
        <v>0</v>
      </c>
      <c r="Z1335" s="301">
        <v>0</v>
      </c>
      <c r="AA1335" s="301">
        <v>0</v>
      </c>
      <c r="AB1335" s="303">
        <v>2021</v>
      </c>
    </row>
    <row r="1336" spans="1:28" ht="35.25" customHeight="1" x14ac:dyDescent="0.5">
      <c r="A1336">
        <v>1</v>
      </c>
      <c r="B1336" s="80">
        <f>SUBTOTAL(103,$A$808:A1336)</f>
        <v>526</v>
      </c>
      <c r="C1336" s="300" t="s">
        <v>3078</v>
      </c>
      <c r="D1336" s="296">
        <f t="shared" si="56"/>
        <v>933996</v>
      </c>
      <c r="E1336" s="301">
        <v>0</v>
      </c>
      <c r="F1336" s="301">
        <v>0</v>
      </c>
      <c r="G1336" s="301">
        <v>0</v>
      </c>
      <c r="H1336" s="301">
        <v>0</v>
      </c>
      <c r="I1336" s="301">
        <v>0</v>
      </c>
      <c r="J1336" s="301">
        <v>0</v>
      </c>
      <c r="K1336" s="302">
        <v>0</v>
      </c>
      <c r="L1336" s="301">
        <v>0</v>
      </c>
      <c r="M1336" s="301">
        <v>933996</v>
      </c>
      <c r="N1336" s="301">
        <v>0</v>
      </c>
      <c r="O1336" s="301">
        <v>0</v>
      </c>
      <c r="P1336" s="301">
        <v>0</v>
      </c>
      <c r="Q1336" s="301">
        <v>0</v>
      </c>
      <c r="R1336" s="301">
        <v>0</v>
      </c>
      <c r="S1336" s="301">
        <v>0</v>
      </c>
      <c r="T1336" s="301">
        <v>0</v>
      </c>
      <c r="U1336" s="301">
        <v>0</v>
      </c>
      <c r="V1336" s="301">
        <v>0</v>
      </c>
      <c r="W1336" s="301">
        <v>0</v>
      </c>
      <c r="X1336" s="301">
        <v>0</v>
      </c>
      <c r="Y1336" s="301">
        <v>0</v>
      </c>
      <c r="Z1336" s="301">
        <v>0</v>
      </c>
      <c r="AA1336" s="301">
        <v>0</v>
      </c>
      <c r="AB1336" s="303">
        <v>2021</v>
      </c>
    </row>
    <row r="1337" spans="1:28" ht="35.25" customHeight="1" x14ac:dyDescent="0.5">
      <c r="A1337">
        <v>1</v>
      </c>
      <c r="B1337" s="80">
        <f>SUBTOTAL(103,$A$808:A1337)</f>
        <v>527</v>
      </c>
      <c r="C1337" s="300" t="s">
        <v>1946</v>
      </c>
      <c r="D1337" s="296">
        <f t="shared" si="56"/>
        <v>810550</v>
      </c>
      <c r="E1337" s="301">
        <v>0</v>
      </c>
      <c r="F1337" s="301">
        <v>0</v>
      </c>
      <c r="G1337" s="301">
        <v>0</v>
      </c>
      <c r="H1337" s="301">
        <v>0</v>
      </c>
      <c r="I1337" s="301">
        <v>0</v>
      </c>
      <c r="J1337" s="301">
        <v>0</v>
      </c>
      <c r="K1337" s="302">
        <v>0</v>
      </c>
      <c r="L1337" s="301">
        <v>0</v>
      </c>
      <c r="M1337" s="301">
        <v>0</v>
      </c>
      <c r="N1337" s="301">
        <v>0</v>
      </c>
      <c r="O1337" s="301">
        <v>810550</v>
      </c>
      <c r="P1337" s="301">
        <v>0</v>
      </c>
      <c r="Q1337" s="301">
        <v>0</v>
      </c>
      <c r="R1337" s="301">
        <v>0</v>
      </c>
      <c r="S1337" s="301">
        <v>0</v>
      </c>
      <c r="T1337" s="301">
        <v>0</v>
      </c>
      <c r="U1337" s="301">
        <v>0</v>
      </c>
      <c r="V1337" s="301">
        <v>0</v>
      </c>
      <c r="W1337" s="301">
        <v>0</v>
      </c>
      <c r="X1337" s="301">
        <v>0</v>
      </c>
      <c r="Y1337" s="301">
        <v>0</v>
      </c>
      <c r="Z1337" s="301">
        <v>0</v>
      </c>
      <c r="AA1337" s="301">
        <v>0</v>
      </c>
      <c r="AB1337" s="303">
        <v>2021</v>
      </c>
    </row>
    <row r="1338" spans="1:28" ht="35.25" customHeight="1" x14ac:dyDescent="0.5">
      <c r="A1338">
        <v>1</v>
      </c>
      <c r="B1338" s="80">
        <f>SUBTOTAL(103,$A$808:A1338)</f>
        <v>528</v>
      </c>
      <c r="C1338" s="300" t="s">
        <v>2822</v>
      </c>
      <c r="D1338" s="296">
        <f t="shared" si="56"/>
        <v>1429995</v>
      </c>
      <c r="E1338" s="304">
        <v>0</v>
      </c>
      <c r="F1338" s="304">
        <v>0</v>
      </c>
      <c r="G1338" s="304">
        <v>1149995</v>
      </c>
      <c r="H1338" s="304">
        <v>280000</v>
      </c>
      <c r="I1338" s="304">
        <v>0</v>
      </c>
      <c r="J1338" s="304">
        <v>0</v>
      </c>
      <c r="K1338" s="305">
        <v>0</v>
      </c>
      <c r="L1338" s="304">
        <v>0</v>
      </c>
      <c r="M1338" s="304">
        <v>0</v>
      </c>
      <c r="N1338" s="304">
        <v>0</v>
      </c>
      <c r="O1338" s="304">
        <v>0</v>
      </c>
      <c r="P1338" s="304">
        <v>0</v>
      </c>
      <c r="Q1338" s="304">
        <v>0</v>
      </c>
      <c r="R1338" s="304">
        <v>0</v>
      </c>
      <c r="S1338" s="304">
        <v>0</v>
      </c>
      <c r="T1338" s="304">
        <v>0</v>
      </c>
      <c r="U1338" s="304">
        <v>0</v>
      </c>
      <c r="V1338" s="304">
        <v>0</v>
      </c>
      <c r="W1338" s="304">
        <v>0</v>
      </c>
      <c r="X1338" s="304">
        <v>0</v>
      </c>
      <c r="Y1338" s="304">
        <v>0</v>
      </c>
      <c r="Z1338" s="304">
        <v>0</v>
      </c>
      <c r="AA1338" s="304">
        <v>0</v>
      </c>
      <c r="AB1338" s="307">
        <v>2021</v>
      </c>
    </row>
    <row r="1339" spans="1:28" ht="35.25" customHeight="1" x14ac:dyDescent="0.5">
      <c r="B1339" s="294" t="s">
        <v>710</v>
      </c>
      <c r="C1339" s="300"/>
      <c r="D1339" s="296">
        <f t="shared" si="56"/>
        <v>170951381.84</v>
      </c>
      <c r="E1339" s="296">
        <f t="shared" ref="E1339:AA1339" si="58">SUM(E1340:E1511)</f>
        <v>927098.79</v>
      </c>
      <c r="F1339" s="296">
        <f t="shared" si="58"/>
        <v>2302877</v>
      </c>
      <c r="G1339" s="296">
        <f t="shared" si="58"/>
        <v>9751596.0700000003</v>
      </c>
      <c r="H1339" s="296">
        <f t="shared" si="58"/>
        <v>2143099.34</v>
      </c>
      <c r="I1339" s="296">
        <f t="shared" si="58"/>
        <v>2014044.72</v>
      </c>
      <c r="J1339" s="296">
        <f t="shared" si="58"/>
        <v>527997</v>
      </c>
      <c r="K1339" s="297">
        <f t="shared" si="58"/>
        <v>23</v>
      </c>
      <c r="L1339" s="296">
        <f t="shared" si="58"/>
        <v>44337438</v>
      </c>
      <c r="M1339" s="296">
        <f t="shared" si="58"/>
        <v>53024056.339999989</v>
      </c>
      <c r="N1339" s="296">
        <f t="shared" si="58"/>
        <v>0</v>
      </c>
      <c r="O1339" s="296">
        <f t="shared" si="58"/>
        <v>54227514.420000002</v>
      </c>
      <c r="P1339" s="296">
        <f t="shared" si="58"/>
        <v>1695660.1600000001</v>
      </c>
      <c r="Q1339" s="296">
        <f t="shared" si="58"/>
        <v>0</v>
      </c>
      <c r="R1339" s="296">
        <f t="shared" si="58"/>
        <v>0</v>
      </c>
      <c r="S1339" s="296">
        <f t="shared" si="58"/>
        <v>0</v>
      </c>
      <c r="T1339" s="296">
        <f t="shared" si="58"/>
        <v>0</v>
      </c>
      <c r="U1339" s="296">
        <f t="shared" si="58"/>
        <v>0</v>
      </c>
      <c r="V1339" s="296">
        <f t="shared" si="58"/>
        <v>0</v>
      </c>
      <c r="W1339" s="296">
        <f t="shared" si="58"/>
        <v>0</v>
      </c>
      <c r="X1339" s="296">
        <f t="shared" si="58"/>
        <v>0</v>
      </c>
      <c r="Y1339" s="296">
        <f t="shared" si="58"/>
        <v>0</v>
      </c>
      <c r="Z1339" s="296">
        <f t="shared" si="58"/>
        <v>0</v>
      </c>
      <c r="AA1339" s="296">
        <f t="shared" si="58"/>
        <v>0</v>
      </c>
      <c r="AB1339" s="298" t="s">
        <v>835</v>
      </c>
    </row>
    <row r="1340" spans="1:28" ht="35.25" customHeight="1" x14ac:dyDescent="0.5">
      <c r="A1340">
        <v>1</v>
      </c>
      <c r="B1340" s="80">
        <f>SUBTOTAL(103,$A$808:A1340)</f>
        <v>529</v>
      </c>
      <c r="C1340" s="300" t="s">
        <v>2677</v>
      </c>
      <c r="D1340" s="296">
        <f t="shared" si="56"/>
        <v>630000</v>
      </c>
      <c r="E1340" s="301">
        <v>0</v>
      </c>
      <c r="F1340" s="301">
        <v>0</v>
      </c>
      <c r="G1340" s="301">
        <v>0</v>
      </c>
      <c r="H1340" s="301">
        <v>0</v>
      </c>
      <c r="I1340" s="301">
        <v>0</v>
      </c>
      <c r="J1340" s="301">
        <v>0</v>
      </c>
      <c r="K1340" s="302">
        <v>0</v>
      </c>
      <c r="L1340" s="301">
        <v>0</v>
      </c>
      <c r="M1340" s="301">
        <v>0</v>
      </c>
      <c r="N1340" s="301">
        <v>0</v>
      </c>
      <c r="O1340" s="301">
        <v>630000</v>
      </c>
      <c r="P1340" s="301">
        <v>0</v>
      </c>
      <c r="Q1340" s="301">
        <v>0</v>
      </c>
      <c r="R1340" s="301">
        <v>0</v>
      </c>
      <c r="S1340" s="301">
        <v>0</v>
      </c>
      <c r="T1340" s="301">
        <v>0</v>
      </c>
      <c r="U1340" s="301">
        <v>0</v>
      </c>
      <c r="V1340" s="301">
        <v>0</v>
      </c>
      <c r="W1340" s="301">
        <v>0</v>
      </c>
      <c r="X1340" s="301">
        <v>0</v>
      </c>
      <c r="Y1340" s="301">
        <v>0</v>
      </c>
      <c r="Z1340" s="301">
        <v>0</v>
      </c>
      <c r="AA1340" s="301">
        <v>0</v>
      </c>
      <c r="AB1340" s="303">
        <v>2021</v>
      </c>
    </row>
    <row r="1341" spans="1:28" ht="35.25" customHeight="1" x14ac:dyDescent="0.5">
      <c r="A1341">
        <v>1</v>
      </c>
      <c r="B1341" s="80">
        <f>SUBTOTAL(103,$A$808:A1341)</f>
        <v>530</v>
      </c>
      <c r="C1341" s="300" t="s">
        <v>2678</v>
      </c>
      <c r="D1341" s="296">
        <f t="shared" si="56"/>
        <v>879093.55</v>
      </c>
      <c r="E1341" s="301">
        <v>0</v>
      </c>
      <c r="F1341" s="301">
        <v>0</v>
      </c>
      <c r="G1341" s="301">
        <v>0</v>
      </c>
      <c r="H1341" s="301">
        <v>0</v>
      </c>
      <c r="I1341" s="301">
        <v>0</v>
      </c>
      <c r="J1341" s="301">
        <v>0</v>
      </c>
      <c r="K1341" s="302">
        <v>0</v>
      </c>
      <c r="L1341" s="301">
        <v>0</v>
      </c>
      <c r="M1341" s="301">
        <v>0</v>
      </c>
      <c r="N1341" s="301">
        <v>0</v>
      </c>
      <c r="O1341" s="301">
        <v>879093.55</v>
      </c>
      <c r="P1341" s="301">
        <v>0</v>
      </c>
      <c r="Q1341" s="301">
        <v>0</v>
      </c>
      <c r="R1341" s="301">
        <v>0</v>
      </c>
      <c r="S1341" s="301">
        <v>0</v>
      </c>
      <c r="T1341" s="301">
        <v>0</v>
      </c>
      <c r="U1341" s="301">
        <v>0</v>
      </c>
      <c r="V1341" s="301">
        <v>0</v>
      </c>
      <c r="W1341" s="301">
        <v>0</v>
      </c>
      <c r="X1341" s="301">
        <v>0</v>
      </c>
      <c r="Y1341" s="301">
        <v>0</v>
      </c>
      <c r="Z1341" s="301">
        <v>0</v>
      </c>
      <c r="AA1341" s="301">
        <v>0</v>
      </c>
      <c r="AB1341" s="303">
        <v>2021</v>
      </c>
    </row>
    <row r="1342" spans="1:28" ht="35.25" customHeight="1" x14ac:dyDescent="0.5">
      <c r="A1342">
        <v>1</v>
      </c>
      <c r="B1342" s="80">
        <f>SUBTOTAL(103,$A$808:A1342)</f>
        <v>531</v>
      </c>
      <c r="C1342" s="300" t="s">
        <v>2679</v>
      </c>
      <c r="D1342" s="296">
        <f t="shared" si="56"/>
        <v>2998009</v>
      </c>
      <c r="E1342" s="301">
        <v>0</v>
      </c>
      <c r="F1342" s="301">
        <v>0</v>
      </c>
      <c r="G1342" s="301">
        <v>0</v>
      </c>
      <c r="H1342" s="301">
        <v>0</v>
      </c>
      <c r="I1342" s="301">
        <v>0</v>
      </c>
      <c r="J1342" s="301">
        <v>0</v>
      </c>
      <c r="K1342" s="302">
        <v>0</v>
      </c>
      <c r="L1342" s="301">
        <v>0</v>
      </c>
      <c r="M1342" s="301">
        <v>2998009</v>
      </c>
      <c r="N1342" s="301">
        <v>0</v>
      </c>
      <c r="O1342" s="301">
        <v>0</v>
      </c>
      <c r="P1342" s="301">
        <v>0</v>
      </c>
      <c r="Q1342" s="301">
        <v>0</v>
      </c>
      <c r="R1342" s="301">
        <v>0</v>
      </c>
      <c r="S1342" s="301">
        <v>0</v>
      </c>
      <c r="T1342" s="301">
        <v>0</v>
      </c>
      <c r="U1342" s="301">
        <v>0</v>
      </c>
      <c r="V1342" s="301">
        <v>0</v>
      </c>
      <c r="W1342" s="301">
        <v>0</v>
      </c>
      <c r="X1342" s="301">
        <v>0</v>
      </c>
      <c r="Y1342" s="301">
        <v>0</v>
      </c>
      <c r="Z1342" s="301">
        <v>0</v>
      </c>
      <c r="AA1342" s="301">
        <v>0</v>
      </c>
      <c r="AB1342" s="303">
        <v>2021</v>
      </c>
    </row>
    <row r="1343" spans="1:28" ht="35.25" customHeight="1" x14ac:dyDescent="0.5">
      <c r="A1343">
        <v>1</v>
      </c>
      <c r="B1343" s="80">
        <f>SUBTOTAL(103,$A$808:A1343)</f>
        <v>532</v>
      </c>
      <c r="C1343" s="300" t="s">
        <v>2680</v>
      </c>
      <c r="D1343" s="296">
        <f t="shared" si="56"/>
        <v>1232589.44</v>
      </c>
      <c r="E1343" s="301">
        <v>0</v>
      </c>
      <c r="F1343" s="301">
        <v>0</v>
      </c>
      <c r="G1343" s="301">
        <v>0</v>
      </c>
      <c r="H1343" s="301">
        <v>0</v>
      </c>
      <c r="I1343" s="301">
        <v>0</v>
      </c>
      <c r="J1343" s="301">
        <v>0</v>
      </c>
      <c r="K1343" s="302">
        <v>0</v>
      </c>
      <c r="L1343" s="301">
        <v>0</v>
      </c>
      <c r="M1343" s="301">
        <v>0</v>
      </c>
      <c r="N1343" s="301">
        <v>0</v>
      </c>
      <c r="O1343" s="301">
        <v>1232589.44</v>
      </c>
      <c r="P1343" s="301">
        <v>0</v>
      </c>
      <c r="Q1343" s="301">
        <v>0</v>
      </c>
      <c r="R1343" s="301">
        <v>0</v>
      </c>
      <c r="S1343" s="301">
        <v>0</v>
      </c>
      <c r="T1343" s="301">
        <v>0</v>
      </c>
      <c r="U1343" s="301">
        <v>0</v>
      </c>
      <c r="V1343" s="301">
        <v>0</v>
      </c>
      <c r="W1343" s="301">
        <v>0</v>
      </c>
      <c r="X1343" s="301">
        <v>0</v>
      </c>
      <c r="Y1343" s="301">
        <v>0</v>
      </c>
      <c r="Z1343" s="301">
        <v>0</v>
      </c>
      <c r="AA1343" s="301">
        <v>0</v>
      </c>
      <c r="AB1343" s="303">
        <v>2021</v>
      </c>
    </row>
    <row r="1344" spans="1:28" ht="35.25" customHeight="1" x14ac:dyDescent="0.5">
      <c r="A1344">
        <v>1</v>
      </c>
      <c r="B1344" s="80">
        <f>SUBTOTAL(103,$A$808:A1344)</f>
        <v>533</v>
      </c>
      <c r="C1344" s="300" t="s">
        <v>2385</v>
      </c>
      <c r="D1344" s="296">
        <f t="shared" si="56"/>
        <v>1107639</v>
      </c>
      <c r="E1344" s="301">
        <v>0</v>
      </c>
      <c r="F1344" s="301">
        <v>1000006</v>
      </c>
      <c r="G1344" s="301">
        <v>107633</v>
      </c>
      <c r="H1344" s="301">
        <v>0</v>
      </c>
      <c r="I1344" s="301">
        <v>0</v>
      </c>
      <c r="J1344" s="301">
        <v>0</v>
      </c>
      <c r="K1344" s="302">
        <v>0</v>
      </c>
      <c r="L1344" s="301">
        <v>0</v>
      </c>
      <c r="M1344" s="301">
        <v>0</v>
      </c>
      <c r="N1344" s="301">
        <v>0</v>
      </c>
      <c r="O1344" s="301">
        <v>0</v>
      </c>
      <c r="P1344" s="301">
        <v>0</v>
      </c>
      <c r="Q1344" s="301">
        <v>0</v>
      </c>
      <c r="R1344" s="301">
        <v>0</v>
      </c>
      <c r="S1344" s="301">
        <v>0</v>
      </c>
      <c r="T1344" s="301">
        <v>0</v>
      </c>
      <c r="U1344" s="301">
        <v>0</v>
      </c>
      <c r="V1344" s="301">
        <v>0</v>
      </c>
      <c r="W1344" s="301">
        <v>0</v>
      </c>
      <c r="X1344" s="301">
        <v>0</v>
      </c>
      <c r="Y1344" s="301">
        <v>0</v>
      </c>
      <c r="Z1344" s="301">
        <v>0</v>
      </c>
      <c r="AA1344" s="301">
        <v>0</v>
      </c>
      <c r="AB1344" s="303">
        <v>2021</v>
      </c>
    </row>
    <row r="1345" spans="1:28" ht="35.25" customHeight="1" x14ac:dyDescent="0.5">
      <c r="A1345">
        <v>1</v>
      </c>
      <c r="B1345" s="80">
        <f>SUBTOTAL(103,$A$808:A1345)</f>
        <v>534</v>
      </c>
      <c r="C1345" s="300" t="s">
        <v>2386</v>
      </c>
      <c r="D1345" s="296">
        <f t="shared" si="56"/>
        <v>1769427</v>
      </c>
      <c r="E1345" s="301">
        <v>0</v>
      </c>
      <c r="F1345" s="301">
        <v>0</v>
      </c>
      <c r="G1345" s="301">
        <v>0</v>
      </c>
      <c r="H1345" s="301">
        <v>0</v>
      </c>
      <c r="I1345" s="301">
        <v>0</v>
      </c>
      <c r="J1345" s="301">
        <v>0</v>
      </c>
      <c r="K1345" s="302">
        <v>0</v>
      </c>
      <c r="L1345" s="301">
        <v>0</v>
      </c>
      <c r="M1345" s="301">
        <v>679106</v>
      </c>
      <c r="N1345" s="301">
        <v>0</v>
      </c>
      <c r="O1345" s="301">
        <v>1090321</v>
      </c>
      <c r="P1345" s="301">
        <v>0</v>
      </c>
      <c r="Q1345" s="301">
        <v>0</v>
      </c>
      <c r="R1345" s="301">
        <v>0</v>
      </c>
      <c r="S1345" s="301">
        <v>0</v>
      </c>
      <c r="T1345" s="301">
        <v>0</v>
      </c>
      <c r="U1345" s="301">
        <v>0</v>
      </c>
      <c r="V1345" s="301">
        <v>0</v>
      </c>
      <c r="W1345" s="301">
        <v>0</v>
      </c>
      <c r="X1345" s="301">
        <v>0</v>
      </c>
      <c r="Y1345" s="301">
        <v>0</v>
      </c>
      <c r="Z1345" s="301">
        <v>0</v>
      </c>
      <c r="AA1345" s="301">
        <v>0</v>
      </c>
      <c r="AB1345" s="303">
        <v>2021</v>
      </c>
    </row>
    <row r="1346" spans="1:28" ht="35.25" customHeight="1" x14ac:dyDescent="0.5">
      <c r="A1346">
        <v>1</v>
      </c>
      <c r="B1346" s="80">
        <f>SUBTOTAL(103,$A$808:A1346)</f>
        <v>535</v>
      </c>
      <c r="C1346" s="300" t="s">
        <v>3383</v>
      </c>
      <c r="D1346" s="296">
        <f t="shared" si="56"/>
        <v>4180000</v>
      </c>
      <c r="E1346" s="301">
        <v>0</v>
      </c>
      <c r="F1346" s="301">
        <v>0</v>
      </c>
      <c r="G1346" s="301">
        <v>0</v>
      </c>
      <c r="H1346" s="301">
        <v>0</v>
      </c>
      <c r="I1346" s="301">
        <v>0</v>
      </c>
      <c r="J1346" s="301">
        <v>0</v>
      </c>
      <c r="K1346" s="302">
        <v>2</v>
      </c>
      <c r="L1346" s="301">
        <v>4180000</v>
      </c>
      <c r="M1346" s="301">
        <v>0</v>
      </c>
      <c r="N1346" s="301">
        <v>0</v>
      </c>
      <c r="O1346" s="301">
        <v>0</v>
      </c>
      <c r="P1346" s="301">
        <v>0</v>
      </c>
      <c r="Q1346" s="301">
        <v>0</v>
      </c>
      <c r="R1346" s="301">
        <v>0</v>
      </c>
      <c r="S1346" s="301">
        <v>0</v>
      </c>
      <c r="T1346" s="301">
        <v>0</v>
      </c>
      <c r="U1346" s="301">
        <v>0</v>
      </c>
      <c r="V1346" s="301">
        <v>0</v>
      </c>
      <c r="W1346" s="301">
        <v>0</v>
      </c>
      <c r="X1346" s="301">
        <v>0</v>
      </c>
      <c r="Y1346" s="301">
        <v>0</v>
      </c>
      <c r="Z1346" s="301">
        <v>0</v>
      </c>
      <c r="AA1346" s="301">
        <v>0</v>
      </c>
      <c r="AB1346" s="303">
        <v>2021</v>
      </c>
    </row>
    <row r="1347" spans="1:28" ht="35.25" customHeight="1" x14ac:dyDescent="0.5">
      <c r="A1347">
        <v>1</v>
      </c>
      <c r="B1347" s="80">
        <f>SUBTOTAL(103,$A$808:A1347)</f>
        <v>536</v>
      </c>
      <c r="C1347" s="300" t="s">
        <v>1694</v>
      </c>
      <c r="D1347" s="296">
        <f t="shared" si="56"/>
        <v>4240000</v>
      </c>
      <c r="E1347" s="301">
        <v>0</v>
      </c>
      <c r="F1347" s="301">
        <v>0</v>
      </c>
      <c r="G1347" s="301">
        <v>0</v>
      </c>
      <c r="H1347" s="301">
        <v>0</v>
      </c>
      <c r="I1347" s="301">
        <v>0</v>
      </c>
      <c r="J1347" s="301">
        <v>0</v>
      </c>
      <c r="K1347" s="302">
        <v>2</v>
      </c>
      <c r="L1347" s="301">
        <v>4240000</v>
      </c>
      <c r="M1347" s="301">
        <v>0</v>
      </c>
      <c r="N1347" s="301">
        <v>0</v>
      </c>
      <c r="O1347" s="301">
        <v>0</v>
      </c>
      <c r="P1347" s="301">
        <v>0</v>
      </c>
      <c r="Q1347" s="301">
        <v>0</v>
      </c>
      <c r="R1347" s="301">
        <v>0</v>
      </c>
      <c r="S1347" s="301">
        <v>0</v>
      </c>
      <c r="T1347" s="301">
        <v>0</v>
      </c>
      <c r="U1347" s="301">
        <v>0</v>
      </c>
      <c r="V1347" s="301">
        <v>0</v>
      </c>
      <c r="W1347" s="301">
        <v>0</v>
      </c>
      <c r="X1347" s="301">
        <v>0</v>
      </c>
      <c r="Y1347" s="301">
        <v>0</v>
      </c>
      <c r="Z1347" s="301">
        <v>0</v>
      </c>
      <c r="AA1347" s="301">
        <v>0</v>
      </c>
      <c r="AB1347" s="303">
        <v>2021</v>
      </c>
    </row>
    <row r="1348" spans="1:28" ht="35.25" customHeight="1" x14ac:dyDescent="0.5">
      <c r="A1348">
        <v>1</v>
      </c>
      <c r="B1348" s="80">
        <f>SUBTOTAL(103,$A$808:A1348)</f>
        <v>537</v>
      </c>
      <c r="C1348" s="300" t="s">
        <v>2823</v>
      </c>
      <c r="D1348" s="296">
        <f t="shared" si="56"/>
        <v>3026299.03</v>
      </c>
      <c r="E1348" s="301">
        <v>0</v>
      </c>
      <c r="F1348" s="301">
        <v>0</v>
      </c>
      <c r="G1348" s="301">
        <v>0</v>
      </c>
      <c r="H1348" s="301">
        <v>0</v>
      </c>
      <c r="I1348" s="301">
        <v>0</v>
      </c>
      <c r="J1348" s="301">
        <v>0</v>
      </c>
      <c r="K1348" s="302">
        <v>0</v>
      </c>
      <c r="L1348" s="301">
        <v>0</v>
      </c>
      <c r="M1348" s="301">
        <v>3026299.03</v>
      </c>
      <c r="N1348" s="301">
        <v>0</v>
      </c>
      <c r="O1348" s="301">
        <v>0</v>
      </c>
      <c r="P1348" s="301">
        <v>0</v>
      </c>
      <c r="Q1348" s="301">
        <v>0</v>
      </c>
      <c r="R1348" s="301">
        <v>0</v>
      </c>
      <c r="S1348" s="301">
        <v>0</v>
      </c>
      <c r="T1348" s="301">
        <v>0</v>
      </c>
      <c r="U1348" s="301">
        <v>0</v>
      </c>
      <c r="V1348" s="301">
        <v>0</v>
      </c>
      <c r="W1348" s="301">
        <v>0</v>
      </c>
      <c r="X1348" s="301">
        <v>0</v>
      </c>
      <c r="Y1348" s="301">
        <v>0</v>
      </c>
      <c r="Z1348" s="301">
        <v>0</v>
      </c>
      <c r="AA1348" s="301">
        <v>0</v>
      </c>
      <c r="AB1348" s="303">
        <v>2021</v>
      </c>
    </row>
    <row r="1349" spans="1:28" ht="35.25" customHeight="1" x14ac:dyDescent="0.5">
      <c r="A1349">
        <v>1</v>
      </c>
      <c r="B1349" s="80">
        <f>SUBTOTAL(103,$A$808:A1349)</f>
        <v>538</v>
      </c>
      <c r="C1349" s="300" t="s">
        <v>1970</v>
      </c>
      <c r="D1349" s="296">
        <f t="shared" si="56"/>
        <v>522662</v>
      </c>
      <c r="E1349" s="301">
        <v>0</v>
      </c>
      <c r="F1349" s="301">
        <v>0</v>
      </c>
      <c r="G1349" s="301">
        <v>0</v>
      </c>
      <c r="H1349" s="301">
        <v>448662</v>
      </c>
      <c r="I1349" s="301">
        <v>0</v>
      </c>
      <c r="J1349" s="301">
        <v>0</v>
      </c>
      <c r="K1349" s="302">
        <v>0</v>
      </c>
      <c r="L1349" s="301">
        <v>0</v>
      </c>
      <c r="M1349" s="301">
        <v>0</v>
      </c>
      <c r="N1349" s="301">
        <v>0</v>
      </c>
      <c r="O1349" s="301">
        <v>74000</v>
      </c>
      <c r="P1349" s="301">
        <v>0</v>
      </c>
      <c r="Q1349" s="301">
        <v>0</v>
      </c>
      <c r="R1349" s="301">
        <v>0</v>
      </c>
      <c r="S1349" s="301">
        <v>0</v>
      </c>
      <c r="T1349" s="301">
        <v>0</v>
      </c>
      <c r="U1349" s="301">
        <v>0</v>
      </c>
      <c r="V1349" s="301">
        <v>0</v>
      </c>
      <c r="W1349" s="301">
        <v>0</v>
      </c>
      <c r="X1349" s="301">
        <v>0</v>
      </c>
      <c r="Y1349" s="301">
        <v>0</v>
      </c>
      <c r="Z1349" s="301">
        <v>0</v>
      </c>
      <c r="AA1349" s="301">
        <v>0</v>
      </c>
      <c r="AB1349" s="303">
        <v>2021</v>
      </c>
    </row>
    <row r="1350" spans="1:28" ht="35.25" customHeight="1" x14ac:dyDescent="0.5">
      <c r="A1350">
        <v>1</v>
      </c>
      <c r="B1350" s="80">
        <f>SUBTOTAL(103,$A$808:A1350)</f>
        <v>539</v>
      </c>
      <c r="C1350" s="300" t="s">
        <v>2484</v>
      </c>
      <c r="D1350" s="296">
        <f t="shared" si="56"/>
        <v>1950220</v>
      </c>
      <c r="E1350" s="301">
        <v>0</v>
      </c>
      <c r="F1350" s="301">
        <v>0</v>
      </c>
      <c r="G1350" s="301">
        <v>0</v>
      </c>
      <c r="H1350" s="301">
        <v>0</v>
      </c>
      <c r="I1350" s="301">
        <v>0</v>
      </c>
      <c r="J1350" s="301">
        <v>0</v>
      </c>
      <c r="K1350" s="302">
        <v>1</v>
      </c>
      <c r="L1350" s="301">
        <v>1950220</v>
      </c>
      <c r="M1350" s="301">
        <v>0</v>
      </c>
      <c r="N1350" s="301">
        <v>0</v>
      </c>
      <c r="O1350" s="301">
        <v>0</v>
      </c>
      <c r="P1350" s="301">
        <v>0</v>
      </c>
      <c r="Q1350" s="301">
        <v>0</v>
      </c>
      <c r="R1350" s="301">
        <v>0</v>
      </c>
      <c r="S1350" s="301">
        <v>0</v>
      </c>
      <c r="T1350" s="301">
        <v>0</v>
      </c>
      <c r="U1350" s="301">
        <v>0</v>
      </c>
      <c r="V1350" s="301">
        <v>0</v>
      </c>
      <c r="W1350" s="301">
        <v>0</v>
      </c>
      <c r="X1350" s="301">
        <v>0</v>
      </c>
      <c r="Y1350" s="301">
        <v>0</v>
      </c>
      <c r="Z1350" s="301">
        <v>0</v>
      </c>
      <c r="AA1350" s="301">
        <v>0</v>
      </c>
      <c r="AB1350" s="303">
        <v>2021</v>
      </c>
    </row>
    <row r="1351" spans="1:28" ht="35.25" customHeight="1" x14ac:dyDescent="0.5">
      <c r="A1351">
        <v>1</v>
      </c>
      <c r="B1351" s="80">
        <f>SUBTOTAL(103,$A$808:A1351)</f>
        <v>540</v>
      </c>
      <c r="C1351" s="300" t="s">
        <v>2389</v>
      </c>
      <c r="D1351" s="296">
        <f t="shared" si="56"/>
        <v>3900000</v>
      </c>
      <c r="E1351" s="301">
        <v>0</v>
      </c>
      <c r="F1351" s="301">
        <v>0</v>
      </c>
      <c r="G1351" s="301">
        <v>0</v>
      </c>
      <c r="H1351" s="301">
        <v>0</v>
      </c>
      <c r="I1351" s="301">
        <v>0</v>
      </c>
      <c r="J1351" s="301">
        <v>0</v>
      </c>
      <c r="K1351" s="302">
        <v>2</v>
      </c>
      <c r="L1351" s="301">
        <v>3900000</v>
      </c>
      <c r="M1351" s="301">
        <v>0</v>
      </c>
      <c r="N1351" s="301">
        <v>0</v>
      </c>
      <c r="O1351" s="301">
        <v>0</v>
      </c>
      <c r="P1351" s="301">
        <v>0</v>
      </c>
      <c r="Q1351" s="301">
        <v>0</v>
      </c>
      <c r="R1351" s="301">
        <v>0</v>
      </c>
      <c r="S1351" s="301">
        <v>0</v>
      </c>
      <c r="T1351" s="301">
        <v>0</v>
      </c>
      <c r="U1351" s="301">
        <v>0</v>
      </c>
      <c r="V1351" s="301">
        <v>0</v>
      </c>
      <c r="W1351" s="301">
        <v>0</v>
      </c>
      <c r="X1351" s="301">
        <v>0</v>
      </c>
      <c r="Y1351" s="301">
        <v>0</v>
      </c>
      <c r="Z1351" s="301">
        <v>0</v>
      </c>
      <c r="AA1351" s="301">
        <v>0</v>
      </c>
      <c r="AB1351" s="303">
        <v>2021</v>
      </c>
    </row>
    <row r="1352" spans="1:28" ht="35.25" customHeight="1" x14ac:dyDescent="0.5">
      <c r="A1352">
        <v>1</v>
      </c>
      <c r="B1352" s="80">
        <f>SUBTOTAL(103,$A$808:A1352)</f>
        <v>541</v>
      </c>
      <c r="C1352" s="300" t="s">
        <v>3080</v>
      </c>
      <c r="D1352" s="296">
        <f t="shared" si="56"/>
        <v>1800000</v>
      </c>
      <c r="E1352" s="301">
        <v>0</v>
      </c>
      <c r="F1352" s="301">
        <v>0</v>
      </c>
      <c r="G1352" s="301">
        <v>0</v>
      </c>
      <c r="H1352" s="301">
        <v>0</v>
      </c>
      <c r="I1352" s="301">
        <v>0</v>
      </c>
      <c r="J1352" s="301">
        <v>0</v>
      </c>
      <c r="K1352" s="302">
        <v>0</v>
      </c>
      <c r="L1352" s="301">
        <v>0</v>
      </c>
      <c r="M1352" s="301">
        <v>1800000</v>
      </c>
      <c r="N1352" s="301">
        <v>0</v>
      </c>
      <c r="O1352" s="301">
        <v>0</v>
      </c>
      <c r="P1352" s="301">
        <v>0</v>
      </c>
      <c r="Q1352" s="301">
        <v>0</v>
      </c>
      <c r="R1352" s="301">
        <v>0</v>
      </c>
      <c r="S1352" s="301">
        <v>0</v>
      </c>
      <c r="T1352" s="301">
        <v>0</v>
      </c>
      <c r="U1352" s="301">
        <v>0</v>
      </c>
      <c r="V1352" s="301">
        <v>0</v>
      </c>
      <c r="W1352" s="301">
        <v>0</v>
      </c>
      <c r="X1352" s="301">
        <v>0</v>
      </c>
      <c r="Y1352" s="301">
        <v>0</v>
      </c>
      <c r="Z1352" s="301">
        <v>0</v>
      </c>
      <c r="AA1352" s="301">
        <v>0</v>
      </c>
      <c r="AB1352" s="303">
        <v>2021</v>
      </c>
    </row>
    <row r="1353" spans="1:28" ht="35.25" customHeight="1" x14ac:dyDescent="0.5">
      <c r="A1353">
        <v>1</v>
      </c>
      <c r="B1353" s="80">
        <f>SUBTOTAL(103,$A$808:A1353)</f>
        <v>542</v>
      </c>
      <c r="C1353" s="300" t="s">
        <v>1696</v>
      </c>
      <c r="D1353" s="296">
        <f t="shared" ref="D1353:D1416" si="59">E1353+F1353+G1353+H1353+I1353+J1353+L1353+M1353+N1353+O1353+P1353+Q1353+R1353+S1353+T1353+U1353+V1353+W1353+X1353+Y1353+Z1353+AA1353</f>
        <v>81287</v>
      </c>
      <c r="E1353" s="301">
        <v>81287</v>
      </c>
      <c r="F1353" s="301">
        <v>0</v>
      </c>
      <c r="G1353" s="301">
        <v>0</v>
      </c>
      <c r="H1353" s="301">
        <v>0</v>
      </c>
      <c r="I1353" s="301">
        <v>0</v>
      </c>
      <c r="J1353" s="301">
        <v>0</v>
      </c>
      <c r="K1353" s="302">
        <v>0</v>
      </c>
      <c r="L1353" s="301">
        <v>0</v>
      </c>
      <c r="M1353" s="301">
        <v>0</v>
      </c>
      <c r="N1353" s="301">
        <v>0</v>
      </c>
      <c r="O1353" s="301">
        <v>0</v>
      </c>
      <c r="P1353" s="301">
        <v>0</v>
      </c>
      <c r="Q1353" s="301">
        <v>0</v>
      </c>
      <c r="R1353" s="301">
        <v>0</v>
      </c>
      <c r="S1353" s="301">
        <v>0</v>
      </c>
      <c r="T1353" s="301">
        <v>0</v>
      </c>
      <c r="U1353" s="301">
        <v>0</v>
      </c>
      <c r="V1353" s="301">
        <v>0</v>
      </c>
      <c r="W1353" s="301">
        <v>0</v>
      </c>
      <c r="X1353" s="301">
        <v>0</v>
      </c>
      <c r="Y1353" s="301">
        <v>0</v>
      </c>
      <c r="Z1353" s="301">
        <v>0</v>
      </c>
      <c r="AA1353" s="301">
        <v>0</v>
      </c>
      <c r="AB1353" s="303">
        <v>2021</v>
      </c>
    </row>
    <row r="1354" spans="1:28" ht="35.25" customHeight="1" x14ac:dyDescent="0.5">
      <c r="A1354">
        <v>1</v>
      </c>
      <c r="B1354" s="80">
        <f>SUBTOTAL(103,$A$808:A1354)</f>
        <v>543</v>
      </c>
      <c r="C1354" s="300" t="s">
        <v>2824</v>
      </c>
      <c r="D1354" s="296">
        <f t="shared" si="59"/>
        <v>296173</v>
      </c>
      <c r="E1354" s="301">
        <v>0</v>
      </c>
      <c r="F1354" s="301">
        <v>55747</v>
      </c>
      <c r="G1354" s="301">
        <v>0</v>
      </c>
      <c r="H1354" s="301">
        <v>0</v>
      </c>
      <c r="I1354" s="301">
        <v>0</v>
      </c>
      <c r="J1354" s="301">
        <v>0</v>
      </c>
      <c r="K1354" s="302">
        <v>0</v>
      </c>
      <c r="L1354" s="301">
        <v>0</v>
      </c>
      <c r="M1354" s="301">
        <v>0</v>
      </c>
      <c r="N1354" s="301">
        <v>0</v>
      </c>
      <c r="O1354" s="301">
        <v>240426</v>
      </c>
      <c r="P1354" s="301">
        <v>0</v>
      </c>
      <c r="Q1354" s="301">
        <v>0</v>
      </c>
      <c r="R1354" s="301">
        <v>0</v>
      </c>
      <c r="S1354" s="301">
        <v>0</v>
      </c>
      <c r="T1354" s="301">
        <v>0</v>
      </c>
      <c r="U1354" s="301">
        <v>0</v>
      </c>
      <c r="V1354" s="301">
        <v>0</v>
      </c>
      <c r="W1354" s="301">
        <v>0</v>
      </c>
      <c r="X1354" s="301">
        <v>0</v>
      </c>
      <c r="Y1354" s="301">
        <v>0</v>
      </c>
      <c r="Z1354" s="301">
        <v>0</v>
      </c>
      <c r="AA1354" s="301">
        <v>0</v>
      </c>
      <c r="AB1354" s="303">
        <v>2021</v>
      </c>
    </row>
    <row r="1355" spans="1:28" ht="35.25" customHeight="1" x14ac:dyDescent="0.5">
      <c r="A1355">
        <v>1</v>
      </c>
      <c r="B1355" s="80">
        <f>SUBTOTAL(103,$A$808:A1355)</f>
        <v>544</v>
      </c>
      <c r="C1355" s="300" t="s">
        <v>2825</v>
      </c>
      <c r="D1355" s="296">
        <f t="shared" si="59"/>
        <v>1510654.6</v>
      </c>
      <c r="E1355" s="301">
        <v>0</v>
      </c>
      <c r="F1355" s="301">
        <v>0</v>
      </c>
      <c r="G1355" s="301">
        <v>0</v>
      </c>
      <c r="H1355" s="301">
        <v>0</v>
      </c>
      <c r="I1355" s="301">
        <v>0</v>
      </c>
      <c r="J1355" s="301">
        <v>0</v>
      </c>
      <c r="K1355" s="302">
        <v>0</v>
      </c>
      <c r="L1355" s="301">
        <v>0</v>
      </c>
      <c r="M1355" s="301">
        <v>1510654.6</v>
      </c>
      <c r="N1355" s="301">
        <v>0</v>
      </c>
      <c r="O1355" s="301">
        <v>0</v>
      </c>
      <c r="P1355" s="301">
        <v>0</v>
      </c>
      <c r="Q1355" s="301">
        <v>0</v>
      </c>
      <c r="R1355" s="301">
        <v>0</v>
      </c>
      <c r="S1355" s="301">
        <v>0</v>
      </c>
      <c r="T1355" s="301">
        <v>0</v>
      </c>
      <c r="U1355" s="301">
        <v>0</v>
      </c>
      <c r="V1355" s="301">
        <v>0</v>
      </c>
      <c r="W1355" s="301">
        <v>0</v>
      </c>
      <c r="X1355" s="301">
        <v>0</v>
      </c>
      <c r="Y1355" s="301">
        <v>0</v>
      </c>
      <c r="Z1355" s="301">
        <v>0</v>
      </c>
      <c r="AA1355" s="301">
        <v>0</v>
      </c>
      <c r="AB1355" s="303">
        <v>2021</v>
      </c>
    </row>
    <row r="1356" spans="1:28" ht="35.25" customHeight="1" x14ac:dyDescent="0.5">
      <c r="A1356">
        <v>1</v>
      </c>
      <c r="B1356" s="80">
        <f>SUBTOTAL(103,$A$808:A1356)</f>
        <v>545</v>
      </c>
      <c r="C1356" s="300" t="s">
        <v>2380</v>
      </c>
      <c r="D1356" s="296">
        <f t="shared" si="59"/>
        <v>310773</v>
      </c>
      <c r="E1356" s="301">
        <v>310773</v>
      </c>
      <c r="F1356" s="301">
        <v>0</v>
      </c>
      <c r="G1356" s="301">
        <v>0</v>
      </c>
      <c r="H1356" s="301">
        <v>0</v>
      </c>
      <c r="I1356" s="301">
        <v>0</v>
      </c>
      <c r="J1356" s="301">
        <v>0</v>
      </c>
      <c r="K1356" s="302">
        <v>0</v>
      </c>
      <c r="L1356" s="301">
        <v>0</v>
      </c>
      <c r="M1356" s="301">
        <v>0</v>
      </c>
      <c r="N1356" s="301">
        <v>0</v>
      </c>
      <c r="O1356" s="301">
        <v>0</v>
      </c>
      <c r="P1356" s="301">
        <v>0</v>
      </c>
      <c r="Q1356" s="301">
        <v>0</v>
      </c>
      <c r="R1356" s="301">
        <v>0</v>
      </c>
      <c r="S1356" s="301">
        <v>0</v>
      </c>
      <c r="T1356" s="301">
        <v>0</v>
      </c>
      <c r="U1356" s="301">
        <v>0</v>
      </c>
      <c r="V1356" s="301">
        <v>0</v>
      </c>
      <c r="W1356" s="301">
        <v>0</v>
      </c>
      <c r="X1356" s="301">
        <v>0</v>
      </c>
      <c r="Y1356" s="301">
        <v>0</v>
      </c>
      <c r="Z1356" s="301">
        <v>0</v>
      </c>
      <c r="AA1356" s="301">
        <v>0</v>
      </c>
      <c r="AB1356" s="303">
        <v>2021</v>
      </c>
    </row>
    <row r="1357" spans="1:28" ht="35.25" customHeight="1" x14ac:dyDescent="0.5">
      <c r="A1357">
        <v>1</v>
      </c>
      <c r="B1357" s="80">
        <f>SUBTOTAL(103,$A$808:A1357)</f>
        <v>546</v>
      </c>
      <c r="C1357" s="300" t="s">
        <v>1976</v>
      </c>
      <c r="D1357" s="296">
        <f t="shared" si="59"/>
        <v>578729</v>
      </c>
      <c r="E1357" s="301">
        <v>21327</v>
      </c>
      <c r="F1357" s="301">
        <v>0</v>
      </c>
      <c r="G1357" s="301">
        <v>227586</v>
      </c>
      <c r="H1357" s="301">
        <v>329816</v>
      </c>
      <c r="I1357" s="301">
        <v>0</v>
      </c>
      <c r="J1357" s="301">
        <v>0</v>
      </c>
      <c r="K1357" s="302">
        <v>0</v>
      </c>
      <c r="L1357" s="301">
        <v>0</v>
      </c>
      <c r="M1357" s="301">
        <v>0</v>
      </c>
      <c r="N1357" s="301">
        <v>0</v>
      </c>
      <c r="O1357" s="301">
        <v>0</v>
      </c>
      <c r="P1357" s="301">
        <v>0</v>
      </c>
      <c r="Q1357" s="301">
        <v>0</v>
      </c>
      <c r="R1357" s="301">
        <v>0</v>
      </c>
      <c r="S1357" s="301">
        <v>0</v>
      </c>
      <c r="T1357" s="301">
        <v>0</v>
      </c>
      <c r="U1357" s="301">
        <v>0</v>
      </c>
      <c r="V1357" s="301">
        <v>0</v>
      </c>
      <c r="W1357" s="301">
        <v>0</v>
      </c>
      <c r="X1357" s="301">
        <v>0</v>
      </c>
      <c r="Y1357" s="301">
        <v>0</v>
      </c>
      <c r="Z1357" s="301">
        <v>0</v>
      </c>
      <c r="AA1357" s="301">
        <v>0</v>
      </c>
      <c r="AB1357" s="303">
        <v>2021</v>
      </c>
    </row>
    <row r="1358" spans="1:28" ht="35.25" customHeight="1" x14ac:dyDescent="0.5">
      <c r="A1358">
        <v>1</v>
      </c>
      <c r="B1358" s="80">
        <f>SUBTOTAL(103,$A$808:A1358)</f>
        <v>547</v>
      </c>
      <c r="C1358" s="300" t="s">
        <v>1977</v>
      </c>
      <c r="D1358" s="296">
        <f t="shared" si="59"/>
        <v>363333</v>
      </c>
      <c r="E1358" s="301">
        <v>115734</v>
      </c>
      <c r="F1358" s="301">
        <v>0</v>
      </c>
      <c r="G1358" s="301">
        <v>0</v>
      </c>
      <c r="H1358" s="301">
        <v>247599</v>
      </c>
      <c r="I1358" s="301">
        <v>0</v>
      </c>
      <c r="J1358" s="301">
        <v>0</v>
      </c>
      <c r="K1358" s="302">
        <v>0</v>
      </c>
      <c r="L1358" s="301">
        <v>0</v>
      </c>
      <c r="M1358" s="301">
        <v>0</v>
      </c>
      <c r="N1358" s="301">
        <v>0</v>
      </c>
      <c r="O1358" s="301">
        <v>0</v>
      </c>
      <c r="P1358" s="301">
        <v>0</v>
      </c>
      <c r="Q1358" s="301">
        <v>0</v>
      </c>
      <c r="R1358" s="301">
        <v>0</v>
      </c>
      <c r="S1358" s="301">
        <v>0</v>
      </c>
      <c r="T1358" s="301">
        <v>0</v>
      </c>
      <c r="U1358" s="301">
        <v>0</v>
      </c>
      <c r="V1358" s="301">
        <v>0</v>
      </c>
      <c r="W1358" s="301">
        <v>0</v>
      </c>
      <c r="X1358" s="301">
        <v>0</v>
      </c>
      <c r="Y1358" s="301">
        <v>0</v>
      </c>
      <c r="Z1358" s="301">
        <v>0</v>
      </c>
      <c r="AA1358" s="301">
        <v>0</v>
      </c>
      <c r="AB1358" s="303">
        <v>2021</v>
      </c>
    </row>
    <row r="1359" spans="1:28" ht="35.25" customHeight="1" x14ac:dyDescent="0.5">
      <c r="A1359">
        <v>1</v>
      </c>
      <c r="B1359" s="80">
        <f>SUBTOTAL(103,$A$808:A1359)</f>
        <v>548</v>
      </c>
      <c r="C1359" s="300" t="s">
        <v>2826</v>
      </c>
      <c r="D1359" s="296">
        <f t="shared" si="59"/>
        <v>1446528</v>
      </c>
      <c r="E1359" s="301">
        <v>0</v>
      </c>
      <c r="F1359" s="301">
        <v>0</v>
      </c>
      <c r="G1359" s="301">
        <v>0</v>
      </c>
      <c r="H1359" s="301">
        <v>0</v>
      </c>
      <c r="I1359" s="301">
        <v>0</v>
      </c>
      <c r="J1359" s="301">
        <v>0</v>
      </c>
      <c r="K1359" s="302">
        <v>0</v>
      </c>
      <c r="L1359" s="301">
        <v>0</v>
      </c>
      <c r="M1359" s="301">
        <v>1446528</v>
      </c>
      <c r="N1359" s="301">
        <v>0</v>
      </c>
      <c r="O1359" s="301">
        <v>0</v>
      </c>
      <c r="P1359" s="301">
        <v>0</v>
      </c>
      <c r="Q1359" s="301">
        <v>0</v>
      </c>
      <c r="R1359" s="301">
        <v>0</v>
      </c>
      <c r="S1359" s="301">
        <v>0</v>
      </c>
      <c r="T1359" s="301">
        <v>0</v>
      </c>
      <c r="U1359" s="301">
        <v>0</v>
      </c>
      <c r="V1359" s="301">
        <v>0</v>
      </c>
      <c r="W1359" s="301">
        <v>0</v>
      </c>
      <c r="X1359" s="301">
        <v>0</v>
      </c>
      <c r="Y1359" s="301">
        <v>0</v>
      </c>
      <c r="Z1359" s="301">
        <v>0</v>
      </c>
      <c r="AA1359" s="301">
        <v>0</v>
      </c>
      <c r="AB1359" s="303">
        <v>2021</v>
      </c>
    </row>
    <row r="1360" spans="1:28" ht="35.25" customHeight="1" x14ac:dyDescent="0.5">
      <c r="A1360">
        <v>1</v>
      </c>
      <c r="B1360" s="80">
        <f>SUBTOTAL(103,$A$808:A1360)</f>
        <v>549</v>
      </c>
      <c r="C1360" s="300" t="s">
        <v>2827</v>
      </c>
      <c r="D1360" s="296">
        <f t="shared" si="59"/>
        <v>541760.94000000006</v>
      </c>
      <c r="E1360" s="301">
        <v>184794.79</v>
      </c>
      <c r="F1360" s="301">
        <v>0</v>
      </c>
      <c r="G1360" s="301">
        <v>0</v>
      </c>
      <c r="H1360" s="301">
        <v>0</v>
      </c>
      <c r="I1360" s="301">
        <v>356966.15</v>
      </c>
      <c r="J1360" s="301">
        <v>0</v>
      </c>
      <c r="K1360" s="302">
        <v>0</v>
      </c>
      <c r="L1360" s="301">
        <v>0</v>
      </c>
      <c r="M1360" s="301">
        <v>0</v>
      </c>
      <c r="N1360" s="301">
        <v>0</v>
      </c>
      <c r="O1360" s="301">
        <v>0</v>
      </c>
      <c r="P1360" s="301">
        <v>0</v>
      </c>
      <c r="Q1360" s="301">
        <v>0</v>
      </c>
      <c r="R1360" s="301">
        <v>0</v>
      </c>
      <c r="S1360" s="301">
        <v>0</v>
      </c>
      <c r="T1360" s="301">
        <v>0</v>
      </c>
      <c r="U1360" s="301">
        <v>0</v>
      </c>
      <c r="V1360" s="301">
        <v>0</v>
      </c>
      <c r="W1360" s="301">
        <v>0</v>
      </c>
      <c r="X1360" s="301">
        <v>0</v>
      </c>
      <c r="Y1360" s="301">
        <v>0</v>
      </c>
      <c r="Z1360" s="301">
        <v>0</v>
      </c>
      <c r="AA1360" s="301">
        <v>0</v>
      </c>
      <c r="AB1360" s="303">
        <v>2021</v>
      </c>
    </row>
    <row r="1361" spans="1:28" ht="35.25" customHeight="1" x14ac:dyDescent="0.5">
      <c r="A1361">
        <v>1</v>
      </c>
      <c r="B1361" s="80">
        <f>SUBTOTAL(103,$A$808:A1361)</f>
        <v>550</v>
      </c>
      <c r="C1361" s="300" t="s">
        <v>3081</v>
      </c>
      <c r="D1361" s="296">
        <f t="shared" si="59"/>
        <v>1813528.2</v>
      </c>
      <c r="E1361" s="301">
        <v>0</v>
      </c>
      <c r="F1361" s="301">
        <v>0</v>
      </c>
      <c r="G1361" s="301">
        <v>0</v>
      </c>
      <c r="H1361" s="301">
        <v>0</v>
      </c>
      <c r="I1361" s="301">
        <v>0</v>
      </c>
      <c r="J1361" s="301">
        <v>0</v>
      </c>
      <c r="K1361" s="302">
        <v>0</v>
      </c>
      <c r="L1361" s="301">
        <v>0</v>
      </c>
      <c r="M1361" s="301">
        <v>1813528.2</v>
      </c>
      <c r="N1361" s="301">
        <v>0</v>
      </c>
      <c r="O1361" s="301">
        <v>0</v>
      </c>
      <c r="P1361" s="301">
        <v>0</v>
      </c>
      <c r="Q1361" s="301">
        <v>0</v>
      </c>
      <c r="R1361" s="301">
        <v>0</v>
      </c>
      <c r="S1361" s="301">
        <v>0</v>
      </c>
      <c r="T1361" s="301">
        <v>0</v>
      </c>
      <c r="U1361" s="301">
        <v>0</v>
      </c>
      <c r="V1361" s="301">
        <v>0</v>
      </c>
      <c r="W1361" s="301">
        <v>0</v>
      </c>
      <c r="X1361" s="301">
        <v>0</v>
      </c>
      <c r="Y1361" s="301">
        <v>0</v>
      </c>
      <c r="Z1361" s="301">
        <v>0</v>
      </c>
      <c r="AA1361" s="301">
        <v>0</v>
      </c>
      <c r="AB1361" s="303">
        <v>2021</v>
      </c>
    </row>
    <row r="1362" spans="1:28" ht="35.25" customHeight="1" x14ac:dyDescent="0.5">
      <c r="A1362">
        <v>1</v>
      </c>
      <c r="B1362" s="80">
        <f>SUBTOTAL(103,$A$808:A1362)</f>
        <v>551</v>
      </c>
      <c r="C1362" s="300" t="s">
        <v>2828</v>
      </c>
      <c r="D1362" s="296">
        <f t="shared" si="59"/>
        <v>1854148</v>
      </c>
      <c r="E1362" s="301">
        <v>0</v>
      </c>
      <c r="F1362" s="301">
        <v>0</v>
      </c>
      <c r="G1362" s="301">
        <v>0</v>
      </c>
      <c r="H1362" s="301">
        <v>0</v>
      </c>
      <c r="I1362" s="301">
        <v>0</v>
      </c>
      <c r="J1362" s="301">
        <v>0</v>
      </c>
      <c r="K1362" s="302">
        <v>0</v>
      </c>
      <c r="L1362" s="301">
        <v>0</v>
      </c>
      <c r="M1362" s="301">
        <v>1179202</v>
      </c>
      <c r="N1362" s="301">
        <v>0</v>
      </c>
      <c r="O1362" s="301">
        <v>674946</v>
      </c>
      <c r="P1362" s="301">
        <v>0</v>
      </c>
      <c r="Q1362" s="301">
        <v>0</v>
      </c>
      <c r="R1362" s="301">
        <v>0</v>
      </c>
      <c r="S1362" s="301">
        <v>0</v>
      </c>
      <c r="T1362" s="301">
        <v>0</v>
      </c>
      <c r="U1362" s="301">
        <v>0</v>
      </c>
      <c r="V1362" s="301">
        <v>0</v>
      </c>
      <c r="W1362" s="301">
        <v>0</v>
      </c>
      <c r="X1362" s="301">
        <v>0</v>
      </c>
      <c r="Y1362" s="301">
        <v>0</v>
      </c>
      <c r="Z1362" s="301">
        <v>0</v>
      </c>
      <c r="AA1362" s="301">
        <v>0</v>
      </c>
      <c r="AB1362" s="303">
        <v>2021</v>
      </c>
    </row>
    <row r="1363" spans="1:28" ht="35.25" customHeight="1" x14ac:dyDescent="0.5">
      <c r="A1363">
        <v>1</v>
      </c>
      <c r="B1363" s="80">
        <f>SUBTOTAL(103,$A$808:A1363)</f>
        <v>552</v>
      </c>
      <c r="C1363" s="300" t="s">
        <v>1980</v>
      </c>
      <c r="D1363" s="296">
        <f t="shared" si="59"/>
        <v>411350</v>
      </c>
      <c r="E1363" s="301">
        <v>0</v>
      </c>
      <c r="F1363" s="301">
        <v>0</v>
      </c>
      <c r="G1363" s="301">
        <v>411350</v>
      </c>
      <c r="H1363" s="301">
        <v>0</v>
      </c>
      <c r="I1363" s="301">
        <v>0</v>
      </c>
      <c r="J1363" s="301">
        <v>0</v>
      </c>
      <c r="K1363" s="302">
        <v>0</v>
      </c>
      <c r="L1363" s="301">
        <v>0</v>
      </c>
      <c r="M1363" s="301">
        <v>0</v>
      </c>
      <c r="N1363" s="301">
        <v>0</v>
      </c>
      <c r="O1363" s="301">
        <v>0</v>
      </c>
      <c r="P1363" s="301">
        <v>0</v>
      </c>
      <c r="Q1363" s="301">
        <v>0</v>
      </c>
      <c r="R1363" s="301">
        <v>0</v>
      </c>
      <c r="S1363" s="301">
        <v>0</v>
      </c>
      <c r="T1363" s="301">
        <v>0</v>
      </c>
      <c r="U1363" s="301">
        <v>0</v>
      </c>
      <c r="V1363" s="301">
        <v>0</v>
      </c>
      <c r="W1363" s="301">
        <v>0</v>
      </c>
      <c r="X1363" s="301">
        <v>0</v>
      </c>
      <c r="Y1363" s="301">
        <v>0</v>
      </c>
      <c r="Z1363" s="301">
        <v>0</v>
      </c>
      <c r="AA1363" s="301">
        <v>0</v>
      </c>
      <c r="AB1363" s="303">
        <v>2021</v>
      </c>
    </row>
    <row r="1364" spans="1:28" ht="35.25" customHeight="1" x14ac:dyDescent="0.5">
      <c r="A1364">
        <v>1</v>
      </c>
      <c r="B1364" s="80">
        <f>SUBTOTAL(103,$A$808:A1364)</f>
        <v>553</v>
      </c>
      <c r="C1364" s="300" t="s">
        <v>3384</v>
      </c>
      <c r="D1364" s="296">
        <f t="shared" si="59"/>
        <v>573796</v>
      </c>
      <c r="E1364" s="301">
        <v>0</v>
      </c>
      <c r="F1364" s="301">
        <v>0</v>
      </c>
      <c r="G1364" s="301">
        <v>0</v>
      </c>
      <c r="H1364" s="301">
        <v>0</v>
      </c>
      <c r="I1364" s="301">
        <v>0</v>
      </c>
      <c r="J1364" s="301">
        <v>0</v>
      </c>
      <c r="K1364" s="302">
        <v>0</v>
      </c>
      <c r="L1364" s="301">
        <v>0</v>
      </c>
      <c r="M1364" s="301">
        <v>0</v>
      </c>
      <c r="N1364" s="301">
        <v>0</v>
      </c>
      <c r="O1364" s="301">
        <v>573796</v>
      </c>
      <c r="P1364" s="301">
        <v>0</v>
      </c>
      <c r="Q1364" s="301">
        <v>0</v>
      </c>
      <c r="R1364" s="301">
        <v>0</v>
      </c>
      <c r="S1364" s="301">
        <v>0</v>
      </c>
      <c r="T1364" s="301">
        <v>0</v>
      </c>
      <c r="U1364" s="301">
        <v>0</v>
      </c>
      <c r="V1364" s="301">
        <v>0</v>
      </c>
      <c r="W1364" s="301">
        <v>0</v>
      </c>
      <c r="X1364" s="301">
        <v>0</v>
      </c>
      <c r="Y1364" s="301">
        <v>0</v>
      </c>
      <c r="Z1364" s="301">
        <v>0</v>
      </c>
      <c r="AA1364" s="301">
        <v>0</v>
      </c>
      <c r="AB1364" s="303">
        <v>2021</v>
      </c>
    </row>
    <row r="1365" spans="1:28" ht="35.25" customHeight="1" x14ac:dyDescent="0.5">
      <c r="A1365">
        <v>1</v>
      </c>
      <c r="B1365" s="80">
        <f>SUBTOTAL(103,$A$808:A1365)</f>
        <v>554</v>
      </c>
      <c r="C1365" s="300" t="s">
        <v>1700</v>
      </c>
      <c r="D1365" s="296">
        <f t="shared" si="59"/>
        <v>316930</v>
      </c>
      <c r="E1365" s="301">
        <v>0</v>
      </c>
      <c r="F1365" s="301">
        <v>0</v>
      </c>
      <c r="G1365" s="301">
        <v>0</v>
      </c>
      <c r="H1365" s="301">
        <v>0</v>
      </c>
      <c r="I1365" s="301">
        <v>0</v>
      </c>
      <c r="J1365" s="301">
        <v>0</v>
      </c>
      <c r="K1365" s="302">
        <v>0</v>
      </c>
      <c r="L1365" s="301">
        <v>0</v>
      </c>
      <c r="M1365" s="301">
        <v>0</v>
      </c>
      <c r="N1365" s="301">
        <v>0</v>
      </c>
      <c r="O1365" s="301">
        <v>316930</v>
      </c>
      <c r="P1365" s="301">
        <v>0</v>
      </c>
      <c r="Q1365" s="301">
        <v>0</v>
      </c>
      <c r="R1365" s="301">
        <v>0</v>
      </c>
      <c r="S1365" s="301">
        <v>0</v>
      </c>
      <c r="T1365" s="301">
        <v>0</v>
      </c>
      <c r="U1365" s="301">
        <v>0</v>
      </c>
      <c r="V1365" s="301">
        <v>0</v>
      </c>
      <c r="W1365" s="301">
        <v>0</v>
      </c>
      <c r="X1365" s="301">
        <v>0</v>
      </c>
      <c r="Y1365" s="301">
        <v>0</v>
      </c>
      <c r="Z1365" s="301">
        <v>0</v>
      </c>
      <c r="AA1365" s="301">
        <v>0</v>
      </c>
      <c r="AB1365" s="303">
        <v>2021</v>
      </c>
    </row>
    <row r="1366" spans="1:28" ht="35.25" customHeight="1" x14ac:dyDescent="0.5">
      <c r="A1366">
        <v>1</v>
      </c>
      <c r="B1366" s="80">
        <f>SUBTOTAL(103,$A$808:A1366)</f>
        <v>555</v>
      </c>
      <c r="C1366" s="300" t="s">
        <v>2829</v>
      </c>
      <c r="D1366" s="296">
        <f t="shared" si="59"/>
        <v>479543</v>
      </c>
      <c r="E1366" s="301">
        <v>0</v>
      </c>
      <c r="F1366" s="301">
        <v>0</v>
      </c>
      <c r="G1366" s="301">
        <v>0</v>
      </c>
      <c r="H1366" s="301">
        <v>0</v>
      </c>
      <c r="I1366" s="301">
        <v>479543</v>
      </c>
      <c r="J1366" s="301">
        <v>0</v>
      </c>
      <c r="K1366" s="302">
        <v>0</v>
      </c>
      <c r="L1366" s="301">
        <v>0</v>
      </c>
      <c r="M1366" s="301">
        <v>0</v>
      </c>
      <c r="N1366" s="301">
        <v>0</v>
      </c>
      <c r="O1366" s="301">
        <v>0</v>
      </c>
      <c r="P1366" s="301">
        <v>0</v>
      </c>
      <c r="Q1366" s="301">
        <v>0</v>
      </c>
      <c r="R1366" s="301">
        <v>0</v>
      </c>
      <c r="S1366" s="301">
        <v>0</v>
      </c>
      <c r="T1366" s="301">
        <v>0</v>
      </c>
      <c r="U1366" s="301">
        <v>0</v>
      </c>
      <c r="V1366" s="301">
        <v>0</v>
      </c>
      <c r="W1366" s="301">
        <v>0</v>
      </c>
      <c r="X1366" s="301">
        <v>0</v>
      </c>
      <c r="Y1366" s="301">
        <v>0</v>
      </c>
      <c r="Z1366" s="301">
        <v>0</v>
      </c>
      <c r="AA1366" s="301">
        <v>0</v>
      </c>
      <c r="AB1366" s="303">
        <v>2021</v>
      </c>
    </row>
    <row r="1367" spans="1:28" ht="35.25" customHeight="1" x14ac:dyDescent="0.5">
      <c r="A1367">
        <v>1</v>
      </c>
      <c r="B1367" s="80">
        <f>SUBTOTAL(103,$A$808:A1367)</f>
        <v>556</v>
      </c>
      <c r="C1367" s="300" t="s">
        <v>1701</v>
      </c>
      <c r="D1367" s="296">
        <f t="shared" si="59"/>
        <v>174492.7</v>
      </c>
      <c r="E1367" s="301">
        <v>0</v>
      </c>
      <c r="F1367" s="301">
        <v>0</v>
      </c>
      <c r="G1367" s="301">
        <v>0</v>
      </c>
      <c r="H1367" s="301">
        <v>0</v>
      </c>
      <c r="I1367" s="301">
        <v>0</v>
      </c>
      <c r="J1367" s="301">
        <v>0</v>
      </c>
      <c r="K1367" s="302">
        <v>0</v>
      </c>
      <c r="L1367" s="301">
        <v>0</v>
      </c>
      <c r="M1367" s="301">
        <v>174492.7</v>
      </c>
      <c r="N1367" s="301">
        <v>0</v>
      </c>
      <c r="O1367" s="301">
        <v>0</v>
      </c>
      <c r="P1367" s="301">
        <v>0</v>
      </c>
      <c r="Q1367" s="301">
        <v>0</v>
      </c>
      <c r="R1367" s="301">
        <v>0</v>
      </c>
      <c r="S1367" s="301">
        <v>0</v>
      </c>
      <c r="T1367" s="301">
        <v>0</v>
      </c>
      <c r="U1367" s="301">
        <v>0</v>
      </c>
      <c r="V1367" s="301">
        <v>0</v>
      </c>
      <c r="W1367" s="301">
        <v>0</v>
      </c>
      <c r="X1367" s="301">
        <v>0</v>
      </c>
      <c r="Y1367" s="301">
        <v>0</v>
      </c>
      <c r="Z1367" s="301">
        <v>0</v>
      </c>
      <c r="AA1367" s="301">
        <v>0</v>
      </c>
      <c r="AB1367" s="303">
        <v>2021</v>
      </c>
    </row>
    <row r="1368" spans="1:28" ht="35.25" customHeight="1" x14ac:dyDescent="0.5">
      <c r="A1368">
        <v>1</v>
      </c>
      <c r="B1368" s="80">
        <f>SUBTOTAL(103,$A$808:A1368)</f>
        <v>557</v>
      </c>
      <c r="C1368" s="300" t="s">
        <v>2830</v>
      </c>
      <c r="D1368" s="296">
        <f t="shared" si="59"/>
        <v>2610907.0099999998</v>
      </c>
      <c r="E1368" s="301">
        <v>0</v>
      </c>
      <c r="F1368" s="301">
        <v>0</v>
      </c>
      <c r="G1368" s="301">
        <v>0</v>
      </c>
      <c r="H1368" s="301">
        <v>0</v>
      </c>
      <c r="I1368" s="301">
        <v>0</v>
      </c>
      <c r="J1368" s="301">
        <v>0</v>
      </c>
      <c r="K1368" s="302">
        <v>0</v>
      </c>
      <c r="L1368" s="301">
        <v>0</v>
      </c>
      <c r="M1368" s="301">
        <v>2610907.0099999998</v>
      </c>
      <c r="N1368" s="301">
        <v>0</v>
      </c>
      <c r="O1368" s="301">
        <v>0</v>
      </c>
      <c r="P1368" s="301">
        <v>0</v>
      </c>
      <c r="Q1368" s="301">
        <v>0</v>
      </c>
      <c r="R1368" s="301">
        <v>0</v>
      </c>
      <c r="S1368" s="301">
        <v>0</v>
      </c>
      <c r="T1368" s="301">
        <v>0</v>
      </c>
      <c r="U1368" s="301">
        <v>0</v>
      </c>
      <c r="V1368" s="301">
        <v>0</v>
      </c>
      <c r="W1368" s="301">
        <v>0</v>
      </c>
      <c r="X1368" s="301">
        <v>0</v>
      </c>
      <c r="Y1368" s="301">
        <v>0</v>
      </c>
      <c r="Z1368" s="301">
        <v>0</v>
      </c>
      <c r="AA1368" s="301">
        <v>0</v>
      </c>
      <c r="AB1368" s="303">
        <v>2021</v>
      </c>
    </row>
    <row r="1369" spans="1:28" ht="35.25" customHeight="1" x14ac:dyDescent="0.5">
      <c r="A1369">
        <v>1</v>
      </c>
      <c r="B1369" s="80">
        <f>SUBTOTAL(103,$A$808:A1369)</f>
        <v>558</v>
      </c>
      <c r="C1369" s="300" t="s">
        <v>2393</v>
      </c>
      <c r="D1369" s="296">
        <f t="shared" si="59"/>
        <v>107832</v>
      </c>
      <c r="E1369" s="301">
        <v>0</v>
      </c>
      <c r="F1369" s="301">
        <v>0</v>
      </c>
      <c r="G1369" s="301">
        <v>107832</v>
      </c>
      <c r="H1369" s="301">
        <v>0</v>
      </c>
      <c r="I1369" s="301">
        <v>0</v>
      </c>
      <c r="J1369" s="301">
        <v>0</v>
      </c>
      <c r="K1369" s="302">
        <v>0</v>
      </c>
      <c r="L1369" s="301">
        <v>0</v>
      </c>
      <c r="M1369" s="301">
        <v>0</v>
      </c>
      <c r="N1369" s="301">
        <v>0</v>
      </c>
      <c r="O1369" s="301">
        <v>0</v>
      </c>
      <c r="P1369" s="301">
        <v>0</v>
      </c>
      <c r="Q1369" s="301">
        <v>0</v>
      </c>
      <c r="R1369" s="301">
        <v>0</v>
      </c>
      <c r="S1369" s="301">
        <v>0</v>
      </c>
      <c r="T1369" s="301">
        <v>0</v>
      </c>
      <c r="U1369" s="301">
        <v>0</v>
      </c>
      <c r="V1369" s="301">
        <v>0</v>
      </c>
      <c r="W1369" s="301">
        <v>0</v>
      </c>
      <c r="X1369" s="301">
        <v>0</v>
      </c>
      <c r="Y1369" s="301">
        <v>0</v>
      </c>
      <c r="Z1369" s="301">
        <v>0</v>
      </c>
      <c r="AA1369" s="301">
        <v>0</v>
      </c>
      <c r="AB1369" s="303">
        <v>2021</v>
      </c>
    </row>
    <row r="1370" spans="1:28" ht="35.25" customHeight="1" x14ac:dyDescent="0.5">
      <c r="A1370">
        <v>1</v>
      </c>
      <c r="B1370" s="80">
        <f>SUBTOTAL(103,$A$808:A1370)</f>
        <v>559</v>
      </c>
      <c r="C1370" s="300" t="s">
        <v>2831</v>
      </c>
      <c r="D1370" s="296">
        <f t="shared" si="59"/>
        <v>166617</v>
      </c>
      <c r="E1370" s="301">
        <v>0</v>
      </c>
      <c r="F1370" s="301">
        <v>0</v>
      </c>
      <c r="G1370" s="301">
        <v>0</v>
      </c>
      <c r="H1370" s="301">
        <v>166617</v>
      </c>
      <c r="I1370" s="301">
        <v>0</v>
      </c>
      <c r="J1370" s="301">
        <v>0</v>
      </c>
      <c r="K1370" s="302">
        <v>0</v>
      </c>
      <c r="L1370" s="301">
        <v>0</v>
      </c>
      <c r="M1370" s="301">
        <v>0</v>
      </c>
      <c r="N1370" s="301">
        <v>0</v>
      </c>
      <c r="O1370" s="301">
        <v>0</v>
      </c>
      <c r="P1370" s="301">
        <v>0</v>
      </c>
      <c r="Q1370" s="301">
        <v>0</v>
      </c>
      <c r="R1370" s="301">
        <v>0</v>
      </c>
      <c r="S1370" s="301">
        <v>0</v>
      </c>
      <c r="T1370" s="301">
        <v>0</v>
      </c>
      <c r="U1370" s="301">
        <v>0</v>
      </c>
      <c r="V1370" s="301">
        <v>0</v>
      </c>
      <c r="W1370" s="301">
        <v>0</v>
      </c>
      <c r="X1370" s="301">
        <v>0</v>
      </c>
      <c r="Y1370" s="301">
        <v>0</v>
      </c>
      <c r="Z1370" s="301">
        <v>0</v>
      </c>
      <c r="AA1370" s="301">
        <v>0</v>
      </c>
      <c r="AB1370" s="303">
        <v>2021</v>
      </c>
    </row>
    <row r="1371" spans="1:28" ht="35.25" customHeight="1" x14ac:dyDescent="0.5">
      <c r="A1371">
        <v>1</v>
      </c>
      <c r="B1371" s="80">
        <f>SUBTOTAL(103,$A$808:A1371)</f>
        <v>560</v>
      </c>
      <c r="C1371" s="300" t="s">
        <v>1704</v>
      </c>
      <c r="D1371" s="296">
        <f t="shared" si="59"/>
        <v>1850000</v>
      </c>
      <c r="E1371" s="301">
        <v>0</v>
      </c>
      <c r="F1371" s="301">
        <v>0</v>
      </c>
      <c r="G1371" s="301">
        <v>0</v>
      </c>
      <c r="H1371" s="301">
        <v>0</v>
      </c>
      <c r="I1371" s="301">
        <v>0</v>
      </c>
      <c r="J1371" s="301">
        <v>0</v>
      </c>
      <c r="K1371" s="302">
        <v>1</v>
      </c>
      <c r="L1371" s="301">
        <v>1850000</v>
      </c>
      <c r="M1371" s="301">
        <v>0</v>
      </c>
      <c r="N1371" s="301">
        <v>0</v>
      </c>
      <c r="O1371" s="301">
        <v>0</v>
      </c>
      <c r="P1371" s="301">
        <v>0</v>
      </c>
      <c r="Q1371" s="301">
        <v>0</v>
      </c>
      <c r="R1371" s="301">
        <v>0</v>
      </c>
      <c r="S1371" s="301">
        <v>0</v>
      </c>
      <c r="T1371" s="301">
        <v>0</v>
      </c>
      <c r="U1371" s="301">
        <v>0</v>
      </c>
      <c r="V1371" s="301">
        <v>0</v>
      </c>
      <c r="W1371" s="301">
        <v>0</v>
      </c>
      <c r="X1371" s="301">
        <v>0</v>
      </c>
      <c r="Y1371" s="301">
        <v>0</v>
      </c>
      <c r="Z1371" s="301">
        <v>0</v>
      </c>
      <c r="AA1371" s="301">
        <v>0</v>
      </c>
      <c r="AB1371" s="303">
        <v>2021</v>
      </c>
    </row>
    <row r="1372" spans="1:28" ht="35.25" customHeight="1" x14ac:dyDescent="0.5">
      <c r="A1372">
        <v>1</v>
      </c>
      <c r="B1372" s="80">
        <f>SUBTOTAL(103,$A$808:A1372)</f>
        <v>561</v>
      </c>
      <c r="C1372" s="300" t="s">
        <v>1989</v>
      </c>
      <c r="D1372" s="296">
        <f t="shared" si="59"/>
        <v>667000</v>
      </c>
      <c r="E1372" s="301">
        <v>0</v>
      </c>
      <c r="F1372" s="301">
        <v>0</v>
      </c>
      <c r="G1372" s="301">
        <v>0</v>
      </c>
      <c r="H1372" s="301">
        <v>0</v>
      </c>
      <c r="I1372" s="301">
        <v>0</v>
      </c>
      <c r="J1372" s="301">
        <v>0</v>
      </c>
      <c r="K1372" s="302">
        <v>0</v>
      </c>
      <c r="L1372" s="301">
        <v>0</v>
      </c>
      <c r="M1372" s="301">
        <v>0</v>
      </c>
      <c r="N1372" s="301">
        <v>0</v>
      </c>
      <c r="O1372" s="301">
        <v>667000</v>
      </c>
      <c r="P1372" s="301">
        <v>0</v>
      </c>
      <c r="Q1372" s="301">
        <v>0</v>
      </c>
      <c r="R1372" s="301">
        <v>0</v>
      </c>
      <c r="S1372" s="301">
        <v>0</v>
      </c>
      <c r="T1372" s="301">
        <v>0</v>
      </c>
      <c r="U1372" s="301">
        <v>0</v>
      </c>
      <c r="V1372" s="301">
        <v>0</v>
      </c>
      <c r="W1372" s="301">
        <v>0</v>
      </c>
      <c r="X1372" s="301">
        <v>0</v>
      </c>
      <c r="Y1372" s="301">
        <v>0</v>
      </c>
      <c r="Z1372" s="301">
        <v>0</v>
      </c>
      <c r="AA1372" s="301">
        <v>0</v>
      </c>
      <c r="AB1372" s="303">
        <v>2021</v>
      </c>
    </row>
    <row r="1373" spans="1:28" ht="35.25" customHeight="1" x14ac:dyDescent="0.5">
      <c r="A1373">
        <v>1</v>
      </c>
      <c r="B1373" s="80">
        <f>SUBTOTAL(103,$A$808:A1373)</f>
        <v>562</v>
      </c>
      <c r="C1373" s="300" t="s">
        <v>1990</v>
      </c>
      <c r="D1373" s="296">
        <f t="shared" si="59"/>
        <v>2180000</v>
      </c>
      <c r="E1373" s="301">
        <v>0</v>
      </c>
      <c r="F1373" s="301">
        <v>0</v>
      </c>
      <c r="G1373" s="301">
        <v>0</v>
      </c>
      <c r="H1373" s="301">
        <v>0</v>
      </c>
      <c r="I1373" s="301">
        <v>0</v>
      </c>
      <c r="J1373" s="301">
        <v>0</v>
      </c>
      <c r="K1373" s="302">
        <v>1</v>
      </c>
      <c r="L1373" s="301">
        <v>2180000</v>
      </c>
      <c r="M1373" s="301">
        <v>0</v>
      </c>
      <c r="N1373" s="301">
        <v>0</v>
      </c>
      <c r="O1373" s="301">
        <v>0</v>
      </c>
      <c r="P1373" s="301">
        <v>0</v>
      </c>
      <c r="Q1373" s="301">
        <v>0</v>
      </c>
      <c r="R1373" s="301">
        <v>0</v>
      </c>
      <c r="S1373" s="301">
        <v>0</v>
      </c>
      <c r="T1373" s="301">
        <v>0</v>
      </c>
      <c r="U1373" s="301">
        <v>0</v>
      </c>
      <c r="V1373" s="301">
        <v>0</v>
      </c>
      <c r="W1373" s="301">
        <v>0</v>
      </c>
      <c r="X1373" s="301">
        <v>0</v>
      </c>
      <c r="Y1373" s="301">
        <v>0</v>
      </c>
      <c r="Z1373" s="301">
        <v>0</v>
      </c>
      <c r="AA1373" s="301">
        <v>0</v>
      </c>
      <c r="AB1373" s="303">
        <v>2021</v>
      </c>
    </row>
    <row r="1374" spans="1:28" ht="35.25" customHeight="1" x14ac:dyDescent="0.5">
      <c r="A1374">
        <v>1</v>
      </c>
      <c r="B1374" s="80">
        <f>SUBTOTAL(103,$A$808:A1374)</f>
        <v>563</v>
      </c>
      <c r="C1374" s="300" t="s">
        <v>2394</v>
      </c>
      <c r="D1374" s="296">
        <f t="shared" si="59"/>
        <v>269250</v>
      </c>
      <c r="E1374" s="301">
        <v>54500</v>
      </c>
      <c r="F1374" s="301">
        <v>0</v>
      </c>
      <c r="G1374" s="301">
        <v>0</v>
      </c>
      <c r="H1374" s="301">
        <v>48600</v>
      </c>
      <c r="I1374" s="301">
        <v>0</v>
      </c>
      <c r="J1374" s="301">
        <v>0</v>
      </c>
      <c r="K1374" s="302">
        <v>0</v>
      </c>
      <c r="L1374" s="301">
        <v>0</v>
      </c>
      <c r="M1374" s="301">
        <v>0</v>
      </c>
      <c r="N1374" s="301">
        <v>0</v>
      </c>
      <c r="O1374" s="301">
        <v>166150</v>
      </c>
      <c r="P1374" s="301">
        <v>0</v>
      </c>
      <c r="Q1374" s="301">
        <v>0</v>
      </c>
      <c r="R1374" s="301">
        <v>0</v>
      </c>
      <c r="S1374" s="301">
        <v>0</v>
      </c>
      <c r="T1374" s="301">
        <v>0</v>
      </c>
      <c r="U1374" s="301">
        <v>0</v>
      </c>
      <c r="V1374" s="301">
        <v>0</v>
      </c>
      <c r="W1374" s="301">
        <v>0</v>
      </c>
      <c r="X1374" s="301">
        <v>0</v>
      </c>
      <c r="Y1374" s="301">
        <v>0</v>
      </c>
      <c r="Z1374" s="301">
        <v>0</v>
      </c>
      <c r="AA1374" s="301">
        <v>0</v>
      </c>
      <c r="AB1374" s="303">
        <v>2021</v>
      </c>
    </row>
    <row r="1375" spans="1:28" ht="35.25" customHeight="1" x14ac:dyDescent="0.5">
      <c r="A1375">
        <v>1</v>
      </c>
      <c r="B1375" s="80">
        <f>SUBTOTAL(103,$A$808:A1375)</f>
        <v>564</v>
      </c>
      <c r="C1375" s="300" t="s">
        <v>1991</v>
      </c>
      <c r="D1375" s="296">
        <f t="shared" si="59"/>
        <v>1080000</v>
      </c>
      <c r="E1375" s="301">
        <v>0</v>
      </c>
      <c r="F1375" s="301">
        <v>0</v>
      </c>
      <c r="G1375" s="301">
        <v>30000</v>
      </c>
      <c r="H1375" s="301">
        <v>0</v>
      </c>
      <c r="I1375" s="301">
        <v>0</v>
      </c>
      <c r="J1375" s="301">
        <v>0</v>
      </c>
      <c r="K1375" s="302">
        <v>0</v>
      </c>
      <c r="L1375" s="301">
        <v>0</v>
      </c>
      <c r="M1375" s="301">
        <v>0</v>
      </c>
      <c r="N1375" s="301">
        <v>0</v>
      </c>
      <c r="O1375" s="301">
        <v>1050000</v>
      </c>
      <c r="P1375" s="301">
        <v>0</v>
      </c>
      <c r="Q1375" s="301">
        <v>0</v>
      </c>
      <c r="R1375" s="301">
        <v>0</v>
      </c>
      <c r="S1375" s="301">
        <v>0</v>
      </c>
      <c r="T1375" s="301">
        <v>0</v>
      </c>
      <c r="U1375" s="301">
        <v>0</v>
      </c>
      <c r="V1375" s="301">
        <v>0</v>
      </c>
      <c r="W1375" s="301">
        <v>0</v>
      </c>
      <c r="X1375" s="301">
        <v>0</v>
      </c>
      <c r="Y1375" s="301">
        <v>0</v>
      </c>
      <c r="Z1375" s="301">
        <v>0</v>
      </c>
      <c r="AA1375" s="301">
        <v>0</v>
      </c>
      <c r="AB1375" s="303">
        <v>2021</v>
      </c>
    </row>
    <row r="1376" spans="1:28" ht="35.25" customHeight="1" x14ac:dyDescent="0.5">
      <c r="A1376">
        <v>1</v>
      </c>
      <c r="B1376" s="80">
        <f>SUBTOTAL(103,$A$808:A1376)</f>
        <v>565</v>
      </c>
      <c r="C1376" s="300" t="s">
        <v>2832</v>
      </c>
      <c r="D1376" s="296">
        <f t="shared" si="59"/>
        <v>8120000</v>
      </c>
      <c r="E1376" s="301">
        <v>0</v>
      </c>
      <c r="F1376" s="301">
        <v>0</v>
      </c>
      <c r="G1376" s="301">
        <v>0</v>
      </c>
      <c r="H1376" s="301">
        <v>0</v>
      </c>
      <c r="I1376" s="301">
        <v>0</v>
      </c>
      <c r="J1376" s="301">
        <v>0</v>
      </c>
      <c r="K1376" s="302">
        <v>4</v>
      </c>
      <c r="L1376" s="301">
        <v>8120000</v>
      </c>
      <c r="M1376" s="301">
        <v>0</v>
      </c>
      <c r="N1376" s="301">
        <v>0</v>
      </c>
      <c r="O1376" s="301">
        <v>0</v>
      </c>
      <c r="P1376" s="301">
        <v>0</v>
      </c>
      <c r="Q1376" s="301">
        <v>0</v>
      </c>
      <c r="R1376" s="301">
        <v>0</v>
      </c>
      <c r="S1376" s="301">
        <v>0</v>
      </c>
      <c r="T1376" s="301">
        <v>0</v>
      </c>
      <c r="U1376" s="301">
        <v>0</v>
      </c>
      <c r="V1376" s="301">
        <v>0</v>
      </c>
      <c r="W1376" s="301">
        <v>0</v>
      </c>
      <c r="X1376" s="301">
        <v>0</v>
      </c>
      <c r="Y1376" s="301">
        <v>0</v>
      </c>
      <c r="Z1376" s="301">
        <v>0</v>
      </c>
      <c r="AA1376" s="301">
        <v>0</v>
      </c>
      <c r="AB1376" s="303">
        <v>2021</v>
      </c>
    </row>
    <row r="1377" spans="1:28" ht="35.25" customHeight="1" x14ac:dyDescent="0.5">
      <c r="A1377">
        <v>1</v>
      </c>
      <c r="B1377" s="80">
        <f>SUBTOTAL(103,$A$808:A1377)</f>
        <v>566</v>
      </c>
      <c r="C1377" s="300" t="s">
        <v>1996</v>
      </c>
      <c r="D1377" s="296">
        <f t="shared" si="59"/>
        <v>835000</v>
      </c>
      <c r="E1377" s="301">
        <v>0</v>
      </c>
      <c r="F1377" s="301">
        <v>0</v>
      </c>
      <c r="G1377" s="301">
        <v>0</v>
      </c>
      <c r="H1377" s="301">
        <v>0</v>
      </c>
      <c r="I1377" s="301">
        <v>0</v>
      </c>
      <c r="J1377" s="301">
        <v>0</v>
      </c>
      <c r="K1377" s="302">
        <v>0</v>
      </c>
      <c r="L1377" s="301">
        <v>0</v>
      </c>
      <c r="M1377" s="301">
        <v>0</v>
      </c>
      <c r="N1377" s="301">
        <v>0</v>
      </c>
      <c r="O1377" s="301">
        <v>835000</v>
      </c>
      <c r="P1377" s="301">
        <v>0</v>
      </c>
      <c r="Q1377" s="301">
        <v>0</v>
      </c>
      <c r="R1377" s="301">
        <v>0</v>
      </c>
      <c r="S1377" s="301">
        <v>0</v>
      </c>
      <c r="T1377" s="301">
        <v>0</v>
      </c>
      <c r="U1377" s="301">
        <v>0</v>
      </c>
      <c r="V1377" s="301">
        <v>0</v>
      </c>
      <c r="W1377" s="301">
        <v>0</v>
      </c>
      <c r="X1377" s="301">
        <v>0</v>
      </c>
      <c r="Y1377" s="301">
        <v>0</v>
      </c>
      <c r="Z1377" s="301">
        <v>0</v>
      </c>
      <c r="AA1377" s="301">
        <v>0</v>
      </c>
      <c r="AB1377" s="303">
        <v>2021</v>
      </c>
    </row>
    <row r="1378" spans="1:28" ht="35.25" customHeight="1" x14ac:dyDescent="0.5">
      <c r="A1378">
        <v>1</v>
      </c>
      <c r="B1378" s="80">
        <f>SUBTOTAL(103,$A$808:A1378)</f>
        <v>567</v>
      </c>
      <c r="C1378" s="300" t="s">
        <v>3082</v>
      </c>
      <c r="D1378" s="296">
        <f t="shared" si="59"/>
        <v>835816</v>
      </c>
      <c r="E1378" s="301">
        <v>0</v>
      </c>
      <c r="F1378" s="301">
        <v>0</v>
      </c>
      <c r="G1378" s="301">
        <v>0</v>
      </c>
      <c r="H1378" s="301">
        <v>0</v>
      </c>
      <c r="I1378" s="301">
        <v>0</v>
      </c>
      <c r="J1378" s="301">
        <v>0</v>
      </c>
      <c r="K1378" s="302">
        <v>0</v>
      </c>
      <c r="L1378" s="301">
        <v>0</v>
      </c>
      <c r="M1378" s="301">
        <v>399910.40000000002</v>
      </c>
      <c r="N1378" s="301">
        <v>0</v>
      </c>
      <c r="O1378" s="301">
        <v>435905.6</v>
      </c>
      <c r="P1378" s="301">
        <v>0</v>
      </c>
      <c r="Q1378" s="301">
        <v>0</v>
      </c>
      <c r="R1378" s="301">
        <v>0</v>
      </c>
      <c r="S1378" s="301">
        <v>0</v>
      </c>
      <c r="T1378" s="301">
        <v>0</v>
      </c>
      <c r="U1378" s="301">
        <v>0</v>
      </c>
      <c r="V1378" s="301">
        <v>0</v>
      </c>
      <c r="W1378" s="301">
        <v>0</v>
      </c>
      <c r="X1378" s="301">
        <v>0</v>
      </c>
      <c r="Y1378" s="301">
        <v>0</v>
      </c>
      <c r="Z1378" s="301">
        <v>0</v>
      </c>
      <c r="AA1378" s="301">
        <v>0</v>
      </c>
      <c r="AB1378" s="303">
        <v>2021</v>
      </c>
    </row>
    <row r="1379" spans="1:28" ht="35.25" customHeight="1" x14ac:dyDescent="0.5">
      <c r="A1379">
        <v>1</v>
      </c>
      <c r="B1379" s="80">
        <f>SUBTOTAL(103,$A$808:A1379)</f>
        <v>568</v>
      </c>
      <c r="C1379" s="300" t="s">
        <v>2833</v>
      </c>
      <c r="D1379" s="296">
        <f t="shared" si="59"/>
        <v>607380.91</v>
      </c>
      <c r="E1379" s="301">
        <v>0</v>
      </c>
      <c r="F1379" s="301">
        <v>0</v>
      </c>
      <c r="G1379" s="301">
        <v>607380.91</v>
      </c>
      <c r="H1379" s="301">
        <v>0</v>
      </c>
      <c r="I1379" s="301">
        <v>0</v>
      </c>
      <c r="J1379" s="301">
        <v>0</v>
      </c>
      <c r="K1379" s="302">
        <v>0</v>
      </c>
      <c r="L1379" s="301">
        <v>0</v>
      </c>
      <c r="M1379" s="301">
        <v>0</v>
      </c>
      <c r="N1379" s="301">
        <v>0</v>
      </c>
      <c r="O1379" s="301">
        <v>0</v>
      </c>
      <c r="P1379" s="301">
        <v>0</v>
      </c>
      <c r="Q1379" s="301">
        <v>0</v>
      </c>
      <c r="R1379" s="301">
        <v>0</v>
      </c>
      <c r="S1379" s="301">
        <v>0</v>
      </c>
      <c r="T1379" s="301">
        <v>0</v>
      </c>
      <c r="U1379" s="301">
        <v>0</v>
      </c>
      <c r="V1379" s="301">
        <v>0</v>
      </c>
      <c r="W1379" s="301">
        <v>0</v>
      </c>
      <c r="X1379" s="301">
        <v>0</v>
      </c>
      <c r="Y1379" s="301">
        <v>0</v>
      </c>
      <c r="Z1379" s="301">
        <v>0</v>
      </c>
      <c r="AA1379" s="301">
        <v>0</v>
      </c>
      <c r="AB1379" s="303">
        <v>2021</v>
      </c>
    </row>
    <row r="1380" spans="1:28" ht="35.25" customHeight="1" x14ac:dyDescent="0.5">
      <c r="A1380">
        <v>1</v>
      </c>
      <c r="B1380" s="80">
        <f>SUBTOTAL(103,$A$808:A1380)</f>
        <v>569</v>
      </c>
      <c r="C1380" s="300" t="s">
        <v>3083</v>
      </c>
      <c r="D1380" s="296">
        <f t="shared" si="59"/>
        <v>1324210</v>
      </c>
      <c r="E1380" s="301">
        <v>0</v>
      </c>
      <c r="F1380" s="301">
        <v>0</v>
      </c>
      <c r="G1380" s="301">
        <v>0</v>
      </c>
      <c r="H1380" s="301">
        <v>0</v>
      </c>
      <c r="I1380" s="301">
        <v>0</v>
      </c>
      <c r="J1380" s="301">
        <v>0</v>
      </c>
      <c r="K1380" s="302">
        <v>0</v>
      </c>
      <c r="L1380" s="301">
        <v>0</v>
      </c>
      <c r="M1380" s="301">
        <v>192732</v>
      </c>
      <c r="N1380" s="301">
        <v>0</v>
      </c>
      <c r="O1380" s="301">
        <v>1131478</v>
      </c>
      <c r="P1380" s="301">
        <v>0</v>
      </c>
      <c r="Q1380" s="301">
        <v>0</v>
      </c>
      <c r="R1380" s="301">
        <v>0</v>
      </c>
      <c r="S1380" s="301">
        <v>0</v>
      </c>
      <c r="T1380" s="301">
        <v>0</v>
      </c>
      <c r="U1380" s="301">
        <v>0</v>
      </c>
      <c r="V1380" s="301">
        <v>0</v>
      </c>
      <c r="W1380" s="301">
        <v>0</v>
      </c>
      <c r="X1380" s="301">
        <v>0</v>
      </c>
      <c r="Y1380" s="301">
        <v>0</v>
      </c>
      <c r="Z1380" s="301">
        <v>0</v>
      </c>
      <c r="AA1380" s="301">
        <v>0</v>
      </c>
      <c r="AB1380" s="303">
        <v>2021</v>
      </c>
    </row>
    <row r="1381" spans="1:28" ht="35.25" customHeight="1" x14ac:dyDescent="0.5">
      <c r="A1381">
        <v>1</v>
      </c>
      <c r="B1381" s="80">
        <f>SUBTOTAL(103,$A$808:A1381)</f>
        <v>570</v>
      </c>
      <c r="C1381" s="300" t="s">
        <v>2834</v>
      </c>
      <c r="D1381" s="296">
        <f t="shared" si="59"/>
        <v>387028</v>
      </c>
      <c r="E1381" s="301">
        <v>0</v>
      </c>
      <c r="F1381" s="301">
        <v>0</v>
      </c>
      <c r="G1381" s="301">
        <v>0</v>
      </c>
      <c r="H1381" s="301">
        <v>0</v>
      </c>
      <c r="I1381" s="301">
        <v>0</v>
      </c>
      <c r="J1381" s="301">
        <v>0</v>
      </c>
      <c r="K1381" s="302">
        <v>0</v>
      </c>
      <c r="L1381" s="301">
        <v>0</v>
      </c>
      <c r="M1381" s="301">
        <v>387028</v>
      </c>
      <c r="N1381" s="301">
        <v>0</v>
      </c>
      <c r="O1381" s="301">
        <v>0</v>
      </c>
      <c r="P1381" s="301">
        <v>0</v>
      </c>
      <c r="Q1381" s="301">
        <v>0</v>
      </c>
      <c r="R1381" s="301">
        <v>0</v>
      </c>
      <c r="S1381" s="301">
        <v>0</v>
      </c>
      <c r="T1381" s="301">
        <v>0</v>
      </c>
      <c r="U1381" s="301">
        <v>0</v>
      </c>
      <c r="V1381" s="301">
        <v>0</v>
      </c>
      <c r="W1381" s="301">
        <v>0</v>
      </c>
      <c r="X1381" s="301">
        <v>0</v>
      </c>
      <c r="Y1381" s="301">
        <v>0</v>
      </c>
      <c r="Z1381" s="301">
        <v>0</v>
      </c>
      <c r="AA1381" s="301">
        <v>0</v>
      </c>
      <c r="AB1381" s="303">
        <v>2021</v>
      </c>
    </row>
    <row r="1382" spans="1:28" ht="35.25" customHeight="1" x14ac:dyDescent="0.5">
      <c r="A1382">
        <v>1</v>
      </c>
      <c r="B1382" s="80">
        <f>SUBTOTAL(103,$A$808:A1382)</f>
        <v>571</v>
      </c>
      <c r="C1382" s="300" t="s">
        <v>2001</v>
      </c>
      <c r="D1382" s="296">
        <f t="shared" si="59"/>
        <v>414683</v>
      </c>
      <c r="E1382" s="301">
        <v>0</v>
      </c>
      <c r="F1382" s="301">
        <v>0</v>
      </c>
      <c r="G1382" s="301">
        <v>0</v>
      </c>
      <c r="H1382" s="301">
        <v>0</v>
      </c>
      <c r="I1382" s="301">
        <v>0</v>
      </c>
      <c r="J1382" s="301">
        <v>0</v>
      </c>
      <c r="K1382" s="302">
        <v>0</v>
      </c>
      <c r="L1382" s="301">
        <v>0</v>
      </c>
      <c r="M1382" s="301">
        <v>0</v>
      </c>
      <c r="N1382" s="301">
        <v>0</v>
      </c>
      <c r="O1382" s="301">
        <v>414683</v>
      </c>
      <c r="P1382" s="301">
        <v>0</v>
      </c>
      <c r="Q1382" s="301">
        <v>0</v>
      </c>
      <c r="R1382" s="301">
        <v>0</v>
      </c>
      <c r="S1382" s="301">
        <v>0</v>
      </c>
      <c r="T1382" s="301">
        <v>0</v>
      </c>
      <c r="U1382" s="301">
        <v>0</v>
      </c>
      <c r="V1382" s="301">
        <v>0</v>
      </c>
      <c r="W1382" s="301">
        <v>0</v>
      </c>
      <c r="X1382" s="301">
        <v>0</v>
      </c>
      <c r="Y1382" s="301">
        <v>0</v>
      </c>
      <c r="Z1382" s="301">
        <v>0</v>
      </c>
      <c r="AA1382" s="301">
        <v>0</v>
      </c>
      <c r="AB1382" s="303">
        <v>2021</v>
      </c>
    </row>
    <row r="1383" spans="1:28" ht="35.25" customHeight="1" x14ac:dyDescent="0.5">
      <c r="A1383">
        <v>1</v>
      </c>
      <c r="B1383" s="80">
        <f>SUBTOTAL(103,$A$808:A1383)</f>
        <v>572</v>
      </c>
      <c r="C1383" s="300" t="s">
        <v>2002</v>
      </c>
      <c r="D1383" s="296">
        <f t="shared" si="59"/>
        <v>108487</v>
      </c>
      <c r="E1383" s="301">
        <v>0</v>
      </c>
      <c r="F1383" s="301">
        <v>0</v>
      </c>
      <c r="G1383" s="301">
        <v>108487</v>
      </c>
      <c r="H1383" s="301">
        <v>0</v>
      </c>
      <c r="I1383" s="301">
        <v>0</v>
      </c>
      <c r="J1383" s="301">
        <v>0</v>
      </c>
      <c r="K1383" s="302">
        <v>0</v>
      </c>
      <c r="L1383" s="301">
        <v>0</v>
      </c>
      <c r="M1383" s="301">
        <v>0</v>
      </c>
      <c r="N1383" s="301">
        <v>0</v>
      </c>
      <c r="O1383" s="301">
        <v>0</v>
      </c>
      <c r="P1383" s="301">
        <v>0</v>
      </c>
      <c r="Q1383" s="301">
        <v>0</v>
      </c>
      <c r="R1383" s="301">
        <v>0</v>
      </c>
      <c r="S1383" s="301">
        <v>0</v>
      </c>
      <c r="T1383" s="301">
        <v>0</v>
      </c>
      <c r="U1383" s="301">
        <v>0</v>
      </c>
      <c r="V1383" s="301">
        <v>0</v>
      </c>
      <c r="W1383" s="301">
        <v>0</v>
      </c>
      <c r="X1383" s="301">
        <v>0</v>
      </c>
      <c r="Y1383" s="301">
        <v>0</v>
      </c>
      <c r="Z1383" s="301">
        <v>0</v>
      </c>
      <c r="AA1383" s="301">
        <v>0</v>
      </c>
      <c r="AB1383" s="303">
        <v>2021</v>
      </c>
    </row>
    <row r="1384" spans="1:28" ht="35.25" customHeight="1" x14ac:dyDescent="0.5">
      <c r="A1384">
        <v>1</v>
      </c>
      <c r="B1384" s="80">
        <f>SUBTOTAL(103,$A$808:A1384)</f>
        <v>573</v>
      </c>
      <c r="C1384" s="300" t="s">
        <v>2835</v>
      </c>
      <c r="D1384" s="296">
        <f t="shared" si="59"/>
        <v>176528</v>
      </c>
      <c r="E1384" s="301">
        <v>0</v>
      </c>
      <c r="F1384" s="301">
        <v>0</v>
      </c>
      <c r="G1384" s="301">
        <v>176528</v>
      </c>
      <c r="H1384" s="301">
        <v>0</v>
      </c>
      <c r="I1384" s="301">
        <v>0</v>
      </c>
      <c r="J1384" s="301">
        <v>0</v>
      </c>
      <c r="K1384" s="302">
        <v>0</v>
      </c>
      <c r="L1384" s="301">
        <v>0</v>
      </c>
      <c r="M1384" s="301">
        <v>0</v>
      </c>
      <c r="N1384" s="301">
        <v>0</v>
      </c>
      <c r="O1384" s="301">
        <v>0</v>
      </c>
      <c r="P1384" s="301">
        <v>0</v>
      </c>
      <c r="Q1384" s="301">
        <v>0</v>
      </c>
      <c r="R1384" s="301">
        <v>0</v>
      </c>
      <c r="S1384" s="301">
        <v>0</v>
      </c>
      <c r="T1384" s="301">
        <v>0</v>
      </c>
      <c r="U1384" s="301">
        <v>0</v>
      </c>
      <c r="V1384" s="301">
        <v>0</v>
      </c>
      <c r="W1384" s="301">
        <v>0</v>
      </c>
      <c r="X1384" s="301">
        <v>0</v>
      </c>
      <c r="Y1384" s="301">
        <v>0</v>
      </c>
      <c r="Z1384" s="301">
        <v>0</v>
      </c>
      <c r="AA1384" s="301">
        <v>0</v>
      </c>
      <c r="AB1384" s="303">
        <v>2021</v>
      </c>
    </row>
    <row r="1385" spans="1:28" ht="35.25" customHeight="1" x14ac:dyDescent="0.5">
      <c r="A1385">
        <v>1</v>
      </c>
      <c r="B1385" s="80">
        <f>SUBTOTAL(103,$A$808:A1385)</f>
        <v>574</v>
      </c>
      <c r="C1385" s="300" t="s">
        <v>1707</v>
      </c>
      <c r="D1385" s="296">
        <f t="shared" si="59"/>
        <v>52970</v>
      </c>
      <c r="E1385" s="301">
        <v>0</v>
      </c>
      <c r="F1385" s="301">
        <v>0</v>
      </c>
      <c r="G1385" s="301">
        <v>52970</v>
      </c>
      <c r="H1385" s="301">
        <v>0</v>
      </c>
      <c r="I1385" s="301">
        <v>0</v>
      </c>
      <c r="J1385" s="301">
        <v>0</v>
      </c>
      <c r="K1385" s="302">
        <v>0</v>
      </c>
      <c r="L1385" s="301">
        <v>0</v>
      </c>
      <c r="M1385" s="301">
        <v>0</v>
      </c>
      <c r="N1385" s="301">
        <v>0</v>
      </c>
      <c r="O1385" s="301">
        <v>0</v>
      </c>
      <c r="P1385" s="301">
        <v>0</v>
      </c>
      <c r="Q1385" s="301">
        <v>0</v>
      </c>
      <c r="R1385" s="301">
        <v>0</v>
      </c>
      <c r="S1385" s="301">
        <v>0</v>
      </c>
      <c r="T1385" s="301">
        <v>0</v>
      </c>
      <c r="U1385" s="301">
        <v>0</v>
      </c>
      <c r="V1385" s="301">
        <v>0</v>
      </c>
      <c r="W1385" s="301">
        <v>0</v>
      </c>
      <c r="X1385" s="301">
        <v>0</v>
      </c>
      <c r="Y1385" s="301">
        <v>0</v>
      </c>
      <c r="Z1385" s="301">
        <v>0</v>
      </c>
      <c r="AA1385" s="301">
        <v>0</v>
      </c>
      <c r="AB1385" s="303">
        <v>2021</v>
      </c>
    </row>
    <row r="1386" spans="1:28" ht="35.25" customHeight="1" x14ac:dyDescent="0.5">
      <c r="A1386">
        <v>1</v>
      </c>
      <c r="B1386" s="80">
        <f>SUBTOTAL(103,$A$808:A1386)</f>
        <v>575</v>
      </c>
      <c r="C1386" s="300" t="s">
        <v>2836</v>
      </c>
      <c r="D1386" s="296">
        <f t="shared" si="59"/>
        <v>179485</v>
      </c>
      <c r="E1386" s="301">
        <v>0</v>
      </c>
      <c r="F1386" s="301">
        <v>0</v>
      </c>
      <c r="G1386" s="301">
        <v>0</v>
      </c>
      <c r="H1386" s="301">
        <v>0</v>
      </c>
      <c r="I1386" s="301">
        <v>0</v>
      </c>
      <c r="J1386" s="301">
        <v>0</v>
      </c>
      <c r="K1386" s="302">
        <v>0</v>
      </c>
      <c r="L1386" s="301">
        <v>0</v>
      </c>
      <c r="M1386" s="301">
        <v>0</v>
      </c>
      <c r="N1386" s="301">
        <v>0</v>
      </c>
      <c r="O1386" s="301">
        <v>179485</v>
      </c>
      <c r="P1386" s="301">
        <v>0</v>
      </c>
      <c r="Q1386" s="301">
        <v>0</v>
      </c>
      <c r="R1386" s="301">
        <v>0</v>
      </c>
      <c r="S1386" s="301">
        <v>0</v>
      </c>
      <c r="T1386" s="301">
        <v>0</v>
      </c>
      <c r="U1386" s="301">
        <v>0</v>
      </c>
      <c r="V1386" s="301">
        <v>0</v>
      </c>
      <c r="W1386" s="301">
        <v>0</v>
      </c>
      <c r="X1386" s="301">
        <v>0</v>
      </c>
      <c r="Y1386" s="301">
        <v>0</v>
      </c>
      <c r="Z1386" s="301">
        <v>0</v>
      </c>
      <c r="AA1386" s="301">
        <v>0</v>
      </c>
      <c r="AB1386" s="303">
        <v>2021</v>
      </c>
    </row>
    <row r="1387" spans="1:28" ht="35.25" customHeight="1" x14ac:dyDescent="0.5">
      <c r="A1387">
        <v>1</v>
      </c>
      <c r="B1387" s="80">
        <f>SUBTOTAL(103,$A$808:A1387)</f>
        <v>576</v>
      </c>
      <c r="C1387" s="300" t="s">
        <v>1708</v>
      </c>
      <c r="D1387" s="296">
        <f t="shared" si="59"/>
        <v>294785.81</v>
      </c>
      <c r="E1387" s="301">
        <v>0</v>
      </c>
      <c r="F1387" s="301">
        <v>0</v>
      </c>
      <c r="G1387" s="301">
        <v>260706.81</v>
      </c>
      <c r="H1387" s="301">
        <v>0</v>
      </c>
      <c r="I1387" s="301">
        <v>0</v>
      </c>
      <c r="J1387" s="301">
        <v>0</v>
      </c>
      <c r="K1387" s="302">
        <v>0</v>
      </c>
      <c r="L1387" s="301">
        <v>0</v>
      </c>
      <c r="M1387" s="301">
        <v>34079</v>
      </c>
      <c r="N1387" s="301">
        <v>0</v>
      </c>
      <c r="O1387" s="301">
        <v>0</v>
      </c>
      <c r="P1387" s="301">
        <v>0</v>
      </c>
      <c r="Q1387" s="301">
        <v>0</v>
      </c>
      <c r="R1387" s="301">
        <v>0</v>
      </c>
      <c r="S1387" s="301">
        <v>0</v>
      </c>
      <c r="T1387" s="301">
        <v>0</v>
      </c>
      <c r="U1387" s="301">
        <v>0</v>
      </c>
      <c r="V1387" s="301">
        <v>0</v>
      </c>
      <c r="W1387" s="301">
        <v>0</v>
      </c>
      <c r="X1387" s="301">
        <v>0</v>
      </c>
      <c r="Y1387" s="301">
        <v>0</v>
      </c>
      <c r="Z1387" s="301">
        <v>0</v>
      </c>
      <c r="AA1387" s="301">
        <v>0</v>
      </c>
      <c r="AB1387" s="303">
        <v>2021</v>
      </c>
    </row>
    <row r="1388" spans="1:28" ht="35.25" customHeight="1" x14ac:dyDescent="0.5">
      <c r="A1388">
        <v>1</v>
      </c>
      <c r="B1388" s="80">
        <f>SUBTOTAL(103,$A$808:A1388)</f>
        <v>577</v>
      </c>
      <c r="C1388" s="300" t="s">
        <v>2837</v>
      </c>
      <c r="D1388" s="296">
        <f t="shared" si="59"/>
        <v>824842</v>
      </c>
      <c r="E1388" s="301">
        <v>0</v>
      </c>
      <c r="F1388" s="301">
        <v>0</v>
      </c>
      <c r="G1388" s="301">
        <v>0</v>
      </c>
      <c r="H1388" s="301">
        <v>0</v>
      </c>
      <c r="I1388" s="301">
        <v>0</v>
      </c>
      <c r="J1388" s="301">
        <v>0</v>
      </c>
      <c r="K1388" s="302">
        <v>0</v>
      </c>
      <c r="L1388" s="301">
        <v>0</v>
      </c>
      <c r="M1388" s="301">
        <v>0</v>
      </c>
      <c r="N1388" s="301">
        <v>0</v>
      </c>
      <c r="O1388" s="301">
        <v>824842</v>
      </c>
      <c r="P1388" s="301">
        <v>0</v>
      </c>
      <c r="Q1388" s="301">
        <v>0</v>
      </c>
      <c r="R1388" s="301">
        <v>0</v>
      </c>
      <c r="S1388" s="301">
        <v>0</v>
      </c>
      <c r="T1388" s="301">
        <v>0</v>
      </c>
      <c r="U1388" s="301">
        <v>0</v>
      </c>
      <c r="V1388" s="301">
        <v>0</v>
      </c>
      <c r="W1388" s="301">
        <v>0</v>
      </c>
      <c r="X1388" s="301">
        <v>0</v>
      </c>
      <c r="Y1388" s="301">
        <v>0</v>
      </c>
      <c r="Z1388" s="301">
        <v>0</v>
      </c>
      <c r="AA1388" s="301">
        <v>0</v>
      </c>
      <c r="AB1388" s="303">
        <v>2021</v>
      </c>
    </row>
    <row r="1389" spans="1:28" ht="35.25" customHeight="1" x14ac:dyDescent="0.5">
      <c r="A1389">
        <v>1</v>
      </c>
      <c r="B1389" s="80">
        <f>SUBTOTAL(103,$A$808:A1389)</f>
        <v>578</v>
      </c>
      <c r="C1389" s="300" t="s">
        <v>2012</v>
      </c>
      <c r="D1389" s="296">
        <f t="shared" si="59"/>
        <v>353211</v>
      </c>
      <c r="E1389" s="301">
        <v>0</v>
      </c>
      <c r="F1389" s="301">
        <v>0</v>
      </c>
      <c r="G1389" s="301">
        <v>0</v>
      </c>
      <c r="H1389" s="301">
        <v>0</v>
      </c>
      <c r="I1389" s="301">
        <v>0</v>
      </c>
      <c r="J1389" s="301">
        <v>0</v>
      </c>
      <c r="K1389" s="302">
        <v>0</v>
      </c>
      <c r="L1389" s="301">
        <v>0</v>
      </c>
      <c r="M1389" s="301">
        <v>0</v>
      </c>
      <c r="N1389" s="301">
        <v>0</v>
      </c>
      <c r="O1389" s="301">
        <v>353211</v>
      </c>
      <c r="P1389" s="301">
        <v>0</v>
      </c>
      <c r="Q1389" s="301">
        <v>0</v>
      </c>
      <c r="R1389" s="301">
        <v>0</v>
      </c>
      <c r="S1389" s="301">
        <v>0</v>
      </c>
      <c r="T1389" s="301">
        <v>0</v>
      </c>
      <c r="U1389" s="301">
        <v>0</v>
      </c>
      <c r="V1389" s="301">
        <v>0</v>
      </c>
      <c r="W1389" s="301">
        <v>0</v>
      </c>
      <c r="X1389" s="301">
        <v>0</v>
      </c>
      <c r="Y1389" s="301">
        <v>0</v>
      </c>
      <c r="Z1389" s="301">
        <v>0</v>
      </c>
      <c r="AA1389" s="301">
        <v>0</v>
      </c>
      <c r="AB1389" s="303">
        <v>2021</v>
      </c>
    </row>
    <row r="1390" spans="1:28" ht="35.25" customHeight="1" x14ac:dyDescent="0.5">
      <c r="A1390">
        <v>1</v>
      </c>
      <c r="B1390" s="80">
        <f>SUBTOTAL(103,$A$808:A1390)</f>
        <v>579</v>
      </c>
      <c r="C1390" s="300" t="s">
        <v>2400</v>
      </c>
      <c r="D1390" s="296">
        <f t="shared" si="59"/>
        <v>1350000</v>
      </c>
      <c r="E1390" s="301">
        <v>0</v>
      </c>
      <c r="F1390" s="301">
        <v>0</v>
      </c>
      <c r="G1390" s="301">
        <v>0</v>
      </c>
      <c r="H1390" s="301">
        <v>0</v>
      </c>
      <c r="I1390" s="301">
        <v>0</v>
      </c>
      <c r="J1390" s="301">
        <v>0</v>
      </c>
      <c r="K1390" s="302">
        <v>0</v>
      </c>
      <c r="L1390" s="301">
        <v>0</v>
      </c>
      <c r="M1390" s="301">
        <v>1350000</v>
      </c>
      <c r="N1390" s="301">
        <v>0</v>
      </c>
      <c r="O1390" s="301">
        <v>0</v>
      </c>
      <c r="P1390" s="301">
        <v>0</v>
      </c>
      <c r="Q1390" s="301">
        <v>0</v>
      </c>
      <c r="R1390" s="301">
        <v>0</v>
      </c>
      <c r="S1390" s="301">
        <v>0</v>
      </c>
      <c r="T1390" s="301">
        <v>0</v>
      </c>
      <c r="U1390" s="301">
        <v>0</v>
      </c>
      <c r="V1390" s="301">
        <v>0</v>
      </c>
      <c r="W1390" s="301">
        <v>0</v>
      </c>
      <c r="X1390" s="301">
        <v>0</v>
      </c>
      <c r="Y1390" s="301">
        <v>0</v>
      </c>
      <c r="Z1390" s="301">
        <v>0</v>
      </c>
      <c r="AA1390" s="301">
        <v>0</v>
      </c>
      <c r="AB1390" s="303">
        <v>2021</v>
      </c>
    </row>
    <row r="1391" spans="1:28" ht="35.25" customHeight="1" x14ac:dyDescent="0.5">
      <c r="A1391">
        <v>1</v>
      </c>
      <c r="B1391" s="80">
        <f>SUBTOTAL(103,$A$808:A1391)</f>
        <v>580</v>
      </c>
      <c r="C1391" s="300" t="s">
        <v>2838</v>
      </c>
      <c r="D1391" s="296">
        <f t="shared" si="59"/>
        <v>392441</v>
      </c>
      <c r="E1391" s="301">
        <v>0</v>
      </c>
      <c r="F1391" s="301">
        <v>0</v>
      </c>
      <c r="G1391" s="301">
        <v>0</v>
      </c>
      <c r="H1391" s="301">
        <v>0</v>
      </c>
      <c r="I1391" s="301">
        <v>0</v>
      </c>
      <c r="J1391" s="301">
        <v>0</v>
      </c>
      <c r="K1391" s="302">
        <v>0</v>
      </c>
      <c r="L1391" s="301">
        <v>0</v>
      </c>
      <c r="M1391" s="301">
        <v>0</v>
      </c>
      <c r="N1391" s="301">
        <v>0</v>
      </c>
      <c r="O1391" s="301">
        <v>0</v>
      </c>
      <c r="P1391" s="301">
        <v>392441</v>
      </c>
      <c r="Q1391" s="301">
        <v>0</v>
      </c>
      <c r="R1391" s="301">
        <v>0</v>
      </c>
      <c r="S1391" s="301">
        <v>0</v>
      </c>
      <c r="T1391" s="301">
        <v>0</v>
      </c>
      <c r="U1391" s="301">
        <v>0</v>
      </c>
      <c r="V1391" s="301">
        <v>0</v>
      </c>
      <c r="W1391" s="301">
        <v>0</v>
      </c>
      <c r="X1391" s="301">
        <v>0</v>
      </c>
      <c r="Y1391" s="301">
        <v>0</v>
      </c>
      <c r="Z1391" s="301">
        <v>0</v>
      </c>
      <c r="AA1391" s="301">
        <v>0</v>
      </c>
      <c r="AB1391" s="303">
        <v>2021</v>
      </c>
    </row>
    <row r="1392" spans="1:28" ht="35.25" customHeight="1" x14ac:dyDescent="0.5">
      <c r="A1392">
        <v>1</v>
      </c>
      <c r="B1392" s="80">
        <f>SUBTOTAL(103,$A$808:A1392)</f>
        <v>581</v>
      </c>
      <c r="C1392" s="300" t="s">
        <v>1710</v>
      </c>
      <c r="D1392" s="296">
        <f t="shared" si="59"/>
        <v>13016.06</v>
      </c>
      <c r="E1392" s="301">
        <v>0</v>
      </c>
      <c r="F1392" s="301">
        <v>0</v>
      </c>
      <c r="G1392" s="301">
        <v>0</v>
      </c>
      <c r="H1392" s="301">
        <v>0</v>
      </c>
      <c r="I1392" s="301">
        <v>0</v>
      </c>
      <c r="J1392" s="301">
        <v>0</v>
      </c>
      <c r="K1392" s="302">
        <v>0</v>
      </c>
      <c r="L1392" s="301">
        <v>0</v>
      </c>
      <c r="M1392" s="301">
        <v>13016.06</v>
      </c>
      <c r="N1392" s="301">
        <v>0</v>
      </c>
      <c r="O1392" s="301">
        <v>0</v>
      </c>
      <c r="P1392" s="301">
        <v>0</v>
      </c>
      <c r="Q1392" s="301">
        <v>0</v>
      </c>
      <c r="R1392" s="301">
        <v>0</v>
      </c>
      <c r="S1392" s="301">
        <v>0</v>
      </c>
      <c r="T1392" s="301">
        <v>0</v>
      </c>
      <c r="U1392" s="301">
        <v>0</v>
      </c>
      <c r="V1392" s="301">
        <v>0</v>
      </c>
      <c r="W1392" s="301">
        <v>0</v>
      </c>
      <c r="X1392" s="301">
        <v>0</v>
      </c>
      <c r="Y1392" s="301">
        <v>0</v>
      </c>
      <c r="Z1392" s="301">
        <v>0</v>
      </c>
      <c r="AA1392" s="301">
        <v>0</v>
      </c>
      <c r="AB1392" s="303">
        <v>2021</v>
      </c>
    </row>
    <row r="1393" spans="1:28" ht="35.25" customHeight="1" x14ac:dyDescent="0.5">
      <c r="A1393">
        <v>1</v>
      </c>
      <c r="B1393" s="80">
        <f>SUBTOTAL(103,$A$808:A1393)</f>
        <v>582</v>
      </c>
      <c r="C1393" s="300" t="s">
        <v>2017</v>
      </c>
      <c r="D1393" s="296">
        <f t="shared" si="59"/>
        <v>3924124.41</v>
      </c>
      <c r="E1393" s="301">
        <v>0</v>
      </c>
      <c r="F1393" s="301">
        <v>0</v>
      </c>
      <c r="G1393" s="301">
        <v>0</v>
      </c>
      <c r="H1393" s="301">
        <v>0</v>
      </c>
      <c r="I1393" s="301">
        <v>0</v>
      </c>
      <c r="J1393" s="301">
        <v>0</v>
      </c>
      <c r="K1393" s="302">
        <v>0</v>
      </c>
      <c r="L1393" s="301">
        <v>0</v>
      </c>
      <c r="M1393" s="301">
        <v>3924124.41</v>
      </c>
      <c r="N1393" s="301">
        <v>0</v>
      </c>
      <c r="O1393" s="301">
        <v>0</v>
      </c>
      <c r="P1393" s="301">
        <v>0</v>
      </c>
      <c r="Q1393" s="301">
        <v>0</v>
      </c>
      <c r="R1393" s="301">
        <v>0</v>
      </c>
      <c r="S1393" s="301">
        <v>0</v>
      </c>
      <c r="T1393" s="301">
        <v>0</v>
      </c>
      <c r="U1393" s="301">
        <v>0</v>
      </c>
      <c r="V1393" s="301">
        <v>0</v>
      </c>
      <c r="W1393" s="301">
        <v>0</v>
      </c>
      <c r="X1393" s="301">
        <v>0</v>
      </c>
      <c r="Y1393" s="301">
        <v>0</v>
      </c>
      <c r="Z1393" s="301">
        <v>0</v>
      </c>
      <c r="AA1393" s="301">
        <v>0</v>
      </c>
      <c r="AB1393" s="303">
        <v>2021</v>
      </c>
    </row>
    <row r="1394" spans="1:28" ht="35.25" customHeight="1" x14ac:dyDescent="0.5">
      <c r="A1394">
        <v>1</v>
      </c>
      <c r="B1394" s="80">
        <f>SUBTOTAL(103,$A$808:A1394)</f>
        <v>583</v>
      </c>
      <c r="C1394" s="300" t="s">
        <v>2018</v>
      </c>
      <c r="D1394" s="296">
        <f t="shared" si="59"/>
        <v>755354.28</v>
      </c>
      <c r="E1394" s="301">
        <v>0</v>
      </c>
      <c r="F1394" s="301">
        <v>0</v>
      </c>
      <c r="G1394" s="301">
        <v>0</v>
      </c>
      <c r="H1394" s="301">
        <v>0</v>
      </c>
      <c r="I1394" s="301">
        <v>0</v>
      </c>
      <c r="J1394" s="301">
        <v>0</v>
      </c>
      <c r="K1394" s="302">
        <v>0</v>
      </c>
      <c r="L1394" s="301">
        <v>0</v>
      </c>
      <c r="M1394" s="301">
        <v>0</v>
      </c>
      <c r="N1394" s="301">
        <v>0</v>
      </c>
      <c r="O1394" s="301">
        <v>755354.28</v>
      </c>
      <c r="P1394" s="301">
        <v>0</v>
      </c>
      <c r="Q1394" s="301">
        <v>0</v>
      </c>
      <c r="R1394" s="301">
        <v>0</v>
      </c>
      <c r="S1394" s="301">
        <v>0</v>
      </c>
      <c r="T1394" s="301">
        <v>0</v>
      </c>
      <c r="U1394" s="301">
        <v>0</v>
      </c>
      <c r="V1394" s="301">
        <v>0</v>
      </c>
      <c r="W1394" s="301">
        <v>0</v>
      </c>
      <c r="X1394" s="301">
        <v>0</v>
      </c>
      <c r="Y1394" s="301">
        <v>0</v>
      </c>
      <c r="Z1394" s="301">
        <v>0</v>
      </c>
      <c r="AA1394" s="301">
        <v>0</v>
      </c>
      <c r="AB1394" s="303">
        <v>2021</v>
      </c>
    </row>
    <row r="1395" spans="1:28" ht="35.25" customHeight="1" x14ac:dyDescent="0.5">
      <c r="A1395">
        <v>1</v>
      </c>
      <c r="B1395" s="80">
        <f>SUBTOTAL(103,$A$808:A1395)</f>
        <v>584</v>
      </c>
      <c r="C1395" s="300" t="s">
        <v>2401</v>
      </c>
      <c r="D1395" s="296">
        <f t="shared" si="59"/>
        <v>114920.73</v>
      </c>
      <c r="E1395" s="301">
        <v>0</v>
      </c>
      <c r="F1395" s="301">
        <v>0</v>
      </c>
      <c r="G1395" s="301">
        <v>0</v>
      </c>
      <c r="H1395" s="301">
        <v>0</v>
      </c>
      <c r="I1395" s="301">
        <v>0</v>
      </c>
      <c r="J1395" s="301">
        <v>0</v>
      </c>
      <c r="K1395" s="302">
        <v>0</v>
      </c>
      <c r="L1395" s="301">
        <v>0</v>
      </c>
      <c r="M1395" s="301">
        <v>114920.73</v>
      </c>
      <c r="N1395" s="301">
        <v>0</v>
      </c>
      <c r="O1395" s="301">
        <v>0</v>
      </c>
      <c r="P1395" s="301">
        <v>0</v>
      </c>
      <c r="Q1395" s="301">
        <v>0</v>
      </c>
      <c r="R1395" s="301">
        <v>0</v>
      </c>
      <c r="S1395" s="301">
        <v>0</v>
      </c>
      <c r="T1395" s="301">
        <v>0</v>
      </c>
      <c r="U1395" s="301">
        <v>0</v>
      </c>
      <c r="V1395" s="301">
        <v>0</v>
      </c>
      <c r="W1395" s="301">
        <v>0</v>
      </c>
      <c r="X1395" s="301">
        <v>0</v>
      </c>
      <c r="Y1395" s="301">
        <v>0</v>
      </c>
      <c r="Z1395" s="301">
        <v>0</v>
      </c>
      <c r="AA1395" s="301">
        <v>0</v>
      </c>
      <c r="AB1395" s="303">
        <v>2021</v>
      </c>
    </row>
    <row r="1396" spans="1:28" ht="35.25" customHeight="1" x14ac:dyDescent="0.5">
      <c r="A1396">
        <v>1</v>
      </c>
      <c r="B1396" s="80">
        <f>SUBTOTAL(103,$A$808:A1396)</f>
        <v>585</v>
      </c>
      <c r="C1396" s="300" t="s">
        <v>2402</v>
      </c>
      <c r="D1396" s="296">
        <f t="shared" si="59"/>
        <v>168471.56</v>
      </c>
      <c r="E1396" s="301">
        <v>0</v>
      </c>
      <c r="F1396" s="301">
        <v>0</v>
      </c>
      <c r="G1396" s="301">
        <v>166889</v>
      </c>
      <c r="H1396" s="301">
        <v>0</v>
      </c>
      <c r="I1396" s="301">
        <v>0</v>
      </c>
      <c r="J1396" s="301">
        <v>0</v>
      </c>
      <c r="K1396" s="302">
        <v>0</v>
      </c>
      <c r="L1396" s="301">
        <v>0</v>
      </c>
      <c r="M1396" s="301">
        <v>1582.56</v>
      </c>
      <c r="N1396" s="301">
        <v>0</v>
      </c>
      <c r="O1396" s="301">
        <v>0</v>
      </c>
      <c r="P1396" s="301">
        <v>0</v>
      </c>
      <c r="Q1396" s="301">
        <v>0</v>
      </c>
      <c r="R1396" s="301">
        <v>0</v>
      </c>
      <c r="S1396" s="301">
        <v>0</v>
      </c>
      <c r="T1396" s="301">
        <v>0</v>
      </c>
      <c r="U1396" s="301">
        <v>0</v>
      </c>
      <c r="V1396" s="301">
        <v>0</v>
      </c>
      <c r="W1396" s="301">
        <v>0</v>
      </c>
      <c r="X1396" s="301">
        <v>0</v>
      </c>
      <c r="Y1396" s="301">
        <v>0</v>
      </c>
      <c r="Z1396" s="301">
        <v>0</v>
      </c>
      <c r="AA1396" s="301">
        <v>0</v>
      </c>
      <c r="AB1396" s="303">
        <v>2021</v>
      </c>
    </row>
    <row r="1397" spans="1:28" ht="35.25" customHeight="1" x14ac:dyDescent="0.5">
      <c r="A1397">
        <v>1</v>
      </c>
      <c r="B1397" s="80">
        <f>SUBTOTAL(103,$A$808:A1397)</f>
        <v>586</v>
      </c>
      <c r="C1397" s="300" t="s">
        <v>1711</v>
      </c>
      <c r="D1397" s="296">
        <f t="shared" si="59"/>
        <v>201845.45</v>
      </c>
      <c r="E1397" s="301">
        <v>0</v>
      </c>
      <c r="F1397" s="301">
        <v>0</v>
      </c>
      <c r="G1397" s="301">
        <v>201845.45</v>
      </c>
      <c r="H1397" s="301">
        <v>0</v>
      </c>
      <c r="I1397" s="301">
        <v>0</v>
      </c>
      <c r="J1397" s="301">
        <v>0</v>
      </c>
      <c r="K1397" s="302">
        <v>0</v>
      </c>
      <c r="L1397" s="301">
        <v>0</v>
      </c>
      <c r="M1397" s="301">
        <v>0</v>
      </c>
      <c r="N1397" s="301">
        <v>0</v>
      </c>
      <c r="O1397" s="301">
        <v>0</v>
      </c>
      <c r="P1397" s="301">
        <v>0</v>
      </c>
      <c r="Q1397" s="301">
        <v>0</v>
      </c>
      <c r="R1397" s="301">
        <v>0</v>
      </c>
      <c r="S1397" s="301">
        <v>0</v>
      </c>
      <c r="T1397" s="301">
        <v>0</v>
      </c>
      <c r="U1397" s="301">
        <v>0</v>
      </c>
      <c r="V1397" s="301">
        <v>0</v>
      </c>
      <c r="W1397" s="301">
        <v>0</v>
      </c>
      <c r="X1397" s="301">
        <v>0</v>
      </c>
      <c r="Y1397" s="301">
        <v>0</v>
      </c>
      <c r="Z1397" s="301">
        <v>0</v>
      </c>
      <c r="AA1397" s="301">
        <v>0</v>
      </c>
      <c r="AB1397" s="303">
        <v>2021</v>
      </c>
    </row>
    <row r="1398" spans="1:28" ht="35.25" customHeight="1" x14ac:dyDescent="0.5">
      <c r="A1398">
        <v>1</v>
      </c>
      <c r="B1398" s="80">
        <f>SUBTOTAL(103,$A$808:A1398)</f>
        <v>587</v>
      </c>
      <c r="C1398" s="300" t="s">
        <v>2015</v>
      </c>
      <c r="D1398" s="296">
        <f t="shared" si="59"/>
        <v>2910366</v>
      </c>
      <c r="E1398" s="301">
        <v>0</v>
      </c>
      <c r="F1398" s="301">
        <v>0</v>
      </c>
      <c r="G1398" s="301">
        <v>0</v>
      </c>
      <c r="H1398" s="301">
        <v>0</v>
      </c>
      <c r="I1398" s="301">
        <v>0</v>
      </c>
      <c r="J1398" s="301">
        <v>0</v>
      </c>
      <c r="K1398" s="302">
        <v>0</v>
      </c>
      <c r="L1398" s="301">
        <v>0</v>
      </c>
      <c r="M1398" s="301">
        <v>1977250</v>
      </c>
      <c r="N1398" s="301">
        <v>0</v>
      </c>
      <c r="O1398" s="301">
        <v>933116</v>
      </c>
      <c r="P1398" s="301">
        <v>0</v>
      </c>
      <c r="Q1398" s="301">
        <v>0</v>
      </c>
      <c r="R1398" s="301">
        <v>0</v>
      </c>
      <c r="S1398" s="301">
        <v>0</v>
      </c>
      <c r="T1398" s="301">
        <v>0</v>
      </c>
      <c r="U1398" s="301">
        <v>0</v>
      </c>
      <c r="V1398" s="301">
        <v>0</v>
      </c>
      <c r="W1398" s="301">
        <v>0</v>
      </c>
      <c r="X1398" s="301">
        <v>0</v>
      </c>
      <c r="Y1398" s="301">
        <v>0</v>
      </c>
      <c r="Z1398" s="301">
        <v>0</v>
      </c>
      <c r="AA1398" s="301">
        <v>0</v>
      </c>
      <c r="AB1398" s="303">
        <v>2021</v>
      </c>
    </row>
    <row r="1399" spans="1:28" ht="35.25" customHeight="1" x14ac:dyDescent="0.5">
      <c r="A1399">
        <v>1</v>
      </c>
      <c r="B1399" s="80">
        <f>SUBTOTAL(103,$A$808:A1399)</f>
        <v>588</v>
      </c>
      <c r="C1399" s="300" t="s">
        <v>2839</v>
      </c>
      <c r="D1399" s="296">
        <f t="shared" si="59"/>
        <v>212000</v>
      </c>
      <c r="E1399" s="301">
        <v>0</v>
      </c>
      <c r="F1399" s="301">
        <v>0</v>
      </c>
      <c r="G1399" s="301">
        <v>0</v>
      </c>
      <c r="H1399" s="301">
        <v>0</v>
      </c>
      <c r="I1399" s="301">
        <v>0</v>
      </c>
      <c r="J1399" s="301">
        <v>0</v>
      </c>
      <c r="K1399" s="302">
        <v>0</v>
      </c>
      <c r="L1399" s="301">
        <v>0</v>
      </c>
      <c r="M1399" s="301">
        <v>0</v>
      </c>
      <c r="N1399" s="301">
        <v>0</v>
      </c>
      <c r="O1399" s="301">
        <v>212000</v>
      </c>
      <c r="P1399" s="301">
        <v>0</v>
      </c>
      <c r="Q1399" s="301">
        <v>0</v>
      </c>
      <c r="R1399" s="301">
        <v>0</v>
      </c>
      <c r="S1399" s="301">
        <v>0</v>
      </c>
      <c r="T1399" s="301">
        <v>0</v>
      </c>
      <c r="U1399" s="301">
        <v>0</v>
      </c>
      <c r="V1399" s="301">
        <v>0</v>
      </c>
      <c r="W1399" s="301">
        <v>0</v>
      </c>
      <c r="X1399" s="301">
        <v>0</v>
      </c>
      <c r="Y1399" s="301">
        <v>0</v>
      </c>
      <c r="Z1399" s="301">
        <v>0</v>
      </c>
      <c r="AA1399" s="301">
        <v>0</v>
      </c>
      <c r="AB1399" s="303">
        <v>2021</v>
      </c>
    </row>
    <row r="1400" spans="1:28" ht="35.25" customHeight="1" x14ac:dyDescent="0.5">
      <c r="A1400">
        <v>1</v>
      </c>
      <c r="B1400" s="80">
        <f>SUBTOTAL(103,$A$808:A1400)</f>
        <v>589</v>
      </c>
      <c r="C1400" s="300" t="s">
        <v>2403</v>
      </c>
      <c r="D1400" s="296">
        <f t="shared" si="59"/>
        <v>1107531</v>
      </c>
      <c r="E1400" s="301">
        <v>0</v>
      </c>
      <c r="F1400" s="301">
        <v>0</v>
      </c>
      <c r="G1400" s="301">
        <v>0</v>
      </c>
      <c r="H1400" s="301">
        <v>0</v>
      </c>
      <c r="I1400" s="301">
        <v>0</v>
      </c>
      <c r="J1400" s="301">
        <v>0</v>
      </c>
      <c r="K1400" s="302">
        <v>0</v>
      </c>
      <c r="L1400" s="301">
        <v>0</v>
      </c>
      <c r="M1400" s="301">
        <v>0</v>
      </c>
      <c r="N1400" s="301">
        <v>0</v>
      </c>
      <c r="O1400" s="301">
        <f>391100+716431</f>
        <v>1107531</v>
      </c>
      <c r="P1400" s="301">
        <v>0</v>
      </c>
      <c r="Q1400" s="301">
        <v>0</v>
      </c>
      <c r="R1400" s="301">
        <v>0</v>
      </c>
      <c r="S1400" s="301">
        <v>0</v>
      </c>
      <c r="T1400" s="301">
        <v>0</v>
      </c>
      <c r="U1400" s="301">
        <v>0</v>
      </c>
      <c r="V1400" s="301">
        <v>0</v>
      </c>
      <c r="W1400" s="301">
        <v>0</v>
      </c>
      <c r="X1400" s="301">
        <v>0</v>
      </c>
      <c r="Y1400" s="301">
        <v>0</v>
      </c>
      <c r="Z1400" s="301">
        <v>0</v>
      </c>
      <c r="AA1400" s="301">
        <v>0</v>
      </c>
      <c r="AB1400" s="303">
        <v>2021</v>
      </c>
    </row>
    <row r="1401" spans="1:28" ht="35.25" customHeight="1" x14ac:dyDescent="0.5">
      <c r="A1401">
        <v>1</v>
      </c>
      <c r="B1401" s="80">
        <f>SUBTOTAL(103,$A$808:A1401)</f>
        <v>590</v>
      </c>
      <c r="C1401" s="300" t="s">
        <v>1566</v>
      </c>
      <c r="D1401" s="296">
        <f t="shared" si="59"/>
        <v>800365</v>
      </c>
      <c r="E1401" s="301">
        <v>0</v>
      </c>
      <c r="F1401" s="301">
        <v>0</v>
      </c>
      <c r="G1401" s="301">
        <v>340365</v>
      </c>
      <c r="H1401" s="301">
        <v>0</v>
      </c>
      <c r="I1401" s="301">
        <v>0</v>
      </c>
      <c r="J1401" s="301">
        <v>0</v>
      </c>
      <c r="K1401" s="302">
        <v>0</v>
      </c>
      <c r="L1401" s="301">
        <v>0</v>
      </c>
      <c r="M1401" s="301">
        <v>50000</v>
      </c>
      <c r="N1401" s="301">
        <v>0</v>
      </c>
      <c r="O1401" s="301">
        <v>410000</v>
      </c>
      <c r="P1401" s="301">
        <v>0</v>
      </c>
      <c r="Q1401" s="301">
        <v>0</v>
      </c>
      <c r="R1401" s="301">
        <v>0</v>
      </c>
      <c r="S1401" s="301">
        <v>0</v>
      </c>
      <c r="T1401" s="301">
        <v>0</v>
      </c>
      <c r="U1401" s="301">
        <v>0</v>
      </c>
      <c r="V1401" s="301">
        <v>0</v>
      </c>
      <c r="W1401" s="301">
        <v>0</v>
      </c>
      <c r="X1401" s="301">
        <v>0</v>
      </c>
      <c r="Y1401" s="301">
        <v>0</v>
      </c>
      <c r="Z1401" s="301">
        <v>0</v>
      </c>
      <c r="AA1401" s="301">
        <v>0</v>
      </c>
      <c r="AB1401" s="303">
        <v>2021</v>
      </c>
    </row>
    <row r="1402" spans="1:28" ht="35.25" customHeight="1" x14ac:dyDescent="0.5">
      <c r="A1402">
        <v>1</v>
      </c>
      <c r="B1402" s="80">
        <f>SUBTOTAL(103,$A$808:A1402)</f>
        <v>591</v>
      </c>
      <c r="C1402" s="300" t="s">
        <v>2840</v>
      </c>
      <c r="D1402" s="296">
        <f t="shared" si="59"/>
        <v>408701</v>
      </c>
      <c r="E1402" s="301">
        <v>0</v>
      </c>
      <c r="F1402" s="301">
        <v>0</v>
      </c>
      <c r="G1402" s="301">
        <v>0</v>
      </c>
      <c r="H1402" s="301">
        <v>0</v>
      </c>
      <c r="I1402" s="301">
        <v>0</v>
      </c>
      <c r="J1402" s="301">
        <v>0</v>
      </c>
      <c r="K1402" s="302">
        <v>0</v>
      </c>
      <c r="L1402" s="301">
        <v>0</v>
      </c>
      <c r="M1402" s="301">
        <v>0</v>
      </c>
      <c r="N1402" s="301">
        <v>0</v>
      </c>
      <c r="O1402" s="301">
        <v>408701</v>
      </c>
      <c r="P1402" s="301">
        <v>0</v>
      </c>
      <c r="Q1402" s="301">
        <v>0</v>
      </c>
      <c r="R1402" s="301">
        <v>0</v>
      </c>
      <c r="S1402" s="301">
        <v>0</v>
      </c>
      <c r="T1402" s="301">
        <v>0</v>
      </c>
      <c r="U1402" s="301">
        <v>0</v>
      </c>
      <c r="V1402" s="301">
        <v>0</v>
      </c>
      <c r="W1402" s="301">
        <v>0</v>
      </c>
      <c r="X1402" s="301">
        <v>0</v>
      </c>
      <c r="Y1402" s="301">
        <v>0</v>
      </c>
      <c r="Z1402" s="301">
        <v>0</v>
      </c>
      <c r="AA1402" s="301">
        <v>0</v>
      </c>
      <c r="AB1402" s="303">
        <v>2021</v>
      </c>
    </row>
    <row r="1403" spans="1:28" ht="35.25" customHeight="1" x14ac:dyDescent="0.5">
      <c r="A1403">
        <v>1</v>
      </c>
      <c r="B1403" s="80">
        <f>SUBTOTAL(103,$A$808:A1403)</f>
        <v>592</v>
      </c>
      <c r="C1403" s="300" t="s">
        <v>2841</v>
      </c>
      <c r="D1403" s="296">
        <f t="shared" si="59"/>
        <v>1313337.31</v>
      </c>
      <c r="E1403" s="301">
        <v>0</v>
      </c>
      <c r="F1403" s="301">
        <v>0</v>
      </c>
      <c r="G1403" s="301">
        <v>1313337.31</v>
      </c>
      <c r="H1403" s="301">
        <v>0</v>
      </c>
      <c r="I1403" s="301">
        <v>0</v>
      </c>
      <c r="J1403" s="301">
        <v>0</v>
      </c>
      <c r="K1403" s="302">
        <v>0</v>
      </c>
      <c r="L1403" s="301">
        <v>0</v>
      </c>
      <c r="M1403" s="301">
        <v>0</v>
      </c>
      <c r="N1403" s="301">
        <v>0</v>
      </c>
      <c r="O1403" s="301">
        <v>0</v>
      </c>
      <c r="P1403" s="301">
        <v>0</v>
      </c>
      <c r="Q1403" s="301">
        <v>0</v>
      </c>
      <c r="R1403" s="301">
        <v>0</v>
      </c>
      <c r="S1403" s="301">
        <v>0</v>
      </c>
      <c r="T1403" s="301">
        <v>0</v>
      </c>
      <c r="U1403" s="301">
        <v>0</v>
      </c>
      <c r="V1403" s="301">
        <v>0</v>
      </c>
      <c r="W1403" s="301">
        <v>0</v>
      </c>
      <c r="X1403" s="301">
        <v>0</v>
      </c>
      <c r="Y1403" s="301">
        <v>0</v>
      </c>
      <c r="Z1403" s="301">
        <v>0</v>
      </c>
      <c r="AA1403" s="301">
        <v>0</v>
      </c>
      <c r="AB1403" s="303">
        <v>2021</v>
      </c>
    </row>
    <row r="1404" spans="1:28" ht="35.25" customHeight="1" x14ac:dyDescent="0.5">
      <c r="A1404">
        <v>1</v>
      </c>
      <c r="B1404" s="80">
        <f>SUBTOTAL(103,$A$808:A1404)</f>
        <v>593</v>
      </c>
      <c r="C1404" s="300" t="s">
        <v>2842</v>
      </c>
      <c r="D1404" s="296">
        <f t="shared" si="59"/>
        <v>1196924.4099999999</v>
      </c>
      <c r="E1404" s="301">
        <v>0</v>
      </c>
      <c r="F1404" s="301">
        <v>0</v>
      </c>
      <c r="G1404" s="301">
        <v>0</v>
      </c>
      <c r="H1404" s="301">
        <v>0</v>
      </c>
      <c r="I1404" s="301">
        <v>0</v>
      </c>
      <c r="J1404" s="301">
        <v>0</v>
      </c>
      <c r="K1404" s="302">
        <v>0</v>
      </c>
      <c r="L1404" s="301">
        <v>0</v>
      </c>
      <c r="M1404" s="301">
        <v>0</v>
      </c>
      <c r="N1404" s="301">
        <v>0</v>
      </c>
      <c r="O1404" s="301">
        <v>1196924.4099999999</v>
      </c>
      <c r="P1404" s="301">
        <v>0</v>
      </c>
      <c r="Q1404" s="301">
        <v>0</v>
      </c>
      <c r="R1404" s="301">
        <v>0</v>
      </c>
      <c r="S1404" s="301">
        <v>0</v>
      </c>
      <c r="T1404" s="301">
        <v>0</v>
      </c>
      <c r="U1404" s="301">
        <v>0</v>
      </c>
      <c r="V1404" s="301">
        <v>0</v>
      </c>
      <c r="W1404" s="301">
        <v>0</v>
      </c>
      <c r="X1404" s="301">
        <v>0</v>
      </c>
      <c r="Y1404" s="301">
        <v>0</v>
      </c>
      <c r="Z1404" s="301">
        <v>0</v>
      </c>
      <c r="AA1404" s="301">
        <v>0</v>
      </c>
      <c r="AB1404" s="303">
        <v>2021</v>
      </c>
    </row>
    <row r="1405" spans="1:28" ht="35.25" customHeight="1" x14ac:dyDescent="0.5">
      <c r="A1405">
        <v>1</v>
      </c>
      <c r="B1405" s="80">
        <f>SUBTOTAL(103,$A$808:A1405)</f>
        <v>594</v>
      </c>
      <c r="C1405" s="300" t="s">
        <v>2404</v>
      </c>
      <c r="D1405" s="296">
        <f t="shared" si="59"/>
        <v>300000</v>
      </c>
      <c r="E1405" s="301">
        <v>0</v>
      </c>
      <c r="F1405" s="301">
        <v>0</v>
      </c>
      <c r="G1405" s="301">
        <v>0</v>
      </c>
      <c r="H1405" s="301">
        <v>0</v>
      </c>
      <c r="I1405" s="301">
        <v>0</v>
      </c>
      <c r="J1405" s="301">
        <v>0</v>
      </c>
      <c r="K1405" s="302">
        <v>0</v>
      </c>
      <c r="L1405" s="301">
        <v>0</v>
      </c>
      <c r="M1405" s="301">
        <v>0</v>
      </c>
      <c r="N1405" s="301">
        <v>0</v>
      </c>
      <c r="O1405" s="301">
        <v>300000</v>
      </c>
      <c r="P1405" s="301">
        <v>0</v>
      </c>
      <c r="Q1405" s="301">
        <v>0</v>
      </c>
      <c r="R1405" s="301">
        <v>0</v>
      </c>
      <c r="S1405" s="301">
        <v>0</v>
      </c>
      <c r="T1405" s="301">
        <v>0</v>
      </c>
      <c r="U1405" s="301">
        <v>0</v>
      </c>
      <c r="V1405" s="301">
        <v>0</v>
      </c>
      <c r="W1405" s="301">
        <v>0</v>
      </c>
      <c r="X1405" s="301">
        <v>0</v>
      </c>
      <c r="Y1405" s="301">
        <v>0</v>
      </c>
      <c r="Z1405" s="301">
        <v>0</v>
      </c>
      <c r="AA1405" s="301">
        <v>0</v>
      </c>
      <c r="AB1405" s="303">
        <v>2021</v>
      </c>
    </row>
    <row r="1406" spans="1:28" ht="35.25" customHeight="1" x14ac:dyDescent="0.5">
      <c r="A1406">
        <v>1</v>
      </c>
      <c r="B1406" s="80">
        <f>SUBTOTAL(103,$A$808:A1406)</f>
        <v>595</v>
      </c>
      <c r="C1406" s="300" t="s">
        <v>2843</v>
      </c>
      <c r="D1406" s="296">
        <f t="shared" si="59"/>
        <v>1055220.95</v>
      </c>
      <c r="E1406" s="301">
        <v>0</v>
      </c>
      <c r="F1406" s="301">
        <v>0</v>
      </c>
      <c r="G1406" s="301">
        <v>1055220.95</v>
      </c>
      <c r="H1406" s="301">
        <v>0</v>
      </c>
      <c r="I1406" s="301">
        <v>0</v>
      </c>
      <c r="J1406" s="301">
        <v>0</v>
      </c>
      <c r="K1406" s="302">
        <v>0</v>
      </c>
      <c r="L1406" s="301">
        <v>0</v>
      </c>
      <c r="M1406" s="301">
        <v>0</v>
      </c>
      <c r="N1406" s="301">
        <v>0</v>
      </c>
      <c r="O1406" s="301">
        <v>0</v>
      </c>
      <c r="P1406" s="301">
        <v>0</v>
      </c>
      <c r="Q1406" s="301">
        <v>0</v>
      </c>
      <c r="R1406" s="301">
        <v>0</v>
      </c>
      <c r="S1406" s="301">
        <v>0</v>
      </c>
      <c r="T1406" s="301">
        <v>0</v>
      </c>
      <c r="U1406" s="301">
        <v>0</v>
      </c>
      <c r="V1406" s="301">
        <v>0</v>
      </c>
      <c r="W1406" s="301">
        <v>0</v>
      </c>
      <c r="X1406" s="301">
        <v>0</v>
      </c>
      <c r="Y1406" s="301">
        <v>0</v>
      </c>
      <c r="Z1406" s="301">
        <v>0</v>
      </c>
      <c r="AA1406" s="301">
        <v>0</v>
      </c>
      <c r="AB1406" s="303">
        <v>2021</v>
      </c>
    </row>
    <row r="1407" spans="1:28" ht="35.25" customHeight="1" x14ac:dyDescent="0.5">
      <c r="A1407">
        <v>1</v>
      </c>
      <c r="B1407" s="80">
        <f>SUBTOTAL(103,$A$808:A1407)</f>
        <v>596</v>
      </c>
      <c r="C1407" s="300" t="s">
        <v>2844</v>
      </c>
      <c r="D1407" s="296">
        <f t="shared" si="59"/>
        <v>3740000</v>
      </c>
      <c r="E1407" s="301">
        <v>0</v>
      </c>
      <c r="F1407" s="301">
        <v>0</v>
      </c>
      <c r="G1407" s="301">
        <v>0</v>
      </c>
      <c r="H1407" s="301">
        <v>0</v>
      </c>
      <c r="I1407" s="301">
        <v>0</v>
      </c>
      <c r="J1407" s="301">
        <v>0</v>
      </c>
      <c r="K1407" s="302">
        <v>2</v>
      </c>
      <c r="L1407" s="301">
        <v>3740000</v>
      </c>
      <c r="M1407" s="301">
        <v>0</v>
      </c>
      <c r="N1407" s="301">
        <v>0</v>
      </c>
      <c r="O1407" s="301">
        <v>0</v>
      </c>
      <c r="P1407" s="301">
        <v>0</v>
      </c>
      <c r="Q1407" s="301">
        <v>0</v>
      </c>
      <c r="R1407" s="301">
        <v>0</v>
      </c>
      <c r="S1407" s="301">
        <v>0</v>
      </c>
      <c r="T1407" s="301">
        <v>0</v>
      </c>
      <c r="U1407" s="301">
        <v>0</v>
      </c>
      <c r="V1407" s="301">
        <v>0</v>
      </c>
      <c r="W1407" s="301">
        <v>0</v>
      </c>
      <c r="X1407" s="301">
        <v>0</v>
      </c>
      <c r="Y1407" s="301">
        <v>0</v>
      </c>
      <c r="Z1407" s="301">
        <v>0</v>
      </c>
      <c r="AA1407" s="301">
        <v>0</v>
      </c>
      <c r="AB1407" s="303">
        <v>2021</v>
      </c>
    </row>
    <row r="1408" spans="1:28" ht="35.25" customHeight="1" x14ac:dyDescent="0.5">
      <c r="A1408">
        <v>1</v>
      </c>
      <c r="B1408" s="80">
        <f>SUBTOTAL(103,$A$808:A1408)</f>
        <v>597</v>
      </c>
      <c r="C1408" s="300" t="s">
        <v>2845</v>
      </c>
      <c r="D1408" s="296">
        <f t="shared" si="59"/>
        <v>299450.69</v>
      </c>
      <c r="E1408" s="301">
        <v>0</v>
      </c>
      <c r="F1408" s="301">
        <v>0</v>
      </c>
      <c r="G1408" s="301">
        <v>0</v>
      </c>
      <c r="H1408" s="301">
        <v>299450.69</v>
      </c>
      <c r="I1408" s="301">
        <v>0</v>
      </c>
      <c r="J1408" s="301">
        <v>0</v>
      </c>
      <c r="K1408" s="302">
        <v>0</v>
      </c>
      <c r="L1408" s="301">
        <v>0</v>
      </c>
      <c r="M1408" s="301">
        <v>0</v>
      </c>
      <c r="N1408" s="301">
        <v>0</v>
      </c>
      <c r="O1408" s="301">
        <v>0</v>
      </c>
      <c r="P1408" s="301">
        <v>0</v>
      </c>
      <c r="Q1408" s="301">
        <v>0</v>
      </c>
      <c r="R1408" s="301">
        <v>0</v>
      </c>
      <c r="S1408" s="301">
        <v>0</v>
      </c>
      <c r="T1408" s="301">
        <v>0</v>
      </c>
      <c r="U1408" s="301">
        <v>0</v>
      </c>
      <c r="V1408" s="301">
        <v>0</v>
      </c>
      <c r="W1408" s="301">
        <v>0</v>
      </c>
      <c r="X1408" s="301">
        <v>0</v>
      </c>
      <c r="Y1408" s="301">
        <v>0</v>
      </c>
      <c r="Z1408" s="301">
        <v>0</v>
      </c>
      <c r="AA1408" s="301">
        <v>0</v>
      </c>
      <c r="AB1408" s="303">
        <v>2021</v>
      </c>
    </row>
    <row r="1409" spans="1:28" ht="35.25" customHeight="1" x14ac:dyDescent="0.5">
      <c r="A1409">
        <v>1</v>
      </c>
      <c r="B1409" s="80">
        <f>SUBTOTAL(103,$A$808:A1409)</f>
        <v>598</v>
      </c>
      <c r="C1409" s="300" t="s">
        <v>2846</v>
      </c>
      <c r="D1409" s="296">
        <f t="shared" si="59"/>
        <v>1298283</v>
      </c>
      <c r="E1409" s="301">
        <v>0</v>
      </c>
      <c r="F1409" s="301">
        <v>0</v>
      </c>
      <c r="G1409" s="301">
        <v>0</v>
      </c>
      <c r="H1409" s="301">
        <v>0</v>
      </c>
      <c r="I1409" s="301">
        <v>0</v>
      </c>
      <c r="J1409" s="301">
        <v>0</v>
      </c>
      <c r="K1409" s="302">
        <v>0</v>
      </c>
      <c r="L1409" s="301">
        <v>0</v>
      </c>
      <c r="M1409" s="301">
        <v>0</v>
      </c>
      <c r="N1409" s="301">
        <v>0</v>
      </c>
      <c r="O1409" s="301">
        <v>1298283</v>
      </c>
      <c r="P1409" s="301">
        <v>0</v>
      </c>
      <c r="Q1409" s="301">
        <v>0</v>
      </c>
      <c r="R1409" s="301">
        <v>0</v>
      </c>
      <c r="S1409" s="301">
        <v>0</v>
      </c>
      <c r="T1409" s="301">
        <v>0</v>
      </c>
      <c r="U1409" s="301">
        <v>0</v>
      </c>
      <c r="V1409" s="301">
        <v>0</v>
      </c>
      <c r="W1409" s="301">
        <v>0</v>
      </c>
      <c r="X1409" s="301">
        <v>0</v>
      </c>
      <c r="Y1409" s="301">
        <v>0</v>
      </c>
      <c r="Z1409" s="301">
        <v>0</v>
      </c>
      <c r="AA1409" s="301">
        <v>0</v>
      </c>
      <c r="AB1409" s="303">
        <v>2021</v>
      </c>
    </row>
    <row r="1410" spans="1:28" ht="35.25" customHeight="1" x14ac:dyDescent="0.5">
      <c r="A1410">
        <v>1</v>
      </c>
      <c r="B1410" s="80">
        <f>SUBTOTAL(103,$A$808:A1410)</f>
        <v>599</v>
      </c>
      <c r="C1410" s="300" t="s">
        <v>2847</v>
      </c>
      <c r="D1410" s="296">
        <f t="shared" si="59"/>
        <v>3199982</v>
      </c>
      <c r="E1410" s="301">
        <v>0</v>
      </c>
      <c r="F1410" s="301">
        <v>0</v>
      </c>
      <c r="G1410" s="301">
        <v>0</v>
      </c>
      <c r="H1410" s="301">
        <v>0</v>
      </c>
      <c r="I1410" s="301">
        <v>0</v>
      </c>
      <c r="J1410" s="301">
        <v>0</v>
      </c>
      <c r="K1410" s="302">
        <v>0</v>
      </c>
      <c r="L1410" s="301">
        <v>0</v>
      </c>
      <c r="M1410" s="301">
        <v>0</v>
      </c>
      <c r="N1410" s="301">
        <v>0</v>
      </c>
      <c r="O1410" s="301">
        <v>3199982</v>
      </c>
      <c r="P1410" s="301">
        <v>0</v>
      </c>
      <c r="Q1410" s="301">
        <v>0</v>
      </c>
      <c r="R1410" s="301">
        <v>0</v>
      </c>
      <c r="S1410" s="301">
        <v>0</v>
      </c>
      <c r="T1410" s="301">
        <v>0</v>
      </c>
      <c r="U1410" s="301">
        <v>0</v>
      </c>
      <c r="V1410" s="301">
        <v>0</v>
      </c>
      <c r="W1410" s="301">
        <v>0</v>
      </c>
      <c r="X1410" s="301">
        <v>0</v>
      </c>
      <c r="Y1410" s="301">
        <v>0</v>
      </c>
      <c r="Z1410" s="301">
        <v>0</v>
      </c>
      <c r="AA1410" s="301">
        <v>0</v>
      </c>
      <c r="AB1410" s="303">
        <v>2021</v>
      </c>
    </row>
    <row r="1411" spans="1:28" ht="35.25" customHeight="1" x14ac:dyDescent="0.5">
      <c r="A1411">
        <v>1</v>
      </c>
      <c r="B1411" s="80">
        <f>SUBTOTAL(103,$A$808:A1411)</f>
        <v>600</v>
      </c>
      <c r="C1411" s="300" t="s">
        <v>1952</v>
      </c>
      <c r="D1411" s="296">
        <f t="shared" si="59"/>
        <v>1152523</v>
      </c>
      <c r="E1411" s="301">
        <v>0</v>
      </c>
      <c r="F1411" s="301">
        <v>0</v>
      </c>
      <c r="G1411" s="301">
        <v>0</v>
      </c>
      <c r="H1411" s="301">
        <v>0</v>
      </c>
      <c r="I1411" s="301">
        <v>0</v>
      </c>
      <c r="J1411" s="301">
        <v>0</v>
      </c>
      <c r="K1411" s="302">
        <v>0</v>
      </c>
      <c r="L1411" s="301">
        <v>0</v>
      </c>
      <c r="M1411" s="301">
        <v>0</v>
      </c>
      <c r="N1411" s="301">
        <v>0</v>
      </c>
      <c r="O1411" s="301">
        <v>1152523</v>
      </c>
      <c r="P1411" s="301">
        <v>0</v>
      </c>
      <c r="Q1411" s="301">
        <v>0</v>
      </c>
      <c r="R1411" s="301">
        <v>0</v>
      </c>
      <c r="S1411" s="301">
        <v>0</v>
      </c>
      <c r="T1411" s="301">
        <v>0</v>
      </c>
      <c r="U1411" s="301">
        <v>0</v>
      </c>
      <c r="V1411" s="301">
        <v>0</v>
      </c>
      <c r="W1411" s="301">
        <v>0</v>
      </c>
      <c r="X1411" s="301">
        <v>0</v>
      </c>
      <c r="Y1411" s="301">
        <v>0</v>
      </c>
      <c r="Z1411" s="301">
        <v>0</v>
      </c>
      <c r="AA1411" s="301">
        <v>0</v>
      </c>
      <c r="AB1411" s="303">
        <v>2021</v>
      </c>
    </row>
    <row r="1412" spans="1:28" ht="35.25" customHeight="1" x14ac:dyDescent="0.5">
      <c r="A1412">
        <v>1</v>
      </c>
      <c r="B1412" s="80">
        <f>SUBTOTAL(103,$A$808:A1412)</f>
        <v>601</v>
      </c>
      <c r="C1412" s="300" t="s">
        <v>2228</v>
      </c>
      <c r="D1412" s="296">
        <f t="shared" si="59"/>
        <v>456000.48</v>
      </c>
      <c r="E1412" s="301">
        <v>0</v>
      </c>
      <c r="F1412" s="301">
        <v>0</v>
      </c>
      <c r="G1412" s="301">
        <v>0</v>
      </c>
      <c r="H1412" s="301">
        <v>0</v>
      </c>
      <c r="I1412" s="301">
        <v>0</v>
      </c>
      <c r="J1412" s="301">
        <v>0</v>
      </c>
      <c r="K1412" s="302">
        <v>0</v>
      </c>
      <c r="L1412" s="301">
        <v>0</v>
      </c>
      <c r="M1412" s="301">
        <v>0</v>
      </c>
      <c r="N1412" s="301">
        <v>0</v>
      </c>
      <c r="O1412" s="301">
        <v>456000.48</v>
      </c>
      <c r="P1412" s="301">
        <v>0</v>
      </c>
      <c r="Q1412" s="301">
        <v>0</v>
      </c>
      <c r="R1412" s="301">
        <v>0</v>
      </c>
      <c r="S1412" s="301">
        <v>0</v>
      </c>
      <c r="T1412" s="301">
        <v>0</v>
      </c>
      <c r="U1412" s="301">
        <v>0</v>
      </c>
      <c r="V1412" s="301">
        <v>0</v>
      </c>
      <c r="W1412" s="301">
        <v>0</v>
      </c>
      <c r="X1412" s="301">
        <v>0</v>
      </c>
      <c r="Y1412" s="301">
        <v>0</v>
      </c>
      <c r="Z1412" s="301">
        <v>0</v>
      </c>
      <c r="AA1412" s="301">
        <v>0</v>
      </c>
      <c r="AB1412" s="303">
        <v>2021</v>
      </c>
    </row>
    <row r="1413" spans="1:28" ht="35.25" customHeight="1" x14ac:dyDescent="0.5">
      <c r="A1413">
        <v>1</v>
      </c>
      <c r="B1413" s="80">
        <f>SUBTOTAL(103,$A$808:A1413)</f>
        <v>602</v>
      </c>
      <c r="C1413" s="300" t="s">
        <v>2848</v>
      </c>
      <c r="D1413" s="296">
        <f t="shared" si="59"/>
        <v>1356918</v>
      </c>
      <c r="E1413" s="301">
        <v>0</v>
      </c>
      <c r="F1413" s="301">
        <v>0</v>
      </c>
      <c r="G1413" s="301">
        <v>0</v>
      </c>
      <c r="H1413" s="301">
        <v>0</v>
      </c>
      <c r="I1413" s="301">
        <v>0</v>
      </c>
      <c r="J1413" s="301">
        <v>0</v>
      </c>
      <c r="K1413" s="302">
        <v>0</v>
      </c>
      <c r="L1413" s="301">
        <v>0</v>
      </c>
      <c r="M1413" s="301">
        <v>0</v>
      </c>
      <c r="N1413" s="301">
        <v>0</v>
      </c>
      <c r="O1413" s="301">
        <v>1356918</v>
      </c>
      <c r="P1413" s="301">
        <v>0</v>
      </c>
      <c r="Q1413" s="301">
        <v>0</v>
      </c>
      <c r="R1413" s="301">
        <v>0</v>
      </c>
      <c r="S1413" s="301">
        <v>0</v>
      </c>
      <c r="T1413" s="301">
        <v>0</v>
      </c>
      <c r="U1413" s="301">
        <v>0</v>
      </c>
      <c r="V1413" s="301">
        <v>0</v>
      </c>
      <c r="W1413" s="301">
        <v>0</v>
      </c>
      <c r="X1413" s="301">
        <v>0</v>
      </c>
      <c r="Y1413" s="301">
        <v>0</v>
      </c>
      <c r="Z1413" s="301">
        <v>0</v>
      </c>
      <c r="AA1413" s="301">
        <v>0</v>
      </c>
      <c r="AB1413" s="303">
        <v>2021</v>
      </c>
    </row>
    <row r="1414" spans="1:28" ht="35.25" customHeight="1" x14ac:dyDescent="0.5">
      <c r="A1414">
        <v>1</v>
      </c>
      <c r="B1414" s="80">
        <f>SUBTOTAL(103,$A$808:A1414)</f>
        <v>603</v>
      </c>
      <c r="C1414" s="300" t="s">
        <v>1954</v>
      </c>
      <c r="D1414" s="296">
        <f t="shared" si="59"/>
        <v>1419976</v>
      </c>
      <c r="E1414" s="301">
        <v>0</v>
      </c>
      <c r="F1414" s="301">
        <v>0</v>
      </c>
      <c r="G1414" s="301">
        <v>0</v>
      </c>
      <c r="H1414" s="301">
        <v>0</v>
      </c>
      <c r="I1414" s="301">
        <v>0</v>
      </c>
      <c r="J1414" s="301">
        <v>0</v>
      </c>
      <c r="K1414" s="302">
        <v>0</v>
      </c>
      <c r="L1414" s="301">
        <v>0</v>
      </c>
      <c r="M1414" s="301">
        <v>0</v>
      </c>
      <c r="N1414" s="301">
        <v>0</v>
      </c>
      <c r="O1414" s="301">
        <v>1419976</v>
      </c>
      <c r="P1414" s="301">
        <v>0</v>
      </c>
      <c r="Q1414" s="301">
        <v>0</v>
      </c>
      <c r="R1414" s="301">
        <v>0</v>
      </c>
      <c r="S1414" s="301">
        <v>0</v>
      </c>
      <c r="T1414" s="301">
        <v>0</v>
      </c>
      <c r="U1414" s="301">
        <v>0</v>
      </c>
      <c r="V1414" s="301">
        <v>0</v>
      </c>
      <c r="W1414" s="301">
        <v>0</v>
      </c>
      <c r="X1414" s="301">
        <v>0</v>
      </c>
      <c r="Y1414" s="301">
        <v>0</v>
      </c>
      <c r="Z1414" s="301">
        <v>0</v>
      </c>
      <c r="AA1414" s="301">
        <v>0</v>
      </c>
      <c r="AB1414" s="303">
        <v>2021</v>
      </c>
    </row>
    <row r="1415" spans="1:28" ht="35.25" customHeight="1" x14ac:dyDescent="0.5">
      <c r="A1415">
        <v>1</v>
      </c>
      <c r="B1415" s="80">
        <f>SUBTOTAL(103,$A$808:A1415)</f>
        <v>604</v>
      </c>
      <c r="C1415" s="300" t="s">
        <v>2849</v>
      </c>
      <c r="D1415" s="296">
        <f t="shared" si="59"/>
        <v>1483310</v>
      </c>
      <c r="E1415" s="301">
        <v>0</v>
      </c>
      <c r="F1415" s="301">
        <v>0</v>
      </c>
      <c r="G1415" s="301">
        <v>0</v>
      </c>
      <c r="H1415" s="301">
        <v>0</v>
      </c>
      <c r="I1415" s="301">
        <v>0</v>
      </c>
      <c r="J1415" s="301">
        <v>0</v>
      </c>
      <c r="K1415" s="302">
        <v>0</v>
      </c>
      <c r="L1415" s="301">
        <v>0</v>
      </c>
      <c r="M1415" s="301">
        <v>0</v>
      </c>
      <c r="N1415" s="301">
        <v>0</v>
      </c>
      <c r="O1415" s="301">
        <v>1483310</v>
      </c>
      <c r="P1415" s="301">
        <v>0</v>
      </c>
      <c r="Q1415" s="301">
        <v>0</v>
      </c>
      <c r="R1415" s="301">
        <v>0</v>
      </c>
      <c r="S1415" s="301">
        <v>0</v>
      </c>
      <c r="T1415" s="301">
        <v>0</v>
      </c>
      <c r="U1415" s="301">
        <v>0</v>
      </c>
      <c r="V1415" s="301">
        <v>0</v>
      </c>
      <c r="W1415" s="301">
        <v>0</v>
      </c>
      <c r="X1415" s="301">
        <v>0</v>
      </c>
      <c r="Y1415" s="301">
        <v>0</v>
      </c>
      <c r="Z1415" s="301">
        <v>0</v>
      </c>
      <c r="AA1415" s="301">
        <v>0</v>
      </c>
      <c r="AB1415" s="303">
        <v>2021</v>
      </c>
    </row>
    <row r="1416" spans="1:28" ht="35.25" customHeight="1" x14ac:dyDescent="0.5">
      <c r="A1416">
        <v>1</v>
      </c>
      <c r="B1416" s="80">
        <f>SUBTOTAL(103,$A$808:A1416)</f>
        <v>605</v>
      </c>
      <c r="C1416" s="300" t="s">
        <v>2850</v>
      </c>
      <c r="D1416" s="296">
        <f t="shared" si="59"/>
        <v>1233380.6299999999</v>
      </c>
      <c r="E1416" s="301">
        <v>0</v>
      </c>
      <c r="F1416" s="301">
        <v>0</v>
      </c>
      <c r="G1416" s="301">
        <v>0</v>
      </c>
      <c r="H1416" s="301">
        <v>0</v>
      </c>
      <c r="I1416" s="301">
        <v>0</v>
      </c>
      <c r="J1416" s="301">
        <v>0</v>
      </c>
      <c r="K1416" s="302">
        <v>0</v>
      </c>
      <c r="L1416" s="301">
        <v>0</v>
      </c>
      <c r="M1416" s="301">
        <v>0</v>
      </c>
      <c r="N1416" s="301">
        <v>0</v>
      </c>
      <c r="O1416" s="301">
        <v>1233380.6299999999</v>
      </c>
      <c r="P1416" s="301">
        <v>0</v>
      </c>
      <c r="Q1416" s="301">
        <v>0</v>
      </c>
      <c r="R1416" s="301">
        <v>0</v>
      </c>
      <c r="S1416" s="301">
        <v>0</v>
      </c>
      <c r="T1416" s="301">
        <v>0</v>
      </c>
      <c r="U1416" s="301">
        <v>0</v>
      </c>
      <c r="V1416" s="301">
        <v>0</v>
      </c>
      <c r="W1416" s="301">
        <v>0</v>
      </c>
      <c r="X1416" s="301">
        <v>0</v>
      </c>
      <c r="Y1416" s="301">
        <v>0</v>
      </c>
      <c r="Z1416" s="301">
        <v>0</v>
      </c>
      <c r="AA1416" s="301">
        <v>0</v>
      </c>
      <c r="AB1416" s="303">
        <v>2021</v>
      </c>
    </row>
    <row r="1417" spans="1:28" ht="35.25" customHeight="1" x14ac:dyDescent="0.5">
      <c r="A1417">
        <v>1</v>
      </c>
      <c r="B1417" s="80">
        <f>SUBTOTAL(103,$A$808:A1417)</f>
        <v>606</v>
      </c>
      <c r="C1417" s="300" t="s">
        <v>2851</v>
      </c>
      <c r="D1417" s="296">
        <f t="shared" ref="D1417:D1480" si="60">E1417+F1417+G1417+H1417+I1417+J1417+L1417+M1417+N1417+O1417+P1417+Q1417+R1417+S1417+T1417+U1417+V1417+W1417+X1417+Y1417+Z1417+AA1417</f>
        <v>2196506.6</v>
      </c>
      <c r="E1417" s="301">
        <v>0</v>
      </c>
      <c r="F1417" s="301">
        <v>0</v>
      </c>
      <c r="G1417" s="301">
        <v>0</v>
      </c>
      <c r="H1417" s="301">
        <v>0</v>
      </c>
      <c r="I1417" s="301">
        <v>0</v>
      </c>
      <c r="J1417" s="301">
        <v>0</v>
      </c>
      <c r="K1417" s="302">
        <v>0</v>
      </c>
      <c r="L1417" s="301">
        <v>0</v>
      </c>
      <c r="M1417" s="301">
        <v>0</v>
      </c>
      <c r="N1417" s="301">
        <v>0</v>
      </c>
      <c r="O1417" s="301">
        <v>2196506.6</v>
      </c>
      <c r="P1417" s="301">
        <v>0</v>
      </c>
      <c r="Q1417" s="301">
        <v>0</v>
      </c>
      <c r="R1417" s="301">
        <v>0</v>
      </c>
      <c r="S1417" s="301">
        <v>0</v>
      </c>
      <c r="T1417" s="301">
        <v>0</v>
      </c>
      <c r="U1417" s="301">
        <v>0</v>
      </c>
      <c r="V1417" s="301">
        <v>0</v>
      </c>
      <c r="W1417" s="301">
        <v>0</v>
      </c>
      <c r="X1417" s="301">
        <v>0</v>
      </c>
      <c r="Y1417" s="301">
        <v>0</v>
      </c>
      <c r="Z1417" s="301">
        <v>0</v>
      </c>
      <c r="AA1417" s="301">
        <v>0</v>
      </c>
      <c r="AB1417" s="303">
        <v>2021</v>
      </c>
    </row>
    <row r="1418" spans="1:28" ht="35.25" customHeight="1" x14ac:dyDescent="0.5">
      <c r="A1418">
        <v>1</v>
      </c>
      <c r="B1418" s="80">
        <f>SUBTOTAL(103,$A$808:A1418)</f>
        <v>607</v>
      </c>
      <c r="C1418" s="300" t="s">
        <v>1957</v>
      </c>
      <c r="D1418" s="296">
        <f t="shared" si="60"/>
        <v>490739.4</v>
      </c>
      <c r="E1418" s="301">
        <v>0</v>
      </c>
      <c r="F1418" s="301">
        <v>0</v>
      </c>
      <c r="G1418" s="301">
        <v>0</v>
      </c>
      <c r="H1418" s="301">
        <v>0</v>
      </c>
      <c r="I1418" s="301">
        <v>0</v>
      </c>
      <c r="J1418" s="301">
        <v>0</v>
      </c>
      <c r="K1418" s="302">
        <v>0</v>
      </c>
      <c r="L1418" s="301">
        <v>0</v>
      </c>
      <c r="M1418" s="301">
        <v>0</v>
      </c>
      <c r="N1418" s="301">
        <v>0</v>
      </c>
      <c r="O1418" s="301">
        <v>490739.4</v>
      </c>
      <c r="P1418" s="301">
        <v>0</v>
      </c>
      <c r="Q1418" s="301">
        <v>0</v>
      </c>
      <c r="R1418" s="301">
        <v>0</v>
      </c>
      <c r="S1418" s="301">
        <v>0</v>
      </c>
      <c r="T1418" s="301">
        <v>0</v>
      </c>
      <c r="U1418" s="301">
        <v>0</v>
      </c>
      <c r="V1418" s="301">
        <v>0</v>
      </c>
      <c r="W1418" s="301">
        <v>0</v>
      </c>
      <c r="X1418" s="301">
        <v>0</v>
      </c>
      <c r="Y1418" s="301">
        <v>0</v>
      </c>
      <c r="Z1418" s="301">
        <v>0</v>
      </c>
      <c r="AA1418" s="301">
        <v>0</v>
      </c>
      <c r="AB1418" s="303">
        <v>2021</v>
      </c>
    </row>
    <row r="1419" spans="1:28" ht="35.25" customHeight="1" x14ac:dyDescent="0.5">
      <c r="A1419">
        <v>1</v>
      </c>
      <c r="B1419" s="80">
        <f>SUBTOTAL(103,$A$808:A1419)</f>
        <v>608</v>
      </c>
      <c r="C1419" s="300" t="s">
        <v>2852</v>
      </c>
      <c r="D1419" s="296">
        <f t="shared" si="60"/>
        <v>670000</v>
      </c>
      <c r="E1419" s="301">
        <v>0</v>
      </c>
      <c r="F1419" s="301">
        <v>0</v>
      </c>
      <c r="G1419" s="301">
        <v>0</v>
      </c>
      <c r="H1419" s="301">
        <v>0</v>
      </c>
      <c r="I1419" s="301">
        <v>0</v>
      </c>
      <c r="J1419" s="301">
        <v>0</v>
      </c>
      <c r="K1419" s="302">
        <v>0</v>
      </c>
      <c r="L1419" s="301">
        <v>0</v>
      </c>
      <c r="M1419" s="301">
        <v>0</v>
      </c>
      <c r="N1419" s="301">
        <v>0</v>
      </c>
      <c r="O1419" s="301">
        <v>670000</v>
      </c>
      <c r="P1419" s="301">
        <v>0</v>
      </c>
      <c r="Q1419" s="301">
        <v>0</v>
      </c>
      <c r="R1419" s="301">
        <v>0</v>
      </c>
      <c r="S1419" s="301">
        <v>0</v>
      </c>
      <c r="T1419" s="301">
        <v>0</v>
      </c>
      <c r="U1419" s="301">
        <v>0</v>
      </c>
      <c r="V1419" s="301">
        <v>0</v>
      </c>
      <c r="W1419" s="301">
        <v>0</v>
      </c>
      <c r="X1419" s="301">
        <v>0</v>
      </c>
      <c r="Y1419" s="301">
        <v>0</v>
      </c>
      <c r="Z1419" s="301">
        <v>0</v>
      </c>
      <c r="AA1419" s="301">
        <v>0</v>
      </c>
      <c r="AB1419" s="303">
        <v>2021</v>
      </c>
    </row>
    <row r="1420" spans="1:28" ht="35.25" customHeight="1" x14ac:dyDescent="0.5">
      <c r="A1420">
        <v>1</v>
      </c>
      <c r="B1420" s="80">
        <f>SUBTOTAL(103,$A$808:A1420)</f>
        <v>609</v>
      </c>
      <c r="C1420" s="300" t="s">
        <v>2853</v>
      </c>
      <c r="D1420" s="296">
        <f t="shared" si="60"/>
        <v>1800000</v>
      </c>
      <c r="E1420" s="301">
        <v>0</v>
      </c>
      <c r="F1420" s="301">
        <v>0</v>
      </c>
      <c r="G1420" s="301">
        <v>0</v>
      </c>
      <c r="H1420" s="301">
        <v>0</v>
      </c>
      <c r="I1420" s="301">
        <v>0</v>
      </c>
      <c r="J1420" s="301">
        <v>0</v>
      </c>
      <c r="K1420" s="302">
        <v>0</v>
      </c>
      <c r="L1420" s="301">
        <v>0</v>
      </c>
      <c r="M1420" s="301">
        <v>1800000</v>
      </c>
      <c r="N1420" s="301">
        <v>0</v>
      </c>
      <c r="O1420" s="301">
        <v>0</v>
      </c>
      <c r="P1420" s="301">
        <v>0</v>
      </c>
      <c r="Q1420" s="301">
        <v>0</v>
      </c>
      <c r="R1420" s="301">
        <v>0</v>
      </c>
      <c r="S1420" s="301">
        <v>0</v>
      </c>
      <c r="T1420" s="301">
        <v>0</v>
      </c>
      <c r="U1420" s="301">
        <v>0</v>
      </c>
      <c r="V1420" s="301">
        <v>0</v>
      </c>
      <c r="W1420" s="301">
        <v>0</v>
      </c>
      <c r="X1420" s="301">
        <v>0</v>
      </c>
      <c r="Y1420" s="301">
        <v>0</v>
      </c>
      <c r="Z1420" s="301">
        <v>0</v>
      </c>
      <c r="AA1420" s="301">
        <v>0</v>
      </c>
      <c r="AB1420" s="303">
        <v>2021</v>
      </c>
    </row>
    <row r="1421" spans="1:28" ht="35.25" customHeight="1" x14ac:dyDescent="0.5">
      <c r="A1421">
        <v>1</v>
      </c>
      <c r="B1421" s="80">
        <f>SUBTOTAL(103,$A$808:A1421)</f>
        <v>610</v>
      </c>
      <c r="C1421" s="300" t="s">
        <v>2854</v>
      </c>
      <c r="D1421" s="296">
        <f t="shared" si="60"/>
        <v>1435645.75</v>
      </c>
      <c r="E1421" s="301">
        <v>0</v>
      </c>
      <c r="F1421" s="301">
        <v>0</v>
      </c>
      <c r="G1421" s="301">
        <v>0</v>
      </c>
      <c r="H1421" s="301">
        <v>0</v>
      </c>
      <c r="I1421" s="301">
        <v>0</v>
      </c>
      <c r="J1421" s="301">
        <v>0</v>
      </c>
      <c r="K1421" s="302">
        <v>0</v>
      </c>
      <c r="L1421" s="301">
        <v>0</v>
      </c>
      <c r="M1421" s="301">
        <v>0</v>
      </c>
      <c r="N1421" s="301">
        <v>0</v>
      </c>
      <c r="O1421" s="301">
        <v>1435645.75</v>
      </c>
      <c r="P1421" s="301">
        <v>0</v>
      </c>
      <c r="Q1421" s="301">
        <v>0</v>
      </c>
      <c r="R1421" s="301">
        <v>0</v>
      </c>
      <c r="S1421" s="301">
        <v>0</v>
      </c>
      <c r="T1421" s="301">
        <v>0</v>
      </c>
      <c r="U1421" s="301">
        <v>0</v>
      </c>
      <c r="V1421" s="301">
        <v>0</v>
      </c>
      <c r="W1421" s="301">
        <v>0</v>
      </c>
      <c r="X1421" s="301">
        <v>0</v>
      </c>
      <c r="Y1421" s="301">
        <v>0</v>
      </c>
      <c r="Z1421" s="301">
        <v>0</v>
      </c>
      <c r="AA1421" s="301">
        <v>0</v>
      </c>
      <c r="AB1421" s="303">
        <v>2021</v>
      </c>
    </row>
    <row r="1422" spans="1:28" ht="35.25" customHeight="1" x14ac:dyDescent="0.5">
      <c r="A1422">
        <v>1</v>
      </c>
      <c r="B1422" s="80">
        <f>SUBTOTAL(103,$A$808:A1422)</f>
        <v>611</v>
      </c>
      <c r="C1422" s="300" t="s">
        <v>2955</v>
      </c>
      <c r="D1422" s="296">
        <f t="shared" si="60"/>
        <v>1595157.98</v>
      </c>
      <c r="E1422" s="301">
        <v>0</v>
      </c>
      <c r="F1422" s="301">
        <v>0</v>
      </c>
      <c r="G1422" s="301">
        <v>0</v>
      </c>
      <c r="H1422" s="301">
        <v>0</v>
      </c>
      <c r="I1422" s="301">
        <v>0</v>
      </c>
      <c r="J1422" s="301">
        <v>0</v>
      </c>
      <c r="K1422" s="302">
        <v>0</v>
      </c>
      <c r="L1422" s="301">
        <v>0</v>
      </c>
      <c r="M1422" s="301">
        <v>1595157.98</v>
      </c>
      <c r="N1422" s="301">
        <v>0</v>
      </c>
      <c r="O1422" s="301">
        <v>0</v>
      </c>
      <c r="P1422" s="301">
        <v>0</v>
      </c>
      <c r="Q1422" s="301">
        <v>0</v>
      </c>
      <c r="R1422" s="301">
        <v>0</v>
      </c>
      <c r="S1422" s="301">
        <v>0</v>
      </c>
      <c r="T1422" s="301">
        <v>0</v>
      </c>
      <c r="U1422" s="301">
        <v>0</v>
      </c>
      <c r="V1422" s="301">
        <v>0</v>
      </c>
      <c r="W1422" s="301">
        <v>0</v>
      </c>
      <c r="X1422" s="301">
        <v>0</v>
      </c>
      <c r="Y1422" s="301">
        <v>0</v>
      </c>
      <c r="Z1422" s="301">
        <v>0</v>
      </c>
      <c r="AA1422" s="301">
        <v>0</v>
      </c>
      <c r="AB1422" s="303">
        <v>2021</v>
      </c>
    </row>
    <row r="1423" spans="1:28" ht="35.25" customHeight="1" x14ac:dyDescent="0.5">
      <c r="A1423">
        <v>1</v>
      </c>
      <c r="B1423" s="80">
        <f>SUBTOTAL(103,$A$808:A1423)</f>
        <v>612</v>
      </c>
      <c r="C1423" s="300" t="s">
        <v>2235</v>
      </c>
      <c r="D1423" s="296">
        <f t="shared" si="60"/>
        <v>360762.2</v>
      </c>
      <c r="E1423" s="301">
        <v>0</v>
      </c>
      <c r="F1423" s="301">
        <v>0</v>
      </c>
      <c r="G1423" s="301">
        <v>0</v>
      </c>
      <c r="H1423" s="301">
        <v>0</v>
      </c>
      <c r="I1423" s="301">
        <v>0</v>
      </c>
      <c r="J1423" s="301">
        <v>0</v>
      </c>
      <c r="K1423" s="302">
        <v>0</v>
      </c>
      <c r="L1423" s="301">
        <v>0</v>
      </c>
      <c r="M1423" s="301">
        <v>0</v>
      </c>
      <c r="N1423" s="301">
        <v>0</v>
      </c>
      <c r="O1423" s="301">
        <v>360762.2</v>
      </c>
      <c r="P1423" s="301">
        <v>0</v>
      </c>
      <c r="Q1423" s="301">
        <v>0</v>
      </c>
      <c r="R1423" s="301">
        <v>0</v>
      </c>
      <c r="S1423" s="301">
        <v>0</v>
      </c>
      <c r="T1423" s="301">
        <v>0</v>
      </c>
      <c r="U1423" s="301">
        <v>0</v>
      </c>
      <c r="V1423" s="301">
        <v>0</v>
      </c>
      <c r="W1423" s="301">
        <v>0</v>
      </c>
      <c r="X1423" s="301">
        <v>0</v>
      </c>
      <c r="Y1423" s="301">
        <v>0</v>
      </c>
      <c r="Z1423" s="301">
        <v>0</v>
      </c>
      <c r="AA1423" s="301">
        <v>0</v>
      </c>
      <c r="AB1423" s="303">
        <v>2021</v>
      </c>
    </row>
    <row r="1424" spans="1:28" ht="35.25" customHeight="1" x14ac:dyDescent="0.5">
      <c r="A1424">
        <v>1</v>
      </c>
      <c r="B1424" s="80">
        <f>SUBTOTAL(103,$A$808:A1424)</f>
        <v>613</v>
      </c>
      <c r="C1424" s="300" t="s">
        <v>2956</v>
      </c>
      <c r="D1424" s="296">
        <f t="shared" si="60"/>
        <v>1340568.31</v>
      </c>
      <c r="E1424" s="301">
        <v>0</v>
      </c>
      <c r="F1424" s="301">
        <v>0</v>
      </c>
      <c r="G1424" s="301">
        <v>0</v>
      </c>
      <c r="H1424" s="301">
        <v>0</v>
      </c>
      <c r="I1424" s="301">
        <v>0</v>
      </c>
      <c r="J1424" s="301">
        <v>0</v>
      </c>
      <c r="K1424" s="302">
        <v>0</v>
      </c>
      <c r="L1424" s="301">
        <v>0</v>
      </c>
      <c r="M1424" s="301">
        <v>1340568.31</v>
      </c>
      <c r="N1424" s="301">
        <v>0</v>
      </c>
      <c r="O1424" s="301">
        <v>0</v>
      </c>
      <c r="P1424" s="301">
        <v>0</v>
      </c>
      <c r="Q1424" s="301">
        <v>0</v>
      </c>
      <c r="R1424" s="301">
        <v>0</v>
      </c>
      <c r="S1424" s="301">
        <v>0</v>
      </c>
      <c r="T1424" s="301">
        <v>0</v>
      </c>
      <c r="U1424" s="301">
        <v>0</v>
      </c>
      <c r="V1424" s="301">
        <v>0</v>
      </c>
      <c r="W1424" s="301">
        <v>0</v>
      </c>
      <c r="X1424" s="301">
        <v>0</v>
      </c>
      <c r="Y1424" s="301">
        <v>0</v>
      </c>
      <c r="Z1424" s="301">
        <v>0</v>
      </c>
      <c r="AA1424" s="301">
        <v>0</v>
      </c>
      <c r="AB1424" s="303">
        <v>2021</v>
      </c>
    </row>
    <row r="1425" spans="1:28" ht="35.25" customHeight="1" x14ac:dyDescent="0.5">
      <c r="A1425">
        <v>1</v>
      </c>
      <c r="B1425" s="80">
        <f>SUBTOTAL(103,$A$808:A1425)</f>
        <v>614</v>
      </c>
      <c r="C1425" s="300" t="s">
        <v>1692</v>
      </c>
      <c r="D1425" s="296">
        <f t="shared" si="60"/>
        <v>346631</v>
      </c>
      <c r="E1425" s="301">
        <v>0</v>
      </c>
      <c r="F1425" s="301">
        <v>0</v>
      </c>
      <c r="G1425" s="301">
        <v>346631</v>
      </c>
      <c r="H1425" s="301">
        <v>0</v>
      </c>
      <c r="I1425" s="301">
        <v>0</v>
      </c>
      <c r="J1425" s="301">
        <v>0</v>
      </c>
      <c r="K1425" s="302">
        <v>0</v>
      </c>
      <c r="L1425" s="301">
        <v>0</v>
      </c>
      <c r="M1425" s="301">
        <v>0</v>
      </c>
      <c r="N1425" s="301">
        <v>0</v>
      </c>
      <c r="O1425" s="301">
        <v>0</v>
      </c>
      <c r="P1425" s="301">
        <v>0</v>
      </c>
      <c r="Q1425" s="301">
        <v>0</v>
      </c>
      <c r="R1425" s="301">
        <v>0</v>
      </c>
      <c r="S1425" s="301">
        <v>0</v>
      </c>
      <c r="T1425" s="301">
        <v>0</v>
      </c>
      <c r="U1425" s="301">
        <v>0</v>
      </c>
      <c r="V1425" s="301">
        <v>0</v>
      </c>
      <c r="W1425" s="301">
        <v>0</v>
      </c>
      <c r="X1425" s="301">
        <v>0</v>
      </c>
      <c r="Y1425" s="301">
        <v>0</v>
      </c>
      <c r="Z1425" s="301">
        <v>0</v>
      </c>
      <c r="AA1425" s="301">
        <v>0</v>
      </c>
      <c r="AB1425" s="303" t="s">
        <v>2981</v>
      </c>
    </row>
    <row r="1426" spans="1:28" ht="35.25" customHeight="1" x14ac:dyDescent="0.5">
      <c r="A1426">
        <v>1</v>
      </c>
      <c r="B1426" s="80">
        <f>SUBTOTAL(103,$A$808:A1426)</f>
        <v>615</v>
      </c>
      <c r="C1426" s="300" t="s">
        <v>3084</v>
      </c>
      <c r="D1426" s="296">
        <f t="shared" si="60"/>
        <v>378807</v>
      </c>
      <c r="E1426" s="301">
        <v>0</v>
      </c>
      <c r="F1426" s="301">
        <v>0</v>
      </c>
      <c r="G1426" s="301">
        <v>0</v>
      </c>
      <c r="H1426" s="301">
        <v>0</v>
      </c>
      <c r="I1426" s="301">
        <v>0</v>
      </c>
      <c r="J1426" s="301">
        <v>0</v>
      </c>
      <c r="K1426" s="302">
        <v>0</v>
      </c>
      <c r="L1426" s="301">
        <v>0</v>
      </c>
      <c r="M1426" s="301">
        <v>0</v>
      </c>
      <c r="N1426" s="301">
        <v>0</v>
      </c>
      <c r="O1426" s="301">
        <v>378807</v>
      </c>
      <c r="P1426" s="301">
        <v>0</v>
      </c>
      <c r="Q1426" s="301">
        <v>0</v>
      </c>
      <c r="R1426" s="301">
        <v>0</v>
      </c>
      <c r="S1426" s="301">
        <v>0</v>
      </c>
      <c r="T1426" s="301">
        <v>0</v>
      </c>
      <c r="U1426" s="301">
        <v>0</v>
      </c>
      <c r="V1426" s="301">
        <v>0</v>
      </c>
      <c r="W1426" s="301">
        <v>0</v>
      </c>
      <c r="X1426" s="301">
        <v>0</v>
      </c>
      <c r="Y1426" s="301">
        <v>0</v>
      </c>
      <c r="Z1426" s="301">
        <v>0</v>
      </c>
      <c r="AA1426" s="301">
        <v>0</v>
      </c>
      <c r="AB1426" s="303" t="s">
        <v>2981</v>
      </c>
    </row>
    <row r="1427" spans="1:28" ht="35.25" customHeight="1" x14ac:dyDescent="0.5">
      <c r="A1427">
        <v>1</v>
      </c>
      <c r="B1427" s="80">
        <f>SUBTOTAL(103,$A$808:A1427)</f>
        <v>616</v>
      </c>
      <c r="C1427" s="300" t="s">
        <v>2978</v>
      </c>
      <c r="D1427" s="296">
        <f t="shared" si="60"/>
        <v>445984</v>
      </c>
      <c r="E1427" s="301">
        <v>0</v>
      </c>
      <c r="F1427" s="301">
        <v>0</v>
      </c>
      <c r="G1427" s="301">
        <v>0</v>
      </c>
      <c r="H1427" s="301">
        <v>73496</v>
      </c>
      <c r="I1427" s="301">
        <v>0</v>
      </c>
      <c r="J1427" s="301">
        <v>0</v>
      </c>
      <c r="K1427" s="302">
        <v>0</v>
      </c>
      <c r="L1427" s="301">
        <v>0</v>
      </c>
      <c r="M1427" s="301">
        <v>0</v>
      </c>
      <c r="N1427" s="301">
        <v>0</v>
      </c>
      <c r="O1427" s="301">
        <v>372488</v>
      </c>
      <c r="P1427" s="301">
        <v>0</v>
      </c>
      <c r="Q1427" s="301">
        <v>0</v>
      </c>
      <c r="R1427" s="301">
        <v>0</v>
      </c>
      <c r="S1427" s="301">
        <v>0</v>
      </c>
      <c r="T1427" s="301">
        <v>0</v>
      </c>
      <c r="U1427" s="301">
        <v>0</v>
      </c>
      <c r="V1427" s="301">
        <v>0</v>
      </c>
      <c r="W1427" s="301">
        <v>0</v>
      </c>
      <c r="X1427" s="301">
        <v>0</v>
      </c>
      <c r="Y1427" s="301">
        <v>0</v>
      </c>
      <c r="Z1427" s="301">
        <v>0</v>
      </c>
      <c r="AA1427" s="301">
        <v>0</v>
      </c>
      <c r="AB1427" s="303" t="s">
        <v>2981</v>
      </c>
    </row>
    <row r="1428" spans="1:28" ht="35.25" customHeight="1" x14ac:dyDescent="0.5">
      <c r="A1428">
        <v>1</v>
      </c>
      <c r="B1428" s="80">
        <f>SUBTOTAL(103,$A$808:A1428)</f>
        <v>617</v>
      </c>
      <c r="C1428" s="300" t="s">
        <v>1964</v>
      </c>
      <c r="D1428" s="296">
        <f t="shared" si="60"/>
        <v>329346</v>
      </c>
      <c r="E1428" s="301">
        <v>0</v>
      </c>
      <c r="F1428" s="301">
        <v>0</v>
      </c>
      <c r="G1428" s="301">
        <v>0</v>
      </c>
      <c r="H1428" s="301">
        <v>0</v>
      </c>
      <c r="I1428" s="301">
        <v>0</v>
      </c>
      <c r="J1428" s="301">
        <v>0</v>
      </c>
      <c r="K1428" s="302">
        <v>0</v>
      </c>
      <c r="L1428" s="301">
        <v>0</v>
      </c>
      <c r="M1428" s="301">
        <v>329346</v>
      </c>
      <c r="N1428" s="301">
        <v>0</v>
      </c>
      <c r="O1428" s="301">
        <v>0</v>
      </c>
      <c r="P1428" s="301">
        <v>0</v>
      </c>
      <c r="Q1428" s="301">
        <v>0</v>
      </c>
      <c r="R1428" s="301">
        <v>0</v>
      </c>
      <c r="S1428" s="301">
        <v>0</v>
      </c>
      <c r="T1428" s="301">
        <v>0</v>
      </c>
      <c r="U1428" s="301">
        <v>0</v>
      </c>
      <c r="V1428" s="301">
        <v>0</v>
      </c>
      <c r="W1428" s="301">
        <v>0</v>
      </c>
      <c r="X1428" s="301">
        <v>0</v>
      </c>
      <c r="Y1428" s="301">
        <v>0</v>
      </c>
      <c r="Z1428" s="301">
        <v>0</v>
      </c>
      <c r="AA1428" s="301">
        <v>0</v>
      </c>
      <c r="AB1428" s="303" t="s">
        <v>2981</v>
      </c>
    </row>
    <row r="1429" spans="1:28" ht="35.25" customHeight="1" x14ac:dyDescent="0.5">
      <c r="A1429">
        <v>1</v>
      </c>
      <c r="B1429" s="80">
        <f>SUBTOTAL(103,$A$808:A1429)</f>
        <v>618</v>
      </c>
      <c r="C1429" s="300" t="s">
        <v>2708</v>
      </c>
      <c r="D1429" s="296">
        <f t="shared" si="60"/>
        <v>403700</v>
      </c>
      <c r="E1429" s="301">
        <v>0</v>
      </c>
      <c r="F1429" s="301">
        <v>0</v>
      </c>
      <c r="G1429" s="301">
        <v>0</v>
      </c>
      <c r="H1429" s="301">
        <v>0</v>
      </c>
      <c r="I1429" s="301">
        <v>0</v>
      </c>
      <c r="J1429" s="301">
        <v>403700</v>
      </c>
      <c r="K1429" s="302">
        <v>0</v>
      </c>
      <c r="L1429" s="301">
        <v>0</v>
      </c>
      <c r="M1429" s="301">
        <v>0</v>
      </c>
      <c r="N1429" s="301">
        <v>0</v>
      </c>
      <c r="O1429" s="301">
        <v>0</v>
      </c>
      <c r="P1429" s="301">
        <v>0</v>
      </c>
      <c r="Q1429" s="301">
        <v>0</v>
      </c>
      <c r="R1429" s="301">
        <v>0</v>
      </c>
      <c r="S1429" s="301">
        <v>0</v>
      </c>
      <c r="T1429" s="301">
        <v>0</v>
      </c>
      <c r="U1429" s="301">
        <v>0</v>
      </c>
      <c r="V1429" s="301">
        <v>0</v>
      </c>
      <c r="W1429" s="301">
        <v>0</v>
      </c>
      <c r="X1429" s="301">
        <v>0</v>
      </c>
      <c r="Y1429" s="301">
        <v>0</v>
      </c>
      <c r="Z1429" s="301">
        <v>0</v>
      </c>
      <c r="AA1429" s="301">
        <v>0</v>
      </c>
      <c r="AB1429" s="303" t="s">
        <v>2981</v>
      </c>
    </row>
    <row r="1430" spans="1:28" ht="35.25" customHeight="1" x14ac:dyDescent="0.5">
      <c r="A1430">
        <v>1</v>
      </c>
      <c r="B1430" s="80">
        <f>SUBTOTAL(103,$A$808:A1430)</f>
        <v>619</v>
      </c>
      <c r="C1430" s="300" t="s">
        <v>1966</v>
      </c>
      <c r="D1430" s="296">
        <f t="shared" si="60"/>
        <v>182778.38</v>
      </c>
      <c r="E1430" s="301">
        <v>0</v>
      </c>
      <c r="F1430" s="301">
        <v>0</v>
      </c>
      <c r="G1430" s="301">
        <v>182778.38</v>
      </c>
      <c r="H1430" s="301">
        <v>0</v>
      </c>
      <c r="I1430" s="301">
        <v>0</v>
      </c>
      <c r="J1430" s="301">
        <v>0</v>
      </c>
      <c r="K1430" s="302">
        <v>0</v>
      </c>
      <c r="L1430" s="301">
        <v>0</v>
      </c>
      <c r="M1430" s="301">
        <v>0</v>
      </c>
      <c r="N1430" s="301">
        <v>0</v>
      </c>
      <c r="O1430" s="301">
        <v>0</v>
      </c>
      <c r="P1430" s="301">
        <v>0</v>
      </c>
      <c r="Q1430" s="301">
        <v>0</v>
      </c>
      <c r="R1430" s="301">
        <v>0</v>
      </c>
      <c r="S1430" s="301">
        <v>0</v>
      </c>
      <c r="T1430" s="301">
        <v>0</v>
      </c>
      <c r="U1430" s="301">
        <v>0</v>
      </c>
      <c r="V1430" s="301">
        <v>0</v>
      </c>
      <c r="W1430" s="301">
        <v>0</v>
      </c>
      <c r="X1430" s="301">
        <v>0</v>
      </c>
      <c r="Y1430" s="301">
        <v>0</v>
      </c>
      <c r="Z1430" s="301">
        <v>0</v>
      </c>
      <c r="AA1430" s="301">
        <v>0</v>
      </c>
      <c r="AB1430" s="303" t="s">
        <v>2981</v>
      </c>
    </row>
    <row r="1431" spans="1:28" ht="35.25" customHeight="1" x14ac:dyDescent="0.5">
      <c r="A1431">
        <v>1</v>
      </c>
      <c r="B1431" s="80">
        <f>SUBTOTAL(103,$A$808:A1431)</f>
        <v>620</v>
      </c>
      <c r="C1431" s="300" t="s">
        <v>3085</v>
      </c>
      <c r="D1431" s="296">
        <f t="shared" si="60"/>
        <v>1668882</v>
      </c>
      <c r="E1431" s="301">
        <v>0</v>
      </c>
      <c r="F1431" s="301">
        <v>0</v>
      </c>
      <c r="G1431" s="301">
        <v>0</v>
      </c>
      <c r="H1431" s="301">
        <v>0</v>
      </c>
      <c r="I1431" s="301">
        <v>0</v>
      </c>
      <c r="J1431" s="301">
        <v>0</v>
      </c>
      <c r="K1431" s="302">
        <v>0</v>
      </c>
      <c r="L1431" s="301">
        <v>0</v>
      </c>
      <c r="M1431" s="301">
        <v>1668882</v>
      </c>
      <c r="N1431" s="301">
        <v>0</v>
      </c>
      <c r="O1431" s="301">
        <v>0</v>
      </c>
      <c r="P1431" s="301">
        <v>0</v>
      </c>
      <c r="Q1431" s="301">
        <v>0</v>
      </c>
      <c r="R1431" s="301">
        <v>0</v>
      </c>
      <c r="S1431" s="301">
        <v>0</v>
      </c>
      <c r="T1431" s="301">
        <v>0</v>
      </c>
      <c r="U1431" s="301">
        <v>0</v>
      </c>
      <c r="V1431" s="301">
        <v>0</v>
      </c>
      <c r="W1431" s="301">
        <v>0</v>
      </c>
      <c r="X1431" s="301">
        <v>0</v>
      </c>
      <c r="Y1431" s="301">
        <v>0</v>
      </c>
      <c r="Z1431" s="301">
        <v>0</v>
      </c>
      <c r="AA1431" s="301">
        <v>0</v>
      </c>
      <c r="AB1431" s="303" t="s">
        <v>2981</v>
      </c>
    </row>
    <row r="1432" spans="1:28" ht="35.25" customHeight="1" x14ac:dyDescent="0.5">
      <c r="A1432">
        <v>1</v>
      </c>
      <c r="B1432" s="80">
        <f>SUBTOTAL(103,$A$808:A1432)</f>
        <v>621</v>
      </c>
      <c r="C1432" s="300" t="s">
        <v>3086</v>
      </c>
      <c r="D1432" s="296">
        <f t="shared" si="60"/>
        <v>847598</v>
      </c>
      <c r="E1432" s="301">
        <v>0</v>
      </c>
      <c r="F1432" s="301">
        <v>0</v>
      </c>
      <c r="G1432" s="301">
        <v>0</v>
      </c>
      <c r="H1432" s="301">
        <v>0</v>
      </c>
      <c r="I1432" s="301">
        <v>0</v>
      </c>
      <c r="J1432" s="301">
        <v>0</v>
      </c>
      <c r="K1432" s="302">
        <v>0</v>
      </c>
      <c r="L1432" s="301">
        <v>0</v>
      </c>
      <c r="M1432" s="301">
        <v>847598</v>
      </c>
      <c r="N1432" s="301">
        <v>0</v>
      </c>
      <c r="O1432" s="301">
        <v>0</v>
      </c>
      <c r="P1432" s="301">
        <v>0</v>
      </c>
      <c r="Q1432" s="301">
        <v>0</v>
      </c>
      <c r="R1432" s="301">
        <v>0</v>
      </c>
      <c r="S1432" s="301">
        <v>0</v>
      </c>
      <c r="T1432" s="301">
        <v>0</v>
      </c>
      <c r="U1432" s="301">
        <v>0</v>
      </c>
      <c r="V1432" s="301">
        <v>0</v>
      </c>
      <c r="W1432" s="301">
        <v>0</v>
      </c>
      <c r="X1432" s="301">
        <v>0</v>
      </c>
      <c r="Y1432" s="301">
        <v>0</v>
      </c>
      <c r="Z1432" s="301">
        <v>0</v>
      </c>
      <c r="AA1432" s="301">
        <v>0</v>
      </c>
      <c r="AB1432" s="303" t="s">
        <v>2981</v>
      </c>
    </row>
    <row r="1433" spans="1:28" ht="35.25" customHeight="1" x14ac:dyDescent="0.5">
      <c r="A1433">
        <v>1</v>
      </c>
      <c r="B1433" s="80">
        <f>SUBTOTAL(103,$A$808:A1433)</f>
        <v>622</v>
      </c>
      <c r="C1433" s="300" t="s">
        <v>3087</v>
      </c>
      <c r="D1433" s="296">
        <f t="shared" si="60"/>
        <v>326065</v>
      </c>
      <c r="E1433" s="301">
        <v>0</v>
      </c>
      <c r="F1433" s="301">
        <v>0</v>
      </c>
      <c r="G1433" s="301">
        <v>0</v>
      </c>
      <c r="H1433" s="301">
        <v>0</v>
      </c>
      <c r="I1433" s="301">
        <v>326065</v>
      </c>
      <c r="J1433" s="301">
        <v>0</v>
      </c>
      <c r="K1433" s="302">
        <v>0</v>
      </c>
      <c r="L1433" s="301">
        <v>0</v>
      </c>
      <c r="M1433" s="301">
        <v>0</v>
      </c>
      <c r="N1433" s="301">
        <v>0</v>
      </c>
      <c r="O1433" s="301">
        <v>0</v>
      </c>
      <c r="P1433" s="301">
        <v>0</v>
      </c>
      <c r="Q1433" s="301">
        <v>0</v>
      </c>
      <c r="R1433" s="301">
        <v>0</v>
      </c>
      <c r="S1433" s="301">
        <v>0</v>
      </c>
      <c r="T1433" s="301">
        <v>0</v>
      </c>
      <c r="U1433" s="301">
        <v>0</v>
      </c>
      <c r="V1433" s="301">
        <v>0</v>
      </c>
      <c r="W1433" s="301">
        <v>0</v>
      </c>
      <c r="X1433" s="301">
        <v>0</v>
      </c>
      <c r="Y1433" s="301">
        <v>0</v>
      </c>
      <c r="Z1433" s="301">
        <v>0</v>
      </c>
      <c r="AA1433" s="301">
        <v>0</v>
      </c>
      <c r="AB1433" s="303" t="s">
        <v>2981</v>
      </c>
    </row>
    <row r="1434" spans="1:28" ht="35.25" customHeight="1" x14ac:dyDescent="0.5">
      <c r="A1434">
        <v>1</v>
      </c>
      <c r="B1434" s="80">
        <f>SUBTOTAL(103,$A$808:A1434)</f>
        <v>623</v>
      </c>
      <c r="C1434" s="300" t="s">
        <v>3088</v>
      </c>
      <c r="D1434" s="296">
        <f t="shared" si="60"/>
        <v>392648</v>
      </c>
      <c r="E1434" s="301">
        <v>0</v>
      </c>
      <c r="F1434" s="301">
        <v>0</v>
      </c>
      <c r="G1434" s="301">
        <v>0</v>
      </c>
      <c r="H1434" s="301">
        <v>0</v>
      </c>
      <c r="I1434" s="301">
        <v>0</v>
      </c>
      <c r="J1434" s="301">
        <v>0</v>
      </c>
      <c r="K1434" s="302">
        <v>0</v>
      </c>
      <c r="L1434" s="301">
        <v>0</v>
      </c>
      <c r="M1434" s="301">
        <v>0</v>
      </c>
      <c r="N1434" s="301">
        <v>0</v>
      </c>
      <c r="O1434" s="301">
        <v>392648</v>
      </c>
      <c r="P1434" s="301">
        <v>0</v>
      </c>
      <c r="Q1434" s="301">
        <v>0</v>
      </c>
      <c r="R1434" s="301">
        <v>0</v>
      </c>
      <c r="S1434" s="301">
        <v>0</v>
      </c>
      <c r="T1434" s="301">
        <v>0</v>
      </c>
      <c r="U1434" s="301">
        <v>0</v>
      </c>
      <c r="V1434" s="301">
        <v>0</v>
      </c>
      <c r="W1434" s="301">
        <v>0</v>
      </c>
      <c r="X1434" s="301">
        <v>0</v>
      </c>
      <c r="Y1434" s="301">
        <v>0</v>
      </c>
      <c r="Z1434" s="301">
        <v>0</v>
      </c>
      <c r="AA1434" s="301">
        <v>0</v>
      </c>
      <c r="AB1434" s="303" t="s">
        <v>2981</v>
      </c>
    </row>
    <row r="1435" spans="1:28" ht="35.25" customHeight="1" x14ac:dyDescent="0.5">
      <c r="A1435">
        <v>1</v>
      </c>
      <c r="B1435" s="80">
        <f>SUBTOTAL(103,$A$808:A1435)</f>
        <v>624</v>
      </c>
      <c r="C1435" s="300" t="s">
        <v>3089</v>
      </c>
      <c r="D1435" s="296">
        <f t="shared" si="60"/>
        <v>748910.22</v>
      </c>
      <c r="E1435" s="301">
        <v>0</v>
      </c>
      <c r="F1435" s="301">
        <v>0</v>
      </c>
      <c r="G1435" s="301">
        <v>0</v>
      </c>
      <c r="H1435" s="301">
        <v>0</v>
      </c>
      <c r="I1435" s="301">
        <v>0</v>
      </c>
      <c r="J1435" s="301">
        <v>0</v>
      </c>
      <c r="K1435" s="302">
        <v>0</v>
      </c>
      <c r="L1435" s="301">
        <v>0</v>
      </c>
      <c r="M1435" s="301">
        <v>748910.22</v>
      </c>
      <c r="N1435" s="301">
        <v>0</v>
      </c>
      <c r="O1435" s="301">
        <v>0</v>
      </c>
      <c r="P1435" s="301">
        <v>0</v>
      </c>
      <c r="Q1435" s="301">
        <v>0</v>
      </c>
      <c r="R1435" s="301">
        <v>0</v>
      </c>
      <c r="S1435" s="301">
        <v>0</v>
      </c>
      <c r="T1435" s="301">
        <v>0</v>
      </c>
      <c r="U1435" s="301">
        <v>0</v>
      </c>
      <c r="V1435" s="301">
        <v>0</v>
      </c>
      <c r="W1435" s="301">
        <v>0</v>
      </c>
      <c r="X1435" s="301">
        <v>0</v>
      </c>
      <c r="Y1435" s="301">
        <v>0</v>
      </c>
      <c r="Z1435" s="301">
        <v>0</v>
      </c>
      <c r="AA1435" s="301">
        <v>0</v>
      </c>
      <c r="AB1435" s="303" t="s">
        <v>2981</v>
      </c>
    </row>
    <row r="1436" spans="1:28" ht="35.25" customHeight="1" x14ac:dyDescent="0.5">
      <c r="A1436">
        <v>1</v>
      </c>
      <c r="B1436" s="80">
        <f>SUBTOTAL(103,$A$808:A1436)</f>
        <v>625</v>
      </c>
      <c r="C1436" s="300" t="s">
        <v>3376</v>
      </c>
      <c r="D1436" s="296">
        <f t="shared" si="60"/>
        <v>33286</v>
      </c>
      <c r="E1436" s="301">
        <v>33286</v>
      </c>
      <c r="F1436" s="301">
        <v>0</v>
      </c>
      <c r="G1436" s="301">
        <v>0</v>
      </c>
      <c r="H1436" s="301">
        <v>0</v>
      </c>
      <c r="I1436" s="301">
        <v>0</v>
      </c>
      <c r="J1436" s="301">
        <v>0</v>
      </c>
      <c r="K1436" s="302">
        <v>0</v>
      </c>
      <c r="L1436" s="301">
        <v>0</v>
      </c>
      <c r="M1436" s="301">
        <v>0</v>
      </c>
      <c r="N1436" s="301">
        <v>0</v>
      </c>
      <c r="O1436" s="301">
        <v>0</v>
      </c>
      <c r="P1436" s="301">
        <v>0</v>
      </c>
      <c r="Q1436" s="301">
        <v>0</v>
      </c>
      <c r="R1436" s="301">
        <v>0</v>
      </c>
      <c r="S1436" s="301">
        <v>0</v>
      </c>
      <c r="T1436" s="301">
        <v>0</v>
      </c>
      <c r="U1436" s="301">
        <v>0</v>
      </c>
      <c r="V1436" s="301">
        <v>0</v>
      </c>
      <c r="W1436" s="301">
        <v>0</v>
      </c>
      <c r="X1436" s="301">
        <v>0</v>
      </c>
      <c r="Y1436" s="301">
        <v>0</v>
      </c>
      <c r="Z1436" s="301">
        <v>0</v>
      </c>
      <c r="AA1436" s="301">
        <v>0</v>
      </c>
      <c r="AB1436" s="303" t="s">
        <v>2981</v>
      </c>
    </row>
    <row r="1437" spans="1:28" ht="35.25" customHeight="1" x14ac:dyDescent="0.5">
      <c r="A1437">
        <v>1</v>
      </c>
      <c r="B1437" s="80">
        <f>SUBTOTAL(103,$A$808:A1437)</f>
        <v>626</v>
      </c>
      <c r="C1437" s="300" t="s">
        <v>3090</v>
      </c>
      <c r="D1437" s="296">
        <f t="shared" si="60"/>
        <v>2613898</v>
      </c>
      <c r="E1437" s="301">
        <v>0</v>
      </c>
      <c r="F1437" s="301">
        <v>0</v>
      </c>
      <c r="G1437" s="301">
        <v>0</v>
      </c>
      <c r="H1437" s="301">
        <v>0</v>
      </c>
      <c r="I1437" s="301">
        <v>0</v>
      </c>
      <c r="J1437" s="301">
        <v>0</v>
      </c>
      <c r="K1437" s="302">
        <v>0</v>
      </c>
      <c r="L1437" s="301">
        <v>0</v>
      </c>
      <c r="M1437" s="301">
        <v>2613898</v>
      </c>
      <c r="N1437" s="301">
        <v>0</v>
      </c>
      <c r="O1437" s="301">
        <v>0</v>
      </c>
      <c r="P1437" s="301">
        <v>0</v>
      </c>
      <c r="Q1437" s="301">
        <v>0</v>
      </c>
      <c r="R1437" s="301">
        <v>0</v>
      </c>
      <c r="S1437" s="301">
        <v>0</v>
      </c>
      <c r="T1437" s="301">
        <v>0</v>
      </c>
      <c r="U1437" s="301">
        <v>0</v>
      </c>
      <c r="V1437" s="301">
        <v>0</v>
      </c>
      <c r="W1437" s="301">
        <v>0</v>
      </c>
      <c r="X1437" s="301">
        <v>0</v>
      </c>
      <c r="Y1437" s="301">
        <v>0</v>
      </c>
      <c r="Z1437" s="301">
        <v>0</v>
      </c>
      <c r="AA1437" s="301">
        <v>0</v>
      </c>
      <c r="AB1437" s="303" t="s">
        <v>2981</v>
      </c>
    </row>
    <row r="1438" spans="1:28" ht="35.25" customHeight="1" x14ac:dyDescent="0.5">
      <c r="A1438">
        <v>1</v>
      </c>
      <c r="B1438" s="80">
        <f>SUBTOTAL(103,$A$808:A1438)</f>
        <v>627</v>
      </c>
      <c r="C1438" s="300" t="s">
        <v>3091</v>
      </c>
      <c r="D1438" s="296">
        <f t="shared" si="60"/>
        <v>540387</v>
      </c>
      <c r="E1438" s="301">
        <v>0</v>
      </c>
      <c r="F1438" s="301">
        <v>0</v>
      </c>
      <c r="G1438" s="301">
        <v>0</v>
      </c>
      <c r="H1438" s="301">
        <v>0</v>
      </c>
      <c r="I1438" s="301">
        <v>0</v>
      </c>
      <c r="J1438" s="301">
        <v>0</v>
      </c>
      <c r="K1438" s="302">
        <v>0</v>
      </c>
      <c r="L1438" s="301">
        <v>0</v>
      </c>
      <c r="M1438" s="301">
        <v>540387</v>
      </c>
      <c r="N1438" s="301">
        <v>0</v>
      </c>
      <c r="O1438" s="301">
        <v>0</v>
      </c>
      <c r="P1438" s="301">
        <v>0</v>
      </c>
      <c r="Q1438" s="301">
        <v>0</v>
      </c>
      <c r="R1438" s="301">
        <v>0</v>
      </c>
      <c r="S1438" s="301">
        <v>0</v>
      </c>
      <c r="T1438" s="301">
        <v>0</v>
      </c>
      <c r="U1438" s="301">
        <v>0</v>
      </c>
      <c r="V1438" s="301">
        <v>0</v>
      </c>
      <c r="W1438" s="301">
        <v>0</v>
      </c>
      <c r="X1438" s="301">
        <v>0</v>
      </c>
      <c r="Y1438" s="301">
        <v>0</v>
      </c>
      <c r="Z1438" s="301">
        <v>0</v>
      </c>
      <c r="AA1438" s="301">
        <v>0</v>
      </c>
      <c r="AB1438" s="303" t="s">
        <v>2981</v>
      </c>
    </row>
    <row r="1439" spans="1:28" ht="35.25" customHeight="1" x14ac:dyDescent="0.5">
      <c r="A1439">
        <v>1</v>
      </c>
      <c r="B1439" s="80">
        <f>SUBTOTAL(103,$A$808:A1439)</f>
        <v>628</v>
      </c>
      <c r="C1439" s="300" t="s">
        <v>3385</v>
      </c>
      <c r="D1439" s="296">
        <f t="shared" si="60"/>
        <v>630000</v>
      </c>
      <c r="E1439" s="301">
        <v>0</v>
      </c>
      <c r="F1439" s="301">
        <v>0</v>
      </c>
      <c r="G1439" s="301">
        <v>0</v>
      </c>
      <c r="H1439" s="301">
        <v>0</v>
      </c>
      <c r="I1439" s="301">
        <v>0</v>
      </c>
      <c r="J1439" s="301">
        <v>0</v>
      </c>
      <c r="K1439" s="302">
        <v>0</v>
      </c>
      <c r="L1439" s="301">
        <v>0</v>
      </c>
      <c r="M1439" s="301">
        <v>0</v>
      </c>
      <c r="N1439" s="301">
        <v>0</v>
      </c>
      <c r="O1439" s="301">
        <v>630000</v>
      </c>
      <c r="P1439" s="301">
        <v>0</v>
      </c>
      <c r="Q1439" s="301">
        <v>0</v>
      </c>
      <c r="R1439" s="301">
        <v>0</v>
      </c>
      <c r="S1439" s="301">
        <v>0</v>
      </c>
      <c r="T1439" s="301">
        <v>0</v>
      </c>
      <c r="U1439" s="301">
        <v>0</v>
      </c>
      <c r="V1439" s="301">
        <v>0</v>
      </c>
      <c r="W1439" s="301">
        <v>0</v>
      </c>
      <c r="X1439" s="301">
        <v>0</v>
      </c>
      <c r="Y1439" s="301">
        <v>0</v>
      </c>
      <c r="Z1439" s="301">
        <v>0</v>
      </c>
      <c r="AA1439" s="301">
        <v>0</v>
      </c>
      <c r="AB1439" s="303" t="s">
        <v>2981</v>
      </c>
    </row>
    <row r="1440" spans="1:28" ht="35.25" customHeight="1" x14ac:dyDescent="0.5">
      <c r="A1440">
        <v>1</v>
      </c>
      <c r="B1440" s="80">
        <f>SUBTOTAL(103,$A$808:A1440)</f>
        <v>629</v>
      </c>
      <c r="C1440" s="300" t="s">
        <v>3092</v>
      </c>
      <c r="D1440" s="296">
        <f t="shared" si="60"/>
        <v>611000</v>
      </c>
      <c r="E1440" s="301">
        <v>0</v>
      </c>
      <c r="F1440" s="301">
        <v>0</v>
      </c>
      <c r="G1440" s="301">
        <v>611000</v>
      </c>
      <c r="H1440" s="301">
        <v>0</v>
      </c>
      <c r="I1440" s="301">
        <v>0</v>
      </c>
      <c r="J1440" s="301">
        <v>0</v>
      </c>
      <c r="K1440" s="302">
        <v>0</v>
      </c>
      <c r="L1440" s="301">
        <v>0</v>
      </c>
      <c r="M1440" s="301">
        <v>0</v>
      </c>
      <c r="N1440" s="301">
        <v>0</v>
      </c>
      <c r="O1440" s="301">
        <v>0</v>
      </c>
      <c r="P1440" s="301">
        <v>0</v>
      </c>
      <c r="Q1440" s="301">
        <v>0</v>
      </c>
      <c r="R1440" s="301">
        <v>0</v>
      </c>
      <c r="S1440" s="301">
        <v>0</v>
      </c>
      <c r="T1440" s="301">
        <v>0</v>
      </c>
      <c r="U1440" s="301">
        <v>0</v>
      </c>
      <c r="V1440" s="301">
        <v>0</v>
      </c>
      <c r="W1440" s="301">
        <v>0</v>
      </c>
      <c r="X1440" s="301">
        <v>0</v>
      </c>
      <c r="Y1440" s="301">
        <v>0</v>
      </c>
      <c r="Z1440" s="301">
        <v>0</v>
      </c>
      <c r="AA1440" s="301">
        <v>0</v>
      </c>
      <c r="AB1440" s="303" t="s">
        <v>2981</v>
      </c>
    </row>
    <row r="1441" spans="1:28" ht="35.25" customHeight="1" x14ac:dyDescent="0.5">
      <c r="A1441">
        <v>1</v>
      </c>
      <c r="B1441" s="80">
        <f>SUBTOTAL(103,$A$808:A1441)</f>
        <v>630</v>
      </c>
      <c r="C1441" s="300" t="s">
        <v>3093</v>
      </c>
      <c r="D1441" s="296">
        <f t="shared" si="60"/>
        <v>592479</v>
      </c>
      <c r="E1441" s="301">
        <v>0</v>
      </c>
      <c r="F1441" s="301">
        <v>0</v>
      </c>
      <c r="G1441" s="301">
        <v>0</v>
      </c>
      <c r="H1441" s="301">
        <v>0</v>
      </c>
      <c r="I1441" s="301">
        <v>0</v>
      </c>
      <c r="J1441" s="301">
        <v>0</v>
      </c>
      <c r="K1441" s="302">
        <v>0</v>
      </c>
      <c r="L1441" s="301">
        <v>0</v>
      </c>
      <c r="M1441" s="301">
        <v>0</v>
      </c>
      <c r="N1441" s="301">
        <v>0</v>
      </c>
      <c r="O1441" s="301">
        <v>592479</v>
      </c>
      <c r="P1441" s="301">
        <v>0</v>
      </c>
      <c r="Q1441" s="301">
        <v>0</v>
      </c>
      <c r="R1441" s="301">
        <v>0</v>
      </c>
      <c r="S1441" s="301">
        <v>0</v>
      </c>
      <c r="T1441" s="301">
        <v>0</v>
      </c>
      <c r="U1441" s="301">
        <v>0</v>
      </c>
      <c r="V1441" s="301">
        <v>0</v>
      </c>
      <c r="W1441" s="301">
        <v>0</v>
      </c>
      <c r="X1441" s="301">
        <v>0</v>
      </c>
      <c r="Y1441" s="301">
        <v>0</v>
      </c>
      <c r="Z1441" s="301">
        <v>0</v>
      </c>
      <c r="AA1441" s="301">
        <v>0</v>
      </c>
      <c r="AB1441" s="303" t="s">
        <v>2981</v>
      </c>
    </row>
    <row r="1442" spans="1:28" ht="35.25" customHeight="1" x14ac:dyDescent="0.5">
      <c r="A1442">
        <v>1</v>
      </c>
      <c r="B1442" s="80">
        <f>SUBTOTAL(103,$A$808:A1442)</f>
        <v>631</v>
      </c>
      <c r="C1442" s="300" t="s">
        <v>3094</v>
      </c>
      <c r="D1442" s="296">
        <f t="shared" si="60"/>
        <v>993600</v>
      </c>
      <c r="E1442" s="301">
        <v>0</v>
      </c>
      <c r="F1442" s="301">
        <v>0</v>
      </c>
      <c r="G1442" s="301">
        <v>0</v>
      </c>
      <c r="H1442" s="301">
        <v>0</v>
      </c>
      <c r="I1442" s="301">
        <v>0</v>
      </c>
      <c r="J1442" s="301">
        <v>0</v>
      </c>
      <c r="K1442" s="302">
        <v>0</v>
      </c>
      <c r="L1442" s="301">
        <v>0</v>
      </c>
      <c r="M1442" s="301">
        <v>0</v>
      </c>
      <c r="N1442" s="301">
        <v>0</v>
      </c>
      <c r="O1442" s="301">
        <v>993600</v>
      </c>
      <c r="P1442" s="301">
        <v>0</v>
      </c>
      <c r="Q1442" s="301">
        <v>0</v>
      </c>
      <c r="R1442" s="301">
        <v>0</v>
      </c>
      <c r="S1442" s="301">
        <v>0</v>
      </c>
      <c r="T1442" s="301">
        <v>0</v>
      </c>
      <c r="U1442" s="301">
        <v>0</v>
      </c>
      <c r="V1442" s="301">
        <v>0</v>
      </c>
      <c r="W1442" s="301">
        <v>0</v>
      </c>
      <c r="X1442" s="301">
        <v>0</v>
      </c>
      <c r="Y1442" s="301">
        <v>0</v>
      </c>
      <c r="Z1442" s="301">
        <v>0</v>
      </c>
      <c r="AA1442" s="301">
        <v>0</v>
      </c>
      <c r="AB1442" s="303" t="s">
        <v>2981</v>
      </c>
    </row>
    <row r="1443" spans="1:28" ht="35.25" customHeight="1" x14ac:dyDescent="0.5">
      <c r="A1443">
        <v>1</v>
      </c>
      <c r="B1443" s="80">
        <f>SUBTOTAL(103,$A$808:A1443)</f>
        <v>632</v>
      </c>
      <c r="C1443" s="300" t="s">
        <v>3095</v>
      </c>
      <c r="D1443" s="296">
        <f t="shared" si="60"/>
        <v>180492</v>
      </c>
      <c r="E1443" s="301">
        <v>0</v>
      </c>
      <c r="F1443" s="301">
        <v>0</v>
      </c>
      <c r="G1443" s="301">
        <v>0</v>
      </c>
      <c r="H1443" s="301">
        <v>0</v>
      </c>
      <c r="I1443" s="301">
        <v>0</v>
      </c>
      <c r="J1443" s="301">
        <v>0</v>
      </c>
      <c r="K1443" s="302">
        <v>0</v>
      </c>
      <c r="L1443" s="301">
        <v>0</v>
      </c>
      <c r="M1443" s="301">
        <v>0</v>
      </c>
      <c r="N1443" s="301">
        <v>0</v>
      </c>
      <c r="O1443" s="301">
        <v>180492</v>
      </c>
      <c r="P1443" s="301">
        <v>0</v>
      </c>
      <c r="Q1443" s="301">
        <v>0</v>
      </c>
      <c r="R1443" s="301">
        <v>0</v>
      </c>
      <c r="S1443" s="301">
        <v>0</v>
      </c>
      <c r="T1443" s="301">
        <v>0</v>
      </c>
      <c r="U1443" s="301">
        <v>0</v>
      </c>
      <c r="V1443" s="301">
        <v>0</v>
      </c>
      <c r="W1443" s="301">
        <v>0</v>
      </c>
      <c r="X1443" s="301">
        <v>0</v>
      </c>
      <c r="Y1443" s="301">
        <v>0</v>
      </c>
      <c r="Z1443" s="301">
        <v>0</v>
      </c>
      <c r="AA1443" s="301">
        <v>0</v>
      </c>
      <c r="AB1443" s="303" t="s">
        <v>2981</v>
      </c>
    </row>
    <row r="1444" spans="1:28" ht="35.25" customHeight="1" x14ac:dyDescent="0.5">
      <c r="A1444">
        <v>1</v>
      </c>
      <c r="B1444" s="80">
        <f>SUBTOTAL(103,$A$808:A1444)</f>
        <v>633</v>
      </c>
      <c r="C1444" s="300" t="s">
        <v>3096</v>
      </c>
      <c r="D1444" s="296">
        <f t="shared" si="60"/>
        <v>191713.54</v>
      </c>
      <c r="E1444" s="301">
        <v>0</v>
      </c>
      <c r="F1444" s="301">
        <v>0</v>
      </c>
      <c r="G1444" s="301">
        <v>191713.54</v>
      </c>
      <c r="H1444" s="301">
        <v>0</v>
      </c>
      <c r="I1444" s="301">
        <v>0</v>
      </c>
      <c r="J1444" s="301">
        <v>0</v>
      </c>
      <c r="K1444" s="302">
        <v>0</v>
      </c>
      <c r="L1444" s="301">
        <v>0</v>
      </c>
      <c r="M1444" s="301">
        <v>0</v>
      </c>
      <c r="N1444" s="301">
        <v>0</v>
      </c>
      <c r="O1444" s="301">
        <v>0</v>
      </c>
      <c r="P1444" s="301">
        <v>0</v>
      </c>
      <c r="Q1444" s="301">
        <v>0</v>
      </c>
      <c r="R1444" s="301">
        <v>0</v>
      </c>
      <c r="S1444" s="301">
        <v>0</v>
      </c>
      <c r="T1444" s="301">
        <v>0</v>
      </c>
      <c r="U1444" s="301">
        <v>0</v>
      </c>
      <c r="V1444" s="301">
        <v>0</v>
      </c>
      <c r="W1444" s="301">
        <v>0</v>
      </c>
      <c r="X1444" s="301">
        <v>0</v>
      </c>
      <c r="Y1444" s="301">
        <v>0</v>
      </c>
      <c r="Z1444" s="301">
        <v>0</v>
      </c>
      <c r="AA1444" s="301">
        <v>0</v>
      </c>
      <c r="AB1444" s="303" t="s">
        <v>2981</v>
      </c>
    </row>
    <row r="1445" spans="1:28" ht="35.25" customHeight="1" x14ac:dyDescent="0.5">
      <c r="A1445">
        <v>1</v>
      </c>
      <c r="B1445" s="80">
        <f>SUBTOTAL(103,$A$808:A1445)</f>
        <v>634</v>
      </c>
      <c r="C1445" s="300" t="s">
        <v>1984</v>
      </c>
      <c r="D1445" s="296">
        <f t="shared" si="60"/>
        <v>700265</v>
      </c>
      <c r="E1445" s="301">
        <v>0</v>
      </c>
      <c r="F1445" s="301">
        <v>0</v>
      </c>
      <c r="G1445" s="301">
        <v>0</v>
      </c>
      <c r="H1445" s="301">
        <v>0</v>
      </c>
      <c r="I1445" s="301">
        <v>0</v>
      </c>
      <c r="J1445" s="301">
        <v>0</v>
      </c>
      <c r="K1445" s="302">
        <v>0</v>
      </c>
      <c r="L1445" s="301">
        <v>0</v>
      </c>
      <c r="M1445" s="301">
        <v>0</v>
      </c>
      <c r="N1445" s="301">
        <v>0</v>
      </c>
      <c r="O1445" s="301">
        <v>700265</v>
      </c>
      <c r="P1445" s="301">
        <v>0</v>
      </c>
      <c r="Q1445" s="301">
        <v>0</v>
      </c>
      <c r="R1445" s="301">
        <v>0</v>
      </c>
      <c r="S1445" s="301">
        <v>0</v>
      </c>
      <c r="T1445" s="301">
        <v>0</v>
      </c>
      <c r="U1445" s="301">
        <v>0</v>
      </c>
      <c r="V1445" s="301">
        <v>0</v>
      </c>
      <c r="W1445" s="301">
        <v>0</v>
      </c>
      <c r="X1445" s="301">
        <v>0</v>
      </c>
      <c r="Y1445" s="301">
        <v>0</v>
      </c>
      <c r="Z1445" s="301">
        <v>0</v>
      </c>
      <c r="AA1445" s="301">
        <v>0</v>
      </c>
      <c r="AB1445" s="303" t="s">
        <v>2981</v>
      </c>
    </row>
    <row r="1446" spans="1:28" ht="35.25" customHeight="1" x14ac:dyDescent="0.5">
      <c r="A1446">
        <v>1</v>
      </c>
      <c r="B1446" s="80">
        <f>SUBTOTAL(103,$A$808:A1446)</f>
        <v>635</v>
      </c>
      <c r="C1446" s="300" t="s">
        <v>1985</v>
      </c>
      <c r="D1446" s="296">
        <f t="shared" si="60"/>
        <v>283281.95</v>
      </c>
      <c r="E1446" s="301">
        <v>0</v>
      </c>
      <c r="F1446" s="301">
        <v>0</v>
      </c>
      <c r="G1446" s="301">
        <v>283281.95</v>
      </c>
      <c r="H1446" s="301">
        <v>0</v>
      </c>
      <c r="I1446" s="301">
        <v>0</v>
      </c>
      <c r="J1446" s="301">
        <v>0</v>
      </c>
      <c r="K1446" s="302">
        <v>0</v>
      </c>
      <c r="L1446" s="301">
        <v>0</v>
      </c>
      <c r="M1446" s="301">
        <v>0</v>
      </c>
      <c r="N1446" s="301">
        <v>0</v>
      </c>
      <c r="O1446" s="301">
        <v>0</v>
      </c>
      <c r="P1446" s="301">
        <v>0</v>
      </c>
      <c r="Q1446" s="301">
        <v>0</v>
      </c>
      <c r="R1446" s="301">
        <v>0</v>
      </c>
      <c r="S1446" s="301">
        <v>0</v>
      </c>
      <c r="T1446" s="301">
        <v>0</v>
      </c>
      <c r="U1446" s="301">
        <v>0</v>
      </c>
      <c r="V1446" s="301">
        <v>0</v>
      </c>
      <c r="W1446" s="301">
        <v>0</v>
      </c>
      <c r="X1446" s="301">
        <v>0</v>
      </c>
      <c r="Y1446" s="301">
        <v>0</v>
      </c>
      <c r="Z1446" s="301">
        <v>0</v>
      </c>
      <c r="AA1446" s="301">
        <v>0</v>
      </c>
      <c r="AB1446" s="303" t="s">
        <v>2981</v>
      </c>
    </row>
    <row r="1447" spans="1:28" ht="35.25" customHeight="1" x14ac:dyDescent="0.5">
      <c r="A1447">
        <v>1</v>
      </c>
      <c r="B1447" s="80">
        <f>SUBTOTAL(103,$A$808:A1447)</f>
        <v>636</v>
      </c>
      <c r="C1447" s="300" t="s">
        <v>3097</v>
      </c>
      <c r="D1447" s="296">
        <f t="shared" si="60"/>
        <v>1314012.4800000002</v>
      </c>
      <c r="E1447" s="301">
        <v>0</v>
      </c>
      <c r="F1447" s="301">
        <v>0</v>
      </c>
      <c r="G1447" s="301">
        <v>1229656.9100000001</v>
      </c>
      <c r="H1447" s="301">
        <v>0</v>
      </c>
      <c r="I1447" s="301">
        <v>84355.57</v>
      </c>
      <c r="J1447" s="301">
        <v>0</v>
      </c>
      <c r="K1447" s="302">
        <v>0</v>
      </c>
      <c r="L1447" s="301">
        <v>0</v>
      </c>
      <c r="M1447" s="301">
        <v>0</v>
      </c>
      <c r="N1447" s="301">
        <v>0</v>
      </c>
      <c r="O1447" s="301">
        <v>0</v>
      </c>
      <c r="P1447" s="301">
        <v>0</v>
      </c>
      <c r="Q1447" s="301">
        <v>0</v>
      </c>
      <c r="R1447" s="301">
        <v>0</v>
      </c>
      <c r="S1447" s="301">
        <v>0</v>
      </c>
      <c r="T1447" s="301">
        <v>0</v>
      </c>
      <c r="U1447" s="301">
        <v>0</v>
      </c>
      <c r="V1447" s="301">
        <v>0</v>
      </c>
      <c r="W1447" s="301">
        <v>0</v>
      </c>
      <c r="X1447" s="301">
        <v>0</v>
      </c>
      <c r="Y1447" s="301">
        <v>0</v>
      </c>
      <c r="Z1447" s="301">
        <v>0</v>
      </c>
      <c r="AA1447" s="301">
        <v>0</v>
      </c>
      <c r="AB1447" s="303" t="s">
        <v>2981</v>
      </c>
    </row>
    <row r="1448" spans="1:28" ht="35.25" customHeight="1" x14ac:dyDescent="0.5">
      <c r="A1448">
        <v>1</v>
      </c>
      <c r="B1448" s="80">
        <f>SUBTOTAL(103,$A$808:A1448)</f>
        <v>637</v>
      </c>
      <c r="C1448" s="300" t="s">
        <v>1993</v>
      </c>
      <c r="D1448" s="296">
        <f t="shared" si="60"/>
        <v>1149829</v>
      </c>
      <c r="E1448" s="301">
        <v>0</v>
      </c>
      <c r="F1448" s="301">
        <v>0</v>
      </c>
      <c r="G1448" s="301">
        <v>0</v>
      </c>
      <c r="H1448" s="301">
        <v>0</v>
      </c>
      <c r="I1448" s="301">
        <v>0</v>
      </c>
      <c r="J1448" s="301">
        <v>0</v>
      </c>
      <c r="K1448" s="302">
        <v>0</v>
      </c>
      <c r="L1448" s="301">
        <v>0</v>
      </c>
      <c r="M1448" s="301">
        <v>0</v>
      </c>
      <c r="N1448" s="301">
        <v>0</v>
      </c>
      <c r="O1448" s="301">
        <v>1149829</v>
      </c>
      <c r="P1448" s="301">
        <v>0</v>
      </c>
      <c r="Q1448" s="301">
        <v>0</v>
      </c>
      <c r="R1448" s="301">
        <v>0</v>
      </c>
      <c r="S1448" s="301">
        <v>0</v>
      </c>
      <c r="T1448" s="301">
        <v>0</v>
      </c>
      <c r="U1448" s="301">
        <v>0</v>
      </c>
      <c r="V1448" s="301">
        <v>0</v>
      </c>
      <c r="W1448" s="301">
        <v>0</v>
      </c>
      <c r="X1448" s="301">
        <v>0</v>
      </c>
      <c r="Y1448" s="301">
        <v>0</v>
      </c>
      <c r="Z1448" s="301">
        <v>0</v>
      </c>
      <c r="AA1448" s="301">
        <v>0</v>
      </c>
      <c r="AB1448" s="303" t="s">
        <v>2981</v>
      </c>
    </row>
    <row r="1449" spans="1:28" ht="35.25" customHeight="1" x14ac:dyDescent="0.5">
      <c r="A1449">
        <v>1</v>
      </c>
      <c r="B1449" s="80">
        <f>SUBTOTAL(103,$A$808:A1449)</f>
        <v>638</v>
      </c>
      <c r="C1449" s="300" t="s">
        <v>1706</v>
      </c>
      <c r="D1449" s="296">
        <f t="shared" si="60"/>
        <v>100000</v>
      </c>
      <c r="E1449" s="301">
        <v>0</v>
      </c>
      <c r="F1449" s="301">
        <v>0</v>
      </c>
      <c r="G1449" s="301">
        <v>0</v>
      </c>
      <c r="H1449" s="301">
        <v>0</v>
      </c>
      <c r="I1449" s="301">
        <v>0</v>
      </c>
      <c r="J1449" s="301">
        <v>0</v>
      </c>
      <c r="K1449" s="302">
        <v>1</v>
      </c>
      <c r="L1449" s="301">
        <v>100000</v>
      </c>
      <c r="M1449" s="301">
        <v>0</v>
      </c>
      <c r="N1449" s="301">
        <v>0</v>
      </c>
      <c r="O1449" s="301">
        <v>0</v>
      </c>
      <c r="P1449" s="301">
        <v>0</v>
      </c>
      <c r="Q1449" s="301">
        <v>0</v>
      </c>
      <c r="R1449" s="301">
        <v>0</v>
      </c>
      <c r="S1449" s="301">
        <v>0</v>
      </c>
      <c r="T1449" s="301">
        <v>0</v>
      </c>
      <c r="U1449" s="301">
        <v>0</v>
      </c>
      <c r="V1449" s="301">
        <v>0</v>
      </c>
      <c r="W1449" s="301">
        <v>0</v>
      </c>
      <c r="X1449" s="301">
        <v>0</v>
      </c>
      <c r="Y1449" s="301">
        <v>0</v>
      </c>
      <c r="Z1449" s="301">
        <v>0</v>
      </c>
      <c r="AA1449" s="301">
        <v>0</v>
      </c>
      <c r="AB1449" s="303" t="s">
        <v>2981</v>
      </c>
    </row>
    <row r="1450" spans="1:28" ht="35.25" customHeight="1" x14ac:dyDescent="0.5">
      <c r="A1450">
        <v>1</v>
      </c>
      <c r="B1450" s="80">
        <f>SUBTOTAL(103,$A$808:A1450)</f>
        <v>639</v>
      </c>
      <c r="C1450" s="300" t="s">
        <v>1994</v>
      </c>
      <c r="D1450" s="296">
        <f t="shared" si="60"/>
        <v>482000</v>
      </c>
      <c r="E1450" s="301">
        <v>0</v>
      </c>
      <c r="F1450" s="301">
        <v>0</v>
      </c>
      <c r="G1450" s="301">
        <v>0</v>
      </c>
      <c r="H1450" s="301">
        <v>0</v>
      </c>
      <c r="I1450" s="301">
        <v>0</v>
      </c>
      <c r="J1450" s="301">
        <v>0</v>
      </c>
      <c r="K1450" s="302">
        <v>0</v>
      </c>
      <c r="L1450" s="301">
        <v>0</v>
      </c>
      <c r="M1450" s="301">
        <v>0</v>
      </c>
      <c r="N1450" s="301">
        <v>0</v>
      </c>
      <c r="O1450" s="301">
        <v>482000</v>
      </c>
      <c r="P1450" s="301">
        <v>0</v>
      </c>
      <c r="Q1450" s="301">
        <v>0</v>
      </c>
      <c r="R1450" s="301">
        <v>0</v>
      </c>
      <c r="S1450" s="301">
        <v>0</v>
      </c>
      <c r="T1450" s="301">
        <v>0</v>
      </c>
      <c r="U1450" s="301">
        <v>0</v>
      </c>
      <c r="V1450" s="301">
        <v>0</v>
      </c>
      <c r="W1450" s="301">
        <v>0</v>
      </c>
      <c r="X1450" s="301">
        <v>0</v>
      </c>
      <c r="Y1450" s="301">
        <v>0</v>
      </c>
      <c r="Z1450" s="301">
        <v>0</v>
      </c>
      <c r="AA1450" s="301">
        <v>0</v>
      </c>
      <c r="AB1450" s="303" t="s">
        <v>2981</v>
      </c>
    </row>
    <row r="1451" spans="1:28" ht="35.25" customHeight="1" x14ac:dyDescent="0.5">
      <c r="A1451">
        <v>1</v>
      </c>
      <c r="B1451" s="80">
        <f>SUBTOTAL(103,$A$808:A1451)</f>
        <v>640</v>
      </c>
      <c r="C1451" s="300" t="s">
        <v>1995</v>
      </c>
      <c r="D1451" s="296">
        <f t="shared" si="60"/>
        <v>73500</v>
      </c>
      <c r="E1451" s="301">
        <v>0</v>
      </c>
      <c r="F1451" s="301">
        <v>0</v>
      </c>
      <c r="G1451" s="301">
        <v>0</v>
      </c>
      <c r="H1451" s="301">
        <v>0</v>
      </c>
      <c r="I1451" s="301">
        <v>0</v>
      </c>
      <c r="J1451" s="301">
        <v>0</v>
      </c>
      <c r="K1451" s="302">
        <v>0</v>
      </c>
      <c r="L1451" s="301">
        <v>0</v>
      </c>
      <c r="M1451" s="301">
        <v>0</v>
      </c>
      <c r="N1451" s="301">
        <v>0</v>
      </c>
      <c r="O1451" s="301">
        <v>73500</v>
      </c>
      <c r="P1451" s="301">
        <v>0</v>
      </c>
      <c r="Q1451" s="301">
        <v>0</v>
      </c>
      <c r="R1451" s="301">
        <v>0</v>
      </c>
      <c r="S1451" s="301">
        <v>0</v>
      </c>
      <c r="T1451" s="301">
        <v>0</v>
      </c>
      <c r="U1451" s="301">
        <v>0</v>
      </c>
      <c r="V1451" s="301">
        <v>0</v>
      </c>
      <c r="W1451" s="301">
        <v>0</v>
      </c>
      <c r="X1451" s="301">
        <v>0</v>
      </c>
      <c r="Y1451" s="301">
        <v>0</v>
      </c>
      <c r="Z1451" s="301">
        <v>0</v>
      </c>
      <c r="AA1451" s="301">
        <v>0</v>
      </c>
      <c r="AB1451" s="303" t="s">
        <v>2981</v>
      </c>
    </row>
    <row r="1452" spans="1:28" ht="35.25" customHeight="1" x14ac:dyDescent="0.5">
      <c r="A1452">
        <v>1</v>
      </c>
      <c r="B1452" s="80">
        <f>SUBTOTAL(103,$A$808:A1452)</f>
        <v>641</v>
      </c>
      <c r="C1452" s="300" t="s">
        <v>3098</v>
      </c>
      <c r="D1452" s="296">
        <f t="shared" si="60"/>
        <v>224066.14</v>
      </c>
      <c r="E1452" s="301">
        <v>0</v>
      </c>
      <c r="F1452" s="301">
        <v>0</v>
      </c>
      <c r="G1452" s="301">
        <v>0</v>
      </c>
      <c r="H1452" s="301">
        <v>0</v>
      </c>
      <c r="I1452" s="301">
        <v>0</v>
      </c>
      <c r="J1452" s="301">
        <v>0</v>
      </c>
      <c r="K1452" s="302">
        <v>0</v>
      </c>
      <c r="L1452" s="301">
        <v>0</v>
      </c>
      <c r="M1452" s="301">
        <v>0</v>
      </c>
      <c r="N1452" s="301">
        <v>0</v>
      </c>
      <c r="O1452" s="301">
        <v>224066.14</v>
      </c>
      <c r="P1452" s="301">
        <v>0</v>
      </c>
      <c r="Q1452" s="301">
        <v>0</v>
      </c>
      <c r="R1452" s="301">
        <v>0</v>
      </c>
      <c r="S1452" s="301">
        <v>0</v>
      </c>
      <c r="T1452" s="301">
        <v>0</v>
      </c>
      <c r="U1452" s="301">
        <v>0</v>
      </c>
      <c r="V1452" s="301">
        <v>0</v>
      </c>
      <c r="W1452" s="301">
        <v>0</v>
      </c>
      <c r="X1452" s="301">
        <v>0</v>
      </c>
      <c r="Y1452" s="301">
        <v>0</v>
      </c>
      <c r="Z1452" s="301">
        <v>0</v>
      </c>
      <c r="AA1452" s="301">
        <v>0</v>
      </c>
      <c r="AB1452" s="303" t="s">
        <v>2981</v>
      </c>
    </row>
    <row r="1453" spans="1:28" ht="35.25" customHeight="1" x14ac:dyDescent="0.5">
      <c r="A1453">
        <v>1</v>
      </c>
      <c r="B1453" s="80">
        <f>SUBTOTAL(103,$A$808:A1453)</f>
        <v>642</v>
      </c>
      <c r="C1453" s="300" t="s">
        <v>3386</v>
      </c>
      <c r="D1453" s="296">
        <f t="shared" si="60"/>
        <v>297765.34000000003</v>
      </c>
      <c r="E1453" s="301">
        <v>0</v>
      </c>
      <c r="F1453" s="301">
        <v>0</v>
      </c>
      <c r="G1453" s="301">
        <v>0</v>
      </c>
      <c r="H1453" s="301">
        <v>0</v>
      </c>
      <c r="I1453" s="301">
        <v>0</v>
      </c>
      <c r="J1453" s="301">
        <v>0</v>
      </c>
      <c r="K1453" s="302">
        <v>0</v>
      </c>
      <c r="L1453" s="301">
        <v>0</v>
      </c>
      <c r="M1453" s="301">
        <v>0</v>
      </c>
      <c r="N1453" s="301">
        <v>0</v>
      </c>
      <c r="O1453" s="301">
        <v>297765.34000000003</v>
      </c>
      <c r="P1453" s="301">
        <v>0</v>
      </c>
      <c r="Q1453" s="301">
        <v>0</v>
      </c>
      <c r="R1453" s="301">
        <v>0</v>
      </c>
      <c r="S1453" s="301">
        <v>0</v>
      </c>
      <c r="T1453" s="301">
        <v>0</v>
      </c>
      <c r="U1453" s="301">
        <v>0</v>
      </c>
      <c r="V1453" s="301">
        <v>0</v>
      </c>
      <c r="W1453" s="301">
        <v>0</v>
      </c>
      <c r="X1453" s="301">
        <v>0</v>
      </c>
      <c r="Y1453" s="301">
        <v>0</v>
      </c>
      <c r="Z1453" s="301">
        <v>0</v>
      </c>
      <c r="AA1453" s="301">
        <v>0</v>
      </c>
      <c r="AB1453" s="303" t="s">
        <v>2981</v>
      </c>
    </row>
    <row r="1454" spans="1:28" ht="35.25" customHeight="1" x14ac:dyDescent="0.5">
      <c r="A1454">
        <v>1</v>
      </c>
      <c r="B1454" s="80">
        <f>SUBTOTAL(103,$A$808:A1454)</f>
        <v>643</v>
      </c>
      <c r="C1454" s="300" t="s">
        <v>3099</v>
      </c>
      <c r="D1454" s="296">
        <f t="shared" si="60"/>
        <v>211921</v>
      </c>
      <c r="E1454" s="301">
        <v>0</v>
      </c>
      <c r="F1454" s="301">
        <v>0</v>
      </c>
      <c r="G1454" s="301">
        <v>0</v>
      </c>
      <c r="H1454" s="301">
        <v>0</v>
      </c>
      <c r="I1454" s="301">
        <v>0</v>
      </c>
      <c r="J1454" s="301">
        <v>0</v>
      </c>
      <c r="K1454" s="302">
        <v>0</v>
      </c>
      <c r="L1454" s="301">
        <v>0</v>
      </c>
      <c r="M1454" s="301">
        <v>0</v>
      </c>
      <c r="N1454" s="301">
        <v>0</v>
      </c>
      <c r="O1454" s="301">
        <v>211921</v>
      </c>
      <c r="P1454" s="301">
        <v>0</v>
      </c>
      <c r="Q1454" s="301">
        <v>0</v>
      </c>
      <c r="R1454" s="301">
        <v>0</v>
      </c>
      <c r="S1454" s="301">
        <v>0</v>
      </c>
      <c r="T1454" s="301">
        <v>0</v>
      </c>
      <c r="U1454" s="301">
        <v>0</v>
      </c>
      <c r="V1454" s="301">
        <v>0</v>
      </c>
      <c r="W1454" s="301">
        <v>0</v>
      </c>
      <c r="X1454" s="301">
        <v>0</v>
      </c>
      <c r="Y1454" s="301">
        <v>0</v>
      </c>
      <c r="Z1454" s="301">
        <v>0</v>
      </c>
      <c r="AA1454" s="301">
        <v>0</v>
      </c>
      <c r="AB1454" s="303" t="s">
        <v>2981</v>
      </c>
    </row>
    <row r="1455" spans="1:28" ht="35.25" customHeight="1" x14ac:dyDescent="0.5">
      <c r="A1455">
        <v>1</v>
      </c>
      <c r="B1455" s="80">
        <f>SUBTOTAL(103,$A$808:A1455)</f>
        <v>644</v>
      </c>
      <c r="C1455" s="300" t="s">
        <v>2003</v>
      </c>
      <c r="D1455" s="296">
        <f t="shared" si="60"/>
        <v>1079172</v>
      </c>
      <c r="E1455" s="301">
        <v>0</v>
      </c>
      <c r="F1455" s="301">
        <v>0</v>
      </c>
      <c r="G1455" s="301">
        <v>0</v>
      </c>
      <c r="H1455" s="301">
        <v>0</v>
      </c>
      <c r="I1455" s="301">
        <v>0</v>
      </c>
      <c r="J1455" s="301">
        <v>0</v>
      </c>
      <c r="K1455" s="302">
        <v>0</v>
      </c>
      <c r="L1455" s="301">
        <v>0</v>
      </c>
      <c r="M1455" s="301">
        <v>1079172</v>
      </c>
      <c r="N1455" s="301">
        <v>0</v>
      </c>
      <c r="O1455" s="301">
        <v>0</v>
      </c>
      <c r="P1455" s="301">
        <v>0</v>
      </c>
      <c r="Q1455" s="301">
        <v>0</v>
      </c>
      <c r="R1455" s="301">
        <v>0</v>
      </c>
      <c r="S1455" s="301">
        <v>0</v>
      </c>
      <c r="T1455" s="301">
        <v>0</v>
      </c>
      <c r="U1455" s="301">
        <v>0</v>
      </c>
      <c r="V1455" s="301">
        <v>0</v>
      </c>
      <c r="W1455" s="301">
        <v>0</v>
      </c>
      <c r="X1455" s="301">
        <v>0</v>
      </c>
      <c r="Y1455" s="301">
        <v>0</v>
      </c>
      <c r="Z1455" s="301">
        <v>0</v>
      </c>
      <c r="AA1455" s="301">
        <v>0</v>
      </c>
      <c r="AB1455" s="303" t="s">
        <v>2981</v>
      </c>
    </row>
    <row r="1456" spans="1:28" ht="35.25" customHeight="1" x14ac:dyDescent="0.5">
      <c r="A1456">
        <v>1</v>
      </c>
      <c r="B1456" s="80">
        <f>SUBTOTAL(103,$A$808:A1456)</f>
        <v>645</v>
      </c>
      <c r="C1456" s="300" t="s">
        <v>2007</v>
      </c>
      <c r="D1456" s="296">
        <f t="shared" si="60"/>
        <v>71518.8</v>
      </c>
      <c r="E1456" s="301">
        <v>0</v>
      </c>
      <c r="F1456" s="301">
        <v>0</v>
      </c>
      <c r="G1456" s="301">
        <v>0</v>
      </c>
      <c r="H1456" s="301">
        <v>71518.8</v>
      </c>
      <c r="I1456" s="301">
        <v>0</v>
      </c>
      <c r="J1456" s="301">
        <v>0</v>
      </c>
      <c r="K1456" s="302">
        <v>0</v>
      </c>
      <c r="L1456" s="301">
        <v>0</v>
      </c>
      <c r="M1456" s="301">
        <v>0</v>
      </c>
      <c r="N1456" s="301">
        <v>0</v>
      </c>
      <c r="O1456" s="301">
        <v>0</v>
      </c>
      <c r="P1456" s="301">
        <v>0</v>
      </c>
      <c r="Q1456" s="301">
        <v>0</v>
      </c>
      <c r="R1456" s="301">
        <v>0</v>
      </c>
      <c r="S1456" s="301">
        <v>0</v>
      </c>
      <c r="T1456" s="301">
        <v>0</v>
      </c>
      <c r="U1456" s="301">
        <v>0</v>
      </c>
      <c r="V1456" s="301">
        <v>0</v>
      </c>
      <c r="W1456" s="301">
        <v>0</v>
      </c>
      <c r="X1456" s="301">
        <v>0</v>
      </c>
      <c r="Y1456" s="301">
        <v>0</v>
      </c>
      <c r="Z1456" s="301">
        <v>0</v>
      </c>
      <c r="AA1456" s="301">
        <v>0</v>
      </c>
      <c r="AB1456" s="303" t="s">
        <v>2981</v>
      </c>
    </row>
    <row r="1457" spans="1:28" ht="35.25" customHeight="1" x14ac:dyDescent="0.5">
      <c r="A1457">
        <v>1</v>
      </c>
      <c r="B1457" s="80">
        <f>SUBTOTAL(103,$A$808:A1457)</f>
        <v>646</v>
      </c>
      <c r="C1457" s="300" t="s">
        <v>2008</v>
      </c>
      <c r="D1457" s="296">
        <f t="shared" si="60"/>
        <v>117527</v>
      </c>
      <c r="E1457" s="301">
        <v>0</v>
      </c>
      <c r="F1457" s="301">
        <v>0</v>
      </c>
      <c r="G1457" s="301">
        <v>0</v>
      </c>
      <c r="H1457" s="301">
        <v>0</v>
      </c>
      <c r="I1457" s="301">
        <v>0</v>
      </c>
      <c r="J1457" s="301">
        <v>0</v>
      </c>
      <c r="K1457" s="302">
        <v>0</v>
      </c>
      <c r="L1457" s="301">
        <v>0</v>
      </c>
      <c r="M1457" s="301">
        <v>0</v>
      </c>
      <c r="N1457" s="301">
        <v>0</v>
      </c>
      <c r="O1457" s="301">
        <v>117527</v>
      </c>
      <c r="P1457" s="301">
        <v>0</v>
      </c>
      <c r="Q1457" s="301">
        <v>0</v>
      </c>
      <c r="R1457" s="301">
        <v>0</v>
      </c>
      <c r="S1457" s="301">
        <v>0</v>
      </c>
      <c r="T1457" s="301">
        <v>0</v>
      </c>
      <c r="U1457" s="301">
        <v>0</v>
      </c>
      <c r="V1457" s="301">
        <v>0</v>
      </c>
      <c r="W1457" s="301">
        <v>0</v>
      </c>
      <c r="X1457" s="301">
        <v>0</v>
      </c>
      <c r="Y1457" s="301">
        <v>0</v>
      </c>
      <c r="Z1457" s="301">
        <v>0</v>
      </c>
      <c r="AA1457" s="301">
        <v>0</v>
      </c>
      <c r="AB1457" s="303" t="s">
        <v>2981</v>
      </c>
    </row>
    <row r="1458" spans="1:28" ht="35.25" customHeight="1" x14ac:dyDescent="0.5">
      <c r="A1458">
        <v>1</v>
      </c>
      <c r="B1458" s="80">
        <f>SUBTOTAL(103,$A$808:A1458)</f>
        <v>647</v>
      </c>
      <c r="C1458" s="300" t="s">
        <v>2009</v>
      </c>
      <c r="D1458" s="296">
        <f t="shared" si="60"/>
        <v>672902.91999999993</v>
      </c>
      <c r="E1458" s="301">
        <v>0</v>
      </c>
      <c r="F1458" s="301">
        <v>0</v>
      </c>
      <c r="G1458" s="301">
        <v>447422.86</v>
      </c>
      <c r="H1458" s="301">
        <v>0</v>
      </c>
      <c r="I1458" s="301">
        <v>0</v>
      </c>
      <c r="J1458" s="301">
        <v>0</v>
      </c>
      <c r="K1458" s="302">
        <v>0</v>
      </c>
      <c r="L1458" s="301">
        <v>0</v>
      </c>
      <c r="M1458" s="301">
        <v>0</v>
      </c>
      <c r="N1458" s="301">
        <v>0</v>
      </c>
      <c r="O1458" s="301">
        <v>0</v>
      </c>
      <c r="P1458" s="301">
        <v>225480.06</v>
      </c>
      <c r="Q1458" s="301">
        <v>0</v>
      </c>
      <c r="R1458" s="301">
        <v>0</v>
      </c>
      <c r="S1458" s="301">
        <v>0</v>
      </c>
      <c r="T1458" s="301">
        <v>0</v>
      </c>
      <c r="U1458" s="301">
        <v>0</v>
      </c>
      <c r="V1458" s="301">
        <v>0</v>
      </c>
      <c r="W1458" s="301">
        <v>0</v>
      </c>
      <c r="X1458" s="301">
        <v>0</v>
      </c>
      <c r="Y1458" s="301">
        <v>0</v>
      </c>
      <c r="Z1458" s="301">
        <v>0</v>
      </c>
      <c r="AA1458" s="301">
        <v>0</v>
      </c>
      <c r="AB1458" s="303" t="s">
        <v>2981</v>
      </c>
    </row>
    <row r="1459" spans="1:28" ht="35.25" customHeight="1" x14ac:dyDescent="0.5">
      <c r="A1459">
        <v>1</v>
      </c>
      <c r="B1459" s="80">
        <f>SUBTOTAL(103,$A$808:A1459)</f>
        <v>648</v>
      </c>
      <c r="C1459" s="300" t="s">
        <v>3101</v>
      </c>
      <c r="D1459" s="296">
        <f t="shared" si="60"/>
        <v>164476</v>
      </c>
      <c r="E1459" s="301">
        <v>0</v>
      </c>
      <c r="F1459" s="301">
        <v>0</v>
      </c>
      <c r="G1459" s="301">
        <v>0</v>
      </c>
      <c r="H1459" s="301">
        <v>0</v>
      </c>
      <c r="I1459" s="301">
        <v>0</v>
      </c>
      <c r="J1459" s="301">
        <v>0</v>
      </c>
      <c r="K1459" s="302">
        <v>0</v>
      </c>
      <c r="L1459" s="301">
        <v>0</v>
      </c>
      <c r="M1459" s="301">
        <v>0</v>
      </c>
      <c r="N1459" s="301">
        <v>0</v>
      </c>
      <c r="O1459" s="301">
        <v>164476</v>
      </c>
      <c r="P1459" s="301">
        <v>0</v>
      </c>
      <c r="Q1459" s="301">
        <v>0</v>
      </c>
      <c r="R1459" s="301">
        <v>0</v>
      </c>
      <c r="S1459" s="301">
        <v>0</v>
      </c>
      <c r="T1459" s="301">
        <v>0</v>
      </c>
      <c r="U1459" s="301">
        <v>0</v>
      </c>
      <c r="V1459" s="301">
        <v>0</v>
      </c>
      <c r="W1459" s="301">
        <v>0</v>
      </c>
      <c r="X1459" s="301">
        <v>0</v>
      </c>
      <c r="Y1459" s="301">
        <v>0</v>
      </c>
      <c r="Z1459" s="301">
        <v>0</v>
      </c>
      <c r="AA1459" s="301">
        <v>0</v>
      </c>
      <c r="AB1459" s="303" t="s">
        <v>2981</v>
      </c>
    </row>
    <row r="1460" spans="1:28" ht="35.25" customHeight="1" x14ac:dyDescent="0.5">
      <c r="A1460">
        <v>1</v>
      </c>
      <c r="B1460" s="80">
        <f>SUBTOTAL(103,$A$808:A1460)</f>
        <v>649</v>
      </c>
      <c r="C1460" s="300" t="s">
        <v>3102</v>
      </c>
      <c r="D1460" s="296">
        <f t="shared" si="60"/>
        <v>846709.32</v>
      </c>
      <c r="E1460" s="301">
        <v>0</v>
      </c>
      <c r="F1460" s="301">
        <v>0</v>
      </c>
      <c r="G1460" s="301">
        <v>0</v>
      </c>
      <c r="H1460" s="301">
        <v>0</v>
      </c>
      <c r="I1460" s="301">
        <v>0</v>
      </c>
      <c r="J1460" s="301">
        <v>0</v>
      </c>
      <c r="K1460" s="302">
        <v>0</v>
      </c>
      <c r="L1460" s="301">
        <v>0</v>
      </c>
      <c r="M1460" s="301">
        <v>846709.32</v>
      </c>
      <c r="N1460" s="301">
        <v>0</v>
      </c>
      <c r="O1460" s="301">
        <v>0</v>
      </c>
      <c r="P1460" s="301">
        <v>0</v>
      </c>
      <c r="Q1460" s="301">
        <v>0</v>
      </c>
      <c r="R1460" s="301">
        <v>0</v>
      </c>
      <c r="S1460" s="301">
        <v>0</v>
      </c>
      <c r="T1460" s="301">
        <v>0</v>
      </c>
      <c r="U1460" s="301">
        <v>0</v>
      </c>
      <c r="V1460" s="301">
        <v>0</v>
      </c>
      <c r="W1460" s="301">
        <v>0</v>
      </c>
      <c r="X1460" s="301">
        <v>0</v>
      </c>
      <c r="Y1460" s="301">
        <v>0</v>
      </c>
      <c r="Z1460" s="301">
        <v>0</v>
      </c>
      <c r="AA1460" s="301">
        <v>0</v>
      </c>
      <c r="AB1460" s="303" t="s">
        <v>2981</v>
      </c>
    </row>
    <row r="1461" spans="1:28" ht="35.25" customHeight="1" x14ac:dyDescent="0.5">
      <c r="A1461">
        <v>1</v>
      </c>
      <c r="B1461" s="80">
        <f>SUBTOTAL(103,$A$808:A1461)</f>
        <v>650</v>
      </c>
      <c r="C1461" s="300" t="s">
        <v>3378</v>
      </c>
      <c r="D1461" s="296">
        <f t="shared" si="60"/>
        <v>234000</v>
      </c>
      <c r="E1461" s="301">
        <v>0</v>
      </c>
      <c r="F1461" s="301">
        <v>0</v>
      </c>
      <c r="G1461" s="301">
        <v>0</v>
      </c>
      <c r="H1461" s="301">
        <v>0</v>
      </c>
      <c r="I1461" s="301">
        <v>0</v>
      </c>
      <c r="J1461" s="301">
        <v>0</v>
      </c>
      <c r="K1461" s="302">
        <v>0</v>
      </c>
      <c r="L1461" s="301">
        <v>0</v>
      </c>
      <c r="M1461" s="301">
        <v>0</v>
      </c>
      <c r="N1461" s="301">
        <v>0</v>
      </c>
      <c r="O1461" s="301">
        <v>234000</v>
      </c>
      <c r="P1461" s="301">
        <v>0</v>
      </c>
      <c r="Q1461" s="301">
        <v>0</v>
      </c>
      <c r="R1461" s="301">
        <v>0</v>
      </c>
      <c r="S1461" s="301">
        <v>0</v>
      </c>
      <c r="T1461" s="301">
        <v>0</v>
      </c>
      <c r="U1461" s="301">
        <v>0</v>
      </c>
      <c r="V1461" s="301">
        <v>0</v>
      </c>
      <c r="W1461" s="301">
        <v>0</v>
      </c>
      <c r="X1461" s="301">
        <v>0</v>
      </c>
      <c r="Y1461" s="301">
        <v>0</v>
      </c>
      <c r="Z1461" s="301">
        <v>0</v>
      </c>
      <c r="AA1461" s="301">
        <v>0</v>
      </c>
      <c r="AB1461" s="303" t="s">
        <v>2981</v>
      </c>
    </row>
    <row r="1462" spans="1:28" ht="35.25" customHeight="1" x14ac:dyDescent="0.5">
      <c r="A1462">
        <v>1</v>
      </c>
      <c r="B1462" s="80">
        <f>SUBTOTAL(103,$A$808:A1462)</f>
        <v>651</v>
      </c>
      <c r="C1462" s="300" t="s">
        <v>2016</v>
      </c>
      <c r="D1462" s="296">
        <f t="shared" si="60"/>
        <v>694200</v>
      </c>
      <c r="E1462" s="301">
        <v>0</v>
      </c>
      <c r="F1462" s="301">
        <v>0</v>
      </c>
      <c r="G1462" s="301">
        <v>0</v>
      </c>
      <c r="H1462" s="301">
        <v>0</v>
      </c>
      <c r="I1462" s="301">
        <v>0</v>
      </c>
      <c r="J1462" s="301">
        <v>0</v>
      </c>
      <c r="K1462" s="302">
        <v>0</v>
      </c>
      <c r="L1462" s="301">
        <v>0</v>
      </c>
      <c r="M1462" s="301">
        <v>0</v>
      </c>
      <c r="N1462" s="301">
        <v>0</v>
      </c>
      <c r="O1462" s="301">
        <v>694200</v>
      </c>
      <c r="P1462" s="301">
        <v>0</v>
      </c>
      <c r="Q1462" s="301">
        <v>0</v>
      </c>
      <c r="R1462" s="301">
        <v>0</v>
      </c>
      <c r="S1462" s="301">
        <v>0</v>
      </c>
      <c r="T1462" s="301">
        <v>0</v>
      </c>
      <c r="U1462" s="301">
        <v>0</v>
      </c>
      <c r="V1462" s="301">
        <v>0</v>
      </c>
      <c r="W1462" s="301">
        <v>0</v>
      </c>
      <c r="X1462" s="301">
        <v>0</v>
      </c>
      <c r="Y1462" s="301">
        <v>0</v>
      </c>
      <c r="Z1462" s="301">
        <v>0</v>
      </c>
      <c r="AA1462" s="301">
        <v>0</v>
      </c>
      <c r="AB1462" s="303" t="s">
        <v>2981</v>
      </c>
    </row>
    <row r="1463" spans="1:28" ht="35.25" customHeight="1" x14ac:dyDescent="0.5">
      <c r="A1463">
        <v>1</v>
      </c>
      <c r="B1463" s="80">
        <f>SUBTOTAL(103,$A$808:A1463)</f>
        <v>652</v>
      </c>
      <c r="C1463" s="300" t="s">
        <v>2019</v>
      </c>
      <c r="D1463" s="296">
        <f t="shared" si="60"/>
        <v>555687</v>
      </c>
      <c r="E1463" s="301">
        <v>0</v>
      </c>
      <c r="F1463" s="301">
        <v>0</v>
      </c>
      <c r="G1463" s="301">
        <v>0</v>
      </c>
      <c r="H1463" s="301">
        <v>0</v>
      </c>
      <c r="I1463" s="301">
        <v>0</v>
      </c>
      <c r="J1463" s="301">
        <v>0</v>
      </c>
      <c r="K1463" s="302">
        <v>0</v>
      </c>
      <c r="L1463" s="301">
        <v>0</v>
      </c>
      <c r="M1463" s="301">
        <v>0</v>
      </c>
      <c r="N1463" s="301">
        <v>0</v>
      </c>
      <c r="O1463" s="301">
        <v>555687</v>
      </c>
      <c r="P1463" s="301">
        <v>0</v>
      </c>
      <c r="Q1463" s="301">
        <v>0</v>
      </c>
      <c r="R1463" s="301">
        <v>0</v>
      </c>
      <c r="S1463" s="301">
        <v>0</v>
      </c>
      <c r="T1463" s="301">
        <v>0</v>
      </c>
      <c r="U1463" s="301">
        <v>0</v>
      </c>
      <c r="V1463" s="301">
        <v>0</v>
      </c>
      <c r="W1463" s="301">
        <v>0</v>
      </c>
      <c r="X1463" s="301">
        <v>0</v>
      </c>
      <c r="Y1463" s="301">
        <v>0</v>
      </c>
      <c r="Z1463" s="301">
        <v>0</v>
      </c>
      <c r="AA1463" s="301">
        <v>0</v>
      </c>
      <c r="AB1463" s="303" t="s">
        <v>2981</v>
      </c>
    </row>
    <row r="1464" spans="1:28" ht="35.25" customHeight="1" x14ac:dyDescent="0.5">
      <c r="A1464">
        <v>1</v>
      </c>
      <c r="B1464" s="80">
        <f>SUBTOTAL(103,$A$808:A1464)</f>
        <v>653</v>
      </c>
      <c r="C1464" s="300" t="s">
        <v>3103</v>
      </c>
      <c r="D1464" s="296">
        <f t="shared" si="60"/>
        <v>600429</v>
      </c>
      <c r="E1464" s="301">
        <v>0</v>
      </c>
      <c r="F1464" s="301">
        <v>0</v>
      </c>
      <c r="G1464" s="301">
        <v>0</v>
      </c>
      <c r="H1464" s="301">
        <v>0</v>
      </c>
      <c r="I1464" s="301">
        <v>0</v>
      </c>
      <c r="J1464" s="301">
        <v>0</v>
      </c>
      <c r="K1464" s="302">
        <v>0</v>
      </c>
      <c r="L1464" s="301">
        <v>0</v>
      </c>
      <c r="M1464" s="301">
        <v>0</v>
      </c>
      <c r="N1464" s="301">
        <v>0</v>
      </c>
      <c r="O1464" s="301">
        <v>600429</v>
      </c>
      <c r="P1464" s="301">
        <v>0</v>
      </c>
      <c r="Q1464" s="301">
        <v>0</v>
      </c>
      <c r="R1464" s="301">
        <v>0</v>
      </c>
      <c r="S1464" s="301">
        <v>0</v>
      </c>
      <c r="T1464" s="301">
        <v>0</v>
      </c>
      <c r="U1464" s="301">
        <v>0</v>
      </c>
      <c r="V1464" s="301">
        <v>0</v>
      </c>
      <c r="W1464" s="301">
        <v>0</v>
      </c>
      <c r="X1464" s="301">
        <v>0</v>
      </c>
      <c r="Y1464" s="301">
        <v>0</v>
      </c>
      <c r="Z1464" s="301">
        <v>0</v>
      </c>
      <c r="AA1464" s="301">
        <v>0</v>
      </c>
      <c r="AB1464" s="303" t="s">
        <v>2981</v>
      </c>
    </row>
    <row r="1465" spans="1:28" ht="35.25" customHeight="1" x14ac:dyDescent="0.5">
      <c r="A1465">
        <v>1</v>
      </c>
      <c r="B1465" s="80">
        <f>SUBTOTAL(103,$A$808:A1465)</f>
        <v>654</v>
      </c>
      <c r="C1465" s="300" t="s">
        <v>3104</v>
      </c>
      <c r="D1465" s="296">
        <f t="shared" si="60"/>
        <v>749414.6</v>
      </c>
      <c r="E1465" s="301">
        <v>0</v>
      </c>
      <c r="F1465" s="301">
        <v>0</v>
      </c>
      <c r="G1465" s="301">
        <v>0</v>
      </c>
      <c r="H1465" s="301">
        <v>0</v>
      </c>
      <c r="I1465" s="301">
        <v>0</v>
      </c>
      <c r="J1465" s="301">
        <v>0</v>
      </c>
      <c r="K1465" s="302">
        <v>0</v>
      </c>
      <c r="L1465" s="301">
        <v>0</v>
      </c>
      <c r="M1465" s="301">
        <v>0</v>
      </c>
      <c r="N1465" s="301">
        <v>0</v>
      </c>
      <c r="O1465" s="301">
        <v>749414.6</v>
      </c>
      <c r="P1465" s="301">
        <v>0</v>
      </c>
      <c r="Q1465" s="301">
        <v>0</v>
      </c>
      <c r="R1465" s="301">
        <v>0</v>
      </c>
      <c r="S1465" s="301">
        <v>0</v>
      </c>
      <c r="T1465" s="301">
        <v>0</v>
      </c>
      <c r="U1465" s="301">
        <v>0</v>
      </c>
      <c r="V1465" s="301">
        <v>0</v>
      </c>
      <c r="W1465" s="301">
        <v>0</v>
      </c>
      <c r="X1465" s="301">
        <v>0</v>
      </c>
      <c r="Y1465" s="301">
        <v>0</v>
      </c>
      <c r="Z1465" s="301">
        <v>0</v>
      </c>
      <c r="AA1465" s="301">
        <v>0</v>
      </c>
      <c r="AB1465" s="303">
        <v>2021</v>
      </c>
    </row>
    <row r="1466" spans="1:28" ht="35.25" customHeight="1" x14ac:dyDescent="0.5">
      <c r="A1466">
        <v>1</v>
      </c>
      <c r="B1466" s="80">
        <f>SUBTOTAL(103,$A$808:A1466)</f>
        <v>655</v>
      </c>
      <c r="C1466" s="300" t="s">
        <v>3105</v>
      </c>
      <c r="D1466" s="296">
        <f t="shared" si="60"/>
        <v>1425968</v>
      </c>
      <c r="E1466" s="301">
        <v>0</v>
      </c>
      <c r="F1466" s="301">
        <v>0</v>
      </c>
      <c r="G1466" s="301">
        <v>0</v>
      </c>
      <c r="H1466" s="301">
        <v>0</v>
      </c>
      <c r="I1466" s="301">
        <v>0</v>
      </c>
      <c r="J1466" s="301">
        <v>0</v>
      </c>
      <c r="K1466" s="302">
        <v>0</v>
      </c>
      <c r="L1466" s="301">
        <v>0</v>
      </c>
      <c r="M1466" s="301">
        <v>0</v>
      </c>
      <c r="N1466" s="301">
        <v>0</v>
      </c>
      <c r="O1466" s="301">
        <v>1425968</v>
      </c>
      <c r="P1466" s="301">
        <v>0</v>
      </c>
      <c r="Q1466" s="301">
        <v>0</v>
      </c>
      <c r="R1466" s="301">
        <v>0</v>
      </c>
      <c r="S1466" s="301">
        <v>0</v>
      </c>
      <c r="T1466" s="301">
        <v>0</v>
      </c>
      <c r="U1466" s="301">
        <v>0</v>
      </c>
      <c r="V1466" s="301">
        <v>0</v>
      </c>
      <c r="W1466" s="301">
        <v>0</v>
      </c>
      <c r="X1466" s="301">
        <v>0</v>
      </c>
      <c r="Y1466" s="301">
        <v>0</v>
      </c>
      <c r="Z1466" s="301">
        <v>0</v>
      </c>
      <c r="AA1466" s="301">
        <v>0</v>
      </c>
      <c r="AB1466" s="303">
        <v>2021</v>
      </c>
    </row>
    <row r="1467" spans="1:28" ht="35.25" customHeight="1" x14ac:dyDescent="0.5">
      <c r="A1467">
        <v>1</v>
      </c>
      <c r="B1467" s="80">
        <f>SUBTOTAL(103,$A$808:A1467)</f>
        <v>656</v>
      </c>
      <c r="C1467" s="300" t="s">
        <v>3106</v>
      </c>
      <c r="D1467" s="296">
        <f t="shared" si="60"/>
        <v>450000</v>
      </c>
      <c r="E1467" s="301">
        <v>0</v>
      </c>
      <c r="F1467" s="301">
        <v>0</v>
      </c>
      <c r="G1467" s="301">
        <v>0</v>
      </c>
      <c r="H1467" s="301">
        <v>0</v>
      </c>
      <c r="I1467" s="301">
        <v>0</v>
      </c>
      <c r="J1467" s="301">
        <v>0</v>
      </c>
      <c r="K1467" s="302">
        <v>0</v>
      </c>
      <c r="L1467" s="301">
        <v>0</v>
      </c>
      <c r="M1467" s="301">
        <v>0</v>
      </c>
      <c r="N1467" s="301">
        <v>0</v>
      </c>
      <c r="O1467" s="301">
        <v>450000</v>
      </c>
      <c r="P1467" s="301">
        <v>0</v>
      </c>
      <c r="Q1467" s="301">
        <v>0</v>
      </c>
      <c r="R1467" s="301">
        <v>0</v>
      </c>
      <c r="S1467" s="301">
        <v>0</v>
      </c>
      <c r="T1467" s="301">
        <v>0</v>
      </c>
      <c r="U1467" s="301">
        <v>0</v>
      </c>
      <c r="V1467" s="301">
        <v>0</v>
      </c>
      <c r="W1467" s="301">
        <v>0</v>
      </c>
      <c r="X1467" s="301">
        <v>0</v>
      </c>
      <c r="Y1467" s="301">
        <v>0</v>
      </c>
      <c r="Z1467" s="301">
        <v>0</v>
      </c>
      <c r="AA1467" s="301">
        <v>0</v>
      </c>
      <c r="AB1467" s="303">
        <v>2021</v>
      </c>
    </row>
    <row r="1468" spans="1:28" ht="35.25" customHeight="1" x14ac:dyDescent="0.5">
      <c r="A1468">
        <v>1</v>
      </c>
      <c r="B1468" s="80">
        <f>SUBTOTAL(103,$A$808:A1468)</f>
        <v>657</v>
      </c>
      <c r="C1468" s="300" t="s">
        <v>3107</v>
      </c>
      <c r="D1468" s="296">
        <f t="shared" si="60"/>
        <v>410870</v>
      </c>
      <c r="E1468" s="301">
        <v>0</v>
      </c>
      <c r="F1468" s="301">
        <v>410870</v>
      </c>
      <c r="G1468" s="301">
        <v>0</v>
      </c>
      <c r="H1468" s="301">
        <v>0</v>
      </c>
      <c r="I1468" s="301">
        <v>0</v>
      </c>
      <c r="J1468" s="301">
        <v>0</v>
      </c>
      <c r="K1468" s="302">
        <v>0</v>
      </c>
      <c r="L1468" s="301">
        <v>0</v>
      </c>
      <c r="M1468" s="301">
        <v>0</v>
      </c>
      <c r="N1468" s="301">
        <v>0</v>
      </c>
      <c r="O1468" s="301">
        <v>0</v>
      </c>
      <c r="P1468" s="301">
        <v>0</v>
      </c>
      <c r="Q1468" s="301">
        <v>0</v>
      </c>
      <c r="R1468" s="301">
        <v>0</v>
      </c>
      <c r="S1468" s="301">
        <v>0</v>
      </c>
      <c r="T1468" s="301">
        <v>0</v>
      </c>
      <c r="U1468" s="301">
        <v>0</v>
      </c>
      <c r="V1468" s="301">
        <v>0</v>
      </c>
      <c r="W1468" s="301">
        <v>0</v>
      </c>
      <c r="X1468" s="301">
        <v>0</v>
      </c>
      <c r="Y1468" s="301">
        <v>0</v>
      </c>
      <c r="Z1468" s="301">
        <v>0</v>
      </c>
      <c r="AA1468" s="301">
        <v>0</v>
      </c>
      <c r="AB1468" s="303">
        <v>2021</v>
      </c>
    </row>
    <row r="1469" spans="1:28" ht="35.25" customHeight="1" x14ac:dyDescent="0.5">
      <c r="A1469">
        <v>1</v>
      </c>
      <c r="B1469" s="80">
        <f>SUBTOTAL(103,$A$808:A1469)</f>
        <v>658</v>
      </c>
      <c r="C1469" s="300" t="s">
        <v>3108</v>
      </c>
      <c r="D1469" s="296">
        <f t="shared" si="60"/>
        <v>383470</v>
      </c>
      <c r="E1469" s="301">
        <v>0</v>
      </c>
      <c r="F1469" s="301">
        <v>0</v>
      </c>
      <c r="G1469" s="301">
        <v>383470</v>
      </c>
      <c r="H1469" s="301">
        <v>0</v>
      </c>
      <c r="I1469" s="301">
        <v>0</v>
      </c>
      <c r="J1469" s="301">
        <v>0</v>
      </c>
      <c r="K1469" s="302">
        <v>0</v>
      </c>
      <c r="L1469" s="301">
        <v>0</v>
      </c>
      <c r="M1469" s="301">
        <v>0</v>
      </c>
      <c r="N1469" s="301">
        <v>0</v>
      </c>
      <c r="O1469" s="301">
        <v>0</v>
      </c>
      <c r="P1469" s="301">
        <v>0</v>
      </c>
      <c r="Q1469" s="301">
        <v>0</v>
      </c>
      <c r="R1469" s="301">
        <v>0</v>
      </c>
      <c r="S1469" s="301">
        <v>0</v>
      </c>
      <c r="T1469" s="301">
        <v>0</v>
      </c>
      <c r="U1469" s="301">
        <v>0</v>
      </c>
      <c r="V1469" s="301">
        <v>0</v>
      </c>
      <c r="W1469" s="301">
        <v>0</v>
      </c>
      <c r="X1469" s="301">
        <v>0</v>
      </c>
      <c r="Y1469" s="301">
        <v>0</v>
      </c>
      <c r="Z1469" s="301">
        <v>0</v>
      </c>
      <c r="AA1469" s="301">
        <v>0</v>
      </c>
      <c r="AB1469" s="303">
        <v>2021</v>
      </c>
    </row>
    <row r="1470" spans="1:28" ht="35.25" customHeight="1" x14ac:dyDescent="0.5">
      <c r="A1470">
        <v>1</v>
      </c>
      <c r="B1470" s="80">
        <f>SUBTOTAL(103,$A$808:A1470)</f>
        <v>659</v>
      </c>
      <c r="C1470" s="300" t="s">
        <v>3109</v>
      </c>
      <c r="D1470" s="296">
        <f t="shared" si="60"/>
        <v>888796</v>
      </c>
      <c r="E1470" s="301">
        <v>0</v>
      </c>
      <c r="F1470" s="301">
        <v>0</v>
      </c>
      <c r="G1470" s="301">
        <v>0</v>
      </c>
      <c r="H1470" s="301">
        <v>0</v>
      </c>
      <c r="I1470" s="301">
        <v>0</v>
      </c>
      <c r="J1470" s="301">
        <v>0</v>
      </c>
      <c r="K1470" s="302">
        <v>0</v>
      </c>
      <c r="L1470" s="301">
        <v>0</v>
      </c>
      <c r="M1470" s="301">
        <v>888796</v>
      </c>
      <c r="N1470" s="301">
        <v>0</v>
      </c>
      <c r="O1470" s="301">
        <v>0</v>
      </c>
      <c r="P1470" s="301">
        <v>0</v>
      </c>
      <c r="Q1470" s="301">
        <v>0</v>
      </c>
      <c r="R1470" s="301">
        <v>0</v>
      </c>
      <c r="S1470" s="301">
        <v>0</v>
      </c>
      <c r="T1470" s="301">
        <v>0</v>
      </c>
      <c r="U1470" s="301">
        <v>0</v>
      </c>
      <c r="V1470" s="301">
        <v>0</v>
      </c>
      <c r="W1470" s="301">
        <v>0</v>
      </c>
      <c r="X1470" s="301">
        <v>0</v>
      </c>
      <c r="Y1470" s="301">
        <v>0</v>
      </c>
      <c r="Z1470" s="301">
        <v>0</v>
      </c>
      <c r="AA1470" s="301">
        <v>0</v>
      </c>
      <c r="AB1470" s="303">
        <v>2021</v>
      </c>
    </row>
    <row r="1471" spans="1:28" ht="35.25" customHeight="1" x14ac:dyDescent="0.5">
      <c r="A1471">
        <v>1</v>
      </c>
      <c r="B1471" s="80">
        <f>SUBTOTAL(103,$A$808:A1471)</f>
        <v>660</v>
      </c>
      <c r="C1471" s="300" t="s">
        <v>3110</v>
      </c>
      <c r="D1471" s="296">
        <f t="shared" si="60"/>
        <v>126165</v>
      </c>
      <c r="E1471" s="301">
        <v>0</v>
      </c>
      <c r="F1471" s="301">
        <v>0</v>
      </c>
      <c r="G1471" s="301">
        <v>0</v>
      </c>
      <c r="H1471" s="301">
        <v>0</v>
      </c>
      <c r="I1471" s="301">
        <v>0</v>
      </c>
      <c r="J1471" s="301">
        <v>0</v>
      </c>
      <c r="K1471" s="302">
        <v>0</v>
      </c>
      <c r="L1471" s="301">
        <v>0</v>
      </c>
      <c r="M1471" s="301">
        <v>0</v>
      </c>
      <c r="N1471" s="301">
        <v>0</v>
      </c>
      <c r="O1471" s="301">
        <v>126165</v>
      </c>
      <c r="P1471" s="301">
        <v>0</v>
      </c>
      <c r="Q1471" s="301">
        <v>0</v>
      </c>
      <c r="R1471" s="301">
        <v>0</v>
      </c>
      <c r="S1471" s="301">
        <v>0</v>
      </c>
      <c r="T1471" s="301">
        <v>0</v>
      </c>
      <c r="U1471" s="301">
        <v>0</v>
      </c>
      <c r="V1471" s="301">
        <v>0</v>
      </c>
      <c r="W1471" s="301">
        <v>0</v>
      </c>
      <c r="X1471" s="301">
        <v>0</v>
      </c>
      <c r="Y1471" s="301">
        <v>0</v>
      </c>
      <c r="Z1471" s="301">
        <v>0</v>
      </c>
      <c r="AA1471" s="301">
        <v>0</v>
      </c>
      <c r="AB1471" s="303">
        <v>2021</v>
      </c>
    </row>
    <row r="1472" spans="1:28" ht="35.25" customHeight="1" x14ac:dyDescent="0.5">
      <c r="A1472">
        <v>1</v>
      </c>
      <c r="B1472" s="80">
        <f>SUBTOTAL(103,$A$808:A1472)</f>
        <v>661</v>
      </c>
      <c r="C1472" s="300" t="s">
        <v>3111</v>
      </c>
      <c r="D1472" s="296">
        <f t="shared" si="60"/>
        <v>331025</v>
      </c>
      <c r="E1472" s="301">
        <v>0</v>
      </c>
      <c r="F1472" s="301">
        <v>0</v>
      </c>
      <c r="G1472" s="301">
        <v>0</v>
      </c>
      <c r="H1472" s="301">
        <v>0</v>
      </c>
      <c r="I1472" s="301">
        <v>331025</v>
      </c>
      <c r="J1472" s="301">
        <v>0</v>
      </c>
      <c r="K1472" s="302">
        <v>0</v>
      </c>
      <c r="L1472" s="301">
        <v>0</v>
      </c>
      <c r="M1472" s="301">
        <v>0</v>
      </c>
      <c r="N1472" s="301">
        <v>0</v>
      </c>
      <c r="O1472" s="301">
        <v>0</v>
      </c>
      <c r="P1472" s="301">
        <v>0</v>
      </c>
      <c r="Q1472" s="301">
        <v>0</v>
      </c>
      <c r="R1472" s="301">
        <v>0</v>
      </c>
      <c r="S1472" s="301">
        <v>0</v>
      </c>
      <c r="T1472" s="301">
        <v>0</v>
      </c>
      <c r="U1472" s="301">
        <v>0</v>
      </c>
      <c r="V1472" s="301">
        <v>0</v>
      </c>
      <c r="W1472" s="301">
        <v>0</v>
      </c>
      <c r="X1472" s="301">
        <v>0</v>
      </c>
      <c r="Y1472" s="301">
        <v>0</v>
      </c>
      <c r="Z1472" s="301">
        <v>0</v>
      </c>
      <c r="AA1472" s="301">
        <v>0</v>
      </c>
      <c r="AB1472" s="303">
        <v>2021</v>
      </c>
    </row>
    <row r="1473" spans="1:28" ht="35.25" customHeight="1" x14ac:dyDescent="0.5">
      <c r="A1473">
        <v>1</v>
      </c>
      <c r="B1473" s="80">
        <f>SUBTOTAL(103,$A$808:A1473)</f>
        <v>662</v>
      </c>
      <c r="C1473" s="300" t="s">
        <v>3112</v>
      </c>
      <c r="D1473" s="296">
        <f t="shared" si="60"/>
        <v>1960000</v>
      </c>
      <c r="E1473" s="301">
        <v>0</v>
      </c>
      <c r="F1473" s="301">
        <v>0</v>
      </c>
      <c r="G1473" s="301">
        <v>0</v>
      </c>
      <c r="H1473" s="301">
        <v>0</v>
      </c>
      <c r="I1473" s="301">
        <v>0</v>
      </c>
      <c r="J1473" s="301">
        <v>0</v>
      </c>
      <c r="K1473" s="302">
        <v>1</v>
      </c>
      <c r="L1473" s="301">
        <v>1960000</v>
      </c>
      <c r="M1473" s="301">
        <v>0</v>
      </c>
      <c r="N1473" s="301">
        <v>0</v>
      </c>
      <c r="O1473" s="301">
        <v>0</v>
      </c>
      <c r="P1473" s="301">
        <v>0</v>
      </c>
      <c r="Q1473" s="301">
        <v>0</v>
      </c>
      <c r="R1473" s="301">
        <v>0</v>
      </c>
      <c r="S1473" s="301">
        <v>0</v>
      </c>
      <c r="T1473" s="301">
        <v>0</v>
      </c>
      <c r="U1473" s="301">
        <v>0</v>
      </c>
      <c r="V1473" s="301">
        <v>0</v>
      </c>
      <c r="W1473" s="301">
        <v>0</v>
      </c>
      <c r="X1473" s="301">
        <v>0</v>
      </c>
      <c r="Y1473" s="301">
        <v>0</v>
      </c>
      <c r="Z1473" s="301">
        <v>0</v>
      </c>
      <c r="AA1473" s="301">
        <v>0</v>
      </c>
      <c r="AB1473" s="303">
        <v>2021</v>
      </c>
    </row>
    <row r="1474" spans="1:28" ht="35.25" customHeight="1" x14ac:dyDescent="0.5">
      <c r="A1474">
        <v>1</v>
      </c>
      <c r="B1474" s="80">
        <f>SUBTOTAL(103,$A$808:A1474)</f>
        <v>663</v>
      </c>
      <c r="C1474" s="300" t="s">
        <v>1960</v>
      </c>
      <c r="D1474" s="296">
        <f t="shared" si="60"/>
        <v>124297</v>
      </c>
      <c r="E1474" s="301">
        <v>0</v>
      </c>
      <c r="F1474" s="301">
        <v>0</v>
      </c>
      <c r="G1474" s="301">
        <v>0</v>
      </c>
      <c r="H1474" s="301">
        <v>0</v>
      </c>
      <c r="I1474" s="301">
        <v>0</v>
      </c>
      <c r="J1474" s="301">
        <v>124297</v>
      </c>
      <c r="K1474" s="302">
        <v>0</v>
      </c>
      <c r="L1474" s="301">
        <v>0</v>
      </c>
      <c r="M1474" s="301">
        <v>0</v>
      </c>
      <c r="N1474" s="301">
        <v>0</v>
      </c>
      <c r="O1474" s="301">
        <v>0</v>
      </c>
      <c r="P1474" s="301">
        <v>0</v>
      </c>
      <c r="Q1474" s="301">
        <v>0</v>
      </c>
      <c r="R1474" s="301">
        <v>0</v>
      </c>
      <c r="S1474" s="301">
        <v>0</v>
      </c>
      <c r="T1474" s="301">
        <v>0</v>
      </c>
      <c r="U1474" s="301">
        <v>0</v>
      </c>
      <c r="V1474" s="301">
        <v>0</v>
      </c>
      <c r="W1474" s="301">
        <v>0</v>
      </c>
      <c r="X1474" s="301">
        <v>0</v>
      </c>
      <c r="Y1474" s="301">
        <v>0</v>
      </c>
      <c r="Z1474" s="301">
        <v>0</v>
      </c>
      <c r="AA1474" s="301">
        <v>0</v>
      </c>
      <c r="AB1474" s="303">
        <v>2021</v>
      </c>
    </row>
    <row r="1475" spans="1:28" ht="35.25" customHeight="1" x14ac:dyDescent="0.5">
      <c r="A1475">
        <v>1</v>
      </c>
      <c r="B1475" s="80">
        <f>SUBTOTAL(103,$A$808:A1475)</f>
        <v>664</v>
      </c>
      <c r="C1475" s="300" t="s">
        <v>2384</v>
      </c>
      <c r="D1475" s="296">
        <f t="shared" si="60"/>
        <v>1960000</v>
      </c>
      <c r="E1475" s="301">
        <v>0</v>
      </c>
      <c r="F1475" s="301">
        <v>0</v>
      </c>
      <c r="G1475" s="301">
        <v>0</v>
      </c>
      <c r="H1475" s="301">
        <v>0</v>
      </c>
      <c r="I1475" s="301">
        <v>0</v>
      </c>
      <c r="J1475" s="301">
        <v>0</v>
      </c>
      <c r="K1475" s="302">
        <v>1</v>
      </c>
      <c r="L1475" s="301">
        <v>1960000</v>
      </c>
      <c r="M1475" s="301">
        <v>0</v>
      </c>
      <c r="N1475" s="301">
        <v>0</v>
      </c>
      <c r="O1475" s="301">
        <v>0</v>
      </c>
      <c r="P1475" s="301">
        <v>0</v>
      </c>
      <c r="Q1475" s="301">
        <v>0</v>
      </c>
      <c r="R1475" s="301">
        <v>0</v>
      </c>
      <c r="S1475" s="301">
        <v>0</v>
      </c>
      <c r="T1475" s="301">
        <v>0</v>
      </c>
      <c r="U1475" s="301">
        <v>0</v>
      </c>
      <c r="V1475" s="301">
        <v>0</v>
      </c>
      <c r="W1475" s="301">
        <v>0</v>
      </c>
      <c r="X1475" s="301">
        <v>0</v>
      </c>
      <c r="Y1475" s="301">
        <v>0</v>
      </c>
      <c r="Z1475" s="301">
        <v>0</v>
      </c>
      <c r="AA1475" s="301">
        <v>0</v>
      </c>
      <c r="AB1475" s="303">
        <v>2021</v>
      </c>
    </row>
    <row r="1476" spans="1:28" ht="35.25" customHeight="1" x14ac:dyDescent="0.5">
      <c r="A1476">
        <v>1</v>
      </c>
      <c r="B1476" s="80">
        <f>SUBTOTAL(103,$A$808:A1476)</f>
        <v>665</v>
      </c>
      <c r="C1476" s="300" t="s">
        <v>3113</v>
      </c>
      <c r="D1476" s="296">
        <f t="shared" si="60"/>
        <v>1997175</v>
      </c>
      <c r="E1476" s="301">
        <v>0</v>
      </c>
      <c r="F1476" s="301">
        <v>0</v>
      </c>
      <c r="G1476" s="301">
        <v>0</v>
      </c>
      <c r="H1476" s="301">
        <v>0</v>
      </c>
      <c r="I1476" s="301">
        <v>0</v>
      </c>
      <c r="J1476" s="301">
        <v>0</v>
      </c>
      <c r="K1476" s="302">
        <v>0</v>
      </c>
      <c r="L1476" s="301">
        <v>0</v>
      </c>
      <c r="M1476" s="301">
        <v>1997175</v>
      </c>
      <c r="N1476" s="301">
        <v>0</v>
      </c>
      <c r="O1476" s="301">
        <v>0</v>
      </c>
      <c r="P1476" s="301">
        <v>0</v>
      </c>
      <c r="Q1476" s="301">
        <v>0</v>
      </c>
      <c r="R1476" s="301">
        <v>0</v>
      </c>
      <c r="S1476" s="301">
        <v>0</v>
      </c>
      <c r="T1476" s="301">
        <v>0</v>
      </c>
      <c r="U1476" s="301">
        <v>0</v>
      </c>
      <c r="V1476" s="301">
        <v>0</v>
      </c>
      <c r="W1476" s="301">
        <v>0</v>
      </c>
      <c r="X1476" s="301">
        <v>0</v>
      </c>
      <c r="Y1476" s="301">
        <v>0</v>
      </c>
      <c r="Z1476" s="301">
        <v>0</v>
      </c>
      <c r="AA1476" s="301">
        <v>0</v>
      </c>
      <c r="AB1476" s="303">
        <v>2021</v>
      </c>
    </row>
    <row r="1477" spans="1:28" ht="35.25" customHeight="1" x14ac:dyDescent="0.5">
      <c r="A1477">
        <v>1</v>
      </c>
      <c r="B1477" s="80">
        <f>SUBTOTAL(103,$A$808:A1477)</f>
        <v>666</v>
      </c>
      <c r="C1477" s="300" t="s">
        <v>1965</v>
      </c>
      <c r="D1477" s="296">
        <f t="shared" si="60"/>
        <v>604749</v>
      </c>
      <c r="E1477" s="301">
        <v>0</v>
      </c>
      <c r="F1477" s="301">
        <v>0</v>
      </c>
      <c r="G1477" s="301">
        <v>0</v>
      </c>
      <c r="H1477" s="301">
        <v>0</v>
      </c>
      <c r="I1477" s="301">
        <v>0</v>
      </c>
      <c r="J1477" s="301">
        <v>0</v>
      </c>
      <c r="K1477" s="302">
        <v>0</v>
      </c>
      <c r="L1477" s="301">
        <v>0</v>
      </c>
      <c r="M1477" s="301">
        <v>0</v>
      </c>
      <c r="N1477" s="301">
        <v>0</v>
      </c>
      <c r="O1477" s="301">
        <v>604749</v>
      </c>
      <c r="P1477" s="301">
        <v>0</v>
      </c>
      <c r="Q1477" s="301">
        <v>0</v>
      </c>
      <c r="R1477" s="301">
        <v>0</v>
      </c>
      <c r="S1477" s="301">
        <v>0</v>
      </c>
      <c r="T1477" s="301">
        <v>0</v>
      </c>
      <c r="U1477" s="301">
        <v>0</v>
      </c>
      <c r="V1477" s="301">
        <v>0</v>
      </c>
      <c r="W1477" s="301">
        <v>0</v>
      </c>
      <c r="X1477" s="301">
        <v>0</v>
      </c>
      <c r="Y1477" s="301">
        <v>0</v>
      </c>
      <c r="Z1477" s="301">
        <v>0</v>
      </c>
      <c r="AA1477" s="301">
        <v>0</v>
      </c>
      <c r="AB1477" s="303">
        <v>2021</v>
      </c>
    </row>
    <row r="1478" spans="1:28" ht="35.25" customHeight="1" x14ac:dyDescent="0.5">
      <c r="A1478">
        <v>1</v>
      </c>
      <c r="B1478" s="80">
        <f>SUBTOTAL(103,$A$808:A1478)</f>
        <v>667</v>
      </c>
      <c r="C1478" s="300" t="s">
        <v>3114</v>
      </c>
      <c r="D1478" s="296">
        <f t="shared" si="60"/>
        <v>1140971</v>
      </c>
      <c r="E1478" s="301">
        <v>0</v>
      </c>
      <c r="F1478" s="301">
        <v>0</v>
      </c>
      <c r="G1478" s="301">
        <v>0</v>
      </c>
      <c r="H1478" s="301">
        <v>0</v>
      </c>
      <c r="I1478" s="301">
        <v>0</v>
      </c>
      <c r="J1478" s="301">
        <v>0</v>
      </c>
      <c r="K1478" s="302">
        <v>0</v>
      </c>
      <c r="L1478" s="301">
        <v>0</v>
      </c>
      <c r="M1478" s="301">
        <v>0</v>
      </c>
      <c r="N1478" s="301">
        <v>0</v>
      </c>
      <c r="O1478" s="301">
        <v>1140971</v>
      </c>
      <c r="P1478" s="301">
        <v>0</v>
      </c>
      <c r="Q1478" s="301">
        <v>0</v>
      </c>
      <c r="R1478" s="301">
        <v>0</v>
      </c>
      <c r="S1478" s="301">
        <v>0</v>
      </c>
      <c r="T1478" s="301">
        <v>0</v>
      </c>
      <c r="U1478" s="301">
        <v>0</v>
      </c>
      <c r="V1478" s="301">
        <v>0</v>
      </c>
      <c r="W1478" s="301">
        <v>0</v>
      </c>
      <c r="X1478" s="301">
        <v>0</v>
      </c>
      <c r="Y1478" s="301">
        <v>0</v>
      </c>
      <c r="Z1478" s="301">
        <v>0</v>
      </c>
      <c r="AA1478" s="301">
        <v>0</v>
      </c>
      <c r="AB1478" s="303">
        <v>2021</v>
      </c>
    </row>
    <row r="1479" spans="1:28" ht="35.25" customHeight="1" x14ac:dyDescent="0.5">
      <c r="A1479">
        <v>1</v>
      </c>
      <c r="B1479" s="80">
        <f>SUBTOTAL(103,$A$808:A1479)</f>
        <v>668</v>
      </c>
      <c r="C1479" s="300" t="s">
        <v>3115</v>
      </c>
      <c r="D1479" s="296">
        <f t="shared" si="60"/>
        <v>3302858</v>
      </c>
      <c r="E1479" s="301">
        <v>0</v>
      </c>
      <c r="F1479" s="301">
        <v>0</v>
      </c>
      <c r="G1479" s="301">
        <v>0</v>
      </c>
      <c r="H1479" s="301">
        <v>0</v>
      </c>
      <c r="I1479" s="301">
        <v>0</v>
      </c>
      <c r="J1479" s="301">
        <v>0</v>
      </c>
      <c r="K1479" s="302">
        <v>0</v>
      </c>
      <c r="L1479" s="301">
        <v>0</v>
      </c>
      <c r="M1479" s="301">
        <v>3302858</v>
      </c>
      <c r="N1479" s="301">
        <v>0</v>
      </c>
      <c r="O1479" s="301">
        <v>0</v>
      </c>
      <c r="P1479" s="301">
        <v>0</v>
      </c>
      <c r="Q1479" s="301">
        <v>0</v>
      </c>
      <c r="R1479" s="301">
        <v>0</v>
      </c>
      <c r="S1479" s="301">
        <v>0</v>
      </c>
      <c r="T1479" s="301">
        <v>0</v>
      </c>
      <c r="U1479" s="301">
        <v>0</v>
      </c>
      <c r="V1479" s="301">
        <v>0</v>
      </c>
      <c r="W1479" s="301">
        <v>0</v>
      </c>
      <c r="X1479" s="301">
        <v>0</v>
      </c>
      <c r="Y1479" s="301">
        <v>0</v>
      </c>
      <c r="Z1479" s="301">
        <v>0</v>
      </c>
      <c r="AA1479" s="301">
        <v>0</v>
      </c>
      <c r="AB1479" s="303">
        <v>2021</v>
      </c>
    </row>
    <row r="1480" spans="1:28" ht="35.25" customHeight="1" x14ac:dyDescent="0.5">
      <c r="A1480">
        <v>1</v>
      </c>
      <c r="B1480" s="80">
        <f>SUBTOTAL(103,$A$808:A1480)</f>
        <v>669</v>
      </c>
      <c r="C1480" s="300" t="s">
        <v>1356</v>
      </c>
      <c r="D1480" s="296">
        <f t="shared" si="60"/>
        <v>457339.85</v>
      </c>
      <c r="E1480" s="301">
        <v>0</v>
      </c>
      <c r="F1480" s="301">
        <v>0</v>
      </c>
      <c r="G1480" s="301">
        <v>0</v>
      </c>
      <c r="H1480" s="301">
        <v>457339.85</v>
      </c>
      <c r="I1480" s="301">
        <v>0</v>
      </c>
      <c r="J1480" s="301">
        <v>0</v>
      </c>
      <c r="K1480" s="302">
        <v>0</v>
      </c>
      <c r="L1480" s="301">
        <v>0</v>
      </c>
      <c r="M1480" s="301">
        <v>0</v>
      </c>
      <c r="N1480" s="301">
        <v>0</v>
      </c>
      <c r="O1480" s="301">
        <v>0</v>
      </c>
      <c r="P1480" s="301">
        <v>0</v>
      </c>
      <c r="Q1480" s="301">
        <v>0</v>
      </c>
      <c r="R1480" s="301">
        <v>0</v>
      </c>
      <c r="S1480" s="301">
        <v>0</v>
      </c>
      <c r="T1480" s="301">
        <v>0</v>
      </c>
      <c r="U1480" s="301">
        <v>0</v>
      </c>
      <c r="V1480" s="301">
        <v>0</v>
      </c>
      <c r="W1480" s="301">
        <v>0</v>
      </c>
      <c r="X1480" s="301">
        <v>0</v>
      </c>
      <c r="Y1480" s="301">
        <v>0</v>
      </c>
      <c r="Z1480" s="301">
        <v>0</v>
      </c>
      <c r="AA1480" s="301">
        <v>0</v>
      </c>
      <c r="AB1480" s="303">
        <v>2021</v>
      </c>
    </row>
    <row r="1481" spans="1:28" ht="35.25" customHeight="1" x14ac:dyDescent="0.5">
      <c r="A1481">
        <v>1</v>
      </c>
      <c r="B1481" s="80">
        <f>SUBTOTAL(103,$A$808:A1481)</f>
        <v>670</v>
      </c>
      <c r="C1481" s="300" t="s">
        <v>1969</v>
      </c>
      <c r="D1481" s="296">
        <f t="shared" ref="D1481:D1544" si="61">E1481+F1481+G1481+H1481+I1481+J1481+L1481+M1481+N1481+O1481+P1481+Q1481+R1481+S1481+T1481+U1481+V1481+W1481+X1481+Y1481+Z1481+AA1481</f>
        <v>188614</v>
      </c>
      <c r="E1481" s="301">
        <v>0</v>
      </c>
      <c r="F1481" s="301">
        <v>0</v>
      </c>
      <c r="G1481" s="301">
        <v>0</v>
      </c>
      <c r="H1481" s="301">
        <v>0</v>
      </c>
      <c r="I1481" s="301">
        <v>0</v>
      </c>
      <c r="J1481" s="301">
        <v>0</v>
      </c>
      <c r="K1481" s="302">
        <v>0</v>
      </c>
      <c r="L1481" s="301">
        <v>0</v>
      </c>
      <c r="M1481" s="301">
        <v>0</v>
      </c>
      <c r="N1481" s="301">
        <v>0</v>
      </c>
      <c r="O1481" s="301">
        <v>188614</v>
      </c>
      <c r="P1481" s="301">
        <v>0</v>
      </c>
      <c r="Q1481" s="301">
        <v>0</v>
      </c>
      <c r="R1481" s="301">
        <v>0</v>
      </c>
      <c r="S1481" s="301">
        <v>0</v>
      </c>
      <c r="T1481" s="301">
        <v>0</v>
      </c>
      <c r="U1481" s="301">
        <v>0</v>
      </c>
      <c r="V1481" s="301">
        <v>0</v>
      </c>
      <c r="W1481" s="301">
        <v>0</v>
      </c>
      <c r="X1481" s="301">
        <v>0</v>
      </c>
      <c r="Y1481" s="301">
        <v>0</v>
      </c>
      <c r="Z1481" s="301">
        <v>0</v>
      </c>
      <c r="AA1481" s="301">
        <v>0</v>
      </c>
      <c r="AB1481" s="303">
        <v>2021</v>
      </c>
    </row>
    <row r="1482" spans="1:28" ht="35.25" customHeight="1" x14ac:dyDescent="0.5">
      <c r="A1482">
        <v>1</v>
      </c>
      <c r="B1482" s="80">
        <f>SUBTOTAL(103,$A$808:A1482)</f>
        <v>671</v>
      </c>
      <c r="C1482" s="300" t="s">
        <v>3116</v>
      </c>
      <c r="D1482" s="296">
        <f t="shared" si="61"/>
        <v>930979</v>
      </c>
      <c r="E1482" s="301">
        <v>0</v>
      </c>
      <c r="F1482" s="301">
        <v>0</v>
      </c>
      <c r="G1482" s="301">
        <v>0</v>
      </c>
      <c r="H1482" s="301">
        <v>0</v>
      </c>
      <c r="I1482" s="301">
        <v>0</v>
      </c>
      <c r="J1482" s="301">
        <v>0</v>
      </c>
      <c r="K1482" s="302">
        <v>0</v>
      </c>
      <c r="L1482" s="301">
        <v>0</v>
      </c>
      <c r="M1482" s="301">
        <v>0</v>
      </c>
      <c r="N1482" s="301">
        <v>0</v>
      </c>
      <c r="O1482" s="301">
        <v>930979</v>
      </c>
      <c r="P1482" s="301">
        <v>0</v>
      </c>
      <c r="Q1482" s="301">
        <v>0</v>
      </c>
      <c r="R1482" s="301">
        <v>0</v>
      </c>
      <c r="S1482" s="301">
        <v>0</v>
      </c>
      <c r="T1482" s="301">
        <v>0</v>
      </c>
      <c r="U1482" s="301">
        <v>0</v>
      </c>
      <c r="V1482" s="301">
        <v>0</v>
      </c>
      <c r="W1482" s="301">
        <v>0</v>
      </c>
      <c r="X1482" s="301">
        <v>0</v>
      </c>
      <c r="Y1482" s="301">
        <v>0</v>
      </c>
      <c r="Z1482" s="301">
        <v>0</v>
      </c>
      <c r="AA1482" s="301">
        <v>0</v>
      </c>
      <c r="AB1482" s="303">
        <v>2021</v>
      </c>
    </row>
    <row r="1483" spans="1:28" ht="35.25" customHeight="1" x14ac:dyDescent="0.5">
      <c r="A1483">
        <v>1</v>
      </c>
      <c r="B1483" s="80">
        <f>SUBTOTAL(103,$A$808:A1483)</f>
        <v>672</v>
      </c>
      <c r="C1483" s="300" t="s">
        <v>3387</v>
      </c>
      <c r="D1483" s="296">
        <f t="shared" si="61"/>
        <v>2197218</v>
      </c>
      <c r="E1483" s="301">
        <v>0</v>
      </c>
      <c r="F1483" s="301">
        <v>0</v>
      </c>
      <c r="G1483" s="301">
        <v>0</v>
      </c>
      <c r="H1483" s="301">
        <v>0</v>
      </c>
      <c r="I1483" s="301">
        <v>0</v>
      </c>
      <c r="J1483" s="301">
        <v>0</v>
      </c>
      <c r="K1483" s="302">
        <v>1</v>
      </c>
      <c r="L1483" s="301">
        <v>2197218</v>
      </c>
      <c r="M1483" s="301">
        <v>0</v>
      </c>
      <c r="N1483" s="301">
        <v>0</v>
      </c>
      <c r="O1483" s="301">
        <v>0</v>
      </c>
      <c r="P1483" s="301">
        <v>0</v>
      </c>
      <c r="Q1483" s="301">
        <v>0</v>
      </c>
      <c r="R1483" s="301">
        <v>0</v>
      </c>
      <c r="S1483" s="301">
        <v>0</v>
      </c>
      <c r="T1483" s="301">
        <v>0</v>
      </c>
      <c r="U1483" s="301">
        <v>0</v>
      </c>
      <c r="V1483" s="301">
        <v>0</v>
      </c>
      <c r="W1483" s="301">
        <v>0</v>
      </c>
      <c r="X1483" s="301">
        <v>0</v>
      </c>
      <c r="Y1483" s="301">
        <v>0</v>
      </c>
      <c r="Z1483" s="301">
        <v>0</v>
      </c>
      <c r="AA1483" s="301">
        <v>0</v>
      </c>
      <c r="AB1483" s="303">
        <v>2021</v>
      </c>
    </row>
    <row r="1484" spans="1:28" ht="35.25" customHeight="1" x14ac:dyDescent="0.5">
      <c r="A1484">
        <v>1</v>
      </c>
      <c r="B1484" s="80">
        <f>SUBTOTAL(103,$A$808:A1484)</f>
        <v>673</v>
      </c>
      <c r="C1484" s="300" t="s">
        <v>3388</v>
      </c>
      <c r="D1484" s="296">
        <f t="shared" si="61"/>
        <v>800000</v>
      </c>
      <c r="E1484" s="301">
        <v>0</v>
      </c>
      <c r="F1484" s="301">
        <v>0</v>
      </c>
      <c r="G1484" s="301">
        <v>0</v>
      </c>
      <c r="H1484" s="301">
        <v>0</v>
      </c>
      <c r="I1484" s="301">
        <v>0</v>
      </c>
      <c r="J1484" s="301">
        <v>0</v>
      </c>
      <c r="K1484" s="302">
        <v>0</v>
      </c>
      <c r="L1484" s="301">
        <v>0</v>
      </c>
      <c r="M1484" s="301">
        <v>0</v>
      </c>
      <c r="N1484" s="301">
        <v>0</v>
      </c>
      <c r="O1484" s="301">
        <v>800000</v>
      </c>
      <c r="P1484" s="301">
        <v>0</v>
      </c>
      <c r="Q1484" s="301">
        <v>0</v>
      </c>
      <c r="R1484" s="301">
        <v>0</v>
      </c>
      <c r="S1484" s="301">
        <v>0</v>
      </c>
      <c r="T1484" s="301">
        <v>0</v>
      </c>
      <c r="U1484" s="301">
        <v>0</v>
      </c>
      <c r="V1484" s="301">
        <v>0</v>
      </c>
      <c r="W1484" s="301">
        <v>0</v>
      </c>
      <c r="X1484" s="301">
        <v>0</v>
      </c>
      <c r="Y1484" s="301">
        <v>0</v>
      </c>
      <c r="Z1484" s="301">
        <v>0</v>
      </c>
      <c r="AA1484" s="301">
        <v>0</v>
      </c>
      <c r="AB1484" s="303">
        <v>2021</v>
      </c>
    </row>
    <row r="1485" spans="1:28" ht="35.25" customHeight="1" x14ac:dyDescent="0.5">
      <c r="A1485">
        <v>1</v>
      </c>
      <c r="B1485" s="80">
        <f>SUBTOTAL(103,$A$808:A1485)</f>
        <v>674</v>
      </c>
      <c r="C1485" s="300" t="s">
        <v>3117</v>
      </c>
      <c r="D1485" s="296">
        <f t="shared" si="61"/>
        <v>56619</v>
      </c>
      <c r="E1485" s="301">
        <v>0</v>
      </c>
      <c r="F1485" s="301">
        <v>0</v>
      </c>
      <c r="G1485" s="301">
        <v>56619</v>
      </c>
      <c r="H1485" s="301">
        <v>0</v>
      </c>
      <c r="I1485" s="301">
        <v>0</v>
      </c>
      <c r="J1485" s="301">
        <v>0</v>
      </c>
      <c r="K1485" s="302">
        <v>0</v>
      </c>
      <c r="L1485" s="301">
        <v>0</v>
      </c>
      <c r="M1485" s="301">
        <v>0</v>
      </c>
      <c r="N1485" s="301">
        <v>0</v>
      </c>
      <c r="O1485" s="301">
        <v>0</v>
      </c>
      <c r="P1485" s="301">
        <v>0</v>
      </c>
      <c r="Q1485" s="301">
        <v>0</v>
      </c>
      <c r="R1485" s="301">
        <v>0</v>
      </c>
      <c r="S1485" s="301">
        <v>0</v>
      </c>
      <c r="T1485" s="301">
        <v>0</v>
      </c>
      <c r="U1485" s="301">
        <v>0</v>
      </c>
      <c r="V1485" s="301">
        <v>0</v>
      </c>
      <c r="W1485" s="301">
        <v>0</v>
      </c>
      <c r="X1485" s="301">
        <v>0</v>
      </c>
      <c r="Y1485" s="301">
        <v>0</v>
      </c>
      <c r="Z1485" s="301">
        <v>0</v>
      </c>
      <c r="AA1485" s="301">
        <v>0</v>
      </c>
      <c r="AB1485" s="303">
        <v>2021</v>
      </c>
    </row>
    <row r="1486" spans="1:28" ht="35.25" customHeight="1" x14ac:dyDescent="0.5">
      <c r="A1486">
        <v>1</v>
      </c>
      <c r="B1486" s="80">
        <f>SUBTOTAL(103,$A$808:A1486)</f>
        <v>675</v>
      </c>
      <c r="C1486" s="300" t="s">
        <v>3118</v>
      </c>
      <c r="D1486" s="296">
        <f t="shared" si="61"/>
        <v>994057.41</v>
      </c>
      <c r="E1486" s="301">
        <v>0</v>
      </c>
      <c r="F1486" s="301">
        <v>0</v>
      </c>
      <c r="G1486" s="301">
        <v>0</v>
      </c>
      <c r="H1486" s="301">
        <v>0</v>
      </c>
      <c r="I1486" s="301">
        <v>0</v>
      </c>
      <c r="J1486" s="301">
        <v>0</v>
      </c>
      <c r="K1486" s="302">
        <v>0</v>
      </c>
      <c r="L1486" s="301">
        <v>0</v>
      </c>
      <c r="M1486" s="301">
        <v>994057.41</v>
      </c>
      <c r="N1486" s="301">
        <v>0</v>
      </c>
      <c r="O1486" s="301">
        <v>0</v>
      </c>
      <c r="P1486" s="301">
        <v>0</v>
      </c>
      <c r="Q1486" s="301">
        <v>0</v>
      </c>
      <c r="R1486" s="301">
        <v>0</v>
      </c>
      <c r="S1486" s="301">
        <v>0</v>
      </c>
      <c r="T1486" s="301">
        <v>0</v>
      </c>
      <c r="U1486" s="301">
        <v>0</v>
      </c>
      <c r="V1486" s="301">
        <v>0</v>
      </c>
      <c r="W1486" s="301">
        <v>0</v>
      </c>
      <c r="X1486" s="301">
        <v>0</v>
      </c>
      <c r="Y1486" s="301">
        <v>0</v>
      </c>
      <c r="Z1486" s="301">
        <v>0</v>
      </c>
      <c r="AA1486" s="301">
        <v>0</v>
      </c>
      <c r="AB1486" s="303">
        <v>2021</v>
      </c>
    </row>
    <row r="1487" spans="1:28" ht="35.25" customHeight="1" x14ac:dyDescent="0.5">
      <c r="A1487">
        <v>1</v>
      </c>
      <c r="B1487" s="80">
        <f>SUBTOTAL(103,$A$808:A1487)</f>
        <v>676</v>
      </c>
      <c r="C1487" s="300" t="s">
        <v>3119</v>
      </c>
      <c r="D1487" s="296">
        <f t="shared" si="61"/>
        <v>1600000</v>
      </c>
      <c r="E1487" s="301">
        <v>0</v>
      </c>
      <c r="F1487" s="301">
        <v>0</v>
      </c>
      <c r="G1487" s="301">
        <v>0</v>
      </c>
      <c r="H1487" s="301">
        <v>0</v>
      </c>
      <c r="I1487" s="301">
        <v>0</v>
      </c>
      <c r="J1487" s="301">
        <v>0</v>
      </c>
      <c r="K1487" s="302">
        <v>0</v>
      </c>
      <c r="L1487" s="301">
        <v>0</v>
      </c>
      <c r="M1487" s="301">
        <v>1600000</v>
      </c>
      <c r="N1487" s="301">
        <v>0</v>
      </c>
      <c r="O1487" s="301">
        <v>0</v>
      </c>
      <c r="P1487" s="301">
        <v>0</v>
      </c>
      <c r="Q1487" s="301">
        <v>0</v>
      </c>
      <c r="R1487" s="301">
        <v>0</v>
      </c>
      <c r="S1487" s="301">
        <v>0</v>
      </c>
      <c r="T1487" s="301">
        <v>0</v>
      </c>
      <c r="U1487" s="301">
        <v>0</v>
      </c>
      <c r="V1487" s="301">
        <v>0</v>
      </c>
      <c r="W1487" s="301">
        <v>0</v>
      </c>
      <c r="X1487" s="301">
        <v>0</v>
      </c>
      <c r="Y1487" s="301">
        <v>0</v>
      </c>
      <c r="Z1487" s="301">
        <v>0</v>
      </c>
      <c r="AA1487" s="301">
        <v>0</v>
      </c>
      <c r="AB1487" s="303">
        <v>2021</v>
      </c>
    </row>
    <row r="1488" spans="1:28" ht="35.25" customHeight="1" x14ac:dyDescent="0.5">
      <c r="A1488">
        <v>1</v>
      </c>
      <c r="B1488" s="80">
        <f>SUBTOTAL(103,$A$808:A1488)</f>
        <v>677</v>
      </c>
      <c r="C1488" s="300" t="s">
        <v>3120</v>
      </c>
      <c r="D1488" s="296">
        <f t="shared" si="61"/>
        <v>55364</v>
      </c>
      <c r="E1488" s="301">
        <v>0</v>
      </c>
      <c r="F1488" s="301">
        <v>0</v>
      </c>
      <c r="G1488" s="301">
        <v>55364</v>
      </c>
      <c r="H1488" s="301">
        <v>0</v>
      </c>
      <c r="I1488" s="301">
        <v>0</v>
      </c>
      <c r="J1488" s="301">
        <v>0</v>
      </c>
      <c r="K1488" s="302">
        <v>0</v>
      </c>
      <c r="L1488" s="301">
        <v>0</v>
      </c>
      <c r="M1488" s="301">
        <v>0</v>
      </c>
      <c r="N1488" s="301">
        <v>0</v>
      </c>
      <c r="O1488" s="301">
        <v>0</v>
      </c>
      <c r="P1488" s="301">
        <v>0</v>
      </c>
      <c r="Q1488" s="301">
        <v>0</v>
      </c>
      <c r="R1488" s="301">
        <v>0</v>
      </c>
      <c r="S1488" s="301">
        <v>0</v>
      </c>
      <c r="T1488" s="301">
        <v>0</v>
      </c>
      <c r="U1488" s="301">
        <v>0</v>
      </c>
      <c r="V1488" s="301">
        <v>0</v>
      </c>
      <c r="W1488" s="301">
        <v>0</v>
      </c>
      <c r="X1488" s="301">
        <v>0</v>
      </c>
      <c r="Y1488" s="301">
        <v>0</v>
      </c>
      <c r="Z1488" s="301">
        <v>0</v>
      </c>
      <c r="AA1488" s="301">
        <v>0</v>
      </c>
      <c r="AB1488" s="303">
        <v>2021</v>
      </c>
    </row>
    <row r="1489" spans="1:28" ht="35.25" customHeight="1" x14ac:dyDescent="0.5">
      <c r="A1489">
        <v>1</v>
      </c>
      <c r="B1489" s="80">
        <f>SUBTOTAL(103,$A$808:A1489)</f>
        <v>678</v>
      </c>
      <c r="C1489" s="300" t="s">
        <v>1997</v>
      </c>
      <c r="D1489" s="296">
        <f t="shared" si="61"/>
        <v>130225</v>
      </c>
      <c r="E1489" s="301">
        <v>0</v>
      </c>
      <c r="F1489" s="301">
        <v>0</v>
      </c>
      <c r="G1489" s="301">
        <v>0</v>
      </c>
      <c r="H1489" s="301">
        <v>0</v>
      </c>
      <c r="I1489" s="301">
        <v>0</v>
      </c>
      <c r="J1489" s="301">
        <v>0</v>
      </c>
      <c r="K1489" s="302">
        <v>0</v>
      </c>
      <c r="L1489" s="301">
        <v>0</v>
      </c>
      <c r="M1489" s="301">
        <v>0</v>
      </c>
      <c r="N1489" s="301">
        <v>0</v>
      </c>
      <c r="O1489" s="301">
        <v>130225</v>
      </c>
      <c r="P1489" s="301">
        <v>0</v>
      </c>
      <c r="Q1489" s="301">
        <v>0</v>
      </c>
      <c r="R1489" s="301">
        <v>0</v>
      </c>
      <c r="S1489" s="301">
        <v>0</v>
      </c>
      <c r="T1489" s="301">
        <v>0</v>
      </c>
      <c r="U1489" s="301">
        <v>0</v>
      </c>
      <c r="V1489" s="301">
        <v>0</v>
      </c>
      <c r="W1489" s="301">
        <v>0</v>
      </c>
      <c r="X1489" s="301">
        <v>0</v>
      </c>
      <c r="Y1489" s="301">
        <v>0</v>
      </c>
      <c r="Z1489" s="301">
        <v>0</v>
      </c>
      <c r="AA1489" s="301">
        <v>0</v>
      </c>
      <c r="AB1489" s="303">
        <v>2021</v>
      </c>
    </row>
    <row r="1490" spans="1:28" ht="35.25" customHeight="1" x14ac:dyDescent="0.5">
      <c r="A1490">
        <v>1</v>
      </c>
      <c r="B1490" s="80">
        <f>SUBTOTAL(103,$A$808:A1490)</f>
        <v>679</v>
      </c>
      <c r="C1490" s="300" t="s">
        <v>2396</v>
      </c>
      <c r="D1490" s="296">
        <f t="shared" si="61"/>
        <v>400000</v>
      </c>
      <c r="E1490" s="301">
        <v>0</v>
      </c>
      <c r="F1490" s="301">
        <v>0</v>
      </c>
      <c r="G1490" s="301">
        <v>0</v>
      </c>
      <c r="H1490" s="301">
        <v>0</v>
      </c>
      <c r="I1490" s="301">
        <v>0</v>
      </c>
      <c r="J1490" s="301">
        <v>0</v>
      </c>
      <c r="K1490" s="302">
        <v>0</v>
      </c>
      <c r="L1490" s="301">
        <v>0</v>
      </c>
      <c r="M1490" s="301">
        <v>0</v>
      </c>
      <c r="N1490" s="301">
        <v>0</v>
      </c>
      <c r="O1490" s="301">
        <v>400000</v>
      </c>
      <c r="P1490" s="301">
        <v>0</v>
      </c>
      <c r="Q1490" s="301">
        <v>0</v>
      </c>
      <c r="R1490" s="301">
        <v>0</v>
      </c>
      <c r="S1490" s="301">
        <v>0</v>
      </c>
      <c r="T1490" s="301">
        <v>0</v>
      </c>
      <c r="U1490" s="301">
        <v>0</v>
      </c>
      <c r="V1490" s="301">
        <v>0</v>
      </c>
      <c r="W1490" s="301">
        <v>0</v>
      </c>
      <c r="X1490" s="301">
        <v>0</v>
      </c>
      <c r="Y1490" s="301">
        <v>0</v>
      </c>
      <c r="Z1490" s="301">
        <v>0</v>
      </c>
      <c r="AA1490" s="301">
        <v>0</v>
      </c>
      <c r="AB1490" s="303">
        <v>2021</v>
      </c>
    </row>
    <row r="1491" spans="1:28" ht="35.25" customHeight="1" x14ac:dyDescent="0.5">
      <c r="A1491">
        <v>1</v>
      </c>
      <c r="B1491" s="80">
        <f>SUBTOTAL(103,$A$808:A1491)</f>
        <v>680</v>
      </c>
      <c r="C1491" s="300" t="s">
        <v>3389</v>
      </c>
      <c r="D1491" s="296">
        <f t="shared" si="61"/>
        <v>540565</v>
      </c>
      <c r="E1491" s="301">
        <v>0</v>
      </c>
      <c r="F1491" s="301">
        <v>0</v>
      </c>
      <c r="G1491" s="301">
        <v>0</v>
      </c>
      <c r="H1491" s="301">
        <v>0</v>
      </c>
      <c r="I1491" s="301">
        <v>0</v>
      </c>
      <c r="J1491" s="301">
        <v>0</v>
      </c>
      <c r="K1491" s="302">
        <v>0</v>
      </c>
      <c r="L1491" s="301">
        <v>0</v>
      </c>
      <c r="M1491" s="301">
        <v>0</v>
      </c>
      <c r="N1491" s="301">
        <v>0</v>
      </c>
      <c r="O1491" s="301">
        <v>540565</v>
      </c>
      <c r="P1491" s="301">
        <v>0</v>
      </c>
      <c r="Q1491" s="301">
        <v>0</v>
      </c>
      <c r="R1491" s="301">
        <v>0</v>
      </c>
      <c r="S1491" s="301">
        <v>0</v>
      </c>
      <c r="T1491" s="301">
        <v>0</v>
      </c>
      <c r="U1491" s="301">
        <v>0</v>
      </c>
      <c r="V1491" s="301">
        <v>0</v>
      </c>
      <c r="W1491" s="301">
        <v>0</v>
      </c>
      <c r="X1491" s="301">
        <v>0</v>
      </c>
      <c r="Y1491" s="301">
        <v>0</v>
      </c>
      <c r="Z1491" s="301">
        <v>0</v>
      </c>
      <c r="AA1491" s="301">
        <v>0</v>
      </c>
      <c r="AB1491" s="303">
        <v>2021</v>
      </c>
    </row>
    <row r="1492" spans="1:28" ht="35.25" customHeight="1" x14ac:dyDescent="0.5">
      <c r="A1492">
        <v>1</v>
      </c>
      <c r="B1492" s="80">
        <f>SUBTOTAL(103,$A$808:A1492)</f>
        <v>681</v>
      </c>
      <c r="C1492" s="300" t="s">
        <v>1999</v>
      </c>
      <c r="D1492" s="296">
        <f t="shared" si="61"/>
        <v>710857</v>
      </c>
      <c r="E1492" s="301">
        <v>0</v>
      </c>
      <c r="F1492" s="301">
        <v>710857</v>
      </c>
      <c r="G1492" s="301">
        <v>0</v>
      </c>
      <c r="H1492" s="301">
        <v>0</v>
      </c>
      <c r="I1492" s="301">
        <v>0</v>
      </c>
      <c r="J1492" s="301">
        <v>0</v>
      </c>
      <c r="K1492" s="302">
        <v>0</v>
      </c>
      <c r="L1492" s="301">
        <v>0</v>
      </c>
      <c r="M1492" s="301">
        <v>0</v>
      </c>
      <c r="N1492" s="301">
        <v>0</v>
      </c>
      <c r="O1492" s="301">
        <v>0</v>
      </c>
      <c r="P1492" s="301">
        <v>0</v>
      </c>
      <c r="Q1492" s="301">
        <v>0</v>
      </c>
      <c r="R1492" s="301">
        <v>0</v>
      </c>
      <c r="S1492" s="301">
        <v>0</v>
      </c>
      <c r="T1492" s="301">
        <v>0</v>
      </c>
      <c r="U1492" s="301">
        <v>0</v>
      </c>
      <c r="V1492" s="301">
        <v>0</v>
      </c>
      <c r="W1492" s="301">
        <v>0</v>
      </c>
      <c r="X1492" s="301">
        <v>0</v>
      </c>
      <c r="Y1492" s="301">
        <v>0</v>
      </c>
      <c r="Z1492" s="301">
        <v>0</v>
      </c>
      <c r="AA1492" s="301">
        <v>0</v>
      </c>
      <c r="AB1492" s="303">
        <v>2021</v>
      </c>
    </row>
    <row r="1493" spans="1:28" ht="35.25" customHeight="1" x14ac:dyDescent="0.5">
      <c r="A1493">
        <v>1</v>
      </c>
      <c r="B1493" s="80">
        <f>SUBTOTAL(103,$A$808:A1493)</f>
        <v>682</v>
      </c>
      <c r="C1493" s="300" t="s">
        <v>3121</v>
      </c>
      <c r="D1493" s="296">
        <f t="shared" si="61"/>
        <v>54548</v>
      </c>
      <c r="E1493" s="301">
        <v>0</v>
      </c>
      <c r="F1493" s="301">
        <v>0</v>
      </c>
      <c r="G1493" s="301">
        <v>54548</v>
      </c>
      <c r="H1493" s="301">
        <v>0</v>
      </c>
      <c r="I1493" s="301">
        <v>0</v>
      </c>
      <c r="J1493" s="301">
        <v>0</v>
      </c>
      <c r="K1493" s="302">
        <v>0</v>
      </c>
      <c r="L1493" s="301">
        <v>0</v>
      </c>
      <c r="M1493" s="301">
        <v>0</v>
      </c>
      <c r="N1493" s="301">
        <v>0</v>
      </c>
      <c r="O1493" s="301">
        <v>0</v>
      </c>
      <c r="P1493" s="301">
        <v>0</v>
      </c>
      <c r="Q1493" s="301">
        <v>0</v>
      </c>
      <c r="R1493" s="301">
        <v>0</v>
      </c>
      <c r="S1493" s="301">
        <v>0</v>
      </c>
      <c r="T1493" s="301">
        <v>0</v>
      </c>
      <c r="U1493" s="301">
        <v>0</v>
      </c>
      <c r="V1493" s="301">
        <v>0</v>
      </c>
      <c r="W1493" s="301">
        <v>0</v>
      </c>
      <c r="X1493" s="301">
        <v>0</v>
      </c>
      <c r="Y1493" s="301">
        <v>0</v>
      </c>
      <c r="Z1493" s="301">
        <v>0</v>
      </c>
      <c r="AA1493" s="301">
        <v>0</v>
      </c>
      <c r="AB1493" s="303">
        <v>2021</v>
      </c>
    </row>
    <row r="1494" spans="1:28" ht="35.25" customHeight="1" x14ac:dyDescent="0.5">
      <c r="A1494">
        <v>1</v>
      </c>
      <c r="B1494" s="80">
        <f>SUBTOTAL(103,$A$808:A1494)</f>
        <v>683</v>
      </c>
      <c r="C1494" s="300" t="s">
        <v>3377</v>
      </c>
      <c r="D1494" s="296">
        <f t="shared" si="61"/>
        <v>592400</v>
      </c>
      <c r="E1494" s="301">
        <v>0</v>
      </c>
      <c r="F1494" s="301">
        <v>0</v>
      </c>
      <c r="G1494" s="301">
        <v>0</v>
      </c>
      <c r="H1494" s="301">
        <v>0</v>
      </c>
      <c r="I1494" s="301">
        <v>0</v>
      </c>
      <c r="J1494" s="301">
        <v>0</v>
      </c>
      <c r="K1494" s="302">
        <v>0</v>
      </c>
      <c r="L1494" s="301">
        <v>0</v>
      </c>
      <c r="M1494" s="301">
        <v>0</v>
      </c>
      <c r="N1494" s="301">
        <v>0</v>
      </c>
      <c r="O1494" s="301">
        <v>592400</v>
      </c>
      <c r="P1494" s="301">
        <v>0</v>
      </c>
      <c r="Q1494" s="301">
        <v>0</v>
      </c>
      <c r="R1494" s="301">
        <v>0</v>
      </c>
      <c r="S1494" s="301">
        <v>0</v>
      </c>
      <c r="T1494" s="301">
        <v>0</v>
      </c>
      <c r="U1494" s="301">
        <v>0</v>
      </c>
      <c r="V1494" s="301">
        <v>0</v>
      </c>
      <c r="W1494" s="301">
        <v>0</v>
      </c>
      <c r="X1494" s="301">
        <v>0</v>
      </c>
      <c r="Y1494" s="301">
        <v>0</v>
      </c>
      <c r="Z1494" s="301">
        <v>0</v>
      </c>
      <c r="AA1494" s="301">
        <v>0</v>
      </c>
      <c r="AB1494" s="303">
        <v>2021</v>
      </c>
    </row>
    <row r="1495" spans="1:28" ht="35.25" customHeight="1" x14ac:dyDescent="0.5">
      <c r="A1495">
        <v>1</v>
      </c>
      <c r="B1495" s="80">
        <f>SUBTOTAL(103,$A$808:A1495)</f>
        <v>684</v>
      </c>
      <c r="C1495" s="300" t="s">
        <v>3122</v>
      </c>
      <c r="D1495" s="296">
        <f t="shared" si="61"/>
        <v>1488519.9</v>
      </c>
      <c r="E1495" s="301">
        <v>0</v>
      </c>
      <c r="F1495" s="301">
        <v>0</v>
      </c>
      <c r="G1495" s="301">
        <v>0</v>
      </c>
      <c r="H1495" s="301">
        <v>0</v>
      </c>
      <c r="I1495" s="301">
        <v>0</v>
      </c>
      <c r="J1495" s="301">
        <v>0</v>
      </c>
      <c r="K1495" s="302">
        <v>0</v>
      </c>
      <c r="L1495" s="301">
        <v>0</v>
      </c>
      <c r="M1495" s="301">
        <v>0</v>
      </c>
      <c r="N1495" s="301">
        <v>0</v>
      </c>
      <c r="O1495" s="301">
        <v>1191694</v>
      </c>
      <c r="P1495" s="301">
        <v>296825.90000000002</v>
      </c>
      <c r="Q1495" s="301">
        <v>0</v>
      </c>
      <c r="R1495" s="301">
        <v>0</v>
      </c>
      <c r="S1495" s="301">
        <v>0</v>
      </c>
      <c r="T1495" s="301">
        <v>0</v>
      </c>
      <c r="U1495" s="301">
        <v>0</v>
      </c>
      <c r="V1495" s="301">
        <v>0</v>
      </c>
      <c r="W1495" s="301">
        <v>0</v>
      </c>
      <c r="X1495" s="301">
        <v>0</v>
      </c>
      <c r="Y1495" s="301">
        <v>0</v>
      </c>
      <c r="Z1495" s="301">
        <v>0</v>
      </c>
      <c r="AA1495" s="301">
        <v>0</v>
      </c>
      <c r="AB1495" s="303">
        <v>2021</v>
      </c>
    </row>
    <row r="1496" spans="1:28" ht="35.25" customHeight="1" x14ac:dyDescent="0.5">
      <c r="A1496">
        <v>1</v>
      </c>
      <c r="B1496" s="80">
        <f>SUBTOTAL(103,$A$808:A1496)</f>
        <v>685</v>
      </c>
      <c r="C1496" s="300" t="s">
        <v>3123</v>
      </c>
      <c r="D1496" s="296">
        <f t="shared" si="61"/>
        <v>1097598</v>
      </c>
      <c r="E1496" s="301">
        <v>0</v>
      </c>
      <c r="F1496" s="301">
        <v>0</v>
      </c>
      <c r="G1496" s="301">
        <v>0</v>
      </c>
      <c r="H1496" s="301">
        <v>0</v>
      </c>
      <c r="I1496" s="301">
        <v>0</v>
      </c>
      <c r="J1496" s="301">
        <v>0</v>
      </c>
      <c r="K1496" s="302">
        <v>0</v>
      </c>
      <c r="L1496" s="301">
        <v>0</v>
      </c>
      <c r="M1496" s="301">
        <v>847598</v>
      </c>
      <c r="N1496" s="301">
        <v>0</v>
      </c>
      <c r="O1496" s="301">
        <v>250000</v>
      </c>
      <c r="P1496" s="301">
        <v>0</v>
      </c>
      <c r="Q1496" s="301">
        <v>0</v>
      </c>
      <c r="R1496" s="301">
        <v>0</v>
      </c>
      <c r="S1496" s="301">
        <v>0</v>
      </c>
      <c r="T1496" s="301">
        <v>0</v>
      </c>
      <c r="U1496" s="301">
        <v>0</v>
      </c>
      <c r="V1496" s="301">
        <v>0</v>
      </c>
      <c r="W1496" s="301">
        <v>0</v>
      </c>
      <c r="X1496" s="301">
        <v>0</v>
      </c>
      <c r="Y1496" s="301">
        <v>0</v>
      </c>
      <c r="Z1496" s="301">
        <v>0</v>
      </c>
      <c r="AA1496" s="301">
        <v>0</v>
      </c>
      <c r="AB1496" s="303">
        <v>2021</v>
      </c>
    </row>
    <row r="1497" spans="1:28" ht="35.25" customHeight="1" x14ac:dyDescent="0.5">
      <c r="A1497">
        <v>1</v>
      </c>
      <c r="B1497" s="80">
        <f>SUBTOTAL(103,$A$808:A1497)</f>
        <v>686</v>
      </c>
      <c r="C1497" s="300" t="s">
        <v>2407</v>
      </c>
      <c r="D1497" s="296">
        <f t="shared" si="61"/>
        <v>347180</v>
      </c>
      <c r="E1497" s="301">
        <v>0</v>
      </c>
      <c r="F1497" s="301">
        <v>0</v>
      </c>
      <c r="G1497" s="301">
        <v>0</v>
      </c>
      <c r="H1497" s="301">
        <v>0</v>
      </c>
      <c r="I1497" s="301">
        <v>347180</v>
      </c>
      <c r="J1497" s="301">
        <v>0</v>
      </c>
      <c r="K1497" s="302">
        <v>0</v>
      </c>
      <c r="L1497" s="301">
        <v>0</v>
      </c>
      <c r="M1497" s="301">
        <v>0</v>
      </c>
      <c r="N1497" s="301">
        <v>0</v>
      </c>
      <c r="O1497" s="301">
        <v>0</v>
      </c>
      <c r="P1497" s="301">
        <v>0</v>
      </c>
      <c r="Q1497" s="301">
        <v>0</v>
      </c>
      <c r="R1497" s="301">
        <v>0</v>
      </c>
      <c r="S1497" s="301">
        <v>0</v>
      </c>
      <c r="T1497" s="301">
        <v>0</v>
      </c>
      <c r="U1497" s="301">
        <v>0</v>
      </c>
      <c r="V1497" s="301">
        <v>0</v>
      </c>
      <c r="W1497" s="301">
        <v>0</v>
      </c>
      <c r="X1497" s="301">
        <v>0</v>
      </c>
      <c r="Y1497" s="301">
        <v>0</v>
      </c>
      <c r="Z1497" s="301">
        <v>0</v>
      </c>
      <c r="AA1497" s="301">
        <v>0</v>
      </c>
      <c r="AB1497" s="303">
        <v>2021</v>
      </c>
    </row>
    <row r="1498" spans="1:28" ht="35.25" customHeight="1" x14ac:dyDescent="0.5">
      <c r="A1498">
        <v>1</v>
      </c>
      <c r="B1498" s="80">
        <f>SUBTOTAL(103,$A$808:A1498)</f>
        <v>687</v>
      </c>
      <c r="C1498" s="300" t="s">
        <v>2382</v>
      </c>
      <c r="D1498" s="296">
        <f t="shared" si="61"/>
        <v>220000</v>
      </c>
      <c r="E1498" s="301">
        <v>0</v>
      </c>
      <c r="F1498" s="301">
        <v>0</v>
      </c>
      <c r="G1498" s="301">
        <v>0</v>
      </c>
      <c r="H1498" s="301">
        <v>0</v>
      </c>
      <c r="I1498" s="301">
        <v>0</v>
      </c>
      <c r="J1498" s="301">
        <v>0</v>
      </c>
      <c r="K1498" s="302">
        <v>0</v>
      </c>
      <c r="L1498" s="301">
        <v>0</v>
      </c>
      <c r="M1498" s="301">
        <v>220000</v>
      </c>
      <c r="N1498" s="301">
        <v>0</v>
      </c>
      <c r="O1498" s="301">
        <v>0</v>
      </c>
      <c r="P1498" s="301">
        <v>0</v>
      </c>
      <c r="Q1498" s="301">
        <v>0</v>
      </c>
      <c r="R1498" s="301">
        <v>0</v>
      </c>
      <c r="S1498" s="301">
        <v>0</v>
      </c>
      <c r="T1498" s="301">
        <v>0</v>
      </c>
      <c r="U1498" s="301">
        <v>0</v>
      </c>
      <c r="V1498" s="301">
        <v>0</v>
      </c>
      <c r="W1498" s="301">
        <v>0</v>
      </c>
      <c r="X1498" s="301">
        <v>0</v>
      </c>
      <c r="Y1498" s="301">
        <v>0</v>
      </c>
      <c r="Z1498" s="301">
        <v>0</v>
      </c>
      <c r="AA1498" s="301">
        <v>0</v>
      </c>
      <c r="AB1498" s="303">
        <v>2021</v>
      </c>
    </row>
    <row r="1499" spans="1:28" ht="35.25" customHeight="1" x14ac:dyDescent="0.5">
      <c r="A1499">
        <v>1</v>
      </c>
      <c r="B1499" s="80">
        <f>SUBTOTAL(103,$A$808:A1499)</f>
        <v>688</v>
      </c>
      <c r="C1499" s="300" t="s">
        <v>1712</v>
      </c>
      <c r="D1499" s="296">
        <f t="shared" si="61"/>
        <v>25164</v>
      </c>
      <c r="E1499" s="301">
        <v>0</v>
      </c>
      <c r="F1499" s="301">
        <v>0</v>
      </c>
      <c r="G1499" s="301">
        <v>0</v>
      </c>
      <c r="H1499" s="301">
        <v>0</v>
      </c>
      <c r="I1499" s="301">
        <v>0</v>
      </c>
      <c r="J1499" s="301">
        <v>0</v>
      </c>
      <c r="K1499" s="302">
        <v>0</v>
      </c>
      <c r="L1499" s="301">
        <v>0</v>
      </c>
      <c r="M1499" s="301">
        <v>0</v>
      </c>
      <c r="N1499" s="301">
        <v>0</v>
      </c>
      <c r="O1499" s="301">
        <v>25164</v>
      </c>
      <c r="P1499" s="301">
        <v>0</v>
      </c>
      <c r="Q1499" s="301">
        <v>0</v>
      </c>
      <c r="R1499" s="301">
        <v>0</v>
      </c>
      <c r="S1499" s="301">
        <v>0</v>
      </c>
      <c r="T1499" s="301">
        <v>0</v>
      </c>
      <c r="U1499" s="301">
        <v>0</v>
      </c>
      <c r="V1499" s="301">
        <v>0</v>
      </c>
      <c r="W1499" s="301">
        <v>0</v>
      </c>
      <c r="X1499" s="301">
        <v>0</v>
      </c>
      <c r="Y1499" s="301">
        <v>0</v>
      </c>
      <c r="Z1499" s="301">
        <v>0</v>
      </c>
      <c r="AA1499" s="301">
        <v>0</v>
      </c>
      <c r="AB1499" s="303">
        <v>2021</v>
      </c>
    </row>
    <row r="1500" spans="1:28" ht="35.25" customHeight="1" x14ac:dyDescent="0.5">
      <c r="A1500">
        <v>1</v>
      </c>
      <c r="B1500" s="80">
        <f>SUBTOTAL(103,$A$808:A1500)</f>
        <v>689</v>
      </c>
      <c r="C1500" s="300" t="s">
        <v>2020</v>
      </c>
      <c r="D1500" s="296">
        <f t="shared" si="61"/>
        <v>112000</v>
      </c>
      <c r="E1500" s="301">
        <v>0</v>
      </c>
      <c r="F1500" s="301">
        <v>0</v>
      </c>
      <c r="G1500" s="301">
        <v>112000</v>
      </c>
      <c r="H1500" s="301">
        <v>0</v>
      </c>
      <c r="I1500" s="301">
        <v>0</v>
      </c>
      <c r="J1500" s="301">
        <v>0</v>
      </c>
      <c r="K1500" s="302">
        <v>0</v>
      </c>
      <c r="L1500" s="301">
        <v>0</v>
      </c>
      <c r="M1500" s="301">
        <v>0</v>
      </c>
      <c r="N1500" s="301">
        <v>0</v>
      </c>
      <c r="O1500" s="301">
        <v>0</v>
      </c>
      <c r="P1500" s="301">
        <v>0</v>
      </c>
      <c r="Q1500" s="301">
        <v>0</v>
      </c>
      <c r="R1500" s="301">
        <v>0</v>
      </c>
      <c r="S1500" s="301">
        <v>0</v>
      </c>
      <c r="T1500" s="301">
        <v>0</v>
      </c>
      <c r="U1500" s="301">
        <v>0</v>
      </c>
      <c r="V1500" s="301">
        <v>0</v>
      </c>
      <c r="W1500" s="301">
        <v>0</v>
      </c>
      <c r="X1500" s="301">
        <v>0</v>
      </c>
      <c r="Y1500" s="301">
        <v>0</v>
      </c>
      <c r="Z1500" s="301">
        <v>0</v>
      </c>
      <c r="AA1500" s="301">
        <v>0</v>
      </c>
      <c r="AB1500" s="303">
        <v>2021</v>
      </c>
    </row>
    <row r="1501" spans="1:28" ht="35.25" customHeight="1" x14ac:dyDescent="0.5">
      <c r="A1501">
        <v>1</v>
      </c>
      <c r="B1501" s="80">
        <f>SUBTOTAL(103,$A$808:A1501)</f>
        <v>690</v>
      </c>
      <c r="C1501" s="300" t="s">
        <v>3124</v>
      </c>
      <c r="D1501" s="296">
        <f t="shared" si="61"/>
        <v>780913.2</v>
      </c>
      <c r="E1501" s="301">
        <v>0</v>
      </c>
      <c r="F1501" s="301">
        <v>0</v>
      </c>
      <c r="G1501" s="301">
        <v>0</v>
      </c>
      <c r="H1501" s="301">
        <v>0</v>
      </c>
      <c r="I1501" s="301">
        <v>0</v>
      </c>
      <c r="J1501" s="301">
        <v>0</v>
      </c>
      <c r="K1501" s="302">
        <v>0</v>
      </c>
      <c r="L1501" s="301">
        <v>0</v>
      </c>
      <c r="M1501" s="301">
        <v>0</v>
      </c>
      <c r="N1501" s="301">
        <v>0</v>
      </c>
      <c r="O1501" s="301">
        <v>0</v>
      </c>
      <c r="P1501" s="301">
        <v>780913.2</v>
      </c>
      <c r="Q1501" s="301">
        <v>0</v>
      </c>
      <c r="R1501" s="301">
        <v>0</v>
      </c>
      <c r="S1501" s="301">
        <v>0</v>
      </c>
      <c r="T1501" s="301">
        <v>0</v>
      </c>
      <c r="U1501" s="301">
        <v>0</v>
      </c>
      <c r="V1501" s="301">
        <v>0</v>
      </c>
      <c r="W1501" s="301">
        <v>0</v>
      </c>
      <c r="X1501" s="301">
        <v>0</v>
      </c>
      <c r="Y1501" s="301">
        <v>0</v>
      </c>
      <c r="Z1501" s="301">
        <v>0</v>
      </c>
      <c r="AA1501" s="301">
        <v>0</v>
      </c>
      <c r="AB1501" s="303">
        <v>2021</v>
      </c>
    </row>
    <row r="1502" spans="1:28" ht="35.25" customHeight="1" x14ac:dyDescent="0.5">
      <c r="A1502">
        <v>1</v>
      </c>
      <c r="B1502" s="80">
        <f>SUBTOTAL(103,$A$808:A1502)</f>
        <v>691</v>
      </c>
      <c r="C1502" s="300" t="s">
        <v>2021</v>
      </c>
      <c r="D1502" s="296">
        <f t="shared" si="61"/>
        <v>107633</v>
      </c>
      <c r="E1502" s="301">
        <v>0</v>
      </c>
      <c r="F1502" s="301">
        <v>0</v>
      </c>
      <c r="G1502" s="301">
        <v>107633</v>
      </c>
      <c r="H1502" s="301">
        <v>0</v>
      </c>
      <c r="I1502" s="301">
        <v>0</v>
      </c>
      <c r="J1502" s="301">
        <v>0</v>
      </c>
      <c r="K1502" s="302">
        <v>0</v>
      </c>
      <c r="L1502" s="301">
        <v>0</v>
      </c>
      <c r="M1502" s="301">
        <v>0</v>
      </c>
      <c r="N1502" s="301">
        <v>0</v>
      </c>
      <c r="O1502" s="301">
        <v>0</v>
      </c>
      <c r="P1502" s="301">
        <v>0</v>
      </c>
      <c r="Q1502" s="301">
        <v>0</v>
      </c>
      <c r="R1502" s="301">
        <v>0</v>
      </c>
      <c r="S1502" s="301">
        <v>0</v>
      </c>
      <c r="T1502" s="301">
        <v>0</v>
      </c>
      <c r="U1502" s="301">
        <v>0</v>
      </c>
      <c r="V1502" s="301">
        <v>0</v>
      </c>
      <c r="W1502" s="301">
        <v>0</v>
      </c>
      <c r="X1502" s="301">
        <v>0</v>
      </c>
      <c r="Y1502" s="301">
        <v>0</v>
      </c>
      <c r="Z1502" s="301">
        <v>0</v>
      </c>
      <c r="AA1502" s="301">
        <v>0</v>
      </c>
      <c r="AB1502" s="303">
        <v>2021</v>
      </c>
    </row>
    <row r="1503" spans="1:28" ht="35.25" customHeight="1" x14ac:dyDescent="0.5">
      <c r="A1503">
        <v>1</v>
      </c>
      <c r="B1503" s="80">
        <f>SUBTOTAL(103,$A$808:A1503)</f>
        <v>692</v>
      </c>
      <c r="C1503" s="300" t="s">
        <v>3125</v>
      </c>
      <c r="D1503" s="296">
        <f t="shared" si="61"/>
        <v>450000</v>
      </c>
      <c r="E1503" s="301">
        <v>0</v>
      </c>
      <c r="F1503" s="301">
        <v>0</v>
      </c>
      <c r="G1503" s="301">
        <v>0</v>
      </c>
      <c r="H1503" s="301">
        <v>0</v>
      </c>
      <c r="I1503" s="301">
        <v>0</v>
      </c>
      <c r="J1503" s="301">
        <v>0</v>
      </c>
      <c r="K1503" s="302">
        <v>0</v>
      </c>
      <c r="L1503" s="301">
        <v>0</v>
      </c>
      <c r="M1503" s="301">
        <v>0</v>
      </c>
      <c r="N1503" s="301">
        <v>0</v>
      </c>
      <c r="O1503" s="301">
        <v>450000</v>
      </c>
      <c r="P1503" s="301">
        <v>0</v>
      </c>
      <c r="Q1503" s="301">
        <v>0</v>
      </c>
      <c r="R1503" s="301">
        <v>0</v>
      </c>
      <c r="S1503" s="301">
        <v>0</v>
      </c>
      <c r="T1503" s="301">
        <v>0</v>
      </c>
      <c r="U1503" s="301">
        <v>0</v>
      </c>
      <c r="V1503" s="301">
        <v>0</v>
      </c>
      <c r="W1503" s="301">
        <v>0</v>
      </c>
      <c r="X1503" s="301">
        <v>0</v>
      </c>
      <c r="Y1503" s="301">
        <v>0</v>
      </c>
      <c r="Z1503" s="301">
        <v>0</v>
      </c>
      <c r="AA1503" s="301">
        <v>0</v>
      </c>
      <c r="AB1503" s="303">
        <v>2021</v>
      </c>
    </row>
    <row r="1504" spans="1:28" ht="35.25" customHeight="1" x14ac:dyDescent="0.5">
      <c r="A1504">
        <v>1</v>
      </c>
      <c r="B1504" s="80">
        <f>SUBTOTAL(103,$A$808:A1504)</f>
        <v>693</v>
      </c>
      <c r="C1504" s="300" t="s">
        <v>2395</v>
      </c>
      <c r="D1504" s="296">
        <f t="shared" si="61"/>
        <v>6888678.4000000004</v>
      </c>
      <c r="E1504" s="304">
        <v>125397</v>
      </c>
      <c r="F1504" s="304">
        <v>125397</v>
      </c>
      <c r="G1504" s="304">
        <v>0</v>
      </c>
      <c r="H1504" s="304">
        <v>0</v>
      </c>
      <c r="I1504" s="304">
        <v>0</v>
      </c>
      <c r="J1504" s="304">
        <v>0</v>
      </c>
      <c r="K1504" s="305">
        <v>3</v>
      </c>
      <c r="L1504" s="304">
        <v>6000000</v>
      </c>
      <c r="M1504" s="304">
        <v>498604.4</v>
      </c>
      <c r="N1504" s="304">
        <v>0</v>
      </c>
      <c r="O1504" s="304">
        <v>139280</v>
      </c>
      <c r="P1504" s="304">
        <v>0</v>
      </c>
      <c r="Q1504" s="304">
        <v>0</v>
      </c>
      <c r="R1504" s="304">
        <v>0</v>
      </c>
      <c r="S1504" s="304">
        <v>0</v>
      </c>
      <c r="T1504" s="304">
        <v>0</v>
      </c>
      <c r="U1504" s="304">
        <v>0</v>
      </c>
      <c r="V1504" s="304">
        <v>0</v>
      </c>
      <c r="W1504" s="304">
        <v>0</v>
      </c>
      <c r="X1504" s="304">
        <v>0</v>
      </c>
      <c r="Y1504" s="304">
        <v>0</v>
      </c>
      <c r="Z1504" s="304">
        <v>0</v>
      </c>
      <c r="AA1504" s="304">
        <v>0</v>
      </c>
      <c r="AB1504" s="303">
        <v>2020</v>
      </c>
    </row>
    <row r="1505" spans="1:28" ht="35.25" customHeight="1" x14ac:dyDescent="0.5">
      <c r="A1505">
        <v>1</v>
      </c>
      <c r="B1505" s="80">
        <f>SUBTOTAL(103,$A$808:A1505)</f>
        <v>694</v>
      </c>
      <c r="C1505" s="300" t="s">
        <v>3201</v>
      </c>
      <c r="D1505" s="296">
        <f t="shared" si="61"/>
        <v>88910</v>
      </c>
      <c r="E1505" s="304">
        <v>0</v>
      </c>
      <c r="F1505" s="304">
        <v>0</v>
      </c>
      <c r="G1505" s="304">
        <v>0</v>
      </c>
      <c r="H1505" s="304">
        <v>0</v>
      </c>
      <c r="I1505" s="304">
        <v>88910</v>
      </c>
      <c r="J1505" s="304">
        <v>0</v>
      </c>
      <c r="K1505" s="305">
        <v>0</v>
      </c>
      <c r="L1505" s="304">
        <v>0</v>
      </c>
      <c r="M1505" s="304">
        <v>0</v>
      </c>
      <c r="N1505" s="304">
        <v>0</v>
      </c>
      <c r="O1505" s="304">
        <v>0</v>
      </c>
      <c r="P1505" s="304">
        <v>0</v>
      </c>
      <c r="Q1505" s="304">
        <v>0</v>
      </c>
      <c r="R1505" s="304">
        <v>0</v>
      </c>
      <c r="S1505" s="304">
        <v>0</v>
      </c>
      <c r="T1505" s="304">
        <v>0</v>
      </c>
      <c r="U1505" s="304">
        <v>0</v>
      </c>
      <c r="V1505" s="304">
        <v>0</v>
      </c>
      <c r="W1505" s="304">
        <v>0</v>
      </c>
      <c r="X1505" s="304">
        <v>0</v>
      </c>
      <c r="Y1505" s="304">
        <v>0</v>
      </c>
      <c r="Z1505" s="304">
        <v>0</v>
      </c>
      <c r="AA1505" s="304">
        <v>0</v>
      </c>
      <c r="AB1505" s="303">
        <v>2021</v>
      </c>
    </row>
    <row r="1506" spans="1:28" ht="35.25" customHeight="1" x14ac:dyDescent="0.5">
      <c r="A1506">
        <v>1</v>
      </c>
      <c r="B1506" s="80">
        <f>SUBTOTAL(103,$A$808:A1506)</f>
        <v>695</v>
      </c>
      <c r="C1506" s="300" t="s">
        <v>3305</v>
      </c>
      <c r="D1506" s="296">
        <f t="shared" si="61"/>
        <v>243600</v>
      </c>
      <c r="E1506" s="304">
        <v>0</v>
      </c>
      <c r="F1506" s="304">
        <v>0</v>
      </c>
      <c r="G1506" s="304">
        <v>0</v>
      </c>
      <c r="H1506" s="304">
        <v>0</v>
      </c>
      <c r="I1506" s="304">
        <v>0</v>
      </c>
      <c r="J1506" s="304">
        <v>0</v>
      </c>
      <c r="K1506" s="305">
        <v>0</v>
      </c>
      <c r="L1506" s="304">
        <v>0</v>
      </c>
      <c r="M1506" s="304">
        <v>0</v>
      </c>
      <c r="N1506" s="304">
        <v>0</v>
      </c>
      <c r="O1506" s="304">
        <v>243600</v>
      </c>
      <c r="P1506" s="304">
        <v>0</v>
      </c>
      <c r="Q1506" s="304">
        <v>0</v>
      </c>
      <c r="R1506" s="304">
        <v>0</v>
      </c>
      <c r="S1506" s="304">
        <v>0</v>
      </c>
      <c r="T1506" s="304">
        <v>0</v>
      </c>
      <c r="U1506" s="304">
        <v>0</v>
      </c>
      <c r="V1506" s="304">
        <v>0</v>
      </c>
      <c r="W1506" s="304">
        <v>0</v>
      </c>
      <c r="X1506" s="304">
        <v>0</v>
      </c>
      <c r="Y1506" s="304">
        <v>0</v>
      </c>
      <c r="Z1506" s="304">
        <v>0</v>
      </c>
      <c r="AA1506" s="304">
        <v>0</v>
      </c>
      <c r="AB1506" s="303">
        <v>2021</v>
      </c>
    </row>
    <row r="1507" spans="1:28" ht="35.25" customHeight="1" x14ac:dyDescent="0.5">
      <c r="A1507">
        <v>1</v>
      </c>
      <c r="B1507" s="80">
        <f>SUBTOTAL(103,$A$808:A1507)</f>
        <v>696</v>
      </c>
      <c r="C1507" s="300" t="s">
        <v>3100</v>
      </c>
      <c r="D1507" s="296">
        <f t="shared" si="61"/>
        <v>1523862</v>
      </c>
      <c r="E1507" s="304">
        <v>0</v>
      </c>
      <c r="F1507" s="304">
        <v>0</v>
      </c>
      <c r="G1507" s="304">
        <v>0</v>
      </c>
      <c r="H1507" s="304">
        <v>0</v>
      </c>
      <c r="I1507" s="304">
        <v>0</v>
      </c>
      <c r="J1507" s="304">
        <v>0</v>
      </c>
      <c r="K1507" s="305">
        <v>0</v>
      </c>
      <c r="L1507" s="304">
        <v>0</v>
      </c>
      <c r="M1507" s="304">
        <v>1523862</v>
      </c>
      <c r="N1507" s="304">
        <v>0</v>
      </c>
      <c r="O1507" s="304">
        <v>0</v>
      </c>
      <c r="P1507" s="304">
        <v>0</v>
      </c>
      <c r="Q1507" s="304">
        <v>0</v>
      </c>
      <c r="R1507" s="304">
        <v>0</v>
      </c>
      <c r="S1507" s="304">
        <v>0</v>
      </c>
      <c r="T1507" s="304">
        <v>0</v>
      </c>
      <c r="U1507" s="304">
        <v>0</v>
      </c>
      <c r="V1507" s="304">
        <v>0</v>
      </c>
      <c r="W1507" s="304">
        <v>0</v>
      </c>
      <c r="X1507" s="304">
        <v>0</v>
      </c>
      <c r="Y1507" s="304">
        <v>0</v>
      </c>
      <c r="Z1507" s="304">
        <v>0</v>
      </c>
      <c r="AA1507" s="304">
        <v>0</v>
      </c>
      <c r="AB1507" s="303" t="s">
        <v>2981</v>
      </c>
    </row>
    <row r="1508" spans="1:28" ht="35.25" customHeight="1" x14ac:dyDescent="0.5">
      <c r="A1508">
        <v>1</v>
      </c>
      <c r="B1508" s="80">
        <f>SUBTOTAL(103,$A$808:A1508)</f>
        <v>697</v>
      </c>
      <c r="C1508" s="300" t="s">
        <v>3306</v>
      </c>
      <c r="D1508" s="296">
        <f t="shared" si="61"/>
        <v>954036</v>
      </c>
      <c r="E1508" s="304">
        <v>0</v>
      </c>
      <c r="F1508" s="304">
        <v>0</v>
      </c>
      <c r="G1508" s="304">
        <v>0</v>
      </c>
      <c r="H1508" s="304">
        <v>0</v>
      </c>
      <c r="I1508" s="304">
        <v>0</v>
      </c>
      <c r="J1508" s="304">
        <v>0</v>
      </c>
      <c r="K1508" s="305">
        <v>0</v>
      </c>
      <c r="L1508" s="304">
        <v>0</v>
      </c>
      <c r="M1508" s="304">
        <v>0</v>
      </c>
      <c r="N1508" s="304">
        <v>0</v>
      </c>
      <c r="O1508" s="304">
        <v>954036</v>
      </c>
      <c r="P1508" s="304">
        <v>0</v>
      </c>
      <c r="Q1508" s="304">
        <v>0</v>
      </c>
      <c r="R1508" s="304">
        <v>0</v>
      </c>
      <c r="S1508" s="304">
        <v>0</v>
      </c>
      <c r="T1508" s="304">
        <v>0</v>
      </c>
      <c r="U1508" s="304">
        <v>0</v>
      </c>
      <c r="V1508" s="304">
        <v>0</v>
      </c>
      <c r="W1508" s="304">
        <v>0</v>
      </c>
      <c r="X1508" s="304">
        <v>0</v>
      </c>
      <c r="Y1508" s="304">
        <v>0</v>
      </c>
      <c r="Z1508" s="304">
        <v>0</v>
      </c>
      <c r="AA1508" s="304">
        <v>0</v>
      </c>
      <c r="AB1508" s="303" t="s">
        <v>2981</v>
      </c>
    </row>
    <row r="1509" spans="1:28" ht="35.25" customHeight="1" x14ac:dyDescent="0.5">
      <c r="A1509">
        <v>1</v>
      </c>
      <c r="B1509" s="80">
        <f>SUBTOTAL(103,$A$808:A1509)</f>
        <v>698</v>
      </c>
      <c r="C1509" s="300" t="s">
        <v>3307</v>
      </c>
      <c r="D1509" s="296">
        <f t="shared" si="61"/>
        <v>1960000</v>
      </c>
      <c r="E1509" s="304">
        <v>0</v>
      </c>
      <c r="F1509" s="304">
        <v>0</v>
      </c>
      <c r="G1509" s="304">
        <v>0</v>
      </c>
      <c r="H1509" s="304">
        <v>0</v>
      </c>
      <c r="I1509" s="304">
        <v>0</v>
      </c>
      <c r="J1509" s="304">
        <v>0</v>
      </c>
      <c r="K1509" s="305">
        <v>1</v>
      </c>
      <c r="L1509" s="304">
        <v>1960000</v>
      </c>
      <c r="M1509" s="304">
        <v>0</v>
      </c>
      <c r="N1509" s="304">
        <v>0</v>
      </c>
      <c r="O1509" s="304">
        <v>0</v>
      </c>
      <c r="P1509" s="304">
        <v>0</v>
      </c>
      <c r="Q1509" s="304">
        <v>0</v>
      </c>
      <c r="R1509" s="304">
        <v>0</v>
      </c>
      <c r="S1509" s="304">
        <v>0</v>
      </c>
      <c r="T1509" s="304">
        <v>0</v>
      </c>
      <c r="U1509" s="304">
        <v>0</v>
      </c>
      <c r="V1509" s="304">
        <v>0</v>
      </c>
      <c r="W1509" s="304">
        <v>0</v>
      </c>
      <c r="X1509" s="304">
        <v>0</v>
      </c>
      <c r="Y1509" s="304">
        <v>0</v>
      </c>
      <c r="Z1509" s="304">
        <v>0</v>
      </c>
      <c r="AA1509" s="304">
        <v>0</v>
      </c>
      <c r="AB1509" s="303">
        <v>2021</v>
      </c>
    </row>
    <row r="1510" spans="1:28" ht="35.25" customHeight="1" x14ac:dyDescent="0.5">
      <c r="A1510">
        <v>1</v>
      </c>
      <c r="B1510" s="80">
        <f>SUBTOTAL(103,$A$808:A1510)</f>
        <v>699</v>
      </c>
      <c r="C1510" s="300" t="s">
        <v>3546</v>
      </c>
      <c r="D1510" s="296">
        <f t="shared" si="61"/>
        <v>521346</v>
      </c>
      <c r="E1510" s="304">
        <v>0</v>
      </c>
      <c r="F1510" s="304">
        <v>0</v>
      </c>
      <c r="G1510" s="304">
        <v>521346</v>
      </c>
      <c r="H1510" s="304">
        <v>0</v>
      </c>
      <c r="I1510" s="304">
        <v>0</v>
      </c>
      <c r="J1510" s="304">
        <v>0</v>
      </c>
      <c r="K1510" s="305">
        <v>0</v>
      </c>
      <c r="L1510" s="304">
        <v>0</v>
      </c>
      <c r="M1510" s="304">
        <v>0</v>
      </c>
      <c r="N1510" s="304">
        <v>0</v>
      </c>
      <c r="O1510" s="304">
        <v>0</v>
      </c>
      <c r="P1510" s="304">
        <v>0</v>
      </c>
      <c r="Q1510" s="304">
        <v>0</v>
      </c>
      <c r="R1510" s="304">
        <v>0</v>
      </c>
      <c r="S1510" s="304">
        <v>0</v>
      </c>
      <c r="T1510" s="304">
        <v>0</v>
      </c>
      <c r="U1510" s="304">
        <v>0</v>
      </c>
      <c r="V1510" s="304">
        <v>0</v>
      </c>
      <c r="W1510" s="304">
        <v>0</v>
      </c>
      <c r="X1510" s="304">
        <v>0</v>
      </c>
      <c r="Y1510" s="304">
        <v>0</v>
      </c>
      <c r="Z1510" s="304">
        <v>0</v>
      </c>
      <c r="AA1510" s="304">
        <v>0</v>
      </c>
      <c r="AB1510" s="303">
        <v>2021</v>
      </c>
    </row>
    <row r="1511" spans="1:28" ht="35.25" customHeight="1" x14ac:dyDescent="0.5">
      <c r="A1511">
        <v>1</v>
      </c>
      <c r="B1511" s="80">
        <f>SUBTOTAL(103,$A$808:A1511)</f>
        <v>700</v>
      </c>
      <c r="C1511" s="300" t="s">
        <v>2495</v>
      </c>
      <c r="D1511" s="296">
        <f t="shared" si="61"/>
        <v>2057107</v>
      </c>
      <c r="E1511" s="301">
        <v>0</v>
      </c>
      <c r="F1511" s="301">
        <v>0</v>
      </c>
      <c r="G1511" s="301">
        <v>0</v>
      </c>
      <c r="H1511" s="301">
        <v>0</v>
      </c>
      <c r="I1511" s="301">
        <v>0</v>
      </c>
      <c r="J1511" s="301">
        <v>0</v>
      </c>
      <c r="K1511" s="302">
        <v>0</v>
      </c>
      <c r="L1511" s="301">
        <v>0</v>
      </c>
      <c r="M1511" s="301">
        <v>2057107</v>
      </c>
      <c r="N1511" s="301">
        <v>0</v>
      </c>
      <c r="O1511" s="301">
        <v>0</v>
      </c>
      <c r="P1511" s="301">
        <v>0</v>
      </c>
      <c r="Q1511" s="301">
        <v>0</v>
      </c>
      <c r="R1511" s="301">
        <v>0</v>
      </c>
      <c r="S1511" s="301">
        <v>0</v>
      </c>
      <c r="T1511" s="301">
        <v>0</v>
      </c>
      <c r="U1511" s="301">
        <v>0</v>
      </c>
      <c r="V1511" s="301">
        <v>0</v>
      </c>
      <c r="W1511" s="301">
        <v>0</v>
      </c>
      <c r="X1511" s="301">
        <v>0</v>
      </c>
      <c r="Y1511" s="301">
        <v>0</v>
      </c>
      <c r="Z1511" s="301">
        <v>0</v>
      </c>
      <c r="AA1511" s="301">
        <v>0</v>
      </c>
      <c r="AB1511" s="303">
        <v>2021</v>
      </c>
    </row>
    <row r="1512" spans="1:28" ht="35.25" customHeight="1" x14ac:dyDescent="0.5">
      <c r="B1512" s="299" t="s">
        <v>792</v>
      </c>
      <c r="C1512" s="300"/>
      <c r="D1512" s="296">
        <f t="shared" si="61"/>
        <v>6975133</v>
      </c>
      <c r="E1512" s="296">
        <f t="shared" ref="E1512:AA1512" si="62">SUM(E1513:E1518)</f>
        <v>0</v>
      </c>
      <c r="F1512" s="296">
        <f t="shared" si="62"/>
        <v>0</v>
      </c>
      <c r="G1512" s="296">
        <f t="shared" si="62"/>
        <v>0</v>
      </c>
      <c r="H1512" s="296">
        <f t="shared" si="62"/>
        <v>0</v>
      </c>
      <c r="I1512" s="296">
        <f t="shared" si="62"/>
        <v>0</v>
      </c>
      <c r="J1512" s="296">
        <f t="shared" si="62"/>
        <v>0</v>
      </c>
      <c r="K1512" s="297">
        <f t="shared" si="62"/>
        <v>0</v>
      </c>
      <c r="L1512" s="296">
        <f t="shared" si="62"/>
        <v>0</v>
      </c>
      <c r="M1512" s="296">
        <f t="shared" si="62"/>
        <v>1364770</v>
      </c>
      <c r="N1512" s="296">
        <f t="shared" si="62"/>
        <v>0</v>
      </c>
      <c r="O1512" s="296">
        <f t="shared" si="62"/>
        <v>5610363</v>
      </c>
      <c r="P1512" s="296">
        <f t="shared" si="62"/>
        <v>0</v>
      </c>
      <c r="Q1512" s="296">
        <f t="shared" si="62"/>
        <v>0</v>
      </c>
      <c r="R1512" s="296">
        <f t="shared" si="62"/>
        <v>0</v>
      </c>
      <c r="S1512" s="296">
        <f t="shared" si="62"/>
        <v>0</v>
      </c>
      <c r="T1512" s="296">
        <f t="shared" si="62"/>
        <v>0</v>
      </c>
      <c r="U1512" s="296">
        <f t="shared" si="62"/>
        <v>0</v>
      </c>
      <c r="V1512" s="296">
        <f t="shared" si="62"/>
        <v>0</v>
      </c>
      <c r="W1512" s="296">
        <f t="shared" si="62"/>
        <v>0</v>
      </c>
      <c r="X1512" s="296">
        <f t="shared" si="62"/>
        <v>0</v>
      </c>
      <c r="Y1512" s="296">
        <f t="shared" si="62"/>
        <v>0</v>
      </c>
      <c r="Z1512" s="296">
        <f t="shared" si="62"/>
        <v>0</v>
      </c>
      <c r="AA1512" s="296">
        <f t="shared" si="62"/>
        <v>0</v>
      </c>
      <c r="AB1512" s="298" t="s">
        <v>835</v>
      </c>
    </row>
    <row r="1513" spans="1:28" ht="35.25" customHeight="1" x14ac:dyDescent="0.5">
      <c r="A1513">
        <v>1</v>
      </c>
      <c r="B1513" s="80">
        <f>SUBTOTAL(103,$A$808:A1513)</f>
        <v>701</v>
      </c>
      <c r="C1513" s="300" t="s">
        <v>2681</v>
      </c>
      <c r="D1513" s="296">
        <f t="shared" si="61"/>
        <v>1489268</v>
      </c>
      <c r="E1513" s="301">
        <v>0</v>
      </c>
      <c r="F1513" s="301">
        <v>0</v>
      </c>
      <c r="G1513" s="301">
        <v>0</v>
      </c>
      <c r="H1513" s="301">
        <v>0</v>
      </c>
      <c r="I1513" s="301">
        <v>0</v>
      </c>
      <c r="J1513" s="301">
        <v>0</v>
      </c>
      <c r="K1513" s="302">
        <v>0</v>
      </c>
      <c r="L1513" s="301">
        <v>0</v>
      </c>
      <c r="M1513" s="301">
        <v>0</v>
      </c>
      <c r="N1513" s="301">
        <v>0</v>
      </c>
      <c r="O1513" s="301">
        <v>1489268</v>
      </c>
      <c r="P1513" s="301">
        <v>0</v>
      </c>
      <c r="Q1513" s="301">
        <v>0</v>
      </c>
      <c r="R1513" s="301">
        <v>0</v>
      </c>
      <c r="S1513" s="301">
        <v>0</v>
      </c>
      <c r="T1513" s="301">
        <v>0</v>
      </c>
      <c r="U1513" s="301">
        <v>0</v>
      </c>
      <c r="V1513" s="301">
        <v>0</v>
      </c>
      <c r="W1513" s="301">
        <v>0</v>
      </c>
      <c r="X1513" s="301">
        <v>0</v>
      </c>
      <c r="Y1513" s="301">
        <v>0</v>
      </c>
      <c r="Z1513" s="301">
        <v>0</v>
      </c>
      <c r="AA1513" s="301">
        <v>0</v>
      </c>
      <c r="AB1513" s="303">
        <v>2021</v>
      </c>
    </row>
    <row r="1514" spans="1:28" ht="35.25" customHeight="1" x14ac:dyDescent="0.5">
      <c r="A1514">
        <v>1</v>
      </c>
      <c r="B1514" s="80">
        <f>SUBTOTAL(103,$A$808:A1514)</f>
        <v>702</v>
      </c>
      <c r="C1514" s="300" t="s">
        <v>2855</v>
      </c>
      <c r="D1514" s="296">
        <f t="shared" si="61"/>
        <v>151877</v>
      </c>
      <c r="E1514" s="301">
        <v>0</v>
      </c>
      <c r="F1514" s="301">
        <v>0</v>
      </c>
      <c r="G1514" s="301">
        <v>0</v>
      </c>
      <c r="H1514" s="301">
        <v>0</v>
      </c>
      <c r="I1514" s="301">
        <v>0</v>
      </c>
      <c r="J1514" s="301">
        <v>0</v>
      </c>
      <c r="K1514" s="302">
        <v>0</v>
      </c>
      <c r="L1514" s="301">
        <v>0</v>
      </c>
      <c r="M1514" s="301">
        <v>0</v>
      </c>
      <c r="N1514" s="301">
        <v>0</v>
      </c>
      <c r="O1514" s="301">
        <v>151877</v>
      </c>
      <c r="P1514" s="301">
        <v>0</v>
      </c>
      <c r="Q1514" s="301">
        <v>0</v>
      </c>
      <c r="R1514" s="301">
        <v>0</v>
      </c>
      <c r="S1514" s="301">
        <v>0</v>
      </c>
      <c r="T1514" s="301">
        <v>0</v>
      </c>
      <c r="U1514" s="301">
        <v>0</v>
      </c>
      <c r="V1514" s="301">
        <v>0</v>
      </c>
      <c r="W1514" s="301">
        <v>0</v>
      </c>
      <c r="X1514" s="301">
        <v>0</v>
      </c>
      <c r="Y1514" s="301">
        <v>0</v>
      </c>
      <c r="Z1514" s="301">
        <v>0</v>
      </c>
      <c r="AA1514" s="301">
        <v>0</v>
      </c>
      <c r="AB1514" s="303">
        <v>2021</v>
      </c>
    </row>
    <row r="1515" spans="1:28" ht="35.25" customHeight="1" x14ac:dyDescent="0.5">
      <c r="A1515">
        <v>1</v>
      </c>
      <c r="B1515" s="80">
        <f>SUBTOTAL(103,$A$808:A1515)</f>
        <v>703</v>
      </c>
      <c r="C1515" s="300" t="s">
        <v>2856</v>
      </c>
      <c r="D1515" s="296">
        <f t="shared" si="61"/>
        <v>462741</v>
      </c>
      <c r="E1515" s="301">
        <v>0</v>
      </c>
      <c r="F1515" s="301">
        <v>0</v>
      </c>
      <c r="G1515" s="301">
        <v>0</v>
      </c>
      <c r="H1515" s="301">
        <v>0</v>
      </c>
      <c r="I1515" s="301">
        <v>0</v>
      </c>
      <c r="J1515" s="301">
        <v>0</v>
      </c>
      <c r="K1515" s="302">
        <v>0</v>
      </c>
      <c r="L1515" s="301">
        <v>0</v>
      </c>
      <c r="M1515" s="301">
        <v>0</v>
      </c>
      <c r="N1515" s="301">
        <v>0</v>
      </c>
      <c r="O1515" s="301">
        <v>462741</v>
      </c>
      <c r="P1515" s="301">
        <v>0</v>
      </c>
      <c r="Q1515" s="301">
        <v>0</v>
      </c>
      <c r="R1515" s="301">
        <v>0</v>
      </c>
      <c r="S1515" s="301">
        <v>0</v>
      </c>
      <c r="T1515" s="301">
        <v>0</v>
      </c>
      <c r="U1515" s="301">
        <v>0</v>
      </c>
      <c r="V1515" s="301">
        <v>0</v>
      </c>
      <c r="W1515" s="301">
        <v>0</v>
      </c>
      <c r="X1515" s="301">
        <v>0</v>
      </c>
      <c r="Y1515" s="301">
        <v>0</v>
      </c>
      <c r="Z1515" s="301">
        <v>0</v>
      </c>
      <c r="AA1515" s="301">
        <v>0</v>
      </c>
      <c r="AB1515" s="303">
        <v>2021</v>
      </c>
    </row>
    <row r="1516" spans="1:28" ht="35.25" customHeight="1" x14ac:dyDescent="0.5">
      <c r="A1516">
        <v>1</v>
      </c>
      <c r="B1516" s="80">
        <f>SUBTOTAL(103,$A$808:A1516)</f>
        <v>704</v>
      </c>
      <c r="C1516" s="300" t="s">
        <v>2857</v>
      </c>
      <c r="D1516" s="296">
        <f t="shared" si="61"/>
        <v>2868096</v>
      </c>
      <c r="E1516" s="301">
        <v>0</v>
      </c>
      <c r="F1516" s="301">
        <v>0</v>
      </c>
      <c r="G1516" s="301">
        <v>0</v>
      </c>
      <c r="H1516" s="301">
        <v>0</v>
      </c>
      <c r="I1516" s="301">
        <v>0</v>
      </c>
      <c r="J1516" s="301">
        <v>0</v>
      </c>
      <c r="K1516" s="302">
        <v>0</v>
      </c>
      <c r="L1516" s="301">
        <v>0</v>
      </c>
      <c r="M1516" s="301">
        <v>1364770</v>
      </c>
      <c r="N1516" s="301">
        <v>0</v>
      </c>
      <c r="O1516" s="301">
        <v>1503326</v>
      </c>
      <c r="P1516" s="301">
        <v>0</v>
      </c>
      <c r="Q1516" s="301">
        <v>0</v>
      </c>
      <c r="R1516" s="301">
        <v>0</v>
      </c>
      <c r="S1516" s="301">
        <v>0</v>
      </c>
      <c r="T1516" s="301">
        <v>0</v>
      </c>
      <c r="U1516" s="301">
        <v>0</v>
      </c>
      <c r="V1516" s="301">
        <v>0</v>
      </c>
      <c r="W1516" s="301">
        <v>0</v>
      </c>
      <c r="X1516" s="301">
        <v>0</v>
      </c>
      <c r="Y1516" s="301">
        <v>0</v>
      </c>
      <c r="Z1516" s="301">
        <v>0</v>
      </c>
      <c r="AA1516" s="301">
        <v>0</v>
      </c>
      <c r="AB1516" s="303">
        <v>2021</v>
      </c>
    </row>
    <row r="1517" spans="1:28" ht="35.25" customHeight="1" x14ac:dyDescent="0.5">
      <c r="A1517">
        <v>1</v>
      </c>
      <c r="B1517" s="80">
        <f>SUBTOTAL(103,$A$808:A1517)</f>
        <v>705</v>
      </c>
      <c r="C1517" s="300" t="s">
        <v>2858</v>
      </c>
      <c r="D1517" s="296">
        <f t="shared" si="61"/>
        <v>401466</v>
      </c>
      <c r="E1517" s="301">
        <v>0</v>
      </c>
      <c r="F1517" s="301">
        <v>0</v>
      </c>
      <c r="G1517" s="301">
        <v>0</v>
      </c>
      <c r="H1517" s="301">
        <v>0</v>
      </c>
      <c r="I1517" s="301">
        <v>0</v>
      </c>
      <c r="J1517" s="301">
        <v>0</v>
      </c>
      <c r="K1517" s="302">
        <v>0</v>
      </c>
      <c r="L1517" s="301">
        <v>0</v>
      </c>
      <c r="M1517" s="301">
        <v>0</v>
      </c>
      <c r="N1517" s="301">
        <v>0</v>
      </c>
      <c r="O1517" s="301">
        <v>401466</v>
      </c>
      <c r="P1517" s="301">
        <v>0</v>
      </c>
      <c r="Q1517" s="301">
        <v>0</v>
      </c>
      <c r="R1517" s="301">
        <v>0</v>
      </c>
      <c r="S1517" s="301">
        <v>0</v>
      </c>
      <c r="T1517" s="301">
        <v>0</v>
      </c>
      <c r="U1517" s="301">
        <v>0</v>
      </c>
      <c r="V1517" s="301">
        <v>0</v>
      </c>
      <c r="W1517" s="301">
        <v>0</v>
      </c>
      <c r="X1517" s="301">
        <v>0</v>
      </c>
      <c r="Y1517" s="301">
        <v>0</v>
      </c>
      <c r="Z1517" s="301">
        <v>0</v>
      </c>
      <c r="AA1517" s="301">
        <v>0</v>
      </c>
      <c r="AB1517" s="303">
        <v>2021</v>
      </c>
    </row>
    <row r="1518" spans="1:28" ht="35.25" customHeight="1" x14ac:dyDescent="0.5">
      <c r="A1518">
        <v>1</v>
      </c>
      <c r="B1518" s="80">
        <f>SUBTOTAL(103,$A$808:A1518)</f>
        <v>706</v>
      </c>
      <c r="C1518" s="300" t="s">
        <v>2276</v>
      </c>
      <c r="D1518" s="296">
        <f t="shared" si="61"/>
        <v>1601685</v>
      </c>
      <c r="E1518" s="301">
        <v>0</v>
      </c>
      <c r="F1518" s="301">
        <v>0</v>
      </c>
      <c r="G1518" s="301">
        <v>0</v>
      </c>
      <c r="H1518" s="301">
        <v>0</v>
      </c>
      <c r="I1518" s="301">
        <v>0</v>
      </c>
      <c r="J1518" s="301">
        <v>0</v>
      </c>
      <c r="K1518" s="302">
        <v>0</v>
      </c>
      <c r="L1518" s="301">
        <v>0</v>
      </c>
      <c r="M1518" s="301">
        <v>0</v>
      </c>
      <c r="N1518" s="301">
        <v>0</v>
      </c>
      <c r="O1518" s="301">
        <v>1601685</v>
      </c>
      <c r="P1518" s="301">
        <v>0</v>
      </c>
      <c r="Q1518" s="301">
        <v>0</v>
      </c>
      <c r="R1518" s="301">
        <v>0</v>
      </c>
      <c r="S1518" s="301">
        <v>0</v>
      </c>
      <c r="T1518" s="301">
        <v>0</v>
      </c>
      <c r="U1518" s="301">
        <v>0</v>
      </c>
      <c r="V1518" s="301">
        <v>0</v>
      </c>
      <c r="W1518" s="301">
        <v>0</v>
      </c>
      <c r="X1518" s="301">
        <v>0</v>
      </c>
      <c r="Y1518" s="301">
        <v>0</v>
      </c>
      <c r="Z1518" s="301">
        <v>0</v>
      </c>
      <c r="AA1518" s="301">
        <v>0</v>
      </c>
      <c r="AB1518" s="303">
        <v>2021</v>
      </c>
    </row>
    <row r="1519" spans="1:28" ht="35.25" customHeight="1" x14ac:dyDescent="0.5">
      <c r="B1519" s="300" t="s">
        <v>825</v>
      </c>
      <c r="C1519" s="300"/>
      <c r="D1519" s="296">
        <f t="shared" si="61"/>
        <v>106496</v>
      </c>
      <c r="E1519" s="296">
        <f t="shared" ref="E1519:AA1519" si="63">E1520</f>
        <v>0</v>
      </c>
      <c r="F1519" s="296">
        <f t="shared" si="63"/>
        <v>106496</v>
      </c>
      <c r="G1519" s="296">
        <f t="shared" si="63"/>
        <v>0</v>
      </c>
      <c r="H1519" s="296">
        <f t="shared" si="63"/>
        <v>0</v>
      </c>
      <c r="I1519" s="296">
        <f t="shared" si="63"/>
        <v>0</v>
      </c>
      <c r="J1519" s="296">
        <f t="shared" si="63"/>
        <v>0</v>
      </c>
      <c r="K1519" s="297">
        <f t="shared" si="63"/>
        <v>0</v>
      </c>
      <c r="L1519" s="296">
        <f t="shared" si="63"/>
        <v>0</v>
      </c>
      <c r="M1519" s="296">
        <f t="shared" si="63"/>
        <v>0</v>
      </c>
      <c r="N1519" s="296">
        <f t="shared" si="63"/>
        <v>0</v>
      </c>
      <c r="O1519" s="296">
        <f t="shared" si="63"/>
        <v>0</v>
      </c>
      <c r="P1519" s="296">
        <f t="shared" si="63"/>
        <v>0</v>
      </c>
      <c r="Q1519" s="296">
        <f t="shared" si="63"/>
        <v>0</v>
      </c>
      <c r="R1519" s="296">
        <f t="shared" si="63"/>
        <v>0</v>
      </c>
      <c r="S1519" s="296">
        <f t="shared" si="63"/>
        <v>0</v>
      </c>
      <c r="T1519" s="296">
        <f t="shared" si="63"/>
        <v>0</v>
      </c>
      <c r="U1519" s="296">
        <f t="shared" si="63"/>
        <v>0</v>
      </c>
      <c r="V1519" s="296">
        <f t="shared" si="63"/>
        <v>0</v>
      </c>
      <c r="W1519" s="296">
        <f t="shared" si="63"/>
        <v>0</v>
      </c>
      <c r="X1519" s="296">
        <f t="shared" si="63"/>
        <v>0</v>
      </c>
      <c r="Y1519" s="296">
        <f t="shared" si="63"/>
        <v>0</v>
      </c>
      <c r="Z1519" s="296">
        <f t="shared" si="63"/>
        <v>0</v>
      </c>
      <c r="AA1519" s="296">
        <f t="shared" si="63"/>
        <v>0</v>
      </c>
      <c r="AB1519" s="298" t="s">
        <v>835</v>
      </c>
    </row>
    <row r="1520" spans="1:28" ht="35.25" customHeight="1" x14ac:dyDescent="0.5">
      <c r="A1520">
        <v>1</v>
      </c>
      <c r="B1520" s="80">
        <f>SUBTOTAL(103,$A$808:A1520)</f>
        <v>707</v>
      </c>
      <c r="C1520" s="300" t="s">
        <v>2682</v>
      </c>
      <c r="D1520" s="296">
        <f t="shared" si="61"/>
        <v>106496</v>
      </c>
      <c r="E1520" s="301">
        <v>0</v>
      </c>
      <c r="F1520" s="301">
        <v>106496</v>
      </c>
      <c r="G1520" s="301">
        <v>0</v>
      </c>
      <c r="H1520" s="301">
        <v>0</v>
      </c>
      <c r="I1520" s="301">
        <v>0</v>
      </c>
      <c r="J1520" s="301">
        <v>0</v>
      </c>
      <c r="K1520" s="302">
        <v>0</v>
      </c>
      <c r="L1520" s="301">
        <v>0</v>
      </c>
      <c r="M1520" s="301">
        <v>0</v>
      </c>
      <c r="N1520" s="301">
        <v>0</v>
      </c>
      <c r="O1520" s="304">
        <v>0</v>
      </c>
      <c r="P1520" s="301">
        <v>0</v>
      </c>
      <c r="Q1520" s="301">
        <v>0</v>
      </c>
      <c r="R1520" s="301">
        <v>0</v>
      </c>
      <c r="S1520" s="301">
        <v>0</v>
      </c>
      <c r="T1520" s="301">
        <v>0</v>
      </c>
      <c r="U1520" s="301">
        <v>0</v>
      </c>
      <c r="V1520" s="301">
        <v>0</v>
      </c>
      <c r="W1520" s="301">
        <v>0</v>
      </c>
      <c r="X1520" s="301">
        <v>0</v>
      </c>
      <c r="Y1520" s="301">
        <v>0</v>
      </c>
      <c r="Z1520" s="301">
        <v>0</v>
      </c>
      <c r="AA1520" s="301">
        <v>0</v>
      </c>
      <c r="AB1520" s="303">
        <v>2021</v>
      </c>
    </row>
    <row r="1521" spans="1:28" ht="35.25" customHeight="1" x14ac:dyDescent="0.5">
      <c r="B1521" s="300" t="s">
        <v>1211</v>
      </c>
      <c r="C1521" s="300"/>
      <c r="D1521" s="296">
        <f t="shared" si="61"/>
        <v>781490</v>
      </c>
      <c r="E1521" s="296">
        <f t="shared" ref="E1521:AA1521" si="64">E1522</f>
        <v>0</v>
      </c>
      <c r="F1521" s="296">
        <f t="shared" si="64"/>
        <v>0</v>
      </c>
      <c r="G1521" s="296">
        <f t="shared" si="64"/>
        <v>0</v>
      </c>
      <c r="H1521" s="296">
        <f t="shared" si="64"/>
        <v>0</v>
      </c>
      <c r="I1521" s="296">
        <f t="shared" si="64"/>
        <v>0</v>
      </c>
      <c r="J1521" s="296">
        <f t="shared" si="64"/>
        <v>0</v>
      </c>
      <c r="K1521" s="297">
        <f t="shared" si="64"/>
        <v>0</v>
      </c>
      <c r="L1521" s="296">
        <f t="shared" si="64"/>
        <v>0</v>
      </c>
      <c r="M1521" s="296">
        <f t="shared" si="64"/>
        <v>781490</v>
      </c>
      <c r="N1521" s="296">
        <f t="shared" si="64"/>
        <v>0</v>
      </c>
      <c r="O1521" s="296">
        <f t="shared" si="64"/>
        <v>0</v>
      </c>
      <c r="P1521" s="296">
        <f t="shared" si="64"/>
        <v>0</v>
      </c>
      <c r="Q1521" s="296">
        <f t="shared" si="64"/>
        <v>0</v>
      </c>
      <c r="R1521" s="296">
        <f t="shared" si="64"/>
        <v>0</v>
      </c>
      <c r="S1521" s="296">
        <f t="shared" si="64"/>
        <v>0</v>
      </c>
      <c r="T1521" s="296">
        <f t="shared" si="64"/>
        <v>0</v>
      </c>
      <c r="U1521" s="296">
        <f t="shared" si="64"/>
        <v>0</v>
      </c>
      <c r="V1521" s="296">
        <f t="shared" si="64"/>
        <v>0</v>
      </c>
      <c r="W1521" s="296">
        <f t="shared" si="64"/>
        <v>0</v>
      </c>
      <c r="X1521" s="296">
        <f t="shared" si="64"/>
        <v>0</v>
      </c>
      <c r="Y1521" s="296">
        <f t="shared" si="64"/>
        <v>0</v>
      </c>
      <c r="Z1521" s="296">
        <f t="shared" si="64"/>
        <v>0</v>
      </c>
      <c r="AA1521" s="296">
        <f t="shared" si="64"/>
        <v>0</v>
      </c>
      <c r="AB1521" s="298" t="s">
        <v>835</v>
      </c>
    </row>
    <row r="1522" spans="1:28" ht="35.25" customHeight="1" x14ac:dyDescent="0.5">
      <c r="A1522">
        <v>1</v>
      </c>
      <c r="B1522" s="80">
        <f>SUBTOTAL(103,$A$808:A1522)</f>
        <v>708</v>
      </c>
      <c r="C1522" s="300" t="s">
        <v>3202</v>
      </c>
      <c r="D1522" s="296">
        <f t="shared" si="61"/>
        <v>781490</v>
      </c>
      <c r="E1522" s="301">
        <v>0</v>
      </c>
      <c r="F1522" s="301">
        <v>0</v>
      </c>
      <c r="G1522" s="301">
        <v>0</v>
      </c>
      <c r="H1522" s="301">
        <v>0</v>
      </c>
      <c r="I1522" s="301">
        <v>0</v>
      </c>
      <c r="J1522" s="301">
        <v>0</v>
      </c>
      <c r="K1522" s="302">
        <v>0</v>
      </c>
      <c r="L1522" s="301">
        <v>0</v>
      </c>
      <c r="M1522" s="301">
        <v>781490</v>
      </c>
      <c r="N1522" s="301">
        <v>0</v>
      </c>
      <c r="O1522" s="304">
        <v>0</v>
      </c>
      <c r="P1522" s="301">
        <v>0</v>
      </c>
      <c r="Q1522" s="301">
        <v>0</v>
      </c>
      <c r="R1522" s="301">
        <v>0</v>
      </c>
      <c r="S1522" s="301">
        <v>0</v>
      </c>
      <c r="T1522" s="301">
        <v>0</v>
      </c>
      <c r="U1522" s="301">
        <v>0</v>
      </c>
      <c r="V1522" s="301">
        <v>0</v>
      </c>
      <c r="W1522" s="301">
        <v>0</v>
      </c>
      <c r="X1522" s="301">
        <v>0</v>
      </c>
      <c r="Y1522" s="301">
        <v>0</v>
      </c>
      <c r="Z1522" s="301">
        <v>0</v>
      </c>
      <c r="AA1522" s="301">
        <v>0</v>
      </c>
      <c r="AB1522" s="303">
        <v>2021</v>
      </c>
    </row>
    <row r="1523" spans="1:28" ht="35.25" customHeight="1" x14ac:dyDescent="0.5">
      <c r="B1523" s="299" t="s">
        <v>807</v>
      </c>
      <c r="C1523" s="300"/>
      <c r="D1523" s="296">
        <f t="shared" si="61"/>
        <v>3046603</v>
      </c>
      <c r="E1523" s="296">
        <f t="shared" ref="E1523:AA1523" si="65">SUM(E1524:E1526)</f>
        <v>0</v>
      </c>
      <c r="F1523" s="296">
        <f t="shared" si="65"/>
        <v>0</v>
      </c>
      <c r="G1523" s="296">
        <f t="shared" si="65"/>
        <v>0</v>
      </c>
      <c r="H1523" s="296">
        <f t="shared" si="65"/>
        <v>0</v>
      </c>
      <c r="I1523" s="296">
        <f t="shared" si="65"/>
        <v>0</v>
      </c>
      <c r="J1523" s="296">
        <f t="shared" si="65"/>
        <v>0</v>
      </c>
      <c r="K1523" s="297">
        <f t="shared" si="65"/>
        <v>0</v>
      </c>
      <c r="L1523" s="296">
        <f t="shared" si="65"/>
        <v>0</v>
      </c>
      <c r="M1523" s="296">
        <f t="shared" si="65"/>
        <v>0</v>
      </c>
      <c r="N1523" s="296">
        <f t="shared" si="65"/>
        <v>0</v>
      </c>
      <c r="O1523" s="296">
        <f t="shared" si="65"/>
        <v>3046603</v>
      </c>
      <c r="P1523" s="296">
        <f t="shared" si="65"/>
        <v>0</v>
      </c>
      <c r="Q1523" s="296">
        <f t="shared" si="65"/>
        <v>0</v>
      </c>
      <c r="R1523" s="296">
        <f t="shared" si="65"/>
        <v>0</v>
      </c>
      <c r="S1523" s="296">
        <f t="shared" si="65"/>
        <v>0</v>
      </c>
      <c r="T1523" s="296">
        <f t="shared" si="65"/>
        <v>0</v>
      </c>
      <c r="U1523" s="296">
        <f t="shared" si="65"/>
        <v>0</v>
      </c>
      <c r="V1523" s="296">
        <f t="shared" si="65"/>
        <v>0</v>
      </c>
      <c r="W1523" s="296">
        <f t="shared" si="65"/>
        <v>0</v>
      </c>
      <c r="X1523" s="296">
        <f t="shared" si="65"/>
        <v>0</v>
      </c>
      <c r="Y1523" s="296">
        <f t="shared" si="65"/>
        <v>0</v>
      </c>
      <c r="Z1523" s="296">
        <f t="shared" si="65"/>
        <v>0</v>
      </c>
      <c r="AA1523" s="296">
        <f t="shared" si="65"/>
        <v>0</v>
      </c>
      <c r="AB1523" s="298" t="s">
        <v>835</v>
      </c>
    </row>
    <row r="1524" spans="1:28" ht="35.25" customHeight="1" x14ac:dyDescent="0.5">
      <c r="A1524">
        <v>1</v>
      </c>
      <c r="B1524" s="80">
        <f>SUBTOTAL(103,$A$808:A1524)</f>
        <v>709</v>
      </c>
      <c r="C1524" s="300" t="s">
        <v>2683</v>
      </c>
      <c r="D1524" s="296">
        <f t="shared" si="61"/>
        <v>1329760</v>
      </c>
      <c r="E1524" s="301">
        <v>0</v>
      </c>
      <c r="F1524" s="301">
        <v>0</v>
      </c>
      <c r="G1524" s="301">
        <v>0</v>
      </c>
      <c r="H1524" s="301">
        <v>0</v>
      </c>
      <c r="I1524" s="301">
        <v>0</v>
      </c>
      <c r="J1524" s="301">
        <v>0</v>
      </c>
      <c r="K1524" s="302">
        <v>0</v>
      </c>
      <c r="L1524" s="301">
        <v>0</v>
      </c>
      <c r="M1524" s="301">
        <v>0</v>
      </c>
      <c r="N1524" s="301">
        <v>0</v>
      </c>
      <c r="O1524" s="301">
        <v>1329760</v>
      </c>
      <c r="P1524" s="301">
        <v>0</v>
      </c>
      <c r="Q1524" s="301">
        <v>0</v>
      </c>
      <c r="R1524" s="301">
        <v>0</v>
      </c>
      <c r="S1524" s="301">
        <v>0</v>
      </c>
      <c r="T1524" s="301">
        <v>0</v>
      </c>
      <c r="U1524" s="301">
        <v>0</v>
      </c>
      <c r="V1524" s="301">
        <v>0</v>
      </c>
      <c r="W1524" s="301">
        <v>0</v>
      </c>
      <c r="X1524" s="301">
        <v>0</v>
      </c>
      <c r="Y1524" s="301">
        <v>0</v>
      </c>
      <c r="Z1524" s="301">
        <v>0</v>
      </c>
      <c r="AA1524" s="301">
        <v>0</v>
      </c>
      <c r="AB1524" s="303">
        <v>2021</v>
      </c>
    </row>
    <row r="1525" spans="1:28" ht="35.25" customHeight="1" x14ac:dyDescent="0.5">
      <c r="A1525">
        <v>1</v>
      </c>
      <c r="B1525" s="80">
        <f>SUBTOTAL(103,$A$808:A1525)</f>
        <v>710</v>
      </c>
      <c r="C1525" s="300" t="s">
        <v>2859</v>
      </c>
      <c r="D1525" s="296">
        <f t="shared" si="61"/>
        <v>819958</v>
      </c>
      <c r="E1525" s="301">
        <v>0</v>
      </c>
      <c r="F1525" s="301">
        <v>0</v>
      </c>
      <c r="G1525" s="301">
        <v>0</v>
      </c>
      <c r="H1525" s="301">
        <v>0</v>
      </c>
      <c r="I1525" s="301">
        <v>0</v>
      </c>
      <c r="J1525" s="301">
        <v>0</v>
      </c>
      <c r="K1525" s="302">
        <v>0</v>
      </c>
      <c r="L1525" s="301">
        <v>0</v>
      </c>
      <c r="M1525" s="301">
        <v>0</v>
      </c>
      <c r="N1525" s="301">
        <v>0</v>
      </c>
      <c r="O1525" s="301">
        <v>819958</v>
      </c>
      <c r="P1525" s="301">
        <v>0</v>
      </c>
      <c r="Q1525" s="301">
        <v>0</v>
      </c>
      <c r="R1525" s="301">
        <v>0</v>
      </c>
      <c r="S1525" s="301">
        <v>0</v>
      </c>
      <c r="T1525" s="301">
        <v>0</v>
      </c>
      <c r="U1525" s="301">
        <v>0</v>
      </c>
      <c r="V1525" s="301">
        <v>0</v>
      </c>
      <c r="W1525" s="301">
        <v>0</v>
      </c>
      <c r="X1525" s="301">
        <v>0</v>
      </c>
      <c r="Y1525" s="301">
        <v>0</v>
      </c>
      <c r="Z1525" s="301">
        <v>0</v>
      </c>
      <c r="AA1525" s="301">
        <v>0</v>
      </c>
      <c r="AB1525" s="303">
        <v>2021</v>
      </c>
    </row>
    <row r="1526" spans="1:28" ht="35.25" customHeight="1" x14ac:dyDescent="0.5">
      <c r="A1526">
        <v>1</v>
      </c>
      <c r="B1526" s="80">
        <f>SUBTOTAL(103,$A$808:A1526)</f>
        <v>711</v>
      </c>
      <c r="C1526" s="300" t="s">
        <v>2860</v>
      </c>
      <c r="D1526" s="296">
        <f t="shared" si="61"/>
        <v>896885</v>
      </c>
      <c r="E1526" s="301">
        <v>0</v>
      </c>
      <c r="F1526" s="301">
        <v>0</v>
      </c>
      <c r="G1526" s="301">
        <v>0</v>
      </c>
      <c r="H1526" s="301">
        <v>0</v>
      </c>
      <c r="I1526" s="301">
        <v>0</v>
      </c>
      <c r="J1526" s="301">
        <v>0</v>
      </c>
      <c r="K1526" s="302">
        <v>0</v>
      </c>
      <c r="L1526" s="301">
        <v>0</v>
      </c>
      <c r="M1526" s="301">
        <v>0</v>
      </c>
      <c r="N1526" s="301">
        <v>0</v>
      </c>
      <c r="O1526" s="301">
        <v>896885</v>
      </c>
      <c r="P1526" s="301">
        <v>0</v>
      </c>
      <c r="Q1526" s="301">
        <v>0</v>
      </c>
      <c r="R1526" s="301">
        <v>0</v>
      </c>
      <c r="S1526" s="301">
        <v>0</v>
      </c>
      <c r="T1526" s="301">
        <v>0</v>
      </c>
      <c r="U1526" s="301">
        <v>0</v>
      </c>
      <c r="V1526" s="301">
        <v>0</v>
      </c>
      <c r="W1526" s="301">
        <v>0</v>
      </c>
      <c r="X1526" s="301">
        <v>0</v>
      </c>
      <c r="Y1526" s="301">
        <v>0</v>
      </c>
      <c r="Z1526" s="301">
        <v>0</v>
      </c>
      <c r="AA1526" s="301">
        <v>0</v>
      </c>
      <c r="AB1526" s="303">
        <v>2021</v>
      </c>
    </row>
    <row r="1527" spans="1:28" ht="35.25" customHeight="1" x14ac:dyDescent="0.5">
      <c r="B1527" s="299" t="s">
        <v>760</v>
      </c>
      <c r="C1527" s="300"/>
      <c r="D1527" s="296">
        <f t="shared" si="61"/>
        <v>24761076.700000003</v>
      </c>
      <c r="E1527" s="296">
        <f t="shared" ref="E1527:AA1527" si="66">SUM(E1528:E1551)</f>
        <v>300370.74</v>
      </c>
      <c r="F1527" s="296">
        <f t="shared" si="66"/>
        <v>86747.67</v>
      </c>
      <c r="G1527" s="296">
        <f t="shared" si="66"/>
        <v>579513.65999999992</v>
      </c>
      <c r="H1527" s="296">
        <f t="shared" si="66"/>
        <v>80014.5</v>
      </c>
      <c r="I1527" s="296">
        <f t="shared" si="66"/>
        <v>0</v>
      </c>
      <c r="J1527" s="296">
        <f t="shared" si="66"/>
        <v>0</v>
      </c>
      <c r="K1527" s="297">
        <f t="shared" si="66"/>
        <v>4</v>
      </c>
      <c r="L1527" s="296">
        <f t="shared" si="66"/>
        <v>4598601</v>
      </c>
      <c r="M1527" s="296">
        <f t="shared" si="66"/>
        <v>14520669.74</v>
      </c>
      <c r="N1527" s="296">
        <f t="shared" si="66"/>
        <v>154444.66</v>
      </c>
      <c r="O1527" s="296">
        <f t="shared" si="66"/>
        <v>4440714.7299999995</v>
      </c>
      <c r="P1527" s="296">
        <f t="shared" si="66"/>
        <v>0</v>
      </c>
      <c r="Q1527" s="296">
        <f t="shared" si="66"/>
        <v>0</v>
      </c>
      <c r="R1527" s="296">
        <f t="shared" si="66"/>
        <v>0</v>
      </c>
      <c r="S1527" s="296">
        <f t="shared" si="66"/>
        <v>0</v>
      </c>
      <c r="T1527" s="296">
        <f t="shared" si="66"/>
        <v>0</v>
      </c>
      <c r="U1527" s="296">
        <f t="shared" si="66"/>
        <v>0</v>
      </c>
      <c r="V1527" s="296">
        <f t="shared" si="66"/>
        <v>0</v>
      </c>
      <c r="W1527" s="296">
        <f t="shared" si="66"/>
        <v>0</v>
      </c>
      <c r="X1527" s="296">
        <f t="shared" si="66"/>
        <v>0</v>
      </c>
      <c r="Y1527" s="296">
        <f t="shared" si="66"/>
        <v>0</v>
      </c>
      <c r="Z1527" s="296">
        <f t="shared" si="66"/>
        <v>0</v>
      </c>
      <c r="AA1527" s="296">
        <f t="shared" si="66"/>
        <v>0</v>
      </c>
      <c r="AB1527" s="298" t="s">
        <v>835</v>
      </c>
    </row>
    <row r="1528" spans="1:28" ht="35.25" customHeight="1" x14ac:dyDescent="0.5">
      <c r="A1528">
        <v>1</v>
      </c>
      <c r="B1528" s="80">
        <f>SUBTOTAL(103,$A$808:A1528)</f>
        <v>712</v>
      </c>
      <c r="C1528" s="300" t="s">
        <v>1921</v>
      </c>
      <c r="D1528" s="296">
        <f t="shared" si="61"/>
        <v>100000</v>
      </c>
      <c r="E1528" s="301">
        <v>0</v>
      </c>
      <c r="F1528" s="301">
        <v>0</v>
      </c>
      <c r="G1528" s="301">
        <v>0</v>
      </c>
      <c r="H1528" s="301">
        <v>0</v>
      </c>
      <c r="I1528" s="301">
        <v>0</v>
      </c>
      <c r="J1528" s="301">
        <v>0</v>
      </c>
      <c r="K1528" s="302">
        <v>0</v>
      </c>
      <c r="L1528" s="301">
        <v>0</v>
      </c>
      <c r="M1528" s="301">
        <v>100000</v>
      </c>
      <c r="N1528" s="301">
        <v>0</v>
      </c>
      <c r="O1528" s="301">
        <v>0</v>
      </c>
      <c r="P1528" s="301">
        <v>0</v>
      </c>
      <c r="Q1528" s="301">
        <v>0</v>
      </c>
      <c r="R1528" s="301">
        <v>0</v>
      </c>
      <c r="S1528" s="301">
        <v>0</v>
      </c>
      <c r="T1528" s="301">
        <v>0</v>
      </c>
      <c r="U1528" s="301">
        <v>0</v>
      </c>
      <c r="V1528" s="301">
        <v>0</v>
      </c>
      <c r="W1528" s="301">
        <v>0</v>
      </c>
      <c r="X1528" s="301">
        <v>0</v>
      </c>
      <c r="Y1528" s="301">
        <v>0</v>
      </c>
      <c r="Z1528" s="301">
        <v>0</v>
      </c>
      <c r="AA1528" s="301">
        <v>0</v>
      </c>
      <c r="AB1528" s="303">
        <v>2021</v>
      </c>
    </row>
    <row r="1529" spans="1:28" ht="35.25" customHeight="1" x14ac:dyDescent="0.5">
      <c r="A1529">
        <v>1</v>
      </c>
      <c r="B1529" s="80">
        <f>SUBTOTAL(103,$A$808:A1529)</f>
        <v>713</v>
      </c>
      <c r="C1529" s="300" t="s">
        <v>2365</v>
      </c>
      <c r="D1529" s="296">
        <f t="shared" si="61"/>
        <v>25274.84</v>
      </c>
      <c r="E1529" s="301">
        <v>0</v>
      </c>
      <c r="F1529" s="301">
        <v>0</v>
      </c>
      <c r="G1529" s="301">
        <v>0</v>
      </c>
      <c r="H1529" s="301">
        <v>25274.84</v>
      </c>
      <c r="I1529" s="301">
        <v>0</v>
      </c>
      <c r="J1529" s="301">
        <v>0</v>
      </c>
      <c r="K1529" s="302">
        <v>0</v>
      </c>
      <c r="L1529" s="301">
        <v>0</v>
      </c>
      <c r="M1529" s="301">
        <v>0</v>
      </c>
      <c r="N1529" s="301">
        <v>0</v>
      </c>
      <c r="O1529" s="301">
        <v>0</v>
      </c>
      <c r="P1529" s="301">
        <v>0</v>
      </c>
      <c r="Q1529" s="301">
        <v>0</v>
      </c>
      <c r="R1529" s="301">
        <v>0</v>
      </c>
      <c r="S1529" s="301">
        <v>0</v>
      </c>
      <c r="T1529" s="301">
        <v>0</v>
      </c>
      <c r="U1529" s="301">
        <v>0</v>
      </c>
      <c r="V1529" s="301">
        <v>0</v>
      </c>
      <c r="W1529" s="301">
        <v>0</v>
      </c>
      <c r="X1529" s="301">
        <v>0</v>
      </c>
      <c r="Y1529" s="301">
        <v>0</v>
      </c>
      <c r="Z1529" s="301">
        <v>0</v>
      </c>
      <c r="AA1529" s="301">
        <v>0</v>
      </c>
      <c r="AB1529" s="303">
        <v>2021</v>
      </c>
    </row>
    <row r="1530" spans="1:28" ht="35.25" customHeight="1" x14ac:dyDescent="0.5">
      <c r="A1530">
        <v>1</v>
      </c>
      <c r="B1530" s="80">
        <f>SUBTOTAL(103,$A$808:A1530)</f>
        <v>714</v>
      </c>
      <c r="C1530" s="300" t="s">
        <v>1920</v>
      </c>
      <c r="D1530" s="296">
        <f t="shared" si="61"/>
        <v>1430973</v>
      </c>
      <c r="E1530" s="301">
        <v>0</v>
      </c>
      <c r="F1530" s="301">
        <v>0</v>
      </c>
      <c r="G1530" s="301">
        <v>0</v>
      </c>
      <c r="H1530" s="301">
        <v>0</v>
      </c>
      <c r="I1530" s="301">
        <v>0</v>
      </c>
      <c r="J1530" s="301">
        <v>0</v>
      </c>
      <c r="K1530" s="302">
        <v>0</v>
      </c>
      <c r="L1530" s="301">
        <v>0</v>
      </c>
      <c r="M1530" s="301">
        <v>1293188</v>
      </c>
      <c r="N1530" s="301">
        <v>0</v>
      </c>
      <c r="O1530" s="301">
        <v>137785</v>
      </c>
      <c r="P1530" s="301">
        <v>0</v>
      </c>
      <c r="Q1530" s="301">
        <v>0</v>
      </c>
      <c r="R1530" s="301">
        <v>0</v>
      </c>
      <c r="S1530" s="301">
        <v>0</v>
      </c>
      <c r="T1530" s="301">
        <v>0</v>
      </c>
      <c r="U1530" s="301">
        <v>0</v>
      </c>
      <c r="V1530" s="301">
        <v>0</v>
      </c>
      <c r="W1530" s="301">
        <v>0</v>
      </c>
      <c r="X1530" s="301">
        <v>0</v>
      </c>
      <c r="Y1530" s="301">
        <v>0</v>
      </c>
      <c r="Z1530" s="301">
        <v>0</v>
      </c>
      <c r="AA1530" s="301">
        <v>0</v>
      </c>
      <c r="AB1530" s="303">
        <v>2021</v>
      </c>
    </row>
    <row r="1531" spans="1:28" ht="35.25" customHeight="1" x14ac:dyDescent="0.5">
      <c r="A1531">
        <v>1</v>
      </c>
      <c r="B1531" s="80">
        <f>SUBTOTAL(103,$A$808:A1531)</f>
        <v>715</v>
      </c>
      <c r="C1531" s="300" t="s">
        <v>2861</v>
      </c>
      <c r="D1531" s="296">
        <f t="shared" si="61"/>
        <v>232767</v>
      </c>
      <c r="E1531" s="301">
        <v>0</v>
      </c>
      <c r="F1531" s="301">
        <v>0</v>
      </c>
      <c r="G1531" s="301">
        <v>0</v>
      </c>
      <c r="H1531" s="301">
        <v>0</v>
      </c>
      <c r="I1531" s="301">
        <v>0</v>
      </c>
      <c r="J1531" s="301">
        <v>0</v>
      </c>
      <c r="K1531" s="302">
        <v>0</v>
      </c>
      <c r="L1531" s="301">
        <v>0</v>
      </c>
      <c r="M1531" s="301">
        <v>232767</v>
      </c>
      <c r="N1531" s="301">
        <v>0</v>
      </c>
      <c r="O1531" s="301">
        <v>0</v>
      </c>
      <c r="P1531" s="301">
        <v>0</v>
      </c>
      <c r="Q1531" s="301">
        <v>0</v>
      </c>
      <c r="R1531" s="301">
        <v>0</v>
      </c>
      <c r="S1531" s="301">
        <v>0</v>
      </c>
      <c r="T1531" s="301">
        <v>0</v>
      </c>
      <c r="U1531" s="301">
        <v>0</v>
      </c>
      <c r="V1531" s="301">
        <v>0</v>
      </c>
      <c r="W1531" s="301">
        <v>0</v>
      </c>
      <c r="X1531" s="301">
        <v>0</v>
      </c>
      <c r="Y1531" s="301">
        <v>0</v>
      </c>
      <c r="Z1531" s="301">
        <v>0</v>
      </c>
      <c r="AA1531" s="301">
        <v>0</v>
      </c>
      <c r="AB1531" s="303">
        <v>2021</v>
      </c>
    </row>
    <row r="1532" spans="1:28" ht="35.25" customHeight="1" x14ac:dyDescent="0.5">
      <c r="A1532">
        <v>1</v>
      </c>
      <c r="B1532" s="80">
        <f>SUBTOTAL(103,$A$808:A1532)</f>
        <v>716</v>
      </c>
      <c r="C1532" s="300" t="s">
        <v>1922</v>
      </c>
      <c r="D1532" s="296">
        <f t="shared" si="61"/>
        <v>450087.45</v>
      </c>
      <c r="E1532" s="301">
        <v>0</v>
      </c>
      <c r="F1532" s="301">
        <v>0</v>
      </c>
      <c r="G1532" s="301">
        <v>0</v>
      </c>
      <c r="H1532" s="301">
        <v>0</v>
      </c>
      <c r="I1532" s="301">
        <v>0</v>
      </c>
      <c r="J1532" s="301">
        <v>0</v>
      </c>
      <c r="K1532" s="302">
        <v>0</v>
      </c>
      <c r="L1532" s="301">
        <v>0</v>
      </c>
      <c r="M1532" s="301">
        <v>0</v>
      </c>
      <c r="N1532" s="301">
        <v>0</v>
      </c>
      <c r="O1532" s="301">
        <v>450087.45</v>
      </c>
      <c r="P1532" s="301">
        <v>0</v>
      </c>
      <c r="Q1532" s="301">
        <v>0</v>
      </c>
      <c r="R1532" s="301">
        <v>0</v>
      </c>
      <c r="S1532" s="301">
        <v>0</v>
      </c>
      <c r="T1532" s="301">
        <v>0</v>
      </c>
      <c r="U1532" s="301">
        <v>0</v>
      </c>
      <c r="V1532" s="301">
        <v>0</v>
      </c>
      <c r="W1532" s="301">
        <v>0</v>
      </c>
      <c r="X1532" s="301">
        <v>0</v>
      </c>
      <c r="Y1532" s="301">
        <v>0</v>
      </c>
      <c r="Z1532" s="301">
        <v>0</v>
      </c>
      <c r="AA1532" s="301">
        <v>0</v>
      </c>
      <c r="AB1532" s="303">
        <v>2021</v>
      </c>
    </row>
    <row r="1533" spans="1:28" ht="35.25" customHeight="1" x14ac:dyDescent="0.5">
      <c r="A1533">
        <v>1</v>
      </c>
      <c r="B1533" s="80">
        <f>SUBTOTAL(103,$A$808:A1533)</f>
        <v>717</v>
      </c>
      <c r="C1533" s="300" t="s">
        <v>1924</v>
      </c>
      <c r="D1533" s="296">
        <f t="shared" si="61"/>
        <v>783570.74</v>
      </c>
      <c r="E1533" s="301">
        <v>300370.74</v>
      </c>
      <c r="F1533" s="301">
        <v>0</v>
      </c>
      <c r="G1533" s="301">
        <v>0</v>
      </c>
      <c r="H1533" s="301">
        <v>0</v>
      </c>
      <c r="I1533" s="301">
        <v>0</v>
      </c>
      <c r="J1533" s="301">
        <v>0</v>
      </c>
      <c r="K1533" s="302">
        <v>0</v>
      </c>
      <c r="L1533" s="301">
        <v>0</v>
      </c>
      <c r="M1533" s="301">
        <v>0</v>
      </c>
      <c r="N1533" s="301">
        <v>0</v>
      </c>
      <c r="O1533" s="301">
        <v>483200</v>
      </c>
      <c r="P1533" s="301">
        <v>0</v>
      </c>
      <c r="Q1533" s="301">
        <v>0</v>
      </c>
      <c r="R1533" s="301">
        <v>0</v>
      </c>
      <c r="S1533" s="301">
        <v>0</v>
      </c>
      <c r="T1533" s="301">
        <v>0</v>
      </c>
      <c r="U1533" s="301">
        <v>0</v>
      </c>
      <c r="V1533" s="301">
        <v>0</v>
      </c>
      <c r="W1533" s="301">
        <v>0</v>
      </c>
      <c r="X1533" s="301">
        <v>0</v>
      </c>
      <c r="Y1533" s="301">
        <v>0</v>
      </c>
      <c r="Z1533" s="301">
        <v>0</v>
      </c>
      <c r="AA1533" s="301">
        <v>0</v>
      </c>
      <c r="AB1533" s="303">
        <v>2021</v>
      </c>
    </row>
    <row r="1534" spans="1:28" ht="35.25" customHeight="1" x14ac:dyDescent="0.5">
      <c r="A1534">
        <v>1</v>
      </c>
      <c r="B1534" s="80">
        <f>SUBTOTAL(103,$A$808:A1534)</f>
        <v>718</v>
      </c>
      <c r="C1534" s="300" t="s">
        <v>1927</v>
      </c>
      <c r="D1534" s="296">
        <f t="shared" si="61"/>
        <v>167365.70000000001</v>
      </c>
      <c r="E1534" s="301">
        <v>0</v>
      </c>
      <c r="F1534" s="301">
        <v>0</v>
      </c>
      <c r="G1534" s="301">
        <v>0</v>
      </c>
      <c r="H1534" s="301">
        <v>0</v>
      </c>
      <c r="I1534" s="301">
        <v>0</v>
      </c>
      <c r="J1534" s="301">
        <v>0</v>
      </c>
      <c r="K1534" s="302">
        <v>0</v>
      </c>
      <c r="L1534" s="301">
        <v>0</v>
      </c>
      <c r="M1534" s="301">
        <v>0</v>
      </c>
      <c r="N1534" s="301">
        <v>0</v>
      </c>
      <c r="O1534" s="301">
        <v>167365.70000000001</v>
      </c>
      <c r="P1534" s="301">
        <v>0</v>
      </c>
      <c r="Q1534" s="301">
        <v>0</v>
      </c>
      <c r="R1534" s="301">
        <v>0</v>
      </c>
      <c r="S1534" s="301">
        <v>0</v>
      </c>
      <c r="T1534" s="301">
        <v>0</v>
      </c>
      <c r="U1534" s="301">
        <v>0</v>
      </c>
      <c r="V1534" s="301">
        <v>0</v>
      </c>
      <c r="W1534" s="301">
        <v>0</v>
      </c>
      <c r="X1534" s="301">
        <v>0</v>
      </c>
      <c r="Y1534" s="301">
        <v>0</v>
      </c>
      <c r="Z1534" s="301">
        <v>0</v>
      </c>
      <c r="AA1534" s="301">
        <v>0</v>
      </c>
      <c r="AB1534" s="303">
        <v>2021</v>
      </c>
    </row>
    <row r="1535" spans="1:28" ht="35.25" customHeight="1" x14ac:dyDescent="0.5">
      <c r="A1535">
        <v>1</v>
      </c>
      <c r="B1535" s="80">
        <f>SUBTOTAL(103,$A$808:A1535)</f>
        <v>719</v>
      </c>
      <c r="C1535" s="300" t="s">
        <v>1928</v>
      </c>
      <c r="D1535" s="296">
        <f t="shared" si="61"/>
        <v>1688443</v>
      </c>
      <c r="E1535" s="301">
        <v>0</v>
      </c>
      <c r="F1535" s="301">
        <v>0</v>
      </c>
      <c r="G1535" s="301">
        <v>0</v>
      </c>
      <c r="H1535" s="301">
        <v>0</v>
      </c>
      <c r="I1535" s="301">
        <v>0</v>
      </c>
      <c r="J1535" s="301">
        <v>0</v>
      </c>
      <c r="K1535" s="302">
        <v>0</v>
      </c>
      <c r="L1535" s="301">
        <v>0</v>
      </c>
      <c r="M1535" s="301">
        <v>0</v>
      </c>
      <c r="N1535" s="301">
        <v>0</v>
      </c>
      <c r="O1535" s="301">
        <v>1688443</v>
      </c>
      <c r="P1535" s="301">
        <v>0</v>
      </c>
      <c r="Q1535" s="301">
        <v>0</v>
      </c>
      <c r="R1535" s="301">
        <v>0</v>
      </c>
      <c r="S1535" s="301">
        <v>0</v>
      </c>
      <c r="T1535" s="301">
        <v>0</v>
      </c>
      <c r="U1535" s="301">
        <v>0</v>
      </c>
      <c r="V1535" s="301">
        <v>0</v>
      </c>
      <c r="W1535" s="301">
        <v>0</v>
      </c>
      <c r="X1535" s="301">
        <v>0</v>
      </c>
      <c r="Y1535" s="301">
        <v>0</v>
      </c>
      <c r="Z1535" s="301">
        <v>0</v>
      </c>
      <c r="AA1535" s="301">
        <v>0</v>
      </c>
      <c r="AB1535" s="303">
        <v>2021</v>
      </c>
    </row>
    <row r="1536" spans="1:28" ht="35.25" customHeight="1" x14ac:dyDescent="0.5">
      <c r="A1536">
        <v>1</v>
      </c>
      <c r="B1536" s="80">
        <f>SUBTOTAL(103,$A$808:A1536)</f>
        <v>720</v>
      </c>
      <c r="C1536" s="300" t="s">
        <v>2862</v>
      </c>
      <c r="D1536" s="296">
        <f t="shared" si="61"/>
        <v>2930310</v>
      </c>
      <c r="E1536" s="301">
        <v>0</v>
      </c>
      <c r="F1536" s="301">
        <v>0</v>
      </c>
      <c r="G1536" s="301">
        <v>0</v>
      </c>
      <c r="H1536" s="301">
        <v>0</v>
      </c>
      <c r="I1536" s="301">
        <v>0</v>
      </c>
      <c r="J1536" s="301">
        <v>0</v>
      </c>
      <c r="K1536" s="302">
        <v>0</v>
      </c>
      <c r="L1536" s="301">
        <v>0</v>
      </c>
      <c r="M1536" s="301">
        <v>2507280</v>
      </c>
      <c r="N1536" s="301">
        <v>0</v>
      </c>
      <c r="O1536" s="301">
        <v>423030</v>
      </c>
      <c r="P1536" s="301">
        <v>0</v>
      </c>
      <c r="Q1536" s="301">
        <v>0</v>
      </c>
      <c r="R1536" s="301">
        <v>0</v>
      </c>
      <c r="S1536" s="301">
        <v>0</v>
      </c>
      <c r="T1536" s="301">
        <v>0</v>
      </c>
      <c r="U1536" s="301">
        <v>0</v>
      </c>
      <c r="V1536" s="301">
        <v>0</v>
      </c>
      <c r="W1536" s="301">
        <v>0</v>
      </c>
      <c r="X1536" s="301">
        <v>0</v>
      </c>
      <c r="Y1536" s="301">
        <v>0</v>
      </c>
      <c r="Z1536" s="301">
        <v>0</v>
      </c>
      <c r="AA1536" s="301">
        <v>0</v>
      </c>
      <c r="AB1536" s="303">
        <v>2021</v>
      </c>
    </row>
    <row r="1537" spans="1:28" ht="35.25" customHeight="1" x14ac:dyDescent="0.5">
      <c r="A1537">
        <v>1</v>
      </c>
      <c r="B1537" s="80">
        <f>SUBTOTAL(103,$A$808:A1537)</f>
        <v>721</v>
      </c>
      <c r="C1537" s="300" t="s">
        <v>3126</v>
      </c>
      <c r="D1537" s="296">
        <f t="shared" si="61"/>
        <v>1800000</v>
      </c>
      <c r="E1537" s="304">
        <v>0</v>
      </c>
      <c r="F1537" s="304">
        <v>0</v>
      </c>
      <c r="G1537" s="304">
        <v>0</v>
      </c>
      <c r="H1537" s="304">
        <v>0</v>
      </c>
      <c r="I1537" s="304">
        <v>0</v>
      </c>
      <c r="J1537" s="304">
        <v>0</v>
      </c>
      <c r="K1537" s="305">
        <v>1</v>
      </c>
      <c r="L1537" s="304">
        <v>1800000</v>
      </c>
      <c r="M1537" s="304">
        <v>0</v>
      </c>
      <c r="N1537" s="304">
        <v>0</v>
      </c>
      <c r="O1537" s="304">
        <v>0</v>
      </c>
      <c r="P1537" s="304">
        <v>0</v>
      </c>
      <c r="Q1537" s="304">
        <v>0</v>
      </c>
      <c r="R1537" s="304">
        <v>0</v>
      </c>
      <c r="S1537" s="304">
        <v>0</v>
      </c>
      <c r="T1537" s="304">
        <v>0</v>
      </c>
      <c r="U1537" s="304">
        <v>0</v>
      </c>
      <c r="V1537" s="304">
        <v>0</v>
      </c>
      <c r="W1537" s="304">
        <v>0</v>
      </c>
      <c r="X1537" s="304">
        <v>0</v>
      </c>
      <c r="Y1537" s="304">
        <v>0</v>
      </c>
      <c r="Z1537" s="304">
        <v>0</v>
      </c>
      <c r="AA1537" s="304">
        <v>0</v>
      </c>
      <c r="AB1537" s="307" t="s">
        <v>2981</v>
      </c>
    </row>
    <row r="1538" spans="1:28" ht="35.25" customHeight="1" x14ac:dyDescent="0.5">
      <c r="A1538">
        <v>1</v>
      </c>
      <c r="B1538" s="80">
        <f>SUBTOTAL(103,$A$808:A1538)</f>
        <v>722</v>
      </c>
      <c r="C1538" s="300" t="s">
        <v>2366</v>
      </c>
      <c r="D1538" s="296">
        <f t="shared" si="61"/>
        <v>93096</v>
      </c>
      <c r="E1538" s="304">
        <v>0</v>
      </c>
      <c r="F1538" s="304">
        <v>0</v>
      </c>
      <c r="G1538" s="304">
        <v>0</v>
      </c>
      <c r="H1538" s="304">
        <v>0</v>
      </c>
      <c r="I1538" s="304">
        <v>0</v>
      </c>
      <c r="J1538" s="304">
        <v>0</v>
      </c>
      <c r="K1538" s="305">
        <v>1</v>
      </c>
      <c r="L1538" s="304">
        <v>93096</v>
      </c>
      <c r="M1538" s="304">
        <v>0</v>
      </c>
      <c r="N1538" s="304">
        <v>0</v>
      </c>
      <c r="O1538" s="304">
        <v>0</v>
      </c>
      <c r="P1538" s="304">
        <v>0</v>
      </c>
      <c r="Q1538" s="304">
        <v>0</v>
      </c>
      <c r="R1538" s="304">
        <v>0</v>
      </c>
      <c r="S1538" s="304">
        <v>0</v>
      </c>
      <c r="T1538" s="304">
        <v>0</v>
      </c>
      <c r="U1538" s="304">
        <v>0</v>
      </c>
      <c r="V1538" s="304">
        <v>0</v>
      </c>
      <c r="W1538" s="304">
        <v>0</v>
      </c>
      <c r="X1538" s="304">
        <v>0</v>
      </c>
      <c r="Y1538" s="304">
        <v>0</v>
      </c>
      <c r="Z1538" s="304">
        <v>0</v>
      </c>
      <c r="AA1538" s="304">
        <v>0</v>
      </c>
      <c r="AB1538" s="307" t="s">
        <v>2981</v>
      </c>
    </row>
    <row r="1539" spans="1:28" ht="35.25" customHeight="1" x14ac:dyDescent="0.5">
      <c r="A1539">
        <v>1</v>
      </c>
      <c r="B1539" s="80">
        <f>SUBTOTAL(103,$A$808:A1539)</f>
        <v>723</v>
      </c>
      <c r="C1539" s="300" t="s">
        <v>3127</v>
      </c>
      <c r="D1539" s="296">
        <f t="shared" si="61"/>
        <v>285505</v>
      </c>
      <c r="E1539" s="304">
        <v>0</v>
      </c>
      <c r="F1539" s="304">
        <v>0</v>
      </c>
      <c r="G1539" s="304">
        <v>0</v>
      </c>
      <c r="H1539" s="304">
        <v>0</v>
      </c>
      <c r="I1539" s="304">
        <v>0</v>
      </c>
      <c r="J1539" s="304">
        <v>0</v>
      </c>
      <c r="K1539" s="305">
        <v>1</v>
      </c>
      <c r="L1539" s="304">
        <v>285505</v>
      </c>
      <c r="M1539" s="304">
        <v>0</v>
      </c>
      <c r="N1539" s="304">
        <v>0</v>
      </c>
      <c r="O1539" s="304">
        <v>0</v>
      </c>
      <c r="P1539" s="304">
        <v>0</v>
      </c>
      <c r="Q1539" s="304">
        <v>0</v>
      </c>
      <c r="R1539" s="304">
        <v>0</v>
      </c>
      <c r="S1539" s="304">
        <v>0</v>
      </c>
      <c r="T1539" s="304">
        <v>0</v>
      </c>
      <c r="U1539" s="304">
        <v>0</v>
      </c>
      <c r="V1539" s="304">
        <v>0</v>
      </c>
      <c r="W1539" s="304">
        <v>0</v>
      </c>
      <c r="X1539" s="304">
        <v>0</v>
      </c>
      <c r="Y1539" s="304">
        <v>0</v>
      </c>
      <c r="Z1539" s="304">
        <v>0</v>
      </c>
      <c r="AA1539" s="304">
        <v>0</v>
      </c>
      <c r="AB1539" s="307" t="s">
        <v>2981</v>
      </c>
    </row>
    <row r="1540" spans="1:28" ht="35.25" customHeight="1" x14ac:dyDescent="0.5">
      <c r="A1540">
        <v>1</v>
      </c>
      <c r="B1540" s="80">
        <f>SUBTOTAL(103,$A$808:A1540)</f>
        <v>724</v>
      </c>
      <c r="C1540" s="300" t="s">
        <v>1923</v>
      </c>
      <c r="D1540" s="296">
        <f t="shared" si="61"/>
        <v>240035</v>
      </c>
      <c r="E1540" s="304">
        <v>0</v>
      </c>
      <c r="F1540" s="304">
        <v>0</v>
      </c>
      <c r="G1540" s="304">
        <v>0</v>
      </c>
      <c r="H1540" s="304">
        <v>0</v>
      </c>
      <c r="I1540" s="304">
        <v>0</v>
      </c>
      <c r="J1540" s="304">
        <v>0</v>
      </c>
      <c r="K1540" s="305">
        <v>0</v>
      </c>
      <c r="L1540" s="304">
        <v>0</v>
      </c>
      <c r="M1540" s="304">
        <v>240035</v>
      </c>
      <c r="N1540" s="304">
        <v>0</v>
      </c>
      <c r="O1540" s="304">
        <v>0</v>
      </c>
      <c r="P1540" s="304">
        <v>0</v>
      </c>
      <c r="Q1540" s="304">
        <v>0</v>
      </c>
      <c r="R1540" s="304">
        <v>0</v>
      </c>
      <c r="S1540" s="304">
        <v>0</v>
      </c>
      <c r="T1540" s="304">
        <v>0</v>
      </c>
      <c r="U1540" s="304">
        <v>0</v>
      </c>
      <c r="V1540" s="304">
        <v>0</v>
      </c>
      <c r="W1540" s="304">
        <v>0</v>
      </c>
      <c r="X1540" s="304">
        <v>0</v>
      </c>
      <c r="Y1540" s="304">
        <v>0</v>
      </c>
      <c r="Z1540" s="304">
        <v>0</v>
      </c>
      <c r="AA1540" s="304">
        <v>0</v>
      </c>
      <c r="AB1540" s="303" t="s">
        <v>2981</v>
      </c>
    </row>
    <row r="1541" spans="1:28" ht="35.25" customHeight="1" x14ac:dyDescent="0.5">
      <c r="A1541">
        <v>1</v>
      </c>
      <c r="B1541" s="80">
        <f>SUBTOTAL(103,$A$808:A1541)</f>
        <v>725</v>
      </c>
      <c r="C1541" s="300" t="s">
        <v>3128</v>
      </c>
      <c r="D1541" s="296">
        <f t="shared" si="61"/>
        <v>1705889</v>
      </c>
      <c r="E1541" s="304">
        <v>0</v>
      </c>
      <c r="F1541" s="304">
        <v>0</v>
      </c>
      <c r="G1541" s="304">
        <v>0</v>
      </c>
      <c r="H1541" s="304">
        <v>0</v>
      </c>
      <c r="I1541" s="304">
        <v>0</v>
      </c>
      <c r="J1541" s="304">
        <v>0</v>
      </c>
      <c r="K1541" s="305">
        <v>0</v>
      </c>
      <c r="L1541" s="304">
        <v>0</v>
      </c>
      <c r="M1541" s="304">
        <v>1705889</v>
      </c>
      <c r="N1541" s="304">
        <v>0</v>
      </c>
      <c r="O1541" s="304">
        <v>0</v>
      </c>
      <c r="P1541" s="304">
        <v>0</v>
      </c>
      <c r="Q1541" s="304">
        <v>0</v>
      </c>
      <c r="R1541" s="304">
        <v>0</v>
      </c>
      <c r="S1541" s="304">
        <v>0</v>
      </c>
      <c r="T1541" s="304">
        <v>0</v>
      </c>
      <c r="U1541" s="304">
        <v>0</v>
      </c>
      <c r="V1541" s="304">
        <v>0</v>
      </c>
      <c r="W1541" s="304">
        <v>0</v>
      </c>
      <c r="X1541" s="304">
        <v>0</v>
      </c>
      <c r="Y1541" s="304">
        <v>0</v>
      </c>
      <c r="Z1541" s="304">
        <v>0</v>
      </c>
      <c r="AA1541" s="304">
        <v>0</v>
      </c>
      <c r="AB1541" s="303" t="s">
        <v>2981</v>
      </c>
    </row>
    <row r="1542" spans="1:28" ht="35.25" customHeight="1" x14ac:dyDescent="0.5">
      <c r="A1542">
        <v>1</v>
      </c>
      <c r="B1542" s="80">
        <f>SUBTOTAL(103,$A$808:A1542)</f>
        <v>726</v>
      </c>
      <c r="C1542" s="300" t="s">
        <v>3129</v>
      </c>
      <c r="D1542" s="296">
        <f t="shared" si="61"/>
        <v>1285020</v>
      </c>
      <c r="E1542" s="304">
        <v>0</v>
      </c>
      <c r="F1542" s="304">
        <v>0</v>
      </c>
      <c r="G1542" s="304">
        <v>0</v>
      </c>
      <c r="H1542" s="304">
        <v>0</v>
      </c>
      <c r="I1542" s="304">
        <v>0</v>
      </c>
      <c r="J1542" s="304">
        <v>0</v>
      </c>
      <c r="K1542" s="305">
        <v>0</v>
      </c>
      <c r="L1542" s="304">
        <v>0</v>
      </c>
      <c r="M1542" s="304">
        <v>970000</v>
      </c>
      <c r="N1542" s="304">
        <v>0</v>
      </c>
      <c r="O1542" s="304">
        <v>315020</v>
      </c>
      <c r="P1542" s="304">
        <v>0</v>
      </c>
      <c r="Q1542" s="304">
        <v>0</v>
      </c>
      <c r="R1542" s="304">
        <v>0</v>
      </c>
      <c r="S1542" s="304">
        <v>0</v>
      </c>
      <c r="T1542" s="304">
        <v>0</v>
      </c>
      <c r="U1542" s="304">
        <v>0</v>
      </c>
      <c r="V1542" s="304">
        <v>0</v>
      </c>
      <c r="W1542" s="304">
        <v>0</v>
      </c>
      <c r="X1542" s="304">
        <v>0</v>
      </c>
      <c r="Y1542" s="304">
        <v>0</v>
      </c>
      <c r="Z1542" s="304">
        <v>0</v>
      </c>
      <c r="AA1542" s="304">
        <v>0</v>
      </c>
      <c r="AB1542" s="303" t="s">
        <v>2981</v>
      </c>
    </row>
    <row r="1543" spans="1:28" ht="35.25" customHeight="1" x14ac:dyDescent="0.5">
      <c r="A1543">
        <v>1</v>
      </c>
      <c r="B1543" s="80">
        <f>SUBTOTAL(103,$A$808:A1543)</f>
        <v>727</v>
      </c>
      <c r="C1543" s="300" t="s">
        <v>3130</v>
      </c>
      <c r="D1543" s="296">
        <f t="shared" si="61"/>
        <v>86747.67</v>
      </c>
      <c r="E1543" s="304">
        <v>0</v>
      </c>
      <c r="F1543" s="304">
        <v>86747.67</v>
      </c>
      <c r="G1543" s="304">
        <v>0</v>
      </c>
      <c r="H1543" s="304">
        <v>0</v>
      </c>
      <c r="I1543" s="304">
        <v>0</v>
      </c>
      <c r="J1543" s="304">
        <v>0</v>
      </c>
      <c r="K1543" s="305">
        <v>0</v>
      </c>
      <c r="L1543" s="304">
        <v>0</v>
      </c>
      <c r="M1543" s="304">
        <v>0</v>
      </c>
      <c r="N1543" s="304">
        <v>0</v>
      </c>
      <c r="O1543" s="304">
        <v>0</v>
      </c>
      <c r="P1543" s="304">
        <v>0</v>
      </c>
      <c r="Q1543" s="304">
        <v>0</v>
      </c>
      <c r="R1543" s="304">
        <v>0</v>
      </c>
      <c r="S1543" s="304">
        <v>0</v>
      </c>
      <c r="T1543" s="304">
        <v>0</v>
      </c>
      <c r="U1543" s="304">
        <v>0</v>
      </c>
      <c r="V1543" s="304">
        <v>0</v>
      </c>
      <c r="W1543" s="304">
        <v>0</v>
      </c>
      <c r="X1543" s="304">
        <v>0</v>
      </c>
      <c r="Y1543" s="304">
        <v>0</v>
      </c>
      <c r="Z1543" s="304">
        <v>0</v>
      </c>
      <c r="AA1543" s="304">
        <v>0</v>
      </c>
      <c r="AB1543" s="307" t="s">
        <v>2981</v>
      </c>
    </row>
    <row r="1544" spans="1:28" ht="35.25" customHeight="1" x14ac:dyDescent="0.5">
      <c r="A1544">
        <v>1</v>
      </c>
      <c r="B1544" s="80">
        <f>SUBTOTAL(103,$A$808:A1544)</f>
        <v>728</v>
      </c>
      <c r="C1544" s="300" t="s">
        <v>2370</v>
      </c>
      <c r="D1544" s="296">
        <f t="shared" si="61"/>
        <v>2420000</v>
      </c>
      <c r="E1544" s="304">
        <v>0</v>
      </c>
      <c r="F1544" s="304">
        <v>0</v>
      </c>
      <c r="G1544" s="304">
        <v>0</v>
      </c>
      <c r="H1544" s="304">
        <v>0</v>
      </c>
      <c r="I1544" s="304">
        <v>0</v>
      </c>
      <c r="J1544" s="304">
        <v>0</v>
      </c>
      <c r="K1544" s="305">
        <v>1</v>
      </c>
      <c r="L1544" s="304">
        <v>2420000</v>
      </c>
      <c r="M1544" s="304">
        <v>0</v>
      </c>
      <c r="N1544" s="304">
        <v>0</v>
      </c>
      <c r="O1544" s="304">
        <v>0</v>
      </c>
      <c r="P1544" s="304">
        <v>0</v>
      </c>
      <c r="Q1544" s="304">
        <v>0</v>
      </c>
      <c r="R1544" s="304">
        <v>0</v>
      </c>
      <c r="S1544" s="304">
        <v>0</v>
      </c>
      <c r="T1544" s="304">
        <v>0</v>
      </c>
      <c r="U1544" s="304">
        <v>0</v>
      </c>
      <c r="V1544" s="304">
        <v>0</v>
      </c>
      <c r="W1544" s="304">
        <v>0</v>
      </c>
      <c r="X1544" s="304">
        <v>0</v>
      </c>
      <c r="Y1544" s="304">
        <v>0</v>
      </c>
      <c r="Z1544" s="304">
        <v>0</v>
      </c>
      <c r="AA1544" s="304">
        <v>0</v>
      </c>
      <c r="AB1544" s="307" t="s">
        <v>2981</v>
      </c>
    </row>
    <row r="1545" spans="1:28" ht="35.25" customHeight="1" x14ac:dyDescent="0.5">
      <c r="A1545">
        <v>1</v>
      </c>
      <c r="B1545" s="80">
        <f>SUBTOTAL(103,$A$808:A1545)</f>
        <v>729</v>
      </c>
      <c r="C1545" s="300" t="s">
        <v>3131</v>
      </c>
      <c r="D1545" s="296">
        <f t="shared" ref="D1545:D1608" si="67">E1545+F1545+G1545+H1545+I1545+J1545+L1545+M1545+N1545+O1545+P1545+Q1545+R1545+S1545+T1545+U1545+V1545+W1545+X1545+Y1545+Z1545+AA1545</f>
        <v>1272057</v>
      </c>
      <c r="E1545" s="304">
        <v>0</v>
      </c>
      <c r="F1545" s="304">
        <v>0</v>
      </c>
      <c r="G1545" s="304">
        <v>0</v>
      </c>
      <c r="H1545" s="304">
        <v>0</v>
      </c>
      <c r="I1545" s="304">
        <v>0</v>
      </c>
      <c r="J1545" s="304">
        <v>0</v>
      </c>
      <c r="K1545" s="305">
        <v>0</v>
      </c>
      <c r="L1545" s="304">
        <v>0</v>
      </c>
      <c r="M1545" s="304">
        <v>1272057</v>
      </c>
      <c r="N1545" s="304">
        <v>0</v>
      </c>
      <c r="O1545" s="304">
        <v>0</v>
      </c>
      <c r="P1545" s="304">
        <v>0</v>
      </c>
      <c r="Q1545" s="304">
        <v>0</v>
      </c>
      <c r="R1545" s="304">
        <v>0</v>
      </c>
      <c r="S1545" s="304">
        <v>0</v>
      </c>
      <c r="T1545" s="304">
        <v>0</v>
      </c>
      <c r="U1545" s="304">
        <v>0</v>
      </c>
      <c r="V1545" s="304">
        <v>0</v>
      </c>
      <c r="W1545" s="304">
        <v>0</v>
      </c>
      <c r="X1545" s="304">
        <v>0</v>
      </c>
      <c r="Y1545" s="304">
        <v>0</v>
      </c>
      <c r="Z1545" s="304">
        <v>0</v>
      </c>
      <c r="AA1545" s="304">
        <v>0</v>
      </c>
      <c r="AB1545" s="303" t="s">
        <v>2981</v>
      </c>
    </row>
    <row r="1546" spans="1:28" ht="35.25" customHeight="1" x14ac:dyDescent="0.5">
      <c r="A1546">
        <v>1</v>
      </c>
      <c r="B1546" s="80">
        <f>SUBTOTAL(103,$A$808:A1546)</f>
        <v>730</v>
      </c>
      <c r="C1546" s="300" t="s">
        <v>3132</v>
      </c>
      <c r="D1546" s="296">
        <f t="shared" si="67"/>
        <v>488697.98</v>
      </c>
      <c r="E1546" s="304">
        <v>0</v>
      </c>
      <c r="F1546" s="304">
        <v>0</v>
      </c>
      <c r="G1546" s="304">
        <v>279513.65999999997</v>
      </c>
      <c r="H1546" s="304">
        <v>54739.66</v>
      </c>
      <c r="I1546" s="304">
        <v>0</v>
      </c>
      <c r="J1546" s="304">
        <v>0</v>
      </c>
      <c r="K1546" s="305">
        <v>0</v>
      </c>
      <c r="L1546" s="304">
        <v>0</v>
      </c>
      <c r="M1546" s="304">
        <v>0</v>
      </c>
      <c r="N1546" s="304">
        <v>154444.66</v>
      </c>
      <c r="O1546" s="304">
        <v>0</v>
      </c>
      <c r="P1546" s="304">
        <v>0</v>
      </c>
      <c r="Q1546" s="304">
        <v>0</v>
      </c>
      <c r="R1546" s="304">
        <v>0</v>
      </c>
      <c r="S1546" s="304">
        <v>0</v>
      </c>
      <c r="T1546" s="304">
        <v>0</v>
      </c>
      <c r="U1546" s="304">
        <v>0</v>
      </c>
      <c r="V1546" s="304">
        <v>0</v>
      </c>
      <c r="W1546" s="304">
        <v>0</v>
      </c>
      <c r="X1546" s="304">
        <v>0</v>
      </c>
      <c r="Y1546" s="304">
        <v>0</v>
      </c>
      <c r="Z1546" s="304">
        <v>0</v>
      </c>
      <c r="AA1546" s="304">
        <v>0</v>
      </c>
      <c r="AB1546" s="307" t="s">
        <v>2981</v>
      </c>
    </row>
    <row r="1547" spans="1:28" ht="35.25" customHeight="1" x14ac:dyDescent="0.5">
      <c r="A1547">
        <v>1</v>
      </c>
      <c r="B1547" s="80">
        <f>SUBTOTAL(103,$A$808:A1547)</f>
        <v>731</v>
      </c>
      <c r="C1547" s="300" t="s">
        <v>3133</v>
      </c>
      <c r="D1547" s="296">
        <f t="shared" si="67"/>
        <v>300000</v>
      </c>
      <c r="E1547" s="304">
        <v>0</v>
      </c>
      <c r="F1547" s="304">
        <v>0</v>
      </c>
      <c r="G1547" s="304">
        <v>300000</v>
      </c>
      <c r="H1547" s="304">
        <v>0</v>
      </c>
      <c r="I1547" s="304">
        <v>0</v>
      </c>
      <c r="J1547" s="304">
        <v>0</v>
      </c>
      <c r="K1547" s="305">
        <v>0</v>
      </c>
      <c r="L1547" s="304">
        <v>0</v>
      </c>
      <c r="M1547" s="304">
        <v>0</v>
      </c>
      <c r="N1547" s="304">
        <v>0</v>
      </c>
      <c r="O1547" s="304">
        <v>0</v>
      </c>
      <c r="P1547" s="304">
        <v>0</v>
      </c>
      <c r="Q1547" s="304">
        <v>0</v>
      </c>
      <c r="R1547" s="304">
        <v>0</v>
      </c>
      <c r="S1547" s="304">
        <v>0</v>
      </c>
      <c r="T1547" s="304">
        <v>0</v>
      </c>
      <c r="U1547" s="304">
        <v>0</v>
      </c>
      <c r="V1547" s="304">
        <v>0</v>
      </c>
      <c r="W1547" s="304">
        <v>0</v>
      </c>
      <c r="X1547" s="304">
        <v>0</v>
      </c>
      <c r="Y1547" s="304">
        <v>0</v>
      </c>
      <c r="Z1547" s="304">
        <v>0</v>
      </c>
      <c r="AA1547" s="304">
        <v>0</v>
      </c>
      <c r="AB1547" s="307">
        <v>2021</v>
      </c>
    </row>
    <row r="1548" spans="1:28" ht="35.25" customHeight="1" x14ac:dyDescent="0.5">
      <c r="A1548">
        <v>1</v>
      </c>
      <c r="B1548" s="80">
        <f>SUBTOTAL(103,$A$808:A1548)</f>
        <v>732</v>
      </c>
      <c r="C1548" s="300" t="s">
        <v>3134</v>
      </c>
      <c r="D1548" s="296">
        <f t="shared" si="67"/>
        <v>2699904.74</v>
      </c>
      <c r="E1548" s="304">
        <v>0</v>
      </c>
      <c r="F1548" s="304">
        <v>0</v>
      </c>
      <c r="G1548" s="304">
        <v>0</v>
      </c>
      <c r="H1548" s="304">
        <v>0</v>
      </c>
      <c r="I1548" s="304">
        <v>0</v>
      </c>
      <c r="J1548" s="304">
        <v>0</v>
      </c>
      <c r="K1548" s="305">
        <v>0</v>
      </c>
      <c r="L1548" s="304">
        <v>0</v>
      </c>
      <c r="M1548" s="304">
        <v>2699904.74</v>
      </c>
      <c r="N1548" s="304">
        <v>0</v>
      </c>
      <c r="O1548" s="304">
        <v>0</v>
      </c>
      <c r="P1548" s="304">
        <v>0</v>
      </c>
      <c r="Q1548" s="304">
        <v>0</v>
      </c>
      <c r="R1548" s="304">
        <v>0</v>
      </c>
      <c r="S1548" s="304">
        <v>0</v>
      </c>
      <c r="T1548" s="304">
        <v>0</v>
      </c>
      <c r="U1548" s="304">
        <v>0</v>
      </c>
      <c r="V1548" s="304">
        <v>0</v>
      </c>
      <c r="W1548" s="304">
        <v>0</v>
      </c>
      <c r="X1548" s="304">
        <v>0</v>
      </c>
      <c r="Y1548" s="304">
        <v>0</v>
      </c>
      <c r="Z1548" s="304">
        <v>0</v>
      </c>
      <c r="AA1548" s="304">
        <v>0</v>
      </c>
      <c r="AB1548" s="307">
        <v>2021</v>
      </c>
    </row>
    <row r="1549" spans="1:28" ht="35.25" customHeight="1" x14ac:dyDescent="0.5">
      <c r="A1549">
        <v>1</v>
      </c>
      <c r="B1549" s="80">
        <f>SUBTOTAL(103,$A$808:A1549)</f>
        <v>733</v>
      </c>
      <c r="C1549" s="300" t="s">
        <v>3135</v>
      </c>
      <c r="D1549" s="296">
        <f t="shared" si="67"/>
        <v>530224.57999999996</v>
      </c>
      <c r="E1549" s="304">
        <v>0</v>
      </c>
      <c r="F1549" s="304">
        <v>0</v>
      </c>
      <c r="G1549" s="304">
        <v>0</v>
      </c>
      <c r="H1549" s="304">
        <v>0</v>
      </c>
      <c r="I1549" s="304">
        <v>0</v>
      </c>
      <c r="J1549" s="304">
        <v>0</v>
      </c>
      <c r="K1549" s="305">
        <v>0</v>
      </c>
      <c r="L1549" s="304">
        <v>0</v>
      </c>
      <c r="M1549" s="304">
        <v>0</v>
      </c>
      <c r="N1549" s="304">
        <v>0</v>
      </c>
      <c r="O1549" s="304">
        <v>530224.57999999996</v>
      </c>
      <c r="P1549" s="304">
        <v>0</v>
      </c>
      <c r="Q1549" s="304">
        <v>0</v>
      </c>
      <c r="R1549" s="304">
        <v>0</v>
      </c>
      <c r="S1549" s="304">
        <v>0</v>
      </c>
      <c r="T1549" s="304">
        <v>0</v>
      </c>
      <c r="U1549" s="304">
        <v>0</v>
      </c>
      <c r="V1549" s="304">
        <v>0</v>
      </c>
      <c r="W1549" s="304">
        <v>0</v>
      </c>
      <c r="X1549" s="304">
        <v>0</v>
      </c>
      <c r="Y1549" s="304">
        <v>0</v>
      </c>
      <c r="Z1549" s="304">
        <v>0</v>
      </c>
      <c r="AA1549" s="304">
        <v>0</v>
      </c>
      <c r="AB1549" s="307">
        <v>2021</v>
      </c>
    </row>
    <row r="1550" spans="1:28" ht="35.25" customHeight="1" x14ac:dyDescent="0.5">
      <c r="A1550">
        <v>1</v>
      </c>
      <c r="B1550" s="80">
        <f>SUBTOTAL(103,$A$808:A1550)</f>
        <v>734</v>
      </c>
      <c r="C1550" s="300" t="s">
        <v>2364</v>
      </c>
      <c r="D1550" s="296">
        <f t="shared" si="67"/>
        <v>245559</v>
      </c>
      <c r="E1550" s="304">
        <v>0</v>
      </c>
      <c r="F1550" s="304">
        <v>0</v>
      </c>
      <c r="G1550" s="304">
        <v>0</v>
      </c>
      <c r="H1550" s="304">
        <v>0</v>
      </c>
      <c r="I1550" s="304">
        <v>0</v>
      </c>
      <c r="J1550" s="304">
        <v>0</v>
      </c>
      <c r="K1550" s="305">
        <v>0</v>
      </c>
      <c r="L1550" s="304">
        <v>0</v>
      </c>
      <c r="M1550" s="304">
        <v>0</v>
      </c>
      <c r="N1550" s="304">
        <v>0</v>
      </c>
      <c r="O1550" s="304">
        <v>245559</v>
      </c>
      <c r="P1550" s="304">
        <v>0</v>
      </c>
      <c r="Q1550" s="304">
        <v>0</v>
      </c>
      <c r="R1550" s="304">
        <v>0</v>
      </c>
      <c r="S1550" s="304">
        <v>0</v>
      </c>
      <c r="T1550" s="304">
        <v>0</v>
      </c>
      <c r="U1550" s="304">
        <v>0</v>
      </c>
      <c r="V1550" s="304">
        <v>0</v>
      </c>
      <c r="W1550" s="304">
        <v>0</v>
      </c>
      <c r="X1550" s="304">
        <v>0</v>
      </c>
      <c r="Y1550" s="304">
        <v>0</v>
      </c>
      <c r="Z1550" s="304">
        <v>0</v>
      </c>
      <c r="AA1550" s="304">
        <v>0</v>
      </c>
      <c r="AB1550" s="307">
        <v>2021</v>
      </c>
    </row>
    <row r="1551" spans="1:28" ht="35.25" customHeight="1" x14ac:dyDescent="0.5">
      <c r="A1551">
        <v>1</v>
      </c>
      <c r="B1551" s="80">
        <f>SUBTOTAL(103,$A$808:A1551)</f>
        <v>735</v>
      </c>
      <c r="C1551" s="300" t="s">
        <v>2863</v>
      </c>
      <c r="D1551" s="296">
        <f t="shared" si="67"/>
        <v>3499549</v>
      </c>
      <c r="E1551" s="301">
        <v>0</v>
      </c>
      <c r="F1551" s="301">
        <v>0</v>
      </c>
      <c r="G1551" s="301">
        <v>0</v>
      </c>
      <c r="H1551" s="301">
        <v>0</v>
      </c>
      <c r="I1551" s="301">
        <v>0</v>
      </c>
      <c r="J1551" s="301">
        <v>0</v>
      </c>
      <c r="K1551" s="302">
        <v>0</v>
      </c>
      <c r="L1551" s="301">
        <v>0</v>
      </c>
      <c r="M1551" s="301">
        <v>3499549</v>
      </c>
      <c r="N1551" s="301">
        <v>0</v>
      </c>
      <c r="O1551" s="301">
        <v>0</v>
      </c>
      <c r="P1551" s="301">
        <v>0</v>
      </c>
      <c r="Q1551" s="301">
        <v>0</v>
      </c>
      <c r="R1551" s="301">
        <v>0</v>
      </c>
      <c r="S1551" s="301">
        <v>0</v>
      </c>
      <c r="T1551" s="301">
        <v>0</v>
      </c>
      <c r="U1551" s="301">
        <v>0</v>
      </c>
      <c r="V1551" s="301">
        <v>0</v>
      </c>
      <c r="W1551" s="301">
        <v>0</v>
      </c>
      <c r="X1551" s="301">
        <v>0</v>
      </c>
      <c r="Y1551" s="301">
        <v>0</v>
      </c>
      <c r="Z1551" s="301">
        <v>0</v>
      </c>
      <c r="AA1551" s="301">
        <v>0</v>
      </c>
      <c r="AB1551" s="303">
        <v>2021</v>
      </c>
    </row>
    <row r="1552" spans="1:28" ht="35.25" customHeight="1" x14ac:dyDescent="0.5">
      <c r="B1552" s="299" t="s">
        <v>762</v>
      </c>
      <c r="C1552" s="300"/>
      <c r="D1552" s="296">
        <f t="shared" si="67"/>
        <v>903690.58000000007</v>
      </c>
      <c r="E1552" s="296">
        <f t="shared" ref="E1552:AA1552" si="68">SUM(E1553:E1555)</f>
        <v>0</v>
      </c>
      <c r="F1552" s="296">
        <f t="shared" si="68"/>
        <v>0</v>
      </c>
      <c r="G1552" s="296">
        <f t="shared" si="68"/>
        <v>0</v>
      </c>
      <c r="H1552" s="296">
        <f t="shared" si="68"/>
        <v>97071.72</v>
      </c>
      <c r="I1552" s="296">
        <f t="shared" si="68"/>
        <v>0</v>
      </c>
      <c r="J1552" s="296">
        <f t="shared" si="68"/>
        <v>0</v>
      </c>
      <c r="K1552" s="297">
        <f t="shared" si="68"/>
        <v>0</v>
      </c>
      <c r="L1552" s="296">
        <f t="shared" si="68"/>
        <v>0</v>
      </c>
      <c r="M1552" s="296">
        <f t="shared" si="68"/>
        <v>0</v>
      </c>
      <c r="N1552" s="296">
        <f t="shared" si="68"/>
        <v>0</v>
      </c>
      <c r="O1552" s="296">
        <f t="shared" si="68"/>
        <v>806618.8600000001</v>
      </c>
      <c r="P1552" s="296">
        <f t="shared" si="68"/>
        <v>0</v>
      </c>
      <c r="Q1552" s="296">
        <f t="shared" si="68"/>
        <v>0</v>
      </c>
      <c r="R1552" s="296">
        <f t="shared" si="68"/>
        <v>0</v>
      </c>
      <c r="S1552" s="296">
        <f t="shared" si="68"/>
        <v>0</v>
      </c>
      <c r="T1552" s="296">
        <f t="shared" si="68"/>
        <v>0</v>
      </c>
      <c r="U1552" s="296">
        <f t="shared" si="68"/>
        <v>0</v>
      </c>
      <c r="V1552" s="296">
        <f t="shared" si="68"/>
        <v>0</v>
      </c>
      <c r="W1552" s="296">
        <f t="shared" si="68"/>
        <v>0</v>
      </c>
      <c r="X1552" s="296">
        <f t="shared" si="68"/>
        <v>0</v>
      </c>
      <c r="Y1552" s="296">
        <f t="shared" si="68"/>
        <v>0</v>
      </c>
      <c r="Z1552" s="296">
        <f t="shared" si="68"/>
        <v>0</v>
      </c>
      <c r="AA1552" s="296">
        <f t="shared" si="68"/>
        <v>0</v>
      </c>
      <c r="AB1552" s="298" t="s">
        <v>835</v>
      </c>
    </row>
    <row r="1553" spans="1:28" ht="35.25" customHeight="1" x14ac:dyDescent="0.5">
      <c r="A1553">
        <v>1</v>
      </c>
      <c r="B1553" s="80">
        <f>SUBTOTAL(103,$A$808:A1553)</f>
        <v>736</v>
      </c>
      <c r="C1553" s="300" t="s">
        <v>2864</v>
      </c>
      <c r="D1553" s="296">
        <f t="shared" si="67"/>
        <v>425248.39</v>
      </c>
      <c r="E1553" s="301">
        <v>0</v>
      </c>
      <c r="F1553" s="301">
        <v>0</v>
      </c>
      <c r="G1553" s="301">
        <v>0</v>
      </c>
      <c r="H1553" s="301">
        <v>0</v>
      </c>
      <c r="I1553" s="301">
        <v>0</v>
      </c>
      <c r="J1553" s="301">
        <v>0</v>
      </c>
      <c r="K1553" s="302">
        <v>0</v>
      </c>
      <c r="L1553" s="301">
        <v>0</v>
      </c>
      <c r="M1553" s="301">
        <v>0</v>
      </c>
      <c r="N1553" s="301">
        <v>0</v>
      </c>
      <c r="O1553" s="301">
        <v>425248.39</v>
      </c>
      <c r="P1553" s="301">
        <v>0</v>
      </c>
      <c r="Q1553" s="301">
        <v>0</v>
      </c>
      <c r="R1553" s="301">
        <v>0</v>
      </c>
      <c r="S1553" s="301">
        <v>0</v>
      </c>
      <c r="T1553" s="301">
        <v>0</v>
      </c>
      <c r="U1553" s="301">
        <v>0</v>
      </c>
      <c r="V1553" s="301">
        <v>0</v>
      </c>
      <c r="W1553" s="301">
        <v>0</v>
      </c>
      <c r="X1553" s="301">
        <v>0</v>
      </c>
      <c r="Y1553" s="301">
        <v>0</v>
      </c>
      <c r="Z1553" s="301">
        <v>0</v>
      </c>
      <c r="AA1553" s="301">
        <v>0</v>
      </c>
      <c r="AB1553" s="303">
        <v>2021</v>
      </c>
    </row>
    <row r="1554" spans="1:28" ht="35.25" customHeight="1" x14ac:dyDescent="0.5">
      <c r="A1554">
        <v>1</v>
      </c>
      <c r="B1554" s="80">
        <f>SUBTOTAL(103,$A$808:A1554)</f>
        <v>737</v>
      </c>
      <c r="C1554" s="300" t="s">
        <v>3136</v>
      </c>
      <c r="D1554" s="296">
        <f t="shared" si="67"/>
        <v>63988.19</v>
      </c>
      <c r="E1554" s="301">
        <v>0</v>
      </c>
      <c r="F1554" s="301">
        <v>0</v>
      </c>
      <c r="G1554" s="301">
        <v>0</v>
      </c>
      <c r="H1554" s="301">
        <v>0</v>
      </c>
      <c r="I1554" s="301">
        <v>0</v>
      </c>
      <c r="J1554" s="301">
        <v>0</v>
      </c>
      <c r="K1554" s="302">
        <v>0</v>
      </c>
      <c r="L1554" s="301">
        <v>0</v>
      </c>
      <c r="M1554" s="301">
        <v>0</v>
      </c>
      <c r="N1554" s="301">
        <v>0</v>
      </c>
      <c r="O1554" s="301">
        <v>63988.19</v>
      </c>
      <c r="P1554" s="301">
        <v>0</v>
      </c>
      <c r="Q1554" s="301">
        <v>0</v>
      </c>
      <c r="R1554" s="301">
        <v>0</v>
      </c>
      <c r="S1554" s="301">
        <v>0</v>
      </c>
      <c r="T1554" s="301">
        <v>0</v>
      </c>
      <c r="U1554" s="301">
        <v>0</v>
      </c>
      <c r="V1554" s="301">
        <v>0</v>
      </c>
      <c r="W1554" s="301">
        <v>0</v>
      </c>
      <c r="X1554" s="301">
        <v>0</v>
      </c>
      <c r="Y1554" s="301">
        <v>0</v>
      </c>
      <c r="Z1554" s="301">
        <v>0</v>
      </c>
      <c r="AA1554" s="301">
        <v>0</v>
      </c>
      <c r="AB1554" s="303" t="s">
        <v>2981</v>
      </c>
    </row>
    <row r="1555" spans="1:28" ht="35.25" customHeight="1" x14ac:dyDescent="0.5">
      <c r="A1555">
        <v>1</v>
      </c>
      <c r="B1555" s="80">
        <f>SUBTOTAL(103,$A$808:A1555)</f>
        <v>738</v>
      </c>
      <c r="C1555" s="300" t="s">
        <v>2865</v>
      </c>
      <c r="D1555" s="296">
        <f t="shared" si="67"/>
        <v>414454</v>
      </c>
      <c r="E1555" s="301">
        <v>0</v>
      </c>
      <c r="F1555" s="301">
        <v>0</v>
      </c>
      <c r="G1555" s="301">
        <v>0</v>
      </c>
      <c r="H1555" s="301">
        <v>97071.72</v>
      </c>
      <c r="I1555" s="301">
        <v>0</v>
      </c>
      <c r="J1555" s="301">
        <v>0</v>
      </c>
      <c r="K1555" s="302">
        <v>0</v>
      </c>
      <c r="L1555" s="301">
        <v>0</v>
      </c>
      <c r="M1555" s="301">
        <v>0</v>
      </c>
      <c r="N1555" s="301">
        <v>0</v>
      </c>
      <c r="O1555" s="301">
        <v>317382.28000000003</v>
      </c>
      <c r="P1555" s="301">
        <v>0</v>
      </c>
      <c r="Q1555" s="301">
        <v>0</v>
      </c>
      <c r="R1555" s="301">
        <v>0</v>
      </c>
      <c r="S1555" s="301">
        <v>0</v>
      </c>
      <c r="T1555" s="301">
        <v>0</v>
      </c>
      <c r="U1555" s="301">
        <v>0</v>
      </c>
      <c r="V1555" s="301">
        <v>0</v>
      </c>
      <c r="W1555" s="301">
        <v>0</v>
      </c>
      <c r="X1555" s="301">
        <v>0</v>
      </c>
      <c r="Y1555" s="301">
        <v>0</v>
      </c>
      <c r="Z1555" s="301">
        <v>0</v>
      </c>
      <c r="AA1555" s="301">
        <v>0</v>
      </c>
      <c r="AB1555" s="303">
        <v>2021</v>
      </c>
    </row>
    <row r="1556" spans="1:28" ht="35.25" customHeight="1" x14ac:dyDescent="0.5">
      <c r="B1556" s="299" t="s">
        <v>768</v>
      </c>
      <c r="C1556" s="300"/>
      <c r="D1556" s="296">
        <f t="shared" si="67"/>
        <v>7182370.0499999998</v>
      </c>
      <c r="E1556" s="296">
        <f t="shared" ref="E1556:AA1556" si="69">SUM(E1557:E1565)</f>
        <v>0</v>
      </c>
      <c r="F1556" s="296">
        <f t="shared" si="69"/>
        <v>0</v>
      </c>
      <c r="G1556" s="296">
        <f t="shared" si="69"/>
        <v>218610</v>
      </c>
      <c r="H1556" s="296">
        <f t="shared" si="69"/>
        <v>98317</v>
      </c>
      <c r="I1556" s="296">
        <f t="shared" si="69"/>
        <v>0</v>
      </c>
      <c r="J1556" s="296">
        <f t="shared" si="69"/>
        <v>684624.63</v>
      </c>
      <c r="K1556" s="297">
        <f t="shared" si="69"/>
        <v>0</v>
      </c>
      <c r="L1556" s="296">
        <f t="shared" si="69"/>
        <v>0</v>
      </c>
      <c r="M1556" s="296">
        <f t="shared" si="69"/>
        <v>2042529</v>
      </c>
      <c r="N1556" s="296">
        <f t="shared" si="69"/>
        <v>985531.41999999993</v>
      </c>
      <c r="O1556" s="296">
        <f t="shared" si="69"/>
        <v>2499756</v>
      </c>
      <c r="P1556" s="296">
        <f t="shared" si="69"/>
        <v>653002</v>
      </c>
      <c r="Q1556" s="296">
        <f t="shared" si="69"/>
        <v>0</v>
      </c>
      <c r="R1556" s="296">
        <f t="shared" si="69"/>
        <v>0</v>
      </c>
      <c r="S1556" s="296">
        <f t="shared" si="69"/>
        <v>0</v>
      </c>
      <c r="T1556" s="296">
        <f t="shared" si="69"/>
        <v>0</v>
      </c>
      <c r="U1556" s="296">
        <f t="shared" si="69"/>
        <v>0</v>
      </c>
      <c r="V1556" s="296">
        <f t="shared" si="69"/>
        <v>0</v>
      </c>
      <c r="W1556" s="296">
        <f t="shared" si="69"/>
        <v>0</v>
      </c>
      <c r="X1556" s="296">
        <f t="shared" si="69"/>
        <v>0</v>
      </c>
      <c r="Y1556" s="296">
        <f t="shared" si="69"/>
        <v>0</v>
      </c>
      <c r="Z1556" s="296">
        <f t="shared" si="69"/>
        <v>0</v>
      </c>
      <c r="AA1556" s="296">
        <f t="shared" si="69"/>
        <v>0</v>
      </c>
      <c r="AB1556" s="298" t="s">
        <v>835</v>
      </c>
    </row>
    <row r="1557" spans="1:28" ht="35.25" customHeight="1" x14ac:dyDescent="0.5">
      <c r="A1557">
        <v>1</v>
      </c>
      <c r="B1557" s="80">
        <f>SUBTOTAL(103,$A$808:A1557)</f>
        <v>739</v>
      </c>
      <c r="C1557" s="300" t="s">
        <v>2866</v>
      </c>
      <c r="D1557" s="296">
        <f t="shared" si="67"/>
        <v>218610</v>
      </c>
      <c r="E1557" s="304">
        <v>0</v>
      </c>
      <c r="F1557" s="304">
        <v>0</v>
      </c>
      <c r="G1557" s="304">
        <v>218610</v>
      </c>
      <c r="H1557" s="304">
        <v>0</v>
      </c>
      <c r="I1557" s="304">
        <v>0</v>
      </c>
      <c r="J1557" s="304">
        <v>0</v>
      </c>
      <c r="K1557" s="305">
        <v>0</v>
      </c>
      <c r="L1557" s="304">
        <v>0</v>
      </c>
      <c r="M1557" s="304">
        <v>0</v>
      </c>
      <c r="N1557" s="304">
        <v>0</v>
      </c>
      <c r="O1557" s="304">
        <v>0</v>
      </c>
      <c r="P1557" s="304">
        <v>0</v>
      </c>
      <c r="Q1557" s="304">
        <v>0</v>
      </c>
      <c r="R1557" s="304">
        <v>0</v>
      </c>
      <c r="S1557" s="304">
        <v>0</v>
      </c>
      <c r="T1557" s="304">
        <v>0</v>
      </c>
      <c r="U1557" s="304">
        <v>0</v>
      </c>
      <c r="V1557" s="304">
        <v>0</v>
      </c>
      <c r="W1557" s="304">
        <v>0</v>
      </c>
      <c r="X1557" s="304">
        <v>0</v>
      </c>
      <c r="Y1557" s="304">
        <v>0</v>
      </c>
      <c r="Z1557" s="304">
        <v>0</v>
      </c>
      <c r="AA1557" s="304">
        <v>0</v>
      </c>
      <c r="AB1557" s="303">
        <v>2021</v>
      </c>
    </row>
    <row r="1558" spans="1:28" ht="35.25" customHeight="1" x14ac:dyDescent="0.5">
      <c r="A1558">
        <v>1</v>
      </c>
      <c r="B1558" s="80">
        <f>SUBTOTAL(103,$A$808:A1558)</f>
        <v>740</v>
      </c>
      <c r="C1558" s="300" t="s">
        <v>3137</v>
      </c>
      <c r="D1558" s="296">
        <f t="shared" si="67"/>
        <v>1162406.05</v>
      </c>
      <c r="E1558" s="304">
        <v>0</v>
      </c>
      <c r="F1558" s="304">
        <v>0</v>
      </c>
      <c r="G1558" s="304">
        <v>0</v>
      </c>
      <c r="H1558" s="304">
        <v>0</v>
      </c>
      <c r="I1558" s="304">
        <v>0</v>
      </c>
      <c r="J1558" s="304">
        <v>684624.63</v>
      </c>
      <c r="K1558" s="305">
        <v>0</v>
      </c>
      <c r="L1558" s="304">
        <v>0</v>
      </c>
      <c r="M1558" s="304">
        <v>0</v>
      </c>
      <c r="N1558" s="304">
        <v>377531.42</v>
      </c>
      <c r="O1558" s="304">
        <v>100250</v>
      </c>
      <c r="P1558" s="304">
        <v>0</v>
      </c>
      <c r="Q1558" s="304">
        <v>0</v>
      </c>
      <c r="R1558" s="304">
        <v>0</v>
      </c>
      <c r="S1558" s="304">
        <v>0</v>
      </c>
      <c r="T1558" s="304">
        <v>0</v>
      </c>
      <c r="U1558" s="304">
        <v>0</v>
      </c>
      <c r="V1558" s="304">
        <v>0</v>
      </c>
      <c r="W1558" s="304">
        <v>0</v>
      </c>
      <c r="X1558" s="304">
        <v>0</v>
      </c>
      <c r="Y1558" s="304">
        <v>0</v>
      </c>
      <c r="Z1558" s="304">
        <v>0</v>
      </c>
      <c r="AA1558" s="304">
        <v>0</v>
      </c>
      <c r="AB1558" s="303" t="s">
        <v>2981</v>
      </c>
    </row>
    <row r="1559" spans="1:28" ht="35.25" customHeight="1" x14ac:dyDescent="0.5">
      <c r="A1559">
        <v>1</v>
      </c>
      <c r="B1559" s="80">
        <f>SUBTOTAL(103,$A$808:A1559)</f>
        <v>741</v>
      </c>
      <c r="C1559" s="300" t="s">
        <v>3138</v>
      </c>
      <c r="D1559" s="296">
        <f t="shared" si="67"/>
        <v>543608</v>
      </c>
      <c r="E1559" s="304">
        <v>0</v>
      </c>
      <c r="F1559" s="304">
        <v>0</v>
      </c>
      <c r="G1559" s="304">
        <v>0</v>
      </c>
      <c r="H1559" s="304">
        <v>0</v>
      </c>
      <c r="I1559" s="304">
        <v>0</v>
      </c>
      <c r="J1559" s="304">
        <v>0</v>
      </c>
      <c r="K1559" s="305">
        <v>0</v>
      </c>
      <c r="L1559" s="304">
        <v>0</v>
      </c>
      <c r="M1559" s="304">
        <v>543608</v>
      </c>
      <c r="N1559" s="304">
        <v>0</v>
      </c>
      <c r="O1559" s="304">
        <v>0</v>
      </c>
      <c r="P1559" s="304">
        <v>0</v>
      </c>
      <c r="Q1559" s="304">
        <v>0</v>
      </c>
      <c r="R1559" s="304">
        <v>0</v>
      </c>
      <c r="S1559" s="304">
        <v>0</v>
      </c>
      <c r="T1559" s="304">
        <v>0</v>
      </c>
      <c r="U1559" s="304">
        <v>0</v>
      </c>
      <c r="V1559" s="304">
        <v>0</v>
      </c>
      <c r="W1559" s="304">
        <v>0</v>
      </c>
      <c r="X1559" s="304">
        <v>0</v>
      </c>
      <c r="Y1559" s="304">
        <v>0</v>
      </c>
      <c r="Z1559" s="304">
        <v>0</v>
      </c>
      <c r="AA1559" s="304">
        <v>0</v>
      </c>
      <c r="AB1559" s="303" t="s">
        <v>2981</v>
      </c>
    </row>
    <row r="1560" spans="1:28" ht="35.25" customHeight="1" x14ac:dyDescent="0.5">
      <c r="A1560">
        <v>1</v>
      </c>
      <c r="B1560" s="80">
        <f>SUBTOTAL(103,$A$808:A1560)</f>
        <v>742</v>
      </c>
      <c r="C1560" s="300" t="s">
        <v>3139</v>
      </c>
      <c r="D1560" s="296">
        <f t="shared" si="67"/>
        <v>810000</v>
      </c>
      <c r="E1560" s="304">
        <v>0</v>
      </c>
      <c r="F1560" s="304">
        <v>0</v>
      </c>
      <c r="G1560" s="304">
        <v>0</v>
      </c>
      <c r="H1560" s="304">
        <v>0</v>
      </c>
      <c r="I1560" s="304">
        <v>0</v>
      </c>
      <c r="J1560" s="304">
        <v>0</v>
      </c>
      <c r="K1560" s="305">
        <v>0</v>
      </c>
      <c r="L1560" s="304">
        <v>0</v>
      </c>
      <c r="M1560" s="304">
        <v>0</v>
      </c>
      <c r="N1560" s="304">
        <v>0</v>
      </c>
      <c r="O1560" s="304">
        <v>810000</v>
      </c>
      <c r="P1560" s="304">
        <v>0</v>
      </c>
      <c r="Q1560" s="304">
        <v>0</v>
      </c>
      <c r="R1560" s="304">
        <v>0</v>
      </c>
      <c r="S1560" s="304">
        <v>0</v>
      </c>
      <c r="T1560" s="304">
        <v>0</v>
      </c>
      <c r="U1560" s="304">
        <v>0</v>
      </c>
      <c r="V1560" s="304">
        <v>0</v>
      </c>
      <c r="W1560" s="304">
        <v>0</v>
      </c>
      <c r="X1560" s="304">
        <v>0</v>
      </c>
      <c r="Y1560" s="304">
        <v>0</v>
      </c>
      <c r="Z1560" s="304">
        <v>0</v>
      </c>
      <c r="AA1560" s="304">
        <v>0</v>
      </c>
      <c r="AB1560" s="303" t="s">
        <v>2981</v>
      </c>
    </row>
    <row r="1561" spans="1:28" ht="35.25" customHeight="1" x14ac:dyDescent="0.5">
      <c r="A1561">
        <v>1</v>
      </c>
      <c r="B1561" s="80">
        <f>SUBTOTAL(103,$A$808:A1561)</f>
        <v>743</v>
      </c>
      <c r="C1561" s="300" t="s">
        <v>2087</v>
      </c>
      <c r="D1561" s="296">
        <f t="shared" si="67"/>
        <v>187789</v>
      </c>
      <c r="E1561" s="304">
        <v>0</v>
      </c>
      <c r="F1561" s="304">
        <v>0</v>
      </c>
      <c r="G1561" s="304">
        <v>0</v>
      </c>
      <c r="H1561" s="304">
        <v>98317</v>
      </c>
      <c r="I1561" s="304">
        <v>0</v>
      </c>
      <c r="J1561" s="304">
        <v>0</v>
      </c>
      <c r="K1561" s="305">
        <v>0</v>
      </c>
      <c r="L1561" s="304">
        <v>0</v>
      </c>
      <c r="M1561" s="304">
        <v>0</v>
      </c>
      <c r="N1561" s="304">
        <v>0</v>
      </c>
      <c r="O1561" s="304">
        <v>89472</v>
      </c>
      <c r="P1561" s="304">
        <v>0</v>
      </c>
      <c r="Q1561" s="304">
        <v>0</v>
      </c>
      <c r="R1561" s="304">
        <v>0</v>
      </c>
      <c r="S1561" s="304">
        <v>0</v>
      </c>
      <c r="T1561" s="304">
        <v>0</v>
      </c>
      <c r="U1561" s="304">
        <v>0</v>
      </c>
      <c r="V1561" s="304">
        <v>0</v>
      </c>
      <c r="W1561" s="304">
        <v>0</v>
      </c>
      <c r="X1561" s="304">
        <v>0</v>
      </c>
      <c r="Y1561" s="304">
        <v>0</v>
      </c>
      <c r="Z1561" s="304">
        <v>0</v>
      </c>
      <c r="AA1561" s="304">
        <v>0</v>
      </c>
      <c r="AB1561" s="303" t="s">
        <v>2981</v>
      </c>
    </row>
    <row r="1562" spans="1:28" ht="35.25" customHeight="1" x14ac:dyDescent="0.5">
      <c r="A1562">
        <v>1</v>
      </c>
      <c r="B1562" s="80">
        <f>SUBTOTAL(103,$A$808:A1562)</f>
        <v>744</v>
      </c>
      <c r="C1562" s="300" t="s">
        <v>3140</v>
      </c>
      <c r="D1562" s="296">
        <f t="shared" si="67"/>
        <v>1498921</v>
      </c>
      <c r="E1562" s="304">
        <v>0</v>
      </c>
      <c r="F1562" s="304">
        <v>0</v>
      </c>
      <c r="G1562" s="304">
        <v>0</v>
      </c>
      <c r="H1562" s="304">
        <v>0</v>
      </c>
      <c r="I1562" s="304">
        <v>0</v>
      </c>
      <c r="J1562" s="304">
        <v>0</v>
      </c>
      <c r="K1562" s="305">
        <v>0</v>
      </c>
      <c r="L1562" s="304">
        <v>0</v>
      </c>
      <c r="M1562" s="304">
        <v>1498921</v>
      </c>
      <c r="N1562" s="304">
        <v>0</v>
      </c>
      <c r="O1562" s="304">
        <v>0</v>
      </c>
      <c r="P1562" s="304">
        <v>0</v>
      </c>
      <c r="Q1562" s="304">
        <v>0</v>
      </c>
      <c r="R1562" s="304">
        <v>0</v>
      </c>
      <c r="S1562" s="304">
        <v>0</v>
      </c>
      <c r="T1562" s="304">
        <v>0</v>
      </c>
      <c r="U1562" s="304">
        <v>0</v>
      </c>
      <c r="V1562" s="304">
        <v>0</v>
      </c>
      <c r="W1562" s="304">
        <v>0</v>
      </c>
      <c r="X1562" s="304">
        <v>0</v>
      </c>
      <c r="Y1562" s="304">
        <v>0</v>
      </c>
      <c r="Z1562" s="304">
        <v>0</v>
      </c>
      <c r="AA1562" s="304">
        <v>0</v>
      </c>
      <c r="AB1562" s="303" t="s">
        <v>2981</v>
      </c>
    </row>
    <row r="1563" spans="1:28" ht="35.25" customHeight="1" x14ac:dyDescent="0.5">
      <c r="A1563">
        <v>1</v>
      </c>
      <c r="B1563" s="80">
        <f>SUBTOTAL(103,$A$808:A1563)</f>
        <v>745</v>
      </c>
      <c r="C1563" s="300" t="s">
        <v>2272</v>
      </c>
      <c r="D1563" s="296">
        <f t="shared" si="67"/>
        <v>1500034</v>
      </c>
      <c r="E1563" s="304">
        <v>0</v>
      </c>
      <c r="F1563" s="304">
        <v>0</v>
      </c>
      <c r="G1563" s="304">
        <v>0</v>
      </c>
      <c r="H1563" s="304">
        <v>0</v>
      </c>
      <c r="I1563" s="304">
        <v>0</v>
      </c>
      <c r="J1563" s="304">
        <v>0</v>
      </c>
      <c r="K1563" s="305">
        <v>0</v>
      </c>
      <c r="L1563" s="304">
        <v>0</v>
      </c>
      <c r="M1563" s="304">
        <v>0</v>
      </c>
      <c r="N1563" s="304">
        <v>0</v>
      </c>
      <c r="O1563" s="304">
        <v>1500034</v>
      </c>
      <c r="P1563" s="304">
        <v>0</v>
      </c>
      <c r="Q1563" s="304">
        <v>0</v>
      </c>
      <c r="R1563" s="304">
        <v>0</v>
      </c>
      <c r="S1563" s="304">
        <v>0</v>
      </c>
      <c r="T1563" s="304">
        <v>0</v>
      </c>
      <c r="U1563" s="304">
        <v>0</v>
      </c>
      <c r="V1563" s="304">
        <v>0</v>
      </c>
      <c r="W1563" s="304">
        <v>0</v>
      </c>
      <c r="X1563" s="304">
        <v>0</v>
      </c>
      <c r="Y1563" s="304">
        <v>0</v>
      </c>
      <c r="Z1563" s="304">
        <v>0</v>
      </c>
      <c r="AA1563" s="304">
        <v>0</v>
      </c>
      <c r="AB1563" s="303">
        <v>2021</v>
      </c>
    </row>
    <row r="1564" spans="1:28" ht="35.25" customHeight="1" x14ac:dyDescent="0.5">
      <c r="A1564">
        <v>1</v>
      </c>
      <c r="B1564" s="80">
        <f>SUBTOTAL(103,$A$808:A1564)</f>
        <v>746</v>
      </c>
      <c r="C1564" s="300" t="s">
        <v>2085</v>
      </c>
      <c r="D1564" s="296">
        <f t="shared" si="67"/>
        <v>653002</v>
      </c>
      <c r="E1564" s="304">
        <v>0</v>
      </c>
      <c r="F1564" s="304">
        <v>0</v>
      </c>
      <c r="G1564" s="304">
        <v>0</v>
      </c>
      <c r="H1564" s="304">
        <v>0</v>
      </c>
      <c r="I1564" s="304">
        <v>0</v>
      </c>
      <c r="J1564" s="304">
        <v>0</v>
      </c>
      <c r="K1564" s="305">
        <v>0</v>
      </c>
      <c r="L1564" s="304">
        <v>0</v>
      </c>
      <c r="M1564" s="304">
        <v>0</v>
      </c>
      <c r="N1564" s="304">
        <v>0</v>
      </c>
      <c r="O1564" s="304">
        <v>0</v>
      </c>
      <c r="P1564" s="304">
        <v>653002</v>
      </c>
      <c r="Q1564" s="304">
        <v>0</v>
      </c>
      <c r="R1564" s="304">
        <v>0</v>
      </c>
      <c r="S1564" s="304">
        <v>0</v>
      </c>
      <c r="T1564" s="304">
        <v>0</v>
      </c>
      <c r="U1564" s="304">
        <v>0</v>
      </c>
      <c r="V1564" s="304">
        <v>0</v>
      </c>
      <c r="W1564" s="304">
        <v>0</v>
      </c>
      <c r="X1564" s="304">
        <v>0</v>
      </c>
      <c r="Y1564" s="304">
        <v>0</v>
      </c>
      <c r="Z1564" s="304">
        <v>0</v>
      </c>
      <c r="AA1564" s="304">
        <v>0</v>
      </c>
      <c r="AB1564" s="303">
        <v>2021</v>
      </c>
    </row>
    <row r="1565" spans="1:28" ht="35.25" customHeight="1" x14ac:dyDescent="0.5">
      <c r="A1565">
        <v>1</v>
      </c>
      <c r="B1565" s="80">
        <f>SUBTOTAL(103,$A$808:A1565)</f>
        <v>747</v>
      </c>
      <c r="C1565" s="300" t="s">
        <v>2867</v>
      </c>
      <c r="D1565" s="296">
        <f t="shared" si="67"/>
        <v>608000</v>
      </c>
      <c r="E1565" s="304">
        <v>0</v>
      </c>
      <c r="F1565" s="304">
        <v>0</v>
      </c>
      <c r="G1565" s="304">
        <v>0</v>
      </c>
      <c r="H1565" s="304">
        <v>0</v>
      </c>
      <c r="I1565" s="304">
        <v>0</v>
      </c>
      <c r="J1565" s="304">
        <v>0</v>
      </c>
      <c r="K1565" s="305">
        <v>0</v>
      </c>
      <c r="L1565" s="304">
        <v>0</v>
      </c>
      <c r="M1565" s="304">
        <v>0</v>
      </c>
      <c r="N1565" s="304">
        <v>608000</v>
      </c>
      <c r="O1565" s="304">
        <v>0</v>
      </c>
      <c r="P1565" s="304">
        <v>0</v>
      </c>
      <c r="Q1565" s="304">
        <v>0</v>
      </c>
      <c r="R1565" s="304">
        <v>0</v>
      </c>
      <c r="S1565" s="304">
        <v>0</v>
      </c>
      <c r="T1565" s="304">
        <v>0</v>
      </c>
      <c r="U1565" s="304">
        <v>0</v>
      </c>
      <c r="V1565" s="304">
        <v>0</v>
      </c>
      <c r="W1565" s="304">
        <v>0</v>
      </c>
      <c r="X1565" s="304">
        <v>0</v>
      </c>
      <c r="Y1565" s="304">
        <v>0</v>
      </c>
      <c r="Z1565" s="304">
        <v>0</v>
      </c>
      <c r="AA1565" s="304">
        <v>0</v>
      </c>
      <c r="AB1565" s="303">
        <v>2021</v>
      </c>
    </row>
    <row r="1566" spans="1:28" ht="35.25" customHeight="1" x14ac:dyDescent="0.5">
      <c r="B1566" s="300" t="s">
        <v>1714</v>
      </c>
      <c r="C1566" s="300"/>
      <c r="D1566" s="296">
        <f t="shared" si="67"/>
        <v>1483911</v>
      </c>
      <c r="E1566" s="296">
        <f t="shared" ref="E1566:AA1566" si="70">SUM(E1567:E1570)</f>
        <v>400131</v>
      </c>
      <c r="F1566" s="296">
        <f t="shared" si="70"/>
        <v>0</v>
      </c>
      <c r="G1566" s="296">
        <f t="shared" si="70"/>
        <v>0</v>
      </c>
      <c r="H1566" s="296">
        <f t="shared" si="70"/>
        <v>0</v>
      </c>
      <c r="I1566" s="296">
        <f t="shared" si="70"/>
        <v>0</v>
      </c>
      <c r="J1566" s="296">
        <f t="shared" si="70"/>
        <v>0</v>
      </c>
      <c r="K1566" s="297">
        <f t="shared" si="70"/>
        <v>0</v>
      </c>
      <c r="L1566" s="296">
        <f t="shared" si="70"/>
        <v>0</v>
      </c>
      <c r="M1566" s="296">
        <f t="shared" si="70"/>
        <v>0</v>
      </c>
      <c r="N1566" s="296">
        <f t="shared" si="70"/>
        <v>0</v>
      </c>
      <c r="O1566" s="296">
        <f t="shared" si="70"/>
        <v>1083780</v>
      </c>
      <c r="P1566" s="296">
        <f t="shared" si="70"/>
        <v>0</v>
      </c>
      <c r="Q1566" s="296">
        <f t="shared" si="70"/>
        <v>0</v>
      </c>
      <c r="R1566" s="296">
        <f t="shared" si="70"/>
        <v>0</v>
      </c>
      <c r="S1566" s="296">
        <f t="shared" si="70"/>
        <v>0</v>
      </c>
      <c r="T1566" s="296">
        <f t="shared" si="70"/>
        <v>0</v>
      </c>
      <c r="U1566" s="296">
        <f t="shared" si="70"/>
        <v>0</v>
      </c>
      <c r="V1566" s="296">
        <f t="shared" si="70"/>
        <v>0</v>
      </c>
      <c r="W1566" s="296">
        <f t="shared" si="70"/>
        <v>0</v>
      </c>
      <c r="X1566" s="296">
        <f t="shared" si="70"/>
        <v>0</v>
      </c>
      <c r="Y1566" s="296">
        <f t="shared" si="70"/>
        <v>0</v>
      </c>
      <c r="Z1566" s="296">
        <f t="shared" si="70"/>
        <v>0</v>
      </c>
      <c r="AA1566" s="296">
        <f t="shared" si="70"/>
        <v>0</v>
      </c>
      <c r="AB1566" s="298" t="s">
        <v>835</v>
      </c>
    </row>
    <row r="1567" spans="1:28" ht="35.25" customHeight="1" x14ac:dyDescent="0.5">
      <c r="A1567">
        <v>1</v>
      </c>
      <c r="B1567" s="80">
        <f>SUBTOTAL(103,$A$808:A1567)</f>
        <v>748</v>
      </c>
      <c r="C1567" s="300" t="s">
        <v>1715</v>
      </c>
      <c r="D1567" s="296">
        <f t="shared" si="67"/>
        <v>329990</v>
      </c>
      <c r="E1567" s="301">
        <v>0</v>
      </c>
      <c r="F1567" s="301">
        <v>0</v>
      </c>
      <c r="G1567" s="301">
        <v>0</v>
      </c>
      <c r="H1567" s="301">
        <v>0</v>
      </c>
      <c r="I1567" s="301">
        <v>0</v>
      </c>
      <c r="J1567" s="301">
        <v>0</v>
      </c>
      <c r="K1567" s="302">
        <v>0</v>
      </c>
      <c r="L1567" s="301">
        <v>0</v>
      </c>
      <c r="M1567" s="301">
        <v>0</v>
      </c>
      <c r="N1567" s="301">
        <v>0</v>
      </c>
      <c r="O1567" s="301">
        <v>329990</v>
      </c>
      <c r="P1567" s="301">
        <v>0</v>
      </c>
      <c r="Q1567" s="301">
        <v>0</v>
      </c>
      <c r="R1567" s="301">
        <v>0</v>
      </c>
      <c r="S1567" s="301">
        <v>0</v>
      </c>
      <c r="T1567" s="301">
        <v>0</v>
      </c>
      <c r="U1567" s="301">
        <v>0</v>
      </c>
      <c r="V1567" s="301">
        <v>0</v>
      </c>
      <c r="W1567" s="301">
        <v>0</v>
      </c>
      <c r="X1567" s="301">
        <v>0</v>
      </c>
      <c r="Y1567" s="301">
        <v>0</v>
      </c>
      <c r="Z1567" s="301">
        <v>0</v>
      </c>
      <c r="AA1567" s="301">
        <v>0</v>
      </c>
      <c r="AB1567" s="303">
        <v>2021</v>
      </c>
    </row>
    <row r="1568" spans="1:28" ht="35.25" customHeight="1" x14ac:dyDescent="0.5">
      <c r="A1568">
        <v>1</v>
      </c>
      <c r="B1568" s="80">
        <f>SUBTOTAL(103,$A$808:A1568)</f>
        <v>749</v>
      </c>
      <c r="C1568" s="300" t="s">
        <v>1716</v>
      </c>
      <c r="D1568" s="296">
        <f t="shared" si="67"/>
        <v>329990</v>
      </c>
      <c r="E1568" s="301">
        <v>0</v>
      </c>
      <c r="F1568" s="301">
        <v>0</v>
      </c>
      <c r="G1568" s="301">
        <v>0</v>
      </c>
      <c r="H1568" s="301">
        <v>0</v>
      </c>
      <c r="I1568" s="301">
        <v>0</v>
      </c>
      <c r="J1568" s="301">
        <v>0</v>
      </c>
      <c r="K1568" s="302">
        <v>0</v>
      </c>
      <c r="L1568" s="301">
        <v>0</v>
      </c>
      <c r="M1568" s="301">
        <v>0</v>
      </c>
      <c r="N1568" s="301">
        <v>0</v>
      </c>
      <c r="O1568" s="301">
        <v>329990</v>
      </c>
      <c r="P1568" s="301">
        <v>0</v>
      </c>
      <c r="Q1568" s="301">
        <v>0</v>
      </c>
      <c r="R1568" s="301">
        <v>0</v>
      </c>
      <c r="S1568" s="301">
        <v>0</v>
      </c>
      <c r="T1568" s="301">
        <v>0</v>
      </c>
      <c r="U1568" s="301">
        <v>0</v>
      </c>
      <c r="V1568" s="301">
        <v>0</v>
      </c>
      <c r="W1568" s="301">
        <v>0</v>
      </c>
      <c r="X1568" s="301">
        <v>0</v>
      </c>
      <c r="Y1568" s="301">
        <v>0</v>
      </c>
      <c r="Z1568" s="301">
        <v>0</v>
      </c>
      <c r="AA1568" s="301">
        <v>0</v>
      </c>
      <c r="AB1568" s="303">
        <v>2021</v>
      </c>
    </row>
    <row r="1569" spans="1:28" ht="35.25" customHeight="1" x14ac:dyDescent="0.5">
      <c r="A1569">
        <v>1</v>
      </c>
      <c r="B1569" s="80">
        <f>SUBTOTAL(103,$A$808:A1569)</f>
        <v>750</v>
      </c>
      <c r="C1569" s="300" t="s">
        <v>1718</v>
      </c>
      <c r="D1569" s="296">
        <f t="shared" si="67"/>
        <v>400131</v>
      </c>
      <c r="E1569" s="301">
        <v>400131</v>
      </c>
      <c r="F1569" s="301">
        <v>0</v>
      </c>
      <c r="G1569" s="301">
        <v>0</v>
      </c>
      <c r="H1569" s="301">
        <v>0</v>
      </c>
      <c r="I1569" s="301">
        <v>0</v>
      </c>
      <c r="J1569" s="301">
        <v>0</v>
      </c>
      <c r="K1569" s="302">
        <v>0</v>
      </c>
      <c r="L1569" s="301">
        <v>0</v>
      </c>
      <c r="M1569" s="301">
        <v>0</v>
      </c>
      <c r="N1569" s="301">
        <v>0</v>
      </c>
      <c r="O1569" s="301">
        <v>0</v>
      </c>
      <c r="P1569" s="301">
        <v>0</v>
      </c>
      <c r="Q1569" s="301">
        <v>0</v>
      </c>
      <c r="R1569" s="301">
        <v>0</v>
      </c>
      <c r="S1569" s="301">
        <v>0</v>
      </c>
      <c r="T1569" s="301">
        <v>0</v>
      </c>
      <c r="U1569" s="301">
        <v>0</v>
      </c>
      <c r="V1569" s="301">
        <v>0</v>
      </c>
      <c r="W1569" s="301">
        <v>0</v>
      </c>
      <c r="X1569" s="301">
        <v>0</v>
      </c>
      <c r="Y1569" s="301">
        <v>0</v>
      </c>
      <c r="Z1569" s="301">
        <v>0</v>
      </c>
      <c r="AA1569" s="301">
        <v>0</v>
      </c>
      <c r="AB1569" s="303" t="s">
        <v>2981</v>
      </c>
    </row>
    <row r="1570" spans="1:28" ht="35.25" customHeight="1" x14ac:dyDescent="0.5">
      <c r="A1570">
        <v>1</v>
      </c>
      <c r="B1570" s="80">
        <f>SUBTOTAL(103,$A$808:A1570)</f>
        <v>751</v>
      </c>
      <c r="C1570" s="300" t="s">
        <v>1717</v>
      </c>
      <c r="D1570" s="296">
        <f t="shared" si="67"/>
        <v>423800</v>
      </c>
      <c r="E1570" s="301">
        <v>0</v>
      </c>
      <c r="F1570" s="301">
        <v>0</v>
      </c>
      <c r="G1570" s="301">
        <v>0</v>
      </c>
      <c r="H1570" s="301">
        <v>0</v>
      </c>
      <c r="I1570" s="301">
        <v>0</v>
      </c>
      <c r="J1570" s="301">
        <v>0</v>
      </c>
      <c r="K1570" s="302">
        <v>0</v>
      </c>
      <c r="L1570" s="301">
        <v>0</v>
      </c>
      <c r="M1570" s="301">
        <v>0</v>
      </c>
      <c r="N1570" s="301">
        <v>0</v>
      </c>
      <c r="O1570" s="301">
        <v>423800</v>
      </c>
      <c r="P1570" s="301">
        <v>0</v>
      </c>
      <c r="Q1570" s="301">
        <v>0</v>
      </c>
      <c r="R1570" s="301">
        <v>0</v>
      </c>
      <c r="S1570" s="301">
        <v>0</v>
      </c>
      <c r="T1570" s="301">
        <v>0</v>
      </c>
      <c r="U1570" s="301">
        <v>0</v>
      </c>
      <c r="V1570" s="301">
        <v>0</v>
      </c>
      <c r="W1570" s="301">
        <v>0</v>
      </c>
      <c r="X1570" s="301">
        <v>0</v>
      </c>
      <c r="Y1570" s="301">
        <v>0</v>
      </c>
      <c r="Z1570" s="301">
        <v>0</v>
      </c>
      <c r="AA1570" s="301">
        <v>0</v>
      </c>
      <c r="AB1570" s="303">
        <v>2021</v>
      </c>
    </row>
    <row r="1571" spans="1:28" ht="35.25" customHeight="1" x14ac:dyDescent="0.5">
      <c r="B1571" s="299" t="s">
        <v>773</v>
      </c>
      <c r="C1571" s="300"/>
      <c r="D1571" s="296">
        <f t="shared" si="67"/>
        <v>14507088.359999999</v>
      </c>
      <c r="E1571" s="296">
        <f t="shared" ref="E1571:AA1571" si="71">SUM(E1572:E1590)</f>
        <v>0</v>
      </c>
      <c r="F1571" s="296">
        <f t="shared" si="71"/>
        <v>504580</v>
      </c>
      <c r="G1571" s="296">
        <f t="shared" si="71"/>
        <v>1920976.5</v>
      </c>
      <c r="H1571" s="296">
        <f t="shared" si="71"/>
        <v>73573</v>
      </c>
      <c r="I1571" s="296">
        <f t="shared" si="71"/>
        <v>1364999.22</v>
      </c>
      <c r="J1571" s="296">
        <f t="shared" si="71"/>
        <v>0</v>
      </c>
      <c r="K1571" s="302">
        <f t="shared" si="71"/>
        <v>0</v>
      </c>
      <c r="L1571" s="296">
        <f t="shared" si="71"/>
        <v>0</v>
      </c>
      <c r="M1571" s="296">
        <f t="shared" si="71"/>
        <v>4539937</v>
      </c>
      <c r="N1571" s="296">
        <f t="shared" si="71"/>
        <v>1232076</v>
      </c>
      <c r="O1571" s="296">
        <f t="shared" si="71"/>
        <v>3664446.64</v>
      </c>
      <c r="P1571" s="296">
        <f t="shared" si="71"/>
        <v>1206500</v>
      </c>
      <c r="Q1571" s="296">
        <f t="shared" si="71"/>
        <v>0</v>
      </c>
      <c r="R1571" s="296">
        <f t="shared" si="71"/>
        <v>0</v>
      </c>
      <c r="S1571" s="296">
        <f t="shared" si="71"/>
        <v>0</v>
      </c>
      <c r="T1571" s="296">
        <f t="shared" si="71"/>
        <v>0</v>
      </c>
      <c r="U1571" s="296">
        <f t="shared" si="71"/>
        <v>0</v>
      </c>
      <c r="V1571" s="296">
        <f t="shared" si="71"/>
        <v>0</v>
      </c>
      <c r="W1571" s="296">
        <f t="shared" si="71"/>
        <v>0</v>
      </c>
      <c r="X1571" s="296">
        <f t="shared" si="71"/>
        <v>0</v>
      </c>
      <c r="Y1571" s="296">
        <f t="shared" si="71"/>
        <v>0</v>
      </c>
      <c r="Z1571" s="296">
        <f t="shared" si="71"/>
        <v>0</v>
      </c>
      <c r="AA1571" s="296">
        <f t="shared" si="71"/>
        <v>0</v>
      </c>
      <c r="AB1571" s="298" t="s">
        <v>835</v>
      </c>
    </row>
    <row r="1572" spans="1:28" ht="35.25" customHeight="1" x14ac:dyDescent="0.5">
      <c r="A1572">
        <v>1</v>
      </c>
      <c r="B1572" s="80">
        <f>SUBTOTAL(103,$A$808:A1572)</f>
        <v>752</v>
      </c>
      <c r="C1572" s="300" t="s">
        <v>2868</v>
      </c>
      <c r="D1572" s="296">
        <f t="shared" si="67"/>
        <v>439720</v>
      </c>
      <c r="E1572" s="304">
        <v>0</v>
      </c>
      <c r="F1572" s="304">
        <v>0</v>
      </c>
      <c r="G1572" s="301">
        <v>439720</v>
      </c>
      <c r="H1572" s="301">
        <v>0</v>
      </c>
      <c r="I1572" s="301">
        <v>0</v>
      </c>
      <c r="J1572" s="301">
        <v>0</v>
      </c>
      <c r="K1572" s="302">
        <v>0</v>
      </c>
      <c r="L1572" s="301">
        <v>0</v>
      </c>
      <c r="M1572" s="304">
        <v>0</v>
      </c>
      <c r="N1572" s="301">
        <v>0</v>
      </c>
      <c r="O1572" s="301">
        <v>0</v>
      </c>
      <c r="P1572" s="301">
        <v>0</v>
      </c>
      <c r="Q1572" s="301">
        <v>0</v>
      </c>
      <c r="R1572" s="301">
        <v>0</v>
      </c>
      <c r="S1572" s="301">
        <v>0</v>
      </c>
      <c r="T1572" s="301">
        <v>0</v>
      </c>
      <c r="U1572" s="301">
        <v>0</v>
      </c>
      <c r="V1572" s="301">
        <v>0</v>
      </c>
      <c r="W1572" s="301">
        <v>0</v>
      </c>
      <c r="X1572" s="301">
        <v>0</v>
      </c>
      <c r="Y1572" s="301">
        <v>0</v>
      </c>
      <c r="Z1572" s="301">
        <v>0</v>
      </c>
      <c r="AA1572" s="301">
        <v>0</v>
      </c>
      <c r="AB1572" s="303">
        <v>2021</v>
      </c>
    </row>
    <row r="1573" spans="1:28" ht="35.25" customHeight="1" x14ac:dyDescent="0.5">
      <c r="A1573">
        <v>1</v>
      </c>
      <c r="B1573" s="80">
        <f>SUBTOTAL(103,$A$808:A1573)</f>
        <v>753</v>
      </c>
      <c r="C1573" s="300" t="s">
        <v>2869</v>
      </c>
      <c r="D1573" s="296">
        <f t="shared" si="67"/>
        <v>232880</v>
      </c>
      <c r="E1573" s="304">
        <v>0</v>
      </c>
      <c r="F1573" s="304">
        <v>0</v>
      </c>
      <c r="G1573" s="301">
        <v>0</v>
      </c>
      <c r="H1573" s="301">
        <v>0</v>
      </c>
      <c r="I1573" s="301">
        <v>0</v>
      </c>
      <c r="J1573" s="301">
        <v>0</v>
      </c>
      <c r="K1573" s="302">
        <v>0</v>
      </c>
      <c r="L1573" s="301">
        <v>0</v>
      </c>
      <c r="M1573" s="304">
        <v>0</v>
      </c>
      <c r="N1573" s="301">
        <v>0</v>
      </c>
      <c r="O1573" s="301">
        <v>232880</v>
      </c>
      <c r="P1573" s="301">
        <v>0</v>
      </c>
      <c r="Q1573" s="301">
        <v>0</v>
      </c>
      <c r="R1573" s="301">
        <v>0</v>
      </c>
      <c r="S1573" s="301">
        <v>0</v>
      </c>
      <c r="T1573" s="301">
        <v>0</v>
      </c>
      <c r="U1573" s="301">
        <v>0</v>
      </c>
      <c r="V1573" s="301">
        <v>0</v>
      </c>
      <c r="W1573" s="301">
        <v>0</v>
      </c>
      <c r="X1573" s="301">
        <v>0</v>
      </c>
      <c r="Y1573" s="301">
        <v>0</v>
      </c>
      <c r="Z1573" s="301">
        <v>0</v>
      </c>
      <c r="AA1573" s="301">
        <v>0</v>
      </c>
      <c r="AB1573" s="303">
        <v>2021</v>
      </c>
    </row>
    <row r="1574" spans="1:28" ht="35.25" customHeight="1" x14ac:dyDescent="0.5">
      <c r="A1574">
        <v>1</v>
      </c>
      <c r="B1574" s="80">
        <f>SUBTOTAL(103,$A$808:A1574)</f>
        <v>754</v>
      </c>
      <c r="C1574" s="300" t="s">
        <v>2075</v>
      </c>
      <c r="D1574" s="296">
        <f t="shared" si="67"/>
        <v>1557600</v>
      </c>
      <c r="E1574" s="304">
        <v>0</v>
      </c>
      <c r="F1574" s="304">
        <v>0</v>
      </c>
      <c r="G1574" s="301">
        <v>0</v>
      </c>
      <c r="H1574" s="301">
        <v>0</v>
      </c>
      <c r="I1574" s="301">
        <v>0</v>
      </c>
      <c r="J1574" s="301">
        <v>0</v>
      </c>
      <c r="K1574" s="302">
        <v>0</v>
      </c>
      <c r="L1574" s="301">
        <v>0</v>
      </c>
      <c r="M1574" s="304">
        <v>0</v>
      </c>
      <c r="N1574" s="301">
        <v>350000</v>
      </c>
      <c r="O1574" s="301">
        <v>1207600</v>
      </c>
      <c r="P1574" s="301">
        <v>0</v>
      </c>
      <c r="Q1574" s="301">
        <v>0</v>
      </c>
      <c r="R1574" s="301">
        <v>0</v>
      </c>
      <c r="S1574" s="301">
        <v>0</v>
      </c>
      <c r="T1574" s="301">
        <v>0</v>
      </c>
      <c r="U1574" s="301">
        <v>0</v>
      </c>
      <c r="V1574" s="301">
        <v>0</v>
      </c>
      <c r="W1574" s="301">
        <v>0</v>
      </c>
      <c r="X1574" s="301">
        <v>0</v>
      </c>
      <c r="Y1574" s="301">
        <v>0</v>
      </c>
      <c r="Z1574" s="301">
        <v>0</v>
      </c>
      <c r="AA1574" s="301">
        <v>0</v>
      </c>
      <c r="AB1574" s="303">
        <v>2021</v>
      </c>
    </row>
    <row r="1575" spans="1:28" ht="35.25" customHeight="1" x14ac:dyDescent="0.5">
      <c r="A1575">
        <v>1</v>
      </c>
      <c r="B1575" s="80">
        <f>SUBTOTAL(103,$A$808:A1575)</f>
        <v>755</v>
      </c>
      <c r="C1575" s="300" t="s">
        <v>2071</v>
      </c>
      <c r="D1575" s="296">
        <f t="shared" si="67"/>
        <v>156726.5</v>
      </c>
      <c r="E1575" s="304">
        <v>0</v>
      </c>
      <c r="F1575" s="304">
        <v>0</v>
      </c>
      <c r="G1575" s="301">
        <v>156726.5</v>
      </c>
      <c r="H1575" s="301">
        <v>0</v>
      </c>
      <c r="I1575" s="301">
        <v>0</v>
      </c>
      <c r="J1575" s="301">
        <v>0</v>
      </c>
      <c r="K1575" s="302">
        <v>0</v>
      </c>
      <c r="L1575" s="301">
        <v>0</v>
      </c>
      <c r="M1575" s="304">
        <v>0</v>
      </c>
      <c r="N1575" s="301">
        <v>0</v>
      </c>
      <c r="O1575" s="301">
        <v>0</v>
      </c>
      <c r="P1575" s="301">
        <v>0</v>
      </c>
      <c r="Q1575" s="301">
        <v>0</v>
      </c>
      <c r="R1575" s="301">
        <v>0</v>
      </c>
      <c r="S1575" s="301">
        <v>0</v>
      </c>
      <c r="T1575" s="301">
        <v>0</v>
      </c>
      <c r="U1575" s="301">
        <v>0</v>
      </c>
      <c r="V1575" s="301">
        <v>0</v>
      </c>
      <c r="W1575" s="301">
        <v>0</v>
      </c>
      <c r="X1575" s="301">
        <v>0</v>
      </c>
      <c r="Y1575" s="301">
        <v>0</v>
      </c>
      <c r="Z1575" s="301">
        <v>0</v>
      </c>
      <c r="AA1575" s="301">
        <v>0</v>
      </c>
      <c r="AB1575" s="303">
        <v>2021</v>
      </c>
    </row>
    <row r="1576" spans="1:28" ht="35.25" customHeight="1" x14ac:dyDescent="0.5">
      <c r="A1576">
        <v>1</v>
      </c>
      <c r="B1576" s="80">
        <f>SUBTOTAL(103,$A$808:A1576)</f>
        <v>756</v>
      </c>
      <c r="C1576" s="300" t="s">
        <v>2870</v>
      </c>
      <c r="D1576" s="296">
        <f t="shared" si="67"/>
        <v>910129.64</v>
      </c>
      <c r="E1576" s="304">
        <v>0</v>
      </c>
      <c r="F1576" s="304">
        <v>0</v>
      </c>
      <c r="G1576" s="301">
        <v>0</v>
      </c>
      <c r="H1576" s="301">
        <v>0</v>
      </c>
      <c r="I1576" s="301">
        <v>0</v>
      </c>
      <c r="J1576" s="301">
        <v>0</v>
      </c>
      <c r="K1576" s="302">
        <v>0</v>
      </c>
      <c r="L1576" s="301">
        <v>0</v>
      </c>
      <c r="M1576" s="304">
        <v>0</v>
      </c>
      <c r="N1576" s="301">
        <v>0</v>
      </c>
      <c r="O1576" s="301">
        <v>910129.64</v>
      </c>
      <c r="P1576" s="301">
        <v>0</v>
      </c>
      <c r="Q1576" s="301">
        <v>0</v>
      </c>
      <c r="R1576" s="301">
        <v>0</v>
      </c>
      <c r="S1576" s="301">
        <v>0</v>
      </c>
      <c r="T1576" s="301">
        <v>0</v>
      </c>
      <c r="U1576" s="301">
        <v>0</v>
      </c>
      <c r="V1576" s="301">
        <v>0</v>
      </c>
      <c r="W1576" s="301">
        <v>0</v>
      </c>
      <c r="X1576" s="301">
        <v>0</v>
      </c>
      <c r="Y1576" s="301">
        <v>0</v>
      </c>
      <c r="Z1576" s="301">
        <v>0</v>
      </c>
      <c r="AA1576" s="301">
        <v>0</v>
      </c>
      <c r="AB1576" s="303">
        <v>2021</v>
      </c>
    </row>
    <row r="1577" spans="1:28" ht="35.25" customHeight="1" x14ac:dyDescent="0.5">
      <c r="A1577">
        <v>1</v>
      </c>
      <c r="B1577" s="80">
        <f>SUBTOTAL(103,$A$808:A1577)</f>
        <v>757</v>
      </c>
      <c r="C1577" s="300" t="s">
        <v>2268</v>
      </c>
      <c r="D1577" s="296">
        <f t="shared" si="67"/>
        <v>504580</v>
      </c>
      <c r="E1577" s="301">
        <v>0</v>
      </c>
      <c r="F1577" s="301">
        <v>504580</v>
      </c>
      <c r="G1577" s="301">
        <v>0</v>
      </c>
      <c r="H1577" s="301">
        <v>0</v>
      </c>
      <c r="I1577" s="301">
        <v>0</v>
      </c>
      <c r="J1577" s="301">
        <v>0</v>
      </c>
      <c r="K1577" s="302">
        <v>0</v>
      </c>
      <c r="L1577" s="301">
        <v>0</v>
      </c>
      <c r="M1577" s="301">
        <v>0</v>
      </c>
      <c r="N1577" s="301">
        <v>0</v>
      </c>
      <c r="O1577" s="301">
        <v>0</v>
      </c>
      <c r="P1577" s="301">
        <v>0</v>
      </c>
      <c r="Q1577" s="301">
        <v>0</v>
      </c>
      <c r="R1577" s="301">
        <v>0</v>
      </c>
      <c r="S1577" s="301">
        <v>0</v>
      </c>
      <c r="T1577" s="301">
        <v>0</v>
      </c>
      <c r="U1577" s="301">
        <v>0</v>
      </c>
      <c r="V1577" s="301">
        <v>0</v>
      </c>
      <c r="W1577" s="301">
        <v>0</v>
      </c>
      <c r="X1577" s="301">
        <v>0</v>
      </c>
      <c r="Y1577" s="301">
        <v>0</v>
      </c>
      <c r="Z1577" s="301">
        <v>0</v>
      </c>
      <c r="AA1577" s="301">
        <v>0</v>
      </c>
      <c r="AB1577" s="303">
        <v>2021</v>
      </c>
    </row>
    <row r="1578" spans="1:28" ht="35.25" customHeight="1" x14ac:dyDescent="0.5">
      <c r="A1578">
        <v>1</v>
      </c>
      <c r="B1578" s="80">
        <f>SUBTOTAL(103,$A$808:A1578)</f>
        <v>758</v>
      </c>
      <c r="C1578" s="300" t="s">
        <v>2871</v>
      </c>
      <c r="D1578" s="296">
        <f t="shared" si="67"/>
        <v>333208</v>
      </c>
      <c r="E1578" s="301">
        <v>0</v>
      </c>
      <c r="F1578" s="301">
        <v>0</v>
      </c>
      <c r="G1578" s="301">
        <v>0</v>
      </c>
      <c r="H1578" s="301">
        <v>0</v>
      </c>
      <c r="I1578" s="301">
        <v>0</v>
      </c>
      <c r="J1578" s="301">
        <v>0</v>
      </c>
      <c r="K1578" s="302">
        <v>0</v>
      </c>
      <c r="L1578" s="301">
        <v>0</v>
      </c>
      <c r="M1578" s="301">
        <v>333208</v>
      </c>
      <c r="N1578" s="301">
        <v>0</v>
      </c>
      <c r="O1578" s="301">
        <v>0</v>
      </c>
      <c r="P1578" s="301">
        <v>0</v>
      </c>
      <c r="Q1578" s="301">
        <v>0</v>
      </c>
      <c r="R1578" s="301">
        <v>0</v>
      </c>
      <c r="S1578" s="301">
        <v>0</v>
      </c>
      <c r="T1578" s="301">
        <v>0</v>
      </c>
      <c r="U1578" s="301">
        <v>0</v>
      </c>
      <c r="V1578" s="301">
        <v>0</v>
      </c>
      <c r="W1578" s="301">
        <v>0</v>
      </c>
      <c r="X1578" s="301">
        <v>0</v>
      </c>
      <c r="Y1578" s="301">
        <v>0</v>
      </c>
      <c r="Z1578" s="301">
        <v>0</v>
      </c>
      <c r="AA1578" s="301">
        <v>0</v>
      </c>
      <c r="AB1578" s="303">
        <v>2021</v>
      </c>
    </row>
    <row r="1579" spans="1:28" ht="35.25" customHeight="1" x14ac:dyDescent="0.5">
      <c r="A1579">
        <v>1</v>
      </c>
      <c r="B1579" s="80">
        <f>SUBTOTAL(103,$A$808:A1579)</f>
        <v>759</v>
      </c>
      <c r="C1579" s="300" t="s">
        <v>2872</v>
      </c>
      <c r="D1579" s="296">
        <f t="shared" si="67"/>
        <v>150305</v>
      </c>
      <c r="E1579" s="301">
        <v>0</v>
      </c>
      <c r="F1579" s="301">
        <v>0</v>
      </c>
      <c r="G1579" s="301">
        <v>0</v>
      </c>
      <c r="H1579" s="301">
        <v>0</v>
      </c>
      <c r="I1579" s="301">
        <v>0</v>
      </c>
      <c r="J1579" s="301">
        <v>0</v>
      </c>
      <c r="K1579" s="302">
        <v>0</v>
      </c>
      <c r="L1579" s="301">
        <v>0</v>
      </c>
      <c r="M1579" s="301">
        <v>0</v>
      </c>
      <c r="N1579" s="301">
        <v>0</v>
      </c>
      <c r="O1579" s="301">
        <v>150305</v>
      </c>
      <c r="P1579" s="301">
        <v>0</v>
      </c>
      <c r="Q1579" s="301">
        <v>0</v>
      </c>
      <c r="R1579" s="301">
        <v>0</v>
      </c>
      <c r="S1579" s="301">
        <v>0</v>
      </c>
      <c r="T1579" s="301">
        <v>0</v>
      </c>
      <c r="U1579" s="301">
        <v>0</v>
      </c>
      <c r="V1579" s="301">
        <v>0</v>
      </c>
      <c r="W1579" s="301">
        <v>0</v>
      </c>
      <c r="X1579" s="301">
        <v>0</v>
      </c>
      <c r="Y1579" s="301">
        <v>0</v>
      </c>
      <c r="Z1579" s="301">
        <v>0</v>
      </c>
      <c r="AA1579" s="301">
        <v>0</v>
      </c>
      <c r="AB1579" s="303">
        <v>2021</v>
      </c>
    </row>
    <row r="1580" spans="1:28" ht="35.25" customHeight="1" x14ac:dyDescent="0.5">
      <c r="A1580">
        <v>1</v>
      </c>
      <c r="B1580" s="80">
        <f>SUBTOTAL(103,$A$808:A1580)</f>
        <v>760</v>
      </c>
      <c r="C1580" s="300" t="s">
        <v>2069</v>
      </c>
      <c r="D1580" s="296">
        <f t="shared" si="67"/>
        <v>378055</v>
      </c>
      <c r="E1580" s="301">
        <v>0</v>
      </c>
      <c r="F1580" s="301">
        <v>0</v>
      </c>
      <c r="G1580" s="301">
        <v>304482</v>
      </c>
      <c r="H1580" s="301">
        <v>73573</v>
      </c>
      <c r="I1580" s="301">
        <v>0</v>
      </c>
      <c r="J1580" s="301">
        <v>0</v>
      </c>
      <c r="K1580" s="302">
        <v>0</v>
      </c>
      <c r="L1580" s="301">
        <v>0</v>
      </c>
      <c r="M1580" s="301">
        <v>0</v>
      </c>
      <c r="N1580" s="301">
        <v>0</v>
      </c>
      <c r="O1580" s="301">
        <v>0</v>
      </c>
      <c r="P1580" s="301">
        <v>0</v>
      </c>
      <c r="Q1580" s="301">
        <v>0</v>
      </c>
      <c r="R1580" s="301">
        <v>0</v>
      </c>
      <c r="S1580" s="301">
        <v>0</v>
      </c>
      <c r="T1580" s="301">
        <v>0</v>
      </c>
      <c r="U1580" s="301">
        <v>0</v>
      </c>
      <c r="V1580" s="301">
        <v>0</v>
      </c>
      <c r="W1580" s="301">
        <v>0</v>
      </c>
      <c r="X1580" s="301">
        <v>0</v>
      </c>
      <c r="Y1580" s="301">
        <v>0</v>
      </c>
      <c r="Z1580" s="301">
        <v>0</v>
      </c>
      <c r="AA1580" s="301">
        <v>0</v>
      </c>
      <c r="AB1580" s="303">
        <v>2021</v>
      </c>
    </row>
    <row r="1581" spans="1:28" ht="35.25" customHeight="1" x14ac:dyDescent="0.5">
      <c r="A1581">
        <v>1</v>
      </c>
      <c r="B1581" s="80">
        <f>SUBTOTAL(103,$A$808:A1581)</f>
        <v>761</v>
      </c>
      <c r="C1581" s="300" t="s">
        <v>2873</v>
      </c>
      <c r="D1581" s="296">
        <f t="shared" si="67"/>
        <v>583583</v>
      </c>
      <c r="E1581" s="301">
        <v>0</v>
      </c>
      <c r="F1581" s="301">
        <v>0</v>
      </c>
      <c r="G1581" s="301">
        <v>583583</v>
      </c>
      <c r="H1581" s="301">
        <v>0</v>
      </c>
      <c r="I1581" s="301">
        <v>0</v>
      </c>
      <c r="J1581" s="301">
        <v>0</v>
      </c>
      <c r="K1581" s="302">
        <v>0</v>
      </c>
      <c r="L1581" s="301">
        <v>0</v>
      </c>
      <c r="M1581" s="301">
        <v>0</v>
      </c>
      <c r="N1581" s="301">
        <v>0</v>
      </c>
      <c r="O1581" s="301">
        <v>0</v>
      </c>
      <c r="P1581" s="301">
        <v>0</v>
      </c>
      <c r="Q1581" s="301">
        <v>0</v>
      </c>
      <c r="R1581" s="301">
        <v>0</v>
      </c>
      <c r="S1581" s="301">
        <v>0</v>
      </c>
      <c r="T1581" s="301">
        <v>0</v>
      </c>
      <c r="U1581" s="301">
        <v>0</v>
      </c>
      <c r="V1581" s="301">
        <v>0</v>
      </c>
      <c r="W1581" s="301">
        <v>0</v>
      </c>
      <c r="X1581" s="301">
        <v>0</v>
      </c>
      <c r="Y1581" s="301">
        <v>0</v>
      </c>
      <c r="Z1581" s="301">
        <v>0</v>
      </c>
      <c r="AA1581" s="301">
        <v>0</v>
      </c>
      <c r="AB1581" s="303">
        <v>2021</v>
      </c>
    </row>
    <row r="1582" spans="1:28" ht="35.25" customHeight="1" x14ac:dyDescent="0.5">
      <c r="A1582">
        <v>1</v>
      </c>
      <c r="B1582" s="80">
        <f>SUBTOTAL(103,$A$808:A1582)</f>
        <v>762</v>
      </c>
      <c r="C1582" s="300" t="s">
        <v>2957</v>
      </c>
      <c r="D1582" s="296">
        <f t="shared" si="67"/>
        <v>2150625</v>
      </c>
      <c r="E1582" s="301">
        <v>0</v>
      </c>
      <c r="F1582" s="301">
        <v>0</v>
      </c>
      <c r="G1582" s="301">
        <v>0</v>
      </c>
      <c r="H1582" s="301">
        <v>0</v>
      </c>
      <c r="I1582" s="301">
        <v>0</v>
      </c>
      <c r="J1582" s="301">
        <v>0</v>
      </c>
      <c r="K1582" s="302">
        <v>0</v>
      </c>
      <c r="L1582" s="301">
        <v>0</v>
      </c>
      <c r="M1582" s="301">
        <v>2150625</v>
      </c>
      <c r="N1582" s="301">
        <v>0</v>
      </c>
      <c r="O1582" s="301">
        <v>0</v>
      </c>
      <c r="P1582" s="301">
        <v>0</v>
      </c>
      <c r="Q1582" s="301">
        <v>0</v>
      </c>
      <c r="R1582" s="301">
        <v>0</v>
      </c>
      <c r="S1582" s="301">
        <v>0</v>
      </c>
      <c r="T1582" s="301">
        <v>0</v>
      </c>
      <c r="U1582" s="301">
        <v>0</v>
      </c>
      <c r="V1582" s="301">
        <v>0</v>
      </c>
      <c r="W1582" s="301">
        <v>0</v>
      </c>
      <c r="X1582" s="301">
        <v>0</v>
      </c>
      <c r="Y1582" s="301">
        <v>0</v>
      </c>
      <c r="Z1582" s="301">
        <v>0</v>
      </c>
      <c r="AA1582" s="301">
        <v>0</v>
      </c>
      <c r="AB1582" s="303">
        <v>2021</v>
      </c>
    </row>
    <row r="1583" spans="1:28" ht="35.25" customHeight="1" x14ac:dyDescent="0.5">
      <c r="A1583">
        <v>1</v>
      </c>
      <c r="B1583" s="80">
        <f>SUBTOTAL(103,$A$808:A1583)</f>
        <v>763</v>
      </c>
      <c r="C1583" s="300" t="s">
        <v>2958</v>
      </c>
      <c r="D1583" s="296">
        <f t="shared" si="67"/>
        <v>2056104</v>
      </c>
      <c r="E1583" s="301">
        <v>0</v>
      </c>
      <c r="F1583" s="301">
        <v>0</v>
      </c>
      <c r="G1583" s="301">
        <v>0</v>
      </c>
      <c r="H1583" s="301">
        <v>0</v>
      </c>
      <c r="I1583" s="301">
        <v>0</v>
      </c>
      <c r="J1583" s="301">
        <v>0</v>
      </c>
      <c r="K1583" s="302">
        <v>0</v>
      </c>
      <c r="L1583" s="301">
        <v>0</v>
      </c>
      <c r="M1583" s="301">
        <v>2056104</v>
      </c>
      <c r="N1583" s="301">
        <v>0</v>
      </c>
      <c r="O1583" s="301">
        <v>0</v>
      </c>
      <c r="P1583" s="301">
        <v>0</v>
      </c>
      <c r="Q1583" s="301">
        <v>0</v>
      </c>
      <c r="R1583" s="301">
        <v>0</v>
      </c>
      <c r="S1583" s="301">
        <v>0</v>
      </c>
      <c r="T1583" s="301">
        <v>0</v>
      </c>
      <c r="U1583" s="301">
        <v>0</v>
      </c>
      <c r="V1583" s="301">
        <v>0</v>
      </c>
      <c r="W1583" s="301">
        <v>0</v>
      </c>
      <c r="X1583" s="301">
        <v>0</v>
      </c>
      <c r="Y1583" s="301">
        <v>0</v>
      </c>
      <c r="Z1583" s="301">
        <v>0</v>
      </c>
      <c r="AA1583" s="301">
        <v>0</v>
      </c>
      <c r="AB1583" s="303">
        <v>2021</v>
      </c>
    </row>
    <row r="1584" spans="1:28" ht="35.25" customHeight="1" x14ac:dyDescent="0.5">
      <c r="A1584">
        <v>1</v>
      </c>
      <c r="B1584" s="80">
        <f>SUBTOTAL(103,$A$808:A1584)</f>
        <v>764</v>
      </c>
      <c r="C1584" s="300" t="s">
        <v>3141</v>
      </c>
      <c r="D1584" s="296">
        <f t="shared" si="67"/>
        <v>286200</v>
      </c>
      <c r="E1584" s="301">
        <v>0</v>
      </c>
      <c r="F1584" s="301">
        <v>0</v>
      </c>
      <c r="G1584" s="301">
        <v>0</v>
      </c>
      <c r="H1584" s="301">
        <v>0</v>
      </c>
      <c r="I1584" s="301">
        <v>0</v>
      </c>
      <c r="J1584" s="301">
        <v>0</v>
      </c>
      <c r="K1584" s="302">
        <v>0</v>
      </c>
      <c r="L1584" s="301">
        <v>0</v>
      </c>
      <c r="M1584" s="301">
        <v>0</v>
      </c>
      <c r="N1584" s="301">
        <v>0</v>
      </c>
      <c r="O1584" s="301">
        <v>286200</v>
      </c>
      <c r="P1584" s="301">
        <v>0</v>
      </c>
      <c r="Q1584" s="301">
        <v>0</v>
      </c>
      <c r="R1584" s="301">
        <v>0</v>
      </c>
      <c r="S1584" s="301">
        <v>0</v>
      </c>
      <c r="T1584" s="301">
        <v>0</v>
      </c>
      <c r="U1584" s="301">
        <v>0</v>
      </c>
      <c r="V1584" s="301">
        <v>0</v>
      </c>
      <c r="W1584" s="301">
        <v>0</v>
      </c>
      <c r="X1584" s="301">
        <v>0</v>
      </c>
      <c r="Y1584" s="301">
        <v>0</v>
      </c>
      <c r="Z1584" s="301">
        <v>0</v>
      </c>
      <c r="AA1584" s="301">
        <v>0</v>
      </c>
      <c r="AB1584" s="303" t="s">
        <v>2981</v>
      </c>
    </row>
    <row r="1585" spans="1:28" ht="35.25" customHeight="1" x14ac:dyDescent="0.5">
      <c r="A1585">
        <v>1</v>
      </c>
      <c r="B1585" s="80">
        <f>SUBTOTAL(103,$A$808:A1585)</f>
        <v>765</v>
      </c>
      <c r="C1585" s="300" t="s">
        <v>2072</v>
      </c>
      <c r="D1585" s="296">
        <f t="shared" si="67"/>
        <v>882076</v>
      </c>
      <c r="E1585" s="301">
        <v>0</v>
      </c>
      <c r="F1585" s="301">
        <v>0</v>
      </c>
      <c r="G1585" s="301">
        <v>0</v>
      </c>
      <c r="H1585" s="301">
        <v>0</v>
      </c>
      <c r="I1585" s="301">
        <v>0</v>
      </c>
      <c r="J1585" s="301">
        <v>0</v>
      </c>
      <c r="K1585" s="302">
        <v>0</v>
      </c>
      <c r="L1585" s="301">
        <v>0</v>
      </c>
      <c r="M1585" s="301">
        <v>0</v>
      </c>
      <c r="N1585" s="301">
        <v>882076</v>
      </c>
      <c r="O1585" s="301">
        <v>0</v>
      </c>
      <c r="P1585" s="301">
        <v>0</v>
      </c>
      <c r="Q1585" s="301">
        <v>0</v>
      </c>
      <c r="R1585" s="301">
        <v>0</v>
      </c>
      <c r="S1585" s="301">
        <v>0</v>
      </c>
      <c r="T1585" s="301">
        <v>0</v>
      </c>
      <c r="U1585" s="301">
        <v>0</v>
      </c>
      <c r="V1585" s="301">
        <v>0</v>
      </c>
      <c r="W1585" s="301">
        <v>0</v>
      </c>
      <c r="X1585" s="301">
        <v>0</v>
      </c>
      <c r="Y1585" s="301">
        <v>0</v>
      </c>
      <c r="Z1585" s="301">
        <v>0</v>
      </c>
      <c r="AA1585" s="301">
        <v>0</v>
      </c>
      <c r="AB1585" s="303" t="s">
        <v>2981</v>
      </c>
    </row>
    <row r="1586" spans="1:28" ht="35.25" customHeight="1" x14ac:dyDescent="0.5">
      <c r="A1586">
        <v>1</v>
      </c>
      <c r="B1586" s="80">
        <f>SUBTOTAL(103,$A$808:A1586)</f>
        <v>766</v>
      </c>
      <c r="C1586" s="300" t="s">
        <v>2437</v>
      </c>
      <c r="D1586" s="296">
        <f t="shared" si="67"/>
        <v>503500</v>
      </c>
      <c r="E1586" s="301">
        <v>0</v>
      </c>
      <c r="F1586" s="301">
        <v>0</v>
      </c>
      <c r="G1586" s="301">
        <v>0</v>
      </c>
      <c r="H1586" s="301">
        <v>0</v>
      </c>
      <c r="I1586" s="301">
        <v>0</v>
      </c>
      <c r="J1586" s="301">
        <v>0</v>
      </c>
      <c r="K1586" s="302">
        <v>0</v>
      </c>
      <c r="L1586" s="301">
        <v>0</v>
      </c>
      <c r="M1586" s="301">
        <v>0</v>
      </c>
      <c r="N1586" s="301">
        <v>0</v>
      </c>
      <c r="O1586" s="301">
        <v>0</v>
      </c>
      <c r="P1586" s="301">
        <v>503500</v>
      </c>
      <c r="Q1586" s="301">
        <v>0</v>
      </c>
      <c r="R1586" s="301">
        <v>0</v>
      </c>
      <c r="S1586" s="301">
        <v>0</v>
      </c>
      <c r="T1586" s="301">
        <v>0</v>
      </c>
      <c r="U1586" s="301">
        <v>0</v>
      </c>
      <c r="V1586" s="301">
        <v>0</v>
      </c>
      <c r="W1586" s="301">
        <v>0</v>
      </c>
      <c r="X1586" s="301">
        <v>0</v>
      </c>
      <c r="Y1586" s="301">
        <v>0</v>
      </c>
      <c r="Z1586" s="301">
        <v>0</v>
      </c>
      <c r="AA1586" s="301">
        <v>0</v>
      </c>
      <c r="AB1586" s="303" t="s">
        <v>2981</v>
      </c>
    </row>
    <row r="1587" spans="1:28" ht="35.25" customHeight="1" x14ac:dyDescent="0.5">
      <c r="A1587">
        <v>1</v>
      </c>
      <c r="B1587" s="80">
        <f>SUBTOTAL(103,$A$808:A1587)</f>
        <v>767</v>
      </c>
      <c r="C1587" s="300" t="s">
        <v>2073</v>
      </c>
      <c r="D1587" s="296">
        <f t="shared" si="67"/>
        <v>703000</v>
      </c>
      <c r="E1587" s="301">
        <v>0</v>
      </c>
      <c r="F1587" s="301">
        <v>0</v>
      </c>
      <c r="G1587" s="301">
        <v>0</v>
      </c>
      <c r="H1587" s="301">
        <v>0</v>
      </c>
      <c r="I1587" s="301">
        <v>0</v>
      </c>
      <c r="J1587" s="301">
        <v>0</v>
      </c>
      <c r="K1587" s="302">
        <v>0</v>
      </c>
      <c r="L1587" s="301">
        <v>0</v>
      </c>
      <c r="M1587" s="301">
        <v>0</v>
      </c>
      <c r="N1587" s="301">
        <v>0</v>
      </c>
      <c r="O1587" s="301">
        <v>0</v>
      </c>
      <c r="P1587" s="301">
        <v>703000</v>
      </c>
      <c r="Q1587" s="301">
        <v>0</v>
      </c>
      <c r="R1587" s="301">
        <v>0</v>
      </c>
      <c r="S1587" s="301">
        <v>0</v>
      </c>
      <c r="T1587" s="301">
        <v>0</v>
      </c>
      <c r="U1587" s="301">
        <v>0</v>
      </c>
      <c r="V1587" s="301">
        <v>0</v>
      </c>
      <c r="W1587" s="301">
        <v>0</v>
      </c>
      <c r="X1587" s="301">
        <v>0</v>
      </c>
      <c r="Y1587" s="301">
        <v>0</v>
      </c>
      <c r="Z1587" s="301">
        <v>0</v>
      </c>
      <c r="AA1587" s="301">
        <v>0</v>
      </c>
      <c r="AB1587" s="303" t="s">
        <v>2981</v>
      </c>
    </row>
    <row r="1588" spans="1:28" ht="35.25" customHeight="1" x14ac:dyDescent="0.5">
      <c r="A1588">
        <v>1</v>
      </c>
      <c r="B1588" s="80">
        <f>SUBTOTAL(103,$A$808:A1588)</f>
        <v>768</v>
      </c>
      <c r="C1588" s="300" t="s">
        <v>2074</v>
      </c>
      <c r="D1588" s="296">
        <f t="shared" si="67"/>
        <v>877332</v>
      </c>
      <c r="E1588" s="301">
        <v>0</v>
      </c>
      <c r="F1588" s="301">
        <v>0</v>
      </c>
      <c r="G1588" s="301">
        <v>0</v>
      </c>
      <c r="H1588" s="301">
        <v>0</v>
      </c>
      <c r="I1588" s="301">
        <v>0</v>
      </c>
      <c r="J1588" s="301">
        <v>0</v>
      </c>
      <c r="K1588" s="302">
        <v>0</v>
      </c>
      <c r="L1588" s="301">
        <v>0</v>
      </c>
      <c r="M1588" s="301">
        <v>0</v>
      </c>
      <c r="N1588" s="301">
        <v>0</v>
      </c>
      <c r="O1588" s="301">
        <v>877332</v>
      </c>
      <c r="P1588" s="301">
        <v>0</v>
      </c>
      <c r="Q1588" s="301">
        <v>0</v>
      </c>
      <c r="R1588" s="301">
        <v>0</v>
      </c>
      <c r="S1588" s="301">
        <v>0</v>
      </c>
      <c r="T1588" s="301">
        <v>0</v>
      </c>
      <c r="U1588" s="301">
        <v>0</v>
      </c>
      <c r="V1588" s="301">
        <v>0</v>
      </c>
      <c r="W1588" s="301">
        <v>0</v>
      </c>
      <c r="X1588" s="301">
        <v>0</v>
      </c>
      <c r="Y1588" s="301">
        <v>0</v>
      </c>
      <c r="Z1588" s="301">
        <v>0</v>
      </c>
      <c r="AA1588" s="301">
        <v>0</v>
      </c>
      <c r="AB1588" s="303" t="s">
        <v>2981</v>
      </c>
    </row>
    <row r="1589" spans="1:28" ht="35.25" customHeight="1" x14ac:dyDescent="0.5">
      <c r="A1589">
        <v>1</v>
      </c>
      <c r="B1589" s="80">
        <f>SUBTOTAL(103,$A$808:A1589)</f>
        <v>769</v>
      </c>
      <c r="C1589" s="300" t="s">
        <v>2267</v>
      </c>
      <c r="D1589" s="296">
        <f t="shared" si="67"/>
        <v>436465</v>
      </c>
      <c r="E1589" s="301">
        <v>0</v>
      </c>
      <c r="F1589" s="301">
        <v>0</v>
      </c>
      <c r="G1589" s="301">
        <v>436465</v>
      </c>
      <c r="H1589" s="301">
        <v>0</v>
      </c>
      <c r="I1589" s="301">
        <v>0</v>
      </c>
      <c r="J1589" s="301">
        <v>0</v>
      </c>
      <c r="K1589" s="302">
        <v>0</v>
      </c>
      <c r="L1589" s="301">
        <v>0</v>
      </c>
      <c r="M1589" s="301">
        <v>0</v>
      </c>
      <c r="N1589" s="301">
        <v>0</v>
      </c>
      <c r="O1589" s="301">
        <v>0</v>
      </c>
      <c r="P1589" s="301">
        <v>0</v>
      </c>
      <c r="Q1589" s="301">
        <v>0</v>
      </c>
      <c r="R1589" s="301">
        <v>0</v>
      </c>
      <c r="S1589" s="301">
        <v>0</v>
      </c>
      <c r="T1589" s="301">
        <v>0</v>
      </c>
      <c r="U1589" s="301">
        <v>0</v>
      </c>
      <c r="V1589" s="301">
        <v>0</v>
      </c>
      <c r="W1589" s="301">
        <v>0</v>
      </c>
      <c r="X1589" s="301">
        <v>0</v>
      </c>
      <c r="Y1589" s="301">
        <v>0</v>
      </c>
      <c r="Z1589" s="301">
        <v>0</v>
      </c>
      <c r="AA1589" s="301">
        <v>0</v>
      </c>
      <c r="AB1589" s="303">
        <v>2021</v>
      </c>
    </row>
    <row r="1590" spans="1:28" ht="35.25" customHeight="1" x14ac:dyDescent="0.5">
      <c r="A1590">
        <v>1</v>
      </c>
      <c r="B1590" s="80">
        <f>SUBTOTAL(103,$A$808:A1590)</f>
        <v>770</v>
      </c>
      <c r="C1590" s="300" t="s">
        <v>2874</v>
      </c>
      <c r="D1590" s="296">
        <f t="shared" si="67"/>
        <v>1364999.22</v>
      </c>
      <c r="E1590" s="304">
        <v>0</v>
      </c>
      <c r="F1590" s="304">
        <v>0</v>
      </c>
      <c r="G1590" s="301">
        <v>0</v>
      </c>
      <c r="H1590" s="301">
        <v>0</v>
      </c>
      <c r="I1590" s="301">
        <v>1364999.22</v>
      </c>
      <c r="J1590" s="301">
        <v>0</v>
      </c>
      <c r="K1590" s="302">
        <v>0</v>
      </c>
      <c r="L1590" s="301">
        <v>0</v>
      </c>
      <c r="M1590" s="304">
        <v>0</v>
      </c>
      <c r="N1590" s="301">
        <v>0</v>
      </c>
      <c r="O1590" s="301">
        <v>0</v>
      </c>
      <c r="P1590" s="301">
        <v>0</v>
      </c>
      <c r="Q1590" s="301">
        <v>0</v>
      </c>
      <c r="R1590" s="301">
        <v>0</v>
      </c>
      <c r="S1590" s="301">
        <v>0</v>
      </c>
      <c r="T1590" s="301">
        <v>0</v>
      </c>
      <c r="U1590" s="301">
        <v>0</v>
      </c>
      <c r="V1590" s="301">
        <v>0</v>
      </c>
      <c r="W1590" s="301">
        <v>0</v>
      </c>
      <c r="X1590" s="301">
        <v>0</v>
      </c>
      <c r="Y1590" s="301">
        <v>0</v>
      </c>
      <c r="Z1590" s="301">
        <v>0</v>
      </c>
      <c r="AA1590" s="301">
        <v>0</v>
      </c>
      <c r="AB1590" s="303">
        <v>2021</v>
      </c>
    </row>
    <row r="1591" spans="1:28" ht="35.25" customHeight="1" x14ac:dyDescent="0.5">
      <c r="B1591" s="299" t="s">
        <v>785</v>
      </c>
      <c r="C1591" s="300"/>
      <c r="D1591" s="296">
        <f t="shared" si="67"/>
        <v>2207882.88</v>
      </c>
      <c r="E1591" s="296">
        <f t="shared" ref="E1591:AA1591" si="72">SUM(E1592:E1595)</f>
        <v>0</v>
      </c>
      <c r="F1591" s="296">
        <f t="shared" si="72"/>
        <v>0</v>
      </c>
      <c r="G1591" s="296">
        <f t="shared" si="72"/>
        <v>0</v>
      </c>
      <c r="H1591" s="296">
        <f t="shared" si="72"/>
        <v>0</v>
      </c>
      <c r="I1591" s="296">
        <f t="shared" si="72"/>
        <v>0</v>
      </c>
      <c r="J1591" s="296">
        <f t="shared" si="72"/>
        <v>0</v>
      </c>
      <c r="K1591" s="297">
        <f t="shared" si="72"/>
        <v>0</v>
      </c>
      <c r="L1591" s="296">
        <f t="shared" si="72"/>
        <v>0</v>
      </c>
      <c r="M1591" s="296">
        <f t="shared" si="72"/>
        <v>1068799.46</v>
      </c>
      <c r="N1591" s="296">
        <f t="shared" si="72"/>
        <v>0</v>
      </c>
      <c r="O1591" s="296">
        <f t="shared" si="72"/>
        <v>1139083.42</v>
      </c>
      <c r="P1591" s="296">
        <f t="shared" si="72"/>
        <v>0</v>
      </c>
      <c r="Q1591" s="296">
        <f t="shared" si="72"/>
        <v>0</v>
      </c>
      <c r="R1591" s="296">
        <f t="shared" si="72"/>
        <v>0</v>
      </c>
      <c r="S1591" s="296">
        <f t="shared" si="72"/>
        <v>0</v>
      </c>
      <c r="T1591" s="296">
        <f t="shared" si="72"/>
        <v>0</v>
      </c>
      <c r="U1591" s="296">
        <f t="shared" si="72"/>
        <v>0</v>
      </c>
      <c r="V1591" s="296">
        <f t="shared" si="72"/>
        <v>0</v>
      </c>
      <c r="W1591" s="296">
        <f t="shared" si="72"/>
        <v>0</v>
      </c>
      <c r="X1591" s="296">
        <f t="shared" si="72"/>
        <v>0</v>
      </c>
      <c r="Y1591" s="296">
        <f t="shared" si="72"/>
        <v>0</v>
      </c>
      <c r="Z1591" s="296">
        <f t="shared" si="72"/>
        <v>0</v>
      </c>
      <c r="AA1591" s="296">
        <f t="shared" si="72"/>
        <v>0</v>
      </c>
      <c r="AB1591" s="298" t="s">
        <v>835</v>
      </c>
    </row>
    <row r="1592" spans="1:28" ht="35.25" customHeight="1" x14ac:dyDescent="0.5">
      <c r="A1592">
        <v>1</v>
      </c>
      <c r="B1592" s="80">
        <f>SUBTOTAL(103,$A$808:A1592)</f>
        <v>771</v>
      </c>
      <c r="C1592" s="300" t="s">
        <v>2445</v>
      </c>
      <c r="D1592" s="296">
        <f t="shared" si="67"/>
        <v>270000</v>
      </c>
      <c r="E1592" s="301">
        <v>0</v>
      </c>
      <c r="F1592" s="301">
        <v>0</v>
      </c>
      <c r="G1592" s="301">
        <v>0</v>
      </c>
      <c r="H1592" s="301">
        <v>0</v>
      </c>
      <c r="I1592" s="301">
        <v>0</v>
      </c>
      <c r="J1592" s="301">
        <v>0</v>
      </c>
      <c r="K1592" s="302">
        <v>0</v>
      </c>
      <c r="L1592" s="301">
        <v>0</v>
      </c>
      <c r="M1592" s="301">
        <v>0</v>
      </c>
      <c r="N1592" s="301">
        <v>0</v>
      </c>
      <c r="O1592" s="301">
        <f>180000+90000</f>
        <v>270000</v>
      </c>
      <c r="P1592" s="301">
        <v>0</v>
      </c>
      <c r="Q1592" s="301">
        <v>0</v>
      </c>
      <c r="R1592" s="301">
        <v>0</v>
      </c>
      <c r="S1592" s="301">
        <v>0</v>
      </c>
      <c r="T1592" s="301">
        <v>0</v>
      </c>
      <c r="U1592" s="301">
        <v>0</v>
      </c>
      <c r="V1592" s="301">
        <v>0</v>
      </c>
      <c r="W1592" s="301">
        <v>0</v>
      </c>
      <c r="X1592" s="301">
        <v>0</v>
      </c>
      <c r="Y1592" s="301">
        <v>0</v>
      </c>
      <c r="Z1592" s="301">
        <v>0</v>
      </c>
      <c r="AA1592" s="301">
        <v>0</v>
      </c>
      <c r="AB1592" s="303">
        <v>2021</v>
      </c>
    </row>
    <row r="1593" spans="1:28" ht="35.25" customHeight="1" x14ac:dyDescent="0.5">
      <c r="A1593">
        <v>1</v>
      </c>
      <c r="B1593" s="80">
        <f>SUBTOTAL(103,$A$808:A1593)</f>
        <v>772</v>
      </c>
      <c r="C1593" s="300" t="s">
        <v>2875</v>
      </c>
      <c r="D1593" s="296">
        <f t="shared" si="67"/>
        <v>1068799.46</v>
      </c>
      <c r="E1593" s="301">
        <v>0</v>
      </c>
      <c r="F1593" s="301">
        <v>0</v>
      </c>
      <c r="G1593" s="301">
        <v>0</v>
      </c>
      <c r="H1593" s="301">
        <v>0</v>
      </c>
      <c r="I1593" s="301">
        <v>0</v>
      </c>
      <c r="J1593" s="301">
        <v>0</v>
      </c>
      <c r="K1593" s="302">
        <v>0</v>
      </c>
      <c r="L1593" s="301">
        <v>0</v>
      </c>
      <c r="M1593" s="301">
        <v>1068799.46</v>
      </c>
      <c r="N1593" s="301">
        <v>0</v>
      </c>
      <c r="O1593" s="301">
        <v>0</v>
      </c>
      <c r="P1593" s="301">
        <v>0</v>
      </c>
      <c r="Q1593" s="301">
        <v>0</v>
      </c>
      <c r="R1593" s="301">
        <v>0</v>
      </c>
      <c r="S1593" s="301">
        <v>0</v>
      </c>
      <c r="T1593" s="301">
        <v>0</v>
      </c>
      <c r="U1593" s="301">
        <v>0</v>
      </c>
      <c r="V1593" s="301">
        <v>0</v>
      </c>
      <c r="W1593" s="301">
        <v>0</v>
      </c>
      <c r="X1593" s="301">
        <v>0</v>
      </c>
      <c r="Y1593" s="301">
        <v>0</v>
      </c>
      <c r="Z1593" s="301">
        <v>0</v>
      </c>
      <c r="AA1593" s="301">
        <v>0</v>
      </c>
      <c r="AB1593" s="303">
        <v>2021</v>
      </c>
    </row>
    <row r="1594" spans="1:28" ht="35.25" customHeight="1" x14ac:dyDescent="0.5">
      <c r="A1594">
        <v>1</v>
      </c>
      <c r="B1594" s="80">
        <f>SUBTOTAL(103,$A$808:A1594)</f>
        <v>773</v>
      </c>
      <c r="C1594" s="300" t="s">
        <v>3142</v>
      </c>
      <c r="D1594" s="296">
        <f t="shared" si="67"/>
        <v>152646.42000000001</v>
      </c>
      <c r="E1594" s="301">
        <v>0</v>
      </c>
      <c r="F1594" s="301">
        <v>0</v>
      </c>
      <c r="G1594" s="301">
        <v>0</v>
      </c>
      <c r="H1594" s="301">
        <v>0</v>
      </c>
      <c r="I1594" s="301">
        <v>0</v>
      </c>
      <c r="J1594" s="301">
        <v>0</v>
      </c>
      <c r="K1594" s="302">
        <v>0</v>
      </c>
      <c r="L1594" s="301">
        <v>0</v>
      </c>
      <c r="M1594" s="301">
        <v>0</v>
      </c>
      <c r="N1594" s="301">
        <v>0</v>
      </c>
      <c r="O1594" s="301">
        <v>152646.42000000001</v>
      </c>
      <c r="P1594" s="301">
        <v>0</v>
      </c>
      <c r="Q1594" s="301">
        <v>0</v>
      </c>
      <c r="R1594" s="301">
        <v>0</v>
      </c>
      <c r="S1594" s="301">
        <v>0</v>
      </c>
      <c r="T1594" s="301">
        <v>0</v>
      </c>
      <c r="U1594" s="301">
        <v>0</v>
      </c>
      <c r="V1594" s="301">
        <v>0</v>
      </c>
      <c r="W1594" s="301">
        <v>0</v>
      </c>
      <c r="X1594" s="301">
        <v>0</v>
      </c>
      <c r="Y1594" s="301">
        <v>0</v>
      </c>
      <c r="Z1594" s="301">
        <v>0</v>
      </c>
      <c r="AA1594" s="301">
        <v>0</v>
      </c>
      <c r="AB1594" s="303" t="s">
        <v>2981</v>
      </c>
    </row>
    <row r="1595" spans="1:28" ht="35.25" customHeight="1" x14ac:dyDescent="0.5">
      <c r="A1595">
        <v>1</v>
      </c>
      <c r="B1595" s="80">
        <f>SUBTOTAL(103,$A$808:A1595)</f>
        <v>774</v>
      </c>
      <c r="C1595" s="300" t="s">
        <v>2876</v>
      </c>
      <c r="D1595" s="296">
        <f t="shared" si="67"/>
        <v>716437</v>
      </c>
      <c r="E1595" s="301">
        <v>0</v>
      </c>
      <c r="F1595" s="301">
        <v>0</v>
      </c>
      <c r="G1595" s="301">
        <v>0</v>
      </c>
      <c r="H1595" s="301">
        <v>0</v>
      </c>
      <c r="I1595" s="301">
        <v>0</v>
      </c>
      <c r="J1595" s="301">
        <v>0</v>
      </c>
      <c r="K1595" s="302">
        <v>0</v>
      </c>
      <c r="L1595" s="301">
        <v>0</v>
      </c>
      <c r="M1595" s="301">
        <v>0</v>
      </c>
      <c r="N1595" s="301">
        <v>0</v>
      </c>
      <c r="O1595" s="301">
        <v>716437</v>
      </c>
      <c r="P1595" s="301">
        <v>0</v>
      </c>
      <c r="Q1595" s="301">
        <v>0</v>
      </c>
      <c r="R1595" s="301">
        <v>0</v>
      </c>
      <c r="S1595" s="301">
        <v>0</v>
      </c>
      <c r="T1595" s="301">
        <v>0</v>
      </c>
      <c r="U1595" s="301">
        <v>0</v>
      </c>
      <c r="V1595" s="301">
        <v>0</v>
      </c>
      <c r="W1595" s="301">
        <v>0</v>
      </c>
      <c r="X1595" s="301">
        <v>0</v>
      </c>
      <c r="Y1595" s="301">
        <v>0</v>
      </c>
      <c r="Z1595" s="301">
        <v>0</v>
      </c>
      <c r="AA1595" s="301">
        <v>0</v>
      </c>
      <c r="AB1595" s="303">
        <v>2021</v>
      </c>
    </row>
    <row r="1596" spans="1:28" ht="35.25" customHeight="1" x14ac:dyDescent="0.5">
      <c r="B1596" s="299" t="s">
        <v>1325</v>
      </c>
      <c r="C1596" s="300"/>
      <c r="D1596" s="296">
        <f t="shared" si="67"/>
        <v>13968455.5</v>
      </c>
      <c r="E1596" s="296">
        <f t="shared" ref="E1596:AA1596" si="73">SUM(E1597:E1607)</f>
        <v>268671</v>
      </c>
      <c r="F1596" s="296">
        <f t="shared" si="73"/>
        <v>0</v>
      </c>
      <c r="G1596" s="296">
        <f t="shared" si="73"/>
        <v>0</v>
      </c>
      <c r="H1596" s="296">
        <f t="shared" si="73"/>
        <v>100000</v>
      </c>
      <c r="I1596" s="296">
        <f t="shared" si="73"/>
        <v>924100</v>
      </c>
      <c r="J1596" s="296">
        <f t="shared" si="73"/>
        <v>0</v>
      </c>
      <c r="K1596" s="297">
        <f t="shared" si="73"/>
        <v>0</v>
      </c>
      <c r="L1596" s="296">
        <f t="shared" si="73"/>
        <v>0</v>
      </c>
      <c r="M1596" s="296">
        <f t="shared" si="73"/>
        <v>0</v>
      </c>
      <c r="N1596" s="296">
        <f t="shared" si="73"/>
        <v>0</v>
      </c>
      <c r="O1596" s="296">
        <f t="shared" si="73"/>
        <v>12675684.5</v>
      </c>
      <c r="P1596" s="296">
        <f t="shared" si="73"/>
        <v>0</v>
      </c>
      <c r="Q1596" s="296">
        <f t="shared" si="73"/>
        <v>0</v>
      </c>
      <c r="R1596" s="296">
        <f t="shared" si="73"/>
        <v>0</v>
      </c>
      <c r="S1596" s="296">
        <f t="shared" si="73"/>
        <v>0</v>
      </c>
      <c r="T1596" s="296">
        <f t="shared" si="73"/>
        <v>0</v>
      </c>
      <c r="U1596" s="296">
        <f t="shared" si="73"/>
        <v>0</v>
      </c>
      <c r="V1596" s="296">
        <f t="shared" si="73"/>
        <v>0</v>
      </c>
      <c r="W1596" s="296">
        <f t="shared" si="73"/>
        <v>0</v>
      </c>
      <c r="X1596" s="296">
        <f t="shared" si="73"/>
        <v>0</v>
      </c>
      <c r="Y1596" s="296">
        <f t="shared" si="73"/>
        <v>0</v>
      </c>
      <c r="Z1596" s="296">
        <f t="shared" si="73"/>
        <v>0</v>
      </c>
      <c r="AA1596" s="296">
        <f t="shared" si="73"/>
        <v>0</v>
      </c>
      <c r="AB1596" s="298" t="s">
        <v>835</v>
      </c>
    </row>
    <row r="1597" spans="1:28" ht="35.25" customHeight="1" x14ac:dyDescent="0.5">
      <c r="A1597">
        <v>1</v>
      </c>
      <c r="B1597" s="80">
        <f>SUBTOTAL(103,$A$808:A1597)</f>
        <v>775</v>
      </c>
      <c r="C1597" s="300" t="s">
        <v>2877</v>
      </c>
      <c r="D1597" s="296">
        <f t="shared" si="67"/>
        <v>1966144</v>
      </c>
      <c r="E1597" s="301">
        <v>0</v>
      </c>
      <c r="F1597" s="301">
        <v>0</v>
      </c>
      <c r="G1597" s="301">
        <v>0</v>
      </c>
      <c r="H1597" s="301">
        <v>0</v>
      </c>
      <c r="I1597" s="301">
        <v>0</v>
      </c>
      <c r="J1597" s="301">
        <v>0</v>
      </c>
      <c r="K1597" s="302">
        <v>0</v>
      </c>
      <c r="L1597" s="301">
        <v>0</v>
      </c>
      <c r="M1597" s="301">
        <v>0</v>
      </c>
      <c r="N1597" s="301">
        <v>0</v>
      </c>
      <c r="O1597" s="301">
        <v>1966144</v>
      </c>
      <c r="P1597" s="301">
        <v>0</v>
      </c>
      <c r="Q1597" s="301">
        <v>0</v>
      </c>
      <c r="R1597" s="301">
        <v>0</v>
      </c>
      <c r="S1597" s="301">
        <v>0</v>
      </c>
      <c r="T1597" s="301">
        <v>0</v>
      </c>
      <c r="U1597" s="301">
        <v>0</v>
      </c>
      <c r="V1597" s="301">
        <v>0</v>
      </c>
      <c r="W1597" s="301">
        <v>0</v>
      </c>
      <c r="X1597" s="301">
        <v>0</v>
      </c>
      <c r="Y1597" s="301">
        <v>0</v>
      </c>
      <c r="Z1597" s="301">
        <v>0</v>
      </c>
      <c r="AA1597" s="301">
        <v>0</v>
      </c>
      <c r="AB1597" s="303">
        <v>2021</v>
      </c>
    </row>
    <row r="1598" spans="1:28" ht="35.25" customHeight="1" x14ac:dyDescent="0.5">
      <c r="A1598">
        <v>1</v>
      </c>
      <c r="B1598" s="80">
        <f>SUBTOTAL(103,$A$808:A1598)</f>
        <v>776</v>
      </c>
      <c r="C1598" s="300" t="s">
        <v>2443</v>
      </c>
      <c r="D1598" s="296">
        <f t="shared" si="67"/>
        <v>739704.2</v>
      </c>
      <c r="E1598" s="301">
        <v>0</v>
      </c>
      <c r="F1598" s="301">
        <v>0</v>
      </c>
      <c r="G1598" s="301">
        <v>0</v>
      </c>
      <c r="H1598" s="301">
        <v>0</v>
      </c>
      <c r="I1598" s="301">
        <v>0</v>
      </c>
      <c r="J1598" s="301">
        <v>0</v>
      </c>
      <c r="K1598" s="302">
        <v>0</v>
      </c>
      <c r="L1598" s="301">
        <v>0</v>
      </c>
      <c r="M1598" s="301">
        <v>0</v>
      </c>
      <c r="N1598" s="301">
        <v>0</v>
      </c>
      <c r="O1598" s="301">
        <v>739704.2</v>
      </c>
      <c r="P1598" s="301">
        <v>0</v>
      </c>
      <c r="Q1598" s="301">
        <v>0</v>
      </c>
      <c r="R1598" s="301">
        <v>0</v>
      </c>
      <c r="S1598" s="301">
        <v>0</v>
      </c>
      <c r="T1598" s="301">
        <v>0</v>
      </c>
      <c r="U1598" s="301">
        <v>0</v>
      </c>
      <c r="V1598" s="301">
        <v>0</v>
      </c>
      <c r="W1598" s="301">
        <v>0</v>
      </c>
      <c r="X1598" s="301">
        <v>0</v>
      </c>
      <c r="Y1598" s="301">
        <v>0</v>
      </c>
      <c r="Z1598" s="301">
        <v>0</v>
      </c>
      <c r="AA1598" s="301">
        <v>0</v>
      </c>
      <c r="AB1598" s="303">
        <v>2021</v>
      </c>
    </row>
    <row r="1599" spans="1:28" ht="35.25" customHeight="1" x14ac:dyDescent="0.5">
      <c r="A1599">
        <v>1</v>
      </c>
      <c r="B1599" s="80">
        <f>SUBTOTAL(103,$A$808:A1599)</f>
        <v>777</v>
      </c>
      <c r="C1599" s="300" t="s">
        <v>2089</v>
      </c>
      <c r="D1599" s="296">
        <f t="shared" si="67"/>
        <v>1820200</v>
      </c>
      <c r="E1599" s="301">
        <v>0</v>
      </c>
      <c r="F1599" s="301">
        <v>0</v>
      </c>
      <c r="G1599" s="301">
        <v>0</v>
      </c>
      <c r="H1599" s="301">
        <v>0</v>
      </c>
      <c r="I1599" s="301">
        <v>0</v>
      </c>
      <c r="J1599" s="301">
        <v>0</v>
      </c>
      <c r="K1599" s="302">
        <v>0</v>
      </c>
      <c r="L1599" s="301">
        <v>0</v>
      </c>
      <c r="M1599" s="301">
        <v>0</v>
      </c>
      <c r="N1599" s="301">
        <v>0</v>
      </c>
      <c r="O1599" s="301">
        <v>1820200</v>
      </c>
      <c r="P1599" s="301">
        <v>0</v>
      </c>
      <c r="Q1599" s="301">
        <v>0</v>
      </c>
      <c r="R1599" s="301">
        <v>0</v>
      </c>
      <c r="S1599" s="301">
        <v>0</v>
      </c>
      <c r="T1599" s="301">
        <v>0</v>
      </c>
      <c r="U1599" s="301">
        <v>0</v>
      </c>
      <c r="V1599" s="301">
        <v>0</v>
      </c>
      <c r="W1599" s="301">
        <v>0</v>
      </c>
      <c r="X1599" s="301">
        <v>0</v>
      </c>
      <c r="Y1599" s="301">
        <v>0</v>
      </c>
      <c r="Z1599" s="301">
        <v>0</v>
      </c>
      <c r="AA1599" s="301">
        <v>0</v>
      </c>
      <c r="AB1599" s="303">
        <v>2021</v>
      </c>
    </row>
    <row r="1600" spans="1:28" ht="35.25" customHeight="1" x14ac:dyDescent="0.5">
      <c r="A1600">
        <v>1</v>
      </c>
      <c r="B1600" s="80">
        <f>SUBTOTAL(103,$A$808:A1600)</f>
        <v>778</v>
      </c>
      <c r="C1600" s="300" t="s">
        <v>3143</v>
      </c>
      <c r="D1600" s="296">
        <f t="shared" si="67"/>
        <v>1079715.3</v>
      </c>
      <c r="E1600" s="301">
        <v>0</v>
      </c>
      <c r="F1600" s="301">
        <v>0</v>
      </c>
      <c r="G1600" s="301">
        <v>0</v>
      </c>
      <c r="H1600" s="301">
        <v>0</v>
      </c>
      <c r="I1600" s="301">
        <v>0</v>
      </c>
      <c r="J1600" s="301">
        <v>0</v>
      </c>
      <c r="K1600" s="302">
        <v>0</v>
      </c>
      <c r="L1600" s="301">
        <v>0</v>
      </c>
      <c r="M1600" s="301">
        <v>0</v>
      </c>
      <c r="N1600" s="301">
        <v>0</v>
      </c>
      <c r="O1600" s="301">
        <v>1079715.3</v>
      </c>
      <c r="P1600" s="301">
        <v>0</v>
      </c>
      <c r="Q1600" s="301">
        <v>0</v>
      </c>
      <c r="R1600" s="301">
        <v>0</v>
      </c>
      <c r="S1600" s="301">
        <v>0</v>
      </c>
      <c r="T1600" s="301">
        <v>0</v>
      </c>
      <c r="U1600" s="301">
        <v>0</v>
      </c>
      <c r="V1600" s="301">
        <v>0</v>
      </c>
      <c r="W1600" s="301">
        <v>0</v>
      </c>
      <c r="X1600" s="301">
        <v>0</v>
      </c>
      <c r="Y1600" s="301">
        <v>0</v>
      </c>
      <c r="Z1600" s="301">
        <v>0</v>
      </c>
      <c r="AA1600" s="301">
        <v>0</v>
      </c>
      <c r="AB1600" s="303" t="s">
        <v>2981</v>
      </c>
    </row>
    <row r="1601" spans="1:28" ht="35.25" customHeight="1" x14ac:dyDescent="0.5">
      <c r="A1601">
        <v>1</v>
      </c>
      <c r="B1601" s="80">
        <f>SUBTOTAL(103,$A$808:A1601)</f>
        <v>779</v>
      </c>
      <c r="C1601" s="300" t="s">
        <v>3144</v>
      </c>
      <c r="D1601" s="296">
        <f t="shared" si="67"/>
        <v>1278950</v>
      </c>
      <c r="E1601" s="301">
        <v>0</v>
      </c>
      <c r="F1601" s="301">
        <v>0</v>
      </c>
      <c r="G1601" s="301">
        <v>0</v>
      </c>
      <c r="H1601" s="301">
        <v>0</v>
      </c>
      <c r="I1601" s="301">
        <v>0</v>
      </c>
      <c r="J1601" s="301">
        <v>0</v>
      </c>
      <c r="K1601" s="302">
        <v>0</v>
      </c>
      <c r="L1601" s="301">
        <v>0</v>
      </c>
      <c r="M1601" s="301">
        <v>0</v>
      </c>
      <c r="N1601" s="301">
        <v>0</v>
      </c>
      <c r="O1601" s="301">
        <v>1278950</v>
      </c>
      <c r="P1601" s="301">
        <v>0</v>
      </c>
      <c r="Q1601" s="301">
        <v>0</v>
      </c>
      <c r="R1601" s="301">
        <v>0</v>
      </c>
      <c r="S1601" s="301">
        <v>0</v>
      </c>
      <c r="T1601" s="301">
        <v>0</v>
      </c>
      <c r="U1601" s="301">
        <v>0</v>
      </c>
      <c r="V1601" s="301">
        <v>0</v>
      </c>
      <c r="W1601" s="301">
        <v>0</v>
      </c>
      <c r="X1601" s="301">
        <v>0</v>
      </c>
      <c r="Y1601" s="301">
        <v>0</v>
      </c>
      <c r="Z1601" s="301">
        <v>0</v>
      </c>
      <c r="AA1601" s="301">
        <v>0</v>
      </c>
      <c r="AB1601" s="303" t="s">
        <v>2981</v>
      </c>
    </row>
    <row r="1602" spans="1:28" ht="35.25" customHeight="1" x14ac:dyDescent="0.5">
      <c r="A1602">
        <v>1</v>
      </c>
      <c r="B1602" s="80">
        <f>SUBTOTAL(103,$A$808:A1602)</f>
        <v>780</v>
      </c>
      <c r="C1602" s="300" t="s">
        <v>3145</v>
      </c>
      <c r="D1602" s="296">
        <f t="shared" si="67"/>
        <v>3281058</v>
      </c>
      <c r="E1602" s="301">
        <v>0</v>
      </c>
      <c r="F1602" s="301">
        <v>0</v>
      </c>
      <c r="G1602" s="301">
        <v>0</v>
      </c>
      <c r="H1602" s="301">
        <v>0</v>
      </c>
      <c r="I1602" s="301">
        <v>0</v>
      </c>
      <c r="J1602" s="301">
        <v>0</v>
      </c>
      <c r="K1602" s="302">
        <v>0</v>
      </c>
      <c r="L1602" s="301">
        <v>0</v>
      </c>
      <c r="M1602" s="301">
        <v>0</v>
      </c>
      <c r="N1602" s="301">
        <v>0</v>
      </c>
      <c r="O1602" s="301">
        <v>3281058</v>
      </c>
      <c r="P1602" s="301">
        <v>0</v>
      </c>
      <c r="Q1602" s="301">
        <v>0</v>
      </c>
      <c r="R1602" s="301">
        <v>0</v>
      </c>
      <c r="S1602" s="301">
        <v>0</v>
      </c>
      <c r="T1602" s="301">
        <v>0</v>
      </c>
      <c r="U1602" s="301">
        <v>0</v>
      </c>
      <c r="V1602" s="301">
        <v>0</v>
      </c>
      <c r="W1602" s="301">
        <v>0</v>
      </c>
      <c r="X1602" s="301">
        <v>0</v>
      </c>
      <c r="Y1602" s="301">
        <v>0</v>
      </c>
      <c r="Z1602" s="301">
        <v>0</v>
      </c>
      <c r="AA1602" s="301">
        <v>0</v>
      </c>
      <c r="AB1602" s="303" t="s">
        <v>2981</v>
      </c>
    </row>
    <row r="1603" spans="1:28" ht="35.25" customHeight="1" x14ac:dyDescent="0.5">
      <c r="A1603">
        <v>1</v>
      </c>
      <c r="B1603" s="80">
        <f>SUBTOTAL(103,$A$808:A1603)</f>
        <v>781</v>
      </c>
      <c r="C1603" s="300" t="s">
        <v>3146</v>
      </c>
      <c r="D1603" s="296">
        <f t="shared" si="67"/>
        <v>491741</v>
      </c>
      <c r="E1603" s="301">
        <v>0</v>
      </c>
      <c r="F1603" s="301">
        <v>0</v>
      </c>
      <c r="G1603" s="301">
        <v>0</v>
      </c>
      <c r="H1603" s="301">
        <v>0</v>
      </c>
      <c r="I1603" s="301">
        <v>0</v>
      </c>
      <c r="J1603" s="301">
        <v>0</v>
      </c>
      <c r="K1603" s="302">
        <v>0</v>
      </c>
      <c r="L1603" s="301">
        <v>0</v>
      </c>
      <c r="M1603" s="301">
        <v>0</v>
      </c>
      <c r="N1603" s="301">
        <v>0</v>
      </c>
      <c r="O1603" s="301">
        <v>491741</v>
      </c>
      <c r="P1603" s="301">
        <v>0</v>
      </c>
      <c r="Q1603" s="301">
        <v>0</v>
      </c>
      <c r="R1603" s="301">
        <v>0</v>
      </c>
      <c r="S1603" s="301">
        <v>0</v>
      </c>
      <c r="T1603" s="301">
        <v>0</v>
      </c>
      <c r="U1603" s="301">
        <v>0</v>
      </c>
      <c r="V1603" s="301">
        <v>0</v>
      </c>
      <c r="W1603" s="301">
        <v>0</v>
      </c>
      <c r="X1603" s="301">
        <v>0</v>
      </c>
      <c r="Y1603" s="301">
        <v>0</v>
      </c>
      <c r="Z1603" s="301">
        <v>0</v>
      </c>
      <c r="AA1603" s="301">
        <v>0</v>
      </c>
      <c r="AB1603" s="303" t="s">
        <v>2981</v>
      </c>
    </row>
    <row r="1604" spans="1:28" ht="35.25" customHeight="1" x14ac:dyDescent="0.5">
      <c r="A1604">
        <v>1</v>
      </c>
      <c r="B1604" s="80">
        <f>SUBTOTAL(103,$A$808:A1604)</f>
        <v>782</v>
      </c>
      <c r="C1604" s="300" t="s">
        <v>3147</v>
      </c>
      <c r="D1604" s="296">
        <f t="shared" si="67"/>
        <v>1244668</v>
      </c>
      <c r="E1604" s="301">
        <v>0</v>
      </c>
      <c r="F1604" s="301">
        <v>0</v>
      </c>
      <c r="G1604" s="301">
        <v>0</v>
      </c>
      <c r="H1604" s="301">
        <v>0</v>
      </c>
      <c r="I1604" s="301">
        <v>924100</v>
      </c>
      <c r="J1604" s="301">
        <v>0</v>
      </c>
      <c r="K1604" s="302">
        <v>0</v>
      </c>
      <c r="L1604" s="301">
        <v>0</v>
      </c>
      <c r="M1604" s="301">
        <v>0</v>
      </c>
      <c r="N1604" s="301">
        <v>0</v>
      </c>
      <c r="O1604" s="301">
        <v>320568</v>
      </c>
      <c r="P1604" s="301">
        <v>0</v>
      </c>
      <c r="Q1604" s="301">
        <v>0</v>
      </c>
      <c r="R1604" s="301">
        <v>0</v>
      </c>
      <c r="S1604" s="301">
        <v>0</v>
      </c>
      <c r="T1604" s="301">
        <v>0</v>
      </c>
      <c r="U1604" s="301">
        <v>0</v>
      </c>
      <c r="V1604" s="301">
        <v>0</v>
      </c>
      <c r="W1604" s="301">
        <v>0</v>
      </c>
      <c r="X1604" s="301">
        <v>0</v>
      </c>
      <c r="Y1604" s="301">
        <v>0</v>
      </c>
      <c r="Z1604" s="301">
        <v>0</v>
      </c>
      <c r="AA1604" s="301">
        <v>0</v>
      </c>
      <c r="AB1604" s="303">
        <v>2021</v>
      </c>
    </row>
    <row r="1605" spans="1:28" ht="35.25" customHeight="1" x14ac:dyDescent="0.5">
      <c r="A1605">
        <v>1</v>
      </c>
      <c r="B1605" s="80">
        <f>SUBTOTAL(103,$A$808:A1605)</f>
        <v>783</v>
      </c>
      <c r="C1605" s="300" t="s">
        <v>3148</v>
      </c>
      <c r="D1605" s="296">
        <f t="shared" si="67"/>
        <v>1007508</v>
      </c>
      <c r="E1605" s="301">
        <v>0</v>
      </c>
      <c r="F1605" s="301">
        <v>0</v>
      </c>
      <c r="G1605" s="301">
        <v>0</v>
      </c>
      <c r="H1605" s="301">
        <v>0</v>
      </c>
      <c r="I1605" s="301">
        <v>0</v>
      </c>
      <c r="J1605" s="301">
        <v>0</v>
      </c>
      <c r="K1605" s="302">
        <v>0</v>
      </c>
      <c r="L1605" s="301">
        <v>0</v>
      </c>
      <c r="M1605" s="301">
        <v>0</v>
      </c>
      <c r="N1605" s="301">
        <v>0</v>
      </c>
      <c r="O1605" s="301">
        <v>1007508</v>
      </c>
      <c r="P1605" s="301">
        <v>0</v>
      </c>
      <c r="Q1605" s="301">
        <v>0</v>
      </c>
      <c r="R1605" s="301">
        <v>0</v>
      </c>
      <c r="S1605" s="301">
        <v>0</v>
      </c>
      <c r="T1605" s="301">
        <v>0</v>
      </c>
      <c r="U1605" s="301">
        <v>0</v>
      </c>
      <c r="V1605" s="301">
        <v>0</v>
      </c>
      <c r="W1605" s="301">
        <v>0</v>
      </c>
      <c r="X1605" s="301">
        <v>0</v>
      </c>
      <c r="Y1605" s="301">
        <v>0</v>
      </c>
      <c r="Z1605" s="301">
        <v>0</v>
      </c>
      <c r="AA1605" s="301">
        <v>0</v>
      </c>
      <c r="AB1605" s="303">
        <v>2021</v>
      </c>
    </row>
    <row r="1606" spans="1:28" ht="35.25" customHeight="1" x14ac:dyDescent="0.5">
      <c r="A1606">
        <v>1</v>
      </c>
      <c r="B1606" s="80">
        <f>SUBTOTAL(103,$A$808:A1606)</f>
        <v>784</v>
      </c>
      <c r="C1606" s="300" t="s">
        <v>3149</v>
      </c>
      <c r="D1606" s="296">
        <f t="shared" si="67"/>
        <v>368671</v>
      </c>
      <c r="E1606" s="301">
        <v>268671</v>
      </c>
      <c r="F1606" s="301">
        <v>0</v>
      </c>
      <c r="G1606" s="301">
        <v>0</v>
      </c>
      <c r="H1606" s="301">
        <v>100000</v>
      </c>
      <c r="I1606" s="301">
        <v>0</v>
      </c>
      <c r="J1606" s="301">
        <v>0</v>
      </c>
      <c r="K1606" s="302">
        <v>0</v>
      </c>
      <c r="L1606" s="301">
        <v>0</v>
      </c>
      <c r="M1606" s="301">
        <v>0</v>
      </c>
      <c r="N1606" s="301">
        <v>0</v>
      </c>
      <c r="O1606" s="301">
        <v>0</v>
      </c>
      <c r="P1606" s="301">
        <v>0</v>
      </c>
      <c r="Q1606" s="301">
        <v>0</v>
      </c>
      <c r="R1606" s="301">
        <v>0</v>
      </c>
      <c r="S1606" s="301">
        <v>0</v>
      </c>
      <c r="T1606" s="301">
        <v>0</v>
      </c>
      <c r="U1606" s="301">
        <v>0</v>
      </c>
      <c r="V1606" s="301">
        <v>0</v>
      </c>
      <c r="W1606" s="301">
        <v>0</v>
      </c>
      <c r="X1606" s="301">
        <v>0</v>
      </c>
      <c r="Y1606" s="301">
        <v>0</v>
      </c>
      <c r="Z1606" s="301">
        <v>0</v>
      </c>
      <c r="AA1606" s="301">
        <v>0</v>
      </c>
      <c r="AB1606" s="303">
        <v>2021</v>
      </c>
    </row>
    <row r="1607" spans="1:28" ht="35.25" customHeight="1" x14ac:dyDescent="0.5">
      <c r="A1607">
        <v>1</v>
      </c>
      <c r="B1607" s="80">
        <f>SUBTOTAL(103,$A$808:A1607)</f>
        <v>785</v>
      </c>
      <c r="C1607" s="300" t="s">
        <v>2878</v>
      </c>
      <c r="D1607" s="296">
        <f t="shared" si="67"/>
        <v>690096</v>
      </c>
      <c r="E1607" s="301">
        <v>0</v>
      </c>
      <c r="F1607" s="301">
        <v>0</v>
      </c>
      <c r="G1607" s="301">
        <v>0</v>
      </c>
      <c r="H1607" s="301">
        <v>0</v>
      </c>
      <c r="I1607" s="301">
        <v>0</v>
      </c>
      <c r="J1607" s="301">
        <v>0</v>
      </c>
      <c r="K1607" s="302">
        <v>0</v>
      </c>
      <c r="L1607" s="301">
        <v>0</v>
      </c>
      <c r="M1607" s="301">
        <v>0</v>
      </c>
      <c r="N1607" s="301">
        <v>0</v>
      </c>
      <c r="O1607" s="301">
        <v>690096</v>
      </c>
      <c r="P1607" s="301">
        <v>0</v>
      </c>
      <c r="Q1607" s="301">
        <v>0</v>
      </c>
      <c r="R1607" s="301">
        <v>0</v>
      </c>
      <c r="S1607" s="301">
        <v>0</v>
      </c>
      <c r="T1607" s="301">
        <v>0</v>
      </c>
      <c r="U1607" s="301">
        <v>0</v>
      </c>
      <c r="V1607" s="301">
        <v>0</v>
      </c>
      <c r="W1607" s="301">
        <v>0</v>
      </c>
      <c r="X1607" s="301">
        <v>0</v>
      </c>
      <c r="Y1607" s="301">
        <v>0</v>
      </c>
      <c r="Z1607" s="301">
        <v>0</v>
      </c>
      <c r="AA1607" s="301">
        <v>0</v>
      </c>
      <c r="AB1607" s="303">
        <v>2021</v>
      </c>
    </row>
    <row r="1608" spans="1:28" ht="35.25" customHeight="1" x14ac:dyDescent="0.5">
      <c r="B1608" s="299" t="s">
        <v>798</v>
      </c>
      <c r="C1608" s="300"/>
      <c r="D1608" s="296">
        <f t="shared" si="67"/>
        <v>10330718.719999999</v>
      </c>
      <c r="E1608" s="296">
        <f t="shared" ref="E1608:AA1608" si="74">SUM(E1609:E1629)</f>
        <v>403031</v>
      </c>
      <c r="F1608" s="296">
        <f t="shared" si="74"/>
        <v>283000</v>
      </c>
      <c r="G1608" s="296">
        <f t="shared" si="74"/>
        <v>796047</v>
      </c>
      <c r="H1608" s="296">
        <f t="shared" si="74"/>
        <v>0</v>
      </c>
      <c r="I1608" s="296">
        <f t="shared" si="74"/>
        <v>1263930.3</v>
      </c>
      <c r="J1608" s="296">
        <f t="shared" si="74"/>
        <v>0</v>
      </c>
      <c r="K1608" s="297">
        <f t="shared" si="74"/>
        <v>0</v>
      </c>
      <c r="L1608" s="296">
        <f t="shared" si="74"/>
        <v>0</v>
      </c>
      <c r="M1608" s="296">
        <f t="shared" si="74"/>
        <v>1323663.42</v>
      </c>
      <c r="N1608" s="296">
        <f t="shared" si="74"/>
        <v>446707</v>
      </c>
      <c r="O1608" s="296">
        <f t="shared" si="74"/>
        <v>5814340</v>
      </c>
      <c r="P1608" s="296">
        <f t="shared" si="74"/>
        <v>0</v>
      </c>
      <c r="Q1608" s="296">
        <f t="shared" si="74"/>
        <v>0</v>
      </c>
      <c r="R1608" s="296">
        <f t="shared" si="74"/>
        <v>0</v>
      </c>
      <c r="S1608" s="296">
        <f t="shared" si="74"/>
        <v>0</v>
      </c>
      <c r="T1608" s="296">
        <f t="shared" si="74"/>
        <v>0</v>
      </c>
      <c r="U1608" s="296">
        <f t="shared" si="74"/>
        <v>0</v>
      </c>
      <c r="V1608" s="296">
        <f t="shared" si="74"/>
        <v>0</v>
      </c>
      <c r="W1608" s="296">
        <f t="shared" si="74"/>
        <v>0</v>
      </c>
      <c r="X1608" s="296">
        <f t="shared" si="74"/>
        <v>0</v>
      </c>
      <c r="Y1608" s="296">
        <f t="shared" si="74"/>
        <v>0</v>
      </c>
      <c r="Z1608" s="296">
        <f t="shared" si="74"/>
        <v>0</v>
      </c>
      <c r="AA1608" s="296">
        <f t="shared" si="74"/>
        <v>0</v>
      </c>
      <c r="AB1608" s="298" t="s">
        <v>835</v>
      </c>
    </row>
    <row r="1609" spans="1:28" ht="35.25" customHeight="1" x14ac:dyDescent="0.5">
      <c r="A1609">
        <v>1</v>
      </c>
      <c r="B1609" s="80">
        <f>SUBTOTAL(103,$A$808:A1609)</f>
        <v>786</v>
      </c>
      <c r="C1609" s="300" t="s">
        <v>2879</v>
      </c>
      <c r="D1609" s="296">
        <f t="shared" ref="D1609:D1672" si="75">E1609+F1609+G1609+H1609+I1609+J1609+L1609+M1609+N1609+O1609+P1609+Q1609+R1609+S1609+T1609+U1609+V1609+W1609+X1609+Y1609+Z1609+AA1609</f>
        <v>140850</v>
      </c>
      <c r="E1609" s="301">
        <v>0</v>
      </c>
      <c r="F1609" s="301">
        <v>0</v>
      </c>
      <c r="G1609" s="301">
        <v>0</v>
      </c>
      <c r="H1609" s="301">
        <v>0</v>
      </c>
      <c r="I1609" s="301">
        <v>0</v>
      </c>
      <c r="J1609" s="301">
        <v>0</v>
      </c>
      <c r="K1609" s="302">
        <v>0</v>
      </c>
      <c r="L1609" s="301">
        <v>0</v>
      </c>
      <c r="M1609" s="301">
        <v>0</v>
      </c>
      <c r="N1609" s="301">
        <v>0</v>
      </c>
      <c r="O1609" s="301">
        <v>140850</v>
      </c>
      <c r="P1609" s="301">
        <v>0</v>
      </c>
      <c r="Q1609" s="301">
        <v>0</v>
      </c>
      <c r="R1609" s="301">
        <v>0</v>
      </c>
      <c r="S1609" s="301">
        <v>0</v>
      </c>
      <c r="T1609" s="301">
        <v>0</v>
      </c>
      <c r="U1609" s="301">
        <v>0</v>
      </c>
      <c r="V1609" s="301">
        <v>0</v>
      </c>
      <c r="W1609" s="301">
        <v>0</v>
      </c>
      <c r="X1609" s="301">
        <v>0</v>
      </c>
      <c r="Y1609" s="301">
        <v>0</v>
      </c>
      <c r="Z1609" s="301">
        <v>0</v>
      </c>
      <c r="AA1609" s="301">
        <v>0</v>
      </c>
      <c r="AB1609" s="303">
        <v>2021</v>
      </c>
    </row>
    <row r="1610" spans="1:28" ht="35.25" customHeight="1" x14ac:dyDescent="0.5">
      <c r="A1610">
        <v>1</v>
      </c>
      <c r="B1610" s="80">
        <f>SUBTOTAL(103,$A$808:A1610)</f>
        <v>787</v>
      </c>
      <c r="C1610" s="300" t="s">
        <v>2447</v>
      </c>
      <c r="D1610" s="296">
        <f t="shared" si="75"/>
        <v>389000</v>
      </c>
      <c r="E1610" s="301">
        <v>0</v>
      </c>
      <c r="F1610" s="301">
        <v>0</v>
      </c>
      <c r="G1610" s="301">
        <v>0</v>
      </c>
      <c r="H1610" s="301">
        <v>0</v>
      </c>
      <c r="I1610" s="301">
        <v>0</v>
      </c>
      <c r="J1610" s="301">
        <v>0</v>
      </c>
      <c r="K1610" s="302">
        <v>0</v>
      </c>
      <c r="L1610" s="301">
        <v>0</v>
      </c>
      <c r="M1610" s="301">
        <v>0</v>
      </c>
      <c r="N1610" s="301">
        <v>0</v>
      </c>
      <c r="O1610" s="301">
        <v>389000</v>
      </c>
      <c r="P1610" s="301">
        <v>0</v>
      </c>
      <c r="Q1610" s="301">
        <v>0</v>
      </c>
      <c r="R1610" s="301">
        <v>0</v>
      </c>
      <c r="S1610" s="301">
        <v>0</v>
      </c>
      <c r="T1610" s="301">
        <v>0</v>
      </c>
      <c r="U1610" s="301">
        <v>0</v>
      </c>
      <c r="V1610" s="301">
        <v>0</v>
      </c>
      <c r="W1610" s="301">
        <v>0</v>
      </c>
      <c r="X1610" s="301">
        <v>0</v>
      </c>
      <c r="Y1610" s="301">
        <v>0</v>
      </c>
      <c r="Z1610" s="301">
        <v>0</v>
      </c>
      <c r="AA1610" s="301">
        <v>0</v>
      </c>
      <c r="AB1610" s="303">
        <v>2021</v>
      </c>
    </row>
    <row r="1611" spans="1:28" ht="35.25" customHeight="1" x14ac:dyDescent="0.5">
      <c r="A1611">
        <v>1</v>
      </c>
      <c r="B1611" s="80">
        <f>SUBTOTAL(103,$A$808:A1611)</f>
        <v>788</v>
      </c>
      <c r="C1611" s="300" t="s">
        <v>2448</v>
      </c>
      <c r="D1611" s="296">
        <f t="shared" si="75"/>
        <v>85000</v>
      </c>
      <c r="E1611" s="301">
        <v>0</v>
      </c>
      <c r="F1611" s="301">
        <v>0</v>
      </c>
      <c r="G1611" s="301">
        <v>0</v>
      </c>
      <c r="H1611" s="301">
        <v>0</v>
      </c>
      <c r="I1611" s="301">
        <v>0</v>
      </c>
      <c r="J1611" s="301">
        <v>0</v>
      </c>
      <c r="K1611" s="302">
        <v>0</v>
      </c>
      <c r="L1611" s="301">
        <v>0</v>
      </c>
      <c r="M1611" s="301">
        <v>0</v>
      </c>
      <c r="N1611" s="301">
        <v>0</v>
      </c>
      <c r="O1611" s="301">
        <v>85000</v>
      </c>
      <c r="P1611" s="301">
        <v>0</v>
      </c>
      <c r="Q1611" s="301">
        <v>0</v>
      </c>
      <c r="R1611" s="301">
        <v>0</v>
      </c>
      <c r="S1611" s="301">
        <v>0</v>
      </c>
      <c r="T1611" s="301">
        <v>0</v>
      </c>
      <c r="U1611" s="301">
        <v>0</v>
      </c>
      <c r="V1611" s="301">
        <v>0</v>
      </c>
      <c r="W1611" s="301">
        <v>0</v>
      </c>
      <c r="X1611" s="301">
        <v>0</v>
      </c>
      <c r="Y1611" s="301">
        <v>0</v>
      </c>
      <c r="Z1611" s="301">
        <v>0</v>
      </c>
      <c r="AA1611" s="301">
        <v>0</v>
      </c>
      <c r="AB1611" s="303">
        <v>2021</v>
      </c>
    </row>
    <row r="1612" spans="1:28" ht="35.25" customHeight="1" x14ac:dyDescent="0.5">
      <c r="A1612">
        <v>1</v>
      </c>
      <c r="B1612" s="80">
        <f>SUBTOTAL(103,$A$808:A1612)</f>
        <v>789</v>
      </c>
      <c r="C1612" s="300" t="s">
        <v>2880</v>
      </c>
      <c r="D1612" s="296">
        <f t="shared" si="75"/>
        <v>608999</v>
      </c>
      <c r="E1612" s="301">
        <v>0</v>
      </c>
      <c r="F1612" s="301">
        <v>0</v>
      </c>
      <c r="G1612" s="301">
        <v>0</v>
      </c>
      <c r="H1612" s="301">
        <v>0</v>
      </c>
      <c r="I1612" s="301">
        <v>608999</v>
      </c>
      <c r="J1612" s="301">
        <v>0</v>
      </c>
      <c r="K1612" s="302">
        <v>0</v>
      </c>
      <c r="L1612" s="301">
        <v>0</v>
      </c>
      <c r="M1612" s="301">
        <v>0</v>
      </c>
      <c r="N1612" s="301">
        <v>0</v>
      </c>
      <c r="O1612" s="301">
        <v>0</v>
      </c>
      <c r="P1612" s="301">
        <v>0</v>
      </c>
      <c r="Q1612" s="301">
        <v>0</v>
      </c>
      <c r="R1612" s="301">
        <v>0</v>
      </c>
      <c r="S1612" s="301">
        <v>0</v>
      </c>
      <c r="T1612" s="301">
        <v>0</v>
      </c>
      <c r="U1612" s="301">
        <v>0</v>
      </c>
      <c r="V1612" s="301">
        <v>0</v>
      </c>
      <c r="W1612" s="301">
        <v>0</v>
      </c>
      <c r="X1612" s="301">
        <v>0</v>
      </c>
      <c r="Y1612" s="301">
        <v>0</v>
      </c>
      <c r="Z1612" s="301">
        <v>0</v>
      </c>
      <c r="AA1612" s="301">
        <v>0</v>
      </c>
      <c r="AB1612" s="303">
        <v>2021</v>
      </c>
    </row>
    <row r="1613" spans="1:28" ht="35.25" customHeight="1" x14ac:dyDescent="0.5">
      <c r="A1613">
        <v>1</v>
      </c>
      <c r="B1613" s="80">
        <f>SUBTOTAL(103,$A$808:A1613)</f>
        <v>790</v>
      </c>
      <c r="C1613" s="300" t="s">
        <v>2881</v>
      </c>
      <c r="D1613" s="296">
        <f t="shared" si="75"/>
        <v>679525</v>
      </c>
      <c r="E1613" s="301">
        <v>403031</v>
      </c>
      <c r="F1613" s="301">
        <v>0</v>
      </c>
      <c r="G1613" s="301">
        <v>0</v>
      </c>
      <c r="H1613" s="301">
        <v>0</v>
      </c>
      <c r="I1613" s="301">
        <v>0</v>
      </c>
      <c r="J1613" s="301">
        <v>0</v>
      </c>
      <c r="K1613" s="302">
        <v>0</v>
      </c>
      <c r="L1613" s="301">
        <v>0</v>
      </c>
      <c r="M1613" s="301">
        <v>0</v>
      </c>
      <c r="N1613" s="301">
        <v>0</v>
      </c>
      <c r="O1613" s="301">
        <v>276494</v>
      </c>
      <c r="P1613" s="301">
        <v>0</v>
      </c>
      <c r="Q1613" s="301">
        <v>0</v>
      </c>
      <c r="R1613" s="301">
        <v>0</v>
      </c>
      <c r="S1613" s="301">
        <v>0</v>
      </c>
      <c r="T1613" s="301">
        <v>0</v>
      </c>
      <c r="U1613" s="301">
        <v>0</v>
      </c>
      <c r="V1613" s="301">
        <v>0</v>
      </c>
      <c r="W1613" s="301">
        <v>0</v>
      </c>
      <c r="X1613" s="301">
        <v>0</v>
      </c>
      <c r="Y1613" s="301">
        <v>0</v>
      </c>
      <c r="Z1613" s="301">
        <v>0</v>
      </c>
      <c r="AA1613" s="301">
        <v>0</v>
      </c>
      <c r="AB1613" s="303">
        <v>2021</v>
      </c>
    </row>
    <row r="1614" spans="1:28" ht="35.25" customHeight="1" x14ac:dyDescent="0.5">
      <c r="A1614">
        <v>1</v>
      </c>
      <c r="B1614" s="80">
        <f>SUBTOTAL(103,$A$808:A1614)</f>
        <v>791</v>
      </c>
      <c r="C1614" s="300" t="s">
        <v>2882</v>
      </c>
      <c r="D1614" s="296">
        <f t="shared" si="75"/>
        <v>1323663.42</v>
      </c>
      <c r="E1614" s="301">
        <v>0</v>
      </c>
      <c r="F1614" s="301">
        <v>0</v>
      </c>
      <c r="G1614" s="301">
        <v>0</v>
      </c>
      <c r="H1614" s="301">
        <v>0</v>
      </c>
      <c r="I1614" s="301">
        <v>0</v>
      </c>
      <c r="J1614" s="301">
        <v>0</v>
      </c>
      <c r="K1614" s="302">
        <v>0</v>
      </c>
      <c r="L1614" s="301">
        <v>0</v>
      </c>
      <c r="M1614" s="301">
        <v>1323663.42</v>
      </c>
      <c r="N1614" s="301">
        <v>0</v>
      </c>
      <c r="O1614" s="301">
        <v>0</v>
      </c>
      <c r="P1614" s="301">
        <v>0</v>
      </c>
      <c r="Q1614" s="301">
        <v>0</v>
      </c>
      <c r="R1614" s="301">
        <v>0</v>
      </c>
      <c r="S1614" s="301">
        <v>0</v>
      </c>
      <c r="T1614" s="301">
        <v>0</v>
      </c>
      <c r="U1614" s="301">
        <v>0</v>
      </c>
      <c r="V1614" s="301">
        <v>0</v>
      </c>
      <c r="W1614" s="301">
        <v>0</v>
      </c>
      <c r="X1614" s="301">
        <v>0</v>
      </c>
      <c r="Y1614" s="301">
        <v>0</v>
      </c>
      <c r="Z1614" s="301">
        <v>0</v>
      </c>
      <c r="AA1614" s="301">
        <v>0</v>
      </c>
      <c r="AB1614" s="303">
        <v>2021</v>
      </c>
    </row>
    <row r="1615" spans="1:28" ht="35.25" customHeight="1" x14ac:dyDescent="0.5">
      <c r="A1615">
        <v>1</v>
      </c>
      <c r="B1615" s="80">
        <f>SUBTOTAL(103,$A$808:A1615)</f>
        <v>792</v>
      </c>
      <c r="C1615" s="300" t="s">
        <v>2883</v>
      </c>
      <c r="D1615" s="296">
        <f t="shared" si="75"/>
        <v>283000</v>
      </c>
      <c r="E1615" s="301">
        <v>0</v>
      </c>
      <c r="F1615" s="301">
        <v>283000</v>
      </c>
      <c r="G1615" s="301">
        <v>0</v>
      </c>
      <c r="H1615" s="301">
        <v>0</v>
      </c>
      <c r="I1615" s="301">
        <v>0</v>
      </c>
      <c r="J1615" s="301">
        <v>0</v>
      </c>
      <c r="K1615" s="302">
        <v>0</v>
      </c>
      <c r="L1615" s="301">
        <v>0</v>
      </c>
      <c r="M1615" s="301">
        <v>0</v>
      </c>
      <c r="N1615" s="301">
        <v>0</v>
      </c>
      <c r="O1615" s="301">
        <v>0</v>
      </c>
      <c r="P1615" s="301">
        <v>0</v>
      </c>
      <c r="Q1615" s="301">
        <v>0</v>
      </c>
      <c r="R1615" s="301">
        <v>0</v>
      </c>
      <c r="S1615" s="301">
        <v>0</v>
      </c>
      <c r="T1615" s="301">
        <v>0</v>
      </c>
      <c r="U1615" s="301">
        <v>0</v>
      </c>
      <c r="V1615" s="301">
        <v>0</v>
      </c>
      <c r="W1615" s="301">
        <v>0</v>
      </c>
      <c r="X1615" s="301">
        <v>0</v>
      </c>
      <c r="Y1615" s="301">
        <v>0</v>
      </c>
      <c r="Z1615" s="301">
        <v>0</v>
      </c>
      <c r="AA1615" s="301">
        <v>0</v>
      </c>
      <c r="AB1615" s="303">
        <v>2021</v>
      </c>
    </row>
    <row r="1616" spans="1:28" ht="35.25" customHeight="1" x14ac:dyDescent="0.5">
      <c r="A1616">
        <v>1</v>
      </c>
      <c r="B1616" s="80">
        <f>SUBTOTAL(103,$A$808:A1616)</f>
        <v>793</v>
      </c>
      <c r="C1616" s="300" t="s">
        <v>2449</v>
      </c>
      <c r="D1616" s="296">
        <f t="shared" si="75"/>
        <v>563000</v>
      </c>
      <c r="E1616" s="301">
        <v>0</v>
      </c>
      <c r="F1616" s="301">
        <v>0</v>
      </c>
      <c r="G1616" s="301">
        <v>0</v>
      </c>
      <c r="H1616" s="301">
        <v>0</v>
      </c>
      <c r="I1616" s="301">
        <v>0</v>
      </c>
      <c r="J1616" s="301">
        <v>0</v>
      </c>
      <c r="K1616" s="302">
        <v>0</v>
      </c>
      <c r="L1616" s="301">
        <v>0</v>
      </c>
      <c r="M1616" s="301">
        <v>0</v>
      </c>
      <c r="N1616" s="301">
        <v>0</v>
      </c>
      <c r="O1616" s="301">
        <v>563000</v>
      </c>
      <c r="P1616" s="301">
        <v>0</v>
      </c>
      <c r="Q1616" s="301">
        <v>0</v>
      </c>
      <c r="R1616" s="301">
        <v>0</v>
      </c>
      <c r="S1616" s="301">
        <v>0</v>
      </c>
      <c r="T1616" s="301">
        <v>0</v>
      </c>
      <c r="U1616" s="301">
        <v>0</v>
      </c>
      <c r="V1616" s="301">
        <v>0</v>
      </c>
      <c r="W1616" s="301">
        <v>0</v>
      </c>
      <c r="X1616" s="301">
        <v>0</v>
      </c>
      <c r="Y1616" s="301">
        <v>0</v>
      </c>
      <c r="Z1616" s="301">
        <v>0</v>
      </c>
      <c r="AA1616" s="301">
        <v>0</v>
      </c>
      <c r="AB1616" s="303">
        <v>2021</v>
      </c>
    </row>
    <row r="1617" spans="1:28" ht="35.25" customHeight="1" x14ac:dyDescent="0.5">
      <c r="A1617">
        <v>1</v>
      </c>
      <c r="B1617" s="80">
        <f>SUBTOTAL(103,$A$808:A1617)</f>
        <v>794</v>
      </c>
      <c r="C1617" s="300" t="s">
        <v>2100</v>
      </c>
      <c r="D1617" s="296">
        <f t="shared" si="75"/>
        <v>408603</v>
      </c>
      <c r="E1617" s="301">
        <v>0</v>
      </c>
      <c r="F1617" s="301">
        <v>0</v>
      </c>
      <c r="G1617" s="301">
        <v>0</v>
      </c>
      <c r="H1617" s="301">
        <v>0</v>
      </c>
      <c r="I1617" s="301">
        <v>0</v>
      </c>
      <c r="J1617" s="301">
        <v>0</v>
      </c>
      <c r="K1617" s="302">
        <v>0</v>
      </c>
      <c r="L1617" s="301">
        <v>0</v>
      </c>
      <c r="M1617" s="301">
        <v>0</v>
      </c>
      <c r="N1617" s="301">
        <v>0</v>
      </c>
      <c r="O1617" s="301">
        <v>408603</v>
      </c>
      <c r="P1617" s="301">
        <v>0</v>
      </c>
      <c r="Q1617" s="301">
        <v>0</v>
      </c>
      <c r="R1617" s="301">
        <v>0</v>
      </c>
      <c r="S1617" s="301">
        <v>0</v>
      </c>
      <c r="T1617" s="301">
        <v>0</v>
      </c>
      <c r="U1617" s="301">
        <v>0</v>
      </c>
      <c r="V1617" s="301">
        <v>0</v>
      </c>
      <c r="W1617" s="301">
        <v>0</v>
      </c>
      <c r="X1617" s="301">
        <v>0</v>
      </c>
      <c r="Y1617" s="301">
        <v>0</v>
      </c>
      <c r="Z1617" s="301">
        <v>0</v>
      </c>
      <c r="AA1617" s="301">
        <v>0</v>
      </c>
      <c r="AB1617" s="303" t="s">
        <v>2981</v>
      </c>
    </row>
    <row r="1618" spans="1:28" ht="35.25" customHeight="1" x14ac:dyDescent="0.5">
      <c r="A1618">
        <v>1</v>
      </c>
      <c r="B1618" s="80">
        <f>SUBTOTAL(103,$A$808:A1618)</f>
        <v>795</v>
      </c>
      <c r="C1618" s="300" t="s">
        <v>3150</v>
      </c>
      <c r="D1618" s="296">
        <f t="shared" si="75"/>
        <v>446707</v>
      </c>
      <c r="E1618" s="301">
        <v>0</v>
      </c>
      <c r="F1618" s="301">
        <v>0</v>
      </c>
      <c r="G1618" s="301">
        <v>0</v>
      </c>
      <c r="H1618" s="301">
        <v>0</v>
      </c>
      <c r="I1618" s="301">
        <v>0</v>
      </c>
      <c r="J1618" s="301">
        <v>0</v>
      </c>
      <c r="K1618" s="302">
        <v>0</v>
      </c>
      <c r="L1618" s="301">
        <v>0</v>
      </c>
      <c r="M1618" s="301">
        <v>0</v>
      </c>
      <c r="N1618" s="301">
        <v>446707</v>
      </c>
      <c r="O1618" s="301">
        <v>0</v>
      </c>
      <c r="P1618" s="301">
        <v>0</v>
      </c>
      <c r="Q1618" s="301">
        <v>0</v>
      </c>
      <c r="R1618" s="301">
        <v>0</v>
      </c>
      <c r="S1618" s="301">
        <v>0</v>
      </c>
      <c r="T1618" s="301">
        <v>0</v>
      </c>
      <c r="U1618" s="301">
        <v>0</v>
      </c>
      <c r="V1618" s="301">
        <v>0</v>
      </c>
      <c r="W1618" s="301">
        <v>0</v>
      </c>
      <c r="X1618" s="301">
        <v>0</v>
      </c>
      <c r="Y1618" s="301">
        <v>0</v>
      </c>
      <c r="Z1618" s="301">
        <v>0</v>
      </c>
      <c r="AA1618" s="301">
        <v>0</v>
      </c>
      <c r="AB1618" s="303" t="s">
        <v>2981</v>
      </c>
    </row>
    <row r="1619" spans="1:28" ht="35.25" customHeight="1" x14ac:dyDescent="0.5">
      <c r="A1619">
        <v>1</v>
      </c>
      <c r="B1619" s="80">
        <f>SUBTOTAL(103,$A$808:A1619)</f>
        <v>796</v>
      </c>
      <c r="C1619" s="300" t="s">
        <v>2450</v>
      </c>
      <c r="D1619" s="296">
        <f t="shared" si="75"/>
        <v>50000</v>
      </c>
      <c r="E1619" s="301">
        <v>0</v>
      </c>
      <c r="F1619" s="301">
        <v>0</v>
      </c>
      <c r="G1619" s="301">
        <v>0</v>
      </c>
      <c r="H1619" s="301">
        <v>0</v>
      </c>
      <c r="I1619" s="301">
        <v>0</v>
      </c>
      <c r="J1619" s="301">
        <v>0</v>
      </c>
      <c r="K1619" s="302">
        <v>0</v>
      </c>
      <c r="L1619" s="301">
        <v>0</v>
      </c>
      <c r="M1619" s="301">
        <v>0</v>
      </c>
      <c r="N1619" s="301">
        <v>0</v>
      </c>
      <c r="O1619" s="301">
        <v>50000</v>
      </c>
      <c r="P1619" s="301">
        <v>0</v>
      </c>
      <c r="Q1619" s="301">
        <v>0</v>
      </c>
      <c r="R1619" s="301">
        <v>0</v>
      </c>
      <c r="S1619" s="301">
        <v>0</v>
      </c>
      <c r="T1619" s="301">
        <v>0</v>
      </c>
      <c r="U1619" s="301">
        <v>0</v>
      </c>
      <c r="V1619" s="301">
        <v>0</v>
      </c>
      <c r="W1619" s="301">
        <v>0</v>
      </c>
      <c r="X1619" s="301">
        <v>0</v>
      </c>
      <c r="Y1619" s="301">
        <v>0</v>
      </c>
      <c r="Z1619" s="301">
        <v>0</v>
      </c>
      <c r="AA1619" s="301">
        <v>0</v>
      </c>
      <c r="AB1619" s="303">
        <v>2021</v>
      </c>
    </row>
    <row r="1620" spans="1:28" ht="35.25" customHeight="1" x14ac:dyDescent="0.5">
      <c r="A1620">
        <v>1</v>
      </c>
      <c r="B1620" s="80">
        <f>SUBTOTAL(103,$A$808:A1620)</f>
        <v>797</v>
      </c>
      <c r="C1620" s="300" t="s">
        <v>3151</v>
      </c>
      <c r="D1620" s="296">
        <f t="shared" si="75"/>
        <v>625010</v>
      </c>
      <c r="E1620" s="301">
        <v>0</v>
      </c>
      <c r="F1620" s="301">
        <v>0</v>
      </c>
      <c r="G1620" s="301">
        <v>0</v>
      </c>
      <c r="H1620" s="301">
        <v>0</v>
      </c>
      <c r="I1620" s="301">
        <v>0</v>
      </c>
      <c r="J1620" s="301">
        <v>0</v>
      </c>
      <c r="K1620" s="302">
        <v>0</v>
      </c>
      <c r="L1620" s="301">
        <v>0</v>
      </c>
      <c r="M1620" s="301">
        <v>0</v>
      </c>
      <c r="N1620" s="301">
        <v>0</v>
      </c>
      <c r="O1620" s="301">
        <v>625010</v>
      </c>
      <c r="P1620" s="301">
        <v>0</v>
      </c>
      <c r="Q1620" s="301">
        <v>0</v>
      </c>
      <c r="R1620" s="301">
        <v>0</v>
      </c>
      <c r="S1620" s="301">
        <v>0</v>
      </c>
      <c r="T1620" s="301">
        <v>0</v>
      </c>
      <c r="U1620" s="301">
        <v>0</v>
      </c>
      <c r="V1620" s="301">
        <v>0</v>
      </c>
      <c r="W1620" s="301">
        <v>0</v>
      </c>
      <c r="X1620" s="301">
        <v>0</v>
      </c>
      <c r="Y1620" s="301">
        <v>0</v>
      </c>
      <c r="Z1620" s="301">
        <v>0</v>
      </c>
      <c r="AA1620" s="301">
        <v>0</v>
      </c>
      <c r="AB1620" s="303" t="s">
        <v>2981</v>
      </c>
    </row>
    <row r="1621" spans="1:28" ht="35.25" customHeight="1" x14ac:dyDescent="0.5">
      <c r="A1621">
        <v>1</v>
      </c>
      <c r="B1621" s="80">
        <f>SUBTOTAL(103,$A$808:A1621)</f>
        <v>798</v>
      </c>
      <c r="C1621" s="300" t="s">
        <v>1751</v>
      </c>
      <c r="D1621" s="296">
        <f t="shared" si="75"/>
        <v>457092</v>
      </c>
      <c r="E1621" s="301">
        <v>0</v>
      </c>
      <c r="F1621" s="301">
        <v>0</v>
      </c>
      <c r="G1621" s="301">
        <v>0</v>
      </c>
      <c r="H1621" s="301">
        <v>0</v>
      </c>
      <c r="I1621" s="301">
        <v>0</v>
      </c>
      <c r="J1621" s="301">
        <v>0</v>
      </c>
      <c r="K1621" s="302">
        <v>0</v>
      </c>
      <c r="L1621" s="301">
        <v>0</v>
      </c>
      <c r="M1621" s="301">
        <v>0</v>
      </c>
      <c r="N1621" s="301">
        <v>0</v>
      </c>
      <c r="O1621" s="301">
        <v>457092</v>
      </c>
      <c r="P1621" s="301">
        <v>0</v>
      </c>
      <c r="Q1621" s="301">
        <v>0</v>
      </c>
      <c r="R1621" s="301">
        <v>0</v>
      </c>
      <c r="S1621" s="301">
        <v>0</v>
      </c>
      <c r="T1621" s="301">
        <v>0</v>
      </c>
      <c r="U1621" s="301">
        <v>0</v>
      </c>
      <c r="V1621" s="301">
        <v>0</v>
      </c>
      <c r="W1621" s="301">
        <v>0</v>
      </c>
      <c r="X1621" s="301">
        <v>0</v>
      </c>
      <c r="Y1621" s="301">
        <v>0</v>
      </c>
      <c r="Z1621" s="301">
        <v>0</v>
      </c>
      <c r="AA1621" s="301">
        <v>0</v>
      </c>
      <c r="AB1621" s="303">
        <v>2021</v>
      </c>
    </row>
    <row r="1622" spans="1:28" ht="35.25" customHeight="1" x14ac:dyDescent="0.5">
      <c r="A1622">
        <v>1</v>
      </c>
      <c r="B1622" s="80">
        <f>SUBTOTAL(103,$A$808:A1622)</f>
        <v>799</v>
      </c>
      <c r="C1622" s="300" t="s">
        <v>1752</v>
      </c>
      <c r="D1622" s="296">
        <f t="shared" si="75"/>
        <v>592621</v>
      </c>
      <c r="E1622" s="301">
        <v>0</v>
      </c>
      <c r="F1622" s="301">
        <v>0</v>
      </c>
      <c r="G1622" s="301">
        <v>0</v>
      </c>
      <c r="H1622" s="301">
        <v>0</v>
      </c>
      <c r="I1622" s="301">
        <v>0</v>
      </c>
      <c r="J1622" s="301">
        <v>0</v>
      </c>
      <c r="K1622" s="302">
        <v>0</v>
      </c>
      <c r="L1622" s="301">
        <v>0</v>
      </c>
      <c r="M1622" s="301">
        <v>0</v>
      </c>
      <c r="N1622" s="301">
        <v>0</v>
      </c>
      <c r="O1622" s="301">
        <v>592621</v>
      </c>
      <c r="P1622" s="301">
        <v>0</v>
      </c>
      <c r="Q1622" s="301">
        <v>0</v>
      </c>
      <c r="R1622" s="301">
        <v>0</v>
      </c>
      <c r="S1622" s="301">
        <v>0</v>
      </c>
      <c r="T1622" s="301">
        <v>0</v>
      </c>
      <c r="U1622" s="301">
        <v>0</v>
      </c>
      <c r="V1622" s="301">
        <v>0</v>
      </c>
      <c r="W1622" s="301">
        <v>0</v>
      </c>
      <c r="X1622" s="301">
        <v>0</v>
      </c>
      <c r="Y1622" s="301">
        <v>0</v>
      </c>
      <c r="Z1622" s="301">
        <v>0</v>
      </c>
      <c r="AA1622" s="301">
        <v>0</v>
      </c>
      <c r="AB1622" s="303">
        <v>2021</v>
      </c>
    </row>
    <row r="1623" spans="1:28" ht="35.25" customHeight="1" x14ac:dyDescent="0.5">
      <c r="A1623">
        <v>1</v>
      </c>
      <c r="B1623" s="80">
        <f>SUBTOTAL(103,$A$808:A1623)</f>
        <v>800</v>
      </c>
      <c r="C1623" s="300" t="s">
        <v>3152</v>
      </c>
      <c r="D1623" s="296">
        <f t="shared" si="75"/>
        <v>296466</v>
      </c>
      <c r="E1623" s="301">
        <v>0</v>
      </c>
      <c r="F1623" s="301">
        <v>0</v>
      </c>
      <c r="G1623" s="301">
        <v>0</v>
      </c>
      <c r="H1623" s="301">
        <v>0</v>
      </c>
      <c r="I1623" s="301">
        <v>0</v>
      </c>
      <c r="J1623" s="301">
        <v>0</v>
      </c>
      <c r="K1623" s="302">
        <v>0</v>
      </c>
      <c r="L1623" s="301">
        <v>0</v>
      </c>
      <c r="M1623" s="301">
        <v>0</v>
      </c>
      <c r="N1623" s="301">
        <v>0</v>
      </c>
      <c r="O1623" s="301">
        <v>296466</v>
      </c>
      <c r="P1623" s="301">
        <v>0</v>
      </c>
      <c r="Q1623" s="301">
        <v>0</v>
      </c>
      <c r="R1623" s="301">
        <v>0</v>
      </c>
      <c r="S1623" s="301">
        <v>0</v>
      </c>
      <c r="T1623" s="301">
        <v>0</v>
      </c>
      <c r="U1623" s="301">
        <v>0</v>
      </c>
      <c r="V1623" s="301">
        <v>0</v>
      </c>
      <c r="W1623" s="301">
        <v>0</v>
      </c>
      <c r="X1623" s="301">
        <v>0</v>
      </c>
      <c r="Y1623" s="301">
        <v>0</v>
      </c>
      <c r="Z1623" s="301">
        <v>0</v>
      </c>
      <c r="AA1623" s="301">
        <v>0</v>
      </c>
      <c r="AB1623" s="303">
        <v>2021</v>
      </c>
    </row>
    <row r="1624" spans="1:28" ht="35.25" customHeight="1" x14ac:dyDescent="0.5">
      <c r="A1624">
        <v>1</v>
      </c>
      <c r="B1624" s="80">
        <f>SUBTOTAL(103,$A$808:A1624)</f>
        <v>801</v>
      </c>
      <c r="C1624" s="300" t="s">
        <v>3153</v>
      </c>
      <c r="D1624" s="296">
        <f t="shared" si="75"/>
        <v>1733184</v>
      </c>
      <c r="E1624" s="301">
        <v>0</v>
      </c>
      <c r="F1624" s="301">
        <v>0</v>
      </c>
      <c r="G1624" s="301">
        <v>0</v>
      </c>
      <c r="H1624" s="301">
        <v>0</v>
      </c>
      <c r="I1624" s="301">
        <v>0</v>
      </c>
      <c r="J1624" s="301">
        <v>0</v>
      </c>
      <c r="K1624" s="302">
        <v>0</v>
      </c>
      <c r="L1624" s="301">
        <v>0</v>
      </c>
      <c r="M1624" s="301">
        <v>0</v>
      </c>
      <c r="N1624" s="301">
        <v>0</v>
      </c>
      <c r="O1624" s="301">
        <v>1733184</v>
      </c>
      <c r="P1624" s="301">
        <v>0</v>
      </c>
      <c r="Q1624" s="301">
        <v>0</v>
      </c>
      <c r="R1624" s="301">
        <v>0</v>
      </c>
      <c r="S1624" s="301">
        <v>0</v>
      </c>
      <c r="T1624" s="301">
        <v>0</v>
      </c>
      <c r="U1624" s="301">
        <v>0</v>
      </c>
      <c r="V1624" s="301">
        <v>0</v>
      </c>
      <c r="W1624" s="301">
        <v>0</v>
      </c>
      <c r="X1624" s="301">
        <v>0</v>
      </c>
      <c r="Y1624" s="301">
        <v>0</v>
      </c>
      <c r="Z1624" s="301">
        <v>0</v>
      </c>
      <c r="AA1624" s="301">
        <v>0</v>
      </c>
      <c r="AB1624" s="303" t="s">
        <v>2981</v>
      </c>
    </row>
    <row r="1625" spans="1:28" ht="35.25" customHeight="1" x14ac:dyDescent="0.5">
      <c r="A1625">
        <v>1</v>
      </c>
      <c r="B1625" s="80">
        <f>SUBTOTAL(103,$A$808:A1625)</f>
        <v>802</v>
      </c>
      <c r="C1625" s="300" t="s">
        <v>3154</v>
      </c>
      <c r="D1625" s="296">
        <f t="shared" si="75"/>
        <v>20186</v>
      </c>
      <c r="E1625" s="301">
        <v>0</v>
      </c>
      <c r="F1625" s="301">
        <v>0</v>
      </c>
      <c r="G1625" s="301">
        <v>0</v>
      </c>
      <c r="H1625" s="301">
        <v>0</v>
      </c>
      <c r="I1625" s="301">
        <v>0</v>
      </c>
      <c r="J1625" s="301">
        <v>0</v>
      </c>
      <c r="K1625" s="302">
        <v>0</v>
      </c>
      <c r="L1625" s="301">
        <v>0</v>
      </c>
      <c r="M1625" s="301">
        <v>0</v>
      </c>
      <c r="N1625" s="301">
        <v>0</v>
      </c>
      <c r="O1625" s="301">
        <v>20186</v>
      </c>
      <c r="P1625" s="301">
        <v>0</v>
      </c>
      <c r="Q1625" s="301">
        <v>0</v>
      </c>
      <c r="R1625" s="301">
        <v>0</v>
      </c>
      <c r="S1625" s="301">
        <v>0</v>
      </c>
      <c r="T1625" s="301">
        <v>0</v>
      </c>
      <c r="U1625" s="301">
        <v>0</v>
      </c>
      <c r="V1625" s="301">
        <v>0</v>
      </c>
      <c r="W1625" s="301">
        <v>0</v>
      </c>
      <c r="X1625" s="301">
        <v>0</v>
      </c>
      <c r="Y1625" s="301">
        <v>0</v>
      </c>
      <c r="Z1625" s="301">
        <v>0</v>
      </c>
      <c r="AA1625" s="301">
        <v>0</v>
      </c>
      <c r="AB1625" s="303">
        <v>2021</v>
      </c>
    </row>
    <row r="1626" spans="1:28" ht="35.25" customHeight="1" x14ac:dyDescent="0.5">
      <c r="A1626">
        <v>1</v>
      </c>
      <c r="B1626" s="80">
        <f>SUBTOTAL(103,$A$808:A1626)</f>
        <v>803</v>
      </c>
      <c r="C1626" s="300" t="s">
        <v>3155</v>
      </c>
      <c r="D1626" s="296">
        <f t="shared" si="75"/>
        <v>413008</v>
      </c>
      <c r="E1626" s="301">
        <v>0</v>
      </c>
      <c r="F1626" s="301">
        <v>0</v>
      </c>
      <c r="G1626" s="301">
        <v>0</v>
      </c>
      <c r="H1626" s="301">
        <v>0</v>
      </c>
      <c r="I1626" s="301">
        <v>413008</v>
      </c>
      <c r="J1626" s="301">
        <v>0</v>
      </c>
      <c r="K1626" s="302">
        <v>0</v>
      </c>
      <c r="L1626" s="301">
        <v>0</v>
      </c>
      <c r="M1626" s="301">
        <v>0</v>
      </c>
      <c r="N1626" s="301">
        <v>0</v>
      </c>
      <c r="O1626" s="301">
        <v>0</v>
      </c>
      <c r="P1626" s="301">
        <v>0</v>
      </c>
      <c r="Q1626" s="301">
        <v>0</v>
      </c>
      <c r="R1626" s="301">
        <v>0</v>
      </c>
      <c r="S1626" s="301">
        <v>0</v>
      </c>
      <c r="T1626" s="301">
        <v>0</v>
      </c>
      <c r="U1626" s="301">
        <v>0</v>
      </c>
      <c r="V1626" s="301">
        <v>0</v>
      </c>
      <c r="W1626" s="301">
        <v>0</v>
      </c>
      <c r="X1626" s="301">
        <v>0</v>
      </c>
      <c r="Y1626" s="301">
        <v>0</v>
      </c>
      <c r="Z1626" s="301">
        <v>0</v>
      </c>
      <c r="AA1626" s="301">
        <v>0</v>
      </c>
      <c r="AB1626" s="303">
        <v>2021</v>
      </c>
    </row>
    <row r="1627" spans="1:28" ht="35.25" customHeight="1" x14ac:dyDescent="0.5">
      <c r="A1627">
        <v>1</v>
      </c>
      <c r="B1627" s="80">
        <f>SUBTOTAL(103,$A$808:A1627)</f>
        <v>804</v>
      </c>
      <c r="C1627" s="300" t="s">
        <v>3233</v>
      </c>
      <c r="D1627" s="296">
        <f t="shared" si="75"/>
        <v>796047</v>
      </c>
      <c r="E1627" s="301">
        <v>0</v>
      </c>
      <c r="F1627" s="301">
        <v>0</v>
      </c>
      <c r="G1627" s="301">
        <v>796047</v>
      </c>
      <c r="H1627" s="301">
        <v>0</v>
      </c>
      <c r="I1627" s="301">
        <v>0</v>
      </c>
      <c r="J1627" s="301">
        <v>0</v>
      </c>
      <c r="K1627" s="302">
        <v>0</v>
      </c>
      <c r="L1627" s="301">
        <v>0</v>
      </c>
      <c r="M1627" s="301">
        <v>0</v>
      </c>
      <c r="N1627" s="301">
        <v>0</v>
      </c>
      <c r="O1627" s="301">
        <v>0</v>
      </c>
      <c r="P1627" s="301">
        <v>0</v>
      </c>
      <c r="Q1627" s="301">
        <v>0</v>
      </c>
      <c r="R1627" s="301">
        <v>0</v>
      </c>
      <c r="S1627" s="301">
        <v>0</v>
      </c>
      <c r="T1627" s="301">
        <v>0</v>
      </c>
      <c r="U1627" s="301">
        <v>0</v>
      </c>
      <c r="V1627" s="301">
        <v>0</v>
      </c>
      <c r="W1627" s="301">
        <v>0</v>
      </c>
      <c r="X1627" s="301">
        <v>0</v>
      </c>
      <c r="Y1627" s="301">
        <v>0</v>
      </c>
      <c r="Z1627" s="301">
        <v>0</v>
      </c>
      <c r="AA1627" s="301">
        <v>0</v>
      </c>
      <c r="AB1627" s="303">
        <v>2021</v>
      </c>
    </row>
    <row r="1628" spans="1:28" ht="35.25" customHeight="1" x14ac:dyDescent="0.5">
      <c r="A1628">
        <v>1</v>
      </c>
      <c r="B1628" s="80">
        <f>SUBTOTAL(103,$A$808:A1628)</f>
        <v>805</v>
      </c>
      <c r="C1628" s="300" t="s">
        <v>2103</v>
      </c>
      <c r="D1628" s="296">
        <f t="shared" si="75"/>
        <v>40000</v>
      </c>
      <c r="E1628" s="301">
        <v>0</v>
      </c>
      <c r="F1628" s="301">
        <v>0</v>
      </c>
      <c r="G1628" s="301">
        <v>0</v>
      </c>
      <c r="H1628" s="301">
        <v>0</v>
      </c>
      <c r="I1628" s="301">
        <v>0</v>
      </c>
      <c r="J1628" s="301">
        <v>0</v>
      </c>
      <c r="K1628" s="302">
        <v>0</v>
      </c>
      <c r="L1628" s="301">
        <v>0</v>
      </c>
      <c r="M1628" s="301">
        <v>0</v>
      </c>
      <c r="N1628" s="301">
        <v>0</v>
      </c>
      <c r="O1628" s="301">
        <v>40000</v>
      </c>
      <c r="P1628" s="301">
        <v>0</v>
      </c>
      <c r="Q1628" s="301">
        <v>0</v>
      </c>
      <c r="R1628" s="301">
        <v>0</v>
      </c>
      <c r="S1628" s="301">
        <v>0</v>
      </c>
      <c r="T1628" s="301">
        <v>0</v>
      </c>
      <c r="U1628" s="301">
        <v>0</v>
      </c>
      <c r="V1628" s="301">
        <v>0</v>
      </c>
      <c r="W1628" s="301">
        <v>0</v>
      </c>
      <c r="X1628" s="301">
        <v>0</v>
      </c>
      <c r="Y1628" s="301">
        <v>0</v>
      </c>
      <c r="Z1628" s="301">
        <v>0</v>
      </c>
      <c r="AA1628" s="301">
        <v>0</v>
      </c>
      <c r="AB1628" s="303">
        <v>2021</v>
      </c>
    </row>
    <row r="1629" spans="1:28" ht="35.25" customHeight="1" x14ac:dyDescent="0.5">
      <c r="A1629">
        <v>1</v>
      </c>
      <c r="B1629" s="80">
        <f>SUBTOTAL(103,$A$808:A1629)</f>
        <v>806</v>
      </c>
      <c r="C1629" s="300" t="s">
        <v>2451</v>
      </c>
      <c r="D1629" s="296">
        <f t="shared" si="75"/>
        <v>378757.3</v>
      </c>
      <c r="E1629" s="301">
        <v>0</v>
      </c>
      <c r="F1629" s="301">
        <v>0</v>
      </c>
      <c r="G1629" s="301">
        <v>0</v>
      </c>
      <c r="H1629" s="301">
        <v>0</v>
      </c>
      <c r="I1629" s="301">
        <v>241923.3</v>
      </c>
      <c r="J1629" s="301">
        <v>0</v>
      </c>
      <c r="K1629" s="302">
        <v>0</v>
      </c>
      <c r="L1629" s="301">
        <v>0</v>
      </c>
      <c r="M1629" s="301">
        <v>0</v>
      </c>
      <c r="N1629" s="301">
        <v>0</v>
      </c>
      <c r="O1629" s="301">
        <v>136834</v>
      </c>
      <c r="P1629" s="301">
        <v>0</v>
      </c>
      <c r="Q1629" s="301">
        <v>0</v>
      </c>
      <c r="R1629" s="301">
        <v>0</v>
      </c>
      <c r="S1629" s="301">
        <v>0</v>
      </c>
      <c r="T1629" s="301">
        <v>0</v>
      </c>
      <c r="U1629" s="301">
        <v>0</v>
      </c>
      <c r="V1629" s="301">
        <v>0</v>
      </c>
      <c r="W1629" s="301">
        <v>0</v>
      </c>
      <c r="X1629" s="301">
        <v>0</v>
      </c>
      <c r="Y1629" s="301">
        <v>0</v>
      </c>
      <c r="Z1629" s="301">
        <v>0</v>
      </c>
      <c r="AA1629" s="301">
        <v>0</v>
      </c>
      <c r="AB1629" s="303">
        <v>2021</v>
      </c>
    </row>
    <row r="1630" spans="1:28" ht="35.25" customHeight="1" x14ac:dyDescent="0.5">
      <c r="B1630" s="299" t="s">
        <v>797</v>
      </c>
      <c r="C1630" s="300"/>
      <c r="D1630" s="296">
        <f t="shared" si="75"/>
        <v>6618733</v>
      </c>
      <c r="E1630" s="296">
        <f t="shared" ref="E1630:AA1630" si="76">SUM(E1631:E1636)</f>
        <v>0</v>
      </c>
      <c r="F1630" s="296">
        <f t="shared" si="76"/>
        <v>0</v>
      </c>
      <c r="G1630" s="296">
        <f t="shared" si="76"/>
        <v>0</v>
      </c>
      <c r="H1630" s="296">
        <f t="shared" si="76"/>
        <v>0</v>
      </c>
      <c r="I1630" s="296">
        <f t="shared" si="76"/>
        <v>667182</v>
      </c>
      <c r="J1630" s="296">
        <f t="shared" si="76"/>
        <v>0</v>
      </c>
      <c r="K1630" s="297">
        <f t="shared" si="76"/>
        <v>0</v>
      </c>
      <c r="L1630" s="296">
        <f t="shared" si="76"/>
        <v>0</v>
      </c>
      <c r="M1630" s="296">
        <f t="shared" si="76"/>
        <v>0</v>
      </c>
      <c r="N1630" s="296">
        <f t="shared" si="76"/>
        <v>0</v>
      </c>
      <c r="O1630" s="296">
        <f t="shared" si="76"/>
        <v>1751694</v>
      </c>
      <c r="P1630" s="296">
        <f t="shared" si="76"/>
        <v>4199857</v>
      </c>
      <c r="Q1630" s="296">
        <f t="shared" si="76"/>
        <v>0</v>
      </c>
      <c r="R1630" s="296">
        <f t="shared" si="76"/>
        <v>0</v>
      </c>
      <c r="S1630" s="296">
        <f t="shared" si="76"/>
        <v>0</v>
      </c>
      <c r="T1630" s="296">
        <f t="shared" si="76"/>
        <v>0</v>
      </c>
      <c r="U1630" s="296">
        <f t="shared" si="76"/>
        <v>0</v>
      </c>
      <c r="V1630" s="296">
        <f t="shared" si="76"/>
        <v>0</v>
      </c>
      <c r="W1630" s="296">
        <f t="shared" si="76"/>
        <v>0</v>
      </c>
      <c r="X1630" s="296">
        <f t="shared" si="76"/>
        <v>0</v>
      </c>
      <c r="Y1630" s="296">
        <f t="shared" si="76"/>
        <v>0</v>
      </c>
      <c r="Z1630" s="296">
        <f t="shared" si="76"/>
        <v>0</v>
      </c>
      <c r="AA1630" s="296">
        <f t="shared" si="76"/>
        <v>0</v>
      </c>
      <c r="AB1630" s="298" t="s">
        <v>835</v>
      </c>
    </row>
    <row r="1631" spans="1:28" ht="35.25" customHeight="1" x14ac:dyDescent="0.5">
      <c r="A1631">
        <v>1</v>
      </c>
      <c r="B1631" s="80">
        <f>SUBTOTAL(103,$A$808:A1631)</f>
        <v>807</v>
      </c>
      <c r="C1631" s="300" t="s">
        <v>2884</v>
      </c>
      <c r="D1631" s="296">
        <f t="shared" si="75"/>
        <v>915218</v>
      </c>
      <c r="E1631" s="301">
        <v>0</v>
      </c>
      <c r="F1631" s="301">
        <v>0</v>
      </c>
      <c r="G1631" s="301">
        <v>0</v>
      </c>
      <c r="H1631" s="301">
        <v>0</v>
      </c>
      <c r="I1631" s="301">
        <v>0</v>
      </c>
      <c r="J1631" s="301">
        <v>0</v>
      </c>
      <c r="K1631" s="302">
        <v>0</v>
      </c>
      <c r="L1631" s="301">
        <v>0</v>
      </c>
      <c r="M1631" s="301">
        <v>0</v>
      </c>
      <c r="N1631" s="301">
        <v>0</v>
      </c>
      <c r="O1631" s="301">
        <v>0</v>
      </c>
      <c r="P1631" s="301">
        <v>915218</v>
      </c>
      <c r="Q1631" s="301">
        <v>0</v>
      </c>
      <c r="R1631" s="301">
        <v>0</v>
      </c>
      <c r="S1631" s="301">
        <v>0</v>
      </c>
      <c r="T1631" s="301">
        <v>0</v>
      </c>
      <c r="U1631" s="301">
        <v>0</v>
      </c>
      <c r="V1631" s="301">
        <v>0</v>
      </c>
      <c r="W1631" s="301">
        <v>0</v>
      </c>
      <c r="X1631" s="301">
        <v>0</v>
      </c>
      <c r="Y1631" s="301">
        <v>0</v>
      </c>
      <c r="Z1631" s="301">
        <v>0</v>
      </c>
      <c r="AA1631" s="301">
        <v>0</v>
      </c>
      <c r="AB1631" s="303">
        <v>2021</v>
      </c>
    </row>
    <row r="1632" spans="1:28" ht="35.25" customHeight="1" x14ac:dyDescent="0.5">
      <c r="A1632">
        <v>1</v>
      </c>
      <c r="B1632" s="80">
        <f>SUBTOTAL(103,$A$808:A1632)</f>
        <v>808</v>
      </c>
      <c r="C1632" s="300" t="s">
        <v>3156</v>
      </c>
      <c r="D1632" s="296">
        <f t="shared" si="75"/>
        <v>2727371</v>
      </c>
      <c r="E1632" s="301">
        <v>0</v>
      </c>
      <c r="F1632" s="301">
        <v>0</v>
      </c>
      <c r="G1632" s="301">
        <v>0</v>
      </c>
      <c r="H1632" s="301">
        <v>0</v>
      </c>
      <c r="I1632" s="301">
        <v>667182</v>
      </c>
      <c r="J1632" s="301">
        <v>0</v>
      </c>
      <c r="K1632" s="302">
        <v>0</v>
      </c>
      <c r="L1632" s="301">
        <v>0</v>
      </c>
      <c r="M1632" s="301">
        <v>0</v>
      </c>
      <c r="N1632" s="301">
        <v>0</v>
      </c>
      <c r="O1632" s="301">
        <v>0</v>
      </c>
      <c r="P1632" s="301">
        <v>2060189</v>
      </c>
      <c r="Q1632" s="301">
        <v>0</v>
      </c>
      <c r="R1632" s="301">
        <v>0</v>
      </c>
      <c r="S1632" s="301">
        <v>0</v>
      </c>
      <c r="T1632" s="301">
        <v>0</v>
      </c>
      <c r="U1632" s="301">
        <v>0</v>
      </c>
      <c r="V1632" s="301">
        <v>0</v>
      </c>
      <c r="W1632" s="301">
        <v>0</v>
      </c>
      <c r="X1632" s="301">
        <v>0</v>
      </c>
      <c r="Y1632" s="301">
        <v>0</v>
      </c>
      <c r="Z1632" s="301">
        <v>0</v>
      </c>
      <c r="AA1632" s="301">
        <v>0</v>
      </c>
      <c r="AB1632" s="303" t="s">
        <v>2981</v>
      </c>
    </row>
    <row r="1633" spans="1:28" ht="35.25" customHeight="1" x14ac:dyDescent="0.5">
      <c r="A1633">
        <v>1</v>
      </c>
      <c r="B1633" s="80">
        <f>SUBTOTAL(103,$A$808:A1633)</f>
        <v>809</v>
      </c>
      <c r="C1633" s="300" t="s">
        <v>3157</v>
      </c>
      <c r="D1633" s="296">
        <f t="shared" si="75"/>
        <v>1435143</v>
      </c>
      <c r="E1633" s="301">
        <v>0</v>
      </c>
      <c r="F1633" s="301">
        <v>0</v>
      </c>
      <c r="G1633" s="301">
        <v>0</v>
      </c>
      <c r="H1633" s="301">
        <v>0</v>
      </c>
      <c r="I1633" s="301">
        <v>0</v>
      </c>
      <c r="J1633" s="301">
        <v>0</v>
      </c>
      <c r="K1633" s="302">
        <v>0</v>
      </c>
      <c r="L1633" s="301">
        <v>0</v>
      </c>
      <c r="M1633" s="301">
        <v>0</v>
      </c>
      <c r="N1633" s="301">
        <v>0</v>
      </c>
      <c r="O1633" s="301">
        <v>1435143</v>
      </c>
      <c r="P1633" s="301">
        <v>0</v>
      </c>
      <c r="Q1633" s="301">
        <v>0</v>
      </c>
      <c r="R1633" s="301">
        <v>0</v>
      </c>
      <c r="S1633" s="301">
        <v>0</v>
      </c>
      <c r="T1633" s="301">
        <v>0</v>
      </c>
      <c r="U1633" s="301">
        <v>0</v>
      </c>
      <c r="V1633" s="301">
        <v>0</v>
      </c>
      <c r="W1633" s="301">
        <v>0</v>
      </c>
      <c r="X1633" s="301">
        <v>0</v>
      </c>
      <c r="Y1633" s="301">
        <v>0</v>
      </c>
      <c r="Z1633" s="301">
        <v>0</v>
      </c>
      <c r="AA1633" s="301">
        <v>0</v>
      </c>
      <c r="AB1633" s="303">
        <v>2021</v>
      </c>
    </row>
    <row r="1634" spans="1:28" ht="35.25" customHeight="1" x14ac:dyDescent="0.5">
      <c r="A1634">
        <v>1</v>
      </c>
      <c r="B1634" s="80">
        <f>SUBTOTAL(103,$A$808:A1634)</f>
        <v>810</v>
      </c>
      <c r="C1634" s="300" t="s">
        <v>2452</v>
      </c>
      <c r="D1634" s="296">
        <f t="shared" si="75"/>
        <v>148551</v>
      </c>
      <c r="E1634" s="301">
        <v>0</v>
      </c>
      <c r="F1634" s="301">
        <v>0</v>
      </c>
      <c r="G1634" s="301">
        <v>0</v>
      </c>
      <c r="H1634" s="301">
        <v>0</v>
      </c>
      <c r="I1634" s="301">
        <v>0</v>
      </c>
      <c r="J1634" s="301">
        <v>0</v>
      </c>
      <c r="K1634" s="302">
        <v>0</v>
      </c>
      <c r="L1634" s="301">
        <v>0</v>
      </c>
      <c r="M1634" s="301">
        <v>0</v>
      </c>
      <c r="N1634" s="301">
        <v>0</v>
      </c>
      <c r="O1634" s="301">
        <v>148551</v>
      </c>
      <c r="P1634" s="301">
        <v>0</v>
      </c>
      <c r="Q1634" s="301">
        <v>0</v>
      </c>
      <c r="R1634" s="301">
        <v>0</v>
      </c>
      <c r="S1634" s="301">
        <v>0</v>
      </c>
      <c r="T1634" s="301">
        <v>0</v>
      </c>
      <c r="U1634" s="301">
        <v>0</v>
      </c>
      <c r="V1634" s="301">
        <v>0</v>
      </c>
      <c r="W1634" s="301">
        <v>0</v>
      </c>
      <c r="X1634" s="301">
        <v>0</v>
      </c>
      <c r="Y1634" s="301">
        <v>0</v>
      </c>
      <c r="Z1634" s="301">
        <v>0</v>
      </c>
      <c r="AA1634" s="301">
        <v>0</v>
      </c>
      <c r="AB1634" s="303">
        <v>2021</v>
      </c>
    </row>
    <row r="1635" spans="1:28" ht="35.25" customHeight="1" x14ac:dyDescent="0.5">
      <c r="A1635">
        <v>1</v>
      </c>
      <c r="B1635" s="80">
        <f>SUBTOTAL(103,$A$808:A1635)</f>
        <v>811</v>
      </c>
      <c r="C1635" s="300" t="s">
        <v>1396</v>
      </c>
      <c r="D1635" s="296">
        <f t="shared" si="75"/>
        <v>1224450</v>
      </c>
      <c r="E1635" s="301">
        <v>0</v>
      </c>
      <c r="F1635" s="301">
        <v>0</v>
      </c>
      <c r="G1635" s="301">
        <v>0</v>
      </c>
      <c r="H1635" s="301">
        <v>0</v>
      </c>
      <c r="I1635" s="301">
        <v>0</v>
      </c>
      <c r="J1635" s="301">
        <v>0</v>
      </c>
      <c r="K1635" s="302">
        <v>0</v>
      </c>
      <c r="L1635" s="301">
        <v>0</v>
      </c>
      <c r="M1635" s="301">
        <v>0</v>
      </c>
      <c r="N1635" s="301">
        <v>0</v>
      </c>
      <c r="O1635" s="301">
        <v>0</v>
      </c>
      <c r="P1635" s="301">
        <v>1224450</v>
      </c>
      <c r="Q1635" s="301">
        <v>0</v>
      </c>
      <c r="R1635" s="301">
        <v>0</v>
      </c>
      <c r="S1635" s="301">
        <v>0</v>
      </c>
      <c r="T1635" s="301">
        <v>0</v>
      </c>
      <c r="U1635" s="301">
        <v>0</v>
      </c>
      <c r="V1635" s="301">
        <v>0</v>
      </c>
      <c r="W1635" s="301">
        <v>0</v>
      </c>
      <c r="X1635" s="301">
        <v>0</v>
      </c>
      <c r="Y1635" s="301">
        <v>0</v>
      </c>
      <c r="Z1635" s="301">
        <v>0</v>
      </c>
      <c r="AA1635" s="301">
        <v>0</v>
      </c>
      <c r="AB1635" s="303">
        <v>2021</v>
      </c>
    </row>
    <row r="1636" spans="1:28" ht="35.25" customHeight="1" x14ac:dyDescent="0.5">
      <c r="A1636">
        <v>1</v>
      </c>
      <c r="B1636" s="80">
        <f>SUBTOTAL(103,$A$808:A1636)</f>
        <v>812</v>
      </c>
      <c r="C1636" s="300" t="s">
        <v>2105</v>
      </c>
      <c r="D1636" s="296">
        <f t="shared" si="75"/>
        <v>168000</v>
      </c>
      <c r="E1636" s="301">
        <v>0</v>
      </c>
      <c r="F1636" s="301">
        <v>0</v>
      </c>
      <c r="G1636" s="301">
        <v>0</v>
      </c>
      <c r="H1636" s="301">
        <v>0</v>
      </c>
      <c r="I1636" s="301">
        <v>0</v>
      </c>
      <c r="J1636" s="301">
        <v>0</v>
      </c>
      <c r="K1636" s="302">
        <v>0</v>
      </c>
      <c r="L1636" s="301">
        <v>0</v>
      </c>
      <c r="M1636" s="301">
        <v>0</v>
      </c>
      <c r="N1636" s="301">
        <v>0</v>
      </c>
      <c r="O1636" s="301">
        <v>168000</v>
      </c>
      <c r="P1636" s="301">
        <v>0</v>
      </c>
      <c r="Q1636" s="301">
        <v>0</v>
      </c>
      <c r="R1636" s="301">
        <v>0</v>
      </c>
      <c r="S1636" s="301">
        <v>0</v>
      </c>
      <c r="T1636" s="301">
        <v>0</v>
      </c>
      <c r="U1636" s="301">
        <v>0</v>
      </c>
      <c r="V1636" s="301">
        <v>0</v>
      </c>
      <c r="W1636" s="301">
        <v>0</v>
      </c>
      <c r="X1636" s="301">
        <v>0</v>
      </c>
      <c r="Y1636" s="301">
        <v>0</v>
      </c>
      <c r="Z1636" s="301">
        <v>0</v>
      </c>
      <c r="AA1636" s="301">
        <v>0</v>
      </c>
      <c r="AB1636" s="303">
        <v>2021</v>
      </c>
    </row>
    <row r="1637" spans="1:28" ht="33" customHeight="1" x14ac:dyDescent="0.5">
      <c r="B1637" s="299" t="s">
        <v>796</v>
      </c>
      <c r="C1637" s="300"/>
      <c r="D1637" s="296">
        <f t="shared" si="75"/>
        <v>3407390.29</v>
      </c>
      <c r="E1637" s="296">
        <f t="shared" ref="E1637:AA1637" si="77">SUM(E1638:E1643)</f>
        <v>223842.18</v>
      </c>
      <c r="F1637" s="296">
        <f t="shared" si="77"/>
        <v>1429063.81</v>
      </c>
      <c r="G1637" s="296">
        <f t="shared" si="77"/>
        <v>596935.78</v>
      </c>
      <c r="H1637" s="296">
        <f t="shared" si="77"/>
        <v>0</v>
      </c>
      <c r="I1637" s="296">
        <f t="shared" si="77"/>
        <v>0</v>
      </c>
      <c r="J1637" s="296">
        <f t="shared" si="77"/>
        <v>0</v>
      </c>
      <c r="K1637" s="297">
        <f t="shared" si="77"/>
        <v>0</v>
      </c>
      <c r="L1637" s="296">
        <f t="shared" si="77"/>
        <v>0</v>
      </c>
      <c r="M1637" s="296">
        <f t="shared" si="77"/>
        <v>184782</v>
      </c>
      <c r="N1637" s="296">
        <f t="shared" si="77"/>
        <v>0</v>
      </c>
      <c r="O1637" s="296">
        <f t="shared" si="77"/>
        <v>798977</v>
      </c>
      <c r="P1637" s="296">
        <f t="shared" si="77"/>
        <v>173789.52</v>
      </c>
      <c r="Q1637" s="296">
        <f t="shared" si="77"/>
        <v>0</v>
      </c>
      <c r="R1637" s="296">
        <f t="shared" si="77"/>
        <v>0</v>
      </c>
      <c r="S1637" s="296">
        <f t="shared" si="77"/>
        <v>0</v>
      </c>
      <c r="T1637" s="296">
        <f t="shared" si="77"/>
        <v>0</v>
      </c>
      <c r="U1637" s="296">
        <f t="shared" si="77"/>
        <v>0</v>
      </c>
      <c r="V1637" s="296">
        <f t="shared" si="77"/>
        <v>0</v>
      </c>
      <c r="W1637" s="296">
        <f t="shared" si="77"/>
        <v>0</v>
      </c>
      <c r="X1637" s="296">
        <f t="shared" si="77"/>
        <v>0</v>
      </c>
      <c r="Y1637" s="296">
        <f t="shared" si="77"/>
        <v>0</v>
      </c>
      <c r="Z1637" s="296">
        <f t="shared" si="77"/>
        <v>0</v>
      </c>
      <c r="AA1637" s="296">
        <f t="shared" si="77"/>
        <v>0</v>
      </c>
      <c r="AB1637" s="298" t="s">
        <v>835</v>
      </c>
    </row>
    <row r="1638" spans="1:28" ht="35.25" customHeight="1" x14ac:dyDescent="0.5">
      <c r="A1638">
        <v>1</v>
      </c>
      <c r="B1638" s="80">
        <f>SUBTOTAL(103,$A$808:A1638)</f>
        <v>813</v>
      </c>
      <c r="C1638" s="300" t="s">
        <v>2108</v>
      </c>
      <c r="D1638" s="296">
        <f t="shared" si="75"/>
        <v>184782</v>
      </c>
      <c r="E1638" s="301">
        <v>0</v>
      </c>
      <c r="F1638" s="301">
        <v>0</v>
      </c>
      <c r="G1638" s="301">
        <v>0</v>
      </c>
      <c r="H1638" s="301">
        <v>0</v>
      </c>
      <c r="I1638" s="301">
        <v>0</v>
      </c>
      <c r="J1638" s="301">
        <v>0</v>
      </c>
      <c r="K1638" s="302">
        <v>0</v>
      </c>
      <c r="L1638" s="301">
        <v>0</v>
      </c>
      <c r="M1638" s="301">
        <v>184782</v>
      </c>
      <c r="N1638" s="301">
        <v>0</v>
      </c>
      <c r="O1638" s="301">
        <v>0</v>
      </c>
      <c r="P1638" s="301">
        <v>0</v>
      </c>
      <c r="Q1638" s="301">
        <v>0</v>
      </c>
      <c r="R1638" s="301">
        <v>0</v>
      </c>
      <c r="S1638" s="301">
        <v>0</v>
      </c>
      <c r="T1638" s="301">
        <v>0</v>
      </c>
      <c r="U1638" s="301">
        <v>0</v>
      </c>
      <c r="V1638" s="301">
        <v>0</v>
      </c>
      <c r="W1638" s="301">
        <v>0</v>
      </c>
      <c r="X1638" s="301">
        <v>0</v>
      </c>
      <c r="Y1638" s="301">
        <v>0</v>
      </c>
      <c r="Z1638" s="301">
        <v>0</v>
      </c>
      <c r="AA1638" s="301">
        <v>0</v>
      </c>
      <c r="AB1638" s="303">
        <v>2021</v>
      </c>
    </row>
    <row r="1639" spans="1:28" ht="35.25" customHeight="1" x14ac:dyDescent="0.5">
      <c r="A1639">
        <v>1</v>
      </c>
      <c r="B1639" s="80">
        <f>SUBTOTAL(103,$A$808:A1639)</f>
        <v>814</v>
      </c>
      <c r="C1639" s="300" t="s">
        <v>2885</v>
      </c>
      <c r="D1639" s="296">
        <f t="shared" si="75"/>
        <v>798977</v>
      </c>
      <c r="E1639" s="301">
        <v>0</v>
      </c>
      <c r="F1639" s="301">
        <v>0</v>
      </c>
      <c r="G1639" s="301">
        <v>0</v>
      </c>
      <c r="H1639" s="301">
        <v>0</v>
      </c>
      <c r="I1639" s="301">
        <v>0</v>
      </c>
      <c r="J1639" s="301">
        <v>0</v>
      </c>
      <c r="K1639" s="302">
        <v>0</v>
      </c>
      <c r="L1639" s="301">
        <v>0</v>
      </c>
      <c r="M1639" s="301">
        <v>0</v>
      </c>
      <c r="N1639" s="301">
        <v>0</v>
      </c>
      <c r="O1639" s="301">
        <v>798977</v>
      </c>
      <c r="P1639" s="301">
        <v>0</v>
      </c>
      <c r="Q1639" s="301">
        <v>0</v>
      </c>
      <c r="R1639" s="301">
        <v>0</v>
      </c>
      <c r="S1639" s="301">
        <v>0</v>
      </c>
      <c r="T1639" s="301">
        <v>0</v>
      </c>
      <c r="U1639" s="301">
        <v>0</v>
      </c>
      <c r="V1639" s="301">
        <v>0</v>
      </c>
      <c r="W1639" s="301">
        <v>0</v>
      </c>
      <c r="X1639" s="301">
        <v>0</v>
      </c>
      <c r="Y1639" s="301">
        <v>0</v>
      </c>
      <c r="Z1639" s="301">
        <v>0</v>
      </c>
      <c r="AA1639" s="301">
        <v>0</v>
      </c>
      <c r="AB1639" s="303">
        <v>2021</v>
      </c>
    </row>
    <row r="1640" spans="1:28" ht="35.25" customHeight="1" x14ac:dyDescent="0.5">
      <c r="A1640">
        <v>1</v>
      </c>
      <c r="B1640" s="80">
        <f>SUBTOTAL(103,$A$808:A1640)</f>
        <v>815</v>
      </c>
      <c r="C1640" s="300" t="s">
        <v>2886</v>
      </c>
      <c r="D1640" s="296">
        <f t="shared" si="75"/>
        <v>1229120.56</v>
      </c>
      <c r="E1640" s="301">
        <v>223842.18</v>
      </c>
      <c r="F1640" s="301">
        <v>1005278.38</v>
      </c>
      <c r="G1640" s="301">
        <v>0</v>
      </c>
      <c r="H1640" s="301">
        <v>0</v>
      </c>
      <c r="I1640" s="301">
        <v>0</v>
      </c>
      <c r="J1640" s="301">
        <v>0</v>
      </c>
      <c r="K1640" s="302">
        <v>0</v>
      </c>
      <c r="L1640" s="301">
        <v>0</v>
      </c>
      <c r="M1640" s="301">
        <v>0</v>
      </c>
      <c r="N1640" s="301">
        <v>0</v>
      </c>
      <c r="O1640" s="301">
        <v>0</v>
      </c>
      <c r="P1640" s="301">
        <v>0</v>
      </c>
      <c r="Q1640" s="301">
        <v>0</v>
      </c>
      <c r="R1640" s="301">
        <v>0</v>
      </c>
      <c r="S1640" s="301">
        <v>0</v>
      </c>
      <c r="T1640" s="301">
        <v>0</v>
      </c>
      <c r="U1640" s="301">
        <v>0</v>
      </c>
      <c r="V1640" s="301">
        <v>0</v>
      </c>
      <c r="W1640" s="301">
        <v>0</v>
      </c>
      <c r="X1640" s="301">
        <v>0</v>
      </c>
      <c r="Y1640" s="301">
        <v>0</v>
      </c>
      <c r="Z1640" s="301">
        <v>0</v>
      </c>
      <c r="AA1640" s="301">
        <v>0</v>
      </c>
      <c r="AB1640" s="303">
        <v>2021</v>
      </c>
    </row>
    <row r="1641" spans="1:28" ht="35.25" customHeight="1" x14ac:dyDescent="0.5">
      <c r="A1641">
        <v>1</v>
      </c>
      <c r="B1641" s="80">
        <f>SUBTOTAL(103,$A$808:A1641)</f>
        <v>816</v>
      </c>
      <c r="C1641" s="300" t="s">
        <v>2458</v>
      </c>
      <c r="D1641" s="296">
        <f t="shared" si="75"/>
        <v>173789.52</v>
      </c>
      <c r="E1641" s="301">
        <v>0</v>
      </c>
      <c r="F1641" s="301">
        <v>0</v>
      </c>
      <c r="G1641" s="301">
        <v>0</v>
      </c>
      <c r="H1641" s="301">
        <v>0</v>
      </c>
      <c r="I1641" s="301">
        <v>0</v>
      </c>
      <c r="J1641" s="301">
        <v>0</v>
      </c>
      <c r="K1641" s="302">
        <v>0</v>
      </c>
      <c r="L1641" s="301">
        <v>0</v>
      </c>
      <c r="M1641" s="301">
        <v>0</v>
      </c>
      <c r="N1641" s="301">
        <v>0</v>
      </c>
      <c r="O1641" s="301">
        <v>0</v>
      </c>
      <c r="P1641" s="301">
        <v>173789.52</v>
      </c>
      <c r="Q1641" s="301">
        <v>0</v>
      </c>
      <c r="R1641" s="301">
        <v>0</v>
      </c>
      <c r="S1641" s="301">
        <v>0</v>
      </c>
      <c r="T1641" s="301">
        <v>0</v>
      </c>
      <c r="U1641" s="301">
        <v>0</v>
      </c>
      <c r="V1641" s="301">
        <v>0</v>
      </c>
      <c r="W1641" s="301">
        <v>0</v>
      </c>
      <c r="X1641" s="301">
        <v>0</v>
      </c>
      <c r="Y1641" s="301">
        <v>0</v>
      </c>
      <c r="Z1641" s="301">
        <v>0</v>
      </c>
      <c r="AA1641" s="301">
        <v>0</v>
      </c>
      <c r="AB1641" s="303">
        <v>2021</v>
      </c>
    </row>
    <row r="1642" spans="1:28" ht="35.25" customHeight="1" x14ac:dyDescent="0.5">
      <c r="A1642">
        <v>1</v>
      </c>
      <c r="B1642" s="80">
        <f>SUBTOTAL(103,$A$808:A1642)</f>
        <v>817</v>
      </c>
      <c r="C1642" s="300" t="s">
        <v>2110</v>
      </c>
      <c r="D1642" s="296">
        <f t="shared" si="75"/>
        <v>596935.78</v>
      </c>
      <c r="E1642" s="301">
        <v>0</v>
      </c>
      <c r="F1642" s="301">
        <v>0</v>
      </c>
      <c r="G1642" s="301">
        <v>596935.78</v>
      </c>
      <c r="H1642" s="301">
        <v>0</v>
      </c>
      <c r="I1642" s="301">
        <v>0</v>
      </c>
      <c r="J1642" s="301">
        <v>0</v>
      </c>
      <c r="K1642" s="302">
        <v>0</v>
      </c>
      <c r="L1642" s="301">
        <v>0</v>
      </c>
      <c r="M1642" s="301">
        <v>0</v>
      </c>
      <c r="N1642" s="301">
        <v>0</v>
      </c>
      <c r="O1642" s="301">
        <v>0</v>
      </c>
      <c r="P1642" s="301">
        <v>0</v>
      </c>
      <c r="Q1642" s="301">
        <v>0</v>
      </c>
      <c r="R1642" s="301">
        <v>0</v>
      </c>
      <c r="S1642" s="301">
        <v>0</v>
      </c>
      <c r="T1642" s="301">
        <v>0</v>
      </c>
      <c r="U1642" s="301">
        <v>0</v>
      </c>
      <c r="V1642" s="301">
        <v>0</v>
      </c>
      <c r="W1642" s="301">
        <v>0</v>
      </c>
      <c r="X1642" s="301">
        <v>0</v>
      </c>
      <c r="Y1642" s="301">
        <v>0</v>
      </c>
      <c r="Z1642" s="301">
        <v>0</v>
      </c>
      <c r="AA1642" s="301">
        <v>0</v>
      </c>
      <c r="AB1642" s="303" t="s">
        <v>2981</v>
      </c>
    </row>
    <row r="1643" spans="1:28" ht="35.25" customHeight="1" x14ac:dyDescent="0.5">
      <c r="A1643">
        <v>1</v>
      </c>
      <c r="B1643" s="80">
        <f>SUBTOTAL(103,$A$808:A1643)</f>
        <v>818</v>
      </c>
      <c r="C1643" s="300" t="s">
        <v>2460</v>
      </c>
      <c r="D1643" s="296">
        <f t="shared" si="75"/>
        <v>423785.43</v>
      </c>
      <c r="E1643" s="301">
        <v>0</v>
      </c>
      <c r="F1643" s="301">
        <v>423785.43</v>
      </c>
      <c r="G1643" s="301">
        <v>0</v>
      </c>
      <c r="H1643" s="301">
        <v>0</v>
      </c>
      <c r="I1643" s="301">
        <v>0</v>
      </c>
      <c r="J1643" s="301">
        <v>0</v>
      </c>
      <c r="K1643" s="302">
        <v>0</v>
      </c>
      <c r="L1643" s="301">
        <v>0</v>
      </c>
      <c r="M1643" s="301">
        <v>0</v>
      </c>
      <c r="N1643" s="301">
        <v>0</v>
      </c>
      <c r="O1643" s="301">
        <v>0</v>
      </c>
      <c r="P1643" s="301">
        <v>0</v>
      </c>
      <c r="Q1643" s="301">
        <v>0</v>
      </c>
      <c r="R1643" s="301">
        <v>0</v>
      </c>
      <c r="S1643" s="301">
        <v>0</v>
      </c>
      <c r="T1643" s="301">
        <v>0</v>
      </c>
      <c r="U1643" s="301">
        <v>0</v>
      </c>
      <c r="V1643" s="301">
        <v>0</v>
      </c>
      <c r="W1643" s="301">
        <v>0</v>
      </c>
      <c r="X1643" s="301">
        <v>0</v>
      </c>
      <c r="Y1643" s="301">
        <v>0</v>
      </c>
      <c r="Z1643" s="301">
        <v>0</v>
      </c>
      <c r="AA1643" s="301">
        <v>0</v>
      </c>
      <c r="AB1643" s="303">
        <v>2021</v>
      </c>
    </row>
    <row r="1644" spans="1:28" ht="35.25" customHeight="1" x14ac:dyDescent="0.5">
      <c r="B1644" s="300" t="s">
        <v>825</v>
      </c>
      <c r="C1644" s="300"/>
      <c r="D1644" s="296">
        <f t="shared" si="75"/>
        <v>1376389</v>
      </c>
      <c r="E1644" s="296">
        <f t="shared" ref="E1644:AA1644" si="78">SUM(E1645:E1646)</f>
        <v>0</v>
      </c>
      <c r="F1644" s="296">
        <f t="shared" si="78"/>
        <v>0</v>
      </c>
      <c r="G1644" s="296">
        <f t="shared" si="78"/>
        <v>0</v>
      </c>
      <c r="H1644" s="296">
        <f t="shared" si="78"/>
        <v>0</v>
      </c>
      <c r="I1644" s="296">
        <f t="shared" si="78"/>
        <v>0</v>
      </c>
      <c r="J1644" s="296">
        <f t="shared" si="78"/>
        <v>0</v>
      </c>
      <c r="K1644" s="297">
        <f t="shared" si="78"/>
        <v>0</v>
      </c>
      <c r="L1644" s="296">
        <f t="shared" si="78"/>
        <v>0</v>
      </c>
      <c r="M1644" s="296">
        <f t="shared" si="78"/>
        <v>528889</v>
      </c>
      <c r="N1644" s="296">
        <f t="shared" si="78"/>
        <v>0</v>
      </c>
      <c r="O1644" s="296">
        <f t="shared" si="78"/>
        <v>847500</v>
      </c>
      <c r="P1644" s="296">
        <f t="shared" si="78"/>
        <v>0</v>
      </c>
      <c r="Q1644" s="296">
        <f t="shared" si="78"/>
        <v>0</v>
      </c>
      <c r="R1644" s="296">
        <f t="shared" si="78"/>
        <v>0</v>
      </c>
      <c r="S1644" s="296">
        <f t="shared" si="78"/>
        <v>0</v>
      </c>
      <c r="T1644" s="296">
        <f t="shared" si="78"/>
        <v>0</v>
      </c>
      <c r="U1644" s="296">
        <f t="shared" si="78"/>
        <v>0</v>
      </c>
      <c r="V1644" s="296">
        <f t="shared" si="78"/>
        <v>0</v>
      </c>
      <c r="W1644" s="296">
        <f t="shared" si="78"/>
        <v>0</v>
      </c>
      <c r="X1644" s="296">
        <f t="shared" si="78"/>
        <v>0</v>
      </c>
      <c r="Y1644" s="296">
        <f t="shared" si="78"/>
        <v>0</v>
      </c>
      <c r="Z1644" s="296">
        <f t="shared" si="78"/>
        <v>0</v>
      </c>
      <c r="AA1644" s="296">
        <f t="shared" si="78"/>
        <v>0</v>
      </c>
      <c r="AB1644" s="298" t="s">
        <v>835</v>
      </c>
    </row>
    <row r="1645" spans="1:28" ht="35.25" customHeight="1" x14ac:dyDescent="0.5">
      <c r="A1645">
        <v>1</v>
      </c>
      <c r="B1645" s="80">
        <f>SUBTOTAL(103,$A$808:A1645)</f>
        <v>819</v>
      </c>
      <c r="C1645" s="300" t="s">
        <v>2887</v>
      </c>
      <c r="D1645" s="296">
        <f t="shared" si="75"/>
        <v>847500</v>
      </c>
      <c r="E1645" s="301">
        <v>0</v>
      </c>
      <c r="F1645" s="301">
        <v>0</v>
      </c>
      <c r="G1645" s="301">
        <v>0</v>
      </c>
      <c r="H1645" s="301">
        <v>0</v>
      </c>
      <c r="I1645" s="301">
        <v>0</v>
      </c>
      <c r="J1645" s="301">
        <v>0</v>
      </c>
      <c r="K1645" s="302">
        <v>0</v>
      </c>
      <c r="L1645" s="301">
        <v>0</v>
      </c>
      <c r="M1645" s="301">
        <v>0</v>
      </c>
      <c r="N1645" s="301">
        <v>0</v>
      </c>
      <c r="O1645" s="301">
        <v>847500</v>
      </c>
      <c r="P1645" s="301">
        <v>0</v>
      </c>
      <c r="Q1645" s="301">
        <v>0</v>
      </c>
      <c r="R1645" s="301">
        <v>0</v>
      </c>
      <c r="S1645" s="301">
        <v>0</v>
      </c>
      <c r="T1645" s="301">
        <v>0</v>
      </c>
      <c r="U1645" s="301">
        <v>0</v>
      </c>
      <c r="V1645" s="301">
        <v>0</v>
      </c>
      <c r="W1645" s="301">
        <v>0</v>
      </c>
      <c r="X1645" s="301">
        <v>0</v>
      </c>
      <c r="Y1645" s="301">
        <v>0</v>
      </c>
      <c r="Z1645" s="301">
        <v>0</v>
      </c>
      <c r="AA1645" s="301">
        <v>0</v>
      </c>
      <c r="AB1645" s="303">
        <v>2021</v>
      </c>
    </row>
    <row r="1646" spans="1:28" ht="35.25" customHeight="1" x14ac:dyDescent="0.5">
      <c r="A1646">
        <v>1</v>
      </c>
      <c r="B1646" s="80">
        <f>SUBTOTAL(103,$A$808:A1646)</f>
        <v>820</v>
      </c>
      <c r="C1646" s="300" t="s">
        <v>2980</v>
      </c>
      <c r="D1646" s="296">
        <f t="shared" si="75"/>
        <v>528889</v>
      </c>
      <c r="E1646" s="301">
        <v>0</v>
      </c>
      <c r="F1646" s="301">
        <v>0</v>
      </c>
      <c r="G1646" s="301">
        <v>0</v>
      </c>
      <c r="H1646" s="301">
        <v>0</v>
      </c>
      <c r="I1646" s="301">
        <v>0</v>
      </c>
      <c r="J1646" s="301">
        <v>0</v>
      </c>
      <c r="K1646" s="302">
        <v>0</v>
      </c>
      <c r="L1646" s="301">
        <v>0</v>
      </c>
      <c r="M1646" s="301">
        <v>528889</v>
      </c>
      <c r="N1646" s="301">
        <v>0</v>
      </c>
      <c r="O1646" s="301">
        <v>0</v>
      </c>
      <c r="P1646" s="301">
        <v>0</v>
      </c>
      <c r="Q1646" s="301">
        <v>0</v>
      </c>
      <c r="R1646" s="301">
        <v>0</v>
      </c>
      <c r="S1646" s="301">
        <v>0</v>
      </c>
      <c r="T1646" s="301">
        <v>0</v>
      </c>
      <c r="U1646" s="301">
        <v>0</v>
      </c>
      <c r="V1646" s="301">
        <v>0</v>
      </c>
      <c r="W1646" s="301">
        <v>0</v>
      </c>
      <c r="X1646" s="301">
        <v>0</v>
      </c>
      <c r="Y1646" s="301">
        <v>0</v>
      </c>
      <c r="Z1646" s="301">
        <v>0</v>
      </c>
      <c r="AA1646" s="301">
        <v>0</v>
      </c>
      <c r="AB1646" s="303" t="s">
        <v>2981</v>
      </c>
    </row>
    <row r="1647" spans="1:28" ht="35.25" customHeight="1" x14ac:dyDescent="0.5">
      <c r="B1647" s="300" t="s">
        <v>805</v>
      </c>
      <c r="C1647" s="300"/>
      <c r="D1647" s="296">
        <f t="shared" si="75"/>
        <v>4455067.66</v>
      </c>
      <c r="E1647" s="296">
        <f t="shared" ref="E1647:AA1647" si="79">SUM(E1648:E1651)</f>
        <v>0</v>
      </c>
      <c r="F1647" s="296">
        <f t="shared" si="79"/>
        <v>0</v>
      </c>
      <c r="G1647" s="296">
        <f t="shared" si="79"/>
        <v>120783</v>
      </c>
      <c r="H1647" s="296">
        <f t="shared" si="79"/>
        <v>0</v>
      </c>
      <c r="I1647" s="296">
        <f t="shared" si="79"/>
        <v>0</v>
      </c>
      <c r="J1647" s="296">
        <f t="shared" si="79"/>
        <v>0</v>
      </c>
      <c r="K1647" s="302">
        <f t="shared" si="79"/>
        <v>0</v>
      </c>
      <c r="L1647" s="296">
        <f t="shared" si="79"/>
        <v>0</v>
      </c>
      <c r="M1647" s="296">
        <f t="shared" si="79"/>
        <v>0</v>
      </c>
      <c r="N1647" s="296">
        <f t="shared" si="79"/>
        <v>0</v>
      </c>
      <c r="O1647" s="296">
        <f t="shared" si="79"/>
        <v>4334284.66</v>
      </c>
      <c r="P1647" s="296">
        <f t="shared" si="79"/>
        <v>0</v>
      </c>
      <c r="Q1647" s="296">
        <f t="shared" si="79"/>
        <v>0</v>
      </c>
      <c r="R1647" s="296">
        <f t="shared" si="79"/>
        <v>0</v>
      </c>
      <c r="S1647" s="296">
        <f t="shared" si="79"/>
        <v>0</v>
      </c>
      <c r="T1647" s="296">
        <f t="shared" si="79"/>
        <v>0</v>
      </c>
      <c r="U1647" s="296">
        <f t="shared" si="79"/>
        <v>0</v>
      </c>
      <c r="V1647" s="296">
        <f t="shared" si="79"/>
        <v>0</v>
      </c>
      <c r="W1647" s="296">
        <f t="shared" si="79"/>
        <v>0</v>
      </c>
      <c r="X1647" s="296">
        <f t="shared" si="79"/>
        <v>0</v>
      </c>
      <c r="Y1647" s="296">
        <f t="shared" si="79"/>
        <v>0</v>
      </c>
      <c r="Z1647" s="296">
        <f t="shared" si="79"/>
        <v>0</v>
      </c>
      <c r="AA1647" s="296">
        <f t="shared" si="79"/>
        <v>0</v>
      </c>
      <c r="AB1647" s="298" t="s">
        <v>835</v>
      </c>
    </row>
    <row r="1648" spans="1:28" ht="35.25" customHeight="1" x14ac:dyDescent="0.5">
      <c r="A1648">
        <v>1</v>
      </c>
      <c r="B1648" s="80">
        <f>SUBTOTAL(103,$A$808:A1648)</f>
        <v>821</v>
      </c>
      <c r="C1648" s="300" t="s">
        <v>2888</v>
      </c>
      <c r="D1648" s="296">
        <f t="shared" si="75"/>
        <v>1679338.83</v>
      </c>
      <c r="E1648" s="301">
        <v>0</v>
      </c>
      <c r="F1648" s="301">
        <v>0</v>
      </c>
      <c r="G1648" s="301">
        <v>0</v>
      </c>
      <c r="H1648" s="301">
        <v>0</v>
      </c>
      <c r="I1648" s="301">
        <v>0</v>
      </c>
      <c r="J1648" s="301">
        <v>0</v>
      </c>
      <c r="K1648" s="302">
        <v>0</v>
      </c>
      <c r="L1648" s="301">
        <v>0</v>
      </c>
      <c r="M1648" s="301">
        <v>0</v>
      </c>
      <c r="N1648" s="301">
        <v>0</v>
      </c>
      <c r="O1648" s="301">
        <v>1679338.83</v>
      </c>
      <c r="P1648" s="301">
        <v>0</v>
      </c>
      <c r="Q1648" s="301">
        <v>0</v>
      </c>
      <c r="R1648" s="301">
        <v>0</v>
      </c>
      <c r="S1648" s="301">
        <v>0</v>
      </c>
      <c r="T1648" s="301">
        <v>0</v>
      </c>
      <c r="U1648" s="301">
        <v>0</v>
      </c>
      <c r="V1648" s="301">
        <v>0</v>
      </c>
      <c r="W1648" s="301">
        <v>0</v>
      </c>
      <c r="X1648" s="301">
        <v>0</v>
      </c>
      <c r="Y1648" s="301">
        <v>0</v>
      </c>
      <c r="Z1648" s="301">
        <v>0</v>
      </c>
      <c r="AA1648" s="301">
        <v>0</v>
      </c>
      <c r="AB1648" s="303">
        <v>2021</v>
      </c>
    </row>
    <row r="1649" spans="1:28" ht="35.25" customHeight="1" x14ac:dyDescent="0.5">
      <c r="A1649">
        <v>1</v>
      </c>
      <c r="B1649" s="80">
        <f>SUBTOTAL(103,$A$808:A1649)</f>
        <v>822</v>
      </c>
      <c r="C1649" s="300" t="s">
        <v>3158</v>
      </c>
      <c r="D1649" s="296">
        <f t="shared" si="75"/>
        <v>975607</v>
      </c>
      <c r="E1649" s="301">
        <v>0</v>
      </c>
      <c r="F1649" s="301">
        <v>0</v>
      </c>
      <c r="G1649" s="301">
        <v>0</v>
      </c>
      <c r="H1649" s="301">
        <v>0</v>
      </c>
      <c r="I1649" s="301">
        <v>0</v>
      </c>
      <c r="J1649" s="301">
        <v>0</v>
      </c>
      <c r="K1649" s="302">
        <v>0</v>
      </c>
      <c r="L1649" s="301">
        <v>0</v>
      </c>
      <c r="M1649" s="301">
        <v>0</v>
      </c>
      <c r="N1649" s="301">
        <v>0</v>
      </c>
      <c r="O1649" s="301">
        <v>975607</v>
      </c>
      <c r="P1649" s="301">
        <v>0</v>
      </c>
      <c r="Q1649" s="301">
        <v>0</v>
      </c>
      <c r="R1649" s="301">
        <v>0</v>
      </c>
      <c r="S1649" s="301">
        <v>0</v>
      </c>
      <c r="T1649" s="301">
        <v>0</v>
      </c>
      <c r="U1649" s="301">
        <v>0</v>
      </c>
      <c r="V1649" s="301">
        <v>0</v>
      </c>
      <c r="W1649" s="301">
        <v>0</v>
      </c>
      <c r="X1649" s="301">
        <v>0</v>
      </c>
      <c r="Y1649" s="301">
        <v>0</v>
      </c>
      <c r="Z1649" s="301">
        <v>0</v>
      </c>
      <c r="AA1649" s="301">
        <v>0</v>
      </c>
      <c r="AB1649" s="303">
        <v>2021</v>
      </c>
    </row>
    <row r="1650" spans="1:28" ht="35.25" customHeight="1" x14ac:dyDescent="0.5">
      <c r="A1650">
        <v>1</v>
      </c>
      <c r="B1650" s="80">
        <f>SUBTOTAL(103,$A$808:A1650)</f>
        <v>823</v>
      </c>
      <c r="C1650" s="300" t="s">
        <v>2464</v>
      </c>
      <c r="D1650" s="296">
        <f t="shared" si="75"/>
        <v>120783</v>
      </c>
      <c r="E1650" s="301">
        <v>0</v>
      </c>
      <c r="F1650" s="301">
        <v>0</v>
      </c>
      <c r="G1650" s="301">
        <v>120783</v>
      </c>
      <c r="H1650" s="301">
        <v>0</v>
      </c>
      <c r="I1650" s="301">
        <v>0</v>
      </c>
      <c r="J1650" s="301">
        <v>0</v>
      </c>
      <c r="K1650" s="302">
        <v>0</v>
      </c>
      <c r="L1650" s="301">
        <v>0</v>
      </c>
      <c r="M1650" s="301">
        <v>0</v>
      </c>
      <c r="N1650" s="301">
        <v>0</v>
      </c>
      <c r="O1650" s="301">
        <v>0</v>
      </c>
      <c r="P1650" s="301">
        <v>0</v>
      </c>
      <c r="Q1650" s="301">
        <v>0</v>
      </c>
      <c r="R1650" s="301">
        <v>0</v>
      </c>
      <c r="S1650" s="301">
        <v>0</v>
      </c>
      <c r="T1650" s="301">
        <v>0</v>
      </c>
      <c r="U1650" s="301">
        <v>0</v>
      </c>
      <c r="V1650" s="301">
        <v>0</v>
      </c>
      <c r="W1650" s="301">
        <v>0</v>
      </c>
      <c r="X1650" s="301">
        <v>0</v>
      </c>
      <c r="Y1650" s="301">
        <v>0</v>
      </c>
      <c r="Z1650" s="301">
        <v>0</v>
      </c>
      <c r="AA1650" s="301">
        <v>0</v>
      </c>
      <c r="AB1650" s="303">
        <v>2021</v>
      </c>
    </row>
    <row r="1651" spans="1:28" ht="35.25" customHeight="1" x14ac:dyDescent="0.5">
      <c r="A1651">
        <v>1</v>
      </c>
      <c r="B1651" s="80">
        <f>SUBTOTAL(103,$A$808:A1651)</f>
        <v>824</v>
      </c>
      <c r="C1651" s="300" t="s">
        <v>2889</v>
      </c>
      <c r="D1651" s="296">
        <f t="shared" si="75"/>
        <v>1679338.83</v>
      </c>
      <c r="E1651" s="301">
        <v>0</v>
      </c>
      <c r="F1651" s="301">
        <v>0</v>
      </c>
      <c r="G1651" s="301">
        <v>0</v>
      </c>
      <c r="H1651" s="301">
        <v>0</v>
      </c>
      <c r="I1651" s="301">
        <v>0</v>
      </c>
      <c r="J1651" s="301">
        <v>0</v>
      </c>
      <c r="K1651" s="302">
        <v>0</v>
      </c>
      <c r="L1651" s="301">
        <v>0</v>
      </c>
      <c r="M1651" s="301">
        <v>0</v>
      </c>
      <c r="N1651" s="301">
        <v>0</v>
      </c>
      <c r="O1651" s="301">
        <v>1679338.83</v>
      </c>
      <c r="P1651" s="301">
        <v>0</v>
      </c>
      <c r="Q1651" s="301">
        <v>0</v>
      </c>
      <c r="R1651" s="301">
        <v>0</v>
      </c>
      <c r="S1651" s="301">
        <v>0</v>
      </c>
      <c r="T1651" s="301">
        <v>0</v>
      </c>
      <c r="U1651" s="301">
        <v>0</v>
      </c>
      <c r="V1651" s="301">
        <v>0</v>
      </c>
      <c r="W1651" s="301">
        <v>0</v>
      </c>
      <c r="X1651" s="301">
        <v>0</v>
      </c>
      <c r="Y1651" s="301">
        <v>0</v>
      </c>
      <c r="Z1651" s="301">
        <v>0</v>
      </c>
      <c r="AA1651" s="301">
        <v>0</v>
      </c>
      <c r="AB1651" s="303">
        <v>2021</v>
      </c>
    </row>
    <row r="1652" spans="1:28" ht="35.25" customHeight="1" x14ac:dyDescent="0.5">
      <c r="B1652" s="299" t="s">
        <v>804</v>
      </c>
      <c r="C1652" s="300"/>
      <c r="D1652" s="296">
        <f t="shared" si="75"/>
        <v>2052152.7000000002</v>
      </c>
      <c r="E1652" s="296">
        <f t="shared" ref="E1652:AA1652" si="80">SUM(E1653:E1655)</f>
        <v>0</v>
      </c>
      <c r="F1652" s="296">
        <f t="shared" si="80"/>
        <v>0</v>
      </c>
      <c r="G1652" s="296">
        <f t="shared" si="80"/>
        <v>0</v>
      </c>
      <c r="H1652" s="296">
        <f t="shared" si="80"/>
        <v>0</v>
      </c>
      <c r="I1652" s="296">
        <f t="shared" si="80"/>
        <v>1416599.7000000002</v>
      </c>
      <c r="J1652" s="296">
        <f t="shared" si="80"/>
        <v>0</v>
      </c>
      <c r="K1652" s="297">
        <f t="shared" si="80"/>
        <v>0</v>
      </c>
      <c r="L1652" s="296">
        <f t="shared" si="80"/>
        <v>0</v>
      </c>
      <c r="M1652" s="296">
        <f t="shared" si="80"/>
        <v>0</v>
      </c>
      <c r="N1652" s="296">
        <f t="shared" si="80"/>
        <v>0</v>
      </c>
      <c r="O1652" s="296">
        <f t="shared" si="80"/>
        <v>635553</v>
      </c>
      <c r="P1652" s="296">
        <f t="shared" si="80"/>
        <v>0</v>
      </c>
      <c r="Q1652" s="296">
        <f t="shared" si="80"/>
        <v>0</v>
      </c>
      <c r="R1652" s="296">
        <f t="shared" si="80"/>
        <v>0</v>
      </c>
      <c r="S1652" s="296">
        <f t="shared" si="80"/>
        <v>0</v>
      </c>
      <c r="T1652" s="296">
        <f t="shared" si="80"/>
        <v>0</v>
      </c>
      <c r="U1652" s="296">
        <f t="shared" si="80"/>
        <v>0</v>
      </c>
      <c r="V1652" s="296">
        <f t="shared" si="80"/>
        <v>0</v>
      </c>
      <c r="W1652" s="296">
        <f t="shared" si="80"/>
        <v>0</v>
      </c>
      <c r="X1652" s="296">
        <f t="shared" si="80"/>
        <v>0</v>
      </c>
      <c r="Y1652" s="296">
        <f t="shared" si="80"/>
        <v>0</v>
      </c>
      <c r="Z1652" s="296">
        <f t="shared" si="80"/>
        <v>0</v>
      </c>
      <c r="AA1652" s="296">
        <f t="shared" si="80"/>
        <v>0</v>
      </c>
      <c r="AB1652" s="298" t="s">
        <v>835</v>
      </c>
    </row>
    <row r="1653" spans="1:28" ht="35.25" customHeight="1" x14ac:dyDescent="0.5">
      <c r="A1653">
        <v>1</v>
      </c>
      <c r="B1653" s="80">
        <f>SUBTOTAL(103,$A$808:A1653)</f>
        <v>825</v>
      </c>
      <c r="C1653" s="300" t="s">
        <v>2890</v>
      </c>
      <c r="D1653" s="296">
        <f t="shared" si="75"/>
        <v>1874770.1</v>
      </c>
      <c r="E1653" s="301">
        <v>0</v>
      </c>
      <c r="F1653" s="301">
        <v>0</v>
      </c>
      <c r="G1653" s="301">
        <v>0</v>
      </c>
      <c r="H1653" s="301">
        <v>0</v>
      </c>
      <c r="I1653" s="301">
        <v>1416599.7000000002</v>
      </c>
      <c r="J1653" s="301">
        <v>0</v>
      </c>
      <c r="K1653" s="302">
        <v>0</v>
      </c>
      <c r="L1653" s="301">
        <v>0</v>
      </c>
      <c r="M1653" s="301">
        <v>0</v>
      </c>
      <c r="N1653" s="301">
        <v>0</v>
      </c>
      <c r="O1653" s="301">
        <v>458170.4</v>
      </c>
      <c r="P1653" s="301">
        <v>0</v>
      </c>
      <c r="Q1653" s="301">
        <v>0</v>
      </c>
      <c r="R1653" s="301">
        <v>0</v>
      </c>
      <c r="S1653" s="301">
        <v>0</v>
      </c>
      <c r="T1653" s="301">
        <v>0</v>
      </c>
      <c r="U1653" s="301">
        <v>0</v>
      </c>
      <c r="V1653" s="301">
        <v>0</v>
      </c>
      <c r="W1653" s="301">
        <v>0</v>
      </c>
      <c r="X1653" s="301">
        <v>0</v>
      </c>
      <c r="Y1653" s="301">
        <v>0</v>
      </c>
      <c r="Z1653" s="301">
        <v>0</v>
      </c>
      <c r="AA1653" s="301">
        <v>0</v>
      </c>
      <c r="AB1653" s="303">
        <v>2021</v>
      </c>
    </row>
    <row r="1654" spans="1:28" ht="35.25" customHeight="1" x14ac:dyDescent="0.5">
      <c r="A1654">
        <v>1</v>
      </c>
      <c r="B1654" s="80">
        <f>SUBTOTAL(103,$A$808:A1654)</f>
        <v>826</v>
      </c>
      <c r="C1654" s="300" t="s">
        <v>2463</v>
      </c>
      <c r="D1654" s="296">
        <f t="shared" si="75"/>
        <v>20983</v>
      </c>
      <c r="E1654" s="301">
        <v>0</v>
      </c>
      <c r="F1654" s="301">
        <v>0</v>
      </c>
      <c r="G1654" s="301">
        <v>0</v>
      </c>
      <c r="H1654" s="301">
        <v>0</v>
      </c>
      <c r="I1654" s="301">
        <v>0</v>
      </c>
      <c r="J1654" s="301">
        <v>0</v>
      </c>
      <c r="K1654" s="302">
        <v>0</v>
      </c>
      <c r="L1654" s="301">
        <v>0</v>
      </c>
      <c r="M1654" s="301">
        <v>0</v>
      </c>
      <c r="N1654" s="301">
        <v>0</v>
      </c>
      <c r="O1654" s="301">
        <v>20983</v>
      </c>
      <c r="P1654" s="301">
        <v>0</v>
      </c>
      <c r="Q1654" s="301">
        <v>0</v>
      </c>
      <c r="R1654" s="301">
        <v>0</v>
      </c>
      <c r="S1654" s="301">
        <v>0</v>
      </c>
      <c r="T1654" s="301">
        <v>0</v>
      </c>
      <c r="U1654" s="301">
        <v>0</v>
      </c>
      <c r="V1654" s="301">
        <v>0</v>
      </c>
      <c r="W1654" s="301">
        <v>0</v>
      </c>
      <c r="X1654" s="301">
        <v>0</v>
      </c>
      <c r="Y1654" s="301">
        <v>0</v>
      </c>
      <c r="Z1654" s="301">
        <v>0</v>
      </c>
      <c r="AA1654" s="301">
        <v>0</v>
      </c>
      <c r="AB1654" s="303">
        <v>2021</v>
      </c>
    </row>
    <row r="1655" spans="1:28" ht="35.25" customHeight="1" x14ac:dyDescent="0.5">
      <c r="A1655">
        <v>1</v>
      </c>
      <c r="B1655" s="80">
        <f>SUBTOTAL(103,$A$808:A1655)</f>
        <v>827</v>
      </c>
      <c r="C1655" s="300" t="s">
        <v>2273</v>
      </c>
      <c r="D1655" s="296">
        <f t="shared" si="75"/>
        <v>156399.6</v>
      </c>
      <c r="E1655" s="301">
        <v>0</v>
      </c>
      <c r="F1655" s="301">
        <v>0</v>
      </c>
      <c r="G1655" s="301">
        <v>0</v>
      </c>
      <c r="H1655" s="301">
        <v>0</v>
      </c>
      <c r="I1655" s="301">
        <v>0</v>
      </c>
      <c r="J1655" s="301">
        <v>0</v>
      </c>
      <c r="K1655" s="302">
        <v>0</v>
      </c>
      <c r="L1655" s="301">
        <v>0</v>
      </c>
      <c r="M1655" s="301">
        <v>0</v>
      </c>
      <c r="N1655" s="301">
        <v>0</v>
      </c>
      <c r="O1655" s="301">
        <v>156399.6</v>
      </c>
      <c r="P1655" s="301">
        <v>0</v>
      </c>
      <c r="Q1655" s="301">
        <v>0</v>
      </c>
      <c r="R1655" s="301">
        <v>0</v>
      </c>
      <c r="S1655" s="301">
        <v>0</v>
      </c>
      <c r="T1655" s="301">
        <v>0</v>
      </c>
      <c r="U1655" s="301">
        <v>0</v>
      </c>
      <c r="V1655" s="301">
        <v>0</v>
      </c>
      <c r="W1655" s="301">
        <v>0</v>
      </c>
      <c r="X1655" s="301">
        <v>0</v>
      </c>
      <c r="Y1655" s="301">
        <v>0</v>
      </c>
      <c r="Z1655" s="301">
        <v>0</v>
      </c>
      <c r="AA1655" s="301">
        <v>0</v>
      </c>
      <c r="AB1655" s="303">
        <v>2021</v>
      </c>
    </row>
    <row r="1656" spans="1:28" ht="35.25" customHeight="1" x14ac:dyDescent="0.5">
      <c r="B1656" s="299" t="s">
        <v>2630</v>
      </c>
      <c r="C1656" s="300"/>
      <c r="D1656" s="296">
        <f t="shared" si="75"/>
        <v>11682505.48</v>
      </c>
      <c r="E1656" s="296">
        <f t="shared" ref="E1656:AA1656" si="81">SUM(E1657:E1660)</f>
        <v>0</v>
      </c>
      <c r="F1656" s="296">
        <f t="shared" si="81"/>
        <v>0</v>
      </c>
      <c r="G1656" s="296">
        <f t="shared" si="81"/>
        <v>0</v>
      </c>
      <c r="H1656" s="296">
        <f t="shared" si="81"/>
        <v>0</v>
      </c>
      <c r="I1656" s="296">
        <f t="shared" si="81"/>
        <v>0</v>
      </c>
      <c r="J1656" s="296">
        <f t="shared" si="81"/>
        <v>0</v>
      </c>
      <c r="K1656" s="297">
        <f t="shared" si="81"/>
        <v>0</v>
      </c>
      <c r="L1656" s="296">
        <f t="shared" si="81"/>
        <v>0</v>
      </c>
      <c r="M1656" s="296">
        <f t="shared" si="81"/>
        <v>11682505.48</v>
      </c>
      <c r="N1656" s="296">
        <f t="shared" si="81"/>
        <v>0</v>
      </c>
      <c r="O1656" s="296">
        <f t="shared" si="81"/>
        <v>0</v>
      </c>
      <c r="P1656" s="296">
        <f t="shared" si="81"/>
        <v>0</v>
      </c>
      <c r="Q1656" s="296">
        <f t="shared" si="81"/>
        <v>0</v>
      </c>
      <c r="R1656" s="296">
        <f t="shared" si="81"/>
        <v>0</v>
      </c>
      <c r="S1656" s="296">
        <f t="shared" si="81"/>
        <v>0</v>
      </c>
      <c r="T1656" s="296">
        <f t="shared" si="81"/>
        <v>0</v>
      </c>
      <c r="U1656" s="296">
        <f t="shared" si="81"/>
        <v>0</v>
      </c>
      <c r="V1656" s="296">
        <f t="shared" si="81"/>
        <v>0</v>
      </c>
      <c r="W1656" s="296">
        <f t="shared" si="81"/>
        <v>0</v>
      </c>
      <c r="X1656" s="296">
        <f t="shared" si="81"/>
        <v>0</v>
      </c>
      <c r="Y1656" s="296">
        <f t="shared" si="81"/>
        <v>0</v>
      </c>
      <c r="Z1656" s="296">
        <f t="shared" si="81"/>
        <v>0</v>
      </c>
      <c r="AA1656" s="296">
        <f t="shared" si="81"/>
        <v>0</v>
      </c>
      <c r="AB1656" s="298" t="s">
        <v>835</v>
      </c>
    </row>
    <row r="1657" spans="1:28" ht="35.25" customHeight="1" x14ac:dyDescent="0.5">
      <c r="A1657">
        <v>1</v>
      </c>
      <c r="B1657" s="80">
        <f>SUBTOTAL(103,$A$808:A1657)</f>
        <v>828</v>
      </c>
      <c r="C1657" s="300" t="s">
        <v>2891</v>
      </c>
      <c r="D1657" s="296">
        <f t="shared" si="75"/>
        <v>3072793.35</v>
      </c>
      <c r="E1657" s="301">
        <v>0</v>
      </c>
      <c r="F1657" s="301">
        <v>0</v>
      </c>
      <c r="G1657" s="301">
        <v>0</v>
      </c>
      <c r="H1657" s="301">
        <v>0</v>
      </c>
      <c r="I1657" s="301">
        <v>0</v>
      </c>
      <c r="J1657" s="301">
        <v>0</v>
      </c>
      <c r="K1657" s="302">
        <v>0</v>
      </c>
      <c r="L1657" s="301">
        <v>0</v>
      </c>
      <c r="M1657" s="301">
        <v>3072793.35</v>
      </c>
      <c r="N1657" s="301">
        <v>0</v>
      </c>
      <c r="O1657" s="301">
        <v>0</v>
      </c>
      <c r="P1657" s="301">
        <v>0</v>
      </c>
      <c r="Q1657" s="301">
        <v>0</v>
      </c>
      <c r="R1657" s="301">
        <v>0</v>
      </c>
      <c r="S1657" s="301">
        <v>0</v>
      </c>
      <c r="T1657" s="301">
        <v>0</v>
      </c>
      <c r="U1657" s="301">
        <v>0</v>
      </c>
      <c r="V1657" s="301">
        <v>0</v>
      </c>
      <c r="W1657" s="301">
        <v>0</v>
      </c>
      <c r="X1657" s="301">
        <v>0</v>
      </c>
      <c r="Y1657" s="301">
        <v>0</v>
      </c>
      <c r="Z1657" s="301">
        <v>0</v>
      </c>
      <c r="AA1657" s="301">
        <v>0</v>
      </c>
      <c r="AB1657" s="303">
        <v>2021</v>
      </c>
    </row>
    <row r="1658" spans="1:28" ht="35.25" customHeight="1" x14ac:dyDescent="0.5">
      <c r="A1658">
        <v>1</v>
      </c>
      <c r="B1658" s="80">
        <f>SUBTOTAL(103,$A$808:A1658)</f>
        <v>829</v>
      </c>
      <c r="C1658" s="300" t="s">
        <v>2959</v>
      </c>
      <c r="D1658" s="296">
        <f t="shared" si="75"/>
        <v>2551541.0299999998</v>
      </c>
      <c r="E1658" s="301">
        <v>0</v>
      </c>
      <c r="F1658" s="301">
        <v>0</v>
      </c>
      <c r="G1658" s="301">
        <v>0</v>
      </c>
      <c r="H1658" s="301">
        <v>0</v>
      </c>
      <c r="I1658" s="301">
        <v>0</v>
      </c>
      <c r="J1658" s="301">
        <v>0</v>
      </c>
      <c r="K1658" s="302">
        <v>0</v>
      </c>
      <c r="L1658" s="301">
        <v>0</v>
      </c>
      <c r="M1658" s="301">
        <v>2551541.0299999998</v>
      </c>
      <c r="N1658" s="301">
        <v>0</v>
      </c>
      <c r="O1658" s="301">
        <v>0</v>
      </c>
      <c r="P1658" s="301">
        <v>0</v>
      </c>
      <c r="Q1658" s="301">
        <v>0</v>
      </c>
      <c r="R1658" s="301">
        <v>0</v>
      </c>
      <c r="S1658" s="301">
        <v>0</v>
      </c>
      <c r="T1658" s="301">
        <v>0</v>
      </c>
      <c r="U1658" s="301">
        <v>0</v>
      </c>
      <c r="V1658" s="301">
        <v>0</v>
      </c>
      <c r="W1658" s="301">
        <v>0</v>
      </c>
      <c r="X1658" s="301">
        <v>0</v>
      </c>
      <c r="Y1658" s="301">
        <v>0</v>
      </c>
      <c r="Z1658" s="301">
        <v>0</v>
      </c>
      <c r="AA1658" s="301">
        <v>0</v>
      </c>
      <c r="AB1658" s="303">
        <v>2021</v>
      </c>
    </row>
    <row r="1659" spans="1:28" ht="35.25" x14ac:dyDescent="0.5">
      <c r="A1659">
        <v>1</v>
      </c>
      <c r="B1659" s="80">
        <f>SUBTOTAL(103,$A$808:A1659)</f>
        <v>830</v>
      </c>
      <c r="C1659" s="300" t="s">
        <v>2960</v>
      </c>
      <c r="D1659" s="296">
        <f t="shared" si="75"/>
        <v>3265452.53</v>
      </c>
      <c r="E1659" s="301">
        <v>0</v>
      </c>
      <c r="F1659" s="301">
        <v>0</v>
      </c>
      <c r="G1659" s="301">
        <v>0</v>
      </c>
      <c r="H1659" s="301">
        <v>0</v>
      </c>
      <c r="I1659" s="301">
        <v>0</v>
      </c>
      <c r="J1659" s="301">
        <v>0</v>
      </c>
      <c r="K1659" s="302">
        <v>0</v>
      </c>
      <c r="L1659" s="301">
        <v>0</v>
      </c>
      <c r="M1659" s="301">
        <v>3265452.53</v>
      </c>
      <c r="N1659" s="301">
        <v>0</v>
      </c>
      <c r="O1659" s="301">
        <v>0</v>
      </c>
      <c r="P1659" s="301">
        <v>0</v>
      </c>
      <c r="Q1659" s="301">
        <v>0</v>
      </c>
      <c r="R1659" s="301">
        <v>0</v>
      </c>
      <c r="S1659" s="301">
        <v>0</v>
      </c>
      <c r="T1659" s="301">
        <v>0</v>
      </c>
      <c r="U1659" s="301">
        <v>0</v>
      </c>
      <c r="V1659" s="301">
        <v>0</v>
      </c>
      <c r="W1659" s="301">
        <v>0</v>
      </c>
      <c r="X1659" s="301">
        <v>0</v>
      </c>
      <c r="Y1659" s="301">
        <v>0</v>
      </c>
      <c r="Z1659" s="301">
        <v>0</v>
      </c>
      <c r="AA1659" s="301">
        <v>0</v>
      </c>
      <c r="AB1659" s="303">
        <v>2021</v>
      </c>
    </row>
    <row r="1660" spans="1:28" ht="35.25" x14ac:dyDescent="0.5">
      <c r="A1660">
        <v>1</v>
      </c>
      <c r="B1660" s="80">
        <f>SUBTOTAL(103,$A$808:A1660)</f>
        <v>831</v>
      </c>
      <c r="C1660" s="300" t="s">
        <v>2892</v>
      </c>
      <c r="D1660" s="296">
        <f t="shared" si="75"/>
        <v>2792718.57</v>
      </c>
      <c r="E1660" s="301">
        <v>0</v>
      </c>
      <c r="F1660" s="301">
        <v>0</v>
      </c>
      <c r="G1660" s="301">
        <v>0</v>
      </c>
      <c r="H1660" s="301">
        <v>0</v>
      </c>
      <c r="I1660" s="301">
        <v>0</v>
      </c>
      <c r="J1660" s="301">
        <v>0</v>
      </c>
      <c r="K1660" s="302">
        <v>0</v>
      </c>
      <c r="L1660" s="301">
        <v>0</v>
      </c>
      <c r="M1660" s="301">
        <v>2792718.57</v>
      </c>
      <c r="N1660" s="301">
        <v>0</v>
      </c>
      <c r="O1660" s="301">
        <v>0</v>
      </c>
      <c r="P1660" s="301">
        <v>0</v>
      </c>
      <c r="Q1660" s="301">
        <v>0</v>
      </c>
      <c r="R1660" s="301">
        <v>0</v>
      </c>
      <c r="S1660" s="301">
        <v>0</v>
      </c>
      <c r="T1660" s="301">
        <v>0</v>
      </c>
      <c r="U1660" s="301">
        <v>0</v>
      </c>
      <c r="V1660" s="301">
        <v>0</v>
      </c>
      <c r="W1660" s="301">
        <v>0</v>
      </c>
      <c r="X1660" s="301">
        <v>0</v>
      </c>
      <c r="Y1660" s="301">
        <v>0</v>
      </c>
      <c r="Z1660" s="301">
        <v>0</v>
      </c>
      <c r="AA1660" s="301">
        <v>0</v>
      </c>
      <c r="AB1660" s="303">
        <v>2021</v>
      </c>
    </row>
    <row r="1661" spans="1:28" ht="35.25" x14ac:dyDescent="0.5">
      <c r="B1661" s="299" t="s">
        <v>790</v>
      </c>
      <c r="C1661" s="300"/>
      <c r="D1661" s="296">
        <f t="shared" si="75"/>
        <v>2057948.49</v>
      </c>
      <c r="E1661" s="296">
        <f t="shared" ref="E1661:AA1661" si="82">SUM(E1662:E1664)</f>
        <v>0</v>
      </c>
      <c r="F1661" s="296">
        <f t="shared" si="82"/>
        <v>0</v>
      </c>
      <c r="G1661" s="296">
        <f t="shared" si="82"/>
        <v>0</v>
      </c>
      <c r="H1661" s="296">
        <f t="shared" si="82"/>
        <v>0</v>
      </c>
      <c r="I1661" s="296">
        <f t="shared" si="82"/>
        <v>0</v>
      </c>
      <c r="J1661" s="296">
        <f t="shared" si="82"/>
        <v>0</v>
      </c>
      <c r="K1661" s="297">
        <f t="shared" si="82"/>
        <v>0</v>
      </c>
      <c r="L1661" s="296">
        <f t="shared" si="82"/>
        <v>0</v>
      </c>
      <c r="M1661" s="296">
        <f t="shared" si="82"/>
        <v>1015988.49</v>
      </c>
      <c r="N1661" s="296">
        <f t="shared" si="82"/>
        <v>0</v>
      </c>
      <c r="O1661" s="296">
        <f t="shared" si="82"/>
        <v>1041960</v>
      </c>
      <c r="P1661" s="296">
        <f t="shared" si="82"/>
        <v>0</v>
      </c>
      <c r="Q1661" s="296">
        <f t="shared" si="82"/>
        <v>0</v>
      </c>
      <c r="R1661" s="296">
        <f t="shared" si="82"/>
        <v>0</v>
      </c>
      <c r="S1661" s="296">
        <f t="shared" si="82"/>
        <v>0</v>
      </c>
      <c r="T1661" s="296">
        <f t="shared" si="82"/>
        <v>0</v>
      </c>
      <c r="U1661" s="296">
        <f t="shared" si="82"/>
        <v>0</v>
      </c>
      <c r="V1661" s="296">
        <f t="shared" si="82"/>
        <v>0</v>
      </c>
      <c r="W1661" s="296">
        <f t="shared" si="82"/>
        <v>0</v>
      </c>
      <c r="X1661" s="296">
        <f t="shared" si="82"/>
        <v>0</v>
      </c>
      <c r="Y1661" s="296">
        <f t="shared" si="82"/>
        <v>0</v>
      </c>
      <c r="Z1661" s="296">
        <f t="shared" si="82"/>
        <v>0</v>
      </c>
      <c r="AA1661" s="296">
        <f t="shared" si="82"/>
        <v>0</v>
      </c>
      <c r="AB1661" s="298" t="s">
        <v>835</v>
      </c>
    </row>
    <row r="1662" spans="1:28" ht="35.25" x14ac:dyDescent="0.5">
      <c r="A1662">
        <v>1</v>
      </c>
      <c r="B1662" s="80">
        <f>SUBTOTAL(103,$A$808:A1662)</f>
        <v>832</v>
      </c>
      <c r="C1662" s="300" t="s">
        <v>2893</v>
      </c>
      <c r="D1662" s="296">
        <f t="shared" si="75"/>
        <v>417755.4</v>
      </c>
      <c r="E1662" s="301">
        <v>0</v>
      </c>
      <c r="F1662" s="301">
        <v>0</v>
      </c>
      <c r="G1662" s="301">
        <v>0</v>
      </c>
      <c r="H1662" s="301">
        <v>0</v>
      </c>
      <c r="I1662" s="301">
        <v>0</v>
      </c>
      <c r="J1662" s="301">
        <v>0</v>
      </c>
      <c r="K1662" s="302">
        <v>0</v>
      </c>
      <c r="L1662" s="301">
        <v>0</v>
      </c>
      <c r="M1662" s="301">
        <v>417755.4</v>
      </c>
      <c r="N1662" s="301">
        <v>0</v>
      </c>
      <c r="O1662" s="301">
        <v>0</v>
      </c>
      <c r="P1662" s="301">
        <v>0</v>
      </c>
      <c r="Q1662" s="301">
        <v>0</v>
      </c>
      <c r="R1662" s="301">
        <v>0</v>
      </c>
      <c r="S1662" s="301">
        <v>0</v>
      </c>
      <c r="T1662" s="301">
        <v>0</v>
      </c>
      <c r="U1662" s="301">
        <v>0</v>
      </c>
      <c r="V1662" s="301">
        <v>0</v>
      </c>
      <c r="W1662" s="301">
        <v>0</v>
      </c>
      <c r="X1662" s="301">
        <v>0</v>
      </c>
      <c r="Y1662" s="301">
        <v>0</v>
      </c>
      <c r="Z1662" s="301">
        <v>0</v>
      </c>
      <c r="AA1662" s="301">
        <v>0</v>
      </c>
      <c r="AB1662" s="303">
        <v>2021</v>
      </c>
    </row>
    <row r="1663" spans="1:28" ht="35.25" x14ac:dyDescent="0.5">
      <c r="A1663">
        <v>1</v>
      </c>
      <c r="B1663" s="80">
        <f>SUBTOTAL(103,$A$808:A1663)</f>
        <v>833</v>
      </c>
      <c r="C1663" s="300" t="s">
        <v>3159</v>
      </c>
      <c r="D1663" s="296">
        <f t="shared" si="75"/>
        <v>598233.09</v>
      </c>
      <c r="E1663" s="301">
        <v>0</v>
      </c>
      <c r="F1663" s="301">
        <v>0</v>
      </c>
      <c r="G1663" s="301">
        <v>0</v>
      </c>
      <c r="H1663" s="301">
        <v>0</v>
      </c>
      <c r="I1663" s="301">
        <v>0</v>
      </c>
      <c r="J1663" s="301">
        <v>0</v>
      </c>
      <c r="K1663" s="302">
        <v>0</v>
      </c>
      <c r="L1663" s="301">
        <v>0</v>
      </c>
      <c r="M1663" s="301">
        <v>598233.09</v>
      </c>
      <c r="N1663" s="301">
        <v>0</v>
      </c>
      <c r="O1663" s="301">
        <v>0</v>
      </c>
      <c r="P1663" s="301">
        <v>0</v>
      </c>
      <c r="Q1663" s="301">
        <v>0</v>
      </c>
      <c r="R1663" s="301">
        <v>0</v>
      </c>
      <c r="S1663" s="301">
        <v>0</v>
      </c>
      <c r="T1663" s="301">
        <v>0</v>
      </c>
      <c r="U1663" s="301">
        <v>0</v>
      </c>
      <c r="V1663" s="301">
        <v>0</v>
      </c>
      <c r="W1663" s="301">
        <v>0</v>
      </c>
      <c r="X1663" s="301">
        <v>0</v>
      </c>
      <c r="Y1663" s="301">
        <v>0</v>
      </c>
      <c r="Z1663" s="301">
        <v>0</v>
      </c>
      <c r="AA1663" s="301">
        <v>0</v>
      </c>
      <c r="AB1663" s="303">
        <v>2021</v>
      </c>
    </row>
    <row r="1664" spans="1:28" ht="35.25" x14ac:dyDescent="0.5">
      <c r="A1664">
        <v>1</v>
      </c>
      <c r="B1664" s="80">
        <f>SUBTOTAL(103,$A$808:A1664)</f>
        <v>834</v>
      </c>
      <c r="C1664" s="300" t="s">
        <v>3160</v>
      </c>
      <c r="D1664" s="296">
        <f t="shared" si="75"/>
        <v>1041960</v>
      </c>
      <c r="E1664" s="301">
        <v>0</v>
      </c>
      <c r="F1664" s="301">
        <v>0</v>
      </c>
      <c r="G1664" s="301">
        <v>0</v>
      </c>
      <c r="H1664" s="301">
        <v>0</v>
      </c>
      <c r="I1664" s="301">
        <v>0</v>
      </c>
      <c r="J1664" s="301">
        <v>0</v>
      </c>
      <c r="K1664" s="302">
        <v>0</v>
      </c>
      <c r="L1664" s="301">
        <v>0</v>
      </c>
      <c r="M1664" s="301">
        <v>0</v>
      </c>
      <c r="N1664" s="301">
        <v>0</v>
      </c>
      <c r="O1664" s="301">
        <v>1041960</v>
      </c>
      <c r="P1664" s="301">
        <v>0</v>
      </c>
      <c r="Q1664" s="301">
        <v>0</v>
      </c>
      <c r="R1664" s="301">
        <v>0</v>
      </c>
      <c r="S1664" s="301">
        <v>0</v>
      </c>
      <c r="T1664" s="301">
        <v>0</v>
      </c>
      <c r="U1664" s="301">
        <v>0</v>
      </c>
      <c r="V1664" s="301">
        <v>0</v>
      </c>
      <c r="W1664" s="301">
        <v>0</v>
      </c>
      <c r="X1664" s="301">
        <v>0</v>
      </c>
      <c r="Y1664" s="301">
        <v>0</v>
      </c>
      <c r="Z1664" s="301">
        <v>0</v>
      </c>
      <c r="AA1664" s="301">
        <v>0</v>
      </c>
      <c r="AB1664" s="303" t="s">
        <v>2981</v>
      </c>
    </row>
    <row r="1665" spans="1:28" ht="35.25" x14ac:dyDescent="0.5">
      <c r="B1665" s="299" t="s">
        <v>803</v>
      </c>
      <c r="C1665" s="300"/>
      <c r="D1665" s="296">
        <f t="shared" si="75"/>
        <v>464317.4</v>
      </c>
      <c r="E1665" s="296">
        <f t="shared" ref="E1665:AA1665" si="83">SUM(E1666:E1667)</f>
        <v>0</v>
      </c>
      <c r="F1665" s="296">
        <f t="shared" si="83"/>
        <v>0</v>
      </c>
      <c r="G1665" s="296">
        <f t="shared" si="83"/>
        <v>0</v>
      </c>
      <c r="H1665" s="296">
        <f t="shared" si="83"/>
        <v>0</v>
      </c>
      <c r="I1665" s="296">
        <f t="shared" si="83"/>
        <v>126593</v>
      </c>
      <c r="J1665" s="296">
        <f t="shared" si="83"/>
        <v>0</v>
      </c>
      <c r="K1665" s="297">
        <f t="shared" si="83"/>
        <v>0</v>
      </c>
      <c r="L1665" s="296">
        <f t="shared" si="83"/>
        <v>0</v>
      </c>
      <c r="M1665" s="296">
        <f t="shared" si="83"/>
        <v>0</v>
      </c>
      <c r="N1665" s="296">
        <f t="shared" si="83"/>
        <v>0</v>
      </c>
      <c r="O1665" s="296">
        <f t="shared" si="83"/>
        <v>337724.4</v>
      </c>
      <c r="P1665" s="296">
        <f t="shared" si="83"/>
        <v>0</v>
      </c>
      <c r="Q1665" s="296">
        <f t="shared" si="83"/>
        <v>0</v>
      </c>
      <c r="R1665" s="296">
        <f t="shared" si="83"/>
        <v>0</v>
      </c>
      <c r="S1665" s="296">
        <f t="shared" si="83"/>
        <v>0</v>
      </c>
      <c r="T1665" s="296">
        <f t="shared" si="83"/>
        <v>0</v>
      </c>
      <c r="U1665" s="296">
        <f t="shared" si="83"/>
        <v>0</v>
      </c>
      <c r="V1665" s="296">
        <f t="shared" si="83"/>
        <v>0</v>
      </c>
      <c r="W1665" s="296">
        <f t="shared" si="83"/>
        <v>0</v>
      </c>
      <c r="X1665" s="296">
        <f t="shared" si="83"/>
        <v>0</v>
      </c>
      <c r="Y1665" s="296">
        <f t="shared" si="83"/>
        <v>0</v>
      </c>
      <c r="Z1665" s="296">
        <f t="shared" si="83"/>
        <v>0</v>
      </c>
      <c r="AA1665" s="296">
        <f t="shared" si="83"/>
        <v>0</v>
      </c>
      <c r="AB1665" s="303" t="s">
        <v>835</v>
      </c>
    </row>
    <row r="1666" spans="1:28" ht="35.25" x14ac:dyDescent="0.5">
      <c r="A1666">
        <v>1</v>
      </c>
      <c r="B1666" s="80">
        <f>SUBTOTAL(103,$A$808:A1666)</f>
        <v>835</v>
      </c>
      <c r="C1666" s="300" t="s">
        <v>2894</v>
      </c>
      <c r="D1666" s="296">
        <f t="shared" si="75"/>
        <v>337724.4</v>
      </c>
      <c r="E1666" s="301">
        <v>0</v>
      </c>
      <c r="F1666" s="301">
        <v>0</v>
      </c>
      <c r="G1666" s="301">
        <v>0</v>
      </c>
      <c r="H1666" s="301">
        <v>0</v>
      </c>
      <c r="I1666" s="301">
        <v>0</v>
      </c>
      <c r="J1666" s="301">
        <v>0</v>
      </c>
      <c r="K1666" s="302">
        <v>0</v>
      </c>
      <c r="L1666" s="301">
        <v>0</v>
      </c>
      <c r="M1666" s="301">
        <v>0</v>
      </c>
      <c r="N1666" s="301">
        <v>0</v>
      </c>
      <c r="O1666" s="301">
        <v>337724.4</v>
      </c>
      <c r="P1666" s="301">
        <v>0</v>
      </c>
      <c r="Q1666" s="301">
        <v>0</v>
      </c>
      <c r="R1666" s="301">
        <v>0</v>
      </c>
      <c r="S1666" s="301">
        <v>0</v>
      </c>
      <c r="T1666" s="301">
        <v>0</v>
      </c>
      <c r="U1666" s="301">
        <v>0</v>
      </c>
      <c r="V1666" s="301">
        <v>0</v>
      </c>
      <c r="W1666" s="301">
        <v>0</v>
      </c>
      <c r="X1666" s="301">
        <v>0</v>
      </c>
      <c r="Y1666" s="301">
        <v>0</v>
      </c>
      <c r="Z1666" s="301">
        <v>0</v>
      </c>
      <c r="AA1666" s="301">
        <v>0</v>
      </c>
      <c r="AB1666" s="303">
        <v>2021</v>
      </c>
    </row>
    <row r="1667" spans="1:28" ht="35.25" x14ac:dyDescent="0.5">
      <c r="A1667">
        <v>1</v>
      </c>
      <c r="B1667" s="80">
        <f>SUBTOTAL(103,$A$808:A1667)</f>
        <v>836</v>
      </c>
      <c r="C1667" s="300" t="s">
        <v>3161</v>
      </c>
      <c r="D1667" s="296">
        <f t="shared" si="75"/>
        <v>126593</v>
      </c>
      <c r="E1667" s="301">
        <v>0</v>
      </c>
      <c r="F1667" s="301">
        <v>0</v>
      </c>
      <c r="G1667" s="301">
        <v>0</v>
      </c>
      <c r="H1667" s="301">
        <v>0</v>
      </c>
      <c r="I1667" s="301">
        <v>126593</v>
      </c>
      <c r="J1667" s="301">
        <v>0</v>
      </c>
      <c r="K1667" s="302">
        <v>0</v>
      </c>
      <c r="L1667" s="301">
        <v>0</v>
      </c>
      <c r="M1667" s="301">
        <v>0</v>
      </c>
      <c r="N1667" s="301">
        <v>0</v>
      </c>
      <c r="O1667" s="301">
        <v>0</v>
      </c>
      <c r="P1667" s="301">
        <v>0</v>
      </c>
      <c r="Q1667" s="301">
        <v>0</v>
      </c>
      <c r="R1667" s="301">
        <v>0</v>
      </c>
      <c r="S1667" s="301">
        <v>0</v>
      </c>
      <c r="T1667" s="301">
        <v>0</v>
      </c>
      <c r="U1667" s="301">
        <v>0</v>
      </c>
      <c r="V1667" s="301">
        <v>0</v>
      </c>
      <c r="W1667" s="301">
        <v>0</v>
      </c>
      <c r="X1667" s="301">
        <v>0</v>
      </c>
      <c r="Y1667" s="301">
        <v>0</v>
      </c>
      <c r="Z1667" s="301">
        <v>0</v>
      </c>
      <c r="AA1667" s="301">
        <v>0</v>
      </c>
      <c r="AB1667" s="303">
        <v>2021</v>
      </c>
    </row>
    <row r="1668" spans="1:28" ht="35.25" x14ac:dyDescent="0.5">
      <c r="B1668" s="299" t="s">
        <v>807</v>
      </c>
      <c r="C1668" s="300"/>
      <c r="D1668" s="296">
        <f t="shared" si="75"/>
        <v>3247816</v>
      </c>
      <c r="E1668" s="296">
        <f t="shared" ref="E1668:AA1668" si="84">SUM(E1669:E1673)</f>
        <v>0</v>
      </c>
      <c r="F1668" s="296">
        <f t="shared" si="84"/>
        <v>0</v>
      </c>
      <c r="G1668" s="296">
        <f t="shared" si="84"/>
        <v>0</v>
      </c>
      <c r="H1668" s="296">
        <f t="shared" si="84"/>
        <v>0</v>
      </c>
      <c r="I1668" s="296">
        <f t="shared" si="84"/>
        <v>0</v>
      </c>
      <c r="J1668" s="296">
        <f t="shared" si="84"/>
        <v>0</v>
      </c>
      <c r="K1668" s="297">
        <f t="shared" si="84"/>
        <v>0</v>
      </c>
      <c r="L1668" s="296">
        <f t="shared" si="84"/>
        <v>0</v>
      </c>
      <c r="M1668" s="296">
        <f t="shared" si="84"/>
        <v>0</v>
      </c>
      <c r="N1668" s="296">
        <f t="shared" si="84"/>
        <v>0</v>
      </c>
      <c r="O1668" s="296">
        <f t="shared" si="84"/>
        <v>3247816</v>
      </c>
      <c r="P1668" s="296">
        <f t="shared" si="84"/>
        <v>0</v>
      </c>
      <c r="Q1668" s="296">
        <f t="shared" si="84"/>
        <v>0</v>
      </c>
      <c r="R1668" s="296">
        <f t="shared" si="84"/>
        <v>0</v>
      </c>
      <c r="S1668" s="296">
        <f t="shared" si="84"/>
        <v>0</v>
      </c>
      <c r="T1668" s="296">
        <f t="shared" si="84"/>
        <v>0</v>
      </c>
      <c r="U1668" s="296">
        <f t="shared" si="84"/>
        <v>0</v>
      </c>
      <c r="V1668" s="296">
        <f t="shared" si="84"/>
        <v>0</v>
      </c>
      <c r="W1668" s="296">
        <f t="shared" si="84"/>
        <v>0</v>
      </c>
      <c r="X1668" s="296">
        <f t="shared" si="84"/>
        <v>0</v>
      </c>
      <c r="Y1668" s="296">
        <f t="shared" si="84"/>
        <v>0</v>
      </c>
      <c r="Z1668" s="296">
        <f t="shared" si="84"/>
        <v>0</v>
      </c>
      <c r="AA1668" s="296">
        <f t="shared" si="84"/>
        <v>0</v>
      </c>
      <c r="AB1668" s="298" t="s">
        <v>835</v>
      </c>
    </row>
    <row r="1669" spans="1:28" ht="35.25" x14ac:dyDescent="0.5">
      <c r="A1669">
        <v>1</v>
      </c>
      <c r="B1669" s="80">
        <f>SUBTOTAL(103,$A$808:A1669)</f>
        <v>837</v>
      </c>
      <c r="C1669" s="300" t="s">
        <v>2961</v>
      </c>
      <c r="D1669" s="296">
        <f t="shared" si="75"/>
        <v>1109625</v>
      </c>
      <c r="E1669" s="301">
        <v>0</v>
      </c>
      <c r="F1669" s="301">
        <v>0</v>
      </c>
      <c r="G1669" s="301">
        <v>0</v>
      </c>
      <c r="H1669" s="301">
        <v>0</v>
      </c>
      <c r="I1669" s="301">
        <v>0</v>
      </c>
      <c r="J1669" s="301">
        <v>0</v>
      </c>
      <c r="K1669" s="302">
        <v>0</v>
      </c>
      <c r="L1669" s="301">
        <v>0</v>
      </c>
      <c r="M1669" s="301">
        <v>0</v>
      </c>
      <c r="N1669" s="301">
        <v>0</v>
      </c>
      <c r="O1669" s="301">
        <v>1109625</v>
      </c>
      <c r="P1669" s="301">
        <v>0</v>
      </c>
      <c r="Q1669" s="301">
        <v>0</v>
      </c>
      <c r="R1669" s="301">
        <v>0</v>
      </c>
      <c r="S1669" s="301">
        <v>0</v>
      </c>
      <c r="T1669" s="301">
        <v>0</v>
      </c>
      <c r="U1669" s="301">
        <v>0</v>
      </c>
      <c r="V1669" s="301">
        <v>0</v>
      </c>
      <c r="W1669" s="301">
        <v>0</v>
      </c>
      <c r="X1669" s="301">
        <v>0</v>
      </c>
      <c r="Y1669" s="301">
        <v>0</v>
      </c>
      <c r="Z1669" s="301">
        <v>0</v>
      </c>
      <c r="AA1669" s="301">
        <v>0</v>
      </c>
      <c r="AB1669" s="303">
        <v>2021</v>
      </c>
    </row>
    <row r="1670" spans="1:28" ht="35.25" x14ac:dyDescent="0.5">
      <c r="A1670">
        <v>1</v>
      </c>
      <c r="B1670" s="80">
        <f>SUBTOTAL(103,$A$808:A1670)</f>
        <v>838</v>
      </c>
      <c r="C1670" s="300" t="s">
        <v>2077</v>
      </c>
      <c r="D1670" s="296">
        <f t="shared" si="75"/>
        <v>525158</v>
      </c>
      <c r="E1670" s="301">
        <v>0</v>
      </c>
      <c r="F1670" s="301">
        <v>0</v>
      </c>
      <c r="G1670" s="301">
        <v>0</v>
      </c>
      <c r="H1670" s="301">
        <v>0</v>
      </c>
      <c r="I1670" s="301">
        <v>0</v>
      </c>
      <c r="J1670" s="301">
        <v>0</v>
      </c>
      <c r="K1670" s="302">
        <v>0</v>
      </c>
      <c r="L1670" s="301">
        <v>0</v>
      </c>
      <c r="M1670" s="301">
        <v>0</v>
      </c>
      <c r="N1670" s="301">
        <v>0</v>
      </c>
      <c r="O1670" s="301">
        <v>525158</v>
      </c>
      <c r="P1670" s="301">
        <v>0</v>
      </c>
      <c r="Q1670" s="301">
        <v>0</v>
      </c>
      <c r="R1670" s="301">
        <v>0</v>
      </c>
      <c r="S1670" s="301">
        <v>0</v>
      </c>
      <c r="T1670" s="301">
        <v>0</v>
      </c>
      <c r="U1670" s="301">
        <v>0</v>
      </c>
      <c r="V1670" s="301">
        <v>0</v>
      </c>
      <c r="W1670" s="301">
        <v>0</v>
      </c>
      <c r="X1670" s="301">
        <v>0</v>
      </c>
      <c r="Y1670" s="301">
        <v>0</v>
      </c>
      <c r="Z1670" s="301">
        <v>0</v>
      </c>
      <c r="AA1670" s="301">
        <v>0</v>
      </c>
      <c r="AB1670" s="303" t="s">
        <v>2981</v>
      </c>
    </row>
    <row r="1671" spans="1:28" ht="35.25" x14ac:dyDescent="0.5">
      <c r="A1671">
        <v>1</v>
      </c>
      <c r="B1671" s="80">
        <f>SUBTOTAL(103,$A$808:A1671)</f>
        <v>839</v>
      </c>
      <c r="C1671" s="300" t="s">
        <v>3162</v>
      </c>
      <c r="D1671" s="296">
        <f t="shared" si="75"/>
        <v>648077</v>
      </c>
      <c r="E1671" s="301">
        <v>0</v>
      </c>
      <c r="F1671" s="301">
        <v>0</v>
      </c>
      <c r="G1671" s="301">
        <v>0</v>
      </c>
      <c r="H1671" s="301">
        <v>0</v>
      </c>
      <c r="I1671" s="301">
        <v>0</v>
      </c>
      <c r="J1671" s="301">
        <v>0</v>
      </c>
      <c r="K1671" s="302">
        <v>0</v>
      </c>
      <c r="L1671" s="301">
        <v>0</v>
      </c>
      <c r="M1671" s="301">
        <v>0</v>
      </c>
      <c r="N1671" s="301">
        <v>0</v>
      </c>
      <c r="O1671" s="301">
        <v>648077</v>
      </c>
      <c r="P1671" s="301">
        <v>0</v>
      </c>
      <c r="Q1671" s="301">
        <v>0</v>
      </c>
      <c r="R1671" s="301">
        <v>0</v>
      </c>
      <c r="S1671" s="301">
        <v>0</v>
      </c>
      <c r="T1671" s="301">
        <v>0</v>
      </c>
      <c r="U1671" s="301">
        <v>0</v>
      </c>
      <c r="V1671" s="301">
        <v>0</v>
      </c>
      <c r="W1671" s="301">
        <v>0</v>
      </c>
      <c r="X1671" s="301">
        <v>0</v>
      </c>
      <c r="Y1671" s="301">
        <v>0</v>
      </c>
      <c r="Z1671" s="301">
        <v>0</v>
      </c>
      <c r="AA1671" s="301">
        <v>0</v>
      </c>
      <c r="AB1671" s="303" t="s">
        <v>2981</v>
      </c>
    </row>
    <row r="1672" spans="1:28" ht="35.25" x14ac:dyDescent="0.5">
      <c r="A1672">
        <v>1</v>
      </c>
      <c r="B1672" s="80">
        <f>SUBTOTAL(103,$A$808:A1672)</f>
        <v>840</v>
      </c>
      <c r="C1672" s="300" t="s">
        <v>2078</v>
      </c>
      <c r="D1672" s="296">
        <f t="shared" si="75"/>
        <v>321456</v>
      </c>
      <c r="E1672" s="301">
        <v>0</v>
      </c>
      <c r="F1672" s="301">
        <v>0</v>
      </c>
      <c r="G1672" s="301">
        <v>0</v>
      </c>
      <c r="H1672" s="301">
        <v>0</v>
      </c>
      <c r="I1672" s="301">
        <v>0</v>
      </c>
      <c r="J1672" s="301">
        <v>0</v>
      </c>
      <c r="K1672" s="302">
        <v>0</v>
      </c>
      <c r="L1672" s="301">
        <v>0</v>
      </c>
      <c r="M1672" s="301">
        <v>0</v>
      </c>
      <c r="N1672" s="301">
        <v>0</v>
      </c>
      <c r="O1672" s="301">
        <v>321456</v>
      </c>
      <c r="P1672" s="301">
        <v>0</v>
      </c>
      <c r="Q1672" s="301">
        <v>0</v>
      </c>
      <c r="R1672" s="301">
        <v>0</v>
      </c>
      <c r="S1672" s="301">
        <v>0</v>
      </c>
      <c r="T1672" s="301">
        <v>0</v>
      </c>
      <c r="U1672" s="301">
        <v>0</v>
      </c>
      <c r="V1672" s="301">
        <v>0</v>
      </c>
      <c r="W1672" s="301">
        <v>0</v>
      </c>
      <c r="X1672" s="301">
        <v>0</v>
      </c>
      <c r="Y1672" s="301">
        <v>0</v>
      </c>
      <c r="Z1672" s="301">
        <v>0</v>
      </c>
      <c r="AA1672" s="301">
        <v>0</v>
      </c>
      <c r="AB1672" s="303" t="s">
        <v>2981</v>
      </c>
    </row>
    <row r="1673" spans="1:28" ht="35.25" x14ac:dyDescent="0.5">
      <c r="A1673">
        <v>1</v>
      </c>
      <c r="B1673" s="80">
        <f>SUBTOTAL(103,$A$808:A1673)</f>
        <v>841</v>
      </c>
      <c r="C1673" s="300" t="s">
        <v>3163</v>
      </c>
      <c r="D1673" s="296">
        <f t="shared" ref="D1673:D1736" si="85">E1673+F1673+G1673+H1673+I1673+J1673+L1673+M1673+N1673+O1673+P1673+Q1673+R1673+S1673+T1673+U1673+V1673+W1673+X1673+Y1673+Z1673+AA1673</f>
        <v>643500</v>
      </c>
      <c r="E1673" s="301">
        <v>0</v>
      </c>
      <c r="F1673" s="301">
        <v>0</v>
      </c>
      <c r="G1673" s="301">
        <v>0</v>
      </c>
      <c r="H1673" s="301">
        <v>0</v>
      </c>
      <c r="I1673" s="301">
        <v>0</v>
      </c>
      <c r="J1673" s="301">
        <v>0</v>
      </c>
      <c r="K1673" s="302">
        <v>0</v>
      </c>
      <c r="L1673" s="301">
        <v>0</v>
      </c>
      <c r="M1673" s="301">
        <v>0</v>
      </c>
      <c r="N1673" s="301">
        <v>0</v>
      </c>
      <c r="O1673" s="301">
        <v>643500</v>
      </c>
      <c r="P1673" s="301">
        <v>0</v>
      </c>
      <c r="Q1673" s="301">
        <v>0</v>
      </c>
      <c r="R1673" s="301">
        <v>0</v>
      </c>
      <c r="S1673" s="301">
        <v>0</v>
      </c>
      <c r="T1673" s="301">
        <v>0</v>
      </c>
      <c r="U1673" s="301">
        <v>0</v>
      </c>
      <c r="V1673" s="301">
        <v>0</v>
      </c>
      <c r="W1673" s="301">
        <v>0</v>
      </c>
      <c r="X1673" s="301">
        <v>0</v>
      </c>
      <c r="Y1673" s="301">
        <v>0</v>
      </c>
      <c r="Z1673" s="301">
        <v>0</v>
      </c>
      <c r="AA1673" s="301">
        <v>0</v>
      </c>
      <c r="AB1673" s="303" t="s">
        <v>2981</v>
      </c>
    </row>
    <row r="1674" spans="1:28" ht="35.25" x14ac:dyDescent="0.5">
      <c r="B1674" s="299" t="s">
        <v>776</v>
      </c>
      <c r="C1674" s="300"/>
      <c r="D1674" s="296">
        <f t="shared" si="85"/>
        <v>1036923.02</v>
      </c>
      <c r="E1674" s="296">
        <f t="shared" ref="E1674:AA1674" si="86">SUM(E1675:E1677)</f>
        <v>0</v>
      </c>
      <c r="F1674" s="296">
        <f t="shared" si="86"/>
        <v>0</v>
      </c>
      <c r="G1674" s="296">
        <f t="shared" si="86"/>
        <v>0</v>
      </c>
      <c r="H1674" s="296">
        <f t="shared" si="86"/>
        <v>0</v>
      </c>
      <c r="I1674" s="296">
        <f t="shared" si="86"/>
        <v>0</v>
      </c>
      <c r="J1674" s="296">
        <f t="shared" si="86"/>
        <v>0</v>
      </c>
      <c r="K1674" s="297">
        <f t="shared" si="86"/>
        <v>0</v>
      </c>
      <c r="L1674" s="296">
        <f t="shared" si="86"/>
        <v>0</v>
      </c>
      <c r="M1674" s="296">
        <f t="shared" si="86"/>
        <v>550440</v>
      </c>
      <c r="N1674" s="296">
        <f t="shared" si="86"/>
        <v>101700</v>
      </c>
      <c r="O1674" s="296">
        <f t="shared" si="86"/>
        <v>0</v>
      </c>
      <c r="P1674" s="296">
        <f t="shared" si="86"/>
        <v>384783.02</v>
      </c>
      <c r="Q1674" s="296">
        <f t="shared" si="86"/>
        <v>0</v>
      </c>
      <c r="R1674" s="296">
        <f t="shared" si="86"/>
        <v>0</v>
      </c>
      <c r="S1674" s="296">
        <f t="shared" si="86"/>
        <v>0</v>
      </c>
      <c r="T1674" s="296">
        <f t="shared" si="86"/>
        <v>0</v>
      </c>
      <c r="U1674" s="296">
        <f t="shared" si="86"/>
        <v>0</v>
      </c>
      <c r="V1674" s="296">
        <f t="shared" si="86"/>
        <v>0</v>
      </c>
      <c r="W1674" s="296">
        <f t="shared" si="86"/>
        <v>0</v>
      </c>
      <c r="X1674" s="296">
        <f t="shared" si="86"/>
        <v>0</v>
      </c>
      <c r="Y1674" s="296">
        <f t="shared" si="86"/>
        <v>0</v>
      </c>
      <c r="Z1674" s="296">
        <f t="shared" si="86"/>
        <v>0</v>
      </c>
      <c r="AA1674" s="296">
        <f t="shared" si="86"/>
        <v>0</v>
      </c>
      <c r="AB1674" s="298" t="s">
        <v>835</v>
      </c>
    </row>
    <row r="1675" spans="1:28" ht="35.25" x14ac:dyDescent="0.5">
      <c r="A1675">
        <v>1</v>
      </c>
      <c r="B1675" s="80">
        <f>SUBTOTAL(103,$A$808:A1675)</f>
        <v>842</v>
      </c>
      <c r="C1675" s="300" t="s">
        <v>2091</v>
      </c>
      <c r="D1675" s="296">
        <f t="shared" si="85"/>
        <v>384783.02</v>
      </c>
      <c r="E1675" s="301">
        <v>0</v>
      </c>
      <c r="F1675" s="301">
        <v>0</v>
      </c>
      <c r="G1675" s="301">
        <v>0</v>
      </c>
      <c r="H1675" s="301">
        <v>0</v>
      </c>
      <c r="I1675" s="301">
        <v>0</v>
      </c>
      <c r="J1675" s="301">
        <v>0</v>
      </c>
      <c r="K1675" s="302">
        <v>0</v>
      </c>
      <c r="L1675" s="301">
        <v>0</v>
      </c>
      <c r="M1675" s="301">
        <v>0</v>
      </c>
      <c r="N1675" s="301">
        <v>0</v>
      </c>
      <c r="O1675" s="301">
        <v>0</v>
      </c>
      <c r="P1675" s="301">
        <v>384783.02</v>
      </c>
      <c r="Q1675" s="301">
        <v>0</v>
      </c>
      <c r="R1675" s="301">
        <v>0</v>
      </c>
      <c r="S1675" s="301">
        <v>0</v>
      </c>
      <c r="T1675" s="301">
        <v>0</v>
      </c>
      <c r="U1675" s="301">
        <v>0</v>
      </c>
      <c r="V1675" s="301">
        <v>0</v>
      </c>
      <c r="W1675" s="301">
        <v>0</v>
      </c>
      <c r="X1675" s="301">
        <v>0</v>
      </c>
      <c r="Y1675" s="301">
        <v>0</v>
      </c>
      <c r="Z1675" s="301">
        <v>0</v>
      </c>
      <c r="AA1675" s="301">
        <v>0</v>
      </c>
      <c r="AB1675" s="303" t="s">
        <v>2981</v>
      </c>
    </row>
    <row r="1676" spans="1:28" ht="35.25" x14ac:dyDescent="0.5">
      <c r="A1676">
        <v>1</v>
      </c>
      <c r="B1676" s="80">
        <f>SUBTOTAL(103,$A$808:A1676)</f>
        <v>843</v>
      </c>
      <c r="C1676" s="300" t="s">
        <v>3164</v>
      </c>
      <c r="D1676" s="296">
        <f t="shared" si="85"/>
        <v>550440</v>
      </c>
      <c r="E1676" s="301">
        <v>0</v>
      </c>
      <c r="F1676" s="301">
        <v>0</v>
      </c>
      <c r="G1676" s="301">
        <v>0</v>
      </c>
      <c r="H1676" s="301">
        <v>0</v>
      </c>
      <c r="I1676" s="301">
        <v>0</v>
      </c>
      <c r="J1676" s="301">
        <v>0</v>
      </c>
      <c r="K1676" s="302">
        <v>0</v>
      </c>
      <c r="L1676" s="301">
        <v>0</v>
      </c>
      <c r="M1676" s="301">
        <v>550440</v>
      </c>
      <c r="N1676" s="301">
        <v>0</v>
      </c>
      <c r="O1676" s="301">
        <v>0</v>
      </c>
      <c r="P1676" s="301">
        <v>0</v>
      </c>
      <c r="Q1676" s="301">
        <v>0</v>
      </c>
      <c r="R1676" s="301">
        <v>0</v>
      </c>
      <c r="S1676" s="301">
        <v>0</v>
      </c>
      <c r="T1676" s="301">
        <v>0</v>
      </c>
      <c r="U1676" s="301">
        <v>0</v>
      </c>
      <c r="V1676" s="301">
        <v>0</v>
      </c>
      <c r="W1676" s="301">
        <v>0</v>
      </c>
      <c r="X1676" s="301">
        <v>0</v>
      </c>
      <c r="Y1676" s="301">
        <v>0</v>
      </c>
      <c r="Z1676" s="301">
        <v>0</v>
      </c>
      <c r="AA1676" s="301">
        <v>0</v>
      </c>
      <c r="AB1676" s="303" t="s">
        <v>2981</v>
      </c>
    </row>
    <row r="1677" spans="1:28" ht="35.25" x14ac:dyDescent="0.5">
      <c r="A1677">
        <v>1</v>
      </c>
      <c r="B1677" s="80">
        <f>SUBTOTAL(103,$A$808:A1677)</f>
        <v>844</v>
      </c>
      <c r="C1677" s="300" t="s">
        <v>3165</v>
      </c>
      <c r="D1677" s="296">
        <f t="shared" si="85"/>
        <v>101700</v>
      </c>
      <c r="E1677" s="301">
        <v>0</v>
      </c>
      <c r="F1677" s="301">
        <v>0</v>
      </c>
      <c r="G1677" s="301">
        <v>0</v>
      </c>
      <c r="H1677" s="301">
        <v>0</v>
      </c>
      <c r="I1677" s="301">
        <v>0</v>
      </c>
      <c r="J1677" s="301">
        <v>0</v>
      </c>
      <c r="K1677" s="302">
        <v>0</v>
      </c>
      <c r="L1677" s="301">
        <v>0</v>
      </c>
      <c r="M1677" s="301">
        <v>0</v>
      </c>
      <c r="N1677" s="301">
        <v>101700</v>
      </c>
      <c r="O1677" s="301">
        <v>0</v>
      </c>
      <c r="P1677" s="301">
        <v>0</v>
      </c>
      <c r="Q1677" s="301">
        <v>0</v>
      </c>
      <c r="R1677" s="301">
        <v>0</v>
      </c>
      <c r="S1677" s="301">
        <v>0</v>
      </c>
      <c r="T1677" s="301">
        <v>0</v>
      </c>
      <c r="U1677" s="301">
        <v>0</v>
      </c>
      <c r="V1677" s="301">
        <v>0</v>
      </c>
      <c r="W1677" s="301">
        <v>0</v>
      </c>
      <c r="X1677" s="301">
        <v>0</v>
      </c>
      <c r="Y1677" s="301">
        <v>0</v>
      </c>
      <c r="Z1677" s="301">
        <v>0</v>
      </c>
      <c r="AA1677" s="301">
        <v>0</v>
      </c>
      <c r="AB1677" s="303" t="s">
        <v>2981</v>
      </c>
    </row>
    <row r="1678" spans="1:28" ht="35.25" x14ac:dyDescent="0.5">
      <c r="B1678" s="299" t="s">
        <v>780</v>
      </c>
      <c r="C1678" s="300"/>
      <c r="D1678" s="296">
        <f t="shared" si="85"/>
        <v>177965.57</v>
      </c>
      <c r="E1678" s="296">
        <f t="shared" ref="E1678:AA1678" si="87">E1679</f>
        <v>0</v>
      </c>
      <c r="F1678" s="296">
        <f t="shared" si="87"/>
        <v>0</v>
      </c>
      <c r="G1678" s="296">
        <f t="shared" si="87"/>
        <v>0</v>
      </c>
      <c r="H1678" s="296">
        <f t="shared" si="87"/>
        <v>0</v>
      </c>
      <c r="I1678" s="296">
        <f t="shared" si="87"/>
        <v>0</v>
      </c>
      <c r="J1678" s="296">
        <f t="shared" si="87"/>
        <v>0</v>
      </c>
      <c r="K1678" s="297">
        <f t="shared" si="87"/>
        <v>0</v>
      </c>
      <c r="L1678" s="296">
        <f t="shared" si="87"/>
        <v>0</v>
      </c>
      <c r="M1678" s="296">
        <f t="shared" si="87"/>
        <v>177965.57</v>
      </c>
      <c r="N1678" s="296">
        <f t="shared" si="87"/>
        <v>0</v>
      </c>
      <c r="O1678" s="296">
        <f t="shared" si="87"/>
        <v>0</v>
      </c>
      <c r="P1678" s="296">
        <f t="shared" si="87"/>
        <v>0</v>
      </c>
      <c r="Q1678" s="296">
        <f t="shared" si="87"/>
        <v>0</v>
      </c>
      <c r="R1678" s="296">
        <f t="shared" si="87"/>
        <v>0</v>
      </c>
      <c r="S1678" s="296">
        <f t="shared" si="87"/>
        <v>0</v>
      </c>
      <c r="T1678" s="296">
        <f t="shared" si="87"/>
        <v>0</v>
      </c>
      <c r="U1678" s="296">
        <f t="shared" si="87"/>
        <v>0</v>
      </c>
      <c r="V1678" s="296">
        <f t="shared" si="87"/>
        <v>0</v>
      </c>
      <c r="W1678" s="296">
        <f t="shared" si="87"/>
        <v>0</v>
      </c>
      <c r="X1678" s="296">
        <f t="shared" si="87"/>
        <v>0</v>
      </c>
      <c r="Y1678" s="296">
        <f t="shared" si="87"/>
        <v>0</v>
      </c>
      <c r="Z1678" s="296">
        <f t="shared" si="87"/>
        <v>0</v>
      </c>
      <c r="AA1678" s="296">
        <f t="shared" si="87"/>
        <v>0</v>
      </c>
      <c r="AB1678" s="298" t="s">
        <v>835</v>
      </c>
    </row>
    <row r="1679" spans="1:28" ht="35.25" x14ac:dyDescent="0.5">
      <c r="A1679">
        <v>1</v>
      </c>
      <c r="B1679" s="80">
        <f>SUBTOTAL(103,$A$808:A1679)</f>
        <v>845</v>
      </c>
      <c r="C1679" s="300" t="s">
        <v>3166</v>
      </c>
      <c r="D1679" s="296">
        <f t="shared" si="85"/>
        <v>177965.57</v>
      </c>
      <c r="E1679" s="301">
        <v>0</v>
      </c>
      <c r="F1679" s="301">
        <v>0</v>
      </c>
      <c r="G1679" s="301">
        <v>0</v>
      </c>
      <c r="H1679" s="301">
        <v>0</v>
      </c>
      <c r="I1679" s="301">
        <v>0</v>
      </c>
      <c r="J1679" s="301">
        <v>0</v>
      </c>
      <c r="K1679" s="302">
        <v>0</v>
      </c>
      <c r="L1679" s="301">
        <v>0</v>
      </c>
      <c r="M1679" s="301">
        <v>177965.57</v>
      </c>
      <c r="N1679" s="301">
        <v>0</v>
      </c>
      <c r="O1679" s="301">
        <v>0</v>
      </c>
      <c r="P1679" s="301">
        <v>0</v>
      </c>
      <c r="Q1679" s="301">
        <v>0</v>
      </c>
      <c r="R1679" s="301">
        <v>0</v>
      </c>
      <c r="S1679" s="301">
        <v>0</v>
      </c>
      <c r="T1679" s="301">
        <v>0</v>
      </c>
      <c r="U1679" s="301">
        <v>0</v>
      </c>
      <c r="V1679" s="301">
        <v>0</v>
      </c>
      <c r="W1679" s="301">
        <v>0</v>
      </c>
      <c r="X1679" s="301">
        <v>0</v>
      </c>
      <c r="Y1679" s="301">
        <v>0</v>
      </c>
      <c r="Z1679" s="301">
        <v>0</v>
      </c>
      <c r="AA1679" s="301">
        <v>0</v>
      </c>
      <c r="AB1679" s="303" t="s">
        <v>2981</v>
      </c>
    </row>
    <row r="1680" spans="1:28" ht="35.25" x14ac:dyDescent="0.5">
      <c r="B1680" s="299" t="s">
        <v>799</v>
      </c>
      <c r="C1680" s="300"/>
      <c r="D1680" s="296">
        <f t="shared" si="85"/>
        <v>590752.19999999995</v>
      </c>
      <c r="E1680" s="296">
        <f t="shared" ref="E1680:AA1680" si="88">E1681</f>
        <v>0</v>
      </c>
      <c r="F1680" s="296">
        <f t="shared" si="88"/>
        <v>0</v>
      </c>
      <c r="G1680" s="296">
        <f t="shared" si="88"/>
        <v>0</v>
      </c>
      <c r="H1680" s="296">
        <f t="shared" si="88"/>
        <v>0</v>
      </c>
      <c r="I1680" s="296">
        <f t="shared" si="88"/>
        <v>0</v>
      </c>
      <c r="J1680" s="296">
        <f t="shared" si="88"/>
        <v>0</v>
      </c>
      <c r="K1680" s="297">
        <f t="shared" si="88"/>
        <v>0</v>
      </c>
      <c r="L1680" s="296">
        <f t="shared" si="88"/>
        <v>0</v>
      </c>
      <c r="M1680" s="296">
        <f t="shared" si="88"/>
        <v>590752.19999999995</v>
      </c>
      <c r="N1680" s="296">
        <f t="shared" si="88"/>
        <v>0</v>
      </c>
      <c r="O1680" s="296">
        <f t="shared" si="88"/>
        <v>0</v>
      </c>
      <c r="P1680" s="296">
        <f t="shared" si="88"/>
        <v>0</v>
      </c>
      <c r="Q1680" s="296">
        <f t="shared" si="88"/>
        <v>0</v>
      </c>
      <c r="R1680" s="296">
        <f t="shared" si="88"/>
        <v>0</v>
      </c>
      <c r="S1680" s="296">
        <f t="shared" si="88"/>
        <v>0</v>
      </c>
      <c r="T1680" s="296">
        <f t="shared" si="88"/>
        <v>0</v>
      </c>
      <c r="U1680" s="296">
        <f t="shared" si="88"/>
        <v>0</v>
      </c>
      <c r="V1680" s="296">
        <f t="shared" si="88"/>
        <v>0</v>
      </c>
      <c r="W1680" s="296">
        <f t="shared" si="88"/>
        <v>0</v>
      </c>
      <c r="X1680" s="296">
        <f t="shared" si="88"/>
        <v>0</v>
      </c>
      <c r="Y1680" s="296">
        <f t="shared" si="88"/>
        <v>0</v>
      </c>
      <c r="Z1680" s="296">
        <f t="shared" si="88"/>
        <v>0</v>
      </c>
      <c r="AA1680" s="296">
        <f t="shared" si="88"/>
        <v>0</v>
      </c>
      <c r="AB1680" s="303" t="s">
        <v>835</v>
      </c>
    </row>
    <row r="1681" spans="1:28" ht="35.25" x14ac:dyDescent="0.5">
      <c r="A1681">
        <v>1</v>
      </c>
      <c r="B1681" s="80">
        <f>SUBTOTAL(103,$A$808:A1681)</f>
        <v>846</v>
      </c>
      <c r="C1681" s="300" t="s">
        <v>3167</v>
      </c>
      <c r="D1681" s="296">
        <f t="shared" si="85"/>
        <v>590752.19999999995</v>
      </c>
      <c r="E1681" s="301">
        <v>0</v>
      </c>
      <c r="F1681" s="301">
        <v>0</v>
      </c>
      <c r="G1681" s="301">
        <v>0</v>
      </c>
      <c r="H1681" s="301">
        <v>0</v>
      </c>
      <c r="I1681" s="301">
        <v>0</v>
      </c>
      <c r="J1681" s="301">
        <v>0</v>
      </c>
      <c r="K1681" s="302">
        <v>0</v>
      </c>
      <c r="L1681" s="301">
        <v>0</v>
      </c>
      <c r="M1681" s="301">
        <v>590752.19999999995</v>
      </c>
      <c r="N1681" s="301">
        <v>0</v>
      </c>
      <c r="O1681" s="301">
        <v>0</v>
      </c>
      <c r="P1681" s="301">
        <v>0</v>
      </c>
      <c r="Q1681" s="301">
        <v>0</v>
      </c>
      <c r="R1681" s="301">
        <v>0</v>
      </c>
      <c r="S1681" s="301">
        <v>0</v>
      </c>
      <c r="T1681" s="301">
        <v>0</v>
      </c>
      <c r="U1681" s="301">
        <v>0</v>
      </c>
      <c r="V1681" s="301">
        <v>0</v>
      </c>
      <c r="W1681" s="301">
        <v>0</v>
      </c>
      <c r="X1681" s="301">
        <v>0</v>
      </c>
      <c r="Y1681" s="301">
        <v>0</v>
      </c>
      <c r="Z1681" s="301">
        <v>0</v>
      </c>
      <c r="AA1681" s="301">
        <v>0</v>
      </c>
      <c r="AB1681" s="303" t="s">
        <v>2981</v>
      </c>
    </row>
    <row r="1682" spans="1:28" ht="35.25" x14ac:dyDescent="0.5">
      <c r="B1682" s="300" t="s">
        <v>806</v>
      </c>
      <c r="C1682" s="300"/>
      <c r="D1682" s="296">
        <f t="shared" si="85"/>
        <v>732450</v>
      </c>
      <c r="E1682" s="296">
        <f t="shared" ref="E1682:AA1682" si="89">SUM(E1683:E1687)</f>
        <v>0</v>
      </c>
      <c r="F1682" s="296">
        <f t="shared" si="89"/>
        <v>0</v>
      </c>
      <c r="G1682" s="296">
        <f t="shared" si="89"/>
        <v>0</v>
      </c>
      <c r="H1682" s="296">
        <f t="shared" si="89"/>
        <v>0</v>
      </c>
      <c r="I1682" s="296">
        <f t="shared" si="89"/>
        <v>0</v>
      </c>
      <c r="J1682" s="296">
        <f t="shared" si="89"/>
        <v>0</v>
      </c>
      <c r="K1682" s="297">
        <f t="shared" si="89"/>
        <v>0</v>
      </c>
      <c r="L1682" s="296">
        <f t="shared" si="89"/>
        <v>0</v>
      </c>
      <c r="M1682" s="296">
        <f t="shared" si="89"/>
        <v>0</v>
      </c>
      <c r="N1682" s="296">
        <f t="shared" si="89"/>
        <v>0</v>
      </c>
      <c r="O1682" s="296">
        <f t="shared" si="89"/>
        <v>732450</v>
      </c>
      <c r="P1682" s="296">
        <f t="shared" si="89"/>
        <v>0</v>
      </c>
      <c r="Q1682" s="296">
        <f t="shared" si="89"/>
        <v>0</v>
      </c>
      <c r="R1682" s="296">
        <f t="shared" si="89"/>
        <v>0</v>
      </c>
      <c r="S1682" s="296">
        <f t="shared" si="89"/>
        <v>0</v>
      </c>
      <c r="T1682" s="296">
        <f t="shared" si="89"/>
        <v>0</v>
      </c>
      <c r="U1682" s="296">
        <f t="shared" si="89"/>
        <v>0</v>
      </c>
      <c r="V1682" s="296">
        <f t="shared" si="89"/>
        <v>0</v>
      </c>
      <c r="W1682" s="296">
        <f t="shared" si="89"/>
        <v>0</v>
      </c>
      <c r="X1682" s="296">
        <f t="shared" si="89"/>
        <v>0</v>
      </c>
      <c r="Y1682" s="296">
        <f t="shared" si="89"/>
        <v>0</v>
      </c>
      <c r="Z1682" s="296">
        <f t="shared" si="89"/>
        <v>0</v>
      </c>
      <c r="AA1682" s="296">
        <f t="shared" si="89"/>
        <v>0</v>
      </c>
      <c r="AB1682" s="298" t="s">
        <v>835</v>
      </c>
    </row>
    <row r="1683" spans="1:28" ht="35.25" x14ac:dyDescent="0.5">
      <c r="A1683">
        <v>1</v>
      </c>
      <c r="B1683" s="80">
        <f>SUBTOTAL(103,$A$808:A1683)</f>
        <v>847</v>
      </c>
      <c r="C1683" s="300" t="s">
        <v>3168</v>
      </c>
      <c r="D1683" s="296">
        <f t="shared" si="85"/>
        <v>102850</v>
      </c>
      <c r="E1683" s="301">
        <v>0</v>
      </c>
      <c r="F1683" s="301">
        <v>0</v>
      </c>
      <c r="G1683" s="301">
        <v>0</v>
      </c>
      <c r="H1683" s="301">
        <v>0</v>
      </c>
      <c r="I1683" s="301">
        <v>0</v>
      </c>
      <c r="J1683" s="301">
        <v>0</v>
      </c>
      <c r="K1683" s="302">
        <v>0</v>
      </c>
      <c r="L1683" s="301">
        <v>0</v>
      </c>
      <c r="M1683" s="301">
        <v>0</v>
      </c>
      <c r="N1683" s="301">
        <v>0</v>
      </c>
      <c r="O1683" s="301">
        <v>102850</v>
      </c>
      <c r="P1683" s="301">
        <v>0</v>
      </c>
      <c r="Q1683" s="301">
        <v>0</v>
      </c>
      <c r="R1683" s="301">
        <v>0</v>
      </c>
      <c r="S1683" s="301">
        <v>0</v>
      </c>
      <c r="T1683" s="301">
        <v>0</v>
      </c>
      <c r="U1683" s="301">
        <v>0</v>
      </c>
      <c r="V1683" s="301">
        <v>0</v>
      </c>
      <c r="W1683" s="301">
        <v>0</v>
      </c>
      <c r="X1683" s="301">
        <v>0</v>
      </c>
      <c r="Y1683" s="301">
        <v>0</v>
      </c>
      <c r="Z1683" s="301">
        <v>0</v>
      </c>
      <c r="AA1683" s="301">
        <v>0</v>
      </c>
      <c r="AB1683" s="303" t="s">
        <v>2981</v>
      </c>
    </row>
    <row r="1684" spans="1:28" ht="35.25" x14ac:dyDescent="0.5">
      <c r="A1684">
        <v>1</v>
      </c>
      <c r="B1684" s="80">
        <f>SUBTOTAL(103,$A$808:A1684)</f>
        <v>848</v>
      </c>
      <c r="C1684" s="300" t="s">
        <v>3169</v>
      </c>
      <c r="D1684" s="296">
        <f t="shared" si="85"/>
        <v>102850</v>
      </c>
      <c r="E1684" s="301">
        <v>0</v>
      </c>
      <c r="F1684" s="301">
        <v>0</v>
      </c>
      <c r="G1684" s="301">
        <v>0</v>
      </c>
      <c r="H1684" s="301">
        <v>0</v>
      </c>
      <c r="I1684" s="301">
        <v>0</v>
      </c>
      <c r="J1684" s="301">
        <v>0</v>
      </c>
      <c r="K1684" s="302">
        <v>0</v>
      </c>
      <c r="L1684" s="301">
        <v>0</v>
      </c>
      <c r="M1684" s="301">
        <v>0</v>
      </c>
      <c r="N1684" s="301">
        <v>0</v>
      </c>
      <c r="O1684" s="301">
        <v>102850</v>
      </c>
      <c r="P1684" s="301">
        <v>0</v>
      </c>
      <c r="Q1684" s="301">
        <v>0</v>
      </c>
      <c r="R1684" s="301">
        <v>0</v>
      </c>
      <c r="S1684" s="301">
        <v>0</v>
      </c>
      <c r="T1684" s="301">
        <v>0</v>
      </c>
      <c r="U1684" s="301">
        <v>0</v>
      </c>
      <c r="V1684" s="301">
        <v>0</v>
      </c>
      <c r="W1684" s="301">
        <v>0</v>
      </c>
      <c r="X1684" s="301">
        <v>0</v>
      </c>
      <c r="Y1684" s="301">
        <v>0</v>
      </c>
      <c r="Z1684" s="301">
        <v>0</v>
      </c>
      <c r="AA1684" s="301">
        <v>0</v>
      </c>
      <c r="AB1684" s="303" t="s">
        <v>2981</v>
      </c>
    </row>
    <row r="1685" spans="1:28" ht="35.25" x14ac:dyDescent="0.5">
      <c r="A1685">
        <v>1</v>
      </c>
      <c r="B1685" s="80">
        <f>SUBTOTAL(103,$A$808:A1685)</f>
        <v>849</v>
      </c>
      <c r="C1685" s="300" t="s">
        <v>3170</v>
      </c>
      <c r="D1685" s="296">
        <f t="shared" si="85"/>
        <v>102850</v>
      </c>
      <c r="E1685" s="301">
        <v>0</v>
      </c>
      <c r="F1685" s="301">
        <v>0</v>
      </c>
      <c r="G1685" s="301">
        <v>0</v>
      </c>
      <c r="H1685" s="301">
        <v>0</v>
      </c>
      <c r="I1685" s="301">
        <v>0</v>
      </c>
      <c r="J1685" s="301">
        <v>0</v>
      </c>
      <c r="K1685" s="302">
        <v>0</v>
      </c>
      <c r="L1685" s="301">
        <v>0</v>
      </c>
      <c r="M1685" s="301">
        <v>0</v>
      </c>
      <c r="N1685" s="301">
        <v>0</v>
      </c>
      <c r="O1685" s="301">
        <v>102850</v>
      </c>
      <c r="P1685" s="301">
        <v>0</v>
      </c>
      <c r="Q1685" s="301">
        <v>0</v>
      </c>
      <c r="R1685" s="301">
        <v>0</v>
      </c>
      <c r="S1685" s="301">
        <v>0</v>
      </c>
      <c r="T1685" s="301">
        <v>0</v>
      </c>
      <c r="U1685" s="301">
        <v>0</v>
      </c>
      <c r="V1685" s="301">
        <v>0</v>
      </c>
      <c r="W1685" s="301">
        <v>0</v>
      </c>
      <c r="X1685" s="301">
        <v>0</v>
      </c>
      <c r="Y1685" s="301">
        <v>0</v>
      </c>
      <c r="Z1685" s="301">
        <v>0</v>
      </c>
      <c r="AA1685" s="301">
        <v>0</v>
      </c>
      <c r="AB1685" s="303" t="s">
        <v>2981</v>
      </c>
    </row>
    <row r="1686" spans="1:28" ht="35.25" x14ac:dyDescent="0.5">
      <c r="A1686">
        <v>1</v>
      </c>
      <c r="B1686" s="80">
        <f>SUBTOTAL(103,$A$808:A1686)</f>
        <v>850</v>
      </c>
      <c r="C1686" s="300" t="s">
        <v>3171</v>
      </c>
      <c r="D1686" s="296">
        <f t="shared" si="85"/>
        <v>202300</v>
      </c>
      <c r="E1686" s="301">
        <v>0</v>
      </c>
      <c r="F1686" s="301">
        <v>0</v>
      </c>
      <c r="G1686" s="301">
        <v>0</v>
      </c>
      <c r="H1686" s="301">
        <v>0</v>
      </c>
      <c r="I1686" s="301">
        <v>0</v>
      </c>
      <c r="J1686" s="301">
        <v>0</v>
      </c>
      <c r="K1686" s="302">
        <v>0</v>
      </c>
      <c r="L1686" s="301">
        <v>0</v>
      </c>
      <c r="M1686" s="301">
        <v>0</v>
      </c>
      <c r="N1686" s="301">
        <v>0</v>
      </c>
      <c r="O1686" s="301">
        <v>202300</v>
      </c>
      <c r="P1686" s="301">
        <v>0</v>
      </c>
      <c r="Q1686" s="301">
        <v>0</v>
      </c>
      <c r="R1686" s="301">
        <v>0</v>
      </c>
      <c r="S1686" s="301">
        <v>0</v>
      </c>
      <c r="T1686" s="301">
        <v>0</v>
      </c>
      <c r="U1686" s="301">
        <v>0</v>
      </c>
      <c r="V1686" s="301">
        <v>0</v>
      </c>
      <c r="W1686" s="301">
        <v>0</v>
      </c>
      <c r="X1686" s="301">
        <v>0</v>
      </c>
      <c r="Y1686" s="301">
        <v>0</v>
      </c>
      <c r="Z1686" s="301">
        <v>0</v>
      </c>
      <c r="AA1686" s="301">
        <v>0</v>
      </c>
      <c r="AB1686" s="303" t="s">
        <v>2981</v>
      </c>
    </row>
    <row r="1687" spans="1:28" ht="35.25" x14ac:dyDescent="0.5">
      <c r="A1687">
        <v>1</v>
      </c>
      <c r="B1687" s="80">
        <f>SUBTOTAL(103,$A$808:A1687)</f>
        <v>851</v>
      </c>
      <c r="C1687" s="300" t="s">
        <v>3172</v>
      </c>
      <c r="D1687" s="296">
        <f t="shared" si="85"/>
        <v>221600</v>
      </c>
      <c r="E1687" s="301">
        <v>0</v>
      </c>
      <c r="F1687" s="301">
        <v>0</v>
      </c>
      <c r="G1687" s="301">
        <v>0</v>
      </c>
      <c r="H1687" s="301">
        <v>0</v>
      </c>
      <c r="I1687" s="301">
        <v>0</v>
      </c>
      <c r="J1687" s="301">
        <v>0</v>
      </c>
      <c r="K1687" s="302">
        <v>0</v>
      </c>
      <c r="L1687" s="301">
        <v>0</v>
      </c>
      <c r="M1687" s="301">
        <v>0</v>
      </c>
      <c r="N1687" s="301">
        <v>0</v>
      </c>
      <c r="O1687" s="301">
        <v>221600</v>
      </c>
      <c r="P1687" s="301">
        <v>0</v>
      </c>
      <c r="Q1687" s="301">
        <v>0</v>
      </c>
      <c r="R1687" s="301">
        <v>0</v>
      </c>
      <c r="S1687" s="301">
        <v>0</v>
      </c>
      <c r="T1687" s="301">
        <v>0</v>
      </c>
      <c r="U1687" s="301">
        <v>0</v>
      </c>
      <c r="V1687" s="301">
        <v>0</v>
      </c>
      <c r="W1687" s="301">
        <v>0</v>
      </c>
      <c r="X1687" s="301">
        <v>0</v>
      </c>
      <c r="Y1687" s="301">
        <v>0</v>
      </c>
      <c r="Z1687" s="301">
        <v>0</v>
      </c>
      <c r="AA1687" s="301">
        <v>0</v>
      </c>
      <c r="AB1687" s="303" t="s">
        <v>2981</v>
      </c>
    </row>
    <row r="1688" spans="1:28" ht="35.25" x14ac:dyDescent="0.5">
      <c r="B1688" s="299" t="s">
        <v>817</v>
      </c>
      <c r="C1688" s="300"/>
      <c r="D1688" s="296">
        <f t="shared" si="85"/>
        <v>190000</v>
      </c>
      <c r="E1688" s="296">
        <f t="shared" ref="E1688:AA1688" si="90">SUM(E1689)</f>
        <v>0</v>
      </c>
      <c r="F1688" s="296">
        <f t="shared" si="90"/>
        <v>0</v>
      </c>
      <c r="G1688" s="296">
        <f t="shared" si="90"/>
        <v>0</v>
      </c>
      <c r="H1688" s="296">
        <f t="shared" si="90"/>
        <v>0</v>
      </c>
      <c r="I1688" s="296">
        <f t="shared" si="90"/>
        <v>0</v>
      </c>
      <c r="J1688" s="296">
        <f t="shared" si="90"/>
        <v>0</v>
      </c>
      <c r="K1688" s="297">
        <f t="shared" si="90"/>
        <v>0</v>
      </c>
      <c r="L1688" s="296">
        <f t="shared" si="90"/>
        <v>0</v>
      </c>
      <c r="M1688" s="296">
        <f t="shared" si="90"/>
        <v>0</v>
      </c>
      <c r="N1688" s="296">
        <f t="shared" si="90"/>
        <v>0</v>
      </c>
      <c r="O1688" s="296">
        <f t="shared" si="90"/>
        <v>190000</v>
      </c>
      <c r="P1688" s="296">
        <f t="shared" si="90"/>
        <v>0</v>
      </c>
      <c r="Q1688" s="296">
        <f t="shared" si="90"/>
        <v>0</v>
      </c>
      <c r="R1688" s="296">
        <f t="shared" si="90"/>
        <v>0</v>
      </c>
      <c r="S1688" s="296">
        <f t="shared" si="90"/>
        <v>0</v>
      </c>
      <c r="T1688" s="296">
        <f t="shared" si="90"/>
        <v>0</v>
      </c>
      <c r="U1688" s="296">
        <f t="shared" si="90"/>
        <v>0</v>
      </c>
      <c r="V1688" s="296">
        <f t="shared" si="90"/>
        <v>0</v>
      </c>
      <c r="W1688" s="296">
        <f t="shared" si="90"/>
        <v>0</v>
      </c>
      <c r="X1688" s="296">
        <f t="shared" si="90"/>
        <v>0</v>
      </c>
      <c r="Y1688" s="296">
        <f t="shared" si="90"/>
        <v>0</v>
      </c>
      <c r="Z1688" s="296">
        <f t="shared" si="90"/>
        <v>0</v>
      </c>
      <c r="AA1688" s="296">
        <f t="shared" si="90"/>
        <v>0</v>
      </c>
      <c r="AB1688" s="298" t="s">
        <v>835</v>
      </c>
    </row>
    <row r="1689" spans="1:28" ht="35.25" x14ac:dyDescent="0.5">
      <c r="A1689">
        <v>1</v>
      </c>
      <c r="B1689" s="80">
        <f>SUBTOTAL(103,$A$808:A1689)</f>
        <v>852</v>
      </c>
      <c r="C1689" s="300" t="s">
        <v>3173</v>
      </c>
      <c r="D1689" s="296">
        <f t="shared" si="85"/>
        <v>190000</v>
      </c>
      <c r="E1689" s="301">
        <v>0</v>
      </c>
      <c r="F1689" s="301">
        <v>0</v>
      </c>
      <c r="G1689" s="301">
        <v>0</v>
      </c>
      <c r="H1689" s="301">
        <v>0</v>
      </c>
      <c r="I1689" s="301">
        <v>0</v>
      </c>
      <c r="J1689" s="301">
        <v>0</v>
      </c>
      <c r="K1689" s="302">
        <v>0</v>
      </c>
      <c r="L1689" s="301">
        <v>0</v>
      </c>
      <c r="M1689" s="301">
        <v>0</v>
      </c>
      <c r="N1689" s="301">
        <v>0</v>
      </c>
      <c r="O1689" s="301">
        <v>190000</v>
      </c>
      <c r="P1689" s="301">
        <v>0</v>
      </c>
      <c r="Q1689" s="301">
        <v>0</v>
      </c>
      <c r="R1689" s="301">
        <v>0</v>
      </c>
      <c r="S1689" s="301">
        <v>0</v>
      </c>
      <c r="T1689" s="301">
        <v>0</v>
      </c>
      <c r="U1689" s="301">
        <v>0</v>
      </c>
      <c r="V1689" s="301">
        <v>0</v>
      </c>
      <c r="W1689" s="301">
        <v>0</v>
      </c>
      <c r="X1689" s="301">
        <v>0</v>
      </c>
      <c r="Y1689" s="301">
        <v>0</v>
      </c>
      <c r="Z1689" s="301">
        <v>0</v>
      </c>
      <c r="AA1689" s="301">
        <v>0</v>
      </c>
      <c r="AB1689" s="303">
        <v>2021</v>
      </c>
    </row>
    <row r="1690" spans="1:28" ht="35.25" x14ac:dyDescent="0.5">
      <c r="B1690" s="299" t="s">
        <v>779</v>
      </c>
      <c r="C1690" s="300"/>
      <c r="D1690" s="296">
        <f t="shared" si="85"/>
        <v>3754960</v>
      </c>
      <c r="E1690" s="296">
        <f t="shared" ref="E1690:AA1690" si="91">SUM(E1691:E1692)</f>
        <v>0</v>
      </c>
      <c r="F1690" s="296">
        <f t="shared" si="91"/>
        <v>0</v>
      </c>
      <c r="G1690" s="296">
        <f t="shared" si="91"/>
        <v>0</v>
      </c>
      <c r="H1690" s="296">
        <f t="shared" si="91"/>
        <v>0</v>
      </c>
      <c r="I1690" s="296">
        <f t="shared" si="91"/>
        <v>0</v>
      </c>
      <c r="J1690" s="296">
        <f t="shared" si="91"/>
        <v>0</v>
      </c>
      <c r="K1690" s="297">
        <f t="shared" si="91"/>
        <v>0</v>
      </c>
      <c r="L1690" s="296">
        <f t="shared" si="91"/>
        <v>0</v>
      </c>
      <c r="M1690" s="296">
        <f t="shared" si="91"/>
        <v>3754960</v>
      </c>
      <c r="N1690" s="296">
        <f t="shared" si="91"/>
        <v>0</v>
      </c>
      <c r="O1690" s="296">
        <f t="shared" si="91"/>
        <v>0</v>
      </c>
      <c r="P1690" s="296">
        <f t="shared" si="91"/>
        <v>0</v>
      </c>
      <c r="Q1690" s="296">
        <f t="shared" si="91"/>
        <v>0</v>
      </c>
      <c r="R1690" s="296">
        <f t="shared" si="91"/>
        <v>0</v>
      </c>
      <c r="S1690" s="296">
        <f t="shared" si="91"/>
        <v>0</v>
      </c>
      <c r="T1690" s="296">
        <f t="shared" si="91"/>
        <v>0</v>
      </c>
      <c r="U1690" s="296">
        <f t="shared" si="91"/>
        <v>0</v>
      </c>
      <c r="V1690" s="296">
        <f t="shared" si="91"/>
        <v>0</v>
      </c>
      <c r="W1690" s="296">
        <f t="shared" si="91"/>
        <v>0</v>
      </c>
      <c r="X1690" s="296">
        <f t="shared" si="91"/>
        <v>0</v>
      </c>
      <c r="Y1690" s="296">
        <f t="shared" si="91"/>
        <v>0</v>
      </c>
      <c r="Z1690" s="296">
        <f t="shared" si="91"/>
        <v>0</v>
      </c>
      <c r="AA1690" s="296">
        <f t="shared" si="91"/>
        <v>0</v>
      </c>
      <c r="AB1690" s="298" t="s">
        <v>835</v>
      </c>
    </row>
    <row r="1691" spans="1:28" ht="35.25" x14ac:dyDescent="0.5">
      <c r="A1691">
        <v>1</v>
      </c>
      <c r="B1691" s="80">
        <f>SUBTOTAL(103,$A$808:A1691)</f>
        <v>853</v>
      </c>
      <c r="C1691" s="300" t="s">
        <v>3174</v>
      </c>
      <c r="D1691" s="296">
        <f t="shared" si="85"/>
        <v>1938080</v>
      </c>
      <c r="E1691" s="301">
        <v>0</v>
      </c>
      <c r="F1691" s="301">
        <v>0</v>
      </c>
      <c r="G1691" s="301">
        <v>0</v>
      </c>
      <c r="H1691" s="301">
        <v>0</v>
      </c>
      <c r="I1691" s="301">
        <v>0</v>
      </c>
      <c r="J1691" s="301">
        <v>0</v>
      </c>
      <c r="K1691" s="302">
        <v>0</v>
      </c>
      <c r="L1691" s="301">
        <v>0</v>
      </c>
      <c r="M1691" s="301">
        <v>1938080</v>
      </c>
      <c r="N1691" s="301">
        <v>0</v>
      </c>
      <c r="O1691" s="301">
        <v>0</v>
      </c>
      <c r="P1691" s="301">
        <v>0</v>
      </c>
      <c r="Q1691" s="301">
        <v>0</v>
      </c>
      <c r="R1691" s="301">
        <v>0</v>
      </c>
      <c r="S1691" s="301">
        <v>0</v>
      </c>
      <c r="T1691" s="301">
        <v>0</v>
      </c>
      <c r="U1691" s="301">
        <v>0</v>
      </c>
      <c r="V1691" s="301">
        <v>0</v>
      </c>
      <c r="W1691" s="301">
        <v>0</v>
      </c>
      <c r="X1691" s="301">
        <v>0</v>
      </c>
      <c r="Y1691" s="301">
        <v>0</v>
      </c>
      <c r="Z1691" s="301">
        <v>0</v>
      </c>
      <c r="AA1691" s="301">
        <v>0</v>
      </c>
      <c r="AB1691" s="303">
        <v>2021</v>
      </c>
    </row>
    <row r="1692" spans="1:28" ht="35.25" x14ac:dyDescent="0.5">
      <c r="A1692">
        <v>1</v>
      </c>
      <c r="B1692" s="80">
        <f>SUBTOTAL(103,$A$808:A1692)</f>
        <v>854</v>
      </c>
      <c r="C1692" s="300" t="s">
        <v>3175</v>
      </c>
      <c r="D1692" s="296">
        <f t="shared" si="85"/>
        <v>1816880</v>
      </c>
      <c r="E1692" s="301">
        <v>0</v>
      </c>
      <c r="F1692" s="301">
        <v>0</v>
      </c>
      <c r="G1692" s="301">
        <v>0</v>
      </c>
      <c r="H1692" s="301">
        <v>0</v>
      </c>
      <c r="I1692" s="301">
        <v>0</v>
      </c>
      <c r="J1692" s="301">
        <v>0</v>
      </c>
      <c r="K1692" s="302">
        <v>0</v>
      </c>
      <c r="L1692" s="301">
        <v>0</v>
      </c>
      <c r="M1692" s="301">
        <v>1816880</v>
      </c>
      <c r="N1692" s="301">
        <v>0</v>
      </c>
      <c r="O1692" s="301">
        <v>0</v>
      </c>
      <c r="P1692" s="301">
        <v>0</v>
      </c>
      <c r="Q1692" s="301">
        <v>0</v>
      </c>
      <c r="R1692" s="301">
        <v>0</v>
      </c>
      <c r="S1692" s="301">
        <v>0</v>
      </c>
      <c r="T1692" s="301">
        <v>0</v>
      </c>
      <c r="U1692" s="301">
        <v>0</v>
      </c>
      <c r="V1692" s="301">
        <v>0</v>
      </c>
      <c r="W1692" s="301">
        <v>0</v>
      </c>
      <c r="X1692" s="301">
        <v>0</v>
      </c>
      <c r="Y1692" s="301">
        <v>0</v>
      </c>
      <c r="Z1692" s="301">
        <v>0</v>
      </c>
      <c r="AA1692" s="301">
        <v>0</v>
      </c>
      <c r="AB1692" s="303">
        <v>2021</v>
      </c>
    </row>
    <row r="1693" spans="1:28" ht="35.25" x14ac:dyDescent="0.5">
      <c r="B1693" s="299" t="s">
        <v>788</v>
      </c>
      <c r="C1693" s="300"/>
      <c r="D1693" s="296">
        <f t="shared" si="85"/>
        <v>120000</v>
      </c>
      <c r="E1693" s="296">
        <f t="shared" ref="E1693:AA1693" si="92">SUM(E1694)</f>
        <v>0</v>
      </c>
      <c r="F1693" s="296">
        <f t="shared" si="92"/>
        <v>0</v>
      </c>
      <c r="G1693" s="296">
        <f t="shared" si="92"/>
        <v>0</v>
      </c>
      <c r="H1693" s="296">
        <f t="shared" si="92"/>
        <v>0</v>
      </c>
      <c r="I1693" s="296">
        <f t="shared" si="92"/>
        <v>0</v>
      </c>
      <c r="J1693" s="296">
        <f t="shared" si="92"/>
        <v>0</v>
      </c>
      <c r="K1693" s="297">
        <f t="shared" si="92"/>
        <v>1</v>
      </c>
      <c r="L1693" s="296">
        <f t="shared" si="92"/>
        <v>120000</v>
      </c>
      <c r="M1693" s="296">
        <f t="shared" si="92"/>
        <v>0</v>
      </c>
      <c r="N1693" s="296">
        <f t="shared" si="92"/>
        <v>0</v>
      </c>
      <c r="O1693" s="296">
        <f t="shared" si="92"/>
        <v>0</v>
      </c>
      <c r="P1693" s="296">
        <f t="shared" si="92"/>
        <v>0</v>
      </c>
      <c r="Q1693" s="296">
        <f t="shared" si="92"/>
        <v>0</v>
      </c>
      <c r="R1693" s="296">
        <f t="shared" si="92"/>
        <v>0</v>
      </c>
      <c r="S1693" s="296">
        <f t="shared" si="92"/>
        <v>0</v>
      </c>
      <c r="T1693" s="296">
        <f t="shared" si="92"/>
        <v>0</v>
      </c>
      <c r="U1693" s="296">
        <f t="shared" si="92"/>
        <v>0</v>
      </c>
      <c r="V1693" s="296">
        <f t="shared" si="92"/>
        <v>0</v>
      </c>
      <c r="W1693" s="296">
        <f t="shared" si="92"/>
        <v>0</v>
      </c>
      <c r="X1693" s="296">
        <f t="shared" si="92"/>
        <v>0</v>
      </c>
      <c r="Y1693" s="296">
        <f t="shared" si="92"/>
        <v>0</v>
      </c>
      <c r="Z1693" s="296">
        <f t="shared" si="92"/>
        <v>0</v>
      </c>
      <c r="AA1693" s="296">
        <f t="shared" si="92"/>
        <v>0</v>
      </c>
      <c r="AB1693" s="298" t="s">
        <v>835</v>
      </c>
    </row>
    <row r="1694" spans="1:28" ht="35.25" x14ac:dyDescent="0.5">
      <c r="A1694">
        <v>1</v>
      </c>
      <c r="B1694" s="80">
        <f>SUBTOTAL(103,$A$808:A1694)</f>
        <v>855</v>
      </c>
      <c r="C1694" s="300" t="s">
        <v>3176</v>
      </c>
      <c r="D1694" s="296">
        <f t="shared" si="85"/>
        <v>120000</v>
      </c>
      <c r="E1694" s="301">
        <v>0</v>
      </c>
      <c r="F1694" s="301">
        <v>0</v>
      </c>
      <c r="G1694" s="301">
        <v>0</v>
      </c>
      <c r="H1694" s="301">
        <v>0</v>
      </c>
      <c r="I1694" s="301">
        <v>0</v>
      </c>
      <c r="J1694" s="301">
        <v>0</v>
      </c>
      <c r="K1694" s="302">
        <v>1</v>
      </c>
      <c r="L1694" s="301">
        <v>120000</v>
      </c>
      <c r="M1694" s="301">
        <v>0</v>
      </c>
      <c r="N1694" s="301">
        <v>0</v>
      </c>
      <c r="O1694" s="301">
        <v>0</v>
      </c>
      <c r="P1694" s="301">
        <v>0</v>
      </c>
      <c r="Q1694" s="301">
        <v>0</v>
      </c>
      <c r="R1694" s="301">
        <v>0</v>
      </c>
      <c r="S1694" s="301">
        <v>0</v>
      </c>
      <c r="T1694" s="301">
        <v>0</v>
      </c>
      <c r="U1694" s="301">
        <v>0</v>
      </c>
      <c r="V1694" s="301">
        <v>0</v>
      </c>
      <c r="W1694" s="301">
        <v>0</v>
      </c>
      <c r="X1694" s="301">
        <v>0</v>
      </c>
      <c r="Y1694" s="301">
        <v>0</v>
      </c>
      <c r="Z1694" s="301">
        <v>0</v>
      </c>
      <c r="AA1694" s="301">
        <v>0</v>
      </c>
      <c r="AB1694" s="303">
        <v>2021</v>
      </c>
    </row>
    <row r="1695" spans="1:28" ht="35.25" x14ac:dyDescent="0.5">
      <c r="B1695" s="299" t="s">
        <v>3177</v>
      </c>
      <c r="C1695" s="300"/>
      <c r="D1695" s="296">
        <f t="shared" si="85"/>
        <v>916526246.8499999</v>
      </c>
      <c r="E1695" s="296">
        <f t="shared" ref="E1695:AA1695" si="93">E1696+E1968+E2044+E2092+E2151+E2175+E2324+E2337+E2359+E2362+E2367+E2376+E2399+E2407+E2415+E2417+E2421+E2424+E2434+E2440+E2443+E2449+E2452+E2454+E2457+E2460+E2462+E2465+E2468+E2470+E2473+E2476+E2479</f>
        <v>13110540.809999999</v>
      </c>
      <c r="F1695" s="296">
        <f t="shared" si="93"/>
        <v>16188594.119999999</v>
      </c>
      <c r="G1695" s="296">
        <f t="shared" si="93"/>
        <v>74059088.060000002</v>
      </c>
      <c r="H1695" s="296">
        <f t="shared" si="93"/>
        <v>9921698.4700000007</v>
      </c>
      <c r="I1695" s="296">
        <f t="shared" si="93"/>
        <v>23415072.709999997</v>
      </c>
      <c r="J1695" s="296">
        <f t="shared" si="93"/>
        <v>447953.13</v>
      </c>
      <c r="K1695" s="309">
        <f t="shared" si="93"/>
        <v>84</v>
      </c>
      <c r="L1695" s="296">
        <f t="shared" si="93"/>
        <v>158111755.97999999</v>
      </c>
      <c r="M1695" s="296">
        <f t="shared" si="93"/>
        <v>307147630.19999999</v>
      </c>
      <c r="N1695" s="296">
        <f t="shared" si="93"/>
        <v>8799151.6799999997</v>
      </c>
      <c r="O1695" s="296">
        <f t="shared" si="93"/>
        <v>292468798.72999996</v>
      </c>
      <c r="P1695" s="296">
        <f t="shared" si="93"/>
        <v>7066773.1199999992</v>
      </c>
      <c r="Q1695" s="296">
        <f t="shared" si="93"/>
        <v>0</v>
      </c>
      <c r="R1695" s="296">
        <f t="shared" si="93"/>
        <v>0</v>
      </c>
      <c r="S1695" s="296">
        <f t="shared" si="93"/>
        <v>0</v>
      </c>
      <c r="T1695" s="296">
        <f t="shared" si="93"/>
        <v>0</v>
      </c>
      <c r="U1695" s="296">
        <f t="shared" si="93"/>
        <v>0</v>
      </c>
      <c r="V1695" s="296">
        <f t="shared" si="93"/>
        <v>0</v>
      </c>
      <c r="W1695" s="296">
        <f t="shared" si="93"/>
        <v>4591996.07</v>
      </c>
      <c r="X1695" s="296">
        <f t="shared" si="93"/>
        <v>0</v>
      </c>
      <c r="Y1695" s="296">
        <f t="shared" si="93"/>
        <v>37260.18</v>
      </c>
      <c r="Z1695" s="296">
        <f t="shared" si="93"/>
        <v>1159933.5900000001</v>
      </c>
      <c r="AA1695" s="296">
        <f t="shared" si="93"/>
        <v>0</v>
      </c>
      <c r="AB1695" s="298" t="s">
        <v>835</v>
      </c>
    </row>
    <row r="1696" spans="1:28" ht="35.25" x14ac:dyDescent="0.5">
      <c r="B1696" s="299" t="s">
        <v>985</v>
      </c>
      <c r="C1696" s="300"/>
      <c r="D1696" s="296">
        <f t="shared" si="85"/>
        <v>353540563.15999985</v>
      </c>
      <c r="E1696" s="296">
        <f t="shared" ref="E1696:AA1696" si="94">SUM(E1697:E1967)</f>
        <v>6250087.7800000003</v>
      </c>
      <c r="F1696" s="296">
        <f t="shared" si="94"/>
        <v>9817390.129999999</v>
      </c>
      <c r="G1696" s="296">
        <f t="shared" si="94"/>
        <v>46076352.579999998</v>
      </c>
      <c r="H1696" s="296">
        <f t="shared" si="94"/>
        <v>2180312.96</v>
      </c>
      <c r="I1696" s="296">
        <f t="shared" si="94"/>
        <v>5711804.9199999999</v>
      </c>
      <c r="J1696" s="296">
        <f t="shared" si="94"/>
        <v>415000</v>
      </c>
      <c r="K1696" s="297">
        <f t="shared" si="94"/>
        <v>52</v>
      </c>
      <c r="L1696" s="296">
        <f t="shared" si="94"/>
        <v>93000267.179999992</v>
      </c>
      <c r="M1696" s="296">
        <f t="shared" si="94"/>
        <v>105438861.17999999</v>
      </c>
      <c r="N1696" s="296">
        <f t="shared" si="94"/>
        <v>3620845.28</v>
      </c>
      <c r="O1696" s="296">
        <f t="shared" si="94"/>
        <v>76951707.099999979</v>
      </c>
      <c r="P1696" s="296">
        <f t="shared" si="94"/>
        <v>2498000.46</v>
      </c>
      <c r="Q1696" s="296">
        <f t="shared" si="94"/>
        <v>0</v>
      </c>
      <c r="R1696" s="296">
        <f t="shared" si="94"/>
        <v>0</v>
      </c>
      <c r="S1696" s="296">
        <f t="shared" si="94"/>
        <v>0</v>
      </c>
      <c r="T1696" s="296">
        <f t="shared" si="94"/>
        <v>0</v>
      </c>
      <c r="U1696" s="296">
        <f t="shared" si="94"/>
        <v>0</v>
      </c>
      <c r="V1696" s="296">
        <f t="shared" si="94"/>
        <v>0</v>
      </c>
      <c r="W1696" s="296">
        <f t="shared" si="94"/>
        <v>500000</v>
      </c>
      <c r="X1696" s="296">
        <f t="shared" si="94"/>
        <v>0</v>
      </c>
      <c r="Y1696" s="296">
        <f t="shared" si="94"/>
        <v>0</v>
      </c>
      <c r="Z1696" s="296">
        <f t="shared" si="94"/>
        <v>1079933.5900000001</v>
      </c>
      <c r="AA1696" s="296">
        <f t="shared" si="94"/>
        <v>0</v>
      </c>
      <c r="AB1696" s="298" t="s">
        <v>835</v>
      </c>
    </row>
    <row r="1697" spans="1:28" ht="35.25" x14ac:dyDescent="0.5">
      <c r="A1697">
        <v>1</v>
      </c>
      <c r="B1697" s="80">
        <f>SUBTOTAL(103,$A$1697:A1697)</f>
        <v>1</v>
      </c>
      <c r="C1697" s="300" t="s">
        <v>3178</v>
      </c>
      <c r="D1697" s="296">
        <f t="shared" si="85"/>
        <v>2084000</v>
      </c>
      <c r="E1697" s="301">
        <v>0</v>
      </c>
      <c r="F1697" s="301">
        <v>0</v>
      </c>
      <c r="G1697" s="301">
        <v>885000</v>
      </c>
      <c r="H1697" s="301">
        <v>0</v>
      </c>
      <c r="I1697" s="301">
        <v>0</v>
      </c>
      <c r="J1697" s="301">
        <v>0</v>
      </c>
      <c r="K1697" s="302">
        <v>0</v>
      </c>
      <c r="L1697" s="301">
        <v>0</v>
      </c>
      <c r="M1697" s="301">
        <v>0</v>
      </c>
      <c r="N1697" s="301">
        <v>0</v>
      </c>
      <c r="O1697" s="301">
        <v>1199000</v>
      </c>
      <c r="P1697" s="301">
        <v>0</v>
      </c>
      <c r="Q1697" s="301">
        <v>0</v>
      </c>
      <c r="R1697" s="301">
        <v>0</v>
      </c>
      <c r="S1697" s="301">
        <v>0</v>
      </c>
      <c r="T1697" s="301">
        <v>0</v>
      </c>
      <c r="U1697" s="301">
        <v>0</v>
      </c>
      <c r="V1697" s="301">
        <v>0</v>
      </c>
      <c r="W1697" s="301">
        <v>0</v>
      </c>
      <c r="X1697" s="301">
        <v>0</v>
      </c>
      <c r="Y1697" s="301">
        <v>0</v>
      </c>
      <c r="Z1697" s="301">
        <v>0</v>
      </c>
      <c r="AA1697" s="301">
        <v>0</v>
      </c>
      <c r="AB1697" s="303">
        <v>2022</v>
      </c>
    </row>
    <row r="1698" spans="1:28" ht="35.25" x14ac:dyDescent="0.5">
      <c r="A1698">
        <v>1</v>
      </c>
      <c r="B1698" s="80">
        <f>SUBTOTAL(103,$A$1697:A1698)</f>
        <v>2</v>
      </c>
      <c r="C1698" s="300" t="s">
        <v>3179</v>
      </c>
      <c r="D1698" s="296">
        <f t="shared" si="85"/>
        <v>2064000</v>
      </c>
      <c r="E1698" s="304">
        <v>0</v>
      </c>
      <c r="F1698" s="304">
        <v>0</v>
      </c>
      <c r="G1698" s="304">
        <v>865000</v>
      </c>
      <c r="H1698" s="304">
        <v>0</v>
      </c>
      <c r="I1698" s="304">
        <v>0</v>
      </c>
      <c r="J1698" s="304">
        <v>0</v>
      </c>
      <c r="K1698" s="305">
        <v>0</v>
      </c>
      <c r="L1698" s="304">
        <v>0</v>
      </c>
      <c r="M1698" s="304">
        <v>0</v>
      </c>
      <c r="N1698" s="304">
        <v>0</v>
      </c>
      <c r="O1698" s="304">
        <v>1199000</v>
      </c>
      <c r="P1698" s="304">
        <v>0</v>
      </c>
      <c r="Q1698" s="304">
        <v>0</v>
      </c>
      <c r="R1698" s="304">
        <v>0</v>
      </c>
      <c r="S1698" s="304">
        <v>0</v>
      </c>
      <c r="T1698" s="304">
        <v>0</v>
      </c>
      <c r="U1698" s="304">
        <v>0</v>
      </c>
      <c r="V1698" s="304">
        <v>0</v>
      </c>
      <c r="W1698" s="304">
        <v>0</v>
      </c>
      <c r="X1698" s="304">
        <v>0</v>
      </c>
      <c r="Y1698" s="304">
        <v>0</v>
      </c>
      <c r="Z1698" s="304">
        <v>0</v>
      </c>
      <c r="AA1698" s="304">
        <v>0</v>
      </c>
      <c r="AB1698" s="303">
        <v>2022</v>
      </c>
    </row>
    <row r="1699" spans="1:28" ht="35.25" x14ac:dyDescent="0.5">
      <c r="A1699">
        <v>1</v>
      </c>
      <c r="B1699" s="80">
        <f>SUBTOTAL(103,$A$1697:A1699)</f>
        <v>3</v>
      </c>
      <c r="C1699" s="308" t="s">
        <v>2692</v>
      </c>
      <c r="D1699" s="296">
        <f t="shared" si="85"/>
        <v>2186500.7999999998</v>
      </c>
      <c r="E1699" s="301">
        <v>0</v>
      </c>
      <c r="F1699" s="301">
        <v>0</v>
      </c>
      <c r="G1699" s="301">
        <v>0</v>
      </c>
      <c r="H1699" s="301">
        <v>0</v>
      </c>
      <c r="I1699" s="301">
        <v>0</v>
      </c>
      <c r="J1699" s="301">
        <v>0</v>
      </c>
      <c r="K1699" s="302">
        <v>1</v>
      </c>
      <c r="L1699" s="301">
        <v>2068500</v>
      </c>
      <c r="M1699" s="301">
        <v>0</v>
      </c>
      <c r="N1699" s="301">
        <v>0</v>
      </c>
      <c r="O1699" s="301">
        <v>0</v>
      </c>
      <c r="P1699" s="301">
        <v>0</v>
      </c>
      <c r="Q1699" s="301">
        <v>0</v>
      </c>
      <c r="R1699" s="301">
        <v>0</v>
      </c>
      <c r="S1699" s="301">
        <v>0</v>
      </c>
      <c r="T1699" s="301">
        <v>0</v>
      </c>
      <c r="U1699" s="301">
        <v>0</v>
      </c>
      <c r="V1699" s="301">
        <v>0</v>
      </c>
      <c r="W1699" s="301">
        <v>0</v>
      </c>
      <c r="X1699" s="301">
        <v>0</v>
      </c>
      <c r="Y1699" s="301">
        <v>0</v>
      </c>
      <c r="Z1699" s="301">
        <v>118000.8</v>
      </c>
      <c r="AA1699" s="301">
        <v>0</v>
      </c>
      <c r="AB1699" s="303">
        <v>2022</v>
      </c>
    </row>
    <row r="1700" spans="1:28" ht="35.25" x14ac:dyDescent="0.5">
      <c r="A1700">
        <v>1</v>
      </c>
      <c r="B1700" s="80">
        <f>SUBTOTAL(103,$A$1697:A1700)</f>
        <v>4</v>
      </c>
      <c r="C1700" s="308" t="s">
        <v>2745</v>
      </c>
      <c r="D1700" s="296">
        <f t="shared" si="85"/>
        <v>2100000</v>
      </c>
      <c r="E1700" s="301">
        <v>0</v>
      </c>
      <c r="F1700" s="301">
        <v>0</v>
      </c>
      <c r="G1700" s="301">
        <v>0</v>
      </c>
      <c r="H1700" s="301">
        <v>0</v>
      </c>
      <c r="I1700" s="301">
        <v>0</v>
      </c>
      <c r="J1700" s="301">
        <v>0</v>
      </c>
      <c r="K1700" s="302">
        <v>1</v>
      </c>
      <c r="L1700" s="301">
        <v>2100000</v>
      </c>
      <c r="M1700" s="301">
        <v>0</v>
      </c>
      <c r="N1700" s="301">
        <v>0</v>
      </c>
      <c r="O1700" s="301">
        <v>0</v>
      </c>
      <c r="P1700" s="301">
        <v>0</v>
      </c>
      <c r="Q1700" s="301">
        <v>0</v>
      </c>
      <c r="R1700" s="301">
        <v>0</v>
      </c>
      <c r="S1700" s="301">
        <v>0</v>
      </c>
      <c r="T1700" s="301">
        <v>0</v>
      </c>
      <c r="U1700" s="301">
        <v>0</v>
      </c>
      <c r="V1700" s="301">
        <v>0</v>
      </c>
      <c r="W1700" s="301">
        <v>0</v>
      </c>
      <c r="X1700" s="301">
        <v>0</v>
      </c>
      <c r="Y1700" s="301">
        <v>0</v>
      </c>
      <c r="Z1700" s="301">
        <v>0</v>
      </c>
      <c r="AA1700" s="301">
        <v>0</v>
      </c>
      <c r="AB1700" s="303">
        <v>2022</v>
      </c>
    </row>
    <row r="1701" spans="1:28" ht="35.25" x14ac:dyDescent="0.5">
      <c r="A1701">
        <v>1</v>
      </c>
      <c r="B1701" s="80">
        <f>SUBTOTAL(103,$A$1697:A1701)</f>
        <v>5</v>
      </c>
      <c r="C1701" s="308" t="s">
        <v>3203</v>
      </c>
      <c r="D1701" s="296">
        <f t="shared" si="85"/>
        <v>362145</v>
      </c>
      <c r="E1701" s="301">
        <v>0</v>
      </c>
      <c r="F1701" s="301">
        <v>0</v>
      </c>
      <c r="G1701" s="301">
        <v>362145</v>
      </c>
      <c r="H1701" s="301">
        <v>0</v>
      </c>
      <c r="I1701" s="301">
        <v>0</v>
      </c>
      <c r="J1701" s="301">
        <v>0</v>
      </c>
      <c r="K1701" s="302">
        <v>0</v>
      </c>
      <c r="L1701" s="301">
        <v>0</v>
      </c>
      <c r="M1701" s="301">
        <v>0</v>
      </c>
      <c r="N1701" s="301">
        <v>0</v>
      </c>
      <c r="O1701" s="301">
        <v>0</v>
      </c>
      <c r="P1701" s="301">
        <v>0</v>
      </c>
      <c r="Q1701" s="301">
        <v>0</v>
      </c>
      <c r="R1701" s="301">
        <v>0</v>
      </c>
      <c r="S1701" s="301">
        <v>0</v>
      </c>
      <c r="T1701" s="301">
        <v>0</v>
      </c>
      <c r="U1701" s="301">
        <v>0</v>
      </c>
      <c r="V1701" s="301">
        <v>0</v>
      </c>
      <c r="W1701" s="301">
        <v>0</v>
      </c>
      <c r="X1701" s="301">
        <v>0</v>
      </c>
      <c r="Y1701" s="301">
        <v>0</v>
      </c>
      <c r="Z1701" s="301">
        <v>0</v>
      </c>
      <c r="AA1701" s="301">
        <v>0</v>
      </c>
      <c r="AB1701" s="303">
        <v>2022</v>
      </c>
    </row>
    <row r="1702" spans="1:28" ht="35.25" x14ac:dyDescent="0.5">
      <c r="A1702">
        <v>1</v>
      </c>
      <c r="B1702" s="80">
        <f>SUBTOTAL(103,$A$1697:A1702)</f>
        <v>6</v>
      </c>
      <c r="C1702" s="308" t="s">
        <v>2466</v>
      </c>
      <c r="D1702" s="296">
        <f t="shared" si="85"/>
        <v>669400</v>
      </c>
      <c r="E1702" s="301">
        <v>0</v>
      </c>
      <c r="F1702" s="301">
        <v>0</v>
      </c>
      <c r="G1702" s="301">
        <v>669400</v>
      </c>
      <c r="H1702" s="301">
        <v>0</v>
      </c>
      <c r="I1702" s="301">
        <v>0</v>
      </c>
      <c r="J1702" s="301">
        <v>0</v>
      </c>
      <c r="K1702" s="302">
        <v>0</v>
      </c>
      <c r="L1702" s="301">
        <v>0</v>
      </c>
      <c r="M1702" s="301">
        <v>0</v>
      </c>
      <c r="N1702" s="301">
        <v>0</v>
      </c>
      <c r="O1702" s="301">
        <v>0</v>
      </c>
      <c r="P1702" s="301">
        <v>0</v>
      </c>
      <c r="Q1702" s="301">
        <v>0</v>
      </c>
      <c r="R1702" s="301">
        <v>0</v>
      </c>
      <c r="S1702" s="301">
        <v>0</v>
      </c>
      <c r="T1702" s="301">
        <v>0</v>
      </c>
      <c r="U1702" s="301">
        <v>0</v>
      </c>
      <c r="V1702" s="301">
        <v>0</v>
      </c>
      <c r="W1702" s="301">
        <v>0</v>
      </c>
      <c r="X1702" s="301">
        <v>0</v>
      </c>
      <c r="Y1702" s="301">
        <v>0</v>
      </c>
      <c r="Z1702" s="301">
        <v>0</v>
      </c>
      <c r="AA1702" s="301">
        <v>0</v>
      </c>
      <c r="AB1702" s="303">
        <v>2022</v>
      </c>
    </row>
    <row r="1703" spans="1:28" ht="35.25" x14ac:dyDescent="0.5">
      <c r="A1703">
        <v>1</v>
      </c>
      <c r="B1703" s="80">
        <f>SUBTOTAL(103,$A$1697:A1703)</f>
        <v>7</v>
      </c>
      <c r="C1703" s="308" t="s">
        <v>3204</v>
      </c>
      <c r="D1703" s="296">
        <f t="shared" si="85"/>
        <v>668105</v>
      </c>
      <c r="E1703" s="301">
        <v>190351</v>
      </c>
      <c r="F1703" s="301">
        <v>291288</v>
      </c>
      <c r="G1703" s="301">
        <v>0</v>
      </c>
      <c r="H1703" s="301">
        <v>186466</v>
      </c>
      <c r="I1703" s="301">
        <v>0</v>
      </c>
      <c r="J1703" s="301">
        <v>0</v>
      </c>
      <c r="K1703" s="302">
        <v>0</v>
      </c>
      <c r="L1703" s="301">
        <v>0</v>
      </c>
      <c r="M1703" s="301">
        <v>0</v>
      </c>
      <c r="N1703" s="301">
        <v>0</v>
      </c>
      <c r="O1703" s="301">
        <v>0</v>
      </c>
      <c r="P1703" s="301">
        <v>0</v>
      </c>
      <c r="Q1703" s="301">
        <v>0</v>
      </c>
      <c r="R1703" s="301">
        <v>0</v>
      </c>
      <c r="S1703" s="301">
        <v>0</v>
      </c>
      <c r="T1703" s="301">
        <v>0</v>
      </c>
      <c r="U1703" s="301">
        <v>0</v>
      </c>
      <c r="V1703" s="301">
        <v>0</v>
      </c>
      <c r="W1703" s="301">
        <v>0</v>
      </c>
      <c r="X1703" s="301">
        <v>0</v>
      </c>
      <c r="Y1703" s="301">
        <v>0</v>
      </c>
      <c r="Z1703" s="301">
        <v>0</v>
      </c>
      <c r="AA1703" s="301">
        <v>0</v>
      </c>
      <c r="AB1703" s="303">
        <v>2022</v>
      </c>
    </row>
    <row r="1704" spans="1:28" ht="35.25" x14ac:dyDescent="0.5">
      <c r="A1704">
        <v>1</v>
      </c>
      <c r="B1704" s="80">
        <f>SUBTOTAL(103,$A$1697:A1704)</f>
        <v>8</v>
      </c>
      <c r="C1704" s="308" t="s">
        <v>3205</v>
      </c>
      <c r="D1704" s="296">
        <f t="shared" si="85"/>
        <v>1093745</v>
      </c>
      <c r="E1704" s="301">
        <v>0</v>
      </c>
      <c r="F1704" s="301">
        <v>0</v>
      </c>
      <c r="G1704" s="301">
        <v>1093745</v>
      </c>
      <c r="H1704" s="301">
        <v>0</v>
      </c>
      <c r="I1704" s="301">
        <v>0</v>
      </c>
      <c r="J1704" s="301">
        <v>0</v>
      </c>
      <c r="K1704" s="302">
        <v>0</v>
      </c>
      <c r="L1704" s="301">
        <v>0</v>
      </c>
      <c r="M1704" s="301">
        <v>0</v>
      </c>
      <c r="N1704" s="301">
        <v>0</v>
      </c>
      <c r="O1704" s="301">
        <v>0</v>
      </c>
      <c r="P1704" s="301">
        <v>0</v>
      </c>
      <c r="Q1704" s="301">
        <v>0</v>
      </c>
      <c r="R1704" s="301">
        <v>0</v>
      </c>
      <c r="S1704" s="301">
        <v>0</v>
      </c>
      <c r="T1704" s="301">
        <v>0</v>
      </c>
      <c r="U1704" s="301">
        <v>0</v>
      </c>
      <c r="V1704" s="301">
        <v>0</v>
      </c>
      <c r="W1704" s="301">
        <v>0</v>
      </c>
      <c r="X1704" s="301">
        <v>0</v>
      </c>
      <c r="Y1704" s="301">
        <v>0</v>
      </c>
      <c r="Z1704" s="301">
        <v>0</v>
      </c>
      <c r="AA1704" s="301">
        <v>0</v>
      </c>
      <c r="AB1704" s="303">
        <v>2022</v>
      </c>
    </row>
    <row r="1705" spans="1:28" ht="35.25" x14ac:dyDescent="0.5">
      <c r="A1705">
        <v>1</v>
      </c>
      <c r="B1705" s="80">
        <f>SUBTOTAL(103,$A$1697:A1705)</f>
        <v>9</v>
      </c>
      <c r="C1705" s="308" t="s">
        <v>3206</v>
      </c>
      <c r="D1705" s="296">
        <f t="shared" si="85"/>
        <v>1709358</v>
      </c>
      <c r="E1705" s="301">
        <v>0</v>
      </c>
      <c r="F1705" s="301">
        <v>0</v>
      </c>
      <c r="G1705" s="301">
        <v>0</v>
      </c>
      <c r="H1705" s="301">
        <v>0</v>
      </c>
      <c r="I1705" s="301">
        <v>0</v>
      </c>
      <c r="J1705" s="301">
        <v>0</v>
      </c>
      <c r="K1705" s="302">
        <v>0</v>
      </c>
      <c r="L1705" s="301">
        <v>0</v>
      </c>
      <c r="M1705" s="301">
        <v>1709358</v>
      </c>
      <c r="N1705" s="301">
        <v>0</v>
      </c>
      <c r="O1705" s="301">
        <v>0</v>
      </c>
      <c r="P1705" s="301">
        <v>0</v>
      </c>
      <c r="Q1705" s="301">
        <v>0</v>
      </c>
      <c r="R1705" s="301">
        <v>0</v>
      </c>
      <c r="S1705" s="301">
        <v>0</v>
      </c>
      <c r="T1705" s="301">
        <v>0</v>
      </c>
      <c r="U1705" s="301">
        <v>0</v>
      </c>
      <c r="V1705" s="301">
        <v>0</v>
      </c>
      <c r="W1705" s="301">
        <v>0</v>
      </c>
      <c r="X1705" s="301">
        <v>0</v>
      </c>
      <c r="Y1705" s="301">
        <v>0</v>
      </c>
      <c r="Z1705" s="301">
        <v>0</v>
      </c>
      <c r="AA1705" s="301">
        <v>0</v>
      </c>
      <c r="AB1705" s="303">
        <v>2022</v>
      </c>
    </row>
    <row r="1706" spans="1:28" ht="35.25" x14ac:dyDescent="0.5">
      <c r="A1706">
        <v>1</v>
      </c>
      <c r="B1706" s="80">
        <f>SUBTOTAL(103,$A$1697:A1706)</f>
        <v>10</v>
      </c>
      <c r="C1706" s="308" t="s">
        <v>1824</v>
      </c>
      <c r="D1706" s="296">
        <f t="shared" si="85"/>
        <v>129990</v>
      </c>
      <c r="E1706" s="301">
        <v>0</v>
      </c>
      <c r="F1706" s="301">
        <v>0</v>
      </c>
      <c r="G1706" s="301">
        <v>129990</v>
      </c>
      <c r="H1706" s="301">
        <v>0</v>
      </c>
      <c r="I1706" s="301">
        <v>0</v>
      </c>
      <c r="J1706" s="301">
        <v>0</v>
      </c>
      <c r="K1706" s="302">
        <v>0</v>
      </c>
      <c r="L1706" s="301">
        <v>0</v>
      </c>
      <c r="M1706" s="301">
        <v>0</v>
      </c>
      <c r="N1706" s="301">
        <v>0</v>
      </c>
      <c r="O1706" s="301">
        <v>0</v>
      </c>
      <c r="P1706" s="301">
        <v>0</v>
      </c>
      <c r="Q1706" s="301">
        <v>0</v>
      </c>
      <c r="R1706" s="301">
        <v>0</v>
      </c>
      <c r="S1706" s="301">
        <v>0</v>
      </c>
      <c r="T1706" s="301">
        <v>0</v>
      </c>
      <c r="U1706" s="301">
        <v>0</v>
      </c>
      <c r="V1706" s="301">
        <v>0</v>
      </c>
      <c r="W1706" s="301">
        <v>0</v>
      </c>
      <c r="X1706" s="301">
        <v>0</v>
      </c>
      <c r="Y1706" s="301">
        <v>0</v>
      </c>
      <c r="Z1706" s="301">
        <v>0</v>
      </c>
      <c r="AA1706" s="301">
        <v>0</v>
      </c>
      <c r="AB1706" s="303">
        <v>2022</v>
      </c>
    </row>
    <row r="1707" spans="1:28" ht="35.25" x14ac:dyDescent="0.5">
      <c r="A1707">
        <v>1</v>
      </c>
      <c r="B1707" s="80">
        <f>SUBTOTAL(103,$A$1697:A1707)</f>
        <v>11</v>
      </c>
      <c r="C1707" s="308" t="s">
        <v>3207</v>
      </c>
      <c r="D1707" s="296">
        <f t="shared" si="85"/>
        <v>4816750</v>
      </c>
      <c r="E1707" s="301">
        <v>0</v>
      </c>
      <c r="F1707" s="301">
        <v>0</v>
      </c>
      <c r="G1707" s="301">
        <v>0</v>
      </c>
      <c r="H1707" s="301">
        <v>0</v>
      </c>
      <c r="I1707" s="301">
        <v>0</v>
      </c>
      <c r="J1707" s="301">
        <v>0</v>
      </c>
      <c r="K1707" s="302">
        <v>2</v>
      </c>
      <c r="L1707" s="301">
        <v>4560000</v>
      </c>
      <c r="M1707" s="301">
        <v>0</v>
      </c>
      <c r="N1707" s="301">
        <v>0</v>
      </c>
      <c r="O1707" s="301">
        <v>256750</v>
      </c>
      <c r="P1707" s="301">
        <v>0</v>
      </c>
      <c r="Q1707" s="301">
        <v>0</v>
      </c>
      <c r="R1707" s="301">
        <v>0</v>
      </c>
      <c r="S1707" s="301">
        <v>0</v>
      </c>
      <c r="T1707" s="301">
        <v>0</v>
      </c>
      <c r="U1707" s="301">
        <v>0</v>
      </c>
      <c r="V1707" s="301">
        <v>0</v>
      </c>
      <c r="W1707" s="301">
        <v>0</v>
      </c>
      <c r="X1707" s="301">
        <v>0</v>
      </c>
      <c r="Y1707" s="301">
        <v>0</v>
      </c>
      <c r="Z1707" s="301">
        <v>0</v>
      </c>
      <c r="AA1707" s="301">
        <v>0</v>
      </c>
      <c r="AB1707" s="303">
        <v>2022</v>
      </c>
    </row>
    <row r="1708" spans="1:28" ht="35.25" x14ac:dyDescent="0.5">
      <c r="A1708">
        <v>1</v>
      </c>
      <c r="B1708" s="80">
        <f>SUBTOTAL(103,$A$1697:A1708)</f>
        <v>12</v>
      </c>
      <c r="C1708" s="308" t="s">
        <v>3208</v>
      </c>
      <c r="D1708" s="296">
        <f t="shared" si="85"/>
        <v>838083.33000000007</v>
      </c>
      <c r="E1708" s="301">
        <v>351867.33</v>
      </c>
      <c r="F1708" s="301">
        <v>486216</v>
      </c>
      <c r="G1708" s="301">
        <v>0</v>
      </c>
      <c r="H1708" s="301">
        <v>0</v>
      </c>
      <c r="I1708" s="301">
        <v>0</v>
      </c>
      <c r="J1708" s="301">
        <v>0</v>
      </c>
      <c r="K1708" s="302">
        <v>0</v>
      </c>
      <c r="L1708" s="301">
        <v>0</v>
      </c>
      <c r="M1708" s="301">
        <v>0</v>
      </c>
      <c r="N1708" s="301">
        <v>0</v>
      </c>
      <c r="O1708" s="301">
        <v>0</v>
      </c>
      <c r="P1708" s="301">
        <v>0</v>
      </c>
      <c r="Q1708" s="301">
        <v>0</v>
      </c>
      <c r="R1708" s="301">
        <v>0</v>
      </c>
      <c r="S1708" s="301">
        <v>0</v>
      </c>
      <c r="T1708" s="301">
        <v>0</v>
      </c>
      <c r="U1708" s="301">
        <v>0</v>
      </c>
      <c r="V1708" s="301">
        <v>0</v>
      </c>
      <c r="W1708" s="301">
        <v>0</v>
      </c>
      <c r="X1708" s="301">
        <v>0</v>
      </c>
      <c r="Y1708" s="301">
        <v>0</v>
      </c>
      <c r="Z1708" s="301">
        <v>0</v>
      </c>
      <c r="AA1708" s="301">
        <v>0</v>
      </c>
      <c r="AB1708" s="303">
        <v>2022</v>
      </c>
    </row>
    <row r="1709" spans="1:28" ht="35.25" x14ac:dyDescent="0.5">
      <c r="A1709">
        <v>1</v>
      </c>
      <c r="B1709" s="80">
        <f>SUBTOTAL(103,$A$1697:A1709)</f>
        <v>13</v>
      </c>
      <c r="C1709" s="308" t="s">
        <v>3209</v>
      </c>
      <c r="D1709" s="296">
        <f t="shared" si="85"/>
        <v>293541</v>
      </c>
      <c r="E1709" s="301">
        <v>0</v>
      </c>
      <c r="F1709" s="301">
        <v>0</v>
      </c>
      <c r="G1709" s="301">
        <v>293541</v>
      </c>
      <c r="H1709" s="301">
        <v>0</v>
      </c>
      <c r="I1709" s="301">
        <v>0</v>
      </c>
      <c r="J1709" s="301">
        <v>0</v>
      </c>
      <c r="K1709" s="302">
        <v>0</v>
      </c>
      <c r="L1709" s="301">
        <v>0</v>
      </c>
      <c r="M1709" s="301">
        <v>0</v>
      </c>
      <c r="N1709" s="301">
        <v>0</v>
      </c>
      <c r="O1709" s="301">
        <v>0</v>
      </c>
      <c r="P1709" s="301">
        <v>0</v>
      </c>
      <c r="Q1709" s="301">
        <v>0</v>
      </c>
      <c r="R1709" s="301">
        <v>0</v>
      </c>
      <c r="S1709" s="301">
        <v>0</v>
      </c>
      <c r="T1709" s="301">
        <v>0</v>
      </c>
      <c r="U1709" s="301">
        <v>0</v>
      </c>
      <c r="V1709" s="301">
        <v>0</v>
      </c>
      <c r="W1709" s="301">
        <v>0</v>
      </c>
      <c r="X1709" s="301">
        <v>0</v>
      </c>
      <c r="Y1709" s="301">
        <v>0</v>
      </c>
      <c r="Z1709" s="301">
        <v>0</v>
      </c>
      <c r="AA1709" s="301">
        <v>0</v>
      </c>
      <c r="AB1709" s="303">
        <v>2022</v>
      </c>
    </row>
    <row r="1710" spans="1:28" ht="35.25" x14ac:dyDescent="0.5">
      <c r="A1710">
        <v>1</v>
      </c>
      <c r="B1710" s="80">
        <f>SUBTOTAL(103,$A$1697:A1710)</f>
        <v>14</v>
      </c>
      <c r="C1710" s="308" t="s">
        <v>3210</v>
      </c>
      <c r="D1710" s="296">
        <f t="shared" si="85"/>
        <v>1195000</v>
      </c>
      <c r="E1710" s="301">
        <v>0</v>
      </c>
      <c r="F1710" s="301">
        <v>0</v>
      </c>
      <c r="G1710" s="301">
        <v>1195000</v>
      </c>
      <c r="H1710" s="301">
        <v>0</v>
      </c>
      <c r="I1710" s="301">
        <v>0</v>
      </c>
      <c r="J1710" s="301">
        <v>0</v>
      </c>
      <c r="K1710" s="302">
        <v>0</v>
      </c>
      <c r="L1710" s="301">
        <v>0</v>
      </c>
      <c r="M1710" s="301">
        <v>0</v>
      </c>
      <c r="N1710" s="301">
        <v>0</v>
      </c>
      <c r="O1710" s="301">
        <v>0</v>
      </c>
      <c r="P1710" s="301">
        <v>0</v>
      </c>
      <c r="Q1710" s="301">
        <v>0</v>
      </c>
      <c r="R1710" s="301">
        <v>0</v>
      </c>
      <c r="S1710" s="301">
        <v>0</v>
      </c>
      <c r="T1710" s="301">
        <v>0</v>
      </c>
      <c r="U1710" s="301">
        <v>0</v>
      </c>
      <c r="V1710" s="301">
        <v>0</v>
      </c>
      <c r="W1710" s="301">
        <v>0</v>
      </c>
      <c r="X1710" s="301">
        <v>0</v>
      </c>
      <c r="Y1710" s="301">
        <v>0</v>
      </c>
      <c r="Z1710" s="301">
        <v>0</v>
      </c>
      <c r="AA1710" s="301">
        <v>0</v>
      </c>
      <c r="AB1710" s="303">
        <v>2022</v>
      </c>
    </row>
    <row r="1711" spans="1:28" ht="35.25" x14ac:dyDescent="0.5">
      <c r="A1711">
        <v>1</v>
      </c>
      <c r="B1711" s="80">
        <f>SUBTOTAL(103,$A$1697:A1711)</f>
        <v>15</v>
      </c>
      <c r="C1711" s="308" t="s">
        <v>2352</v>
      </c>
      <c r="D1711" s="296">
        <f t="shared" si="85"/>
        <v>227002</v>
      </c>
      <c r="E1711" s="301">
        <v>0</v>
      </c>
      <c r="F1711" s="301">
        <v>227002</v>
      </c>
      <c r="G1711" s="301">
        <v>0</v>
      </c>
      <c r="H1711" s="301">
        <v>0</v>
      </c>
      <c r="I1711" s="301">
        <v>0</v>
      </c>
      <c r="J1711" s="301">
        <v>0</v>
      </c>
      <c r="K1711" s="302">
        <v>0</v>
      </c>
      <c r="L1711" s="301">
        <v>0</v>
      </c>
      <c r="M1711" s="301">
        <v>0</v>
      </c>
      <c r="N1711" s="301">
        <v>0</v>
      </c>
      <c r="O1711" s="301">
        <v>0</v>
      </c>
      <c r="P1711" s="301">
        <v>0</v>
      </c>
      <c r="Q1711" s="301">
        <v>0</v>
      </c>
      <c r="R1711" s="301">
        <v>0</v>
      </c>
      <c r="S1711" s="301">
        <v>0</v>
      </c>
      <c r="T1711" s="301">
        <v>0</v>
      </c>
      <c r="U1711" s="301">
        <v>0</v>
      </c>
      <c r="V1711" s="301">
        <v>0</v>
      </c>
      <c r="W1711" s="301">
        <v>0</v>
      </c>
      <c r="X1711" s="301">
        <v>0</v>
      </c>
      <c r="Y1711" s="301">
        <v>0</v>
      </c>
      <c r="Z1711" s="301">
        <v>0</v>
      </c>
      <c r="AA1711" s="301">
        <v>0</v>
      </c>
      <c r="AB1711" s="303">
        <v>2022</v>
      </c>
    </row>
    <row r="1712" spans="1:28" ht="35.25" x14ac:dyDescent="0.5">
      <c r="A1712">
        <v>1</v>
      </c>
      <c r="B1712" s="80">
        <f>SUBTOTAL(103,$A$1697:A1712)</f>
        <v>16</v>
      </c>
      <c r="C1712" s="308" t="s">
        <v>1666</v>
      </c>
      <c r="D1712" s="296">
        <f t="shared" si="85"/>
        <v>1743927.99</v>
      </c>
      <c r="E1712" s="301">
        <v>0</v>
      </c>
      <c r="F1712" s="301">
        <v>0</v>
      </c>
      <c r="G1712" s="301">
        <v>0</v>
      </c>
      <c r="H1712" s="301">
        <v>0</v>
      </c>
      <c r="I1712" s="301">
        <v>1649996</v>
      </c>
      <c r="J1712" s="301">
        <v>0</v>
      </c>
      <c r="K1712" s="302">
        <v>0</v>
      </c>
      <c r="L1712" s="301">
        <v>0</v>
      </c>
      <c r="M1712" s="301">
        <v>0</v>
      </c>
      <c r="N1712" s="301">
        <v>0</v>
      </c>
      <c r="O1712" s="301">
        <v>0</v>
      </c>
      <c r="P1712" s="301">
        <v>0</v>
      </c>
      <c r="Q1712" s="301">
        <v>0</v>
      </c>
      <c r="R1712" s="301">
        <v>0</v>
      </c>
      <c r="S1712" s="301">
        <v>0</v>
      </c>
      <c r="T1712" s="301">
        <v>0</v>
      </c>
      <c r="U1712" s="301">
        <v>0</v>
      </c>
      <c r="V1712" s="301">
        <v>0</v>
      </c>
      <c r="W1712" s="301">
        <v>0</v>
      </c>
      <c r="X1712" s="301">
        <v>0</v>
      </c>
      <c r="Y1712" s="301">
        <v>0</v>
      </c>
      <c r="Z1712" s="301">
        <v>93931.99</v>
      </c>
      <c r="AA1712" s="301">
        <v>0</v>
      </c>
      <c r="AB1712" s="303">
        <v>2022</v>
      </c>
    </row>
    <row r="1713" spans="1:28" ht="35.25" x14ac:dyDescent="0.5">
      <c r="A1713">
        <v>1</v>
      </c>
      <c r="B1713" s="80">
        <f>SUBTOTAL(103,$A$1697:A1713)</f>
        <v>17</v>
      </c>
      <c r="C1713" s="308" t="s">
        <v>2643</v>
      </c>
      <c r="D1713" s="296">
        <f t="shared" si="85"/>
        <v>337493.4</v>
      </c>
      <c r="E1713" s="301">
        <v>337493.4</v>
      </c>
      <c r="F1713" s="301">
        <v>0</v>
      </c>
      <c r="G1713" s="301">
        <v>0</v>
      </c>
      <c r="H1713" s="301">
        <v>0</v>
      </c>
      <c r="I1713" s="301">
        <v>0</v>
      </c>
      <c r="J1713" s="301">
        <v>0</v>
      </c>
      <c r="K1713" s="302">
        <v>0</v>
      </c>
      <c r="L1713" s="301">
        <v>0</v>
      </c>
      <c r="M1713" s="301">
        <v>0</v>
      </c>
      <c r="N1713" s="301">
        <v>0</v>
      </c>
      <c r="O1713" s="301">
        <v>0</v>
      </c>
      <c r="P1713" s="301">
        <v>0</v>
      </c>
      <c r="Q1713" s="301">
        <v>0</v>
      </c>
      <c r="R1713" s="301">
        <v>0</v>
      </c>
      <c r="S1713" s="301">
        <v>0</v>
      </c>
      <c r="T1713" s="301">
        <v>0</v>
      </c>
      <c r="U1713" s="301">
        <v>0</v>
      </c>
      <c r="V1713" s="301">
        <v>0</v>
      </c>
      <c r="W1713" s="301">
        <v>0</v>
      </c>
      <c r="X1713" s="301">
        <v>0</v>
      </c>
      <c r="Y1713" s="301">
        <v>0</v>
      </c>
      <c r="Z1713" s="301">
        <v>0</v>
      </c>
      <c r="AA1713" s="301">
        <v>0</v>
      </c>
      <c r="AB1713" s="303">
        <v>2022</v>
      </c>
    </row>
    <row r="1714" spans="1:28" ht="35.25" x14ac:dyDescent="0.5">
      <c r="A1714">
        <v>1</v>
      </c>
      <c r="B1714" s="80">
        <f>SUBTOTAL(103,$A$1697:A1714)</f>
        <v>18</v>
      </c>
      <c r="C1714" s="308" t="s">
        <v>3018</v>
      </c>
      <c r="D1714" s="296">
        <f t="shared" si="85"/>
        <v>320000</v>
      </c>
      <c r="E1714" s="301">
        <v>0</v>
      </c>
      <c r="F1714" s="301">
        <v>0</v>
      </c>
      <c r="G1714" s="301">
        <v>0</v>
      </c>
      <c r="H1714" s="301">
        <v>0</v>
      </c>
      <c r="I1714" s="301">
        <v>0</v>
      </c>
      <c r="J1714" s="301">
        <v>0</v>
      </c>
      <c r="K1714" s="302">
        <v>0</v>
      </c>
      <c r="L1714" s="301">
        <v>0</v>
      </c>
      <c r="M1714" s="301">
        <v>0</v>
      </c>
      <c r="N1714" s="301">
        <v>0</v>
      </c>
      <c r="O1714" s="301">
        <v>320000</v>
      </c>
      <c r="P1714" s="301">
        <v>0</v>
      </c>
      <c r="Q1714" s="301">
        <v>0</v>
      </c>
      <c r="R1714" s="301">
        <v>0</v>
      </c>
      <c r="S1714" s="301">
        <v>0</v>
      </c>
      <c r="T1714" s="301">
        <v>0</v>
      </c>
      <c r="U1714" s="301">
        <v>0</v>
      </c>
      <c r="V1714" s="301">
        <v>0</v>
      </c>
      <c r="W1714" s="301">
        <v>0</v>
      </c>
      <c r="X1714" s="301">
        <v>0</v>
      </c>
      <c r="Y1714" s="301">
        <v>0</v>
      </c>
      <c r="Z1714" s="301">
        <v>0</v>
      </c>
      <c r="AA1714" s="301">
        <v>0</v>
      </c>
      <c r="AB1714" s="303">
        <v>2022</v>
      </c>
    </row>
    <row r="1715" spans="1:28" ht="35.25" x14ac:dyDescent="0.5">
      <c r="A1715">
        <v>1</v>
      </c>
      <c r="B1715" s="80">
        <f>SUBTOTAL(103,$A$1697:A1715)</f>
        <v>19</v>
      </c>
      <c r="C1715" s="308" t="s">
        <v>3211</v>
      </c>
      <c r="D1715" s="296">
        <f t="shared" si="85"/>
        <v>11063982</v>
      </c>
      <c r="E1715" s="301">
        <v>0</v>
      </c>
      <c r="F1715" s="301">
        <v>0</v>
      </c>
      <c r="G1715" s="301">
        <v>0</v>
      </c>
      <c r="H1715" s="301">
        <v>0</v>
      </c>
      <c r="I1715" s="301">
        <v>0</v>
      </c>
      <c r="J1715" s="301">
        <v>0</v>
      </c>
      <c r="K1715" s="302">
        <v>4</v>
      </c>
      <c r="L1715" s="301">
        <v>11063982</v>
      </c>
      <c r="M1715" s="301">
        <v>0</v>
      </c>
      <c r="N1715" s="301">
        <v>0</v>
      </c>
      <c r="O1715" s="301">
        <v>0</v>
      </c>
      <c r="P1715" s="301">
        <v>0</v>
      </c>
      <c r="Q1715" s="301">
        <v>0</v>
      </c>
      <c r="R1715" s="301">
        <v>0</v>
      </c>
      <c r="S1715" s="301">
        <v>0</v>
      </c>
      <c r="T1715" s="301">
        <v>0</v>
      </c>
      <c r="U1715" s="301">
        <v>0</v>
      </c>
      <c r="V1715" s="301">
        <v>0</v>
      </c>
      <c r="W1715" s="301">
        <v>0</v>
      </c>
      <c r="X1715" s="301">
        <v>0</v>
      </c>
      <c r="Y1715" s="301">
        <v>0</v>
      </c>
      <c r="Z1715" s="301">
        <v>0</v>
      </c>
      <c r="AA1715" s="301">
        <v>0</v>
      </c>
      <c r="AB1715" s="303">
        <v>2022</v>
      </c>
    </row>
    <row r="1716" spans="1:28" ht="35.25" x14ac:dyDescent="0.5">
      <c r="A1716">
        <v>1</v>
      </c>
      <c r="B1716" s="80">
        <f>SUBTOTAL(103,$A$1697:A1716)</f>
        <v>20</v>
      </c>
      <c r="C1716" s="308" t="s">
        <v>1625</v>
      </c>
      <c r="D1716" s="296">
        <f t="shared" si="85"/>
        <v>594000</v>
      </c>
      <c r="E1716" s="301">
        <v>0</v>
      </c>
      <c r="F1716" s="301">
        <v>0</v>
      </c>
      <c r="G1716" s="301">
        <v>0</v>
      </c>
      <c r="H1716" s="301">
        <v>0</v>
      </c>
      <c r="I1716" s="301">
        <v>0</v>
      </c>
      <c r="J1716" s="301">
        <v>0</v>
      </c>
      <c r="K1716" s="302">
        <v>0</v>
      </c>
      <c r="L1716" s="301">
        <v>0</v>
      </c>
      <c r="M1716" s="301">
        <v>0</v>
      </c>
      <c r="N1716" s="301">
        <v>0</v>
      </c>
      <c r="O1716" s="301">
        <f>175000+175000+244000</f>
        <v>594000</v>
      </c>
      <c r="P1716" s="301">
        <v>0</v>
      </c>
      <c r="Q1716" s="301">
        <v>0</v>
      </c>
      <c r="R1716" s="301">
        <v>0</v>
      </c>
      <c r="S1716" s="301">
        <v>0</v>
      </c>
      <c r="T1716" s="301">
        <v>0</v>
      </c>
      <c r="U1716" s="301">
        <v>0</v>
      </c>
      <c r="V1716" s="301">
        <v>0</v>
      </c>
      <c r="W1716" s="301">
        <v>0</v>
      </c>
      <c r="X1716" s="301">
        <v>0</v>
      </c>
      <c r="Y1716" s="301">
        <v>0</v>
      </c>
      <c r="Z1716" s="301">
        <v>0</v>
      </c>
      <c r="AA1716" s="301">
        <v>0</v>
      </c>
      <c r="AB1716" s="303">
        <v>2022</v>
      </c>
    </row>
    <row r="1717" spans="1:28" ht="35.25" x14ac:dyDescent="0.5">
      <c r="A1717">
        <v>1</v>
      </c>
      <c r="B1717" s="80">
        <f>SUBTOTAL(103,$A$1697:A1717)</f>
        <v>21</v>
      </c>
      <c r="C1717" s="308" t="s">
        <v>2728</v>
      </c>
      <c r="D1717" s="296">
        <f t="shared" si="85"/>
        <v>100364.66</v>
      </c>
      <c r="E1717" s="301">
        <v>0</v>
      </c>
      <c r="F1717" s="301">
        <v>0</v>
      </c>
      <c r="G1717" s="301">
        <v>0</v>
      </c>
      <c r="H1717" s="301">
        <v>0</v>
      </c>
      <c r="I1717" s="301">
        <v>0</v>
      </c>
      <c r="J1717" s="301">
        <v>0</v>
      </c>
      <c r="K1717" s="302">
        <v>0</v>
      </c>
      <c r="L1717" s="301">
        <v>0</v>
      </c>
      <c r="M1717" s="301">
        <v>100364.66</v>
      </c>
      <c r="N1717" s="301">
        <v>0</v>
      </c>
      <c r="O1717" s="301">
        <v>0</v>
      </c>
      <c r="P1717" s="301">
        <v>0</v>
      </c>
      <c r="Q1717" s="301">
        <v>0</v>
      </c>
      <c r="R1717" s="301">
        <v>0</v>
      </c>
      <c r="S1717" s="301">
        <v>0</v>
      </c>
      <c r="T1717" s="301">
        <v>0</v>
      </c>
      <c r="U1717" s="301">
        <v>0</v>
      </c>
      <c r="V1717" s="301">
        <v>0</v>
      </c>
      <c r="W1717" s="301">
        <v>0</v>
      </c>
      <c r="X1717" s="301">
        <v>0</v>
      </c>
      <c r="Y1717" s="301">
        <v>0</v>
      </c>
      <c r="Z1717" s="301">
        <v>0</v>
      </c>
      <c r="AA1717" s="301">
        <v>0</v>
      </c>
      <c r="AB1717" s="303">
        <v>2022</v>
      </c>
    </row>
    <row r="1718" spans="1:28" ht="35.25" x14ac:dyDescent="0.5">
      <c r="A1718">
        <v>1</v>
      </c>
      <c r="B1718" s="80">
        <f>SUBTOTAL(103,$A$1697:A1718)</f>
        <v>22</v>
      </c>
      <c r="C1718" s="308" t="s">
        <v>1628</v>
      </c>
      <c r="D1718" s="296">
        <f t="shared" si="85"/>
        <v>365099.99</v>
      </c>
      <c r="E1718" s="301">
        <v>0</v>
      </c>
      <c r="F1718" s="301">
        <v>0</v>
      </c>
      <c r="G1718" s="301">
        <v>254150.01</v>
      </c>
      <c r="H1718" s="301">
        <v>0</v>
      </c>
      <c r="I1718" s="301">
        <v>0</v>
      </c>
      <c r="J1718" s="301">
        <v>0</v>
      </c>
      <c r="K1718" s="302">
        <v>1</v>
      </c>
      <c r="L1718" s="301">
        <v>110949.98</v>
      </c>
      <c r="M1718" s="301">
        <v>0</v>
      </c>
      <c r="N1718" s="301">
        <v>0</v>
      </c>
      <c r="O1718" s="301">
        <v>0</v>
      </c>
      <c r="P1718" s="301">
        <v>0</v>
      </c>
      <c r="Q1718" s="301">
        <v>0</v>
      </c>
      <c r="R1718" s="301">
        <v>0</v>
      </c>
      <c r="S1718" s="301">
        <v>0</v>
      </c>
      <c r="T1718" s="301">
        <v>0</v>
      </c>
      <c r="U1718" s="301">
        <v>0</v>
      </c>
      <c r="V1718" s="301">
        <v>0</v>
      </c>
      <c r="W1718" s="301">
        <v>0</v>
      </c>
      <c r="X1718" s="301">
        <v>0</v>
      </c>
      <c r="Y1718" s="301">
        <v>0</v>
      </c>
      <c r="Z1718" s="301">
        <v>0</v>
      </c>
      <c r="AA1718" s="301">
        <v>0</v>
      </c>
      <c r="AB1718" s="303">
        <v>2022</v>
      </c>
    </row>
    <row r="1719" spans="1:28" ht="35.25" x14ac:dyDescent="0.5">
      <c r="A1719">
        <v>1</v>
      </c>
      <c r="B1719" s="80">
        <f>SUBTOTAL(103,$A$1697:A1719)</f>
        <v>23</v>
      </c>
      <c r="C1719" s="308" t="s">
        <v>1877</v>
      </c>
      <c r="D1719" s="296">
        <f t="shared" si="85"/>
        <v>16000</v>
      </c>
      <c r="E1719" s="301">
        <v>0</v>
      </c>
      <c r="F1719" s="301">
        <v>0</v>
      </c>
      <c r="G1719" s="301">
        <v>0</v>
      </c>
      <c r="H1719" s="301">
        <v>0</v>
      </c>
      <c r="I1719" s="301">
        <v>0</v>
      </c>
      <c r="J1719" s="301">
        <v>0</v>
      </c>
      <c r="K1719" s="302">
        <v>0</v>
      </c>
      <c r="L1719" s="301">
        <v>0</v>
      </c>
      <c r="M1719" s="301">
        <v>16000</v>
      </c>
      <c r="N1719" s="301">
        <v>0</v>
      </c>
      <c r="O1719" s="301">
        <v>0</v>
      </c>
      <c r="P1719" s="301">
        <v>0</v>
      </c>
      <c r="Q1719" s="301">
        <v>0</v>
      </c>
      <c r="R1719" s="301">
        <v>0</v>
      </c>
      <c r="S1719" s="301">
        <v>0</v>
      </c>
      <c r="T1719" s="301">
        <v>0</v>
      </c>
      <c r="U1719" s="301">
        <v>0</v>
      </c>
      <c r="V1719" s="301">
        <v>0</v>
      </c>
      <c r="W1719" s="301">
        <v>0</v>
      </c>
      <c r="X1719" s="301">
        <v>0</v>
      </c>
      <c r="Y1719" s="301">
        <v>0</v>
      </c>
      <c r="Z1719" s="301">
        <v>0</v>
      </c>
      <c r="AA1719" s="301">
        <v>0</v>
      </c>
      <c r="AB1719" s="303">
        <v>2022</v>
      </c>
    </row>
    <row r="1720" spans="1:28" ht="35.25" x14ac:dyDescent="0.5">
      <c r="A1720">
        <v>1</v>
      </c>
      <c r="B1720" s="80">
        <f>SUBTOTAL(103,$A$1697:A1720)</f>
        <v>24</v>
      </c>
      <c r="C1720" s="308" t="s">
        <v>1883</v>
      </c>
      <c r="D1720" s="296">
        <f t="shared" si="85"/>
        <v>110310</v>
      </c>
      <c r="E1720" s="301">
        <v>0</v>
      </c>
      <c r="F1720" s="301">
        <f>71647+38663</f>
        <v>110310</v>
      </c>
      <c r="G1720" s="301">
        <v>0</v>
      </c>
      <c r="H1720" s="301">
        <v>0</v>
      </c>
      <c r="I1720" s="301">
        <v>0</v>
      </c>
      <c r="J1720" s="301">
        <v>0</v>
      </c>
      <c r="K1720" s="302">
        <v>0</v>
      </c>
      <c r="L1720" s="301">
        <v>0</v>
      </c>
      <c r="M1720" s="301">
        <v>0</v>
      </c>
      <c r="N1720" s="301">
        <v>0</v>
      </c>
      <c r="O1720" s="301">
        <v>0</v>
      </c>
      <c r="P1720" s="301">
        <v>0</v>
      </c>
      <c r="Q1720" s="301">
        <v>0</v>
      </c>
      <c r="R1720" s="301">
        <v>0</v>
      </c>
      <c r="S1720" s="301">
        <v>0</v>
      </c>
      <c r="T1720" s="301">
        <v>0</v>
      </c>
      <c r="U1720" s="301">
        <v>0</v>
      </c>
      <c r="V1720" s="301">
        <v>0</v>
      </c>
      <c r="W1720" s="301">
        <v>0</v>
      </c>
      <c r="X1720" s="301">
        <v>0</v>
      </c>
      <c r="Y1720" s="301">
        <v>0</v>
      </c>
      <c r="Z1720" s="301">
        <v>0</v>
      </c>
      <c r="AA1720" s="301">
        <v>0</v>
      </c>
      <c r="AB1720" s="303">
        <v>2022</v>
      </c>
    </row>
    <row r="1721" spans="1:28" ht="35.25" x14ac:dyDescent="0.5">
      <c r="A1721">
        <v>1</v>
      </c>
      <c r="B1721" s="80">
        <f>SUBTOTAL(103,$A$1697:A1721)</f>
        <v>25</v>
      </c>
      <c r="C1721" s="308" t="s">
        <v>1633</v>
      </c>
      <c r="D1721" s="296">
        <f t="shared" si="85"/>
        <v>1029406.7</v>
      </c>
      <c r="E1721" s="301">
        <v>0</v>
      </c>
      <c r="F1721" s="301">
        <v>0</v>
      </c>
      <c r="G1721" s="301">
        <v>0</v>
      </c>
      <c r="H1721" s="301">
        <v>0</v>
      </c>
      <c r="I1721" s="301">
        <v>0</v>
      </c>
      <c r="J1721" s="301">
        <v>0</v>
      </c>
      <c r="K1721" s="302">
        <v>0</v>
      </c>
      <c r="L1721" s="301">
        <v>0</v>
      </c>
      <c r="M1721" s="301">
        <v>0</v>
      </c>
      <c r="N1721" s="301">
        <v>1029406.7</v>
      </c>
      <c r="O1721" s="301">
        <v>0</v>
      </c>
      <c r="P1721" s="301">
        <v>0</v>
      </c>
      <c r="Q1721" s="301">
        <v>0</v>
      </c>
      <c r="R1721" s="301">
        <v>0</v>
      </c>
      <c r="S1721" s="301">
        <v>0</v>
      </c>
      <c r="T1721" s="301">
        <v>0</v>
      </c>
      <c r="U1721" s="301">
        <v>0</v>
      </c>
      <c r="V1721" s="301">
        <v>0</v>
      </c>
      <c r="W1721" s="301">
        <v>0</v>
      </c>
      <c r="X1721" s="301">
        <v>0</v>
      </c>
      <c r="Y1721" s="301">
        <v>0</v>
      </c>
      <c r="Z1721" s="301">
        <v>0</v>
      </c>
      <c r="AA1721" s="301">
        <v>0</v>
      </c>
      <c r="AB1721" s="303">
        <v>2022</v>
      </c>
    </row>
    <row r="1722" spans="1:28" ht="35.25" x14ac:dyDescent="0.5">
      <c r="A1722">
        <v>1</v>
      </c>
      <c r="B1722" s="80">
        <f>SUBTOTAL(103,$A$1697:A1722)</f>
        <v>26</v>
      </c>
      <c r="C1722" s="308" t="s">
        <v>2734</v>
      </c>
      <c r="D1722" s="296">
        <f t="shared" si="85"/>
        <v>2100000</v>
      </c>
      <c r="E1722" s="301">
        <v>0</v>
      </c>
      <c r="F1722" s="301">
        <v>0</v>
      </c>
      <c r="G1722" s="301">
        <v>0</v>
      </c>
      <c r="H1722" s="301">
        <v>0</v>
      </c>
      <c r="I1722" s="301">
        <v>0</v>
      </c>
      <c r="J1722" s="301">
        <v>0</v>
      </c>
      <c r="K1722" s="302">
        <v>1</v>
      </c>
      <c r="L1722" s="301">
        <v>2100000</v>
      </c>
      <c r="M1722" s="301">
        <v>0</v>
      </c>
      <c r="N1722" s="301">
        <v>0</v>
      </c>
      <c r="O1722" s="301">
        <v>0</v>
      </c>
      <c r="P1722" s="301">
        <v>0</v>
      </c>
      <c r="Q1722" s="301">
        <v>0</v>
      </c>
      <c r="R1722" s="301">
        <v>0</v>
      </c>
      <c r="S1722" s="301">
        <v>0</v>
      </c>
      <c r="T1722" s="301">
        <v>0</v>
      </c>
      <c r="U1722" s="301">
        <v>0</v>
      </c>
      <c r="V1722" s="301">
        <v>0</v>
      </c>
      <c r="W1722" s="301">
        <v>0</v>
      </c>
      <c r="X1722" s="301">
        <v>0</v>
      </c>
      <c r="Y1722" s="301">
        <v>0</v>
      </c>
      <c r="Z1722" s="301">
        <v>0</v>
      </c>
      <c r="AA1722" s="301">
        <v>0</v>
      </c>
      <c r="AB1722" s="303">
        <v>2022</v>
      </c>
    </row>
    <row r="1723" spans="1:28" ht="35.25" x14ac:dyDescent="0.5">
      <c r="A1723">
        <v>1</v>
      </c>
      <c r="B1723" s="80">
        <f>SUBTOTAL(103,$A$1697:A1723)</f>
        <v>27</v>
      </c>
      <c r="C1723" s="308" t="s">
        <v>1639</v>
      </c>
      <c r="D1723" s="296">
        <f t="shared" si="85"/>
        <v>2748660.4699999997</v>
      </c>
      <c r="E1723" s="301">
        <v>0</v>
      </c>
      <c r="F1723" s="301">
        <v>112955.5</v>
      </c>
      <c r="G1723" s="301">
        <f>53850+125650+21808.47</f>
        <v>201308.47</v>
      </c>
      <c r="H1723" s="301">
        <f>129304.18+301709.78</f>
        <v>431013.96</v>
      </c>
      <c r="I1723" s="301">
        <v>0</v>
      </c>
      <c r="J1723" s="301">
        <v>0</v>
      </c>
      <c r="K1723" s="302">
        <v>1</v>
      </c>
      <c r="L1723" s="301">
        <v>33771.54</v>
      </c>
      <c r="M1723" s="301">
        <v>425000</v>
      </c>
      <c r="N1723" s="301">
        <v>0</v>
      </c>
      <c r="O1723" s="301">
        <v>1544611</v>
      </c>
      <c r="P1723" s="301">
        <v>0</v>
      </c>
      <c r="Q1723" s="301">
        <v>0</v>
      </c>
      <c r="R1723" s="301">
        <v>0</v>
      </c>
      <c r="S1723" s="301">
        <v>0</v>
      </c>
      <c r="T1723" s="301">
        <v>0</v>
      </c>
      <c r="U1723" s="301">
        <v>0</v>
      </c>
      <c r="V1723" s="301">
        <v>0</v>
      </c>
      <c r="W1723" s="301">
        <v>0</v>
      </c>
      <c r="X1723" s="301">
        <v>0</v>
      </c>
      <c r="Y1723" s="301">
        <v>0</v>
      </c>
      <c r="Z1723" s="301">
        <v>0</v>
      </c>
      <c r="AA1723" s="301">
        <v>0</v>
      </c>
      <c r="AB1723" s="303">
        <v>2022</v>
      </c>
    </row>
    <row r="1724" spans="1:28" ht="35.25" x14ac:dyDescent="0.5">
      <c r="A1724">
        <v>1</v>
      </c>
      <c r="B1724" s="80">
        <f>SUBTOTAL(103,$A$1697:A1724)</f>
        <v>28</v>
      </c>
      <c r="C1724" s="308" t="s">
        <v>1892</v>
      </c>
      <c r="D1724" s="296">
        <f t="shared" si="85"/>
        <v>71676.27</v>
      </c>
      <c r="E1724" s="301">
        <v>0</v>
      </c>
      <c r="F1724" s="301">
        <v>0</v>
      </c>
      <c r="G1724" s="301">
        <v>0</v>
      </c>
      <c r="H1724" s="301">
        <v>0</v>
      </c>
      <c r="I1724" s="301">
        <v>71676.27</v>
      </c>
      <c r="J1724" s="301">
        <v>0</v>
      </c>
      <c r="K1724" s="302">
        <v>0</v>
      </c>
      <c r="L1724" s="301">
        <v>0</v>
      </c>
      <c r="M1724" s="301">
        <v>0</v>
      </c>
      <c r="N1724" s="301">
        <v>0</v>
      </c>
      <c r="O1724" s="301">
        <v>0</v>
      </c>
      <c r="P1724" s="301">
        <v>0</v>
      </c>
      <c r="Q1724" s="301">
        <v>0</v>
      </c>
      <c r="R1724" s="301">
        <v>0</v>
      </c>
      <c r="S1724" s="301">
        <v>0</v>
      </c>
      <c r="T1724" s="301">
        <v>0</v>
      </c>
      <c r="U1724" s="301">
        <v>0</v>
      </c>
      <c r="V1724" s="301">
        <v>0</v>
      </c>
      <c r="W1724" s="301">
        <v>0</v>
      </c>
      <c r="X1724" s="301">
        <v>0</v>
      </c>
      <c r="Y1724" s="301">
        <v>0</v>
      </c>
      <c r="Z1724" s="301">
        <v>0</v>
      </c>
      <c r="AA1724" s="301">
        <v>0</v>
      </c>
      <c r="AB1724" s="303">
        <v>2022</v>
      </c>
    </row>
    <row r="1725" spans="1:28" ht="35.25" x14ac:dyDescent="0.5">
      <c r="A1725">
        <v>1</v>
      </c>
      <c r="B1725" s="80">
        <f>SUBTOTAL(103,$A$1697:A1725)</f>
        <v>29</v>
      </c>
      <c r="C1725" s="308" t="s">
        <v>3309</v>
      </c>
      <c r="D1725" s="296">
        <f t="shared" si="85"/>
        <v>185499</v>
      </c>
      <c r="E1725" s="301">
        <v>0</v>
      </c>
      <c r="F1725" s="301">
        <v>0</v>
      </c>
      <c r="G1725" s="301">
        <v>185499</v>
      </c>
      <c r="H1725" s="301">
        <v>0</v>
      </c>
      <c r="I1725" s="301">
        <v>0</v>
      </c>
      <c r="J1725" s="301">
        <v>0</v>
      </c>
      <c r="K1725" s="302">
        <v>0</v>
      </c>
      <c r="L1725" s="301">
        <v>0</v>
      </c>
      <c r="M1725" s="301">
        <v>0</v>
      </c>
      <c r="N1725" s="301">
        <v>0</v>
      </c>
      <c r="O1725" s="301">
        <v>0</v>
      </c>
      <c r="P1725" s="301">
        <v>0</v>
      </c>
      <c r="Q1725" s="301">
        <v>0</v>
      </c>
      <c r="R1725" s="301">
        <v>0</v>
      </c>
      <c r="S1725" s="301">
        <v>0</v>
      </c>
      <c r="T1725" s="301">
        <v>0</v>
      </c>
      <c r="U1725" s="301">
        <v>0</v>
      </c>
      <c r="V1725" s="301">
        <v>0</v>
      </c>
      <c r="W1725" s="301">
        <v>0</v>
      </c>
      <c r="X1725" s="301">
        <v>0</v>
      </c>
      <c r="Y1725" s="301">
        <v>0</v>
      </c>
      <c r="Z1725" s="301">
        <v>0</v>
      </c>
      <c r="AA1725" s="301">
        <v>0</v>
      </c>
      <c r="AB1725" s="303">
        <v>2022</v>
      </c>
    </row>
    <row r="1726" spans="1:28" ht="35.25" x14ac:dyDescent="0.5">
      <c r="A1726">
        <v>1</v>
      </c>
      <c r="B1726" s="80">
        <f>SUBTOTAL(103,$A$1697:A1726)</f>
        <v>30</v>
      </c>
      <c r="C1726" s="308" t="s">
        <v>1898</v>
      </c>
      <c r="D1726" s="296">
        <f t="shared" si="85"/>
        <v>955640</v>
      </c>
      <c r="E1726" s="301">
        <f>179382+418558</f>
        <v>597940</v>
      </c>
      <c r="F1726" s="301">
        <v>0</v>
      </c>
      <c r="G1726" s="301">
        <v>0</v>
      </c>
      <c r="H1726" s="301">
        <v>0</v>
      </c>
      <c r="I1726" s="301">
        <v>0</v>
      </c>
      <c r="J1726" s="301">
        <v>0</v>
      </c>
      <c r="K1726" s="302">
        <v>0</v>
      </c>
      <c r="L1726" s="301">
        <v>0</v>
      </c>
      <c r="M1726" s="301">
        <v>357700</v>
      </c>
      <c r="N1726" s="301">
        <v>0</v>
      </c>
      <c r="O1726" s="301">
        <v>0</v>
      </c>
      <c r="P1726" s="301">
        <v>0</v>
      </c>
      <c r="Q1726" s="301">
        <v>0</v>
      </c>
      <c r="R1726" s="301">
        <v>0</v>
      </c>
      <c r="S1726" s="301">
        <v>0</v>
      </c>
      <c r="T1726" s="301">
        <v>0</v>
      </c>
      <c r="U1726" s="301">
        <v>0</v>
      </c>
      <c r="V1726" s="301">
        <v>0</v>
      </c>
      <c r="W1726" s="301">
        <v>0</v>
      </c>
      <c r="X1726" s="301">
        <v>0</v>
      </c>
      <c r="Y1726" s="301">
        <v>0</v>
      </c>
      <c r="Z1726" s="301">
        <v>0</v>
      </c>
      <c r="AA1726" s="301">
        <v>0</v>
      </c>
      <c r="AB1726" s="303">
        <v>2022</v>
      </c>
    </row>
    <row r="1727" spans="1:28" ht="35.25" x14ac:dyDescent="0.5">
      <c r="A1727">
        <v>1</v>
      </c>
      <c r="B1727" s="80">
        <f>SUBTOTAL(103,$A$1697:A1727)</f>
        <v>31</v>
      </c>
      <c r="C1727" s="308" t="s">
        <v>3031</v>
      </c>
      <c r="D1727" s="296">
        <f t="shared" si="85"/>
        <v>197421.98</v>
      </c>
      <c r="E1727" s="301">
        <v>0</v>
      </c>
      <c r="F1727" s="301">
        <v>0</v>
      </c>
      <c r="G1727" s="301">
        <v>0</v>
      </c>
      <c r="H1727" s="301">
        <v>0</v>
      </c>
      <c r="I1727" s="301">
        <v>0</v>
      </c>
      <c r="J1727" s="301">
        <v>0</v>
      </c>
      <c r="K1727" s="302">
        <v>1</v>
      </c>
      <c r="L1727" s="301">
        <v>197421.98</v>
      </c>
      <c r="M1727" s="301">
        <v>0</v>
      </c>
      <c r="N1727" s="301">
        <v>0</v>
      </c>
      <c r="O1727" s="301">
        <v>0</v>
      </c>
      <c r="P1727" s="301">
        <v>0</v>
      </c>
      <c r="Q1727" s="301">
        <v>0</v>
      </c>
      <c r="R1727" s="301">
        <v>0</v>
      </c>
      <c r="S1727" s="301">
        <v>0</v>
      </c>
      <c r="T1727" s="301">
        <v>0</v>
      </c>
      <c r="U1727" s="301">
        <v>0</v>
      </c>
      <c r="V1727" s="301">
        <v>0</v>
      </c>
      <c r="W1727" s="301">
        <v>0</v>
      </c>
      <c r="X1727" s="301">
        <v>0</v>
      </c>
      <c r="Y1727" s="301">
        <v>0</v>
      </c>
      <c r="Z1727" s="301">
        <v>0</v>
      </c>
      <c r="AA1727" s="301">
        <v>0</v>
      </c>
      <c r="AB1727" s="303">
        <v>2022</v>
      </c>
    </row>
    <row r="1728" spans="1:28" ht="35.25" x14ac:dyDescent="0.5">
      <c r="A1728">
        <v>1</v>
      </c>
      <c r="B1728" s="80">
        <f>SUBTOTAL(103,$A$1697:A1728)</f>
        <v>32</v>
      </c>
      <c r="C1728" s="308" t="s">
        <v>1645</v>
      </c>
      <c r="D1728" s="296">
        <f t="shared" si="85"/>
        <v>125000</v>
      </c>
      <c r="E1728" s="301">
        <v>0</v>
      </c>
      <c r="F1728" s="301">
        <v>0</v>
      </c>
      <c r="G1728" s="301">
        <v>0</v>
      </c>
      <c r="H1728" s="301">
        <v>0</v>
      </c>
      <c r="I1728" s="301">
        <v>0</v>
      </c>
      <c r="J1728" s="301">
        <v>0</v>
      </c>
      <c r="K1728" s="302">
        <v>0</v>
      </c>
      <c r="L1728" s="301">
        <v>0</v>
      </c>
      <c r="M1728" s="301">
        <v>0</v>
      </c>
      <c r="N1728" s="301">
        <v>0</v>
      </c>
      <c r="O1728" s="301">
        <v>125000</v>
      </c>
      <c r="P1728" s="301">
        <v>0</v>
      </c>
      <c r="Q1728" s="301">
        <v>0</v>
      </c>
      <c r="R1728" s="301">
        <v>0</v>
      </c>
      <c r="S1728" s="301">
        <v>0</v>
      </c>
      <c r="T1728" s="301">
        <v>0</v>
      </c>
      <c r="U1728" s="301">
        <v>0</v>
      </c>
      <c r="V1728" s="301">
        <v>0</v>
      </c>
      <c r="W1728" s="301">
        <v>0</v>
      </c>
      <c r="X1728" s="301">
        <v>0</v>
      </c>
      <c r="Y1728" s="301">
        <v>0</v>
      </c>
      <c r="Z1728" s="301">
        <v>0</v>
      </c>
      <c r="AA1728" s="301">
        <v>0</v>
      </c>
      <c r="AB1728" s="303">
        <v>2022</v>
      </c>
    </row>
    <row r="1729" spans="1:28" ht="35.25" x14ac:dyDescent="0.5">
      <c r="A1729">
        <v>1</v>
      </c>
      <c r="B1729" s="80">
        <f>SUBTOTAL(103,$A$1697:A1729)</f>
        <v>33</v>
      </c>
      <c r="C1729" s="308" t="s">
        <v>3310</v>
      </c>
      <c r="D1729" s="296">
        <f t="shared" si="85"/>
        <v>432110</v>
      </c>
      <c r="E1729" s="301">
        <v>0</v>
      </c>
      <c r="F1729" s="301">
        <v>0</v>
      </c>
      <c r="G1729" s="301">
        <f>129633+302477</f>
        <v>432110</v>
      </c>
      <c r="H1729" s="301">
        <v>0</v>
      </c>
      <c r="I1729" s="301">
        <v>0</v>
      </c>
      <c r="J1729" s="301">
        <v>0</v>
      </c>
      <c r="K1729" s="302">
        <v>0</v>
      </c>
      <c r="L1729" s="301">
        <v>0</v>
      </c>
      <c r="M1729" s="301">
        <v>0</v>
      </c>
      <c r="N1729" s="301">
        <v>0</v>
      </c>
      <c r="O1729" s="301">
        <v>0</v>
      </c>
      <c r="P1729" s="301">
        <v>0</v>
      </c>
      <c r="Q1729" s="301">
        <v>0</v>
      </c>
      <c r="R1729" s="301">
        <v>0</v>
      </c>
      <c r="S1729" s="301">
        <v>0</v>
      </c>
      <c r="T1729" s="301">
        <v>0</v>
      </c>
      <c r="U1729" s="301">
        <v>0</v>
      </c>
      <c r="V1729" s="301">
        <v>0</v>
      </c>
      <c r="W1729" s="301">
        <v>0</v>
      </c>
      <c r="X1729" s="301">
        <v>0</v>
      </c>
      <c r="Y1729" s="301">
        <v>0</v>
      </c>
      <c r="Z1729" s="301">
        <v>0</v>
      </c>
      <c r="AA1729" s="301">
        <v>0</v>
      </c>
      <c r="AB1729" s="303">
        <v>2022</v>
      </c>
    </row>
    <row r="1730" spans="1:28" ht="35.25" x14ac:dyDescent="0.5">
      <c r="A1730">
        <v>1</v>
      </c>
      <c r="B1730" s="80">
        <f>SUBTOTAL(103,$A$1697:A1730)</f>
        <v>34</v>
      </c>
      <c r="C1730" s="308" t="s">
        <v>2338</v>
      </c>
      <c r="D1730" s="296">
        <f t="shared" si="85"/>
        <v>170000</v>
      </c>
      <c r="E1730" s="301">
        <v>0</v>
      </c>
      <c r="F1730" s="301">
        <v>0</v>
      </c>
      <c r="G1730" s="301">
        <f>51000+119000</f>
        <v>170000</v>
      </c>
      <c r="H1730" s="301">
        <v>0</v>
      </c>
      <c r="I1730" s="301">
        <v>0</v>
      </c>
      <c r="J1730" s="301">
        <v>0</v>
      </c>
      <c r="K1730" s="302">
        <v>0</v>
      </c>
      <c r="L1730" s="301">
        <v>0</v>
      </c>
      <c r="M1730" s="301">
        <v>0</v>
      </c>
      <c r="N1730" s="301">
        <v>0</v>
      </c>
      <c r="O1730" s="301">
        <v>0</v>
      </c>
      <c r="P1730" s="301">
        <v>0</v>
      </c>
      <c r="Q1730" s="301">
        <v>0</v>
      </c>
      <c r="R1730" s="301">
        <v>0</v>
      </c>
      <c r="S1730" s="301">
        <v>0</v>
      </c>
      <c r="T1730" s="301">
        <v>0</v>
      </c>
      <c r="U1730" s="301">
        <v>0</v>
      </c>
      <c r="V1730" s="301">
        <v>0</v>
      </c>
      <c r="W1730" s="301">
        <v>0</v>
      </c>
      <c r="X1730" s="301">
        <v>0</v>
      </c>
      <c r="Y1730" s="301">
        <v>0</v>
      </c>
      <c r="Z1730" s="301">
        <v>0</v>
      </c>
      <c r="AA1730" s="301">
        <v>0</v>
      </c>
      <c r="AB1730" s="303">
        <v>2022</v>
      </c>
    </row>
    <row r="1731" spans="1:28" ht="35.25" x14ac:dyDescent="0.5">
      <c r="A1731">
        <v>1</v>
      </c>
      <c r="B1731" s="80">
        <f>SUBTOTAL(103,$A$1697:A1731)</f>
        <v>35</v>
      </c>
      <c r="C1731" s="308" t="s">
        <v>3311</v>
      </c>
      <c r="D1731" s="296">
        <f t="shared" si="85"/>
        <v>632622.91999999993</v>
      </c>
      <c r="E1731" s="301">
        <v>0</v>
      </c>
      <c r="F1731" s="301">
        <v>0</v>
      </c>
      <c r="G1731" s="301">
        <v>0</v>
      </c>
      <c r="H1731" s="301">
        <v>0</v>
      </c>
      <c r="I1731" s="301">
        <v>0</v>
      </c>
      <c r="J1731" s="301">
        <v>0</v>
      </c>
      <c r="K1731" s="302">
        <v>0</v>
      </c>
      <c r="L1731" s="301">
        <v>0</v>
      </c>
      <c r="M1731" s="301">
        <v>0</v>
      </c>
      <c r="N1731" s="301">
        <v>0</v>
      </c>
      <c r="O1731" s="301">
        <f>278692.92+353930</f>
        <v>632622.91999999993</v>
      </c>
      <c r="P1731" s="301">
        <v>0</v>
      </c>
      <c r="Q1731" s="301">
        <v>0</v>
      </c>
      <c r="R1731" s="301">
        <v>0</v>
      </c>
      <c r="S1731" s="301">
        <v>0</v>
      </c>
      <c r="T1731" s="301">
        <v>0</v>
      </c>
      <c r="U1731" s="301">
        <v>0</v>
      </c>
      <c r="V1731" s="301">
        <v>0</v>
      </c>
      <c r="W1731" s="301">
        <v>0</v>
      </c>
      <c r="X1731" s="301">
        <v>0</v>
      </c>
      <c r="Y1731" s="301">
        <v>0</v>
      </c>
      <c r="Z1731" s="301">
        <v>0</v>
      </c>
      <c r="AA1731" s="301">
        <v>0</v>
      </c>
      <c r="AB1731" s="303">
        <v>2022</v>
      </c>
    </row>
    <row r="1732" spans="1:28" ht="35.25" x14ac:dyDescent="0.5">
      <c r="A1732">
        <v>1</v>
      </c>
      <c r="B1732" s="80">
        <f>SUBTOTAL(103,$A$1697:A1732)</f>
        <v>36</v>
      </c>
      <c r="C1732" s="308" t="s">
        <v>1647</v>
      </c>
      <c r="D1732" s="296">
        <f t="shared" si="85"/>
        <v>1276439</v>
      </c>
      <c r="E1732" s="301">
        <v>0</v>
      </c>
      <c r="F1732" s="301">
        <v>0</v>
      </c>
      <c r="G1732" s="301">
        <f>815000+100000</f>
        <v>915000</v>
      </c>
      <c r="H1732" s="301">
        <v>0</v>
      </c>
      <c r="I1732" s="301">
        <v>0</v>
      </c>
      <c r="J1732" s="301">
        <v>0</v>
      </c>
      <c r="K1732" s="302">
        <v>1</v>
      </c>
      <c r="L1732" s="301">
        <v>361439</v>
      </c>
      <c r="M1732" s="301">
        <v>0</v>
      </c>
      <c r="N1732" s="301">
        <v>0</v>
      </c>
      <c r="O1732" s="301">
        <v>0</v>
      </c>
      <c r="P1732" s="301">
        <v>0</v>
      </c>
      <c r="Q1732" s="301">
        <v>0</v>
      </c>
      <c r="R1732" s="301">
        <v>0</v>
      </c>
      <c r="S1732" s="301">
        <v>0</v>
      </c>
      <c r="T1732" s="301">
        <v>0</v>
      </c>
      <c r="U1732" s="301">
        <v>0</v>
      </c>
      <c r="V1732" s="301">
        <v>0</v>
      </c>
      <c r="W1732" s="301">
        <v>0</v>
      </c>
      <c r="X1732" s="301">
        <v>0</v>
      </c>
      <c r="Y1732" s="301">
        <v>0</v>
      </c>
      <c r="Z1732" s="301">
        <v>0</v>
      </c>
      <c r="AA1732" s="301">
        <v>0</v>
      </c>
      <c r="AB1732" s="303">
        <v>2022</v>
      </c>
    </row>
    <row r="1733" spans="1:28" ht="35.25" x14ac:dyDescent="0.5">
      <c r="A1733">
        <v>1</v>
      </c>
      <c r="B1733" s="80">
        <f>SUBTOTAL(103,$A$1697:A1733)</f>
        <v>37</v>
      </c>
      <c r="C1733" s="308" t="s">
        <v>1649</v>
      </c>
      <c r="D1733" s="296">
        <f t="shared" si="85"/>
        <v>390000</v>
      </c>
      <c r="E1733" s="301">
        <v>0</v>
      </c>
      <c r="F1733" s="301">
        <v>0</v>
      </c>
      <c r="G1733" s="301">
        <f>117000+273000</f>
        <v>390000</v>
      </c>
      <c r="H1733" s="301">
        <v>0</v>
      </c>
      <c r="I1733" s="301">
        <v>0</v>
      </c>
      <c r="J1733" s="301">
        <v>0</v>
      </c>
      <c r="K1733" s="302">
        <v>0</v>
      </c>
      <c r="L1733" s="301">
        <v>0</v>
      </c>
      <c r="M1733" s="301">
        <v>0</v>
      </c>
      <c r="N1733" s="301">
        <v>0</v>
      </c>
      <c r="O1733" s="301">
        <v>0</v>
      </c>
      <c r="P1733" s="301">
        <v>0</v>
      </c>
      <c r="Q1733" s="301">
        <v>0</v>
      </c>
      <c r="R1733" s="301">
        <v>0</v>
      </c>
      <c r="S1733" s="301">
        <v>0</v>
      </c>
      <c r="T1733" s="301">
        <v>0</v>
      </c>
      <c r="U1733" s="301">
        <v>0</v>
      </c>
      <c r="V1733" s="301">
        <v>0</v>
      </c>
      <c r="W1733" s="301">
        <v>0</v>
      </c>
      <c r="X1733" s="301">
        <v>0</v>
      </c>
      <c r="Y1733" s="301">
        <v>0</v>
      </c>
      <c r="Z1733" s="301">
        <v>0</v>
      </c>
      <c r="AA1733" s="301">
        <v>0</v>
      </c>
      <c r="AB1733" s="303">
        <v>2022</v>
      </c>
    </row>
    <row r="1734" spans="1:28" ht="35.25" x14ac:dyDescent="0.5">
      <c r="A1734">
        <v>1</v>
      </c>
      <c r="B1734" s="80">
        <f>SUBTOTAL(103,$A$1697:A1734)</f>
        <v>38</v>
      </c>
      <c r="C1734" s="308" t="s">
        <v>3005</v>
      </c>
      <c r="D1734" s="296">
        <f t="shared" si="85"/>
        <v>2230000</v>
      </c>
      <c r="E1734" s="301">
        <v>0</v>
      </c>
      <c r="F1734" s="301">
        <v>0</v>
      </c>
      <c r="G1734" s="301">
        <v>390000</v>
      </c>
      <c r="H1734" s="301">
        <v>0</v>
      </c>
      <c r="I1734" s="301">
        <v>0</v>
      </c>
      <c r="J1734" s="301">
        <v>0</v>
      </c>
      <c r="K1734" s="302">
        <v>0</v>
      </c>
      <c r="L1734" s="301">
        <v>0</v>
      </c>
      <c r="M1734" s="301">
        <f>487680+1352320</f>
        <v>1840000</v>
      </c>
      <c r="N1734" s="301">
        <v>0</v>
      </c>
      <c r="O1734" s="301">
        <v>0</v>
      </c>
      <c r="P1734" s="301">
        <v>0</v>
      </c>
      <c r="Q1734" s="301">
        <v>0</v>
      </c>
      <c r="R1734" s="301">
        <v>0</v>
      </c>
      <c r="S1734" s="301">
        <v>0</v>
      </c>
      <c r="T1734" s="301">
        <v>0</v>
      </c>
      <c r="U1734" s="301">
        <v>0</v>
      </c>
      <c r="V1734" s="301">
        <v>0</v>
      </c>
      <c r="W1734" s="301">
        <v>0</v>
      </c>
      <c r="X1734" s="301">
        <v>0</v>
      </c>
      <c r="Y1734" s="301">
        <v>0</v>
      </c>
      <c r="Z1734" s="301">
        <v>0</v>
      </c>
      <c r="AA1734" s="301">
        <v>0</v>
      </c>
      <c r="AB1734" s="303">
        <v>2022</v>
      </c>
    </row>
    <row r="1735" spans="1:28" ht="35.25" x14ac:dyDescent="0.5">
      <c r="A1735">
        <v>1</v>
      </c>
      <c r="B1735" s="80">
        <f>SUBTOTAL(103,$A$1697:A1735)</f>
        <v>39</v>
      </c>
      <c r="C1735" s="308" t="s">
        <v>1648</v>
      </c>
      <c r="D1735" s="296">
        <f t="shared" si="85"/>
        <v>966622</v>
      </c>
      <c r="E1735" s="301">
        <v>0</v>
      </c>
      <c r="F1735" s="301">
        <v>0</v>
      </c>
      <c r="G1735" s="301">
        <f>233010+543690</f>
        <v>776700</v>
      </c>
      <c r="H1735" s="301">
        <v>0</v>
      </c>
      <c r="I1735" s="301">
        <v>0</v>
      </c>
      <c r="J1735" s="301">
        <v>0</v>
      </c>
      <c r="K1735" s="302">
        <v>0</v>
      </c>
      <c r="L1735" s="301">
        <v>0</v>
      </c>
      <c r="M1735" s="301">
        <v>0</v>
      </c>
      <c r="N1735" s="301">
        <v>189922</v>
      </c>
      <c r="O1735" s="301">
        <v>0</v>
      </c>
      <c r="P1735" s="301">
        <v>0</v>
      </c>
      <c r="Q1735" s="301">
        <v>0</v>
      </c>
      <c r="R1735" s="301">
        <v>0</v>
      </c>
      <c r="S1735" s="301">
        <v>0</v>
      </c>
      <c r="T1735" s="301">
        <v>0</v>
      </c>
      <c r="U1735" s="301">
        <v>0</v>
      </c>
      <c r="V1735" s="301">
        <v>0</v>
      </c>
      <c r="W1735" s="301">
        <v>0</v>
      </c>
      <c r="X1735" s="301">
        <v>0</v>
      </c>
      <c r="Y1735" s="301">
        <v>0</v>
      </c>
      <c r="Z1735" s="301">
        <v>0</v>
      </c>
      <c r="AA1735" s="301">
        <v>0</v>
      </c>
      <c r="AB1735" s="303">
        <v>2022</v>
      </c>
    </row>
    <row r="1736" spans="1:28" ht="35.25" x14ac:dyDescent="0.5">
      <c r="A1736">
        <v>1</v>
      </c>
      <c r="B1736" s="80">
        <f>SUBTOTAL(103,$A$1697:A1736)</f>
        <v>40</v>
      </c>
      <c r="C1736" s="308" t="s">
        <v>3312</v>
      </c>
      <c r="D1736" s="296">
        <f t="shared" si="85"/>
        <v>197479</v>
      </c>
      <c r="E1736" s="301">
        <v>0</v>
      </c>
      <c r="F1736" s="301">
        <v>0</v>
      </c>
      <c r="G1736" s="301">
        <v>0</v>
      </c>
      <c r="H1736" s="301">
        <v>0</v>
      </c>
      <c r="I1736" s="301">
        <v>0</v>
      </c>
      <c r="J1736" s="301">
        <v>0</v>
      </c>
      <c r="K1736" s="302">
        <v>1</v>
      </c>
      <c r="L1736" s="301">
        <f>59243.7+138235.3</f>
        <v>197479</v>
      </c>
      <c r="M1736" s="301">
        <v>0</v>
      </c>
      <c r="N1736" s="301">
        <v>0</v>
      </c>
      <c r="O1736" s="301">
        <v>0</v>
      </c>
      <c r="P1736" s="301">
        <v>0</v>
      </c>
      <c r="Q1736" s="301">
        <v>0</v>
      </c>
      <c r="R1736" s="301">
        <v>0</v>
      </c>
      <c r="S1736" s="301">
        <v>0</v>
      </c>
      <c r="T1736" s="301">
        <v>0</v>
      </c>
      <c r="U1736" s="301">
        <v>0</v>
      </c>
      <c r="V1736" s="301">
        <v>0</v>
      </c>
      <c r="W1736" s="301">
        <v>0</v>
      </c>
      <c r="X1736" s="301">
        <v>0</v>
      </c>
      <c r="Y1736" s="301">
        <v>0</v>
      </c>
      <c r="Z1736" s="301">
        <v>0</v>
      </c>
      <c r="AA1736" s="301">
        <v>0</v>
      </c>
      <c r="AB1736" s="303">
        <v>2022</v>
      </c>
    </row>
    <row r="1737" spans="1:28" ht="35.25" x14ac:dyDescent="0.5">
      <c r="A1737">
        <v>1</v>
      </c>
      <c r="B1737" s="80">
        <f>SUBTOTAL(103,$A$1697:A1737)</f>
        <v>41</v>
      </c>
      <c r="C1737" s="308" t="s">
        <v>1916</v>
      </c>
      <c r="D1737" s="296">
        <f t="shared" ref="D1737:D1800" si="95">E1737+F1737+G1737+H1737+I1737+J1737+L1737+M1737+N1737+O1737+P1737+Q1737+R1737+S1737+T1737+U1737+V1737+W1737+X1737+Y1737+Z1737+AA1737</f>
        <v>772324</v>
      </c>
      <c r="E1737" s="301">
        <v>0</v>
      </c>
      <c r="F1737" s="301">
        <v>0</v>
      </c>
      <c r="G1737" s="301">
        <v>242100</v>
      </c>
      <c r="H1737" s="301">
        <v>0</v>
      </c>
      <c r="I1737" s="301">
        <v>0</v>
      </c>
      <c r="J1737" s="301">
        <v>0</v>
      </c>
      <c r="K1737" s="302">
        <v>0</v>
      </c>
      <c r="L1737" s="301">
        <v>0</v>
      </c>
      <c r="M1737" s="301">
        <v>378323</v>
      </c>
      <c r="N1737" s="301">
        <v>0</v>
      </c>
      <c r="O1737" s="301">
        <v>151901</v>
      </c>
      <c r="P1737" s="301">
        <v>0</v>
      </c>
      <c r="Q1737" s="301">
        <v>0</v>
      </c>
      <c r="R1737" s="301">
        <v>0</v>
      </c>
      <c r="S1737" s="301">
        <v>0</v>
      </c>
      <c r="T1737" s="301">
        <v>0</v>
      </c>
      <c r="U1737" s="301">
        <v>0</v>
      </c>
      <c r="V1737" s="301">
        <v>0</v>
      </c>
      <c r="W1737" s="301">
        <v>0</v>
      </c>
      <c r="X1737" s="301">
        <v>0</v>
      </c>
      <c r="Y1737" s="301">
        <v>0</v>
      </c>
      <c r="Z1737" s="301">
        <v>0</v>
      </c>
      <c r="AA1737" s="301">
        <v>0</v>
      </c>
      <c r="AB1737" s="303">
        <v>2022</v>
      </c>
    </row>
    <row r="1738" spans="1:28" ht="35.25" x14ac:dyDescent="0.5">
      <c r="A1738">
        <v>1</v>
      </c>
      <c r="B1738" s="80">
        <f>SUBTOTAL(103,$A$1697:A1738)</f>
        <v>42</v>
      </c>
      <c r="C1738" s="308" t="s">
        <v>2982</v>
      </c>
      <c r="D1738" s="296">
        <f t="shared" si="95"/>
        <v>1354426.9</v>
      </c>
      <c r="E1738" s="301">
        <v>0</v>
      </c>
      <c r="F1738" s="301">
        <v>0</v>
      </c>
      <c r="G1738" s="301">
        <v>238425</v>
      </c>
      <c r="H1738" s="301">
        <v>0</v>
      </c>
      <c r="I1738" s="301">
        <v>0</v>
      </c>
      <c r="J1738" s="301">
        <v>0</v>
      </c>
      <c r="K1738" s="302">
        <v>0</v>
      </c>
      <c r="L1738" s="301">
        <v>0</v>
      </c>
      <c r="M1738" s="301">
        <f>126800+550413.45</f>
        <v>677213.45</v>
      </c>
      <c r="N1738" s="301">
        <v>0</v>
      </c>
      <c r="O1738" s="301">
        <f>131636.5+307151.95</f>
        <v>438788.45</v>
      </c>
      <c r="P1738" s="301">
        <v>0</v>
      </c>
      <c r="Q1738" s="301">
        <v>0</v>
      </c>
      <c r="R1738" s="301">
        <v>0</v>
      </c>
      <c r="S1738" s="301">
        <v>0</v>
      </c>
      <c r="T1738" s="301">
        <v>0</v>
      </c>
      <c r="U1738" s="301">
        <v>0</v>
      </c>
      <c r="V1738" s="301">
        <v>0</v>
      </c>
      <c r="W1738" s="301">
        <v>0</v>
      </c>
      <c r="X1738" s="301">
        <v>0</v>
      </c>
      <c r="Y1738" s="301">
        <v>0</v>
      </c>
      <c r="Z1738" s="301">
        <v>0</v>
      </c>
      <c r="AA1738" s="301">
        <v>0</v>
      </c>
      <c r="AB1738" s="303" t="s">
        <v>3313</v>
      </c>
    </row>
    <row r="1739" spans="1:28" ht="35.25" x14ac:dyDescent="0.5">
      <c r="A1739">
        <v>1</v>
      </c>
      <c r="B1739" s="80">
        <f>SUBTOTAL(103,$A$1697:A1739)</f>
        <v>43</v>
      </c>
      <c r="C1739" s="308" t="s">
        <v>1618</v>
      </c>
      <c r="D1739" s="296">
        <f t="shared" si="95"/>
        <v>558812.80000000005</v>
      </c>
      <c r="E1739" s="301">
        <v>83194.899999999994</v>
      </c>
      <c r="F1739" s="301">
        <v>100000</v>
      </c>
      <c r="G1739" s="301">
        <v>0</v>
      </c>
      <c r="H1739" s="301">
        <v>0</v>
      </c>
      <c r="I1739" s="301">
        <v>375617.9</v>
      </c>
      <c r="J1739" s="301">
        <v>0</v>
      </c>
      <c r="K1739" s="302">
        <v>0</v>
      </c>
      <c r="L1739" s="301">
        <v>0</v>
      </c>
      <c r="M1739" s="301">
        <v>0</v>
      </c>
      <c r="N1739" s="301">
        <v>0</v>
      </c>
      <c r="O1739" s="301">
        <v>0</v>
      </c>
      <c r="P1739" s="301">
        <v>0</v>
      </c>
      <c r="Q1739" s="301">
        <v>0</v>
      </c>
      <c r="R1739" s="301">
        <v>0</v>
      </c>
      <c r="S1739" s="301">
        <v>0</v>
      </c>
      <c r="T1739" s="301">
        <v>0</v>
      </c>
      <c r="U1739" s="301">
        <v>0</v>
      </c>
      <c r="V1739" s="301">
        <v>0</v>
      </c>
      <c r="W1739" s="301">
        <v>0</v>
      </c>
      <c r="X1739" s="301">
        <v>0</v>
      </c>
      <c r="Y1739" s="301">
        <v>0</v>
      </c>
      <c r="Z1739" s="301">
        <v>0</v>
      </c>
      <c r="AA1739" s="301">
        <v>0</v>
      </c>
      <c r="AB1739" s="303" t="s">
        <v>3313</v>
      </c>
    </row>
    <row r="1740" spans="1:28" ht="35.25" x14ac:dyDescent="0.5">
      <c r="A1740">
        <v>1</v>
      </c>
      <c r="B1740" s="80">
        <f>SUBTOTAL(103,$A$1697:A1740)</f>
        <v>44</v>
      </c>
      <c r="C1740" s="308" t="s">
        <v>2336</v>
      </c>
      <c r="D1740" s="296">
        <f t="shared" si="95"/>
        <v>80000</v>
      </c>
      <c r="E1740" s="301">
        <v>0</v>
      </c>
      <c r="F1740" s="301">
        <v>0</v>
      </c>
      <c r="G1740" s="301">
        <v>0</v>
      </c>
      <c r="H1740" s="301">
        <v>0</v>
      </c>
      <c r="I1740" s="301">
        <v>0</v>
      </c>
      <c r="J1740" s="301">
        <v>0</v>
      </c>
      <c r="K1740" s="302">
        <v>1</v>
      </c>
      <c r="L1740" s="301">
        <v>80000</v>
      </c>
      <c r="M1740" s="301">
        <v>0</v>
      </c>
      <c r="N1740" s="301">
        <v>0</v>
      </c>
      <c r="O1740" s="301">
        <v>0</v>
      </c>
      <c r="P1740" s="301">
        <v>0</v>
      </c>
      <c r="Q1740" s="301">
        <v>0</v>
      </c>
      <c r="R1740" s="301">
        <v>0</v>
      </c>
      <c r="S1740" s="301">
        <v>0</v>
      </c>
      <c r="T1740" s="301">
        <v>0</v>
      </c>
      <c r="U1740" s="301">
        <v>0</v>
      </c>
      <c r="V1740" s="301">
        <v>0</v>
      </c>
      <c r="W1740" s="301">
        <v>0</v>
      </c>
      <c r="X1740" s="301">
        <v>0</v>
      </c>
      <c r="Y1740" s="301">
        <v>0</v>
      </c>
      <c r="Z1740" s="301">
        <v>0</v>
      </c>
      <c r="AA1740" s="301">
        <v>0</v>
      </c>
      <c r="AB1740" s="303" t="s">
        <v>3313</v>
      </c>
    </row>
    <row r="1741" spans="1:28" ht="35.25" x14ac:dyDescent="0.5">
      <c r="A1741">
        <v>1</v>
      </c>
      <c r="B1741" s="80">
        <f>SUBTOTAL(103,$A$1697:A1741)</f>
        <v>45</v>
      </c>
      <c r="C1741" s="308" t="s">
        <v>1623</v>
      </c>
      <c r="D1741" s="296">
        <f t="shared" si="95"/>
        <v>363850</v>
      </c>
      <c r="E1741" s="301">
        <v>0</v>
      </c>
      <c r="F1741" s="301">
        <v>0</v>
      </c>
      <c r="G1741" s="301">
        <v>39450</v>
      </c>
      <c r="H1741" s="301">
        <v>0</v>
      </c>
      <c r="I1741" s="301">
        <v>0</v>
      </c>
      <c r="J1741" s="301">
        <v>0</v>
      </c>
      <c r="K1741" s="302">
        <v>0</v>
      </c>
      <c r="L1741" s="301">
        <v>0</v>
      </c>
      <c r="M1741" s="301">
        <v>324400</v>
      </c>
      <c r="N1741" s="301">
        <v>0</v>
      </c>
      <c r="O1741" s="301">
        <v>0</v>
      </c>
      <c r="P1741" s="301">
        <v>0</v>
      </c>
      <c r="Q1741" s="301">
        <v>0</v>
      </c>
      <c r="R1741" s="301">
        <v>0</v>
      </c>
      <c r="S1741" s="301">
        <v>0</v>
      </c>
      <c r="T1741" s="301">
        <v>0</v>
      </c>
      <c r="U1741" s="301">
        <v>0</v>
      </c>
      <c r="V1741" s="301">
        <v>0</v>
      </c>
      <c r="W1741" s="301">
        <v>0</v>
      </c>
      <c r="X1741" s="301">
        <v>0</v>
      </c>
      <c r="Y1741" s="301">
        <v>0</v>
      </c>
      <c r="Z1741" s="301">
        <v>0</v>
      </c>
      <c r="AA1741" s="301">
        <v>0</v>
      </c>
      <c r="AB1741" s="303" t="s">
        <v>3313</v>
      </c>
    </row>
    <row r="1742" spans="1:28" ht="35.25" x14ac:dyDescent="0.5">
      <c r="A1742">
        <v>1</v>
      </c>
      <c r="B1742" s="80">
        <f>SUBTOTAL(103,$A$1697:A1742)</f>
        <v>46</v>
      </c>
      <c r="C1742" s="308" t="s">
        <v>3314</v>
      </c>
      <c r="D1742" s="296">
        <f t="shared" si="95"/>
        <v>152110</v>
      </c>
      <c r="E1742" s="301">
        <v>0</v>
      </c>
      <c r="F1742" s="301">
        <v>0</v>
      </c>
      <c r="G1742" s="301">
        <v>0</v>
      </c>
      <c r="H1742" s="301">
        <v>0</v>
      </c>
      <c r="I1742" s="301">
        <v>0</v>
      </c>
      <c r="J1742" s="301">
        <v>0</v>
      </c>
      <c r="K1742" s="302">
        <v>1</v>
      </c>
      <c r="L1742" s="301">
        <f>45633+106477</f>
        <v>152110</v>
      </c>
      <c r="M1742" s="301">
        <v>0</v>
      </c>
      <c r="N1742" s="301">
        <v>0</v>
      </c>
      <c r="O1742" s="301">
        <v>0</v>
      </c>
      <c r="P1742" s="301">
        <v>0</v>
      </c>
      <c r="Q1742" s="301">
        <v>0</v>
      </c>
      <c r="R1742" s="301">
        <v>0</v>
      </c>
      <c r="S1742" s="301">
        <v>0</v>
      </c>
      <c r="T1742" s="301">
        <v>0</v>
      </c>
      <c r="U1742" s="301">
        <v>0</v>
      </c>
      <c r="V1742" s="301">
        <v>0</v>
      </c>
      <c r="W1742" s="301">
        <v>0</v>
      </c>
      <c r="X1742" s="301">
        <v>0</v>
      </c>
      <c r="Y1742" s="301">
        <v>0</v>
      </c>
      <c r="Z1742" s="301">
        <v>0</v>
      </c>
      <c r="AA1742" s="301">
        <v>0</v>
      </c>
      <c r="AB1742" s="303" t="s">
        <v>3313</v>
      </c>
    </row>
    <row r="1743" spans="1:28" ht="35.25" x14ac:dyDescent="0.5">
      <c r="A1743">
        <v>1</v>
      </c>
      <c r="B1743" s="80">
        <f>SUBTOTAL(103,$A$1697:A1743)</f>
        <v>47</v>
      </c>
      <c r="C1743" s="308" t="s">
        <v>2324</v>
      </c>
      <c r="D1743" s="296">
        <f t="shared" si="95"/>
        <v>175810</v>
      </c>
      <c r="E1743" s="301">
        <v>0</v>
      </c>
      <c r="F1743" s="301">
        <v>0</v>
      </c>
      <c r="G1743" s="301">
        <v>175810</v>
      </c>
      <c r="H1743" s="301">
        <v>0</v>
      </c>
      <c r="I1743" s="301">
        <v>0</v>
      </c>
      <c r="J1743" s="301">
        <v>0</v>
      </c>
      <c r="K1743" s="302">
        <v>0</v>
      </c>
      <c r="L1743" s="301">
        <v>0</v>
      </c>
      <c r="M1743" s="301">
        <v>0</v>
      </c>
      <c r="N1743" s="301">
        <v>0</v>
      </c>
      <c r="O1743" s="301">
        <v>0</v>
      </c>
      <c r="P1743" s="301">
        <v>0</v>
      </c>
      <c r="Q1743" s="301">
        <v>0</v>
      </c>
      <c r="R1743" s="301">
        <v>0</v>
      </c>
      <c r="S1743" s="301">
        <v>0</v>
      </c>
      <c r="T1743" s="301">
        <v>0</v>
      </c>
      <c r="U1743" s="301">
        <v>0</v>
      </c>
      <c r="V1743" s="301">
        <v>0</v>
      </c>
      <c r="W1743" s="301">
        <v>0</v>
      </c>
      <c r="X1743" s="301">
        <v>0</v>
      </c>
      <c r="Y1743" s="301">
        <v>0</v>
      </c>
      <c r="Z1743" s="301">
        <v>0</v>
      </c>
      <c r="AA1743" s="301">
        <v>0</v>
      </c>
      <c r="AB1743" s="303" t="s">
        <v>3313</v>
      </c>
    </row>
    <row r="1744" spans="1:28" ht="35.25" x14ac:dyDescent="0.5">
      <c r="A1744">
        <v>1</v>
      </c>
      <c r="B1744" s="80">
        <f>SUBTOTAL(103,$A$1697:A1744)</f>
        <v>48</v>
      </c>
      <c r="C1744" s="308" t="s">
        <v>2717</v>
      </c>
      <c r="D1744" s="296">
        <f t="shared" si="95"/>
        <v>370000</v>
      </c>
      <c r="E1744" s="301">
        <v>0</v>
      </c>
      <c r="F1744" s="301">
        <v>0</v>
      </c>
      <c r="G1744" s="301">
        <v>0</v>
      </c>
      <c r="H1744" s="301">
        <v>0</v>
      </c>
      <c r="I1744" s="301">
        <v>0</v>
      </c>
      <c r="J1744" s="301">
        <v>0</v>
      </c>
      <c r="K1744" s="302">
        <v>1</v>
      </c>
      <c r="L1744" s="301">
        <v>370000</v>
      </c>
      <c r="M1744" s="301">
        <v>0</v>
      </c>
      <c r="N1744" s="301">
        <v>0</v>
      </c>
      <c r="O1744" s="301">
        <v>0</v>
      </c>
      <c r="P1744" s="301">
        <v>0</v>
      </c>
      <c r="Q1744" s="301">
        <v>0</v>
      </c>
      <c r="R1744" s="301">
        <v>0</v>
      </c>
      <c r="S1744" s="301">
        <v>0</v>
      </c>
      <c r="T1744" s="301">
        <v>0</v>
      </c>
      <c r="U1744" s="301">
        <v>0</v>
      </c>
      <c r="V1744" s="301">
        <v>0</v>
      </c>
      <c r="W1744" s="301">
        <v>0</v>
      </c>
      <c r="X1744" s="301">
        <v>0</v>
      </c>
      <c r="Y1744" s="301">
        <v>0</v>
      </c>
      <c r="Z1744" s="301">
        <v>0</v>
      </c>
      <c r="AA1744" s="301">
        <v>0</v>
      </c>
      <c r="AB1744" s="303" t="s">
        <v>3313</v>
      </c>
    </row>
    <row r="1745" spans="1:28" ht="35.25" x14ac:dyDescent="0.5">
      <c r="A1745">
        <v>1</v>
      </c>
      <c r="B1745" s="80">
        <f>SUBTOTAL(103,$A$1697:A1745)</f>
        <v>49</v>
      </c>
      <c r="C1745" s="308" t="s">
        <v>2340</v>
      </c>
      <c r="D1745" s="296">
        <f t="shared" si="95"/>
        <v>410000</v>
      </c>
      <c r="E1745" s="301">
        <v>0</v>
      </c>
      <c r="F1745" s="301">
        <v>0</v>
      </c>
      <c r="G1745" s="301">
        <v>0</v>
      </c>
      <c r="H1745" s="301">
        <v>0</v>
      </c>
      <c r="I1745" s="301">
        <v>0</v>
      </c>
      <c r="J1745" s="301">
        <v>0</v>
      </c>
      <c r="K1745" s="302">
        <v>1</v>
      </c>
      <c r="L1745" s="301">
        <v>410000</v>
      </c>
      <c r="M1745" s="301">
        <v>0</v>
      </c>
      <c r="N1745" s="301">
        <v>0</v>
      </c>
      <c r="O1745" s="301">
        <v>0</v>
      </c>
      <c r="P1745" s="301">
        <v>0</v>
      </c>
      <c r="Q1745" s="301">
        <v>0</v>
      </c>
      <c r="R1745" s="301">
        <v>0</v>
      </c>
      <c r="S1745" s="301">
        <v>0</v>
      </c>
      <c r="T1745" s="301">
        <v>0</v>
      </c>
      <c r="U1745" s="301">
        <v>0</v>
      </c>
      <c r="V1745" s="301">
        <v>0</v>
      </c>
      <c r="W1745" s="301">
        <v>0</v>
      </c>
      <c r="X1745" s="301">
        <v>0</v>
      </c>
      <c r="Y1745" s="301">
        <v>0</v>
      </c>
      <c r="Z1745" s="301">
        <v>0</v>
      </c>
      <c r="AA1745" s="301">
        <v>0</v>
      </c>
      <c r="AB1745" s="303" t="s">
        <v>3313</v>
      </c>
    </row>
    <row r="1746" spans="1:28" ht="35.25" x14ac:dyDescent="0.5">
      <c r="A1746">
        <v>1</v>
      </c>
      <c r="B1746" s="80">
        <f>SUBTOTAL(103,$A$1697:A1746)</f>
        <v>50</v>
      </c>
      <c r="C1746" s="308" t="s">
        <v>1861</v>
      </c>
      <c r="D1746" s="296">
        <f t="shared" si="95"/>
        <v>635268</v>
      </c>
      <c r="E1746" s="301">
        <v>0</v>
      </c>
      <c r="F1746" s="301">
        <v>0</v>
      </c>
      <c r="G1746" s="301">
        <v>0</v>
      </c>
      <c r="H1746" s="301">
        <v>0</v>
      </c>
      <c r="I1746" s="301">
        <v>0</v>
      </c>
      <c r="J1746" s="301">
        <v>0</v>
      </c>
      <c r="K1746" s="302">
        <v>0</v>
      </c>
      <c r="L1746" s="301">
        <v>0</v>
      </c>
      <c r="M1746" s="301">
        <f>190580+444688</f>
        <v>635268</v>
      </c>
      <c r="N1746" s="301">
        <v>0</v>
      </c>
      <c r="O1746" s="301">
        <v>0</v>
      </c>
      <c r="P1746" s="301">
        <v>0</v>
      </c>
      <c r="Q1746" s="301">
        <v>0</v>
      </c>
      <c r="R1746" s="301">
        <v>0</v>
      </c>
      <c r="S1746" s="301">
        <v>0</v>
      </c>
      <c r="T1746" s="301">
        <v>0</v>
      </c>
      <c r="U1746" s="301">
        <v>0</v>
      </c>
      <c r="V1746" s="301">
        <v>0</v>
      </c>
      <c r="W1746" s="301">
        <v>0</v>
      </c>
      <c r="X1746" s="301">
        <v>0</v>
      </c>
      <c r="Y1746" s="301">
        <v>0</v>
      </c>
      <c r="Z1746" s="301">
        <v>0</v>
      </c>
      <c r="AA1746" s="301">
        <v>0</v>
      </c>
      <c r="AB1746" s="303" t="s">
        <v>3313</v>
      </c>
    </row>
    <row r="1747" spans="1:28" ht="35.25" x14ac:dyDescent="0.5">
      <c r="A1747">
        <v>1</v>
      </c>
      <c r="B1747" s="80">
        <f>SUBTOTAL(103,$A$1697:A1747)</f>
        <v>51</v>
      </c>
      <c r="C1747" s="308" t="s">
        <v>2720</v>
      </c>
      <c r="D1747" s="296">
        <f t="shared" si="95"/>
        <v>297679.62</v>
      </c>
      <c r="E1747" s="301">
        <v>0</v>
      </c>
      <c r="F1747" s="301">
        <v>0</v>
      </c>
      <c r="G1747" s="301">
        <v>0</v>
      </c>
      <c r="H1747" s="301">
        <v>0</v>
      </c>
      <c r="I1747" s="301">
        <v>0</v>
      </c>
      <c r="J1747" s="301">
        <v>0</v>
      </c>
      <c r="K1747" s="302">
        <v>0</v>
      </c>
      <c r="L1747" s="301">
        <v>0</v>
      </c>
      <c r="M1747" s="301">
        <f>176027.07+121652.55</f>
        <v>297679.62</v>
      </c>
      <c r="N1747" s="301">
        <v>0</v>
      </c>
      <c r="O1747" s="301">
        <v>0</v>
      </c>
      <c r="P1747" s="301">
        <v>0</v>
      </c>
      <c r="Q1747" s="301">
        <v>0</v>
      </c>
      <c r="R1747" s="301">
        <v>0</v>
      </c>
      <c r="S1747" s="301">
        <v>0</v>
      </c>
      <c r="T1747" s="301">
        <v>0</v>
      </c>
      <c r="U1747" s="301">
        <v>0</v>
      </c>
      <c r="V1747" s="301">
        <v>0</v>
      </c>
      <c r="W1747" s="301">
        <v>0</v>
      </c>
      <c r="X1747" s="301">
        <v>0</v>
      </c>
      <c r="Y1747" s="301">
        <v>0</v>
      </c>
      <c r="Z1747" s="301">
        <v>0</v>
      </c>
      <c r="AA1747" s="301">
        <v>0</v>
      </c>
      <c r="AB1747" s="303" t="s">
        <v>3313</v>
      </c>
    </row>
    <row r="1748" spans="1:28" ht="35.25" x14ac:dyDescent="0.5">
      <c r="A1748">
        <v>1</v>
      </c>
      <c r="B1748" s="80">
        <f>SUBTOTAL(103,$A$1697:A1748)</f>
        <v>52</v>
      </c>
      <c r="C1748" s="308" t="s">
        <v>1868</v>
      </c>
      <c r="D1748" s="296">
        <f t="shared" si="95"/>
        <v>415000</v>
      </c>
      <c r="E1748" s="301">
        <v>0</v>
      </c>
      <c r="F1748" s="301">
        <v>0</v>
      </c>
      <c r="G1748" s="301">
        <v>0</v>
      </c>
      <c r="H1748" s="301">
        <v>0</v>
      </c>
      <c r="I1748" s="301">
        <v>0</v>
      </c>
      <c r="J1748" s="301">
        <v>415000</v>
      </c>
      <c r="K1748" s="302">
        <v>0</v>
      </c>
      <c r="L1748" s="301">
        <v>0</v>
      </c>
      <c r="M1748" s="301">
        <v>0</v>
      </c>
      <c r="N1748" s="301">
        <v>0</v>
      </c>
      <c r="O1748" s="301">
        <v>0</v>
      </c>
      <c r="P1748" s="301">
        <v>0</v>
      </c>
      <c r="Q1748" s="301">
        <v>0</v>
      </c>
      <c r="R1748" s="301">
        <v>0</v>
      </c>
      <c r="S1748" s="301">
        <v>0</v>
      </c>
      <c r="T1748" s="301">
        <v>0</v>
      </c>
      <c r="U1748" s="301">
        <v>0</v>
      </c>
      <c r="V1748" s="301">
        <v>0</v>
      </c>
      <c r="W1748" s="301">
        <v>0</v>
      </c>
      <c r="X1748" s="301">
        <v>0</v>
      </c>
      <c r="Y1748" s="301">
        <v>0</v>
      </c>
      <c r="Z1748" s="301">
        <v>0</v>
      </c>
      <c r="AA1748" s="301">
        <v>0</v>
      </c>
      <c r="AB1748" s="303" t="s">
        <v>3313</v>
      </c>
    </row>
    <row r="1749" spans="1:28" ht="35.25" x14ac:dyDescent="0.5">
      <c r="A1749">
        <v>1</v>
      </c>
      <c r="B1749" s="80">
        <f>SUBTOTAL(103,$A$1697:A1749)</f>
        <v>53</v>
      </c>
      <c r="C1749" s="308" t="s">
        <v>2724</v>
      </c>
      <c r="D1749" s="296">
        <f t="shared" si="95"/>
        <v>4600000</v>
      </c>
      <c r="E1749" s="301">
        <v>0</v>
      </c>
      <c r="F1749" s="301">
        <v>0</v>
      </c>
      <c r="G1749" s="301">
        <v>0</v>
      </c>
      <c r="H1749" s="301">
        <v>0</v>
      </c>
      <c r="I1749" s="301">
        <v>0</v>
      </c>
      <c r="J1749" s="301">
        <v>0</v>
      </c>
      <c r="K1749" s="302">
        <v>2</v>
      </c>
      <c r="L1749" s="301">
        <v>4600000</v>
      </c>
      <c r="M1749" s="301">
        <v>0</v>
      </c>
      <c r="N1749" s="301">
        <v>0</v>
      </c>
      <c r="O1749" s="301">
        <v>0</v>
      </c>
      <c r="P1749" s="301">
        <v>0</v>
      </c>
      <c r="Q1749" s="301">
        <v>0</v>
      </c>
      <c r="R1749" s="301">
        <v>0</v>
      </c>
      <c r="S1749" s="301">
        <v>0</v>
      </c>
      <c r="T1749" s="301">
        <v>0</v>
      </c>
      <c r="U1749" s="301">
        <v>0</v>
      </c>
      <c r="V1749" s="301">
        <v>0</v>
      </c>
      <c r="W1749" s="301">
        <v>0</v>
      </c>
      <c r="X1749" s="301">
        <v>0</v>
      </c>
      <c r="Y1749" s="301">
        <v>0</v>
      </c>
      <c r="Z1749" s="301">
        <v>0</v>
      </c>
      <c r="AA1749" s="301">
        <v>0</v>
      </c>
      <c r="AB1749" s="303" t="s">
        <v>3313</v>
      </c>
    </row>
    <row r="1750" spans="1:28" ht="35.25" x14ac:dyDescent="0.5">
      <c r="A1750">
        <v>1</v>
      </c>
      <c r="B1750" s="80">
        <f>SUBTOTAL(103,$A$1697:A1750)</f>
        <v>54</v>
      </c>
      <c r="C1750" s="308" t="s">
        <v>3315</v>
      </c>
      <c r="D1750" s="296">
        <f t="shared" si="95"/>
        <v>555207.36</v>
      </c>
      <c r="E1750" s="301">
        <v>0</v>
      </c>
      <c r="F1750" s="301">
        <v>0</v>
      </c>
      <c r="G1750" s="301">
        <v>0</v>
      </c>
      <c r="H1750" s="301">
        <v>0</v>
      </c>
      <c r="I1750" s="301">
        <v>0</v>
      </c>
      <c r="J1750" s="301">
        <v>0</v>
      </c>
      <c r="K1750" s="302">
        <v>0</v>
      </c>
      <c r="L1750" s="301">
        <v>0</v>
      </c>
      <c r="M1750" s="301">
        <f>475207.36+80000</f>
        <v>555207.36</v>
      </c>
      <c r="N1750" s="301">
        <v>0</v>
      </c>
      <c r="O1750" s="301">
        <v>0</v>
      </c>
      <c r="P1750" s="301">
        <v>0</v>
      </c>
      <c r="Q1750" s="301">
        <v>0</v>
      </c>
      <c r="R1750" s="301">
        <v>0</v>
      </c>
      <c r="S1750" s="301">
        <v>0</v>
      </c>
      <c r="T1750" s="301">
        <v>0</v>
      </c>
      <c r="U1750" s="301">
        <v>0</v>
      </c>
      <c r="V1750" s="301">
        <v>0</v>
      </c>
      <c r="W1750" s="301">
        <v>0</v>
      </c>
      <c r="X1750" s="301">
        <v>0</v>
      </c>
      <c r="Y1750" s="301">
        <v>0</v>
      </c>
      <c r="Z1750" s="301">
        <v>0</v>
      </c>
      <c r="AA1750" s="301">
        <v>0</v>
      </c>
      <c r="AB1750" s="303" t="s">
        <v>3313</v>
      </c>
    </row>
    <row r="1751" spans="1:28" ht="35.25" x14ac:dyDescent="0.5">
      <c r="A1751">
        <v>1</v>
      </c>
      <c r="B1751" s="80">
        <f>SUBTOTAL(103,$A$1697:A1751)</f>
        <v>55</v>
      </c>
      <c r="C1751" s="308" t="s">
        <v>2985</v>
      </c>
      <c r="D1751" s="296">
        <f t="shared" si="95"/>
        <v>850000</v>
      </c>
      <c r="E1751" s="301">
        <f>255000+595000</f>
        <v>850000</v>
      </c>
      <c r="F1751" s="301">
        <v>0</v>
      </c>
      <c r="G1751" s="301">
        <v>0</v>
      </c>
      <c r="H1751" s="301">
        <v>0</v>
      </c>
      <c r="I1751" s="301">
        <v>0</v>
      </c>
      <c r="J1751" s="301">
        <v>0</v>
      </c>
      <c r="K1751" s="302">
        <v>0</v>
      </c>
      <c r="L1751" s="301">
        <v>0</v>
      </c>
      <c r="M1751" s="301">
        <v>0</v>
      </c>
      <c r="N1751" s="301">
        <v>0</v>
      </c>
      <c r="O1751" s="301">
        <v>0</v>
      </c>
      <c r="P1751" s="301">
        <v>0</v>
      </c>
      <c r="Q1751" s="301">
        <v>0</v>
      </c>
      <c r="R1751" s="301">
        <v>0</v>
      </c>
      <c r="S1751" s="301">
        <v>0</v>
      </c>
      <c r="T1751" s="301">
        <v>0</v>
      </c>
      <c r="U1751" s="301">
        <v>0</v>
      </c>
      <c r="V1751" s="301">
        <v>0</v>
      </c>
      <c r="W1751" s="301">
        <v>0</v>
      </c>
      <c r="X1751" s="301">
        <v>0</v>
      </c>
      <c r="Y1751" s="301">
        <v>0</v>
      </c>
      <c r="Z1751" s="301">
        <v>0</v>
      </c>
      <c r="AA1751" s="301">
        <v>0</v>
      </c>
      <c r="AB1751" s="303" t="s">
        <v>3313</v>
      </c>
    </row>
    <row r="1752" spans="1:28" ht="35.25" x14ac:dyDescent="0.5">
      <c r="A1752">
        <v>1</v>
      </c>
      <c r="B1752" s="80">
        <f>SUBTOTAL(103,$A$1697:A1752)</f>
        <v>56</v>
      </c>
      <c r="C1752" s="308" t="s">
        <v>1873</v>
      </c>
      <c r="D1752" s="296">
        <f t="shared" si="95"/>
        <v>460434</v>
      </c>
      <c r="E1752" s="301">
        <v>0</v>
      </c>
      <c r="F1752" s="301">
        <v>90000</v>
      </c>
      <c r="G1752" s="301">
        <v>0</v>
      </c>
      <c r="H1752" s="301">
        <v>0</v>
      </c>
      <c r="I1752" s="301">
        <v>0</v>
      </c>
      <c r="J1752" s="301">
        <v>0</v>
      </c>
      <c r="K1752" s="302">
        <v>0</v>
      </c>
      <c r="L1752" s="301">
        <v>0</v>
      </c>
      <c r="M1752" s="301">
        <v>0</v>
      </c>
      <c r="N1752" s="301">
        <v>0</v>
      </c>
      <c r="O1752" s="301">
        <v>0</v>
      </c>
      <c r="P1752" s="301">
        <v>370434</v>
      </c>
      <c r="Q1752" s="301">
        <v>0</v>
      </c>
      <c r="R1752" s="301">
        <v>0</v>
      </c>
      <c r="S1752" s="301">
        <v>0</v>
      </c>
      <c r="T1752" s="301">
        <v>0</v>
      </c>
      <c r="U1752" s="301">
        <v>0</v>
      </c>
      <c r="V1752" s="301">
        <v>0</v>
      </c>
      <c r="W1752" s="301">
        <v>0</v>
      </c>
      <c r="X1752" s="301">
        <v>0</v>
      </c>
      <c r="Y1752" s="301">
        <v>0</v>
      </c>
      <c r="Z1752" s="301">
        <v>0</v>
      </c>
      <c r="AA1752" s="301">
        <v>0</v>
      </c>
      <c r="AB1752" s="303" t="s">
        <v>3313</v>
      </c>
    </row>
    <row r="1753" spans="1:28" ht="35.25" x14ac:dyDescent="0.5">
      <c r="A1753">
        <v>1</v>
      </c>
      <c r="B1753" s="80">
        <f>SUBTOTAL(103,$A$1697:A1753)</f>
        <v>57</v>
      </c>
      <c r="C1753" s="308" t="s">
        <v>1653</v>
      </c>
      <c r="D1753" s="296">
        <f t="shared" si="95"/>
        <v>267000</v>
      </c>
      <c r="E1753" s="301">
        <v>0</v>
      </c>
      <c r="F1753" s="301">
        <v>267000</v>
      </c>
      <c r="G1753" s="301">
        <v>0</v>
      </c>
      <c r="H1753" s="301">
        <v>0</v>
      </c>
      <c r="I1753" s="301">
        <v>0</v>
      </c>
      <c r="J1753" s="301">
        <v>0</v>
      </c>
      <c r="K1753" s="302">
        <v>0</v>
      </c>
      <c r="L1753" s="301">
        <v>0</v>
      </c>
      <c r="M1753" s="301">
        <v>0</v>
      </c>
      <c r="N1753" s="301">
        <v>0</v>
      </c>
      <c r="O1753" s="301">
        <v>0</v>
      </c>
      <c r="P1753" s="301">
        <v>0</v>
      </c>
      <c r="Q1753" s="301">
        <v>0</v>
      </c>
      <c r="R1753" s="301">
        <v>0</v>
      </c>
      <c r="S1753" s="301">
        <v>0</v>
      </c>
      <c r="T1753" s="301">
        <v>0</v>
      </c>
      <c r="U1753" s="301">
        <v>0</v>
      </c>
      <c r="V1753" s="301">
        <v>0</v>
      </c>
      <c r="W1753" s="301">
        <v>0</v>
      </c>
      <c r="X1753" s="301">
        <v>0</v>
      </c>
      <c r="Y1753" s="301">
        <v>0</v>
      </c>
      <c r="Z1753" s="301">
        <v>0</v>
      </c>
      <c r="AA1753" s="301">
        <v>0</v>
      </c>
      <c r="AB1753" s="303" t="s">
        <v>3313</v>
      </c>
    </row>
    <row r="1754" spans="1:28" ht="35.25" x14ac:dyDescent="0.5">
      <c r="A1754">
        <v>1</v>
      </c>
      <c r="B1754" s="80">
        <f>SUBTOTAL(103,$A$1697:A1754)</f>
        <v>58</v>
      </c>
      <c r="C1754" s="308" t="s">
        <v>3316</v>
      </c>
      <c r="D1754" s="296">
        <f t="shared" si="95"/>
        <v>273000</v>
      </c>
      <c r="E1754" s="301">
        <v>0</v>
      </c>
      <c r="F1754" s="301">
        <v>0</v>
      </c>
      <c r="G1754" s="301">
        <v>273000</v>
      </c>
      <c r="H1754" s="301">
        <v>0</v>
      </c>
      <c r="I1754" s="301">
        <v>0</v>
      </c>
      <c r="J1754" s="301">
        <v>0</v>
      </c>
      <c r="K1754" s="302">
        <v>0</v>
      </c>
      <c r="L1754" s="301">
        <v>0</v>
      </c>
      <c r="M1754" s="301">
        <v>0</v>
      </c>
      <c r="N1754" s="301">
        <v>0</v>
      </c>
      <c r="O1754" s="301">
        <v>0</v>
      </c>
      <c r="P1754" s="301">
        <v>0</v>
      </c>
      <c r="Q1754" s="301">
        <v>0</v>
      </c>
      <c r="R1754" s="301">
        <v>0</v>
      </c>
      <c r="S1754" s="301">
        <v>0</v>
      </c>
      <c r="T1754" s="301">
        <v>0</v>
      </c>
      <c r="U1754" s="301">
        <v>0</v>
      </c>
      <c r="V1754" s="301">
        <v>0</v>
      </c>
      <c r="W1754" s="301">
        <v>0</v>
      </c>
      <c r="X1754" s="301">
        <v>0</v>
      </c>
      <c r="Y1754" s="301">
        <v>0</v>
      </c>
      <c r="Z1754" s="301">
        <v>0</v>
      </c>
      <c r="AA1754" s="301">
        <v>0</v>
      </c>
      <c r="AB1754" s="303" t="s">
        <v>3313</v>
      </c>
    </row>
    <row r="1755" spans="1:28" ht="35.25" x14ac:dyDescent="0.5">
      <c r="A1755">
        <v>1</v>
      </c>
      <c r="B1755" s="80">
        <f>SUBTOTAL(103,$A$1697:A1755)</f>
        <v>59</v>
      </c>
      <c r="C1755" s="308" t="s">
        <v>1631</v>
      </c>
      <c r="D1755" s="296">
        <f t="shared" si="95"/>
        <v>1209220</v>
      </c>
      <c r="E1755" s="301">
        <v>0</v>
      </c>
      <c r="F1755" s="301">
        <f>400000+100000</f>
        <v>500000</v>
      </c>
      <c r="G1755" s="301">
        <v>179220</v>
      </c>
      <c r="H1755" s="301">
        <v>0</v>
      </c>
      <c r="I1755" s="301">
        <v>0</v>
      </c>
      <c r="J1755" s="301">
        <v>0</v>
      </c>
      <c r="K1755" s="302">
        <v>1</v>
      </c>
      <c r="L1755" s="301">
        <f>159000+371000</f>
        <v>530000</v>
      </c>
      <c r="M1755" s="301">
        <v>0</v>
      </c>
      <c r="N1755" s="301">
        <v>0</v>
      </c>
      <c r="O1755" s="301">
        <v>0</v>
      </c>
      <c r="P1755" s="301">
        <v>0</v>
      </c>
      <c r="Q1755" s="301">
        <v>0</v>
      </c>
      <c r="R1755" s="301">
        <v>0</v>
      </c>
      <c r="S1755" s="301">
        <v>0</v>
      </c>
      <c r="T1755" s="301">
        <v>0</v>
      </c>
      <c r="U1755" s="301">
        <v>0</v>
      </c>
      <c r="V1755" s="301">
        <v>0</v>
      </c>
      <c r="W1755" s="301">
        <v>0</v>
      </c>
      <c r="X1755" s="301">
        <v>0</v>
      </c>
      <c r="Y1755" s="301">
        <v>0</v>
      </c>
      <c r="Z1755" s="301">
        <v>0</v>
      </c>
      <c r="AA1755" s="301">
        <v>0</v>
      </c>
      <c r="AB1755" s="303" t="s">
        <v>3313</v>
      </c>
    </row>
    <row r="1756" spans="1:28" ht="35.25" x14ac:dyDescent="0.5">
      <c r="A1756">
        <v>1</v>
      </c>
      <c r="B1756" s="80">
        <f>SUBTOTAL(103,$A$1697:A1756)</f>
        <v>60</v>
      </c>
      <c r="C1756" s="308" t="s">
        <v>1886</v>
      </c>
      <c r="D1756" s="296">
        <f t="shared" si="95"/>
        <v>350000</v>
      </c>
      <c r="E1756" s="301">
        <v>0</v>
      </c>
      <c r="F1756" s="301">
        <v>0</v>
      </c>
      <c r="G1756" s="301">
        <v>0</v>
      </c>
      <c r="H1756" s="301">
        <v>0</v>
      </c>
      <c r="I1756" s="301">
        <v>0</v>
      </c>
      <c r="J1756" s="301">
        <v>0</v>
      </c>
      <c r="K1756" s="302">
        <v>1</v>
      </c>
      <c r="L1756" s="301">
        <f>210000+140000</f>
        <v>350000</v>
      </c>
      <c r="M1756" s="301">
        <v>0</v>
      </c>
      <c r="N1756" s="301">
        <v>0</v>
      </c>
      <c r="O1756" s="301">
        <v>0</v>
      </c>
      <c r="P1756" s="301">
        <v>0</v>
      </c>
      <c r="Q1756" s="301">
        <v>0</v>
      </c>
      <c r="R1756" s="301">
        <v>0</v>
      </c>
      <c r="S1756" s="301">
        <v>0</v>
      </c>
      <c r="T1756" s="301">
        <v>0</v>
      </c>
      <c r="U1756" s="301">
        <v>0</v>
      </c>
      <c r="V1756" s="301">
        <v>0</v>
      </c>
      <c r="W1756" s="301">
        <v>0</v>
      </c>
      <c r="X1756" s="301">
        <v>0</v>
      </c>
      <c r="Y1756" s="301">
        <v>0</v>
      </c>
      <c r="Z1756" s="301">
        <v>0</v>
      </c>
      <c r="AA1756" s="301">
        <v>0</v>
      </c>
      <c r="AB1756" s="303" t="s">
        <v>3313</v>
      </c>
    </row>
    <row r="1757" spans="1:28" ht="35.25" x14ac:dyDescent="0.5">
      <c r="A1757">
        <v>1</v>
      </c>
      <c r="B1757" s="80">
        <f>SUBTOTAL(103,$A$1697:A1757)</f>
        <v>61</v>
      </c>
      <c r="C1757" s="308" t="s">
        <v>3317</v>
      </c>
      <c r="D1757" s="296">
        <f t="shared" si="95"/>
        <v>2700000</v>
      </c>
      <c r="E1757" s="301">
        <v>0</v>
      </c>
      <c r="F1757" s="301">
        <v>0</v>
      </c>
      <c r="G1757" s="301">
        <v>0</v>
      </c>
      <c r="H1757" s="301">
        <v>0</v>
      </c>
      <c r="I1757" s="301">
        <v>0</v>
      </c>
      <c r="J1757" s="301">
        <v>0</v>
      </c>
      <c r="K1757" s="302">
        <v>1</v>
      </c>
      <c r="L1757" s="301">
        <v>2700000</v>
      </c>
      <c r="M1757" s="301">
        <v>0</v>
      </c>
      <c r="N1757" s="301">
        <v>0</v>
      </c>
      <c r="O1757" s="301">
        <v>0</v>
      </c>
      <c r="P1757" s="301">
        <v>0</v>
      </c>
      <c r="Q1757" s="301">
        <v>0</v>
      </c>
      <c r="R1757" s="301">
        <v>0</v>
      </c>
      <c r="S1757" s="301">
        <v>0</v>
      </c>
      <c r="T1757" s="301">
        <v>0</v>
      </c>
      <c r="U1757" s="301">
        <v>0</v>
      </c>
      <c r="V1757" s="301">
        <v>0</v>
      </c>
      <c r="W1757" s="301">
        <v>0</v>
      </c>
      <c r="X1757" s="301">
        <v>0</v>
      </c>
      <c r="Y1757" s="301">
        <v>0</v>
      </c>
      <c r="Z1757" s="301">
        <v>0</v>
      </c>
      <c r="AA1757" s="301">
        <v>0</v>
      </c>
      <c r="AB1757" s="303" t="s">
        <v>3313</v>
      </c>
    </row>
    <row r="1758" spans="1:28" ht="35.25" x14ac:dyDescent="0.5">
      <c r="A1758">
        <v>1</v>
      </c>
      <c r="B1758" s="80">
        <f>SUBTOTAL(103,$A$1697:A1758)</f>
        <v>62</v>
      </c>
      <c r="C1758" s="308" t="s">
        <v>1636</v>
      </c>
      <c r="D1758" s="296">
        <f t="shared" si="95"/>
        <v>450000</v>
      </c>
      <c r="E1758" s="301">
        <v>0</v>
      </c>
      <c r="F1758" s="301">
        <v>0</v>
      </c>
      <c r="G1758" s="301">
        <v>0</v>
      </c>
      <c r="H1758" s="301">
        <v>0</v>
      </c>
      <c r="I1758" s="301">
        <v>0</v>
      </c>
      <c r="J1758" s="301">
        <v>0</v>
      </c>
      <c r="K1758" s="302">
        <v>1</v>
      </c>
      <c r="L1758" s="301">
        <f>225000+225000</f>
        <v>450000</v>
      </c>
      <c r="M1758" s="301">
        <v>0</v>
      </c>
      <c r="N1758" s="301">
        <v>0</v>
      </c>
      <c r="O1758" s="301">
        <v>0</v>
      </c>
      <c r="P1758" s="301">
        <v>0</v>
      </c>
      <c r="Q1758" s="301">
        <v>0</v>
      </c>
      <c r="R1758" s="301">
        <v>0</v>
      </c>
      <c r="S1758" s="301">
        <v>0</v>
      </c>
      <c r="T1758" s="301">
        <v>0</v>
      </c>
      <c r="U1758" s="301">
        <v>0</v>
      </c>
      <c r="V1758" s="301">
        <v>0</v>
      </c>
      <c r="W1758" s="301">
        <v>0</v>
      </c>
      <c r="X1758" s="301">
        <v>0</v>
      </c>
      <c r="Y1758" s="301">
        <v>0</v>
      </c>
      <c r="Z1758" s="301">
        <v>0</v>
      </c>
      <c r="AA1758" s="301">
        <v>0</v>
      </c>
      <c r="AB1758" s="303" t="s">
        <v>3313</v>
      </c>
    </row>
    <row r="1759" spans="1:28" ht="35.25" x14ac:dyDescent="0.5">
      <c r="A1759">
        <v>1</v>
      </c>
      <c r="B1759" s="80">
        <f>SUBTOTAL(103,$A$1697:A1759)</f>
        <v>63</v>
      </c>
      <c r="C1759" s="308" t="s">
        <v>3390</v>
      </c>
      <c r="D1759" s="296">
        <f t="shared" si="95"/>
        <v>624774</v>
      </c>
      <c r="E1759" s="301">
        <v>0</v>
      </c>
      <c r="F1759" s="301">
        <v>0</v>
      </c>
      <c r="G1759" s="301">
        <v>0</v>
      </c>
      <c r="H1759" s="301">
        <v>0</v>
      </c>
      <c r="I1759" s="301">
        <v>0</v>
      </c>
      <c r="J1759" s="301">
        <v>0</v>
      </c>
      <c r="K1759" s="302">
        <v>0</v>
      </c>
      <c r="L1759" s="301">
        <v>0</v>
      </c>
      <c r="M1759" s="301">
        <v>624774</v>
      </c>
      <c r="N1759" s="301">
        <v>0</v>
      </c>
      <c r="O1759" s="301">
        <v>0</v>
      </c>
      <c r="P1759" s="301">
        <v>0</v>
      </c>
      <c r="Q1759" s="301">
        <v>0</v>
      </c>
      <c r="R1759" s="301">
        <v>0</v>
      </c>
      <c r="S1759" s="301">
        <v>0</v>
      </c>
      <c r="T1759" s="301">
        <v>0</v>
      </c>
      <c r="U1759" s="301">
        <v>0</v>
      </c>
      <c r="V1759" s="301">
        <v>0</v>
      </c>
      <c r="W1759" s="301">
        <v>0</v>
      </c>
      <c r="X1759" s="301">
        <v>0</v>
      </c>
      <c r="Y1759" s="301">
        <v>0</v>
      </c>
      <c r="Z1759" s="301">
        <v>0</v>
      </c>
      <c r="AA1759" s="301">
        <v>0</v>
      </c>
      <c r="AB1759" s="303" t="s">
        <v>3313</v>
      </c>
    </row>
    <row r="1760" spans="1:28" ht="35.25" x14ac:dyDescent="0.5">
      <c r="A1760">
        <v>1</v>
      </c>
      <c r="B1760" s="80">
        <f>SUBTOTAL(103,$A$1697:A1760)</f>
        <v>64</v>
      </c>
      <c r="C1760" s="308" t="s">
        <v>2341</v>
      </c>
      <c r="D1760" s="296">
        <f t="shared" si="95"/>
        <v>224600</v>
      </c>
      <c r="E1760" s="301">
        <v>0</v>
      </c>
      <c r="F1760" s="301">
        <v>0</v>
      </c>
      <c r="G1760" s="301">
        <v>0</v>
      </c>
      <c r="H1760" s="301">
        <v>0</v>
      </c>
      <c r="I1760" s="301">
        <v>0</v>
      </c>
      <c r="J1760" s="301">
        <v>0</v>
      </c>
      <c r="K1760" s="302">
        <v>0</v>
      </c>
      <c r="L1760" s="301">
        <v>0</v>
      </c>
      <c r="M1760" s="301">
        <v>0</v>
      </c>
      <c r="N1760" s="301">
        <v>0</v>
      </c>
      <c r="O1760" s="301">
        <v>224600</v>
      </c>
      <c r="P1760" s="301">
        <v>0</v>
      </c>
      <c r="Q1760" s="301">
        <v>0</v>
      </c>
      <c r="R1760" s="301">
        <v>0</v>
      </c>
      <c r="S1760" s="301">
        <v>0</v>
      </c>
      <c r="T1760" s="301">
        <v>0</v>
      </c>
      <c r="U1760" s="301">
        <v>0</v>
      </c>
      <c r="V1760" s="301">
        <v>0</v>
      </c>
      <c r="W1760" s="301">
        <v>0</v>
      </c>
      <c r="X1760" s="301">
        <v>0</v>
      </c>
      <c r="Y1760" s="301">
        <v>0</v>
      </c>
      <c r="Z1760" s="301">
        <v>0</v>
      </c>
      <c r="AA1760" s="301">
        <v>0</v>
      </c>
      <c r="AB1760" s="303" t="s">
        <v>3313</v>
      </c>
    </row>
    <row r="1761" spans="1:28" ht="35.25" x14ac:dyDescent="0.5">
      <c r="A1761">
        <v>1</v>
      </c>
      <c r="B1761" s="80">
        <f>SUBTOTAL(103,$A$1697:A1761)</f>
        <v>65</v>
      </c>
      <c r="C1761" s="308" t="s">
        <v>2739</v>
      </c>
      <c r="D1761" s="296">
        <f t="shared" si="95"/>
        <v>379400</v>
      </c>
      <c r="E1761" s="301">
        <v>0</v>
      </c>
      <c r="F1761" s="301">
        <v>0</v>
      </c>
      <c r="G1761" s="301">
        <v>0</v>
      </c>
      <c r="H1761" s="301">
        <v>0</v>
      </c>
      <c r="I1761" s="301">
        <v>0</v>
      </c>
      <c r="J1761" s="301">
        <v>0</v>
      </c>
      <c r="K1761" s="302">
        <v>0</v>
      </c>
      <c r="L1761" s="301">
        <v>0</v>
      </c>
      <c r="M1761" s="301">
        <v>0</v>
      </c>
      <c r="N1761" s="301">
        <v>0</v>
      </c>
      <c r="O1761" s="301">
        <v>379400</v>
      </c>
      <c r="P1761" s="301">
        <v>0</v>
      </c>
      <c r="Q1761" s="301">
        <v>0</v>
      </c>
      <c r="R1761" s="301">
        <v>0</v>
      </c>
      <c r="S1761" s="301">
        <v>0</v>
      </c>
      <c r="T1761" s="301">
        <v>0</v>
      </c>
      <c r="U1761" s="301">
        <v>0</v>
      </c>
      <c r="V1761" s="301">
        <v>0</v>
      </c>
      <c r="W1761" s="301">
        <v>0</v>
      </c>
      <c r="X1761" s="301">
        <v>0</v>
      </c>
      <c r="Y1761" s="301">
        <v>0</v>
      </c>
      <c r="Z1761" s="301">
        <v>0</v>
      </c>
      <c r="AA1761" s="301">
        <v>0</v>
      </c>
      <c r="AB1761" s="303" t="s">
        <v>3313</v>
      </c>
    </row>
    <row r="1762" spans="1:28" ht="35.25" x14ac:dyDescent="0.5">
      <c r="A1762">
        <v>1</v>
      </c>
      <c r="B1762" s="80">
        <f>SUBTOTAL(103,$A$1697:A1762)</f>
        <v>66</v>
      </c>
      <c r="C1762" s="308" t="s">
        <v>1840</v>
      </c>
      <c r="D1762" s="296">
        <f t="shared" si="95"/>
        <v>1709302</v>
      </c>
      <c r="E1762" s="301">
        <v>0</v>
      </c>
      <c r="F1762" s="301">
        <v>0</v>
      </c>
      <c r="G1762" s="301">
        <v>0</v>
      </c>
      <c r="H1762" s="301">
        <v>0</v>
      </c>
      <c r="I1762" s="301">
        <v>0</v>
      </c>
      <c r="J1762" s="301">
        <v>0</v>
      </c>
      <c r="K1762" s="302">
        <v>0</v>
      </c>
      <c r="L1762" s="301">
        <v>0</v>
      </c>
      <c r="M1762" s="301">
        <f>1340800+368502</f>
        <v>1709302</v>
      </c>
      <c r="N1762" s="301">
        <v>0</v>
      </c>
      <c r="O1762" s="301">
        <v>0</v>
      </c>
      <c r="P1762" s="301">
        <v>0</v>
      </c>
      <c r="Q1762" s="301">
        <v>0</v>
      </c>
      <c r="R1762" s="301">
        <v>0</v>
      </c>
      <c r="S1762" s="301">
        <v>0</v>
      </c>
      <c r="T1762" s="301">
        <v>0</v>
      </c>
      <c r="U1762" s="301">
        <v>0</v>
      </c>
      <c r="V1762" s="301">
        <v>0</v>
      </c>
      <c r="W1762" s="301">
        <v>0</v>
      </c>
      <c r="X1762" s="301">
        <v>0</v>
      </c>
      <c r="Y1762" s="301">
        <v>0</v>
      </c>
      <c r="Z1762" s="301">
        <v>0</v>
      </c>
      <c r="AA1762" s="301">
        <v>0</v>
      </c>
      <c r="AB1762" s="303" t="s">
        <v>3313</v>
      </c>
    </row>
    <row r="1763" spans="1:28" ht="35.25" x14ac:dyDescent="0.5">
      <c r="A1763">
        <v>1</v>
      </c>
      <c r="B1763" s="80">
        <f>SUBTOTAL(103,$A$1697:A1763)</f>
        <v>67</v>
      </c>
      <c r="C1763" s="308" t="s">
        <v>3001</v>
      </c>
      <c r="D1763" s="296">
        <f t="shared" si="95"/>
        <v>160000</v>
      </c>
      <c r="E1763" s="301">
        <v>0</v>
      </c>
      <c r="F1763" s="301">
        <v>0</v>
      </c>
      <c r="G1763" s="301">
        <v>160000</v>
      </c>
      <c r="H1763" s="301">
        <v>0</v>
      </c>
      <c r="I1763" s="301">
        <v>0</v>
      </c>
      <c r="J1763" s="301">
        <v>0</v>
      </c>
      <c r="K1763" s="302">
        <v>0</v>
      </c>
      <c r="L1763" s="301">
        <v>0</v>
      </c>
      <c r="M1763" s="301">
        <v>0</v>
      </c>
      <c r="N1763" s="301">
        <v>0</v>
      </c>
      <c r="O1763" s="301">
        <v>0</v>
      </c>
      <c r="P1763" s="301">
        <v>0</v>
      </c>
      <c r="Q1763" s="301">
        <v>0</v>
      </c>
      <c r="R1763" s="301">
        <v>0</v>
      </c>
      <c r="S1763" s="301">
        <v>0</v>
      </c>
      <c r="T1763" s="301">
        <v>0</v>
      </c>
      <c r="U1763" s="301">
        <v>0</v>
      </c>
      <c r="V1763" s="301">
        <v>0</v>
      </c>
      <c r="W1763" s="301">
        <v>0</v>
      </c>
      <c r="X1763" s="301">
        <v>0</v>
      </c>
      <c r="Y1763" s="301">
        <v>0</v>
      </c>
      <c r="Z1763" s="301">
        <v>0</v>
      </c>
      <c r="AA1763" s="301">
        <v>0</v>
      </c>
      <c r="AB1763" s="303" t="s">
        <v>3313</v>
      </c>
    </row>
    <row r="1764" spans="1:28" ht="35.25" x14ac:dyDescent="0.5">
      <c r="A1764">
        <v>1</v>
      </c>
      <c r="B1764" s="80">
        <f>SUBTOTAL(103,$A$1697:A1764)</f>
        <v>68</v>
      </c>
      <c r="C1764" s="308" t="s">
        <v>1906</v>
      </c>
      <c r="D1764" s="296">
        <f t="shared" si="95"/>
        <v>496858</v>
      </c>
      <c r="E1764" s="301">
        <v>0</v>
      </c>
      <c r="F1764" s="301">
        <v>0</v>
      </c>
      <c r="G1764" s="301">
        <v>0</v>
      </c>
      <c r="H1764" s="301">
        <v>0</v>
      </c>
      <c r="I1764" s="301">
        <v>0</v>
      </c>
      <c r="J1764" s="301">
        <v>0</v>
      </c>
      <c r="K1764" s="302">
        <v>0</v>
      </c>
      <c r="L1764" s="301">
        <v>0</v>
      </c>
      <c r="M1764" s="301">
        <v>0</v>
      </c>
      <c r="N1764" s="301">
        <v>0</v>
      </c>
      <c r="O1764" s="301">
        <v>496858</v>
      </c>
      <c r="P1764" s="301">
        <v>0</v>
      </c>
      <c r="Q1764" s="301">
        <v>0</v>
      </c>
      <c r="R1764" s="301">
        <v>0</v>
      </c>
      <c r="S1764" s="301">
        <v>0</v>
      </c>
      <c r="T1764" s="301">
        <v>0</v>
      </c>
      <c r="U1764" s="301">
        <v>0</v>
      </c>
      <c r="V1764" s="301">
        <v>0</v>
      </c>
      <c r="W1764" s="301">
        <v>0</v>
      </c>
      <c r="X1764" s="301">
        <v>0</v>
      </c>
      <c r="Y1764" s="301">
        <v>0</v>
      </c>
      <c r="Z1764" s="301">
        <v>0</v>
      </c>
      <c r="AA1764" s="301">
        <v>0</v>
      </c>
      <c r="AB1764" s="303" t="s">
        <v>3313</v>
      </c>
    </row>
    <row r="1765" spans="1:28" ht="35.25" x14ac:dyDescent="0.5">
      <c r="A1765">
        <v>1</v>
      </c>
      <c r="B1765" s="80">
        <f>SUBTOTAL(103,$A$1697:A1765)</f>
        <v>69</v>
      </c>
      <c r="C1765" s="308" t="s">
        <v>3300</v>
      </c>
      <c r="D1765" s="296">
        <f t="shared" si="95"/>
        <v>430732.4</v>
      </c>
      <c r="E1765" s="301">
        <v>0</v>
      </c>
      <c r="F1765" s="301">
        <v>0</v>
      </c>
      <c r="G1765" s="301">
        <v>0</v>
      </c>
      <c r="H1765" s="301">
        <v>0</v>
      </c>
      <c r="I1765" s="301">
        <v>0</v>
      </c>
      <c r="J1765" s="301">
        <v>0</v>
      </c>
      <c r="K1765" s="302">
        <v>1</v>
      </c>
      <c r="L1765" s="301">
        <v>281345</v>
      </c>
      <c r="M1765" s="301">
        <v>0</v>
      </c>
      <c r="N1765" s="301">
        <v>0</v>
      </c>
      <c r="O1765" s="301">
        <v>149387.4</v>
      </c>
      <c r="P1765" s="301">
        <v>0</v>
      </c>
      <c r="Q1765" s="301">
        <v>0</v>
      </c>
      <c r="R1765" s="301">
        <v>0</v>
      </c>
      <c r="S1765" s="301">
        <v>0</v>
      </c>
      <c r="T1765" s="301">
        <v>0</v>
      </c>
      <c r="U1765" s="301">
        <v>0</v>
      </c>
      <c r="V1765" s="301">
        <v>0</v>
      </c>
      <c r="W1765" s="301">
        <v>0</v>
      </c>
      <c r="X1765" s="301">
        <v>0</v>
      </c>
      <c r="Y1765" s="301">
        <v>0</v>
      </c>
      <c r="Z1765" s="301">
        <v>0</v>
      </c>
      <c r="AA1765" s="301">
        <v>0</v>
      </c>
      <c r="AB1765" s="303" t="s">
        <v>3313</v>
      </c>
    </row>
    <row r="1766" spans="1:28" ht="35.25" x14ac:dyDescent="0.5">
      <c r="A1766">
        <v>1</v>
      </c>
      <c r="B1766" s="80">
        <f>SUBTOTAL(103,$A$1697:A1766)</f>
        <v>70</v>
      </c>
      <c r="C1766" s="308" t="s">
        <v>1652</v>
      </c>
      <c r="D1766" s="296">
        <f t="shared" si="95"/>
        <v>174259</v>
      </c>
      <c r="E1766" s="301">
        <v>54259</v>
      </c>
      <c r="F1766" s="301">
        <v>0</v>
      </c>
      <c r="G1766" s="301">
        <v>100000</v>
      </c>
      <c r="H1766" s="301">
        <v>20000</v>
      </c>
      <c r="I1766" s="301">
        <v>0</v>
      </c>
      <c r="J1766" s="301">
        <v>0</v>
      </c>
      <c r="K1766" s="302">
        <v>0</v>
      </c>
      <c r="L1766" s="301">
        <v>0</v>
      </c>
      <c r="M1766" s="301">
        <v>0</v>
      </c>
      <c r="N1766" s="301">
        <v>0</v>
      </c>
      <c r="O1766" s="301">
        <v>0</v>
      </c>
      <c r="P1766" s="301">
        <v>0</v>
      </c>
      <c r="Q1766" s="301">
        <v>0</v>
      </c>
      <c r="R1766" s="301">
        <v>0</v>
      </c>
      <c r="S1766" s="301">
        <v>0</v>
      </c>
      <c r="T1766" s="301">
        <v>0</v>
      </c>
      <c r="U1766" s="301">
        <v>0</v>
      </c>
      <c r="V1766" s="301">
        <v>0</v>
      </c>
      <c r="W1766" s="301">
        <v>0</v>
      </c>
      <c r="X1766" s="301">
        <v>0</v>
      </c>
      <c r="Y1766" s="301">
        <v>0</v>
      </c>
      <c r="Z1766" s="301">
        <v>0</v>
      </c>
      <c r="AA1766" s="301">
        <v>0</v>
      </c>
      <c r="AB1766" s="303" t="s">
        <v>3313</v>
      </c>
    </row>
    <row r="1767" spans="1:28" ht="35.25" x14ac:dyDescent="0.5">
      <c r="A1767">
        <v>1</v>
      </c>
      <c r="B1767" s="80">
        <f>SUBTOTAL(103,$A$1697:A1767)</f>
        <v>71</v>
      </c>
      <c r="C1767" s="308" t="s">
        <v>2334</v>
      </c>
      <c r="D1767" s="296">
        <f t="shared" si="95"/>
        <v>289725.77</v>
      </c>
      <c r="E1767" s="301">
        <v>0</v>
      </c>
      <c r="F1767" s="301">
        <v>0</v>
      </c>
      <c r="G1767" s="301">
        <v>80000</v>
      </c>
      <c r="H1767" s="301">
        <v>0</v>
      </c>
      <c r="I1767" s="301">
        <v>0</v>
      </c>
      <c r="J1767" s="301">
        <v>0</v>
      </c>
      <c r="K1767" s="302">
        <v>0</v>
      </c>
      <c r="L1767" s="301">
        <v>0</v>
      </c>
      <c r="M1767" s="301">
        <v>209725.77</v>
      </c>
      <c r="N1767" s="301">
        <v>0</v>
      </c>
      <c r="O1767" s="301">
        <v>0</v>
      </c>
      <c r="P1767" s="301">
        <v>0</v>
      </c>
      <c r="Q1767" s="301">
        <v>0</v>
      </c>
      <c r="R1767" s="301">
        <v>0</v>
      </c>
      <c r="S1767" s="301">
        <v>0</v>
      </c>
      <c r="T1767" s="301">
        <v>0</v>
      </c>
      <c r="U1767" s="301">
        <v>0</v>
      </c>
      <c r="V1767" s="301">
        <v>0</v>
      </c>
      <c r="W1767" s="301">
        <v>0</v>
      </c>
      <c r="X1767" s="301">
        <v>0</v>
      </c>
      <c r="Y1767" s="301">
        <v>0</v>
      </c>
      <c r="Z1767" s="301">
        <v>0</v>
      </c>
      <c r="AA1767" s="301">
        <v>0</v>
      </c>
      <c r="AB1767" s="303" t="s">
        <v>3313</v>
      </c>
    </row>
    <row r="1768" spans="1:28" ht="35.25" x14ac:dyDescent="0.5">
      <c r="A1768">
        <v>1</v>
      </c>
      <c r="B1768" s="80">
        <f>SUBTOTAL(103,$A$1697:A1768)</f>
        <v>72</v>
      </c>
      <c r="C1768" s="308" t="s">
        <v>3302</v>
      </c>
      <c r="D1768" s="296">
        <f t="shared" si="95"/>
        <v>492133</v>
      </c>
      <c r="E1768" s="301">
        <v>0</v>
      </c>
      <c r="F1768" s="301">
        <v>0</v>
      </c>
      <c r="G1768" s="301">
        <v>0</v>
      </c>
      <c r="H1768" s="301">
        <v>492133</v>
      </c>
      <c r="I1768" s="301">
        <v>0</v>
      </c>
      <c r="J1768" s="301">
        <v>0</v>
      </c>
      <c r="K1768" s="302">
        <v>0</v>
      </c>
      <c r="L1768" s="301">
        <v>0</v>
      </c>
      <c r="M1768" s="301">
        <v>0</v>
      </c>
      <c r="N1768" s="301">
        <v>0</v>
      </c>
      <c r="O1768" s="301">
        <v>0</v>
      </c>
      <c r="P1768" s="301">
        <v>0</v>
      </c>
      <c r="Q1768" s="301">
        <v>0</v>
      </c>
      <c r="R1768" s="301">
        <v>0</v>
      </c>
      <c r="S1768" s="301">
        <v>0</v>
      </c>
      <c r="T1768" s="301">
        <v>0</v>
      </c>
      <c r="U1768" s="301">
        <v>0</v>
      </c>
      <c r="V1768" s="301">
        <v>0</v>
      </c>
      <c r="W1768" s="301">
        <v>0</v>
      </c>
      <c r="X1768" s="301">
        <v>0</v>
      </c>
      <c r="Y1768" s="301">
        <v>0</v>
      </c>
      <c r="Z1768" s="301">
        <v>0</v>
      </c>
      <c r="AA1768" s="301">
        <v>0</v>
      </c>
      <c r="AB1768" s="303" t="s">
        <v>3313</v>
      </c>
    </row>
    <row r="1769" spans="1:28" ht="35.25" x14ac:dyDescent="0.5">
      <c r="A1769">
        <v>1</v>
      </c>
      <c r="B1769" s="80">
        <f>SUBTOTAL(103,$A$1697:A1769)</f>
        <v>73</v>
      </c>
      <c r="C1769" s="308" t="s">
        <v>3318</v>
      </c>
      <c r="D1769" s="296">
        <f t="shared" si="95"/>
        <v>2279576</v>
      </c>
      <c r="E1769" s="301">
        <v>0</v>
      </c>
      <c r="F1769" s="301">
        <v>0</v>
      </c>
      <c r="G1769" s="301">
        <v>892000</v>
      </c>
      <c r="H1769" s="301">
        <v>0</v>
      </c>
      <c r="I1769" s="301">
        <v>0</v>
      </c>
      <c r="J1769" s="301">
        <v>0</v>
      </c>
      <c r="K1769" s="302">
        <v>0</v>
      </c>
      <c r="L1769" s="301">
        <v>0</v>
      </c>
      <c r="M1769" s="301">
        <v>1387576</v>
      </c>
      <c r="N1769" s="301">
        <v>0</v>
      </c>
      <c r="O1769" s="301">
        <v>0</v>
      </c>
      <c r="P1769" s="301">
        <v>0</v>
      </c>
      <c r="Q1769" s="301">
        <v>0</v>
      </c>
      <c r="R1769" s="301">
        <v>0</v>
      </c>
      <c r="S1769" s="301">
        <v>0</v>
      </c>
      <c r="T1769" s="301">
        <v>0</v>
      </c>
      <c r="U1769" s="301">
        <v>0</v>
      </c>
      <c r="V1769" s="301">
        <v>0</v>
      </c>
      <c r="W1769" s="301">
        <v>0</v>
      </c>
      <c r="X1769" s="301">
        <v>0</v>
      </c>
      <c r="Y1769" s="301">
        <v>0</v>
      </c>
      <c r="Z1769" s="301">
        <v>0</v>
      </c>
      <c r="AA1769" s="301">
        <v>0</v>
      </c>
      <c r="AB1769" s="303" t="s">
        <v>3313</v>
      </c>
    </row>
    <row r="1770" spans="1:28" ht="35.25" x14ac:dyDescent="0.5">
      <c r="A1770">
        <v>1</v>
      </c>
      <c r="B1770" s="80">
        <f>SUBTOTAL(103,$A$1697:A1770)</f>
        <v>74</v>
      </c>
      <c r="C1770" s="308" t="s">
        <v>3319</v>
      </c>
      <c r="D1770" s="296">
        <f t="shared" si="95"/>
        <v>1408560</v>
      </c>
      <c r="E1770" s="301">
        <v>0</v>
      </c>
      <c r="F1770" s="301">
        <v>0</v>
      </c>
      <c r="G1770" s="301">
        <v>0</v>
      </c>
      <c r="H1770" s="301">
        <v>0</v>
      </c>
      <c r="I1770" s="301">
        <v>0</v>
      </c>
      <c r="J1770" s="301">
        <v>0</v>
      </c>
      <c r="K1770" s="302">
        <v>0</v>
      </c>
      <c r="L1770" s="301">
        <v>0</v>
      </c>
      <c r="M1770" s="301">
        <v>1408560</v>
      </c>
      <c r="N1770" s="301">
        <v>0</v>
      </c>
      <c r="O1770" s="301">
        <v>0</v>
      </c>
      <c r="P1770" s="301">
        <v>0</v>
      </c>
      <c r="Q1770" s="301">
        <v>0</v>
      </c>
      <c r="R1770" s="301">
        <v>0</v>
      </c>
      <c r="S1770" s="301">
        <v>0</v>
      </c>
      <c r="T1770" s="301">
        <v>0</v>
      </c>
      <c r="U1770" s="301">
        <v>0</v>
      </c>
      <c r="V1770" s="301">
        <v>0</v>
      </c>
      <c r="W1770" s="301">
        <v>0</v>
      </c>
      <c r="X1770" s="301">
        <v>0</v>
      </c>
      <c r="Y1770" s="301">
        <v>0</v>
      </c>
      <c r="Z1770" s="301">
        <v>0</v>
      </c>
      <c r="AA1770" s="301">
        <v>0</v>
      </c>
      <c r="AB1770" s="303" t="s">
        <v>3313</v>
      </c>
    </row>
    <row r="1771" spans="1:28" ht="35.25" x14ac:dyDescent="0.5">
      <c r="A1771">
        <v>1</v>
      </c>
      <c r="B1771" s="80">
        <f>SUBTOTAL(103,$A$1697:A1771)</f>
        <v>75</v>
      </c>
      <c r="C1771" s="308" t="s">
        <v>3320</v>
      </c>
      <c r="D1771" s="296">
        <f t="shared" si="95"/>
        <v>718737.79999999993</v>
      </c>
      <c r="E1771" s="301">
        <v>76202.600000000006</v>
      </c>
      <c r="F1771" s="301">
        <v>0</v>
      </c>
      <c r="G1771" s="301">
        <v>642535.19999999995</v>
      </c>
      <c r="H1771" s="301">
        <v>0</v>
      </c>
      <c r="I1771" s="301">
        <v>0</v>
      </c>
      <c r="J1771" s="301">
        <v>0</v>
      </c>
      <c r="K1771" s="302">
        <v>0</v>
      </c>
      <c r="L1771" s="301">
        <v>0</v>
      </c>
      <c r="M1771" s="301">
        <v>0</v>
      </c>
      <c r="N1771" s="301">
        <v>0</v>
      </c>
      <c r="O1771" s="301">
        <v>0</v>
      </c>
      <c r="P1771" s="301">
        <v>0</v>
      </c>
      <c r="Q1771" s="301">
        <v>0</v>
      </c>
      <c r="R1771" s="301">
        <v>0</v>
      </c>
      <c r="S1771" s="301">
        <v>0</v>
      </c>
      <c r="T1771" s="301">
        <v>0</v>
      </c>
      <c r="U1771" s="301">
        <v>0</v>
      </c>
      <c r="V1771" s="301">
        <v>0</v>
      </c>
      <c r="W1771" s="301">
        <v>0</v>
      </c>
      <c r="X1771" s="301">
        <v>0</v>
      </c>
      <c r="Y1771" s="301">
        <v>0</v>
      </c>
      <c r="Z1771" s="301">
        <v>0</v>
      </c>
      <c r="AA1771" s="301">
        <v>0</v>
      </c>
      <c r="AB1771" s="303" t="s">
        <v>3313</v>
      </c>
    </row>
    <row r="1772" spans="1:28" ht="35.25" x14ac:dyDescent="0.5">
      <c r="A1772">
        <v>1</v>
      </c>
      <c r="B1772" s="80">
        <f>SUBTOTAL(103,$A$1697:A1772)</f>
        <v>76</v>
      </c>
      <c r="C1772" s="308" t="s">
        <v>3321</v>
      </c>
      <c r="D1772" s="296">
        <f t="shared" si="95"/>
        <v>1135715</v>
      </c>
      <c r="E1772" s="301">
        <v>0</v>
      </c>
      <c r="F1772" s="301">
        <v>0</v>
      </c>
      <c r="G1772" s="301">
        <v>0</v>
      </c>
      <c r="H1772" s="301">
        <v>0</v>
      </c>
      <c r="I1772" s="301">
        <v>0</v>
      </c>
      <c r="J1772" s="301">
        <v>0</v>
      </c>
      <c r="K1772" s="302">
        <v>0</v>
      </c>
      <c r="L1772" s="301">
        <v>0</v>
      </c>
      <c r="M1772" s="301">
        <v>1135715</v>
      </c>
      <c r="N1772" s="301">
        <v>0</v>
      </c>
      <c r="O1772" s="301">
        <v>0</v>
      </c>
      <c r="P1772" s="301">
        <v>0</v>
      </c>
      <c r="Q1772" s="301">
        <v>0</v>
      </c>
      <c r="R1772" s="301">
        <v>0</v>
      </c>
      <c r="S1772" s="301">
        <v>0</v>
      </c>
      <c r="T1772" s="301">
        <v>0</v>
      </c>
      <c r="U1772" s="301">
        <v>0</v>
      </c>
      <c r="V1772" s="301">
        <v>0</v>
      </c>
      <c r="W1772" s="301">
        <v>0</v>
      </c>
      <c r="X1772" s="301">
        <v>0</v>
      </c>
      <c r="Y1772" s="301">
        <v>0</v>
      </c>
      <c r="Z1772" s="301">
        <v>0</v>
      </c>
      <c r="AA1772" s="301">
        <v>0</v>
      </c>
      <c r="AB1772" s="303" t="s">
        <v>3313</v>
      </c>
    </row>
    <row r="1773" spans="1:28" ht="35.25" x14ac:dyDescent="0.5">
      <c r="A1773">
        <v>1</v>
      </c>
      <c r="B1773" s="80">
        <f>SUBTOTAL(103,$A$1697:A1773)</f>
        <v>77</v>
      </c>
      <c r="C1773" s="308" t="s">
        <v>2207</v>
      </c>
      <c r="D1773" s="296">
        <f t="shared" si="95"/>
        <v>1013503</v>
      </c>
      <c r="E1773" s="301">
        <v>263219</v>
      </c>
      <c r="F1773" s="301">
        <v>315162</v>
      </c>
      <c r="G1773" s="301">
        <v>435122</v>
      </c>
      <c r="H1773" s="301">
        <v>0</v>
      </c>
      <c r="I1773" s="301">
        <v>0</v>
      </c>
      <c r="J1773" s="301">
        <v>0</v>
      </c>
      <c r="K1773" s="302">
        <v>0</v>
      </c>
      <c r="L1773" s="301">
        <v>0</v>
      </c>
      <c r="M1773" s="301">
        <v>0</v>
      </c>
      <c r="N1773" s="301">
        <v>0</v>
      </c>
      <c r="O1773" s="301">
        <v>0</v>
      </c>
      <c r="P1773" s="301">
        <v>0</v>
      </c>
      <c r="Q1773" s="301">
        <v>0</v>
      </c>
      <c r="R1773" s="301">
        <v>0</v>
      </c>
      <c r="S1773" s="301">
        <v>0</v>
      </c>
      <c r="T1773" s="301">
        <v>0</v>
      </c>
      <c r="U1773" s="301">
        <v>0</v>
      </c>
      <c r="V1773" s="301">
        <v>0</v>
      </c>
      <c r="W1773" s="301">
        <v>0</v>
      </c>
      <c r="X1773" s="301">
        <v>0</v>
      </c>
      <c r="Y1773" s="301">
        <v>0</v>
      </c>
      <c r="Z1773" s="301">
        <v>0</v>
      </c>
      <c r="AA1773" s="301">
        <v>0</v>
      </c>
      <c r="AB1773" s="303" t="s">
        <v>3313</v>
      </c>
    </row>
    <row r="1774" spans="1:28" ht="35.25" x14ac:dyDescent="0.5">
      <c r="A1774">
        <v>1</v>
      </c>
      <c r="B1774" s="80">
        <f>SUBTOTAL(103,$A$1697:A1774)</f>
        <v>78</v>
      </c>
      <c r="C1774" s="308" t="s">
        <v>3303</v>
      </c>
      <c r="D1774" s="296">
        <f t="shared" si="95"/>
        <v>391253</v>
      </c>
      <c r="E1774" s="301">
        <v>196736</v>
      </c>
      <c r="F1774" s="301">
        <v>194517</v>
      </c>
      <c r="G1774" s="301">
        <v>0</v>
      </c>
      <c r="H1774" s="301">
        <v>0</v>
      </c>
      <c r="I1774" s="301">
        <v>0</v>
      </c>
      <c r="J1774" s="301">
        <v>0</v>
      </c>
      <c r="K1774" s="302">
        <v>0</v>
      </c>
      <c r="L1774" s="301">
        <v>0</v>
      </c>
      <c r="M1774" s="301">
        <v>0</v>
      </c>
      <c r="N1774" s="301">
        <v>0</v>
      </c>
      <c r="O1774" s="301">
        <v>0</v>
      </c>
      <c r="P1774" s="301">
        <v>0</v>
      </c>
      <c r="Q1774" s="301">
        <v>0</v>
      </c>
      <c r="R1774" s="301">
        <v>0</v>
      </c>
      <c r="S1774" s="301">
        <v>0</v>
      </c>
      <c r="T1774" s="301">
        <v>0</v>
      </c>
      <c r="U1774" s="301">
        <v>0</v>
      </c>
      <c r="V1774" s="301">
        <v>0</v>
      </c>
      <c r="W1774" s="301">
        <v>0</v>
      </c>
      <c r="X1774" s="301">
        <v>0</v>
      </c>
      <c r="Y1774" s="301">
        <v>0</v>
      </c>
      <c r="Z1774" s="301">
        <v>0</v>
      </c>
      <c r="AA1774" s="301">
        <v>0</v>
      </c>
      <c r="AB1774" s="303" t="s">
        <v>3313</v>
      </c>
    </row>
    <row r="1775" spans="1:28" ht="35.25" x14ac:dyDescent="0.5">
      <c r="A1775">
        <v>1</v>
      </c>
      <c r="B1775" s="80">
        <f>SUBTOTAL(103,$A$1697:A1775)</f>
        <v>79</v>
      </c>
      <c r="C1775" s="308" t="s">
        <v>3322</v>
      </c>
      <c r="D1775" s="296">
        <f t="shared" si="95"/>
        <v>500000</v>
      </c>
      <c r="E1775" s="301">
        <v>0</v>
      </c>
      <c r="F1775" s="301">
        <v>0</v>
      </c>
      <c r="G1775" s="301">
        <v>0</v>
      </c>
      <c r="H1775" s="301">
        <v>0</v>
      </c>
      <c r="I1775" s="301">
        <v>0</v>
      </c>
      <c r="J1775" s="301">
        <v>0</v>
      </c>
      <c r="K1775" s="302">
        <v>0</v>
      </c>
      <c r="L1775" s="301">
        <v>0</v>
      </c>
      <c r="M1775" s="301">
        <v>0</v>
      </c>
      <c r="N1775" s="301">
        <v>0</v>
      </c>
      <c r="O1775" s="301">
        <v>0</v>
      </c>
      <c r="P1775" s="301">
        <v>0</v>
      </c>
      <c r="Q1775" s="301">
        <v>0</v>
      </c>
      <c r="R1775" s="301">
        <v>0</v>
      </c>
      <c r="S1775" s="301">
        <v>0</v>
      </c>
      <c r="T1775" s="301">
        <v>0</v>
      </c>
      <c r="U1775" s="301">
        <v>0</v>
      </c>
      <c r="V1775" s="301">
        <v>0</v>
      </c>
      <c r="W1775" s="301">
        <v>500000</v>
      </c>
      <c r="X1775" s="301">
        <v>0</v>
      </c>
      <c r="Y1775" s="301">
        <v>0</v>
      </c>
      <c r="Z1775" s="301">
        <v>0</v>
      </c>
      <c r="AA1775" s="301">
        <v>0</v>
      </c>
      <c r="AB1775" s="303" t="s">
        <v>3313</v>
      </c>
    </row>
    <row r="1776" spans="1:28" ht="35.25" x14ac:dyDescent="0.5">
      <c r="A1776">
        <v>1</v>
      </c>
      <c r="B1776" s="80">
        <f>SUBTOTAL(103,$A$1697:A1776)</f>
        <v>80</v>
      </c>
      <c r="C1776" s="308" t="s">
        <v>1674</v>
      </c>
      <c r="D1776" s="296">
        <f t="shared" si="95"/>
        <v>516315</v>
      </c>
      <c r="E1776" s="301">
        <v>0</v>
      </c>
      <c r="F1776" s="301">
        <v>0</v>
      </c>
      <c r="G1776" s="301">
        <v>0</v>
      </c>
      <c r="H1776" s="301">
        <v>0</v>
      </c>
      <c r="I1776" s="301">
        <v>0</v>
      </c>
      <c r="J1776" s="301">
        <v>0</v>
      </c>
      <c r="K1776" s="302">
        <v>0</v>
      </c>
      <c r="L1776" s="301">
        <v>0</v>
      </c>
      <c r="M1776" s="301">
        <v>0</v>
      </c>
      <c r="N1776" s="301">
        <v>0</v>
      </c>
      <c r="O1776" s="301">
        <v>516315</v>
      </c>
      <c r="P1776" s="301">
        <v>0</v>
      </c>
      <c r="Q1776" s="301">
        <v>0</v>
      </c>
      <c r="R1776" s="301">
        <v>0</v>
      </c>
      <c r="S1776" s="301">
        <v>0</v>
      </c>
      <c r="T1776" s="301">
        <v>0</v>
      </c>
      <c r="U1776" s="301">
        <v>0</v>
      </c>
      <c r="V1776" s="301">
        <v>0</v>
      </c>
      <c r="W1776" s="301">
        <v>0</v>
      </c>
      <c r="X1776" s="301">
        <v>0</v>
      </c>
      <c r="Y1776" s="301">
        <v>0</v>
      </c>
      <c r="Z1776" s="301">
        <v>0</v>
      </c>
      <c r="AA1776" s="301">
        <v>0</v>
      </c>
      <c r="AB1776" s="303" t="s">
        <v>3313</v>
      </c>
    </row>
    <row r="1777" spans="1:28" ht="35.25" x14ac:dyDescent="0.5">
      <c r="A1777">
        <v>1</v>
      </c>
      <c r="B1777" s="80">
        <f>SUBTOTAL(103,$A$1697:A1777)</f>
        <v>81</v>
      </c>
      <c r="C1777" s="308" t="s">
        <v>3323</v>
      </c>
      <c r="D1777" s="296">
        <f t="shared" si="95"/>
        <v>3550000</v>
      </c>
      <c r="E1777" s="301">
        <v>0</v>
      </c>
      <c r="F1777" s="301">
        <v>0</v>
      </c>
      <c r="G1777" s="301">
        <v>0</v>
      </c>
      <c r="H1777" s="301">
        <v>0</v>
      </c>
      <c r="I1777" s="301">
        <v>0</v>
      </c>
      <c r="J1777" s="301">
        <v>0</v>
      </c>
      <c r="K1777" s="302">
        <v>0</v>
      </c>
      <c r="L1777" s="301">
        <v>0</v>
      </c>
      <c r="M1777" s="301">
        <v>3550000</v>
      </c>
      <c r="N1777" s="301">
        <v>0</v>
      </c>
      <c r="O1777" s="301">
        <v>0</v>
      </c>
      <c r="P1777" s="301">
        <v>0</v>
      </c>
      <c r="Q1777" s="301">
        <v>0</v>
      </c>
      <c r="R1777" s="301">
        <v>0</v>
      </c>
      <c r="S1777" s="301">
        <v>0</v>
      </c>
      <c r="T1777" s="301">
        <v>0</v>
      </c>
      <c r="U1777" s="301">
        <v>0</v>
      </c>
      <c r="V1777" s="301">
        <v>0</v>
      </c>
      <c r="W1777" s="301">
        <v>0</v>
      </c>
      <c r="X1777" s="301">
        <v>0</v>
      </c>
      <c r="Y1777" s="301">
        <v>0</v>
      </c>
      <c r="Z1777" s="301">
        <v>0</v>
      </c>
      <c r="AA1777" s="301">
        <v>0</v>
      </c>
      <c r="AB1777" s="303" t="s">
        <v>3313</v>
      </c>
    </row>
    <row r="1778" spans="1:28" ht="35.25" x14ac:dyDescent="0.5">
      <c r="A1778">
        <v>1</v>
      </c>
      <c r="B1778" s="80">
        <f>SUBTOTAL(103,$A$1697:A1778)</f>
        <v>82</v>
      </c>
      <c r="C1778" s="308" t="s">
        <v>2361</v>
      </c>
      <c r="D1778" s="296">
        <f t="shared" si="95"/>
        <v>963167</v>
      </c>
      <c r="E1778" s="301">
        <v>0</v>
      </c>
      <c r="F1778" s="301">
        <v>0</v>
      </c>
      <c r="G1778" s="301">
        <v>0</v>
      </c>
      <c r="H1778" s="301">
        <v>0</v>
      </c>
      <c r="I1778" s="301">
        <v>0</v>
      </c>
      <c r="J1778" s="301">
        <v>0</v>
      </c>
      <c r="K1778" s="302">
        <v>0</v>
      </c>
      <c r="L1778" s="301">
        <v>0</v>
      </c>
      <c r="M1778" s="301">
        <v>0</v>
      </c>
      <c r="N1778" s="301">
        <v>0</v>
      </c>
      <c r="O1778" s="301">
        <v>963167</v>
      </c>
      <c r="P1778" s="301">
        <v>0</v>
      </c>
      <c r="Q1778" s="301">
        <v>0</v>
      </c>
      <c r="R1778" s="301">
        <v>0</v>
      </c>
      <c r="S1778" s="301">
        <v>0</v>
      </c>
      <c r="T1778" s="301">
        <v>0</v>
      </c>
      <c r="U1778" s="301">
        <v>0</v>
      </c>
      <c r="V1778" s="301">
        <v>0</v>
      </c>
      <c r="W1778" s="301">
        <v>0</v>
      </c>
      <c r="X1778" s="301">
        <v>0</v>
      </c>
      <c r="Y1778" s="301">
        <v>0</v>
      </c>
      <c r="Z1778" s="301">
        <v>0</v>
      </c>
      <c r="AA1778" s="301">
        <v>0</v>
      </c>
      <c r="AB1778" s="303" t="s">
        <v>3313</v>
      </c>
    </row>
    <row r="1779" spans="1:28" ht="35.25" x14ac:dyDescent="0.5">
      <c r="A1779">
        <v>1</v>
      </c>
      <c r="B1779" s="80">
        <f>SUBTOTAL(103,$A$1697:A1779)</f>
        <v>83</v>
      </c>
      <c r="C1779" s="308" t="s">
        <v>3299</v>
      </c>
      <c r="D1779" s="296">
        <f t="shared" si="95"/>
        <v>2240000</v>
      </c>
      <c r="E1779" s="301">
        <v>0</v>
      </c>
      <c r="F1779" s="301">
        <v>0</v>
      </c>
      <c r="G1779" s="301">
        <v>0</v>
      </c>
      <c r="H1779" s="301">
        <v>0</v>
      </c>
      <c r="I1779" s="301">
        <v>0</v>
      </c>
      <c r="J1779" s="301">
        <v>0</v>
      </c>
      <c r="K1779" s="302">
        <v>1</v>
      </c>
      <c r="L1779" s="301">
        <v>2240000</v>
      </c>
      <c r="M1779" s="301">
        <v>0</v>
      </c>
      <c r="N1779" s="301">
        <v>0</v>
      </c>
      <c r="O1779" s="301">
        <v>0</v>
      </c>
      <c r="P1779" s="301">
        <v>0</v>
      </c>
      <c r="Q1779" s="301">
        <v>0</v>
      </c>
      <c r="R1779" s="301">
        <v>0</v>
      </c>
      <c r="S1779" s="301">
        <v>0</v>
      </c>
      <c r="T1779" s="301">
        <v>0</v>
      </c>
      <c r="U1779" s="301">
        <v>0</v>
      </c>
      <c r="V1779" s="301">
        <v>0</v>
      </c>
      <c r="W1779" s="301">
        <v>0</v>
      </c>
      <c r="X1779" s="301">
        <v>0</v>
      </c>
      <c r="Y1779" s="301">
        <v>0</v>
      </c>
      <c r="Z1779" s="301">
        <v>0</v>
      </c>
      <c r="AA1779" s="301">
        <v>0</v>
      </c>
      <c r="AB1779" s="303">
        <v>2022</v>
      </c>
    </row>
    <row r="1780" spans="1:28" ht="35.25" x14ac:dyDescent="0.5">
      <c r="A1780">
        <v>1</v>
      </c>
      <c r="B1780" s="80">
        <f>SUBTOTAL(103,$A$1697:A1780)</f>
        <v>84</v>
      </c>
      <c r="C1780" s="308" t="s">
        <v>3279</v>
      </c>
      <c r="D1780" s="296">
        <f t="shared" si="95"/>
        <v>6049670.4000000004</v>
      </c>
      <c r="E1780" s="301">
        <v>0</v>
      </c>
      <c r="F1780" s="301">
        <v>0</v>
      </c>
      <c r="G1780" s="301">
        <v>0</v>
      </c>
      <c r="H1780" s="301">
        <v>0</v>
      </c>
      <c r="I1780" s="301">
        <v>0</v>
      </c>
      <c r="J1780" s="301">
        <v>0</v>
      </c>
      <c r="K1780" s="302">
        <v>2</v>
      </c>
      <c r="L1780" s="301">
        <v>6049670.4000000004</v>
      </c>
      <c r="M1780" s="301">
        <v>0</v>
      </c>
      <c r="N1780" s="301">
        <v>0</v>
      </c>
      <c r="O1780" s="301">
        <v>0</v>
      </c>
      <c r="P1780" s="301">
        <v>0</v>
      </c>
      <c r="Q1780" s="301">
        <v>0</v>
      </c>
      <c r="R1780" s="301">
        <v>0</v>
      </c>
      <c r="S1780" s="301">
        <v>0</v>
      </c>
      <c r="T1780" s="301">
        <v>0</v>
      </c>
      <c r="U1780" s="301">
        <v>0</v>
      </c>
      <c r="V1780" s="301">
        <v>0</v>
      </c>
      <c r="W1780" s="301">
        <v>0</v>
      </c>
      <c r="X1780" s="301">
        <v>0</v>
      </c>
      <c r="Y1780" s="301">
        <v>0</v>
      </c>
      <c r="Z1780" s="301">
        <v>0</v>
      </c>
      <c r="AA1780" s="301">
        <v>0</v>
      </c>
      <c r="AB1780" s="303">
        <v>2022</v>
      </c>
    </row>
    <row r="1781" spans="1:28" ht="35.25" x14ac:dyDescent="0.5">
      <c r="A1781">
        <v>1</v>
      </c>
      <c r="B1781" s="80">
        <f>SUBTOTAL(103,$A$1697:A1781)</f>
        <v>85</v>
      </c>
      <c r="C1781" s="308" t="s">
        <v>3283</v>
      </c>
      <c r="D1781" s="296">
        <f t="shared" si="95"/>
        <v>6059719.2000000002</v>
      </c>
      <c r="E1781" s="301">
        <v>0</v>
      </c>
      <c r="F1781" s="301">
        <v>0</v>
      </c>
      <c r="G1781" s="301">
        <v>0</v>
      </c>
      <c r="H1781" s="301">
        <v>0</v>
      </c>
      <c r="I1781" s="301">
        <v>0</v>
      </c>
      <c r="J1781" s="301">
        <v>0</v>
      </c>
      <c r="K1781" s="302">
        <v>2</v>
      </c>
      <c r="L1781" s="301">
        <v>6059719.2000000002</v>
      </c>
      <c r="M1781" s="301">
        <v>0</v>
      </c>
      <c r="N1781" s="301">
        <v>0</v>
      </c>
      <c r="O1781" s="301">
        <v>0</v>
      </c>
      <c r="P1781" s="301">
        <v>0</v>
      </c>
      <c r="Q1781" s="301">
        <v>0</v>
      </c>
      <c r="R1781" s="301">
        <v>0</v>
      </c>
      <c r="S1781" s="301">
        <v>0</v>
      </c>
      <c r="T1781" s="301">
        <v>0</v>
      </c>
      <c r="U1781" s="301">
        <v>0</v>
      </c>
      <c r="V1781" s="301">
        <v>0</v>
      </c>
      <c r="W1781" s="301">
        <v>0</v>
      </c>
      <c r="X1781" s="301">
        <v>0</v>
      </c>
      <c r="Y1781" s="301">
        <v>0</v>
      </c>
      <c r="Z1781" s="301">
        <v>0</v>
      </c>
      <c r="AA1781" s="301">
        <v>0</v>
      </c>
      <c r="AB1781" s="303">
        <v>2022</v>
      </c>
    </row>
    <row r="1782" spans="1:28" ht="35.25" x14ac:dyDescent="0.5">
      <c r="A1782">
        <v>1</v>
      </c>
      <c r="B1782" s="80">
        <f>SUBTOTAL(103,$A$1697:A1782)</f>
        <v>86</v>
      </c>
      <c r="C1782" s="308" t="s">
        <v>3391</v>
      </c>
      <c r="D1782" s="296">
        <f t="shared" si="95"/>
        <v>1899898.75</v>
      </c>
      <c r="E1782" s="301">
        <v>0</v>
      </c>
      <c r="F1782" s="301">
        <v>0</v>
      </c>
      <c r="G1782" s="301">
        <v>1800000</v>
      </c>
      <c r="H1782" s="301">
        <v>0</v>
      </c>
      <c r="I1782" s="301">
        <v>99898.75</v>
      </c>
      <c r="J1782" s="301">
        <v>0</v>
      </c>
      <c r="K1782" s="302">
        <v>0</v>
      </c>
      <c r="L1782" s="301">
        <v>0</v>
      </c>
      <c r="M1782" s="301">
        <v>0</v>
      </c>
      <c r="N1782" s="301">
        <v>0</v>
      </c>
      <c r="O1782" s="301">
        <v>0</v>
      </c>
      <c r="P1782" s="301">
        <v>0</v>
      </c>
      <c r="Q1782" s="301">
        <v>0</v>
      </c>
      <c r="R1782" s="301">
        <v>0</v>
      </c>
      <c r="S1782" s="301">
        <v>0</v>
      </c>
      <c r="T1782" s="301">
        <v>0</v>
      </c>
      <c r="U1782" s="301">
        <v>0</v>
      </c>
      <c r="V1782" s="301">
        <v>0</v>
      </c>
      <c r="W1782" s="301">
        <v>0</v>
      </c>
      <c r="X1782" s="301">
        <v>0</v>
      </c>
      <c r="Y1782" s="301">
        <v>0</v>
      </c>
      <c r="Z1782" s="301">
        <v>0</v>
      </c>
      <c r="AA1782" s="301">
        <v>0</v>
      </c>
      <c r="AB1782" s="303">
        <v>2022</v>
      </c>
    </row>
    <row r="1783" spans="1:28" ht="35.25" x14ac:dyDescent="0.5">
      <c r="A1783">
        <v>1</v>
      </c>
      <c r="B1783" s="80">
        <f>SUBTOTAL(103,$A$1697:A1783)</f>
        <v>87</v>
      </c>
      <c r="C1783" s="308" t="s">
        <v>3392</v>
      </c>
      <c r="D1783" s="296">
        <f t="shared" si="95"/>
        <v>5221100</v>
      </c>
      <c r="E1783" s="301">
        <v>0</v>
      </c>
      <c r="F1783" s="301">
        <v>0</v>
      </c>
      <c r="G1783" s="301">
        <v>0</v>
      </c>
      <c r="H1783" s="301">
        <v>0</v>
      </c>
      <c r="I1783" s="301">
        <v>0</v>
      </c>
      <c r="J1783" s="301">
        <v>0</v>
      </c>
      <c r="K1783" s="302">
        <v>0</v>
      </c>
      <c r="L1783" s="301">
        <v>0</v>
      </c>
      <c r="M1783" s="301">
        <v>5221100</v>
      </c>
      <c r="N1783" s="301">
        <v>0</v>
      </c>
      <c r="O1783" s="301">
        <v>0</v>
      </c>
      <c r="P1783" s="301">
        <v>0</v>
      </c>
      <c r="Q1783" s="301">
        <v>0</v>
      </c>
      <c r="R1783" s="301">
        <v>0</v>
      </c>
      <c r="S1783" s="301">
        <v>0</v>
      </c>
      <c r="T1783" s="301">
        <v>0</v>
      </c>
      <c r="U1783" s="301">
        <v>0</v>
      </c>
      <c r="V1783" s="301">
        <v>0</v>
      </c>
      <c r="W1783" s="301">
        <v>0</v>
      </c>
      <c r="X1783" s="301">
        <v>0</v>
      </c>
      <c r="Y1783" s="301">
        <v>0</v>
      </c>
      <c r="Z1783" s="301">
        <v>0</v>
      </c>
      <c r="AA1783" s="301">
        <v>0</v>
      </c>
      <c r="AB1783" s="303">
        <v>2022</v>
      </c>
    </row>
    <row r="1784" spans="1:28" ht="35.25" x14ac:dyDescent="0.5">
      <c r="A1784">
        <v>1</v>
      </c>
      <c r="B1784" s="80">
        <f>SUBTOTAL(103,$A$1697:A1784)</f>
        <v>88</v>
      </c>
      <c r="C1784" s="308" t="s">
        <v>3393</v>
      </c>
      <c r="D1784" s="296">
        <f t="shared" si="95"/>
        <v>2155901</v>
      </c>
      <c r="E1784" s="301">
        <v>0</v>
      </c>
      <c r="F1784" s="301">
        <v>0</v>
      </c>
      <c r="G1784" s="301">
        <v>0</v>
      </c>
      <c r="H1784" s="301">
        <v>0</v>
      </c>
      <c r="I1784" s="301">
        <v>0</v>
      </c>
      <c r="J1784" s="301">
        <v>0</v>
      </c>
      <c r="K1784" s="302">
        <v>0</v>
      </c>
      <c r="L1784" s="301">
        <v>0</v>
      </c>
      <c r="M1784" s="301">
        <v>2155901</v>
      </c>
      <c r="N1784" s="301">
        <v>0</v>
      </c>
      <c r="O1784" s="301">
        <v>0</v>
      </c>
      <c r="P1784" s="301">
        <v>0</v>
      </c>
      <c r="Q1784" s="301">
        <v>0</v>
      </c>
      <c r="R1784" s="301">
        <v>0</v>
      </c>
      <c r="S1784" s="301">
        <v>0</v>
      </c>
      <c r="T1784" s="301">
        <v>0</v>
      </c>
      <c r="U1784" s="301">
        <v>0</v>
      </c>
      <c r="V1784" s="301">
        <v>0</v>
      </c>
      <c r="W1784" s="301">
        <v>0</v>
      </c>
      <c r="X1784" s="301">
        <v>0</v>
      </c>
      <c r="Y1784" s="301">
        <v>0</v>
      </c>
      <c r="Z1784" s="301">
        <v>0</v>
      </c>
      <c r="AA1784" s="301">
        <v>0</v>
      </c>
      <c r="AB1784" s="303">
        <v>2022</v>
      </c>
    </row>
    <row r="1785" spans="1:28" ht="35.25" x14ac:dyDescent="0.5">
      <c r="A1785">
        <v>1</v>
      </c>
      <c r="B1785" s="80">
        <f>SUBTOTAL(103,$A$1697:A1785)</f>
        <v>89</v>
      </c>
      <c r="C1785" s="308" t="s">
        <v>3394</v>
      </c>
      <c r="D1785" s="296">
        <f t="shared" si="95"/>
        <v>6683153</v>
      </c>
      <c r="E1785" s="301">
        <v>0</v>
      </c>
      <c r="F1785" s="301">
        <v>0</v>
      </c>
      <c r="G1785" s="301">
        <v>0</v>
      </c>
      <c r="H1785" s="301">
        <v>0</v>
      </c>
      <c r="I1785" s="301">
        <v>0</v>
      </c>
      <c r="J1785" s="301">
        <v>0</v>
      </c>
      <c r="K1785" s="302">
        <v>0</v>
      </c>
      <c r="L1785" s="301">
        <v>0</v>
      </c>
      <c r="M1785" s="301">
        <v>0</v>
      </c>
      <c r="N1785" s="301">
        <v>0</v>
      </c>
      <c r="O1785" s="301">
        <v>6683153</v>
      </c>
      <c r="P1785" s="301">
        <v>0</v>
      </c>
      <c r="Q1785" s="301">
        <v>0</v>
      </c>
      <c r="R1785" s="301">
        <v>0</v>
      </c>
      <c r="S1785" s="301">
        <v>0</v>
      </c>
      <c r="T1785" s="301">
        <v>0</v>
      </c>
      <c r="U1785" s="301">
        <v>0</v>
      </c>
      <c r="V1785" s="301">
        <v>0</v>
      </c>
      <c r="W1785" s="301">
        <v>0</v>
      </c>
      <c r="X1785" s="301">
        <v>0</v>
      </c>
      <c r="Y1785" s="301">
        <v>0</v>
      </c>
      <c r="Z1785" s="301">
        <v>0</v>
      </c>
      <c r="AA1785" s="301">
        <v>0</v>
      </c>
      <c r="AB1785" s="303">
        <v>2022</v>
      </c>
    </row>
    <row r="1786" spans="1:28" ht="35.25" x14ac:dyDescent="0.5">
      <c r="A1786">
        <v>1</v>
      </c>
      <c r="B1786" s="80">
        <f>SUBTOTAL(103,$A$1697:A1786)</f>
        <v>90</v>
      </c>
      <c r="C1786" s="308" t="s">
        <v>3395</v>
      </c>
      <c r="D1786" s="296">
        <f t="shared" si="95"/>
        <v>562340</v>
      </c>
      <c r="E1786" s="301">
        <v>0</v>
      </c>
      <c r="F1786" s="301">
        <v>0</v>
      </c>
      <c r="G1786" s="301">
        <v>0</v>
      </c>
      <c r="H1786" s="301">
        <v>0</v>
      </c>
      <c r="I1786" s="301">
        <v>0</v>
      </c>
      <c r="J1786" s="301">
        <v>0</v>
      </c>
      <c r="K1786" s="302">
        <v>0</v>
      </c>
      <c r="L1786" s="301">
        <v>0</v>
      </c>
      <c r="M1786" s="301">
        <v>0</v>
      </c>
      <c r="N1786" s="301">
        <v>0</v>
      </c>
      <c r="O1786" s="301">
        <v>562340</v>
      </c>
      <c r="P1786" s="301">
        <v>0</v>
      </c>
      <c r="Q1786" s="301">
        <v>0</v>
      </c>
      <c r="R1786" s="301">
        <v>0</v>
      </c>
      <c r="S1786" s="301">
        <v>0</v>
      </c>
      <c r="T1786" s="301">
        <v>0</v>
      </c>
      <c r="U1786" s="301">
        <v>0</v>
      </c>
      <c r="V1786" s="301">
        <v>0</v>
      </c>
      <c r="W1786" s="301">
        <v>0</v>
      </c>
      <c r="X1786" s="301">
        <v>0</v>
      </c>
      <c r="Y1786" s="301">
        <v>0</v>
      </c>
      <c r="Z1786" s="301">
        <v>0</v>
      </c>
      <c r="AA1786" s="301">
        <v>0</v>
      </c>
      <c r="AB1786" s="303">
        <v>2022</v>
      </c>
    </row>
    <row r="1787" spans="1:28" ht="35.25" x14ac:dyDescent="0.5">
      <c r="A1787">
        <v>1</v>
      </c>
      <c r="B1787" s="80">
        <f>SUBTOTAL(103,$A$1697:A1787)</f>
        <v>91</v>
      </c>
      <c r="C1787" s="308" t="s">
        <v>2755</v>
      </c>
      <c r="D1787" s="296">
        <f t="shared" si="95"/>
        <v>649963.6</v>
      </c>
      <c r="E1787" s="301">
        <v>0</v>
      </c>
      <c r="F1787" s="301">
        <v>0</v>
      </c>
      <c r="G1787" s="301">
        <v>0</v>
      </c>
      <c r="H1787" s="301">
        <v>0</v>
      </c>
      <c r="I1787" s="301">
        <v>0</v>
      </c>
      <c r="J1787" s="301">
        <v>0</v>
      </c>
      <c r="K1787" s="302">
        <v>0</v>
      </c>
      <c r="L1787" s="301">
        <v>0</v>
      </c>
      <c r="M1787" s="301">
        <v>0</v>
      </c>
      <c r="N1787" s="301">
        <v>0</v>
      </c>
      <c r="O1787" s="301">
        <v>649963.6</v>
      </c>
      <c r="P1787" s="301">
        <v>0</v>
      </c>
      <c r="Q1787" s="301">
        <v>0</v>
      </c>
      <c r="R1787" s="301">
        <v>0</v>
      </c>
      <c r="S1787" s="301">
        <v>0</v>
      </c>
      <c r="T1787" s="301">
        <v>0</v>
      </c>
      <c r="U1787" s="301">
        <v>0</v>
      </c>
      <c r="V1787" s="301">
        <v>0</v>
      </c>
      <c r="W1787" s="301">
        <v>0</v>
      </c>
      <c r="X1787" s="301">
        <v>0</v>
      </c>
      <c r="Y1787" s="301">
        <v>0</v>
      </c>
      <c r="Z1787" s="301">
        <v>0</v>
      </c>
      <c r="AA1787" s="301">
        <v>0</v>
      </c>
      <c r="AB1787" s="303">
        <v>2022</v>
      </c>
    </row>
    <row r="1788" spans="1:28" ht="35.25" x14ac:dyDescent="0.5">
      <c r="A1788">
        <v>1</v>
      </c>
      <c r="B1788" s="80">
        <f>SUBTOTAL(103,$A$1697:A1788)</f>
        <v>92</v>
      </c>
      <c r="C1788" s="308" t="s">
        <v>3396</v>
      </c>
      <c r="D1788" s="296">
        <f t="shared" si="95"/>
        <v>348735</v>
      </c>
      <c r="E1788" s="301">
        <v>0</v>
      </c>
      <c r="F1788" s="301">
        <v>0</v>
      </c>
      <c r="G1788" s="301">
        <v>0</v>
      </c>
      <c r="H1788" s="301">
        <v>0</v>
      </c>
      <c r="I1788" s="301">
        <v>0</v>
      </c>
      <c r="J1788" s="301">
        <v>0</v>
      </c>
      <c r="K1788" s="302">
        <v>0</v>
      </c>
      <c r="L1788" s="301">
        <v>0</v>
      </c>
      <c r="M1788" s="301">
        <v>0</v>
      </c>
      <c r="N1788" s="301">
        <v>0</v>
      </c>
      <c r="O1788" s="301">
        <v>348735</v>
      </c>
      <c r="P1788" s="301">
        <v>0</v>
      </c>
      <c r="Q1788" s="301">
        <v>0</v>
      </c>
      <c r="R1788" s="301">
        <v>0</v>
      </c>
      <c r="S1788" s="301">
        <v>0</v>
      </c>
      <c r="T1788" s="301">
        <v>0</v>
      </c>
      <c r="U1788" s="301">
        <v>0</v>
      </c>
      <c r="V1788" s="301">
        <v>0</v>
      </c>
      <c r="W1788" s="301">
        <v>0</v>
      </c>
      <c r="X1788" s="301">
        <v>0</v>
      </c>
      <c r="Y1788" s="301">
        <v>0</v>
      </c>
      <c r="Z1788" s="301">
        <v>0</v>
      </c>
      <c r="AA1788" s="301">
        <v>0</v>
      </c>
      <c r="AB1788" s="303">
        <v>2022</v>
      </c>
    </row>
    <row r="1789" spans="1:28" ht="35.25" x14ac:dyDescent="0.5">
      <c r="A1789">
        <v>1</v>
      </c>
      <c r="B1789" s="80">
        <f>SUBTOTAL(103,$A$1697:A1789)</f>
        <v>93</v>
      </c>
      <c r="C1789" s="308" t="s">
        <v>3397</v>
      </c>
      <c r="D1789" s="296">
        <f t="shared" si="95"/>
        <v>1814857</v>
      </c>
      <c r="E1789" s="301">
        <v>0</v>
      </c>
      <c r="F1789" s="301">
        <v>0</v>
      </c>
      <c r="G1789" s="301">
        <v>0</v>
      </c>
      <c r="H1789" s="301">
        <v>0</v>
      </c>
      <c r="I1789" s="301">
        <v>0</v>
      </c>
      <c r="J1789" s="301">
        <v>0</v>
      </c>
      <c r="K1789" s="302">
        <v>0</v>
      </c>
      <c r="L1789" s="301">
        <v>0</v>
      </c>
      <c r="M1789" s="301">
        <v>1814857</v>
      </c>
      <c r="N1789" s="301">
        <v>0</v>
      </c>
      <c r="O1789" s="301">
        <v>0</v>
      </c>
      <c r="P1789" s="301">
        <v>0</v>
      </c>
      <c r="Q1789" s="301">
        <v>0</v>
      </c>
      <c r="R1789" s="301">
        <v>0</v>
      </c>
      <c r="S1789" s="301">
        <v>0</v>
      </c>
      <c r="T1789" s="301">
        <v>0</v>
      </c>
      <c r="U1789" s="301">
        <v>0</v>
      </c>
      <c r="V1789" s="301">
        <v>0</v>
      </c>
      <c r="W1789" s="301">
        <v>0</v>
      </c>
      <c r="X1789" s="301">
        <v>0</v>
      </c>
      <c r="Y1789" s="301">
        <v>0</v>
      </c>
      <c r="Z1789" s="301">
        <v>0</v>
      </c>
      <c r="AA1789" s="301">
        <v>0</v>
      </c>
      <c r="AB1789" s="303">
        <v>2022</v>
      </c>
    </row>
    <row r="1790" spans="1:28" ht="35.25" x14ac:dyDescent="0.5">
      <c r="A1790">
        <v>1</v>
      </c>
      <c r="B1790" s="80">
        <f>SUBTOTAL(103,$A$1697:A1790)</f>
        <v>94</v>
      </c>
      <c r="C1790" s="308" t="s">
        <v>1823</v>
      </c>
      <c r="D1790" s="296">
        <f t="shared" si="95"/>
        <v>3084210</v>
      </c>
      <c r="E1790" s="301">
        <v>0</v>
      </c>
      <c r="F1790" s="301">
        <v>0</v>
      </c>
      <c r="G1790" s="301">
        <v>0</v>
      </c>
      <c r="H1790" s="301">
        <v>0</v>
      </c>
      <c r="I1790" s="301">
        <v>0</v>
      </c>
      <c r="J1790" s="301">
        <v>0</v>
      </c>
      <c r="K1790" s="302">
        <v>0</v>
      </c>
      <c r="L1790" s="301">
        <v>0</v>
      </c>
      <c r="M1790" s="301">
        <v>3084210</v>
      </c>
      <c r="N1790" s="301">
        <v>0</v>
      </c>
      <c r="O1790" s="301">
        <v>0</v>
      </c>
      <c r="P1790" s="301">
        <v>0</v>
      </c>
      <c r="Q1790" s="301">
        <v>0</v>
      </c>
      <c r="R1790" s="301">
        <v>0</v>
      </c>
      <c r="S1790" s="301">
        <v>0</v>
      </c>
      <c r="T1790" s="301">
        <v>0</v>
      </c>
      <c r="U1790" s="301">
        <v>0</v>
      </c>
      <c r="V1790" s="301">
        <v>0</v>
      </c>
      <c r="W1790" s="301">
        <v>0</v>
      </c>
      <c r="X1790" s="301">
        <v>0</v>
      </c>
      <c r="Y1790" s="301">
        <v>0</v>
      </c>
      <c r="Z1790" s="301">
        <v>0</v>
      </c>
      <c r="AA1790" s="301">
        <v>0</v>
      </c>
      <c r="AB1790" s="303">
        <v>2022</v>
      </c>
    </row>
    <row r="1791" spans="1:28" ht="35.25" x14ac:dyDescent="0.5">
      <c r="A1791">
        <v>1</v>
      </c>
      <c r="B1791" s="80">
        <f>SUBTOTAL(103,$A$1697:A1791)</f>
        <v>95</v>
      </c>
      <c r="C1791" s="308" t="s">
        <v>3398</v>
      </c>
      <c r="D1791" s="296">
        <f t="shared" si="95"/>
        <v>380350</v>
      </c>
      <c r="E1791" s="301">
        <v>0</v>
      </c>
      <c r="F1791" s="301">
        <v>0</v>
      </c>
      <c r="G1791" s="301">
        <v>380350</v>
      </c>
      <c r="H1791" s="301">
        <v>0</v>
      </c>
      <c r="I1791" s="301">
        <v>0</v>
      </c>
      <c r="J1791" s="301">
        <v>0</v>
      </c>
      <c r="K1791" s="302">
        <v>0</v>
      </c>
      <c r="L1791" s="301">
        <v>0</v>
      </c>
      <c r="M1791" s="301">
        <v>0</v>
      </c>
      <c r="N1791" s="301">
        <v>0</v>
      </c>
      <c r="O1791" s="301">
        <v>0</v>
      </c>
      <c r="P1791" s="301">
        <v>0</v>
      </c>
      <c r="Q1791" s="301">
        <v>0</v>
      </c>
      <c r="R1791" s="301">
        <v>0</v>
      </c>
      <c r="S1791" s="301">
        <v>0</v>
      </c>
      <c r="T1791" s="301">
        <v>0</v>
      </c>
      <c r="U1791" s="301">
        <v>0</v>
      </c>
      <c r="V1791" s="301">
        <v>0</v>
      </c>
      <c r="W1791" s="301">
        <v>0</v>
      </c>
      <c r="X1791" s="301">
        <v>0</v>
      </c>
      <c r="Y1791" s="301">
        <v>0</v>
      </c>
      <c r="Z1791" s="301">
        <v>0</v>
      </c>
      <c r="AA1791" s="301">
        <v>0</v>
      </c>
      <c r="AB1791" s="303">
        <v>2022</v>
      </c>
    </row>
    <row r="1792" spans="1:28" ht="35.25" x14ac:dyDescent="0.5">
      <c r="A1792">
        <v>1</v>
      </c>
      <c r="B1792" s="80">
        <f>SUBTOTAL(103,$A$1697:A1792)</f>
        <v>96</v>
      </c>
      <c r="C1792" s="308" t="s">
        <v>3399</v>
      </c>
      <c r="D1792" s="296">
        <f t="shared" si="95"/>
        <v>562719</v>
      </c>
      <c r="E1792" s="301">
        <v>0</v>
      </c>
      <c r="F1792" s="301">
        <v>0</v>
      </c>
      <c r="G1792" s="301">
        <v>0</v>
      </c>
      <c r="H1792" s="301">
        <v>0</v>
      </c>
      <c r="I1792" s="301">
        <v>0</v>
      </c>
      <c r="J1792" s="301">
        <v>0</v>
      </c>
      <c r="K1792" s="302">
        <v>0</v>
      </c>
      <c r="L1792" s="301">
        <v>0</v>
      </c>
      <c r="M1792" s="301">
        <v>0</v>
      </c>
      <c r="N1792" s="301">
        <v>0</v>
      </c>
      <c r="O1792" s="301">
        <v>562719</v>
      </c>
      <c r="P1792" s="301">
        <v>0</v>
      </c>
      <c r="Q1792" s="301">
        <v>0</v>
      </c>
      <c r="R1792" s="301">
        <v>0</v>
      </c>
      <c r="S1792" s="301">
        <v>0</v>
      </c>
      <c r="T1792" s="301">
        <v>0</v>
      </c>
      <c r="U1792" s="301">
        <v>0</v>
      </c>
      <c r="V1792" s="301">
        <v>0</v>
      </c>
      <c r="W1792" s="301">
        <v>0</v>
      </c>
      <c r="X1792" s="301">
        <v>0</v>
      </c>
      <c r="Y1792" s="301">
        <v>0</v>
      </c>
      <c r="Z1792" s="301">
        <v>0</v>
      </c>
      <c r="AA1792" s="301">
        <v>0</v>
      </c>
      <c r="AB1792" s="303">
        <v>2022</v>
      </c>
    </row>
    <row r="1793" spans="1:28" ht="35.25" x14ac:dyDescent="0.5">
      <c r="A1793">
        <v>1</v>
      </c>
      <c r="B1793" s="80">
        <f>SUBTOTAL(103,$A$1697:A1793)</f>
        <v>97</v>
      </c>
      <c r="C1793" s="308" t="s">
        <v>3400</v>
      </c>
      <c r="D1793" s="296">
        <f t="shared" si="95"/>
        <v>1050000</v>
      </c>
      <c r="E1793" s="301">
        <v>0</v>
      </c>
      <c r="F1793" s="301">
        <v>0</v>
      </c>
      <c r="G1793" s="301">
        <v>0</v>
      </c>
      <c r="H1793" s="301">
        <v>0</v>
      </c>
      <c r="I1793" s="301">
        <v>0</v>
      </c>
      <c r="J1793" s="301">
        <v>0</v>
      </c>
      <c r="K1793" s="302">
        <v>0</v>
      </c>
      <c r="L1793" s="301">
        <v>0</v>
      </c>
      <c r="M1793" s="301">
        <v>0</v>
      </c>
      <c r="N1793" s="301">
        <v>0</v>
      </c>
      <c r="O1793" s="301">
        <v>1050000</v>
      </c>
      <c r="P1793" s="301">
        <v>0</v>
      </c>
      <c r="Q1793" s="301">
        <v>0</v>
      </c>
      <c r="R1793" s="301">
        <v>0</v>
      </c>
      <c r="S1793" s="301">
        <v>0</v>
      </c>
      <c r="T1793" s="301">
        <v>0</v>
      </c>
      <c r="U1793" s="301">
        <v>0</v>
      </c>
      <c r="V1793" s="301">
        <v>0</v>
      </c>
      <c r="W1793" s="301">
        <v>0</v>
      </c>
      <c r="X1793" s="301">
        <v>0</v>
      </c>
      <c r="Y1793" s="301">
        <v>0</v>
      </c>
      <c r="Z1793" s="301">
        <v>0</v>
      </c>
      <c r="AA1793" s="301">
        <v>0</v>
      </c>
      <c r="AB1793" s="303">
        <v>2022</v>
      </c>
    </row>
    <row r="1794" spans="1:28" ht="35.25" x14ac:dyDescent="0.5">
      <c r="A1794">
        <v>1</v>
      </c>
      <c r="B1794" s="80">
        <f>SUBTOTAL(103,$A$1697:A1794)</f>
        <v>98</v>
      </c>
      <c r="C1794" s="308" t="s">
        <v>3401</v>
      </c>
      <c r="D1794" s="296">
        <f t="shared" si="95"/>
        <v>1212113</v>
      </c>
      <c r="E1794" s="301">
        <v>0</v>
      </c>
      <c r="F1794" s="301">
        <v>0</v>
      </c>
      <c r="G1794" s="301">
        <v>0</v>
      </c>
      <c r="H1794" s="301">
        <v>0</v>
      </c>
      <c r="I1794" s="301">
        <v>1212113</v>
      </c>
      <c r="J1794" s="301">
        <v>0</v>
      </c>
      <c r="K1794" s="302">
        <v>0</v>
      </c>
      <c r="L1794" s="301">
        <v>0</v>
      </c>
      <c r="M1794" s="301">
        <v>0</v>
      </c>
      <c r="N1794" s="301">
        <v>0</v>
      </c>
      <c r="O1794" s="301">
        <v>0</v>
      </c>
      <c r="P1794" s="301">
        <v>0</v>
      </c>
      <c r="Q1794" s="301">
        <v>0</v>
      </c>
      <c r="R1794" s="301">
        <v>0</v>
      </c>
      <c r="S1794" s="301">
        <v>0</v>
      </c>
      <c r="T1794" s="301">
        <v>0</v>
      </c>
      <c r="U1794" s="301">
        <v>0</v>
      </c>
      <c r="V1794" s="301">
        <v>0</v>
      </c>
      <c r="W1794" s="301">
        <v>0</v>
      </c>
      <c r="X1794" s="301">
        <v>0</v>
      </c>
      <c r="Y1794" s="301">
        <v>0</v>
      </c>
      <c r="Z1794" s="301">
        <v>0</v>
      </c>
      <c r="AA1794" s="301">
        <v>0</v>
      </c>
      <c r="AB1794" s="303">
        <v>2022</v>
      </c>
    </row>
    <row r="1795" spans="1:28" ht="35.25" x14ac:dyDescent="0.5">
      <c r="A1795">
        <v>1</v>
      </c>
      <c r="B1795" s="80">
        <f>SUBTOTAL(103,$A$1697:A1795)</f>
        <v>99</v>
      </c>
      <c r="C1795" s="308" t="s">
        <v>3402</v>
      </c>
      <c r="D1795" s="296">
        <f t="shared" si="95"/>
        <v>1678436</v>
      </c>
      <c r="E1795" s="301">
        <v>0</v>
      </c>
      <c r="F1795" s="301">
        <v>0</v>
      </c>
      <c r="G1795" s="301">
        <v>0</v>
      </c>
      <c r="H1795" s="301">
        <v>0</v>
      </c>
      <c r="I1795" s="301">
        <v>1038027</v>
      </c>
      <c r="J1795" s="301">
        <v>0</v>
      </c>
      <c r="K1795" s="302">
        <v>0</v>
      </c>
      <c r="L1795" s="301">
        <v>0</v>
      </c>
      <c r="M1795" s="301">
        <v>0</v>
      </c>
      <c r="N1795" s="301">
        <v>0</v>
      </c>
      <c r="O1795" s="301">
        <v>640409</v>
      </c>
      <c r="P1795" s="301">
        <v>0</v>
      </c>
      <c r="Q1795" s="301">
        <v>0</v>
      </c>
      <c r="R1795" s="301">
        <v>0</v>
      </c>
      <c r="S1795" s="301">
        <v>0</v>
      </c>
      <c r="T1795" s="301">
        <v>0</v>
      </c>
      <c r="U1795" s="301">
        <v>0</v>
      </c>
      <c r="V1795" s="301">
        <v>0</v>
      </c>
      <c r="W1795" s="301">
        <v>0</v>
      </c>
      <c r="X1795" s="301">
        <v>0</v>
      </c>
      <c r="Y1795" s="301">
        <v>0</v>
      </c>
      <c r="Z1795" s="301">
        <v>0</v>
      </c>
      <c r="AA1795" s="301">
        <v>0</v>
      </c>
      <c r="AB1795" s="303">
        <v>2022</v>
      </c>
    </row>
    <row r="1796" spans="1:28" ht="35.25" x14ac:dyDescent="0.5">
      <c r="A1796">
        <v>1</v>
      </c>
      <c r="B1796" s="80">
        <f>SUBTOTAL(103,$A$1697:A1796)</f>
        <v>100</v>
      </c>
      <c r="C1796" s="308" t="s">
        <v>3403</v>
      </c>
      <c r="D1796" s="296">
        <f t="shared" si="95"/>
        <v>314700</v>
      </c>
      <c r="E1796" s="301">
        <v>0</v>
      </c>
      <c r="F1796" s="301">
        <v>0</v>
      </c>
      <c r="G1796" s="301">
        <v>0</v>
      </c>
      <c r="H1796" s="301">
        <v>0</v>
      </c>
      <c r="I1796" s="301">
        <v>0</v>
      </c>
      <c r="J1796" s="301">
        <v>0</v>
      </c>
      <c r="K1796" s="302">
        <v>0</v>
      </c>
      <c r="L1796" s="301">
        <v>0</v>
      </c>
      <c r="M1796" s="301">
        <v>0</v>
      </c>
      <c r="N1796" s="301">
        <v>0</v>
      </c>
      <c r="O1796" s="301">
        <v>314700</v>
      </c>
      <c r="P1796" s="301">
        <v>0</v>
      </c>
      <c r="Q1796" s="301">
        <v>0</v>
      </c>
      <c r="R1796" s="301">
        <v>0</v>
      </c>
      <c r="S1796" s="301">
        <v>0</v>
      </c>
      <c r="T1796" s="301">
        <v>0</v>
      </c>
      <c r="U1796" s="301">
        <v>0</v>
      </c>
      <c r="V1796" s="301">
        <v>0</v>
      </c>
      <c r="W1796" s="301">
        <v>0</v>
      </c>
      <c r="X1796" s="301">
        <v>0</v>
      </c>
      <c r="Y1796" s="301">
        <v>0</v>
      </c>
      <c r="Z1796" s="301">
        <v>0</v>
      </c>
      <c r="AA1796" s="301">
        <v>0</v>
      </c>
      <c r="AB1796" s="303">
        <v>2022</v>
      </c>
    </row>
    <row r="1797" spans="1:28" ht="35.25" x14ac:dyDescent="0.5">
      <c r="A1797">
        <v>1</v>
      </c>
      <c r="B1797" s="80">
        <f>SUBTOTAL(103,$A$1697:A1797)</f>
        <v>101</v>
      </c>
      <c r="C1797" s="308" t="s">
        <v>3404</v>
      </c>
      <c r="D1797" s="296">
        <f t="shared" si="95"/>
        <v>431377</v>
      </c>
      <c r="E1797" s="301">
        <v>0</v>
      </c>
      <c r="F1797" s="301">
        <v>0</v>
      </c>
      <c r="G1797" s="301">
        <v>431377</v>
      </c>
      <c r="H1797" s="301">
        <v>0</v>
      </c>
      <c r="I1797" s="301">
        <v>0</v>
      </c>
      <c r="J1797" s="301">
        <v>0</v>
      </c>
      <c r="K1797" s="302">
        <v>0</v>
      </c>
      <c r="L1797" s="301">
        <v>0</v>
      </c>
      <c r="M1797" s="301">
        <v>0</v>
      </c>
      <c r="N1797" s="301">
        <v>0</v>
      </c>
      <c r="O1797" s="301">
        <v>0</v>
      </c>
      <c r="P1797" s="301">
        <v>0</v>
      </c>
      <c r="Q1797" s="301">
        <v>0</v>
      </c>
      <c r="R1797" s="301">
        <v>0</v>
      </c>
      <c r="S1797" s="301">
        <v>0</v>
      </c>
      <c r="T1797" s="301">
        <v>0</v>
      </c>
      <c r="U1797" s="301">
        <v>0</v>
      </c>
      <c r="V1797" s="301">
        <v>0</v>
      </c>
      <c r="W1797" s="301">
        <v>0</v>
      </c>
      <c r="X1797" s="301">
        <v>0</v>
      </c>
      <c r="Y1797" s="301">
        <v>0</v>
      </c>
      <c r="Z1797" s="301">
        <v>0</v>
      </c>
      <c r="AA1797" s="301">
        <v>0</v>
      </c>
      <c r="AB1797" s="303">
        <v>2022</v>
      </c>
    </row>
    <row r="1798" spans="1:28" ht="35.25" x14ac:dyDescent="0.5">
      <c r="A1798">
        <v>1</v>
      </c>
      <c r="B1798" s="80">
        <f>SUBTOTAL(103,$A$1697:A1798)</f>
        <v>102</v>
      </c>
      <c r="C1798" s="308" t="s">
        <v>3405</v>
      </c>
      <c r="D1798" s="296">
        <f t="shared" si="95"/>
        <v>506923.4</v>
      </c>
      <c r="E1798" s="301">
        <v>0</v>
      </c>
      <c r="F1798" s="301">
        <v>0</v>
      </c>
      <c r="G1798" s="301">
        <v>0</v>
      </c>
      <c r="H1798" s="301">
        <v>0</v>
      </c>
      <c r="I1798" s="301">
        <v>0</v>
      </c>
      <c r="J1798" s="301">
        <v>0</v>
      </c>
      <c r="K1798" s="302">
        <v>0</v>
      </c>
      <c r="L1798" s="301">
        <v>0</v>
      </c>
      <c r="M1798" s="301">
        <v>0</v>
      </c>
      <c r="N1798" s="301">
        <v>0</v>
      </c>
      <c r="O1798" s="301">
        <v>506923.4</v>
      </c>
      <c r="P1798" s="301">
        <v>0</v>
      </c>
      <c r="Q1798" s="301">
        <v>0</v>
      </c>
      <c r="R1798" s="301">
        <v>0</v>
      </c>
      <c r="S1798" s="301">
        <v>0</v>
      </c>
      <c r="T1798" s="301">
        <v>0</v>
      </c>
      <c r="U1798" s="301">
        <v>0</v>
      </c>
      <c r="V1798" s="301">
        <v>0</v>
      </c>
      <c r="W1798" s="301">
        <v>0</v>
      </c>
      <c r="X1798" s="301">
        <v>0</v>
      </c>
      <c r="Y1798" s="301">
        <v>0</v>
      </c>
      <c r="Z1798" s="301">
        <v>0</v>
      </c>
      <c r="AA1798" s="301">
        <v>0</v>
      </c>
      <c r="AB1798" s="303">
        <v>2022</v>
      </c>
    </row>
    <row r="1799" spans="1:28" ht="35.25" x14ac:dyDescent="0.5">
      <c r="A1799">
        <v>1</v>
      </c>
      <c r="B1799" s="80">
        <f>SUBTOTAL(103,$A$1697:A1799)</f>
        <v>103</v>
      </c>
      <c r="C1799" s="308" t="s">
        <v>2567</v>
      </c>
      <c r="D1799" s="296">
        <f t="shared" si="95"/>
        <v>1972833</v>
      </c>
      <c r="E1799" s="301">
        <v>0</v>
      </c>
      <c r="F1799" s="301">
        <v>1972833</v>
      </c>
      <c r="G1799" s="301">
        <v>0</v>
      </c>
      <c r="H1799" s="301">
        <v>0</v>
      </c>
      <c r="I1799" s="301">
        <v>0</v>
      </c>
      <c r="J1799" s="301">
        <v>0</v>
      </c>
      <c r="K1799" s="302">
        <v>0</v>
      </c>
      <c r="L1799" s="301">
        <v>0</v>
      </c>
      <c r="M1799" s="301">
        <v>0</v>
      </c>
      <c r="N1799" s="301">
        <v>0</v>
      </c>
      <c r="O1799" s="301">
        <v>0</v>
      </c>
      <c r="P1799" s="301">
        <v>0</v>
      </c>
      <c r="Q1799" s="301">
        <v>0</v>
      </c>
      <c r="R1799" s="301">
        <v>0</v>
      </c>
      <c r="S1799" s="301">
        <v>0</v>
      </c>
      <c r="T1799" s="301">
        <v>0</v>
      </c>
      <c r="U1799" s="301">
        <v>0</v>
      </c>
      <c r="V1799" s="301">
        <v>0</v>
      </c>
      <c r="W1799" s="301">
        <v>0</v>
      </c>
      <c r="X1799" s="301">
        <v>0</v>
      </c>
      <c r="Y1799" s="301">
        <v>0</v>
      </c>
      <c r="Z1799" s="301">
        <v>0</v>
      </c>
      <c r="AA1799" s="301">
        <v>0</v>
      </c>
      <c r="AB1799" s="303">
        <v>2022</v>
      </c>
    </row>
    <row r="1800" spans="1:28" ht="35.25" x14ac:dyDescent="0.5">
      <c r="A1800">
        <v>1</v>
      </c>
      <c r="B1800" s="80">
        <f>SUBTOTAL(103,$A$1697:A1800)</f>
        <v>104</v>
      </c>
      <c r="C1800" s="308" t="s">
        <v>3406</v>
      </c>
      <c r="D1800" s="296">
        <f t="shared" si="95"/>
        <v>3995150</v>
      </c>
      <c r="E1800" s="301">
        <v>0</v>
      </c>
      <c r="F1800" s="301">
        <v>0</v>
      </c>
      <c r="G1800" s="301">
        <v>0</v>
      </c>
      <c r="H1800" s="301">
        <v>0</v>
      </c>
      <c r="I1800" s="301">
        <v>0</v>
      </c>
      <c r="J1800" s="301">
        <v>0</v>
      </c>
      <c r="K1800" s="302">
        <v>0</v>
      </c>
      <c r="L1800" s="301">
        <v>0</v>
      </c>
      <c r="M1800" s="301">
        <v>3995150</v>
      </c>
      <c r="N1800" s="301">
        <v>0</v>
      </c>
      <c r="O1800" s="301">
        <v>0</v>
      </c>
      <c r="P1800" s="301">
        <v>0</v>
      </c>
      <c r="Q1800" s="301">
        <v>0</v>
      </c>
      <c r="R1800" s="301">
        <v>0</v>
      </c>
      <c r="S1800" s="301">
        <v>0</v>
      </c>
      <c r="T1800" s="301">
        <v>0</v>
      </c>
      <c r="U1800" s="301">
        <v>0</v>
      </c>
      <c r="V1800" s="301">
        <v>0</v>
      </c>
      <c r="W1800" s="301">
        <v>0</v>
      </c>
      <c r="X1800" s="301">
        <v>0</v>
      </c>
      <c r="Y1800" s="301">
        <v>0</v>
      </c>
      <c r="Z1800" s="301">
        <v>0</v>
      </c>
      <c r="AA1800" s="301">
        <v>0</v>
      </c>
      <c r="AB1800" s="303">
        <v>2022</v>
      </c>
    </row>
    <row r="1801" spans="1:28" ht="35.25" x14ac:dyDescent="0.5">
      <c r="A1801">
        <v>1</v>
      </c>
      <c r="B1801" s="80">
        <f>SUBTOTAL(103,$A$1697:A1801)</f>
        <v>105</v>
      </c>
      <c r="C1801" s="308" t="s">
        <v>3407</v>
      </c>
      <c r="D1801" s="296">
        <f t="shared" ref="D1801:D1864" si="96">E1801+F1801+G1801+H1801+I1801+J1801+L1801+M1801+N1801+O1801+P1801+Q1801+R1801+S1801+T1801+U1801+V1801+W1801+X1801+Y1801+Z1801+AA1801</f>
        <v>371171</v>
      </c>
      <c r="E1801" s="301">
        <v>0</v>
      </c>
      <c r="F1801" s="301">
        <v>0</v>
      </c>
      <c r="G1801" s="301">
        <v>0</v>
      </c>
      <c r="H1801" s="301">
        <v>0</v>
      </c>
      <c r="I1801" s="301">
        <v>0</v>
      </c>
      <c r="J1801" s="301">
        <v>0</v>
      </c>
      <c r="K1801" s="302">
        <v>0</v>
      </c>
      <c r="L1801" s="301">
        <v>0</v>
      </c>
      <c r="M1801" s="301">
        <v>371171</v>
      </c>
      <c r="N1801" s="301">
        <v>0</v>
      </c>
      <c r="O1801" s="301">
        <v>0</v>
      </c>
      <c r="P1801" s="301">
        <v>0</v>
      </c>
      <c r="Q1801" s="301">
        <v>0</v>
      </c>
      <c r="R1801" s="301">
        <v>0</v>
      </c>
      <c r="S1801" s="301">
        <v>0</v>
      </c>
      <c r="T1801" s="301">
        <v>0</v>
      </c>
      <c r="U1801" s="301">
        <v>0</v>
      </c>
      <c r="V1801" s="301">
        <v>0</v>
      </c>
      <c r="W1801" s="301">
        <v>0</v>
      </c>
      <c r="X1801" s="301">
        <v>0</v>
      </c>
      <c r="Y1801" s="301">
        <v>0</v>
      </c>
      <c r="Z1801" s="301">
        <v>0</v>
      </c>
      <c r="AA1801" s="301">
        <v>0</v>
      </c>
      <c r="AB1801" s="303">
        <v>2022</v>
      </c>
    </row>
    <row r="1802" spans="1:28" ht="35.25" x14ac:dyDescent="0.5">
      <c r="A1802">
        <v>1</v>
      </c>
      <c r="B1802" s="80">
        <f>SUBTOTAL(103,$A$1697:A1802)</f>
        <v>106</v>
      </c>
      <c r="C1802" s="308" t="s">
        <v>3408</v>
      </c>
      <c r="D1802" s="296">
        <f t="shared" si="96"/>
        <v>720000</v>
      </c>
      <c r="E1802" s="301">
        <v>0</v>
      </c>
      <c r="F1802" s="301">
        <v>0</v>
      </c>
      <c r="G1802" s="301">
        <v>0</v>
      </c>
      <c r="H1802" s="301">
        <v>0</v>
      </c>
      <c r="I1802" s="301">
        <v>0</v>
      </c>
      <c r="J1802" s="301">
        <v>0</v>
      </c>
      <c r="K1802" s="302">
        <v>0</v>
      </c>
      <c r="L1802" s="301">
        <v>0</v>
      </c>
      <c r="M1802" s="301">
        <v>0</v>
      </c>
      <c r="N1802" s="301">
        <v>0</v>
      </c>
      <c r="O1802" s="301">
        <v>720000</v>
      </c>
      <c r="P1802" s="301">
        <v>0</v>
      </c>
      <c r="Q1802" s="301">
        <v>0</v>
      </c>
      <c r="R1802" s="301">
        <v>0</v>
      </c>
      <c r="S1802" s="301">
        <v>0</v>
      </c>
      <c r="T1802" s="301">
        <v>0</v>
      </c>
      <c r="U1802" s="301">
        <v>0</v>
      </c>
      <c r="V1802" s="301">
        <v>0</v>
      </c>
      <c r="W1802" s="301">
        <v>0</v>
      </c>
      <c r="X1802" s="301">
        <v>0</v>
      </c>
      <c r="Y1802" s="301">
        <v>0</v>
      </c>
      <c r="Z1802" s="301">
        <v>0</v>
      </c>
      <c r="AA1802" s="301">
        <v>0</v>
      </c>
      <c r="AB1802" s="303">
        <v>2022</v>
      </c>
    </row>
    <row r="1803" spans="1:28" ht="35.25" x14ac:dyDescent="0.5">
      <c r="A1803">
        <v>1</v>
      </c>
      <c r="B1803" s="80">
        <f>SUBTOTAL(103,$A$1697:A1803)</f>
        <v>107</v>
      </c>
      <c r="C1803" s="308" t="s">
        <v>3409</v>
      </c>
      <c r="D1803" s="296">
        <f t="shared" si="96"/>
        <v>2250000</v>
      </c>
      <c r="E1803" s="301">
        <v>0</v>
      </c>
      <c r="F1803" s="301">
        <v>0</v>
      </c>
      <c r="G1803" s="301">
        <v>0</v>
      </c>
      <c r="H1803" s="301">
        <v>0</v>
      </c>
      <c r="I1803" s="301">
        <v>0</v>
      </c>
      <c r="J1803" s="301">
        <v>0</v>
      </c>
      <c r="K1803" s="302">
        <v>0</v>
      </c>
      <c r="L1803" s="301">
        <v>0</v>
      </c>
      <c r="M1803" s="301">
        <v>0</v>
      </c>
      <c r="N1803" s="301">
        <v>0</v>
      </c>
      <c r="O1803" s="301">
        <v>2250000</v>
      </c>
      <c r="P1803" s="301">
        <v>0</v>
      </c>
      <c r="Q1803" s="301">
        <v>0</v>
      </c>
      <c r="R1803" s="301">
        <v>0</v>
      </c>
      <c r="S1803" s="301">
        <v>0</v>
      </c>
      <c r="T1803" s="301">
        <v>0</v>
      </c>
      <c r="U1803" s="301">
        <v>0</v>
      </c>
      <c r="V1803" s="301">
        <v>0</v>
      </c>
      <c r="W1803" s="301">
        <v>0</v>
      </c>
      <c r="X1803" s="301">
        <v>0</v>
      </c>
      <c r="Y1803" s="301">
        <v>0</v>
      </c>
      <c r="Z1803" s="301">
        <v>0</v>
      </c>
      <c r="AA1803" s="301">
        <v>0</v>
      </c>
      <c r="AB1803" s="303">
        <v>2022</v>
      </c>
    </row>
    <row r="1804" spans="1:28" ht="35.25" x14ac:dyDescent="0.5">
      <c r="A1804">
        <v>1</v>
      </c>
      <c r="B1804" s="80">
        <f>SUBTOTAL(103,$A$1697:A1804)</f>
        <v>108</v>
      </c>
      <c r="C1804" s="308" t="s">
        <v>3410</v>
      </c>
      <c r="D1804" s="296">
        <f t="shared" si="96"/>
        <v>3121716</v>
      </c>
      <c r="E1804" s="301">
        <v>0</v>
      </c>
      <c r="F1804" s="301">
        <v>0</v>
      </c>
      <c r="G1804" s="301">
        <v>0</v>
      </c>
      <c r="H1804" s="301">
        <v>0</v>
      </c>
      <c r="I1804" s="301">
        <v>0</v>
      </c>
      <c r="J1804" s="301">
        <v>0</v>
      </c>
      <c r="K1804" s="302">
        <v>0</v>
      </c>
      <c r="L1804" s="301">
        <v>0</v>
      </c>
      <c r="M1804" s="301">
        <v>3121716</v>
      </c>
      <c r="N1804" s="301">
        <v>0</v>
      </c>
      <c r="O1804" s="301">
        <v>0</v>
      </c>
      <c r="P1804" s="301">
        <v>0</v>
      </c>
      <c r="Q1804" s="301">
        <v>0</v>
      </c>
      <c r="R1804" s="301">
        <v>0</v>
      </c>
      <c r="S1804" s="301">
        <v>0</v>
      </c>
      <c r="T1804" s="301">
        <v>0</v>
      </c>
      <c r="U1804" s="301">
        <v>0</v>
      </c>
      <c r="V1804" s="301">
        <v>0</v>
      </c>
      <c r="W1804" s="301">
        <v>0</v>
      </c>
      <c r="X1804" s="301">
        <v>0</v>
      </c>
      <c r="Y1804" s="301">
        <v>0</v>
      </c>
      <c r="Z1804" s="301">
        <v>0</v>
      </c>
      <c r="AA1804" s="301">
        <v>0</v>
      </c>
      <c r="AB1804" s="303">
        <v>2022</v>
      </c>
    </row>
    <row r="1805" spans="1:28" ht="35.25" x14ac:dyDescent="0.5">
      <c r="A1805">
        <v>1</v>
      </c>
      <c r="B1805" s="80">
        <f>SUBTOTAL(103,$A$1697:A1805)</f>
        <v>109</v>
      </c>
      <c r="C1805" s="308" t="s">
        <v>3411</v>
      </c>
      <c r="D1805" s="296">
        <f t="shared" si="96"/>
        <v>2387160</v>
      </c>
      <c r="E1805" s="301">
        <v>0</v>
      </c>
      <c r="F1805" s="301">
        <v>0</v>
      </c>
      <c r="G1805" s="301">
        <v>0</v>
      </c>
      <c r="H1805" s="301">
        <v>0</v>
      </c>
      <c r="I1805" s="301">
        <v>0</v>
      </c>
      <c r="J1805" s="301">
        <v>0</v>
      </c>
      <c r="K1805" s="302">
        <v>0</v>
      </c>
      <c r="L1805" s="301">
        <v>0</v>
      </c>
      <c r="M1805" s="301">
        <v>2387160</v>
      </c>
      <c r="N1805" s="301">
        <v>0</v>
      </c>
      <c r="O1805" s="301">
        <v>0</v>
      </c>
      <c r="P1805" s="301">
        <v>0</v>
      </c>
      <c r="Q1805" s="301">
        <v>0</v>
      </c>
      <c r="R1805" s="301">
        <v>0</v>
      </c>
      <c r="S1805" s="301">
        <v>0</v>
      </c>
      <c r="T1805" s="301">
        <v>0</v>
      </c>
      <c r="U1805" s="301">
        <v>0</v>
      </c>
      <c r="V1805" s="301">
        <v>0</v>
      </c>
      <c r="W1805" s="301">
        <v>0</v>
      </c>
      <c r="X1805" s="301">
        <v>0</v>
      </c>
      <c r="Y1805" s="301">
        <v>0</v>
      </c>
      <c r="Z1805" s="301">
        <v>0</v>
      </c>
      <c r="AA1805" s="301">
        <v>0</v>
      </c>
      <c r="AB1805" s="303">
        <v>2022</v>
      </c>
    </row>
    <row r="1806" spans="1:28" ht="35.25" x14ac:dyDescent="0.5">
      <c r="A1806">
        <v>1</v>
      </c>
      <c r="B1806" s="80">
        <f>SUBTOTAL(103,$A$1697:A1806)</f>
        <v>110</v>
      </c>
      <c r="C1806" s="308" t="s">
        <v>3412</v>
      </c>
      <c r="D1806" s="296">
        <f t="shared" si="96"/>
        <v>2848540</v>
      </c>
      <c r="E1806" s="301">
        <v>0</v>
      </c>
      <c r="F1806" s="301">
        <v>0</v>
      </c>
      <c r="G1806" s="301">
        <v>0</v>
      </c>
      <c r="H1806" s="301">
        <v>0</v>
      </c>
      <c r="I1806" s="301">
        <v>0</v>
      </c>
      <c r="J1806" s="301">
        <v>0</v>
      </c>
      <c r="K1806" s="302">
        <v>0</v>
      </c>
      <c r="L1806" s="301">
        <v>0</v>
      </c>
      <c r="M1806" s="301">
        <v>2605540</v>
      </c>
      <c r="N1806" s="301">
        <v>0</v>
      </c>
      <c r="O1806" s="301">
        <v>243000</v>
      </c>
      <c r="P1806" s="301">
        <v>0</v>
      </c>
      <c r="Q1806" s="301">
        <v>0</v>
      </c>
      <c r="R1806" s="301">
        <v>0</v>
      </c>
      <c r="S1806" s="301">
        <v>0</v>
      </c>
      <c r="T1806" s="301">
        <v>0</v>
      </c>
      <c r="U1806" s="301">
        <v>0</v>
      </c>
      <c r="V1806" s="301">
        <v>0</v>
      </c>
      <c r="W1806" s="301">
        <v>0</v>
      </c>
      <c r="X1806" s="301">
        <v>0</v>
      </c>
      <c r="Y1806" s="301">
        <v>0</v>
      </c>
      <c r="Z1806" s="301">
        <v>0</v>
      </c>
      <c r="AA1806" s="301">
        <v>0</v>
      </c>
      <c r="AB1806" s="303">
        <v>2022</v>
      </c>
    </row>
    <row r="1807" spans="1:28" ht="35.25" x14ac:dyDescent="0.5">
      <c r="A1807">
        <v>1</v>
      </c>
      <c r="B1807" s="80">
        <f>SUBTOTAL(103,$A$1697:A1807)</f>
        <v>111</v>
      </c>
      <c r="C1807" s="308" t="s">
        <v>3413</v>
      </c>
      <c r="D1807" s="296">
        <f t="shared" si="96"/>
        <v>2630170</v>
      </c>
      <c r="E1807" s="301">
        <v>0</v>
      </c>
      <c r="F1807" s="301">
        <v>0</v>
      </c>
      <c r="G1807" s="301">
        <v>1804370</v>
      </c>
      <c r="H1807" s="301">
        <v>0</v>
      </c>
      <c r="I1807" s="301">
        <v>0</v>
      </c>
      <c r="J1807" s="301">
        <v>0</v>
      </c>
      <c r="K1807" s="302">
        <v>0</v>
      </c>
      <c r="L1807" s="301">
        <v>0</v>
      </c>
      <c r="M1807" s="301">
        <v>0</v>
      </c>
      <c r="N1807" s="301">
        <v>0</v>
      </c>
      <c r="O1807" s="301">
        <v>825800</v>
      </c>
      <c r="P1807" s="301">
        <v>0</v>
      </c>
      <c r="Q1807" s="301">
        <v>0</v>
      </c>
      <c r="R1807" s="301">
        <v>0</v>
      </c>
      <c r="S1807" s="301">
        <v>0</v>
      </c>
      <c r="T1807" s="301">
        <v>0</v>
      </c>
      <c r="U1807" s="301">
        <v>0</v>
      </c>
      <c r="V1807" s="301">
        <v>0</v>
      </c>
      <c r="W1807" s="301">
        <v>0</v>
      </c>
      <c r="X1807" s="301">
        <v>0</v>
      </c>
      <c r="Y1807" s="301">
        <v>0</v>
      </c>
      <c r="Z1807" s="301">
        <v>0</v>
      </c>
      <c r="AA1807" s="301">
        <v>0</v>
      </c>
      <c r="AB1807" s="303">
        <v>2022</v>
      </c>
    </row>
    <row r="1808" spans="1:28" ht="35.25" x14ac:dyDescent="0.5">
      <c r="A1808">
        <v>1</v>
      </c>
      <c r="B1808" s="80">
        <f>SUBTOTAL(103,$A$1697:A1808)</f>
        <v>112</v>
      </c>
      <c r="C1808" s="308" t="s">
        <v>3414</v>
      </c>
      <c r="D1808" s="296">
        <f t="shared" si="96"/>
        <v>408925.2</v>
      </c>
      <c r="E1808" s="301">
        <v>0</v>
      </c>
      <c r="F1808" s="301">
        <v>0</v>
      </c>
      <c r="G1808" s="301">
        <v>0</v>
      </c>
      <c r="H1808" s="301">
        <v>0</v>
      </c>
      <c r="I1808" s="301">
        <v>0</v>
      </c>
      <c r="J1808" s="301">
        <v>0</v>
      </c>
      <c r="K1808" s="302">
        <v>0</v>
      </c>
      <c r="L1808" s="301">
        <v>0</v>
      </c>
      <c r="M1808" s="301">
        <v>0</v>
      </c>
      <c r="N1808" s="301">
        <v>0</v>
      </c>
      <c r="O1808" s="301">
        <v>408925.2</v>
      </c>
      <c r="P1808" s="301">
        <v>0</v>
      </c>
      <c r="Q1808" s="301">
        <v>0</v>
      </c>
      <c r="R1808" s="301">
        <v>0</v>
      </c>
      <c r="S1808" s="301">
        <v>0</v>
      </c>
      <c r="T1808" s="301">
        <v>0</v>
      </c>
      <c r="U1808" s="301">
        <v>0</v>
      </c>
      <c r="V1808" s="301">
        <v>0</v>
      </c>
      <c r="W1808" s="301">
        <v>0</v>
      </c>
      <c r="X1808" s="301">
        <v>0</v>
      </c>
      <c r="Y1808" s="301">
        <v>0</v>
      </c>
      <c r="Z1808" s="301">
        <v>0</v>
      </c>
      <c r="AA1808" s="301">
        <v>0</v>
      </c>
      <c r="AB1808" s="303">
        <v>2022</v>
      </c>
    </row>
    <row r="1809" spans="1:28" ht="35.25" x14ac:dyDescent="0.5">
      <c r="A1809">
        <v>1</v>
      </c>
      <c r="B1809" s="80">
        <f>SUBTOTAL(103,$A$1697:A1809)</f>
        <v>113</v>
      </c>
      <c r="C1809" s="308" t="s">
        <v>3415</v>
      </c>
      <c r="D1809" s="296">
        <f t="shared" si="96"/>
        <v>3000000</v>
      </c>
      <c r="E1809" s="301">
        <v>0</v>
      </c>
      <c r="F1809" s="301">
        <v>0</v>
      </c>
      <c r="G1809" s="301">
        <v>2850000</v>
      </c>
      <c r="H1809" s="301">
        <v>0</v>
      </c>
      <c r="I1809" s="301">
        <v>0</v>
      </c>
      <c r="J1809" s="301">
        <v>0</v>
      </c>
      <c r="K1809" s="302">
        <v>0</v>
      </c>
      <c r="L1809" s="301">
        <v>0</v>
      </c>
      <c r="M1809" s="301">
        <v>0</v>
      </c>
      <c r="N1809" s="301">
        <v>0</v>
      </c>
      <c r="O1809" s="301">
        <v>0</v>
      </c>
      <c r="P1809" s="301">
        <v>0</v>
      </c>
      <c r="Q1809" s="301">
        <v>0</v>
      </c>
      <c r="R1809" s="301">
        <v>0</v>
      </c>
      <c r="S1809" s="301">
        <v>0</v>
      </c>
      <c r="T1809" s="301">
        <v>0</v>
      </c>
      <c r="U1809" s="301">
        <v>0</v>
      </c>
      <c r="V1809" s="301">
        <v>0</v>
      </c>
      <c r="W1809" s="301">
        <v>0</v>
      </c>
      <c r="X1809" s="301">
        <v>0</v>
      </c>
      <c r="Y1809" s="301">
        <v>0</v>
      </c>
      <c r="Z1809" s="301">
        <v>150000</v>
      </c>
      <c r="AA1809" s="301">
        <v>0</v>
      </c>
      <c r="AB1809" s="303">
        <v>2022</v>
      </c>
    </row>
    <row r="1810" spans="1:28" ht="35.25" x14ac:dyDescent="0.5">
      <c r="A1810">
        <v>1</v>
      </c>
      <c r="B1810" s="80">
        <f>SUBTOTAL(103,$A$1697:A1810)</f>
        <v>114</v>
      </c>
      <c r="C1810" s="308" t="s">
        <v>2198</v>
      </c>
      <c r="D1810" s="296">
        <f t="shared" si="96"/>
        <v>751795</v>
      </c>
      <c r="E1810" s="301">
        <v>351795</v>
      </c>
      <c r="F1810" s="301">
        <v>400000</v>
      </c>
      <c r="G1810" s="301">
        <v>0</v>
      </c>
      <c r="H1810" s="301">
        <v>0</v>
      </c>
      <c r="I1810" s="301">
        <v>0</v>
      </c>
      <c r="J1810" s="301">
        <v>0</v>
      </c>
      <c r="K1810" s="302">
        <v>0</v>
      </c>
      <c r="L1810" s="301">
        <v>0</v>
      </c>
      <c r="M1810" s="301">
        <v>0</v>
      </c>
      <c r="N1810" s="301">
        <v>0</v>
      </c>
      <c r="O1810" s="301">
        <v>0</v>
      </c>
      <c r="P1810" s="301">
        <v>0</v>
      </c>
      <c r="Q1810" s="301">
        <v>0</v>
      </c>
      <c r="R1810" s="301">
        <v>0</v>
      </c>
      <c r="S1810" s="301">
        <v>0</v>
      </c>
      <c r="T1810" s="301">
        <v>0</v>
      </c>
      <c r="U1810" s="301">
        <v>0</v>
      </c>
      <c r="V1810" s="301">
        <v>0</v>
      </c>
      <c r="W1810" s="301">
        <v>0</v>
      </c>
      <c r="X1810" s="301">
        <v>0</v>
      </c>
      <c r="Y1810" s="301">
        <v>0</v>
      </c>
      <c r="Z1810" s="301">
        <v>0</v>
      </c>
      <c r="AA1810" s="301">
        <v>0</v>
      </c>
      <c r="AB1810" s="303">
        <v>2022</v>
      </c>
    </row>
    <row r="1811" spans="1:28" ht="35.25" x14ac:dyDescent="0.5">
      <c r="A1811">
        <v>1</v>
      </c>
      <c r="B1811" s="80">
        <f>SUBTOTAL(103,$A$1697:A1811)</f>
        <v>115</v>
      </c>
      <c r="C1811" s="308" t="s">
        <v>1835</v>
      </c>
      <c r="D1811" s="296">
        <f t="shared" si="96"/>
        <v>1997710</v>
      </c>
      <c r="E1811" s="301">
        <v>0</v>
      </c>
      <c r="F1811" s="301">
        <v>0</v>
      </c>
      <c r="G1811" s="301">
        <v>0</v>
      </c>
      <c r="H1811" s="301">
        <v>0</v>
      </c>
      <c r="I1811" s="301">
        <v>0</v>
      </c>
      <c r="J1811" s="301">
        <v>0</v>
      </c>
      <c r="K1811" s="302">
        <v>0</v>
      </c>
      <c r="L1811" s="301">
        <v>0</v>
      </c>
      <c r="M1811" s="301">
        <v>0</v>
      </c>
      <c r="N1811" s="301">
        <v>0</v>
      </c>
      <c r="O1811" s="301">
        <v>1997710</v>
      </c>
      <c r="P1811" s="301">
        <v>0</v>
      </c>
      <c r="Q1811" s="301">
        <v>0</v>
      </c>
      <c r="R1811" s="301">
        <v>0</v>
      </c>
      <c r="S1811" s="301">
        <v>0</v>
      </c>
      <c r="T1811" s="301">
        <v>0</v>
      </c>
      <c r="U1811" s="301">
        <v>0</v>
      </c>
      <c r="V1811" s="301">
        <v>0</v>
      </c>
      <c r="W1811" s="301">
        <v>0</v>
      </c>
      <c r="X1811" s="301">
        <v>0</v>
      </c>
      <c r="Y1811" s="301">
        <v>0</v>
      </c>
      <c r="Z1811" s="301">
        <v>0</v>
      </c>
      <c r="AA1811" s="301">
        <v>0</v>
      </c>
      <c r="AB1811" s="303">
        <v>2022</v>
      </c>
    </row>
    <row r="1812" spans="1:28" ht="35.25" x14ac:dyDescent="0.5">
      <c r="A1812">
        <v>1</v>
      </c>
      <c r="B1812" s="80">
        <f>SUBTOTAL(103,$A$1697:A1812)</f>
        <v>116</v>
      </c>
      <c r="C1812" s="308" t="s">
        <v>3416</v>
      </c>
      <c r="D1812" s="296">
        <f t="shared" si="96"/>
        <v>1012497.23</v>
      </c>
      <c r="E1812" s="301">
        <v>0</v>
      </c>
      <c r="F1812" s="301">
        <v>0</v>
      </c>
      <c r="G1812" s="301">
        <v>0</v>
      </c>
      <c r="H1812" s="301">
        <v>0</v>
      </c>
      <c r="I1812" s="301">
        <v>0</v>
      </c>
      <c r="J1812" s="301">
        <v>0</v>
      </c>
      <c r="K1812" s="302">
        <v>0</v>
      </c>
      <c r="L1812" s="301">
        <v>0</v>
      </c>
      <c r="M1812" s="301">
        <v>0</v>
      </c>
      <c r="N1812" s="301">
        <v>0</v>
      </c>
      <c r="O1812" s="301">
        <v>1012497.23</v>
      </c>
      <c r="P1812" s="301">
        <v>0</v>
      </c>
      <c r="Q1812" s="301">
        <v>0</v>
      </c>
      <c r="R1812" s="301">
        <v>0</v>
      </c>
      <c r="S1812" s="301">
        <v>0</v>
      </c>
      <c r="T1812" s="301">
        <v>0</v>
      </c>
      <c r="U1812" s="301">
        <v>0</v>
      </c>
      <c r="V1812" s="301">
        <v>0</v>
      </c>
      <c r="W1812" s="301">
        <v>0</v>
      </c>
      <c r="X1812" s="301">
        <v>0</v>
      </c>
      <c r="Y1812" s="301">
        <v>0</v>
      </c>
      <c r="Z1812" s="301">
        <v>0</v>
      </c>
      <c r="AA1812" s="301">
        <v>0</v>
      </c>
      <c r="AB1812" s="303">
        <v>2022</v>
      </c>
    </row>
    <row r="1813" spans="1:28" ht="35.25" x14ac:dyDescent="0.5">
      <c r="A1813">
        <v>1</v>
      </c>
      <c r="B1813" s="80">
        <f>SUBTOTAL(103,$A$1697:A1813)</f>
        <v>117</v>
      </c>
      <c r="C1813" s="308" t="s">
        <v>2200</v>
      </c>
      <c r="D1813" s="296">
        <f t="shared" si="96"/>
        <v>1755600</v>
      </c>
      <c r="E1813" s="301">
        <v>0</v>
      </c>
      <c r="F1813" s="301">
        <v>0</v>
      </c>
      <c r="G1813" s="301">
        <v>0</v>
      </c>
      <c r="H1813" s="301">
        <v>0</v>
      </c>
      <c r="I1813" s="301">
        <v>0</v>
      </c>
      <c r="J1813" s="301">
        <v>0</v>
      </c>
      <c r="K1813" s="302">
        <v>0</v>
      </c>
      <c r="L1813" s="301">
        <v>0</v>
      </c>
      <c r="M1813" s="301">
        <v>0</v>
      </c>
      <c r="N1813" s="301">
        <v>0</v>
      </c>
      <c r="O1813" s="301">
        <v>1755600</v>
      </c>
      <c r="P1813" s="301">
        <v>0</v>
      </c>
      <c r="Q1813" s="301">
        <v>0</v>
      </c>
      <c r="R1813" s="301">
        <v>0</v>
      </c>
      <c r="S1813" s="301">
        <v>0</v>
      </c>
      <c r="T1813" s="301">
        <v>0</v>
      </c>
      <c r="U1813" s="301">
        <v>0</v>
      </c>
      <c r="V1813" s="301">
        <v>0</v>
      </c>
      <c r="W1813" s="301">
        <v>0</v>
      </c>
      <c r="X1813" s="301">
        <v>0</v>
      </c>
      <c r="Y1813" s="301">
        <v>0</v>
      </c>
      <c r="Z1813" s="301">
        <v>0</v>
      </c>
      <c r="AA1813" s="301">
        <v>0</v>
      </c>
      <c r="AB1813" s="303">
        <v>2022</v>
      </c>
    </row>
    <row r="1814" spans="1:28" ht="35.25" x14ac:dyDescent="0.5">
      <c r="A1814">
        <v>1</v>
      </c>
      <c r="B1814" s="80">
        <f>SUBTOTAL(103,$A$1697:A1814)</f>
        <v>118</v>
      </c>
      <c r="C1814" s="308" t="s">
        <v>3417</v>
      </c>
      <c r="D1814" s="296">
        <f t="shared" si="96"/>
        <v>409314</v>
      </c>
      <c r="E1814" s="301">
        <v>189736</v>
      </c>
      <c r="F1814" s="301">
        <v>0</v>
      </c>
      <c r="G1814" s="301">
        <v>219578</v>
      </c>
      <c r="H1814" s="301">
        <v>0</v>
      </c>
      <c r="I1814" s="301">
        <v>0</v>
      </c>
      <c r="J1814" s="301">
        <v>0</v>
      </c>
      <c r="K1814" s="302">
        <v>0</v>
      </c>
      <c r="L1814" s="301">
        <v>0</v>
      </c>
      <c r="M1814" s="301">
        <v>0</v>
      </c>
      <c r="N1814" s="301">
        <v>0</v>
      </c>
      <c r="O1814" s="301">
        <v>0</v>
      </c>
      <c r="P1814" s="301">
        <v>0</v>
      </c>
      <c r="Q1814" s="301">
        <v>0</v>
      </c>
      <c r="R1814" s="301">
        <v>0</v>
      </c>
      <c r="S1814" s="301">
        <v>0</v>
      </c>
      <c r="T1814" s="301">
        <v>0</v>
      </c>
      <c r="U1814" s="301">
        <v>0</v>
      </c>
      <c r="V1814" s="301">
        <v>0</v>
      </c>
      <c r="W1814" s="301">
        <v>0</v>
      </c>
      <c r="X1814" s="301">
        <v>0</v>
      </c>
      <c r="Y1814" s="301">
        <v>0</v>
      </c>
      <c r="Z1814" s="301">
        <v>0</v>
      </c>
      <c r="AA1814" s="301">
        <v>0</v>
      </c>
      <c r="AB1814" s="303">
        <v>2022</v>
      </c>
    </row>
    <row r="1815" spans="1:28" ht="35.25" x14ac:dyDescent="0.5">
      <c r="A1815">
        <v>1</v>
      </c>
      <c r="B1815" s="80">
        <f>SUBTOTAL(103,$A$1697:A1815)</f>
        <v>119</v>
      </c>
      <c r="C1815" s="308" t="s">
        <v>1838</v>
      </c>
      <c r="D1815" s="296">
        <f t="shared" si="96"/>
        <v>171659</v>
      </c>
      <c r="E1815" s="301">
        <v>0</v>
      </c>
      <c r="F1815" s="301">
        <v>0</v>
      </c>
      <c r="G1815" s="301">
        <v>0</v>
      </c>
      <c r="H1815" s="301">
        <v>0</v>
      </c>
      <c r="I1815" s="301">
        <v>0</v>
      </c>
      <c r="J1815" s="301">
        <v>0</v>
      </c>
      <c r="K1815" s="302">
        <v>0</v>
      </c>
      <c r="L1815" s="301">
        <v>0</v>
      </c>
      <c r="M1815" s="301">
        <v>0</v>
      </c>
      <c r="N1815" s="301">
        <v>0</v>
      </c>
      <c r="O1815" s="301">
        <v>171659</v>
      </c>
      <c r="P1815" s="301">
        <v>0</v>
      </c>
      <c r="Q1815" s="301">
        <v>0</v>
      </c>
      <c r="R1815" s="301">
        <v>0</v>
      </c>
      <c r="S1815" s="301">
        <v>0</v>
      </c>
      <c r="T1815" s="301">
        <v>0</v>
      </c>
      <c r="U1815" s="301">
        <v>0</v>
      </c>
      <c r="V1815" s="301">
        <v>0</v>
      </c>
      <c r="W1815" s="301">
        <v>0</v>
      </c>
      <c r="X1815" s="301">
        <v>0</v>
      </c>
      <c r="Y1815" s="301">
        <v>0</v>
      </c>
      <c r="Z1815" s="301">
        <v>0</v>
      </c>
      <c r="AA1815" s="301">
        <v>0</v>
      </c>
      <c r="AB1815" s="303">
        <v>2022</v>
      </c>
    </row>
    <row r="1816" spans="1:28" ht="35.25" x14ac:dyDescent="0.5">
      <c r="A1816">
        <v>1</v>
      </c>
      <c r="B1816" s="80">
        <f>SUBTOTAL(103,$A$1697:A1816)</f>
        <v>120</v>
      </c>
      <c r="C1816" s="308" t="s">
        <v>3418</v>
      </c>
      <c r="D1816" s="296">
        <f t="shared" si="96"/>
        <v>470000</v>
      </c>
      <c r="E1816" s="301">
        <v>0</v>
      </c>
      <c r="F1816" s="301">
        <v>0</v>
      </c>
      <c r="G1816" s="301">
        <v>0</v>
      </c>
      <c r="H1816" s="301">
        <v>0</v>
      </c>
      <c r="I1816" s="301">
        <v>0</v>
      </c>
      <c r="J1816" s="301">
        <v>0</v>
      </c>
      <c r="K1816" s="302">
        <v>0</v>
      </c>
      <c r="L1816" s="301">
        <v>0</v>
      </c>
      <c r="M1816" s="301">
        <v>0</v>
      </c>
      <c r="N1816" s="301">
        <v>0</v>
      </c>
      <c r="O1816" s="301">
        <v>470000</v>
      </c>
      <c r="P1816" s="301">
        <v>0</v>
      </c>
      <c r="Q1816" s="301">
        <v>0</v>
      </c>
      <c r="R1816" s="301">
        <v>0</v>
      </c>
      <c r="S1816" s="301">
        <v>0</v>
      </c>
      <c r="T1816" s="301">
        <v>0</v>
      </c>
      <c r="U1816" s="301">
        <v>0</v>
      </c>
      <c r="V1816" s="301">
        <v>0</v>
      </c>
      <c r="W1816" s="301">
        <v>0</v>
      </c>
      <c r="X1816" s="301">
        <v>0</v>
      </c>
      <c r="Y1816" s="301">
        <v>0</v>
      </c>
      <c r="Z1816" s="301">
        <v>0</v>
      </c>
      <c r="AA1816" s="301">
        <v>0</v>
      </c>
      <c r="AB1816" s="303">
        <v>2022</v>
      </c>
    </row>
    <row r="1817" spans="1:28" ht="35.25" x14ac:dyDescent="0.5">
      <c r="A1817">
        <v>1</v>
      </c>
      <c r="B1817" s="80">
        <f>SUBTOTAL(103,$A$1697:A1817)</f>
        <v>121</v>
      </c>
      <c r="C1817" s="308" t="s">
        <v>3419</v>
      </c>
      <c r="D1817" s="296">
        <f t="shared" si="96"/>
        <v>10833168</v>
      </c>
      <c r="E1817" s="301">
        <v>0</v>
      </c>
      <c r="F1817" s="301">
        <v>0</v>
      </c>
      <c r="G1817" s="301">
        <v>0</v>
      </c>
      <c r="H1817" s="301">
        <v>0</v>
      </c>
      <c r="I1817" s="301">
        <v>0</v>
      </c>
      <c r="J1817" s="301">
        <v>0</v>
      </c>
      <c r="K1817" s="302">
        <v>0</v>
      </c>
      <c r="L1817" s="301">
        <v>0</v>
      </c>
      <c r="M1817" s="301">
        <v>2398332</v>
      </c>
      <c r="N1817" s="301">
        <v>0</v>
      </c>
      <c r="O1817" s="301">
        <v>8434836</v>
      </c>
      <c r="P1817" s="301">
        <v>0</v>
      </c>
      <c r="Q1817" s="301">
        <v>0</v>
      </c>
      <c r="R1817" s="301">
        <v>0</v>
      </c>
      <c r="S1817" s="301">
        <v>0</v>
      </c>
      <c r="T1817" s="301">
        <v>0</v>
      </c>
      <c r="U1817" s="301">
        <v>0</v>
      </c>
      <c r="V1817" s="301">
        <v>0</v>
      </c>
      <c r="W1817" s="301">
        <v>0</v>
      </c>
      <c r="X1817" s="301">
        <v>0</v>
      </c>
      <c r="Y1817" s="301">
        <v>0</v>
      </c>
      <c r="Z1817" s="301">
        <v>0</v>
      </c>
      <c r="AA1817" s="301">
        <v>0</v>
      </c>
      <c r="AB1817" s="303">
        <v>2022</v>
      </c>
    </row>
    <row r="1818" spans="1:28" ht="35.25" x14ac:dyDescent="0.5">
      <c r="A1818">
        <v>1</v>
      </c>
      <c r="B1818" s="80">
        <f>SUBTOTAL(103,$A$1697:A1818)</f>
        <v>122</v>
      </c>
      <c r="C1818" s="308" t="s">
        <v>3420</v>
      </c>
      <c r="D1818" s="296">
        <f t="shared" si="96"/>
        <v>170000</v>
      </c>
      <c r="E1818" s="301">
        <v>0</v>
      </c>
      <c r="F1818" s="301">
        <v>0</v>
      </c>
      <c r="G1818" s="301">
        <v>170000</v>
      </c>
      <c r="H1818" s="301">
        <v>0</v>
      </c>
      <c r="I1818" s="301">
        <v>0</v>
      </c>
      <c r="J1818" s="301">
        <v>0</v>
      </c>
      <c r="K1818" s="302">
        <v>0</v>
      </c>
      <c r="L1818" s="301">
        <v>0</v>
      </c>
      <c r="M1818" s="301">
        <v>0</v>
      </c>
      <c r="N1818" s="301">
        <v>0</v>
      </c>
      <c r="O1818" s="301">
        <v>0</v>
      </c>
      <c r="P1818" s="301">
        <v>0</v>
      </c>
      <c r="Q1818" s="301">
        <v>0</v>
      </c>
      <c r="R1818" s="301">
        <v>0</v>
      </c>
      <c r="S1818" s="301">
        <v>0</v>
      </c>
      <c r="T1818" s="301">
        <v>0</v>
      </c>
      <c r="U1818" s="301">
        <v>0</v>
      </c>
      <c r="V1818" s="301">
        <v>0</v>
      </c>
      <c r="W1818" s="301">
        <v>0</v>
      </c>
      <c r="X1818" s="301">
        <v>0</v>
      </c>
      <c r="Y1818" s="301">
        <v>0</v>
      </c>
      <c r="Z1818" s="301">
        <v>0</v>
      </c>
      <c r="AA1818" s="301">
        <v>0</v>
      </c>
      <c r="AB1818" s="303">
        <v>2022</v>
      </c>
    </row>
    <row r="1819" spans="1:28" ht="35.25" x14ac:dyDescent="0.5">
      <c r="A1819">
        <v>1</v>
      </c>
      <c r="B1819" s="80">
        <f>SUBTOTAL(103,$A$1697:A1819)</f>
        <v>123</v>
      </c>
      <c r="C1819" s="308" t="s">
        <v>2355</v>
      </c>
      <c r="D1819" s="296">
        <f t="shared" si="96"/>
        <v>569295</v>
      </c>
      <c r="E1819" s="301">
        <v>0</v>
      </c>
      <c r="F1819" s="301">
        <v>0</v>
      </c>
      <c r="G1819" s="301">
        <v>0</v>
      </c>
      <c r="H1819" s="301">
        <v>0</v>
      </c>
      <c r="I1819" s="301">
        <v>0</v>
      </c>
      <c r="J1819" s="301">
        <v>0</v>
      </c>
      <c r="K1819" s="302">
        <v>0</v>
      </c>
      <c r="L1819" s="301">
        <v>0</v>
      </c>
      <c r="M1819" s="301">
        <v>569295</v>
      </c>
      <c r="N1819" s="301">
        <v>0</v>
      </c>
      <c r="O1819" s="301">
        <v>0</v>
      </c>
      <c r="P1819" s="301">
        <v>0</v>
      </c>
      <c r="Q1819" s="301">
        <v>0</v>
      </c>
      <c r="R1819" s="301">
        <v>0</v>
      </c>
      <c r="S1819" s="301">
        <v>0</v>
      </c>
      <c r="T1819" s="301">
        <v>0</v>
      </c>
      <c r="U1819" s="301">
        <v>0</v>
      </c>
      <c r="V1819" s="301">
        <v>0</v>
      </c>
      <c r="W1819" s="301">
        <v>0</v>
      </c>
      <c r="X1819" s="301">
        <v>0</v>
      </c>
      <c r="Y1819" s="301">
        <v>0</v>
      </c>
      <c r="Z1819" s="301">
        <v>0</v>
      </c>
      <c r="AA1819" s="301">
        <v>0</v>
      </c>
      <c r="AB1819" s="303">
        <v>2022</v>
      </c>
    </row>
    <row r="1820" spans="1:28" ht="35.25" x14ac:dyDescent="0.5">
      <c r="A1820">
        <v>1</v>
      </c>
      <c r="B1820" s="80">
        <f>SUBTOTAL(103,$A$1697:A1820)</f>
        <v>124</v>
      </c>
      <c r="C1820" s="308" t="s">
        <v>2210</v>
      </c>
      <c r="D1820" s="296">
        <f t="shared" si="96"/>
        <v>4785000</v>
      </c>
      <c r="E1820" s="301">
        <v>0</v>
      </c>
      <c r="F1820" s="301">
        <v>0</v>
      </c>
      <c r="G1820" s="301">
        <v>0</v>
      </c>
      <c r="H1820" s="301">
        <v>0</v>
      </c>
      <c r="I1820" s="301">
        <v>0</v>
      </c>
      <c r="J1820" s="301">
        <v>0</v>
      </c>
      <c r="K1820" s="302">
        <v>0</v>
      </c>
      <c r="L1820" s="301">
        <v>0</v>
      </c>
      <c r="M1820" s="301">
        <v>4785000</v>
      </c>
      <c r="N1820" s="301">
        <v>0</v>
      </c>
      <c r="O1820" s="301">
        <v>0</v>
      </c>
      <c r="P1820" s="301">
        <v>0</v>
      </c>
      <c r="Q1820" s="301">
        <v>0</v>
      </c>
      <c r="R1820" s="301">
        <v>0</v>
      </c>
      <c r="S1820" s="301">
        <v>0</v>
      </c>
      <c r="T1820" s="301">
        <v>0</v>
      </c>
      <c r="U1820" s="301">
        <v>0</v>
      </c>
      <c r="V1820" s="301">
        <v>0</v>
      </c>
      <c r="W1820" s="301">
        <v>0</v>
      </c>
      <c r="X1820" s="301">
        <v>0</v>
      </c>
      <c r="Y1820" s="301">
        <v>0</v>
      </c>
      <c r="Z1820" s="301">
        <v>0</v>
      </c>
      <c r="AA1820" s="301">
        <v>0</v>
      </c>
      <c r="AB1820" s="303">
        <v>2022</v>
      </c>
    </row>
    <row r="1821" spans="1:28" ht="35.25" x14ac:dyDescent="0.5">
      <c r="A1821">
        <v>1</v>
      </c>
      <c r="B1821" s="80">
        <f>SUBTOTAL(103,$A$1697:A1821)</f>
        <v>125</v>
      </c>
      <c r="C1821" s="308" t="s">
        <v>2212</v>
      </c>
      <c r="D1821" s="296">
        <f t="shared" si="96"/>
        <v>963000</v>
      </c>
      <c r="E1821" s="301">
        <v>0</v>
      </c>
      <c r="F1821" s="301">
        <v>0</v>
      </c>
      <c r="G1821" s="301">
        <v>0</v>
      </c>
      <c r="H1821" s="301">
        <v>0</v>
      </c>
      <c r="I1821" s="301">
        <v>0</v>
      </c>
      <c r="J1821" s="301">
        <v>0</v>
      </c>
      <c r="K1821" s="302">
        <v>0</v>
      </c>
      <c r="L1821" s="301">
        <v>0</v>
      </c>
      <c r="M1821" s="301">
        <v>0</v>
      </c>
      <c r="N1821" s="301">
        <v>0</v>
      </c>
      <c r="O1821" s="301">
        <v>963000</v>
      </c>
      <c r="P1821" s="301">
        <v>0</v>
      </c>
      <c r="Q1821" s="301">
        <v>0</v>
      </c>
      <c r="R1821" s="301">
        <v>0</v>
      </c>
      <c r="S1821" s="301">
        <v>0</v>
      </c>
      <c r="T1821" s="301">
        <v>0</v>
      </c>
      <c r="U1821" s="301">
        <v>0</v>
      </c>
      <c r="V1821" s="301">
        <v>0</v>
      </c>
      <c r="W1821" s="301">
        <v>0</v>
      </c>
      <c r="X1821" s="301">
        <v>0</v>
      </c>
      <c r="Y1821" s="301">
        <v>0</v>
      </c>
      <c r="Z1821" s="301">
        <v>0</v>
      </c>
      <c r="AA1821" s="301">
        <v>0</v>
      </c>
      <c r="AB1821" s="303">
        <v>2022</v>
      </c>
    </row>
    <row r="1822" spans="1:28" ht="35.25" x14ac:dyDescent="0.5">
      <c r="A1822">
        <v>1</v>
      </c>
      <c r="B1822" s="80">
        <f>SUBTOTAL(103,$A$1697:A1822)</f>
        <v>126</v>
      </c>
      <c r="C1822" s="308" t="s">
        <v>3421</v>
      </c>
      <c r="D1822" s="296">
        <f t="shared" si="96"/>
        <v>1135450</v>
      </c>
      <c r="E1822" s="301">
        <v>0</v>
      </c>
      <c r="F1822" s="301">
        <v>0</v>
      </c>
      <c r="G1822" s="301">
        <v>870488</v>
      </c>
      <c r="H1822" s="301">
        <v>264962</v>
      </c>
      <c r="I1822" s="301">
        <v>0</v>
      </c>
      <c r="J1822" s="301">
        <v>0</v>
      </c>
      <c r="K1822" s="302">
        <v>0</v>
      </c>
      <c r="L1822" s="301">
        <v>0</v>
      </c>
      <c r="M1822" s="301">
        <v>0</v>
      </c>
      <c r="N1822" s="301">
        <v>0</v>
      </c>
      <c r="O1822" s="301">
        <v>0</v>
      </c>
      <c r="P1822" s="301">
        <v>0</v>
      </c>
      <c r="Q1822" s="301">
        <v>0</v>
      </c>
      <c r="R1822" s="301">
        <v>0</v>
      </c>
      <c r="S1822" s="301">
        <v>0</v>
      </c>
      <c r="T1822" s="301">
        <v>0</v>
      </c>
      <c r="U1822" s="301">
        <v>0</v>
      </c>
      <c r="V1822" s="301">
        <v>0</v>
      </c>
      <c r="W1822" s="301">
        <v>0</v>
      </c>
      <c r="X1822" s="301">
        <v>0</v>
      </c>
      <c r="Y1822" s="301">
        <v>0</v>
      </c>
      <c r="Z1822" s="301">
        <v>0</v>
      </c>
      <c r="AA1822" s="301">
        <v>0</v>
      </c>
      <c r="AB1822" s="303">
        <v>2022</v>
      </c>
    </row>
    <row r="1823" spans="1:28" ht="35.25" x14ac:dyDescent="0.5">
      <c r="A1823">
        <v>1</v>
      </c>
      <c r="B1823" s="80">
        <f>SUBTOTAL(103,$A$1697:A1823)</f>
        <v>127</v>
      </c>
      <c r="C1823" s="308" t="s">
        <v>2647</v>
      </c>
      <c r="D1823" s="296">
        <f t="shared" si="96"/>
        <v>328000</v>
      </c>
      <c r="E1823" s="301">
        <v>0</v>
      </c>
      <c r="F1823" s="301">
        <v>0</v>
      </c>
      <c r="G1823" s="301">
        <v>0</v>
      </c>
      <c r="H1823" s="301">
        <v>0</v>
      </c>
      <c r="I1823" s="301">
        <v>0</v>
      </c>
      <c r="J1823" s="301">
        <v>0</v>
      </c>
      <c r="K1823" s="302">
        <v>0</v>
      </c>
      <c r="L1823" s="301">
        <v>0</v>
      </c>
      <c r="M1823" s="301">
        <v>0</v>
      </c>
      <c r="N1823" s="301">
        <v>0</v>
      </c>
      <c r="O1823" s="301">
        <v>328000</v>
      </c>
      <c r="P1823" s="301">
        <v>0</v>
      </c>
      <c r="Q1823" s="301">
        <v>0</v>
      </c>
      <c r="R1823" s="301">
        <v>0</v>
      </c>
      <c r="S1823" s="301">
        <v>0</v>
      </c>
      <c r="T1823" s="301">
        <v>0</v>
      </c>
      <c r="U1823" s="301">
        <v>0</v>
      </c>
      <c r="V1823" s="301">
        <v>0</v>
      </c>
      <c r="W1823" s="301">
        <v>0</v>
      </c>
      <c r="X1823" s="301">
        <v>0</v>
      </c>
      <c r="Y1823" s="301">
        <v>0</v>
      </c>
      <c r="Z1823" s="301">
        <v>0</v>
      </c>
      <c r="AA1823" s="301">
        <v>0</v>
      </c>
      <c r="AB1823" s="303">
        <v>2022</v>
      </c>
    </row>
    <row r="1824" spans="1:28" ht="35.25" x14ac:dyDescent="0.5">
      <c r="A1824">
        <v>1</v>
      </c>
      <c r="B1824" s="80">
        <f>SUBTOTAL(103,$A$1697:A1824)</f>
        <v>128</v>
      </c>
      <c r="C1824" s="308" t="s">
        <v>2931</v>
      </c>
      <c r="D1824" s="296">
        <f t="shared" si="96"/>
        <v>125000</v>
      </c>
      <c r="E1824" s="301">
        <v>0</v>
      </c>
      <c r="F1824" s="301">
        <v>0</v>
      </c>
      <c r="G1824" s="301">
        <v>0</v>
      </c>
      <c r="H1824" s="301">
        <v>0</v>
      </c>
      <c r="I1824" s="301">
        <v>0</v>
      </c>
      <c r="J1824" s="301">
        <v>0</v>
      </c>
      <c r="K1824" s="302">
        <v>0</v>
      </c>
      <c r="L1824" s="301">
        <v>0</v>
      </c>
      <c r="M1824" s="301">
        <v>0</v>
      </c>
      <c r="N1824" s="301">
        <v>0</v>
      </c>
      <c r="O1824" s="301">
        <v>125000</v>
      </c>
      <c r="P1824" s="301">
        <v>0</v>
      </c>
      <c r="Q1824" s="301">
        <v>0</v>
      </c>
      <c r="R1824" s="301">
        <v>0</v>
      </c>
      <c r="S1824" s="301">
        <v>0</v>
      </c>
      <c r="T1824" s="301">
        <v>0</v>
      </c>
      <c r="U1824" s="301">
        <v>0</v>
      </c>
      <c r="V1824" s="301">
        <v>0</v>
      </c>
      <c r="W1824" s="301">
        <v>0</v>
      </c>
      <c r="X1824" s="301">
        <v>0</v>
      </c>
      <c r="Y1824" s="301">
        <v>0</v>
      </c>
      <c r="Z1824" s="301">
        <v>0</v>
      </c>
      <c r="AA1824" s="301">
        <v>0</v>
      </c>
      <c r="AB1824" s="303">
        <v>2022</v>
      </c>
    </row>
    <row r="1825" spans="1:28" ht="35.25" x14ac:dyDescent="0.5">
      <c r="A1825">
        <v>1</v>
      </c>
      <c r="B1825" s="80">
        <f>SUBTOTAL(103,$A$1697:A1825)</f>
        <v>129</v>
      </c>
      <c r="C1825" s="308" t="s">
        <v>3422</v>
      </c>
      <c r="D1825" s="296">
        <f t="shared" si="96"/>
        <v>1224000</v>
      </c>
      <c r="E1825" s="301">
        <v>0</v>
      </c>
      <c r="F1825" s="301">
        <v>0</v>
      </c>
      <c r="G1825" s="301">
        <v>0</v>
      </c>
      <c r="H1825" s="301">
        <v>0</v>
      </c>
      <c r="I1825" s="301">
        <v>0</v>
      </c>
      <c r="J1825" s="301">
        <v>0</v>
      </c>
      <c r="K1825" s="302">
        <v>0</v>
      </c>
      <c r="L1825" s="301">
        <v>0</v>
      </c>
      <c r="M1825" s="301">
        <v>0</v>
      </c>
      <c r="N1825" s="301">
        <v>0</v>
      </c>
      <c r="O1825" s="301">
        <v>1224000</v>
      </c>
      <c r="P1825" s="301">
        <v>0</v>
      </c>
      <c r="Q1825" s="301">
        <v>0</v>
      </c>
      <c r="R1825" s="301">
        <v>0</v>
      </c>
      <c r="S1825" s="301">
        <v>0</v>
      </c>
      <c r="T1825" s="301">
        <v>0</v>
      </c>
      <c r="U1825" s="301">
        <v>0</v>
      </c>
      <c r="V1825" s="301">
        <v>0</v>
      </c>
      <c r="W1825" s="301">
        <v>0</v>
      </c>
      <c r="X1825" s="301">
        <v>0</v>
      </c>
      <c r="Y1825" s="301">
        <v>0</v>
      </c>
      <c r="Z1825" s="301">
        <v>0</v>
      </c>
      <c r="AA1825" s="301">
        <v>0</v>
      </c>
      <c r="AB1825" s="303">
        <v>2022</v>
      </c>
    </row>
    <row r="1826" spans="1:28" ht="35.25" x14ac:dyDescent="0.5">
      <c r="A1826">
        <v>1</v>
      </c>
      <c r="B1826" s="80">
        <f>SUBTOTAL(103,$A$1697:A1826)</f>
        <v>130</v>
      </c>
      <c r="C1826" s="308" t="s">
        <v>3423</v>
      </c>
      <c r="D1826" s="296">
        <f t="shared" si="96"/>
        <v>2978660</v>
      </c>
      <c r="E1826" s="301">
        <v>0</v>
      </c>
      <c r="F1826" s="301">
        <v>0</v>
      </c>
      <c r="G1826" s="301">
        <v>0</v>
      </c>
      <c r="H1826" s="301">
        <v>0</v>
      </c>
      <c r="I1826" s="301">
        <v>0</v>
      </c>
      <c r="J1826" s="301">
        <v>0</v>
      </c>
      <c r="K1826" s="302">
        <v>0</v>
      </c>
      <c r="L1826" s="301">
        <v>0</v>
      </c>
      <c r="M1826" s="301">
        <v>2978660</v>
      </c>
      <c r="N1826" s="301">
        <v>0</v>
      </c>
      <c r="O1826" s="301">
        <v>0</v>
      </c>
      <c r="P1826" s="301">
        <v>0</v>
      </c>
      <c r="Q1826" s="301">
        <v>0</v>
      </c>
      <c r="R1826" s="301">
        <v>0</v>
      </c>
      <c r="S1826" s="301">
        <v>0</v>
      </c>
      <c r="T1826" s="301">
        <v>0</v>
      </c>
      <c r="U1826" s="301">
        <v>0</v>
      </c>
      <c r="V1826" s="301">
        <v>0</v>
      </c>
      <c r="W1826" s="301">
        <v>0</v>
      </c>
      <c r="X1826" s="301">
        <v>0</v>
      </c>
      <c r="Y1826" s="301">
        <v>0</v>
      </c>
      <c r="Z1826" s="301">
        <v>0</v>
      </c>
      <c r="AA1826" s="301">
        <v>0</v>
      </c>
      <c r="AB1826" s="303">
        <v>2022</v>
      </c>
    </row>
    <row r="1827" spans="1:28" ht="35.25" x14ac:dyDescent="0.5">
      <c r="A1827">
        <v>1</v>
      </c>
      <c r="B1827" s="80">
        <f>SUBTOTAL(103,$A$1697:A1827)</f>
        <v>131</v>
      </c>
      <c r="C1827" s="308" t="s">
        <v>3424</v>
      </c>
      <c r="D1827" s="296">
        <f t="shared" si="96"/>
        <v>2200000</v>
      </c>
      <c r="E1827" s="301">
        <v>0</v>
      </c>
      <c r="F1827" s="301">
        <v>0</v>
      </c>
      <c r="G1827" s="301">
        <v>0</v>
      </c>
      <c r="H1827" s="301">
        <v>0</v>
      </c>
      <c r="I1827" s="301">
        <v>0</v>
      </c>
      <c r="J1827" s="301">
        <v>0</v>
      </c>
      <c r="K1827" s="302">
        <v>0</v>
      </c>
      <c r="L1827" s="301">
        <v>0</v>
      </c>
      <c r="M1827" s="301">
        <v>2200000</v>
      </c>
      <c r="N1827" s="301">
        <v>0</v>
      </c>
      <c r="O1827" s="301">
        <v>0</v>
      </c>
      <c r="P1827" s="301">
        <v>0</v>
      </c>
      <c r="Q1827" s="301">
        <v>0</v>
      </c>
      <c r="R1827" s="301">
        <v>0</v>
      </c>
      <c r="S1827" s="301">
        <v>0</v>
      </c>
      <c r="T1827" s="301">
        <v>0</v>
      </c>
      <c r="U1827" s="301">
        <v>0</v>
      </c>
      <c r="V1827" s="301">
        <v>0</v>
      </c>
      <c r="W1827" s="301">
        <v>0</v>
      </c>
      <c r="X1827" s="301">
        <v>0</v>
      </c>
      <c r="Y1827" s="301">
        <v>0</v>
      </c>
      <c r="Z1827" s="301">
        <v>0</v>
      </c>
      <c r="AA1827" s="301">
        <v>0</v>
      </c>
      <c r="AB1827" s="303">
        <v>2022</v>
      </c>
    </row>
    <row r="1828" spans="1:28" ht="35.25" x14ac:dyDescent="0.5">
      <c r="A1828">
        <v>1</v>
      </c>
      <c r="B1828" s="80">
        <f>SUBTOTAL(103,$A$1697:A1828)</f>
        <v>132</v>
      </c>
      <c r="C1828" s="308" t="s">
        <v>3425</v>
      </c>
      <c r="D1828" s="296">
        <f t="shared" si="96"/>
        <v>570220</v>
      </c>
      <c r="E1828" s="301">
        <v>570220</v>
      </c>
      <c r="F1828" s="301">
        <v>0</v>
      </c>
      <c r="G1828" s="301">
        <v>0</v>
      </c>
      <c r="H1828" s="301">
        <v>0</v>
      </c>
      <c r="I1828" s="301">
        <v>0</v>
      </c>
      <c r="J1828" s="301">
        <v>0</v>
      </c>
      <c r="K1828" s="302">
        <v>0</v>
      </c>
      <c r="L1828" s="301">
        <v>0</v>
      </c>
      <c r="M1828" s="301">
        <v>0</v>
      </c>
      <c r="N1828" s="301">
        <v>0</v>
      </c>
      <c r="O1828" s="301">
        <v>0</v>
      </c>
      <c r="P1828" s="301">
        <v>0</v>
      </c>
      <c r="Q1828" s="301">
        <v>0</v>
      </c>
      <c r="R1828" s="301">
        <v>0</v>
      </c>
      <c r="S1828" s="301">
        <v>0</v>
      </c>
      <c r="T1828" s="301">
        <v>0</v>
      </c>
      <c r="U1828" s="301">
        <v>0</v>
      </c>
      <c r="V1828" s="301">
        <v>0</v>
      </c>
      <c r="W1828" s="301">
        <v>0</v>
      </c>
      <c r="X1828" s="301">
        <v>0</v>
      </c>
      <c r="Y1828" s="301">
        <v>0</v>
      </c>
      <c r="Z1828" s="301">
        <v>0</v>
      </c>
      <c r="AA1828" s="301">
        <v>0</v>
      </c>
      <c r="AB1828" s="303">
        <v>2022</v>
      </c>
    </row>
    <row r="1829" spans="1:28" ht="35.25" x14ac:dyDescent="0.5">
      <c r="A1829">
        <v>1</v>
      </c>
      <c r="B1829" s="80">
        <f>SUBTOTAL(103,$A$1697:A1829)</f>
        <v>133</v>
      </c>
      <c r="C1829" s="308" t="s">
        <v>3426</v>
      </c>
      <c r="D1829" s="296">
        <f t="shared" si="96"/>
        <v>4612380.8899999997</v>
      </c>
      <c r="E1829" s="301">
        <v>0</v>
      </c>
      <c r="F1829" s="301">
        <v>0</v>
      </c>
      <c r="G1829" s="301">
        <v>492381.6</v>
      </c>
      <c r="H1829" s="301">
        <v>0</v>
      </c>
      <c r="I1829" s="301">
        <v>0</v>
      </c>
      <c r="J1829" s="301">
        <v>0</v>
      </c>
      <c r="K1829" s="302">
        <v>0</v>
      </c>
      <c r="L1829" s="301">
        <v>0</v>
      </c>
      <c r="M1829" s="301">
        <v>4119999.29</v>
      </c>
      <c r="N1829" s="301">
        <v>0</v>
      </c>
      <c r="O1829" s="301">
        <v>0</v>
      </c>
      <c r="P1829" s="301">
        <v>0</v>
      </c>
      <c r="Q1829" s="301">
        <v>0</v>
      </c>
      <c r="R1829" s="301">
        <v>0</v>
      </c>
      <c r="S1829" s="301">
        <v>0</v>
      </c>
      <c r="T1829" s="301">
        <v>0</v>
      </c>
      <c r="U1829" s="301">
        <v>0</v>
      </c>
      <c r="V1829" s="301">
        <v>0</v>
      </c>
      <c r="W1829" s="301">
        <v>0</v>
      </c>
      <c r="X1829" s="301">
        <v>0</v>
      </c>
      <c r="Y1829" s="301">
        <v>0</v>
      </c>
      <c r="Z1829" s="301">
        <v>0</v>
      </c>
      <c r="AA1829" s="301">
        <v>0</v>
      </c>
      <c r="AB1829" s="303">
        <v>2022</v>
      </c>
    </row>
    <row r="1830" spans="1:28" ht="35.25" x14ac:dyDescent="0.5">
      <c r="A1830">
        <v>1</v>
      </c>
      <c r="B1830" s="80">
        <f>SUBTOTAL(103,$A$1697:A1830)</f>
        <v>134</v>
      </c>
      <c r="C1830" s="308" t="s">
        <v>3427</v>
      </c>
      <c r="D1830" s="296">
        <f t="shared" si="96"/>
        <v>1000000</v>
      </c>
      <c r="E1830" s="301">
        <v>0</v>
      </c>
      <c r="F1830" s="301">
        <v>0</v>
      </c>
      <c r="G1830" s="301">
        <v>1000000</v>
      </c>
      <c r="H1830" s="301">
        <v>0</v>
      </c>
      <c r="I1830" s="301">
        <v>0</v>
      </c>
      <c r="J1830" s="301">
        <v>0</v>
      </c>
      <c r="K1830" s="302">
        <v>0</v>
      </c>
      <c r="L1830" s="301">
        <v>0</v>
      </c>
      <c r="M1830" s="301">
        <v>0</v>
      </c>
      <c r="N1830" s="301">
        <v>0</v>
      </c>
      <c r="O1830" s="301">
        <v>0</v>
      </c>
      <c r="P1830" s="301">
        <v>0</v>
      </c>
      <c r="Q1830" s="301">
        <v>0</v>
      </c>
      <c r="R1830" s="301">
        <v>0</v>
      </c>
      <c r="S1830" s="301">
        <v>0</v>
      </c>
      <c r="T1830" s="301">
        <v>0</v>
      </c>
      <c r="U1830" s="301">
        <v>0</v>
      </c>
      <c r="V1830" s="301">
        <v>0</v>
      </c>
      <c r="W1830" s="301">
        <v>0</v>
      </c>
      <c r="X1830" s="301">
        <v>0</v>
      </c>
      <c r="Y1830" s="301">
        <v>0</v>
      </c>
      <c r="Z1830" s="301">
        <v>0</v>
      </c>
      <c r="AA1830" s="301">
        <v>0</v>
      </c>
      <c r="AB1830" s="303">
        <v>2022</v>
      </c>
    </row>
    <row r="1831" spans="1:28" ht="35.25" x14ac:dyDescent="0.5">
      <c r="A1831">
        <v>1</v>
      </c>
      <c r="B1831" s="80">
        <f>SUBTOTAL(103,$A$1697:A1831)</f>
        <v>135</v>
      </c>
      <c r="C1831" s="308" t="s">
        <v>3428</v>
      </c>
      <c r="D1831" s="296">
        <f t="shared" si="96"/>
        <v>505200</v>
      </c>
      <c r="E1831" s="301">
        <v>0</v>
      </c>
      <c r="F1831" s="301">
        <v>0</v>
      </c>
      <c r="G1831" s="301">
        <v>505200</v>
      </c>
      <c r="H1831" s="301">
        <v>0</v>
      </c>
      <c r="I1831" s="301">
        <v>0</v>
      </c>
      <c r="J1831" s="301">
        <v>0</v>
      </c>
      <c r="K1831" s="302">
        <v>0</v>
      </c>
      <c r="L1831" s="301">
        <v>0</v>
      </c>
      <c r="M1831" s="301">
        <v>0</v>
      </c>
      <c r="N1831" s="301">
        <v>0</v>
      </c>
      <c r="O1831" s="301">
        <v>0</v>
      </c>
      <c r="P1831" s="301">
        <v>0</v>
      </c>
      <c r="Q1831" s="301">
        <v>0</v>
      </c>
      <c r="R1831" s="301">
        <v>0</v>
      </c>
      <c r="S1831" s="301">
        <v>0</v>
      </c>
      <c r="T1831" s="301">
        <v>0</v>
      </c>
      <c r="U1831" s="301">
        <v>0</v>
      </c>
      <c r="V1831" s="301">
        <v>0</v>
      </c>
      <c r="W1831" s="301">
        <v>0</v>
      </c>
      <c r="X1831" s="301">
        <v>0</v>
      </c>
      <c r="Y1831" s="301">
        <v>0</v>
      </c>
      <c r="Z1831" s="301">
        <v>0</v>
      </c>
      <c r="AA1831" s="301">
        <v>0</v>
      </c>
      <c r="AB1831" s="303">
        <v>2022</v>
      </c>
    </row>
    <row r="1832" spans="1:28" ht="35.25" x14ac:dyDescent="0.5">
      <c r="A1832">
        <v>1</v>
      </c>
      <c r="B1832" s="80">
        <f>SUBTOTAL(103,$A$1697:A1832)</f>
        <v>136</v>
      </c>
      <c r="C1832" s="308" t="s">
        <v>3429</v>
      </c>
      <c r="D1832" s="296">
        <f t="shared" si="96"/>
        <v>2556658</v>
      </c>
      <c r="E1832" s="301">
        <v>0</v>
      </c>
      <c r="F1832" s="301">
        <v>0</v>
      </c>
      <c r="G1832" s="301">
        <v>0</v>
      </c>
      <c r="H1832" s="301">
        <v>0</v>
      </c>
      <c r="I1832" s="301">
        <v>0</v>
      </c>
      <c r="J1832" s="301">
        <v>0</v>
      </c>
      <c r="K1832" s="302">
        <v>0</v>
      </c>
      <c r="L1832" s="301">
        <v>0</v>
      </c>
      <c r="M1832" s="301">
        <v>2556658</v>
      </c>
      <c r="N1832" s="301">
        <v>0</v>
      </c>
      <c r="O1832" s="301">
        <v>0</v>
      </c>
      <c r="P1832" s="301">
        <v>0</v>
      </c>
      <c r="Q1832" s="301">
        <v>0</v>
      </c>
      <c r="R1832" s="301">
        <v>0</v>
      </c>
      <c r="S1832" s="301">
        <v>0</v>
      </c>
      <c r="T1832" s="301">
        <v>0</v>
      </c>
      <c r="U1832" s="301">
        <v>0</v>
      </c>
      <c r="V1832" s="301">
        <v>0</v>
      </c>
      <c r="W1832" s="301">
        <v>0</v>
      </c>
      <c r="X1832" s="301">
        <v>0</v>
      </c>
      <c r="Y1832" s="301">
        <v>0</v>
      </c>
      <c r="Z1832" s="301">
        <v>0</v>
      </c>
      <c r="AA1832" s="301">
        <v>0</v>
      </c>
      <c r="AB1832" s="303">
        <v>2022</v>
      </c>
    </row>
    <row r="1833" spans="1:28" ht="35.25" x14ac:dyDescent="0.5">
      <c r="A1833">
        <v>1</v>
      </c>
      <c r="B1833" s="80">
        <f>SUBTOTAL(103,$A$1697:A1833)</f>
        <v>137</v>
      </c>
      <c r="C1833" s="308" t="s">
        <v>3430</v>
      </c>
      <c r="D1833" s="296">
        <f t="shared" si="96"/>
        <v>2600000</v>
      </c>
      <c r="E1833" s="301">
        <v>0</v>
      </c>
      <c r="F1833" s="301">
        <v>0</v>
      </c>
      <c r="G1833" s="301">
        <v>0</v>
      </c>
      <c r="H1833" s="301">
        <v>0</v>
      </c>
      <c r="I1833" s="301">
        <v>0</v>
      </c>
      <c r="J1833" s="301">
        <v>0</v>
      </c>
      <c r="K1833" s="302">
        <v>0</v>
      </c>
      <c r="L1833" s="301">
        <v>0</v>
      </c>
      <c r="M1833" s="301">
        <v>0</v>
      </c>
      <c r="N1833" s="301">
        <v>0</v>
      </c>
      <c r="O1833" s="301">
        <v>2600000</v>
      </c>
      <c r="P1833" s="301">
        <v>0</v>
      </c>
      <c r="Q1833" s="301">
        <v>0</v>
      </c>
      <c r="R1833" s="301">
        <v>0</v>
      </c>
      <c r="S1833" s="301">
        <v>0</v>
      </c>
      <c r="T1833" s="301">
        <v>0</v>
      </c>
      <c r="U1833" s="301">
        <v>0</v>
      </c>
      <c r="V1833" s="301">
        <v>0</v>
      </c>
      <c r="W1833" s="301">
        <v>0</v>
      </c>
      <c r="X1833" s="301">
        <v>0</v>
      </c>
      <c r="Y1833" s="301">
        <v>0</v>
      </c>
      <c r="Z1833" s="301">
        <v>0</v>
      </c>
      <c r="AA1833" s="301">
        <v>0</v>
      </c>
      <c r="AB1833" s="303">
        <v>2022</v>
      </c>
    </row>
    <row r="1834" spans="1:28" ht="35.25" x14ac:dyDescent="0.5">
      <c r="A1834">
        <v>1</v>
      </c>
      <c r="B1834" s="80">
        <f>SUBTOTAL(103,$A$1697:A1834)</f>
        <v>138</v>
      </c>
      <c r="C1834" s="308" t="s">
        <v>3431</v>
      </c>
      <c r="D1834" s="296">
        <f t="shared" si="96"/>
        <v>5974941</v>
      </c>
      <c r="E1834" s="301">
        <v>0</v>
      </c>
      <c r="F1834" s="301">
        <v>0</v>
      </c>
      <c r="G1834" s="301">
        <v>0</v>
      </c>
      <c r="H1834" s="301">
        <v>0</v>
      </c>
      <c r="I1834" s="301">
        <v>0</v>
      </c>
      <c r="J1834" s="301">
        <v>0</v>
      </c>
      <c r="K1834" s="302">
        <v>0</v>
      </c>
      <c r="L1834" s="301">
        <v>0</v>
      </c>
      <c r="M1834" s="301">
        <v>3354771</v>
      </c>
      <c r="N1834" s="301">
        <v>0</v>
      </c>
      <c r="O1834" s="301">
        <v>2620170</v>
      </c>
      <c r="P1834" s="301">
        <v>0</v>
      </c>
      <c r="Q1834" s="301">
        <v>0</v>
      </c>
      <c r="R1834" s="301">
        <v>0</v>
      </c>
      <c r="S1834" s="301">
        <v>0</v>
      </c>
      <c r="T1834" s="301">
        <v>0</v>
      </c>
      <c r="U1834" s="301">
        <v>0</v>
      </c>
      <c r="V1834" s="301">
        <v>0</v>
      </c>
      <c r="W1834" s="301">
        <v>0</v>
      </c>
      <c r="X1834" s="301">
        <v>0</v>
      </c>
      <c r="Y1834" s="301">
        <v>0</v>
      </c>
      <c r="Z1834" s="301">
        <v>0</v>
      </c>
      <c r="AA1834" s="301">
        <v>0</v>
      </c>
      <c r="AB1834" s="303">
        <v>2022</v>
      </c>
    </row>
    <row r="1835" spans="1:28" ht="35.25" x14ac:dyDescent="0.5">
      <c r="A1835">
        <v>1</v>
      </c>
      <c r="B1835" s="80">
        <f>SUBTOTAL(103,$A$1697:A1835)</f>
        <v>139</v>
      </c>
      <c r="C1835" s="308" t="s">
        <v>3432</v>
      </c>
      <c r="D1835" s="296">
        <f t="shared" si="96"/>
        <v>2689569</v>
      </c>
      <c r="E1835" s="301">
        <v>0</v>
      </c>
      <c r="F1835" s="301">
        <v>0</v>
      </c>
      <c r="G1835" s="301">
        <v>0</v>
      </c>
      <c r="H1835" s="301">
        <v>0</v>
      </c>
      <c r="I1835" s="301">
        <v>0</v>
      </c>
      <c r="J1835" s="301">
        <v>0</v>
      </c>
      <c r="K1835" s="302">
        <v>0</v>
      </c>
      <c r="L1835" s="301">
        <v>0</v>
      </c>
      <c r="M1835" s="301">
        <v>2689569</v>
      </c>
      <c r="N1835" s="301">
        <v>0</v>
      </c>
      <c r="O1835" s="301">
        <v>0</v>
      </c>
      <c r="P1835" s="301">
        <v>0</v>
      </c>
      <c r="Q1835" s="301">
        <v>0</v>
      </c>
      <c r="R1835" s="301">
        <v>0</v>
      </c>
      <c r="S1835" s="301">
        <v>0</v>
      </c>
      <c r="T1835" s="301">
        <v>0</v>
      </c>
      <c r="U1835" s="301">
        <v>0</v>
      </c>
      <c r="V1835" s="301">
        <v>0</v>
      </c>
      <c r="W1835" s="301">
        <v>0</v>
      </c>
      <c r="X1835" s="301">
        <v>0</v>
      </c>
      <c r="Y1835" s="301">
        <v>0</v>
      </c>
      <c r="Z1835" s="301">
        <v>0</v>
      </c>
      <c r="AA1835" s="301">
        <v>0</v>
      </c>
      <c r="AB1835" s="303">
        <v>2022</v>
      </c>
    </row>
    <row r="1836" spans="1:28" ht="35.25" x14ac:dyDescent="0.5">
      <c r="A1836">
        <v>1</v>
      </c>
      <c r="B1836" s="80">
        <f>SUBTOTAL(103,$A$1697:A1836)</f>
        <v>140</v>
      </c>
      <c r="C1836" s="308" t="s">
        <v>2346</v>
      </c>
      <c r="D1836" s="296">
        <f t="shared" si="96"/>
        <v>2550000</v>
      </c>
      <c r="E1836" s="301">
        <v>0</v>
      </c>
      <c r="F1836" s="301">
        <v>0</v>
      </c>
      <c r="G1836" s="301">
        <v>0</v>
      </c>
      <c r="H1836" s="301">
        <v>0</v>
      </c>
      <c r="I1836" s="301">
        <v>0</v>
      </c>
      <c r="J1836" s="301">
        <v>0</v>
      </c>
      <c r="K1836" s="302">
        <v>0</v>
      </c>
      <c r="L1836" s="301">
        <v>0</v>
      </c>
      <c r="M1836" s="301">
        <v>2550000</v>
      </c>
      <c r="N1836" s="301">
        <v>0</v>
      </c>
      <c r="O1836" s="301">
        <v>0</v>
      </c>
      <c r="P1836" s="301">
        <v>0</v>
      </c>
      <c r="Q1836" s="301">
        <v>0</v>
      </c>
      <c r="R1836" s="301">
        <v>0</v>
      </c>
      <c r="S1836" s="301">
        <v>0</v>
      </c>
      <c r="T1836" s="301">
        <v>0</v>
      </c>
      <c r="U1836" s="301">
        <v>0</v>
      </c>
      <c r="V1836" s="301">
        <v>0</v>
      </c>
      <c r="W1836" s="301">
        <v>0</v>
      </c>
      <c r="X1836" s="301">
        <v>0</v>
      </c>
      <c r="Y1836" s="301">
        <v>0</v>
      </c>
      <c r="Z1836" s="301">
        <v>0</v>
      </c>
      <c r="AA1836" s="301">
        <v>0</v>
      </c>
      <c r="AB1836" s="303">
        <v>2022</v>
      </c>
    </row>
    <row r="1837" spans="1:28" ht="35.25" x14ac:dyDescent="0.5">
      <c r="A1837">
        <v>1</v>
      </c>
      <c r="B1837" s="80">
        <f>SUBTOTAL(103,$A$1697:A1837)</f>
        <v>141</v>
      </c>
      <c r="C1837" s="308" t="s">
        <v>2186</v>
      </c>
      <c r="D1837" s="296">
        <f t="shared" si="96"/>
        <v>179476</v>
      </c>
      <c r="E1837" s="301">
        <v>0</v>
      </c>
      <c r="F1837" s="301">
        <v>0</v>
      </c>
      <c r="G1837" s="301">
        <v>0</v>
      </c>
      <c r="H1837" s="301">
        <v>0</v>
      </c>
      <c r="I1837" s="301">
        <v>179476</v>
      </c>
      <c r="J1837" s="301">
        <v>0</v>
      </c>
      <c r="K1837" s="302">
        <v>0</v>
      </c>
      <c r="L1837" s="301">
        <v>0</v>
      </c>
      <c r="M1837" s="301">
        <v>0</v>
      </c>
      <c r="N1837" s="301">
        <v>0</v>
      </c>
      <c r="O1837" s="301">
        <v>0</v>
      </c>
      <c r="P1837" s="301">
        <v>0</v>
      </c>
      <c r="Q1837" s="301">
        <v>0</v>
      </c>
      <c r="R1837" s="301">
        <v>0</v>
      </c>
      <c r="S1837" s="301">
        <v>0</v>
      </c>
      <c r="T1837" s="301">
        <v>0</v>
      </c>
      <c r="U1837" s="301">
        <v>0</v>
      </c>
      <c r="V1837" s="301">
        <v>0</v>
      </c>
      <c r="W1837" s="301">
        <v>0</v>
      </c>
      <c r="X1837" s="301">
        <v>0</v>
      </c>
      <c r="Y1837" s="301">
        <v>0</v>
      </c>
      <c r="Z1837" s="301">
        <v>0</v>
      </c>
      <c r="AA1837" s="301">
        <v>0</v>
      </c>
      <c r="AB1837" s="303">
        <v>2022</v>
      </c>
    </row>
    <row r="1838" spans="1:28" ht="35.25" x14ac:dyDescent="0.5">
      <c r="A1838">
        <v>1</v>
      </c>
      <c r="B1838" s="80">
        <f>SUBTOTAL(103,$A$1697:A1838)</f>
        <v>142</v>
      </c>
      <c r="C1838" s="308" t="s">
        <v>3433</v>
      </c>
      <c r="D1838" s="296">
        <f t="shared" si="96"/>
        <v>2308419</v>
      </c>
      <c r="E1838" s="301">
        <v>0</v>
      </c>
      <c r="F1838" s="301">
        <v>0</v>
      </c>
      <c r="G1838" s="301">
        <v>0</v>
      </c>
      <c r="H1838" s="301">
        <v>0</v>
      </c>
      <c r="I1838" s="301">
        <v>0</v>
      </c>
      <c r="J1838" s="301">
        <v>0</v>
      </c>
      <c r="K1838" s="302">
        <v>0</v>
      </c>
      <c r="L1838" s="301">
        <v>0</v>
      </c>
      <c r="M1838" s="301">
        <v>1714813</v>
      </c>
      <c r="N1838" s="301">
        <v>0</v>
      </c>
      <c r="O1838" s="301">
        <v>593606</v>
      </c>
      <c r="P1838" s="301">
        <v>0</v>
      </c>
      <c r="Q1838" s="301">
        <v>0</v>
      </c>
      <c r="R1838" s="301">
        <v>0</v>
      </c>
      <c r="S1838" s="301">
        <v>0</v>
      </c>
      <c r="T1838" s="301">
        <v>0</v>
      </c>
      <c r="U1838" s="301">
        <v>0</v>
      </c>
      <c r="V1838" s="301">
        <v>0</v>
      </c>
      <c r="W1838" s="301">
        <v>0</v>
      </c>
      <c r="X1838" s="301">
        <v>0</v>
      </c>
      <c r="Y1838" s="301">
        <v>0</v>
      </c>
      <c r="Z1838" s="301">
        <v>0</v>
      </c>
      <c r="AA1838" s="301">
        <v>0</v>
      </c>
      <c r="AB1838" s="303">
        <v>2022</v>
      </c>
    </row>
    <row r="1839" spans="1:28" ht="35.25" x14ac:dyDescent="0.5">
      <c r="A1839">
        <v>1</v>
      </c>
      <c r="B1839" s="80">
        <f>SUBTOTAL(103,$A$1697:A1839)</f>
        <v>143</v>
      </c>
      <c r="C1839" s="308" t="s">
        <v>3434</v>
      </c>
      <c r="D1839" s="296">
        <f t="shared" si="96"/>
        <v>900000</v>
      </c>
      <c r="E1839" s="301">
        <v>0</v>
      </c>
      <c r="F1839" s="301">
        <v>0</v>
      </c>
      <c r="G1839" s="301">
        <v>0</v>
      </c>
      <c r="H1839" s="301">
        <v>0</v>
      </c>
      <c r="I1839" s="301">
        <v>0</v>
      </c>
      <c r="J1839" s="301">
        <v>0</v>
      </c>
      <c r="K1839" s="302">
        <v>0</v>
      </c>
      <c r="L1839" s="301">
        <v>0</v>
      </c>
      <c r="M1839" s="301">
        <v>0</v>
      </c>
      <c r="N1839" s="301">
        <v>0</v>
      </c>
      <c r="O1839" s="301">
        <v>900000</v>
      </c>
      <c r="P1839" s="301">
        <v>0</v>
      </c>
      <c r="Q1839" s="301">
        <v>0</v>
      </c>
      <c r="R1839" s="301">
        <v>0</v>
      </c>
      <c r="S1839" s="301">
        <v>0</v>
      </c>
      <c r="T1839" s="301">
        <v>0</v>
      </c>
      <c r="U1839" s="301">
        <v>0</v>
      </c>
      <c r="V1839" s="301">
        <v>0</v>
      </c>
      <c r="W1839" s="301">
        <v>0</v>
      </c>
      <c r="X1839" s="301">
        <v>0</v>
      </c>
      <c r="Y1839" s="301">
        <v>0</v>
      </c>
      <c r="Z1839" s="301">
        <v>0</v>
      </c>
      <c r="AA1839" s="301">
        <v>0</v>
      </c>
      <c r="AB1839" s="303">
        <v>2022</v>
      </c>
    </row>
    <row r="1840" spans="1:28" ht="35.25" x14ac:dyDescent="0.5">
      <c r="A1840">
        <v>1</v>
      </c>
      <c r="B1840" s="80">
        <f>SUBTOTAL(103,$A$1697:A1840)</f>
        <v>144</v>
      </c>
      <c r="C1840" s="308" t="s">
        <v>3435</v>
      </c>
      <c r="D1840" s="296">
        <f t="shared" si="96"/>
        <v>700000</v>
      </c>
      <c r="E1840" s="301">
        <v>0</v>
      </c>
      <c r="F1840" s="301">
        <v>0</v>
      </c>
      <c r="G1840" s="301">
        <v>0</v>
      </c>
      <c r="H1840" s="301">
        <v>0</v>
      </c>
      <c r="I1840" s="301">
        <v>0</v>
      </c>
      <c r="J1840" s="301">
        <v>0</v>
      </c>
      <c r="K1840" s="302">
        <v>0</v>
      </c>
      <c r="L1840" s="301">
        <v>0</v>
      </c>
      <c r="M1840" s="301">
        <v>0</v>
      </c>
      <c r="N1840" s="301">
        <v>0</v>
      </c>
      <c r="O1840" s="301">
        <v>700000</v>
      </c>
      <c r="P1840" s="301">
        <v>0</v>
      </c>
      <c r="Q1840" s="301">
        <v>0</v>
      </c>
      <c r="R1840" s="301">
        <v>0</v>
      </c>
      <c r="S1840" s="301">
        <v>0</v>
      </c>
      <c r="T1840" s="301">
        <v>0</v>
      </c>
      <c r="U1840" s="301">
        <v>0</v>
      </c>
      <c r="V1840" s="301">
        <v>0</v>
      </c>
      <c r="W1840" s="301">
        <v>0</v>
      </c>
      <c r="X1840" s="301">
        <v>0</v>
      </c>
      <c r="Y1840" s="301">
        <v>0</v>
      </c>
      <c r="Z1840" s="301">
        <v>0</v>
      </c>
      <c r="AA1840" s="301">
        <v>0</v>
      </c>
      <c r="AB1840" s="303">
        <v>2022</v>
      </c>
    </row>
    <row r="1841" spans="1:28" ht="35.25" x14ac:dyDescent="0.5">
      <c r="A1841">
        <v>1</v>
      </c>
      <c r="B1841" s="80">
        <f>SUBTOTAL(103,$A$1697:A1841)</f>
        <v>145</v>
      </c>
      <c r="C1841" s="308" t="s">
        <v>2632</v>
      </c>
      <c r="D1841" s="296">
        <f t="shared" si="96"/>
        <v>434980</v>
      </c>
      <c r="E1841" s="301">
        <v>0</v>
      </c>
      <c r="F1841" s="301">
        <v>0</v>
      </c>
      <c r="G1841" s="301">
        <v>0</v>
      </c>
      <c r="H1841" s="301">
        <v>0</v>
      </c>
      <c r="I1841" s="301">
        <v>0</v>
      </c>
      <c r="J1841" s="301">
        <v>0</v>
      </c>
      <c r="K1841" s="302">
        <v>0</v>
      </c>
      <c r="L1841" s="301">
        <v>0</v>
      </c>
      <c r="M1841" s="301">
        <v>0</v>
      </c>
      <c r="N1841" s="301">
        <v>0</v>
      </c>
      <c r="O1841" s="301">
        <v>434980</v>
      </c>
      <c r="P1841" s="301">
        <v>0</v>
      </c>
      <c r="Q1841" s="301">
        <v>0</v>
      </c>
      <c r="R1841" s="301">
        <v>0</v>
      </c>
      <c r="S1841" s="301">
        <v>0</v>
      </c>
      <c r="T1841" s="301">
        <v>0</v>
      </c>
      <c r="U1841" s="301">
        <v>0</v>
      </c>
      <c r="V1841" s="301">
        <v>0</v>
      </c>
      <c r="W1841" s="301">
        <v>0</v>
      </c>
      <c r="X1841" s="301">
        <v>0</v>
      </c>
      <c r="Y1841" s="301">
        <v>0</v>
      </c>
      <c r="Z1841" s="301">
        <v>0</v>
      </c>
      <c r="AA1841" s="301">
        <v>0</v>
      </c>
      <c r="AB1841" s="303">
        <v>2022</v>
      </c>
    </row>
    <row r="1842" spans="1:28" ht="35.25" x14ac:dyDescent="0.5">
      <c r="A1842">
        <v>1</v>
      </c>
      <c r="B1842" s="80">
        <f>SUBTOTAL(103,$A$1697:A1842)</f>
        <v>146</v>
      </c>
      <c r="C1842" s="308" t="s">
        <v>3485</v>
      </c>
      <c r="D1842" s="296">
        <f t="shared" si="96"/>
        <v>1516264.4</v>
      </c>
      <c r="E1842" s="301">
        <v>0</v>
      </c>
      <c r="F1842" s="301">
        <v>0</v>
      </c>
      <c r="G1842" s="301">
        <v>1516264.4</v>
      </c>
      <c r="H1842" s="301">
        <v>0</v>
      </c>
      <c r="I1842" s="301">
        <v>0</v>
      </c>
      <c r="J1842" s="301">
        <v>0</v>
      </c>
      <c r="K1842" s="302">
        <v>0</v>
      </c>
      <c r="L1842" s="301">
        <v>0</v>
      </c>
      <c r="M1842" s="301">
        <v>0</v>
      </c>
      <c r="N1842" s="301">
        <v>0</v>
      </c>
      <c r="O1842" s="301">
        <v>0</v>
      </c>
      <c r="P1842" s="301">
        <v>0</v>
      </c>
      <c r="Q1842" s="301">
        <v>0</v>
      </c>
      <c r="R1842" s="301">
        <v>0</v>
      </c>
      <c r="S1842" s="301">
        <v>0</v>
      </c>
      <c r="T1842" s="301">
        <v>0</v>
      </c>
      <c r="U1842" s="301">
        <v>0</v>
      </c>
      <c r="V1842" s="301">
        <v>0</v>
      </c>
      <c r="W1842" s="301">
        <v>0</v>
      </c>
      <c r="X1842" s="301">
        <v>0</v>
      </c>
      <c r="Y1842" s="301">
        <v>0</v>
      </c>
      <c r="Z1842" s="301">
        <v>0</v>
      </c>
      <c r="AA1842" s="301">
        <v>0</v>
      </c>
      <c r="AB1842" s="303">
        <v>2022</v>
      </c>
    </row>
    <row r="1843" spans="1:28" ht="35.25" x14ac:dyDescent="0.5">
      <c r="A1843">
        <v>1</v>
      </c>
      <c r="B1843" s="80">
        <f>SUBTOTAL(103,$A$1697:A1843)</f>
        <v>147</v>
      </c>
      <c r="C1843" s="308" t="s">
        <v>3486</v>
      </c>
      <c r="D1843" s="296">
        <f t="shared" si="96"/>
        <v>4663544</v>
      </c>
      <c r="E1843" s="301">
        <v>0</v>
      </c>
      <c r="F1843" s="301">
        <v>0</v>
      </c>
      <c r="G1843" s="301">
        <v>0</v>
      </c>
      <c r="H1843" s="301">
        <v>0</v>
      </c>
      <c r="I1843" s="301">
        <v>0</v>
      </c>
      <c r="J1843" s="301">
        <v>0</v>
      </c>
      <c r="K1843" s="302">
        <v>0</v>
      </c>
      <c r="L1843" s="301">
        <v>0</v>
      </c>
      <c r="M1843" s="301">
        <v>4663544</v>
      </c>
      <c r="N1843" s="301">
        <v>0</v>
      </c>
      <c r="O1843" s="301">
        <v>0</v>
      </c>
      <c r="P1843" s="301">
        <v>0</v>
      </c>
      <c r="Q1843" s="301">
        <v>0</v>
      </c>
      <c r="R1843" s="301">
        <v>0</v>
      </c>
      <c r="S1843" s="301">
        <v>0</v>
      </c>
      <c r="T1843" s="301">
        <v>0</v>
      </c>
      <c r="U1843" s="301">
        <v>0</v>
      </c>
      <c r="V1843" s="301">
        <v>0</v>
      </c>
      <c r="W1843" s="301">
        <v>0</v>
      </c>
      <c r="X1843" s="301">
        <v>0</v>
      </c>
      <c r="Y1843" s="301">
        <v>0</v>
      </c>
      <c r="Z1843" s="301">
        <v>0</v>
      </c>
      <c r="AA1843" s="301">
        <v>0</v>
      </c>
      <c r="AB1843" s="303">
        <v>2022</v>
      </c>
    </row>
    <row r="1844" spans="1:28" ht="35.25" x14ac:dyDescent="0.5">
      <c r="A1844">
        <v>1</v>
      </c>
      <c r="B1844" s="80">
        <f>SUBTOTAL(103,$A$1697:A1844)</f>
        <v>148</v>
      </c>
      <c r="C1844" s="308" t="s">
        <v>2192</v>
      </c>
      <c r="D1844" s="296">
        <f t="shared" si="96"/>
        <v>587273</v>
      </c>
      <c r="E1844" s="301">
        <v>0</v>
      </c>
      <c r="F1844" s="301">
        <v>0</v>
      </c>
      <c r="G1844" s="301">
        <v>0</v>
      </c>
      <c r="H1844" s="301">
        <v>587273</v>
      </c>
      <c r="I1844" s="301">
        <v>0</v>
      </c>
      <c r="J1844" s="301">
        <v>0</v>
      </c>
      <c r="K1844" s="302">
        <v>0</v>
      </c>
      <c r="L1844" s="301">
        <v>0</v>
      </c>
      <c r="M1844" s="301">
        <v>0</v>
      </c>
      <c r="N1844" s="301">
        <v>0</v>
      </c>
      <c r="O1844" s="301">
        <v>0</v>
      </c>
      <c r="P1844" s="301">
        <v>0</v>
      </c>
      <c r="Q1844" s="301">
        <v>0</v>
      </c>
      <c r="R1844" s="301">
        <v>0</v>
      </c>
      <c r="S1844" s="301">
        <v>0</v>
      </c>
      <c r="T1844" s="301">
        <v>0</v>
      </c>
      <c r="U1844" s="301">
        <v>0</v>
      </c>
      <c r="V1844" s="301">
        <v>0</v>
      </c>
      <c r="W1844" s="301">
        <v>0</v>
      </c>
      <c r="X1844" s="301">
        <v>0</v>
      </c>
      <c r="Y1844" s="301">
        <v>0</v>
      </c>
      <c r="Z1844" s="301">
        <v>0</v>
      </c>
      <c r="AA1844" s="301">
        <v>0</v>
      </c>
      <c r="AB1844" s="303">
        <v>2022</v>
      </c>
    </row>
    <row r="1845" spans="1:28" ht="35.25" x14ac:dyDescent="0.5">
      <c r="A1845">
        <v>1</v>
      </c>
      <c r="B1845" s="80">
        <f>SUBTOTAL(103,$A$1697:A1845)</f>
        <v>149</v>
      </c>
      <c r="C1845" s="308" t="s">
        <v>3487</v>
      </c>
      <c r="D1845" s="296">
        <f t="shared" si="96"/>
        <v>2933003</v>
      </c>
      <c r="E1845" s="301">
        <v>0</v>
      </c>
      <c r="F1845" s="301">
        <v>0</v>
      </c>
      <c r="G1845" s="301">
        <v>0</v>
      </c>
      <c r="H1845" s="301">
        <v>0</v>
      </c>
      <c r="I1845" s="301">
        <v>0</v>
      </c>
      <c r="J1845" s="301">
        <v>0</v>
      </c>
      <c r="K1845" s="302">
        <v>0</v>
      </c>
      <c r="L1845" s="301">
        <v>0</v>
      </c>
      <c r="M1845" s="301">
        <v>2933003</v>
      </c>
      <c r="N1845" s="301">
        <v>0</v>
      </c>
      <c r="O1845" s="301">
        <v>0</v>
      </c>
      <c r="P1845" s="301">
        <v>0</v>
      </c>
      <c r="Q1845" s="301">
        <v>0</v>
      </c>
      <c r="R1845" s="301">
        <v>0</v>
      </c>
      <c r="S1845" s="301">
        <v>0</v>
      </c>
      <c r="T1845" s="301">
        <v>0</v>
      </c>
      <c r="U1845" s="301">
        <v>0</v>
      </c>
      <c r="V1845" s="301">
        <v>0</v>
      </c>
      <c r="W1845" s="301">
        <v>0</v>
      </c>
      <c r="X1845" s="301">
        <v>0</v>
      </c>
      <c r="Y1845" s="301">
        <v>0</v>
      </c>
      <c r="Z1845" s="301">
        <v>0</v>
      </c>
      <c r="AA1845" s="301">
        <v>0</v>
      </c>
      <c r="AB1845" s="303">
        <v>2022</v>
      </c>
    </row>
    <row r="1846" spans="1:28" ht="35.25" x14ac:dyDescent="0.5">
      <c r="A1846">
        <v>1</v>
      </c>
      <c r="B1846" s="80">
        <f>SUBTOTAL(103,$A$1697:A1846)</f>
        <v>150</v>
      </c>
      <c r="C1846" s="308" t="s">
        <v>3488</v>
      </c>
      <c r="D1846" s="296">
        <f t="shared" si="96"/>
        <v>313965</v>
      </c>
      <c r="E1846" s="301">
        <v>147172</v>
      </c>
      <c r="F1846" s="301">
        <v>166793</v>
      </c>
      <c r="G1846" s="301">
        <v>0</v>
      </c>
      <c r="H1846" s="301">
        <v>0</v>
      </c>
      <c r="I1846" s="301">
        <v>0</v>
      </c>
      <c r="J1846" s="301">
        <v>0</v>
      </c>
      <c r="K1846" s="302">
        <v>0</v>
      </c>
      <c r="L1846" s="301">
        <v>0</v>
      </c>
      <c r="M1846" s="301">
        <v>0</v>
      </c>
      <c r="N1846" s="301">
        <v>0</v>
      </c>
      <c r="O1846" s="301">
        <v>0</v>
      </c>
      <c r="P1846" s="301">
        <v>0</v>
      </c>
      <c r="Q1846" s="301">
        <v>0</v>
      </c>
      <c r="R1846" s="301">
        <v>0</v>
      </c>
      <c r="S1846" s="301">
        <v>0</v>
      </c>
      <c r="T1846" s="301">
        <v>0</v>
      </c>
      <c r="U1846" s="301">
        <v>0</v>
      </c>
      <c r="V1846" s="301">
        <v>0</v>
      </c>
      <c r="W1846" s="301">
        <v>0</v>
      </c>
      <c r="X1846" s="301">
        <v>0</v>
      </c>
      <c r="Y1846" s="301">
        <v>0</v>
      </c>
      <c r="Z1846" s="301">
        <v>0</v>
      </c>
      <c r="AA1846" s="301">
        <v>0</v>
      </c>
      <c r="AB1846" s="303">
        <v>2022</v>
      </c>
    </row>
    <row r="1847" spans="1:28" ht="35.25" x14ac:dyDescent="0.5">
      <c r="A1847">
        <v>1</v>
      </c>
      <c r="B1847" s="80">
        <f>SUBTOTAL(103,$A$1697:A1847)</f>
        <v>151</v>
      </c>
      <c r="C1847" s="308" t="s">
        <v>3489</v>
      </c>
      <c r="D1847" s="296">
        <f t="shared" si="96"/>
        <v>926956</v>
      </c>
      <c r="E1847" s="301">
        <v>0</v>
      </c>
      <c r="F1847" s="301">
        <v>0</v>
      </c>
      <c r="G1847" s="301">
        <v>926956</v>
      </c>
      <c r="H1847" s="301">
        <v>0</v>
      </c>
      <c r="I1847" s="301">
        <v>0</v>
      </c>
      <c r="J1847" s="301">
        <v>0</v>
      </c>
      <c r="K1847" s="302">
        <v>0</v>
      </c>
      <c r="L1847" s="301">
        <v>0</v>
      </c>
      <c r="M1847" s="301">
        <v>0</v>
      </c>
      <c r="N1847" s="301">
        <v>0</v>
      </c>
      <c r="O1847" s="301">
        <v>0</v>
      </c>
      <c r="P1847" s="301">
        <v>0</v>
      </c>
      <c r="Q1847" s="301">
        <v>0</v>
      </c>
      <c r="R1847" s="301">
        <v>0</v>
      </c>
      <c r="S1847" s="301">
        <v>0</v>
      </c>
      <c r="T1847" s="301">
        <v>0</v>
      </c>
      <c r="U1847" s="301">
        <v>0</v>
      </c>
      <c r="V1847" s="301">
        <v>0</v>
      </c>
      <c r="W1847" s="301">
        <v>0</v>
      </c>
      <c r="X1847" s="301">
        <v>0</v>
      </c>
      <c r="Y1847" s="301">
        <v>0</v>
      </c>
      <c r="Z1847" s="301">
        <v>0</v>
      </c>
      <c r="AA1847" s="301">
        <v>0</v>
      </c>
      <c r="AB1847" s="303">
        <v>2022</v>
      </c>
    </row>
    <row r="1848" spans="1:28" ht="35.25" x14ac:dyDescent="0.5">
      <c r="A1848">
        <v>1</v>
      </c>
      <c r="B1848" s="80">
        <f>SUBTOTAL(103,$A$1697:A1848)</f>
        <v>152</v>
      </c>
      <c r="C1848" s="308" t="s">
        <v>2179</v>
      </c>
      <c r="D1848" s="296">
        <f t="shared" si="96"/>
        <v>900000</v>
      </c>
      <c r="E1848" s="301">
        <v>0</v>
      </c>
      <c r="F1848" s="301">
        <v>0</v>
      </c>
      <c r="G1848" s="301">
        <v>900000</v>
      </c>
      <c r="H1848" s="301">
        <v>0</v>
      </c>
      <c r="I1848" s="301">
        <v>0</v>
      </c>
      <c r="J1848" s="301">
        <v>0</v>
      </c>
      <c r="K1848" s="302">
        <v>0</v>
      </c>
      <c r="L1848" s="301">
        <v>0</v>
      </c>
      <c r="M1848" s="301">
        <v>0</v>
      </c>
      <c r="N1848" s="301">
        <v>0</v>
      </c>
      <c r="O1848" s="301">
        <v>0</v>
      </c>
      <c r="P1848" s="301">
        <v>0</v>
      </c>
      <c r="Q1848" s="301">
        <v>0</v>
      </c>
      <c r="R1848" s="301">
        <v>0</v>
      </c>
      <c r="S1848" s="301">
        <v>0</v>
      </c>
      <c r="T1848" s="301">
        <v>0</v>
      </c>
      <c r="U1848" s="301">
        <v>0</v>
      </c>
      <c r="V1848" s="301">
        <v>0</v>
      </c>
      <c r="W1848" s="301">
        <v>0</v>
      </c>
      <c r="X1848" s="301">
        <v>0</v>
      </c>
      <c r="Y1848" s="301">
        <v>0</v>
      </c>
      <c r="Z1848" s="301">
        <v>0</v>
      </c>
      <c r="AA1848" s="301">
        <v>0</v>
      </c>
      <c r="AB1848" s="303">
        <v>2022</v>
      </c>
    </row>
    <row r="1849" spans="1:28" ht="35.25" x14ac:dyDescent="0.5">
      <c r="A1849">
        <v>1</v>
      </c>
      <c r="B1849" s="80">
        <f>SUBTOTAL(103,$A$1697:A1849)</f>
        <v>153</v>
      </c>
      <c r="C1849" s="308" t="s">
        <v>3490</v>
      </c>
      <c r="D1849" s="296">
        <f t="shared" si="96"/>
        <v>493714</v>
      </c>
      <c r="E1849" s="301">
        <v>0</v>
      </c>
      <c r="F1849" s="301">
        <v>0</v>
      </c>
      <c r="G1849" s="301">
        <v>0</v>
      </c>
      <c r="H1849" s="301">
        <v>0</v>
      </c>
      <c r="I1849" s="301">
        <v>0</v>
      </c>
      <c r="J1849" s="301">
        <v>0</v>
      </c>
      <c r="K1849" s="302">
        <v>0</v>
      </c>
      <c r="L1849" s="301">
        <v>0</v>
      </c>
      <c r="M1849" s="301">
        <v>0</v>
      </c>
      <c r="N1849" s="301">
        <v>0</v>
      </c>
      <c r="O1849" s="301">
        <v>493714</v>
      </c>
      <c r="P1849" s="301">
        <v>0</v>
      </c>
      <c r="Q1849" s="301">
        <v>0</v>
      </c>
      <c r="R1849" s="301">
        <v>0</v>
      </c>
      <c r="S1849" s="301">
        <v>0</v>
      </c>
      <c r="T1849" s="301">
        <v>0</v>
      </c>
      <c r="U1849" s="301">
        <v>0</v>
      </c>
      <c r="V1849" s="301">
        <v>0</v>
      </c>
      <c r="W1849" s="301">
        <v>0</v>
      </c>
      <c r="X1849" s="301">
        <v>0</v>
      </c>
      <c r="Y1849" s="301">
        <v>0</v>
      </c>
      <c r="Z1849" s="301">
        <v>0</v>
      </c>
      <c r="AA1849" s="301">
        <v>0</v>
      </c>
      <c r="AB1849" s="303">
        <v>2022</v>
      </c>
    </row>
    <row r="1850" spans="1:28" ht="35.25" x14ac:dyDescent="0.5">
      <c r="A1850">
        <v>1</v>
      </c>
      <c r="B1850" s="80">
        <f>SUBTOTAL(103,$A$1697:A1850)</f>
        <v>154</v>
      </c>
      <c r="C1850" s="308" t="s">
        <v>3324</v>
      </c>
      <c r="D1850" s="296">
        <f t="shared" si="96"/>
        <v>3210929.68</v>
      </c>
      <c r="E1850" s="301">
        <v>0</v>
      </c>
      <c r="F1850" s="301">
        <v>0</v>
      </c>
      <c r="G1850" s="301">
        <v>0</v>
      </c>
      <c r="H1850" s="301">
        <v>0</v>
      </c>
      <c r="I1850" s="301">
        <v>0</v>
      </c>
      <c r="J1850" s="301">
        <v>0</v>
      </c>
      <c r="K1850" s="302">
        <v>1</v>
      </c>
      <c r="L1850" s="301">
        <v>3090929.68</v>
      </c>
      <c r="M1850" s="301">
        <v>0</v>
      </c>
      <c r="N1850" s="301">
        <v>0</v>
      </c>
      <c r="O1850" s="301">
        <v>0</v>
      </c>
      <c r="P1850" s="301">
        <v>0</v>
      </c>
      <c r="Q1850" s="301">
        <v>0</v>
      </c>
      <c r="R1850" s="301">
        <v>0</v>
      </c>
      <c r="S1850" s="301">
        <v>0</v>
      </c>
      <c r="T1850" s="301">
        <v>0</v>
      </c>
      <c r="U1850" s="301">
        <v>0</v>
      </c>
      <c r="V1850" s="301">
        <v>0</v>
      </c>
      <c r="W1850" s="301">
        <v>0</v>
      </c>
      <c r="X1850" s="301">
        <v>0</v>
      </c>
      <c r="Y1850" s="301">
        <v>0</v>
      </c>
      <c r="Z1850" s="301">
        <v>120000</v>
      </c>
      <c r="AA1850" s="301">
        <v>0</v>
      </c>
      <c r="AB1850" s="303">
        <v>2022</v>
      </c>
    </row>
    <row r="1851" spans="1:28" ht="35.25" x14ac:dyDescent="0.5">
      <c r="A1851">
        <v>1</v>
      </c>
      <c r="B1851" s="80">
        <f>SUBTOTAL(103,$A$1697:A1851)</f>
        <v>155</v>
      </c>
      <c r="C1851" s="308" t="s">
        <v>3491</v>
      </c>
      <c r="D1851" s="296">
        <f t="shared" si="96"/>
        <v>315870</v>
      </c>
      <c r="E1851" s="301">
        <v>0</v>
      </c>
      <c r="F1851" s="301">
        <v>0</v>
      </c>
      <c r="G1851" s="301">
        <v>0</v>
      </c>
      <c r="H1851" s="301">
        <v>0</v>
      </c>
      <c r="I1851" s="301">
        <v>0</v>
      </c>
      <c r="J1851" s="301">
        <v>0</v>
      </c>
      <c r="K1851" s="302">
        <v>0</v>
      </c>
      <c r="L1851" s="301">
        <v>0</v>
      </c>
      <c r="M1851" s="301">
        <v>0</v>
      </c>
      <c r="N1851" s="301">
        <v>0</v>
      </c>
      <c r="O1851" s="301">
        <v>315870</v>
      </c>
      <c r="P1851" s="301">
        <v>0</v>
      </c>
      <c r="Q1851" s="301">
        <v>0</v>
      </c>
      <c r="R1851" s="301">
        <v>0</v>
      </c>
      <c r="S1851" s="301">
        <v>0</v>
      </c>
      <c r="T1851" s="301">
        <v>0</v>
      </c>
      <c r="U1851" s="301">
        <v>0</v>
      </c>
      <c r="V1851" s="301">
        <v>0</v>
      </c>
      <c r="W1851" s="301">
        <v>0</v>
      </c>
      <c r="X1851" s="301">
        <v>0</v>
      </c>
      <c r="Y1851" s="301">
        <v>0</v>
      </c>
      <c r="Z1851" s="301">
        <v>0</v>
      </c>
      <c r="AA1851" s="301">
        <v>0</v>
      </c>
      <c r="AB1851" s="303">
        <v>2022</v>
      </c>
    </row>
    <row r="1852" spans="1:28" ht="35.25" x14ac:dyDescent="0.5">
      <c r="A1852">
        <v>1</v>
      </c>
      <c r="B1852" s="80">
        <f>SUBTOTAL(103,$A$1697:A1852)</f>
        <v>156</v>
      </c>
      <c r="C1852" s="308" t="s">
        <v>3278</v>
      </c>
      <c r="D1852" s="296">
        <f t="shared" si="96"/>
        <v>9096711.5999999996</v>
      </c>
      <c r="E1852" s="301">
        <v>0</v>
      </c>
      <c r="F1852" s="301">
        <v>0</v>
      </c>
      <c r="G1852" s="301">
        <v>0</v>
      </c>
      <c r="H1852" s="301">
        <v>0</v>
      </c>
      <c r="I1852" s="301">
        <v>0</v>
      </c>
      <c r="J1852" s="301">
        <v>0</v>
      </c>
      <c r="K1852" s="302">
        <v>3</v>
      </c>
      <c r="L1852" s="301">
        <v>8976711.5999999996</v>
      </c>
      <c r="M1852" s="301">
        <v>0</v>
      </c>
      <c r="N1852" s="301">
        <v>0</v>
      </c>
      <c r="O1852" s="301">
        <v>0</v>
      </c>
      <c r="P1852" s="301">
        <v>0</v>
      </c>
      <c r="Q1852" s="301">
        <v>0</v>
      </c>
      <c r="R1852" s="301">
        <v>0</v>
      </c>
      <c r="S1852" s="301">
        <v>0</v>
      </c>
      <c r="T1852" s="301">
        <v>0</v>
      </c>
      <c r="U1852" s="301">
        <v>0</v>
      </c>
      <c r="V1852" s="301">
        <v>0</v>
      </c>
      <c r="W1852" s="301">
        <v>0</v>
      </c>
      <c r="X1852" s="301">
        <v>0</v>
      </c>
      <c r="Y1852" s="301">
        <v>0</v>
      </c>
      <c r="Z1852" s="301">
        <v>120000</v>
      </c>
      <c r="AA1852" s="301">
        <v>0</v>
      </c>
      <c r="AB1852" s="303">
        <v>2022</v>
      </c>
    </row>
    <row r="1853" spans="1:28" ht="35.25" x14ac:dyDescent="0.5">
      <c r="A1853">
        <v>1</v>
      </c>
      <c r="B1853" s="80">
        <f>SUBTOTAL(103,$A$1697:A1853)</f>
        <v>157</v>
      </c>
      <c r="C1853" s="308" t="s">
        <v>2592</v>
      </c>
      <c r="D1853" s="296">
        <f t="shared" si="96"/>
        <v>2731066.8</v>
      </c>
      <c r="E1853" s="301">
        <v>0</v>
      </c>
      <c r="F1853" s="301">
        <v>0</v>
      </c>
      <c r="G1853" s="301">
        <v>0</v>
      </c>
      <c r="H1853" s="301">
        <v>0</v>
      </c>
      <c r="I1853" s="301">
        <v>0</v>
      </c>
      <c r="J1853" s="301">
        <v>0</v>
      </c>
      <c r="K1853" s="302">
        <v>1</v>
      </c>
      <c r="L1853" s="301">
        <v>2731066.8</v>
      </c>
      <c r="M1853" s="301">
        <v>0</v>
      </c>
      <c r="N1853" s="301">
        <v>0</v>
      </c>
      <c r="O1853" s="301">
        <v>0</v>
      </c>
      <c r="P1853" s="301">
        <v>0</v>
      </c>
      <c r="Q1853" s="301">
        <v>0</v>
      </c>
      <c r="R1853" s="301">
        <v>0</v>
      </c>
      <c r="S1853" s="301">
        <v>0</v>
      </c>
      <c r="T1853" s="301">
        <v>0</v>
      </c>
      <c r="U1853" s="301">
        <v>0</v>
      </c>
      <c r="V1853" s="301">
        <v>0</v>
      </c>
      <c r="W1853" s="301">
        <v>0</v>
      </c>
      <c r="X1853" s="301">
        <v>0</v>
      </c>
      <c r="Y1853" s="301">
        <v>0</v>
      </c>
      <c r="Z1853" s="301">
        <v>0</v>
      </c>
      <c r="AA1853" s="301">
        <v>0</v>
      </c>
      <c r="AB1853" s="303">
        <v>2022</v>
      </c>
    </row>
    <row r="1854" spans="1:28" ht="35.25" x14ac:dyDescent="0.5">
      <c r="A1854">
        <v>1</v>
      </c>
      <c r="B1854" s="80">
        <f>SUBTOTAL(103,$A$1697:A1854)</f>
        <v>158</v>
      </c>
      <c r="C1854" s="308" t="s">
        <v>1834</v>
      </c>
      <c r="D1854" s="296">
        <f t="shared" si="96"/>
        <v>472500</v>
      </c>
      <c r="E1854" s="301">
        <v>0</v>
      </c>
      <c r="F1854" s="301">
        <v>0</v>
      </c>
      <c r="G1854" s="301">
        <v>0</v>
      </c>
      <c r="H1854" s="301">
        <v>0</v>
      </c>
      <c r="I1854" s="301">
        <v>0</v>
      </c>
      <c r="J1854" s="301">
        <v>0</v>
      </c>
      <c r="K1854" s="302">
        <v>0</v>
      </c>
      <c r="L1854" s="301">
        <v>0</v>
      </c>
      <c r="M1854" s="301">
        <v>0</v>
      </c>
      <c r="N1854" s="301">
        <v>0</v>
      </c>
      <c r="O1854" s="301">
        <v>472500</v>
      </c>
      <c r="P1854" s="301">
        <v>0</v>
      </c>
      <c r="Q1854" s="301">
        <v>0</v>
      </c>
      <c r="R1854" s="301">
        <v>0</v>
      </c>
      <c r="S1854" s="301">
        <v>0</v>
      </c>
      <c r="T1854" s="301">
        <v>0</v>
      </c>
      <c r="U1854" s="301">
        <v>0</v>
      </c>
      <c r="V1854" s="301">
        <v>0</v>
      </c>
      <c r="W1854" s="301">
        <v>0</v>
      </c>
      <c r="X1854" s="301">
        <v>0</v>
      </c>
      <c r="Y1854" s="301">
        <v>0</v>
      </c>
      <c r="Z1854" s="301">
        <v>0</v>
      </c>
      <c r="AA1854" s="301">
        <v>0</v>
      </c>
      <c r="AB1854" s="303">
        <v>2022</v>
      </c>
    </row>
    <row r="1855" spans="1:28" ht="35.25" x14ac:dyDescent="0.5">
      <c r="A1855">
        <v>1</v>
      </c>
      <c r="B1855" s="80">
        <f>SUBTOTAL(103,$A$1697:A1855)</f>
        <v>159</v>
      </c>
      <c r="C1855" s="308" t="s">
        <v>3492</v>
      </c>
      <c r="D1855" s="296">
        <f t="shared" si="96"/>
        <v>1480384.3</v>
      </c>
      <c r="E1855" s="301">
        <v>0</v>
      </c>
      <c r="F1855" s="301">
        <v>0</v>
      </c>
      <c r="G1855" s="301">
        <v>0</v>
      </c>
      <c r="H1855" s="301">
        <v>0</v>
      </c>
      <c r="I1855" s="301">
        <v>0</v>
      </c>
      <c r="J1855" s="301">
        <v>0</v>
      </c>
      <c r="K1855" s="302">
        <v>0</v>
      </c>
      <c r="L1855" s="301">
        <v>0</v>
      </c>
      <c r="M1855" s="301">
        <v>0</v>
      </c>
      <c r="N1855" s="301">
        <v>0</v>
      </c>
      <c r="O1855" s="301">
        <v>1480384.3</v>
      </c>
      <c r="P1855" s="301">
        <v>0</v>
      </c>
      <c r="Q1855" s="301">
        <v>0</v>
      </c>
      <c r="R1855" s="301">
        <v>0</v>
      </c>
      <c r="S1855" s="301">
        <v>0</v>
      </c>
      <c r="T1855" s="301">
        <v>0</v>
      </c>
      <c r="U1855" s="301">
        <v>0</v>
      </c>
      <c r="V1855" s="301">
        <v>0</v>
      </c>
      <c r="W1855" s="301">
        <v>0</v>
      </c>
      <c r="X1855" s="301">
        <v>0</v>
      </c>
      <c r="Y1855" s="301">
        <v>0</v>
      </c>
      <c r="Z1855" s="301">
        <v>0</v>
      </c>
      <c r="AA1855" s="301">
        <v>0</v>
      </c>
      <c r="AB1855" s="303">
        <v>2022</v>
      </c>
    </row>
    <row r="1856" spans="1:28" ht="35.25" x14ac:dyDescent="0.5">
      <c r="A1856">
        <v>1</v>
      </c>
      <c r="B1856" s="80">
        <f>SUBTOTAL(103,$A$1697:A1856)</f>
        <v>160</v>
      </c>
      <c r="C1856" s="308" t="s">
        <v>3013</v>
      </c>
      <c r="D1856" s="296">
        <f t="shared" si="96"/>
        <v>1176229.8</v>
      </c>
      <c r="E1856" s="301">
        <v>0</v>
      </c>
      <c r="F1856" s="301">
        <v>0</v>
      </c>
      <c r="G1856" s="301">
        <v>1176229.8</v>
      </c>
      <c r="H1856" s="301">
        <v>0</v>
      </c>
      <c r="I1856" s="301">
        <v>0</v>
      </c>
      <c r="J1856" s="301">
        <v>0</v>
      </c>
      <c r="K1856" s="302">
        <v>0</v>
      </c>
      <c r="L1856" s="301">
        <v>0</v>
      </c>
      <c r="M1856" s="301">
        <v>0</v>
      </c>
      <c r="N1856" s="301">
        <v>0</v>
      </c>
      <c r="O1856" s="301">
        <v>0</v>
      </c>
      <c r="P1856" s="301">
        <v>0</v>
      </c>
      <c r="Q1856" s="301">
        <v>0</v>
      </c>
      <c r="R1856" s="301">
        <v>0</v>
      </c>
      <c r="S1856" s="301">
        <v>0</v>
      </c>
      <c r="T1856" s="301">
        <v>0</v>
      </c>
      <c r="U1856" s="301">
        <v>0</v>
      </c>
      <c r="V1856" s="301">
        <v>0</v>
      </c>
      <c r="W1856" s="301">
        <v>0</v>
      </c>
      <c r="X1856" s="301">
        <v>0</v>
      </c>
      <c r="Y1856" s="301">
        <v>0</v>
      </c>
      <c r="Z1856" s="301">
        <v>0</v>
      </c>
      <c r="AA1856" s="301">
        <v>0</v>
      </c>
      <c r="AB1856" s="303">
        <v>2022</v>
      </c>
    </row>
    <row r="1857" spans="1:28" ht="35.25" x14ac:dyDescent="0.5">
      <c r="A1857">
        <v>1</v>
      </c>
      <c r="B1857" s="80">
        <f>SUBTOTAL(103,$A$1697:A1857)</f>
        <v>161</v>
      </c>
      <c r="C1857" s="308" t="s">
        <v>3493</v>
      </c>
      <c r="D1857" s="296">
        <f t="shared" si="96"/>
        <v>723244</v>
      </c>
      <c r="E1857" s="301">
        <v>0</v>
      </c>
      <c r="F1857" s="301">
        <v>0</v>
      </c>
      <c r="G1857" s="301">
        <v>0</v>
      </c>
      <c r="H1857" s="301">
        <v>0</v>
      </c>
      <c r="I1857" s="301">
        <v>0</v>
      </c>
      <c r="J1857" s="301">
        <v>0</v>
      </c>
      <c r="K1857" s="302">
        <v>0</v>
      </c>
      <c r="L1857" s="301">
        <v>0</v>
      </c>
      <c r="M1857" s="301">
        <v>0</v>
      </c>
      <c r="N1857" s="301">
        <v>0</v>
      </c>
      <c r="O1857" s="301">
        <v>723244</v>
      </c>
      <c r="P1857" s="301">
        <v>0</v>
      </c>
      <c r="Q1857" s="301">
        <v>0</v>
      </c>
      <c r="R1857" s="301">
        <v>0</v>
      </c>
      <c r="S1857" s="301">
        <v>0</v>
      </c>
      <c r="T1857" s="301">
        <v>0</v>
      </c>
      <c r="U1857" s="301">
        <v>0</v>
      </c>
      <c r="V1857" s="301">
        <v>0</v>
      </c>
      <c r="W1857" s="301">
        <v>0</v>
      </c>
      <c r="X1857" s="301">
        <v>0</v>
      </c>
      <c r="Y1857" s="301">
        <v>0</v>
      </c>
      <c r="Z1857" s="301">
        <v>0</v>
      </c>
      <c r="AA1857" s="301">
        <v>0</v>
      </c>
      <c r="AB1857" s="303">
        <v>2022</v>
      </c>
    </row>
    <row r="1858" spans="1:28" ht="35.25" x14ac:dyDescent="0.5">
      <c r="A1858">
        <v>1</v>
      </c>
      <c r="B1858" s="80">
        <f>SUBTOTAL(103,$A$1697:A1858)</f>
        <v>162</v>
      </c>
      <c r="C1858" s="308" t="s">
        <v>3494</v>
      </c>
      <c r="D1858" s="296">
        <f t="shared" si="96"/>
        <v>968353.88</v>
      </c>
      <c r="E1858" s="301">
        <v>0</v>
      </c>
      <c r="F1858" s="301">
        <v>0</v>
      </c>
      <c r="G1858" s="301">
        <v>0</v>
      </c>
      <c r="H1858" s="301">
        <v>0</v>
      </c>
      <c r="I1858" s="301">
        <v>0</v>
      </c>
      <c r="J1858" s="301">
        <v>0</v>
      </c>
      <c r="K1858" s="302">
        <v>0</v>
      </c>
      <c r="L1858" s="301">
        <v>0</v>
      </c>
      <c r="M1858" s="301">
        <v>0</v>
      </c>
      <c r="N1858" s="301">
        <v>0</v>
      </c>
      <c r="O1858" s="301">
        <v>968353.88</v>
      </c>
      <c r="P1858" s="301">
        <v>0</v>
      </c>
      <c r="Q1858" s="301">
        <v>0</v>
      </c>
      <c r="R1858" s="301">
        <v>0</v>
      </c>
      <c r="S1858" s="301">
        <v>0</v>
      </c>
      <c r="T1858" s="301">
        <v>0</v>
      </c>
      <c r="U1858" s="301">
        <v>0</v>
      </c>
      <c r="V1858" s="301">
        <v>0</v>
      </c>
      <c r="W1858" s="301">
        <v>0</v>
      </c>
      <c r="X1858" s="301">
        <v>0</v>
      </c>
      <c r="Y1858" s="301">
        <v>0</v>
      </c>
      <c r="Z1858" s="301">
        <v>0</v>
      </c>
      <c r="AA1858" s="301">
        <v>0</v>
      </c>
      <c r="AB1858" s="303">
        <v>2022</v>
      </c>
    </row>
    <row r="1859" spans="1:28" ht="35.25" x14ac:dyDescent="0.5">
      <c r="A1859">
        <v>1</v>
      </c>
      <c r="B1859" s="80">
        <f>SUBTOTAL(103,$A$1697:A1859)</f>
        <v>163</v>
      </c>
      <c r="C1859" s="308" t="s">
        <v>3495</v>
      </c>
      <c r="D1859" s="296">
        <f t="shared" si="96"/>
        <v>2993300</v>
      </c>
      <c r="E1859" s="301">
        <v>0</v>
      </c>
      <c r="F1859" s="301">
        <v>0</v>
      </c>
      <c r="G1859" s="301">
        <v>793760</v>
      </c>
      <c r="H1859" s="301">
        <v>0</v>
      </c>
      <c r="I1859" s="301">
        <v>0</v>
      </c>
      <c r="J1859" s="301">
        <v>0</v>
      </c>
      <c r="K1859" s="302">
        <v>0</v>
      </c>
      <c r="L1859" s="301">
        <v>0</v>
      </c>
      <c r="M1859" s="301">
        <v>0</v>
      </c>
      <c r="N1859" s="301">
        <v>0</v>
      </c>
      <c r="O1859" s="301">
        <v>2199540</v>
      </c>
      <c r="P1859" s="301">
        <v>0</v>
      </c>
      <c r="Q1859" s="301">
        <v>0</v>
      </c>
      <c r="R1859" s="301">
        <v>0</v>
      </c>
      <c r="S1859" s="301">
        <v>0</v>
      </c>
      <c r="T1859" s="301">
        <v>0</v>
      </c>
      <c r="U1859" s="301">
        <v>0</v>
      </c>
      <c r="V1859" s="301">
        <v>0</v>
      </c>
      <c r="W1859" s="301">
        <v>0</v>
      </c>
      <c r="X1859" s="301">
        <v>0</v>
      </c>
      <c r="Y1859" s="301">
        <v>0</v>
      </c>
      <c r="Z1859" s="301">
        <v>0</v>
      </c>
      <c r="AA1859" s="301">
        <v>0</v>
      </c>
      <c r="AB1859" s="303">
        <v>2022</v>
      </c>
    </row>
    <row r="1860" spans="1:28" ht="35.25" x14ac:dyDescent="0.5">
      <c r="A1860">
        <v>1</v>
      </c>
      <c r="B1860" s="80">
        <f>SUBTOTAL(103,$A$1697:A1860)</f>
        <v>164</v>
      </c>
      <c r="C1860" s="308" t="s">
        <v>2209</v>
      </c>
      <c r="D1860" s="296">
        <f t="shared" si="96"/>
        <v>1303046</v>
      </c>
      <c r="E1860" s="301">
        <v>0</v>
      </c>
      <c r="F1860" s="301">
        <v>0</v>
      </c>
      <c r="G1860" s="301">
        <v>1303046</v>
      </c>
      <c r="H1860" s="301">
        <v>0</v>
      </c>
      <c r="I1860" s="301">
        <v>0</v>
      </c>
      <c r="J1860" s="301">
        <v>0</v>
      </c>
      <c r="K1860" s="302">
        <v>0</v>
      </c>
      <c r="L1860" s="301">
        <v>0</v>
      </c>
      <c r="M1860" s="301">
        <v>0</v>
      </c>
      <c r="N1860" s="301">
        <v>0</v>
      </c>
      <c r="O1860" s="301">
        <v>0</v>
      </c>
      <c r="P1860" s="301">
        <v>0</v>
      </c>
      <c r="Q1860" s="301">
        <v>0</v>
      </c>
      <c r="R1860" s="301">
        <v>0</v>
      </c>
      <c r="S1860" s="301">
        <v>0</v>
      </c>
      <c r="T1860" s="301">
        <v>0</v>
      </c>
      <c r="U1860" s="301">
        <v>0</v>
      </c>
      <c r="V1860" s="301">
        <v>0</v>
      </c>
      <c r="W1860" s="301">
        <v>0</v>
      </c>
      <c r="X1860" s="301">
        <v>0</v>
      </c>
      <c r="Y1860" s="301">
        <v>0</v>
      </c>
      <c r="Z1860" s="301">
        <v>0</v>
      </c>
      <c r="AA1860" s="301">
        <v>0</v>
      </c>
      <c r="AB1860" s="303">
        <v>2022</v>
      </c>
    </row>
    <row r="1861" spans="1:28" ht="35.25" x14ac:dyDescent="0.5">
      <c r="A1861">
        <v>1</v>
      </c>
      <c r="B1861" s="80">
        <f>SUBTOTAL(103,$A$1697:A1861)</f>
        <v>165</v>
      </c>
      <c r="C1861" s="308" t="s">
        <v>1676</v>
      </c>
      <c r="D1861" s="296">
        <f t="shared" si="96"/>
        <v>1958342.4</v>
      </c>
      <c r="E1861" s="301">
        <v>0</v>
      </c>
      <c r="F1861" s="301">
        <v>200000</v>
      </c>
      <c r="G1861" s="301">
        <v>1238342.3999999999</v>
      </c>
      <c r="H1861" s="301">
        <v>0</v>
      </c>
      <c r="I1861" s="301">
        <v>0</v>
      </c>
      <c r="J1861" s="301">
        <v>0</v>
      </c>
      <c r="K1861" s="302">
        <v>0</v>
      </c>
      <c r="L1861" s="301">
        <v>0</v>
      </c>
      <c r="M1861" s="301">
        <v>0</v>
      </c>
      <c r="N1861" s="301">
        <v>0</v>
      </c>
      <c r="O1861" s="301">
        <v>520000</v>
      </c>
      <c r="P1861" s="301">
        <v>0</v>
      </c>
      <c r="Q1861" s="301">
        <v>0</v>
      </c>
      <c r="R1861" s="301">
        <v>0</v>
      </c>
      <c r="S1861" s="301">
        <v>0</v>
      </c>
      <c r="T1861" s="301">
        <v>0</v>
      </c>
      <c r="U1861" s="301">
        <v>0</v>
      </c>
      <c r="V1861" s="301">
        <v>0</v>
      </c>
      <c r="W1861" s="301">
        <v>0</v>
      </c>
      <c r="X1861" s="301">
        <v>0</v>
      </c>
      <c r="Y1861" s="301">
        <v>0</v>
      </c>
      <c r="Z1861" s="301">
        <v>0</v>
      </c>
      <c r="AA1861" s="301">
        <v>0</v>
      </c>
      <c r="AB1861" s="303">
        <v>2022</v>
      </c>
    </row>
    <row r="1862" spans="1:28" ht="35.25" x14ac:dyDescent="0.5">
      <c r="A1862">
        <v>1</v>
      </c>
      <c r="B1862" s="80">
        <f>SUBTOTAL(103,$A$1697:A1862)</f>
        <v>166</v>
      </c>
      <c r="C1862" s="308" t="s">
        <v>3284</v>
      </c>
      <c r="D1862" s="296">
        <f t="shared" si="96"/>
        <v>5709189.5999999996</v>
      </c>
      <c r="E1862" s="301">
        <v>0</v>
      </c>
      <c r="F1862" s="301">
        <v>0</v>
      </c>
      <c r="G1862" s="301">
        <v>0</v>
      </c>
      <c r="H1862" s="301">
        <v>0</v>
      </c>
      <c r="I1862" s="301">
        <v>0</v>
      </c>
      <c r="J1862" s="301">
        <v>0</v>
      </c>
      <c r="K1862" s="302">
        <v>2</v>
      </c>
      <c r="L1862" s="301">
        <v>5709189.5999999996</v>
      </c>
      <c r="M1862" s="301">
        <v>0</v>
      </c>
      <c r="N1862" s="301">
        <v>0</v>
      </c>
      <c r="O1862" s="301">
        <v>0</v>
      </c>
      <c r="P1862" s="301">
        <v>0</v>
      </c>
      <c r="Q1862" s="301">
        <v>0</v>
      </c>
      <c r="R1862" s="301">
        <v>0</v>
      </c>
      <c r="S1862" s="301">
        <v>0</v>
      </c>
      <c r="T1862" s="301">
        <v>0</v>
      </c>
      <c r="U1862" s="301">
        <v>0</v>
      </c>
      <c r="V1862" s="301">
        <v>0</v>
      </c>
      <c r="W1862" s="301">
        <v>0</v>
      </c>
      <c r="X1862" s="301">
        <v>0</v>
      </c>
      <c r="Y1862" s="301">
        <v>0</v>
      </c>
      <c r="Z1862" s="301">
        <v>0</v>
      </c>
      <c r="AA1862" s="301">
        <v>0</v>
      </c>
      <c r="AB1862" s="303">
        <v>2022</v>
      </c>
    </row>
    <row r="1863" spans="1:28" ht="35.25" x14ac:dyDescent="0.5">
      <c r="A1863">
        <v>1</v>
      </c>
      <c r="B1863" s="80">
        <f>SUBTOTAL(103,$A$1697:A1863)</f>
        <v>167</v>
      </c>
      <c r="C1863" s="308" t="s">
        <v>3496</v>
      </c>
      <c r="D1863" s="296">
        <f t="shared" si="96"/>
        <v>900000</v>
      </c>
      <c r="E1863" s="301">
        <v>0</v>
      </c>
      <c r="F1863" s="301">
        <v>0</v>
      </c>
      <c r="G1863" s="301">
        <v>0</v>
      </c>
      <c r="H1863" s="301">
        <v>0</v>
      </c>
      <c r="I1863" s="301">
        <v>0</v>
      </c>
      <c r="J1863" s="301">
        <v>0</v>
      </c>
      <c r="K1863" s="302">
        <v>0</v>
      </c>
      <c r="L1863" s="301">
        <v>0</v>
      </c>
      <c r="M1863" s="301">
        <v>900000</v>
      </c>
      <c r="N1863" s="301">
        <v>0</v>
      </c>
      <c r="O1863" s="301">
        <v>0</v>
      </c>
      <c r="P1863" s="301">
        <v>0</v>
      </c>
      <c r="Q1863" s="301">
        <v>0</v>
      </c>
      <c r="R1863" s="301">
        <v>0</v>
      </c>
      <c r="S1863" s="301">
        <v>0</v>
      </c>
      <c r="T1863" s="301">
        <v>0</v>
      </c>
      <c r="U1863" s="301">
        <v>0</v>
      </c>
      <c r="V1863" s="301">
        <v>0</v>
      </c>
      <c r="W1863" s="301">
        <v>0</v>
      </c>
      <c r="X1863" s="301">
        <v>0</v>
      </c>
      <c r="Y1863" s="301">
        <v>0</v>
      </c>
      <c r="Z1863" s="301">
        <v>0</v>
      </c>
      <c r="AA1863" s="301">
        <v>0</v>
      </c>
      <c r="AB1863" s="303">
        <v>2022</v>
      </c>
    </row>
    <row r="1864" spans="1:28" ht="35.25" customHeight="1" x14ac:dyDescent="0.5">
      <c r="A1864">
        <v>1</v>
      </c>
      <c r="B1864" s="80">
        <f>SUBTOTAL(103,$A$1697:A1864)</f>
        <v>168</v>
      </c>
      <c r="C1864" s="308" t="s">
        <v>3497</v>
      </c>
      <c r="D1864" s="296">
        <f t="shared" si="96"/>
        <v>719975</v>
      </c>
      <c r="E1864" s="301">
        <v>0</v>
      </c>
      <c r="F1864" s="301">
        <v>0</v>
      </c>
      <c r="G1864" s="301">
        <v>0</v>
      </c>
      <c r="H1864" s="301">
        <v>0</v>
      </c>
      <c r="I1864" s="301">
        <v>0</v>
      </c>
      <c r="J1864" s="301">
        <v>0</v>
      </c>
      <c r="K1864" s="302">
        <v>0</v>
      </c>
      <c r="L1864" s="301">
        <v>0</v>
      </c>
      <c r="M1864" s="301">
        <v>0</v>
      </c>
      <c r="N1864" s="301">
        <v>274698</v>
      </c>
      <c r="O1864" s="301">
        <v>445277</v>
      </c>
      <c r="P1864" s="301">
        <v>0</v>
      </c>
      <c r="Q1864" s="301">
        <v>0</v>
      </c>
      <c r="R1864" s="301">
        <v>0</v>
      </c>
      <c r="S1864" s="301">
        <v>0</v>
      </c>
      <c r="T1864" s="301">
        <v>0</v>
      </c>
      <c r="U1864" s="301">
        <v>0</v>
      </c>
      <c r="V1864" s="301">
        <v>0</v>
      </c>
      <c r="W1864" s="301">
        <v>0</v>
      </c>
      <c r="X1864" s="301">
        <v>0</v>
      </c>
      <c r="Y1864" s="301">
        <v>0</v>
      </c>
      <c r="Z1864" s="301">
        <v>0</v>
      </c>
      <c r="AA1864" s="301">
        <v>0</v>
      </c>
      <c r="AB1864" s="303">
        <v>2022</v>
      </c>
    </row>
    <row r="1865" spans="1:28" ht="35.25" customHeight="1" x14ac:dyDescent="0.5">
      <c r="A1865">
        <v>1</v>
      </c>
      <c r="B1865" s="80">
        <f>SUBTOTAL(103,$A$1697:A1865)</f>
        <v>169</v>
      </c>
      <c r="C1865" s="308" t="s">
        <v>3498</v>
      </c>
      <c r="D1865" s="296">
        <f t="shared" ref="D1865:D1928" si="97">E1865+F1865+G1865+H1865+I1865+J1865+L1865+M1865+N1865+O1865+P1865+Q1865+R1865+S1865+T1865+U1865+V1865+W1865+X1865+Y1865+Z1865+AA1865</f>
        <v>379835.4</v>
      </c>
      <c r="E1865" s="301">
        <v>0</v>
      </c>
      <c r="F1865" s="301">
        <v>0</v>
      </c>
      <c r="G1865" s="301">
        <v>379835.4</v>
      </c>
      <c r="H1865" s="301">
        <v>0</v>
      </c>
      <c r="I1865" s="301">
        <v>0</v>
      </c>
      <c r="J1865" s="301">
        <v>0</v>
      </c>
      <c r="K1865" s="302">
        <v>0</v>
      </c>
      <c r="L1865" s="301">
        <v>0</v>
      </c>
      <c r="M1865" s="301">
        <v>0</v>
      </c>
      <c r="N1865" s="301">
        <v>0</v>
      </c>
      <c r="O1865" s="301">
        <v>0</v>
      </c>
      <c r="P1865" s="301">
        <v>0</v>
      </c>
      <c r="Q1865" s="301">
        <v>0</v>
      </c>
      <c r="R1865" s="301">
        <v>0</v>
      </c>
      <c r="S1865" s="301">
        <v>0</v>
      </c>
      <c r="T1865" s="301">
        <v>0</v>
      </c>
      <c r="U1865" s="301">
        <v>0</v>
      </c>
      <c r="V1865" s="301">
        <v>0</v>
      </c>
      <c r="W1865" s="301">
        <v>0</v>
      </c>
      <c r="X1865" s="301">
        <v>0</v>
      </c>
      <c r="Y1865" s="301">
        <v>0</v>
      </c>
      <c r="Z1865" s="301">
        <v>0</v>
      </c>
      <c r="AA1865" s="301">
        <v>0</v>
      </c>
      <c r="AB1865" s="303">
        <v>2022</v>
      </c>
    </row>
    <row r="1866" spans="1:28" ht="35.25" customHeight="1" x14ac:dyDescent="0.5">
      <c r="A1866">
        <v>1</v>
      </c>
      <c r="B1866" s="80">
        <f>SUBTOTAL(103,$A$1697:A1866)</f>
        <v>170</v>
      </c>
      <c r="C1866" s="308" t="s">
        <v>3020</v>
      </c>
      <c r="D1866" s="296">
        <f t="shared" si="97"/>
        <v>1227534</v>
      </c>
      <c r="E1866" s="301">
        <v>0</v>
      </c>
      <c r="F1866" s="301">
        <v>0</v>
      </c>
      <c r="G1866" s="301">
        <v>1227534</v>
      </c>
      <c r="H1866" s="301">
        <v>0</v>
      </c>
      <c r="I1866" s="301">
        <v>0</v>
      </c>
      <c r="J1866" s="301">
        <v>0</v>
      </c>
      <c r="K1866" s="302">
        <v>0</v>
      </c>
      <c r="L1866" s="301">
        <v>0</v>
      </c>
      <c r="M1866" s="301">
        <v>0</v>
      </c>
      <c r="N1866" s="301">
        <v>0</v>
      </c>
      <c r="O1866" s="301">
        <v>0</v>
      </c>
      <c r="P1866" s="301">
        <v>0</v>
      </c>
      <c r="Q1866" s="301">
        <v>0</v>
      </c>
      <c r="R1866" s="301">
        <v>0</v>
      </c>
      <c r="S1866" s="301">
        <v>0</v>
      </c>
      <c r="T1866" s="301">
        <v>0</v>
      </c>
      <c r="U1866" s="301">
        <v>0</v>
      </c>
      <c r="V1866" s="301">
        <v>0</v>
      </c>
      <c r="W1866" s="301">
        <v>0</v>
      </c>
      <c r="X1866" s="301">
        <v>0</v>
      </c>
      <c r="Y1866" s="301">
        <v>0</v>
      </c>
      <c r="Z1866" s="301">
        <v>0</v>
      </c>
      <c r="AA1866" s="301">
        <v>0</v>
      </c>
      <c r="AB1866" s="303">
        <v>2022</v>
      </c>
    </row>
    <row r="1867" spans="1:28" ht="35.25" customHeight="1" x14ac:dyDescent="0.5">
      <c r="A1867">
        <v>1</v>
      </c>
      <c r="B1867" s="80">
        <f>SUBTOTAL(103,$A$1697:A1867)</f>
        <v>171</v>
      </c>
      <c r="C1867" s="308" t="s">
        <v>3499</v>
      </c>
      <c r="D1867" s="296">
        <f t="shared" si="97"/>
        <v>2450000</v>
      </c>
      <c r="E1867" s="301">
        <v>0</v>
      </c>
      <c r="F1867" s="301">
        <v>0</v>
      </c>
      <c r="G1867" s="301">
        <v>250000</v>
      </c>
      <c r="H1867" s="301">
        <v>0</v>
      </c>
      <c r="I1867" s="301">
        <v>0</v>
      </c>
      <c r="J1867" s="301">
        <v>0</v>
      </c>
      <c r="K1867" s="302">
        <v>0</v>
      </c>
      <c r="L1867" s="301">
        <v>0</v>
      </c>
      <c r="M1867" s="301">
        <v>0</v>
      </c>
      <c r="N1867" s="301">
        <v>0</v>
      </c>
      <c r="O1867" s="301">
        <v>2200000</v>
      </c>
      <c r="P1867" s="301">
        <v>0</v>
      </c>
      <c r="Q1867" s="301">
        <v>0</v>
      </c>
      <c r="R1867" s="301">
        <v>0</v>
      </c>
      <c r="S1867" s="301">
        <v>0</v>
      </c>
      <c r="T1867" s="301">
        <v>0</v>
      </c>
      <c r="U1867" s="301">
        <v>0</v>
      </c>
      <c r="V1867" s="301">
        <v>0</v>
      </c>
      <c r="W1867" s="301">
        <v>0</v>
      </c>
      <c r="X1867" s="301">
        <v>0</v>
      </c>
      <c r="Y1867" s="301">
        <v>0</v>
      </c>
      <c r="Z1867" s="301">
        <v>0</v>
      </c>
      <c r="AA1867" s="301">
        <v>0</v>
      </c>
      <c r="AB1867" s="303">
        <v>2022</v>
      </c>
    </row>
    <row r="1868" spans="1:28" ht="35.25" customHeight="1" x14ac:dyDescent="0.5">
      <c r="A1868">
        <v>1</v>
      </c>
      <c r="B1868" s="80">
        <f>SUBTOTAL(103,$A$1697:A1868)</f>
        <v>172</v>
      </c>
      <c r="C1868" s="308" t="s">
        <v>2653</v>
      </c>
      <c r="D1868" s="296">
        <f t="shared" si="97"/>
        <v>450000</v>
      </c>
      <c r="E1868" s="301">
        <v>0</v>
      </c>
      <c r="F1868" s="301">
        <v>0</v>
      </c>
      <c r="G1868" s="301">
        <v>450000</v>
      </c>
      <c r="H1868" s="301">
        <v>0</v>
      </c>
      <c r="I1868" s="301">
        <v>0</v>
      </c>
      <c r="J1868" s="301">
        <v>0</v>
      </c>
      <c r="K1868" s="302">
        <v>0</v>
      </c>
      <c r="L1868" s="301">
        <v>0</v>
      </c>
      <c r="M1868" s="301">
        <v>0</v>
      </c>
      <c r="N1868" s="301">
        <v>0</v>
      </c>
      <c r="O1868" s="301">
        <v>0</v>
      </c>
      <c r="P1868" s="301">
        <v>0</v>
      </c>
      <c r="Q1868" s="301">
        <v>0</v>
      </c>
      <c r="R1868" s="301">
        <v>0</v>
      </c>
      <c r="S1868" s="301">
        <v>0</v>
      </c>
      <c r="T1868" s="301">
        <v>0</v>
      </c>
      <c r="U1868" s="301">
        <v>0</v>
      </c>
      <c r="V1868" s="301">
        <v>0</v>
      </c>
      <c r="W1868" s="301">
        <v>0</v>
      </c>
      <c r="X1868" s="301">
        <v>0</v>
      </c>
      <c r="Y1868" s="301">
        <v>0</v>
      </c>
      <c r="Z1868" s="301">
        <v>0</v>
      </c>
      <c r="AA1868" s="301">
        <v>0</v>
      </c>
      <c r="AB1868" s="303">
        <v>2022</v>
      </c>
    </row>
    <row r="1869" spans="1:28" ht="35.25" customHeight="1" x14ac:dyDescent="0.5">
      <c r="A1869">
        <v>1</v>
      </c>
      <c r="B1869" s="80">
        <f>SUBTOTAL(103,$A$1697:A1869)</f>
        <v>173</v>
      </c>
      <c r="C1869" s="308" t="s">
        <v>3282</v>
      </c>
      <c r="D1869" s="296">
        <f t="shared" si="97"/>
        <v>9276214.8000000007</v>
      </c>
      <c r="E1869" s="301">
        <v>0</v>
      </c>
      <c r="F1869" s="301">
        <v>0</v>
      </c>
      <c r="G1869" s="301">
        <v>0</v>
      </c>
      <c r="H1869" s="301">
        <v>0</v>
      </c>
      <c r="I1869" s="301">
        <v>0</v>
      </c>
      <c r="J1869" s="301">
        <v>0</v>
      </c>
      <c r="K1869" s="302">
        <v>3</v>
      </c>
      <c r="L1869" s="301">
        <v>9156214.8000000007</v>
      </c>
      <c r="M1869" s="301">
        <v>0</v>
      </c>
      <c r="N1869" s="301">
        <v>0</v>
      </c>
      <c r="O1869" s="301">
        <v>0</v>
      </c>
      <c r="P1869" s="301">
        <v>0</v>
      </c>
      <c r="Q1869" s="301">
        <v>0</v>
      </c>
      <c r="R1869" s="301">
        <v>0</v>
      </c>
      <c r="S1869" s="301">
        <v>0</v>
      </c>
      <c r="T1869" s="301">
        <v>0</v>
      </c>
      <c r="U1869" s="301">
        <v>0</v>
      </c>
      <c r="V1869" s="301">
        <v>0</v>
      </c>
      <c r="W1869" s="301">
        <v>0</v>
      </c>
      <c r="X1869" s="301">
        <v>0</v>
      </c>
      <c r="Y1869" s="301">
        <v>0</v>
      </c>
      <c r="Z1869" s="301">
        <v>120000</v>
      </c>
      <c r="AA1869" s="301">
        <v>0</v>
      </c>
      <c r="AB1869" s="303">
        <v>2022</v>
      </c>
    </row>
    <row r="1870" spans="1:28" ht="35.25" customHeight="1" x14ac:dyDescent="0.5">
      <c r="A1870">
        <v>1</v>
      </c>
      <c r="B1870" s="80">
        <f>SUBTOTAL(103,$A$1697:A1870)</f>
        <v>174</v>
      </c>
      <c r="C1870" s="308" t="s">
        <v>3281</v>
      </c>
      <c r="D1870" s="296">
        <f t="shared" si="97"/>
        <v>6207081.5999999996</v>
      </c>
      <c r="E1870" s="301">
        <v>0</v>
      </c>
      <c r="F1870" s="301">
        <v>0</v>
      </c>
      <c r="G1870" s="301">
        <v>0</v>
      </c>
      <c r="H1870" s="301">
        <v>0</v>
      </c>
      <c r="I1870" s="301">
        <v>0</v>
      </c>
      <c r="J1870" s="301">
        <v>0</v>
      </c>
      <c r="K1870" s="302">
        <v>2</v>
      </c>
      <c r="L1870" s="301">
        <v>6087081.5999999996</v>
      </c>
      <c r="M1870" s="301">
        <v>0</v>
      </c>
      <c r="N1870" s="301">
        <v>0</v>
      </c>
      <c r="O1870" s="301">
        <v>0</v>
      </c>
      <c r="P1870" s="301">
        <v>0</v>
      </c>
      <c r="Q1870" s="301">
        <v>0</v>
      </c>
      <c r="R1870" s="301">
        <v>0</v>
      </c>
      <c r="S1870" s="301">
        <v>0</v>
      </c>
      <c r="T1870" s="301">
        <v>0</v>
      </c>
      <c r="U1870" s="301">
        <v>0</v>
      </c>
      <c r="V1870" s="301">
        <v>0</v>
      </c>
      <c r="W1870" s="301">
        <v>0</v>
      </c>
      <c r="X1870" s="301">
        <v>0</v>
      </c>
      <c r="Y1870" s="301">
        <v>0</v>
      </c>
      <c r="Z1870" s="301">
        <v>120000</v>
      </c>
      <c r="AA1870" s="301">
        <v>0</v>
      </c>
      <c r="AB1870" s="303">
        <v>2022</v>
      </c>
    </row>
    <row r="1871" spans="1:28" ht="35.25" customHeight="1" x14ac:dyDescent="0.5">
      <c r="A1871">
        <v>1</v>
      </c>
      <c r="B1871" s="80">
        <f>SUBTOTAL(103,$A$1697:A1871)</f>
        <v>175</v>
      </c>
      <c r="C1871" s="308" t="s">
        <v>3500</v>
      </c>
      <c r="D1871" s="296">
        <f t="shared" si="97"/>
        <v>1666534</v>
      </c>
      <c r="E1871" s="301">
        <v>0</v>
      </c>
      <c r="F1871" s="301">
        <v>0</v>
      </c>
      <c r="G1871" s="301">
        <v>1666534</v>
      </c>
      <c r="H1871" s="301">
        <v>0</v>
      </c>
      <c r="I1871" s="301">
        <v>0</v>
      </c>
      <c r="J1871" s="301">
        <v>0</v>
      </c>
      <c r="K1871" s="302">
        <v>0</v>
      </c>
      <c r="L1871" s="301">
        <v>0</v>
      </c>
      <c r="M1871" s="301">
        <v>0</v>
      </c>
      <c r="N1871" s="301">
        <v>0</v>
      </c>
      <c r="O1871" s="301">
        <v>0</v>
      </c>
      <c r="P1871" s="301">
        <v>0</v>
      </c>
      <c r="Q1871" s="301">
        <v>0</v>
      </c>
      <c r="R1871" s="301">
        <v>0</v>
      </c>
      <c r="S1871" s="301">
        <v>0</v>
      </c>
      <c r="T1871" s="301">
        <v>0</v>
      </c>
      <c r="U1871" s="301">
        <v>0</v>
      </c>
      <c r="V1871" s="301">
        <v>0</v>
      </c>
      <c r="W1871" s="301">
        <v>0</v>
      </c>
      <c r="X1871" s="301">
        <v>0</v>
      </c>
      <c r="Y1871" s="301">
        <v>0</v>
      </c>
      <c r="Z1871" s="301">
        <v>0</v>
      </c>
      <c r="AA1871" s="301">
        <v>0</v>
      </c>
      <c r="AB1871" s="303">
        <v>2022</v>
      </c>
    </row>
    <row r="1872" spans="1:28" ht="35.25" customHeight="1" x14ac:dyDescent="0.5">
      <c r="A1872">
        <v>1</v>
      </c>
      <c r="B1872" s="80">
        <f>SUBTOTAL(103,$A$1697:A1872)</f>
        <v>176</v>
      </c>
      <c r="C1872" s="308" t="s">
        <v>3501</v>
      </c>
      <c r="D1872" s="296">
        <f t="shared" si="97"/>
        <v>1737732.96</v>
      </c>
      <c r="E1872" s="301">
        <v>0</v>
      </c>
      <c r="F1872" s="301">
        <v>0</v>
      </c>
      <c r="G1872" s="301">
        <v>0</v>
      </c>
      <c r="H1872" s="301">
        <v>0</v>
      </c>
      <c r="I1872" s="301">
        <v>0</v>
      </c>
      <c r="J1872" s="301">
        <v>0</v>
      </c>
      <c r="K1872" s="302">
        <v>0</v>
      </c>
      <c r="L1872" s="301">
        <v>0</v>
      </c>
      <c r="M1872" s="301">
        <v>1737732.96</v>
      </c>
      <c r="N1872" s="301">
        <v>0</v>
      </c>
      <c r="O1872" s="301">
        <v>0</v>
      </c>
      <c r="P1872" s="301">
        <v>0</v>
      </c>
      <c r="Q1872" s="301">
        <v>0</v>
      </c>
      <c r="R1872" s="301">
        <v>0</v>
      </c>
      <c r="S1872" s="301">
        <v>0</v>
      </c>
      <c r="T1872" s="301">
        <v>0</v>
      </c>
      <c r="U1872" s="301">
        <v>0</v>
      </c>
      <c r="V1872" s="301">
        <v>0</v>
      </c>
      <c r="W1872" s="301">
        <v>0</v>
      </c>
      <c r="X1872" s="301">
        <v>0</v>
      </c>
      <c r="Y1872" s="301">
        <v>0</v>
      </c>
      <c r="Z1872" s="301">
        <v>0</v>
      </c>
      <c r="AA1872" s="301">
        <v>0</v>
      </c>
      <c r="AB1872" s="303">
        <v>2022</v>
      </c>
    </row>
    <row r="1873" spans="1:28" ht="35.25" customHeight="1" x14ac:dyDescent="0.5">
      <c r="A1873">
        <v>1</v>
      </c>
      <c r="B1873" s="80">
        <f>SUBTOTAL(103,$A$1697:A1873)</f>
        <v>177</v>
      </c>
      <c r="C1873" s="308" t="s">
        <v>3280</v>
      </c>
      <c r="D1873" s="296">
        <f t="shared" si="97"/>
        <v>3188798.4</v>
      </c>
      <c r="E1873" s="301">
        <v>0</v>
      </c>
      <c r="F1873" s="301">
        <v>0</v>
      </c>
      <c r="G1873" s="301">
        <v>0</v>
      </c>
      <c r="H1873" s="301">
        <v>0</v>
      </c>
      <c r="I1873" s="301">
        <v>0</v>
      </c>
      <c r="J1873" s="301">
        <v>0</v>
      </c>
      <c r="K1873" s="302">
        <v>1</v>
      </c>
      <c r="L1873" s="301">
        <v>3068798.4</v>
      </c>
      <c r="M1873" s="301">
        <v>0</v>
      </c>
      <c r="N1873" s="301">
        <v>0</v>
      </c>
      <c r="O1873" s="301">
        <v>0</v>
      </c>
      <c r="P1873" s="301">
        <v>0</v>
      </c>
      <c r="Q1873" s="301">
        <v>0</v>
      </c>
      <c r="R1873" s="301">
        <v>0</v>
      </c>
      <c r="S1873" s="301">
        <v>0</v>
      </c>
      <c r="T1873" s="301">
        <v>0</v>
      </c>
      <c r="U1873" s="301">
        <v>0</v>
      </c>
      <c r="V1873" s="301">
        <v>0</v>
      </c>
      <c r="W1873" s="301">
        <v>0</v>
      </c>
      <c r="X1873" s="301">
        <v>0</v>
      </c>
      <c r="Y1873" s="301">
        <v>0</v>
      </c>
      <c r="Z1873" s="301">
        <v>120000</v>
      </c>
      <c r="AA1873" s="301">
        <v>0</v>
      </c>
      <c r="AB1873" s="303">
        <v>2022</v>
      </c>
    </row>
    <row r="1874" spans="1:28" ht="35.25" customHeight="1" x14ac:dyDescent="0.5">
      <c r="A1874">
        <v>1</v>
      </c>
      <c r="B1874" s="80">
        <f>SUBTOTAL(103,$A$1697:A1874)</f>
        <v>178</v>
      </c>
      <c r="C1874" s="308" t="s">
        <v>3547</v>
      </c>
      <c r="D1874" s="296">
        <f t="shared" si="97"/>
        <v>500500</v>
      </c>
      <c r="E1874" s="301">
        <v>0</v>
      </c>
      <c r="F1874" s="301">
        <v>0</v>
      </c>
      <c r="G1874" s="301">
        <v>0</v>
      </c>
      <c r="H1874" s="301">
        <v>0</v>
      </c>
      <c r="I1874" s="301">
        <v>0</v>
      </c>
      <c r="J1874" s="301">
        <v>0</v>
      </c>
      <c r="K1874" s="302">
        <v>0</v>
      </c>
      <c r="L1874" s="301">
        <v>0</v>
      </c>
      <c r="M1874" s="301">
        <v>235000</v>
      </c>
      <c r="N1874" s="301">
        <v>0</v>
      </c>
      <c r="O1874" s="301">
        <v>265500</v>
      </c>
      <c r="P1874" s="301">
        <v>0</v>
      </c>
      <c r="Q1874" s="301">
        <v>0</v>
      </c>
      <c r="R1874" s="301">
        <v>0</v>
      </c>
      <c r="S1874" s="301">
        <v>0</v>
      </c>
      <c r="T1874" s="301">
        <v>0</v>
      </c>
      <c r="U1874" s="301">
        <v>0</v>
      </c>
      <c r="V1874" s="301">
        <v>0</v>
      </c>
      <c r="W1874" s="301">
        <v>0</v>
      </c>
      <c r="X1874" s="301">
        <v>0</v>
      </c>
      <c r="Y1874" s="301">
        <v>0</v>
      </c>
      <c r="Z1874" s="301">
        <v>0</v>
      </c>
      <c r="AA1874" s="301">
        <v>0</v>
      </c>
      <c r="AB1874" s="303">
        <v>2022</v>
      </c>
    </row>
    <row r="1875" spans="1:28" ht="35.25" customHeight="1" x14ac:dyDescent="0.5">
      <c r="A1875">
        <v>1</v>
      </c>
      <c r="B1875" s="80">
        <f>SUBTOTAL(103,$A$1697:A1875)</f>
        <v>179</v>
      </c>
      <c r="C1875" s="308" t="s">
        <v>3548</v>
      </c>
      <c r="D1875" s="296">
        <f t="shared" si="97"/>
        <v>492734</v>
      </c>
      <c r="E1875" s="301">
        <v>0</v>
      </c>
      <c r="F1875" s="301">
        <v>0</v>
      </c>
      <c r="G1875" s="301">
        <v>0</v>
      </c>
      <c r="H1875" s="301">
        <v>0</v>
      </c>
      <c r="I1875" s="301">
        <v>0</v>
      </c>
      <c r="J1875" s="301">
        <v>0</v>
      </c>
      <c r="K1875" s="302">
        <v>0</v>
      </c>
      <c r="L1875" s="301">
        <v>0</v>
      </c>
      <c r="M1875" s="301">
        <v>0</v>
      </c>
      <c r="N1875" s="301">
        <v>0</v>
      </c>
      <c r="O1875" s="301">
        <v>492734</v>
      </c>
      <c r="P1875" s="301">
        <v>0</v>
      </c>
      <c r="Q1875" s="301">
        <v>0</v>
      </c>
      <c r="R1875" s="301">
        <v>0</v>
      </c>
      <c r="S1875" s="301">
        <v>0</v>
      </c>
      <c r="T1875" s="301">
        <v>0</v>
      </c>
      <c r="U1875" s="301">
        <v>0</v>
      </c>
      <c r="V1875" s="301">
        <v>0</v>
      </c>
      <c r="W1875" s="301">
        <v>0</v>
      </c>
      <c r="X1875" s="301">
        <v>0</v>
      </c>
      <c r="Y1875" s="301">
        <v>0</v>
      </c>
      <c r="Z1875" s="301">
        <v>0</v>
      </c>
      <c r="AA1875" s="301">
        <v>0</v>
      </c>
      <c r="AB1875" s="303">
        <v>2022</v>
      </c>
    </row>
    <row r="1876" spans="1:28" ht="35.25" customHeight="1" x14ac:dyDescent="0.5">
      <c r="A1876">
        <v>1</v>
      </c>
      <c r="B1876" s="80">
        <f>SUBTOTAL(103,$A$1697:A1876)</f>
        <v>180</v>
      </c>
      <c r="C1876" s="308" t="s">
        <v>3549</v>
      </c>
      <c r="D1876" s="296">
        <f t="shared" si="97"/>
        <v>752110</v>
      </c>
      <c r="E1876" s="301">
        <v>0</v>
      </c>
      <c r="F1876" s="301">
        <v>0</v>
      </c>
      <c r="G1876" s="301">
        <v>0</v>
      </c>
      <c r="H1876" s="301">
        <v>0</v>
      </c>
      <c r="I1876" s="301">
        <v>0</v>
      </c>
      <c r="J1876" s="301">
        <v>0</v>
      </c>
      <c r="K1876" s="302">
        <v>0</v>
      </c>
      <c r="L1876" s="301">
        <v>0</v>
      </c>
      <c r="M1876" s="301">
        <v>752110</v>
      </c>
      <c r="N1876" s="301">
        <v>0</v>
      </c>
      <c r="O1876" s="301">
        <v>0</v>
      </c>
      <c r="P1876" s="301">
        <v>0</v>
      </c>
      <c r="Q1876" s="301">
        <v>0</v>
      </c>
      <c r="R1876" s="301">
        <v>0</v>
      </c>
      <c r="S1876" s="301">
        <v>0</v>
      </c>
      <c r="T1876" s="301">
        <v>0</v>
      </c>
      <c r="U1876" s="301">
        <v>0</v>
      </c>
      <c r="V1876" s="301">
        <v>0</v>
      </c>
      <c r="W1876" s="301">
        <v>0</v>
      </c>
      <c r="X1876" s="301">
        <v>0</v>
      </c>
      <c r="Y1876" s="301">
        <v>0</v>
      </c>
      <c r="Z1876" s="301">
        <v>0</v>
      </c>
      <c r="AA1876" s="301">
        <v>0</v>
      </c>
      <c r="AB1876" s="303">
        <v>2022</v>
      </c>
    </row>
    <row r="1877" spans="1:28" ht="35.25" customHeight="1" x14ac:dyDescent="0.5">
      <c r="A1877">
        <v>1</v>
      </c>
      <c r="B1877" s="80">
        <f>SUBTOTAL(103,$A$1697:A1877)</f>
        <v>181</v>
      </c>
      <c r="C1877" s="308" t="s">
        <v>1615</v>
      </c>
      <c r="D1877" s="296">
        <f t="shared" si="97"/>
        <v>488562</v>
      </c>
      <c r="E1877" s="301">
        <v>0</v>
      </c>
      <c r="F1877" s="301">
        <v>0</v>
      </c>
      <c r="G1877" s="301">
        <v>0</v>
      </c>
      <c r="H1877" s="301">
        <v>0</v>
      </c>
      <c r="I1877" s="301">
        <v>0</v>
      </c>
      <c r="J1877" s="301">
        <v>0</v>
      </c>
      <c r="K1877" s="302">
        <v>0</v>
      </c>
      <c r="L1877" s="301">
        <v>0</v>
      </c>
      <c r="M1877" s="301">
        <v>0</v>
      </c>
      <c r="N1877" s="301">
        <v>0</v>
      </c>
      <c r="O1877" s="301">
        <v>488562</v>
      </c>
      <c r="P1877" s="301">
        <v>0</v>
      </c>
      <c r="Q1877" s="301">
        <v>0</v>
      </c>
      <c r="R1877" s="301">
        <v>0</v>
      </c>
      <c r="S1877" s="301">
        <v>0</v>
      </c>
      <c r="T1877" s="301">
        <v>0</v>
      </c>
      <c r="U1877" s="301">
        <v>0</v>
      </c>
      <c r="V1877" s="301">
        <v>0</v>
      </c>
      <c r="W1877" s="301">
        <v>0</v>
      </c>
      <c r="X1877" s="301">
        <v>0</v>
      </c>
      <c r="Y1877" s="301">
        <v>0</v>
      </c>
      <c r="Z1877" s="301">
        <v>0</v>
      </c>
      <c r="AA1877" s="301">
        <v>0</v>
      </c>
      <c r="AB1877" s="303">
        <v>2022</v>
      </c>
    </row>
    <row r="1878" spans="1:28" ht="35.25" customHeight="1" x14ac:dyDescent="0.5">
      <c r="A1878">
        <v>1</v>
      </c>
      <c r="B1878" s="80">
        <f>SUBTOTAL(103,$A$1697:A1878)</f>
        <v>182</v>
      </c>
      <c r="C1878" s="308" t="s">
        <v>3301</v>
      </c>
      <c r="D1878" s="296">
        <f t="shared" si="97"/>
        <v>177941</v>
      </c>
      <c r="E1878" s="301">
        <v>0</v>
      </c>
      <c r="F1878" s="301">
        <v>177941</v>
      </c>
      <c r="G1878" s="301">
        <v>0</v>
      </c>
      <c r="H1878" s="301">
        <v>0</v>
      </c>
      <c r="I1878" s="301">
        <v>0</v>
      </c>
      <c r="J1878" s="301">
        <v>0</v>
      </c>
      <c r="K1878" s="302">
        <v>0</v>
      </c>
      <c r="L1878" s="301">
        <v>0</v>
      </c>
      <c r="M1878" s="301">
        <v>0</v>
      </c>
      <c r="N1878" s="301">
        <v>0</v>
      </c>
      <c r="O1878" s="301">
        <v>0</v>
      </c>
      <c r="P1878" s="301">
        <v>0</v>
      </c>
      <c r="Q1878" s="301">
        <v>0</v>
      </c>
      <c r="R1878" s="301">
        <v>0</v>
      </c>
      <c r="S1878" s="301">
        <v>0</v>
      </c>
      <c r="T1878" s="301">
        <v>0</v>
      </c>
      <c r="U1878" s="301">
        <v>0</v>
      </c>
      <c r="V1878" s="301">
        <v>0</v>
      </c>
      <c r="W1878" s="301">
        <v>0</v>
      </c>
      <c r="X1878" s="301">
        <v>0</v>
      </c>
      <c r="Y1878" s="301">
        <v>0</v>
      </c>
      <c r="Z1878" s="301">
        <v>0</v>
      </c>
      <c r="AA1878" s="301">
        <v>0</v>
      </c>
      <c r="AB1878" s="303">
        <v>2022</v>
      </c>
    </row>
    <row r="1879" spans="1:28" ht="35.25" customHeight="1" x14ac:dyDescent="0.5">
      <c r="A1879">
        <v>1</v>
      </c>
      <c r="B1879" s="80">
        <f>SUBTOTAL(103,$A$1697:A1879)</f>
        <v>183</v>
      </c>
      <c r="C1879" s="308" t="s">
        <v>3550</v>
      </c>
      <c r="D1879" s="296">
        <f t="shared" si="97"/>
        <v>176995</v>
      </c>
      <c r="E1879" s="301">
        <v>0</v>
      </c>
      <c r="F1879" s="301">
        <v>0</v>
      </c>
      <c r="G1879" s="301">
        <v>176995</v>
      </c>
      <c r="H1879" s="301">
        <v>0</v>
      </c>
      <c r="I1879" s="301">
        <v>0</v>
      </c>
      <c r="J1879" s="301">
        <v>0</v>
      </c>
      <c r="K1879" s="302">
        <v>0</v>
      </c>
      <c r="L1879" s="301">
        <v>0</v>
      </c>
      <c r="M1879" s="301">
        <v>0</v>
      </c>
      <c r="N1879" s="301">
        <v>0</v>
      </c>
      <c r="O1879" s="301">
        <v>0</v>
      </c>
      <c r="P1879" s="301">
        <v>0</v>
      </c>
      <c r="Q1879" s="301">
        <v>0</v>
      </c>
      <c r="R1879" s="301">
        <v>0</v>
      </c>
      <c r="S1879" s="301">
        <v>0</v>
      </c>
      <c r="T1879" s="301">
        <v>0</v>
      </c>
      <c r="U1879" s="301">
        <v>0</v>
      </c>
      <c r="V1879" s="301">
        <v>0</v>
      </c>
      <c r="W1879" s="301">
        <v>0</v>
      </c>
      <c r="X1879" s="301">
        <v>0</v>
      </c>
      <c r="Y1879" s="301">
        <v>0</v>
      </c>
      <c r="Z1879" s="301">
        <v>0</v>
      </c>
      <c r="AA1879" s="301">
        <v>0</v>
      </c>
      <c r="AB1879" s="303">
        <v>2022</v>
      </c>
    </row>
    <row r="1880" spans="1:28" ht="35.25" customHeight="1" x14ac:dyDescent="0.5">
      <c r="A1880">
        <v>1</v>
      </c>
      <c r="B1880" s="80">
        <f>SUBTOTAL(103,$A$1697:A1880)</f>
        <v>184</v>
      </c>
      <c r="C1880" s="308" t="s">
        <v>1616</v>
      </c>
      <c r="D1880" s="296">
        <f t="shared" si="97"/>
        <v>538596</v>
      </c>
      <c r="E1880" s="301">
        <v>0</v>
      </c>
      <c r="F1880" s="301">
        <v>113618</v>
      </c>
      <c r="G1880" s="301">
        <v>162000</v>
      </c>
      <c r="H1880" s="301">
        <v>0</v>
      </c>
      <c r="I1880" s="301">
        <v>0</v>
      </c>
      <c r="J1880" s="301">
        <v>0</v>
      </c>
      <c r="K1880" s="302">
        <v>0</v>
      </c>
      <c r="L1880" s="301">
        <v>0</v>
      </c>
      <c r="M1880" s="301">
        <v>0</v>
      </c>
      <c r="N1880" s="301">
        <v>0</v>
      </c>
      <c r="O1880" s="301">
        <v>262978</v>
      </c>
      <c r="P1880" s="301">
        <v>0</v>
      </c>
      <c r="Q1880" s="301">
        <v>0</v>
      </c>
      <c r="R1880" s="301">
        <v>0</v>
      </c>
      <c r="S1880" s="301">
        <v>0</v>
      </c>
      <c r="T1880" s="301">
        <v>0</v>
      </c>
      <c r="U1880" s="301">
        <v>0</v>
      </c>
      <c r="V1880" s="301">
        <v>0</v>
      </c>
      <c r="W1880" s="301">
        <v>0</v>
      </c>
      <c r="X1880" s="301">
        <v>0</v>
      </c>
      <c r="Y1880" s="301">
        <v>0</v>
      </c>
      <c r="Z1880" s="301">
        <v>0</v>
      </c>
      <c r="AA1880" s="301">
        <v>0</v>
      </c>
      <c r="AB1880" s="303">
        <v>2022</v>
      </c>
    </row>
    <row r="1881" spans="1:28" ht="35.25" customHeight="1" x14ac:dyDescent="0.5">
      <c r="A1881">
        <v>1</v>
      </c>
      <c r="B1881" s="80">
        <f>SUBTOTAL(103,$A$1697:A1881)</f>
        <v>185</v>
      </c>
      <c r="C1881" s="308" t="s">
        <v>2716</v>
      </c>
      <c r="D1881" s="296">
        <f t="shared" si="97"/>
        <v>2207500</v>
      </c>
      <c r="E1881" s="301">
        <v>0</v>
      </c>
      <c r="F1881" s="301">
        <v>2207500</v>
      </c>
      <c r="G1881" s="301">
        <v>0</v>
      </c>
      <c r="H1881" s="301">
        <v>0</v>
      </c>
      <c r="I1881" s="301">
        <v>0</v>
      </c>
      <c r="J1881" s="301">
        <v>0</v>
      </c>
      <c r="K1881" s="302">
        <v>0</v>
      </c>
      <c r="L1881" s="301">
        <v>0</v>
      </c>
      <c r="M1881" s="301">
        <v>0</v>
      </c>
      <c r="N1881" s="301">
        <v>0</v>
      </c>
      <c r="O1881" s="301">
        <v>0</v>
      </c>
      <c r="P1881" s="301">
        <v>0</v>
      </c>
      <c r="Q1881" s="301">
        <v>0</v>
      </c>
      <c r="R1881" s="301">
        <v>0</v>
      </c>
      <c r="S1881" s="301">
        <v>0</v>
      </c>
      <c r="T1881" s="301">
        <v>0</v>
      </c>
      <c r="U1881" s="301">
        <v>0</v>
      </c>
      <c r="V1881" s="301">
        <v>0</v>
      </c>
      <c r="W1881" s="301">
        <v>0</v>
      </c>
      <c r="X1881" s="301">
        <v>0</v>
      </c>
      <c r="Y1881" s="301">
        <v>0</v>
      </c>
      <c r="Z1881" s="301">
        <v>0</v>
      </c>
      <c r="AA1881" s="301">
        <v>0</v>
      </c>
      <c r="AB1881" s="303">
        <v>2022</v>
      </c>
    </row>
    <row r="1882" spans="1:28" ht="35.25" customHeight="1" x14ac:dyDescent="0.5">
      <c r="A1882">
        <v>1</v>
      </c>
      <c r="B1882" s="80">
        <f>SUBTOTAL(103,$A$1697:A1882)</f>
        <v>186</v>
      </c>
      <c r="C1882" s="308" t="s">
        <v>1854</v>
      </c>
      <c r="D1882" s="296">
        <f t="shared" si="97"/>
        <v>384126.4</v>
      </c>
      <c r="E1882" s="301">
        <v>0</v>
      </c>
      <c r="F1882" s="301">
        <v>0</v>
      </c>
      <c r="G1882" s="301">
        <v>0</v>
      </c>
      <c r="H1882" s="301">
        <v>0</v>
      </c>
      <c r="I1882" s="301">
        <v>0</v>
      </c>
      <c r="J1882" s="301">
        <v>0</v>
      </c>
      <c r="K1882" s="302">
        <v>0</v>
      </c>
      <c r="L1882" s="301">
        <v>0</v>
      </c>
      <c r="M1882" s="301">
        <v>0</v>
      </c>
      <c r="N1882" s="301">
        <v>0</v>
      </c>
      <c r="O1882" s="301">
        <v>34126.400000000001</v>
      </c>
      <c r="P1882" s="301">
        <v>350000</v>
      </c>
      <c r="Q1882" s="301">
        <v>0</v>
      </c>
      <c r="R1882" s="301">
        <v>0</v>
      </c>
      <c r="S1882" s="301">
        <v>0</v>
      </c>
      <c r="T1882" s="301">
        <v>0</v>
      </c>
      <c r="U1882" s="301">
        <v>0</v>
      </c>
      <c r="V1882" s="301">
        <v>0</v>
      </c>
      <c r="W1882" s="301">
        <v>0</v>
      </c>
      <c r="X1882" s="301">
        <v>0</v>
      </c>
      <c r="Y1882" s="301">
        <v>0</v>
      </c>
      <c r="Z1882" s="301">
        <v>0</v>
      </c>
      <c r="AA1882" s="301">
        <v>0</v>
      </c>
      <c r="AB1882" s="303">
        <v>2022</v>
      </c>
    </row>
    <row r="1883" spans="1:28" ht="35.25" customHeight="1" x14ac:dyDescent="0.5">
      <c r="A1883">
        <v>1</v>
      </c>
      <c r="B1883" s="80">
        <f>SUBTOTAL(103,$A$1697:A1883)</f>
        <v>187</v>
      </c>
      <c r="C1883" s="308" t="s">
        <v>2323</v>
      </c>
      <c r="D1883" s="296">
        <f t="shared" si="97"/>
        <v>337000</v>
      </c>
      <c r="E1883" s="301">
        <v>0</v>
      </c>
      <c r="F1883" s="301">
        <v>337000</v>
      </c>
      <c r="G1883" s="301">
        <v>0</v>
      </c>
      <c r="H1883" s="301">
        <v>0</v>
      </c>
      <c r="I1883" s="301">
        <v>0</v>
      </c>
      <c r="J1883" s="301">
        <v>0</v>
      </c>
      <c r="K1883" s="302">
        <v>0</v>
      </c>
      <c r="L1883" s="301">
        <v>0</v>
      </c>
      <c r="M1883" s="301">
        <v>0</v>
      </c>
      <c r="N1883" s="301">
        <v>0</v>
      </c>
      <c r="O1883" s="301">
        <v>0</v>
      </c>
      <c r="P1883" s="301">
        <v>0</v>
      </c>
      <c r="Q1883" s="301">
        <v>0</v>
      </c>
      <c r="R1883" s="301">
        <v>0</v>
      </c>
      <c r="S1883" s="301">
        <v>0</v>
      </c>
      <c r="T1883" s="301">
        <v>0</v>
      </c>
      <c r="U1883" s="301">
        <v>0</v>
      </c>
      <c r="V1883" s="301">
        <v>0</v>
      </c>
      <c r="W1883" s="301">
        <v>0</v>
      </c>
      <c r="X1883" s="301">
        <v>0</v>
      </c>
      <c r="Y1883" s="301">
        <v>0</v>
      </c>
      <c r="Z1883" s="301">
        <v>0</v>
      </c>
      <c r="AA1883" s="301">
        <v>0</v>
      </c>
      <c r="AB1883" s="303">
        <v>2022</v>
      </c>
    </row>
    <row r="1884" spans="1:28" ht="35.25" customHeight="1" x14ac:dyDescent="0.5">
      <c r="A1884">
        <v>1</v>
      </c>
      <c r="B1884" s="80">
        <f>SUBTOTAL(103,$A$1697:A1884)</f>
        <v>188</v>
      </c>
      <c r="C1884" s="308" t="s">
        <v>1620</v>
      </c>
      <c r="D1884" s="296">
        <f t="shared" si="97"/>
        <v>179999.6</v>
      </c>
      <c r="E1884" s="301">
        <v>0</v>
      </c>
      <c r="F1884" s="301">
        <v>0</v>
      </c>
      <c r="G1884" s="301">
        <v>0</v>
      </c>
      <c r="H1884" s="301">
        <v>0</v>
      </c>
      <c r="I1884" s="301">
        <v>0</v>
      </c>
      <c r="J1884" s="301">
        <v>0</v>
      </c>
      <c r="K1884" s="302">
        <v>0</v>
      </c>
      <c r="L1884" s="301">
        <v>0</v>
      </c>
      <c r="M1884" s="301">
        <v>179999.6</v>
      </c>
      <c r="N1884" s="301">
        <v>0</v>
      </c>
      <c r="O1884" s="301">
        <v>0</v>
      </c>
      <c r="P1884" s="301">
        <v>0</v>
      </c>
      <c r="Q1884" s="301">
        <v>0</v>
      </c>
      <c r="R1884" s="301">
        <v>0</v>
      </c>
      <c r="S1884" s="301">
        <v>0</v>
      </c>
      <c r="T1884" s="301">
        <v>0</v>
      </c>
      <c r="U1884" s="301">
        <v>0</v>
      </c>
      <c r="V1884" s="301">
        <v>0</v>
      </c>
      <c r="W1884" s="301">
        <v>0</v>
      </c>
      <c r="X1884" s="301">
        <v>0</v>
      </c>
      <c r="Y1884" s="301">
        <v>0</v>
      </c>
      <c r="Z1884" s="301">
        <v>0</v>
      </c>
      <c r="AA1884" s="301">
        <v>0</v>
      </c>
      <c r="AB1884" s="303">
        <v>2022</v>
      </c>
    </row>
    <row r="1885" spans="1:28" ht="35.25" customHeight="1" x14ac:dyDescent="0.5">
      <c r="A1885">
        <v>1</v>
      </c>
      <c r="B1885" s="80">
        <f>SUBTOTAL(103,$A$1697:A1885)</f>
        <v>189</v>
      </c>
      <c r="C1885" s="308" t="s">
        <v>3551</v>
      </c>
      <c r="D1885" s="296">
        <f t="shared" si="97"/>
        <v>219000</v>
      </c>
      <c r="E1885" s="301">
        <v>120000</v>
      </c>
      <c r="F1885" s="301">
        <v>0</v>
      </c>
      <c r="G1885" s="301">
        <v>0</v>
      </c>
      <c r="H1885" s="301">
        <v>99000</v>
      </c>
      <c r="I1885" s="301">
        <v>0</v>
      </c>
      <c r="J1885" s="301">
        <v>0</v>
      </c>
      <c r="K1885" s="302">
        <v>0</v>
      </c>
      <c r="L1885" s="301">
        <v>0</v>
      </c>
      <c r="M1885" s="301">
        <v>0</v>
      </c>
      <c r="N1885" s="301">
        <v>0</v>
      </c>
      <c r="O1885" s="301">
        <v>0</v>
      </c>
      <c r="P1885" s="301">
        <v>0</v>
      </c>
      <c r="Q1885" s="301">
        <v>0</v>
      </c>
      <c r="R1885" s="301">
        <v>0</v>
      </c>
      <c r="S1885" s="301">
        <v>0</v>
      </c>
      <c r="T1885" s="301">
        <v>0</v>
      </c>
      <c r="U1885" s="301">
        <v>0</v>
      </c>
      <c r="V1885" s="301">
        <v>0</v>
      </c>
      <c r="W1885" s="301">
        <v>0</v>
      </c>
      <c r="X1885" s="301">
        <v>0</v>
      </c>
      <c r="Y1885" s="301">
        <v>0</v>
      </c>
      <c r="Z1885" s="301">
        <v>0</v>
      </c>
      <c r="AA1885" s="301">
        <v>0</v>
      </c>
      <c r="AB1885" s="303">
        <v>2022</v>
      </c>
    </row>
    <row r="1886" spans="1:28" ht="35.25" customHeight="1" x14ac:dyDescent="0.5">
      <c r="A1886">
        <v>1</v>
      </c>
      <c r="B1886" s="80">
        <f>SUBTOTAL(103,$A$1697:A1886)</f>
        <v>190</v>
      </c>
      <c r="C1886" s="308" t="s">
        <v>3552</v>
      </c>
      <c r="D1886" s="296">
        <f t="shared" si="97"/>
        <v>368000</v>
      </c>
      <c r="E1886" s="301">
        <v>0</v>
      </c>
      <c r="F1886" s="301">
        <v>0</v>
      </c>
      <c r="G1886" s="301">
        <v>368000</v>
      </c>
      <c r="H1886" s="301">
        <v>0</v>
      </c>
      <c r="I1886" s="301">
        <v>0</v>
      </c>
      <c r="J1886" s="301">
        <v>0</v>
      </c>
      <c r="K1886" s="302">
        <v>0</v>
      </c>
      <c r="L1886" s="301">
        <v>0</v>
      </c>
      <c r="M1886" s="301">
        <v>0</v>
      </c>
      <c r="N1886" s="301">
        <v>0</v>
      </c>
      <c r="O1886" s="301">
        <v>0</v>
      </c>
      <c r="P1886" s="301">
        <v>0</v>
      </c>
      <c r="Q1886" s="301">
        <v>0</v>
      </c>
      <c r="R1886" s="301">
        <v>0</v>
      </c>
      <c r="S1886" s="301">
        <v>0</v>
      </c>
      <c r="T1886" s="301">
        <v>0</v>
      </c>
      <c r="U1886" s="301">
        <v>0</v>
      </c>
      <c r="V1886" s="301">
        <v>0</v>
      </c>
      <c r="W1886" s="301">
        <v>0</v>
      </c>
      <c r="X1886" s="301">
        <v>0</v>
      </c>
      <c r="Y1886" s="301">
        <v>0</v>
      </c>
      <c r="Z1886" s="301">
        <v>0</v>
      </c>
      <c r="AA1886" s="301">
        <v>0</v>
      </c>
      <c r="AB1886" s="303">
        <v>2022</v>
      </c>
    </row>
    <row r="1887" spans="1:28" ht="35.25" customHeight="1" x14ac:dyDescent="0.5">
      <c r="A1887">
        <v>1</v>
      </c>
      <c r="B1887" s="80">
        <f>SUBTOTAL(103,$A$1697:A1887)</f>
        <v>191</v>
      </c>
      <c r="C1887" s="308" t="s">
        <v>3553</v>
      </c>
      <c r="D1887" s="296">
        <f t="shared" si="97"/>
        <v>462767.6</v>
      </c>
      <c r="E1887" s="301">
        <v>390808.6</v>
      </c>
      <c r="F1887" s="301">
        <v>0</v>
      </c>
      <c r="G1887" s="301">
        <v>71959</v>
      </c>
      <c r="H1887" s="301">
        <v>0</v>
      </c>
      <c r="I1887" s="301">
        <v>0</v>
      </c>
      <c r="J1887" s="301">
        <v>0</v>
      </c>
      <c r="K1887" s="302">
        <v>0</v>
      </c>
      <c r="L1887" s="301">
        <v>0</v>
      </c>
      <c r="M1887" s="301">
        <v>0</v>
      </c>
      <c r="N1887" s="301">
        <v>0</v>
      </c>
      <c r="O1887" s="301">
        <v>0</v>
      </c>
      <c r="P1887" s="301">
        <v>0</v>
      </c>
      <c r="Q1887" s="301">
        <v>0</v>
      </c>
      <c r="R1887" s="301">
        <v>0</v>
      </c>
      <c r="S1887" s="301">
        <v>0</v>
      </c>
      <c r="T1887" s="301">
        <v>0</v>
      </c>
      <c r="U1887" s="301">
        <v>0</v>
      </c>
      <c r="V1887" s="301">
        <v>0</v>
      </c>
      <c r="W1887" s="301">
        <v>0</v>
      </c>
      <c r="X1887" s="301">
        <v>0</v>
      </c>
      <c r="Y1887" s="301">
        <v>0</v>
      </c>
      <c r="Z1887" s="301">
        <v>0</v>
      </c>
      <c r="AA1887" s="301">
        <v>0</v>
      </c>
      <c r="AB1887" s="303">
        <v>2022</v>
      </c>
    </row>
    <row r="1888" spans="1:28" ht="35.25" customHeight="1" x14ac:dyDescent="0.5">
      <c r="A1888">
        <v>1</v>
      </c>
      <c r="B1888" s="80">
        <f>SUBTOTAL(103,$A$1697:A1888)</f>
        <v>192</v>
      </c>
      <c r="C1888" s="308" t="s">
        <v>2337</v>
      </c>
      <c r="D1888" s="296">
        <f t="shared" si="97"/>
        <v>107468</v>
      </c>
      <c r="E1888" s="301">
        <v>0</v>
      </c>
      <c r="F1888" s="301">
        <v>0</v>
      </c>
      <c r="G1888" s="301">
        <v>107468</v>
      </c>
      <c r="H1888" s="301">
        <v>0</v>
      </c>
      <c r="I1888" s="301">
        <v>0</v>
      </c>
      <c r="J1888" s="301">
        <v>0</v>
      </c>
      <c r="K1888" s="302">
        <v>0</v>
      </c>
      <c r="L1888" s="301">
        <v>0</v>
      </c>
      <c r="M1888" s="301">
        <v>0</v>
      </c>
      <c r="N1888" s="301">
        <v>0</v>
      </c>
      <c r="O1888" s="301">
        <v>0</v>
      </c>
      <c r="P1888" s="301">
        <v>0</v>
      </c>
      <c r="Q1888" s="301">
        <v>0</v>
      </c>
      <c r="R1888" s="301">
        <v>0</v>
      </c>
      <c r="S1888" s="301">
        <v>0</v>
      </c>
      <c r="T1888" s="301">
        <v>0</v>
      </c>
      <c r="U1888" s="301">
        <v>0</v>
      </c>
      <c r="V1888" s="301">
        <v>0</v>
      </c>
      <c r="W1888" s="301">
        <v>0</v>
      </c>
      <c r="X1888" s="301">
        <v>0</v>
      </c>
      <c r="Y1888" s="301">
        <v>0</v>
      </c>
      <c r="Z1888" s="301">
        <v>0</v>
      </c>
      <c r="AA1888" s="301">
        <v>0</v>
      </c>
      <c r="AB1888" s="303">
        <v>2022</v>
      </c>
    </row>
    <row r="1889" spans="1:28" ht="35.25" customHeight="1" x14ac:dyDescent="0.5">
      <c r="A1889">
        <v>1</v>
      </c>
      <c r="B1889" s="80">
        <f>SUBTOTAL(103,$A$1697:A1889)</f>
        <v>193</v>
      </c>
      <c r="C1889" s="308" t="s">
        <v>1860</v>
      </c>
      <c r="D1889" s="296">
        <f t="shared" si="97"/>
        <v>951155</v>
      </c>
      <c r="E1889" s="301">
        <v>0</v>
      </c>
      <c r="F1889" s="301">
        <v>0</v>
      </c>
      <c r="G1889" s="301">
        <v>0</v>
      </c>
      <c r="H1889" s="301">
        <v>0</v>
      </c>
      <c r="I1889" s="301">
        <v>0</v>
      </c>
      <c r="J1889" s="301">
        <v>0</v>
      </c>
      <c r="K1889" s="302">
        <v>0</v>
      </c>
      <c r="L1889" s="301">
        <v>0</v>
      </c>
      <c r="M1889" s="301">
        <v>951155</v>
      </c>
      <c r="N1889" s="301">
        <v>0</v>
      </c>
      <c r="O1889" s="301">
        <v>0</v>
      </c>
      <c r="P1889" s="301">
        <v>0</v>
      </c>
      <c r="Q1889" s="301">
        <v>0</v>
      </c>
      <c r="R1889" s="301">
        <v>0</v>
      </c>
      <c r="S1889" s="301">
        <v>0</v>
      </c>
      <c r="T1889" s="301">
        <v>0</v>
      </c>
      <c r="U1889" s="301">
        <v>0</v>
      </c>
      <c r="V1889" s="301">
        <v>0</v>
      </c>
      <c r="W1889" s="301">
        <v>0</v>
      </c>
      <c r="X1889" s="301">
        <v>0</v>
      </c>
      <c r="Y1889" s="301">
        <v>0</v>
      </c>
      <c r="Z1889" s="301">
        <v>0</v>
      </c>
      <c r="AA1889" s="301">
        <v>0</v>
      </c>
      <c r="AB1889" s="303">
        <v>2022</v>
      </c>
    </row>
    <row r="1890" spans="1:28" ht="35.25" customHeight="1" x14ac:dyDescent="0.5">
      <c r="A1890">
        <v>1</v>
      </c>
      <c r="B1890" s="80">
        <f>SUBTOTAL(103,$A$1697:A1890)</f>
        <v>194</v>
      </c>
      <c r="C1890" s="308" t="s">
        <v>1622</v>
      </c>
      <c r="D1890" s="296">
        <f t="shared" si="97"/>
        <v>311297</v>
      </c>
      <c r="E1890" s="301">
        <v>0</v>
      </c>
      <c r="F1890" s="301">
        <v>0</v>
      </c>
      <c r="G1890" s="301">
        <v>60954</v>
      </c>
      <c r="H1890" s="301">
        <v>0</v>
      </c>
      <c r="I1890" s="301">
        <v>0</v>
      </c>
      <c r="J1890" s="301">
        <v>0</v>
      </c>
      <c r="K1890" s="302">
        <v>0</v>
      </c>
      <c r="L1890" s="301">
        <v>0</v>
      </c>
      <c r="M1890" s="301">
        <v>0</v>
      </c>
      <c r="N1890" s="301">
        <v>0</v>
      </c>
      <c r="O1890" s="301">
        <v>250343</v>
      </c>
      <c r="P1890" s="301">
        <v>0</v>
      </c>
      <c r="Q1890" s="301">
        <v>0</v>
      </c>
      <c r="R1890" s="301">
        <v>0</v>
      </c>
      <c r="S1890" s="301">
        <v>0</v>
      </c>
      <c r="T1890" s="301">
        <v>0</v>
      </c>
      <c r="U1890" s="301">
        <v>0</v>
      </c>
      <c r="V1890" s="301">
        <v>0</v>
      </c>
      <c r="W1890" s="301">
        <v>0</v>
      </c>
      <c r="X1890" s="301">
        <v>0</v>
      </c>
      <c r="Y1890" s="301">
        <v>0</v>
      </c>
      <c r="Z1890" s="301">
        <v>0</v>
      </c>
      <c r="AA1890" s="301">
        <v>0</v>
      </c>
      <c r="AB1890" s="303">
        <v>2022</v>
      </c>
    </row>
    <row r="1891" spans="1:28" ht="35.25" customHeight="1" x14ac:dyDescent="0.5">
      <c r="A1891">
        <v>1</v>
      </c>
      <c r="B1891" s="80">
        <f>SUBTOTAL(103,$A$1697:A1891)</f>
        <v>195</v>
      </c>
      <c r="C1891" s="308" t="s">
        <v>1624</v>
      </c>
      <c r="D1891" s="296">
        <f t="shared" si="97"/>
        <v>1287500</v>
      </c>
      <c r="E1891" s="301">
        <v>0</v>
      </c>
      <c r="F1891" s="301">
        <v>0</v>
      </c>
      <c r="G1891" s="301">
        <v>0</v>
      </c>
      <c r="H1891" s="301">
        <v>0</v>
      </c>
      <c r="I1891" s="301">
        <v>0</v>
      </c>
      <c r="J1891" s="301">
        <v>0</v>
      </c>
      <c r="K1891" s="302">
        <v>0</v>
      </c>
      <c r="L1891" s="301">
        <v>0</v>
      </c>
      <c r="M1891" s="301">
        <v>1287500</v>
      </c>
      <c r="N1891" s="301">
        <v>0</v>
      </c>
      <c r="O1891" s="301">
        <v>0</v>
      </c>
      <c r="P1891" s="301">
        <v>0</v>
      </c>
      <c r="Q1891" s="301">
        <v>0</v>
      </c>
      <c r="R1891" s="301">
        <v>0</v>
      </c>
      <c r="S1891" s="301">
        <v>0</v>
      </c>
      <c r="T1891" s="301">
        <v>0</v>
      </c>
      <c r="U1891" s="301">
        <v>0</v>
      </c>
      <c r="V1891" s="301">
        <v>0</v>
      </c>
      <c r="W1891" s="301">
        <v>0</v>
      </c>
      <c r="X1891" s="301">
        <v>0</v>
      </c>
      <c r="Y1891" s="301">
        <v>0</v>
      </c>
      <c r="Z1891" s="301">
        <v>0</v>
      </c>
      <c r="AA1891" s="301">
        <v>0</v>
      </c>
      <c r="AB1891" s="303">
        <v>2022</v>
      </c>
    </row>
    <row r="1892" spans="1:28" ht="35.25" customHeight="1" x14ac:dyDescent="0.5">
      <c r="A1892">
        <v>1</v>
      </c>
      <c r="B1892" s="80">
        <f>SUBTOTAL(103,$A$1697:A1892)</f>
        <v>196</v>
      </c>
      <c r="C1892" s="308" t="s">
        <v>3545</v>
      </c>
      <c r="D1892" s="296">
        <f t="shared" si="97"/>
        <v>2996666</v>
      </c>
      <c r="E1892" s="301">
        <v>0</v>
      </c>
      <c r="F1892" s="301">
        <v>0</v>
      </c>
      <c r="G1892" s="301">
        <v>0</v>
      </c>
      <c r="H1892" s="301">
        <v>0</v>
      </c>
      <c r="I1892" s="301">
        <v>0</v>
      </c>
      <c r="J1892" s="301">
        <v>0</v>
      </c>
      <c r="K1892" s="302">
        <v>0</v>
      </c>
      <c r="L1892" s="301">
        <v>0</v>
      </c>
      <c r="M1892" s="301">
        <v>2996666</v>
      </c>
      <c r="N1892" s="301">
        <v>0</v>
      </c>
      <c r="O1892" s="301">
        <v>0</v>
      </c>
      <c r="P1892" s="301">
        <v>0</v>
      </c>
      <c r="Q1892" s="301">
        <v>0</v>
      </c>
      <c r="R1892" s="301">
        <v>0</v>
      </c>
      <c r="S1892" s="301">
        <v>0</v>
      </c>
      <c r="T1892" s="301">
        <v>0</v>
      </c>
      <c r="U1892" s="301">
        <v>0</v>
      </c>
      <c r="V1892" s="301">
        <v>0</v>
      </c>
      <c r="W1892" s="301">
        <v>0</v>
      </c>
      <c r="X1892" s="301">
        <v>0</v>
      </c>
      <c r="Y1892" s="301">
        <v>0</v>
      </c>
      <c r="Z1892" s="301">
        <v>0</v>
      </c>
      <c r="AA1892" s="301">
        <v>0</v>
      </c>
      <c r="AB1892" s="303">
        <v>2022</v>
      </c>
    </row>
    <row r="1893" spans="1:28" ht="35.25" customHeight="1" x14ac:dyDescent="0.5">
      <c r="A1893">
        <v>1</v>
      </c>
      <c r="B1893" s="80">
        <f>SUBTOTAL(103,$A$1697:A1893)</f>
        <v>197</v>
      </c>
      <c r="C1893" s="308" t="s">
        <v>3554</v>
      </c>
      <c r="D1893" s="296">
        <f t="shared" si="97"/>
        <v>781891</v>
      </c>
      <c r="E1893" s="301">
        <v>0</v>
      </c>
      <c r="F1893" s="301">
        <v>0</v>
      </c>
      <c r="G1893" s="301">
        <v>0</v>
      </c>
      <c r="H1893" s="301">
        <v>0</v>
      </c>
      <c r="I1893" s="301">
        <v>0</v>
      </c>
      <c r="J1893" s="301">
        <v>0</v>
      </c>
      <c r="K1893" s="302">
        <v>0</v>
      </c>
      <c r="L1893" s="301">
        <v>0</v>
      </c>
      <c r="M1893" s="301">
        <v>781891</v>
      </c>
      <c r="N1893" s="301">
        <v>0</v>
      </c>
      <c r="O1893" s="301">
        <v>0</v>
      </c>
      <c r="P1893" s="301">
        <v>0</v>
      </c>
      <c r="Q1893" s="301">
        <v>0</v>
      </c>
      <c r="R1893" s="301">
        <v>0</v>
      </c>
      <c r="S1893" s="301">
        <v>0</v>
      </c>
      <c r="T1893" s="301">
        <v>0</v>
      </c>
      <c r="U1893" s="301">
        <v>0</v>
      </c>
      <c r="V1893" s="301">
        <v>0</v>
      </c>
      <c r="W1893" s="301">
        <v>0</v>
      </c>
      <c r="X1893" s="301">
        <v>0</v>
      </c>
      <c r="Y1893" s="301">
        <v>0</v>
      </c>
      <c r="Z1893" s="301">
        <v>0</v>
      </c>
      <c r="AA1893" s="301">
        <v>0</v>
      </c>
      <c r="AB1893" s="303">
        <v>2022</v>
      </c>
    </row>
    <row r="1894" spans="1:28" ht="35.25" customHeight="1" x14ac:dyDescent="0.5">
      <c r="A1894">
        <v>1</v>
      </c>
      <c r="B1894" s="80">
        <f>SUBTOTAL(103,$A$1697:A1894)</f>
        <v>198</v>
      </c>
      <c r="C1894" s="308" t="s">
        <v>3543</v>
      </c>
      <c r="D1894" s="296">
        <f t="shared" si="97"/>
        <v>331597</v>
      </c>
      <c r="E1894" s="301">
        <v>0</v>
      </c>
      <c r="F1894" s="301">
        <v>0</v>
      </c>
      <c r="G1894" s="301">
        <v>0</v>
      </c>
      <c r="H1894" s="301">
        <v>0</v>
      </c>
      <c r="I1894" s="301">
        <v>0</v>
      </c>
      <c r="J1894" s="301">
        <v>0</v>
      </c>
      <c r="K1894" s="302">
        <v>0</v>
      </c>
      <c r="L1894" s="301">
        <v>0</v>
      </c>
      <c r="M1894" s="301">
        <v>0</v>
      </c>
      <c r="N1894" s="301">
        <v>134882</v>
      </c>
      <c r="O1894" s="301">
        <v>196715</v>
      </c>
      <c r="P1894" s="301">
        <v>0</v>
      </c>
      <c r="Q1894" s="301">
        <v>0</v>
      </c>
      <c r="R1894" s="301">
        <v>0</v>
      </c>
      <c r="S1894" s="301">
        <v>0</v>
      </c>
      <c r="T1894" s="301">
        <v>0</v>
      </c>
      <c r="U1894" s="301">
        <v>0</v>
      </c>
      <c r="V1894" s="301">
        <v>0</v>
      </c>
      <c r="W1894" s="301">
        <v>0</v>
      </c>
      <c r="X1894" s="301">
        <v>0</v>
      </c>
      <c r="Y1894" s="301">
        <v>0</v>
      </c>
      <c r="Z1894" s="301">
        <v>0</v>
      </c>
      <c r="AA1894" s="301">
        <v>0</v>
      </c>
      <c r="AB1894" s="303">
        <v>2022</v>
      </c>
    </row>
    <row r="1895" spans="1:28" ht="35.25" customHeight="1" x14ac:dyDescent="0.5">
      <c r="A1895">
        <v>1</v>
      </c>
      <c r="B1895" s="80">
        <f>SUBTOTAL(103,$A$1697:A1895)</f>
        <v>199</v>
      </c>
      <c r="C1895" s="308" t="s">
        <v>3555</v>
      </c>
      <c r="D1895" s="296">
        <f t="shared" si="97"/>
        <v>1448918.1</v>
      </c>
      <c r="E1895" s="301">
        <v>0</v>
      </c>
      <c r="F1895" s="301">
        <v>0</v>
      </c>
      <c r="G1895" s="301">
        <v>130000</v>
      </c>
      <c r="H1895" s="301">
        <v>0</v>
      </c>
      <c r="I1895" s="301">
        <v>0</v>
      </c>
      <c r="J1895" s="301">
        <v>0</v>
      </c>
      <c r="K1895" s="302">
        <v>1</v>
      </c>
      <c r="L1895" s="301">
        <v>404271</v>
      </c>
      <c r="M1895" s="301">
        <v>914647.1</v>
      </c>
      <c r="N1895" s="301">
        <v>0</v>
      </c>
      <c r="O1895" s="301">
        <v>0</v>
      </c>
      <c r="P1895" s="301">
        <v>0</v>
      </c>
      <c r="Q1895" s="301">
        <v>0</v>
      </c>
      <c r="R1895" s="301">
        <v>0</v>
      </c>
      <c r="S1895" s="301">
        <v>0</v>
      </c>
      <c r="T1895" s="301">
        <v>0</v>
      </c>
      <c r="U1895" s="301">
        <v>0</v>
      </c>
      <c r="V1895" s="301">
        <v>0</v>
      </c>
      <c r="W1895" s="301">
        <v>0</v>
      </c>
      <c r="X1895" s="301">
        <v>0</v>
      </c>
      <c r="Y1895" s="301">
        <v>0</v>
      </c>
      <c r="Z1895" s="301">
        <v>0</v>
      </c>
      <c r="AA1895" s="301">
        <v>0</v>
      </c>
      <c r="AB1895" s="303">
        <v>2022</v>
      </c>
    </row>
    <row r="1896" spans="1:28" ht="35.25" customHeight="1" x14ac:dyDescent="0.5">
      <c r="A1896">
        <v>1</v>
      </c>
      <c r="B1896" s="80">
        <f>SUBTOTAL(103,$A$1697:A1896)</f>
        <v>200</v>
      </c>
      <c r="C1896" s="308" t="s">
        <v>1863</v>
      </c>
      <c r="D1896" s="296">
        <f t="shared" si="97"/>
        <v>167927.6</v>
      </c>
      <c r="E1896" s="301">
        <v>0</v>
      </c>
      <c r="F1896" s="301">
        <v>102768.6</v>
      </c>
      <c r="G1896" s="301">
        <v>0</v>
      </c>
      <c r="H1896" s="301">
        <v>0</v>
      </c>
      <c r="I1896" s="301">
        <v>0</v>
      </c>
      <c r="J1896" s="301">
        <v>0</v>
      </c>
      <c r="K1896" s="302">
        <v>0</v>
      </c>
      <c r="L1896" s="301">
        <v>0</v>
      </c>
      <c r="M1896" s="301">
        <v>65159</v>
      </c>
      <c r="N1896" s="301">
        <v>0</v>
      </c>
      <c r="O1896" s="301">
        <v>0</v>
      </c>
      <c r="P1896" s="301">
        <v>0</v>
      </c>
      <c r="Q1896" s="301">
        <v>0</v>
      </c>
      <c r="R1896" s="301">
        <v>0</v>
      </c>
      <c r="S1896" s="301">
        <v>0</v>
      </c>
      <c r="T1896" s="301">
        <v>0</v>
      </c>
      <c r="U1896" s="301">
        <v>0</v>
      </c>
      <c r="V1896" s="301">
        <v>0</v>
      </c>
      <c r="W1896" s="301">
        <v>0</v>
      </c>
      <c r="X1896" s="301">
        <v>0</v>
      </c>
      <c r="Y1896" s="301">
        <v>0</v>
      </c>
      <c r="Z1896" s="301">
        <v>0</v>
      </c>
      <c r="AA1896" s="301">
        <v>0</v>
      </c>
      <c r="AB1896" s="303">
        <v>2022</v>
      </c>
    </row>
    <row r="1897" spans="1:28" ht="35.25" customHeight="1" x14ac:dyDescent="0.5">
      <c r="A1897">
        <v>1</v>
      </c>
      <c r="B1897" s="80">
        <f>SUBTOTAL(103,$A$1697:A1897)</f>
        <v>201</v>
      </c>
      <c r="C1897" s="308" t="s">
        <v>1864</v>
      </c>
      <c r="D1897" s="296">
        <f t="shared" si="97"/>
        <v>653072.80000000005</v>
      </c>
      <c r="E1897" s="301">
        <v>0</v>
      </c>
      <c r="F1897" s="301">
        <v>0</v>
      </c>
      <c r="G1897" s="301">
        <v>653072.80000000005</v>
      </c>
      <c r="H1897" s="301">
        <v>0</v>
      </c>
      <c r="I1897" s="301">
        <v>0</v>
      </c>
      <c r="J1897" s="301">
        <v>0</v>
      </c>
      <c r="K1897" s="302">
        <v>0</v>
      </c>
      <c r="L1897" s="301">
        <v>0</v>
      </c>
      <c r="M1897" s="301">
        <v>0</v>
      </c>
      <c r="N1897" s="301">
        <v>0</v>
      </c>
      <c r="O1897" s="301">
        <v>0</v>
      </c>
      <c r="P1897" s="301">
        <v>0</v>
      </c>
      <c r="Q1897" s="301">
        <v>0</v>
      </c>
      <c r="R1897" s="301">
        <v>0</v>
      </c>
      <c r="S1897" s="301">
        <v>0</v>
      </c>
      <c r="T1897" s="301">
        <v>0</v>
      </c>
      <c r="U1897" s="301">
        <v>0</v>
      </c>
      <c r="V1897" s="301">
        <v>0</v>
      </c>
      <c r="W1897" s="301">
        <v>0</v>
      </c>
      <c r="X1897" s="301">
        <v>0</v>
      </c>
      <c r="Y1897" s="301">
        <v>0</v>
      </c>
      <c r="Z1897" s="301">
        <v>0</v>
      </c>
      <c r="AA1897" s="301">
        <v>0</v>
      </c>
      <c r="AB1897" s="303">
        <v>2022</v>
      </c>
    </row>
    <row r="1898" spans="1:28" ht="35.25" customHeight="1" x14ac:dyDescent="0.5">
      <c r="A1898">
        <v>1</v>
      </c>
      <c r="B1898" s="80">
        <f>SUBTOTAL(103,$A$1697:A1898)</f>
        <v>202</v>
      </c>
      <c r="C1898" s="308" t="s">
        <v>1866</v>
      </c>
      <c r="D1898" s="296">
        <f t="shared" si="97"/>
        <v>178925.4</v>
      </c>
      <c r="E1898" s="301">
        <v>0</v>
      </c>
      <c r="F1898" s="301">
        <v>0</v>
      </c>
      <c r="G1898" s="301">
        <v>178925.4</v>
      </c>
      <c r="H1898" s="301">
        <v>0</v>
      </c>
      <c r="I1898" s="301">
        <v>0</v>
      </c>
      <c r="J1898" s="301">
        <v>0</v>
      </c>
      <c r="K1898" s="302">
        <v>0</v>
      </c>
      <c r="L1898" s="301">
        <v>0</v>
      </c>
      <c r="M1898" s="301">
        <v>0</v>
      </c>
      <c r="N1898" s="301">
        <v>0</v>
      </c>
      <c r="O1898" s="301">
        <v>0</v>
      </c>
      <c r="P1898" s="301">
        <v>0</v>
      </c>
      <c r="Q1898" s="301">
        <v>0</v>
      </c>
      <c r="R1898" s="301">
        <v>0</v>
      </c>
      <c r="S1898" s="301">
        <v>0</v>
      </c>
      <c r="T1898" s="301">
        <v>0</v>
      </c>
      <c r="U1898" s="301">
        <v>0</v>
      </c>
      <c r="V1898" s="301">
        <v>0</v>
      </c>
      <c r="W1898" s="301">
        <v>0</v>
      </c>
      <c r="X1898" s="301">
        <v>0</v>
      </c>
      <c r="Y1898" s="301">
        <v>0</v>
      </c>
      <c r="Z1898" s="301">
        <v>0</v>
      </c>
      <c r="AA1898" s="301">
        <v>0</v>
      </c>
      <c r="AB1898" s="303">
        <v>2022</v>
      </c>
    </row>
    <row r="1899" spans="1:28" ht="35.25" customHeight="1" x14ac:dyDescent="0.5">
      <c r="A1899">
        <v>1</v>
      </c>
      <c r="B1899" s="80">
        <f>SUBTOTAL(103,$A$1697:A1899)</f>
        <v>203</v>
      </c>
      <c r="C1899" s="308" t="s">
        <v>2722</v>
      </c>
      <c r="D1899" s="296">
        <f t="shared" si="97"/>
        <v>667167</v>
      </c>
      <c r="E1899" s="301">
        <v>241000</v>
      </c>
      <c r="F1899" s="301">
        <v>0</v>
      </c>
      <c r="G1899" s="301">
        <v>0</v>
      </c>
      <c r="H1899" s="301">
        <v>0</v>
      </c>
      <c r="I1899" s="301">
        <v>0</v>
      </c>
      <c r="J1899" s="301">
        <v>0</v>
      </c>
      <c r="K1899" s="302">
        <v>0</v>
      </c>
      <c r="L1899" s="301">
        <v>0</v>
      </c>
      <c r="M1899" s="301">
        <v>0</v>
      </c>
      <c r="N1899" s="301">
        <v>426167</v>
      </c>
      <c r="O1899" s="301">
        <v>0</v>
      </c>
      <c r="P1899" s="301">
        <v>0</v>
      </c>
      <c r="Q1899" s="301">
        <v>0</v>
      </c>
      <c r="R1899" s="301">
        <v>0</v>
      </c>
      <c r="S1899" s="301">
        <v>0</v>
      </c>
      <c r="T1899" s="301">
        <v>0</v>
      </c>
      <c r="U1899" s="301">
        <v>0</v>
      </c>
      <c r="V1899" s="301">
        <v>0</v>
      </c>
      <c r="W1899" s="301">
        <v>0</v>
      </c>
      <c r="X1899" s="301">
        <v>0</v>
      </c>
      <c r="Y1899" s="301">
        <v>0</v>
      </c>
      <c r="Z1899" s="301">
        <v>0</v>
      </c>
      <c r="AA1899" s="301">
        <v>0</v>
      </c>
      <c r="AB1899" s="303">
        <v>2022</v>
      </c>
    </row>
    <row r="1900" spans="1:28" ht="35.25" customHeight="1" x14ac:dyDescent="0.5">
      <c r="A1900">
        <v>1</v>
      </c>
      <c r="B1900" s="80">
        <f>SUBTOTAL(103,$A$1697:A1900)</f>
        <v>204</v>
      </c>
      <c r="C1900" s="308" t="s">
        <v>3556</v>
      </c>
      <c r="D1900" s="296">
        <f t="shared" si="97"/>
        <v>584612</v>
      </c>
      <c r="E1900" s="301">
        <v>0</v>
      </c>
      <c r="F1900" s="301">
        <v>0</v>
      </c>
      <c r="G1900" s="301">
        <v>584612</v>
      </c>
      <c r="H1900" s="301">
        <v>0</v>
      </c>
      <c r="I1900" s="301">
        <v>0</v>
      </c>
      <c r="J1900" s="301">
        <v>0</v>
      </c>
      <c r="K1900" s="302">
        <v>0</v>
      </c>
      <c r="L1900" s="301">
        <v>0</v>
      </c>
      <c r="M1900" s="301">
        <v>0</v>
      </c>
      <c r="N1900" s="301">
        <v>0</v>
      </c>
      <c r="O1900" s="301">
        <v>0</v>
      </c>
      <c r="P1900" s="301">
        <v>0</v>
      </c>
      <c r="Q1900" s="301">
        <v>0</v>
      </c>
      <c r="R1900" s="301">
        <v>0</v>
      </c>
      <c r="S1900" s="301">
        <v>0</v>
      </c>
      <c r="T1900" s="301">
        <v>0</v>
      </c>
      <c r="U1900" s="301">
        <v>0</v>
      </c>
      <c r="V1900" s="301">
        <v>0</v>
      </c>
      <c r="W1900" s="301">
        <v>0</v>
      </c>
      <c r="X1900" s="301">
        <v>0</v>
      </c>
      <c r="Y1900" s="301">
        <v>0</v>
      </c>
      <c r="Z1900" s="301">
        <v>0</v>
      </c>
      <c r="AA1900" s="301">
        <v>0</v>
      </c>
      <c r="AB1900" s="303">
        <v>2022</v>
      </c>
    </row>
    <row r="1901" spans="1:28" ht="35.25" customHeight="1" x14ac:dyDescent="0.5">
      <c r="A1901">
        <v>1</v>
      </c>
      <c r="B1901" s="80">
        <f>SUBTOTAL(103,$A$1697:A1901)</f>
        <v>205</v>
      </c>
      <c r="C1901" s="308" t="s">
        <v>3557</v>
      </c>
      <c r="D1901" s="296">
        <f t="shared" si="97"/>
        <v>543000</v>
      </c>
      <c r="E1901" s="301">
        <v>0</v>
      </c>
      <c r="F1901" s="301">
        <v>0</v>
      </c>
      <c r="G1901" s="301">
        <v>543000</v>
      </c>
      <c r="H1901" s="301">
        <v>0</v>
      </c>
      <c r="I1901" s="301">
        <v>0</v>
      </c>
      <c r="J1901" s="301">
        <v>0</v>
      </c>
      <c r="K1901" s="302">
        <v>0</v>
      </c>
      <c r="L1901" s="301">
        <v>0</v>
      </c>
      <c r="M1901" s="301">
        <v>0</v>
      </c>
      <c r="N1901" s="301">
        <v>0</v>
      </c>
      <c r="O1901" s="301">
        <v>0</v>
      </c>
      <c r="P1901" s="301">
        <v>0</v>
      </c>
      <c r="Q1901" s="301">
        <v>0</v>
      </c>
      <c r="R1901" s="301">
        <v>0</v>
      </c>
      <c r="S1901" s="301">
        <v>0</v>
      </c>
      <c r="T1901" s="301">
        <v>0</v>
      </c>
      <c r="U1901" s="301">
        <v>0</v>
      </c>
      <c r="V1901" s="301">
        <v>0</v>
      </c>
      <c r="W1901" s="301">
        <v>0</v>
      </c>
      <c r="X1901" s="301">
        <v>0</v>
      </c>
      <c r="Y1901" s="301">
        <v>0</v>
      </c>
      <c r="Z1901" s="301">
        <v>0</v>
      </c>
      <c r="AA1901" s="301">
        <v>0</v>
      </c>
      <c r="AB1901" s="303">
        <v>2022</v>
      </c>
    </row>
    <row r="1902" spans="1:28" ht="35.25" customHeight="1" x14ac:dyDescent="0.5">
      <c r="A1902">
        <v>1</v>
      </c>
      <c r="B1902" s="80">
        <f>SUBTOTAL(103,$A$1697:A1902)</f>
        <v>206</v>
      </c>
      <c r="C1902" s="308" t="s">
        <v>1870</v>
      </c>
      <c r="D1902" s="296">
        <f t="shared" si="97"/>
        <v>1738712.8399999999</v>
      </c>
      <c r="E1902" s="301">
        <v>0</v>
      </c>
      <c r="F1902" s="301">
        <v>0</v>
      </c>
      <c r="G1902" s="301">
        <v>0</v>
      </c>
      <c r="H1902" s="301">
        <v>0</v>
      </c>
      <c r="I1902" s="301">
        <v>0</v>
      </c>
      <c r="J1902" s="301">
        <v>0</v>
      </c>
      <c r="K1902" s="302">
        <v>0</v>
      </c>
      <c r="L1902" s="301">
        <v>0</v>
      </c>
      <c r="M1902" s="301">
        <v>0</v>
      </c>
      <c r="N1902" s="301">
        <v>649406.18000000005</v>
      </c>
      <c r="O1902" s="301">
        <v>1089306.6599999999</v>
      </c>
      <c r="P1902" s="301">
        <v>0</v>
      </c>
      <c r="Q1902" s="301">
        <v>0</v>
      </c>
      <c r="R1902" s="301">
        <v>0</v>
      </c>
      <c r="S1902" s="301">
        <v>0</v>
      </c>
      <c r="T1902" s="301">
        <v>0</v>
      </c>
      <c r="U1902" s="301">
        <v>0</v>
      </c>
      <c r="V1902" s="301">
        <v>0</v>
      </c>
      <c r="W1902" s="301">
        <v>0</v>
      </c>
      <c r="X1902" s="301">
        <v>0</v>
      </c>
      <c r="Y1902" s="301">
        <v>0</v>
      </c>
      <c r="Z1902" s="301">
        <v>0</v>
      </c>
      <c r="AA1902" s="301">
        <v>0</v>
      </c>
      <c r="AB1902" s="303">
        <v>2022</v>
      </c>
    </row>
    <row r="1903" spans="1:28" ht="35.25" customHeight="1" x14ac:dyDescent="0.5">
      <c r="A1903">
        <v>1</v>
      </c>
      <c r="B1903" s="80">
        <f>SUBTOTAL(103,$A$1697:A1903)</f>
        <v>207</v>
      </c>
      <c r="C1903" s="308" t="s">
        <v>1872</v>
      </c>
      <c r="D1903" s="296">
        <f t="shared" si="97"/>
        <v>298311</v>
      </c>
      <c r="E1903" s="301">
        <v>0</v>
      </c>
      <c r="F1903" s="301">
        <v>0</v>
      </c>
      <c r="G1903" s="301">
        <v>298311</v>
      </c>
      <c r="H1903" s="301">
        <v>0</v>
      </c>
      <c r="I1903" s="301">
        <v>0</v>
      </c>
      <c r="J1903" s="301">
        <v>0</v>
      </c>
      <c r="K1903" s="302">
        <v>0</v>
      </c>
      <c r="L1903" s="301">
        <v>0</v>
      </c>
      <c r="M1903" s="301">
        <v>0</v>
      </c>
      <c r="N1903" s="301">
        <v>0</v>
      </c>
      <c r="O1903" s="301">
        <v>0</v>
      </c>
      <c r="P1903" s="301">
        <v>0</v>
      </c>
      <c r="Q1903" s="301">
        <v>0</v>
      </c>
      <c r="R1903" s="301">
        <v>0</v>
      </c>
      <c r="S1903" s="301">
        <v>0</v>
      </c>
      <c r="T1903" s="301">
        <v>0</v>
      </c>
      <c r="U1903" s="301">
        <v>0</v>
      </c>
      <c r="V1903" s="301">
        <v>0</v>
      </c>
      <c r="W1903" s="301">
        <v>0</v>
      </c>
      <c r="X1903" s="301">
        <v>0</v>
      </c>
      <c r="Y1903" s="301">
        <v>0</v>
      </c>
      <c r="Z1903" s="301">
        <v>0</v>
      </c>
      <c r="AA1903" s="301">
        <v>0</v>
      </c>
      <c r="AB1903" s="303">
        <v>2022</v>
      </c>
    </row>
    <row r="1904" spans="1:28" ht="35.25" customHeight="1" x14ac:dyDescent="0.5">
      <c r="A1904">
        <v>1</v>
      </c>
      <c r="B1904" s="80">
        <f>SUBTOTAL(103,$A$1697:A1904)</f>
        <v>208</v>
      </c>
      <c r="C1904" s="308" t="s">
        <v>2725</v>
      </c>
      <c r="D1904" s="296">
        <f t="shared" si="97"/>
        <v>367908.03</v>
      </c>
      <c r="E1904" s="301">
        <v>0</v>
      </c>
      <c r="F1904" s="301">
        <v>0</v>
      </c>
      <c r="G1904" s="301">
        <v>0</v>
      </c>
      <c r="H1904" s="301">
        <v>0</v>
      </c>
      <c r="I1904" s="301">
        <v>0</v>
      </c>
      <c r="J1904" s="301">
        <v>0</v>
      </c>
      <c r="K1904" s="302">
        <v>0</v>
      </c>
      <c r="L1904" s="301">
        <v>0</v>
      </c>
      <c r="M1904" s="301">
        <v>367908.03</v>
      </c>
      <c r="N1904" s="301">
        <v>0</v>
      </c>
      <c r="O1904" s="301">
        <v>0</v>
      </c>
      <c r="P1904" s="301">
        <v>0</v>
      </c>
      <c r="Q1904" s="301">
        <v>0</v>
      </c>
      <c r="R1904" s="301">
        <v>0</v>
      </c>
      <c r="S1904" s="301">
        <v>0</v>
      </c>
      <c r="T1904" s="301">
        <v>0</v>
      </c>
      <c r="U1904" s="301">
        <v>0</v>
      </c>
      <c r="V1904" s="301">
        <v>0</v>
      </c>
      <c r="W1904" s="301">
        <v>0</v>
      </c>
      <c r="X1904" s="301">
        <v>0</v>
      </c>
      <c r="Y1904" s="301">
        <v>0</v>
      </c>
      <c r="Z1904" s="301">
        <v>0</v>
      </c>
      <c r="AA1904" s="301">
        <v>0</v>
      </c>
      <c r="AB1904" s="303">
        <v>2022</v>
      </c>
    </row>
    <row r="1905" spans="1:28" ht="35.25" customHeight="1" x14ac:dyDescent="0.5">
      <c r="A1905">
        <v>1</v>
      </c>
      <c r="B1905" s="80">
        <f>SUBTOTAL(103,$A$1697:A1905)</f>
        <v>209</v>
      </c>
      <c r="C1905" s="308" t="s">
        <v>2984</v>
      </c>
      <c r="D1905" s="296">
        <f t="shared" si="97"/>
        <v>744159.35000000009</v>
      </c>
      <c r="E1905" s="301">
        <v>304434.26</v>
      </c>
      <c r="F1905" s="301">
        <v>0</v>
      </c>
      <c r="G1905" s="301">
        <v>0</v>
      </c>
      <c r="H1905" s="301">
        <v>0</v>
      </c>
      <c r="I1905" s="301">
        <v>0</v>
      </c>
      <c r="J1905" s="301">
        <v>0</v>
      </c>
      <c r="K1905" s="302">
        <v>0</v>
      </c>
      <c r="L1905" s="301">
        <v>0</v>
      </c>
      <c r="M1905" s="301">
        <v>340975.8</v>
      </c>
      <c r="N1905" s="301">
        <v>0</v>
      </c>
      <c r="O1905" s="301">
        <v>98749.29</v>
      </c>
      <c r="P1905" s="301">
        <v>0</v>
      </c>
      <c r="Q1905" s="301">
        <v>0</v>
      </c>
      <c r="R1905" s="301">
        <v>0</v>
      </c>
      <c r="S1905" s="301">
        <v>0</v>
      </c>
      <c r="T1905" s="301">
        <v>0</v>
      </c>
      <c r="U1905" s="301">
        <v>0</v>
      </c>
      <c r="V1905" s="301">
        <v>0</v>
      </c>
      <c r="W1905" s="301">
        <v>0</v>
      </c>
      <c r="X1905" s="301">
        <v>0</v>
      </c>
      <c r="Y1905" s="301">
        <v>0</v>
      </c>
      <c r="Z1905" s="301">
        <v>0</v>
      </c>
      <c r="AA1905" s="301">
        <v>0</v>
      </c>
      <c r="AB1905" s="303">
        <v>2022</v>
      </c>
    </row>
    <row r="1906" spans="1:28" ht="35.25" customHeight="1" x14ac:dyDescent="0.5">
      <c r="A1906">
        <v>1</v>
      </c>
      <c r="B1906" s="80">
        <f>SUBTOTAL(103,$A$1697:A1906)</f>
        <v>210</v>
      </c>
      <c r="C1906" s="308" t="s">
        <v>3558</v>
      </c>
      <c r="D1906" s="296">
        <f t="shared" si="97"/>
        <v>407015</v>
      </c>
      <c r="E1906" s="301">
        <v>0</v>
      </c>
      <c r="F1906" s="301">
        <v>111825</v>
      </c>
      <c r="G1906" s="301">
        <v>0</v>
      </c>
      <c r="H1906" s="301">
        <v>0</v>
      </c>
      <c r="I1906" s="301">
        <v>0</v>
      </c>
      <c r="J1906" s="301">
        <v>0</v>
      </c>
      <c r="K1906" s="302">
        <v>0</v>
      </c>
      <c r="L1906" s="301">
        <v>0</v>
      </c>
      <c r="M1906" s="301">
        <v>295190</v>
      </c>
      <c r="N1906" s="301">
        <v>0</v>
      </c>
      <c r="O1906" s="301">
        <v>0</v>
      </c>
      <c r="P1906" s="301">
        <v>0</v>
      </c>
      <c r="Q1906" s="301">
        <v>0</v>
      </c>
      <c r="R1906" s="301">
        <v>0</v>
      </c>
      <c r="S1906" s="301">
        <v>0</v>
      </c>
      <c r="T1906" s="301">
        <v>0</v>
      </c>
      <c r="U1906" s="301">
        <v>0</v>
      </c>
      <c r="V1906" s="301">
        <v>0</v>
      </c>
      <c r="W1906" s="301">
        <v>0</v>
      </c>
      <c r="X1906" s="301">
        <v>0</v>
      </c>
      <c r="Y1906" s="301">
        <v>0</v>
      </c>
      <c r="Z1906" s="301">
        <v>0</v>
      </c>
      <c r="AA1906" s="301">
        <v>0</v>
      </c>
      <c r="AB1906" s="303">
        <v>2022</v>
      </c>
    </row>
    <row r="1907" spans="1:28" ht="35.25" customHeight="1" x14ac:dyDescent="0.5">
      <c r="A1907">
        <v>1</v>
      </c>
      <c r="B1907" s="80">
        <f>SUBTOTAL(103,$A$1697:A1907)</f>
        <v>211</v>
      </c>
      <c r="C1907" s="308" t="s">
        <v>2987</v>
      </c>
      <c r="D1907" s="296">
        <f t="shared" si="97"/>
        <v>127810</v>
      </c>
      <c r="E1907" s="301">
        <v>0</v>
      </c>
      <c r="F1907" s="301">
        <v>0</v>
      </c>
      <c r="G1907" s="301">
        <v>127810</v>
      </c>
      <c r="H1907" s="301">
        <v>0</v>
      </c>
      <c r="I1907" s="301">
        <v>0</v>
      </c>
      <c r="J1907" s="301">
        <v>0</v>
      </c>
      <c r="K1907" s="302">
        <v>0</v>
      </c>
      <c r="L1907" s="301">
        <v>0</v>
      </c>
      <c r="M1907" s="301">
        <v>0</v>
      </c>
      <c r="N1907" s="301">
        <v>0</v>
      </c>
      <c r="O1907" s="301">
        <v>0</v>
      </c>
      <c r="P1907" s="301">
        <v>0</v>
      </c>
      <c r="Q1907" s="301">
        <v>0</v>
      </c>
      <c r="R1907" s="301">
        <v>0</v>
      </c>
      <c r="S1907" s="301">
        <v>0</v>
      </c>
      <c r="T1907" s="301">
        <v>0</v>
      </c>
      <c r="U1907" s="301">
        <v>0</v>
      </c>
      <c r="V1907" s="301">
        <v>0</v>
      </c>
      <c r="W1907" s="301">
        <v>0</v>
      </c>
      <c r="X1907" s="301">
        <v>0</v>
      </c>
      <c r="Y1907" s="301">
        <v>0</v>
      </c>
      <c r="Z1907" s="301">
        <v>0</v>
      </c>
      <c r="AA1907" s="301">
        <v>0</v>
      </c>
      <c r="AB1907" s="303">
        <v>2022</v>
      </c>
    </row>
    <row r="1908" spans="1:28" ht="35.25" customHeight="1" x14ac:dyDescent="0.5">
      <c r="A1908">
        <v>1</v>
      </c>
      <c r="B1908" s="80">
        <f>SUBTOTAL(103,$A$1697:A1908)</f>
        <v>212</v>
      </c>
      <c r="C1908" s="308" t="s">
        <v>1626</v>
      </c>
      <c r="D1908" s="296">
        <f t="shared" si="97"/>
        <v>467740</v>
      </c>
      <c r="E1908" s="301">
        <v>0</v>
      </c>
      <c r="F1908" s="301">
        <v>0</v>
      </c>
      <c r="G1908" s="301">
        <v>0</v>
      </c>
      <c r="H1908" s="301">
        <v>0</v>
      </c>
      <c r="I1908" s="301">
        <v>0</v>
      </c>
      <c r="J1908" s="301">
        <v>0</v>
      </c>
      <c r="K1908" s="302">
        <v>0</v>
      </c>
      <c r="L1908" s="301">
        <v>0</v>
      </c>
      <c r="M1908" s="301">
        <v>467740</v>
      </c>
      <c r="N1908" s="301">
        <v>0</v>
      </c>
      <c r="O1908" s="301">
        <v>0</v>
      </c>
      <c r="P1908" s="301">
        <v>0</v>
      </c>
      <c r="Q1908" s="301">
        <v>0</v>
      </c>
      <c r="R1908" s="301">
        <v>0</v>
      </c>
      <c r="S1908" s="301">
        <v>0</v>
      </c>
      <c r="T1908" s="301">
        <v>0</v>
      </c>
      <c r="U1908" s="301">
        <v>0</v>
      </c>
      <c r="V1908" s="301">
        <v>0</v>
      </c>
      <c r="W1908" s="301">
        <v>0</v>
      </c>
      <c r="X1908" s="301">
        <v>0</v>
      </c>
      <c r="Y1908" s="301">
        <v>0</v>
      </c>
      <c r="Z1908" s="301">
        <v>0</v>
      </c>
      <c r="AA1908" s="301">
        <v>0</v>
      </c>
      <c r="AB1908" s="303">
        <v>2022</v>
      </c>
    </row>
    <row r="1909" spans="1:28" ht="35.25" customHeight="1" x14ac:dyDescent="0.5">
      <c r="A1909">
        <v>1</v>
      </c>
      <c r="B1909" s="80">
        <f>SUBTOTAL(103,$A$1697:A1909)</f>
        <v>213</v>
      </c>
      <c r="C1909" s="308" t="s">
        <v>3559</v>
      </c>
      <c r="D1909" s="296">
        <f t="shared" si="97"/>
        <v>225000</v>
      </c>
      <c r="E1909" s="301">
        <v>0</v>
      </c>
      <c r="F1909" s="301">
        <v>225000</v>
      </c>
      <c r="G1909" s="301">
        <v>0</v>
      </c>
      <c r="H1909" s="301">
        <v>0</v>
      </c>
      <c r="I1909" s="301">
        <v>0</v>
      </c>
      <c r="J1909" s="301">
        <v>0</v>
      </c>
      <c r="K1909" s="302">
        <v>0</v>
      </c>
      <c r="L1909" s="301">
        <v>0</v>
      </c>
      <c r="M1909" s="301">
        <v>0</v>
      </c>
      <c r="N1909" s="301">
        <v>0</v>
      </c>
      <c r="O1909" s="301">
        <v>0</v>
      </c>
      <c r="P1909" s="301">
        <v>0</v>
      </c>
      <c r="Q1909" s="301">
        <v>0</v>
      </c>
      <c r="R1909" s="301">
        <v>0</v>
      </c>
      <c r="S1909" s="301">
        <v>0</v>
      </c>
      <c r="T1909" s="301">
        <v>0</v>
      </c>
      <c r="U1909" s="301">
        <v>0</v>
      </c>
      <c r="V1909" s="301">
        <v>0</v>
      </c>
      <c r="W1909" s="301">
        <v>0</v>
      </c>
      <c r="X1909" s="301">
        <v>0</v>
      </c>
      <c r="Y1909" s="301">
        <v>0</v>
      </c>
      <c r="Z1909" s="301">
        <v>0</v>
      </c>
      <c r="AA1909" s="301">
        <v>0</v>
      </c>
      <c r="AB1909" s="303">
        <v>2022</v>
      </c>
    </row>
    <row r="1910" spans="1:28" ht="35.25" customHeight="1" x14ac:dyDescent="0.5">
      <c r="A1910">
        <v>1</v>
      </c>
      <c r="B1910" s="80">
        <f>SUBTOTAL(103,$A$1697:A1910)</f>
        <v>214</v>
      </c>
      <c r="C1910" s="308" t="s">
        <v>3560</v>
      </c>
      <c r="D1910" s="296">
        <f t="shared" si="97"/>
        <v>2457076</v>
      </c>
      <c r="E1910" s="301">
        <v>0</v>
      </c>
      <c r="F1910" s="301">
        <v>0</v>
      </c>
      <c r="G1910" s="301">
        <v>0</v>
      </c>
      <c r="H1910" s="301">
        <v>0</v>
      </c>
      <c r="I1910" s="301">
        <v>0</v>
      </c>
      <c r="J1910" s="301">
        <v>0</v>
      </c>
      <c r="K1910" s="302">
        <v>0</v>
      </c>
      <c r="L1910" s="301">
        <v>0</v>
      </c>
      <c r="M1910" s="301">
        <v>2457076</v>
      </c>
      <c r="N1910" s="301">
        <v>0</v>
      </c>
      <c r="O1910" s="301">
        <v>0</v>
      </c>
      <c r="P1910" s="301">
        <v>0</v>
      </c>
      <c r="Q1910" s="301">
        <v>0</v>
      </c>
      <c r="R1910" s="301">
        <v>0</v>
      </c>
      <c r="S1910" s="301">
        <v>0</v>
      </c>
      <c r="T1910" s="301">
        <v>0</v>
      </c>
      <c r="U1910" s="301">
        <v>0</v>
      </c>
      <c r="V1910" s="301">
        <v>0</v>
      </c>
      <c r="W1910" s="301">
        <v>0</v>
      </c>
      <c r="X1910" s="301">
        <v>0</v>
      </c>
      <c r="Y1910" s="301">
        <v>0</v>
      </c>
      <c r="Z1910" s="301">
        <v>0</v>
      </c>
      <c r="AA1910" s="301">
        <v>0</v>
      </c>
      <c r="AB1910" s="303">
        <v>2022</v>
      </c>
    </row>
    <row r="1911" spans="1:28" ht="35.25" customHeight="1" x14ac:dyDescent="0.5">
      <c r="A1911">
        <v>1</v>
      </c>
      <c r="B1911" s="80">
        <f>SUBTOTAL(103,$A$1697:A1911)</f>
        <v>215</v>
      </c>
      <c r="C1911" s="308" t="s">
        <v>2989</v>
      </c>
      <c r="D1911" s="296">
        <f t="shared" si="97"/>
        <v>2212102</v>
      </c>
      <c r="E1911" s="301">
        <v>0</v>
      </c>
      <c r="F1911" s="301">
        <v>0</v>
      </c>
      <c r="G1911" s="301">
        <v>0</v>
      </c>
      <c r="H1911" s="301">
        <v>0</v>
      </c>
      <c r="I1911" s="301">
        <v>0</v>
      </c>
      <c r="J1911" s="301">
        <v>0</v>
      </c>
      <c r="K1911" s="302">
        <v>0</v>
      </c>
      <c r="L1911" s="301">
        <v>0</v>
      </c>
      <c r="M1911" s="301">
        <v>1786168</v>
      </c>
      <c r="N1911" s="301">
        <v>0</v>
      </c>
      <c r="O1911" s="301">
        <v>425934</v>
      </c>
      <c r="P1911" s="301">
        <v>0</v>
      </c>
      <c r="Q1911" s="301">
        <v>0</v>
      </c>
      <c r="R1911" s="301">
        <v>0</v>
      </c>
      <c r="S1911" s="301">
        <v>0</v>
      </c>
      <c r="T1911" s="301">
        <v>0</v>
      </c>
      <c r="U1911" s="301">
        <v>0</v>
      </c>
      <c r="V1911" s="301">
        <v>0</v>
      </c>
      <c r="W1911" s="301">
        <v>0</v>
      </c>
      <c r="X1911" s="301">
        <v>0</v>
      </c>
      <c r="Y1911" s="301">
        <v>0</v>
      </c>
      <c r="Z1911" s="301">
        <v>0</v>
      </c>
      <c r="AA1911" s="301">
        <v>0</v>
      </c>
      <c r="AB1911" s="303">
        <v>2022</v>
      </c>
    </row>
    <row r="1912" spans="1:28" ht="35.25" customHeight="1" x14ac:dyDescent="0.5">
      <c r="A1912">
        <v>1</v>
      </c>
      <c r="B1912" s="80">
        <f>SUBTOTAL(103,$A$1697:A1912)</f>
        <v>216</v>
      </c>
      <c r="C1912" s="308" t="s">
        <v>2328</v>
      </c>
      <c r="D1912" s="296">
        <f t="shared" si="97"/>
        <v>715334.27</v>
      </c>
      <c r="E1912" s="301">
        <v>0</v>
      </c>
      <c r="F1912" s="301">
        <v>587633.03</v>
      </c>
      <c r="G1912" s="301">
        <v>0</v>
      </c>
      <c r="H1912" s="301">
        <v>0</v>
      </c>
      <c r="I1912" s="301">
        <v>0</v>
      </c>
      <c r="J1912" s="301">
        <v>0</v>
      </c>
      <c r="K1912" s="302">
        <v>0</v>
      </c>
      <c r="L1912" s="301">
        <v>0</v>
      </c>
      <c r="M1912" s="301">
        <v>127701.24</v>
      </c>
      <c r="N1912" s="301">
        <v>0</v>
      </c>
      <c r="O1912" s="301">
        <v>0</v>
      </c>
      <c r="P1912" s="301">
        <v>0</v>
      </c>
      <c r="Q1912" s="301">
        <v>0</v>
      </c>
      <c r="R1912" s="301">
        <v>0</v>
      </c>
      <c r="S1912" s="301">
        <v>0</v>
      </c>
      <c r="T1912" s="301">
        <v>0</v>
      </c>
      <c r="U1912" s="301">
        <v>0</v>
      </c>
      <c r="V1912" s="301">
        <v>0</v>
      </c>
      <c r="W1912" s="301">
        <v>0</v>
      </c>
      <c r="X1912" s="301">
        <v>0</v>
      </c>
      <c r="Y1912" s="301">
        <v>0</v>
      </c>
      <c r="Z1912" s="301">
        <v>0</v>
      </c>
      <c r="AA1912" s="301">
        <v>0</v>
      </c>
      <c r="AB1912" s="303">
        <v>2022</v>
      </c>
    </row>
    <row r="1913" spans="1:28" ht="35.25" customHeight="1" x14ac:dyDescent="0.5">
      <c r="A1913">
        <v>1</v>
      </c>
      <c r="B1913" s="80">
        <f>SUBTOTAL(103,$A$1697:A1913)</f>
        <v>217</v>
      </c>
      <c r="C1913" s="308" t="s">
        <v>1876</v>
      </c>
      <c r="D1913" s="296">
        <f t="shared" si="97"/>
        <v>240000</v>
      </c>
      <c r="E1913" s="301">
        <v>0</v>
      </c>
      <c r="F1913" s="301">
        <v>0</v>
      </c>
      <c r="G1913" s="301">
        <v>240000</v>
      </c>
      <c r="H1913" s="301">
        <v>0</v>
      </c>
      <c r="I1913" s="301">
        <v>0</v>
      </c>
      <c r="J1913" s="301">
        <v>0</v>
      </c>
      <c r="K1913" s="302">
        <v>0</v>
      </c>
      <c r="L1913" s="301">
        <v>0</v>
      </c>
      <c r="M1913" s="301">
        <v>0</v>
      </c>
      <c r="N1913" s="301">
        <v>0</v>
      </c>
      <c r="O1913" s="301">
        <v>0</v>
      </c>
      <c r="P1913" s="301">
        <v>0</v>
      </c>
      <c r="Q1913" s="301">
        <v>0</v>
      </c>
      <c r="R1913" s="301">
        <v>0</v>
      </c>
      <c r="S1913" s="301">
        <v>0</v>
      </c>
      <c r="T1913" s="301">
        <v>0</v>
      </c>
      <c r="U1913" s="301">
        <v>0</v>
      </c>
      <c r="V1913" s="301">
        <v>0</v>
      </c>
      <c r="W1913" s="301">
        <v>0</v>
      </c>
      <c r="X1913" s="301">
        <v>0</v>
      </c>
      <c r="Y1913" s="301">
        <v>0</v>
      </c>
      <c r="Z1913" s="301">
        <v>0</v>
      </c>
      <c r="AA1913" s="301">
        <v>0</v>
      </c>
      <c r="AB1913" s="303">
        <v>2022</v>
      </c>
    </row>
    <row r="1914" spans="1:28" ht="35.25" customHeight="1" x14ac:dyDescent="0.5">
      <c r="A1914">
        <v>1</v>
      </c>
      <c r="B1914" s="80">
        <f>SUBTOTAL(103,$A$1697:A1914)</f>
        <v>218</v>
      </c>
      <c r="C1914" s="308" t="s">
        <v>3561</v>
      </c>
      <c r="D1914" s="296">
        <f t="shared" si="97"/>
        <v>72000</v>
      </c>
      <c r="E1914" s="301">
        <v>0</v>
      </c>
      <c r="F1914" s="301">
        <v>0</v>
      </c>
      <c r="G1914" s="301">
        <v>72000</v>
      </c>
      <c r="H1914" s="301">
        <v>0</v>
      </c>
      <c r="I1914" s="301">
        <v>0</v>
      </c>
      <c r="J1914" s="301">
        <v>0</v>
      </c>
      <c r="K1914" s="302">
        <v>0</v>
      </c>
      <c r="L1914" s="301">
        <v>0</v>
      </c>
      <c r="M1914" s="301">
        <v>0</v>
      </c>
      <c r="N1914" s="301">
        <v>0</v>
      </c>
      <c r="O1914" s="301">
        <v>0</v>
      </c>
      <c r="P1914" s="301">
        <v>0</v>
      </c>
      <c r="Q1914" s="301">
        <v>0</v>
      </c>
      <c r="R1914" s="301">
        <v>0</v>
      </c>
      <c r="S1914" s="301">
        <v>0</v>
      </c>
      <c r="T1914" s="301">
        <v>0</v>
      </c>
      <c r="U1914" s="301">
        <v>0</v>
      </c>
      <c r="V1914" s="301">
        <v>0</v>
      </c>
      <c r="W1914" s="301">
        <v>0</v>
      </c>
      <c r="X1914" s="301">
        <v>0</v>
      </c>
      <c r="Y1914" s="301">
        <v>0</v>
      </c>
      <c r="Z1914" s="301">
        <v>0</v>
      </c>
      <c r="AA1914" s="301">
        <v>0</v>
      </c>
      <c r="AB1914" s="303">
        <v>2022</v>
      </c>
    </row>
    <row r="1915" spans="1:28" ht="35.25" customHeight="1" x14ac:dyDescent="0.5">
      <c r="A1915">
        <v>1</v>
      </c>
      <c r="B1915" s="80">
        <f>SUBTOTAL(103,$A$1697:A1915)</f>
        <v>219</v>
      </c>
      <c r="C1915" s="308" t="s">
        <v>3562</v>
      </c>
      <c r="D1915" s="296">
        <f t="shared" si="97"/>
        <v>627358</v>
      </c>
      <c r="E1915" s="301">
        <v>0</v>
      </c>
      <c r="F1915" s="301">
        <v>0</v>
      </c>
      <c r="G1915" s="301">
        <v>627358</v>
      </c>
      <c r="H1915" s="301">
        <v>0</v>
      </c>
      <c r="I1915" s="301">
        <v>0</v>
      </c>
      <c r="J1915" s="301">
        <v>0</v>
      </c>
      <c r="K1915" s="302">
        <v>0</v>
      </c>
      <c r="L1915" s="301">
        <v>0</v>
      </c>
      <c r="M1915" s="301">
        <v>0</v>
      </c>
      <c r="N1915" s="301">
        <v>0</v>
      </c>
      <c r="O1915" s="301">
        <v>0</v>
      </c>
      <c r="P1915" s="301">
        <v>0</v>
      </c>
      <c r="Q1915" s="301">
        <v>0</v>
      </c>
      <c r="R1915" s="301">
        <v>0</v>
      </c>
      <c r="S1915" s="301">
        <v>0</v>
      </c>
      <c r="T1915" s="301">
        <v>0</v>
      </c>
      <c r="U1915" s="301">
        <v>0</v>
      </c>
      <c r="V1915" s="301">
        <v>0</v>
      </c>
      <c r="W1915" s="301">
        <v>0</v>
      </c>
      <c r="X1915" s="301">
        <v>0</v>
      </c>
      <c r="Y1915" s="301">
        <v>0</v>
      </c>
      <c r="Z1915" s="301">
        <v>0</v>
      </c>
      <c r="AA1915" s="301">
        <v>0</v>
      </c>
      <c r="AB1915" s="303">
        <v>2022</v>
      </c>
    </row>
    <row r="1916" spans="1:28" ht="35.25" customHeight="1" x14ac:dyDescent="0.5">
      <c r="A1916">
        <v>1</v>
      </c>
      <c r="B1916" s="80">
        <f>SUBTOTAL(103,$A$1697:A1916)</f>
        <v>220</v>
      </c>
      <c r="C1916" s="308" t="s">
        <v>2729</v>
      </c>
      <c r="D1916" s="296">
        <f t="shared" si="97"/>
        <v>2186894.79</v>
      </c>
      <c r="E1916" s="301">
        <v>0</v>
      </c>
      <c r="F1916" s="301">
        <v>0</v>
      </c>
      <c r="G1916" s="301">
        <v>0</v>
      </c>
      <c r="H1916" s="301">
        <v>0</v>
      </c>
      <c r="I1916" s="301">
        <v>0</v>
      </c>
      <c r="J1916" s="301">
        <v>0</v>
      </c>
      <c r="K1916" s="302">
        <v>0</v>
      </c>
      <c r="L1916" s="301">
        <v>0</v>
      </c>
      <c r="M1916" s="301">
        <v>0</v>
      </c>
      <c r="N1916" s="301">
        <v>0</v>
      </c>
      <c r="O1916" s="301">
        <v>2186894.79</v>
      </c>
      <c r="P1916" s="301">
        <v>0</v>
      </c>
      <c r="Q1916" s="301">
        <v>0</v>
      </c>
      <c r="R1916" s="301">
        <v>0</v>
      </c>
      <c r="S1916" s="301">
        <v>0</v>
      </c>
      <c r="T1916" s="301">
        <v>0</v>
      </c>
      <c r="U1916" s="301">
        <v>0</v>
      </c>
      <c r="V1916" s="301">
        <v>0</v>
      </c>
      <c r="W1916" s="301">
        <v>0</v>
      </c>
      <c r="X1916" s="301">
        <v>0</v>
      </c>
      <c r="Y1916" s="301">
        <v>0</v>
      </c>
      <c r="Z1916" s="301">
        <v>0</v>
      </c>
      <c r="AA1916" s="301">
        <v>0</v>
      </c>
      <c r="AB1916" s="303">
        <v>2022</v>
      </c>
    </row>
    <row r="1917" spans="1:28" ht="35.25" customHeight="1" x14ac:dyDescent="0.5">
      <c r="A1917">
        <v>1</v>
      </c>
      <c r="B1917" s="80">
        <f>SUBTOTAL(103,$A$1697:A1917)</f>
        <v>221</v>
      </c>
      <c r="C1917" s="308" t="s">
        <v>2993</v>
      </c>
      <c r="D1917" s="296">
        <f t="shared" si="97"/>
        <v>294710.90000000002</v>
      </c>
      <c r="E1917" s="301">
        <v>0</v>
      </c>
      <c r="F1917" s="301">
        <v>0</v>
      </c>
      <c r="G1917" s="301">
        <v>0</v>
      </c>
      <c r="H1917" s="301">
        <v>0</v>
      </c>
      <c r="I1917" s="301">
        <v>0</v>
      </c>
      <c r="J1917" s="301">
        <v>0</v>
      </c>
      <c r="K1917" s="302">
        <v>0</v>
      </c>
      <c r="L1917" s="301">
        <v>0</v>
      </c>
      <c r="M1917" s="301">
        <v>294710.90000000002</v>
      </c>
      <c r="N1917" s="301">
        <v>0</v>
      </c>
      <c r="O1917" s="301">
        <v>0</v>
      </c>
      <c r="P1917" s="301">
        <v>0</v>
      </c>
      <c r="Q1917" s="301">
        <v>0</v>
      </c>
      <c r="R1917" s="301">
        <v>0</v>
      </c>
      <c r="S1917" s="301">
        <v>0</v>
      </c>
      <c r="T1917" s="301">
        <v>0</v>
      </c>
      <c r="U1917" s="301">
        <v>0</v>
      </c>
      <c r="V1917" s="301">
        <v>0</v>
      </c>
      <c r="W1917" s="301">
        <v>0</v>
      </c>
      <c r="X1917" s="301">
        <v>0</v>
      </c>
      <c r="Y1917" s="301">
        <v>0</v>
      </c>
      <c r="Z1917" s="301">
        <v>0</v>
      </c>
      <c r="AA1917" s="301">
        <v>0</v>
      </c>
      <c r="AB1917" s="303">
        <v>2022</v>
      </c>
    </row>
    <row r="1918" spans="1:28" ht="35.25" customHeight="1" x14ac:dyDescent="0.5">
      <c r="A1918">
        <v>1</v>
      </c>
      <c r="B1918" s="80">
        <f>SUBTOTAL(103,$A$1697:A1918)</f>
        <v>222</v>
      </c>
      <c r="C1918" s="308" t="s">
        <v>3563</v>
      </c>
      <c r="D1918" s="296">
        <f t="shared" si="97"/>
        <v>427300</v>
      </c>
      <c r="E1918" s="301">
        <v>0</v>
      </c>
      <c r="F1918" s="301">
        <v>0</v>
      </c>
      <c r="G1918" s="301">
        <v>0</v>
      </c>
      <c r="H1918" s="301">
        <v>0</v>
      </c>
      <c r="I1918" s="301">
        <v>0</v>
      </c>
      <c r="J1918" s="301">
        <v>0</v>
      </c>
      <c r="K1918" s="302">
        <v>0</v>
      </c>
      <c r="L1918" s="301">
        <v>0</v>
      </c>
      <c r="M1918" s="301">
        <v>0</v>
      </c>
      <c r="N1918" s="301">
        <v>0</v>
      </c>
      <c r="O1918" s="301">
        <v>427300</v>
      </c>
      <c r="P1918" s="301">
        <v>0</v>
      </c>
      <c r="Q1918" s="301">
        <v>0</v>
      </c>
      <c r="R1918" s="301">
        <v>0</v>
      </c>
      <c r="S1918" s="301">
        <v>0</v>
      </c>
      <c r="T1918" s="301">
        <v>0</v>
      </c>
      <c r="U1918" s="301">
        <v>0</v>
      </c>
      <c r="V1918" s="301">
        <v>0</v>
      </c>
      <c r="W1918" s="301">
        <v>0</v>
      </c>
      <c r="X1918" s="301">
        <v>0</v>
      </c>
      <c r="Y1918" s="301">
        <v>0</v>
      </c>
      <c r="Z1918" s="301">
        <v>0</v>
      </c>
      <c r="AA1918" s="301">
        <v>0</v>
      </c>
      <c r="AB1918" s="303">
        <v>2022</v>
      </c>
    </row>
    <row r="1919" spans="1:28" ht="35.25" customHeight="1" x14ac:dyDescent="0.5">
      <c r="A1919">
        <v>1</v>
      </c>
      <c r="B1919" s="80">
        <f>SUBTOTAL(103,$A$1697:A1919)</f>
        <v>223</v>
      </c>
      <c r="C1919" s="308" t="s">
        <v>3564</v>
      </c>
      <c r="D1919" s="296">
        <f t="shared" si="97"/>
        <v>192000</v>
      </c>
      <c r="E1919" s="301">
        <v>0</v>
      </c>
      <c r="F1919" s="301">
        <v>0</v>
      </c>
      <c r="G1919" s="301">
        <v>0</v>
      </c>
      <c r="H1919" s="301">
        <v>0</v>
      </c>
      <c r="I1919" s="301">
        <v>0</v>
      </c>
      <c r="J1919" s="301">
        <v>0</v>
      </c>
      <c r="K1919" s="302">
        <v>0</v>
      </c>
      <c r="L1919" s="301">
        <v>0</v>
      </c>
      <c r="M1919" s="301">
        <v>192000</v>
      </c>
      <c r="N1919" s="301">
        <v>0</v>
      </c>
      <c r="O1919" s="301">
        <v>0</v>
      </c>
      <c r="P1919" s="301">
        <v>0</v>
      </c>
      <c r="Q1919" s="301">
        <v>0</v>
      </c>
      <c r="R1919" s="301">
        <v>0</v>
      </c>
      <c r="S1919" s="301">
        <v>0</v>
      </c>
      <c r="T1919" s="301">
        <v>0</v>
      </c>
      <c r="U1919" s="301">
        <v>0</v>
      </c>
      <c r="V1919" s="301">
        <v>0</v>
      </c>
      <c r="W1919" s="301">
        <v>0</v>
      </c>
      <c r="X1919" s="301">
        <v>0</v>
      </c>
      <c r="Y1919" s="301">
        <v>0</v>
      </c>
      <c r="Z1919" s="301">
        <v>0</v>
      </c>
      <c r="AA1919" s="301">
        <v>0</v>
      </c>
      <c r="AB1919" s="303">
        <v>2022</v>
      </c>
    </row>
    <row r="1920" spans="1:28" ht="35.25" customHeight="1" x14ac:dyDescent="0.5">
      <c r="A1920">
        <v>1</v>
      </c>
      <c r="B1920" s="80">
        <f>SUBTOTAL(103,$A$1697:A1920)</f>
        <v>224</v>
      </c>
      <c r="C1920" s="308" t="s">
        <v>2733</v>
      </c>
      <c r="D1920" s="296">
        <f t="shared" si="97"/>
        <v>520028</v>
      </c>
      <c r="E1920" s="301">
        <v>0</v>
      </c>
      <c r="F1920" s="301">
        <v>520028</v>
      </c>
      <c r="G1920" s="301">
        <v>0</v>
      </c>
      <c r="H1920" s="301">
        <v>0</v>
      </c>
      <c r="I1920" s="301">
        <v>0</v>
      </c>
      <c r="J1920" s="301">
        <v>0</v>
      </c>
      <c r="K1920" s="302">
        <v>0</v>
      </c>
      <c r="L1920" s="301">
        <v>0</v>
      </c>
      <c r="M1920" s="301">
        <v>0</v>
      </c>
      <c r="N1920" s="301">
        <v>0</v>
      </c>
      <c r="O1920" s="301">
        <v>0</v>
      </c>
      <c r="P1920" s="301">
        <v>0</v>
      </c>
      <c r="Q1920" s="301">
        <v>0</v>
      </c>
      <c r="R1920" s="301">
        <v>0</v>
      </c>
      <c r="S1920" s="301">
        <v>0</v>
      </c>
      <c r="T1920" s="301">
        <v>0</v>
      </c>
      <c r="U1920" s="301">
        <v>0</v>
      </c>
      <c r="V1920" s="301">
        <v>0</v>
      </c>
      <c r="W1920" s="301">
        <v>0</v>
      </c>
      <c r="X1920" s="301">
        <v>0</v>
      </c>
      <c r="Y1920" s="301">
        <v>0</v>
      </c>
      <c r="Z1920" s="301">
        <v>0</v>
      </c>
      <c r="AA1920" s="301">
        <v>0</v>
      </c>
      <c r="AB1920" s="303">
        <v>2022</v>
      </c>
    </row>
    <row r="1921" spans="1:28" ht="35.25" customHeight="1" x14ac:dyDescent="0.5">
      <c r="A1921">
        <v>1</v>
      </c>
      <c r="B1921" s="80">
        <f>SUBTOTAL(103,$A$1697:A1921)</f>
        <v>225</v>
      </c>
      <c r="C1921" s="308" t="s">
        <v>1635</v>
      </c>
      <c r="D1921" s="296">
        <f t="shared" si="97"/>
        <v>485539.6</v>
      </c>
      <c r="E1921" s="301">
        <v>252000</v>
      </c>
      <c r="F1921" s="301">
        <v>0</v>
      </c>
      <c r="G1921" s="301">
        <v>233539.6</v>
      </c>
      <c r="H1921" s="301">
        <v>0</v>
      </c>
      <c r="I1921" s="301">
        <v>0</v>
      </c>
      <c r="J1921" s="301">
        <v>0</v>
      </c>
      <c r="K1921" s="302">
        <v>0</v>
      </c>
      <c r="L1921" s="301">
        <v>0</v>
      </c>
      <c r="M1921" s="301">
        <v>0</v>
      </c>
      <c r="N1921" s="301">
        <v>0</v>
      </c>
      <c r="O1921" s="301">
        <v>0</v>
      </c>
      <c r="P1921" s="301">
        <v>0</v>
      </c>
      <c r="Q1921" s="301">
        <v>0</v>
      </c>
      <c r="R1921" s="301">
        <v>0</v>
      </c>
      <c r="S1921" s="301">
        <v>0</v>
      </c>
      <c r="T1921" s="301">
        <v>0</v>
      </c>
      <c r="U1921" s="301">
        <v>0</v>
      </c>
      <c r="V1921" s="301">
        <v>0</v>
      </c>
      <c r="W1921" s="301">
        <v>0</v>
      </c>
      <c r="X1921" s="301">
        <v>0</v>
      </c>
      <c r="Y1921" s="301">
        <v>0</v>
      </c>
      <c r="Z1921" s="301">
        <v>0</v>
      </c>
      <c r="AA1921" s="301">
        <v>0</v>
      </c>
      <c r="AB1921" s="303">
        <v>2022</v>
      </c>
    </row>
    <row r="1922" spans="1:28" ht="35.25" customHeight="1" x14ac:dyDescent="0.5">
      <c r="A1922">
        <v>1</v>
      </c>
      <c r="B1922" s="80">
        <f>SUBTOTAL(103,$A$1697:A1922)</f>
        <v>226</v>
      </c>
      <c r="C1922" s="308" t="s">
        <v>3565</v>
      </c>
      <c r="D1922" s="296">
        <f t="shared" si="97"/>
        <v>166400.69</v>
      </c>
      <c r="E1922" s="301">
        <v>166400.69</v>
      </c>
      <c r="F1922" s="301">
        <v>0</v>
      </c>
      <c r="G1922" s="301">
        <v>0</v>
      </c>
      <c r="H1922" s="301">
        <v>0</v>
      </c>
      <c r="I1922" s="301">
        <v>0</v>
      </c>
      <c r="J1922" s="301">
        <v>0</v>
      </c>
      <c r="K1922" s="302">
        <v>0</v>
      </c>
      <c r="L1922" s="301">
        <v>0</v>
      </c>
      <c r="M1922" s="301">
        <v>0</v>
      </c>
      <c r="N1922" s="301">
        <v>0</v>
      </c>
      <c r="O1922" s="301">
        <v>0</v>
      </c>
      <c r="P1922" s="301">
        <v>0</v>
      </c>
      <c r="Q1922" s="301">
        <v>0</v>
      </c>
      <c r="R1922" s="301">
        <v>0</v>
      </c>
      <c r="S1922" s="301">
        <v>0</v>
      </c>
      <c r="T1922" s="301">
        <v>0</v>
      </c>
      <c r="U1922" s="301">
        <v>0</v>
      </c>
      <c r="V1922" s="301">
        <v>0</v>
      </c>
      <c r="W1922" s="301">
        <v>0</v>
      </c>
      <c r="X1922" s="301">
        <v>0</v>
      </c>
      <c r="Y1922" s="301">
        <v>0</v>
      </c>
      <c r="Z1922" s="301">
        <v>0</v>
      </c>
      <c r="AA1922" s="301">
        <v>0</v>
      </c>
      <c r="AB1922" s="303">
        <v>2022</v>
      </c>
    </row>
    <row r="1923" spans="1:28" ht="35.25" customHeight="1" x14ac:dyDescent="0.5">
      <c r="A1923">
        <v>1</v>
      </c>
      <c r="B1923" s="80">
        <f>SUBTOTAL(103,$A$1697:A1923)</f>
        <v>227</v>
      </c>
      <c r="C1923" s="308" t="s">
        <v>3566</v>
      </c>
      <c r="D1923" s="296">
        <f t="shared" si="97"/>
        <v>342050</v>
      </c>
      <c r="E1923" s="301">
        <v>0</v>
      </c>
      <c r="F1923" s="301">
        <v>0</v>
      </c>
      <c r="G1923" s="301">
        <v>0</v>
      </c>
      <c r="H1923" s="301">
        <v>0</v>
      </c>
      <c r="I1923" s="301">
        <v>0</v>
      </c>
      <c r="J1923" s="301">
        <v>0</v>
      </c>
      <c r="K1923" s="302">
        <v>0</v>
      </c>
      <c r="L1923" s="301">
        <v>0</v>
      </c>
      <c r="M1923" s="301">
        <v>342050</v>
      </c>
      <c r="N1923" s="301">
        <v>0</v>
      </c>
      <c r="O1923" s="301">
        <v>0</v>
      </c>
      <c r="P1923" s="301">
        <v>0</v>
      </c>
      <c r="Q1923" s="301">
        <v>0</v>
      </c>
      <c r="R1923" s="301">
        <v>0</v>
      </c>
      <c r="S1923" s="301">
        <v>0</v>
      </c>
      <c r="T1923" s="301">
        <v>0</v>
      </c>
      <c r="U1923" s="301">
        <v>0</v>
      </c>
      <c r="V1923" s="301">
        <v>0</v>
      </c>
      <c r="W1923" s="301">
        <v>0</v>
      </c>
      <c r="X1923" s="301">
        <v>0</v>
      </c>
      <c r="Y1923" s="301">
        <v>0</v>
      </c>
      <c r="Z1923" s="301">
        <v>0</v>
      </c>
      <c r="AA1923" s="301">
        <v>0</v>
      </c>
      <c r="AB1923" s="303">
        <v>2022</v>
      </c>
    </row>
    <row r="1924" spans="1:28" ht="35.25" customHeight="1" x14ac:dyDescent="0.5">
      <c r="A1924">
        <v>1</v>
      </c>
      <c r="B1924" s="80">
        <f>SUBTOTAL(103,$A$1697:A1924)</f>
        <v>228</v>
      </c>
      <c r="C1924" s="308" t="s">
        <v>2997</v>
      </c>
      <c r="D1924" s="296">
        <f t="shared" si="97"/>
        <v>302132</v>
      </c>
      <c r="E1924" s="301">
        <v>0</v>
      </c>
      <c r="F1924" s="301">
        <v>0</v>
      </c>
      <c r="G1924" s="301">
        <v>302132</v>
      </c>
      <c r="H1924" s="301">
        <v>0</v>
      </c>
      <c r="I1924" s="301">
        <v>0</v>
      </c>
      <c r="J1924" s="301">
        <v>0</v>
      </c>
      <c r="K1924" s="302">
        <v>0</v>
      </c>
      <c r="L1924" s="301">
        <v>0</v>
      </c>
      <c r="M1924" s="301">
        <v>0</v>
      </c>
      <c r="N1924" s="301">
        <v>0</v>
      </c>
      <c r="O1924" s="301">
        <v>0</v>
      </c>
      <c r="P1924" s="301">
        <v>0</v>
      </c>
      <c r="Q1924" s="301">
        <v>0</v>
      </c>
      <c r="R1924" s="301">
        <v>0</v>
      </c>
      <c r="S1924" s="301">
        <v>0</v>
      </c>
      <c r="T1924" s="301">
        <v>0</v>
      </c>
      <c r="U1924" s="301">
        <v>0</v>
      </c>
      <c r="V1924" s="301">
        <v>0</v>
      </c>
      <c r="W1924" s="301">
        <v>0</v>
      </c>
      <c r="X1924" s="301">
        <v>0</v>
      </c>
      <c r="Y1924" s="301">
        <v>0</v>
      </c>
      <c r="Z1924" s="301">
        <v>0</v>
      </c>
      <c r="AA1924" s="301">
        <v>0</v>
      </c>
      <c r="AB1924" s="303">
        <v>2022</v>
      </c>
    </row>
    <row r="1925" spans="1:28" ht="35.25" customHeight="1" x14ac:dyDescent="0.5">
      <c r="A1925">
        <v>1</v>
      </c>
      <c r="B1925" s="80">
        <f>SUBTOTAL(103,$A$1697:A1925)</f>
        <v>229</v>
      </c>
      <c r="C1925" s="308" t="s">
        <v>3567</v>
      </c>
      <c r="D1925" s="296">
        <f t="shared" si="97"/>
        <v>197000</v>
      </c>
      <c r="E1925" s="301">
        <v>0</v>
      </c>
      <c r="F1925" s="301">
        <v>0</v>
      </c>
      <c r="G1925" s="301">
        <v>0</v>
      </c>
      <c r="H1925" s="301">
        <v>0</v>
      </c>
      <c r="I1925" s="301">
        <v>0</v>
      </c>
      <c r="J1925" s="301">
        <v>0</v>
      </c>
      <c r="K1925" s="302">
        <v>0</v>
      </c>
      <c r="L1925" s="301">
        <v>0</v>
      </c>
      <c r="M1925" s="301">
        <v>197000</v>
      </c>
      <c r="N1925" s="301">
        <v>0</v>
      </c>
      <c r="O1925" s="301">
        <v>0</v>
      </c>
      <c r="P1925" s="301">
        <v>0</v>
      </c>
      <c r="Q1925" s="301">
        <v>0</v>
      </c>
      <c r="R1925" s="301">
        <v>0</v>
      </c>
      <c r="S1925" s="301">
        <v>0</v>
      </c>
      <c r="T1925" s="301">
        <v>0</v>
      </c>
      <c r="U1925" s="301">
        <v>0</v>
      </c>
      <c r="V1925" s="301">
        <v>0</v>
      </c>
      <c r="W1925" s="301">
        <v>0</v>
      </c>
      <c r="X1925" s="301">
        <v>0</v>
      </c>
      <c r="Y1925" s="301">
        <v>0</v>
      </c>
      <c r="Z1925" s="301">
        <v>0</v>
      </c>
      <c r="AA1925" s="301">
        <v>0</v>
      </c>
      <c r="AB1925" s="303">
        <v>2022</v>
      </c>
    </row>
    <row r="1926" spans="1:28" ht="35.25" customHeight="1" x14ac:dyDescent="0.5">
      <c r="A1926">
        <v>1</v>
      </c>
      <c r="B1926" s="80">
        <f>SUBTOTAL(103,$A$1697:A1926)</f>
        <v>230</v>
      </c>
      <c r="C1926" s="308" t="s">
        <v>1638</v>
      </c>
      <c r="D1926" s="296">
        <f t="shared" si="97"/>
        <v>669850</v>
      </c>
      <c r="E1926" s="301">
        <v>0</v>
      </c>
      <c r="F1926" s="301">
        <v>0</v>
      </c>
      <c r="G1926" s="301">
        <v>0</v>
      </c>
      <c r="H1926" s="301">
        <v>0</v>
      </c>
      <c r="I1926" s="301">
        <v>0</v>
      </c>
      <c r="J1926" s="301">
        <v>0</v>
      </c>
      <c r="K1926" s="302">
        <v>0</v>
      </c>
      <c r="L1926" s="301">
        <v>0</v>
      </c>
      <c r="M1926" s="301">
        <v>0</v>
      </c>
      <c r="N1926" s="301">
        <v>0</v>
      </c>
      <c r="O1926" s="301">
        <v>0</v>
      </c>
      <c r="P1926" s="301">
        <v>669850</v>
      </c>
      <c r="Q1926" s="301">
        <v>0</v>
      </c>
      <c r="R1926" s="301">
        <v>0</v>
      </c>
      <c r="S1926" s="301">
        <v>0</v>
      </c>
      <c r="T1926" s="301">
        <v>0</v>
      </c>
      <c r="U1926" s="301">
        <v>0</v>
      </c>
      <c r="V1926" s="301">
        <v>0</v>
      </c>
      <c r="W1926" s="301">
        <v>0</v>
      </c>
      <c r="X1926" s="301">
        <v>0</v>
      </c>
      <c r="Y1926" s="301">
        <v>0</v>
      </c>
      <c r="Z1926" s="301">
        <v>0</v>
      </c>
      <c r="AA1926" s="301">
        <v>0</v>
      </c>
      <c r="AB1926" s="303">
        <v>2022</v>
      </c>
    </row>
    <row r="1927" spans="1:28" ht="35.25" customHeight="1" x14ac:dyDescent="0.5">
      <c r="A1927">
        <v>1</v>
      </c>
      <c r="B1927" s="80">
        <f>SUBTOTAL(103,$A$1697:A1927)</f>
        <v>231</v>
      </c>
      <c r="C1927" s="308" t="s">
        <v>2998</v>
      </c>
      <c r="D1927" s="296">
        <f t="shared" si="97"/>
        <v>248394</v>
      </c>
      <c r="E1927" s="301">
        <v>248394</v>
      </c>
      <c r="F1927" s="301">
        <v>0</v>
      </c>
      <c r="G1927" s="301">
        <v>0</v>
      </c>
      <c r="H1927" s="301">
        <v>0</v>
      </c>
      <c r="I1927" s="301">
        <v>0</v>
      </c>
      <c r="J1927" s="301">
        <v>0</v>
      </c>
      <c r="K1927" s="302">
        <v>0</v>
      </c>
      <c r="L1927" s="301">
        <v>0</v>
      </c>
      <c r="M1927" s="301">
        <v>0</v>
      </c>
      <c r="N1927" s="301">
        <v>0</v>
      </c>
      <c r="O1927" s="301">
        <v>0</v>
      </c>
      <c r="P1927" s="301">
        <v>0</v>
      </c>
      <c r="Q1927" s="301">
        <v>0</v>
      </c>
      <c r="R1927" s="301">
        <v>0</v>
      </c>
      <c r="S1927" s="301">
        <v>0</v>
      </c>
      <c r="T1927" s="301">
        <v>0</v>
      </c>
      <c r="U1927" s="301">
        <v>0</v>
      </c>
      <c r="V1927" s="301">
        <v>0</v>
      </c>
      <c r="W1927" s="301">
        <v>0</v>
      </c>
      <c r="X1927" s="301">
        <v>0</v>
      </c>
      <c r="Y1927" s="301">
        <v>0</v>
      </c>
      <c r="Z1927" s="301">
        <v>0</v>
      </c>
      <c r="AA1927" s="301">
        <v>0</v>
      </c>
      <c r="AB1927" s="303">
        <v>2022</v>
      </c>
    </row>
    <row r="1928" spans="1:28" ht="35.25" customHeight="1" x14ac:dyDescent="0.5">
      <c r="A1928">
        <v>1</v>
      </c>
      <c r="B1928" s="80">
        <f>SUBTOTAL(103,$A$1697:A1928)</f>
        <v>232</v>
      </c>
      <c r="C1928" s="308" t="s">
        <v>1888</v>
      </c>
      <c r="D1928" s="296">
        <f t="shared" si="97"/>
        <v>962886</v>
      </c>
      <c r="E1928" s="301">
        <v>0</v>
      </c>
      <c r="F1928" s="301">
        <v>0</v>
      </c>
      <c r="G1928" s="301">
        <v>0</v>
      </c>
      <c r="H1928" s="301">
        <v>99465</v>
      </c>
      <c r="I1928" s="301">
        <v>0</v>
      </c>
      <c r="J1928" s="301">
        <v>0</v>
      </c>
      <c r="K1928" s="302">
        <v>1</v>
      </c>
      <c r="L1928" s="301">
        <v>125300</v>
      </c>
      <c r="M1928" s="301">
        <v>738121</v>
      </c>
      <c r="N1928" s="301">
        <v>0</v>
      </c>
      <c r="O1928" s="301">
        <v>0</v>
      </c>
      <c r="P1928" s="301">
        <v>0</v>
      </c>
      <c r="Q1928" s="301">
        <v>0</v>
      </c>
      <c r="R1928" s="301">
        <v>0</v>
      </c>
      <c r="S1928" s="301">
        <v>0</v>
      </c>
      <c r="T1928" s="301">
        <v>0</v>
      </c>
      <c r="U1928" s="301">
        <v>0</v>
      </c>
      <c r="V1928" s="301">
        <v>0</v>
      </c>
      <c r="W1928" s="301">
        <v>0</v>
      </c>
      <c r="X1928" s="301">
        <v>0</v>
      </c>
      <c r="Y1928" s="301">
        <v>0</v>
      </c>
      <c r="Z1928" s="301">
        <v>0</v>
      </c>
      <c r="AA1928" s="301">
        <v>0</v>
      </c>
      <c r="AB1928" s="303">
        <v>2022</v>
      </c>
    </row>
    <row r="1929" spans="1:28" ht="35.25" customHeight="1" x14ac:dyDescent="0.5">
      <c r="A1929">
        <v>1</v>
      </c>
      <c r="B1929" s="80">
        <f>SUBTOTAL(103,$A$1697:A1929)</f>
        <v>233</v>
      </c>
      <c r="C1929" s="308" t="s">
        <v>3568</v>
      </c>
      <c r="D1929" s="296">
        <f t="shared" ref="D1929:D1992" si="98">E1929+F1929+G1929+H1929+I1929+J1929+L1929+M1929+N1929+O1929+P1929+Q1929+R1929+S1929+T1929+U1929+V1929+W1929+X1929+Y1929+Z1929+AA1929</f>
        <v>302400</v>
      </c>
      <c r="E1929" s="301">
        <v>0</v>
      </c>
      <c r="F1929" s="301">
        <v>0</v>
      </c>
      <c r="G1929" s="301">
        <v>0</v>
      </c>
      <c r="H1929" s="301">
        <v>0</v>
      </c>
      <c r="I1929" s="301">
        <v>0</v>
      </c>
      <c r="J1929" s="301">
        <v>0</v>
      </c>
      <c r="K1929" s="302">
        <v>0</v>
      </c>
      <c r="L1929" s="301">
        <v>0</v>
      </c>
      <c r="M1929" s="301">
        <v>0</v>
      </c>
      <c r="N1929" s="301">
        <v>0</v>
      </c>
      <c r="O1929" s="301">
        <v>302400</v>
      </c>
      <c r="P1929" s="301">
        <v>0</v>
      </c>
      <c r="Q1929" s="301">
        <v>0</v>
      </c>
      <c r="R1929" s="301">
        <v>0</v>
      </c>
      <c r="S1929" s="301">
        <v>0</v>
      </c>
      <c r="T1929" s="301">
        <v>0</v>
      </c>
      <c r="U1929" s="301">
        <v>0</v>
      </c>
      <c r="V1929" s="301">
        <v>0</v>
      </c>
      <c r="W1929" s="301">
        <v>0</v>
      </c>
      <c r="X1929" s="301">
        <v>0</v>
      </c>
      <c r="Y1929" s="301">
        <v>0</v>
      </c>
      <c r="Z1929" s="301">
        <v>0</v>
      </c>
      <c r="AA1929" s="301">
        <v>0</v>
      </c>
      <c r="AB1929" s="303">
        <v>2022</v>
      </c>
    </row>
    <row r="1930" spans="1:28" ht="35.25" customHeight="1" x14ac:dyDescent="0.5">
      <c r="A1930">
        <v>1</v>
      </c>
      <c r="B1930" s="80">
        <f>SUBTOTAL(103,$A$1697:A1930)</f>
        <v>234</v>
      </c>
      <c r="C1930" s="308" t="s">
        <v>1891</v>
      </c>
      <c r="D1930" s="296">
        <f t="shared" si="98"/>
        <v>242780</v>
      </c>
      <c r="E1930" s="301">
        <v>122564</v>
      </c>
      <c r="F1930" s="301">
        <v>0</v>
      </c>
      <c r="G1930" s="301">
        <v>0</v>
      </c>
      <c r="H1930" s="301">
        <v>0</v>
      </c>
      <c r="I1930" s="301">
        <v>0</v>
      </c>
      <c r="J1930" s="301">
        <v>0</v>
      </c>
      <c r="K1930" s="302">
        <v>0</v>
      </c>
      <c r="L1930" s="301">
        <v>0</v>
      </c>
      <c r="M1930" s="301">
        <v>120216</v>
      </c>
      <c r="N1930" s="301">
        <v>0</v>
      </c>
      <c r="O1930" s="301">
        <v>0</v>
      </c>
      <c r="P1930" s="301">
        <v>0</v>
      </c>
      <c r="Q1930" s="301">
        <v>0</v>
      </c>
      <c r="R1930" s="301">
        <v>0</v>
      </c>
      <c r="S1930" s="301">
        <v>0</v>
      </c>
      <c r="T1930" s="301">
        <v>0</v>
      </c>
      <c r="U1930" s="301">
        <v>0</v>
      </c>
      <c r="V1930" s="301">
        <v>0</v>
      </c>
      <c r="W1930" s="301">
        <v>0</v>
      </c>
      <c r="X1930" s="301">
        <v>0</v>
      </c>
      <c r="Y1930" s="301">
        <v>0</v>
      </c>
      <c r="Z1930" s="301">
        <v>0</v>
      </c>
      <c r="AA1930" s="301">
        <v>0</v>
      </c>
      <c r="AB1930" s="303">
        <v>2022</v>
      </c>
    </row>
    <row r="1931" spans="1:28" ht="35.25" customHeight="1" x14ac:dyDescent="0.5">
      <c r="A1931">
        <v>1</v>
      </c>
      <c r="B1931" s="80">
        <f>SUBTOTAL(103,$A$1697:A1931)</f>
        <v>235</v>
      </c>
      <c r="C1931" s="308" t="s">
        <v>1890</v>
      </c>
      <c r="D1931" s="296">
        <f t="shared" si="98"/>
        <v>318637</v>
      </c>
      <c r="E1931" s="301">
        <v>0</v>
      </c>
      <c r="F1931" s="301">
        <v>0</v>
      </c>
      <c r="G1931" s="301">
        <v>0</v>
      </c>
      <c r="H1931" s="301">
        <v>0</v>
      </c>
      <c r="I1931" s="301">
        <v>0</v>
      </c>
      <c r="J1931" s="301">
        <v>0</v>
      </c>
      <c r="K1931" s="302">
        <v>0</v>
      </c>
      <c r="L1931" s="301">
        <v>0</v>
      </c>
      <c r="M1931" s="301">
        <v>318637</v>
      </c>
      <c r="N1931" s="301">
        <v>0</v>
      </c>
      <c r="O1931" s="301">
        <v>0</v>
      </c>
      <c r="P1931" s="301">
        <v>0</v>
      </c>
      <c r="Q1931" s="301">
        <v>0</v>
      </c>
      <c r="R1931" s="301">
        <v>0</v>
      </c>
      <c r="S1931" s="301">
        <v>0</v>
      </c>
      <c r="T1931" s="301">
        <v>0</v>
      </c>
      <c r="U1931" s="301">
        <v>0</v>
      </c>
      <c r="V1931" s="301">
        <v>0</v>
      </c>
      <c r="W1931" s="301">
        <v>0</v>
      </c>
      <c r="X1931" s="301">
        <v>0</v>
      </c>
      <c r="Y1931" s="301">
        <v>0</v>
      </c>
      <c r="Z1931" s="301">
        <v>0</v>
      </c>
      <c r="AA1931" s="301">
        <v>0</v>
      </c>
      <c r="AB1931" s="303">
        <v>2022</v>
      </c>
    </row>
    <row r="1932" spans="1:28" ht="35.25" customHeight="1" x14ac:dyDescent="0.5">
      <c r="A1932">
        <v>1</v>
      </c>
      <c r="B1932" s="80">
        <f>SUBTOTAL(103,$A$1697:A1932)</f>
        <v>236</v>
      </c>
      <c r="C1932" s="308" t="s">
        <v>2736</v>
      </c>
      <c r="D1932" s="296">
        <f t="shared" si="98"/>
        <v>269859</v>
      </c>
      <c r="E1932" s="301">
        <v>0</v>
      </c>
      <c r="F1932" s="301">
        <v>0</v>
      </c>
      <c r="G1932" s="301">
        <v>269859</v>
      </c>
      <c r="H1932" s="301">
        <v>0</v>
      </c>
      <c r="I1932" s="301">
        <v>0</v>
      </c>
      <c r="J1932" s="301">
        <v>0</v>
      </c>
      <c r="K1932" s="302">
        <v>0</v>
      </c>
      <c r="L1932" s="301">
        <v>0</v>
      </c>
      <c r="M1932" s="301">
        <v>0</v>
      </c>
      <c r="N1932" s="301">
        <v>0</v>
      </c>
      <c r="O1932" s="301">
        <v>0</v>
      </c>
      <c r="P1932" s="301">
        <v>0</v>
      </c>
      <c r="Q1932" s="301">
        <v>0</v>
      </c>
      <c r="R1932" s="301">
        <v>0</v>
      </c>
      <c r="S1932" s="301">
        <v>0</v>
      </c>
      <c r="T1932" s="301">
        <v>0</v>
      </c>
      <c r="U1932" s="301">
        <v>0</v>
      </c>
      <c r="V1932" s="301">
        <v>0</v>
      </c>
      <c r="W1932" s="301">
        <v>0</v>
      </c>
      <c r="X1932" s="301">
        <v>0</v>
      </c>
      <c r="Y1932" s="301">
        <v>0</v>
      </c>
      <c r="Z1932" s="301">
        <v>0</v>
      </c>
      <c r="AA1932" s="301">
        <v>0</v>
      </c>
      <c r="AB1932" s="303">
        <v>2022</v>
      </c>
    </row>
    <row r="1933" spans="1:28" ht="35.25" customHeight="1" x14ac:dyDescent="0.5">
      <c r="A1933">
        <v>1</v>
      </c>
      <c r="B1933" s="80">
        <f>SUBTOTAL(103,$A$1697:A1933)</f>
        <v>237</v>
      </c>
      <c r="C1933" s="308" t="s">
        <v>2737</v>
      </c>
      <c r="D1933" s="296">
        <f t="shared" si="98"/>
        <v>385000</v>
      </c>
      <c r="E1933" s="301">
        <v>0</v>
      </c>
      <c r="F1933" s="301">
        <v>0</v>
      </c>
      <c r="G1933" s="301">
        <v>0</v>
      </c>
      <c r="H1933" s="301">
        <v>0</v>
      </c>
      <c r="I1933" s="301">
        <v>0</v>
      </c>
      <c r="J1933" s="301">
        <v>0</v>
      </c>
      <c r="K1933" s="302">
        <v>0</v>
      </c>
      <c r="L1933" s="301">
        <v>0</v>
      </c>
      <c r="M1933" s="301">
        <v>385000</v>
      </c>
      <c r="N1933" s="301">
        <v>0</v>
      </c>
      <c r="O1933" s="301">
        <v>0</v>
      </c>
      <c r="P1933" s="301">
        <v>0</v>
      </c>
      <c r="Q1933" s="301">
        <v>0</v>
      </c>
      <c r="R1933" s="301">
        <v>0</v>
      </c>
      <c r="S1933" s="301">
        <v>0</v>
      </c>
      <c r="T1933" s="301">
        <v>0</v>
      </c>
      <c r="U1933" s="301">
        <v>0</v>
      </c>
      <c r="V1933" s="301">
        <v>0</v>
      </c>
      <c r="W1933" s="301">
        <v>0</v>
      </c>
      <c r="X1933" s="301">
        <v>0</v>
      </c>
      <c r="Y1933" s="301">
        <v>0</v>
      </c>
      <c r="Z1933" s="301">
        <v>0</v>
      </c>
      <c r="AA1933" s="301">
        <v>0</v>
      </c>
      <c r="AB1933" s="303">
        <v>2022</v>
      </c>
    </row>
    <row r="1934" spans="1:28" ht="35.25" customHeight="1" x14ac:dyDescent="0.5">
      <c r="A1934">
        <v>1</v>
      </c>
      <c r="B1934" s="80">
        <f>SUBTOTAL(103,$A$1697:A1934)</f>
        <v>238</v>
      </c>
      <c r="C1934" s="308" t="s">
        <v>3569</v>
      </c>
      <c r="D1934" s="296">
        <f t="shared" si="98"/>
        <v>1085000</v>
      </c>
      <c r="E1934" s="301">
        <v>0</v>
      </c>
      <c r="F1934" s="301">
        <v>0</v>
      </c>
      <c r="G1934" s="301">
        <v>0</v>
      </c>
      <c r="H1934" s="301">
        <v>0</v>
      </c>
      <c r="I1934" s="301">
        <v>1085000</v>
      </c>
      <c r="J1934" s="301">
        <v>0</v>
      </c>
      <c r="K1934" s="302">
        <v>0</v>
      </c>
      <c r="L1934" s="301">
        <v>0</v>
      </c>
      <c r="M1934" s="301">
        <v>0</v>
      </c>
      <c r="N1934" s="301">
        <v>0</v>
      </c>
      <c r="O1934" s="301">
        <v>0</v>
      </c>
      <c r="P1934" s="301">
        <v>0</v>
      </c>
      <c r="Q1934" s="301">
        <v>0</v>
      </c>
      <c r="R1934" s="301">
        <v>0</v>
      </c>
      <c r="S1934" s="301">
        <v>0</v>
      </c>
      <c r="T1934" s="301">
        <v>0</v>
      </c>
      <c r="U1934" s="301">
        <v>0</v>
      </c>
      <c r="V1934" s="301">
        <v>0</v>
      </c>
      <c r="W1934" s="301">
        <v>0</v>
      </c>
      <c r="X1934" s="301">
        <v>0</v>
      </c>
      <c r="Y1934" s="301">
        <v>0</v>
      </c>
      <c r="Z1934" s="301">
        <v>0</v>
      </c>
      <c r="AA1934" s="301">
        <v>0</v>
      </c>
      <c r="AB1934" s="303">
        <v>2022</v>
      </c>
    </row>
    <row r="1935" spans="1:28" ht="35.25" customHeight="1" x14ac:dyDescent="0.5">
      <c r="A1935">
        <v>1</v>
      </c>
      <c r="B1935" s="80">
        <f>SUBTOTAL(103,$A$1697:A1935)</f>
        <v>239</v>
      </c>
      <c r="C1935" s="308" t="s">
        <v>3570</v>
      </c>
      <c r="D1935" s="296">
        <f t="shared" si="98"/>
        <v>1194763</v>
      </c>
      <c r="E1935" s="301">
        <v>0</v>
      </c>
      <c r="F1935" s="301">
        <v>0</v>
      </c>
      <c r="G1935" s="301">
        <v>0</v>
      </c>
      <c r="H1935" s="301">
        <v>0</v>
      </c>
      <c r="I1935" s="301">
        <v>0</v>
      </c>
      <c r="J1935" s="301">
        <v>0</v>
      </c>
      <c r="K1935" s="302">
        <v>0</v>
      </c>
      <c r="L1935" s="301">
        <v>0</v>
      </c>
      <c r="M1935" s="301">
        <v>0</v>
      </c>
      <c r="N1935" s="301">
        <v>0</v>
      </c>
      <c r="O1935" s="301">
        <v>1194763</v>
      </c>
      <c r="P1935" s="301">
        <v>0</v>
      </c>
      <c r="Q1935" s="301">
        <v>0</v>
      </c>
      <c r="R1935" s="301">
        <v>0</v>
      </c>
      <c r="S1935" s="301">
        <v>0</v>
      </c>
      <c r="T1935" s="301">
        <v>0</v>
      </c>
      <c r="U1935" s="301">
        <v>0</v>
      </c>
      <c r="V1935" s="301">
        <v>0</v>
      </c>
      <c r="W1935" s="301">
        <v>0</v>
      </c>
      <c r="X1935" s="301">
        <v>0</v>
      </c>
      <c r="Y1935" s="301">
        <v>0</v>
      </c>
      <c r="Z1935" s="301">
        <v>0</v>
      </c>
      <c r="AA1935" s="301">
        <v>0</v>
      </c>
      <c r="AB1935" s="303">
        <v>2022</v>
      </c>
    </row>
    <row r="1936" spans="1:28" ht="35.25" customHeight="1" x14ac:dyDescent="0.5">
      <c r="A1936">
        <v>1</v>
      </c>
      <c r="B1936" s="80">
        <f>SUBTOTAL(103,$A$1697:A1936)</f>
        <v>240</v>
      </c>
      <c r="C1936" s="308" t="s">
        <v>2343</v>
      </c>
      <c r="D1936" s="296">
        <f t="shared" si="98"/>
        <v>4421719</v>
      </c>
      <c r="E1936" s="301">
        <v>144300</v>
      </c>
      <c r="F1936" s="301">
        <v>0</v>
      </c>
      <c r="G1936" s="301">
        <v>0</v>
      </c>
      <c r="H1936" s="301">
        <v>0</v>
      </c>
      <c r="I1936" s="301">
        <v>0</v>
      </c>
      <c r="J1936" s="301">
        <v>0</v>
      </c>
      <c r="K1936" s="302">
        <v>1</v>
      </c>
      <c r="L1936" s="301">
        <v>884433</v>
      </c>
      <c r="M1936" s="301">
        <v>0</v>
      </c>
      <c r="N1936" s="301">
        <v>0</v>
      </c>
      <c r="O1936" s="301">
        <v>3392986</v>
      </c>
      <c r="P1936" s="301">
        <v>0</v>
      </c>
      <c r="Q1936" s="301">
        <v>0</v>
      </c>
      <c r="R1936" s="301">
        <v>0</v>
      </c>
      <c r="S1936" s="301">
        <v>0</v>
      </c>
      <c r="T1936" s="301">
        <v>0</v>
      </c>
      <c r="U1936" s="301">
        <v>0</v>
      </c>
      <c r="V1936" s="301">
        <v>0</v>
      </c>
      <c r="W1936" s="301">
        <v>0</v>
      </c>
      <c r="X1936" s="301">
        <v>0</v>
      </c>
      <c r="Y1936" s="301">
        <v>0</v>
      </c>
      <c r="Z1936" s="301">
        <v>0</v>
      </c>
      <c r="AA1936" s="301">
        <v>0</v>
      </c>
      <c r="AB1936" s="303">
        <v>2022</v>
      </c>
    </row>
    <row r="1937" spans="1:28" ht="35.25" customHeight="1" x14ac:dyDescent="0.5">
      <c r="A1937">
        <v>1</v>
      </c>
      <c r="B1937" s="80">
        <f>SUBTOTAL(103,$A$1697:A1937)</f>
        <v>241</v>
      </c>
      <c r="C1937" s="308" t="s">
        <v>2738</v>
      </c>
      <c r="D1937" s="296">
        <f t="shared" si="98"/>
        <v>1320622.45</v>
      </c>
      <c r="E1937" s="301">
        <v>0</v>
      </c>
      <c r="F1937" s="301">
        <v>0</v>
      </c>
      <c r="G1937" s="301">
        <v>1094692.8999999999</v>
      </c>
      <c r="H1937" s="301">
        <v>0</v>
      </c>
      <c r="I1937" s="301">
        <v>0</v>
      </c>
      <c r="J1937" s="301">
        <v>0</v>
      </c>
      <c r="K1937" s="302">
        <v>0</v>
      </c>
      <c r="L1937" s="301">
        <v>0</v>
      </c>
      <c r="M1937" s="301">
        <v>0</v>
      </c>
      <c r="N1937" s="301">
        <v>0</v>
      </c>
      <c r="O1937" s="301">
        <v>225929.55</v>
      </c>
      <c r="P1937" s="301">
        <v>0</v>
      </c>
      <c r="Q1937" s="301">
        <v>0</v>
      </c>
      <c r="R1937" s="301">
        <v>0</v>
      </c>
      <c r="S1937" s="301">
        <v>0</v>
      </c>
      <c r="T1937" s="301">
        <v>0</v>
      </c>
      <c r="U1937" s="301">
        <v>0</v>
      </c>
      <c r="V1937" s="301">
        <v>0</v>
      </c>
      <c r="W1937" s="301">
        <v>0</v>
      </c>
      <c r="X1937" s="301">
        <v>0</v>
      </c>
      <c r="Y1937" s="301">
        <v>0</v>
      </c>
      <c r="Z1937" s="301">
        <v>0</v>
      </c>
      <c r="AA1937" s="301">
        <v>0</v>
      </c>
      <c r="AB1937" s="303">
        <v>2022</v>
      </c>
    </row>
    <row r="1938" spans="1:28" ht="35.25" customHeight="1" x14ac:dyDescent="0.5">
      <c r="A1938">
        <v>1</v>
      </c>
      <c r="B1938" s="80">
        <f>SUBTOTAL(103,$A$1697:A1938)</f>
        <v>242</v>
      </c>
      <c r="C1938" s="308" t="s">
        <v>3571</v>
      </c>
      <c r="D1938" s="296">
        <f t="shared" si="98"/>
        <v>1258859.73</v>
      </c>
      <c r="E1938" s="301">
        <v>0</v>
      </c>
      <c r="F1938" s="301">
        <v>0</v>
      </c>
      <c r="G1938" s="301">
        <v>0</v>
      </c>
      <c r="H1938" s="301">
        <v>0</v>
      </c>
      <c r="I1938" s="301">
        <v>0</v>
      </c>
      <c r="J1938" s="301">
        <v>0</v>
      </c>
      <c r="K1938" s="302">
        <v>0</v>
      </c>
      <c r="L1938" s="301">
        <v>0</v>
      </c>
      <c r="M1938" s="301">
        <v>0</v>
      </c>
      <c r="N1938" s="301">
        <v>0</v>
      </c>
      <c r="O1938" s="301">
        <v>554911.07000000007</v>
      </c>
      <c r="P1938" s="301">
        <v>703948.66</v>
      </c>
      <c r="Q1938" s="301">
        <v>0</v>
      </c>
      <c r="R1938" s="301">
        <v>0</v>
      </c>
      <c r="S1938" s="301">
        <v>0</v>
      </c>
      <c r="T1938" s="301">
        <v>0</v>
      </c>
      <c r="U1938" s="301">
        <v>0</v>
      </c>
      <c r="V1938" s="301">
        <v>0</v>
      </c>
      <c r="W1938" s="301">
        <v>0</v>
      </c>
      <c r="X1938" s="301">
        <v>0</v>
      </c>
      <c r="Y1938" s="301">
        <v>0</v>
      </c>
      <c r="Z1938" s="301">
        <v>0</v>
      </c>
      <c r="AA1938" s="301">
        <v>0</v>
      </c>
      <c r="AB1938" s="303">
        <v>2022</v>
      </c>
    </row>
    <row r="1939" spans="1:28" ht="35.25" customHeight="1" x14ac:dyDescent="0.5">
      <c r="A1939">
        <v>1</v>
      </c>
      <c r="B1939" s="80">
        <f>SUBTOTAL(103,$A$1697:A1939)</f>
        <v>243</v>
      </c>
      <c r="C1939" s="308" t="s">
        <v>1894</v>
      </c>
      <c r="D1939" s="296">
        <f t="shared" si="98"/>
        <v>2000000</v>
      </c>
      <c r="E1939" s="301">
        <v>0</v>
      </c>
      <c r="F1939" s="301">
        <v>0</v>
      </c>
      <c r="G1939" s="301">
        <v>0</v>
      </c>
      <c r="H1939" s="301">
        <v>0</v>
      </c>
      <c r="I1939" s="301">
        <v>0</v>
      </c>
      <c r="J1939" s="301">
        <v>0</v>
      </c>
      <c r="K1939" s="302">
        <v>0</v>
      </c>
      <c r="L1939" s="301">
        <v>0</v>
      </c>
      <c r="M1939" s="301">
        <v>2000000</v>
      </c>
      <c r="N1939" s="301">
        <v>0</v>
      </c>
      <c r="O1939" s="301">
        <v>0</v>
      </c>
      <c r="P1939" s="301">
        <v>0</v>
      </c>
      <c r="Q1939" s="301">
        <v>0</v>
      </c>
      <c r="R1939" s="301">
        <v>0</v>
      </c>
      <c r="S1939" s="301">
        <v>0</v>
      </c>
      <c r="T1939" s="301">
        <v>0</v>
      </c>
      <c r="U1939" s="301">
        <v>0</v>
      </c>
      <c r="V1939" s="301">
        <v>0</v>
      </c>
      <c r="W1939" s="301">
        <v>0</v>
      </c>
      <c r="X1939" s="301">
        <v>0</v>
      </c>
      <c r="Y1939" s="301">
        <v>0</v>
      </c>
      <c r="Z1939" s="301">
        <v>0</v>
      </c>
      <c r="AA1939" s="301">
        <v>0</v>
      </c>
      <c r="AB1939" s="303">
        <v>2022</v>
      </c>
    </row>
    <row r="1940" spans="1:28" ht="35.25" customHeight="1" x14ac:dyDescent="0.5">
      <c r="A1940">
        <v>1</v>
      </c>
      <c r="B1940" s="80">
        <f>SUBTOTAL(103,$A$1697:A1940)</f>
        <v>244</v>
      </c>
      <c r="C1940" s="308" t="s">
        <v>3572</v>
      </c>
      <c r="D1940" s="296">
        <f t="shared" si="98"/>
        <v>1682910</v>
      </c>
      <c r="E1940" s="301">
        <v>0</v>
      </c>
      <c r="F1940" s="301">
        <v>0</v>
      </c>
      <c r="G1940" s="301">
        <v>0</v>
      </c>
      <c r="H1940" s="301">
        <v>0</v>
      </c>
      <c r="I1940" s="301">
        <v>0</v>
      </c>
      <c r="J1940" s="301">
        <v>0</v>
      </c>
      <c r="K1940" s="302">
        <v>0</v>
      </c>
      <c r="L1940" s="301">
        <v>0</v>
      </c>
      <c r="M1940" s="301">
        <v>0</v>
      </c>
      <c r="N1940" s="301">
        <v>0</v>
      </c>
      <c r="O1940" s="301">
        <v>1682910</v>
      </c>
      <c r="P1940" s="301">
        <v>0</v>
      </c>
      <c r="Q1940" s="301">
        <v>0</v>
      </c>
      <c r="R1940" s="301">
        <v>0</v>
      </c>
      <c r="S1940" s="301">
        <v>0</v>
      </c>
      <c r="T1940" s="301">
        <v>0</v>
      </c>
      <c r="U1940" s="301">
        <v>0</v>
      </c>
      <c r="V1940" s="301">
        <v>0</v>
      </c>
      <c r="W1940" s="301">
        <v>0</v>
      </c>
      <c r="X1940" s="301">
        <v>0</v>
      </c>
      <c r="Y1940" s="301">
        <v>0</v>
      </c>
      <c r="Z1940" s="301">
        <v>0</v>
      </c>
      <c r="AA1940" s="301">
        <v>0</v>
      </c>
      <c r="AB1940" s="303">
        <v>2022</v>
      </c>
    </row>
    <row r="1941" spans="1:28" ht="35.25" customHeight="1" x14ac:dyDescent="0.5">
      <c r="A1941">
        <v>1</v>
      </c>
      <c r="B1941" s="80">
        <f>SUBTOTAL(103,$A$1697:A1941)</f>
        <v>245</v>
      </c>
      <c r="C1941" s="308" t="s">
        <v>1896</v>
      </c>
      <c r="D1941" s="296">
        <f t="shared" si="98"/>
        <v>880972</v>
      </c>
      <c r="E1941" s="301">
        <v>0</v>
      </c>
      <c r="F1941" s="301">
        <v>0</v>
      </c>
      <c r="G1941" s="301">
        <v>0</v>
      </c>
      <c r="H1941" s="301">
        <v>0</v>
      </c>
      <c r="I1941" s="301">
        <v>0</v>
      </c>
      <c r="J1941" s="301">
        <v>0</v>
      </c>
      <c r="K1941" s="302">
        <v>0</v>
      </c>
      <c r="L1941" s="301">
        <v>0</v>
      </c>
      <c r="M1941" s="301">
        <v>322300</v>
      </c>
      <c r="N1941" s="301">
        <v>0</v>
      </c>
      <c r="O1941" s="301">
        <v>558672</v>
      </c>
      <c r="P1941" s="301">
        <v>0</v>
      </c>
      <c r="Q1941" s="301">
        <v>0</v>
      </c>
      <c r="R1941" s="301">
        <v>0</v>
      </c>
      <c r="S1941" s="301">
        <v>0</v>
      </c>
      <c r="T1941" s="301">
        <v>0</v>
      </c>
      <c r="U1941" s="301">
        <v>0</v>
      </c>
      <c r="V1941" s="301">
        <v>0</v>
      </c>
      <c r="W1941" s="301">
        <v>0</v>
      </c>
      <c r="X1941" s="301">
        <v>0</v>
      </c>
      <c r="Y1941" s="301">
        <v>0</v>
      </c>
      <c r="Z1941" s="301">
        <v>0</v>
      </c>
      <c r="AA1941" s="301">
        <v>0</v>
      </c>
      <c r="AB1941" s="303">
        <v>2022</v>
      </c>
    </row>
    <row r="1942" spans="1:28" ht="35.25" customHeight="1" x14ac:dyDescent="0.5">
      <c r="A1942">
        <v>1</v>
      </c>
      <c r="B1942" s="80">
        <f>SUBTOTAL(103,$A$1697:A1942)</f>
        <v>246</v>
      </c>
      <c r="C1942" s="308" t="s">
        <v>3000</v>
      </c>
      <c r="D1942" s="296">
        <f t="shared" si="98"/>
        <v>203000</v>
      </c>
      <c r="E1942" s="301">
        <v>0</v>
      </c>
      <c r="F1942" s="301">
        <v>0</v>
      </c>
      <c r="G1942" s="301">
        <v>0</v>
      </c>
      <c r="H1942" s="301">
        <v>0</v>
      </c>
      <c r="I1942" s="301">
        <v>0</v>
      </c>
      <c r="J1942" s="301">
        <v>0</v>
      </c>
      <c r="K1942" s="302">
        <v>0</v>
      </c>
      <c r="L1942" s="301">
        <v>0</v>
      </c>
      <c r="M1942" s="301">
        <v>203000</v>
      </c>
      <c r="N1942" s="301">
        <v>0</v>
      </c>
      <c r="O1942" s="301">
        <v>0</v>
      </c>
      <c r="P1942" s="301">
        <v>0</v>
      </c>
      <c r="Q1942" s="301">
        <v>0</v>
      </c>
      <c r="R1942" s="301">
        <v>0</v>
      </c>
      <c r="S1942" s="301">
        <v>0</v>
      </c>
      <c r="T1942" s="301">
        <v>0</v>
      </c>
      <c r="U1942" s="301">
        <v>0</v>
      </c>
      <c r="V1942" s="301">
        <v>0</v>
      </c>
      <c r="W1942" s="301">
        <v>0</v>
      </c>
      <c r="X1942" s="301">
        <v>0</v>
      </c>
      <c r="Y1942" s="301">
        <v>0</v>
      </c>
      <c r="Z1942" s="301">
        <v>0</v>
      </c>
      <c r="AA1942" s="301">
        <v>0</v>
      </c>
      <c r="AB1942" s="303">
        <v>2022</v>
      </c>
    </row>
    <row r="1943" spans="1:28" ht="35.25" customHeight="1" x14ac:dyDescent="0.5">
      <c r="A1943">
        <v>1</v>
      </c>
      <c r="B1943" s="80">
        <f>SUBTOTAL(103,$A$1697:A1943)</f>
        <v>247</v>
      </c>
      <c r="C1943" s="308" t="s">
        <v>1641</v>
      </c>
      <c r="D1943" s="296">
        <f t="shared" si="98"/>
        <v>240000</v>
      </c>
      <c r="E1943" s="301">
        <v>0</v>
      </c>
      <c r="F1943" s="301">
        <v>0</v>
      </c>
      <c r="G1943" s="301">
        <v>0</v>
      </c>
      <c r="H1943" s="301">
        <v>0</v>
      </c>
      <c r="I1943" s="301">
        <v>0</v>
      </c>
      <c r="J1943" s="301">
        <v>0</v>
      </c>
      <c r="K1943" s="302">
        <v>0</v>
      </c>
      <c r="L1943" s="301">
        <v>0</v>
      </c>
      <c r="M1943" s="301">
        <v>0</v>
      </c>
      <c r="N1943" s="301">
        <v>0</v>
      </c>
      <c r="O1943" s="301">
        <v>240000</v>
      </c>
      <c r="P1943" s="301">
        <v>0</v>
      </c>
      <c r="Q1943" s="301">
        <v>0</v>
      </c>
      <c r="R1943" s="301">
        <v>0</v>
      </c>
      <c r="S1943" s="301">
        <v>0</v>
      </c>
      <c r="T1943" s="301">
        <v>0</v>
      </c>
      <c r="U1943" s="301">
        <v>0</v>
      </c>
      <c r="V1943" s="301">
        <v>0</v>
      </c>
      <c r="W1943" s="301">
        <v>0</v>
      </c>
      <c r="X1943" s="301">
        <v>0</v>
      </c>
      <c r="Y1943" s="301">
        <v>0</v>
      </c>
      <c r="Z1943" s="301">
        <v>0</v>
      </c>
      <c r="AA1943" s="301">
        <v>0</v>
      </c>
      <c r="AB1943" s="303">
        <v>2022</v>
      </c>
    </row>
    <row r="1944" spans="1:28" ht="35.25" customHeight="1" x14ac:dyDescent="0.5">
      <c r="A1944">
        <v>1</v>
      </c>
      <c r="B1944" s="80">
        <f>SUBTOTAL(103,$A$1697:A1944)</f>
        <v>248</v>
      </c>
      <c r="C1944" s="308" t="s">
        <v>1642</v>
      </c>
      <c r="D1944" s="296">
        <f t="shared" si="98"/>
        <v>411799.96</v>
      </c>
      <c r="E1944" s="301">
        <v>0</v>
      </c>
      <c r="F1944" s="301">
        <v>0</v>
      </c>
      <c r="G1944" s="301">
        <v>0</v>
      </c>
      <c r="H1944" s="301">
        <v>0</v>
      </c>
      <c r="I1944" s="301">
        <v>0</v>
      </c>
      <c r="J1944" s="301">
        <v>0</v>
      </c>
      <c r="K1944" s="302">
        <v>0</v>
      </c>
      <c r="L1944" s="301">
        <v>0</v>
      </c>
      <c r="M1944" s="301">
        <v>0</v>
      </c>
      <c r="N1944" s="301">
        <v>0</v>
      </c>
      <c r="O1944" s="301">
        <v>411799.96</v>
      </c>
      <c r="P1944" s="301">
        <v>0</v>
      </c>
      <c r="Q1944" s="301">
        <v>0</v>
      </c>
      <c r="R1944" s="301">
        <v>0</v>
      </c>
      <c r="S1944" s="301">
        <v>0</v>
      </c>
      <c r="T1944" s="301">
        <v>0</v>
      </c>
      <c r="U1944" s="301">
        <v>0</v>
      </c>
      <c r="V1944" s="301">
        <v>0</v>
      </c>
      <c r="W1944" s="301">
        <v>0</v>
      </c>
      <c r="X1944" s="301">
        <v>0</v>
      </c>
      <c r="Y1944" s="301">
        <v>0</v>
      </c>
      <c r="Z1944" s="301">
        <v>0</v>
      </c>
      <c r="AA1944" s="301">
        <v>0</v>
      </c>
      <c r="AB1944" s="303">
        <v>2022</v>
      </c>
    </row>
    <row r="1945" spans="1:28" ht="35.25" customHeight="1" x14ac:dyDescent="0.5">
      <c r="A1945">
        <v>1</v>
      </c>
      <c r="B1945" s="80">
        <f>SUBTOTAL(103,$A$1697:A1945)</f>
        <v>249</v>
      </c>
      <c r="C1945" s="308" t="s">
        <v>1899</v>
      </c>
      <c r="D1945" s="296">
        <f t="shared" si="98"/>
        <v>194767.8</v>
      </c>
      <c r="E1945" s="301">
        <v>0</v>
      </c>
      <c r="F1945" s="301">
        <v>0</v>
      </c>
      <c r="G1945" s="301">
        <v>0</v>
      </c>
      <c r="H1945" s="301">
        <v>0</v>
      </c>
      <c r="I1945" s="301">
        <v>0</v>
      </c>
      <c r="J1945" s="301">
        <v>0</v>
      </c>
      <c r="K1945" s="302">
        <v>0</v>
      </c>
      <c r="L1945" s="301">
        <v>0</v>
      </c>
      <c r="M1945" s="301">
        <v>0</v>
      </c>
      <c r="N1945" s="301">
        <v>0</v>
      </c>
      <c r="O1945" s="301">
        <v>0</v>
      </c>
      <c r="P1945" s="301">
        <v>194767.8</v>
      </c>
      <c r="Q1945" s="301">
        <v>0</v>
      </c>
      <c r="R1945" s="301">
        <v>0</v>
      </c>
      <c r="S1945" s="301">
        <v>0</v>
      </c>
      <c r="T1945" s="301">
        <v>0</v>
      </c>
      <c r="U1945" s="301">
        <v>0</v>
      </c>
      <c r="V1945" s="301">
        <v>0</v>
      </c>
      <c r="W1945" s="301">
        <v>0</v>
      </c>
      <c r="X1945" s="301">
        <v>0</v>
      </c>
      <c r="Y1945" s="301">
        <v>0</v>
      </c>
      <c r="Z1945" s="301">
        <v>0</v>
      </c>
      <c r="AA1945" s="301">
        <v>0</v>
      </c>
      <c r="AB1945" s="303">
        <v>2022</v>
      </c>
    </row>
    <row r="1946" spans="1:28" ht="35.25" customHeight="1" x14ac:dyDescent="0.5">
      <c r="A1946">
        <v>1</v>
      </c>
      <c r="B1946" s="80">
        <f>SUBTOTAL(103,$A$1697:A1946)</f>
        <v>250</v>
      </c>
      <c r="C1946" s="308" t="s">
        <v>1644</v>
      </c>
      <c r="D1946" s="296">
        <f t="shared" si="98"/>
        <v>512505</v>
      </c>
      <c r="E1946" s="301">
        <v>0</v>
      </c>
      <c r="F1946" s="301">
        <v>0</v>
      </c>
      <c r="G1946" s="301">
        <v>235000</v>
      </c>
      <c r="H1946" s="301">
        <v>0</v>
      </c>
      <c r="I1946" s="301">
        <v>0</v>
      </c>
      <c r="J1946" s="301">
        <v>0</v>
      </c>
      <c r="K1946" s="302">
        <v>0</v>
      </c>
      <c r="L1946" s="301">
        <v>0</v>
      </c>
      <c r="M1946" s="301">
        <v>0</v>
      </c>
      <c r="N1946" s="301">
        <v>277505</v>
      </c>
      <c r="O1946" s="301">
        <v>0</v>
      </c>
      <c r="P1946" s="301">
        <v>0</v>
      </c>
      <c r="Q1946" s="301">
        <v>0</v>
      </c>
      <c r="R1946" s="301">
        <v>0</v>
      </c>
      <c r="S1946" s="301">
        <v>0</v>
      </c>
      <c r="T1946" s="301">
        <v>0</v>
      </c>
      <c r="U1946" s="301">
        <v>0</v>
      </c>
      <c r="V1946" s="301">
        <v>0</v>
      </c>
      <c r="W1946" s="301">
        <v>0</v>
      </c>
      <c r="X1946" s="301">
        <v>0</v>
      </c>
      <c r="Y1946" s="301">
        <v>0</v>
      </c>
      <c r="Z1946" s="301">
        <v>0</v>
      </c>
      <c r="AA1946" s="301">
        <v>0</v>
      </c>
      <c r="AB1946" s="303">
        <v>2022</v>
      </c>
    </row>
    <row r="1947" spans="1:28" ht="35.25" customHeight="1" x14ac:dyDescent="0.5">
      <c r="A1947">
        <v>1</v>
      </c>
      <c r="B1947" s="80">
        <f>SUBTOTAL(103,$A$1697:A1947)</f>
        <v>251</v>
      </c>
      <c r="C1947" s="308" t="s">
        <v>2743</v>
      </c>
      <c r="D1947" s="296">
        <f t="shared" si="98"/>
        <v>103166</v>
      </c>
      <c r="E1947" s="301">
        <v>0</v>
      </c>
      <c r="F1947" s="301">
        <v>0</v>
      </c>
      <c r="G1947" s="301">
        <v>0</v>
      </c>
      <c r="H1947" s="301">
        <v>0</v>
      </c>
      <c r="I1947" s="301">
        <v>0</v>
      </c>
      <c r="J1947" s="301">
        <v>0</v>
      </c>
      <c r="K1947" s="302">
        <v>1</v>
      </c>
      <c r="L1947" s="301">
        <v>103166</v>
      </c>
      <c r="M1947" s="301">
        <v>0</v>
      </c>
      <c r="N1947" s="301">
        <v>0</v>
      </c>
      <c r="O1947" s="301">
        <v>0</v>
      </c>
      <c r="P1947" s="301">
        <v>0</v>
      </c>
      <c r="Q1947" s="301">
        <v>0</v>
      </c>
      <c r="R1947" s="301">
        <v>0</v>
      </c>
      <c r="S1947" s="301">
        <v>0</v>
      </c>
      <c r="T1947" s="301">
        <v>0</v>
      </c>
      <c r="U1947" s="301">
        <v>0</v>
      </c>
      <c r="V1947" s="301">
        <v>0</v>
      </c>
      <c r="W1947" s="301">
        <v>0</v>
      </c>
      <c r="X1947" s="301">
        <v>0</v>
      </c>
      <c r="Y1947" s="301">
        <v>0</v>
      </c>
      <c r="Z1947" s="301">
        <v>0</v>
      </c>
      <c r="AA1947" s="301">
        <v>0</v>
      </c>
      <c r="AB1947" s="303">
        <v>2022</v>
      </c>
    </row>
    <row r="1948" spans="1:28" ht="35.25" customHeight="1" x14ac:dyDescent="0.5">
      <c r="A1948">
        <v>1</v>
      </c>
      <c r="B1948" s="80">
        <f>SUBTOTAL(103,$A$1697:A1948)</f>
        <v>252</v>
      </c>
      <c r="C1948" s="308" t="s">
        <v>3573</v>
      </c>
      <c r="D1948" s="296">
        <f t="shared" si="98"/>
        <v>190315.6</v>
      </c>
      <c r="E1948" s="301">
        <v>0</v>
      </c>
      <c r="F1948" s="301">
        <v>0</v>
      </c>
      <c r="G1948" s="301">
        <v>190315.6</v>
      </c>
      <c r="H1948" s="301">
        <v>0</v>
      </c>
      <c r="I1948" s="301">
        <v>0</v>
      </c>
      <c r="J1948" s="301">
        <v>0</v>
      </c>
      <c r="K1948" s="302">
        <v>0</v>
      </c>
      <c r="L1948" s="301">
        <v>0</v>
      </c>
      <c r="M1948" s="301">
        <v>0</v>
      </c>
      <c r="N1948" s="301">
        <v>0</v>
      </c>
      <c r="O1948" s="301">
        <v>0</v>
      </c>
      <c r="P1948" s="301">
        <v>0</v>
      </c>
      <c r="Q1948" s="301">
        <v>0</v>
      </c>
      <c r="R1948" s="301">
        <v>0</v>
      </c>
      <c r="S1948" s="301">
        <v>0</v>
      </c>
      <c r="T1948" s="301">
        <v>0</v>
      </c>
      <c r="U1948" s="301">
        <v>0</v>
      </c>
      <c r="V1948" s="301">
        <v>0</v>
      </c>
      <c r="W1948" s="301">
        <v>0</v>
      </c>
      <c r="X1948" s="301">
        <v>0</v>
      </c>
      <c r="Y1948" s="301">
        <v>0</v>
      </c>
      <c r="Z1948" s="301">
        <v>0</v>
      </c>
      <c r="AA1948" s="301">
        <v>0</v>
      </c>
      <c r="AB1948" s="303">
        <v>2022</v>
      </c>
    </row>
    <row r="1949" spans="1:28" ht="35.25" customHeight="1" x14ac:dyDescent="0.5">
      <c r="A1949">
        <v>1</v>
      </c>
      <c r="B1949" s="80">
        <f>SUBTOTAL(103,$A$1697:A1949)</f>
        <v>253</v>
      </c>
      <c r="C1949" s="308" t="s">
        <v>3642</v>
      </c>
      <c r="D1949" s="296">
        <f t="shared" si="98"/>
        <v>786200</v>
      </c>
      <c r="E1949" s="301">
        <v>0</v>
      </c>
      <c r="F1949" s="301">
        <v>0</v>
      </c>
      <c r="G1949" s="301">
        <v>0</v>
      </c>
      <c r="H1949" s="301">
        <v>0</v>
      </c>
      <c r="I1949" s="301">
        <v>0</v>
      </c>
      <c r="J1949" s="301">
        <v>0</v>
      </c>
      <c r="K1949" s="302">
        <v>0</v>
      </c>
      <c r="L1949" s="301">
        <v>0</v>
      </c>
      <c r="M1949" s="301">
        <v>0</v>
      </c>
      <c r="N1949" s="301">
        <v>0</v>
      </c>
      <c r="O1949" s="301">
        <v>786200</v>
      </c>
      <c r="P1949" s="301">
        <v>0</v>
      </c>
      <c r="Q1949" s="301">
        <v>0</v>
      </c>
      <c r="R1949" s="301">
        <v>0</v>
      </c>
      <c r="S1949" s="301">
        <v>0</v>
      </c>
      <c r="T1949" s="301">
        <v>0</v>
      </c>
      <c r="U1949" s="301">
        <v>0</v>
      </c>
      <c r="V1949" s="301">
        <v>0</v>
      </c>
      <c r="W1949" s="301">
        <v>0</v>
      </c>
      <c r="X1949" s="301">
        <v>0</v>
      </c>
      <c r="Y1949" s="301">
        <v>0</v>
      </c>
      <c r="Z1949" s="301">
        <v>0</v>
      </c>
      <c r="AA1949" s="301">
        <v>0</v>
      </c>
      <c r="AB1949" s="303">
        <v>2022</v>
      </c>
    </row>
    <row r="1950" spans="1:28" ht="35.25" customHeight="1" x14ac:dyDescent="0.5">
      <c r="A1950">
        <v>1</v>
      </c>
      <c r="B1950" s="80">
        <f>SUBTOTAL(103,$A$1697:A1950)</f>
        <v>254</v>
      </c>
      <c r="C1950" s="308" t="s">
        <v>3032</v>
      </c>
      <c r="D1950" s="296">
        <f t="shared" si="98"/>
        <v>465600</v>
      </c>
      <c r="E1950" s="301">
        <v>0</v>
      </c>
      <c r="F1950" s="301">
        <v>0</v>
      </c>
      <c r="G1950" s="301">
        <v>0</v>
      </c>
      <c r="H1950" s="301">
        <v>0</v>
      </c>
      <c r="I1950" s="301">
        <v>0</v>
      </c>
      <c r="J1950" s="301">
        <v>0</v>
      </c>
      <c r="K1950" s="302">
        <v>0</v>
      </c>
      <c r="L1950" s="301">
        <v>0</v>
      </c>
      <c r="M1950" s="301">
        <v>465600</v>
      </c>
      <c r="N1950" s="301">
        <v>0</v>
      </c>
      <c r="O1950" s="301">
        <v>0</v>
      </c>
      <c r="P1950" s="301">
        <v>0</v>
      </c>
      <c r="Q1950" s="301">
        <v>0</v>
      </c>
      <c r="R1950" s="301">
        <v>0</v>
      </c>
      <c r="S1950" s="301">
        <v>0</v>
      </c>
      <c r="T1950" s="301">
        <v>0</v>
      </c>
      <c r="U1950" s="301">
        <v>0</v>
      </c>
      <c r="V1950" s="301">
        <v>0</v>
      </c>
      <c r="W1950" s="301">
        <v>0</v>
      </c>
      <c r="X1950" s="301">
        <v>0</v>
      </c>
      <c r="Y1950" s="301">
        <v>0</v>
      </c>
      <c r="Z1950" s="301">
        <v>0</v>
      </c>
      <c r="AA1950" s="301">
        <v>0</v>
      </c>
      <c r="AB1950" s="303">
        <v>2022</v>
      </c>
    </row>
    <row r="1951" spans="1:28" ht="35.25" customHeight="1" x14ac:dyDescent="0.5">
      <c r="A1951">
        <v>1</v>
      </c>
      <c r="B1951" s="80">
        <f>SUBTOTAL(103,$A$1697:A1951)</f>
        <v>255</v>
      </c>
      <c r="C1951" s="308" t="s">
        <v>1901</v>
      </c>
      <c r="D1951" s="296">
        <f t="shared" si="98"/>
        <v>120000</v>
      </c>
      <c r="E1951" s="301">
        <v>0</v>
      </c>
      <c r="F1951" s="301">
        <v>0</v>
      </c>
      <c r="G1951" s="301">
        <v>0</v>
      </c>
      <c r="H1951" s="301">
        <v>0</v>
      </c>
      <c r="I1951" s="301">
        <v>0</v>
      </c>
      <c r="J1951" s="301">
        <v>0</v>
      </c>
      <c r="K1951" s="302">
        <v>1</v>
      </c>
      <c r="L1951" s="301">
        <v>120000</v>
      </c>
      <c r="M1951" s="301">
        <v>0</v>
      </c>
      <c r="N1951" s="301">
        <v>0</v>
      </c>
      <c r="O1951" s="301">
        <v>0</v>
      </c>
      <c r="P1951" s="301">
        <v>0</v>
      </c>
      <c r="Q1951" s="301">
        <v>0</v>
      </c>
      <c r="R1951" s="301">
        <v>0</v>
      </c>
      <c r="S1951" s="301">
        <v>0</v>
      </c>
      <c r="T1951" s="301">
        <v>0</v>
      </c>
      <c r="U1951" s="301">
        <v>0</v>
      </c>
      <c r="V1951" s="301">
        <v>0</v>
      </c>
      <c r="W1951" s="301">
        <v>0</v>
      </c>
      <c r="X1951" s="301">
        <v>0</v>
      </c>
      <c r="Y1951" s="301">
        <v>0</v>
      </c>
      <c r="Z1951" s="301">
        <v>0</v>
      </c>
      <c r="AA1951" s="301">
        <v>0</v>
      </c>
      <c r="AB1951" s="303">
        <v>2022</v>
      </c>
    </row>
    <row r="1952" spans="1:28" ht="35.25" customHeight="1" x14ac:dyDescent="0.5">
      <c r="A1952">
        <v>1</v>
      </c>
      <c r="B1952" s="80">
        <f>SUBTOTAL(103,$A$1697:A1952)</f>
        <v>256</v>
      </c>
      <c r="C1952" s="308" t="s">
        <v>3574</v>
      </c>
      <c r="D1952" s="296">
        <f t="shared" si="98"/>
        <v>1573990.3999999999</v>
      </c>
      <c r="E1952" s="301">
        <v>0</v>
      </c>
      <c r="F1952" s="301">
        <v>0</v>
      </c>
      <c r="G1952" s="301">
        <v>471000</v>
      </c>
      <c r="H1952" s="301">
        <v>0</v>
      </c>
      <c r="I1952" s="301">
        <v>0</v>
      </c>
      <c r="J1952" s="301">
        <v>0</v>
      </c>
      <c r="K1952" s="302">
        <v>0</v>
      </c>
      <c r="L1952" s="301">
        <v>0</v>
      </c>
      <c r="M1952" s="301">
        <v>1102990.3999999999</v>
      </c>
      <c r="N1952" s="301">
        <v>0</v>
      </c>
      <c r="O1952" s="301">
        <v>0</v>
      </c>
      <c r="P1952" s="301">
        <v>0</v>
      </c>
      <c r="Q1952" s="301">
        <v>0</v>
      </c>
      <c r="R1952" s="301">
        <v>0</v>
      </c>
      <c r="S1952" s="301">
        <v>0</v>
      </c>
      <c r="T1952" s="301">
        <v>0</v>
      </c>
      <c r="U1952" s="301">
        <v>0</v>
      </c>
      <c r="V1952" s="301">
        <v>0</v>
      </c>
      <c r="W1952" s="301">
        <v>0</v>
      </c>
      <c r="X1952" s="301">
        <v>0</v>
      </c>
      <c r="Y1952" s="301">
        <v>0</v>
      </c>
      <c r="Z1952" s="301">
        <v>0</v>
      </c>
      <c r="AA1952" s="301">
        <v>0</v>
      </c>
      <c r="AB1952" s="303">
        <v>2022</v>
      </c>
    </row>
    <row r="1953" spans="1:28" ht="35.25" customHeight="1" x14ac:dyDescent="0.5">
      <c r="A1953">
        <v>1</v>
      </c>
      <c r="B1953" s="80">
        <f>SUBTOTAL(103,$A$1697:A1953)</f>
        <v>257</v>
      </c>
      <c r="C1953" s="308" t="s">
        <v>1902</v>
      </c>
      <c r="D1953" s="296">
        <f t="shared" si="98"/>
        <v>157380</v>
      </c>
      <c r="E1953" s="301">
        <v>0</v>
      </c>
      <c r="F1953" s="301">
        <v>0</v>
      </c>
      <c r="G1953" s="301">
        <v>0</v>
      </c>
      <c r="H1953" s="301">
        <v>0</v>
      </c>
      <c r="I1953" s="301">
        <v>0</v>
      </c>
      <c r="J1953" s="301">
        <v>0</v>
      </c>
      <c r="K1953" s="302">
        <v>0</v>
      </c>
      <c r="L1953" s="301">
        <v>0</v>
      </c>
      <c r="M1953" s="301">
        <v>0</v>
      </c>
      <c r="N1953" s="301">
        <v>0</v>
      </c>
      <c r="O1953" s="301">
        <v>157380</v>
      </c>
      <c r="P1953" s="301">
        <v>0</v>
      </c>
      <c r="Q1953" s="301">
        <v>0</v>
      </c>
      <c r="R1953" s="301">
        <v>0</v>
      </c>
      <c r="S1953" s="301">
        <v>0</v>
      </c>
      <c r="T1953" s="301">
        <v>0</v>
      </c>
      <c r="U1953" s="301">
        <v>0</v>
      </c>
      <c r="V1953" s="301">
        <v>0</v>
      </c>
      <c r="W1953" s="301">
        <v>0</v>
      </c>
      <c r="X1953" s="301">
        <v>0</v>
      </c>
      <c r="Y1953" s="301">
        <v>0</v>
      </c>
      <c r="Z1953" s="301">
        <v>0</v>
      </c>
      <c r="AA1953" s="301">
        <v>0</v>
      </c>
      <c r="AB1953" s="303">
        <v>2022</v>
      </c>
    </row>
    <row r="1954" spans="1:28" ht="35.25" customHeight="1" x14ac:dyDescent="0.5">
      <c r="A1954">
        <v>1</v>
      </c>
      <c r="B1954" s="80">
        <f>SUBTOTAL(103,$A$1697:A1954)</f>
        <v>258</v>
      </c>
      <c r="C1954" s="308" t="s">
        <v>1903</v>
      </c>
      <c r="D1954" s="296">
        <f t="shared" si="98"/>
        <v>416373</v>
      </c>
      <c r="E1954" s="301">
        <v>0</v>
      </c>
      <c r="F1954" s="301">
        <v>0</v>
      </c>
      <c r="G1954" s="301">
        <v>0</v>
      </c>
      <c r="H1954" s="301">
        <v>0</v>
      </c>
      <c r="I1954" s="301">
        <v>0</v>
      </c>
      <c r="J1954" s="301">
        <v>0</v>
      </c>
      <c r="K1954" s="302">
        <v>0</v>
      </c>
      <c r="L1954" s="301">
        <v>0</v>
      </c>
      <c r="M1954" s="301">
        <v>0</v>
      </c>
      <c r="N1954" s="301">
        <v>0</v>
      </c>
      <c r="O1954" s="301">
        <v>416373</v>
      </c>
      <c r="P1954" s="301">
        <v>0</v>
      </c>
      <c r="Q1954" s="301">
        <v>0</v>
      </c>
      <c r="R1954" s="301">
        <v>0</v>
      </c>
      <c r="S1954" s="301">
        <v>0</v>
      </c>
      <c r="T1954" s="301">
        <v>0</v>
      </c>
      <c r="U1954" s="301">
        <v>0</v>
      </c>
      <c r="V1954" s="301">
        <v>0</v>
      </c>
      <c r="W1954" s="301">
        <v>0</v>
      </c>
      <c r="X1954" s="301">
        <v>0</v>
      </c>
      <c r="Y1954" s="301">
        <v>0</v>
      </c>
      <c r="Z1954" s="301">
        <v>0</v>
      </c>
      <c r="AA1954" s="301">
        <v>0</v>
      </c>
      <c r="AB1954" s="303">
        <v>2022</v>
      </c>
    </row>
    <row r="1955" spans="1:28" ht="35.25" customHeight="1" x14ac:dyDescent="0.5">
      <c r="A1955">
        <v>1</v>
      </c>
      <c r="B1955" s="80">
        <f>SUBTOTAL(103,$A$1697:A1955)</f>
        <v>259</v>
      </c>
      <c r="C1955" s="308" t="s">
        <v>3004</v>
      </c>
      <c r="D1955" s="296">
        <f t="shared" si="98"/>
        <v>779260</v>
      </c>
      <c r="E1955" s="301">
        <v>0</v>
      </c>
      <c r="F1955" s="301">
        <v>0</v>
      </c>
      <c r="G1955" s="301">
        <v>87260</v>
      </c>
      <c r="H1955" s="301">
        <v>0</v>
      </c>
      <c r="I1955" s="301">
        <v>0</v>
      </c>
      <c r="J1955" s="301">
        <v>0</v>
      </c>
      <c r="K1955" s="302">
        <v>0</v>
      </c>
      <c r="L1955" s="301">
        <v>0</v>
      </c>
      <c r="M1955" s="301">
        <v>0</v>
      </c>
      <c r="N1955" s="301">
        <v>0</v>
      </c>
      <c r="O1955" s="301">
        <v>692000</v>
      </c>
      <c r="P1955" s="301">
        <v>0</v>
      </c>
      <c r="Q1955" s="301">
        <v>0</v>
      </c>
      <c r="R1955" s="301">
        <v>0</v>
      </c>
      <c r="S1955" s="301">
        <v>0</v>
      </c>
      <c r="T1955" s="301">
        <v>0</v>
      </c>
      <c r="U1955" s="301">
        <v>0</v>
      </c>
      <c r="V1955" s="301">
        <v>0</v>
      </c>
      <c r="W1955" s="301">
        <v>0</v>
      </c>
      <c r="X1955" s="301">
        <v>0</v>
      </c>
      <c r="Y1955" s="301">
        <v>0</v>
      </c>
      <c r="Z1955" s="301">
        <v>0</v>
      </c>
      <c r="AA1955" s="301">
        <v>0</v>
      </c>
      <c r="AB1955" s="303">
        <v>2022</v>
      </c>
    </row>
    <row r="1956" spans="1:28" ht="35.25" customHeight="1" x14ac:dyDescent="0.5">
      <c r="A1956">
        <v>1</v>
      </c>
      <c r="B1956" s="80">
        <f>SUBTOTAL(103,$A$1697:A1956)</f>
        <v>260</v>
      </c>
      <c r="C1956" s="308" t="s">
        <v>1910</v>
      </c>
      <c r="D1956" s="296">
        <f t="shared" si="98"/>
        <v>679000</v>
      </c>
      <c r="E1956" s="301">
        <v>0</v>
      </c>
      <c r="F1956" s="301">
        <v>0</v>
      </c>
      <c r="G1956" s="301">
        <v>679000</v>
      </c>
      <c r="H1956" s="301">
        <v>0</v>
      </c>
      <c r="I1956" s="301">
        <v>0</v>
      </c>
      <c r="J1956" s="301">
        <v>0</v>
      </c>
      <c r="K1956" s="302">
        <v>0</v>
      </c>
      <c r="L1956" s="301">
        <v>0</v>
      </c>
      <c r="M1956" s="301">
        <v>0</v>
      </c>
      <c r="N1956" s="301">
        <v>0</v>
      </c>
      <c r="O1956" s="301">
        <v>0</v>
      </c>
      <c r="P1956" s="301">
        <v>0</v>
      </c>
      <c r="Q1956" s="301">
        <v>0</v>
      </c>
      <c r="R1956" s="301">
        <v>0</v>
      </c>
      <c r="S1956" s="301">
        <v>0</v>
      </c>
      <c r="T1956" s="301">
        <v>0</v>
      </c>
      <c r="U1956" s="301">
        <v>0</v>
      </c>
      <c r="V1956" s="301">
        <v>0</v>
      </c>
      <c r="W1956" s="301">
        <v>0</v>
      </c>
      <c r="X1956" s="301">
        <v>0</v>
      </c>
      <c r="Y1956" s="301">
        <v>0</v>
      </c>
      <c r="Z1956" s="301">
        <v>0</v>
      </c>
      <c r="AA1956" s="301">
        <v>0</v>
      </c>
      <c r="AB1956" s="303">
        <v>2022</v>
      </c>
    </row>
    <row r="1957" spans="1:28" ht="35.25" customHeight="1" x14ac:dyDescent="0.5">
      <c r="A1957">
        <v>1</v>
      </c>
      <c r="B1957" s="80">
        <f>SUBTOTAL(103,$A$1697:A1957)</f>
        <v>261</v>
      </c>
      <c r="C1957" s="308" t="s">
        <v>3575</v>
      </c>
      <c r="D1957" s="296">
        <f t="shared" si="98"/>
        <v>1531000</v>
      </c>
      <c r="E1957" s="301">
        <v>0</v>
      </c>
      <c r="F1957" s="301">
        <v>0</v>
      </c>
      <c r="G1957" s="301">
        <v>1322000</v>
      </c>
      <c r="H1957" s="301">
        <v>0</v>
      </c>
      <c r="I1957" s="301">
        <v>0</v>
      </c>
      <c r="J1957" s="301">
        <v>0</v>
      </c>
      <c r="K1957" s="302">
        <v>0</v>
      </c>
      <c r="L1957" s="301">
        <v>0</v>
      </c>
      <c r="M1957" s="301">
        <v>0</v>
      </c>
      <c r="N1957" s="301">
        <v>0</v>
      </c>
      <c r="O1957" s="301">
        <v>0</v>
      </c>
      <c r="P1957" s="301">
        <v>209000</v>
      </c>
      <c r="Q1957" s="301">
        <v>0</v>
      </c>
      <c r="R1957" s="301">
        <v>0</v>
      </c>
      <c r="S1957" s="301">
        <v>0</v>
      </c>
      <c r="T1957" s="301">
        <v>0</v>
      </c>
      <c r="U1957" s="301">
        <v>0</v>
      </c>
      <c r="V1957" s="301">
        <v>0</v>
      </c>
      <c r="W1957" s="301">
        <v>0</v>
      </c>
      <c r="X1957" s="301">
        <v>0</v>
      </c>
      <c r="Y1957" s="301">
        <v>0</v>
      </c>
      <c r="Z1957" s="301">
        <v>0</v>
      </c>
      <c r="AA1957" s="301">
        <v>0</v>
      </c>
      <c r="AB1957" s="303">
        <v>2022</v>
      </c>
    </row>
    <row r="1958" spans="1:28" ht="35.25" customHeight="1" x14ac:dyDescent="0.5">
      <c r="A1958">
        <v>1</v>
      </c>
      <c r="B1958" s="80">
        <f>SUBTOTAL(103,$A$1697:A1958)</f>
        <v>262</v>
      </c>
      <c r="C1958" s="308" t="s">
        <v>3576</v>
      </c>
      <c r="D1958" s="296">
        <f t="shared" si="98"/>
        <v>2500000</v>
      </c>
      <c r="E1958" s="301">
        <v>0</v>
      </c>
      <c r="F1958" s="301">
        <v>0</v>
      </c>
      <c r="G1958" s="301">
        <v>0</v>
      </c>
      <c r="H1958" s="301">
        <v>0</v>
      </c>
      <c r="I1958" s="301">
        <v>0</v>
      </c>
      <c r="J1958" s="301">
        <v>0</v>
      </c>
      <c r="K1958" s="302">
        <v>0</v>
      </c>
      <c r="L1958" s="301">
        <v>0</v>
      </c>
      <c r="M1958" s="301">
        <v>2500000</v>
      </c>
      <c r="N1958" s="301">
        <v>0</v>
      </c>
      <c r="O1958" s="301">
        <v>0</v>
      </c>
      <c r="P1958" s="301">
        <v>0</v>
      </c>
      <c r="Q1958" s="301">
        <v>0</v>
      </c>
      <c r="R1958" s="301">
        <v>0</v>
      </c>
      <c r="S1958" s="301">
        <v>0</v>
      </c>
      <c r="T1958" s="301">
        <v>0</v>
      </c>
      <c r="U1958" s="301">
        <v>0</v>
      </c>
      <c r="V1958" s="301">
        <v>0</v>
      </c>
      <c r="W1958" s="301">
        <v>0</v>
      </c>
      <c r="X1958" s="301">
        <v>0</v>
      </c>
      <c r="Y1958" s="301">
        <v>0</v>
      </c>
      <c r="Z1958" s="301">
        <v>0</v>
      </c>
      <c r="AA1958" s="301">
        <v>0</v>
      </c>
      <c r="AB1958" s="303">
        <v>2022</v>
      </c>
    </row>
    <row r="1959" spans="1:28" ht="35.25" customHeight="1" x14ac:dyDescent="0.5">
      <c r="A1959">
        <v>1</v>
      </c>
      <c r="B1959" s="80">
        <f>SUBTOTAL(103,$A$1697:A1959)</f>
        <v>263</v>
      </c>
      <c r="C1959" s="308" t="s">
        <v>2332</v>
      </c>
      <c r="D1959" s="296">
        <f t="shared" si="98"/>
        <v>143087</v>
      </c>
      <c r="E1959" s="301">
        <v>0</v>
      </c>
      <c r="F1959" s="301">
        <v>0</v>
      </c>
      <c r="G1959" s="301">
        <v>0</v>
      </c>
      <c r="H1959" s="301">
        <v>0</v>
      </c>
      <c r="I1959" s="301">
        <v>0</v>
      </c>
      <c r="J1959" s="301">
        <v>0</v>
      </c>
      <c r="K1959" s="302">
        <v>1</v>
      </c>
      <c r="L1959" s="301">
        <v>143087</v>
      </c>
      <c r="M1959" s="301">
        <v>0</v>
      </c>
      <c r="N1959" s="301">
        <v>0</v>
      </c>
      <c r="O1959" s="301">
        <v>0</v>
      </c>
      <c r="P1959" s="301">
        <v>0</v>
      </c>
      <c r="Q1959" s="301">
        <v>0</v>
      </c>
      <c r="R1959" s="301">
        <v>0</v>
      </c>
      <c r="S1959" s="301">
        <v>0</v>
      </c>
      <c r="T1959" s="301">
        <v>0</v>
      </c>
      <c r="U1959" s="301">
        <v>0</v>
      </c>
      <c r="V1959" s="301">
        <v>0</v>
      </c>
      <c r="W1959" s="301">
        <v>0</v>
      </c>
      <c r="X1959" s="301">
        <v>0</v>
      </c>
      <c r="Y1959" s="301">
        <v>0</v>
      </c>
      <c r="Z1959" s="301">
        <v>0</v>
      </c>
      <c r="AA1959" s="301">
        <v>0</v>
      </c>
      <c r="AB1959" s="303">
        <v>2022</v>
      </c>
    </row>
    <row r="1960" spans="1:28" ht="35.25" customHeight="1" x14ac:dyDescent="0.5">
      <c r="A1960">
        <v>1</v>
      </c>
      <c r="B1960" s="80">
        <f>SUBTOTAL(103,$A$1697:A1960)</f>
        <v>264</v>
      </c>
      <c r="C1960" s="308" t="s">
        <v>1650</v>
      </c>
      <c r="D1960" s="296">
        <f t="shared" si="98"/>
        <v>560000</v>
      </c>
      <c r="E1960" s="301">
        <v>0</v>
      </c>
      <c r="F1960" s="301">
        <v>0</v>
      </c>
      <c r="G1960" s="301">
        <v>0</v>
      </c>
      <c r="H1960" s="301">
        <v>0</v>
      </c>
      <c r="I1960" s="301">
        <v>0</v>
      </c>
      <c r="J1960" s="301">
        <v>0</v>
      </c>
      <c r="K1960" s="302">
        <v>1</v>
      </c>
      <c r="L1960" s="301">
        <v>560000</v>
      </c>
      <c r="M1960" s="301">
        <v>0</v>
      </c>
      <c r="N1960" s="301">
        <v>0</v>
      </c>
      <c r="O1960" s="301">
        <v>0</v>
      </c>
      <c r="P1960" s="301">
        <v>0</v>
      </c>
      <c r="Q1960" s="301">
        <v>0</v>
      </c>
      <c r="R1960" s="301">
        <v>0</v>
      </c>
      <c r="S1960" s="301">
        <v>0</v>
      </c>
      <c r="T1960" s="301">
        <v>0</v>
      </c>
      <c r="U1960" s="301">
        <v>0</v>
      </c>
      <c r="V1960" s="301">
        <v>0</v>
      </c>
      <c r="W1960" s="301">
        <v>0</v>
      </c>
      <c r="X1960" s="301">
        <v>0</v>
      </c>
      <c r="Y1960" s="301">
        <v>0</v>
      </c>
      <c r="Z1960" s="301">
        <v>0</v>
      </c>
      <c r="AA1960" s="301">
        <v>0</v>
      </c>
      <c r="AB1960" s="303">
        <v>2022</v>
      </c>
    </row>
    <row r="1961" spans="1:28" ht="35.25" customHeight="1" x14ac:dyDescent="0.5">
      <c r="A1961">
        <v>1</v>
      </c>
      <c r="B1961" s="80">
        <f>SUBTOTAL(103,$A$1697:A1961)</f>
        <v>265</v>
      </c>
      <c r="C1961" s="308" t="s">
        <v>1914</v>
      </c>
      <c r="D1961" s="296">
        <f t="shared" si="98"/>
        <v>831842</v>
      </c>
      <c r="E1961" s="301">
        <v>0</v>
      </c>
      <c r="F1961" s="301">
        <v>0</v>
      </c>
      <c r="G1961" s="301">
        <v>831842</v>
      </c>
      <c r="H1961" s="301">
        <v>0</v>
      </c>
      <c r="I1961" s="301">
        <v>0</v>
      </c>
      <c r="J1961" s="301">
        <v>0</v>
      </c>
      <c r="K1961" s="302">
        <v>0</v>
      </c>
      <c r="L1961" s="301">
        <v>0</v>
      </c>
      <c r="M1961" s="301">
        <v>0</v>
      </c>
      <c r="N1961" s="301">
        <v>0</v>
      </c>
      <c r="O1961" s="301">
        <v>0</v>
      </c>
      <c r="P1961" s="301">
        <v>0</v>
      </c>
      <c r="Q1961" s="301">
        <v>0</v>
      </c>
      <c r="R1961" s="301">
        <v>0</v>
      </c>
      <c r="S1961" s="301">
        <v>0</v>
      </c>
      <c r="T1961" s="301">
        <v>0</v>
      </c>
      <c r="U1961" s="301">
        <v>0</v>
      </c>
      <c r="V1961" s="301">
        <v>0</v>
      </c>
      <c r="W1961" s="301">
        <v>0</v>
      </c>
      <c r="X1961" s="301">
        <v>0</v>
      </c>
      <c r="Y1961" s="301">
        <v>0</v>
      </c>
      <c r="Z1961" s="301">
        <v>0</v>
      </c>
      <c r="AA1961" s="301">
        <v>0</v>
      </c>
      <c r="AB1961" s="303">
        <v>2022</v>
      </c>
    </row>
    <row r="1962" spans="1:28" ht="35.25" customHeight="1" x14ac:dyDescent="0.5">
      <c r="A1962">
        <v>1</v>
      </c>
      <c r="B1962" s="80">
        <f>SUBTOTAL(103,$A$1697:A1962)</f>
        <v>266</v>
      </c>
      <c r="C1962" s="308" t="s">
        <v>1917</v>
      </c>
      <c r="D1962" s="296">
        <f t="shared" si="98"/>
        <v>331618.59999999998</v>
      </c>
      <c r="E1962" s="301">
        <v>0</v>
      </c>
      <c r="F1962" s="301">
        <v>0</v>
      </c>
      <c r="G1962" s="301">
        <v>0</v>
      </c>
      <c r="H1962" s="301">
        <v>0</v>
      </c>
      <c r="I1962" s="301">
        <v>0</v>
      </c>
      <c r="J1962" s="301">
        <v>0</v>
      </c>
      <c r="K1962" s="302">
        <v>0</v>
      </c>
      <c r="L1962" s="301">
        <v>0</v>
      </c>
      <c r="M1962" s="301">
        <v>0</v>
      </c>
      <c r="N1962" s="301">
        <v>0</v>
      </c>
      <c r="O1962" s="301">
        <v>331618.59999999998</v>
      </c>
      <c r="P1962" s="301">
        <v>0</v>
      </c>
      <c r="Q1962" s="301">
        <v>0</v>
      </c>
      <c r="R1962" s="301">
        <v>0</v>
      </c>
      <c r="S1962" s="301">
        <v>0</v>
      </c>
      <c r="T1962" s="301">
        <v>0</v>
      </c>
      <c r="U1962" s="301">
        <v>0</v>
      </c>
      <c r="V1962" s="301">
        <v>0</v>
      </c>
      <c r="W1962" s="301">
        <v>0</v>
      </c>
      <c r="X1962" s="301">
        <v>0</v>
      </c>
      <c r="Y1962" s="301">
        <v>0</v>
      </c>
      <c r="Z1962" s="301">
        <v>0</v>
      </c>
      <c r="AA1962" s="301">
        <v>0</v>
      </c>
      <c r="AB1962" s="303">
        <v>2022</v>
      </c>
    </row>
    <row r="1963" spans="1:28" ht="35.25" customHeight="1" x14ac:dyDescent="0.5">
      <c r="A1963">
        <v>1</v>
      </c>
      <c r="B1963" s="80">
        <f>SUBTOTAL(103,$A$1697:A1963)</f>
        <v>267</v>
      </c>
      <c r="C1963" s="308" t="s">
        <v>2750</v>
      </c>
      <c r="D1963" s="296">
        <f t="shared" si="98"/>
        <v>136950</v>
      </c>
      <c r="E1963" s="301">
        <v>0</v>
      </c>
      <c r="F1963" s="301">
        <v>0</v>
      </c>
      <c r="G1963" s="301">
        <v>136950</v>
      </c>
      <c r="H1963" s="301">
        <v>0</v>
      </c>
      <c r="I1963" s="301">
        <v>0</v>
      </c>
      <c r="J1963" s="301">
        <v>0</v>
      </c>
      <c r="K1963" s="302">
        <v>0</v>
      </c>
      <c r="L1963" s="301">
        <v>0</v>
      </c>
      <c r="M1963" s="301">
        <v>0</v>
      </c>
      <c r="N1963" s="301">
        <v>0</v>
      </c>
      <c r="O1963" s="301">
        <v>0</v>
      </c>
      <c r="P1963" s="301">
        <v>0</v>
      </c>
      <c r="Q1963" s="301">
        <v>0</v>
      </c>
      <c r="R1963" s="301">
        <v>0</v>
      </c>
      <c r="S1963" s="301">
        <v>0</v>
      </c>
      <c r="T1963" s="301">
        <v>0</v>
      </c>
      <c r="U1963" s="301">
        <v>0</v>
      </c>
      <c r="V1963" s="301">
        <v>0</v>
      </c>
      <c r="W1963" s="301">
        <v>0</v>
      </c>
      <c r="X1963" s="301">
        <v>0</v>
      </c>
      <c r="Y1963" s="301">
        <v>0</v>
      </c>
      <c r="Z1963" s="301">
        <v>0</v>
      </c>
      <c r="AA1963" s="301">
        <v>0</v>
      </c>
      <c r="AB1963" s="303">
        <v>2022</v>
      </c>
    </row>
    <row r="1964" spans="1:28" ht="35.25" customHeight="1" x14ac:dyDescent="0.5">
      <c r="A1964">
        <v>1</v>
      </c>
      <c r="B1964" s="80">
        <f>SUBTOTAL(103,$A$1697:A1964)</f>
        <v>268</v>
      </c>
      <c r="C1964" s="308" t="s">
        <v>3577</v>
      </c>
      <c r="D1964" s="296">
        <f t="shared" si="98"/>
        <v>801799</v>
      </c>
      <c r="E1964" s="301">
        <v>0</v>
      </c>
      <c r="F1964" s="301">
        <v>0</v>
      </c>
      <c r="G1964" s="301">
        <v>801799</v>
      </c>
      <c r="H1964" s="301">
        <v>0</v>
      </c>
      <c r="I1964" s="301">
        <v>0</v>
      </c>
      <c r="J1964" s="301">
        <v>0</v>
      </c>
      <c r="K1964" s="302">
        <v>0</v>
      </c>
      <c r="L1964" s="301">
        <v>0</v>
      </c>
      <c r="M1964" s="301">
        <v>0</v>
      </c>
      <c r="N1964" s="301">
        <v>0</v>
      </c>
      <c r="O1964" s="301">
        <v>0</v>
      </c>
      <c r="P1964" s="301">
        <v>0</v>
      </c>
      <c r="Q1964" s="301">
        <v>0</v>
      </c>
      <c r="R1964" s="301">
        <v>0</v>
      </c>
      <c r="S1964" s="301">
        <v>0</v>
      </c>
      <c r="T1964" s="301">
        <v>0</v>
      </c>
      <c r="U1964" s="301">
        <v>0</v>
      </c>
      <c r="V1964" s="301">
        <v>0</v>
      </c>
      <c r="W1964" s="301">
        <v>0</v>
      </c>
      <c r="X1964" s="301">
        <v>0</v>
      </c>
      <c r="Y1964" s="301">
        <v>0</v>
      </c>
      <c r="Z1964" s="301">
        <v>0</v>
      </c>
      <c r="AA1964" s="301">
        <v>0</v>
      </c>
      <c r="AB1964" s="303">
        <v>2022</v>
      </c>
    </row>
    <row r="1965" spans="1:28" ht="35.25" customHeight="1" x14ac:dyDescent="0.5">
      <c r="A1965">
        <v>1</v>
      </c>
      <c r="B1965" s="80">
        <f>SUBTOTAL(103,$A$1697:A1965)</f>
        <v>269</v>
      </c>
      <c r="C1965" s="308" t="s">
        <v>3544</v>
      </c>
      <c r="D1965" s="296">
        <f t="shared" si="98"/>
        <v>676610.4</v>
      </c>
      <c r="E1965" s="301">
        <v>0</v>
      </c>
      <c r="F1965" s="301">
        <v>0</v>
      </c>
      <c r="G1965" s="301">
        <v>0</v>
      </c>
      <c r="H1965" s="301">
        <v>0</v>
      </c>
      <c r="I1965" s="301">
        <v>0</v>
      </c>
      <c r="J1965" s="301">
        <v>0</v>
      </c>
      <c r="K1965" s="302">
        <v>0</v>
      </c>
      <c r="L1965" s="301">
        <v>0</v>
      </c>
      <c r="M1965" s="301">
        <v>0</v>
      </c>
      <c r="N1965" s="301">
        <v>0</v>
      </c>
      <c r="O1965" s="301">
        <v>676610.4</v>
      </c>
      <c r="P1965" s="301">
        <v>0</v>
      </c>
      <c r="Q1965" s="301">
        <v>0</v>
      </c>
      <c r="R1965" s="301">
        <v>0</v>
      </c>
      <c r="S1965" s="301">
        <v>0</v>
      </c>
      <c r="T1965" s="301">
        <v>0</v>
      </c>
      <c r="U1965" s="301">
        <v>0</v>
      </c>
      <c r="V1965" s="301">
        <v>0</v>
      </c>
      <c r="W1965" s="301">
        <v>0</v>
      </c>
      <c r="X1965" s="301">
        <v>0</v>
      </c>
      <c r="Y1965" s="301">
        <v>0</v>
      </c>
      <c r="Z1965" s="301">
        <v>0</v>
      </c>
      <c r="AA1965" s="301">
        <v>0</v>
      </c>
      <c r="AB1965" s="303">
        <v>2022</v>
      </c>
    </row>
    <row r="1966" spans="1:28" ht="35.25" customHeight="1" x14ac:dyDescent="0.5">
      <c r="A1966">
        <v>1</v>
      </c>
      <c r="B1966" s="80">
        <f>SUBTOTAL(103,$A$1697:A1966)</f>
        <v>270</v>
      </c>
      <c r="C1966" s="308" t="s">
        <v>3578</v>
      </c>
      <c r="D1966" s="296">
        <f t="shared" si="98"/>
        <v>638858.4</v>
      </c>
      <c r="E1966" s="301">
        <v>0</v>
      </c>
      <c r="F1966" s="301">
        <v>0</v>
      </c>
      <c r="G1966" s="301">
        <v>0</v>
      </c>
      <c r="H1966" s="301">
        <v>0</v>
      </c>
      <c r="I1966" s="301">
        <v>0</v>
      </c>
      <c r="J1966" s="301">
        <v>0</v>
      </c>
      <c r="K1966" s="302">
        <v>0</v>
      </c>
      <c r="L1966" s="301">
        <v>0</v>
      </c>
      <c r="M1966" s="301">
        <v>0</v>
      </c>
      <c r="N1966" s="301">
        <v>638858.4</v>
      </c>
      <c r="O1966" s="301">
        <v>0</v>
      </c>
      <c r="P1966" s="301">
        <v>0</v>
      </c>
      <c r="Q1966" s="301">
        <v>0</v>
      </c>
      <c r="R1966" s="301">
        <v>0</v>
      </c>
      <c r="S1966" s="301">
        <v>0</v>
      </c>
      <c r="T1966" s="301">
        <v>0</v>
      </c>
      <c r="U1966" s="301">
        <v>0</v>
      </c>
      <c r="V1966" s="301">
        <v>0</v>
      </c>
      <c r="W1966" s="301">
        <v>0</v>
      </c>
      <c r="X1966" s="301">
        <v>0</v>
      </c>
      <c r="Y1966" s="301">
        <v>0</v>
      </c>
      <c r="Z1966" s="301">
        <v>0</v>
      </c>
      <c r="AA1966" s="301">
        <v>0</v>
      </c>
      <c r="AB1966" s="303">
        <v>2022</v>
      </c>
    </row>
    <row r="1967" spans="1:28" ht="35.25" customHeight="1" x14ac:dyDescent="0.5">
      <c r="A1967">
        <v>1</v>
      </c>
      <c r="B1967" s="80">
        <f>SUBTOTAL(103,$A$1697:A1967)</f>
        <v>271</v>
      </c>
      <c r="C1967" s="308" t="s">
        <v>2202</v>
      </c>
      <c r="D1967" s="296">
        <f t="shared" si="98"/>
        <v>4891630.3999999994</v>
      </c>
      <c r="E1967" s="301">
        <v>0</v>
      </c>
      <c r="F1967" s="301">
        <v>0</v>
      </c>
      <c r="G1967" s="301">
        <v>0</v>
      </c>
      <c r="H1967" s="301">
        <v>0</v>
      </c>
      <c r="I1967" s="301">
        <v>0</v>
      </c>
      <c r="J1967" s="301">
        <v>0</v>
      </c>
      <c r="K1967" s="302">
        <v>2</v>
      </c>
      <c r="L1967" s="301">
        <v>4773629.5999999996</v>
      </c>
      <c r="M1967" s="301">
        <v>0</v>
      </c>
      <c r="N1967" s="301">
        <v>0</v>
      </c>
      <c r="O1967" s="301">
        <v>0</v>
      </c>
      <c r="P1967" s="301">
        <v>0</v>
      </c>
      <c r="Q1967" s="301">
        <v>0</v>
      </c>
      <c r="R1967" s="301">
        <v>0</v>
      </c>
      <c r="S1967" s="301">
        <v>0</v>
      </c>
      <c r="T1967" s="301">
        <v>0</v>
      </c>
      <c r="U1967" s="301">
        <v>0</v>
      </c>
      <c r="V1967" s="301">
        <v>0</v>
      </c>
      <c r="W1967" s="301">
        <v>0</v>
      </c>
      <c r="X1967" s="301">
        <v>0</v>
      </c>
      <c r="Y1967" s="301">
        <v>0</v>
      </c>
      <c r="Z1967" s="301">
        <v>118000.8</v>
      </c>
      <c r="AA1967" s="301">
        <v>0</v>
      </c>
      <c r="AB1967" s="303">
        <v>2022</v>
      </c>
    </row>
    <row r="1968" spans="1:28" ht="35.25" customHeight="1" x14ac:dyDescent="0.5">
      <c r="B1968" s="300" t="s">
        <v>987</v>
      </c>
      <c r="C1968" s="300"/>
      <c r="D1968" s="296">
        <f t="shared" si="98"/>
        <v>107368332.59</v>
      </c>
      <c r="E1968" s="296">
        <f t="shared" ref="E1968:AA1968" si="99">SUM(E1969:E2043)</f>
        <v>1069518.3999999999</v>
      </c>
      <c r="F1968" s="296">
        <f t="shared" si="99"/>
        <v>1543699.8</v>
      </c>
      <c r="G1968" s="296">
        <f t="shared" si="99"/>
        <v>1449464.7</v>
      </c>
      <c r="H1968" s="296">
        <f t="shared" si="99"/>
        <v>1874786.2</v>
      </c>
      <c r="I1968" s="296">
        <f t="shared" si="99"/>
        <v>7875422.3899999997</v>
      </c>
      <c r="J1968" s="296">
        <f t="shared" si="99"/>
        <v>32953.129999999997</v>
      </c>
      <c r="K1968" s="297">
        <f t="shared" si="99"/>
        <v>11</v>
      </c>
      <c r="L1968" s="296">
        <f t="shared" si="99"/>
        <v>22924648.800000001</v>
      </c>
      <c r="M1968" s="296">
        <f t="shared" si="99"/>
        <v>30548605.469999999</v>
      </c>
      <c r="N1968" s="296">
        <f t="shared" si="99"/>
        <v>0</v>
      </c>
      <c r="O1968" s="296">
        <f t="shared" si="99"/>
        <v>38327080.280000001</v>
      </c>
      <c r="P1968" s="296">
        <f t="shared" si="99"/>
        <v>863494.64</v>
      </c>
      <c r="Q1968" s="296">
        <f t="shared" si="99"/>
        <v>0</v>
      </c>
      <c r="R1968" s="296">
        <f t="shared" si="99"/>
        <v>0</v>
      </c>
      <c r="S1968" s="296">
        <f t="shared" si="99"/>
        <v>0</v>
      </c>
      <c r="T1968" s="296">
        <f t="shared" si="99"/>
        <v>0</v>
      </c>
      <c r="U1968" s="296">
        <f t="shared" si="99"/>
        <v>0</v>
      </c>
      <c r="V1968" s="296">
        <f t="shared" si="99"/>
        <v>0</v>
      </c>
      <c r="W1968" s="296">
        <f t="shared" si="99"/>
        <v>821398.6</v>
      </c>
      <c r="X1968" s="296">
        <f t="shared" si="99"/>
        <v>0</v>
      </c>
      <c r="Y1968" s="296">
        <f t="shared" si="99"/>
        <v>37260.18</v>
      </c>
      <c r="Z1968" s="296">
        <f t="shared" si="99"/>
        <v>0</v>
      </c>
      <c r="AA1968" s="296">
        <f t="shared" si="99"/>
        <v>0</v>
      </c>
      <c r="AB1968" s="298" t="s">
        <v>835</v>
      </c>
    </row>
    <row r="1969" spans="1:28" ht="35.25" customHeight="1" x14ac:dyDescent="0.5">
      <c r="A1969">
        <v>1</v>
      </c>
      <c r="B1969" s="80">
        <f>SUBTOTAL(103,$A$1697:A1969)</f>
        <v>272</v>
      </c>
      <c r="C1969" s="300" t="s">
        <v>2056</v>
      </c>
      <c r="D1969" s="296">
        <f t="shared" si="98"/>
        <v>2237020</v>
      </c>
      <c r="E1969" s="301">
        <v>0</v>
      </c>
      <c r="F1969" s="301">
        <v>0</v>
      </c>
      <c r="G1969" s="301">
        <v>0</v>
      </c>
      <c r="H1969" s="301">
        <v>0</v>
      </c>
      <c r="I1969" s="301">
        <v>0</v>
      </c>
      <c r="J1969" s="301">
        <v>0</v>
      </c>
      <c r="K1969" s="302">
        <v>1</v>
      </c>
      <c r="L1969" s="301">
        <v>2237020</v>
      </c>
      <c r="M1969" s="301">
        <v>0</v>
      </c>
      <c r="N1969" s="301">
        <v>0</v>
      </c>
      <c r="O1969" s="301">
        <v>0</v>
      </c>
      <c r="P1969" s="301">
        <v>0</v>
      </c>
      <c r="Q1969" s="301">
        <v>0</v>
      </c>
      <c r="R1969" s="301">
        <v>0</v>
      </c>
      <c r="S1969" s="301">
        <v>0</v>
      </c>
      <c r="T1969" s="301">
        <v>0</v>
      </c>
      <c r="U1969" s="301">
        <v>0</v>
      </c>
      <c r="V1969" s="301">
        <v>0</v>
      </c>
      <c r="W1969" s="301">
        <v>0</v>
      </c>
      <c r="X1969" s="301">
        <v>0</v>
      </c>
      <c r="Y1969" s="301">
        <v>0</v>
      </c>
      <c r="Z1969" s="301">
        <v>0</v>
      </c>
      <c r="AA1969" s="301">
        <v>0</v>
      </c>
      <c r="AB1969" s="303">
        <v>2022</v>
      </c>
    </row>
    <row r="1970" spans="1:28" ht="35.25" customHeight="1" x14ac:dyDescent="0.5">
      <c r="A1970">
        <v>1</v>
      </c>
      <c r="B1970" s="80">
        <f>SUBTOTAL(103,$A$1697:A1970)</f>
        <v>273</v>
      </c>
      <c r="C1970" s="306" t="s">
        <v>1748</v>
      </c>
      <c r="D1970" s="296">
        <f t="shared" si="98"/>
        <v>537640</v>
      </c>
      <c r="E1970" s="304">
        <v>0</v>
      </c>
      <c r="F1970" s="304">
        <v>0</v>
      </c>
      <c r="G1970" s="304">
        <v>0</v>
      </c>
      <c r="H1970" s="304">
        <v>0</v>
      </c>
      <c r="I1970" s="304">
        <v>0</v>
      </c>
      <c r="J1970" s="304">
        <v>0</v>
      </c>
      <c r="K1970" s="305">
        <v>0</v>
      </c>
      <c r="L1970" s="304">
        <v>0</v>
      </c>
      <c r="M1970" s="304">
        <v>0</v>
      </c>
      <c r="N1970" s="304">
        <v>0</v>
      </c>
      <c r="O1970" s="304">
        <v>537640</v>
      </c>
      <c r="P1970" s="304">
        <v>0</v>
      </c>
      <c r="Q1970" s="304">
        <v>0</v>
      </c>
      <c r="R1970" s="304">
        <v>0</v>
      </c>
      <c r="S1970" s="304">
        <v>0</v>
      </c>
      <c r="T1970" s="304">
        <v>0</v>
      </c>
      <c r="U1970" s="304">
        <v>0</v>
      </c>
      <c r="V1970" s="304">
        <v>0</v>
      </c>
      <c r="W1970" s="304">
        <v>0</v>
      </c>
      <c r="X1970" s="304">
        <v>0</v>
      </c>
      <c r="Y1970" s="304">
        <v>0</v>
      </c>
      <c r="Z1970" s="304">
        <v>0</v>
      </c>
      <c r="AA1970" s="304">
        <v>0</v>
      </c>
      <c r="AB1970" s="307">
        <v>2022</v>
      </c>
    </row>
    <row r="1971" spans="1:28" ht="35.25" customHeight="1" x14ac:dyDescent="0.5">
      <c r="A1971">
        <v>1</v>
      </c>
      <c r="B1971" s="80">
        <f>SUBTOTAL(103,$A$1697:A1971)</f>
        <v>274</v>
      </c>
      <c r="C1971" s="306" t="s">
        <v>2043</v>
      </c>
      <c r="D1971" s="296">
        <f t="shared" si="98"/>
        <v>504114.2</v>
      </c>
      <c r="E1971" s="304">
        <v>0</v>
      </c>
      <c r="F1971" s="304">
        <v>504114.2</v>
      </c>
      <c r="G1971" s="304">
        <v>0</v>
      </c>
      <c r="H1971" s="304">
        <v>0</v>
      </c>
      <c r="I1971" s="304">
        <v>0</v>
      </c>
      <c r="J1971" s="304">
        <v>0</v>
      </c>
      <c r="K1971" s="305">
        <v>0</v>
      </c>
      <c r="L1971" s="304">
        <v>0</v>
      </c>
      <c r="M1971" s="304">
        <v>0</v>
      </c>
      <c r="N1971" s="304">
        <v>0</v>
      </c>
      <c r="O1971" s="304">
        <v>0</v>
      </c>
      <c r="P1971" s="304">
        <v>0</v>
      </c>
      <c r="Q1971" s="304">
        <v>0</v>
      </c>
      <c r="R1971" s="304">
        <v>0</v>
      </c>
      <c r="S1971" s="304">
        <v>0</v>
      </c>
      <c r="T1971" s="304">
        <v>0</v>
      </c>
      <c r="U1971" s="304">
        <v>0</v>
      </c>
      <c r="V1971" s="304">
        <v>0</v>
      </c>
      <c r="W1971" s="304">
        <v>0</v>
      </c>
      <c r="X1971" s="304">
        <v>0</v>
      </c>
      <c r="Y1971" s="304">
        <v>0</v>
      </c>
      <c r="Z1971" s="304">
        <v>0</v>
      </c>
      <c r="AA1971" s="304">
        <v>0</v>
      </c>
      <c r="AB1971" s="303">
        <v>2022</v>
      </c>
    </row>
    <row r="1972" spans="1:28" ht="35.25" customHeight="1" x14ac:dyDescent="0.5">
      <c r="A1972">
        <v>1</v>
      </c>
      <c r="B1972" s="80">
        <f>SUBTOTAL(103,$A$1697:A1972)</f>
        <v>275</v>
      </c>
      <c r="C1972" s="306" t="s">
        <v>2050</v>
      </c>
      <c r="D1972" s="296">
        <f t="shared" si="98"/>
        <v>398257.78</v>
      </c>
      <c r="E1972" s="304">
        <v>0</v>
      </c>
      <c r="F1972" s="304">
        <v>0</v>
      </c>
      <c r="G1972" s="304">
        <v>0</v>
      </c>
      <c r="H1972" s="304">
        <v>0</v>
      </c>
      <c r="I1972" s="304">
        <v>0</v>
      </c>
      <c r="J1972" s="304">
        <v>0</v>
      </c>
      <c r="K1972" s="305">
        <v>0</v>
      </c>
      <c r="L1972" s="304">
        <v>0</v>
      </c>
      <c r="M1972" s="304">
        <f>94000+101000+203257.78</f>
        <v>398257.78</v>
      </c>
      <c r="N1972" s="304">
        <v>0</v>
      </c>
      <c r="O1972" s="304">
        <v>0</v>
      </c>
      <c r="P1972" s="304">
        <v>0</v>
      </c>
      <c r="Q1972" s="304">
        <v>0</v>
      </c>
      <c r="R1972" s="304">
        <v>0</v>
      </c>
      <c r="S1972" s="304">
        <v>0</v>
      </c>
      <c r="T1972" s="304">
        <v>0</v>
      </c>
      <c r="U1972" s="304">
        <v>0</v>
      </c>
      <c r="V1972" s="304">
        <v>0</v>
      </c>
      <c r="W1972" s="304">
        <v>0</v>
      </c>
      <c r="X1972" s="304">
        <v>0</v>
      </c>
      <c r="Y1972" s="304">
        <v>0</v>
      </c>
      <c r="Z1972" s="304">
        <v>0</v>
      </c>
      <c r="AA1972" s="304">
        <v>0</v>
      </c>
      <c r="AB1972" s="303">
        <v>2022</v>
      </c>
    </row>
    <row r="1973" spans="1:28" ht="35.25" customHeight="1" x14ac:dyDescent="0.5">
      <c r="A1973">
        <v>1</v>
      </c>
      <c r="B1973" s="80">
        <f>SUBTOTAL(103,$A$1697:A1973)</f>
        <v>276</v>
      </c>
      <c r="C1973" s="306" t="s">
        <v>2057</v>
      </c>
      <c r="D1973" s="296">
        <f t="shared" si="98"/>
        <v>123300</v>
      </c>
      <c r="E1973" s="304">
        <v>0</v>
      </c>
      <c r="F1973" s="304">
        <v>0</v>
      </c>
      <c r="G1973" s="304">
        <v>0</v>
      </c>
      <c r="H1973" s="304">
        <v>0</v>
      </c>
      <c r="I1973" s="304">
        <v>0</v>
      </c>
      <c r="J1973" s="304">
        <v>0</v>
      </c>
      <c r="K1973" s="305">
        <v>0</v>
      </c>
      <c r="L1973" s="304">
        <v>0</v>
      </c>
      <c r="M1973" s="304">
        <v>0</v>
      </c>
      <c r="N1973" s="304">
        <v>0</v>
      </c>
      <c r="O1973" s="304">
        <f>56900+59300+7100</f>
        <v>123300</v>
      </c>
      <c r="P1973" s="304">
        <v>0</v>
      </c>
      <c r="Q1973" s="304">
        <v>0</v>
      </c>
      <c r="R1973" s="304">
        <v>0</v>
      </c>
      <c r="S1973" s="304">
        <v>0</v>
      </c>
      <c r="T1973" s="304">
        <v>0</v>
      </c>
      <c r="U1973" s="304">
        <v>0</v>
      </c>
      <c r="V1973" s="304">
        <v>0</v>
      </c>
      <c r="W1973" s="304">
        <v>0</v>
      </c>
      <c r="X1973" s="304">
        <v>0</v>
      </c>
      <c r="Y1973" s="304">
        <v>0</v>
      </c>
      <c r="Z1973" s="304">
        <v>0</v>
      </c>
      <c r="AA1973" s="304">
        <v>0</v>
      </c>
      <c r="AB1973" s="303">
        <v>2022</v>
      </c>
    </row>
    <row r="1974" spans="1:28" ht="35.25" customHeight="1" x14ac:dyDescent="0.5">
      <c r="A1974">
        <v>1</v>
      </c>
      <c r="B1974" s="80">
        <f>SUBTOTAL(103,$A$1697:A1974)</f>
        <v>277</v>
      </c>
      <c r="C1974" s="306" t="s">
        <v>2803</v>
      </c>
      <c r="D1974" s="296">
        <f t="shared" si="98"/>
        <v>203021.82</v>
      </c>
      <c r="E1974" s="304">
        <v>0</v>
      </c>
      <c r="F1974" s="304">
        <v>0</v>
      </c>
      <c r="G1974" s="304">
        <v>0</v>
      </c>
      <c r="H1974" s="304">
        <v>0</v>
      </c>
      <c r="I1974" s="304">
        <v>0</v>
      </c>
      <c r="J1974" s="304">
        <v>0</v>
      </c>
      <c r="K1974" s="305">
        <v>0</v>
      </c>
      <c r="L1974" s="304">
        <v>0</v>
      </c>
      <c r="M1974" s="304">
        <f>109158.49+93863.33</f>
        <v>203021.82</v>
      </c>
      <c r="N1974" s="304">
        <v>0</v>
      </c>
      <c r="O1974" s="304">
        <v>0</v>
      </c>
      <c r="P1974" s="304">
        <v>0</v>
      </c>
      <c r="Q1974" s="304">
        <v>0</v>
      </c>
      <c r="R1974" s="304">
        <v>0</v>
      </c>
      <c r="S1974" s="304">
        <v>0</v>
      </c>
      <c r="T1974" s="304">
        <v>0</v>
      </c>
      <c r="U1974" s="304">
        <v>0</v>
      </c>
      <c r="V1974" s="304">
        <v>0</v>
      </c>
      <c r="W1974" s="304">
        <v>0</v>
      </c>
      <c r="X1974" s="304">
        <v>0</v>
      </c>
      <c r="Y1974" s="304">
        <v>0</v>
      </c>
      <c r="Z1974" s="304">
        <v>0</v>
      </c>
      <c r="AA1974" s="304">
        <v>0</v>
      </c>
      <c r="AB1974" s="303">
        <v>2022</v>
      </c>
    </row>
    <row r="1975" spans="1:28" ht="35.25" customHeight="1" x14ac:dyDescent="0.5">
      <c r="A1975">
        <v>1</v>
      </c>
      <c r="B1975" s="80">
        <f>SUBTOTAL(103,$A$1697:A1975)</f>
        <v>278</v>
      </c>
      <c r="C1975" s="306" t="s">
        <v>2427</v>
      </c>
      <c r="D1975" s="296">
        <f t="shared" si="98"/>
        <v>234304</v>
      </c>
      <c r="E1975" s="304">
        <v>0</v>
      </c>
      <c r="F1975" s="304">
        <v>0</v>
      </c>
      <c r="G1975" s="304">
        <v>0</v>
      </c>
      <c r="H1975" s="304">
        <v>0</v>
      </c>
      <c r="I1975" s="304">
        <f>70291.2+164012.8</f>
        <v>234304</v>
      </c>
      <c r="J1975" s="304">
        <v>0</v>
      </c>
      <c r="K1975" s="305">
        <v>0</v>
      </c>
      <c r="L1975" s="304">
        <v>0</v>
      </c>
      <c r="M1975" s="304">
        <v>0</v>
      </c>
      <c r="N1975" s="304">
        <v>0</v>
      </c>
      <c r="O1975" s="304">
        <v>0</v>
      </c>
      <c r="P1975" s="304">
        <v>0</v>
      </c>
      <c r="Q1975" s="304">
        <v>0</v>
      </c>
      <c r="R1975" s="304">
        <v>0</v>
      </c>
      <c r="S1975" s="304">
        <v>0</v>
      </c>
      <c r="T1975" s="304">
        <v>0</v>
      </c>
      <c r="U1975" s="304">
        <v>0</v>
      </c>
      <c r="V1975" s="304">
        <v>0</v>
      </c>
      <c r="W1975" s="304">
        <v>0</v>
      </c>
      <c r="X1975" s="304">
        <v>0</v>
      </c>
      <c r="Y1975" s="304">
        <v>0</v>
      </c>
      <c r="Z1975" s="304">
        <v>0</v>
      </c>
      <c r="AA1975" s="304">
        <v>0</v>
      </c>
      <c r="AB1975" s="303">
        <v>2022</v>
      </c>
    </row>
    <row r="1976" spans="1:28" ht="35.25" customHeight="1" x14ac:dyDescent="0.5">
      <c r="A1976">
        <v>1</v>
      </c>
      <c r="B1976" s="80">
        <f>SUBTOTAL(103,$A$1697:A1976)</f>
        <v>279</v>
      </c>
      <c r="C1976" s="306" t="s">
        <v>3325</v>
      </c>
      <c r="D1976" s="296">
        <f t="shared" si="98"/>
        <v>1930535</v>
      </c>
      <c r="E1976" s="304">
        <v>0</v>
      </c>
      <c r="F1976" s="304">
        <v>0</v>
      </c>
      <c r="G1976" s="304">
        <v>0</v>
      </c>
      <c r="H1976" s="304">
        <v>0</v>
      </c>
      <c r="I1976" s="304">
        <v>0</v>
      </c>
      <c r="J1976" s="304">
        <v>0</v>
      </c>
      <c r="K1976" s="305">
        <v>0</v>
      </c>
      <c r="L1976" s="304">
        <v>0</v>
      </c>
      <c r="M1976" s="304">
        <f>579500+1351035</f>
        <v>1930535</v>
      </c>
      <c r="N1976" s="304">
        <v>0</v>
      </c>
      <c r="O1976" s="304">
        <v>0</v>
      </c>
      <c r="P1976" s="304">
        <v>0</v>
      </c>
      <c r="Q1976" s="304">
        <v>0</v>
      </c>
      <c r="R1976" s="304">
        <v>0</v>
      </c>
      <c r="S1976" s="304">
        <v>0</v>
      </c>
      <c r="T1976" s="304">
        <v>0</v>
      </c>
      <c r="U1976" s="304">
        <v>0</v>
      </c>
      <c r="V1976" s="304">
        <v>0</v>
      </c>
      <c r="W1976" s="304">
        <v>0</v>
      </c>
      <c r="X1976" s="304">
        <v>0</v>
      </c>
      <c r="Y1976" s="304">
        <v>0</v>
      </c>
      <c r="Z1976" s="304">
        <v>0</v>
      </c>
      <c r="AA1976" s="304">
        <v>0</v>
      </c>
      <c r="AB1976" s="303">
        <v>2022</v>
      </c>
    </row>
    <row r="1977" spans="1:28" ht="35.25" customHeight="1" x14ac:dyDescent="0.5">
      <c r="A1977">
        <v>1</v>
      </c>
      <c r="B1977" s="80">
        <f>SUBTOTAL(103,$A$1697:A1977)</f>
        <v>280</v>
      </c>
      <c r="C1977" s="306" t="s">
        <v>2430</v>
      </c>
      <c r="D1977" s="296">
        <f t="shared" si="98"/>
        <v>871959.1399999999</v>
      </c>
      <c r="E1977" s="304">
        <v>0</v>
      </c>
      <c r="F1977" s="304">
        <v>0</v>
      </c>
      <c r="G1977" s="304">
        <v>0</v>
      </c>
      <c r="H1977" s="304">
        <v>0</v>
      </c>
      <c r="I1977" s="304">
        <v>0</v>
      </c>
      <c r="J1977" s="304">
        <v>0</v>
      </c>
      <c r="K1977" s="305">
        <v>0</v>
      </c>
      <c r="L1977" s="304">
        <v>0</v>
      </c>
      <c r="M1977" s="304">
        <f>143891.52+271510.04+456557.58</f>
        <v>871959.1399999999</v>
      </c>
      <c r="N1977" s="304">
        <v>0</v>
      </c>
      <c r="O1977" s="304">
        <v>0</v>
      </c>
      <c r="P1977" s="304">
        <v>0</v>
      </c>
      <c r="Q1977" s="304">
        <v>0</v>
      </c>
      <c r="R1977" s="304">
        <v>0</v>
      </c>
      <c r="S1977" s="304">
        <v>0</v>
      </c>
      <c r="T1977" s="304">
        <v>0</v>
      </c>
      <c r="U1977" s="304">
        <v>0</v>
      </c>
      <c r="V1977" s="304">
        <v>0</v>
      </c>
      <c r="W1977" s="304">
        <v>0</v>
      </c>
      <c r="X1977" s="304">
        <v>0</v>
      </c>
      <c r="Y1977" s="304">
        <v>0</v>
      </c>
      <c r="Z1977" s="304">
        <v>0</v>
      </c>
      <c r="AA1977" s="304">
        <v>0</v>
      </c>
      <c r="AB1977" s="303">
        <v>2022</v>
      </c>
    </row>
    <row r="1978" spans="1:28" ht="35.25" customHeight="1" x14ac:dyDescent="0.5">
      <c r="A1978">
        <v>1</v>
      </c>
      <c r="B1978" s="80">
        <f>SUBTOTAL(103,$A$1697:A1978)</f>
        <v>281</v>
      </c>
      <c r="C1978" s="306" t="s">
        <v>2432</v>
      </c>
      <c r="D1978" s="296">
        <f t="shared" si="98"/>
        <v>45475</v>
      </c>
      <c r="E1978" s="304">
        <v>0</v>
      </c>
      <c r="F1978" s="304">
        <v>0</v>
      </c>
      <c r="G1978" s="304">
        <v>0</v>
      </c>
      <c r="H1978" s="304">
        <v>0</v>
      </c>
      <c r="I1978" s="304">
        <v>45475</v>
      </c>
      <c r="J1978" s="304">
        <v>0</v>
      </c>
      <c r="K1978" s="305">
        <v>0</v>
      </c>
      <c r="L1978" s="304">
        <v>0</v>
      </c>
      <c r="M1978" s="304">
        <v>0</v>
      </c>
      <c r="N1978" s="304">
        <v>0</v>
      </c>
      <c r="O1978" s="304">
        <v>0</v>
      </c>
      <c r="P1978" s="304">
        <v>0</v>
      </c>
      <c r="Q1978" s="304">
        <v>0</v>
      </c>
      <c r="R1978" s="304">
        <v>0</v>
      </c>
      <c r="S1978" s="304">
        <v>0</v>
      </c>
      <c r="T1978" s="304">
        <v>0</v>
      </c>
      <c r="U1978" s="304">
        <v>0</v>
      </c>
      <c r="V1978" s="304">
        <v>0</v>
      </c>
      <c r="W1978" s="304">
        <v>0</v>
      </c>
      <c r="X1978" s="304">
        <v>0</v>
      </c>
      <c r="Y1978" s="304">
        <v>0</v>
      </c>
      <c r="Z1978" s="304">
        <v>0</v>
      </c>
      <c r="AA1978" s="304">
        <v>0</v>
      </c>
      <c r="AB1978" s="303">
        <v>2022</v>
      </c>
    </row>
    <row r="1979" spans="1:28" ht="35.25" customHeight="1" x14ac:dyDescent="0.5">
      <c r="A1979">
        <v>1</v>
      </c>
      <c r="B1979" s="80">
        <f>SUBTOTAL(103,$A$1697:A1979)</f>
        <v>282</v>
      </c>
      <c r="C1979" s="306" t="s">
        <v>2255</v>
      </c>
      <c r="D1979" s="296">
        <f t="shared" si="98"/>
        <v>9280208.8699999992</v>
      </c>
      <c r="E1979" s="301">
        <v>0</v>
      </c>
      <c r="F1979" s="301">
        <v>0</v>
      </c>
      <c r="G1979" s="301">
        <v>0</v>
      </c>
      <c r="H1979" s="301">
        <v>0</v>
      </c>
      <c r="I1979" s="301">
        <v>0</v>
      </c>
      <c r="J1979" s="301">
        <v>0</v>
      </c>
      <c r="K1979" s="302">
        <v>0</v>
      </c>
      <c r="L1979" s="301">
        <v>0</v>
      </c>
      <c r="M1979" s="301">
        <v>0</v>
      </c>
      <c r="N1979" s="301">
        <v>0</v>
      </c>
      <c r="O1979" s="301">
        <v>8846408</v>
      </c>
      <c r="P1979" s="301">
        <v>0</v>
      </c>
      <c r="Q1979" s="301">
        <v>0</v>
      </c>
      <c r="R1979" s="301">
        <v>0</v>
      </c>
      <c r="S1979" s="301">
        <v>0</v>
      </c>
      <c r="T1979" s="301">
        <v>0</v>
      </c>
      <c r="U1979" s="301">
        <v>0</v>
      </c>
      <c r="V1979" s="301">
        <v>0</v>
      </c>
      <c r="W1979" s="301">
        <v>433800.87</v>
      </c>
      <c r="X1979" s="301">
        <v>0</v>
      </c>
      <c r="Y1979" s="301">
        <v>0</v>
      </c>
      <c r="Z1979" s="301">
        <v>0</v>
      </c>
      <c r="AA1979" s="301">
        <v>0</v>
      </c>
      <c r="AB1979" s="303">
        <v>2022</v>
      </c>
    </row>
    <row r="1980" spans="1:28" ht="35.25" customHeight="1" x14ac:dyDescent="0.5">
      <c r="A1980">
        <v>1</v>
      </c>
      <c r="B1980" s="80">
        <f>SUBTOTAL(103,$A$1697:A1980)</f>
        <v>283</v>
      </c>
      <c r="C1980" s="306" t="s">
        <v>2624</v>
      </c>
      <c r="D1980" s="296">
        <f t="shared" si="98"/>
        <v>9282161.7300000004</v>
      </c>
      <c r="E1980" s="301">
        <v>0</v>
      </c>
      <c r="F1980" s="301">
        <v>0</v>
      </c>
      <c r="G1980" s="301">
        <v>0</v>
      </c>
      <c r="H1980" s="301">
        <v>0</v>
      </c>
      <c r="I1980" s="301">
        <v>0</v>
      </c>
      <c r="J1980" s="301">
        <v>0</v>
      </c>
      <c r="K1980" s="302">
        <v>0</v>
      </c>
      <c r="L1980" s="301">
        <v>0</v>
      </c>
      <c r="M1980" s="301">
        <v>0</v>
      </c>
      <c r="N1980" s="301">
        <v>0</v>
      </c>
      <c r="O1980" s="301">
        <v>8894564</v>
      </c>
      <c r="P1980" s="301">
        <v>0</v>
      </c>
      <c r="Q1980" s="301">
        <v>0</v>
      </c>
      <c r="R1980" s="301">
        <v>0</v>
      </c>
      <c r="S1980" s="301">
        <v>0</v>
      </c>
      <c r="T1980" s="301">
        <v>0</v>
      </c>
      <c r="U1980" s="301">
        <v>0</v>
      </c>
      <c r="V1980" s="301">
        <v>0</v>
      </c>
      <c r="W1980" s="301">
        <v>387597.73</v>
      </c>
      <c r="X1980" s="301">
        <v>0</v>
      </c>
      <c r="Y1980" s="301">
        <v>0</v>
      </c>
      <c r="Z1980" s="301">
        <v>0</v>
      </c>
      <c r="AA1980" s="301">
        <v>0</v>
      </c>
      <c r="AB1980" s="303">
        <v>2022</v>
      </c>
    </row>
    <row r="1981" spans="1:28" ht="35.25" customHeight="1" x14ac:dyDescent="0.5">
      <c r="A1981">
        <v>1</v>
      </c>
      <c r="B1981" s="80">
        <f>SUBTOTAL(103,$A$1697:A1981)</f>
        <v>284</v>
      </c>
      <c r="C1981" s="306" t="s">
        <v>3326</v>
      </c>
      <c r="D1981" s="296">
        <f t="shared" si="98"/>
        <v>6314243.4000000004</v>
      </c>
      <c r="E1981" s="301">
        <v>0</v>
      </c>
      <c r="F1981" s="301">
        <v>0</v>
      </c>
      <c r="G1981" s="301">
        <v>194504.7</v>
      </c>
      <c r="H1981" s="301">
        <v>0</v>
      </c>
      <c r="I1981" s="301">
        <v>0</v>
      </c>
      <c r="J1981" s="301">
        <v>0</v>
      </c>
      <c r="K1981" s="302">
        <v>0</v>
      </c>
      <c r="L1981" s="301">
        <v>0</v>
      </c>
      <c r="M1981" s="301">
        <v>0</v>
      </c>
      <c r="N1981" s="301">
        <v>0</v>
      </c>
      <c r="O1981" s="301">
        <f>2409431.33+3710307.37</f>
        <v>6119738.7000000002</v>
      </c>
      <c r="P1981" s="301">
        <v>0</v>
      </c>
      <c r="Q1981" s="301">
        <v>0</v>
      </c>
      <c r="R1981" s="301">
        <v>0</v>
      </c>
      <c r="S1981" s="301">
        <v>0</v>
      </c>
      <c r="T1981" s="301">
        <v>0</v>
      </c>
      <c r="U1981" s="301">
        <v>0</v>
      </c>
      <c r="V1981" s="301">
        <v>0</v>
      </c>
      <c r="W1981" s="301">
        <v>0</v>
      </c>
      <c r="X1981" s="301">
        <v>0</v>
      </c>
      <c r="Y1981" s="301">
        <v>0</v>
      </c>
      <c r="Z1981" s="301">
        <v>0</v>
      </c>
      <c r="AA1981" s="301">
        <v>0</v>
      </c>
      <c r="AB1981" s="303" t="s">
        <v>3313</v>
      </c>
    </row>
    <row r="1982" spans="1:28" ht="35.25" customHeight="1" x14ac:dyDescent="0.5">
      <c r="A1982">
        <v>1</v>
      </c>
      <c r="B1982" s="80">
        <f>SUBTOTAL(103,$A$1697:A1982)</f>
        <v>285</v>
      </c>
      <c r="C1982" s="306" t="s">
        <v>2047</v>
      </c>
      <c r="D1982" s="296">
        <f t="shared" si="98"/>
        <v>1172750</v>
      </c>
      <c r="E1982" s="301">
        <v>0</v>
      </c>
      <c r="F1982" s="301">
        <v>0</v>
      </c>
      <c r="G1982" s="301">
        <v>0</v>
      </c>
      <c r="H1982" s="301">
        <v>0</v>
      </c>
      <c r="I1982" s="301">
        <v>0</v>
      </c>
      <c r="J1982" s="301">
        <v>0</v>
      </c>
      <c r="K1982" s="302">
        <v>0</v>
      </c>
      <c r="L1982" s="301">
        <v>0</v>
      </c>
      <c r="M1982" s="301">
        <v>0</v>
      </c>
      <c r="N1982" s="301">
        <v>0</v>
      </c>
      <c r="O1982" s="301">
        <f>270550+902200</f>
        <v>1172750</v>
      </c>
      <c r="P1982" s="301">
        <v>0</v>
      </c>
      <c r="Q1982" s="301">
        <v>0</v>
      </c>
      <c r="R1982" s="301">
        <v>0</v>
      </c>
      <c r="S1982" s="301">
        <v>0</v>
      </c>
      <c r="T1982" s="301">
        <v>0</v>
      </c>
      <c r="U1982" s="301">
        <v>0</v>
      </c>
      <c r="V1982" s="301">
        <v>0</v>
      </c>
      <c r="W1982" s="301">
        <v>0</v>
      </c>
      <c r="X1982" s="301">
        <v>0</v>
      </c>
      <c r="Y1982" s="301">
        <v>0</v>
      </c>
      <c r="Z1982" s="301">
        <v>0</v>
      </c>
      <c r="AA1982" s="301">
        <v>0</v>
      </c>
      <c r="AB1982" s="303" t="s">
        <v>3313</v>
      </c>
    </row>
    <row r="1983" spans="1:28" ht="35.25" customHeight="1" x14ac:dyDescent="0.5">
      <c r="A1983">
        <v>1</v>
      </c>
      <c r="B1983" s="80">
        <f>SUBTOTAL(103,$A$1697:A1983)</f>
        <v>286</v>
      </c>
      <c r="C1983" s="306" t="s">
        <v>3327</v>
      </c>
      <c r="D1983" s="296">
        <f t="shared" si="98"/>
        <v>2093555</v>
      </c>
      <c r="E1983" s="301">
        <v>0</v>
      </c>
      <c r="F1983" s="301">
        <v>247184</v>
      </c>
      <c r="G1983" s="301">
        <v>0</v>
      </c>
      <c r="H1983" s="301">
        <v>0</v>
      </c>
      <c r="I1983" s="301">
        <v>0</v>
      </c>
      <c r="J1983" s="301">
        <v>0</v>
      </c>
      <c r="K1983" s="302">
        <v>0</v>
      </c>
      <c r="L1983" s="301">
        <v>0</v>
      </c>
      <c r="M1983" s="301">
        <v>1846371</v>
      </c>
      <c r="N1983" s="301">
        <v>0</v>
      </c>
      <c r="O1983" s="301">
        <v>0</v>
      </c>
      <c r="P1983" s="301">
        <v>0</v>
      </c>
      <c r="Q1983" s="301">
        <v>0</v>
      </c>
      <c r="R1983" s="301">
        <v>0</v>
      </c>
      <c r="S1983" s="301">
        <v>0</v>
      </c>
      <c r="T1983" s="301">
        <v>0</v>
      </c>
      <c r="U1983" s="301">
        <v>0</v>
      </c>
      <c r="V1983" s="301">
        <v>0</v>
      </c>
      <c r="W1983" s="301">
        <v>0</v>
      </c>
      <c r="X1983" s="301">
        <v>0</v>
      </c>
      <c r="Y1983" s="301">
        <v>0</v>
      </c>
      <c r="Z1983" s="301">
        <v>0</v>
      </c>
      <c r="AA1983" s="301">
        <v>0</v>
      </c>
      <c r="AB1983" s="303" t="s">
        <v>3313</v>
      </c>
    </row>
    <row r="1984" spans="1:28" ht="35.25" customHeight="1" x14ac:dyDescent="0.5">
      <c r="A1984">
        <v>1</v>
      </c>
      <c r="B1984" s="80">
        <f>SUBTOTAL(103,$A$1697:A1984)</f>
        <v>287</v>
      </c>
      <c r="C1984" s="306" t="s">
        <v>2979</v>
      </c>
      <c r="D1984" s="296">
        <f t="shared" si="98"/>
        <v>798820</v>
      </c>
      <c r="E1984" s="301">
        <v>0</v>
      </c>
      <c r="F1984" s="301">
        <v>0</v>
      </c>
      <c r="G1984" s="301">
        <v>0</v>
      </c>
      <c r="H1984" s="301">
        <v>0</v>
      </c>
      <c r="I1984" s="301">
        <f>239646+559174</f>
        <v>798820</v>
      </c>
      <c r="J1984" s="301">
        <v>0</v>
      </c>
      <c r="K1984" s="302">
        <v>0</v>
      </c>
      <c r="L1984" s="301">
        <v>0</v>
      </c>
      <c r="M1984" s="301">
        <v>0</v>
      </c>
      <c r="N1984" s="301">
        <v>0</v>
      </c>
      <c r="O1984" s="301">
        <v>0</v>
      </c>
      <c r="P1984" s="301">
        <v>0</v>
      </c>
      <c r="Q1984" s="301">
        <v>0</v>
      </c>
      <c r="R1984" s="301">
        <v>0</v>
      </c>
      <c r="S1984" s="301">
        <v>0</v>
      </c>
      <c r="T1984" s="301">
        <v>0</v>
      </c>
      <c r="U1984" s="301">
        <v>0</v>
      </c>
      <c r="V1984" s="301">
        <v>0</v>
      </c>
      <c r="W1984" s="301">
        <v>0</v>
      </c>
      <c r="X1984" s="301">
        <v>0</v>
      </c>
      <c r="Y1984" s="301">
        <v>0</v>
      </c>
      <c r="Z1984" s="301">
        <v>0</v>
      </c>
      <c r="AA1984" s="301">
        <v>0</v>
      </c>
      <c r="AB1984" s="303" t="s">
        <v>3313</v>
      </c>
    </row>
    <row r="1985" spans="1:28" ht="35.25" customHeight="1" x14ac:dyDescent="0.5">
      <c r="A1985">
        <v>1</v>
      </c>
      <c r="B1985" s="80">
        <f>SUBTOTAL(103,$A$1697:A1985)</f>
        <v>288</v>
      </c>
      <c r="C1985" s="306" t="s">
        <v>3051</v>
      </c>
      <c r="D1985" s="296">
        <f t="shared" si="98"/>
        <v>350000</v>
      </c>
      <c r="E1985" s="301">
        <v>0</v>
      </c>
      <c r="F1985" s="301">
        <v>0</v>
      </c>
      <c r="G1985" s="301">
        <f>180000+170000</f>
        <v>350000</v>
      </c>
      <c r="H1985" s="301">
        <v>0</v>
      </c>
      <c r="I1985" s="301">
        <v>0</v>
      </c>
      <c r="J1985" s="301">
        <v>0</v>
      </c>
      <c r="K1985" s="302">
        <v>0</v>
      </c>
      <c r="L1985" s="301">
        <v>0</v>
      </c>
      <c r="M1985" s="301">
        <v>0</v>
      </c>
      <c r="N1985" s="301">
        <v>0</v>
      </c>
      <c r="O1985" s="301">
        <v>0</v>
      </c>
      <c r="P1985" s="301">
        <v>0</v>
      </c>
      <c r="Q1985" s="301">
        <v>0</v>
      </c>
      <c r="R1985" s="301">
        <v>0</v>
      </c>
      <c r="S1985" s="301">
        <v>0</v>
      </c>
      <c r="T1985" s="301">
        <v>0</v>
      </c>
      <c r="U1985" s="301">
        <v>0</v>
      </c>
      <c r="V1985" s="301">
        <v>0</v>
      </c>
      <c r="W1985" s="301">
        <v>0</v>
      </c>
      <c r="X1985" s="301">
        <v>0</v>
      </c>
      <c r="Y1985" s="301">
        <v>0</v>
      </c>
      <c r="Z1985" s="301">
        <v>0</v>
      </c>
      <c r="AA1985" s="301">
        <v>0</v>
      </c>
      <c r="AB1985" s="303" t="s">
        <v>3313</v>
      </c>
    </row>
    <row r="1986" spans="1:28" ht="35.25" customHeight="1" x14ac:dyDescent="0.5">
      <c r="A1986">
        <v>1</v>
      </c>
      <c r="B1986" s="80">
        <f>SUBTOTAL(103,$A$1697:A1986)</f>
        <v>289</v>
      </c>
      <c r="C1986" s="306" t="s">
        <v>3328</v>
      </c>
      <c r="D1986" s="296">
        <f t="shared" si="98"/>
        <v>1287181.8</v>
      </c>
      <c r="E1986" s="301">
        <v>0</v>
      </c>
      <c r="F1986" s="301">
        <v>0</v>
      </c>
      <c r="G1986" s="301">
        <v>0</v>
      </c>
      <c r="H1986" s="301">
        <v>0</v>
      </c>
      <c r="I1986" s="301">
        <v>0</v>
      </c>
      <c r="J1986" s="301">
        <v>0</v>
      </c>
      <c r="K1986" s="302">
        <v>0</v>
      </c>
      <c r="L1986" s="301">
        <v>0</v>
      </c>
      <c r="M1986" s="301">
        <v>1287181.8</v>
      </c>
      <c r="N1986" s="301">
        <v>0</v>
      </c>
      <c r="O1986" s="301">
        <v>0</v>
      </c>
      <c r="P1986" s="301">
        <v>0</v>
      </c>
      <c r="Q1986" s="301">
        <v>0</v>
      </c>
      <c r="R1986" s="301">
        <v>0</v>
      </c>
      <c r="S1986" s="301">
        <v>0</v>
      </c>
      <c r="T1986" s="301">
        <v>0</v>
      </c>
      <c r="U1986" s="301">
        <v>0</v>
      </c>
      <c r="V1986" s="301">
        <v>0</v>
      </c>
      <c r="W1986" s="301">
        <v>0</v>
      </c>
      <c r="X1986" s="301">
        <v>0</v>
      </c>
      <c r="Y1986" s="301">
        <v>0</v>
      </c>
      <c r="Z1986" s="301">
        <v>0</v>
      </c>
      <c r="AA1986" s="301">
        <v>0</v>
      </c>
      <c r="AB1986" s="303" t="s">
        <v>3313</v>
      </c>
    </row>
    <row r="1987" spans="1:28" ht="35.25" customHeight="1" x14ac:dyDescent="0.5">
      <c r="A1987">
        <v>1</v>
      </c>
      <c r="B1987" s="80">
        <f>SUBTOTAL(103,$A$1697:A1987)</f>
        <v>290</v>
      </c>
      <c r="C1987" s="306" t="s">
        <v>2053</v>
      </c>
      <c r="D1987" s="296">
        <f t="shared" si="98"/>
        <v>358404.13</v>
      </c>
      <c r="E1987" s="301">
        <v>0</v>
      </c>
      <c r="F1987" s="301">
        <v>0</v>
      </c>
      <c r="G1987" s="301">
        <v>0</v>
      </c>
      <c r="H1987" s="301">
        <v>0</v>
      </c>
      <c r="I1987" s="301">
        <v>0</v>
      </c>
      <c r="J1987" s="301">
        <v>32953.129999999997</v>
      </c>
      <c r="K1987" s="302">
        <v>0</v>
      </c>
      <c r="L1987" s="301">
        <v>0</v>
      </c>
      <c r="M1987" s="301">
        <v>0</v>
      </c>
      <c r="N1987" s="301">
        <v>0</v>
      </c>
      <c r="O1987" s="301">
        <v>0</v>
      </c>
      <c r="P1987" s="301">
        <v>325451</v>
      </c>
      <c r="Q1987" s="301">
        <v>0</v>
      </c>
      <c r="R1987" s="301">
        <v>0</v>
      </c>
      <c r="S1987" s="301">
        <v>0</v>
      </c>
      <c r="T1987" s="301">
        <v>0</v>
      </c>
      <c r="U1987" s="301">
        <v>0</v>
      </c>
      <c r="V1987" s="301">
        <v>0</v>
      </c>
      <c r="W1987" s="301">
        <v>0</v>
      </c>
      <c r="X1987" s="301">
        <v>0</v>
      </c>
      <c r="Y1987" s="301">
        <v>0</v>
      </c>
      <c r="Z1987" s="301">
        <v>0</v>
      </c>
      <c r="AA1987" s="301">
        <v>0</v>
      </c>
      <c r="AB1987" s="303" t="s">
        <v>3313</v>
      </c>
    </row>
    <row r="1988" spans="1:28" ht="35.25" customHeight="1" x14ac:dyDescent="0.5">
      <c r="A1988">
        <v>1</v>
      </c>
      <c r="B1988" s="80">
        <f>SUBTOTAL(103,$A$1697:A1988)</f>
        <v>291</v>
      </c>
      <c r="C1988" s="306" t="s">
        <v>2058</v>
      </c>
      <c r="D1988" s="296">
        <f t="shared" si="98"/>
        <v>1899000</v>
      </c>
      <c r="E1988" s="301">
        <v>0</v>
      </c>
      <c r="F1988" s="301">
        <v>0</v>
      </c>
      <c r="G1988" s="301">
        <v>0</v>
      </c>
      <c r="H1988" s="301">
        <v>0</v>
      </c>
      <c r="I1988" s="301">
        <v>0</v>
      </c>
      <c r="J1988" s="301">
        <v>0</v>
      </c>
      <c r="K1988" s="302">
        <v>1</v>
      </c>
      <c r="L1988" s="301">
        <f>671106+1227894</f>
        <v>1899000</v>
      </c>
      <c r="M1988" s="301">
        <v>0</v>
      </c>
      <c r="N1988" s="301">
        <v>0</v>
      </c>
      <c r="O1988" s="301">
        <v>0</v>
      </c>
      <c r="P1988" s="301">
        <v>0</v>
      </c>
      <c r="Q1988" s="301">
        <v>0</v>
      </c>
      <c r="R1988" s="301">
        <v>0</v>
      </c>
      <c r="S1988" s="301">
        <v>0</v>
      </c>
      <c r="T1988" s="301">
        <v>0</v>
      </c>
      <c r="U1988" s="301">
        <v>0</v>
      </c>
      <c r="V1988" s="301">
        <v>0</v>
      </c>
      <c r="W1988" s="301">
        <v>0</v>
      </c>
      <c r="X1988" s="301">
        <v>0</v>
      </c>
      <c r="Y1988" s="301">
        <v>0</v>
      </c>
      <c r="Z1988" s="301">
        <v>0</v>
      </c>
      <c r="AA1988" s="301">
        <v>0</v>
      </c>
      <c r="AB1988" s="303" t="s">
        <v>3313</v>
      </c>
    </row>
    <row r="1989" spans="1:28" ht="35.25" customHeight="1" x14ac:dyDescent="0.5">
      <c r="A1989">
        <v>1</v>
      </c>
      <c r="B1989" s="80">
        <f>SUBTOTAL(103,$A$1697:A1989)</f>
        <v>292</v>
      </c>
      <c r="C1989" s="306" t="s">
        <v>2428</v>
      </c>
      <c r="D1989" s="296">
        <f t="shared" si="98"/>
        <v>16694.39</v>
      </c>
      <c r="E1989" s="301">
        <v>0</v>
      </c>
      <c r="F1989" s="301">
        <v>0</v>
      </c>
      <c r="G1989" s="301">
        <v>0</v>
      </c>
      <c r="H1989" s="301">
        <v>0</v>
      </c>
      <c r="I1989" s="301">
        <v>16694.39</v>
      </c>
      <c r="J1989" s="301">
        <v>0</v>
      </c>
      <c r="K1989" s="302">
        <v>0</v>
      </c>
      <c r="L1989" s="301">
        <v>0</v>
      </c>
      <c r="M1989" s="301">
        <v>0</v>
      </c>
      <c r="N1989" s="301">
        <v>0</v>
      </c>
      <c r="O1989" s="301">
        <v>0</v>
      </c>
      <c r="P1989" s="301">
        <v>0</v>
      </c>
      <c r="Q1989" s="301">
        <v>0</v>
      </c>
      <c r="R1989" s="301">
        <v>0</v>
      </c>
      <c r="S1989" s="301">
        <v>0</v>
      </c>
      <c r="T1989" s="301">
        <v>0</v>
      </c>
      <c r="U1989" s="301">
        <v>0</v>
      </c>
      <c r="V1989" s="301">
        <v>0</v>
      </c>
      <c r="W1989" s="301">
        <v>0</v>
      </c>
      <c r="X1989" s="301">
        <v>0</v>
      </c>
      <c r="Y1989" s="301">
        <v>0</v>
      </c>
      <c r="Z1989" s="301">
        <v>0</v>
      </c>
      <c r="AA1989" s="301">
        <v>0</v>
      </c>
      <c r="AB1989" s="303" t="s">
        <v>3313</v>
      </c>
    </row>
    <row r="1990" spans="1:28" ht="35.25" customHeight="1" x14ac:dyDescent="0.5">
      <c r="A1990">
        <v>1</v>
      </c>
      <c r="B1990" s="80">
        <f>SUBTOTAL(103,$A$1697:A1990)</f>
        <v>293</v>
      </c>
      <c r="C1990" s="306" t="s">
        <v>3055</v>
      </c>
      <c r="D1990" s="296">
        <f t="shared" si="98"/>
        <v>1100000</v>
      </c>
      <c r="E1990" s="301">
        <v>0</v>
      </c>
      <c r="F1990" s="301">
        <v>0</v>
      </c>
      <c r="G1990" s="301">
        <v>0</v>
      </c>
      <c r="H1990" s="301">
        <v>0</v>
      </c>
      <c r="I1990" s="301">
        <v>0</v>
      </c>
      <c r="J1990" s="301">
        <v>0</v>
      </c>
      <c r="K1990" s="302">
        <v>0</v>
      </c>
      <c r="L1990" s="301">
        <v>0</v>
      </c>
      <c r="M1990" s="301">
        <v>1100000</v>
      </c>
      <c r="N1990" s="301">
        <v>0</v>
      </c>
      <c r="O1990" s="301">
        <v>0</v>
      </c>
      <c r="P1990" s="301">
        <v>0</v>
      </c>
      <c r="Q1990" s="301">
        <v>0</v>
      </c>
      <c r="R1990" s="301">
        <v>0</v>
      </c>
      <c r="S1990" s="301">
        <v>0</v>
      </c>
      <c r="T1990" s="301">
        <v>0</v>
      </c>
      <c r="U1990" s="301">
        <v>0</v>
      </c>
      <c r="V1990" s="301">
        <v>0</v>
      </c>
      <c r="W1990" s="301">
        <v>0</v>
      </c>
      <c r="X1990" s="301">
        <v>0</v>
      </c>
      <c r="Y1990" s="301">
        <v>0</v>
      </c>
      <c r="Z1990" s="301">
        <v>0</v>
      </c>
      <c r="AA1990" s="301">
        <v>0</v>
      </c>
      <c r="AB1990" s="303" t="s">
        <v>3313</v>
      </c>
    </row>
    <row r="1991" spans="1:28" ht="35.25" customHeight="1" x14ac:dyDescent="0.5">
      <c r="A1991">
        <v>1</v>
      </c>
      <c r="B1991" s="80">
        <f>SUBTOTAL(103,$A$1697:A1991)</f>
        <v>294</v>
      </c>
      <c r="C1991" s="306" t="s">
        <v>3056</v>
      </c>
      <c r="D1991" s="296">
        <f t="shared" si="98"/>
        <v>220546</v>
      </c>
      <c r="E1991" s="301">
        <v>0</v>
      </c>
      <c r="F1991" s="301">
        <v>0</v>
      </c>
      <c r="G1991" s="301">
        <v>81905</v>
      </c>
      <c r="H1991" s="301">
        <v>62500</v>
      </c>
      <c r="I1991" s="301">
        <v>0</v>
      </c>
      <c r="J1991" s="301">
        <v>0</v>
      </c>
      <c r="K1991" s="302">
        <v>0</v>
      </c>
      <c r="L1991" s="301">
        <v>0</v>
      </c>
      <c r="M1991" s="301">
        <v>76141</v>
      </c>
      <c r="N1991" s="301">
        <v>0</v>
      </c>
      <c r="O1991" s="301">
        <v>0</v>
      </c>
      <c r="P1991" s="301">
        <v>0</v>
      </c>
      <c r="Q1991" s="301">
        <v>0</v>
      </c>
      <c r="R1991" s="301">
        <v>0</v>
      </c>
      <c r="S1991" s="301">
        <v>0</v>
      </c>
      <c r="T1991" s="301">
        <v>0</v>
      </c>
      <c r="U1991" s="301">
        <v>0</v>
      </c>
      <c r="V1991" s="301">
        <v>0</v>
      </c>
      <c r="W1991" s="301">
        <v>0</v>
      </c>
      <c r="X1991" s="301">
        <v>0</v>
      </c>
      <c r="Y1991" s="301">
        <v>0</v>
      </c>
      <c r="Z1991" s="301">
        <v>0</v>
      </c>
      <c r="AA1991" s="301">
        <v>0</v>
      </c>
      <c r="AB1991" s="303" t="s">
        <v>3313</v>
      </c>
    </row>
    <row r="1992" spans="1:28" ht="35.25" customHeight="1" x14ac:dyDescent="0.5">
      <c r="A1992">
        <v>1</v>
      </c>
      <c r="B1992" s="80">
        <f>SUBTOTAL(103,$A$1697:A1992)</f>
        <v>295</v>
      </c>
      <c r="C1992" s="306" t="s">
        <v>2062</v>
      </c>
      <c r="D1992" s="296">
        <f t="shared" si="98"/>
        <v>166524</v>
      </c>
      <c r="E1992" s="301">
        <v>0</v>
      </c>
      <c r="F1992" s="301">
        <v>0</v>
      </c>
      <c r="G1992" s="301">
        <v>0</v>
      </c>
      <c r="H1992" s="301">
        <v>0</v>
      </c>
      <c r="I1992" s="301">
        <v>0</v>
      </c>
      <c r="J1992" s="301">
        <v>0</v>
      </c>
      <c r="K1992" s="302">
        <v>0</v>
      </c>
      <c r="L1992" s="301">
        <v>0</v>
      </c>
      <c r="M1992" s="301">
        <f>78266.28+88257.72</f>
        <v>166524</v>
      </c>
      <c r="N1992" s="301">
        <v>0</v>
      </c>
      <c r="O1992" s="301">
        <v>0</v>
      </c>
      <c r="P1992" s="301">
        <v>0</v>
      </c>
      <c r="Q1992" s="301">
        <v>0</v>
      </c>
      <c r="R1992" s="301">
        <v>0</v>
      </c>
      <c r="S1992" s="301">
        <v>0</v>
      </c>
      <c r="T1992" s="301">
        <v>0</v>
      </c>
      <c r="U1992" s="301">
        <v>0</v>
      </c>
      <c r="V1992" s="301">
        <v>0</v>
      </c>
      <c r="W1992" s="301">
        <v>0</v>
      </c>
      <c r="X1992" s="301">
        <v>0</v>
      </c>
      <c r="Y1992" s="301">
        <v>0</v>
      </c>
      <c r="Z1992" s="301">
        <v>0</v>
      </c>
      <c r="AA1992" s="301">
        <v>0</v>
      </c>
      <c r="AB1992" s="303" t="s">
        <v>3313</v>
      </c>
    </row>
    <row r="1993" spans="1:28" ht="35.25" customHeight="1" x14ac:dyDescent="0.5">
      <c r="A1993">
        <v>1</v>
      </c>
      <c r="B1993" s="80">
        <f>SUBTOTAL(103,$A$1697:A1993)</f>
        <v>296</v>
      </c>
      <c r="C1993" s="306" t="s">
        <v>3047</v>
      </c>
      <c r="D1993" s="296">
        <f t="shared" ref="D1993:D2056" si="100">E1993+F1993+G1993+H1993+I1993+J1993+L1993+M1993+N1993+O1993+P1993+Q1993+R1993+S1993+T1993+U1993+V1993+W1993+X1993+Y1993+Z1993+AA1993</f>
        <v>360199.3</v>
      </c>
      <c r="E1993" s="301">
        <v>0</v>
      </c>
      <c r="F1993" s="301">
        <v>0</v>
      </c>
      <c r="G1993" s="301">
        <v>276752</v>
      </c>
      <c r="H1993" s="301">
        <v>0</v>
      </c>
      <c r="I1993" s="301">
        <v>0</v>
      </c>
      <c r="J1993" s="301">
        <v>0</v>
      </c>
      <c r="K1993" s="302">
        <v>0</v>
      </c>
      <c r="L1993" s="301">
        <v>0</v>
      </c>
      <c r="M1993" s="301">
        <v>83447.3</v>
      </c>
      <c r="N1993" s="301">
        <v>0</v>
      </c>
      <c r="O1993" s="301">
        <v>0</v>
      </c>
      <c r="P1993" s="301">
        <v>0</v>
      </c>
      <c r="Q1993" s="301">
        <v>0</v>
      </c>
      <c r="R1993" s="301">
        <v>0</v>
      </c>
      <c r="S1993" s="301">
        <v>0</v>
      </c>
      <c r="T1993" s="301">
        <v>0</v>
      </c>
      <c r="U1993" s="301">
        <v>0</v>
      </c>
      <c r="V1993" s="301">
        <v>0</v>
      </c>
      <c r="W1993" s="301">
        <v>0</v>
      </c>
      <c r="X1993" s="301">
        <v>0</v>
      </c>
      <c r="Y1993" s="301">
        <v>0</v>
      </c>
      <c r="Z1993" s="301">
        <v>0</v>
      </c>
      <c r="AA1993" s="301">
        <v>0</v>
      </c>
      <c r="AB1993" s="303" t="s">
        <v>3313</v>
      </c>
    </row>
    <row r="1994" spans="1:28" ht="35.25" customHeight="1" x14ac:dyDescent="0.5">
      <c r="A1994">
        <v>1</v>
      </c>
      <c r="B1994" s="80">
        <f>SUBTOTAL(103,$A$1697:A1994)</f>
        <v>297</v>
      </c>
      <c r="C1994" s="306" t="s">
        <v>2423</v>
      </c>
      <c r="D1994" s="296">
        <f t="shared" si="100"/>
        <v>669640</v>
      </c>
      <c r="E1994" s="301">
        <v>169840</v>
      </c>
      <c r="F1994" s="301">
        <v>0</v>
      </c>
      <c r="G1994" s="301">
        <v>0</v>
      </c>
      <c r="H1994" s="301">
        <v>0</v>
      </c>
      <c r="I1994" s="301">
        <v>0</v>
      </c>
      <c r="J1994" s="301">
        <v>0</v>
      </c>
      <c r="K1994" s="302">
        <v>0</v>
      </c>
      <c r="L1994" s="301">
        <v>0</v>
      </c>
      <c r="M1994" s="301">
        <v>0</v>
      </c>
      <c r="N1994" s="301">
        <v>0</v>
      </c>
      <c r="O1994" s="301">
        <f>149940+349860</f>
        <v>499800</v>
      </c>
      <c r="P1994" s="301">
        <v>0</v>
      </c>
      <c r="Q1994" s="301">
        <v>0</v>
      </c>
      <c r="R1994" s="301">
        <v>0</v>
      </c>
      <c r="S1994" s="301">
        <v>0</v>
      </c>
      <c r="T1994" s="301">
        <v>0</v>
      </c>
      <c r="U1994" s="301">
        <v>0</v>
      </c>
      <c r="V1994" s="301">
        <v>0</v>
      </c>
      <c r="W1994" s="301">
        <v>0</v>
      </c>
      <c r="X1994" s="301">
        <v>0</v>
      </c>
      <c r="Y1994" s="301">
        <v>0</v>
      </c>
      <c r="Z1994" s="301">
        <v>0</v>
      </c>
      <c r="AA1994" s="301">
        <v>0</v>
      </c>
      <c r="AB1994" s="303" t="s">
        <v>3313</v>
      </c>
    </row>
    <row r="1995" spans="1:28" ht="35.25" customHeight="1" x14ac:dyDescent="0.5">
      <c r="A1995">
        <v>1</v>
      </c>
      <c r="B1995" s="80">
        <f>SUBTOTAL(103,$A$1697:A1995)</f>
        <v>298</v>
      </c>
      <c r="C1995" s="306" t="s">
        <v>2422</v>
      </c>
      <c r="D1995" s="296">
        <f t="shared" si="100"/>
        <v>2637000</v>
      </c>
      <c r="E1995" s="301">
        <v>0</v>
      </c>
      <c r="F1995" s="301">
        <v>0</v>
      </c>
      <c r="G1995" s="301">
        <v>0</v>
      </c>
      <c r="H1995" s="301">
        <v>0</v>
      </c>
      <c r="I1995" s="301">
        <v>0</v>
      </c>
      <c r="J1995" s="301">
        <v>0</v>
      </c>
      <c r="K1995" s="302">
        <v>1</v>
      </c>
      <c r="L1995" s="301">
        <v>2637000</v>
      </c>
      <c r="M1995" s="301">
        <v>0</v>
      </c>
      <c r="N1995" s="301">
        <v>0</v>
      </c>
      <c r="O1995" s="301">
        <v>0</v>
      </c>
      <c r="P1995" s="301">
        <v>0</v>
      </c>
      <c r="Q1995" s="301">
        <v>0</v>
      </c>
      <c r="R1995" s="301">
        <v>0</v>
      </c>
      <c r="S1995" s="301">
        <v>0</v>
      </c>
      <c r="T1995" s="301">
        <v>0</v>
      </c>
      <c r="U1995" s="301">
        <v>0</v>
      </c>
      <c r="V1995" s="301">
        <v>0</v>
      </c>
      <c r="W1995" s="301">
        <v>0</v>
      </c>
      <c r="X1995" s="301">
        <v>0</v>
      </c>
      <c r="Y1995" s="301">
        <v>0</v>
      </c>
      <c r="Z1995" s="301">
        <v>0</v>
      </c>
      <c r="AA1995" s="301">
        <v>0</v>
      </c>
      <c r="AB1995" s="303" t="s">
        <v>3313</v>
      </c>
    </row>
    <row r="1996" spans="1:28" ht="35.25" customHeight="1" x14ac:dyDescent="0.5">
      <c r="A1996">
        <v>1</v>
      </c>
      <c r="B1996" s="80">
        <f>SUBTOTAL(103,$A$1697:A1996)</f>
        <v>299</v>
      </c>
      <c r="C1996" s="306" t="s">
        <v>3329</v>
      </c>
      <c r="D1996" s="296">
        <f t="shared" si="100"/>
        <v>939941</v>
      </c>
      <c r="E1996" s="301">
        <v>0</v>
      </c>
      <c r="F1996" s="301">
        <v>0</v>
      </c>
      <c r="G1996" s="301">
        <v>0</v>
      </c>
      <c r="H1996" s="301">
        <v>0</v>
      </c>
      <c r="I1996" s="301">
        <f>584000+355941</f>
        <v>939941</v>
      </c>
      <c r="J1996" s="301">
        <v>0</v>
      </c>
      <c r="K1996" s="302">
        <v>0</v>
      </c>
      <c r="L1996" s="301">
        <v>0</v>
      </c>
      <c r="M1996" s="301">
        <v>0</v>
      </c>
      <c r="N1996" s="301">
        <v>0</v>
      </c>
      <c r="O1996" s="301">
        <v>0</v>
      </c>
      <c r="P1996" s="301">
        <v>0</v>
      </c>
      <c r="Q1996" s="301">
        <v>0</v>
      </c>
      <c r="R1996" s="301">
        <v>0</v>
      </c>
      <c r="S1996" s="301">
        <v>0</v>
      </c>
      <c r="T1996" s="301">
        <v>0</v>
      </c>
      <c r="U1996" s="301">
        <v>0</v>
      </c>
      <c r="V1996" s="301">
        <v>0</v>
      </c>
      <c r="W1996" s="301">
        <v>0</v>
      </c>
      <c r="X1996" s="301">
        <v>0</v>
      </c>
      <c r="Y1996" s="301">
        <v>0</v>
      </c>
      <c r="Z1996" s="301">
        <v>0</v>
      </c>
      <c r="AA1996" s="301">
        <v>0</v>
      </c>
      <c r="AB1996" s="303" t="s">
        <v>3313</v>
      </c>
    </row>
    <row r="1997" spans="1:28" ht="35.25" customHeight="1" x14ac:dyDescent="0.5">
      <c r="A1997">
        <v>1</v>
      </c>
      <c r="B1997" s="80">
        <f>SUBTOTAL(103,$A$1697:A1997)</f>
        <v>300</v>
      </c>
      <c r="C1997" s="306" t="s">
        <v>3330</v>
      </c>
      <c r="D1997" s="296">
        <f t="shared" si="100"/>
        <v>1335459</v>
      </c>
      <c r="E1997" s="301">
        <v>0</v>
      </c>
      <c r="F1997" s="301">
        <v>0</v>
      </c>
      <c r="G1997" s="301">
        <v>0</v>
      </c>
      <c r="H1997" s="301">
        <v>0</v>
      </c>
      <c r="I1997" s="301">
        <v>0</v>
      </c>
      <c r="J1997" s="301">
        <v>0</v>
      </c>
      <c r="K1997" s="302">
        <v>0</v>
      </c>
      <c r="L1997" s="301">
        <v>0</v>
      </c>
      <c r="M1997" s="301">
        <v>0</v>
      </c>
      <c r="N1997" s="301">
        <v>0</v>
      </c>
      <c r="O1997" s="301">
        <v>1335459</v>
      </c>
      <c r="P1997" s="301">
        <v>0</v>
      </c>
      <c r="Q1997" s="301">
        <v>0</v>
      </c>
      <c r="R1997" s="301">
        <v>0</v>
      </c>
      <c r="S1997" s="301">
        <v>0</v>
      </c>
      <c r="T1997" s="301">
        <v>0</v>
      </c>
      <c r="U1997" s="301">
        <v>0</v>
      </c>
      <c r="V1997" s="301">
        <v>0</v>
      </c>
      <c r="W1997" s="301">
        <v>0</v>
      </c>
      <c r="X1997" s="301">
        <v>0</v>
      </c>
      <c r="Y1997" s="301">
        <v>0</v>
      </c>
      <c r="Z1997" s="301">
        <v>0</v>
      </c>
      <c r="AA1997" s="301">
        <v>0</v>
      </c>
      <c r="AB1997" s="303" t="s">
        <v>3313</v>
      </c>
    </row>
    <row r="1998" spans="1:28" ht="35.25" customHeight="1" x14ac:dyDescent="0.5">
      <c r="A1998">
        <v>1</v>
      </c>
      <c r="B1998" s="80">
        <f>SUBTOTAL(103,$A$1697:A1998)</f>
        <v>301</v>
      </c>
      <c r="C1998" s="306" t="s">
        <v>3331</v>
      </c>
      <c r="D1998" s="296">
        <f t="shared" si="100"/>
        <v>1168579</v>
      </c>
      <c r="E1998" s="301">
        <v>0</v>
      </c>
      <c r="F1998" s="301">
        <v>0</v>
      </c>
      <c r="G1998" s="301">
        <v>0</v>
      </c>
      <c r="H1998" s="301">
        <v>0</v>
      </c>
      <c r="I1998" s="301">
        <v>1168579</v>
      </c>
      <c r="J1998" s="301">
        <v>0</v>
      </c>
      <c r="K1998" s="302">
        <v>0</v>
      </c>
      <c r="L1998" s="301">
        <v>0</v>
      </c>
      <c r="M1998" s="301">
        <v>0</v>
      </c>
      <c r="N1998" s="301">
        <v>0</v>
      </c>
      <c r="O1998" s="301">
        <v>0</v>
      </c>
      <c r="P1998" s="301">
        <v>0</v>
      </c>
      <c r="Q1998" s="301">
        <v>0</v>
      </c>
      <c r="R1998" s="301">
        <v>0</v>
      </c>
      <c r="S1998" s="301">
        <v>0</v>
      </c>
      <c r="T1998" s="301">
        <v>0</v>
      </c>
      <c r="U1998" s="301">
        <v>0</v>
      </c>
      <c r="V1998" s="301">
        <v>0</v>
      </c>
      <c r="W1998" s="301">
        <v>0</v>
      </c>
      <c r="X1998" s="301">
        <v>0</v>
      </c>
      <c r="Y1998" s="301">
        <v>0</v>
      </c>
      <c r="Z1998" s="301">
        <v>0</v>
      </c>
      <c r="AA1998" s="301">
        <v>0</v>
      </c>
      <c r="AB1998" s="303" t="s">
        <v>3313</v>
      </c>
    </row>
    <row r="1999" spans="1:28" ht="35.25" customHeight="1" x14ac:dyDescent="0.5">
      <c r="A1999">
        <v>1</v>
      </c>
      <c r="B1999" s="80">
        <f>SUBTOTAL(103,$A$1697:A1999)</f>
        <v>302</v>
      </c>
      <c r="C1999" s="306" t="s">
        <v>3436</v>
      </c>
      <c r="D1999" s="296">
        <f t="shared" si="100"/>
        <v>1045460.2</v>
      </c>
      <c r="E1999" s="301">
        <v>0</v>
      </c>
      <c r="F1999" s="301">
        <v>382177.4</v>
      </c>
      <c r="G1999" s="301">
        <v>0</v>
      </c>
      <c r="H1999" s="301">
        <v>204998.8</v>
      </c>
      <c r="I1999" s="301">
        <v>0</v>
      </c>
      <c r="J1999" s="301">
        <v>0</v>
      </c>
      <c r="K1999" s="302">
        <v>0</v>
      </c>
      <c r="L1999" s="301">
        <v>0</v>
      </c>
      <c r="M1999" s="301">
        <v>0</v>
      </c>
      <c r="N1999" s="301">
        <v>0</v>
      </c>
      <c r="O1999" s="301">
        <v>458284</v>
      </c>
      <c r="P1999" s="301">
        <v>0</v>
      </c>
      <c r="Q1999" s="301">
        <v>0</v>
      </c>
      <c r="R1999" s="301">
        <v>0</v>
      </c>
      <c r="S1999" s="301">
        <v>0</v>
      </c>
      <c r="T1999" s="301">
        <v>0</v>
      </c>
      <c r="U1999" s="301">
        <v>0</v>
      </c>
      <c r="V1999" s="301">
        <v>0</v>
      </c>
      <c r="W1999" s="301">
        <v>0</v>
      </c>
      <c r="X1999" s="301">
        <v>0</v>
      </c>
      <c r="Y1999" s="301">
        <v>0</v>
      </c>
      <c r="Z1999" s="301">
        <v>0</v>
      </c>
      <c r="AA1999" s="301">
        <v>0</v>
      </c>
      <c r="AB1999" s="303">
        <v>2022</v>
      </c>
    </row>
    <row r="2000" spans="1:28" ht="35.25" customHeight="1" x14ac:dyDescent="0.5">
      <c r="A2000">
        <v>1</v>
      </c>
      <c r="B2000" s="80">
        <f>SUBTOTAL(103,$A$1697:A2000)</f>
        <v>303</v>
      </c>
      <c r="C2000" s="306" t="s">
        <v>3437</v>
      </c>
      <c r="D2000" s="296">
        <f t="shared" si="100"/>
        <v>578961</v>
      </c>
      <c r="E2000" s="301">
        <v>0</v>
      </c>
      <c r="F2000" s="301">
        <v>0</v>
      </c>
      <c r="G2000" s="301">
        <v>0</v>
      </c>
      <c r="H2000" s="301">
        <v>578961</v>
      </c>
      <c r="I2000" s="301">
        <v>0</v>
      </c>
      <c r="J2000" s="301">
        <v>0</v>
      </c>
      <c r="K2000" s="302">
        <v>0</v>
      </c>
      <c r="L2000" s="301">
        <v>0</v>
      </c>
      <c r="M2000" s="301">
        <v>0</v>
      </c>
      <c r="N2000" s="301">
        <v>0</v>
      </c>
      <c r="O2000" s="301">
        <v>0</v>
      </c>
      <c r="P2000" s="301">
        <v>0</v>
      </c>
      <c r="Q2000" s="301">
        <v>0</v>
      </c>
      <c r="R2000" s="301">
        <v>0</v>
      </c>
      <c r="S2000" s="301">
        <v>0</v>
      </c>
      <c r="T2000" s="301">
        <v>0</v>
      </c>
      <c r="U2000" s="301">
        <v>0</v>
      </c>
      <c r="V2000" s="301">
        <v>0</v>
      </c>
      <c r="W2000" s="301">
        <v>0</v>
      </c>
      <c r="X2000" s="301">
        <v>0</v>
      </c>
      <c r="Y2000" s="301">
        <v>0</v>
      </c>
      <c r="Z2000" s="301">
        <v>0</v>
      </c>
      <c r="AA2000" s="301">
        <v>0</v>
      </c>
      <c r="AB2000" s="303">
        <v>2022</v>
      </c>
    </row>
    <row r="2001" spans="1:28" ht="35.25" customHeight="1" x14ac:dyDescent="0.5">
      <c r="A2001">
        <v>1</v>
      </c>
      <c r="B2001" s="80">
        <f>SUBTOTAL(103,$A$1697:A2001)</f>
        <v>304</v>
      </c>
      <c r="C2001" s="306" t="s">
        <v>3438</v>
      </c>
      <c r="D2001" s="296">
        <f t="shared" si="100"/>
        <v>686590.4</v>
      </c>
      <c r="E2001" s="301">
        <v>0</v>
      </c>
      <c r="F2001" s="301">
        <v>410224.2</v>
      </c>
      <c r="G2001" s="301">
        <v>0</v>
      </c>
      <c r="H2001" s="301">
        <v>276366.2</v>
      </c>
      <c r="I2001" s="301">
        <v>0</v>
      </c>
      <c r="J2001" s="301">
        <v>0</v>
      </c>
      <c r="K2001" s="302">
        <v>0</v>
      </c>
      <c r="L2001" s="301">
        <v>0</v>
      </c>
      <c r="M2001" s="301">
        <v>0</v>
      </c>
      <c r="N2001" s="301">
        <v>0</v>
      </c>
      <c r="O2001" s="301">
        <v>0</v>
      </c>
      <c r="P2001" s="301">
        <v>0</v>
      </c>
      <c r="Q2001" s="301">
        <v>0</v>
      </c>
      <c r="R2001" s="301">
        <v>0</v>
      </c>
      <c r="S2001" s="301">
        <v>0</v>
      </c>
      <c r="T2001" s="301">
        <v>0</v>
      </c>
      <c r="U2001" s="301">
        <v>0</v>
      </c>
      <c r="V2001" s="301">
        <v>0</v>
      </c>
      <c r="W2001" s="301">
        <v>0</v>
      </c>
      <c r="X2001" s="301">
        <v>0</v>
      </c>
      <c r="Y2001" s="301">
        <v>0</v>
      </c>
      <c r="Z2001" s="301">
        <v>0</v>
      </c>
      <c r="AA2001" s="301">
        <v>0</v>
      </c>
      <c r="AB2001" s="303">
        <v>2022</v>
      </c>
    </row>
    <row r="2002" spans="1:28" ht="35.25" customHeight="1" x14ac:dyDescent="0.5">
      <c r="A2002">
        <v>1</v>
      </c>
      <c r="B2002" s="80">
        <f>SUBTOTAL(103,$A$1697:A2002)</f>
        <v>305</v>
      </c>
      <c r="C2002" s="306" t="s">
        <v>3439</v>
      </c>
      <c r="D2002" s="296">
        <f t="shared" si="100"/>
        <v>593148.75</v>
      </c>
      <c r="E2002" s="301">
        <v>0</v>
      </c>
      <c r="F2002" s="301">
        <v>0</v>
      </c>
      <c r="G2002" s="301">
        <v>0</v>
      </c>
      <c r="H2002" s="301">
        <v>0</v>
      </c>
      <c r="I2002" s="301">
        <v>0</v>
      </c>
      <c r="J2002" s="301">
        <v>0</v>
      </c>
      <c r="K2002" s="302">
        <v>0</v>
      </c>
      <c r="L2002" s="301">
        <v>0</v>
      </c>
      <c r="M2002" s="301">
        <v>0</v>
      </c>
      <c r="N2002" s="301">
        <v>0</v>
      </c>
      <c r="O2002" s="301">
        <v>593148.75</v>
      </c>
      <c r="P2002" s="301">
        <v>0</v>
      </c>
      <c r="Q2002" s="301">
        <v>0</v>
      </c>
      <c r="R2002" s="301">
        <v>0</v>
      </c>
      <c r="S2002" s="301">
        <v>0</v>
      </c>
      <c r="T2002" s="301">
        <v>0</v>
      </c>
      <c r="U2002" s="301">
        <v>0</v>
      </c>
      <c r="V2002" s="301">
        <v>0</v>
      </c>
      <c r="W2002" s="301">
        <v>0</v>
      </c>
      <c r="X2002" s="301">
        <v>0</v>
      </c>
      <c r="Y2002" s="301">
        <v>0</v>
      </c>
      <c r="Z2002" s="301">
        <v>0</v>
      </c>
      <c r="AA2002" s="301">
        <v>0</v>
      </c>
      <c r="AB2002" s="303">
        <v>2022</v>
      </c>
    </row>
    <row r="2003" spans="1:28" ht="35.25" customHeight="1" x14ac:dyDescent="0.5">
      <c r="A2003">
        <v>1</v>
      </c>
      <c r="B2003" s="80">
        <f>SUBTOTAL(103,$A$1697:A2003)</f>
        <v>306</v>
      </c>
      <c r="C2003" s="306" t="s">
        <v>3440</v>
      </c>
      <c r="D2003" s="296">
        <f t="shared" si="100"/>
        <v>1314297</v>
      </c>
      <c r="E2003" s="301">
        <v>0</v>
      </c>
      <c r="F2003" s="301">
        <v>0</v>
      </c>
      <c r="G2003" s="301">
        <v>0</v>
      </c>
      <c r="H2003" s="301">
        <v>0</v>
      </c>
      <c r="I2003" s="301">
        <v>824952</v>
      </c>
      <c r="J2003" s="301">
        <v>0</v>
      </c>
      <c r="K2003" s="302">
        <v>0</v>
      </c>
      <c r="L2003" s="301">
        <v>0</v>
      </c>
      <c r="M2003" s="301">
        <v>0</v>
      </c>
      <c r="N2003" s="301">
        <v>0</v>
      </c>
      <c r="O2003" s="301">
        <v>489345</v>
      </c>
      <c r="P2003" s="301">
        <v>0</v>
      </c>
      <c r="Q2003" s="301">
        <v>0</v>
      </c>
      <c r="R2003" s="301">
        <v>0</v>
      </c>
      <c r="S2003" s="301">
        <v>0</v>
      </c>
      <c r="T2003" s="301">
        <v>0</v>
      </c>
      <c r="U2003" s="301">
        <v>0</v>
      </c>
      <c r="V2003" s="301">
        <v>0</v>
      </c>
      <c r="W2003" s="301">
        <v>0</v>
      </c>
      <c r="X2003" s="301">
        <v>0</v>
      </c>
      <c r="Y2003" s="301">
        <v>0</v>
      </c>
      <c r="Z2003" s="301">
        <v>0</v>
      </c>
      <c r="AA2003" s="301">
        <v>0</v>
      </c>
      <c r="AB2003" s="303">
        <v>2022</v>
      </c>
    </row>
    <row r="2004" spans="1:28" ht="35.25" customHeight="1" x14ac:dyDescent="0.5">
      <c r="A2004">
        <v>1</v>
      </c>
      <c r="B2004" s="80">
        <f>SUBTOTAL(103,$A$1697:A2004)</f>
        <v>307</v>
      </c>
      <c r="C2004" s="306" t="s">
        <v>3441</v>
      </c>
      <c r="D2004" s="296">
        <f t="shared" si="100"/>
        <v>1492259</v>
      </c>
      <c r="E2004" s="301">
        <v>0</v>
      </c>
      <c r="F2004" s="301">
        <v>0</v>
      </c>
      <c r="G2004" s="301">
        <v>0</v>
      </c>
      <c r="H2004" s="301">
        <v>0</v>
      </c>
      <c r="I2004" s="301">
        <v>0</v>
      </c>
      <c r="J2004" s="301">
        <v>0</v>
      </c>
      <c r="K2004" s="302">
        <v>0</v>
      </c>
      <c r="L2004" s="301">
        <v>0</v>
      </c>
      <c r="M2004" s="301">
        <v>0</v>
      </c>
      <c r="N2004" s="301">
        <v>0</v>
      </c>
      <c r="O2004" s="301">
        <v>1492259</v>
      </c>
      <c r="P2004" s="301">
        <v>0</v>
      </c>
      <c r="Q2004" s="301">
        <v>0</v>
      </c>
      <c r="R2004" s="301">
        <v>0</v>
      </c>
      <c r="S2004" s="301">
        <v>0</v>
      </c>
      <c r="T2004" s="301">
        <v>0</v>
      </c>
      <c r="U2004" s="301">
        <v>0</v>
      </c>
      <c r="V2004" s="301">
        <v>0</v>
      </c>
      <c r="W2004" s="301">
        <v>0</v>
      </c>
      <c r="X2004" s="301">
        <v>0</v>
      </c>
      <c r="Y2004" s="301">
        <v>0</v>
      </c>
      <c r="Z2004" s="301">
        <v>0</v>
      </c>
      <c r="AA2004" s="301">
        <v>0</v>
      </c>
      <c r="AB2004" s="303">
        <v>2022</v>
      </c>
    </row>
    <row r="2005" spans="1:28" ht="35.25" customHeight="1" x14ac:dyDescent="0.5">
      <c r="A2005">
        <v>1</v>
      </c>
      <c r="B2005" s="80">
        <f>SUBTOTAL(103,$A$1697:A2005)</f>
        <v>308</v>
      </c>
      <c r="C2005" s="306" t="s">
        <v>3502</v>
      </c>
      <c r="D2005" s="296">
        <f t="shared" si="100"/>
        <v>562468.19999999995</v>
      </c>
      <c r="E2005" s="301">
        <v>0</v>
      </c>
      <c r="F2005" s="301">
        <v>0</v>
      </c>
      <c r="G2005" s="301">
        <v>0</v>
      </c>
      <c r="H2005" s="301">
        <v>562468.19999999995</v>
      </c>
      <c r="I2005" s="301">
        <v>0</v>
      </c>
      <c r="J2005" s="301">
        <v>0</v>
      </c>
      <c r="K2005" s="302">
        <v>0</v>
      </c>
      <c r="L2005" s="301">
        <v>0</v>
      </c>
      <c r="M2005" s="301">
        <v>0</v>
      </c>
      <c r="N2005" s="301">
        <v>0</v>
      </c>
      <c r="O2005" s="301">
        <v>0</v>
      </c>
      <c r="P2005" s="301">
        <v>0</v>
      </c>
      <c r="Q2005" s="301">
        <v>0</v>
      </c>
      <c r="R2005" s="301">
        <v>0</v>
      </c>
      <c r="S2005" s="301">
        <v>0</v>
      </c>
      <c r="T2005" s="301">
        <v>0</v>
      </c>
      <c r="U2005" s="301">
        <v>0</v>
      </c>
      <c r="V2005" s="301">
        <v>0</v>
      </c>
      <c r="W2005" s="301">
        <v>0</v>
      </c>
      <c r="X2005" s="301">
        <v>0</v>
      </c>
      <c r="Y2005" s="301">
        <v>0</v>
      </c>
      <c r="Z2005" s="301">
        <v>0</v>
      </c>
      <c r="AA2005" s="301">
        <v>0</v>
      </c>
      <c r="AB2005" s="303">
        <v>2022</v>
      </c>
    </row>
    <row r="2006" spans="1:28" ht="35.25" customHeight="1" x14ac:dyDescent="0.5">
      <c r="A2006">
        <v>1</v>
      </c>
      <c r="B2006" s="80">
        <f>SUBTOTAL(103,$A$1697:A2006)</f>
        <v>309</v>
      </c>
      <c r="C2006" s="306" t="s">
        <v>2253</v>
      </c>
      <c r="D2006" s="296">
        <f t="shared" si="100"/>
        <v>605330.80000000005</v>
      </c>
      <c r="E2006" s="301">
        <v>0</v>
      </c>
      <c r="F2006" s="301">
        <v>0</v>
      </c>
      <c r="G2006" s="301">
        <v>0</v>
      </c>
      <c r="H2006" s="301">
        <v>0</v>
      </c>
      <c r="I2006" s="301">
        <v>0</v>
      </c>
      <c r="J2006" s="301">
        <v>0</v>
      </c>
      <c r="K2006" s="302">
        <v>0</v>
      </c>
      <c r="L2006" s="301">
        <v>0</v>
      </c>
      <c r="M2006" s="301">
        <v>0</v>
      </c>
      <c r="N2006" s="301">
        <v>0</v>
      </c>
      <c r="O2006" s="301">
        <v>605330.80000000005</v>
      </c>
      <c r="P2006" s="301">
        <v>0</v>
      </c>
      <c r="Q2006" s="301">
        <v>0</v>
      </c>
      <c r="R2006" s="301">
        <v>0</v>
      </c>
      <c r="S2006" s="301">
        <v>0</v>
      </c>
      <c r="T2006" s="301">
        <v>0</v>
      </c>
      <c r="U2006" s="301">
        <v>0</v>
      </c>
      <c r="V2006" s="301">
        <v>0</v>
      </c>
      <c r="W2006" s="301">
        <v>0</v>
      </c>
      <c r="X2006" s="301">
        <v>0</v>
      </c>
      <c r="Y2006" s="301">
        <v>0</v>
      </c>
      <c r="Z2006" s="301">
        <v>0</v>
      </c>
      <c r="AA2006" s="301">
        <v>0</v>
      </c>
      <c r="AB2006" s="303">
        <v>2022</v>
      </c>
    </row>
    <row r="2007" spans="1:28" ht="35.25" customHeight="1" x14ac:dyDescent="0.5">
      <c r="A2007">
        <v>1</v>
      </c>
      <c r="B2007" s="80">
        <f>SUBTOTAL(103,$A$1697:A2007)</f>
        <v>310</v>
      </c>
      <c r="C2007" s="306" t="s">
        <v>3503</v>
      </c>
      <c r="D2007" s="296">
        <f t="shared" si="100"/>
        <v>883648</v>
      </c>
      <c r="E2007" s="301">
        <v>0</v>
      </c>
      <c r="F2007" s="301">
        <v>0</v>
      </c>
      <c r="G2007" s="301">
        <v>0</v>
      </c>
      <c r="H2007" s="301">
        <v>0</v>
      </c>
      <c r="I2007" s="301">
        <v>883648</v>
      </c>
      <c r="J2007" s="301">
        <v>0</v>
      </c>
      <c r="K2007" s="302">
        <v>0</v>
      </c>
      <c r="L2007" s="301">
        <v>0</v>
      </c>
      <c r="M2007" s="301">
        <v>0</v>
      </c>
      <c r="N2007" s="301">
        <v>0</v>
      </c>
      <c r="O2007" s="301">
        <v>0</v>
      </c>
      <c r="P2007" s="301">
        <v>0</v>
      </c>
      <c r="Q2007" s="301">
        <v>0</v>
      </c>
      <c r="R2007" s="301">
        <v>0</v>
      </c>
      <c r="S2007" s="301">
        <v>0</v>
      </c>
      <c r="T2007" s="301">
        <v>0</v>
      </c>
      <c r="U2007" s="301">
        <v>0</v>
      </c>
      <c r="V2007" s="301">
        <v>0</v>
      </c>
      <c r="W2007" s="301">
        <v>0</v>
      </c>
      <c r="X2007" s="301">
        <v>0</v>
      </c>
      <c r="Y2007" s="301">
        <v>0</v>
      </c>
      <c r="Z2007" s="301">
        <v>0</v>
      </c>
      <c r="AA2007" s="301">
        <v>0</v>
      </c>
      <c r="AB2007" s="303">
        <v>2022</v>
      </c>
    </row>
    <row r="2008" spans="1:28" ht="35.25" customHeight="1" x14ac:dyDescent="0.5">
      <c r="A2008">
        <v>1</v>
      </c>
      <c r="B2008" s="80">
        <f>SUBTOTAL(103,$A$1697:A2008)</f>
        <v>311</v>
      </c>
      <c r="C2008" s="306" t="s">
        <v>3504</v>
      </c>
      <c r="D2008" s="296">
        <f t="shared" si="100"/>
        <v>2048853.18</v>
      </c>
      <c r="E2008" s="301">
        <v>0</v>
      </c>
      <c r="F2008" s="301">
        <v>0</v>
      </c>
      <c r="G2008" s="301">
        <v>148584</v>
      </c>
      <c r="H2008" s="301">
        <v>0</v>
      </c>
      <c r="I2008" s="301">
        <v>1863009</v>
      </c>
      <c r="J2008" s="301">
        <v>0</v>
      </c>
      <c r="K2008" s="302">
        <v>0</v>
      </c>
      <c r="L2008" s="301">
        <v>0</v>
      </c>
      <c r="M2008" s="301">
        <v>0</v>
      </c>
      <c r="N2008" s="301">
        <v>0</v>
      </c>
      <c r="O2008" s="301">
        <v>0</v>
      </c>
      <c r="P2008" s="301">
        <v>0</v>
      </c>
      <c r="Q2008" s="301">
        <v>0</v>
      </c>
      <c r="R2008" s="301">
        <v>0</v>
      </c>
      <c r="S2008" s="301">
        <v>0</v>
      </c>
      <c r="T2008" s="301">
        <v>0</v>
      </c>
      <c r="U2008" s="301">
        <v>0</v>
      </c>
      <c r="V2008" s="301">
        <v>0</v>
      </c>
      <c r="W2008" s="301">
        <v>0</v>
      </c>
      <c r="X2008" s="301">
        <v>0</v>
      </c>
      <c r="Y2008" s="301">
        <v>37260.18</v>
      </c>
      <c r="Z2008" s="301">
        <v>0</v>
      </c>
      <c r="AA2008" s="301">
        <v>0</v>
      </c>
      <c r="AB2008" s="303">
        <v>2022</v>
      </c>
    </row>
    <row r="2009" spans="1:28" ht="35.25" customHeight="1" x14ac:dyDescent="0.5">
      <c r="A2009">
        <v>1</v>
      </c>
      <c r="B2009" s="80">
        <f>SUBTOTAL(103,$A$1697:A2009)</f>
        <v>312</v>
      </c>
      <c r="C2009" s="306" t="s">
        <v>3505</v>
      </c>
      <c r="D2009" s="296">
        <f t="shared" si="100"/>
        <v>3798112</v>
      </c>
      <c r="E2009" s="301">
        <v>0</v>
      </c>
      <c r="F2009" s="301">
        <v>0</v>
      </c>
      <c r="G2009" s="301">
        <v>0</v>
      </c>
      <c r="H2009" s="301">
        <v>0</v>
      </c>
      <c r="I2009" s="301">
        <v>0</v>
      </c>
      <c r="J2009" s="301">
        <v>0</v>
      </c>
      <c r="K2009" s="302">
        <v>0</v>
      </c>
      <c r="L2009" s="301">
        <v>0</v>
      </c>
      <c r="M2009" s="301">
        <v>3798112</v>
      </c>
      <c r="N2009" s="301">
        <v>0</v>
      </c>
      <c r="O2009" s="301">
        <v>0</v>
      </c>
      <c r="P2009" s="301">
        <v>0</v>
      </c>
      <c r="Q2009" s="301">
        <v>0</v>
      </c>
      <c r="R2009" s="301">
        <v>0</v>
      </c>
      <c r="S2009" s="301">
        <v>0</v>
      </c>
      <c r="T2009" s="301">
        <v>0</v>
      </c>
      <c r="U2009" s="301">
        <v>0</v>
      </c>
      <c r="V2009" s="301">
        <v>0</v>
      </c>
      <c r="W2009" s="301">
        <v>0</v>
      </c>
      <c r="X2009" s="301">
        <v>0</v>
      </c>
      <c r="Y2009" s="301">
        <v>0</v>
      </c>
      <c r="Z2009" s="301">
        <v>0</v>
      </c>
      <c r="AA2009" s="301">
        <v>0</v>
      </c>
      <c r="AB2009" s="303">
        <v>2022</v>
      </c>
    </row>
    <row r="2010" spans="1:28" ht="35.25" customHeight="1" x14ac:dyDescent="0.5">
      <c r="A2010">
        <v>1</v>
      </c>
      <c r="B2010" s="80">
        <f>SUBTOTAL(103,$A$1697:A2010)</f>
        <v>313</v>
      </c>
      <c r="C2010" s="306" t="s">
        <v>3506</v>
      </c>
      <c r="D2010" s="296">
        <f t="shared" si="100"/>
        <v>1314022.8</v>
      </c>
      <c r="E2010" s="301">
        <v>0</v>
      </c>
      <c r="F2010" s="301">
        <v>0</v>
      </c>
      <c r="G2010" s="301">
        <v>0</v>
      </c>
      <c r="H2010" s="301">
        <v>0</v>
      </c>
      <c r="I2010" s="301">
        <v>0</v>
      </c>
      <c r="J2010" s="301">
        <v>0</v>
      </c>
      <c r="K2010" s="302">
        <v>0</v>
      </c>
      <c r="L2010" s="301">
        <v>0</v>
      </c>
      <c r="M2010" s="301">
        <v>1314022.8</v>
      </c>
      <c r="N2010" s="301">
        <v>0</v>
      </c>
      <c r="O2010" s="301">
        <v>0</v>
      </c>
      <c r="P2010" s="301">
        <v>0</v>
      </c>
      <c r="Q2010" s="301">
        <v>0</v>
      </c>
      <c r="R2010" s="301">
        <v>0</v>
      </c>
      <c r="S2010" s="301">
        <v>0</v>
      </c>
      <c r="T2010" s="301">
        <v>0</v>
      </c>
      <c r="U2010" s="301">
        <v>0</v>
      </c>
      <c r="V2010" s="301">
        <v>0</v>
      </c>
      <c r="W2010" s="301">
        <v>0</v>
      </c>
      <c r="X2010" s="301">
        <v>0</v>
      </c>
      <c r="Y2010" s="301">
        <v>0</v>
      </c>
      <c r="Z2010" s="301">
        <v>0</v>
      </c>
      <c r="AA2010" s="301">
        <v>0</v>
      </c>
      <c r="AB2010" s="303">
        <v>2022</v>
      </c>
    </row>
    <row r="2011" spans="1:28" ht="35.25" customHeight="1" x14ac:dyDescent="0.5">
      <c r="A2011">
        <v>1</v>
      </c>
      <c r="B2011" s="80">
        <f>SUBTOTAL(103,$A$1697:A2011)</f>
        <v>314</v>
      </c>
      <c r="C2011" s="306" t="s">
        <v>3507</v>
      </c>
      <c r="D2011" s="296">
        <f t="shared" si="100"/>
        <v>2634120</v>
      </c>
      <c r="E2011" s="301">
        <v>0</v>
      </c>
      <c r="F2011" s="301">
        <v>0</v>
      </c>
      <c r="G2011" s="301">
        <v>0</v>
      </c>
      <c r="H2011" s="301">
        <v>0</v>
      </c>
      <c r="I2011" s="301">
        <v>0</v>
      </c>
      <c r="J2011" s="301">
        <v>0</v>
      </c>
      <c r="K2011" s="302">
        <v>1</v>
      </c>
      <c r="L2011" s="301">
        <v>2634120</v>
      </c>
      <c r="M2011" s="301">
        <v>0</v>
      </c>
      <c r="N2011" s="301">
        <v>0</v>
      </c>
      <c r="O2011" s="301">
        <v>0</v>
      </c>
      <c r="P2011" s="301">
        <v>0</v>
      </c>
      <c r="Q2011" s="301">
        <v>0</v>
      </c>
      <c r="R2011" s="301">
        <v>0</v>
      </c>
      <c r="S2011" s="301">
        <v>0</v>
      </c>
      <c r="T2011" s="301">
        <v>0</v>
      </c>
      <c r="U2011" s="301">
        <v>0</v>
      </c>
      <c r="V2011" s="301">
        <v>0</v>
      </c>
      <c r="W2011" s="301">
        <v>0</v>
      </c>
      <c r="X2011" s="301">
        <v>0</v>
      </c>
      <c r="Y2011" s="301">
        <v>0</v>
      </c>
      <c r="Z2011" s="301">
        <v>0</v>
      </c>
      <c r="AA2011" s="301">
        <v>0</v>
      </c>
      <c r="AB2011" s="303">
        <v>2022</v>
      </c>
    </row>
    <row r="2012" spans="1:28" ht="35.25" customHeight="1" x14ac:dyDescent="0.5">
      <c r="A2012">
        <v>1</v>
      </c>
      <c r="B2012" s="80">
        <f>SUBTOTAL(103,$A$1697:A2012)</f>
        <v>315</v>
      </c>
      <c r="C2012" s="306" t="s">
        <v>3508</v>
      </c>
      <c r="D2012" s="296">
        <f t="shared" si="100"/>
        <v>1382400</v>
      </c>
      <c r="E2012" s="301">
        <v>0</v>
      </c>
      <c r="F2012" s="301">
        <v>0</v>
      </c>
      <c r="G2012" s="301">
        <v>0</v>
      </c>
      <c r="H2012" s="301">
        <v>0</v>
      </c>
      <c r="I2012" s="301">
        <v>0</v>
      </c>
      <c r="J2012" s="301">
        <v>0</v>
      </c>
      <c r="K2012" s="302">
        <v>0</v>
      </c>
      <c r="L2012" s="301">
        <v>0</v>
      </c>
      <c r="M2012" s="301">
        <v>0</v>
      </c>
      <c r="N2012" s="301">
        <v>0</v>
      </c>
      <c r="O2012" s="301">
        <v>1382400</v>
      </c>
      <c r="P2012" s="301">
        <v>0</v>
      </c>
      <c r="Q2012" s="301">
        <v>0</v>
      </c>
      <c r="R2012" s="301">
        <v>0</v>
      </c>
      <c r="S2012" s="301">
        <v>0</v>
      </c>
      <c r="T2012" s="301">
        <v>0</v>
      </c>
      <c r="U2012" s="301">
        <v>0</v>
      </c>
      <c r="V2012" s="301">
        <v>0</v>
      </c>
      <c r="W2012" s="301">
        <v>0</v>
      </c>
      <c r="X2012" s="301">
        <v>0</v>
      </c>
      <c r="Y2012" s="301">
        <v>0</v>
      </c>
      <c r="Z2012" s="301">
        <v>0</v>
      </c>
      <c r="AA2012" s="301">
        <v>0</v>
      </c>
      <c r="AB2012" s="303">
        <v>2022</v>
      </c>
    </row>
    <row r="2013" spans="1:28" ht="35.25" customHeight="1" x14ac:dyDescent="0.5">
      <c r="A2013">
        <v>1</v>
      </c>
      <c r="B2013" s="80">
        <f>SUBTOTAL(103,$A$1697:A2013)</f>
        <v>316</v>
      </c>
      <c r="C2013" s="306" t="s">
        <v>3509</v>
      </c>
      <c r="D2013" s="296">
        <f t="shared" si="100"/>
        <v>665754</v>
      </c>
      <c r="E2013" s="301">
        <v>0</v>
      </c>
      <c r="F2013" s="301">
        <v>0</v>
      </c>
      <c r="G2013" s="301">
        <v>0</v>
      </c>
      <c r="H2013" s="301">
        <v>0</v>
      </c>
      <c r="I2013" s="301">
        <v>0</v>
      </c>
      <c r="J2013" s="301">
        <v>0</v>
      </c>
      <c r="K2013" s="302">
        <v>0</v>
      </c>
      <c r="L2013" s="301">
        <v>0</v>
      </c>
      <c r="M2013" s="301">
        <v>665754</v>
      </c>
      <c r="N2013" s="301">
        <v>0</v>
      </c>
      <c r="O2013" s="301">
        <v>0</v>
      </c>
      <c r="P2013" s="301">
        <v>0</v>
      </c>
      <c r="Q2013" s="301">
        <v>0</v>
      </c>
      <c r="R2013" s="301">
        <v>0</v>
      </c>
      <c r="S2013" s="301">
        <v>0</v>
      </c>
      <c r="T2013" s="301">
        <v>0</v>
      </c>
      <c r="U2013" s="301">
        <v>0</v>
      </c>
      <c r="V2013" s="301">
        <v>0</v>
      </c>
      <c r="W2013" s="301">
        <v>0</v>
      </c>
      <c r="X2013" s="301">
        <v>0</v>
      </c>
      <c r="Y2013" s="301">
        <v>0</v>
      </c>
      <c r="Z2013" s="301">
        <v>0</v>
      </c>
      <c r="AA2013" s="301">
        <v>0</v>
      </c>
      <c r="AB2013" s="303">
        <v>2022</v>
      </c>
    </row>
    <row r="2014" spans="1:28" ht="35.25" customHeight="1" x14ac:dyDescent="0.5">
      <c r="A2014">
        <v>1</v>
      </c>
      <c r="B2014" s="80">
        <f>SUBTOTAL(103,$A$1697:A2014)</f>
        <v>317</v>
      </c>
      <c r="C2014" s="306" t="s">
        <v>3062</v>
      </c>
      <c r="D2014" s="296">
        <f t="shared" si="100"/>
        <v>164011.4</v>
      </c>
      <c r="E2014" s="301">
        <v>0</v>
      </c>
      <c r="F2014" s="301">
        <v>0</v>
      </c>
      <c r="G2014" s="301">
        <v>0</v>
      </c>
      <c r="H2014" s="301">
        <v>0</v>
      </c>
      <c r="I2014" s="301">
        <v>0</v>
      </c>
      <c r="J2014" s="301">
        <v>0</v>
      </c>
      <c r="K2014" s="302">
        <v>0</v>
      </c>
      <c r="L2014" s="301">
        <v>0</v>
      </c>
      <c r="M2014" s="301">
        <v>0</v>
      </c>
      <c r="N2014" s="301">
        <v>0</v>
      </c>
      <c r="O2014" s="301">
        <v>164011.4</v>
      </c>
      <c r="P2014" s="301">
        <v>0</v>
      </c>
      <c r="Q2014" s="301">
        <v>0</v>
      </c>
      <c r="R2014" s="301">
        <v>0</v>
      </c>
      <c r="S2014" s="301">
        <v>0</v>
      </c>
      <c r="T2014" s="301">
        <v>0</v>
      </c>
      <c r="U2014" s="301">
        <v>0</v>
      </c>
      <c r="V2014" s="301">
        <v>0</v>
      </c>
      <c r="W2014" s="301">
        <v>0</v>
      </c>
      <c r="X2014" s="301">
        <v>0</v>
      </c>
      <c r="Y2014" s="301">
        <v>0</v>
      </c>
      <c r="Z2014" s="301">
        <v>0</v>
      </c>
      <c r="AA2014" s="301">
        <v>0</v>
      </c>
      <c r="AB2014" s="303">
        <v>2022</v>
      </c>
    </row>
    <row r="2015" spans="1:28" ht="35.25" customHeight="1" x14ac:dyDescent="0.5">
      <c r="A2015">
        <v>1</v>
      </c>
      <c r="B2015" s="80">
        <f>SUBTOTAL(103,$A$1697:A2015)</f>
        <v>318</v>
      </c>
      <c r="C2015" s="306" t="s">
        <v>3510</v>
      </c>
      <c r="D2015" s="296">
        <f t="shared" si="100"/>
        <v>1100000</v>
      </c>
      <c r="E2015" s="301">
        <v>0</v>
      </c>
      <c r="F2015" s="301">
        <v>0</v>
      </c>
      <c r="G2015" s="301">
        <v>0</v>
      </c>
      <c r="H2015" s="301">
        <v>0</v>
      </c>
      <c r="I2015" s="301">
        <v>1100000</v>
      </c>
      <c r="J2015" s="301">
        <v>0</v>
      </c>
      <c r="K2015" s="302">
        <v>0</v>
      </c>
      <c r="L2015" s="301">
        <v>0</v>
      </c>
      <c r="M2015" s="301">
        <v>0</v>
      </c>
      <c r="N2015" s="301">
        <v>0</v>
      </c>
      <c r="O2015" s="301">
        <v>0</v>
      </c>
      <c r="P2015" s="301">
        <v>0</v>
      </c>
      <c r="Q2015" s="301">
        <v>0</v>
      </c>
      <c r="R2015" s="301">
        <v>0</v>
      </c>
      <c r="S2015" s="301">
        <v>0</v>
      </c>
      <c r="T2015" s="301">
        <v>0</v>
      </c>
      <c r="U2015" s="301">
        <v>0</v>
      </c>
      <c r="V2015" s="301">
        <v>0</v>
      </c>
      <c r="W2015" s="301">
        <v>0</v>
      </c>
      <c r="X2015" s="301">
        <v>0</v>
      </c>
      <c r="Y2015" s="301">
        <v>0</v>
      </c>
      <c r="Z2015" s="301">
        <v>0</v>
      </c>
      <c r="AA2015" s="301">
        <v>0</v>
      </c>
      <c r="AB2015" s="303">
        <v>2022</v>
      </c>
    </row>
    <row r="2016" spans="1:28" ht="35.25" customHeight="1" x14ac:dyDescent="0.5">
      <c r="A2016">
        <v>1</v>
      </c>
      <c r="B2016" s="80">
        <f>SUBTOTAL(103,$A$1697:A2016)</f>
        <v>319</v>
      </c>
      <c r="C2016" s="306" t="s">
        <v>3511</v>
      </c>
      <c r="D2016" s="296">
        <f t="shared" si="100"/>
        <v>1776126</v>
      </c>
      <c r="E2016" s="301">
        <v>0</v>
      </c>
      <c r="F2016" s="301">
        <v>0</v>
      </c>
      <c r="G2016" s="301">
        <v>0</v>
      </c>
      <c r="H2016" s="301">
        <v>0</v>
      </c>
      <c r="I2016" s="301">
        <v>0</v>
      </c>
      <c r="J2016" s="301">
        <v>0</v>
      </c>
      <c r="K2016" s="302">
        <v>0</v>
      </c>
      <c r="L2016" s="301">
        <v>0</v>
      </c>
      <c r="M2016" s="301">
        <v>1776126</v>
      </c>
      <c r="N2016" s="301">
        <v>0</v>
      </c>
      <c r="O2016" s="301">
        <v>0</v>
      </c>
      <c r="P2016" s="301">
        <v>0</v>
      </c>
      <c r="Q2016" s="301">
        <v>0</v>
      </c>
      <c r="R2016" s="301">
        <v>0</v>
      </c>
      <c r="S2016" s="301">
        <v>0</v>
      </c>
      <c r="T2016" s="301">
        <v>0</v>
      </c>
      <c r="U2016" s="301">
        <v>0</v>
      </c>
      <c r="V2016" s="301">
        <v>0</v>
      </c>
      <c r="W2016" s="301">
        <v>0</v>
      </c>
      <c r="X2016" s="301">
        <v>0</v>
      </c>
      <c r="Y2016" s="301">
        <v>0</v>
      </c>
      <c r="Z2016" s="301">
        <v>0</v>
      </c>
      <c r="AA2016" s="301">
        <v>0</v>
      </c>
      <c r="AB2016" s="303">
        <v>2022</v>
      </c>
    </row>
    <row r="2017" spans="1:28" ht="35.25" customHeight="1" x14ac:dyDescent="0.5">
      <c r="A2017">
        <v>1</v>
      </c>
      <c r="B2017" s="80">
        <f>SUBTOTAL(103,$A$1697:A2017)</f>
        <v>320</v>
      </c>
      <c r="C2017" s="306" t="s">
        <v>3200</v>
      </c>
      <c r="D2017" s="296">
        <f t="shared" si="100"/>
        <v>713200</v>
      </c>
      <c r="E2017" s="301">
        <v>0</v>
      </c>
      <c r="F2017" s="301">
        <v>0</v>
      </c>
      <c r="G2017" s="301">
        <v>0</v>
      </c>
      <c r="H2017" s="301">
        <v>0</v>
      </c>
      <c r="I2017" s="301">
        <v>0</v>
      </c>
      <c r="J2017" s="301">
        <v>0</v>
      </c>
      <c r="K2017" s="302">
        <v>0</v>
      </c>
      <c r="L2017" s="301">
        <v>0</v>
      </c>
      <c r="M2017" s="301">
        <v>0</v>
      </c>
      <c r="N2017" s="301">
        <v>0</v>
      </c>
      <c r="O2017" s="301">
        <v>713200</v>
      </c>
      <c r="P2017" s="301">
        <v>0</v>
      </c>
      <c r="Q2017" s="301">
        <v>0</v>
      </c>
      <c r="R2017" s="301">
        <v>0</v>
      </c>
      <c r="S2017" s="301">
        <v>0</v>
      </c>
      <c r="T2017" s="301">
        <v>0</v>
      </c>
      <c r="U2017" s="301">
        <v>0</v>
      </c>
      <c r="V2017" s="301">
        <v>0</v>
      </c>
      <c r="W2017" s="301">
        <v>0</v>
      </c>
      <c r="X2017" s="301">
        <v>0</v>
      </c>
      <c r="Y2017" s="301">
        <v>0</v>
      </c>
      <c r="Z2017" s="301">
        <v>0</v>
      </c>
      <c r="AA2017" s="301">
        <v>0</v>
      </c>
      <c r="AB2017" s="303">
        <v>2022</v>
      </c>
    </row>
    <row r="2018" spans="1:28" ht="35.25" customHeight="1" x14ac:dyDescent="0.5">
      <c r="A2018">
        <v>1</v>
      </c>
      <c r="B2018" s="80">
        <f>SUBTOTAL(103,$A$1697:A2018)</f>
        <v>321</v>
      </c>
      <c r="C2018" s="306" t="s">
        <v>3050</v>
      </c>
      <c r="D2018" s="296">
        <f t="shared" si="100"/>
        <v>593090</v>
      </c>
      <c r="E2018" s="301">
        <v>0</v>
      </c>
      <c r="F2018" s="301">
        <v>0</v>
      </c>
      <c r="G2018" s="301">
        <v>0</v>
      </c>
      <c r="H2018" s="301">
        <v>0</v>
      </c>
      <c r="I2018" s="301">
        <v>0</v>
      </c>
      <c r="J2018" s="301">
        <v>0</v>
      </c>
      <c r="K2018" s="302">
        <v>0</v>
      </c>
      <c r="L2018" s="301">
        <v>0</v>
      </c>
      <c r="M2018" s="301">
        <v>593090</v>
      </c>
      <c r="N2018" s="301">
        <v>0</v>
      </c>
      <c r="O2018" s="301">
        <v>0</v>
      </c>
      <c r="P2018" s="301">
        <v>0</v>
      </c>
      <c r="Q2018" s="301">
        <v>0</v>
      </c>
      <c r="R2018" s="301">
        <v>0</v>
      </c>
      <c r="S2018" s="301">
        <v>0</v>
      </c>
      <c r="T2018" s="301">
        <v>0</v>
      </c>
      <c r="U2018" s="301">
        <v>0</v>
      </c>
      <c r="V2018" s="301">
        <v>0</v>
      </c>
      <c r="W2018" s="301">
        <v>0</v>
      </c>
      <c r="X2018" s="301">
        <v>0</v>
      </c>
      <c r="Y2018" s="301">
        <v>0</v>
      </c>
      <c r="Z2018" s="301">
        <v>0</v>
      </c>
      <c r="AA2018" s="301">
        <v>0</v>
      </c>
      <c r="AB2018" s="303">
        <v>2022</v>
      </c>
    </row>
    <row r="2019" spans="1:28" ht="35.25" customHeight="1" x14ac:dyDescent="0.5">
      <c r="A2019">
        <v>1</v>
      </c>
      <c r="B2019" s="80">
        <f>SUBTOTAL(103,$A$1697:A2019)</f>
        <v>322</v>
      </c>
      <c r="C2019" s="306" t="s">
        <v>2048</v>
      </c>
      <c r="D2019" s="296">
        <f t="shared" si="100"/>
        <v>538043.64</v>
      </c>
      <c r="E2019" s="301">
        <v>0</v>
      </c>
      <c r="F2019" s="301">
        <v>0</v>
      </c>
      <c r="G2019" s="301">
        <v>0</v>
      </c>
      <c r="H2019" s="301">
        <v>0</v>
      </c>
      <c r="I2019" s="301">
        <v>0</v>
      </c>
      <c r="J2019" s="301">
        <v>0</v>
      </c>
      <c r="K2019" s="302">
        <v>0</v>
      </c>
      <c r="L2019" s="301">
        <v>0</v>
      </c>
      <c r="M2019" s="301">
        <v>0</v>
      </c>
      <c r="N2019" s="301">
        <v>0</v>
      </c>
      <c r="O2019" s="301">
        <v>0</v>
      </c>
      <c r="P2019" s="301">
        <v>538043.64</v>
      </c>
      <c r="Q2019" s="301">
        <v>0</v>
      </c>
      <c r="R2019" s="301">
        <v>0</v>
      </c>
      <c r="S2019" s="301">
        <v>0</v>
      </c>
      <c r="T2019" s="301">
        <v>0</v>
      </c>
      <c r="U2019" s="301">
        <v>0</v>
      </c>
      <c r="V2019" s="301">
        <v>0</v>
      </c>
      <c r="W2019" s="301">
        <v>0</v>
      </c>
      <c r="X2019" s="301">
        <v>0</v>
      </c>
      <c r="Y2019" s="301">
        <v>0</v>
      </c>
      <c r="Z2019" s="301">
        <v>0</v>
      </c>
      <c r="AA2019" s="301">
        <v>0</v>
      </c>
      <c r="AB2019" s="303">
        <v>2022</v>
      </c>
    </row>
    <row r="2020" spans="1:28" ht="35.25" customHeight="1" x14ac:dyDescent="0.5">
      <c r="A2020">
        <v>1</v>
      </c>
      <c r="B2020" s="80">
        <f>SUBTOTAL(103,$A$1697:A2020)</f>
        <v>323</v>
      </c>
      <c r="C2020" s="306" t="s">
        <v>3579</v>
      </c>
      <c r="D2020" s="296">
        <f t="shared" si="100"/>
        <v>3631840</v>
      </c>
      <c r="E2020" s="301">
        <v>0</v>
      </c>
      <c r="F2020" s="301">
        <v>0</v>
      </c>
      <c r="G2020" s="301">
        <v>0</v>
      </c>
      <c r="H2020" s="301">
        <v>0</v>
      </c>
      <c r="I2020" s="301">
        <v>0</v>
      </c>
      <c r="J2020" s="301">
        <v>0</v>
      </c>
      <c r="K2020" s="302">
        <v>0</v>
      </c>
      <c r="L2020" s="301">
        <v>0</v>
      </c>
      <c r="M2020" s="301">
        <v>3631840</v>
      </c>
      <c r="N2020" s="301">
        <v>0</v>
      </c>
      <c r="O2020" s="301">
        <v>0</v>
      </c>
      <c r="P2020" s="301">
        <v>0</v>
      </c>
      <c r="Q2020" s="301">
        <v>0</v>
      </c>
      <c r="R2020" s="301">
        <v>0</v>
      </c>
      <c r="S2020" s="301">
        <v>0</v>
      </c>
      <c r="T2020" s="301">
        <v>0</v>
      </c>
      <c r="U2020" s="301">
        <v>0</v>
      </c>
      <c r="V2020" s="301">
        <v>0</v>
      </c>
      <c r="W2020" s="301">
        <v>0</v>
      </c>
      <c r="X2020" s="301">
        <v>0</v>
      </c>
      <c r="Y2020" s="301">
        <v>0</v>
      </c>
      <c r="Z2020" s="301">
        <v>0</v>
      </c>
      <c r="AA2020" s="301">
        <v>0</v>
      </c>
      <c r="AB2020" s="303">
        <v>2022</v>
      </c>
    </row>
    <row r="2021" spans="1:28" ht="35.25" customHeight="1" x14ac:dyDescent="0.5">
      <c r="A2021">
        <v>1</v>
      </c>
      <c r="B2021" s="80">
        <f>SUBTOTAL(103,$A$1697:A2021)</f>
        <v>324</v>
      </c>
      <c r="C2021" s="306" t="s">
        <v>3064</v>
      </c>
      <c r="D2021" s="296">
        <f t="shared" si="100"/>
        <v>1580472</v>
      </c>
      <c r="E2021" s="301">
        <v>0</v>
      </c>
      <c r="F2021" s="301">
        <v>0</v>
      </c>
      <c r="G2021" s="301">
        <v>0</v>
      </c>
      <c r="H2021" s="301">
        <v>0</v>
      </c>
      <c r="I2021" s="301">
        <v>0</v>
      </c>
      <c r="J2021" s="301">
        <v>0</v>
      </c>
      <c r="K2021" s="302">
        <v>1</v>
      </c>
      <c r="L2021" s="301">
        <v>1580472</v>
      </c>
      <c r="M2021" s="301">
        <v>0</v>
      </c>
      <c r="N2021" s="301">
        <v>0</v>
      </c>
      <c r="O2021" s="301">
        <v>0</v>
      </c>
      <c r="P2021" s="301">
        <v>0</v>
      </c>
      <c r="Q2021" s="301">
        <v>0</v>
      </c>
      <c r="R2021" s="301">
        <v>0</v>
      </c>
      <c r="S2021" s="301">
        <v>0</v>
      </c>
      <c r="T2021" s="301">
        <v>0</v>
      </c>
      <c r="U2021" s="301">
        <v>0</v>
      </c>
      <c r="V2021" s="301">
        <v>0</v>
      </c>
      <c r="W2021" s="301">
        <v>0</v>
      </c>
      <c r="X2021" s="301">
        <v>0</v>
      </c>
      <c r="Y2021" s="301">
        <v>0</v>
      </c>
      <c r="Z2021" s="301">
        <v>0</v>
      </c>
      <c r="AA2021" s="301">
        <v>0</v>
      </c>
      <c r="AB2021" s="303">
        <v>2022</v>
      </c>
    </row>
    <row r="2022" spans="1:28" ht="35.25" customHeight="1" x14ac:dyDescent="0.5">
      <c r="A2022">
        <v>1</v>
      </c>
      <c r="B2022" s="80">
        <f>SUBTOTAL(103,$A$1697:A2022)</f>
        <v>325</v>
      </c>
      <c r="C2022" s="306" t="s">
        <v>2054</v>
      </c>
      <c r="D2022" s="296">
        <f t="shared" si="100"/>
        <v>348643</v>
      </c>
      <c r="E2022" s="301">
        <v>0</v>
      </c>
      <c r="F2022" s="301">
        <v>0</v>
      </c>
      <c r="G2022" s="301">
        <v>0</v>
      </c>
      <c r="H2022" s="301">
        <v>0</v>
      </c>
      <c r="I2022" s="301">
        <v>0</v>
      </c>
      <c r="J2022" s="301">
        <v>0</v>
      </c>
      <c r="K2022" s="302">
        <v>0</v>
      </c>
      <c r="L2022" s="301">
        <v>0</v>
      </c>
      <c r="M2022" s="301">
        <v>0</v>
      </c>
      <c r="N2022" s="301">
        <v>0</v>
      </c>
      <c r="O2022" s="301">
        <v>348643</v>
      </c>
      <c r="P2022" s="301">
        <v>0</v>
      </c>
      <c r="Q2022" s="301">
        <v>0</v>
      </c>
      <c r="R2022" s="301">
        <v>0</v>
      </c>
      <c r="S2022" s="301">
        <v>0</v>
      </c>
      <c r="T2022" s="301">
        <v>0</v>
      </c>
      <c r="U2022" s="301">
        <v>0</v>
      </c>
      <c r="V2022" s="301">
        <v>0</v>
      </c>
      <c r="W2022" s="301">
        <v>0</v>
      </c>
      <c r="X2022" s="301">
        <v>0</v>
      </c>
      <c r="Y2022" s="301">
        <v>0</v>
      </c>
      <c r="Z2022" s="301">
        <v>0</v>
      </c>
      <c r="AA2022" s="301">
        <v>0</v>
      </c>
      <c r="AB2022" s="303">
        <v>2022</v>
      </c>
    </row>
    <row r="2023" spans="1:28" ht="35.25" customHeight="1" x14ac:dyDescent="0.5">
      <c r="A2023">
        <v>1</v>
      </c>
      <c r="B2023" s="80">
        <f>SUBTOTAL(103,$A$1697:A2023)</f>
        <v>326</v>
      </c>
      <c r="C2023" s="306" t="s">
        <v>2425</v>
      </c>
      <c r="D2023" s="296">
        <f t="shared" si="100"/>
        <v>67719</v>
      </c>
      <c r="E2023" s="301">
        <v>0</v>
      </c>
      <c r="F2023" s="301">
        <v>0</v>
      </c>
      <c r="G2023" s="301">
        <v>67719</v>
      </c>
      <c r="H2023" s="301">
        <v>0</v>
      </c>
      <c r="I2023" s="301">
        <v>0</v>
      </c>
      <c r="J2023" s="301">
        <v>0</v>
      </c>
      <c r="K2023" s="302">
        <v>0</v>
      </c>
      <c r="L2023" s="301">
        <v>0</v>
      </c>
      <c r="M2023" s="301">
        <v>0</v>
      </c>
      <c r="N2023" s="301">
        <v>0</v>
      </c>
      <c r="O2023" s="301">
        <v>0</v>
      </c>
      <c r="P2023" s="301">
        <v>0</v>
      </c>
      <c r="Q2023" s="301">
        <v>0</v>
      </c>
      <c r="R2023" s="301">
        <v>0</v>
      </c>
      <c r="S2023" s="301">
        <v>0</v>
      </c>
      <c r="T2023" s="301">
        <v>0</v>
      </c>
      <c r="U2023" s="301">
        <v>0</v>
      </c>
      <c r="V2023" s="301">
        <v>0</v>
      </c>
      <c r="W2023" s="301">
        <v>0</v>
      </c>
      <c r="X2023" s="301">
        <v>0</v>
      </c>
      <c r="Y2023" s="301">
        <v>0</v>
      </c>
      <c r="Z2023" s="301">
        <v>0</v>
      </c>
      <c r="AA2023" s="301">
        <v>0</v>
      </c>
      <c r="AB2023" s="303">
        <v>2022</v>
      </c>
    </row>
    <row r="2024" spans="1:28" ht="35.25" customHeight="1" x14ac:dyDescent="0.5">
      <c r="A2024">
        <v>1</v>
      </c>
      <c r="B2024" s="80">
        <f>SUBTOTAL(103,$A$1697:A2024)</f>
        <v>327</v>
      </c>
      <c r="C2024" s="306" t="s">
        <v>2426</v>
      </c>
      <c r="D2024" s="296">
        <f t="shared" si="100"/>
        <v>840000</v>
      </c>
      <c r="E2024" s="301">
        <v>0</v>
      </c>
      <c r="F2024" s="301">
        <v>0</v>
      </c>
      <c r="G2024" s="301">
        <v>0</v>
      </c>
      <c r="H2024" s="301">
        <v>0</v>
      </c>
      <c r="I2024" s="301">
        <v>0</v>
      </c>
      <c r="J2024" s="301">
        <v>0</v>
      </c>
      <c r="K2024" s="302">
        <v>1</v>
      </c>
      <c r="L2024" s="301">
        <v>840000</v>
      </c>
      <c r="M2024" s="301">
        <v>0</v>
      </c>
      <c r="N2024" s="301">
        <v>0</v>
      </c>
      <c r="O2024" s="301">
        <v>0</v>
      </c>
      <c r="P2024" s="301">
        <v>0</v>
      </c>
      <c r="Q2024" s="301">
        <v>0</v>
      </c>
      <c r="R2024" s="301">
        <v>0</v>
      </c>
      <c r="S2024" s="301">
        <v>0</v>
      </c>
      <c r="T2024" s="301">
        <v>0</v>
      </c>
      <c r="U2024" s="301">
        <v>0</v>
      </c>
      <c r="V2024" s="301">
        <v>0</v>
      </c>
      <c r="W2024" s="301">
        <v>0</v>
      </c>
      <c r="X2024" s="301">
        <v>0</v>
      </c>
      <c r="Y2024" s="301">
        <v>0</v>
      </c>
      <c r="Z2024" s="301">
        <v>0</v>
      </c>
      <c r="AA2024" s="301">
        <v>0</v>
      </c>
      <c r="AB2024" s="303">
        <v>2022</v>
      </c>
    </row>
    <row r="2025" spans="1:28" ht="35.25" customHeight="1" x14ac:dyDescent="0.5">
      <c r="A2025">
        <v>1</v>
      </c>
      <c r="B2025" s="80">
        <f>SUBTOTAL(103,$A$1697:A2025)</f>
        <v>328</v>
      </c>
      <c r="C2025" s="306" t="s">
        <v>2052</v>
      </c>
      <c r="D2025" s="296">
        <f t="shared" si="100"/>
        <v>2634120</v>
      </c>
      <c r="E2025" s="301">
        <v>0</v>
      </c>
      <c r="F2025" s="301">
        <v>0</v>
      </c>
      <c r="G2025" s="301">
        <v>0</v>
      </c>
      <c r="H2025" s="301">
        <v>0</v>
      </c>
      <c r="I2025" s="301">
        <v>0</v>
      </c>
      <c r="J2025" s="301">
        <v>0</v>
      </c>
      <c r="K2025" s="302">
        <v>1</v>
      </c>
      <c r="L2025" s="301">
        <v>2634120</v>
      </c>
      <c r="M2025" s="301">
        <v>0</v>
      </c>
      <c r="N2025" s="301">
        <v>0</v>
      </c>
      <c r="O2025" s="301">
        <v>0</v>
      </c>
      <c r="P2025" s="301">
        <v>0</v>
      </c>
      <c r="Q2025" s="301">
        <v>0</v>
      </c>
      <c r="R2025" s="301">
        <v>0</v>
      </c>
      <c r="S2025" s="301">
        <v>0</v>
      </c>
      <c r="T2025" s="301">
        <v>0</v>
      </c>
      <c r="U2025" s="301">
        <v>0</v>
      </c>
      <c r="V2025" s="301">
        <v>0</v>
      </c>
      <c r="W2025" s="301">
        <v>0</v>
      </c>
      <c r="X2025" s="301">
        <v>0</v>
      </c>
      <c r="Y2025" s="301">
        <v>0</v>
      </c>
      <c r="Z2025" s="301">
        <v>0</v>
      </c>
      <c r="AA2025" s="301">
        <v>0</v>
      </c>
      <c r="AB2025" s="303">
        <v>2022</v>
      </c>
    </row>
    <row r="2026" spans="1:28" ht="35.25" customHeight="1" x14ac:dyDescent="0.5">
      <c r="A2026">
        <v>1</v>
      </c>
      <c r="B2026" s="80">
        <f>SUBTOTAL(103,$A$1697:A2026)</f>
        <v>329</v>
      </c>
      <c r="C2026" s="306" t="s">
        <v>2055</v>
      </c>
      <c r="D2026" s="296">
        <f t="shared" si="100"/>
        <v>1026600</v>
      </c>
      <c r="E2026" s="301">
        <v>0</v>
      </c>
      <c r="F2026" s="301">
        <v>0</v>
      </c>
      <c r="G2026" s="301">
        <v>0</v>
      </c>
      <c r="H2026" s="301">
        <v>0</v>
      </c>
      <c r="I2026" s="301">
        <v>0</v>
      </c>
      <c r="J2026" s="301">
        <v>0</v>
      </c>
      <c r="K2026" s="302">
        <v>0</v>
      </c>
      <c r="L2026" s="301">
        <v>0</v>
      </c>
      <c r="M2026" s="301">
        <v>0</v>
      </c>
      <c r="N2026" s="301">
        <v>0</v>
      </c>
      <c r="O2026" s="301">
        <v>1026600</v>
      </c>
      <c r="P2026" s="301">
        <v>0</v>
      </c>
      <c r="Q2026" s="301">
        <v>0</v>
      </c>
      <c r="R2026" s="301">
        <v>0</v>
      </c>
      <c r="S2026" s="301">
        <v>0</v>
      </c>
      <c r="T2026" s="301">
        <v>0</v>
      </c>
      <c r="U2026" s="301">
        <v>0</v>
      </c>
      <c r="V2026" s="301">
        <v>0</v>
      </c>
      <c r="W2026" s="301">
        <v>0</v>
      </c>
      <c r="X2026" s="301">
        <v>0</v>
      </c>
      <c r="Y2026" s="301">
        <v>0</v>
      </c>
      <c r="Z2026" s="301">
        <v>0</v>
      </c>
      <c r="AA2026" s="301">
        <v>0</v>
      </c>
      <c r="AB2026" s="303">
        <v>2022</v>
      </c>
    </row>
    <row r="2027" spans="1:28" ht="35.25" customHeight="1" x14ac:dyDescent="0.5">
      <c r="A2027">
        <v>1</v>
      </c>
      <c r="B2027" s="80">
        <f>SUBTOTAL(103,$A$1697:A2027)</f>
        <v>330</v>
      </c>
      <c r="C2027" s="306" t="s">
        <v>3580</v>
      </c>
      <c r="D2027" s="296">
        <f t="shared" si="100"/>
        <v>2529067</v>
      </c>
      <c r="E2027" s="301">
        <v>0</v>
      </c>
      <c r="F2027" s="301">
        <v>0</v>
      </c>
      <c r="G2027" s="301">
        <v>0</v>
      </c>
      <c r="H2027" s="301">
        <v>0</v>
      </c>
      <c r="I2027" s="301">
        <v>0</v>
      </c>
      <c r="J2027" s="301">
        <v>0</v>
      </c>
      <c r="K2027" s="302">
        <v>1</v>
      </c>
      <c r="L2027" s="301">
        <v>2529067</v>
      </c>
      <c r="M2027" s="301">
        <v>0</v>
      </c>
      <c r="N2027" s="301">
        <v>0</v>
      </c>
      <c r="O2027" s="301">
        <v>0</v>
      </c>
      <c r="P2027" s="301">
        <v>0</v>
      </c>
      <c r="Q2027" s="301">
        <v>0</v>
      </c>
      <c r="R2027" s="301">
        <v>0</v>
      </c>
      <c r="S2027" s="301">
        <v>0</v>
      </c>
      <c r="T2027" s="301">
        <v>0</v>
      </c>
      <c r="U2027" s="301">
        <v>0</v>
      </c>
      <c r="V2027" s="301">
        <v>0</v>
      </c>
      <c r="W2027" s="301">
        <v>0</v>
      </c>
      <c r="X2027" s="301">
        <v>0</v>
      </c>
      <c r="Y2027" s="301">
        <v>0</v>
      </c>
      <c r="Z2027" s="301">
        <v>0</v>
      </c>
      <c r="AA2027" s="301">
        <v>0</v>
      </c>
      <c r="AB2027" s="303">
        <v>2022</v>
      </c>
    </row>
    <row r="2028" spans="1:28" ht="35.25" customHeight="1" x14ac:dyDescent="0.5">
      <c r="A2028">
        <v>1</v>
      </c>
      <c r="B2028" s="80">
        <f>SUBTOTAL(103,$A$1697:A2028)</f>
        <v>331</v>
      </c>
      <c r="C2028" s="306" t="s">
        <v>3065</v>
      </c>
      <c r="D2028" s="296">
        <f t="shared" si="100"/>
        <v>636100</v>
      </c>
      <c r="E2028" s="301">
        <v>0</v>
      </c>
      <c r="F2028" s="301">
        <v>0</v>
      </c>
      <c r="G2028" s="301">
        <v>0</v>
      </c>
      <c r="H2028" s="301">
        <v>0</v>
      </c>
      <c r="I2028" s="301">
        <v>0</v>
      </c>
      <c r="J2028" s="301">
        <v>0</v>
      </c>
      <c r="K2028" s="302">
        <v>0</v>
      </c>
      <c r="L2028" s="301">
        <v>0</v>
      </c>
      <c r="M2028" s="301">
        <v>0</v>
      </c>
      <c r="N2028" s="301">
        <v>0</v>
      </c>
      <c r="O2028" s="301">
        <v>636100</v>
      </c>
      <c r="P2028" s="301">
        <v>0</v>
      </c>
      <c r="Q2028" s="301">
        <v>0</v>
      </c>
      <c r="R2028" s="301">
        <v>0</v>
      </c>
      <c r="S2028" s="301">
        <v>0</v>
      </c>
      <c r="T2028" s="301">
        <v>0</v>
      </c>
      <c r="U2028" s="301">
        <v>0</v>
      </c>
      <c r="V2028" s="301">
        <v>0</v>
      </c>
      <c r="W2028" s="301">
        <v>0</v>
      </c>
      <c r="X2028" s="301">
        <v>0</v>
      </c>
      <c r="Y2028" s="301">
        <v>0</v>
      </c>
      <c r="Z2028" s="301">
        <v>0</v>
      </c>
      <c r="AA2028" s="301">
        <v>0</v>
      </c>
      <c r="AB2028" s="303">
        <v>2022</v>
      </c>
    </row>
    <row r="2029" spans="1:28" ht="35.25" customHeight="1" x14ac:dyDescent="0.5">
      <c r="A2029">
        <v>1</v>
      </c>
      <c r="B2029" s="80">
        <f>SUBTOTAL(103,$A$1697:A2029)</f>
        <v>332</v>
      </c>
      <c r="C2029" s="306" t="s">
        <v>3053</v>
      </c>
      <c r="D2029" s="296">
        <f t="shared" si="100"/>
        <v>254000</v>
      </c>
      <c r="E2029" s="301">
        <v>0</v>
      </c>
      <c r="F2029" s="301">
        <v>0</v>
      </c>
      <c r="G2029" s="301">
        <v>0</v>
      </c>
      <c r="H2029" s="301">
        <v>0</v>
      </c>
      <c r="I2029" s="301">
        <v>0</v>
      </c>
      <c r="J2029" s="301">
        <v>0</v>
      </c>
      <c r="K2029" s="302">
        <v>0</v>
      </c>
      <c r="L2029" s="301">
        <v>0</v>
      </c>
      <c r="M2029" s="301">
        <v>0</v>
      </c>
      <c r="N2029" s="301">
        <v>0</v>
      </c>
      <c r="O2029" s="301">
        <v>254000</v>
      </c>
      <c r="P2029" s="301">
        <v>0</v>
      </c>
      <c r="Q2029" s="301">
        <v>0</v>
      </c>
      <c r="R2029" s="301">
        <v>0</v>
      </c>
      <c r="S2029" s="301">
        <v>0</v>
      </c>
      <c r="T2029" s="301">
        <v>0</v>
      </c>
      <c r="U2029" s="301">
        <v>0</v>
      </c>
      <c r="V2029" s="301">
        <v>0</v>
      </c>
      <c r="W2029" s="301">
        <v>0</v>
      </c>
      <c r="X2029" s="301">
        <v>0</v>
      </c>
      <c r="Y2029" s="301">
        <v>0</v>
      </c>
      <c r="Z2029" s="301">
        <v>0</v>
      </c>
      <c r="AA2029" s="301">
        <v>0</v>
      </c>
      <c r="AB2029" s="303">
        <v>2022</v>
      </c>
    </row>
    <row r="2030" spans="1:28" ht="35.25" customHeight="1" x14ac:dyDescent="0.5">
      <c r="A2030">
        <v>1</v>
      </c>
      <c r="B2030" s="80">
        <f>SUBTOTAL(103,$A$1697:A2030)</f>
        <v>333</v>
      </c>
      <c r="C2030" s="306" t="s">
        <v>2421</v>
      </c>
      <c r="D2030" s="296">
        <f t="shared" si="100"/>
        <v>1160784</v>
      </c>
      <c r="E2030" s="301">
        <v>0</v>
      </c>
      <c r="F2030" s="301">
        <v>0</v>
      </c>
      <c r="G2030" s="301">
        <v>0</v>
      </c>
      <c r="H2030" s="301">
        <v>0</v>
      </c>
      <c r="I2030" s="301">
        <v>0</v>
      </c>
      <c r="J2030" s="301">
        <v>0</v>
      </c>
      <c r="K2030" s="302">
        <v>0</v>
      </c>
      <c r="L2030" s="301">
        <v>0</v>
      </c>
      <c r="M2030" s="301">
        <v>1160784</v>
      </c>
      <c r="N2030" s="301">
        <v>0</v>
      </c>
      <c r="O2030" s="301">
        <v>0</v>
      </c>
      <c r="P2030" s="301">
        <v>0</v>
      </c>
      <c r="Q2030" s="301">
        <v>0</v>
      </c>
      <c r="R2030" s="301">
        <v>0</v>
      </c>
      <c r="S2030" s="301">
        <v>0</v>
      </c>
      <c r="T2030" s="301">
        <v>0</v>
      </c>
      <c r="U2030" s="301">
        <v>0</v>
      </c>
      <c r="V2030" s="301">
        <v>0</v>
      </c>
      <c r="W2030" s="301">
        <v>0</v>
      </c>
      <c r="X2030" s="301">
        <v>0</v>
      </c>
      <c r="Y2030" s="301">
        <v>0</v>
      </c>
      <c r="Z2030" s="301">
        <v>0</v>
      </c>
      <c r="AA2030" s="301">
        <v>0</v>
      </c>
      <c r="AB2030" s="303">
        <v>2022</v>
      </c>
    </row>
    <row r="2031" spans="1:28" ht="35.25" customHeight="1" x14ac:dyDescent="0.5">
      <c r="A2031">
        <v>1</v>
      </c>
      <c r="B2031" s="80">
        <f>SUBTOTAL(103,$A$1697:A2031)</f>
        <v>334</v>
      </c>
      <c r="C2031" s="306" t="s">
        <v>3581</v>
      </c>
      <c r="D2031" s="296">
        <f t="shared" si="100"/>
        <v>2009121.63</v>
      </c>
      <c r="E2031" s="301">
        <v>0</v>
      </c>
      <c r="F2031" s="301">
        <v>0</v>
      </c>
      <c r="G2031" s="301">
        <v>0</v>
      </c>
      <c r="H2031" s="301">
        <v>0</v>
      </c>
      <c r="I2031" s="301">
        <v>0</v>
      </c>
      <c r="J2031" s="301">
        <v>0</v>
      </c>
      <c r="K2031" s="302">
        <v>0</v>
      </c>
      <c r="L2031" s="301">
        <v>0</v>
      </c>
      <c r="M2031" s="301">
        <v>2009121.63</v>
      </c>
      <c r="N2031" s="301">
        <v>0</v>
      </c>
      <c r="O2031" s="301">
        <v>0</v>
      </c>
      <c r="P2031" s="301">
        <v>0</v>
      </c>
      <c r="Q2031" s="301">
        <v>0</v>
      </c>
      <c r="R2031" s="301">
        <v>0</v>
      </c>
      <c r="S2031" s="301">
        <v>0</v>
      </c>
      <c r="T2031" s="301">
        <v>0</v>
      </c>
      <c r="U2031" s="301">
        <v>0</v>
      </c>
      <c r="V2031" s="301">
        <v>0</v>
      </c>
      <c r="W2031" s="301">
        <v>0</v>
      </c>
      <c r="X2031" s="301">
        <v>0</v>
      </c>
      <c r="Y2031" s="301">
        <v>0</v>
      </c>
      <c r="Z2031" s="301">
        <v>0</v>
      </c>
      <c r="AA2031" s="301">
        <v>0</v>
      </c>
      <c r="AB2031" s="303">
        <v>2022</v>
      </c>
    </row>
    <row r="2032" spans="1:28" ht="35.25" x14ac:dyDescent="0.5">
      <c r="A2032">
        <v>1</v>
      </c>
      <c r="B2032" s="80">
        <f>SUBTOTAL(103,$A$1697:A2032)</f>
        <v>335</v>
      </c>
      <c r="C2032" s="306" t="s">
        <v>3582</v>
      </c>
      <c r="D2032" s="296">
        <f t="shared" si="100"/>
        <v>2697953</v>
      </c>
      <c r="E2032" s="301">
        <v>0</v>
      </c>
      <c r="F2032" s="301">
        <v>0</v>
      </c>
      <c r="G2032" s="301">
        <v>0</v>
      </c>
      <c r="H2032" s="301">
        <v>0</v>
      </c>
      <c r="I2032" s="301">
        <v>0</v>
      </c>
      <c r="J2032" s="301">
        <v>0</v>
      </c>
      <c r="K2032" s="302">
        <v>0</v>
      </c>
      <c r="L2032" s="301">
        <v>0</v>
      </c>
      <c r="M2032" s="301">
        <v>2697953</v>
      </c>
      <c r="N2032" s="301">
        <v>0</v>
      </c>
      <c r="O2032" s="301">
        <v>0</v>
      </c>
      <c r="P2032" s="301">
        <v>0</v>
      </c>
      <c r="Q2032" s="301">
        <v>0</v>
      </c>
      <c r="R2032" s="301">
        <v>0</v>
      </c>
      <c r="S2032" s="301">
        <v>0</v>
      </c>
      <c r="T2032" s="301">
        <v>0</v>
      </c>
      <c r="U2032" s="301">
        <v>0</v>
      </c>
      <c r="V2032" s="301">
        <v>0</v>
      </c>
      <c r="W2032" s="301">
        <v>0</v>
      </c>
      <c r="X2032" s="301">
        <v>0</v>
      </c>
      <c r="Y2032" s="301">
        <v>0</v>
      </c>
      <c r="Z2032" s="301">
        <v>0</v>
      </c>
      <c r="AA2032" s="301">
        <v>0</v>
      </c>
      <c r="AB2032" s="303">
        <v>2022</v>
      </c>
    </row>
    <row r="2033" spans="1:28" ht="35.25" x14ac:dyDescent="0.5">
      <c r="A2033">
        <v>1</v>
      </c>
      <c r="B2033" s="80">
        <f>SUBTOTAL(103,$A$1697:A2033)</f>
        <v>336</v>
      </c>
      <c r="C2033" s="306" t="s">
        <v>2063</v>
      </c>
      <c r="D2033" s="296">
        <f t="shared" si="100"/>
        <v>504976.63</v>
      </c>
      <c r="E2033" s="301">
        <v>0</v>
      </c>
      <c r="F2033" s="301">
        <v>0</v>
      </c>
      <c r="G2033" s="301">
        <v>0</v>
      </c>
      <c r="H2033" s="301">
        <v>0</v>
      </c>
      <c r="I2033" s="301">
        <v>0</v>
      </c>
      <c r="J2033" s="301">
        <v>0</v>
      </c>
      <c r="K2033" s="302">
        <v>0</v>
      </c>
      <c r="L2033" s="301">
        <v>0</v>
      </c>
      <c r="M2033" s="301">
        <v>0</v>
      </c>
      <c r="N2033" s="301">
        <v>0</v>
      </c>
      <c r="O2033" s="301">
        <v>504976.63</v>
      </c>
      <c r="P2033" s="301">
        <v>0</v>
      </c>
      <c r="Q2033" s="301">
        <v>0</v>
      </c>
      <c r="R2033" s="301">
        <v>0</v>
      </c>
      <c r="S2033" s="301">
        <v>0</v>
      </c>
      <c r="T2033" s="301">
        <v>0</v>
      </c>
      <c r="U2033" s="301">
        <v>0</v>
      </c>
      <c r="V2033" s="301">
        <v>0</v>
      </c>
      <c r="W2033" s="301">
        <v>0</v>
      </c>
      <c r="X2033" s="301">
        <v>0</v>
      </c>
      <c r="Y2033" s="301">
        <v>0</v>
      </c>
      <c r="Z2033" s="301">
        <v>0</v>
      </c>
      <c r="AA2033" s="301">
        <v>0</v>
      </c>
      <c r="AB2033" s="303">
        <v>2022</v>
      </c>
    </row>
    <row r="2034" spans="1:28" ht="35.25" x14ac:dyDescent="0.5">
      <c r="A2034">
        <v>1</v>
      </c>
      <c r="B2034" s="80">
        <f>SUBTOTAL(103,$A$1697:A2034)</f>
        <v>337</v>
      </c>
      <c r="C2034" s="306" t="s">
        <v>1743</v>
      </c>
      <c r="D2034" s="296">
        <f t="shared" si="100"/>
        <v>999816.6</v>
      </c>
      <c r="E2034" s="301">
        <v>899678.4</v>
      </c>
      <c r="F2034" s="301">
        <v>0</v>
      </c>
      <c r="G2034" s="301">
        <v>0</v>
      </c>
      <c r="H2034" s="301">
        <v>0</v>
      </c>
      <c r="I2034" s="301">
        <v>0</v>
      </c>
      <c r="J2034" s="301">
        <v>0</v>
      </c>
      <c r="K2034" s="302">
        <v>0</v>
      </c>
      <c r="L2034" s="301">
        <v>0</v>
      </c>
      <c r="M2034" s="301">
        <v>100138.2</v>
      </c>
      <c r="N2034" s="301">
        <v>0</v>
      </c>
      <c r="O2034" s="301">
        <v>0</v>
      </c>
      <c r="P2034" s="301">
        <v>0</v>
      </c>
      <c r="Q2034" s="301">
        <v>0</v>
      </c>
      <c r="R2034" s="301">
        <v>0</v>
      </c>
      <c r="S2034" s="301">
        <v>0</v>
      </c>
      <c r="T2034" s="301">
        <v>0</v>
      </c>
      <c r="U2034" s="301">
        <v>0</v>
      </c>
      <c r="V2034" s="301">
        <v>0</v>
      </c>
      <c r="W2034" s="301">
        <v>0</v>
      </c>
      <c r="X2034" s="301">
        <v>0</v>
      </c>
      <c r="Y2034" s="301">
        <v>0</v>
      </c>
      <c r="Z2034" s="301">
        <v>0</v>
      </c>
      <c r="AA2034" s="301">
        <v>0</v>
      </c>
      <c r="AB2034" s="303">
        <v>2022</v>
      </c>
    </row>
    <row r="2035" spans="1:28" ht="35.25" x14ac:dyDescent="0.5">
      <c r="A2035">
        <v>1</v>
      </c>
      <c r="B2035" s="80">
        <f>SUBTOTAL(103,$A$1697:A2035)</f>
        <v>338</v>
      </c>
      <c r="C2035" s="306" t="s">
        <v>2064</v>
      </c>
      <c r="D2035" s="296">
        <f t="shared" si="100"/>
        <v>330000</v>
      </c>
      <c r="E2035" s="301">
        <v>0</v>
      </c>
      <c r="F2035" s="301">
        <v>0</v>
      </c>
      <c r="G2035" s="301">
        <v>330000</v>
      </c>
      <c r="H2035" s="301">
        <v>0</v>
      </c>
      <c r="I2035" s="301">
        <v>0</v>
      </c>
      <c r="J2035" s="301">
        <v>0</v>
      </c>
      <c r="K2035" s="302">
        <v>0</v>
      </c>
      <c r="L2035" s="301">
        <v>0</v>
      </c>
      <c r="M2035" s="301">
        <v>0</v>
      </c>
      <c r="N2035" s="301">
        <v>0</v>
      </c>
      <c r="O2035" s="301">
        <v>0</v>
      </c>
      <c r="P2035" s="301">
        <v>0</v>
      </c>
      <c r="Q2035" s="301">
        <v>0</v>
      </c>
      <c r="R2035" s="301">
        <v>0</v>
      </c>
      <c r="S2035" s="301">
        <v>0</v>
      </c>
      <c r="T2035" s="301">
        <v>0</v>
      </c>
      <c r="U2035" s="301">
        <v>0</v>
      </c>
      <c r="V2035" s="301">
        <v>0</v>
      </c>
      <c r="W2035" s="301">
        <v>0</v>
      </c>
      <c r="X2035" s="301">
        <v>0</v>
      </c>
      <c r="Y2035" s="301">
        <v>0</v>
      </c>
      <c r="Z2035" s="301">
        <v>0</v>
      </c>
      <c r="AA2035" s="301">
        <v>0</v>
      </c>
      <c r="AB2035" s="303">
        <v>2022</v>
      </c>
    </row>
    <row r="2036" spans="1:28" ht="35.25" x14ac:dyDescent="0.5">
      <c r="A2036">
        <v>1</v>
      </c>
      <c r="B2036" s="80">
        <f>SUBTOTAL(103,$A$1697:A2036)</f>
        <v>339</v>
      </c>
      <c r="C2036" s="306" t="s">
        <v>2808</v>
      </c>
      <c r="D2036" s="296">
        <f t="shared" si="100"/>
        <v>55190</v>
      </c>
      <c r="E2036" s="301">
        <v>0</v>
      </c>
      <c r="F2036" s="301">
        <v>0</v>
      </c>
      <c r="G2036" s="301">
        <v>0</v>
      </c>
      <c r="H2036" s="301">
        <v>0</v>
      </c>
      <c r="I2036" s="301">
        <v>0</v>
      </c>
      <c r="J2036" s="301">
        <v>0</v>
      </c>
      <c r="K2036" s="302">
        <v>0</v>
      </c>
      <c r="L2036" s="301">
        <v>0</v>
      </c>
      <c r="M2036" s="301">
        <v>55190</v>
      </c>
      <c r="N2036" s="301">
        <v>0</v>
      </c>
      <c r="O2036" s="301">
        <v>0</v>
      </c>
      <c r="P2036" s="301">
        <v>0</v>
      </c>
      <c r="Q2036" s="301">
        <v>0</v>
      </c>
      <c r="R2036" s="301">
        <v>0</v>
      </c>
      <c r="S2036" s="301">
        <v>0</v>
      </c>
      <c r="T2036" s="301">
        <v>0</v>
      </c>
      <c r="U2036" s="301">
        <v>0</v>
      </c>
      <c r="V2036" s="301">
        <v>0</v>
      </c>
      <c r="W2036" s="301">
        <v>0</v>
      </c>
      <c r="X2036" s="301">
        <v>0</v>
      </c>
      <c r="Y2036" s="301">
        <v>0</v>
      </c>
      <c r="Z2036" s="301">
        <v>0</v>
      </c>
      <c r="AA2036" s="301">
        <v>0</v>
      </c>
      <c r="AB2036" s="303">
        <v>2022</v>
      </c>
    </row>
    <row r="2037" spans="1:28" ht="35.25" x14ac:dyDescent="0.5">
      <c r="A2037">
        <v>1</v>
      </c>
      <c r="B2037" s="80">
        <f>SUBTOTAL(103,$A$1697:A2037)</f>
        <v>340</v>
      </c>
      <c r="C2037" s="306" t="s">
        <v>2066</v>
      </c>
      <c r="D2037" s="296">
        <f t="shared" si="100"/>
        <v>55190</v>
      </c>
      <c r="E2037" s="301">
        <v>0</v>
      </c>
      <c r="F2037" s="301">
        <v>0</v>
      </c>
      <c r="G2037" s="301">
        <v>0</v>
      </c>
      <c r="H2037" s="301">
        <v>0</v>
      </c>
      <c r="I2037" s="301">
        <v>0</v>
      </c>
      <c r="J2037" s="301">
        <v>0</v>
      </c>
      <c r="K2037" s="302">
        <v>0</v>
      </c>
      <c r="L2037" s="301">
        <v>0</v>
      </c>
      <c r="M2037" s="301">
        <v>55190</v>
      </c>
      <c r="N2037" s="301">
        <v>0</v>
      </c>
      <c r="O2037" s="301">
        <v>0</v>
      </c>
      <c r="P2037" s="301">
        <v>0</v>
      </c>
      <c r="Q2037" s="301">
        <v>0</v>
      </c>
      <c r="R2037" s="301">
        <v>0</v>
      </c>
      <c r="S2037" s="301">
        <v>0</v>
      </c>
      <c r="T2037" s="301">
        <v>0</v>
      </c>
      <c r="U2037" s="301">
        <v>0</v>
      </c>
      <c r="V2037" s="301">
        <v>0</v>
      </c>
      <c r="W2037" s="301">
        <v>0</v>
      </c>
      <c r="X2037" s="301">
        <v>0</v>
      </c>
      <c r="Y2037" s="301">
        <v>0</v>
      </c>
      <c r="Z2037" s="301">
        <v>0</v>
      </c>
      <c r="AA2037" s="301">
        <v>0</v>
      </c>
      <c r="AB2037" s="303">
        <v>2022</v>
      </c>
    </row>
    <row r="2038" spans="1:28" ht="35.25" x14ac:dyDescent="0.5">
      <c r="A2038">
        <v>1</v>
      </c>
      <c r="B2038" s="80">
        <f>SUBTOTAL(103,$A$1697:A2038)</f>
        <v>341</v>
      </c>
      <c r="C2038" s="306" t="s">
        <v>2067</v>
      </c>
      <c r="D2038" s="296">
        <f t="shared" si="100"/>
        <v>792892</v>
      </c>
      <c r="E2038" s="301">
        <v>0</v>
      </c>
      <c r="F2038" s="301">
        <v>0</v>
      </c>
      <c r="G2038" s="301">
        <v>0</v>
      </c>
      <c r="H2038" s="301">
        <v>33492</v>
      </c>
      <c r="I2038" s="301">
        <v>0</v>
      </c>
      <c r="J2038" s="301">
        <v>0</v>
      </c>
      <c r="K2038" s="302">
        <v>0</v>
      </c>
      <c r="L2038" s="301">
        <v>0</v>
      </c>
      <c r="M2038" s="301">
        <v>0</v>
      </c>
      <c r="N2038" s="301">
        <v>0</v>
      </c>
      <c r="O2038" s="301">
        <v>759400</v>
      </c>
      <c r="P2038" s="301">
        <v>0</v>
      </c>
      <c r="Q2038" s="301">
        <v>0</v>
      </c>
      <c r="R2038" s="301">
        <v>0</v>
      </c>
      <c r="S2038" s="301">
        <v>0</v>
      </c>
      <c r="T2038" s="301">
        <v>0</v>
      </c>
      <c r="U2038" s="301">
        <v>0</v>
      </c>
      <c r="V2038" s="301">
        <v>0</v>
      </c>
      <c r="W2038" s="301">
        <v>0</v>
      </c>
      <c r="X2038" s="301">
        <v>0</v>
      </c>
      <c r="Y2038" s="301">
        <v>0</v>
      </c>
      <c r="Z2038" s="301">
        <v>0</v>
      </c>
      <c r="AA2038" s="301">
        <v>0</v>
      </c>
      <c r="AB2038" s="303">
        <v>2022</v>
      </c>
    </row>
    <row r="2039" spans="1:28" ht="35.25" x14ac:dyDescent="0.5">
      <c r="A2039">
        <v>1</v>
      </c>
      <c r="B2039" s="80">
        <f>SUBTOTAL(103,$A$1697:A2039)</f>
        <v>342</v>
      </c>
      <c r="C2039" s="306" t="s">
        <v>3583</v>
      </c>
      <c r="D2039" s="296">
        <f t="shared" si="100"/>
        <v>156000</v>
      </c>
      <c r="E2039" s="301">
        <v>0</v>
      </c>
      <c r="F2039" s="301">
        <v>0</v>
      </c>
      <c r="G2039" s="301">
        <v>0</v>
      </c>
      <c r="H2039" s="301">
        <v>156000</v>
      </c>
      <c r="I2039" s="301">
        <v>0</v>
      </c>
      <c r="J2039" s="301">
        <v>0</v>
      </c>
      <c r="K2039" s="302">
        <v>0</v>
      </c>
      <c r="L2039" s="301">
        <v>0</v>
      </c>
      <c r="M2039" s="301">
        <v>0</v>
      </c>
      <c r="N2039" s="301">
        <v>0</v>
      </c>
      <c r="O2039" s="301">
        <v>0</v>
      </c>
      <c r="P2039" s="301">
        <v>0</v>
      </c>
      <c r="Q2039" s="301">
        <v>0</v>
      </c>
      <c r="R2039" s="301">
        <v>0</v>
      </c>
      <c r="S2039" s="301">
        <v>0</v>
      </c>
      <c r="T2039" s="301">
        <v>0</v>
      </c>
      <c r="U2039" s="301">
        <v>0</v>
      </c>
      <c r="V2039" s="301">
        <v>0</v>
      </c>
      <c r="W2039" s="301">
        <v>0</v>
      </c>
      <c r="X2039" s="301">
        <v>0</v>
      </c>
      <c r="Y2039" s="301">
        <v>0</v>
      </c>
      <c r="Z2039" s="301">
        <v>0</v>
      </c>
      <c r="AA2039" s="301">
        <v>0</v>
      </c>
      <c r="AB2039" s="303">
        <v>2022</v>
      </c>
    </row>
    <row r="2040" spans="1:28" ht="35.25" x14ac:dyDescent="0.5">
      <c r="A2040">
        <v>1</v>
      </c>
      <c r="B2040" s="80">
        <f>SUBTOTAL(103,$A$1697:A2040)</f>
        <v>343</v>
      </c>
      <c r="C2040" s="306" t="s">
        <v>2810</v>
      </c>
      <c r="D2040" s="296">
        <f t="shared" si="100"/>
        <v>1318600</v>
      </c>
      <c r="E2040" s="301">
        <v>0</v>
      </c>
      <c r="F2040" s="301">
        <v>0</v>
      </c>
      <c r="G2040" s="301">
        <v>0</v>
      </c>
      <c r="H2040" s="301">
        <v>0</v>
      </c>
      <c r="I2040" s="301">
        <v>0</v>
      </c>
      <c r="J2040" s="301">
        <v>0</v>
      </c>
      <c r="K2040" s="302">
        <v>1</v>
      </c>
      <c r="L2040" s="301">
        <v>1318600</v>
      </c>
      <c r="M2040" s="301">
        <v>0</v>
      </c>
      <c r="N2040" s="301">
        <v>0</v>
      </c>
      <c r="O2040" s="301">
        <v>0</v>
      </c>
      <c r="P2040" s="301">
        <v>0</v>
      </c>
      <c r="Q2040" s="301">
        <v>0</v>
      </c>
      <c r="R2040" s="301">
        <v>0</v>
      </c>
      <c r="S2040" s="301">
        <v>0</v>
      </c>
      <c r="T2040" s="301">
        <v>0</v>
      </c>
      <c r="U2040" s="301">
        <v>0</v>
      </c>
      <c r="V2040" s="301">
        <v>0</v>
      </c>
      <c r="W2040" s="301">
        <v>0</v>
      </c>
      <c r="X2040" s="301">
        <v>0</v>
      </c>
      <c r="Y2040" s="301">
        <v>0</v>
      </c>
      <c r="Z2040" s="301">
        <v>0</v>
      </c>
      <c r="AA2040" s="301">
        <v>0</v>
      </c>
      <c r="AB2040" s="303">
        <v>2022</v>
      </c>
    </row>
    <row r="2041" spans="1:28" ht="35.25" x14ac:dyDescent="0.5">
      <c r="A2041">
        <v>1</v>
      </c>
      <c r="B2041" s="80">
        <f>SUBTOTAL(103,$A$1697:A2041)</f>
        <v>344</v>
      </c>
      <c r="C2041" s="306" t="s">
        <v>3541</v>
      </c>
      <c r="D2041" s="296">
        <f t="shared" si="100"/>
        <v>2015249.8</v>
      </c>
      <c r="E2041" s="301">
        <v>0</v>
      </c>
      <c r="F2041" s="301">
        <v>0</v>
      </c>
      <c r="G2041" s="301">
        <v>0</v>
      </c>
      <c r="H2041" s="301">
        <v>0</v>
      </c>
      <c r="I2041" s="301">
        <v>0</v>
      </c>
      <c r="J2041" s="301">
        <v>0</v>
      </c>
      <c r="K2041" s="302">
        <v>1</v>
      </c>
      <c r="L2041" s="301">
        <v>2015249.8</v>
      </c>
      <c r="M2041" s="301">
        <v>0</v>
      </c>
      <c r="N2041" s="301">
        <v>0</v>
      </c>
      <c r="O2041" s="301">
        <v>0</v>
      </c>
      <c r="P2041" s="301">
        <v>0</v>
      </c>
      <c r="Q2041" s="301">
        <v>0</v>
      </c>
      <c r="R2041" s="301">
        <v>0</v>
      </c>
      <c r="S2041" s="301">
        <v>0</v>
      </c>
      <c r="T2041" s="301">
        <v>0</v>
      </c>
      <c r="U2041" s="301">
        <v>0</v>
      </c>
      <c r="V2041" s="301">
        <v>0</v>
      </c>
      <c r="W2041" s="301">
        <v>0</v>
      </c>
      <c r="X2041" s="301">
        <v>0</v>
      </c>
      <c r="Y2041" s="301">
        <v>0</v>
      </c>
      <c r="Z2041" s="301">
        <v>0</v>
      </c>
      <c r="AA2041" s="301">
        <v>0</v>
      </c>
      <c r="AB2041" s="303">
        <v>2022</v>
      </c>
    </row>
    <row r="2042" spans="1:28" ht="35.25" x14ac:dyDescent="0.5">
      <c r="A2042">
        <v>1</v>
      </c>
      <c r="B2042" s="80">
        <f>SUBTOTAL(103,$A$1697:A2042)</f>
        <v>345</v>
      </c>
      <c r="C2042" s="306" t="s">
        <v>3657</v>
      </c>
      <c r="D2042" s="296">
        <f>E2042+F2042+G2042+H2042+I2042+J2042+L2042+M2042+N2042+O2042+P2042+Q2042+R2042+S2042+T2042+U2042+V2042+W2042+X2042+Y2042+Z2042+AA2042</f>
        <v>2600000</v>
      </c>
      <c r="E2042" s="301">
        <v>0</v>
      </c>
      <c r="F2042" s="301">
        <v>0</v>
      </c>
      <c r="G2042" s="301">
        <v>0</v>
      </c>
      <c r="H2042" s="301">
        <v>0</v>
      </c>
      <c r="I2042" s="301">
        <v>0</v>
      </c>
      <c r="J2042" s="301">
        <v>0</v>
      </c>
      <c r="K2042" s="302">
        <v>1</v>
      </c>
      <c r="L2042" s="301">
        <v>2600000</v>
      </c>
      <c r="M2042" s="301">
        <v>0</v>
      </c>
      <c r="N2042" s="301">
        <v>0</v>
      </c>
      <c r="O2042" s="301">
        <v>0</v>
      </c>
      <c r="P2042" s="301">
        <v>0</v>
      </c>
      <c r="Q2042" s="301">
        <v>0</v>
      </c>
      <c r="R2042" s="301">
        <v>0</v>
      </c>
      <c r="S2042" s="301">
        <v>0</v>
      </c>
      <c r="T2042" s="301">
        <v>0</v>
      </c>
      <c r="U2042" s="301">
        <v>0</v>
      </c>
      <c r="V2042" s="301">
        <v>0</v>
      </c>
      <c r="W2042" s="301">
        <v>0</v>
      </c>
      <c r="X2042" s="301">
        <v>0</v>
      </c>
      <c r="Y2042" s="301">
        <v>0</v>
      </c>
      <c r="Z2042" s="301">
        <v>0</v>
      </c>
      <c r="AA2042" s="301">
        <v>0</v>
      </c>
      <c r="AB2042" s="303">
        <v>2022</v>
      </c>
    </row>
    <row r="2043" spans="1:28" ht="35.25" x14ac:dyDescent="0.5">
      <c r="A2043">
        <v>1</v>
      </c>
      <c r="B2043" s="80">
        <f>SUBTOTAL(103,$A$1697:A2043)</f>
        <v>346</v>
      </c>
      <c r="C2043" s="306" t="s">
        <v>3212</v>
      </c>
      <c r="D2043" s="296">
        <f t="shared" si="100"/>
        <v>6097567</v>
      </c>
      <c r="E2043" s="304">
        <v>0</v>
      </c>
      <c r="F2043" s="304">
        <v>0</v>
      </c>
      <c r="G2043" s="304">
        <v>0</v>
      </c>
      <c r="H2043" s="304">
        <v>0</v>
      </c>
      <c r="I2043" s="304">
        <v>0</v>
      </c>
      <c r="J2043" s="304">
        <v>0</v>
      </c>
      <c r="K2043" s="305">
        <v>0</v>
      </c>
      <c r="L2043" s="304">
        <v>0</v>
      </c>
      <c r="M2043" s="304">
        <f>3976710+751135</f>
        <v>4727845</v>
      </c>
      <c r="N2043" s="304">
        <v>0</v>
      </c>
      <c r="O2043" s="304">
        <v>1369722</v>
      </c>
      <c r="P2043" s="304">
        <v>0</v>
      </c>
      <c r="Q2043" s="304">
        <v>0</v>
      </c>
      <c r="R2043" s="304">
        <v>0</v>
      </c>
      <c r="S2043" s="304">
        <v>0</v>
      </c>
      <c r="T2043" s="304">
        <v>0</v>
      </c>
      <c r="U2043" s="304">
        <v>0</v>
      </c>
      <c r="V2043" s="304">
        <v>0</v>
      </c>
      <c r="W2043" s="304">
        <v>0</v>
      </c>
      <c r="X2043" s="304">
        <v>0</v>
      </c>
      <c r="Y2043" s="304">
        <v>0</v>
      </c>
      <c r="Z2043" s="304">
        <v>0</v>
      </c>
      <c r="AA2043" s="304">
        <v>0</v>
      </c>
      <c r="AB2043" s="307">
        <v>2022</v>
      </c>
    </row>
    <row r="2044" spans="1:28" ht="35.25" x14ac:dyDescent="0.5">
      <c r="B2044" s="300" t="s">
        <v>986</v>
      </c>
      <c r="C2044" s="300"/>
      <c r="D2044" s="296">
        <f t="shared" si="100"/>
        <v>67564081.289999992</v>
      </c>
      <c r="E2044" s="296">
        <f t="shared" ref="E2044:AA2044" si="101">SUM(E2045:E2091)</f>
        <v>1188206.5</v>
      </c>
      <c r="F2044" s="296">
        <f t="shared" si="101"/>
        <v>481559.5</v>
      </c>
      <c r="G2044" s="296">
        <f t="shared" si="101"/>
        <v>4340066.82</v>
      </c>
      <c r="H2044" s="296">
        <f t="shared" si="101"/>
        <v>1280928.3399999999</v>
      </c>
      <c r="I2044" s="296">
        <f t="shared" si="101"/>
        <v>1000869</v>
      </c>
      <c r="J2044" s="296">
        <f t="shared" si="101"/>
        <v>0</v>
      </c>
      <c r="K2044" s="297">
        <f t="shared" si="101"/>
        <v>2</v>
      </c>
      <c r="L2044" s="296">
        <f t="shared" si="101"/>
        <v>4360000</v>
      </c>
      <c r="M2044" s="296">
        <f t="shared" si="101"/>
        <v>35881341.219999999</v>
      </c>
      <c r="N2044" s="296">
        <f t="shared" si="101"/>
        <v>2041055.02</v>
      </c>
      <c r="O2044" s="296">
        <f t="shared" si="101"/>
        <v>16797054.890000001</v>
      </c>
      <c r="P2044" s="296">
        <f t="shared" si="101"/>
        <v>193000</v>
      </c>
      <c r="Q2044" s="296">
        <f t="shared" si="101"/>
        <v>0</v>
      </c>
      <c r="R2044" s="296">
        <f t="shared" si="101"/>
        <v>0</v>
      </c>
      <c r="S2044" s="296">
        <f t="shared" si="101"/>
        <v>0</v>
      </c>
      <c r="T2044" s="296">
        <f t="shared" si="101"/>
        <v>0</v>
      </c>
      <c r="U2044" s="296">
        <f t="shared" si="101"/>
        <v>0</v>
      </c>
      <c r="V2044" s="296">
        <f t="shared" si="101"/>
        <v>0</v>
      </c>
      <c r="W2044" s="296">
        <f t="shared" si="101"/>
        <v>0</v>
      </c>
      <c r="X2044" s="296">
        <f t="shared" si="101"/>
        <v>0</v>
      </c>
      <c r="Y2044" s="296">
        <f t="shared" si="101"/>
        <v>0</v>
      </c>
      <c r="Z2044" s="296">
        <f t="shared" si="101"/>
        <v>0</v>
      </c>
      <c r="AA2044" s="296">
        <f t="shared" si="101"/>
        <v>0</v>
      </c>
      <c r="AB2044" s="298" t="s">
        <v>835</v>
      </c>
    </row>
    <row r="2045" spans="1:28" ht="35.25" x14ac:dyDescent="0.5">
      <c r="A2045">
        <v>1</v>
      </c>
      <c r="B2045" s="80">
        <f>SUBTOTAL(103,$A$1697:A2045)</f>
        <v>347</v>
      </c>
      <c r="C2045" s="300" t="s">
        <v>3079</v>
      </c>
      <c r="D2045" s="296">
        <f t="shared" si="100"/>
        <v>4360000</v>
      </c>
      <c r="E2045" s="301">
        <v>0</v>
      </c>
      <c r="F2045" s="301">
        <v>0</v>
      </c>
      <c r="G2045" s="301">
        <v>0</v>
      </c>
      <c r="H2045" s="301">
        <v>0</v>
      </c>
      <c r="I2045" s="301">
        <v>0</v>
      </c>
      <c r="J2045" s="301">
        <v>0</v>
      </c>
      <c r="K2045" s="302">
        <v>2</v>
      </c>
      <c r="L2045" s="301">
        <v>4360000</v>
      </c>
      <c r="M2045" s="301">
        <v>0</v>
      </c>
      <c r="N2045" s="301">
        <v>0</v>
      </c>
      <c r="O2045" s="301">
        <v>0</v>
      </c>
      <c r="P2045" s="301">
        <v>0</v>
      </c>
      <c r="Q2045" s="301">
        <v>0</v>
      </c>
      <c r="R2045" s="301">
        <v>0</v>
      </c>
      <c r="S2045" s="301">
        <v>0</v>
      </c>
      <c r="T2045" s="301">
        <v>0</v>
      </c>
      <c r="U2045" s="301">
        <v>0</v>
      </c>
      <c r="V2045" s="301">
        <v>0</v>
      </c>
      <c r="W2045" s="301">
        <v>0</v>
      </c>
      <c r="X2045" s="301">
        <v>0</v>
      </c>
      <c r="Y2045" s="301">
        <v>0</v>
      </c>
      <c r="Z2045" s="301">
        <v>0</v>
      </c>
      <c r="AA2045" s="301">
        <v>0</v>
      </c>
      <c r="AB2045" s="303">
        <v>2022</v>
      </c>
    </row>
    <row r="2046" spans="1:28" ht="35.25" x14ac:dyDescent="0.5">
      <c r="A2046">
        <v>1</v>
      </c>
      <c r="B2046" s="80">
        <f>SUBTOTAL(103,$A$1697:A2046)</f>
        <v>348</v>
      </c>
      <c r="C2046" s="300" t="s">
        <v>3332</v>
      </c>
      <c r="D2046" s="296">
        <f t="shared" si="100"/>
        <v>2323500</v>
      </c>
      <c r="E2046" s="301">
        <v>0</v>
      </c>
      <c r="F2046" s="301">
        <v>0</v>
      </c>
      <c r="G2046" s="301">
        <v>0</v>
      </c>
      <c r="H2046" s="301">
        <v>0</v>
      </c>
      <c r="I2046" s="301">
        <v>0</v>
      </c>
      <c r="J2046" s="301">
        <v>0</v>
      </c>
      <c r="K2046" s="302">
        <v>0</v>
      </c>
      <c r="L2046" s="301">
        <v>0</v>
      </c>
      <c r="M2046" s="301">
        <f>851550+418650+1053300</f>
        <v>2323500</v>
      </c>
      <c r="N2046" s="301">
        <v>0</v>
      </c>
      <c r="O2046" s="301">
        <v>0</v>
      </c>
      <c r="P2046" s="301">
        <v>0</v>
      </c>
      <c r="Q2046" s="301">
        <v>0</v>
      </c>
      <c r="R2046" s="301">
        <v>0</v>
      </c>
      <c r="S2046" s="301">
        <v>0</v>
      </c>
      <c r="T2046" s="301">
        <v>0</v>
      </c>
      <c r="U2046" s="301">
        <v>0</v>
      </c>
      <c r="V2046" s="301">
        <v>0</v>
      </c>
      <c r="W2046" s="301">
        <v>0</v>
      </c>
      <c r="X2046" s="301">
        <v>0</v>
      </c>
      <c r="Y2046" s="301">
        <v>0</v>
      </c>
      <c r="Z2046" s="301">
        <v>0</v>
      </c>
      <c r="AA2046" s="301">
        <v>0</v>
      </c>
      <c r="AB2046" s="303">
        <v>2022</v>
      </c>
    </row>
    <row r="2047" spans="1:28" ht="35.25" x14ac:dyDescent="0.5">
      <c r="A2047">
        <v>1</v>
      </c>
      <c r="B2047" s="80">
        <f>SUBTOTAL(103,$A$1697:A2047)</f>
        <v>349</v>
      </c>
      <c r="C2047" s="300" t="s">
        <v>1688</v>
      </c>
      <c r="D2047" s="296">
        <f t="shared" si="100"/>
        <v>696000</v>
      </c>
      <c r="E2047" s="301">
        <v>0</v>
      </c>
      <c r="F2047" s="301">
        <v>0</v>
      </c>
      <c r="G2047" s="301">
        <v>0</v>
      </c>
      <c r="H2047" s="301">
        <v>0</v>
      </c>
      <c r="I2047" s="301">
        <v>0</v>
      </c>
      <c r="J2047" s="301">
        <v>0</v>
      </c>
      <c r="K2047" s="302">
        <v>0</v>
      </c>
      <c r="L2047" s="301">
        <v>0</v>
      </c>
      <c r="M2047" s="301">
        <f>174000+174000+348000</f>
        <v>696000</v>
      </c>
      <c r="N2047" s="301">
        <v>0</v>
      </c>
      <c r="O2047" s="301">
        <v>0</v>
      </c>
      <c r="P2047" s="301">
        <v>0</v>
      </c>
      <c r="Q2047" s="301">
        <v>0</v>
      </c>
      <c r="R2047" s="301">
        <v>0</v>
      </c>
      <c r="S2047" s="301">
        <v>0</v>
      </c>
      <c r="T2047" s="301">
        <v>0</v>
      </c>
      <c r="U2047" s="301">
        <v>0</v>
      </c>
      <c r="V2047" s="301">
        <v>0</v>
      </c>
      <c r="W2047" s="301">
        <v>0</v>
      </c>
      <c r="X2047" s="301">
        <v>0</v>
      </c>
      <c r="Y2047" s="301">
        <v>0</v>
      </c>
      <c r="Z2047" s="301">
        <v>0</v>
      </c>
      <c r="AA2047" s="301">
        <v>0</v>
      </c>
      <c r="AB2047" s="303">
        <v>2022</v>
      </c>
    </row>
    <row r="2048" spans="1:28" ht="35.25" x14ac:dyDescent="0.5">
      <c r="A2048">
        <v>1</v>
      </c>
      <c r="B2048" s="80">
        <f>SUBTOTAL(103,$A$1697:A2048)</f>
        <v>350</v>
      </c>
      <c r="C2048" s="300" t="s">
        <v>1934</v>
      </c>
      <c r="D2048" s="296">
        <f t="shared" si="100"/>
        <v>810421</v>
      </c>
      <c r="E2048" s="301">
        <v>405210.5</v>
      </c>
      <c r="F2048" s="301">
        <v>405210.5</v>
      </c>
      <c r="G2048" s="301">
        <v>0</v>
      </c>
      <c r="H2048" s="301">
        <v>0</v>
      </c>
      <c r="I2048" s="301">
        <v>0</v>
      </c>
      <c r="J2048" s="301">
        <v>0</v>
      </c>
      <c r="K2048" s="302">
        <v>0</v>
      </c>
      <c r="L2048" s="301">
        <v>0</v>
      </c>
      <c r="M2048" s="301">
        <v>0</v>
      </c>
      <c r="N2048" s="301">
        <v>0</v>
      </c>
      <c r="O2048" s="301">
        <v>0</v>
      </c>
      <c r="P2048" s="301">
        <v>0</v>
      </c>
      <c r="Q2048" s="301">
        <v>0</v>
      </c>
      <c r="R2048" s="301">
        <v>0</v>
      </c>
      <c r="S2048" s="301">
        <v>0</v>
      </c>
      <c r="T2048" s="301">
        <v>0</v>
      </c>
      <c r="U2048" s="301">
        <v>0</v>
      </c>
      <c r="V2048" s="301">
        <v>0</v>
      </c>
      <c r="W2048" s="301">
        <v>0</v>
      </c>
      <c r="X2048" s="301">
        <v>0</v>
      </c>
      <c r="Y2048" s="301">
        <v>0</v>
      </c>
      <c r="Z2048" s="301">
        <v>0</v>
      </c>
      <c r="AA2048" s="301">
        <v>0</v>
      </c>
      <c r="AB2048" s="303">
        <v>2022</v>
      </c>
    </row>
    <row r="2049" spans="1:28" ht="35.25" x14ac:dyDescent="0.5">
      <c r="A2049">
        <v>1</v>
      </c>
      <c r="B2049" s="80">
        <f>SUBTOTAL(103,$A$1697:A2049)</f>
        <v>351</v>
      </c>
      <c r="C2049" s="300" t="s">
        <v>3070</v>
      </c>
      <c r="D2049" s="296">
        <f t="shared" si="100"/>
        <v>250000</v>
      </c>
      <c r="E2049" s="301">
        <v>0</v>
      </c>
      <c r="F2049" s="301">
        <v>0</v>
      </c>
      <c r="G2049" s="301">
        <v>250000</v>
      </c>
      <c r="H2049" s="301">
        <v>0</v>
      </c>
      <c r="I2049" s="301">
        <v>0</v>
      </c>
      <c r="J2049" s="301">
        <v>0</v>
      </c>
      <c r="K2049" s="302">
        <v>0</v>
      </c>
      <c r="L2049" s="301">
        <v>0</v>
      </c>
      <c r="M2049" s="301">
        <v>0</v>
      </c>
      <c r="N2049" s="301">
        <v>0</v>
      </c>
      <c r="O2049" s="301">
        <v>0</v>
      </c>
      <c r="P2049" s="301">
        <v>0</v>
      </c>
      <c r="Q2049" s="301">
        <v>0</v>
      </c>
      <c r="R2049" s="301">
        <v>0</v>
      </c>
      <c r="S2049" s="301">
        <v>0</v>
      </c>
      <c r="T2049" s="301">
        <v>0</v>
      </c>
      <c r="U2049" s="301">
        <v>0</v>
      </c>
      <c r="V2049" s="301">
        <v>0</v>
      </c>
      <c r="W2049" s="301">
        <v>0</v>
      </c>
      <c r="X2049" s="301">
        <v>0</v>
      </c>
      <c r="Y2049" s="301">
        <v>0</v>
      </c>
      <c r="Z2049" s="301">
        <v>0</v>
      </c>
      <c r="AA2049" s="301">
        <v>0</v>
      </c>
      <c r="AB2049" s="303">
        <v>2022</v>
      </c>
    </row>
    <row r="2050" spans="1:28" ht="35.25" x14ac:dyDescent="0.5">
      <c r="A2050">
        <v>1</v>
      </c>
      <c r="B2050" s="80">
        <f>SUBTOTAL(103,$A$1697:A2050)</f>
        <v>352</v>
      </c>
      <c r="C2050" s="300" t="s">
        <v>1936</v>
      </c>
      <c r="D2050" s="296">
        <f t="shared" si="100"/>
        <v>193000</v>
      </c>
      <c r="E2050" s="301">
        <v>0</v>
      </c>
      <c r="F2050" s="301">
        <v>0</v>
      </c>
      <c r="G2050" s="301">
        <v>0</v>
      </c>
      <c r="H2050" s="301">
        <v>0</v>
      </c>
      <c r="I2050" s="301">
        <v>0</v>
      </c>
      <c r="J2050" s="301">
        <v>0</v>
      </c>
      <c r="K2050" s="302">
        <v>0</v>
      </c>
      <c r="L2050" s="301">
        <v>0</v>
      </c>
      <c r="M2050" s="301">
        <v>0</v>
      </c>
      <c r="N2050" s="301">
        <v>0</v>
      </c>
      <c r="O2050" s="301">
        <v>0</v>
      </c>
      <c r="P2050" s="301">
        <f>97000+96000</f>
        <v>193000</v>
      </c>
      <c r="Q2050" s="301">
        <v>0</v>
      </c>
      <c r="R2050" s="301">
        <v>0</v>
      </c>
      <c r="S2050" s="301">
        <v>0</v>
      </c>
      <c r="T2050" s="301">
        <v>0</v>
      </c>
      <c r="U2050" s="301">
        <v>0</v>
      </c>
      <c r="V2050" s="301">
        <v>0</v>
      </c>
      <c r="W2050" s="301">
        <v>0</v>
      </c>
      <c r="X2050" s="301">
        <v>0</v>
      </c>
      <c r="Y2050" s="301">
        <v>0</v>
      </c>
      <c r="Z2050" s="301">
        <v>0</v>
      </c>
      <c r="AA2050" s="301">
        <v>0</v>
      </c>
      <c r="AB2050" s="303">
        <v>2022</v>
      </c>
    </row>
    <row r="2051" spans="1:28" ht="35.25" x14ac:dyDescent="0.5">
      <c r="A2051">
        <v>1</v>
      </c>
      <c r="B2051" s="80">
        <f>SUBTOTAL(103,$A$1697:A2051)</f>
        <v>353</v>
      </c>
      <c r="C2051" s="300" t="s">
        <v>1938</v>
      </c>
      <c r="D2051" s="296">
        <f t="shared" si="100"/>
        <v>145500</v>
      </c>
      <c r="E2051" s="301">
        <v>0</v>
      </c>
      <c r="F2051" s="301">
        <v>0</v>
      </c>
      <c r="G2051" s="301">
        <f>60000+56300+29200</f>
        <v>145500</v>
      </c>
      <c r="H2051" s="301">
        <v>0</v>
      </c>
      <c r="I2051" s="301">
        <v>0</v>
      </c>
      <c r="J2051" s="301">
        <v>0</v>
      </c>
      <c r="K2051" s="302">
        <v>0</v>
      </c>
      <c r="L2051" s="301">
        <v>0</v>
      </c>
      <c r="M2051" s="301">
        <v>0</v>
      </c>
      <c r="N2051" s="301">
        <v>0</v>
      </c>
      <c r="O2051" s="301">
        <v>0</v>
      </c>
      <c r="P2051" s="301">
        <v>0</v>
      </c>
      <c r="Q2051" s="301">
        <v>0</v>
      </c>
      <c r="R2051" s="301">
        <v>0</v>
      </c>
      <c r="S2051" s="301">
        <v>0</v>
      </c>
      <c r="T2051" s="301">
        <v>0</v>
      </c>
      <c r="U2051" s="301">
        <v>0</v>
      </c>
      <c r="V2051" s="301">
        <v>0</v>
      </c>
      <c r="W2051" s="301">
        <v>0</v>
      </c>
      <c r="X2051" s="301">
        <v>0</v>
      </c>
      <c r="Y2051" s="301">
        <v>0</v>
      </c>
      <c r="Z2051" s="301">
        <v>0</v>
      </c>
      <c r="AA2051" s="301">
        <v>0</v>
      </c>
      <c r="AB2051" s="303">
        <v>2022</v>
      </c>
    </row>
    <row r="2052" spans="1:28" ht="35.25" x14ac:dyDescent="0.5">
      <c r="A2052">
        <v>1</v>
      </c>
      <c r="B2052" s="80">
        <f>SUBTOTAL(103,$A$1697:A2052)</f>
        <v>354</v>
      </c>
      <c r="C2052" s="300" t="s">
        <v>3333</v>
      </c>
      <c r="D2052" s="296">
        <f t="shared" si="100"/>
        <v>2723698.2</v>
      </c>
      <c r="E2052" s="301">
        <v>0</v>
      </c>
      <c r="F2052" s="301">
        <v>0</v>
      </c>
      <c r="G2052" s="301">
        <v>0</v>
      </c>
      <c r="H2052" s="301">
        <v>0</v>
      </c>
      <c r="I2052" s="301">
        <v>0</v>
      </c>
      <c r="J2052" s="301">
        <v>0</v>
      </c>
      <c r="K2052" s="302">
        <v>0</v>
      </c>
      <c r="L2052" s="301">
        <v>0</v>
      </c>
      <c r="M2052" s="301">
        <f>2294698.2+140000+289000</f>
        <v>2723698.2</v>
      </c>
      <c r="N2052" s="301">
        <v>0</v>
      </c>
      <c r="O2052" s="301">
        <v>0</v>
      </c>
      <c r="P2052" s="301">
        <v>0</v>
      </c>
      <c r="Q2052" s="301">
        <v>0</v>
      </c>
      <c r="R2052" s="301">
        <v>0</v>
      </c>
      <c r="S2052" s="301">
        <v>0</v>
      </c>
      <c r="T2052" s="301">
        <v>0</v>
      </c>
      <c r="U2052" s="301">
        <v>0</v>
      </c>
      <c r="V2052" s="301">
        <v>0</v>
      </c>
      <c r="W2052" s="301">
        <v>0</v>
      </c>
      <c r="X2052" s="301">
        <v>0</v>
      </c>
      <c r="Y2052" s="301">
        <v>0</v>
      </c>
      <c r="Z2052" s="301">
        <v>0</v>
      </c>
      <c r="AA2052" s="301">
        <v>0</v>
      </c>
      <c r="AB2052" s="303">
        <v>2022</v>
      </c>
    </row>
    <row r="2053" spans="1:28" ht="35.25" x14ac:dyDescent="0.5">
      <c r="A2053">
        <v>1</v>
      </c>
      <c r="B2053" s="80">
        <f>SUBTOTAL(103,$A$1697:A2053)</f>
        <v>355</v>
      </c>
      <c r="C2053" s="300" t="s">
        <v>1939</v>
      </c>
      <c r="D2053" s="296">
        <f t="shared" si="100"/>
        <v>244410</v>
      </c>
      <c r="E2053" s="301">
        <v>0</v>
      </c>
      <c r="F2053" s="301">
        <v>0</v>
      </c>
      <c r="G2053" s="301">
        <v>0</v>
      </c>
      <c r="H2053" s="301">
        <v>0</v>
      </c>
      <c r="I2053" s="301">
        <v>0</v>
      </c>
      <c r="J2053" s="301">
        <v>0</v>
      </c>
      <c r="K2053" s="302">
        <v>0</v>
      </c>
      <c r="L2053" s="301">
        <v>0</v>
      </c>
      <c r="M2053" s="301">
        <f>77571+89268+77571</f>
        <v>244410</v>
      </c>
      <c r="N2053" s="301">
        <v>0</v>
      </c>
      <c r="O2053" s="301">
        <v>0</v>
      </c>
      <c r="P2053" s="301">
        <v>0</v>
      </c>
      <c r="Q2053" s="301">
        <v>0</v>
      </c>
      <c r="R2053" s="301">
        <v>0</v>
      </c>
      <c r="S2053" s="301">
        <v>0</v>
      </c>
      <c r="T2053" s="301">
        <v>0</v>
      </c>
      <c r="U2053" s="301">
        <v>0</v>
      </c>
      <c r="V2053" s="301">
        <v>0</v>
      </c>
      <c r="W2053" s="301">
        <v>0</v>
      </c>
      <c r="X2053" s="301">
        <v>0</v>
      </c>
      <c r="Y2053" s="301">
        <v>0</v>
      </c>
      <c r="Z2053" s="301">
        <v>0</v>
      </c>
      <c r="AA2053" s="301">
        <v>0</v>
      </c>
      <c r="AB2053" s="303">
        <v>2022</v>
      </c>
    </row>
    <row r="2054" spans="1:28" ht="35.25" x14ac:dyDescent="0.5">
      <c r="A2054">
        <v>1</v>
      </c>
      <c r="B2054" s="80">
        <f>SUBTOTAL(103,$A$1697:A2054)</f>
        <v>356</v>
      </c>
      <c r="C2054" s="300" t="s">
        <v>2817</v>
      </c>
      <c r="D2054" s="296">
        <f t="shared" si="100"/>
        <v>68400</v>
      </c>
      <c r="E2054" s="301">
        <v>0</v>
      </c>
      <c r="F2054" s="301">
        <v>0</v>
      </c>
      <c r="G2054" s="301">
        <v>0</v>
      </c>
      <c r="H2054" s="301">
        <v>68400</v>
      </c>
      <c r="I2054" s="301">
        <v>0</v>
      </c>
      <c r="J2054" s="301">
        <v>0</v>
      </c>
      <c r="K2054" s="302">
        <v>0</v>
      </c>
      <c r="L2054" s="301">
        <v>0</v>
      </c>
      <c r="M2054" s="301">
        <v>0</v>
      </c>
      <c r="N2054" s="301">
        <v>0</v>
      </c>
      <c r="O2054" s="301">
        <v>0</v>
      </c>
      <c r="P2054" s="301">
        <v>0</v>
      </c>
      <c r="Q2054" s="301">
        <v>0</v>
      </c>
      <c r="R2054" s="301">
        <v>0</v>
      </c>
      <c r="S2054" s="301">
        <v>0</v>
      </c>
      <c r="T2054" s="301">
        <v>0</v>
      </c>
      <c r="U2054" s="301">
        <v>0</v>
      </c>
      <c r="V2054" s="301">
        <v>0</v>
      </c>
      <c r="W2054" s="301">
        <v>0</v>
      </c>
      <c r="X2054" s="301">
        <v>0</v>
      </c>
      <c r="Y2054" s="301">
        <v>0</v>
      </c>
      <c r="Z2054" s="301">
        <v>0</v>
      </c>
      <c r="AA2054" s="301">
        <v>0</v>
      </c>
      <c r="AB2054" s="303">
        <v>2022</v>
      </c>
    </row>
    <row r="2055" spans="1:28" ht="35.25" x14ac:dyDescent="0.5">
      <c r="A2055">
        <v>1</v>
      </c>
      <c r="B2055" s="80">
        <f>SUBTOTAL(103,$A$1697:A2055)</f>
        <v>357</v>
      </c>
      <c r="C2055" s="300" t="s">
        <v>1942</v>
      </c>
      <c r="D2055" s="296">
        <f t="shared" si="100"/>
        <v>66894</v>
      </c>
      <c r="E2055" s="301">
        <f>50000+16894</f>
        <v>66894</v>
      </c>
      <c r="F2055" s="301">
        <v>0</v>
      </c>
      <c r="G2055" s="301">
        <v>0</v>
      </c>
      <c r="H2055" s="301">
        <v>0</v>
      </c>
      <c r="I2055" s="301">
        <v>0</v>
      </c>
      <c r="J2055" s="301">
        <v>0</v>
      </c>
      <c r="K2055" s="302">
        <v>0</v>
      </c>
      <c r="L2055" s="301">
        <v>0</v>
      </c>
      <c r="M2055" s="301">
        <v>0</v>
      </c>
      <c r="N2055" s="301">
        <v>0</v>
      </c>
      <c r="O2055" s="301">
        <v>0</v>
      </c>
      <c r="P2055" s="301">
        <v>0</v>
      </c>
      <c r="Q2055" s="301">
        <v>0</v>
      </c>
      <c r="R2055" s="301">
        <v>0</v>
      </c>
      <c r="S2055" s="301">
        <v>0</v>
      </c>
      <c r="T2055" s="301">
        <v>0</v>
      </c>
      <c r="U2055" s="301">
        <v>0</v>
      </c>
      <c r="V2055" s="301">
        <v>0</v>
      </c>
      <c r="W2055" s="301">
        <v>0</v>
      </c>
      <c r="X2055" s="301">
        <v>0</v>
      </c>
      <c r="Y2055" s="301">
        <v>0</v>
      </c>
      <c r="Z2055" s="301">
        <v>0</v>
      </c>
      <c r="AA2055" s="301">
        <v>0</v>
      </c>
      <c r="AB2055" s="303">
        <v>2022</v>
      </c>
    </row>
    <row r="2056" spans="1:28" ht="35.25" x14ac:dyDescent="0.5">
      <c r="A2056">
        <v>1</v>
      </c>
      <c r="B2056" s="80">
        <f>SUBTOTAL(103,$A$1697:A2056)</f>
        <v>358</v>
      </c>
      <c r="C2056" s="300" t="s">
        <v>3075</v>
      </c>
      <c r="D2056" s="296">
        <f t="shared" si="100"/>
        <v>640300</v>
      </c>
      <c r="E2056" s="301">
        <v>0</v>
      </c>
      <c r="F2056" s="301">
        <v>0</v>
      </c>
      <c r="G2056" s="301">
        <v>0</v>
      </c>
      <c r="H2056" s="301">
        <v>0</v>
      </c>
      <c r="I2056" s="301">
        <v>0</v>
      </c>
      <c r="J2056" s="301">
        <v>0</v>
      </c>
      <c r="K2056" s="302">
        <v>0</v>
      </c>
      <c r="L2056" s="301">
        <v>0</v>
      </c>
      <c r="M2056" s="301">
        <f>148650+150550+341100</f>
        <v>640300</v>
      </c>
      <c r="N2056" s="301">
        <v>0</v>
      </c>
      <c r="O2056" s="301">
        <v>0</v>
      </c>
      <c r="P2056" s="301">
        <v>0</v>
      </c>
      <c r="Q2056" s="301">
        <v>0</v>
      </c>
      <c r="R2056" s="301">
        <v>0</v>
      </c>
      <c r="S2056" s="301">
        <v>0</v>
      </c>
      <c r="T2056" s="301">
        <v>0</v>
      </c>
      <c r="U2056" s="301">
        <v>0</v>
      </c>
      <c r="V2056" s="301">
        <v>0</v>
      </c>
      <c r="W2056" s="301">
        <v>0</v>
      </c>
      <c r="X2056" s="301">
        <v>0</v>
      </c>
      <c r="Y2056" s="301">
        <v>0</v>
      </c>
      <c r="Z2056" s="301">
        <v>0</v>
      </c>
      <c r="AA2056" s="301">
        <v>0</v>
      </c>
      <c r="AB2056" s="303">
        <v>2022</v>
      </c>
    </row>
    <row r="2057" spans="1:28" ht="35.25" x14ac:dyDescent="0.5">
      <c r="A2057">
        <v>1</v>
      </c>
      <c r="B2057" s="80">
        <f>SUBTOTAL(103,$A$1697:A2057)</f>
        <v>359</v>
      </c>
      <c r="C2057" s="300" t="s">
        <v>2814</v>
      </c>
      <c r="D2057" s="296">
        <f t="shared" ref="D2057:D2120" si="102">E2057+F2057+G2057+H2057+I2057+J2057+L2057+M2057+N2057+O2057+P2057+Q2057+R2057+S2057+T2057+U2057+V2057+W2057+X2057+Y2057+Z2057+AA2057</f>
        <v>81000</v>
      </c>
      <c r="E2057" s="301">
        <v>0</v>
      </c>
      <c r="F2057" s="301">
        <v>0</v>
      </c>
      <c r="G2057" s="301">
        <v>0</v>
      </c>
      <c r="H2057" s="301">
        <v>81000</v>
      </c>
      <c r="I2057" s="301">
        <v>0</v>
      </c>
      <c r="J2057" s="301">
        <v>0</v>
      </c>
      <c r="K2057" s="302">
        <v>0</v>
      </c>
      <c r="L2057" s="301">
        <v>0</v>
      </c>
      <c r="M2057" s="301">
        <v>0</v>
      </c>
      <c r="N2057" s="301">
        <v>0</v>
      </c>
      <c r="O2057" s="301">
        <v>0</v>
      </c>
      <c r="P2057" s="301">
        <v>0</v>
      </c>
      <c r="Q2057" s="301">
        <v>0</v>
      </c>
      <c r="R2057" s="301">
        <v>0</v>
      </c>
      <c r="S2057" s="301">
        <v>0</v>
      </c>
      <c r="T2057" s="301">
        <v>0</v>
      </c>
      <c r="U2057" s="301">
        <v>0</v>
      </c>
      <c r="V2057" s="301">
        <v>0</v>
      </c>
      <c r="W2057" s="301">
        <v>0</v>
      </c>
      <c r="X2057" s="301">
        <v>0</v>
      </c>
      <c r="Y2057" s="301">
        <v>0</v>
      </c>
      <c r="Z2057" s="301">
        <v>0</v>
      </c>
      <c r="AA2057" s="301">
        <v>0</v>
      </c>
      <c r="AB2057" s="303" t="s">
        <v>3313</v>
      </c>
    </row>
    <row r="2058" spans="1:28" ht="35.25" x14ac:dyDescent="0.5">
      <c r="A2058">
        <v>1</v>
      </c>
      <c r="B2058" s="80">
        <f>SUBTOTAL(103,$A$1697:A2058)</f>
        <v>360</v>
      </c>
      <c r="C2058" s="300" t="s">
        <v>3069</v>
      </c>
      <c r="D2058" s="296">
        <f t="shared" si="102"/>
        <v>1491273.6</v>
      </c>
      <c r="E2058" s="301">
        <v>716102</v>
      </c>
      <c r="F2058" s="301">
        <v>0</v>
      </c>
      <c r="G2058" s="301">
        <v>0</v>
      </c>
      <c r="H2058" s="301">
        <v>174302.6</v>
      </c>
      <c r="I2058" s="301">
        <v>600869</v>
      </c>
      <c r="J2058" s="301">
        <v>0</v>
      </c>
      <c r="K2058" s="302">
        <v>0</v>
      </c>
      <c r="L2058" s="301">
        <v>0</v>
      </c>
      <c r="M2058" s="301">
        <v>0</v>
      </c>
      <c r="N2058" s="301">
        <v>0</v>
      </c>
      <c r="O2058" s="301">
        <v>0</v>
      </c>
      <c r="P2058" s="301">
        <v>0</v>
      </c>
      <c r="Q2058" s="301">
        <v>0</v>
      </c>
      <c r="R2058" s="301">
        <v>0</v>
      </c>
      <c r="S2058" s="301">
        <v>0</v>
      </c>
      <c r="T2058" s="301">
        <v>0</v>
      </c>
      <c r="U2058" s="301">
        <v>0</v>
      </c>
      <c r="V2058" s="301">
        <v>0</v>
      </c>
      <c r="W2058" s="301">
        <v>0</v>
      </c>
      <c r="X2058" s="301">
        <v>0</v>
      </c>
      <c r="Y2058" s="301">
        <v>0</v>
      </c>
      <c r="Z2058" s="301">
        <v>0</v>
      </c>
      <c r="AA2058" s="301">
        <v>0</v>
      </c>
      <c r="AB2058" s="303" t="s">
        <v>3313</v>
      </c>
    </row>
    <row r="2059" spans="1:28" ht="35.25" x14ac:dyDescent="0.5">
      <c r="A2059">
        <v>1</v>
      </c>
      <c r="B2059" s="80">
        <f>SUBTOTAL(103,$A$1697:A2059)</f>
        <v>361</v>
      </c>
      <c r="C2059" s="300" t="s">
        <v>1935</v>
      </c>
      <c r="D2059" s="296">
        <f t="shared" si="102"/>
        <v>464940</v>
      </c>
      <c r="E2059" s="301">
        <v>0</v>
      </c>
      <c r="F2059" s="301">
        <v>0</v>
      </c>
      <c r="G2059" s="301">
        <v>0</v>
      </c>
      <c r="H2059" s="301">
        <v>0</v>
      </c>
      <c r="I2059" s="301">
        <v>0</v>
      </c>
      <c r="J2059" s="301">
        <v>0</v>
      </c>
      <c r="K2059" s="302">
        <v>0</v>
      </c>
      <c r="L2059" s="301">
        <v>0</v>
      </c>
      <c r="M2059" s="301">
        <v>0</v>
      </c>
      <c r="N2059" s="301">
        <v>0</v>
      </c>
      <c r="O2059" s="301">
        <v>464940</v>
      </c>
      <c r="P2059" s="301">
        <v>0</v>
      </c>
      <c r="Q2059" s="301">
        <v>0</v>
      </c>
      <c r="R2059" s="301">
        <v>0</v>
      </c>
      <c r="S2059" s="301">
        <v>0</v>
      </c>
      <c r="T2059" s="301">
        <v>0</v>
      </c>
      <c r="U2059" s="301">
        <v>0</v>
      </c>
      <c r="V2059" s="301">
        <v>0</v>
      </c>
      <c r="W2059" s="301">
        <v>0</v>
      </c>
      <c r="X2059" s="301">
        <v>0</v>
      </c>
      <c r="Y2059" s="301">
        <v>0</v>
      </c>
      <c r="Z2059" s="301">
        <v>0</v>
      </c>
      <c r="AA2059" s="301">
        <v>0</v>
      </c>
      <c r="AB2059" s="303" t="s">
        <v>3313</v>
      </c>
    </row>
    <row r="2060" spans="1:28" ht="35.25" x14ac:dyDescent="0.5">
      <c r="A2060">
        <v>1</v>
      </c>
      <c r="B2060" s="80">
        <f>SUBTOTAL(103,$A$1697:A2060)</f>
        <v>362</v>
      </c>
      <c r="C2060" s="300" t="s">
        <v>2374</v>
      </c>
      <c r="D2060" s="296">
        <f t="shared" si="102"/>
        <v>1084695.27</v>
      </c>
      <c r="E2060" s="301">
        <v>0</v>
      </c>
      <c r="F2060" s="301">
        <v>0</v>
      </c>
      <c r="G2060" s="301">
        <v>879603.82000000007</v>
      </c>
      <c r="H2060" s="301">
        <v>0</v>
      </c>
      <c r="I2060" s="301">
        <v>0</v>
      </c>
      <c r="J2060" s="301">
        <v>0</v>
      </c>
      <c r="K2060" s="302">
        <v>0</v>
      </c>
      <c r="L2060" s="301">
        <v>0</v>
      </c>
      <c r="M2060" s="301">
        <v>0</v>
      </c>
      <c r="N2060" s="301">
        <v>0</v>
      </c>
      <c r="O2060" s="301">
        <f>81550+123541.45</f>
        <v>205091.45</v>
      </c>
      <c r="P2060" s="301">
        <v>0</v>
      </c>
      <c r="Q2060" s="301">
        <v>0</v>
      </c>
      <c r="R2060" s="301">
        <v>0</v>
      </c>
      <c r="S2060" s="301">
        <v>0</v>
      </c>
      <c r="T2060" s="301">
        <v>0</v>
      </c>
      <c r="U2060" s="301">
        <v>0</v>
      </c>
      <c r="V2060" s="301">
        <v>0</v>
      </c>
      <c r="W2060" s="301">
        <v>0</v>
      </c>
      <c r="X2060" s="301">
        <v>0</v>
      </c>
      <c r="Y2060" s="301">
        <v>0</v>
      </c>
      <c r="Z2060" s="301">
        <v>0</v>
      </c>
      <c r="AA2060" s="301">
        <v>0</v>
      </c>
      <c r="AB2060" s="303" t="s">
        <v>3313</v>
      </c>
    </row>
    <row r="2061" spans="1:28" ht="35.25" x14ac:dyDescent="0.5">
      <c r="A2061">
        <v>1</v>
      </c>
      <c r="B2061" s="80">
        <f>SUBTOTAL(103,$A$1697:A2061)</f>
        <v>363</v>
      </c>
      <c r="C2061" s="300" t="s">
        <v>1940</v>
      </c>
      <c r="D2061" s="296">
        <f t="shared" si="102"/>
        <v>657000</v>
      </c>
      <c r="E2061" s="301">
        <v>0</v>
      </c>
      <c r="F2061" s="301">
        <v>0</v>
      </c>
      <c r="G2061" s="301">
        <v>0</v>
      </c>
      <c r="H2061" s="301">
        <v>0</v>
      </c>
      <c r="I2061" s="301">
        <v>0</v>
      </c>
      <c r="J2061" s="301">
        <v>0</v>
      </c>
      <c r="K2061" s="302">
        <v>0</v>
      </c>
      <c r="L2061" s="301">
        <v>0</v>
      </c>
      <c r="M2061" s="301">
        <v>0</v>
      </c>
      <c r="N2061" s="301">
        <v>0</v>
      </c>
      <c r="O2061" s="301">
        <f>227540+429460</f>
        <v>657000</v>
      </c>
      <c r="P2061" s="301">
        <v>0</v>
      </c>
      <c r="Q2061" s="301">
        <v>0</v>
      </c>
      <c r="R2061" s="301">
        <v>0</v>
      </c>
      <c r="S2061" s="301">
        <v>0</v>
      </c>
      <c r="T2061" s="301">
        <v>0</v>
      </c>
      <c r="U2061" s="301">
        <v>0</v>
      </c>
      <c r="V2061" s="301">
        <v>0</v>
      </c>
      <c r="W2061" s="301">
        <v>0</v>
      </c>
      <c r="X2061" s="301">
        <v>0</v>
      </c>
      <c r="Y2061" s="301">
        <v>0</v>
      </c>
      <c r="Z2061" s="301">
        <v>0</v>
      </c>
      <c r="AA2061" s="301">
        <v>0</v>
      </c>
      <c r="AB2061" s="303" t="s">
        <v>3313</v>
      </c>
    </row>
    <row r="2062" spans="1:28" ht="35.25" x14ac:dyDescent="0.5">
      <c r="A2062">
        <v>1</v>
      </c>
      <c r="B2062" s="80">
        <f>SUBTOTAL(103,$A$1697:A2062)</f>
        <v>364</v>
      </c>
      <c r="C2062" s="300" t="s">
        <v>3073</v>
      </c>
      <c r="D2062" s="296">
        <f t="shared" si="102"/>
        <v>2957654.9</v>
      </c>
      <c r="E2062" s="301">
        <v>0</v>
      </c>
      <c r="F2062" s="301">
        <v>0</v>
      </c>
      <c r="G2062" s="301">
        <v>0</v>
      </c>
      <c r="H2062" s="301">
        <v>0</v>
      </c>
      <c r="I2062" s="301">
        <v>0</v>
      </c>
      <c r="J2062" s="301">
        <v>0</v>
      </c>
      <c r="K2062" s="302">
        <v>0</v>
      </c>
      <c r="L2062" s="301">
        <v>0</v>
      </c>
      <c r="M2062" s="301">
        <v>0</v>
      </c>
      <c r="N2062" s="301">
        <v>0</v>
      </c>
      <c r="O2062" s="301">
        <f>965514.9+1992140</f>
        <v>2957654.9</v>
      </c>
      <c r="P2062" s="301">
        <v>0</v>
      </c>
      <c r="Q2062" s="301">
        <v>0</v>
      </c>
      <c r="R2062" s="301">
        <v>0</v>
      </c>
      <c r="S2062" s="301">
        <v>0</v>
      </c>
      <c r="T2062" s="301">
        <v>0</v>
      </c>
      <c r="U2062" s="301">
        <v>0</v>
      </c>
      <c r="V2062" s="301">
        <v>0</v>
      </c>
      <c r="W2062" s="301">
        <v>0</v>
      </c>
      <c r="X2062" s="301">
        <v>0</v>
      </c>
      <c r="Y2062" s="301">
        <v>0</v>
      </c>
      <c r="Z2062" s="301">
        <v>0</v>
      </c>
      <c r="AA2062" s="301">
        <v>0</v>
      </c>
      <c r="AB2062" s="303" t="s">
        <v>3313</v>
      </c>
    </row>
    <row r="2063" spans="1:28" ht="35.25" x14ac:dyDescent="0.5">
      <c r="A2063">
        <v>1</v>
      </c>
      <c r="B2063" s="80">
        <f>SUBTOTAL(103,$A$1697:A2063)</f>
        <v>365</v>
      </c>
      <c r="C2063" s="300" t="s">
        <v>3334</v>
      </c>
      <c r="D2063" s="296">
        <f t="shared" si="102"/>
        <v>768083</v>
      </c>
      <c r="E2063" s="301">
        <v>0</v>
      </c>
      <c r="F2063" s="301">
        <v>0</v>
      </c>
      <c r="G2063" s="301">
        <v>0</v>
      </c>
      <c r="H2063" s="301">
        <v>0</v>
      </c>
      <c r="I2063" s="301">
        <v>0</v>
      </c>
      <c r="J2063" s="301">
        <v>0</v>
      </c>
      <c r="K2063" s="302">
        <v>0</v>
      </c>
      <c r="L2063" s="301">
        <v>0</v>
      </c>
      <c r="M2063" s="301">
        <v>0</v>
      </c>
      <c r="N2063" s="301">
        <v>0</v>
      </c>
      <c r="O2063" s="301">
        <f>290840.1+477242.9</f>
        <v>768083</v>
      </c>
      <c r="P2063" s="301">
        <v>0</v>
      </c>
      <c r="Q2063" s="301">
        <v>0</v>
      </c>
      <c r="R2063" s="301">
        <v>0</v>
      </c>
      <c r="S2063" s="301">
        <v>0</v>
      </c>
      <c r="T2063" s="301">
        <v>0</v>
      </c>
      <c r="U2063" s="301">
        <v>0</v>
      </c>
      <c r="V2063" s="301">
        <v>0</v>
      </c>
      <c r="W2063" s="301">
        <v>0</v>
      </c>
      <c r="X2063" s="301">
        <v>0</v>
      </c>
      <c r="Y2063" s="301">
        <v>0</v>
      </c>
      <c r="Z2063" s="301">
        <v>0</v>
      </c>
      <c r="AA2063" s="301">
        <v>0</v>
      </c>
      <c r="AB2063" s="303" t="s">
        <v>3313</v>
      </c>
    </row>
    <row r="2064" spans="1:28" ht="35.25" x14ac:dyDescent="0.5">
      <c r="A2064">
        <v>1</v>
      </c>
      <c r="B2064" s="80">
        <f>SUBTOTAL(103,$A$1697:A2064)</f>
        <v>366</v>
      </c>
      <c r="C2064" s="300" t="s">
        <v>3442</v>
      </c>
      <c r="D2064" s="296">
        <f t="shared" si="102"/>
        <v>3479018.8</v>
      </c>
      <c r="E2064" s="301">
        <v>0</v>
      </c>
      <c r="F2064" s="301">
        <v>0</v>
      </c>
      <c r="G2064" s="301">
        <v>0</v>
      </c>
      <c r="H2064" s="301">
        <v>0</v>
      </c>
      <c r="I2064" s="301">
        <v>0</v>
      </c>
      <c r="J2064" s="301">
        <v>0</v>
      </c>
      <c r="K2064" s="302">
        <v>0</v>
      </c>
      <c r="L2064" s="301">
        <v>0</v>
      </c>
      <c r="M2064" s="301">
        <v>3479018.8</v>
      </c>
      <c r="N2064" s="301">
        <v>0</v>
      </c>
      <c r="O2064" s="301">
        <v>0</v>
      </c>
      <c r="P2064" s="301">
        <v>0</v>
      </c>
      <c r="Q2064" s="301">
        <v>0</v>
      </c>
      <c r="R2064" s="301">
        <v>0</v>
      </c>
      <c r="S2064" s="301">
        <v>0</v>
      </c>
      <c r="T2064" s="301">
        <v>0</v>
      </c>
      <c r="U2064" s="301">
        <v>0</v>
      </c>
      <c r="V2064" s="301">
        <v>0</v>
      </c>
      <c r="W2064" s="301">
        <v>0</v>
      </c>
      <c r="X2064" s="301">
        <v>0</v>
      </c>
      <c r="Y2064" s="301">
        <v>0</v>
      </c>
      <c r="Z2064" s="301">
        <v>0</v>
      </c>
      <c r="AA2064" s="301">
        <v>0</v>
      </c>
      <c r="AB2064" s="303">
        <v>2022</v>
      </c>
    </row>
    <row r="2065" spans="1:28" ht="35.25" x14ac:dyDescent="0.5">
      <c r="A2065">
        <v>1</v>
      </c>
      <c r="B2065" s="80">
        <f>SUBTOTAL(103,$A$1697:A2065)</f>
        <v>367</v>
      </c>
      <c r="C2065" s="300" t="s">
        <v>3443</v>
      </c>
      <c r="D2065" s="296">
        <f t="shared" si="102"/>
        <v>1374502</v>
      </c>
      <c r="E2065" s="301">
        <v>0</v>
      </c>
      <c r="F2065" s="301">
        <v>0</v>
      </c>
      <c r="G2065" s="301">
        <v>0</v>
      </c>
      <c r="H2065" s="301">
        <v>0</v>
      </c>
      <c r="I2065" s="301">
        <v>0</v>
      </c>
      <c r="J2065" s="301">
        <v>0</v>
      </c>
      <c r="K2065" s="302">
        <v>0</v>
      </c>
      <c r="L2065" s="301">
        <v>0</v>
      </c>
      <c r="M2065" s="301">
        <v>1374502</v>
      </c>
      <c r="N2065" s="301">
        <v>0</v>
      </c>
      <c r="O2065" s="301">
        <v>0</v>
      </c>
      <c r="P2065" s="301">
        <v>0</v>
      </c>
      <c r="Q2065" s="301">
        <v>0</v>
      </c>
      <c r="R2065" s="301">
        <v>0</v>
      </c>
      <c r="S2065" s="301">
        <v>0</v>
      </c>
      <c r="T2065" s="301">
        <v>0</v>
      </c>
      <c r="U2065" s="301">
        <v>0</v>
      </c>
      <c r="V2065" s="301">
        <v>0</v>
      </c>
      <c r="W2065" s="301">
        <v>0</v>
      </c>
      <c r="X2065" s="301">
        <v>0</v>
      </c>
      <c r="Y2065" s="301">
        <v>0</v>
      </c>
      <c r="Z2065" s="301">
        <v>0</v>
      </c>
      <c r="AA2065" s="301">
        <v>0</v>
      </c>
      <c r="AB2065" s="303">
        <v>2022</v>
      </c>
    </row>
    <row r="2066" spans="1:28" ht="35.25" x14ac:dyDescent="0.5">
      <c r="A2066">
        <v>1</v>
      </c>
      <c r="B2066" s="80">
        <f>SUBTOTAL(103,$A$1697:A2066)</f>
        <v>368</v>
      </c>
      <c r="C2066" s="300" t="s">
        <v>3444</v>
      </c>
      <c r="D2066" s="296">
        <f t="shared" si="102"/>
        <v>1418283</v>
      </c>
      <c r="E2066" s="301">
        <v>0</v>
      </c>
      <c r="F2066" s="301">
        <v>0</v>
      </c>
      <c r="G2066" s="301">
        <v>1418283</v>
      </c>
      <c r="H2066" s="301">
        <v>0</v>
      </c>
      <c r="I2066" s="301">
        <v>0</v>
      </c>
      <c r="J2066" s="301">
        <v>0</v>
      </c>
      <c r="K2066" s="302">
        <v>0</v>
      </c>
      <c r="L2066" s="301">
        <v>0</v>
      </c>
      <c r="M2066" s="301">
        <v>0</v>
      </c>
      <c r="N2066" s="301">
        <v>0</v>
      </c>
      <c r="O2066" s="301">
        <v>0</v>
      </c>
      <c r="P2066" s="301">
        <v>0</v>
      </c>
      <c r="Q2066" s="301">
        <v>0</v>
      </c>
      <c r="R2066" s="301">
        <v>0</v>
      </c>
      <c r="S2066" s="301">
        <v>0</v>
      </c>
      <c r="T2066" s="301">
        <v>0</v>
      </c>
      <c r="U2066" s="301">
        <v>0</v>
      </c>
      <c r="V2066" s="301">
        <v>0</v>
      </c>
      <c r="W2066" s="301">
        <v>0</v>
      </c>
      <c r="X2066" s="301">
        <v>0</v>
      </c>
      <c r="Y2066" s="301">
        <v>0</v>
      </c>
      <c r="Z2066" s="301">
        <v>0</v>
      </c>
      <c r="AA2066" s="301">
        <v>0</v>
      </c>
      <c r="AB2066" s="303">
        <v>2022</v>
      </c>
    </row>
    <row r="2067" spans="1:28" ht="35.25" x14ac:dyDescent="0.5">
      <c r="A2067">
        <v>1</v>
      </c>
      <c r="B2067" s="80">
        <f>SUBTOTAL(103,$A$1697:A2067)</f>
        <v>369</v>
      </c>
      <c r="C2067" s="300" t="s">
        <v>3445</v>
      </c>
      <c r="D2067" s="296">
        <f t="shared" si="102"/>
        <v>1646680</v>
      </c>
      <c r="E2067" s="301">
        <v>0</v>
      </c>
      <c r="F2067" s="301">
        <v>0</v>
      </c>
      <c r="G2067" s="301">
        <v>1646680</v>
      </c>
      <c r="H2067" s="301">
        <v>0</v>
      </c>
      <c r="I2067" s="301">
        <v>0</v>
      </c>
      <c r="J2067" s="301">
        <v>0</v>
      </c>
      <c r="K2067" s="302">
        <v>0</v>
      </c>
      <c r="L2067" s="301">
        <v>0</v>
      </c>
      <c r="M2067" s="301">
        <v>0</v>
      </c>
      <c r="N2067" s="301">
        <v>0</v>
      </c>
      <c r="O2067" s="301">
        <v>0</v>
      </c>
      <c r="P2067" s="301">
        <v>0</v>
      </c>
      <c r="Q2067" s="301">
        <v>0</v>
      </c>
      <c r="R2067" s="301">
        <v>0</v>
      </c>
      <c r="S2067" s="301">
        <v>0</v>
      </c>
      <c r="T2067" s="301">
        <v>0</v>
      </c>
      <c r="U2067" s="301">
        <v>0</v>
      </c>
      <c r="V2067" s="301">
        <v>0</v>
      </c>
      <c r="W2067" s="301">
        <v>0</v>
      </c>
      <c r="X2067" s="301">
        <v>0</v>
      </c>
      <c r="Y2067" s="301">
        <v>0</v>
      </c>
      <c r="Z2067" s="301">
        <v>0</v>
      </c>
      <c r="AA2067" s="301">
        <v>0</v>
      </c>
      <c r="AB2067" s="303">
        <v>2022</v>
      </c>
    </row>
    <row r="2068" spans="1:28" ht="35.25" x14ac:dyDescent="0.5">
      <c r="A2068">
        <v>1</v>
      </c>
      <c r="B2068" s="80">
        <f>SUBTOTAL(103,$A$1697:A2068)</f>
        <v>370</v>
      </c>
      <c r="C2068" s="300" t="s">
        <v>3446</v>
      </c>
      <c r="D2068" s="296">
        <f t="shared" si="102"/>
        <v>3479938</v>
      </c>
      <c r="E2068" s="301">
        <v>0</v>
      </c>
      <c r="F2068" s="301">
        <v>0</v>
      </c>
      <c r="G2068" s="301">
        <v>0</v>
      </c>
      <c r="H2068" s="301">
        <v>0</v>
      </c>
      <c r="I2068" s="301">
        <v>0</v>
      </c>
      <c r="J2068" s="301">
        <v>0</v>
      </c>
      <c r="K2068" s="302">
        <v>0</v>
      </c>
      <c r="L2068" s="301">
        <v>0</v>
      </c>
      <c r="M2068" s="301">
        <v>3479938</v>
      </c>
      <c r="N2068" s="301">
        <v>0</v>
      </c>
      <c r="O2068" s="301">
        <v>0</v>
      </c>
      <c r="P2068" s="301">
        <v>0</v>
      </c>
      <c r="Q2068" s="301">
        <v>0</v>
      </c>
      <c r="R2068" s="301">
        <v>0</v>
      </c>
      <c r="S2068" s="301">
        <v>0</v>
      </c>
      <c r="T2068" s="301">
        <v>0</v>
      </c>
      <c r="U2068" s="301">
        <v>0</v>
      </c>
      <c r="V2068" s="301">
        <v>0</v>
      </c>
      <c r="W2068" s="301">
        <v>0</v>
      </c>
      <c r="X2068" s="301">
        <v>0</v>
      </c>
      <c r="Y2068" s="301">
        <v>0</v>
      </c>
      <c r="Z2068" s="301">
        <v>0</v>
      </c>
      <c r="AA2068" s="301">
        <v>0</v>
      </c>
      <c r="AB2068" s="303">
        <v>2022</v>
      </c>
    </row>
    <row r="2069" spans="1:28" ht="35.25" x14ac:dyDescent="0.5">
      <c r="A2069">
        <v>1</v>
      </c>
      <c r="B2069" s="80">
        <f>SUBTOTAL(103,$A$1697:A2069)</f>
        <v>371</v>
      </c>
      <c r="C2069" s="300" t="s">
        <v>3447</v>
      </c>
      <c r="D2069" s="296">
        <f t="shared" si="102"/>
        <v>2347299</v>
      </c>
      <c r="E2069" s="301">
        <v>0</v>
      </c>
      <c r="F2069" s="301">
        <v>0</v>
      </c>
      <c r="G2069" s="301">
        <v>0</v>
      </c>
      <c r="H2069" s="301">
        <v>0</v>
      </c>
      <c r="I2069" s="301">
        <v>0</v>
      </c>
      <c r="J2069" s="301">
        <v>0</v>
      </c>
      <c r="K2069" s="302">
        <v>0</v>
      </c>
      <c r="L2069" s="301">
        <v>0</v>
      </c>
      <c r="M2069" s="301">
        <v>2347299</v>
      </c>
      <c r="N2069" s="301">
        <v>0</v>
      </c>
      <c r="O2069" s="301">
        <v>0</v>
      </c>
      <c r="P2069" s="301">
        <v>0</v>
      </c>
      <c r="Q2069" s="301">
        <v>0</v>
      </c>
      <c r="R2069" s="301">
        <v>0</v>
      </c>
      <c r="S2069" s="301">
        <v>0</v>
      </c>
      <c r="T2069" s="301">
        <v>0</v>
      </c>
      <c r="U2069" s="301">
        <v>0</v>
      </c>
      <c r="V2069" s="301">
        <v>0</v>
      </c>
      <c r="W2069" s="301">
        <v>0</v>
      </c>
      <c r="X2069" s="301">
        <v>0</v>
      </c>
      <c r="Y2069" s="301">
        <v>0</v>
      </c>
      <c r="Z2069" s="301">
        <v>0</v>
      </c>
      <c r="AA2069" s="301">
        <v>0</v>
      </c>
      <c r="AB2069" s="303">
        <v>2022</v>
      </c>
    </row>
    <row r="2070" spans="1:28" ht="35.25" x14ac:dyDescent="0.5">
      <c r="A2070">
        <v>1</v>
      </c>
      <c r="B2070" s="80">
        <f>SUBTOTAL(103,$A$1697:A2070)</f>
        <v>372</v>
      </c>
      <c r="C2070" s="300" t="s">
        <v>3512</v>
      </c>
      <c r="D2070" s="296">
        <f t="shared" si="102"/>
        <v>311071</v>
      </c>
      <c r="E2070" s="301">
        <v>0</v>
      </c>
      <c r="F2070" s="301">
        <v>0</v>
      </c>
      <c r="G2070" s="301">
        <v>0</v>
      </c>
      <c r="H2070" s="301">
        <v>0</v>
      </c>
      <c r="I2070" s="301">
        <v>0</v>
      </c>
      <c r="J2070" s="301">
        <v>0</v>
      </c>
      <c r="K2070" s="302">
        <v>0</v>
      </c>
      <c r="L2070" s="301">
        <v>0</v>
      </c>
      <c r="M2070" s="301">
        <v>0</v>
      </c>
      <c r="N2070" s="301">
        <v>0</v>
      </c>
      <c r="O2070" s="301">
        <v>311071</v>
      </c>
      <c r="P2070" s="301">
        <v>0</v>
      </c>
      <c r="Q2070" s="301">
        <v>0</v>
      </c>
      <c r="R2070" s="301">
        <v>0</v>
      </c>
      <c r="S2070" s="301">
        <v>0</v>
      </c>
      <c r="T2070" s="301">
        <v>0</v>
      </c>
      <c r="U2070" s="301">
        <v>0</v>
      </c>
      <c r="V2070" s="301">
        <v>0</v>
      </c>
      <c r="W2070" s="301">
        <v>0</v>
      </c>
      <c r="X2070" s="301">
        <v>0</v>
      </c>
      <c r="Y2070" s="301">
        <v>0</v>
      </c>
      <c r="Z2070" s="301">
        <v>0</v>
      </c>
      <c r="AA2070" s="301">
        <v>0</v>
      </c>
      <c r="AB2070" s="303">
        <v>2022</v>
      </c>
    </row>
    <row r="2071" spans="1:28" ht="35.25" x14ac:dyDescent="0.5">
      <c r="A2071">
        <v>1</v>
      </c>
      <c r="B2071" s="80">
        <f>SUBTOTAL(103,$A$1697:A2071)</f>
        <v>373</v>
      </c>
      <c r="C2071" s="300" t="s">
        <v>1932</v>
      </c>
      <c r="D2071" s="296">
        <f t="shared" si="102"/>
        <v>471523</v>
      </c>
      <c r="E2071" s="301">
        <v>0</v>
      </c>
      <c r="F2071" s="301">
        <v>0</v>
      </c>
      <c r="G2071" s="301">
        <v>0</v>
      </c>
      <c r="H2071" s="301">
        <v>0</v>
      </c>
      <c r="I2071" s="301">
        <v>0</v>
      </c>
      <c r="J2071" s="301">
        <v>0</v>
      </c>
      <c r="K2071" s="302">
        <v>0</v>
      </c>
      <c r="L2071" s="301">
        <v>0</v>
      </c>
      <c r="M2071" s="301">
        <v>0</v>
      </c>
      <c r="N2071" s="301">
        <v>0</v>
      </c>
      <c r="O2071" s="301">
        <v>471523</v>
      </c>
      <c r="P2071" s="301">
        <v>0</v>
      </c>
      <c r="Q2071" s="301">
        <v>0</v>
      </c>
      <c r="R2071" s="301">
        <v>0</v>
      </c>
      <c r="S2071" s="301">
        <v>0</v>
      </c>
      <c r="T2071" s="301">
        <v>0</v>
      </c>
      <c r="U2071" s="301">
        <v>0</v>
      </c>
      <c r="V2071" s="301">
        <v>0</v>
      </c>
      <c r="W2071" s="301">
        <v>0</v>
      </c>
      <c r="X2071" s="301">
        <v>0</v>
      </c>
      <c r="Y2071" s="301">
        <v>0</v>
      </c>
      <c r="Z2071" s="301">
        <v>0</v>
      </c>
      <c r="AA2071" s="301">
        <v>0</v>
      </c>
      <c r="AB2071" s="303">
        <v>2022</v>
      </c>
    </row>
    <row r="2072" spans="1:28" ht="35.25" x14ac:dyDescent="0.5">
      <c r="A2072">
        <v>1</v>
      </c>
      <c r="B2072" s="80">
        <f>SUBTOTAL(103,$A$1697:A2072)</f>
        <v>374</v>
      </c>
      <c r="C2072" s="300" t="s">
        <v>1933</v>
      </c>
      <c r="D2072" s="296">
        <f t="shared" si="102"/>
        <v>255000</v>
      </c>
      <c r="E2072" s="301">
        <v>0</v>
      </c>
      <c r="F2072" s="301">
        <v>0</v>
      </c>
      <c r="G2072" s="301">
        <v>0</v>
      </c>
      <c r="H2072" s="301">
        <v>0</v>
      </c>
      <c r="I2072" s="301">
        <v>0</v>
      </c>
      <c r="J2072" s="301">
        <v>0</v>
      </c>
      <c r="K2072" s="302">
        <v>0</v>
      </c>
      <c r="L2072" s="301">
        <v>0</v>
      </c>
      <c r="M2072" s="301">
        <v>255000</v>
      </c>
      <c r="N2072" s="301">
        <v>0</v>
      </c>
      <c r="O2072" s="301">
        <v>0</v>
      </c>
      <c r="P2072" s="301">
        <v>0</v>
      </c>
      <c r="Q2072" s="301">
        <v>0</v>
      </c>
      <c r="R2072" s="301">
        <v>0</v>
      </c>
      <c r="S2072" s="301">
        <v>0</v>
      </c>
      <c r="T2072" s="301">
        <v>0</v>
      </c>
      <c r="U2072" s="301">
        <v>0</v>
      </c>
      <c r="V2072" s="301">
        <v>0</v>
      </c>
      <c r="W2072" s="301">
        <v>0</v>
      </c>
      <c r="X2072" s="301">
        <v>0</v>
      </c>
      <c r="Y2072" s="301">
        <v>0</v>
      </c>
      <c r="Z2072" s="301">
        <v>0</v>
      </c>
      <c r="AA2072" s="301">
        <v>0</v>
      </c>
      <c r="AB2072" s="303">
        <v>2022</v>
      </c>
    </row>
    <row r="2073" spans="1:28" ht="35.25" x14ac:dyDescent="0.5">
      <c r="A2073">
        <v>1</v>
      </c>
      <c r="B2073" s="80">
        <f>SUBTOTAL(103,$A$1697:A2073)</f>
        <v>375</v>
      </c>
      <c r="C2073" s="300" t="s">
        <v>3068</v>
      </c>
      <c r="D2073" s="296">
        <f t="shared" si="102"/>
        <v>271154</v>
      </c>
      <c r="E2073" s="301">
        <v>0</v>
      </c>
      <c r="F2073" s="301">
        <v>0</v>
      </c>
      <c r="G2073" s="301">
        <v>0</v>
      </c>
      <c r="H2073" s="301">
        <v>0</v>
      </c>
      <c r="I2073" s="301">
        <v>0</v>
      </c>
      <c r="J2073" s="301">
        <v>0</v>
      </c>
      <c r="K2073" s="302">
        <v>0</v>
      </c>
      <c r="L2073" s="301">
        <v>0</v>
      </c>
      <c r="M2073" s="301">
        <v>189807.8</v>
      </c>
      <c r="N2073" s="301">
        <v>0</v>
      </c>
      <c r="O2073" s="301">
        <v>81346.2</v>
      </c>
      <c r="P2073" s="301">
        <v>0</v>
      </c>
      <c r="Q2073" s="301">
        <v>0</v>
      </c>
      <c r="R2073" s="301">
        <v>0</v>
      </c>
      <c r="S2073" s="301">
        <v>0</v>
      </c>
      <c r="T2073" s="301">
        <v>0</v>
      </c>
      <c r="U2073" s="301">
        <v>0</v>
      </c>
      <c r="V2073" s="301">
        <v>0</v>
      </c>
      <c r="W2073" s="301">
        <v>0</v>
      </c>
      <c r="X2073" s="301">
        <v>0</v>
      </c>
      <c r="Y2073" s="301">
        <v>0</v>
      </c>
      <c r="Z2073" s="301">
        <v>0</v>
      </c>
      <c r="AA2073" s="301">
        <v>0</v>
      </c>
      <c r="AB2073" s="303">
        <v>2022</v>
      </c>
    </row>
    <row r="2074" spans="1:28" ht="35.25" x14ac:dyDescent="0.5">
      <c r="A2074">
        <v>1</v>
      </c>
      <c r="B2074" s="80">
        <f>SUBTOTAL(103,$A$1697:A2074)</f>
        <v>376</v>
      </c>
      <c r="C2074" s="300" t="s">
        <v>3584</v>
      </c>
      <c r="D2074" s="296">
        <f t="shared" si="102"/>
        <v>400000</v>
      </c>
      <c r="E2074" s="301">
        <v>0</v>
      </c>
      <c r="F2074" s="301">
        <v>0</v>
      </c>
      <c r="G2074" s="301">
        <v>0</v>
      </c>
      <c r="H2074" s="301">
        <v>0</v>
      </c>
      <c r="I2074" s="301">
        <v>400000</v>
      </c>
      <c r="J2074" s="301">
        <v>0</v>
      </c>
      <c r="K2074" s="302">
        <v>0</v>
      </c>
      <c r="L2074" s="301">
        <v>0</v>
      </c>
      <c r="M2074" s="301">
        <v>0</v>
      </c>
      <c r="N2074" s="301">
        <v>0</v>
      </c>
      <c r="O2074" s="301">
        <v>0</v>
      </c>
      <c r="P2074" s="301">
        <v>0</v>
      </c>
      <c r="Q2074" s="301">
        <v>0</v>
      </c>
      <c r="R2074" s="301">
        <v>0</v>
      </c>
      <c r="S2074" s="301">
        <v>0</v>
      </c>
      <c r="T2074" s="301">
        <v>0</v>
      </c>
      <c r="U2074" s="301">
        <v>0</v>
      </c>
      <c r="V2074" s="301">
        <v>0</v>
      </c>
      <c r="W2074" s="301">
        <v>0</v>
      </c>
      <c r="X2074" s="301">
        <v>0</v>
      </c>
      <c r="Y2074" s="301">
        <v>0</v>
      </c>
      <c r="Z2074" s="301">
        <v>0</v>
      </c>
      <c r="AA2074" s="301">
        <v>0</v>
      </c>
      <c r="AB2074" s="303">
        <v>2022</v>
      </c>
    </row>
    <row r="2075" spans="1:28" ht="35.25" x14ac:dyDescent="0.5">
      <c r="A2075">
        <v>1</v>
      </c>
      <c r="B2075" s="80">
        <f>SUBTOTAL(103,$A$1697:A2075)</f>
        <v>377</v>
      </c>
      <c r="C2075" s="300" t="s">
        <v>3585</v>
      </c>
      <c r="D2075" s="296">
        <f t="shared" si="102"/>
        <v>1198631.23</v>
      </c>
      <c r="E2075" s="301">
        <v>0</v>
      </c>
      <c r="F2075" s="301">
        <v>0</v>
      </c>
      <c r="G2075" s="301">
        <v>0</v>
      </c>
      <c r="H2075" s="301">
        <v>201273.1</v>
      </c>
      <c r="I2075" s="301">
        <v>0</v>
      </c>
      <c r="J2075" s="301">
        <v>0</v>
      </c>
      <c r="K2075" s="302">
        <v>0</v>
      </c>
      <c r="L2075" s="301">
        <v>0</v>
      </c>
      <c r="M2075" s="301">
        <v>997358.13</v>
      </c>
      <c r="N2075" s="301">
        <v>0</v>
      </c>
      <c r="O2075" s="301">
        <v>0</v>
      </c>
      <c r="P2075" s="301">
        <v>0</v>
      </c>
      <c r="Q2075" s="301">
        <v>0</v>
      </c>
      <c r="R2075" s="301">
        <v>0</v>
      </c>
      <c r="S2075" s="301">
        <v>0</v>
      </c>
      <c r="T2075" s="301">
        <v>0</v>
      </c>
      <c r="U2075" s="301">
        <v>0</v>
      </c>
      <c r="V2075" s="301">
        <v>0</v>
      </c>
      <c r="W2075" s="301">
        <v>0</v>
      </c>
      <c r="X2075" s="301">
        <v>0</v>
      </c>
      <c r="Y2075" s="301">
        <v>0</v>
      </c>
      <c r="Z2075" s="301">
        <v>0</v>
      </c>
      <c r="AA2075" s="301">
        <v>0</v>
      </c>
      <c r="AB2075" s="303">
        <v>2022</v>
      </c>
    </row>
    <row r="2076" spans="1:28" ht="35.25" x14ac:dyDescent="0.5">
      <c r="A2076">
        <v>1</v>
      </c>
      <c r="B2076" s="80">
        <f>SUBTOTAL(103,$A$1697:A2076)</f>
        <v>378</v>
      </c>
      <c r="C2076" s="300" t="s">
        <v>2815</v>
      </c>
      <c r="D2076" s="296">
        <f t="shared" si="102"/>
        <v>200000</v>
      </c>
      <c r="E2076" s="301">
        <v>0</v>
      </c>
      <c r="F2076" s="301">
        <v>0</v>
      </c>
      <c r="G2076" s="301">
        <v>0</v>
      </c>
      <c r="H2076" s="301">
        <v>0</v>
      </c>
      <c r="I2076" s="301">
        <v>0</v>
      </c>
      <c r="J2076" s="301">
        <v>0</v>
      </c>
      <c r="K2076" s="302">
        <v>0</v>
      </c>
      <c r="L2076" s="301">
        <v>0</v>
      </c>
      <c r="M2076" s="301">
        <v>0</v>
      </c>
      <c r="N2076" s="301">
        <v>0</v>
      </c>
      <c r="O2076" s="301">
        <v>200000</v>
      </c>
      <c r="P2076" s="301">
        <v>0</v>
      </c>
      <c r="Q2076" s="301">
        <v>0</v>
      </c>
      <c r="R2076" s="301">
        <v>0</v>
      </c>
      <c r="S2076" s="301">
        <v>0</v>
      </c>
      <c r="T2076" s="301">
        <v>0</v>
      </c>
      <c r="U2076" s="301">
        <v>0</v>
      </c>
      <c r="V2076" s="301">
        <v>0</v>
      </c>
      <c r="W2076" s="301">
        <v>0</v>
      </c>
      <c r="X2076" s="301">
        <v>0</v>
      </c>
      <c r="Y2076" s="301">
        <v>0</v>
      </c>
      <c r="Z2076" s="301">
        <v>0</v>
      </c>
      <c r="AA2076" s="301">
        <v>0</v>
      </c>
      <c r="AB2076" s="303">
        <v>2022</v>
      </c>
    </row>
    <row r="2077" spans="1:28" ht="35.25" x14ac:dyDescent="0.5">
      <c r="A2077">
        <v>1</v>
      </c>
      <c r="B2077" s="80">
        <f>SUBTOTAL(103,$A$1697:A2077)</f>
        <v>379</v>
      </c>
      <c r="C2077" s="300" t="s">
        <v>3586</v>
      </c>
      <c r="D2077" s="296">
        <f t="shared" si="102"/>
        <v>3773136.61</v>
      </c>
      <c r="E2077" s="301">
        <v>0</v>
      </c>
      <c r="F2077" s="301">
        <v>0</v>
      </c>
      <c r="G2077" s="301">
        <v>0</v>
      </c>
      <c r="H2077" s="301">
        <v>0</v>
      </c>
      <c r="I2077" s="301">
        <v>0</v>
      </c>
      <c r="J2077" s="301">
        <v>0</v>
      </c>
      <c r="K2077" s="302">
        <v>0</v>
      </c>
      <c r="L2077" s="301">
        <v>0</v>
      </c>
      <c r="M2077" s="301">
        <v>3773136.61</v>
      </c>
      <c r="N2077" s="301">
        <v>0</v>
      </c>
      <c r="O2077" s="301">
        <v>0</v>
      </c>
      <c r="P2077" s="301">
        <v>0</v>
      </c>
      <c r="Q2077" s="301">
        <v>0</v>
      </c>
      <c r="R2077" s="301">
        <v>0</v>
      </c>
      <c r="S2077" s="301">
        <v>0</v>
      </c>
      <c r="T2077" s="301">
        <v>0</v>
      </c>
      <c r="U2077" s="301">
        <v>0</v>
      </c>
      <c r="V2077" s="301">
        <v>0</v>
      </c>
      <c r="W2077" s="301">
        <v>0</v>
      </c>
      <c r="X2077" s="301">
        <v>0</v>
      </c>
      <c r="Y2077" s="301">
        <v>0</v>
      </c>
      <c r="Z2077" s="301">
        <v>0</v>
      </c>
      <c r="AA2077" s="301">
        <v>0</v>
      </c>
      <c r="AB2077" s="303">
        <v>2022</v>
      </c>
    </row>
    <row r="2078" spans="1:28" ht="35.25" x14ac:dyDescent="0.5">
      <c r="A2078">
        <v>1</v>
      </c>
      <c r="B2078" s="80">
        <f>SUBTOTAL(103,$A$1697:A2078)</f>
        <v>380</v>
      </c>
      <c r="C2078" s="300" t="s">
        <v>3072</v>
      </c>
      <c r="D2078" s="296">
        <f t="shared" si="102"/>
        <v>2263389</v>
      </c>
      <c r="E2078" s="301">
        <v>0</v>
      </c>
      <c r="F2078" s="301">
        <v>76349</v>
      </c>
      <c r="G2078" s="301">
        <v>0</v>
      </c>
      <c r="H2078" s="301">
        <v>0</v>
      </c>
      <c r="I2078" s="301">
        <v>0</v>
      </c>
      <c r="J2078" s="301">
        <v>0</v>
      </c>
      <c r="K2078" s="302">
        <v>0</v>
      </c>
      <c r="L2078" s="301">
        <v>0</v>
      </c>
      <c r="M2078" s="301">
        <v>2187040</v>
      </c>
      <c r="N2078" s="301">
        <v>0</v>
      </c>
      <c r="O2078" s="301">
        <v>0</v>
      </c>
      <c r="P2078" s="301">
        <v>0</v>
      </c>
      <c r="Q2078" s="301">
        <v>0</v>
      </c>
      <c r="R2078" s="301">
        <v>0</v>
      </c>
      <c r="S2078" s="301">
        <v>0</v>
      </c>
      <c r="T2078" s="301">
        <v>0</v>
      </c>
      <c r="U2078" s="301">
        <v>0</v>
      </c>
      <c r="V2078" s="301">
        <v>0</v>
      </c>
      <c r="W2078" s="301">
        <v>0</v>
      </c>
      <c r="X2078" s="301">
        <v>0</v>
      </c>
      <c r="Y2078" s="301">
        <v>0</v>
      </c>
      <c r="Z2078" s="301">
        <v>0</v>
      </c>
      <c r="AA2078" s="301">
        <v>0</v>
      </c>
      <c r="AB2078" s="303">
        <v>2022</v>
      </c>
    </row>
    <row r="2079" spans="1:28" ht="35.25" x14ac:dyDescent="0.5">
      <c r="A2079">
        <v>1</v>
      </c>
      <c r="B2079" s="80">
        <f>SUBTOTAL(103,$A$1697:A2079)</f>
        <v>381</v>
      </c>
      <c r="C2079" s="300" t="s">
        <v>3587</v>
      </c>
      <c r="D2079" s="296">
        <f t="shared" si="102"/>
        <v>697718.55</v>
      </c>
      <c r="E2079" s="301">
        <v>0</v>
      </c>
      <c r="F2079" s="301">
        <v>0</v>
      </c>
      <c r="G2079" s="301">
        <v>0</v>
      </c>
      <c r="H2079" s="301">
        <v>0</v>
      </c>
      <c r="I2079" s="301">
        <v>0</v>
      </c>
      <c r="J2079" s="301">
        <v>0</v>
      </c>
      <c r="K2079" s="302">
        <v>0</v>
      </c>
      <c r="L2079" s="301">
        <v>0</v>
      </c>
      <c r="M2079" s="301">
        <v>697718.55</v>
      </c>
      <c r="N2079" s="301">
        <v>0</v>
      </c>
      <c r="O2079" s="301">
        <v>0</v>
      </c>
      <c r="P2079" s="301">
        <v>0</v>
      </c>
      <c r="Q2079" s="301">
        <v>0</v>
      </c>
      <c r="R2079" s="301">
        <v>0</v>
      </c>
      <c r="S2079" s="301">
        <v>0</v>
      </c>
      <c r="T2079" s="301">
        <v>0</v>
      </c>
      <c r="U2079" s="301">
        <v>0</v>
      </c>
      <c r="V2079" s="301">
        <v>0</v>
      </c>
      <c r="W2079" s="301">
        <v>0</v>
      </c>
      <c r="X2079" s="301">
        <v>0</v>
      </c>
      <c r="Y2079" s="301">
        <v>0</v>
      </c>
      <c r="Z2079" s="301">
        <v>0</v>
      </c>
      <c r="AA2079" s="301">
        <v>0</v>
      </c>
      <c r="AB2079" s="303">
        <v>2022</v>
      </c>
    </row>
    <row r="2080" spans="1:28" ht="35.25" x14ac:dyDescent="0.5">
      <c r="A2080">
        <v>1</v>
      </c>
      <c r="B2080" s="80">
        <f>SUBTOTAL(103,$A$1697:A2080)</f>
        <v>382</v>
      </c>
      <c r="C2080" s="300" t="s">
        <v>3078</v>
      </c>
      <c r="D2080" s="296">
        <f t="shared" si="102"/>
        <v>2219000</v>
      </c>
      <c r="E2080" s="301">
        <v>0</v>
      </c>
      <c r="F2080" s="301">
        <v>0</v>
      </c>
      <c r="G2080" s="301">
        <v>0</v>
      </c>
      <c r="H2080" s="301">
        <v>0</v>
      </c>
      <c r="I2080" s="301">
        <v>0</v>
      </c>
      <c r="J2080" s="301">
        <v>0</v>
      </c>
      <c r="K2080" s="302">
        <v>0</v>
      </c>
      <c r="L2080" s="301">
        <v>0</v>
      </c>
      <c r="M2080" s="301">
        <v>2219000</v>
      </c>
      <c r="N2080" s="301">
        <v>0</v>
      </c>
      <c r="O2080" s="301">
        <v>0</v>
      </c>
      <c r="P2080" s="301">
        <v>0</v>
      </c>
      <c r="Q2080" s="301">
        <v>0</v>
      </c>
      <c r="R2080" s="301">
        <v>0</v>
      </c>
      <c r="S2080" s="301">
        <v>0</v>
      </c>
      <c r="T2080" s="301">
        <v>0</v>
      </c>
      <c r="U2080" s="301">
        <v>0</v>
      </c>
      <c r="V2080" s="301">
        <v>0</v>
      </c>
      <c r="W2080" s="301">
        <v>0</v>
      </c>
      <c r="X2080" s="301">
        <v>0</v>
      </c>
      <c r="Y2080" s="301">
        <v>0</v>
      </c>
      <c r="Z2080" s="301">
        <v>0</v>
      </c>
      <c r="AA2080" s="301">
        <v>0</v>
      </c>
      <c r="AB2080" s="303">
        <v>2022</v>
      </c>
    </row>
    <row r="2081" spans="1:28" ht="35.25" x14ac:dyDescent="0.5">
      <c r="A2081">
        <v>1</v>
      </c>
      <c r="B2081" s="80">
        <f>SUBTOTAL(103,$A$1697:A2081)</f>
        <v>383</v>
      </c>
      <c r="C2081" s="300" t="s">
        <v>3588</v>
      </c>
      <c r="D2081" s="296">
        <f t="shared" si="102"/>
        <v>630988</v>
      </c>
      <c r="E2081" s="301">
        <v>0</v>
      </c>
      <c r="F2081" s="301">
        <v>0</v>
      </c>
      <c r="G2081" s="301">
        <v>0</v>
      </c>
      <c r="H2081" s="301">
        <v>0</v>
      </c>
      <c r="I2081" s="301">
        <v>0</v>
      </c>
      <c r="J2081" s="301">
        <v>0</v>
      </c>
      <c r="K2081" s="302">
        <v>0</v>
      </c>
      <c r="L2081" s="301">
        <v>0</v>
      </c>
      <c r="M2081" s="301">
        <v>630988</v>
      </c>
      <c r="N2081" s="301">
        <v>0</v>
      </c>
      <c r="O2081" s="301">
        <v>0</v>
      </c>
      <c r="P2081" s="301">
        <v>0</v>
      </c>
      <c r="Q2081" s="301">
        <v>0</v>
      </c>
      <c r="R2081" s="301">
        <v>0</v>
      </c>
      <c r="S2081" s="301">
        <v>0</v>
      </c>
      <c r="T2081" s="301">
        <v>0</v>
      </c>
      <c r="U2081" s="301">
        <v>0</v>
      </c>
      <c r="V2081" s="301">
        <v>0</v>
      </c>
      <c r="W2081" s="301">
        <v>0</v>
      </c>
      <c r="X2081" s="301">
        <v>0</v>
      </c>
      <c r="Y2081" s="301">
        <v>0</v>
      </c>
      <c r="Z2081" s="301">
        <v>0</v>
      </c>
      <c r="AA2081" s="301">
        <v>0</v>
      </c>
      <c r="AB2081" s="303">
        <v>2022</v>
      </c>
    </row>
    <row r="2082" spans="1:28" ht="35.25" x14ac:dyDescent="0.5">
      <c r="A2082">
        <v>1</v>
      </c>
      <c r="B2082" s="80">
        <f>SUBTOTAL(103,$A$1697:A2082)</f>
        <v>384</v>
      </c>
      <c r="C2082" s="300" t="s">
        <v>3589</v>
      </c>
      <c r="D2082" s="296">
        <f t="shared" si="102"/>
        <v>703111.3</v>
      </c>
      <c r="E2082" s="301">
        <v>0</v>
      </c>
      <c r="F2082" s="301">
        <v>0</v>
      </c>
      <c r="G2082" s="301">
        <v>0</v>
      </c>
      <c r="H2082" s="301">
        <v>0</v>
      </c>
      <c r="I2082" s="301">
        <v>0</v>
      </c>
      <c r="J2082" s="301">
        <v>0</v>
      </c>
      <c r="K2082" s="302">
        <v>0</v>
      </c>
      <c r="L2082" s="301">
        <v>0</v>
      </c>
      <c r="M2082" s="301">
        <v>703111.3</v>
      </c>
      <c r="N2082" s="301">
        <v>0</v>
      </c>
      <c r="O2082" s="301">
        <v>0</v>
      </c>
      <c r="P2082" s="301">
        <v>0</v>
      </c>
      <c r="Q2082" s="301">
        <v>0</v>
      </c>
      <c r="R2082" s="301">
        <v>0</v>
      </c>
      <c r="S2082" s="301">
        <v>0</v>
      </c>
      <c r="T2082" s="301">
        <v>0</v>
      </c>
      <c r="U2082" s="301">
        <v>0</v>
      </c>
      <c r="V2082" s="301">
        <v>0</v>
      </c>
      <c r="W2082" s="301">
        <v>0</v>
      </c>
      <c r="X2082" s="301">
        <v>0</v>
      </c>
      <c r="Y2082" s="301">
        <v>0</v>
      </c>
      <c r="Z2082" s="301">
        <v>0</v>
      </c>
      <c r="AA2082" s="301">
        <v>0</v>
      </c>
      <c r="AB2082" s="303">
        <v>2022</v>
      </c>
    </row>
    <row r="2083" spans="1:28" ht="35.25" x14ac:dyDescent="0.5">
      <c r="A2083">
        <v>1</v>
      </c>
      <c r="B2083" s="80">
        <f>SUBTOTAL(103,$A$1697:A2083)</f>
        <v>385</v>
      </c>
      <c r="C2083" s="300" t="s">
        <v>3074</v>
      </c>
      <c r="D2083" s="296">
        <f t="shared" si="102"/>
        <v>4162027.08</v>
      </c>
      <c r="E2083" s="301">
        <v>0</v>
      </c>
      <c r="F2083" s="301">
        <v>0</v>
      </c>
      <c r="G2083" s="301">
        <v>0</v>
      </c>
      <c r="H2083" s="301">
        <v>0</v>
      </c>
      <c r="I2083" s="301">
        <v>0</v>
      </c>
      <c r="J2083" s="301">
        <v>0</v>
      </c>
      <c r="K2083" s="302">
        <v>0</v>
      </c>
      <c r="L2083" s="301">
        <v>0</v>
      </c>
      <c r="M2083" s="301">
        <v>4162027.08</v>
      </c>
      <c r="N2083" s="301">
        <v>0</v>
      </c>
      <c r="O2083" s="301">
        <v>0</v>
      </c>
      <c r="P2083" s="301">
        <v>0</v>
      </c>
      <c r="Q2083" s="301">
        <v>0</v>
      </c>
      <c r="R2083" s="301">
        <v>0</v>
      </c>
      <c r="S2083" s="301">
        <v>0</v>
      </c>
      <c r="T2083" s="301">
        <v>0</v>
      </c>
      <c r="U2083" s="301">
        <v>0</v>
      </c>
      <c r="V2083" s="301">
        <v>0</v>
      </c>
      <c r="W2083" s="301">
        <v>0</v>
      </c>
      <c r="X2083" s="301">
        <v>0</v>
      </c>
      <c r="Y2083" s="301">
        <v>0</v>
      </c>
      <c r="Z2083" s="301">
        <v>0</v>
      </c>
      <c r="AA2083" s="301">
        <v>0</v>
      </c>
      <c r="AB2083" s="303">
        <v>2022</v>
      </c>
    </row>
    <row r="2084" spans="1:28" ht="35.25" x14ac:dyDescent="0.5">
      <c r="A2084">
        <v>1</v>
      </c>
      <c r="B2084" s="80">
        <f>SUBTOTAL(103,$A$1697:A2084)</f>
        <v>386</v>
      </c>
      <c r="C2084" s="300" t="s">
        <v>1941</v>
      </c>
      <c r="D2084" s="296">
        <f t="shared" si="102"/>
        <v>1169840</v>
      </c>
      <c r="E2084" s="301">
        <v>0</v>
      </c>
      <c r="F2084" s="301">
        <v>0</v>
      </c>
      <c r="G2084" s="301">
        <v>0</v>
      </c>
      <c r="H2084" s="301">
        <v>0</v>
      </c>
      <c r="I2084" s="301">
        <v>0</v>
      </c>
      <c r="J2084" s="301">
        <v>0</v>
      </c>
      <c r="K2084" s="302">
        <v>0</v>
      </c>
      <c r="L2084" s="301">
        <v>0</v>
      </c>
      <c r="M2084" s="301">
        <v>0</v>
      </c>
      <c r="N2084" s="301">
        <v>0</v>
      </c>
      <c r="O2084" s="301">
        <v>1169840</v>
      </c>
      <c r="P2084" s="301">
        <v>0</v>
      </c>
      <c r="Q2084" s="301">
        <v>0</v>
      </c>
      <c r="R2084" s="301">
        <v>0</v>
      </c>
      <c r="S2084" s="301">
        <v>0</v>
      </c>
      <c r="T2084" s="301">
        <v>0</v>
      </c>
      <c r="U2084" s="301">
        <v>0</v>
      </c>
      <c r="V2084" s="301">
        <v>0</v>
      </c>
      <c r="W2084" s="301">
        <v>0</v>
      </c>
      <c r="X2084" s="301">
        <v>0</v>
      </c>
      <c r="Y2084" s="301">
        <v>0</v>
      </c>
      <c r="Z2084" s="301">
        <v>0</v>
      </c>
      <c r="AA2084" s="301">
        <v>0</v>
      </c>
      <c r="AB2084" s="303">
        <v>2022</v>
      </c>
    </row>
    <row r="2085" spans="1:28" ht="35.25" x14ac:dyDescent="0.5">
      <c r="A2085">
        <v>1</v>
      </c>
      <c r="B2085" s="80">
        <f>SUBTOTAL(103,$A$1697:A2085)</f>
        <v>387</v>
      </c>
      <c r="C2085" s="300" t="s">
        <v>2375</v>
      </c>
      <c r="D2085" s="296">
        <f t="shared" si="102"/>
        <v>1544056</v>
      </c>
      <c r="E2085" s="301">
        <v>0</v>
      </c>
      <c r="F2085" s="301">
        <v>0</v>
      </c>
      <c r="G2085" s="301">
        <v>0</v>
      </c>
      <c r="H2085" s="301">
        <v>0</v>
      </c>
      <c r="I2085" s="301">
        <v>0</v>
      </c>
      <c r="J2085" s="301">
        <v>0</v>
      </c>
      <c r="K2085" s="302">
        <v>0</v>
      </c>
      <c r="L2085" s="301">
        <v>0</v>
      </c>
      <c r="M2085" s="301">
        <v>0</v>
      </c>
      <c r="N2085" s="301">
        <v>1544056</v>
      </c>
      <c r="O2085" s="301">
        <v>0</v>
      </c>
      <c r="P2085" s="301">
        <v>0</v>
      </c>
      <c r="Q2085" s="301">
        <v>0</v>
      </c>
      <c r="R2085" s="301">
        <v>0</v>
      </c>
      <c r="S2085" s="301">
        <v>0</v>
      </c>
      <c r="T2085" s="301">
        <v>0</v>
      </c>
      <c r="U2085" s="301">
        <v>0</v>
      </c>
      <c r="V2085" s="301">
        <v>0</v>
      </c>
      <c r="W2085" s="301">
        <v>0</v>
      </c>
      <c r="X2085" s="301">
        <v>0</v>
      </c>
      <c r="Y2085" s="301">
        <v>0</v>
      </c>
      <c r="Z2085" s="301">
        <v>0</v>
      </c>
      <c r="AA2085" s="301">
        <v>0</v>
      </c>
      <c r="AB2085" s="303">
        <v>2022</v>
      </c>
    </row>
    <row r="2086" spans="1:28" ht="35.25" x14ac:dyDescent="0.5">
      <c r="A2086">
        <v>1</v>
      </c>
      <c r="B2086" s="80">
        <f>SUBTOTAL(103,$A$1697:A2086)</f>
        <v>388</v>
      </c>
      <c r="C2086" s="300" t="s">
        <v>2377</v>
      </c>
      <c r="D2086" s="296">
        <f t="shared" si="102"/>
        <v>755952.64000000001</v>
      </c>
      <c r="E2086" s="301">
        <v>0</v>
      </c>
      <c r="F2086" s="301">
        <v>0</v>
      </c>
      <c r="G2086" s="301">
        <v>0</v>
      </c>
      <c r="H2086" s="301">
        <v>755952.64000000001</v>
      </c>
      <c r="I2086" s="301">
        <v>0</v>
      </c>
      <c r="J2086" s="301">
        <v>0</v>
      </c>
      <c r="K2086" s="302">
        <v>0</v>
      </c>
      <c r="L2086" s="301">
        <v>0</v>
      </c>
      <c r="M2086" s="301">
        <v>0</v>
      </c>
      <c r="N2086" s="301">
        <v>0</v>
      </c>
      <c r="O2086" s="301">
        <v>0</v>
      </c>
      <c r="P2086" s="301">
        <v>0</v>
      </c>
      <c r="Q2086" s="301">
        <v>0</v>
      </c>
      <c r="R2086" s="301">
        <v>0</v>
      </c>
      <c r="S2086" s="301">
        <v>0</v>
      </c>
      <c r="T2086" s="301">
        <v>0</v>
      </c>
      <c r="U2086" s="301">
        <v>0</v>
      </c>
      <c r="V2086" s="301">
        <v>0</v>
      </c>
      <c r="W2086" s="301">
        <v>0</v>
      </c>
      <c r="X2086" s="301">
        <v>0</v>
      </c>
      <c r="Y2086" s="301">
        <v>0</v>
      </c>
      <c r="Z2086" s="301">
        <v>0</v>
      </c>
      <c r="AA2086" s="301">
        <v>0</v>
      </c>
      <c r="AB2086" s="303">
        <v>2022</v>
      </c>
    </row>
    <row r="2087" spans="1:28" ht="35.25" x14ac:dyDescent="0.5">
      <c r="A2087">
        <v>1</v>
      </c>
      <c r="B2087" s="80">
        <f>SUBTOTAL(103,$A$1697:A2087)</f>
        <v>389</v>
      </c>
      <c r="C2087" s="300" t="s">
        <v>3590</v>
      </c>
      <c r="D2087" s="296">
        <f t="shared" si="102"/>
        <v>2757487.75</v>
      </c>
      <c r="E2087" s="301">
        <v>0</v>
      </c>
      <c r="F2087" s="301">
        <v>0</v>
      </c>
      <c r="G2087" s="301">
        <v>0</v>
      </c>
      <c r="H2087" s="301">
        <v>0</v>
      </c>
      <c r="I2087" s="301">
        <v>0</v>
      </c>
      <c r="J2087" s="301">
        <v>0</v>
      </c>
      <c r="K2087" s="302">
        <v>0</v>
      </c>
      <c r="L2087" s="301">
        <v>0</v>
      </c>
      <c r="M2087" s="301">
        <v>2757487.75</v>
      </c>
      <c r="N2087" s="301">
        <v>0</v>
      </c>
      <c r="O2087" s="301">
        <v>0</v>
      </c>
      <c r="P2087" s="301">
        <v>0</v>
      </c>
      <c r="Q2087" s="301">
        <v>0</v>
      </c>
      <c r="R2087" s="301">
        <v>0</v>
      </c>
      <c r="S2087" s="301">
        <v>0</v>
      </c>
      <c r="T2087" s="301">
        <v>0</v>
      </c>
      <c r="U2087" s="301">
        <v>0</v>
      </c>
      <c r="V2087" s="301">
        <v>0</v>
      </c>
      <c r="W2087" s="301">
        <v>0</v>
      </c>
      <c r="X2087" s="301">
        <v>0</v>
      </c>
      <c r="Y2087" s="301">
        <v>0</v>
      </c>
      <c r="Z2087" s="301">
        <v>0</v>
      </c>
      <c r="AA2087" s="301">
        <v>0</v>
      </c>
      <c r="AB2087" s="303">
        <v>2022</v>
      </c>
    </row>
    <row r="2088" spans="1:28" ht="35.25" x14ac:dyDescent="0.5">
      <c r="A2088">
        <v>1</v>
      </c>
      <c r="B2088" s="80">
        <f>SUBTOTAL(103,$A$1697:A2088)</f>
        <v>390</v>
      </c>
      <c r="C2088" s="300" t="s">
        <v>2822</v>
      </c>
      <c r="D2088" s="296">
        <f t="shared" si="102"/>
        <v>750000</v>
      </c>
      <c r="E2088" s="301">
        <v>0</v>
      </c>
      <c r="F2088" s="301">
        <v>0</v>
      </c>
      <c r="G2088" s="301">
        <v>0</v>
      </c>
      <c r="H2088" s="301">
        <v>0</v>
      </c>
      <c r="I2088" s="301">
        <v>0</v>
      </c>
      <c r="J2088" s="301">
        <v>0</v>
      </c>
      <c r="K2088" s="302">
        <v>0</v>
      </c>
      <c r="L2088" s="301">
        <v>0</v>
      </c>
      <c r="M2088" s="301">
        <v>0</v>
      </c>
      <c r="N2088" s="301">
        <v>0</v>
      </c>
      <c r="O2088" s="301">
        <v>750000</v>
      </c>
      <c r="P2088" s="301">
        <v>0</v>
      </c>
      <c r="Q2088" s="301">
        <v>0</v>
      </c>
      <c r="R2088" s="301">
        <v>0</v>
      </c>
      <c r="S2088" s="301">
        <v>0</v>
      </c>
      <c r="T2088" s="301">
        <v>0</v>
      </c>
      <c r="U2088" s="301">
        <v>0</v>
      </c>
      <c r="V2088" s="301">
        <v>0</v>
      </c>
      <c r="W2088" s="301">
        <v>0</v>
      </c>
      <c r="X2088" s="301">
        <v>0</v>
      </c>
      <c r="Y2088" s="301">
        <v>0</v>
      </c>
      <c r="Z2088" s="301">
        <v>0</v>
      </c>
      <c r="AA2088" s="301">
        <v>0</v>
      </c>
      <c r="AB2088" s="303">
        <v>2022</v>
      </c>
    </row>
    <row r="2089" spans="1:28" ht="35.25" x14ac:dyDescent="0.5">
      <c r="A2089">
        <v>1</v>
      </c>
      <c r="B2089" s="80">
        <f>SUBTOTAL(103,$A$1697:A2089)</f>
        <v>391</v>
      </c>
      <c r="C2089" s="300" t="s">
        <v>3591</v>
      </c>
      <c r="D2089" s="296">
        <f t="shared" si="102"/>
        <v>803664</v>
      </c>
      <c r="E2089" s="301">
        <v>0</v>
      </c>
      <c r="F2089" s="301">
        <v>0</v>
      </c>
      <c r="G2089" s="301">
        <v>0</v>
      </c>
      <c r="H2089" s="301">
        <v>0</v>
      </c>
      <c r="I2089" s="301">
        <v>0</v>
      </c>
      <c r="J2089" s="301">
        <v>0</v>
      </c>
      <c r="K2089" s="302">
        <v>0</v>
      </c>
      <c r="L2089" s="301">
        <v>0</v>
      </c>
      <c r="M2089" s="301">
        <v>0</v>
      </c>
      <c r="N2089" s="301">
        <v>0</v>
      </c>
      <c r="O2089" s="301">
        <v>803664</v>
      </c>
      <c r="P2089" s="301">
        <v>0</v>
      </c>
      <c r="Q2089" s="301">
        <v>0</v>
      </c>
      <c r="R2089" s="301">
        <v>0</v>
      </c>
      <c r="S2089" s="301">
        <v>0</v>
      </c>
      <c r="T2089" s="301">
        <v>0</v>
      </c>
      <c r="U2089" s="301">
        <v>0</v>
      </c>
      <c r="V2089" s="301">
        <v>0</v>
      </c>
      <c r="W2089" s="301">
        <v>0</v>
      </c>
      <c r="X2089" s="301">
        <v>0</v>
      </c>
      <c r="Y2089" s="301">
        <v>0</v>
      </c>
      <c r="Z2089" s="301">
        <v>0</v>
      </c>
      <c r="AA2089" s="301">
        <v>0</v>
      </c>
      <c r="AB2089" s="303">
        <v>2022</v>
      </c>
    </row>
    <row r="2090" spans="1:28" ht="35.25" x14ac:dyDescent="0.5">
      <c r="A2090">
        <v>1</v>
      </c>
      <c r="B2090" s="80">
        <f>SUBTOTAL(103,$A$1697:A2090)</f>
        <v>392</v>
      </c>
      <c r="C2090" s="300" t="s">
        <v>3592</v>
      </c>
      <c r="D2090" s="296">
        <f t="shared" si="102"/>
        <v>1678247.36</v>
      </c>
      <c r="E2090" s="301">
        <v>0</v>
      </c>
      <c r="F2090" s="301">
        <v>0</v>
      </c>
      <c r="G2090" s="301">
        <v>0</v>
      </c>
      <c r="H2090" s="301">
        <v>0</v>
      </c>
      <c r="I2090" s="301">
        <v>0</v>
      </c>
      <c r="J2090" s="301">
        <v>0</v>
      </c>
      <c r="K2090" s="302">
        <v>0</v>
      </c>
      <c r="L2090" s="301">
        <v>0</v>
      </c>
      <c r="M2090" s="301">
        <v>0</v>
      </c>
      <c r="N2090" s="301">
        <v>496999.02</v>
      </c>
      <c r="O2090" s="301">
        <v>1181248.3400000001</v>
      </c>
      <c r="P2090" s="301">
        <v>0</v>
      </c>
      <c r="Q2090" s="301">
        <v>0</v>
      </c>
      <c r="R2090" s="301">
        <v>0</v>
      </c>
      <c r="S2090" s="301">
        <v>0</v>
      </c>
      <c r="T2090" s="301">
        <v>0</v>
      </c>
      <c r="U2090" s="301">
        <v>0</v>
      </c>
      <c r="V2090" s="301">
        <v>0</v>
      </c>
      <c r="W2090" s="301">
        <v>0</v>
      </c>
      <c r="X2090" s="301">
        <v>0</v>
      </c>
      <c r="Y2090" s="301">
        <v>0</v>
      </c>
      <c r="Z2090" s="301">
        <v>0</v>
      </c>
      <c r="AA2090" s="301">
        <v>0</v>
      </c>
      <c r="AB2090" s="303">
        <v>2022</v>
      </c>
    </row>
    <row r="2091" spans="1:28" ht="35.25" x14ac:dyDescent="0.5">
      <c r="A2091">
        <v>1</v>
      </c>
      <c r="B2091" s="80">
        <f>SUBTOTAL(103,$A$1697:A2091)</f>
        <v>393</v>
      </c>
      <c r="C2091" s="300" t="s">
        <v>1944</v>
      </c>
      <c r="D2091" s="296">
        <f t="shared" si="102"/>
        <v>6775593</v>
      </c>
      <c r="E2091" s="301">
        <v>0</v>
      </c>
      <c r="F2091" s="301">
        <v>0</v>
      </c>
      <c r="G2091" s="301">
        <v>0</v>
      </c>
      <c r="H2091" s="301">
        <v>0</v>
      </c>
      <c r="I2091" s="301">
        <v>0</v>
      </c>
      <c r="J2091" s="301">
        <v>0</v>
      </c>
      <c r="K2091" s="302">
        <v>0</v>
      </c>
      <c r="L2091" s="301">
        <v>0</v>
      </c>
      <c r="M2091" s="301">
        <v>0</v>
      </c>
      <c r="N2091" s="301">
        <v>0</v>
      </c>
      <c r="O2091" s="301">
        <v>6775593</v>
      </c>
      <c r="P2091" s="301">
        <v>0</v>
      </c>
      <c r="Q2091" s="301">
        <v>0</v>
      </c>
      <c r="R2091" s="301">
        <v>0</v>
      </c>
      <c r="S2091" s="301">
        <v>0</v>
      </c>
      <c r="T2091" s="301">
        <v>0</v>
      </c>
      <c r="U2091" s="301">
        <v>0</v>
      </c>
      <c r="V2091" s="301">
        <v>0</v>
      </c>
      <c r="W2091" s="301">
        <v>0</v>
      </c>
      <c r="X2091" s="301">
        <v>0</v>
      </c>
      <c r="Y2091" s="301">
        <v>0</v>
      </c>
      <c r="Z2091" s="301">
        <v>0</v>
      </c>
      <c r="AA2091" s="301">
        <v>0</v>
      </c>
      <c r="AB2091" s="303">
        <v>2022</v>
      </c>
    </row>
    <row r="2092" spans="1:28" ht="35.25" x14ac:dyDescent="0.5">
      <c r="B2092" s="300" t="s">
        <v>783</v>
      </c>
      <c r="C2092" s="300"/>
      <c r="D2092" s="296">
        <f t="shared" si="102"/>
        <v>74397054.019999996</v>
      </c>
      <c r="E2092" s="296">
        <f t="shared" ref="E2092:AA2092" si="103">SUM(E2093:E2150)</f>
        <v>2206861.1199999996</v>
      </c>
      <c r="F2092" s="296">
        <f t="shared" si="103"/>
        <v>872828.4</v>
      </c>
      <c r="G2092" s="296">
        <f t="shared" si="103"/>
        <v>4033977.16</v>
      </c>
      <c r="H2092" s="296">
        <f t="shared" si="103"/>
        <v>891545.59999999998</v>
      </c>
      <c r="I2092" s="296">
        <f t="shared" si="103"/>
        <v>895900</v>
      </c>
      <c r="J2092" s="296">
        <f t="shared" si="103"/>
        <v>0</v>
      </c>
      <c r="K2092" s="297">
        <f t="shared" si="103"/>
        <v>4</v>
      </c>
      <c r="L2092" s="296">
        <f t="shared" si="103"/>
        <v>8620000</v>
      </c>
      <c r="M2092" s="296">
        <f t="shared" si="103"/>
        <v>11897849.82</v>
      </c>
      <c r="N2092" s="296">
        <f t="shared" si="103"/>
        <v>1635056.2</v>
      </c>
      <c r="O2092" s="296">
        <f t="shared" si="103"/>
        <v>41961759.469999999</v>
      </c>
      <c r="P2092" s="296">
        <f t="shared" si="103"/>
        <v>205072</v>
      </c>
      <c r="Q2092" s="296">
        <f t="shared" si="103"/>
        <v>0</v>
      </c>
      <c r="R2092" s="296">
        <f t="shared" si="103"/>
        <v>0</v>
      </c>
      <c r="S2092" s="296">
        <f t="shared" si="103"/>
        <v>0</v>
      </c>
      <c r="T2092" s="296">
        <f t="shared" si="103"/>
        <v>0</v>
      </c>
      <c r="U2092" s="296">
        <f t="shared" si="103"/>
        <v>0</v>
      </c>
      <c r="V2092" s="296">
        <f t="shared" si="103"/>
        <v>0</v>
      </c>
      <c r="W2092" s="296">
        <f t="shared" si="103"/>
        <v>1176204.25</v>
      </c>
      <c r="X2092" s="296">
        <f t="shared" si="103"/>
        <v>0</v>
      </c>
      <c r="Y2092" s="296">
        <f t="shared" si="103"/>
        <v>0</v>
      </c>
      <c r="Z2092" s="296">
        <f t="shared" si="103"/>
        <v>0</v>
      </c>
      <c r="AA2092" s="296">
        <f t="shared" si="103"/>
        <v>0</v>
      </c>
      <c r="AB2092" s="298" t="s">
        <v>835</v>
      </c>
    </row>
    <row r="2093" spans="1:28" ht="35.25" x14ac:dyDescent="0.5">
      <c r="A2093">
        <v>1</v>
      </c>
      <c r="B2093" s="80">
        <f>SUBTOTAL(103,$A$1697:A2093)</f>
        <v>394</v>
      </c>
      <c r="C2093" s="300" t="s">
        <v>2037</v>
      </c>
      <c r="D2093" s="296">
        <f t="shared" si="102"/>
        <v>2050000</v>
      </c>
      <c r="E2093" s="301">
        <v>0</v>
      </c>
      <c r="F2093" s="301">
        <v>0</v>
      </c>
      <c r="G2093" s="301">
        <v>0</v>
      </c>
      <c r="H2093" s="301">
        <v>0</v>
      </c>
      <c r="I2093" s="301">
        <v>0</v>
      </c>
      <c r="J2093" s="301">
        <v>0</v>
      </c>
      <c r="K2093" s="302">
        <v>1</v>
      </c>
      <c r="L2093" s="301">
        <v>2050000</v>
      </c>
      <c r="M2093" s="301">
        <v>0</v>
      </c>
      <c r="N2093" s="301">
        <v>0</v>
      </c>
      <c r="O2093" s="301">
        <v>0</v>
      </c>
      <c r="P2093" s="301">
        <v>0</v>
      </c>
      <c r="Q2093" s="301">
        <v>0</v>
      </c>
      <c r="R2093" s="301">
        <v>0</v>
      </c>
      <c r="S2093" s="301">
        <v>0</v>
      </c>
      <c r="T2093" s="301">
        <v>0</v>
      </c>
      <c r="U2093" s="301">
        <v>0</v>
      </c>
      <c r="V2093" s="301">
        <v>0</v>
      </c>
      <c r="W2093" s="301">
        <v>0</v>
      </c>
      <c r="X2093" s="301">
        <v>0</v>
      </c>
      <c r="Y2093" s="301">
        <v>0</v>
      </c>
      <c r="Z2093" s="301">
        <v>0</v>
      </c>
      <c r="AA2093" s="301">
        <v>0</v>
      </c>
      <c r="AB2093" s="303">
        <v>2022</v>
      </c>
    </row>
    <row r="2094" spans="1:28" ht="35.25" x14ac:dyDescent="0.5">
      <c r="A2094">
        <v>1</v>
      </c>
      <c r="B2094" s="80">
        <f>SUBTOTAL(103,$A$1697:A2094)</f>
        <v>395</v>
      </c>
      <c r="C2094" s="306" t="s">
        <v>3213</v>
      </c>
      <c r="D2094" s="296">
        <f t="shared" si="102"/>
        <v>246990.2</v>
      </c>
      <c r="E2094" s="304">
        <v>0</v>
      </c>
      <c r="F2094" s="304">
        <v>246990.2</v>
      </c>
      <c r="G2094" s="304">
        <v>0</v>
      </c>
      <c r="H2094" s="304">
        <v>0</v>
      </c>
      <c r="I2094" s="304">
        <v>0</v>
      </c>
      <c r="J2094" s="304">
        <v>0</v>
      </c>
      <c r="K2094" s="305">
        <v>0</v>
      </c>
      <c r="L2094" s="304">
        <v>0</v>
      </c>
      <c r="M2094" s="304">
        <v>0</v>
      </c>
      <c r="N2094" s="304">
        <v>0</v>
      </c>
      <c r="O2094" s="304">
        <v>0</v>
      </c>
      <c r="P2094" s="304">
        <v>0</v>
      </c>
      <c r="Q2094" s="304">
        <v>0</v>
      </c>
      <c r="R2094" s="304">
        <v>0</v>
      </c>
      <c r="S2094" s="304">
        <v>0</v>
      </c>
      <c r="T2094" s="304">
        <v>0</v>
      </c>
      <c r="U2094" s="304">
        <v>0</v>
      </c>
      <c r="V2094" s="304">
        <v>0</v>
      </c>
      <c r="W2094" s="304">
        <v>0</v>
      </c>
      <c r="X2094" s="304">
        <v>0</v>
      </c>
      <c r="Y2094" s="304">
        <v>0</v>
      </c>
      <c r="Z2094" s="304">
        <v>0</v>
      </c>
      <c r="AA2094" s="304">
        <v>0</v>
      </c>
      <c r="AB2094" s="307">
        <v>2022</v>
      </c>
    </row>
    <row r="2095" spans="1:28" ht="35.25" x14ac:dyDescent="0.5">
      <c r="A2095">
        <v>1</v>
      </c>
      <c r="B2095" s="80">
        <f>SUBTOTAL(103,$A$1697:A2095)</f>
        <v>396</v>
      </c>
      <c r="C2095" s="306" t="s">
        <v>2793</v>
      </c>
      <c r="D2095" s="296">
        <f t="shared" si="102"/>
        <v>855361.6</v>
      </c>
      <c r="E2095" s="304">
        <v>855361.6</v>
      </c>
      <c r="F2095" s="304">
        <v>0</v>
      </c>
      <c r="G2095" s="304">
        <v>0</v>
      </c>
      <c r="H2095" s="304">
        <v>0</v>
      </c>
      <c r="I2095" s="304">
        <v>0</v>
      </c>
      <c r="J2095" s="304">
        <v>0</v>
      </c>
      <c r="K2095" s="305">
        <v>0</v>
      </c>
      <c r="L2095" s="304">
        <v>0</v>
      </c>
      <c r="M2095" s="304">
        <v>0</v>
      </c>
      <c r="N2095" s="304">
        <v>0</v>
      </c>
      <c r="O2095" s="304">
        <v>0</v>
      </c>
      <c r="P2095" s="304">
        <v>0</v>
      </c>
      <c r="Q2095" s="304">
        <v>0</v>
      </c>
      <c r="R2095" s="304">
        <v>0</v>
      </c>
      <c r="S2095" s="304">
        <v>0</v>
      </c>
      <c r="T2095" s="304">
        <v>0</v>
      </c>
      <c r="U2095" s="304">
        <v>0</v>
      </c>
      <c r="V2095" s="304">
        <v>0</v>
      </c>
      <c r="W2095" s="304">
        <v>0</v>
      </c>
      <c r="X2095" s="304">
        <v>0</v>
      </c>
      <c r="Y2095" s="304">
        <v>0</v>
      </c>
      <c r="Z2095" s="304">
        <v>0</v>
      </c>
      <c r="AA2095" s="304">
        <v>0</v>
      </c>
      <c r="AB2095" s="307">
        <v>2022</v>
      </c>
    </row>
    <row r="2096" spans="1:28" ht="35.25" x14ac:dyDescent="0.5">
      <c r="A2096">
        <v>1</v>
      </c>
      <c r="B2096" s="80">
        <f>SUBTOTAL(103,$A$1697:A2096)</f>
        <v>397</v>
      </c>
      <c r="C2096" s="306" t="s">
        <v>3214</v>
      </c>
      <c r="D2096" s="296">
        <f t="shared" si="102"/>
        <v>2354652</v>
      </c>
      <c r="E2096" s="304">
        <v>0</v>
      </c>
      <c r="F2096" s="304">
        <v>0</v>
      </c>
      <c r="G2096" s="304">
        <v>0</v>
      </c>
      <c r="H2096" s="304">
        <v>0</v>
      </c>
      <c r="I2096" s="304">
        <v>0</v>
      </c>
      <c r="J2096" s="304">
        <v>0</v>
      </c>
      <c r="K2096" s="305">
        <v>0</v>
      </c>
      <c r="L2096" s="304">
        <v>0</v>
      </c>
      <c r="M2096" s="304">
        <v>0</v>
      </c>
      <c r="N2096" s="304">
        <v>0</v>
      </c>
      <c r="O2096" s="304">
        <f>1523745+830907</f>
        <v>2354652</v>
      </c>
      <c r="P2096" s="304">
        <v>0</v>
      </c>
      <c r="Q2096" s="304">
        <v>0</v>
      </c>
      <c r="R2096" s="304">
        <v>0</v>
      </c>
      <c r="S2096" s="304">
        <v>0</v>
      </c>
      <c r="T2096" s="304">
        <v>0</v>
      </c>
      <c r="U2096" s="304">
        <v>0</v>
      </c>
      <c r="V2096" s="304">
        <v>0</v>
      </c>
      <c r="W2096" s="304">
        <v>0</v>
      </c>
      <c r="X2096" s="304">
        <v>0</v>
      </c>
      <c r="Y2096" s="304">
        <v>0</v>
      </c>
      <c r="Z2096" s="304">
        <v>0</v>
      </c>
      <c r="AA2096" s="304">
        <v>0</v>
      </c>
      <c r="AB2096" s="307">
        <v>2022</v>
      </c>
    </row>
    <row r="2097" spans="1:28" ht="35.25" x14ac:dyDescent="0.5">
      <c r="A2097">
        <v>1</v>
      </c>
      <c r="B2097" s="80">
        <f>SUBTOTAL(103,$A$1697:A2097)</f>
        <v>398</v>
      </c>
      <c r="C2097" s="306" t="s">
        <v>3215</v>
      </c>
      <c r="D2097" s="296">
        <f t="shared" si="102"/>
        <v>197277.8</v>
      </c>
      <c r="E2097" s="304">
        <v>197277.8</v>
      </c>
      <c r="F2097" s="304">
        <v>0</v>
      </c>
      <c r="G2097" s="304">
        <v>0</v>
      </c>
      <c r="H2097" s="304">
        <v>0</v>
      </c>
      <c r="I2097" s="304">
        <v>0</v>
      </c>
      <c r="J2097" s="304">
        <v>0</v>
      </c>
      <c r="K2097" s="305">
        <v>0</v>
      </c>
      <c r="L2097" s="304">
        <v>0</v>
      </c>
      <c r="M2097" s="304">
        <v>0</v>
      </c>
      <c r="N2097" s="304">
        <v>0</v>
      </c>
      <c r="O2097" s="304">
        <v>0</v>
      </c>
      <c r="P2097" s="304">
        <v>0</v>
      </c>
      <c r="Q2097" s="304">
        <v>0</v>
      </c>
      <c r="R2097" s="304">
        <v>0</v>
      </c>
      <c r="S2097" s="304">
        <v>0</v>
      </c>
      <c r="T2097" s="304">
        <v>0</v>
      </c>
      <c r="U2097" s="304">
        <v>0</v>
      </c>
      <c r="V2097" s="304">
        <v>0</v>
      </c>
      <c r="W2097" s="304">
        <v>0</v>
      </c>
      <c r="X2097" s="304">
        <v>0</v>
      </c>
      <c r="Y2097" s="304">
        <v>0</v>
      </c>
      <c r="Z2097" s="304">
        <v>0</v>
      </c>
      <c r="AA2097" s="304">
        <v>0</v>
      </c>
      <c r="AB2097" s="307">
        <v>2022</v>
      </c>
    </row>
    <row r="2098" spans="1:28" ht="35.25" x14ac:dyDescent="0.5">
      <c r="A2098">
        <v>1</v>
      </c>
      <c r="B2098" s="80">
        <f>SUBTOTAL(103,$A$1697:A2098)</f>
        <v>399</v>
      </c>
      <c r="C2098" s="306" t="s">
        <v>3216</v>
      </c>
      <c r="D2098" s="296">
        <f t="shared" si="102"/>
        <v>2180000</v>
      </c>
      <c r="E2098" s="304">
        <v>0</v>
      </c>
      <c r="F2098" s="304">
        <v>0</v>
      </c>
      <c r="G2098" s="304">
        <v>0</v>
      </c>
      <c r="H2098" s="304">
        <v>0</v>
      </c>
      <c r="I2098" s="304">
        <v>0</v>
      </c>
      <c r="J2098" s="304">
        <v>0</v>
      </c>
      <c r="K2098" s="305">
        <v>1</v>
      </c>
      <c r="L2098" s="304">
        <v>2180000</v>
      </c>
      <c r="M2098" s="304">
        <v>0</v>
      </c>
      <c r="N2098" s="304">
        <v>0</v>
      </c>
      <c r="O2098" s="304">
        <v>0</v>
      </c>
      <c r="P2098" s="304">
        <v>0</v>
      </c>
      <c r="Q2098" s="304">
        <v>0</v>
      </c>
      <c r="R2098" s="304">
        <v>0</v>
      </c>
      <c r="S2098" s="304">
        <v>0</v>
      </c>
      <c r="T2098" s="304">
        <v>0</v>
      </c>
      <c r="U2098" s="304">
        <v>0</v>
      </c>
      <c r="V2098" s="304">
        <v>0</v>
      </c>
      <c r="W2098" s="304">
        <v>0</v>
      </c>
      <c r="X2098" s="304">
        <v>0</v>
      </c>
      <c r="Y2098" s="304">
        <v>0</v>
      </c>
      <c r="Z2098" s="304">
        <v>0</v>
      </c>
      <c r="AA2098" s="304">
        <v>0</v>
      </c>
      <c r="AB2098" s="307">
        <v>2022</v>
      </c>
    </row>
    <row r="2099" spans="1:28" ht="35.25" customHeight="1" x14ac:dyDescent="0.5">
      <c r="A2099">
        <v>1</v>
      </c>
      <c r="B2099" s="80">
        <f>SUBTOTAL(103,$A$1697:A2099)</f>
        <v>400</v>
      </c>
      <c r="C2099" s="306" t="s">
        <v>2787</v>
      </c>
      <c r="D2099" s="296">
        <f t="shared" si="102"/>
        <v>555475</v>
      </c>
      <c r="E2099" s="304">
        <v>0</v>
      </c>
      <c r="F2099" s="304">
        <v>0</v>
      </c>
      <c r="G2099" s="304">
        <v>0</v>
      </c>
      <c r="H2099" s="304">
        <v>0</v>
      </c>
      <c r="I2099" s="304">
        <v>0</v>
      </c>
      <c r="J2099" s="304">
        <v>0</v>
      </c>
      <c r="K2099" s="305">
        <v>0</v>
      </c>
      <c r="L2099" s="304">
        <v>0</v>
      </c>
      <c r="M2099" s="304">
        <v>0</v>
      </c>
      <c r="N2099" s="304">
        <v>0</v>
      </c>
      <c r="O2099" s="304">
        <f>98166+457309</f>
        <v>555475</v>
      </c>
      <c r="P2099" s="304">
        <v>0</v>
      </c>
      <c r="Q2099" s="304">
        <v>0</v>
      </c>
      <c r="R2099" s="304">
        <v>0</v>
      </c>
      <c r="S2099" s="304">
        <v>0</v>
      </c>
      <c r="T2099" s="304">
        <v>0</v>
      </c>
      <c r="U2099" s="304">
        <v>0</v>
      </c>
      <c r="V2099" s="304">
        <v>0</v>
      </c>
      <c r="W2099" s="304">
        <v>0</v>
      </c>
      <c r="X2099" s="304">
        <v>0</v>
      </c>
      <c r="Y2099" s="304">
        <v>0</v>
      </c>
      <c r="Z2099" s="304">
        <v>0</v>
      </c>
      <c r="AA2099" s="304">
        <v>0</v>
      </c>
      <c r="AB2099" s="307">
        <v>2022</v>
      </c>
    </row>
    <row r="2100" spans="1:28" ht="35.25" x14ac:dyDescent="0.5">
      <c r="A2100">
        <v>1</v>
      </c>
      <c r="B2100" s="80">
        <f>SUBTOTAL(103,$A$1697:A2100)</f>
        <v>401</v>
      </c>
      <c r="C2100" s="306" t="s">
        <v>2709</v>
      </c>
      <c r="D2100" s="296">
        <f t="shared" si="102"/>
        <v>229289.16</v>
      </c>
      <c r="E2100" s="304">
        <v>0</v>
      </c>
      <c r="F2100" s="304">
        <v>0</v>
      </c>
      <c r="G2100" s="304">
        <f>56379+60250.16+112660</f>
        <v>229289.16</v>
      </c>
      <c r="H2100" s="304">
        <v>0</v>
      </c>
      <c r="I2100" s="304">
        <v>0</v>
      </c>
      <c r="J2100" s="304">
        <v>0</v>
      </c>
      <c r="K2100" s="305">
        <v>0</v>
      </c>
      <c r="L2100" s="304">
        <v>0</v>
      </c>
      <c r="M2100" s="304">
        <v>0</v>
      </c>
      <c r="N2100" s="304">
        <v>0</v>
      </c>
      <c r="O2100" s="304">
        <v>0</v>
      </c>
      <c r="P2100" s="304">
        <v>0</v>
      </c>
      <c r="Q2100" s="304">
        <v>0</v>
      </c>
      <c r="R2100" s="304">
        <v>0</v>
      </c>
      <c r="S2100" s="304">
        <v>0</v>
      </c>
      <c r="T2100" s="304">
        <v>0</v>
      </c>
      <c r="U2100" s="304">
        <v>0</v>
      </c>
      <c r="V2100" s="304">
        <v>0</v>
      </c>
      <c r="W2100" s="304">
        <v>0</v>
      </c>
      <c r="X2100" s="304">
        <v>0</v>
      </c>
      <c r="Y2100" s="304">
        <v>0</v>
      </c>
      <c r="Z2100" s="304">
        <v>0</v>
      </c>
      <c r="AA2100" s="304">
        <v>0</v>
      </c>
      <c r="AB2100" s="307">
        <v>2022</v>
      </c>
    </row>
    <row r="2101" spans="1:28" ht="35.25" x14ac:dyDescent="0.5">
      <c r="A2101">
        <v>1</v>
      </c>
      <c r="B2101" s="80">
        <f>SUBTOTAL(103,$A$1697:A2101)</f>
        <v>402</v>
      </c>
      <c r="C2101" s="306" t="s">
        <v>3035</v>
      </c>
      <c r="D2101" s="296">
        <f t="shared" si="102"/>
        <v>110100</v>
      </c>
      <c r="E2101" s="304">
        <v>0</v>
      </c>
      <c r="F2101" s="304">
        <v>0</v>
      </c>
      <c r="G2101" s="304">
        <v>110100</v>
      </c>
      <c r="H2101" s="304">
        <v>0</v>
      </c>
      <c r="I2101" s="304">
        <v>0</v>
      </c>
      <c r="J2101" s="304">
        <v>0</v>
      </c>
      <c r="K2101" s="305">
        <v>0</v>
      </c>
      <c r="L2101" s="304">
        <v>0</v>
      </c>
      <c r="M2101" s="304">
        <v>0</v>
      </c>
      <c r="N2101" s="304">
        <v>0</v>
      </c>
      <c r="O2101" s="304">
        <v>0</v>
      </c>
      <c r="P2101" s="304">
        <v>0</v>
      </c>
      <c r="Q2101" s="304">
        <v>0</v>
      </c>
      <c r="R2101" s="304">
        <v>0</v>
      </c>
      <c r="S2101" s="304">
        <v>0</v>
      </c>
      <c r="T2101" s="304">
        <v>0</v>
      </c>
      <c r="U2101" s="304">
        <v>0</v>
      </c>
      <c r="V2101" s="304">
        <v>0</v>
      </c>
      <c r="W2101" s="304">
        <v>0</v>
      </c>
      <c r="X2101" s="304">
        <v>0</v>
      </c>
      <c r="Y2101" s="304">
        <v>0</v>
      </c>
      <c r="Z2101" s="304">
        <v>0</v>
      </c>
      <c r="AA2101" s="304">
        <v>0</v>
      </c>
      <c r="AB2101" s="307">
        <v>2022</v>
      </c>
    </row>
    <row r="2102" spans="1:28" ht="35.25" x14ac:dyDescent="0.5">
      <c r="A2102">
        <v>1</v>
      </c>
      <c r="B2102" s="80">
        <f>SUBTOTAL(103,$A$1697:A2102)</f>
        <v>403</v>
      </c>
      <c r="C2102" s="306" t="s">
        <v>2034</v>
      </c>
      <c r="D2102" s="296">
        <f t="shared" si="102"/>
        <v>303356.5</v>
      </c>
      <c r="E2102" s="301">
        <v>36300</v>
      </c>
      <c r="F2102" s="304">
        <v>0</v>
      </c>
      <c r="G2102" s="304">
        <v>0</v>
      </c>
      <c r="H2102" s="304">
        <v>0</v>
      </c>
      <c r="I2102" s="304">
        <v>0</v>
      </c>
      <c r="J2102" s="304">
        <v>0</v>
      </c>
      <c r="K2102" s="305">
        <v>0</v>
      </c>
      <c r="L2102" s="304">
        <v>0</v>
      </c>
      <c r="M2102" s="304">
        <v>267056.5</v>
      </c>
      <c r="N2102" s="304">
        <v>0</v>
      </c>
      <c r="O2102" s="304">
        <v>0</v>
      </c>
      <c r="P2102" s="304">
        <v>0</v>
      </c>
      <c r="Q2102" s="304">
        <v>0</v>
      </c>
      <c r="R2102" s="304">
        <v>0</v>
      </c>
      <c r="S2102" s="304">
        <v>0</v>
      </c>
      <c r="T2102" s="304">
        <v>0</v>
      </c>
      <c r="U2102" s="304">
        <v>0</v>
      </c>
      <c r="V2102" s="304">
        <v>0</v>
      </c>
      <c r="W2102" s="304">
        <v>0</v>
      </c>
      <c r="X2102" s="304">
        <v>0</v>
      </c>
      <c r="Y2102" s="304">
        <v>0</v>
      </c>
      <c r="Z2102" s="304">
        <v>0</v>
      </c>
      <c r="AA2102" s="304">
        <v>0</v>
      </c>
      <c r="AB2102" s="307">
        <v>2022</v>
      </c>
    </row>
    <row r="2103" spans="1:28" ht="35.25" x14ac:dyDescent="0.5">
      <c r="A2103">
        <v>1</v>
      </c>
      <c r="B2103" s="80">
        <f>SUBTOTAL(103,$A$1697:A2103)</f>
        <v>404</v>
      </c>
      <c r="C2103" s="306" t="s">
        <v>2789</v>
      </c>
      <c r="D2103" s="296">
        <f t="shared" si="102"/>
        <v>416001</v>
      </c>
      <c r="E2103" s="304">
        <v>210929</v>
      </c>
      <c r="F2103" s="304">
        <v>0</v>
      </c>
      <c r="G2103" s="304">
        <v>0</v>
      </c>
      <c r="H2103" s="304">
        <v>0</v>
      </c>
      <c r="I2103" s="304">
        <v>0</v>
      </c>
      <c r="J2103" s="304">
        <v>0</v>
      </c>
      <c r="K2103" s="305">
        <v>0</v>
      </c>
      <c r="L2103" s="304">
        <v>0</v>
      </c>
      <c r="M2103" s="304">
        <v>0</v>
      </c>
      <c r="N2103" s="304">
        <v>0</v>
      </c>
      <c r="O2103" s="304">
        <v>0</v>
      </c>
      <c r="P2103" s="301">
        <v>205072</v>
      </c>
      <c r="Q2103" s="304">
        <v>0</v>
      </c>
      <c r="R2103" s="304">
        <v>0</v>
      </c>
      <c r="S2103" s="304">
        <v>0</v>
      </c>
      <c r="T2103" s="304">
        <v>0</v>
      </c>
      <c r="U2103" s="304">
        <v>0</v>
      </c>
      <c r="V2103" s="304">
        <v>0</v>
      </c>
      <c r="W2103" s="304">
        <v>0</v>
      </c>
      <c r="X2103" s="304">
        <v>0</v>
      </c>
      <c r="Y2103" s="304">
        <v>0</v>
      </c>
      <c r="Z2103" s="304">
        <v>0</v>
      </c>
      <c r="AA2103" s="304">
        <v>0</v>
      </c>
      <c r="AB2103" s="307">
        <v>2022</v>
      </c>
    </row>
    <row r="2104" spans="1:28" ht="35.25" x14ac:dyDescent="0.5">
      <c r="A2104">
        <v>1</v>
      </c>
      <c r="B2104" s="80">
        <f>SUBTOTAL(103,$A$1697:A2104)</f>
        <v>405</v>
      </c>
      <c r="C2104" s="306" t="s">
        <v>2410</v>
      </c>
      <c r="D2104" s="296">
        <f t="shared" si="102"/>
        <v>31550</v>
      </c>
      <c r="E2104" s="304">
        <v>0</v>
      </c>
      <c r="F2104" s="304">
        <v>0</v>
      </c>
      <c r="G2104" s="304">
        <v>0</v>
      </c>
      <c r="H2104" s="304">
        <v>0</v>
      </c>
      <c r="I2104" s="304">
        <v>0</v>
      </c>
      <c r="J2104" s="304">
        <v>0</v>
      </c>
      <c r="K2104" s="305">
        <v>0</v>
      </c>
      <c r="L2104" s="304">
        <v>0</v>
      </c>
      <c r="M2104" s="304">
        <v>31550</v>
      </c>
      <c r="N2104" s="304">
        <v>0</v>
      </c>
      <c r="O2104" s="304">
        <v>0</v>
      </c>
      <c r="P2104" s="304">
        <v>0</v>
      </c>
      <c r="Q2104" s="304">
        <v>0</v>
      </c>
      <c r="R2104" s="304">
        <v>0</v>
      </c>
      <c r="S2104" s="304">
        <v>0</v>
      </c>
      <c r="T2104" s="304">
        <v>0</v>
      </c>
      <c r="U2104" s="304">
        <v>0</v>
      </c>
      <c r="V2104" s="304">
        <v>0</v>
      </c>
      <c r="W2104" s="304">
        <v>0</v>
      </c>
      <c r="X2104" s="304">
        <v>0</v>
      </c>
      <c r="Y2104" s="304">
        <v>0</v>
      </c>
      <c r="Z2104" s="304">
        <v>0</v>
      </c>
      <c r="AA2104" s="304">
        <v>0</v>
      </c>
      <c r="AB2104" s="307">
        <v>2022</v>
      </c>
    </row>
    <row r="2105" spans="1:28" ht="35.25" x14ac:dyDescent="0.5">
      <c r="A2105">
        <v>1</v>
      </c>
      <c r="B2105" s="80">
        <f>SUBTOTAL(103,$A$1697:A2105)</f>
        <v>406</v>
      </c>
      <c r="C2105" s="306" t="s">
        <v>2790</v>
      </c>
      <c r="D2105" s="296">
        <f t="shared" si="102"/>
        <v>77262.8</v>
      </c>
      <c r="E2105" s="304">
        <v>0</v>
      </c>
      <c r="F2105" s="304">
        <v>0</v>
      </c>
      <c r="G2105" s="304">
        <v>0</v>
      </c>
      <c r="H2105" s="304">
        <v>0</v>
      </c>
      <c r="I2105" s="304">
        <v>0</v>
      </c>
      <c r="J2105" s="304">
        <v>0</v>
      </c>
      <c r="K2105" s="305">
        <v>0</v>
      </c>
      <c r="L2105" s="304">
        <v>0</v>
      </c>
      <c r="M2105" s="304">
        <v>0</v>
      </c>
      <c r="N2105" s="304">
        <v>0</v>
      </c>
      <c r="O2105" s="304">
        <v>77262.8</v>
      </c>
      <c r="P2105" s="304">
        <v>0</v>
      </c>
      <c r="Q2105" s="304">
        <v>0</v>
      </c>
      <c r="R2105" s="304">
        <v>0</v>
      </c>
      <c r="S2105" s="304">
        <v>0</v>
      </c>
      <c r="T2105" s="304">
        <v>0</v>
      </c>
      <c r="U2105" s="304">
        <v>0</v>
      </c>
      <c r="V2105" s="304">
        <v>0</v>
      </c>
      <c r="W2105" s="304">
        <v>0</v>
      </c>
      <c r="X2105" s="304">
        <v>0</v>
      </c>
      <c r="Y2105" s="304">
        <v>0</v>
      </c>
      <c r="Z2105" s="304">
        <v>0</v>
      </c>
      <c r="AA2105" s="304">
        <v>0</v>
      </c>
      <c r="AB2105" s="307">
        <v>2022</v>
      </c>
    </row>
    <row r="2106" spans="1:28" ht="35.25" x14ac:dyDescent="0.5">
      <c r="A2106">
        <v>1</v>
      </c>
      <c r="B2106" s="80">
        <f>SUBTOTAL(103,$A$1697:A2106)</f>
        <v>407</v>
      </c>
      <c r="C2106" s="306" t="s">
        <v>3335</v>
      </c>
      <c r="D2106" s="296">
        <f t="shared" si="102"/>
        <v>6357586</v>
      </c>
      <c r="E2106" s="304">
        <v>0</v>
      </c>
      <c r="F2106" s="304">
        <v>0</v>
      </c>
      <c r="G2106" s="304">
        <v>0</v>
      </c>
      <c r="H2106" s="304">
        <v>0</v>
      </c>
      <c r="I2106" s="304">
        <v>0</v>
      </c>
      <c r="J2106" s="304">
        <v>0</v>
      </c>
      <c r="K2106" s="305">
        <v>0</v>
      </c>
      <c r="L2106" s="304">
        <v>0</v>
      </c>
      <c r="M2106" s="304">
        <v>0</v>
      </c>
      <c r="N2106" s="304">
        <v>0</v>
      </c>
      <c r="O2106" s="304">
        <v>5664960</v>
      </c>
      <c r="P2106" s="304">
        <v>0</v>
      </c>
      <c r="Q2106" s="304">
        <v>0</v>
      </c>
      <c r="R2106" s="304">
        <v>0</v>
      </c>
      <c r="S2106" s="304">
        <v>0</v>
      </c>
      <c r="T2106" s="304">
        <v>0</v>
      </c>
      <c r="U2106" s="304">
        <v>0</v>
      </c>
      <c r="V2106" s="304">
        <v>0</v>
      </c>
      <c r="W2106" s="304">
        <v>692626</v>
      </c>
      <c r="X2106" s="304">
        <v>0</v>
      </c>
      <c r="Y2106" s="304">
        <v>0</v>
      </c>
      <c r="Z2106" s="304">
        <v>0</v>
      </c>
      <c r="AA2106" s="304">
        <v>0</v>
      </c>
      <c r="AB2106" s="307">
        <v>2022</v>
      </c>
    </row>
    <row r="2107" spans="1:28" ht="35.25" x14ac:dyDescent="0.5">
      <c r="A2107">
        <v>1</v>
      </c>
      <c r="B2107" s="80">
        <f>SUBTOTAL(103,$A$1697:A2107)</f>
        <v>408</v>
      </c>
      <c r="C2107" s="306" t="s">
        <v>2608</v>
      </c>
      <c r="D2107" s="296">
        <f t="shared" si="102"/>
        <v>4489471.16</v>
      </c>
      <c r="E2107" s="301">
        <v>0</v>
      </c>
      <c r="F2107" s="301">
        <v>0</v>
      </c>
      <c r="G2107" s="301">
        <v>0</v>
      </c>
      <c r="H2107" s="301">
        <v>0</v>
      </c>
      <c r="I2107" s="301">
        <v>0</v>
      </c>
      <c r="J2107" s="301">
        <v>0</v>
      </c>
      <c r="K2107" s="302">
        <v>0</v>
      </c>
      <c r="L2107" s="301">
        <v>0</v>
      </c>
      <c r="M2107" s="301">
        <v>0</v>
      </c>
      <c r="N2107" s="301">
        <v>0</v>
      </c>
      <c r="O2107" s="301">
        <v>4005892.91</v>
      </c>
      <c r="P2107" s="301">
        <v>0</v>
      </c>
      <c r="Q2107" s="301">
        <v>0</v>
      </c>
      <c r="R2107" s="301">
        <v>0</v>
      </c>
      <c r="S2107" s="301">
        <v>0</v>
      </c>
      <c r="T2107" s="301">
        <v>0</v>
      </c>
      <c r="U2107" s="301">
        <v>0</v>
      </c>
      <c r="V2107" s="301">
        <v>0</v>
      </c>
      <c r="W2107" s="301">
        <v>483578.25</v>
      </c>
      <c r="X2107" s="301">
        <v>0</v>
      </c>
      <c r="Y2107" s="301">
        <v>0</v>
      </c>
      <c r="Z2107" s="301">
        <v>0</v>
      </c>
      <c r="AA2107" s="301">
        <v>0</v>
      </c>
      <c r="AB2107" s="303">
        <v>2022</v>
      </c>
    </row>
    <row r="2108" spans="1:28" ht="35.25" x14ac:dyDescent="0.5">
      <c r="A2108">
        <v>1</v>
      </c>
      <c r="B2108" s="80">
        <f>SUBTOTAL(103,$A$1697:A2108)</f>
        <v>409</v>
      </c>
      <c r="C2108" s="306" t="s">
        <v>3336</v>
      </c>
      <c r="D2108" s="296">
        <f t="shared" si="102"/>
        <v>1269900</v>
      </c>
      <c r="E2108" s="301">
        <v>0</v>
      </c>
      <c r="F2108" s="301">
        <v>0</v>
      </c>
      <c r="G2108" s="301">
        <v>0</v>
      </c>
      <c r="H2108" s="301">
        <v>0</v>
      </c>
      <c r="I2108" s="301">
        <v>0</v>
      </c>
      <c r="J2108" s="301">
        <v>0</v>
      </c>
      <c r="K2108" s="302">
        <v>0</v>
      </c>
      <c r="L2108" s="301">
        <v>0</v>
      </c>
      <c r="M2108" s="301">
        <v>0</v>
      </c>
      <c r="N2108" s="301">
        <v>0</v>
      </c>
      <c r="O2108" s="301">
        <f>311550+958350</f>
        <v>1269900</v>
      </c>
      <c r="P2108" s="301">
        <v>0</v>
      </c>
      <c r="Q2108" s="301">
        <v>0</v>
      </c>
      <c r="R2108" s="301">
        <v>0</v>
      </c>
      <c r="S2108" s="301">
        <v>0</v>
      </c>
      <c r="T2108" s="301">
        <v>0</v>
      </c>
      <c r="U2108" s="301">
        <v>0</v>
      </c>
      <c r="V2108" s="301">
        <v>0</v>
      </c>
      <c r="W2108" s="301">
        <v>0</v>
      </c>
      <c r="X2108" s="301">
        <v>0</v>
      </c>
      <c r="Y2108" s="301">
        <v>0</v>
      </c>
      <c r="Z2108" s="301">
        <v>0</v>
      </c>
      <c r="AA2108" s="301">
        <v>0</v>
      </c>
      <c r="AB2108" s="303" t="s">
        <v>3313</v>
      </c>
    </row>
    <row r="2109" spans="1:28" ht="35.25" x14ac:dyDescent="0.5">
      <c r="A2109">
        <v>1</v>
      </c>
      <c r="B2109" s="80">
        <f>SUBTOTAL(103,$A$1697:A2109)</f>
        <v>410</v>
      </c>
      <c r="C2109" s="306" t="s">
        <v>3337</v>
      </c>
      <c r="D2109" s="296">
        <f t="shared" si="102"/>
        <v>1234432.3999999999</v>
      </c>
      <c r="E2109" s="301">
        <v>0</v>
      </c>
      <c r="F2109" s="301">
        <v>0</v>
      </c>
      <c r="G2109" s="301">
        <v>0</v>
      </c>
      <c r="H2109" s="301">
        <v>0</v>
      </c>
      <c r="I2109" s="301">
        <v>0</v>
      </c>
      <c r="J2109" s="301">
        <v>0</v>
      </c>
      <c r="K2109" s="302">
        <v>0</v>
      </c>
      <c r="L2109" s="301">
        <v>0</v>
      </c>
      <c r="M2109" s="301">
        <f>370329.72+864102.68</f>
        <v>1234432.3999999999</v>
      </c>
      <c r="N2109" s="301">
        <v>0</v>
      </c>
      <c r="O2109" s="301">
        <v>0</v>
      </c>
      <c r="P2109" s="301">
        <v>0</v>
      </c>
      <c r="Q2109" s="301">
        <v>0</v>
      </c>
      <c r="R2109" s="301">
        <v>0</v>
      </c>
      <c r="S2109" s="301">
        <v>0</v>
      </c>
      <c r="T2109" s="301">
        <v>0</v>
      </c>
      <c r="U2109" s="301">
        <v>0</v>
      </c>
      <c r="V2109" s="301">
        <v>0</v>
      </c>
      <c r="W2109" s="301">
        <v>0</v>
      </c>
      <c r="X2109" s="301">
        <v>0</v>
      </c>
      <c r="Y2109" s="301">
        <v>0</v>
      </c>
      <c r="Z2109" s="301">
        <v>0</v>
      </c>
      <c r="AA2109" s="301">
        <v>0</v>
      </c>
      <c r="AB2109" s="303" t="s">
        <v>3313</v>
      </c>
    </row>
    <row r="2110" spans="1:28" ht="35.25" x14ac:dyDescent="0.5">
      <c r="A2110">
        <v>1</v>
      </c>
      <c r="B2110" s="80">
        <f>SUBTOTAL(103,$A$1697:A2110)</f>
        <v>411</v>
      </c>
      <c r="C2110" s="306" t="s">
        <v>3338</v>
      </c>
      <c r="D2110" s="296">
        <f t="shared" si="102"/>
        <v>1200000</v>
      </c>
      <c r="E2110" s="301">
        <v>0</v>
      </c>
      <c r="F2110" s="301">
        <v>0</v>
      </c>
      <c r="G2110" s="301">
        <v>0</v>
      </c>
      <c r="H2110" s="301">
        <v>0</v>
      </c>
      <c r="I2110" s="301">
        <v>0</v>
      </c>
      <c r="J2110" s="301">
        <v>0</v>
      </c>
      <c r="K2110" s="302">
        <v>0</v>
      </c>
      <c r="L2110" s="301">
        <v>0</v>
      </c>
      <c r="M2110" s="301">
        <v>1200000</v>
      </c>
      <c r="N2110" s="301">
        <v>0</v>
      </c>
      <c r="O2110" s="301">
        <v>0</v>
      </c>
      <c r="P2110" s="301">
        <v>0</v>
      </c>
      <c r="Q2110" s="301">
        <v>0</v>
      </c>
      <c r="R2110" s="301">
        <v>0</v>
      </c>
      <c r="S2110" s="301">
        <v>0</v>
      </c>
      <c r="T2110" s="301">
        <v>0</v>
      </c>
      <c r="U2110" s="301">
        <v>0</v>
      </c>
      <c r="V2110" s="301">
        <v>0</v>
      </c>
      <c r="W2110" s="301">
        <v>0</v>
      </c>
      <c r="X2110" s="301">
        <v>0</v>
      </c>
      <c r="Y2110" s="301">
        <v>0</v>
      </c>
      <c r="Z2110" s="301">
        <v>0</v>
      </c>
      <c r="AA2110" s="301">
        <v>0</v>
      </c>
      <c r="AB2110" s="303" t="s">
        <v>3313</v>
      </c>
    </row>
    <row r="2111" spans="1:28" ht="35.25" x14ac:dyDescent="0.5">
      <c r="A2111">
        <v>1</v>
      </c>
      <c r="B2111" s="80">
        <f>SUBTOTAL(103,$A$1697:A2111)</f>
        <v>412</v>
      </c>
      <c r="C2111" s="306" t="s">
        <v>2040</v>
      </c>
      <c r="D2111" s="296">
        <f t="shared" si="102"/>
        <v>156676.66</v>
      </c>
      <c r="E2111" s="301">
        <v>0</v>
      </c>
      <c r="F2111" s="301">
        <v>0</v>
      </c>
      <c r="G2111" s="301">
        <v>0</v>
      </c>
      <c r="H2111" s="301">
        <v>0</v>
      </c>
      <c r="I2111" s="301">
        <v>0</v>
      </c>
      <c r="J2111" s="301">
        <v>0</v>
      </c>
      <c r="K2111" s="302">
        <v>0</v>
      </c>
      <c r="L2111" s="301">
        <v>0</v>
      </c>
      <c r="M2111" s="301">
        <v>0</v>
      </c>
      <c r="N2111" s="301">
        <v>0</v>
      </c>
      <c r="O2111" s="301">
        <f>83446.66+73230</f>
        <v>156676.66</v>
      </c>
      <c r="P2111" s="301">
        <v>0</v>
      </c>
      <c r="Q2111" s="301">
        <v>0</v>
      </c>
      <c r="R2111" s="301">
        <v>0</v>
      </c>
      <c r="S2111" s="301">
        <v>0</v>
      </c>
      <c r="T2111" s="301">
        <v>0</v>
      </c>
      <c r="U2111" s="301">
        <v>0</v>
      </c>
      <c r="V2111" s="301">
        <v>0</v>
      </c>
      <c r="W2111" s="301">
        <v>0</v>
      </c>
      <c r="X2111" s="301">
        <v>0</v>
      </c>
      <c r="Y2111" s="301">
        <v>0</v>
      </c>
      <c r="Z2111" s="301">
        <v>0</v>
      </c>
      <c r="AA2111" s="301">
        <v>0</v>
      </c>
      <c r="AB2111" s="303" t="s">
        <v>3313</v>
      </c>
    </row>
    <row r="2112" spans="1:28" ht="35.25" x14ac:dyDescent="0.5">
      <c r="A2112">
        <v>1</v>
      </c>
      <c r="B2112" s="80">
        <f>SUBTOTAL(103,$A$1697:A2112)</f>
        <v>413</v>
      </c>
      <c r="C2112" s="306" t="s">
        <v>3339</v>
      </c>
      <c r="D2112" s="296">
        <f t="shared" si="102"/>
        <v>2200000</v>
      </c>
      <c r="E2112" s="301">
        <v>0</v>
      </c>
      <c r="F2112" s="301">
        <v>0</v>
      </c>
      <c r="G2112" s="301">
        <v>0</v>
      </c>
      <c r="H2112" s="301">
        <v>0</v>
      </c>
      <c r="I2112" s="301">
        <v>0</v>
      </c>
      <c r="J2112" s="301">
        <v>0</v>
      </c>
      <c r="K2112" s="302">
        <v>1</v>
      </c>
      <c r="L2112" s="301">
        <v>2200000</v>
      </c>
      <c r="M2112" s="301">
        <v>0</v>
      </c>
      <c r="N2112" s="301">
        <v>0</v>
      </c>
      <c r="O2112" s="301">
        <v>0</v>
      </c>
      <c r="P2112" s="301">
        <v>0</v>
      </c>
      <c r="Q2112" s="301">
        <v>0</v>
      </c>
      <c r="R2112" s="301">
        <v>0</v>
      </c>
      <c r="S2112" s="301">
        <v>0</v>
      </c>
      <c r="T2112" s="301">
        <v>0</v>
      </c>
      <c r="U2112" s="301">
        <v>0</v>
      </c>
      <c r="V2112" s="301">
        <v>0</v>
      </c>
      <c r="W2112" s="301">
        <v>0</v>
      </c>
      <c r="X2112" s="301">
        <v>0</v>
      </c>
      <c r="Y2112" s="301">
        <v>0</v>
      </c>
      <c r="Z2112" s="301">
        <v>0</v>
      </c>
      <c r="AA2112" s="301">
        <v>0</v>
      </c>
      <c r="AB2112" s="303">
        <v>2022</v>
      </c>
    </row>
    <row r="2113" spans="1:28" ht="35.25" x14ac:dyDescent="0.5">
      <c r="A2113">
        <v>1</v>
      </c>
      <c r="B2113" s="80">
        <f>SUBTOTAL(103,$A$1697:A2113)</f>
        <v>414</v>
      </c>
      <c r="C2113" s="306" t="s">
        <v>3340</v>
      </c>
      <c r="D2113" s="296">
        <f t="shared" si="102"/>
        <v>895900</v>
      </c>
      <c r="E2113" s="301">
        <v>0</v>
      </c>
      <c r="F2113" s="301">
        <v>0</v>
      </c>
      <c r="G2113" s="301">
        <v>0</v>
      </c>
      <c r="H2113" s="301">
        <v>0</v>
      </c>
      <c r="I2113" s="301">
        <v>895900</v>
      </c>
      <c r="J2113" s="301">
        <v>0</v>
      </c>
      <c r="K2113" s="302">
        <v>0</v>
      </c>
      <c r="L2113" s="301">
        <v>0</v>
      </c>
      <c r="M2113" s="301">
        <v>0</v>
      </c>
      <c r="N2113" s="301">
        <v>0</v>
      </c>
      <c r="O2113" s="301">
        <v>0</v>
      </c>
      <c r="P2113" s="301">
        <v>0</v>
      </c>
      <c r="Q2113" s="301">
        <v>0</v>
      </c>
      <c r="R2113" s="301">
        <v>0</v>
      </c>
      <c r="S2113" s="301">
        <v>0</v>
      </c>
      <c r="T2113" s="301">
        <v>0</v>
      </c>
      <c r="U2113" s="301">
        <v>0</v>
      </c>
      <c r="V2113" s="301">
        <v>0</v>
      </c>
      <c r="W2113" s="301">
        <v>0</v>
      </c>
      <c r="X2113" s="301">
        <v>0</v>
      </c>
      <c r="Y2113" s="301">
        <v>0</v>
      </c>
      <c r="Z2113" s="301">
        <v>0</v>
      </c>
      <c r="AA2113" s="301">
        <v>0</v>
      </c>
      <c r="AB2113" s="303">
        <v>2022</v>
      </c>
    </row>
    <row r="2114" spans="1:28" ht="35.25" x14ac:dyDescent="0.5">
      <c r="A2114">
        <v>1</v>
      </c>
      <c r="B2114" s="80">
        <f>SUBTOTAL(103,$A$1697:A2114)</f>
        <v>415</v>
      </c>
      <c r="C2114" s="306" t="s">
        <v>3341</v>
      </c>
      <c r="D2114" s="296">
        <f t="shared" si="102"/>
        <v>912314.60000000009</v>
      </c>
      <c r="E2114" s="301">
        <v>174594.2</v>
      </c>
      <c r="F2114" s="301">
        <v>302097.2</v>
      </c>
      <c r="G2114" s="301">
        <v>0</v>
      </c>
      <c r="H2114" s="301">
        <v>0</v>
      </c>
      <c r="I2114" s="301">
        <v>0</v>
      </c>
      <c r="J2114" s="301">
        <v>0</v>
      </c>
      <c r="K2114" s="302">
        <v>0</v>
      </c>
      <c r="L2114" s="301">
        <v>0</v>
      </c>
      <c r="M2114" s="301">
        <v>0</v>
      </c>
      <c r="N2114" s="301">
        <v>0</v>
      </c>
      <c r="O2114" s="301">
        <v>435623.2</v>
      </c>
      <c r="P2114" s="301">
        <v>0</v>
      </c>
      <c r="Q2114" s="301">
        <v>0</v>
      </c>
      <c r="R2114" s="301">
        <v>0</v>
      </c>
      <c r="S2114" s="301">
        <v>0</v>
      </c>
      <c r="T2114" s="301">
        <v>0</v>
      </c>
      <c r="U2114" s="301">
        <v>0</v>
      </c>
      <c r="V2114" s="301">
        <v>0</v>
      </c>
      <c r="W2114" s="301">
        <v>0</v>
      </c>
      <c r="X2114" s="301">
        <v>0</v>
      </c>
      <c r="Y2114" s="301">
        <v>0</v>
      </c>
      <c r="Z2114" s="301">
        <v>0</v>
      </c>
      <c r="AA2114" s="301">
        <v>0</v>
      </c>
      <c r="AB2114" s="303">
        <v>2022</v>
      </c>
    </row>
    <row r="2115" spans="1:28" ht="35.25" x14ac:dyDescent="0.5">
      <c r="A2115">
        <v>1</v>
      </c>
      <c r="B2115" s="80">
        <f>SUBTOTAL(103,$A$1697:A2115)</f>
        <v>416</v>
      </c>
      <c r="C2115" s="306" t="s">
        <v>2671</v>
      </c>
      <c r="D2115" s="296">
        <f t="shared" si="102"/>
        <v>384515</v>
      </c>
      <c r="E2115" s="301">
        <v>0</v>
      </c>
      <c r="F2115" s="301">
        <v>0</v>
      </c>
      <c r="G2115" s="301">
        <v>0</v>
      </c>
      <c r="H2115" s="301">
        <v>0</v>
      </c>
      <c r="I2115" s="301">
        <v>0</v>
      </c>
      <c r="J2115" s="301">
        <v>0</v>
      </c>
      <c r="K2115" s="302">
        <v>0</v>
      </c>
      <c r="L2115" s="301">
        <v>0</v>
      </c>
      <c r="M2115" s="301">
        <v>384515</v>
      </c>
      <c r="N2115" s="301">
        <v>0</v>
      </c>
      <c r="O2115" s="301">
        <v>0</v>
      </c>
      <c r="P2115" s="301">
        <v>0</v>
      </c>
      <c r="Q2115" s="301">
        <v>0</v>
      </c>
      <c r="R2115" s="301">
        <v>0</v>
      </c>
      <c r="S2115" s="301">
        <v>0</v>
      </c>
      <c r="T2115" s="301">
        <v>0</v>
      </c>
      <c r="U2115" s="301">
        <v>0</v>
      </c>
      <c r="V2115" s="301">
        <v>0</v>
      </c>
      <c r="W2115" s="301">
        <v>0</v>
      </c>
      <c r="X2115" s="301">
        <v>0</v>
      </c>
      <c r="Y2115" s="301">
        <v>0</v>
      </c>
      <c r="Z2115" s="301">
        <v>0</v>
      </c>
      <c r="AA2115" s="301">
        <v>0</v>
      </c>
      <c r="AB2115" s="303">
        <v>2022</v>
      </c>
    </row>
    <row r="2116" spans="1:28" ht="35.25" x14ac:dyDescent="0.5">
      <c r="A2116">
        <v>1</v>
      </c>
      <c r="B2116" s="80">
        <f>SUBTOTAL(103,$A$1697:A2116)</f>
        <v>417</v>
      </c>
      <c r="C2116" s="306" t="s">
        <v>2791</v>
      </c>
      <c r="D2116" s="296">
        <f t="shared" si="102"/>
        <v>292540</v>
      </c>
      <c r="E2116" s="301">
        <v>292540</v>
      </c>
      <c r="F2116" s="301">
        <v>0</v>
      </c>
      <c r="G2116" s="301">
        <v>0</v>
      </c>
      <c r="H2116" s="301">
        <v>0</v>
      </c>
      <c r="I2116" s="301">
        <v>0</v>
      </c>
      <c r="J2116" s="301">
        <v>0</v>
      </c>
      <c r="K2116" s="302">
        <v>0</v>
      </c>
      <c r="L2116" s="301">
        <v>0</v>
      </c>
      <c r="M2116" s="301">
        <v>0</v>
      </c>
      <c r="N2116" s="301">
        <v>0</v>
      </c>
      <c r="O2116" s="301">
        <v>0</v>
      </c>
      <c r="P2116" s="301">
        <v>0</v>
      </c>
      <c r="Q2116" s="301">
        <v>0</v>
      </c>
      <c r="R2116" s="301">
        <v>0</v>
      </c>
      <c r="S2116" s="301">
        <v>0</v>
      </c>
      <c r="T2116" s="301">
        <v>0</v>
      </c>
      <c r="U2116" s="301">
        <v>0</v>
      </c>
      <c r="V2116" s="301">
        <v>0</v>
      </c>
      <c r="W2116" s="301">
        <v>0</v>
      </c>
      <c r="X2116" s="301">
        <v>0</v>
      </c>
      <c r="Y2116" s="301">
        <v>0</v>
      </c>
      <c r="Z2116" s="301">
        <v>0</v>
      </c>
      <c r="AA2116" s="301">
        <v>0</v>
      </c>
      <c r="AB2116" s="303">
        <v>2022</v>
      </c>
    </row>
    <row r="2117" spans="1:28" ht="35.25" x14ac:dyDescent="0.5">
      <c r="A2117">
        <v>1</v>
      </c>
      <c r="B2117" s="80">
        <f>SUBTOTAL(103,$A$1697:A2117)</f>
        <v>418</v>
      </c>
      <c r="C2117" s="306" t="s">
        <v>3448</v>
      </c>
      <c r="D2117" s="296">
        <f t="shared" si="102"/>
        <v>1990932</v>
      </c>
      <c r="E2117" s="301">
        <v>0</v>
      </c>
      <c r="F2117" s="301">
        <v>0</v>
      </c>
      <c r="G2117" s="301">
        <v>0</v>
      </c>
      <c r="H2117" s="301">
        <v>0</v>
      </c>
      <c r="I2117" s="301">
        <v>0</v>
      </c>
      <c r="J2117" s="301">
        <v>0</v>
      </c>
      <c r="K2117" s="302">
        <v>0</v>
      </c>
      <c r="L2117" s="301">
        <v>0</v>
      </c>
      <c r="M2117" s="301">
        <v>1990932</v>
      </c>
      <c r="N2117" s="301">
        <v>0</v>
      </c>
      <c r="O2117" s="301">
        <v>0</v>
      </c>
      <c r="P2117" s="301">
        <v>0</v>
      </c>
      <c r="Q2117" s="301">
        <v>0</v>
      </c>
      <c r="R2117" s="301">
        <v>0</v>
      </c>
      <c r="S2117" s="301">
        <v>0</v>
      </c>
      <c r="T2117" s="301">
        <v>0</v>
      </c>
      <c r="U2117" s="301">
        <v>0</v>
      </c>
      <c r="V2117" s="301">
        <v>0</v>
      </c>
      <c r="W2117" s="301">
        <v>0</v>
      </c>
      <c r="X2117" s="301">
        <v>0</v>
      </c>
      <c r="Y2117" s="301">
        <v>0</v>
      </c>
      <c r="Z2117" s="301">
        <v>0</v>
      </c>
      <c r="AA2117" s="301">
        <v>0</v>
      </c>
      <c r="AB2117" s="303">
        <v>2022</v>
      </c>
    </row>
    <row r="2118" spans="1:28" ht="35.25" x14ac:dyDescent="0.5">
      <c r="A2118">
        <v>1</v>
      </c>
      <c r="B2118" s="80">
        <f>SUBTOTAL(103,$A$1697:A2118)</f>
        <v>419</v>
      </c>
      <c r="C2118" s="306" t="s">
        <v>3040</v>
      </c>
      <c r="D2118" s="296">
        <f t="shared" si="102"/>
        <v>573404</v>
      </c>
      <c r="E2118" s="301">
        <v>0</v>
      </c>
      <c r="F2118" s="301">
        <v>0</v>
      </c>
      <c r="G2118" s="301">
        <v>0</v>
      </c>
      <c r="H2118" s="301">
        <v>0</v>
      </c>
      <c r="I2118" s="301">
        <v>0</v>
      </c>
      <c r="J2118" s="301">
        <v>0</v>
      </c>
      <c r="K2118" s="302">
        <v>0</v>
      </c>
      <c r="L2118" s="301">
        <v>0</v>
      </c>
      <c r="M2118" s="301">
        <v>573404</v>
      </c>
      <c r="N2118" s="301">
        <v>0</v>
      </c>
      <c r="O2118" s="301">
        <v>0</v>
      </c>
      <c r="P2118" s="301">
        <v>0</v>
      </c>
      <c r="Q2118" s="301">
        <v>0</v>
      </c>
      <c r="R2118" s="301">
        <v>0</v>
      </c>
      <c r="S2118" s="301">
        <v>0</v>
      </c>
      <c r="T2118" s="301">
        <v>0</v>
      </c>
      <c r="U2118" s="301">
        <v>0</v>
      </c>
      <c r="V2118" s="301">
        <v>0</v>
      </c>
      <c r="W2118" s="301">
        <v>0</v>
      </c>
      <c r="X2118" s="301">
        <v>0</v>
      </c>
      <c r="Y2118" s="301">
        <v>0</v>
      </c>
      <c r="Z2118" s="301">
        <v>0</v>
      </c>
      <c r="AA2118" s="301">
        <v>0</v>
      </c>
      <c r="AB2118" s="303">
        <v>2022</v>
      </c>
    </row>
    <row r="2119" spans="1:28" ht="35.25" x14ac:dyDescent="0.5">
      <c r="A2119">
        <v>1</v>
      </c>
      <c r="B2119" s="80">
        <f>SUBTOTAL(103,$A$1697:A2119)</f>
        <v>420</v>
      </c>
      <c r="C2119" s="306" t="s">
        <v>2611</v>
      </c>
      <c r="D2119" s="296">
        <f t="shared" si="102"/>
        <v>483567.6</v>
      </c>
      <c r="E2119" s="301">
        <v>0</v>
      </c>
      <c r="F2119" s="301">
        <v>0</v>
      </c>
      <c r="G2119" s="301">
        <v>0</v>
      </c>
      <c r="H2119" s="301">
        <v>0</v>
      </c>
      <c r="I2119" s="301">
        <v>0</v>
      </c>
      <c r="J2119" s="301">
        <v>0</v>
      </c>
      <c r="K2119" s="302">
        <v>0</v>
      </c>
      <c r="L2119" s="301">
        <v>0</v>
      </c>
      <c r="M2119" s="301">
        <v>0</v>
      </c>
      <c r="N2119" s="301">
        <v>0</v>
      </c>
      <c r="O2119" s="301">
        <v>483567.6</v>
      </c>
      <c r="P2119" s="301">
        <v>0</v>
      </c>
      <c r="Q2119" s="301">
        <v>0</v>
      </c>
      <c r="R2119" s="301">
        <v>0</v>
      </c>
      <c r="S2119" s="301">
        <v>0</v>
      </c>
      <c r="T2119" s="301">
        <v>0</v>
      </c>
      <c r="U2119" s="301">
        <v>0</v>
      </c>
      <c r="V2119" s="301">
        <v>0</v>
      </c>
      <c r="W2119" s="301">
        <v>0</v>
      </c>
      <c r="X2119" s="301">
        <v>0</v>
      </c>
      <c r="Y2119" s="301">
        <v>0</v>
      </c>
      <c r="Z2119" s="301">
        <v>0</v>
      </c>
      <c r="AA2119" s="301">
        <v>0</v>
      </c>
      <c r="AB2119" s="303">
        <v>2022</v>
      </c>
    </row>
    <row r="2120" spans="1:28" ht="35.25" x14ac:dyDescent="0.5">
      <c r="A2120">
        <v>1</v>
      </c>
      <c r="B2120" s="80">
        <f>SUBTOTAL(103,$A$1697:A2120)</f>
        <v>421</v>
      </c>
      <c r="C2120" s="306" t="s">
        <v>3449</v>
      </c>
      <c r="D2120" s="296">
        <f t="shared" si="102"/>
        <v>2887908</v>
      </c>
      <c r="E2120" s="301">
        <v>0</v>
      </c>
      <c r="F2120" s="301">
        <v>0</v>
      </c>
      <c r="G2120" s="301">
        <v>0</v>
      </c>
      <c r="H2120" s="301">
        <v>0</v>
      </c>
      <c r="I2120" s="301">
        <v>0</v>
      </c>
      <c r="J2120" s="301">
        <v>0</v>
      </c>
      <c r="K2120" s="302">
        <v>0</v>
      </c>
      <c r="L2120" s="301">
        <v>0</v>
      </c>
      <c r="M2120" s="301">
        <v>2887908</v>
      </c>
      <c r="N2120" s="301">
        <v>0</v>
      </c>
      <c r="O2120" s="301">
        <v>0</v>
      </c>
      <c r="P2120" s="301">
        <v>0</v>
      </c>
      <c r="Q2120" s="301">
        <v>0</v>
      </c>
      <c r="R2120" s="301">
        <v>0</v>
      </c>
      <c r="S2120" s="301">
        <v>0</v>
      </c>
      <c r="T2120" s="301">
        <v>0</v>
      </c>
      <c r="U2120" s="301">
        <v>0</v>
      </c>
      <c r="V2120" s="301">
        <v>0</v>
      </c>
      <c r="W2120" s="301">
        <v>0</v>
      </c>
      <c r="X2120" s="301">
        <v>0</v>
      </c>
      <c r="Y2120" s="301">
        <v>0</v>
      </c>
      <c r="Z2120" s="301">
        <v>0</v>
      </c>
      <c r="AA2120" s="301">
        <v>0</v>
      </c>
      <c r="AB2120" s="303">
        <v>2022</v>
      </c>
    </row>
    <row r="2121" spans="1:28" ht="35.25" x14ac:dyDescent="0.5">
      <c r="A2121">
        <v>1</v>
      </c>
      <c r="B2121" s="80">
        <f>SUBTOTAL(103,$A$1697:A2121)</f>
        <v>422</v>
      </c>
      <c r="C2121" s="306" t="s">
        <v>1728</v>
      </c>
      <c r="D2121" s="296">
        <f t="shared" ref="D2121:D2184" si="104">E2121+F2121+G2121+H2121+I2121+J2121+L2121+M2121+N2121+O2121+P2121+Q2121+R2121+S2121+T2121+U2121+V2121+W2121+X2121+Y2121+Z2121+AA2121</f>
        <v>998607</v>
      </c>
      <c r="E2121" s="301">
        <v>0</v>
      </c>
      <c r="F2121" s="301">
        <v>0</v>
      </c>
      <c r="G2121" s="301">
        <v>998607</v>
      </c>
      <c r="H2121" s="301">
        <v>0</v>
      </c>
      <c r="I2121" s="301">
        <v>0</v>
      </c>
      <c r="J2121" s="301">
        <v>0</v>
      </c>
      <c r="K2121" s="302">
        <v>0</v>
      </c>
      <c r="L2121" s="301">
        <v>0</v>
      </c>
      <c r="M2121" s="301">
        <v>0</v>
      </c>
      <c r="N2121" s="301">
        <v>0</v>
      </c>
      <c r="O2121" s="301">
        <v>0</v>
      </c>
      <c r="P2121" s="301">
        <v>0</v>
      </c>
      <c r="Q2121" s="301">
        <v>0</v>
      </c>
      <c r="R2121" s="301">
        <v>0</v>
      </c>
      <c r="S2121" s="301">
        <v>0</v>
      </c>
      <c r="T2121" s="301">
        <v>0</v>
      </c>
      <c r="U2121" s="301">
        <v>0</v>
      </c>
      <c r="V2121" s="301">
        <v>0</v>
      </c>
      <c r="W2121" s="301">
        <v>0</v>
      </c>
      <c r="X2121" s="301">
        <v>0</v>
      </c>
      <c r="Y2121" s="301">
        <v>0</v>
      </c>
      <c r="Z2121" s="301">
        <v>0</v>
      </c>
      <c r="AA2121" s="301">
        <v>0</v>
      </c>
      <c r="AB2121" s="303">
        <v>2022</v>
      </c>
    </row>
    <row r="2122" spans="1:28" ht="35.25" x14ac:dyDescent="0.5">
      <c r="A2122">
        <v>1</v>
      </c>
      <c r="B2122" s="80">
        <f>SUBTOTAL(103,$A$1697:A2122)</f>
        <v>423</v>
      </c>
      <c r="C2122" s="306" t="s">
        <v>3450</v>
      </c>
      <c r="D2122" s="296">
        <f t="shared" si="104"/>
        <v>420760.6</v>
      </c>
      <c r="E2122" s="301">
        <v>0</v>
      </c>
      <c r="F2122" s="301">
        <v>0</v>
      </c>
      <c r="G2122" s="301">
        <v>0</v>
      </c>
      <c r="H2122" s="301">
        <v>0</v>
      </c>
      <c r="I2122" s="301">
        <v>0</v>
      </c>
      <c r="J2122" s="301">
        <v>0</v>
      </c>
      <c r="K2122" s="302">
        <v>0</v>
      </c>
      <c r="L2122" s="301">
        <v>0</v>
      </c>
      <c r="M2122" s="301">
        <v>0</v>
      </c>
      <c r="N2122" s="301">
        <v>0</v>
      </c>
      <c r="O2122" s="301">
        <v>420760.6</v>
      </c>
      <c r="P2122" s="301">
        <v>0</v>
      </c>
      <c r="Q2122" s="301">
        <v>0</v>
      </c>
      <c r="R2122" s="301">
        <v>0</v>
      </c>
      <c r="S2122" s="301">
        <v>0</v>
      </c>
      <c r="T2122" s="301">
        <v>0</v>
      </c>
      <c r="U2122" s="301">
        <v>0</v>
      </c>
      <c r="V2122" s="301">
        <v>0</v>
      </c>
      <c r="W2122" s="301">
        <v>0</v>
      </c>
      <c r="X2122" s="301">
        <v>0</v>
      </c>
      <c r="Y2122" s="301">
        <v>0</v>
      </c>
      <c r="Z2122" s="301">
        <v>0</v>
      </c>
      <c r="AA2122" s="301">
        <v>0</v>
      </c>
      <c r="AB2122" s="303">
        <v>2022</v>
      </c>
    </row>
    <row r="2123" spans="1:28" ht="35.25" x14ac:dyDescent="0.5">
      <c r="A2123">
        <v>1</v>
      </c>
      <c r="B2123" s="80">
        <f>SUBTOTAL(103,$A$1697:A2123)</f>
        <v>424</v>
      </c>
      <c r="C2123" s="306" t="s">
        <v>1723</v>
      </c>
      <c r="D2123" s="296">
        <f t="shared" si="104"/>
        <v>306741.59999999998</v>
      </c>
      <c r="E2123" s="301">
        <v>0</v>
      </c>
      <c r="F2123" s="301">
        <v>0</v>
      </c>
      <c r="G2123" s="301">
        <v>0</v>
      </c>
      <c r="H2123" s="301">
        <v>306741.59999999998</v>
      </c>
      <c r="I2123" s="301">
        <v>0</v>
      </c>
      <c r="J2123" s="301">
        <v>0</v>
      </c>
      <c r="K2123" s="302">
        <v>0</v>
      </c>
      <c r="L2123" s="301">
        <v>0</v>
      </c>
      <c r="M2123" s="301">
        <v>0</v>
      </c>
      <c r="N2123" s="301">
        <v>0</v>
      </c>
      <c r="O2123" s="301">
        <v>0</v>
      </c>
      <c r="P2123" s="301">
        <v>0</v>
      </c>
      <c r="Q2123" s="301">
        <v>0</v>
      </c>
      <c r="R2123" s="301">
        <v>0</v>
      </c>
      <c r="S2123" s="301">
        <v>0</v>
      </c>
      <c r="T2123" s="301">
        <v>0</v>
      </c>
      <c r="U2123" s="301">
        <v>0</v>
      </c>
      <c r="V2123" s="301">
        <v>0</v>
      </c>
      <c r="W2123" s="301">
        <v>0</v>
      </c>
      <c r="X2123" s="301">
        <v>0</v>
      </c>
      <c r="Y2123" s="301">
        <v>0</v>
      </c>
      <c r="Z2123" s="301">
        <v>0</v>
      </c>
      <c r="AA2123" s="301">
        <v>0</v>
      </c>
      <c r="AB2123" s="303">
        <v>2022</v>
      </c>
    </row>
    <row r="2124" spans="1:28" ht="35.25" x14ac:dyDescent="0.5">
      <c r="A2124">
        <v>1</v>
      </c>
      <c r="B2124" s="80">
        <f>SUBTOTAL(103,$A$1697:A2124)</f>
        <v>425</v>
      </c>
      <c r="C2124" s="306" t="s">
        <v>2238</v>
      </c>
      <c r="D2124" s="296">
        <f t="shared" si="104"/>
        <v>755518.2</v>
      </c>
      <c r="E2124" s="301">
        <v>0</v>
      </c>
      <c r="F2124" s="301">
        <v>0</v>
      </c>
      <c r="G2124" s="301">
        <v>755518.2</v>
      </c>
      <c r="H2124" s="301">
        <v>0</v>
      </c>
      <c r="I2124" s="301">
        <v>0</v>
      </c>
      <c r="J2124" s="301">
        <v>0</v>
      </c>
      <c r="K2124" s="302">
        <v>0</v>
      </c>
      <c r="L2124" s="301">
        <v>0</v>
      </c>
      <c r="M2124" s="301">
        <v>0</v>
      </c>
      <c r="N2124" s="301">
        <v>0</v>
      </c>
      <c r="O2124" s="301">
        <v>0</v>
      </c>
      <c r="P2124" s="301">
        <v>0</v>
      </c>
      <c r="Q2124" s="301">
        <v>0</v>
      </c>
      <c r="R2124" s="301">
        <v>0</v>
      </c>
      <c r="S2124" s="301">
        <v>0</v>
      </c>
      <c r="T2124" s="301">
        <v>0</v>
      </c>
      <c r="U2124" s="301">
        <v>0</v>
      </c>
      <c r="V2124" s="301">
        <v>0</v>
      </c>
      <c r="W2124" s="301">
        <v>0</v>
      </c>
      <c r="X2124" s="301">
        <v>0</v>
      </c>
      <c r="Y2124" s="301">
        <v>0</v>
      </c>
      <c r="Z2124" s="301">
        <v>0</v>
      </c>
      <c r="AA2124" s="301">
        <v>0</v>
      </c>
      <c r="AB2124" s="303">
        <v>2022</v>
      </c>
    </row>
    <row r="2125" spans="1:28" ht="35.25" x14ac:dyDescent="0.5">
      <c r="A2125">
        <v>1</v>
      </c>
      <c r="B2125" s="80">
        <f>SUBTOTAL(103,$A$1697:A2125)</f>
        <v>426</v>
      </c>
      <c r="C2125" s="306" t="s">
        <v>3451</v>
      </c>
      <c r="D2125" s="296">
        <f t="shared" si="104"/>
        <v>499520</v>
      </c>
      <c r="E2125" s="301">
        <v>0</v>
      </c>
      <c r="F2125" s="301">
        <v>0</v>
      </c>
      <c r="G2125" s="301">
        <v>0</v>
      </c>
      <c r="H2125" s="301">
        <v>0</v>
      </c>
      <c r="I2125" s="301">
        <v>0</v>
      </c>
      <c r="J2125" s="301">
        <v>0</v>
      </c>
      <c r="K2125" s="302">
        <v>0</v>
      </c>
      <c r="L2125" s="301">
        <v>0</v>
      </c>
      <c r="M2125" s="301">
        <v>0</v>
      </c>
      <c r="N2125" s="301">
        <v>0</v>
      </c>
      <c r="O2125" s="301">
        <v>499520</v>
      </c>
      <c r="P2125" s="301">
        <v>0</v>
      </c>
      <c r="Q2125" s="301">
        <v>0</v>
      </c>
      <c r="R2125" s="301">
        <v>0</v>
      </c>
      <c r="S2125" s="301">
        <v>0</v>
      </c>
      <c r="T2125" s="301">
        <v>0</v>
      </c>
      <c r="U2125" s="301">
        <v>0</v>
      </c>
      <c r="V2125" s="301">
        <v>0</v>
      </c>
      <c r="W2125" s="301">
        <v>0</v>
      </c>
      <c r="X2125" s="301">
        <v>0</v>
      </c>
      <c r="Y2125" s="301">
        <v>0</v>
      </c>
      <c r="Z2125" s="301">
        <v>0</v>
      </c>
      <c r="AA2125" s="301">
        <v>0</v>
      </c>
      <c r="AB2125" s="303">
        <v>2022</v>
      </c>
    </row>
    <row r="2126" spans="1:28" ht="35.25" x14ac:dyDescent="0.5">
      <c r="A2126">
        <v>1</v>
      </c>
      <c r="B2126" s="80">
        <f>SUBTOTAL(103,$A$1697:A2126)</f>
        <v>427</v>
      </c>
      <c r="C2126" s="306" t="s">
        <v>3452</v>
      </c>
      <c r="D2126" s="296">
        <f t="shared" si="104"/>
        <v>100819.8</v>
      </c>
      <c r="E2126" s="301">
        <v>0</v>
      </c>
      <c r="F2126" s="301">
        <v>0</v>
      </c>
      <c r="G2126" s="301">
        <v>100819.8</v>
      </c>
      <c r="H2126" s="301">
        <v>0</v>
      </c>
      <c r="I2126" s="301">
        <v>0</v>
      </c>
      <c r="J2126" s="301">
        <v>0</v>
      </c>
      <c r="K2126" s="302">
        <v>0</v>
      </c>
      <c r="L2126" s="301">
        <v>0</v>
      </c>
      <c r="M2126" s="301">
        <v>0</v>
      </c>
      <c r="N2126" s="301">
        <v>0</v>
      </c>
      <c r="O2126" s="301">
        <v>0</v>
      </c>
      <c r="P2126" s="301">
        <v>0</v>
      </c>
      <c r="Q2126" s="301">
        <v>0</v>
      </c>
      <c r="R2126" s="301">
        <v>0</v>
      </c>
      <c r="S2126" s="301">
        <v>0</v>
      </c>
      <c r="T2126" s="301">
        <v>0</v>
      </c>
      <c r="U2126" s="301">
        <v>0</v>
      </c>
      <c r="V2126" s="301">
        <v>0</v>
      </c>
      <c r="W2126" s="301">
        <v>0</v>
      </c>
      <c r="X2126" s="301">
        <v>0</v>
      </c>
      <c r="Y2126" s="301">
        <v>0</v>
      </c>
      <c r="Z2126" s="301">
        <v>0</v>
      </c>
      <c r="AA2126" s="301">
        <v>0</v>
      </c>
      <c r="AB2126" s="303">
        <v>2022</v>
      </c>
    </row>
    <row r="2127" spans="1:28" ht="35.25" x14ac:dyDescent="0.5">
      <c r="A2127">
        <v>1</v>
      </c>
      <c r="B2127" s="80">
        <f>SUBTOTAL(103,$A$1697:A2127)</f>
        <v>428</v>
      </c>
      <c r="C2127" s="306" t="s">
        <v>2619</v>
      </c>
      <c r="D2127" s="296">
        <f t="shared" si="104"/>
        <v>866995.6</v>
      </c>
      <c r="E2127" s="301">
        <v>0</v>
      </c>
      <c r="F2127" s="301">
        <v>0</v>
      </c>
      <c r="G2127" s="301">
        <v>866995.6</v>
      </c>
      <c r="H2127" s="301">
        <v>0</v>
      </c>
      <c r="I2127" s="301">
        <v>0</v>
      </c>
      <c r="J2127" s="301">
        <v>0</v>
      </c>
      <c r="K2127" s="302">
        <v>0</v>
      </c>
      <c r="L2127" s="301">
        <v>0</v>
      </c>
      <c r="M2127" s="301">
        <v>0</v>
      </c>
      <c r="N2127" s="301">
        <v>0</v>
      </c>
      <c r="O2127" s="301">
        <v>0</v>
      </c>
      <c r="P2127" s="301">
        <v>0</v>
      </c>
      <c r="Q2127" s="301">
        <v>0</v>
      </c>
      <c r="R2127" s="301">
        <v>0</v>
      </c>
      <c r="S2127" s="301">
        <v>0</v>
      </c>
      <c r="T2127" s="301">
        <v>0</v>
      </c>
      <c r="U2127" s="301">
        <v>0</v>
      </c>
      <c r="V2127" s="301">
        <v>0</v>
      </c>
      <c r="W2127" s="301">
        <v>0</v>
      </c>
      <c r="X2127" s="301">
        <v>0</v>
      </c>
      <c r="Y2127" s="301">
        <v>0</v>
      </c>
      <c r="Z2127" s="301">
        <v>0</v>
      </c>
      <c r="AA2127" s="301">
        <v>0</v>
      </c>
      <c r="AB2127" s="303">
        <v>2022</v>
      </c>
    </row>
    <row r="2128" spans="1:28" ht="35.25" x14ac:dyDescent="0.5">
      <c r="A2128">
        <v>1</v>
      </c>
      <c r="B2128" s="80">
        <f>SUBTOTAL(103,$A$1697:A2128)</f>
        <v>429</v>
      </c>
      <c r="C2128" s="306" t="s">
        <v>3513</v>
      </c>
      <c r="D2128" s="296">
        <f t="shared" si="104"/>
        <v>4550000</v>
      </c>
      <c r="E2128" s="301">
        <v>0</v>
      </c>
      <c r="F2128" s="301">
        <v>0</v>
      </c>
      <c r="G2128" s="301">
        <v>0</v>
      </c>
      <c r="H2128" s="301">
        <v>0</v>
      </c>
      <c r="I2128" s="301">
        <v>0</v>
      </c>
      <c r="J2128" s="301">
        <v>0</v>
      </c>
      <c r="K2128" s="302">
        <v>0</v>
      </c>
      <c r="L2128" s="301">
        <v>0</v>
      </c>
      <c r="M2128" s="301">
        <v>0</v>
      </c>
      <c r="N2128" s="301">
        <v>0</v>
      </c>
      <c r="O2128" s="301">
        <v>4550000</v>
      </c>
      <c r="P2128" s="301">
        <v>0</v>
      </c>
      <c r="Q2128" s="301">
        <v>0</v>
      </c>
      <c r="R2128" s="301">
        <v>0</v>
      </c>
      <c r="S2128" s="301">
        <v>0</v>
      </c>
      <c r="T2128" s="301">
        <v>0</v>
      </c>
      <c r="U2128" s="301">
        <v>0</v>
      </c>
      <c r="V2128" s="301">
        <v>0</v>
      </c>
      <c r="W2128" s="301">
        <v>0</v>
      </c>
      <c r="X2128" s="301">
        <v>0</v>
      </c>
      <c r="Y2128" s="301">
        <v>0</v>
      </c>
      <c r="Z2128" s="301">
        <v>0</v>
      </c>
      <c r="AA2128" s="301">
        <v>0</v>
      </c>
      <c r="AB2128" s="303">
        <v>2022</v>
      </c>
    </row>
    <row r="2129" spans="1:28" ht="35.25" x14ac:dyDescent="0.5">
      <c r="A2129">
        <v>1</v>
      </c>
      <c r="B2129" s="80">
        <f>SUBTOTAL(103,$A$1697:A2129)</f>
        <v>430</v>
      </c>
      <c r="C2129" s="306" t="s">
        <v>3514</v>
      </c>
      <c r="D2129" s="296">
        <f t="shared" si="104"/>
        <v>886027</v>
      </c>
      <c r="E2129" s="301">
        <v>0</v>
      </c>
      <c r="F2129" s="301">
        <v>0</v>
      </c>
      <c r="G2129" s="301">
        <v>0</v>
      </c>
      <c r="H2129" s="301">
        <v>0</v>
      </c>
      <c r="I2129" s="301">
        <v>0</v>
      </c>
      <c r="J2129" s="301">
        <v>0</v>
      </c>
      <c r="K2129" s="302">
        <v>0</v>
      </c>
      <c r="L2129" s="301">
        <v>0</v>
      </c>
      <c r="M2129" s="301">
        <v>0</v>
      </c>
      <c r="N2129" s="301">
        <v>0</v>
      </c>
      <c r="O2129" s="301">
        <v>886027</v>
      </c>
      <c r="P2129" s="301">
        <v>0</v>
      </c>
      <c r="Q2129" s="301">
        <v>0</v>
      </c>
      <c r="R2129" s="301">
        <v>0</v>
      </c>
      <c r="S2129" s="301">
        <v>0</v>
      </c>
      <c r="T2129" s="301">
        <v>0</v>
      </c>
      <c r="U2129" s="301">
        <v>0</v>
      </c>
      <c r="V2129" s="301">
        <v>0</v>
      </c>
      <c r="W2129" s="301">
        <v>0</v>
      </c>
      <c r="X2129" s="301">
        <v>0</v>
      </c>
      <c r="Y2129" s="301">
        <v>0</v>
      </c>
      <c r="Z2129" s="301">
        <v>0</v>
      </c>
      <c r="AA2129" s="301">
        <v>0</v>
      </c>
      <c r="AB2129" s="303">
        <v>2022</v>
      </c>
    </row>
    <row r="2130" spans="1:28" ht="35.25" x14ac:dyDescent="0.5">
      <c r="A2130">
        <v>1</v>
      </c>
      <c r="B2130" s="80">
        <f>SUBTOTAL(103,$A$1697:A2130)</f>
        <v>431</v>
      </c>
      <c r="C2130" s="306" t="s">
        <v>2248</v>
      </c>
      <c r="D2130" s="296">
        <f t="shared" si="104"/>
        <v>6299189.3700000001</v>
      </c>
      <c r="E2130" s="301">
        <v>0</v>
      </c>
      <c r="F2130" s="301">
        <v>0</v>
      </c>
      <c r="G2130" s="301">
        <v>0</v>
      </c>
      <c r="H2130" s="301">
        <v>0</v>
      </c>
      <c r="I2130" s="301">
        <v>0</v>
      </c>
      <c r="J2130" s="301">
        <v>0</v>
      </c>
      <c r="K2130" s="302">
        <v>0</v>
      </c>
      <c r="L2130" s="301">
        <v>0</v>
      </c>
      <c r="M2130" s="301">
        <v>0</v>
      </c>
      <c r="N2130" s="301">
        <v>0</v>
      </c>
      <c r="O2130" s="301">
        <v>6299189.3700000001</v>
      </c>
      <c r="P2130" s="301">
        <v>0</v>
      </c>
      <c r="Q2130" s="301">
        <v>0</v>
      </c>
      <c r="R2130" s="301">
        <v>0</v>
      </c>
      <c r="S2130" s="301">
        <v>0</v>
      </c>
      <c r="T2130" s="301">
        <v>0</v>
      </c>
      <c r="U2130" s="301">
        <v>0</v>
      </c>
      <c r="V2130" s="301">
        <v>0</v>
      </c>
      <c r="W2130" s="301">
        <v>0</v>
      </c>
      <c r="X2130" s="301">
        <v>0</v>
      </c>
      <c r="Y2130" s="301">
        <v>0</v>
      </c>
      <c r="Z2130" s="301">
        <v>0</v>
      </c>
      <c r="AA2130" s="301">
        <v>0</v>
      </c>
      <c r="AB2130" s="303">
        <v>2022</v>
      </c>
    </row>
    <row r="2131" spans="1:28" ht="35.25" x14ac:dyDescent="0.5">
      <c r="A2131">
        <v>1</v>
      </c>
      <c r="B2131" s="80">
        <f>SUBTOTAL(103,$A$1697:A2131)</f>
        <v>432</v>
      </c>
      <c r="C2131" s="306" t="s">
        <v>3515</v>
      </c>
      <c r="D2131" s="296">
        <f t="shared" si="104"/>
        <v>126569.60000000001</v>
      </c>
      <c r="E2131" s="301">
        <v>0</v>
      </c>
      <c r="F2131" s="301">
        <v>0</v>
      </c>
      <c r="G2131" s="301">
        <v>0</v>
      </c>
      <c r="H2131" s="301">
        <v>0</v>
      </c>
      <c r="I2131" s="301">
        <v>0</v>
      </c>
      <c r="J2131" s="301">
        <v>0</v>
      </c>
      <c r="K2131" s="302">
        <v>0</v>
      </c>
      <c r="L2131" s="301">
        <v>0</v>
      </c>
      <c r="M2131" s="301">
        <v>0</v>
      </c>
      <c r="N2131" s="301">
        <v>0</v>
      </c>
      <c r="O2131" s="301">
        <v>126569.60000000001</v>
      </c>
      <c r="P2131" s="301">
        <v>0</v>
      </c>
      <c r="Q2131" s="301">
        <v>0</v>
      </c>
      <c r="R2131" s="301">
        <v>0</v>
      </c>
      <c r="S2131" s="301">
        <v>0</v>
      </c>
      <c r="T2131" s="301">
        <v>0</v>
      </c>
      <c r="U2131" s="301">
        <v>0</v>
      </c>
      <c r="V2131" s="301">
        <v>0</v>
      </c>
      <c r="W2131" s="301">
        <v>0</v>
      </c>
      <c r="X2131" s="301">
        <v>0</v>
      </c>
      <c r="Y2131" s="301">
        <v>0</v>
      </c>
      <c r="Z2131" s="301">
        <v>0</v>
      </c>
      <c r="AA2131" s="301">
        <v>0</v>
      </c>
      <c r="AB2131" s="303">
        <v>2022</v>
      </c>
    </row>
    <row r="2132" spans="1:28" ht="35.25" x14ac:dyDescent="0.5">
      <c r="A2132">
        <v>1</v>
      </c>
      <c r="B2132" s="80">
        <f>SUBTOTAL(103,$A$1697:A2132)</f>
        <v>433</v>
      </c>
      <c r="C2132" s="306" t="s">
        <v>3516</v>
      </c>
      <c r="D2132" s="296">
        <f t="shared" si="104"/>
        <v>2530000</v>
      </c>
      <c r="E2132" s="301">
        <v>0</v>
      </c>
      <c r="F2132" s="301">
        <v>0</v>
      </c>
      <c r="G2132" s="301">
        <v>0</v>
      </c>
      <c r="H2132" s="301">
        <v>0</v>
      </c>
      <c r="I2132" s="301">
        <v>0</v>
      </c>
      <c r="J2132" s="301">
        <v>0</v>
      </c>
      <c r="K2132" s="302">
        <v>0</v>
      </c>
      <c r="L2132" s="301">
        <v>0</v>
      </c>
      <c r="M2132" s="301">
        <v>2530000</v>
      </c>
      <c r="N2132" s="301">
        <v>0</v>
      </c>
      <c r="O2132" s="301">
        <v>0</v>
      </c>
      <c r="P2132" s="301">
        <v>0</v>
      </c>
      <c r="Q2132" s="301">
        <v>0</v>
      </c>
      <c r="R2132" s="301">
        <v>0</v>
      </c>
      <c r="S2132" s="301">
        <v>0</v>
      </c>
      <c r="T2132" s="301">
        <v>0</v>
      </c>
      <c r="U2132" s="301">
        <v>0</v>
      </c>
      <c r="V2132" s="301">
        <v>0</v>
      </c>
      <c r="W2132" s="301">
        <v>0</v>
      </c>
      <c r="X2132" s="301">
        <v>0</v>
      </c>
      <c r="Y2132" s="301">
        <v>0</v>
      </c>
      <c r="Z2132" s="301">
        <v>0</v>
      </c>
      <c r="AA2132" s="301">
        <v>0</v>
      </c>
      <c r="AB2132" s="303">
        <v>2022</v>
      </c>
    </row>
    <row r="2133" spans="1:28" ht="35.25" x14ac:dyDescent="0.5">
      <c r="A2133">
        <v>1</v>
      </c>
      <c r="B2133" s="80">
        <f>SUBTOTAL(103,$A$1697:A2133)</f>
        <v>434</v>
      </c>
      <c r="C2133" s="306" t="s">
        <v>1724</v>
      </c>
      <c r="D2133" s="296">
        <f t="shared" si="104"/>
        <v>7184857.5899999999</v>
      </c>
      <c r="E2133" s="301">
        <v>0</v>
      </c>
      <c r="F2133" s="301">
        <v>0</v>
      </c>
      <c r="G2133" s="301">
        <v>0</v>
      </c>
      <c r="H2133" s="301">
        <v>0</v>
      </c>
      <c r="I2133" s="301">
        <v>0</v>
      </c>
      <c r="J2133" s="301">
        <v>0</v>
      </c>
      <c r="K2133" s="302">
        <v>0</v>
      </c>
      <c r="L2133" s="301">
        <v>0</v>
      </c>
      <c r="M2133" s="301">
        <v>0</v>
      </c>
      <c r="N2133" s="301">
        <v>0</v>
      </c>
      <c r="O2133" s="301">
        <v>7184857.5899999999</v>
      </c>
      <c r="P2133" s="301">
        <v>0</v>
      </c>
      <c r="Q2133" s="301">
        <v>0</v>
      </c>
      <c r="R2133" s="301">
        <v>0</v>
      </c>
      <c r="S2133" s="301">
        <v>0</v>
      </c>
      <c r="T2133" s="301">
        <v>0</v>
      </c>
      <c r="U2133" s="301">
        <v>0</v>
      </c>
      <c r="V2133" s="301">
        <v>0</v>
      </c>
      <c r="W2133" s="301">
        <v>0</v>
      </c>
      <c r="X2133" s="301">
        <v>0</v>
      </c>
      <c r="Y2133" s="301">
        <v>0</v>
      </c>
      <c r="Z2133" s="301">
        <v>0</v>
      </c>
      <c r="AA2133" s="301">
        <v>0</v>
      </c>
      <c r="AB2133" s="303">
        <v>2022</v>
      </c>
    </row>
    <row r="2134" spans="1:28" ht="35.25" x14ac:dyDescent="0.5">
      <c r="A2134">
        <v>1</v>
      </c>
      <c r="B2134" s="80">
        <f>SUBTOTAL(103,$A$1697:A2134)</f>
        <v>435</v>
      </c>
      <c r="C2134" s="306" t="s">
        <v>3517</v>
      </c>
      <c r="D2134" s="296">
        <f t="shared" si="104"/>
        <v>379295.54</v>
      </c>
      <c r="E2134" s="301">
        <v>0</v>
      </c>
      <c r="F2134" s="301">
        <v>0</v>
      </c>
      <c r="G2134" s="301">
        <v>254742.39999999999</v>
      </c>
      <c r="H2134" s="301">
        <v>0</v>
      </c>
      <c r="I2134" s="301">
        <v>0</v>
      </c>
      <c r="J2134" s="301">
        <v>0</v>
      </c>
      <c r="K2134" s="302">
        <v>0</v>
      </c>
      <c r="L2134" s="301">
        <v>0</v>
      </c>
      <c r="M2134" s="301">
        <v>0</v>
      </c>
      <c r="N2134" s="301">
        <v>0</v>
      </c>
      <c r="O2134" s="301">
        <v>124553.14</v>
      </c>
      <c r="P2134" s="301">
        <v>0</v>
      </c>
      <c r="Q2134" s="301">
        <v>0</v>
      </c>
      <c r="R2134" s="301">
        <v>0</v>
      </c>
      <c r="S2134" s="301">
        <v>0</v>
      </c>
      <c r="T2134" s="301">
        <v>0</v>
      </c>
      <c r="U2134" s="301">
        <v>0</v>
      </c>
      <c r="V2134" s="301">
        <v>0</v>
      </c>
      <c r="W2134" s="301">
        <v>0</v>
      </c>
      <c r="X2134" s="301">
        <v>0</v>
      </c>
      <c r="Y2134" s="301">
        <v>0</v>
      </c>
      <c r="Z2134" s="301">
        <v>0</v>
      </c>
      <c r="AA2134" s="301">
        <v>0</v>
      </c>
      <c r="AB2134" s="303">
        <v>2022</v>
      </c>
    </row>
    <row r="2135" spans="1:28" ht="35.25" x14ac:dyDescent="0.5">
      <c r="A2135">
        <v>1</v>
      </c>
      <c r="B2135" s="80">
        <f>SUBTOTAL(103,$A$1697:A2135)</f>
        <v>436</v>
      </c>
      <c r="C2135" s="306" t="s">
        <v>3518</v>
      </c>
      <c r="D2135" s="296">
        <f t="shared" si="104"/>
        <v>372115</v>
      </c>
      <c r="E2135" s="301">
        <v>0</v>
      </c>
      <c r="F2135" s="301">
        <v>0</v>
      </c>
      <c r="G2135" s="301">
        <v>0</v>
      </c>
      <c r="H2135" s="301">
        <v>0</v>
      </c>
      <c r="I2135" s="301">
        <v>0</v>
      </c>
      <c r="J2135" s="301">
        <v>0</v>
      </c>
      <c r="K2135" s="302">
        <v>0</v>
      </c>
      <c r="L2135" s="301">
        <v>0</v>
      </c>
      <c r="M2135" s="301">
        <v>0</v>
      </c>
      <c r="N2135" s="301">
        <v>0</v>
      </c>
      <c r="O2135" s="301">
        <v>372115</v>
      </c>
      <c r="P2135" s="301">
        <v>0</v>
      </c>
      <c r="Q2135" s="301">
        <v>0</v>
      </c>
      <c r="R2135" s="301">
        <v>0</v>
      </c>
      <c r="S2135" s="301">
        <v>0</v>
      </c>
      <c r="T2135" s="301">
        <v>0</v>
      </c>
      <c r="U2135" s="301">
        <v>0</v>
      </c>
      <c r="V2135" s="301">
        <v>0</v>
      </c>
      <c r="W2135" s="301">
        <v>0</v>
      </c>
      <c r="X2135" s="301">
        <v>0</v>
      </c>
      <c r="Y2135" s="301">
        <v>0</v>
      </c>
      <c r="Z2135" s="301">
        <v>0</v>
      </c>
      <c r="AA2135" s="301">
        <v>0</v>
      </c>
      <c r="AB2135" s="303">
        <v>2022</v>
      </c>
    </row>
    <row r="2136" spans="1:28" ht="35.25" x14ac:dyDescent="0.5">
      <c r="A2136">
        <v>1</v>
      </c>
      <c r="B2136" s="80">
        <f>SUBTOTAL(103,$A$1697:A2136)</f>
        <v>437</v>
      </c>
      <c r="C2136" s="306" t="s">
        <v>2246</v>
      </c>
      <c r="D2136" s="296">
        <f t="shared" si="104"/>
        <v>267289</v>
      </c>
      <c r="E2136" s="301">
        <v>0</v>
      </c>
      <c r="F2136" s="301">
        <v>0</v>
      </c>
      <c r="G2136" s="301">
        <v>0</v>
      </c>
      <c r="H2136" s="301">
        <v>0</v>
      </c>
      <c r="I2136" s="301">
        <v>0</v>
      </c>
      <c r="J2136" s="301">
        <v>0</v>
      </c>
      <c r="K2136" s="302">
        <v>0</v>
      </c>
      <c r="L2136" s="301">
        <v>0</v>
      </c>
      <c r="M2136" s="301">
        <v>0</v>
      </c>
      <c r="N2136" s="301">
        <v>0</v>
      </c>
      <c r="O2136" s="301">
        <v>267289</v>
      </c>
      <c r="P2136" s="301">
        <v>0</v>
      </c>
      <c r="Q2136" s="301">
        <v>0</v>
      </c>
      <c r="R2136" s="301">
        <v>0</v>
      </c>
      <c r="S2136" s="301">
        <v>0</v>
      </c>
      <c r="T2136" s="301">
        <v>0</v>
      </c>
      <c r="U2136" s="301">
        <v>0</v>
      </c>
      <c r="V2136" s="301">
        <v>0</v>
      </c>
      <c r="W2136" s="301">
        <v>0</v>
      </c>
      <c r="X2136" s="301">
        <v>0</v>
      </c>
      <c r="Y2136" s="301">
        <v>0</v>
      </c>
      <c r="Z2136" s="301">
        <v>0</v>
      </c>
      <c r="AA2136" s="301">
        <v>0</v>
      </c>
      <c r="AB2136" s="303">
        <v>2022</v>
      </c>
    </row>
    <row r="2137" spans="1:28" ht="35.25" x14ac:dyDescent="0.5">
      <c r="A2137">
        <v>1</v>
      </c>
      <c r="B2137" s="80">
        <f>SUBTOTAL(103,$A$1697:A2137)</f>
        <v>438</v>
      </c>
      <c r="C2137" s="306" t="s">
        <v>3519</v>
      </c>
      <c r="D2137" s="296">
        <f t="shared" si="104"/>
        <v>4498861</v>
      </c>
      <c r="E2137" s="301">
        <v>0</v>
      </c>
      <c r="F2137" s="301">
        <v>0</v>
      </c>
      <c r="G2137" s="301">
        <v>623796</v>
      </c>
      <c r="H2137" s="301">
        <v>0</v>
      </c>
      <c r="I2137" s="301">
        <v>0</v>
      </c>
      <c r="J2137" s="301">
        <v>0</v>
      </c>
      <c r="K2137" s="302">
        <v>0</v>
      </c>
      <c r="L2137" s="301">
        <v>0</v>
      </c>
      <c r="M2137" s="301">
        <v>0</v>
      </c>
      <c r="N2137" s="301">
        <v>0</v>
      </c>
      <c r="O2137" s="301">
        <v>3875065</v>
      </c>
      <c r="P2137" s="301">
        <v>0</v>
      </c>
      <c r="Q2137" s="301">
        <v>0</v>
      </c>
      <c r="R2137" s="301">
        <v>0</v>
      </c>
      <c r="S2137" s="301">
        <v>0</v>
      </c>
      <c r="T2137" s="301">
        <v>0</v>
      </c>
      <c r="U2137" s="301">
        <v>0</v>
      </c>
      <c r="V2137" s="301">
        <v>0</v>
      </c>
      <c r="W2137" s="301">
        <v>0</v>
      </c>
      <c r="X2137" s="301">
        <v>0</v>
      </c>
      <c r="Y2137" s="301">
        <v>0</v>
      </c>
      <c r="Z2137" s="301">
        <v>0</v>
      </c>
      <c r="AA2137" s="301">
        <v>0</v>
      </c>
      <c r="AB2137" s="303">
        <v>2022</v>
      </c>
    </row>
    <row r="2138" spans="1:28" ht="35.25" x14ac:dyDescent="0.5">
      <c r="A2138">
        <v>1</v>
      </c>
      <c r="B2138" s="80">
        <f>SUBTOTAL(103,$A$1697:A2138)</f>
        <v>439</v>
      </c>
      <c r="C2138" s="306" t="s">
        <v>3593</v>
      </c>
      <c r="D2138" s="296">
        <f t="shared" si="104"/>
        <v>534804</v>
      </c>
      <c r="E2138" s="301">
        <v>0</v>
      </c>
      <c r="F2138" s="301">
        <v>0</v>
      </c>
      <c r="G2138" s="301">
        <v>0</v>
      </c>
      <c r="H2138" s="301">
        <v>534804</v>
      </c>
      <c r="I2138" s="301">
        <v>0</v>
      </c>
      <c r="J2138" s="301">
        <v>0</v>
      </c>
      <c r="K2138" s="302">
        <v>0</v>
      </c>
      <c r="L2138" s="301">
        <v>0</v>
      </c>
      <c r="M2138" s="301">
        <v>0</v>
      </c>
      <c r="N2138" s="301">
        <v>0</v>
      </c>
      <c r="O2138" s="301">
        <v>0</v>
      </c>
      <c r="P2138" s="301">
        <v>0</v>
      </c>
      <c r="Q2138" s="301">
        <v>0</v>
      </c>
      <c r="R2138" s="301">
        <v>0</v>
      </c>
      <c r="S2138" s="301">
        <v>0</v>
      </c>
      <c r="T2138" s="301">
        <v>0</v>
      </c>
      <c r="U2138" s="301">
        <v>0</v>
      </c>
      <c r="V2138" s="301">
        <v>0</v>
      </c>
      <c r="W2138" s="301">
        <v>0</v>
      </c>
      <c r="X2138" s="301">
        <v>0</v>
      </c>
      <c r="Y2138" s="301">
        <v>0</v>
      </c>
      <c r="Z2138" s="301">
        <v>0</v>
      </c>
      <c r="AA2138" s="301">
        <v>0</v>
      </c>
      <c r="AB2138" s="303">
        <v>2022</v>
      </c>
    </row>
    <row r="2139" spans="1:28" ht="35.25" x14ac:dyDescent="0.5">
      <c r="A2139">
        <v>1</v>
      </c>
      <c r="B2139" s="80">
        <f>SUBTOTAL(103,$A$1697:A2139)</f>
        <v>440</v>
      </c>
      <c r="C2139" s="306" t="s">
        <v>2028</v>
      </c>
      <c r="D2139" s="296">
        <f t="shared" si="104"/>
        <v>500000</v>
      </c>
      <c r="E2139" s="301">
        <v>0</v>
      </c>
      <c r="F2139" s="301">
        <v>0</v>
      </c>
      <c r="G2139" s="301">
        <v>0</v>
      </c>
      <c r="H2139" s="301">
        <v>0</v>
      </c>
      <c r="I2139" s="301">
        <v>0</v>
      </c>
      <c r="J2139" s="301">
        <v>0</v>
      </c>
      <c r="K2139" s="302">
        <v>0</v>
      </c>
      <c r="L2139" s="301">
        <v>0</v>
      </c>
      <c r="M2139" s="301">
        <v>0</v>
      </c>
      <c r="N2139" s="301">
        <v>0</v>
      </c>
      <c r="O2139" s="301">
        <v>500000</v>
      </c>
      <c r="P2139" s="301">
        <v>0</v>
      </c>
      <c r="Q2139" s="301">
        <v>0</v>
      </c>
      <c r="R2139" s="301">
        <v>0</v>
      </c>
      <c r="S2139" s="301">
        <v>0</v>
      </c>
      <c r="T2139" s="301">
        <v>0</v>
      </c>
      <c r="U2139" s="301">
        <v>0</v>
      </c>
      <c r="V2139" s="301">
        <v>0</v>
      </c>
      <c r="W2139" s="301">
        <v>0</v>
      </c>
      <c r="X2139" s="301">
        <v>0</v>
      </c>
      <c r="Y2139" s="301">
        <v>0</v>
      </c>
      <c r="Z2139" s="301">
        <v>0</v>
      </c>
      <c r="AA2139" s="301">
        <v>0</v>
      </c>
      <c r="AB2139" s="303">
        <v>2022</v>
      </c>
    </row>
    <row r="2140" spans="1:28" ht="35.25" x14ac:dyDescent="0.5">
      <c r="A2140">
        <v>1</v>
      </c>
      <c r="B2140" s="80">
        <f>SUBTOTAL(103,$A$1697:A2140)</f>
        <v>441</v>
      </c>
      <c r="C2140" s="306" t="s">
        <v>2027</v>
      </c>
      <c r="D2140" s="296">
        <f t="shared" si="104"/>
        <v>798051.92</v>
      </c>
      <c r="E2140" s="301">
        <v>0</v>
      </c>
      <c r="F2140" s="301">
        <v>0</v>
      </c>
      <c r="G2140" s="301">
        <v>0</v>
      </c>
      <c r="H2140" s="301">
        <v>0</v>
      </c>
      <c r="I2140" s="301">
        <v>0</v>
      </c>
      <c r="J2140" s="301">
        <v>0</v>
      </c>
      <c r="K2140" s="302">
        <v>0</v>
      </c>
      <c r="L2140" s="301">
        <v>0</v>
      </c>
      <c r="M2140" s="301">
        <v>798051.92</v>
      </c>
      <c r="N2140" s="301">
        <v>0</v>
      </c>
      <c r="O2140" s="301">
        <v>0</v>
      </c>
      <c r="P2140" s="301">
        <v>0</v>
      </c>
      <c r="Q2140" s="301">
        <v>0</v>
      </c>
      <c r="R2140" s="301">
        <v>0</v>
      </c>
      <c r="S2140" s="301">
        <v>0</v>
      </c>
      <c r="T2140" s="301">
        <v>0</v>
      </c>
      <c r="U2140" s="301">
        <v>0</v>
      </c>
      <c r="V2140" s="301">
        <v>0</v>
      </c>
      <c r="W2140" s="301">
        <v>0</v>
      </c>
      <c r="X2140" s="301">
        <v>0</v>
      </c>
      <c r="Y2140" s="301">
        <v>0</v>
      </c>
      <c r="Z2140" s="301">
        <v>0</v>
      </c>
      <c r="AA2140" s="301">
        <v>0</v>
      </c>
      <c r="AB2140" s="303">
        <v>2022</v>
      </c>
    </row>
    <row r="2141" spans="1:28" ht="35.25" x14ac:dyDescent="0.5">
      <c r="A2141">
        <v>1</v>
      </c>
      <c r="B2141" s="80">
        <f>SUBTOTAL(103,$A$1697:A2141)</f>
        <v>442</v>
      </c>
      <c r="C2141" s="306" t="s">
        <v>2411</v>
      </c>
      <c r="D2141" s="296">
        <f t="shared" si="104"/>
        <v>283000</v>
      </c>
      <c r="E2141" s="301">
        <v>0</v>
      </c>
      <c r="F2141" s="301">
        <v>0</v>
      </c>
      <c r="G2141" s="301">
        <v>0</v>
      </c>
      <c r="H2141" s="301">
        <v>0</v>
      </c>
      <c r="I2141" s="301">
        <v>0</v>
      </c>
      <c r="J2141" s="301">
        <v>0</v>
      </c>
      <c r="K2141" s="302">
        <v>0</v>
      </c>
      <c r="L2141" s="301">
        <v>0</v>
      </c>
      <c r="M2141" s="301">
        <v>0</v>
      </c>
      <c r="N2141" s="301">
        <v>0</v>
      </c>
      <c r="O2141" s="301">
        <v>283000</v>
      </c>
      <c r="P2141" s="301">
        <v>0</v>
      </c>
      <c r="Q2141" s="301">
        <v>0</v>
      </c>
      <c r="R2141" s="301">
        <v>0</v>
      </c>
      <c r="S2141" s="301">
        <v>0</v>
      </c>
      <c r="T2141" s="301">
        <v>0</v>
      </c>
      <c r="U2141" s="301">
        <v>0</v>
      </c>
      <c r="V2141" s="301">
        <v>0</v>
      </c>
      <c r="W2141" s="301">
        <v>0</v>
      </c>
      <c r="X2141" s="301">
        <v>0</v>
      </c>
      <c r="Y2141" s="301">
        <v>0</v>
      </c>
      <c r="Z2141" s="301">
        <v>0</v>
      </c>
      <c r="AA2141" s="301">
        <v>0</v>
      </c>
      <c r="AB2141" s="303">
        <v>2022</v>
      </c>
    </row>
    <row r="2142" spans="1:28" ht="35.25" x14ac:dyDescent="0.5">
      <c r="A2142">
        <v>1</v>
      </c>
      <c r="B2142" s="80">
        <f>SUBTOTAL(103,$A$1697:A2142)</f>
        <v>443</v>
      </c>
      <c r="C2142" s="306" t="s">
        <v>3594</v>
      </c>
      <c r="D2142" s="296">
        <f t="shared" si="104"/>
        <v>668803</v>
      </c>
      <c r="E2142" s="301">
        <v>0</v>
      </c>
      <c r="F2142" s="301">
        <v>0</v>
      </c>
      <c r="G2142" s="301">
        <v>0</v>
      </c>
      <c r="H2142" s="301">
        <v>0</v>
      </c>
      <c r="I2142" s="301">
        <v>0</v>
      </c>
      <c r="J2142" s="301">
        <v>0</v>
      </c>
      <c r="K2142" s="302">
        <v>0</v>
      </c>
      <c r="L2142" s="301">
        <v>0</v>
      </c>
      <c r="M2142" s="301">
        <v>0</v>
      </c>
      <c r="N2142" s="301">
        <v>0</v>
      </c>
      <c r="O2142" s="301">
        <v>668803</v>
      </c>
      <c r="P2142" s="301">
        <v>0</v>
      </c>
      <c r="Q2142" s="301">
        <v>0</v>
      </c>
      <c r="R2142" s="301">
        <v>0</v>
      </c>
      <c r="S2142" s="301">
        <v>0</v>
      </c>
      <c r="T2142" s="301">
        <v>0</v>
      </c>
      <c r="U2142" s="301">
        <v>0</v>
      </c>
      <c r="V2142" s="301">
        <v>0</v>
      </c>
      <c r="W2142" s="301">
        <v>0</v>
      </c>
      <c r="X2142" s="301">
        <v>0</v>
      </c>
      <c r="Y2142" s="301">
        <v>0</v>
      </c>
      <c r="Z2142" s="301">
        <v>0</v>
      </c>
      <c r="AA2142" s="301">
        <v>0</v>
      </c>
      <c r="AB2142" s="303">
        <v>2022</v>
      </c>
    </row>
    <row r="2143" spans="1:28" ht="35.25" x14ac:dyDescent="0.5">
      <c r="A2143">
        <v>1</v>
      </c>
      <c r="B2143" s="80">
        <f>SUBTOTAL(103,$A$1697:A2143)</f>
        <v>444</v>
      </c>
      <c r="C2143" s="306" t="s">
        <v>2030</v>
      </c>
      <c r="D2143" s="296">
        <f t="shared" si="104"/>
        <v>495056.2</v>
      </c>
      <c r="E2143" s="301">
        <v>0</v>
      </c>
      <c r="F2143" s="301">
        <v>0</v>
      </c>
      <c r="G2143" s="301">
        <v>0</v>
      </c>
      <c r="H2143" s="301">
        <v>0</v>
      </c>
      <c r="I2143" s="301">
        <v>0</v>
      </c>
      <c r="J2143" s="301">
        <v>0</v>
      </c>
      <c r="K2143" s="302">
        <v>0</v>
      </c>
      <c r="L2143" s="301">
        <v>0</v>
      </c>
      <c r="M2143" s="301">
        <v>0</v>
      </c>
      <c r="N2143" s="301">
        <v>495056.2</v>
      </c>
      <c r="O2143" s="301">
        <v>0</v>
      </c>
      <c r="P2143" s="301">
        <v>0</v>
      </c>
      <c r="Q2143" s="301">
        <v>0</v>
      </c>
      <c r="R2143" s="301">
        <v>0</v>
      </c>
      <c r="S2143" s="301">
        <v>0</v>
      </c>
      <c r="T2143" s="301">
        <v>0</v>
      </c>
      <c r="U2143" s="301">
        <v>0</v>
      </c>
      <c r="V2143" s="301">
        <v>0</v>
      </c>
      <c r="W2143" s="301">
        <v>0</v>
      </c>
      <c r="X2143" s="301">
        <v>0</v>
      </c>
      <c r="Y2143" s="301">
        <v>0</v>
      </c>
      <c r="Z2143" s="301">
        <v>0</v>
      </c>
      <c r="AA2143" s="301">
        <v>0</v>
      </c>
      <c r="AB2143" s="303">
        <v>2022</v>
      </c>
    </row>
    <row r="2144" spans="1:28" ht="35.25" x14ac:dyDescent="0.5">
      <c r="A2144">
        <v>1</v>
      </c>
      <c r="B2144" s="80">
        <f>SUBTOTAL(103,$A$1697:A2144)</f>
        <v>445</v>
      </c>
      <c r="C2144" s="306" t="s">
        <v>3036</v>
      </c>
      <c r="D2144" s="296">
        <f t="shared" si="104"/>
        <v>1140000</v>
      </c>
      <c r="E2144" s="301">
        <v>0</v>
      </c>
      <c r="F2144" s="301">
        <v>0</v>
      </c>
      <c r="G2144" s="301">
        <v>0</v>
      </c>
      <c r="H2144" s="301">
        <v>0</v>
      </c>
      <c r="I2144" s="301">
        <v>0</v>
      </c>
      <c r="J2144" s="301">
        <v>0</v>
      </c>
      <c r="K2144" s="302">
        <v>0</v>
      </c>
      <c r="L2144" s="301">
        <v>0</v>
      </c>
      <c r="M2144" s="301">
        <v>0</v>
      </c>
      <c r="N2144" s="301">
        <v>1140000</v>
      </c>
      <c r="O2144" s="301">
        <v>0</v>
      </c>
      <c r="P2144" s="301">
        <v>0</v>
      </c>
      <c r="Q2144" s="301">
        <v>0</v>
      </c>
      <c r="R2144" s="301">
        <v>0</v>
      </c>
      <c r="S2144" s="301">
        <v>0</v>
      </c>
      <c r="T2144" s="301">
        <v>0</v>
      </c>
      <c r="U2144" s="301">
        <v>0</v>
      </c>
      <c r="V2144" s="301">
        <v>0</v>
      </c>
      <c r="W2144" s="301">
        <v>0</v>
      </c>
      <c r="X2144" s="301">
        <v>0</v>
      </c>
      <c r="Y2144" s="301">
        <v>0</v>
      </c>
      <c r="Z2144" s="301">
        <v>0</v>
      </c>
      <c r="AA2144" s="301">
        <v>0</v>
      </c>
      <c r="AB2144" s="303">
        <v>2022</v>
      </c>
    </row>
    <row r="2145" spans="1:28" ht="35.25" x14ac:dyDescent="0.5">
      <c r="A2145">
        <v>1</v>
      </c>
      <c r="B2145" s="80">
        <f>SUBTOTAL(103,$A$1697:A2145)</f>
        <v>446</v>
      </c>
      <c r="C2145" s="306" t="s">
        <v>3046</v>
      </c>
      <c r="D2145" s="296">
        <f t="shared" si="104"/>
        <v>308416.65999999997</v>
      </c>
      <c r="E2145" s="301">
        <v>308416.65999999997</v>
      </c>
      <c r="F2145" s="301">
        <v>0</v>
      </c>
      <c r="G2145" s="301">
        <v>0</v>
      </c>
      <c r="H2145" s="301">
        <v>0</v>
      </c>
      <c r="I2145" s="301">
        <v>0</v>
      </c>
      <c r="J2145" s="301">
        <v>0</v>
      </c>
      <c r="K2145" s="302">
        <v>0</v>
      </c>
      <c r="L2145" s="301">
        <v>0</v>
      </c>
      <c r="M2145" s="301">
        <v>0</v>
      </c>
      <c r="N2145" s="301">
        <v>0</v>
      </c>
      <c r="O2145" s="301">
        <v>0</v>
      </c>
      <c r="P2145" s="301">
        <v>0</v>
      </c>
      <c r="Q2145" s="301">
        <v>0</v>
      </c>
      <c r="R2145" s="301">
        <v>0</v>
      </c>
      <c r="S2145" s="301">
        <v>0</v>
      </c>
      <c r="T2145" s="301">
        <v>0</v>
      </c>
      <c r="U2145" s="301">
        <v>0</v>
      </c>
      <c r="V2145" s="301">
        <v>0</v>
      </c>
      <c r="W2145" s="301">
        <v>0</v>
      </c>
      <c r="X2145" s="301">
        <v>0</v>
      </c>
      <c r="Y2145" s="301">
        <v>0</v>
      </c>
      <c r="Z2145" s="301">
        <v>0</v>
      </c>
      <c r="AA2145" s="301">
        <v>0</v>
      </c>
      <c r="AB2145" s="303">
        <v>2022</v>
      </c>
    </row>
    <row r="2146" spans="1:28" ht="35.25" x14ac:dyDescent="0.5">
      <c r="A2146">
        <v>1</v>
      </c>
      <c r="B2146" s="80">
        <f>SUBTOTAL(103,$A$1697:A2146)</f>
        <v>447</v>
      </c>
      <c r="C2146" s="306" t="s">
        <v>2035</v>
      </c>
      <c r="D2146" s="296">
        <f t="shared" si="104"/>
        <v>484900</v>
      </c>
      <c r="E2146" s="301">
        <v>27000</v>
      </c>
      <c r="F2146" s="301">
        <v>0</v>
      </c>
      <c r="G2146" s="301">
        <v>0</v>
      </c>
      <c r="H2146" s="301">
        <v>50000</v>
      </c>
      <c r="I2146" s="301">
        <v>0</v>
      </c>
      <c r="J2146" s="301">
        <v>0</v>
      </c>
      <c r="K2146" s="302">
        <v>0</v>
      </c>
      <c r="L2146" s="301">
        <v>0</v>
      </c>
      <c r="M2146" s="301">
        <v>0</v>
      </c>
      <c r="N2146" s="301">
        <v>0</v>
      </c>
      <c r="O2146" s="301">
        <v>407900</v>
      </c>
      <c r="P2146" s="301">
        <v>0</v>
      </c>
      <c r="Q2146" s="301">
        <v>0</v>
      </c>
      <c r="R2146" s="301">
        <v>0</v>
      </c>
      <c r="S2146" s="301">
        <v>0</v>
      </c>
      <c r="T2146" s="301">
        <v>0</v>
      </c>
      <c r="U2146" s="301">
        <v>0</v>
      </c>
      <c r="V2146" s="301">
        <v>0</v>
      </c>
      <c r="W2146" s="301">
        <v>0</v>
      </c>
      <c r="X2146" s="301">
        <v>0</v>
      </c>
      <c r="Y2146" s="301">
        <v>0</v>
      </c>
      <c r="Z2146" s="301">
        <v>0</v>
      </c>
      <c r="AA2146" s="301">
        <v>0</v>
      </c>
      <c r="AB2146" s="303">
        <v>2022</v>
      </c>
    </row>
    <row r="2147" spans="1:28" ht="35.25" x14ac:dyDescent="0.5">
      <c r="A2147">
        <v>1</v>
      </c>
      <c r="B2147" s="80">
        <f>SUBTOTAL(103,$A$1697:A2147)</f>
        <v>448</v>
      </c>
      <c r="C2147" s="306" t="s">
        <v>2036</v>
      </c>
      <c r="D2147" s="296">
        <f t="shared" si="104"/>
        <v>492100</v>
      </c>
      <c r="E2147" s="301">
        <v>0</v>
      </c>
      <c r="F2147" s="301">
        <v>0</v>
      </c>
      <c r="G2147" s="301">
        <v>0</v>
      </c>
      <c r="H2147" s="301">
        <v>0</v>
      </c>
      <c r="I2147" s="301">
        <v>0</v>
      </c>
      <c r="J2147" s="301">
        <v>0</v>
      </c>
      <c r="K2147" s="302">
        <v>0</v>
      </c>
      <c r="L2147" s="301">
        <v>0</v>
      </c>
      <c r="M2147" s="301">
        <v>0</v>
      </c>
      <c r="N2147" s="301">
        <v>0</v>
      </c>
      <c r="O2147" s="301">
        <v>492100</v>
      </c>
      <c r="P2147" s="301">
        <v>0</v>
      </c>
      <c r="Q2147" s="301">
        <v>0</v>
      </c>
      <c r="R2147" s="301">
        <v>0</v>
      </c>
      <c r="S2147" s="301">
        <v>0</v>
      </c>
      <c r="T2147" s="301">
        <v>0</v>
      </c>
      <c r="U2147" s="301">
        <v>0</v>
      </c>
      <c r="V2147" s="301">
        <v>0</v>
      </c>
      <c r="W2147" s="301">
        <v>0</v>
      </c>
      <c r="X2147" s="301">
        <v>0</v>
      </c>
      <c r="Y2147" s="301">
        <v>0</v>
      </c>
      <c r="Z2147" s="301">
        <v>0</v>
      </c>
      <c r="AA2147" s="301">
        <v>0</v>
      </c>
      <c r="AB2147" s="303">
        <v>2022</v>
      </c>
    </row>
    <row r="2148" spans="1:28" ht="35.25" x14ac:dyDescent="0.5">
      <c r="A2148">
        <v>1</v>
      </c>
      <c r="B2148" s="80">
        <f>SUBTOTAL(103,$A$1697:A2148)</f>
        <v>449</v>
      </c>
      <c r="C2148" s="306" t="s">
        <v>2038</v>
      </c>
      <c r="D2148" s="296">
        <f t="shared" si="104"/>
        <v>198550.86</v>
      </c>
      <c r="E2148" s="301">
        <v>104441.86</v>
      </c>
      <c r="F2148" s="301">
        <v>0</v>
      </c>
      <c r="G2148" s="301">
        <v>94109</v>
      </c>
      <c r="H2148" s="301">
        <v>0</v>
      </c>
      <c r="I2148" s="301">
        <v>0</v>
      </c>
      <c r="J2148" s="301">
        <v>0</v>
      </c>
      <c r="K2148" s="302">
        <v>0</v>
      </c>
      <c r="L2148" s="301">
        <v>0</v>
      </c>
      <c r="M2148" s="301">
        <v>0</v>
      </c>
      <c r="N2148" s="301">
        <v>0</v>
      </c>
      <c r="O2148" s="301">
        <v>0</v>
      </c>
      <c r="P2148" s="301">
        <v>0</v>
      </c>
      <c r="Q2148" s="301">
        <v>0</v>
      </c>
      <c r="R2148" s="301">
        <v>0</v>
      </c>
      <c r="S2148" s="301">
        <v>0</v>
      </c>
      <c r="T2148" s="301">
        <v>0</v>
      </c>
      <c r="U2148" s="301">
        <v>0</v>
      </c>
      <c r="V2148" s="301">
        <v>0</v>
      </c>
      <c r="W2148" s="301">
        <v>0</v>
      </c>
      <c r="X2148" s="301">
        <v>0</v>
      </c>
      <c r="Y2148" s="301">
        <v>0</v>
      </c>
      <c r="Z2148" s="301">
        <v>0</v>
      </c>
      <c r="AA2148" s="301">
        <v>0</v>
      </c>
      <c r="AB2148" s="303">
        <v>2022</v>
      </c>
    </row>
    <row r="2149" spans="1:28" ht="35.25" x14ac:dyDescent="0.5">
      <c r="A2149">
        <v>1</v>
      </c>
      <c r="B2149" s="80">
        <f>SUBTOTAL(103,$A$1697:A2149)</f>
        <v>450</v>
      </c>
      <c r="C2149" s="306" t="s">
        <v>2041</v>
      </c>
      <c r="D2149" s="296">
        <f t="shared" si="104"/>
        <v>323741</v>
      </c>
      <c r="E2149" s="301">
        <v>0</v>
      </c>
      <c r="F2149" s="301">
        <v>323741</v>
      </c>
      <c r="G2149" s="301">
        <v>0</v>
      </c>
      <c r="H2149" s="301">
        <v>0</v>
      </c>
      <c r="I2149" s="301">
        <v>0</v>
      </c>
      <c r="J2149" s="301">
        <v>0</v>
      </c>
      <c r="K2149" s="302">
        <v>0</v>
      </c>
      <c r="L2149" s="301">
        <v>0</v>
      </c>
      <c r="M2149" s="301">
        <v>0</v>
      </c>
      <c r="N2149" s="301">
        <v>0</v>
      </c>
      <c r="O2149" s="301">
        <v>0</v>
      </c>
      <c r="P2149" s="301">
        <v>0</v>
      </c>
      <c r="Q2149" s="301">
        <v>0</v>
      </c>
      <c r="R2149" s="301">
        <v>0</v>
      </c>
      <c r="S2149" s="301">
        <v>0</v>
      </c>
      <c r="T2149" s="301">
        <v>0</v>
      </c>
      <c r="U2149" s="301">
        <v>0</v>
      </c>
      <c r="V2149" s="301">
        <v>0</v>
      </c>
      <c r="W2149" s="301">
        <v>0</v>
      </c>
      <c r="X2149" s="301">
        <v>0</v>
      </c>
      <c r="Y2149" s="301">
        <v>0</v>
      </c>
      <c r="Z2149" s="301">
        <v>0</v>
      </c>
      <c r="AA2149" s="301">
        <v>0</v>
      </c>
      <c r="AB2149" s="303">
        <v>2022</v>
      </c>
    </row>
    <row r="2150" spans="1:28" ht="35.25" x14ac:dyDescent="0.5">
      <c r="A2150">
        <v>1</v>
      </c>
      <c r="B2150" s="80">
        <f>SUBTOTAL(103,$A$1697:A2150)</f>
        <v>451</v>
      </c>
      <c r="C2150" s="306" t="s">
        <v>3217</v>
      </c>
      <c r="D2150" s="296">
        <f t="shared" si="104"/>
        <v>2190000</v>
      </c>
      <c r="E2150" s="304">
        <v>0</v>
      </c>
      <c r="F2150" s="304">
        <v>0</v>
      </c>
      <c r="G2150" s="304">
        <v>0</v>
      </c>
      <c r="H2150" s="304">
        <v>0</v>
      </c>
      <c r="I2150" s="304">
        <v>0</v>
      </c>
      <c r="J2150" s="304">
        <v>0</v>
      </c>
      <c r="K2150" s="305">
        <v>1</v>
      </c>
      <c r="L2150" s="304">
        <v>2190000</v>
      </c>
      <c r="M2150" s="304">
        <v>0</v>
      </c>
      <c r="N2150" s="304">
        <v>0</v>
      </c>
      <c r="O2150" s="304">
        <v>0</v>
      </c>
      <c r="P2150" s="304">
        <v>0</v>
      </c>
      <c r="Q2150" s="304">
        <v>0</v>
      </c>
      <c r="R2150" s="304">
        <v>0</v>
      </c>
      <c r="S2150" s="304">
        <v>0</v>
      </c>
      <c r="T2150" s="304">
        <v>0</v>
      </c>
      <c r="U2150" s="304">
        <v>0</v>
      </c>
      <c r="V2150" s="304">
        <v>0</v>
      </c>
      <c r="W2150" s="304">
        <v>0</v>
      </c>
      <c r="X2150" s="304">
        <v>0</v>
      </c>
      <c r="Y2150" s="304">
        <v>0</v>
      </c>
      <c r="Z2150" s="304">
        <v>0</v>
      </c>
      <c r="AA2150" s="304">
        <v>0</v>
      </c>
      <c r="AB2150" s="307">
        <v>2022</v>
      </c>
    </row>
    <row r="2151" spans="1:28" ht="35.25" x14ac:dyDescent="0.5">
      <c r="B2151" s="300" t="s">
        <v>760</v>
      </c>
      <c r="C2151" s="300"/>
      <c r="D2151" s="296">
        <f t="shared" si="104"/>
        <v>19225973.390000001</v>
      </c>
      <c r="E2151" s="296">
        <f t="shared" ref="E2151:AA2151" si="105">SUM(E2152:E2174)</f>
        <v>951790</v>
      </c>
      <c r="F2151" s="296">
        <f t="shared" si="105"/>
        <v>706076.16000000003</v>
      </c>
      <c r="G2151" s="296">
        <f t="shared" si="105"/>
        <v>1820963.67</v>
      </c>
      <c r="H2151" s="296">
        <f t="shared" si="105"/>
        <v>0</v>
      </c>
      <c r="I2151" s="296">
        <f t="shared" si="105"/>
        <v>0</v>
      </c>
      <c r="J2151" s="296">
        <f t="shared" si="105"/>
        <v>0</v>
      </c>
      <c r="K2151" s="297">
        <f t="shared" si="105"/>
        <v>2</v>
      </c>
      <c r="L2151" s="296">
        <f t="shared" si="105"/>
        <v>2037631</v>
      </c>
      <c r="M2151" s="296">
        <f t="shared" si="105"/>
        <v>8583494.290000001</v>
      </c>
      <c r="N2151" s="296">
        <f t="shared" si="105"/>
        <v>901023.17999999993</v>
      </c>
      <c r="O2151" s="296">
        <f t="shared" si="105"/>
        <v>4224995.09</v>
      </c>
      <c r="P2151" s="296">
        <f t="shared" si="105"/>
        <v>0</v>
      </c>
      <c r="Q2151" s="296">
        <f t="shared" si="105"/>
        <v>0</v>
      </c>
      <c r="R2151" s="296">
        <f t="shared" si="105"/>
        <v>0</v>
      </c>
      <c r="S2151" s="296">
        <f t="shared" si="105"/>
        <v>0</v>
      </c>
      <c r="T2151" s="296">
        <f t="shared" si="105"/>
        <v>0</v>
      </c>
      <c r="U2151" s="296">
        <f t="shared" si="105"/>
        <v>0</v>
      </c>
      <c r="V2151" s="296">
        <f t="shared" si="105"/>
        <v>0</v>
      </c>
      <c r="W2151" s="296">
        <f t="shared" si="105"/>
        <v>0</v>
      </c>
      <c r="X2151" s="296">
        <f t="shared" si="105"/>
        <v>0</v>
      </c>
      <c r="Y2151" s="296">
        <f t="shared" si="105"/>
        <v>0</v>
      </c>
      <c r="Z2151" s="296">
        <f t="shared" si="105"/>
        <v>0</v>
      </c>
      <c r="AA2151" s="296">
        <f t="shared" si="105"/>
        <v>0</v>
      </c>
      <c r="AB2151" s="298" t="s">
        <v>835</v>
      </c>
    </row>
    <row r="2152" spans="1:28" ht="35.25" x14ac:dyDescent="0.5">
      <c r="A2152">
        <v>1</v>
      </c>
      <c r="B2152" s="80">
        <f>SUBTOTAL(103,$A$1697:A2152)</f>
        <v>452</v>
      </c>
      <c r="C2152" s="300" t="s">
        <v>3453</v>
      </c>
      <c r="D2152" s="296">
        <f t="shared" si="104"/>
        <v>1993960</v>
      </c>
      <c r="E2152" s="304">
        <v>0</v>
      </c>
      <c r="F2152" s="304">
        <v>0</v>
      </c>
      <c r="G2152" s="304">
        <v>0</v>
      </c>
      <c r="H2152" s="304">
        <v>0</v>
      </c>
      <c r="I2152" s="304">
        <v>0</v>
      </c>
      <c r="J2152" s="304">
        <v>0</v>
      </c>
      <c r="K2152" s="305">
        <v>1</v>
      </c>
      <c r="L2152" s="304">
        <v>1993960</v>
      </c>
      <c r="M2152" s="304">
        <v>0</v>
      </c>
      <c r="N2152" s="304">
        <v>0</v>
      </c>
      <c r="O2152" s="304">
        <v>0</v>
      </c>
      <c r="P2152" s="304">
        <v>0</v>
      </c>
      <c r="Q2152" s="304">
        <v>0</v>
      </c>
      <c r="R2152" s="304">
        <v>0</v>
      </c>
      <c r="S2152" s="304">
        <v>0</v>
      </c>
      <c r="T2152" s="304">
        <v>0</v>
      </c>
      <c r="U2152" s="304">
        <v>0</v>
      </c>
      <c r="V2152" s="304">
        <v>0</v>
      </c>
      <c r="W2152" s="304">
        <v>0</v>
      </c>
      <c r="X2152" s="304">
        <v>0</v>
      </c>
      <c r="Y2152" s="304">
        <v>0</v>
      </c>
      <c r="Z2152" s="304">
        <v>0</v>
      </c>
      <c r="AA2152" s="304">
        <v>0</v>
      </c>
      <c r="AB2152" s="303">
        <v>2022</v>
      </c>
    </row>
    <row r="2153" spans="1:28" ht="35.25" x14ac:dyDescent="0.5">
      <c r="A2153">
        <v>1</v>
      </c>
      <c r="B2153" s="80">
        <f>SUBTOTAL(103,$A$1697:A2153)</f>
        <v>453</v>
      </c>
      <c r="C2153" s="300" t="s">
        <v>3128</v>
      </c>
      <c r="D2153" s="296">
        <f t="shared" si="104"/>
        <v>315631</v>
      </c>
      <c r="E2153" s="304">
        <v>0</v>
      </c>
      <c r="F2153" s="304">
        <v>0</v>
      </c>
      <c r="G2153" s="304">
        <v>0</v>
      </c>
      <c r="H2153" s="304">
        <v>0</v>
      </c>
      <c r="I2153" s="304">
        <v>0</v>
      </c>
      <c r="J2153" s="304">
        <v>0</v>
      </c>
      <c r="K2153" s="305">
        <v>0</v>
      </c>
      <c r="L2153" s="304">
        <v>0</v>
      </c>
      <c r="M2153" s="304">
        <f>183741+131890</f>
        <v>315631</v>
      </c>
      <c r="N2153" s="304">
        <v>0</v>
      </c>
      <c r="O2153" s="304">
        <v>0</v>
      </c>
      <c r="P2153" s="304">
        <v>0</v>
      </c>
      <c r="Q2153" s="304">
        <v>0</v>
      </c>
      <c r="R2153" s="304">
        <v>0</v>
      </c>
      <c r="S2153" s="304">
        <v>0</v>
      </c>
      <c r="T2153" s="304">
        <v>0</v>
      </c>
      <c r="U2153" s="304">
        <v>0</v>
      </c>
      <c r="V2153" s="304">
        <v>0</v>
      </c>
      <c r="W2153" s="304">
        <v>0</v>
      </c>
      <c r="X2153" s="304">
        <v>0</v>
      </c>
      <c r="Y2153" s="304">
        <v>0</v>
      </c>
      <c r="Z2153" s="304">
        <v>0</v>
      </c>
      <c r="AA2153" s="304">
        <v>0</v>
      </c>
      <c r="AB2153" s="303">
        <v>2022</v>
      </c>
    </row>
    <row r="2154" spans="1:28" ht="35.25" x14ac:dyDescent="0.5">
      <c r="A2154">
        <v>1</v>
      </c>
      <c r="B2154" s="80">
        <f>SUBTOTAL(103,$A$1697:A2154)</f>
        <v>454</v>
      </c>
      <c r="C2154" s="300" t="s">
        <v>3342</v>
      </c>
      <c r="D2154" s="296">
        <f t="shared" si="104"/>
        <v>589244.19999999995</v>
      </c>
      <c r="E2154" s="304">
        <v>0</v>
      </c>
      <c r="F2154" s="304">
        <v>0</v>
      </c>
      <c r="G2154" s="304">
        <v>0</v>
      </c>
      <c r="H2154" s="304">
        <v>0</v>
      </c>
      <c r="I2154" s="304">
        <v>0</v>
      </c>
      <c r="J2154" s="304">
        <v>0</v>
      </c>
      <c r="K2154" s="305">
        <v>0</v>
      </c>
      <c r="L2154" s="304">
        <v>0</v>
      </c>
      <c r="M2154" s="304">
        <v>0</v>
      </c>
      <c r="N2154" s="304">
        <f>105219+245512.2</f>
        <v>350731.2</v>
      </c>
      <c r="O2154" s="304">
        <v>238513</v>
      </c>
      <c r="P2154" s="304">
        <v>0</v>
      </c>
      <c r="Q2154" s="304">
        <v>0</v>
      </c>
      <c r="R2154" s="304">
        <v>0</v>
      </c>
      <c r="S2154" s="304">
        <v>0</v>
      </c>
      <c r="T2154" s="304">
        <v>0</v>
      </c>
      <c r="U2154" s="304">
        <v>0</v>
      </c>
      <c r="V2154" s="304">
        <v>0</v>
      </c>
      <c r="W2154" s="304">
        <v>0</v>
      </c>
      <c r="X2154" s="304">
        <v>0</v>
      </c>
      <c r="Y2154" s="304">
        <v>0</v>
      </c>
      <c r="Z2154" s="304">
        <v>0</v>
      </c>
      <c r="AA2154" s="304">
        <v>0</v>
      </c>
      <c r="AB2154" s="303">
        <v>2022</v>
      </c>
    </row>
    <row r="2155" spans="1:28" ht="35.25" x14ac:dyDescent="0.5">
      <c r="A2155">
        <v>1</v>
      </c>
      <c r="B2155" s="80">
        <f>SUBTOTAL(103,$A$1697:A2155)</f>
        <v>455</v>
      </c>
      <c r="C2155" s="300" t="s">
        <v>2365</v>
      </c>
      <c r="D2155" s="296">
        <f t="shared" si="104"/>
        <v>459368.29</v>
      </c>
      <c r="E2155" s="304">
        <v>0</v>
      </c>
      <c r="F2155" s="304">
        <v>0</v>
      </c>
      <c r="G2155" s="304">
        <v>0</v>
      </c>
      <c r="H2155" s="304">
        <v>0</v>
      </c>
      <c r="I2155" s="304">
        <v>0</v>
      </c>
      <c r="J2155" s="304">
        <v>0</v>
      </c>
      <c r="K2155" s="305">
        <v>0</v>
      </c>
      <c r="L2155" s="304">
        <v>0</v>
      </c>
      <c r="M2155" s="304">
        <v>0</v>
      </c>
      <c r="N2155" s="304">
        <v>0</v>
      </c>
      <c r="O2155" s="304">
        <v>459368.29</v>
      </c>
      <c r="P2155" s="304">
        <v>0</v>
      </c>
      <c r="Q2155" s="304">
        <v>0</v>
      </c>
      <c r="R2155" s="304">
        <v>0</v>
      </c>
      <c r="S2155" s="304">
        <v>0</v>
      </c>
      <c r="T2155" s="304">
        <v>0</v>
      </c>
      <c r="U2155" s="304">
        <v>0</v>
      </c>
      <c r="V2155" s="304">
        <v>0</v>
      </c>
      <c r="W2155" s="304">
        <v>0</v>
      </c>
      <c r="X2155" s="304">
        <v>0</v>
      </c>
      <c r="Y2155" s="304">
        <v>0</v>
      </c>
      <c r="Z2155" s="304">
        <v>0</v>
      </c>
      <c r="AA2155" s="304">
        <v>0</v>
      </c>
      <c r="AB2155" s="303" t="s">
        <v>3313</v>
      </c>
    </row>
    <row r="2156" spans="1:28" ht="35.25" x14ac:dyDescent="0.5">
      <c r="A2156">
        <v>1</v>
      </c>
      <c r="B2156" s="80">
        <f>SUBTOTAL(103,$A$1697:A2156)</f>
        <v>456</v>
      </c>
      <c r="C2156" s="300" t="s">
        <v>1920</v>
      </c>
      <c r="D2156" s="296">
        <f t="shared" si="104"/>
        <v>2435310</v>
      </c>
      <c r="E2156" s="304">
        <v>0</v>
      </c>
      <c r="F2156" s="304">
        <v>0</v>
      </c>
      <c r="G2156" s="304">
        <v>0</v>
      </c>
      <c r="H2156" s="304">
        <v>0</v>
      </c>
      <c r="I2156" s="304">
        <v>0</v>
      </c>
      <c r="J2156" s="304">
        <v>0</v>
      </c>
      <c r="K2156" s="305">
        <v>0</v>
      </c>
      <c r="L2156" s="304">
        <v>0</v>
      </c>
      <c r="M2156" s="304">
        <v>2435310</v>
      </c>
      <c r="N2156" s="304">
        <v>0</v>
      </c>
      <c r="O2156" s="304">
        <v>0</v>
      </c>
      <c r="P2156" s="304">
        <v>0</v>
      </c>
      <c r="Q2156" s="304">
        <v>0</v>
      </c>
      <c r="R2156" s="304">
        <v>0</v>
      </c>
      <c r="S2156" s="304">
        <v>0</v>
      </c>
      <c r="T2156" s="304">
        <v>0</v>
      </c>
      <c r="U2156" s="304">
        <v>0</v>
      </c>
      <c r="V2156" s="304">
        <v>0</v>
      </c>
      <c r="W2156" s="304">
        <v>0</v>
      </c>
      <c r="X2156" s="304">
        <v>0</v>
      </c>
      <c r="Y2156" s="304">
        <v>0</v>
      </c>
      <c r="Z2156" s="304">
        <v>0</v>
      </c>
      <c r="AA2156" s="304">
        <v>0</v>
      </c>
      <c r="AB2156" s="303" t="s">
        <v>3313</v>
      </c>
    </row>
    <row r="2157" spans="1:28" ht="35.25" x14ac:dyDescent="0.5">
      <c r="A2157">
        <v>1</v>
      </c>
      <c r="B2157" s="80">
        <f>SUBTOTAL(103,$A$1697:A2157)</f>
        <v>457</v>
      </c>
      <c r="C2157" s="300" t="s">
        <v>2366</v>
      </c>
      <c r="D2157" s="296">
        <f t="shared" si="104"/>
        <v>990550</v>
      </c>
      <c r="E2157" s="304">
        <v>900550</v>
      </c>
      <c r="F2157" s="304">
        <v>0</v>
      </c>
      <c r="G2157" s="304">
        <v>0</v>
      </c>
      <c r="H2157" s="304">
        <v>0</v>
      </c>
      <c r="I2157" s="304">
        <v>0</v>
      </c>
      <c r="J2157" s="304">
        <v>0</v>
      </c>
      <c r="K2157" s="305">
        <v>0</v>
      </c>
      <c r="L2157" s="304">
        <v>0</v>
      </c>
      <c r="M2157" s="304">
        <v>90000</v>
      </c>
      <c r="N2157" s="304">
        <v>0</v>
      </c>
      <c r="O2157" s="304">
        <v>0</v>
      </c>
      <c r="P2157" s="304">
        <v>0</v>
      </c>
      <c r="Q2157" s="304">
        <v>0</v>
      </c>
      <c r="R2157" s="304">
        <v>0</v>
      </c>
      <c r="S2157" s="304">
        <v>0</v>
      </c>
      <c r="T2157" s="304">
        <v>0</v>
      </c>
      <c r="U2157" s="304">
        <v>0</v>
      </c>
      <c r="V2157" s="304">
        <v>0</v>
      </c>
      <c r="W2157" s="304">
        <v>0</v>
      </c>
      <c r="X2157" s="304">
        <v>0</v>
      </c>
      <c r="Y2157" s="304">
        <v>0</v>
      </c>
      <c r="Z2157" s="304">
        <v>0</v>
      </c>
      <c r="AA2157" s="304">
        <v>0</v>
      </c>
      <c r="AB2157" s="303" t="s">
        <v>3313</v>
      </c>
    </row>
    <row r="2158" spans="1:28" ht="35.25" x14ac:dyDescent="0.5">
      <c r="A2158">
        <v>1</v>
      </c>
      <c r="B2158" s="80">
        <f>SUBTOTAL(103,$A$1697:A2158)</f>
        <v>458</v>
      </c>
      <c r="C2158" s="300" t="s">
        <v>2367</v>
      </c>
      <c r="D2158" s="296">
        <f t="shared" si="104"/>
        <v>18000</v>
      </c>
      <c r="E2158" s="304">
        <v>0</v>
      </c>
      <c r="F2158" s="304">
        <v>0</v>
      </c>
      <c r="G2158" s="304">
        <v>0</v>
      </c>
      <c r="H2158" s="304">
        <v>0</v>
      </c>
      <c r="I2158" s="304">
        <v>0</v>
      </c>
      <c r="J2158" s="304">
        <v>0</v>
      </c>
      <c r="K2158" s="305">
        <v>0</v>
      </c>
      <c r="L2158" s="304">
        <v>0</v>
      </c>
      <c r="M2158" s="304">
        <v>18000</v>
      </c>
      <c r="N2158" s="304">
        <v>0</v>
      </c>
      <c r="O2158" s="304">
        <v>0</v>
      </c>
      <c r="P2158" s="304">
        <v>0</v>
      </c>
      <c r="Q2158" s="304">
        <v>0</v>
      </c>
      <c r="R2158" s="304">
        <v>0</v>
      </c>
      <c r="S2158" s="304">
        <v>0</v>
      </c>
      <c r="T2158" s="304">
        <v>0</v>
      </c>
      <c r="U2158" s="304">
        <v>0</v>
      </c>
      <c r="V2158" s="304">
        <v>0</v>
      </c>
      <c r="W2158" s="304">
        <v>0</v>
      </c>
      <c r="X2158" s="304">
        <v>0</v>
      </c>
      <c r="Y2158" s="304">
        <v>0</v>
      </c>
      <c r="Z2158" s="304">
        <v>0</v>
      </c>
      <c r="AA2158" s="304">
        <v>0</v>
      </c>
      <c r="AB2158" s="303" t="s">
        <v>3313</v>
      </c>
    </row>
    <row r="2159" spans="1:28" ht="35.25" x14ac:dyDescent="0.5">
      <c r="A2159">
        <v>1</v>
      </c>
      <c r="B2159" s="80">
        <f>SUBTOTAL(103,$A$1697:A2159)</f>
        <v>459</v>
      </c>
      <c r="C2159" s="300" t="s">
        <v>2861</v>
      </c>
      <c r="D2159" s="296">
        <f t="shared" si="104"/>
        <v>1178226</v>
      </c>
      <c r="E2159" s="304">
        <v>0</v>
      </c>
      <c r="F2159" s="304">
        <v>0</v>
      </c>
      <c r="G2159" s="304">
        <f>728226+450000</f>
        <v>1178226</v>
      </c>
      <c r="H2159" s="304">
        <v>0</v>
      </c>
      <c r="I2159" s="304">
        <v>0</v>
      </c>
      <c r="J2159" s="304">
        <v>0</v>
      </c>
      <c r="K2159" s="305">
        <v>0</v>
      </c>
      <c r="L2159" s="304">
        <v>0</v>
      </c>
      <c r="M2159" s="304">
        <v>0</v>
      </c>
      <c r="N2159" s="304">
        <v>0</v>
      </c>
      <c r="O2159" s="304">
        <v>0</v>
      </c>
      <c r="P2159" s="304">
        <v>0</v>
      </c>
      <c r="Q2159" s="304">
        <v>0</v>
      </c>
      <c r="R2159" s="304">
        <v>0</v>
      </c>
      <c r="S2159" s="304">
        <v>0</v>
      </c>
      <c r="T2159" s="304">
        <v>0</v>
      </c>
      <c r="U2159" s="304">
        <v>0</v>
      </c>
      <c r="V2159" s="304">
        <v>0</v>
      </c>
      <c r="W2159" s="304">
        <v>0</v>
      </c>
      <c r="X2159" s="304">
        <v>0</v>
      </c>
      <c r="Y2159" s="304">
        <v>0</v>
      </c>
      <c r="Z2159" s="304">
        <v>0</v>
      </c>
      <c r="AA2159" s="304">
        <v>0</v>
      </c>
      <c r="AB2159" s="303" t="s">
        <v>3313</v>
      </c>
    </row>
    <row r="2160" spans="1:28" ht="35.25" x14ac:dyDescent="0.5">
      <c r="A2160">
        <v>1</v>
      </c>
      <c r="B2160" s="80">
        <f>SUBTOTAL(103,$A$1697:A2160)</f>
        <v>460</v>
      </c>
      <c r="C2160" s="300" t="s">
        <v>3454</v>
      </c>
      <c r="D2160" s="296">
        <f t="shared" si="104"/>
        <v>90738.4</v>
      </c>
      <c r="E2160" s="304">
        <v>0</v>
      </c>
      <c r="F2160" s="304">
        <v>90738.4</v>
      </c>
      <c r="G2160" s="304">
        <v>0</v>
      </c>
      <c r="H2160" s="304">
        <v>0</v>
      </c>
      <c r="I2160" s="304">
        <v>0</v>
      </c>
      <c r="J2160" s="304">
        <v>0</v>
      </c>
      <c r="K2160" s="305">
        <v>0</v>
      </c>
      <c r="L2160" s="304">
        <v>0</v>
      </c>
      <c r="M2160" s="304">
        <v>0</v>
      </c>
      <c r="N2160" s="304">
        <v>0</v>
      </c>
      <c r="O2160" s="304">
        <v>0</v>
      </c>
      <c r="P2160" s="304">
        <v>0</v>
      </c>
      <c r="Q2160" s="304">
        <v>0</v>
      </c>
      <c r="R2160" s="304">
        <v>0</v>
      </c>
      <c r="S2160" s="304">
        <v>0</v>
      </c>
      <c r="T2160" s="304">
        <v>0</v>
      </c>
      <c r="U2160" s="304">
        <v>0</v>
      </c>
      <c r="V2160" s="304">
        <v>0</v>
      </c>
      <c r="W2160" s="304">
        <v>0</v>
      </c>
      <c r="X2160" s="304">
        <v>0</v>
      </c>
      <c r="Y2160" s="304">
        <v>0</v>
      </c>
      <c r="Z2160" s="304">
        <v>0</v>
      </c>
      <c r="AA2160" s="304">
        <v>0</v>
      </c>
      <c r="AB2160" s="303" t="s">
        <v>3313</v>
      </c>
    </row>
    <row r="2161" spans="1:28" ht="35.25" x14ac:dyDescent="0.5">
      <c r="A2161">
        <v>1</v>
      </c>
      <c r="B2161" s="80">
        <f>SUBTOTAL(103,$A$1697:A2161)</f>
        <v>461</v>
      </c>
      <c r="C2161" s="300" t="s">
        <v>3343</v>
      </c>
      <c r="D2161" s="296">
        <f t="shared" si="104"/>
        <v>1505409.07</v>
      </c>
      <c r="E2161" s="304">
        <v>0</v>
      </c>
      <c r="F2161" s="304">
        <v>0</v>
      </c>
      <c r="G2161" s="304">
        <v>0</v>
      </c>
      <c r="H2161" s="304">
        <v>0</v>
      </c>
      <c r="I2161" s="304">
        <v>0</v>
      </c>
      <c r="J2161" s="304">
        <v>0</v>
      </c>
      <c r="K2161" s="305">
        <v>0</v>
      </c>
      <c r="L2161" s="304">
        <v>0</v>
      </c>
      <c r="M2161" s="304">
        <f>450399+1055010.07</f>
        <v>1505409.07</v>
      </c>
      <c r="N2161" s="304">
        <v>0</v>
      </c>
      <c r="O2161" s="304">
        <v>0</v>
      </c>
      <c r="P2161" s="304">
        <v>0</v>
      </c>
      <c r="Q2161" s="304">
        <v>0</v>
      </c>
      <c r="R2161" s="304">
        <v>0</v>
      </c>
      <c r="S2161" s="304">
        <v>0</v>
      </c>
      <c r="T2161" s="304">
        <v>0</v>
      </c>
      <c r="U2161" s="304">
        <v>0</v>
      </c>
      <c r="V2161" s="304">
        <v>0</v>
      </c>
      <c r="W2161" s="304">
        <v>0</v>
      </c>
      <c r="X2161" s="304">
        <v>0</v>
      </c>
      <c r="Y2161" s="304">
        <v>0</v>
      </c>
      <c r="Z2161" s="304">
        <v>0</v>
      </c>
      <c r="AA2161" s="304">
        <v>0</v>
      </c>
      <c r="AB2161" s="303" t="s">
        <v>3313</v>
      </c>
    </row>
    <row r="2162" spans="1:28" ht="35.25" x14ac:dyDescent="0.5">
      <c r="A2162">
        <v>1</v>
      </c>
      <c r="B2162" s="80">
        <f>SUBTOTAL(103,$A$1697:A2162)</f>
        <v>462</v>
      </c>
      <c r="C2162" s="300" t="s">
        <v>1929</v>
      </c>
      <c r="D2162" s="296">
        <f t="shared" si="104"/>
        <v>153308.66</v>
      </c>
      <c r="E2162" s="304">
        <v>0</v>
      </c>
      <c r="F2162" s="304">
        <v>0</v>
      </c>
      <c r="G2162" s="304">
        <v>0</v>
      </c>
      <c r="H2162" s="304">
        <v>0</v>
      </c>
      <c r="I2162" s="304">
        <v>0</v>
      </c>
      <c r="J2162" s="304">
        <v>0</v>
      </c>
      <c r="K2162" s="305">
        <v>0</v>
      </c>
      <c r="L2162" s="304">
        <v>0</v>
      </c>
      <c r="M2162" s="304">
        <v>0</v>
      </c>
      <c r="N2162" s="304">
        <v>0</v>
      </c>
      <c r="O2162" s="304">
        <v>153308.66</v>
      </c>
      <c r="P2162" s="304">
        <v>0</v>
      </c>
      <c r="Q2162" s="304">
        <v>0</v>
      </c>
      <c r="R2162" s="304">
        <v>0</v>
      </c>
      <c r="S2162" s="304">
        <v>0</v>
      </c>
      <c r="T2162" s="304">
        <v>0</v>
      </c>
      <c r="U2162" s="304">
        <v>0</v>
      </c>
      <c r="V2162" s="304">
        <v>0</v>
      </c>
      <c r="W2162" s="304">
        <v>0</v>
      </c>
      <c r="X2162" s="304">
        <v>0</v>
      </c>
      <c r="Y2162" s="304">
        <v>0</v>
      </c>
      <c r="Z2162" s="304">
        <v>0</v>
      </c>
      <c r="AA2162" s="304">
        <v>0</v>
      </c>
      <c r="AB2162" s="303" t="s">
        <v>3313</v>
      </c>
    </row>
    <row r="2163" spans="1:28" ht="35.25" x14ac:dyDescent="0.5">
      <c r="A2163">
        <v>1</v>
      </c>
      <c r="B2163" s="80">
        <f>SUBTOTAL(103,$A$1697:A2163)</f>
        <v>463</v>
      </c>
      <c r="C2163" s="300" t="s">
        <v>1930</v>
      </c>
      <c r="D2163" s="296">
        <f t="shared" si="104"/>
        <v>2489655</v>
      </c>
      <c r="E2163" s="304">
        <v>0</v>
      </c>
      <c r="F2163" s="304">
        <v>0</v>
      </c>
      <c r="G2163" s="304">
        <v>0</v>
      </c>
      <c r="H2163" s="304">
        <v>0</v>
      </c>
      <c r="I2163" s="304">
        <v>0</v>
      </c>
      <c r="J2163" s="304">
        <v>0</v>
      </c>
      <c r="K2163" s="305">
        <v>0</v>
      </c>
      <c r="L2163" s="304">
        <v>0</v>
      </c>
      <c r="M2163" s="304">
        <v>1481062.2</v>
      </c>
      <c r="N2163" s="304">
        <v>0</v>
      </c>
      <c r="O2163" s="304">
        <v>1008592.8</v>
      </c>
      <c r="P2163" s="304">
        <v>0</v>
      </c>
      <c r="Q2163" s="304">
        <v>0</v>
      </c>
      <c r="R2163" s="304">
        <v>0</v>
      </c>
      <c r="S2163" s="304">
        <v>0</v>
      </c>
      <c r="T2163" s="304">
        <v>0</v>
      </c>
      <c r="U2163" s="304">
        <v>0</v>
      </c>
      <c r="V2163" s="304">
        <v>0</v>
      </c>
      <c r="W2163" s="304">
        <v>0</v>
      </c>
      <c r="X2163" s="304">
        <v>0</v>
      </c>
      <c r="Y2163" s="304">
        <v>0</v>
      </c>
      <c r="Z2163" s="304">
        <v>0</v>
      </c>
      <c r="AA2163" s="304">
        <v>0</v>
      </c>
      <c r="AB2163" s="303" t="s">
        <v>3313</v>
      </c>
    </row>
    <row r="2164" spans="1:28" ht="32.25" customHeight="1" x14ac:dyDescent="0.5">
      <c r="A2164">
        <v>1</v>
      </c>
      <c r="B2164" s="80">
        <f>SUBTOTAL(103,$A$1697:A2164)</f>
        <v>464</v>
      </c>
      <c r="C2164" s="300" t="s">
        <v>3344</v>
      </c>
      <c r="D2164" s="296">
        <f t="shared" si="104"/>
        <v>449870.7</v>
      </c>
      <c r="E2164" s="304">
        <v>0</v>
      </c>
      <c r="F2164" s="304">
        <v>0</v>
      </c>
      <c r="G2164" s="304">
        <v>0</v>
      </c>
      <c r="H2164" s="304">
        <v>0</v>
      </c>
      <c r="I2164" s="304">
        <v>0</v>
      </c>
      <c r="J2164" s="304">
        <v>0</v>
      </c>
      <c r="K2164" s="305">
        <v>0</v>
      </c>
      <c r="L2164" s="304">
        <v>0</v>
      </c>
      <c r="M2164" s="304">
        <v>449870.7</v>
      </c>
      <c r="N2164" s="304">
        <v>0</v>
      </c>
      <c r="O2164" s="304">
        <v>0</v>
      </c>
      <c r="P2164" s="304">
        <v>0</v>
      </c>
      <c r="Q2164" s="304">
        <v>0</v>
      </c>
      <c r="R2164" s="304">
        <v>0</v>
      </c>
      <c r="S2164" s="304">
        <v>0</v>
      </c>
      <c r="T2164" s="304">
        <v>0</v>
      </c>
      <c r="U2164" s="304">
        <v>0</v>
      </c>
      <c r="V2164" s="304">
        <v>0</v>
      </c>
      <c r="W2164" s="304">
        <v>0</v>
      </c>
      <c r="X2164" s="304">
        <v>0</v>
      </c>
      <c r="Y2164" s="304">
        <v>0</v>
      </c>
      <c r="Z2164" s="304">
        <v>0</v>
      </c>
      <c r="AA2164" s="304">
        <v>0</v>
      </c>
      <c r="AB2164" s="303" t="s">
        <v>3313</v>
      </c>
    </row>
    <row r="2165" spans="1:28" ht="35.25" x14ac:dyDescent="0.5">
      <c r="A2165">
        <v>1</v>
      </c>
      <c r="B2165" s="80">
        <f>SUBTOTAL(103,$A$1697:A2165)</f>
        <v>465</v>
      </c>
      <c r="C2165" s="300" t="s">
        <v>1931</v>
      </c>
      <c r="D2165" s="296">
        <f t="shared" si="104"/>
        <v>530925</v>
      </c>
      <c r="E2165" s="304">
        <v>0</v>
      </c>
      <c r="F2165" s="304">
        <v>0</v>
      </c>
      <c r="G2165" s="304">
        <v>0</v>
      </c>
      <c r="H2165" s="304">
        <v>0</v>
      </c>
      <c r="I2165" s="304">
        <v>0</v>
      </c>
      <c r="J2165" s="304">
        <v>0</v>
      </c>
      <c r="K2165" s="305">
        <v>0</v>
      </c>
      <c r="L2165" s="304">
        <v>0</v>
      </c>
      <c r="M2165" s="304">
        <v>0</v>
      </c>
      <c r="N2165" s="304">
        <v>530925</v>
      </c>
      <c r="O2165" s="304">
        <v>0</v>
      </c>
      <c r="P2165" s="304">
        <v>0</v>
      </c>
      <c r="Q2165" s="304">
        <v>0</v>
      </c>
      <c r="R2165" s="304">
        <v>0</v>
      </c>
      <c r="S2165" s="304">
        <v>0</v>
      </c>
      <c r="T2165" s="304">
        <v>0</v>
      </c>
      <c r="U2165" s="304">
        <v>0</v>
      </c>
      <c r="V2165" s="304">
        <v>0</v>
      </c>
      <c r="W2165" s="304">
        <v>0</v>
      </c>
      <c r="X2165" s="304">
        <v>0</v>
      </c>
      <c r="Y2165" s="304">
        <v>0</v>
      </c>
      <c r="Z2165" s="304">
        <v>0</v>
      </c>
      <c r="AA2165" s="304">
        <v>0</v>
      </c>
      <c r="AB2165" s="303" t="s">
        <v>3313</v>
      </c>
    </row>
    <row r="2166" spans="1:28" ht="35.25" x14ac:dyDescent="0.5">
      <c r="A2166">
        <v>1</v>
      </c>
      <c r="B2166" s="80">
        <f>SUBTOTAL(103,$A$1697:A2166)</f>
        <v>466</v>
      </c>
      <c r="C2166" s="300" t="s">
        <v>3345</v>
      </c>
      <c r="D2166" s="296">
        <f t="shared" si="104"/>
        <v>51240</v>
      </c>
      <c r="E2166" s="304">
        <v>51240</v>
      </c>
      <c r="F2166" s="304">
        <v>0</v>
      </c>
      <c r="G2166" s="304">
        <v>0</v>
      </c>
      <c r="H2166" s="304">
        <v>0</v>
      </c>
      <c r="I2166" s="304">
        <v>0</v>
      </c>
      <c r="J2166" s="304">
        <v>0</v>
      </c>
      <c r="K2166" s="305">
        <v>0</v>
      </c>
      <c r="L2166" s="304">
        <v>0</v>
      </c>
      <c r="M2166" s="304">
        <v>0</v>
      </c>
      <c r="N2166" s="304">
        <v>0</v>
      </c>
      <c r="O2166" s="304">
        <v>0</v>
      </c>
      <c r="P2166" s="304">
        <v>0</v>
      </c>
      <c r="Q2166" s="304">
        <v>0</v>
      </c>
      <c r="R2166" s="304">
        <v>0</v>
      </c>
      <c r="S2166" s="304">
        <v>0</v>
      </c>
      <c r="T2166" s="304">
        <v>0</v>
      </c>
      <c r="U2166" s="304">
        <v>0</v>
      </c>
      <c r="V2166" s="304">
        <v>0</v>
      </c>
      <c r="W2166" s="304">
        <v>0</v>
      </c>
      <c r="X2166" s="304">
        <v>0</v>
      </c>
      <c r="Y2166" s="304">
        <v>0</v>
      </c>
      <c r="Z2166" s="304">
        <v>0</v>
      </c>
      <c r="AA2166" s="304">
        <v>0</v>
      </c>
      <c r="AB2166" s="303" t="s">
        <v>3313</v>
      </c>
    </row>
    <row r="2167" spans="1:28" ht="35.25" x14ac:dyDescent="0.5">
      <c r="A2167">
        <v>1</v>
      </c>
      <c r="B2167" s="80">
        <f>SUBTOTAL(103,$A$1697:A2167)</f>
        <v>467</v>
      </c>
      <c r="C2167" s="300" t="s">
        <v>2371</v>
      </c>
      <c r="D2167" s="296">
        <f t="shared" si="104"/>
        <v>837466.8</v>
      </c>
      <c r="E2167" s="304">
        <v>0</v>
      </c>
      <c r="F2167" s="304">
        <v>0</v>
      </c>
      <c r="G2167" s="304">
        <v>0</v>
      </c>
      <c r="H2167" s="304">
        <v>0</v>
      </c>
      <c r="I2167" s="304">
        <v>0</v>
      </c>
      <c r="J2167" s="304">
        <v>0</v>
      </c>
      <c r="K2167" s="305">
        <v>0</v>
      </c>
      <c r="L2167" s="304">
        <v>0</v>
      </c>
      <c r="M2167" s="304">
        <v>0</v>
      </c>
      <c r="N2167" s="304">
        <v>0</v>
      </c>
      <c r="O2167" s="304">
        <v>837466.8</v>
      </c>
      <c r="P2167" s="304">
        <v>0</v>
      </c>
      <c r="Q2167" s="304">
        <v>0</v>
      </c>
      <c r="R2167" s="304">
        <v>0</v>
      </c>
      <c r="S2167" s="304">
        <v>0</v>
      </c>
      <c r="T2167" s="304">
        <v>0</v>
      </c>
      <c r="U2167" s="304">
        <v>0</v>
      </c>
      <c r="V2167" s="304">
        <v>0</v>
      </c>
      <c r="W2167" s="304">
        <v>0</v>
      </c>
      <c r="X2167" s="304">
        <v>0</v>
      </c>
      <c r="Y2167" s="304">
        <v>0</v>
      </c>
      <c r="Z2167" s="304">
        <v>0</v>
      </c>
      <c r="AA2167" s="304">
        <v>0</v>
      </c>
      <c r="AB2167" s="303">
        <v>2022</v>
      </c>
    </row>
    <row r="2168" spans="1:28" ht="35.25" x14ac:dyDescent="0.5">
      <c r="A2168">
        <v>1</v>
      </c>
      <c r="B2168" s="80">
        <f>SUBTOTAL(103,$A$1697:A2168)</f>
        <v>468</v>
      </c>
      <c r="C2168" s="300" t="s">
        <v>1919</v>
      </c>
      <c r="D2168" s="296">
        <f t="shared" si="104"/>
        <v>420378.35</v>
      </c>
      <c r="E2168" s="304">
        <v>0</v>
      </c>
      <c r="F2168" s="304">
        <v>0</v>
      </c>
      <c r="G2168" s="304">
        <v>0</v>
      </c>
      <c r="H2168" s="304">
        <v>0</v>
      </c>
      <c r="I2168" s="304">
        <v>0</v>
      </c>
      <c r="J2168" s="304">
        <v>0</v>
      </c>
      <c r="K2168" s="305">
        <v>0</v>
      </c>
      <c r="L2168" s="304">
        <v>0</v>
      </c>
      <c r="M2168" s="304">
        <v>0</v>
      </c>
      <c r="N2168" s="304">
        <v>0</v>
      </c>
      <c r="O2168" s="304">
        <v>420378.35</v>
      </c>
      <c r="P2168" s="304">
        <v>0</v>
      </c>
      <c r="Q2168" s="304">
        <v>0</v>
      </c>
      <c r="R2168" s="304">
        <v>0</v>
      </c>
      <c r="S2168" s="304">
        <v>0</v>
      </c>
      <c r="T2168" s="304">
        <v>0</v>
      </c>
      <c r="U2168" s="304">
        <v>0</v>
      </c>
      <c r="V2168" s="304">
        <v>0</v>
      </c>
      <c r="W2168" s="304">
        <v>0</v>
      </c>
      <c r="X2168" s="304">
        <v>0</v>
      </c>
      <c r="Y2168" s="304">
        <v>0</v>
      </c>
      <c r="Z2168" s="304">
        <v>0</v>
      </c>
      <c r="AA2168" s="304">
        <v>0</v>
      </c>
      <c r="AB2168" s="303">
        <v>2022</v>
      </c>
    </row>
    <row r="2169" spans="1:28" ht="35.25" customHeight="1" x14ac:dyDescent="0.5">
      <c r="A2169">
        <v>1</v>
      </c>
      <c r="B2169" s="80">
        <f>SUBTOTAL(103,$A$1697:A2169)</f>
        <v>469</v>
      </c>
      <c r="C2169" s="300" t="s">
        <v>2368</v>
      </c>
      <c r="D2169" s="296">
        <f t="shared" si="104"/>
        <v>140350</v>
      </c>
      <c r="E2169" s="304">
        <v>0</v>
      </c>
      <c r="F2169" s="304">
        <v>0</v>
      </c>
      <c r="G2169" s="304">
        <v>0</v>
      </c>
      <c r="H2169" s="304">
        <v>0</v>
      </c>
      <c r="I2169" s="304">
        <v>0</v>
      </c>
      <c r="J2169" s="304">
        <v>0</v>
      </c>
      <c r="K2169" s="305">
        <v>0</v>
      </c>
      <c r="L2169" s="304">
        <v>0</v>
      </c>
      <c r="M2169" s="304">
        <v>140350</v>
      </c>
      <c r="N2169" s="304">
        <v>0</v>
      </c>
      <c r="O2169" s="304">
        <v>0</v>
      </c>
      <c r="P2169" s="304">
        <v>0</v>
      </c>
      <c r="Q2169" s="304">
        <v>0</v>
      </c>
      <c r="R2169" s="304">
        <v>0</v>
      </c>
      <c r="S2169" s="304">
        <v>0</v>
      </c>
      <c r="T2169" s="304">
        <v>0</v>
      </c>
      <c r="U2169" s="304">
        <v>0</v>
      </c>
      <c r="V2169" s="304">
        <v>0</v>
      </c>
      <c r="W2169" s="304">
        <v>0</v>
      </c>
      <c r="X2169" s="304">
        <v>0</v>
      </c>
      <c r="Y2169" s="304">
        <v>0</v>
      </c>
      <c r="Z2169" s="304">
        <v>0</v>
      </c>
      <c r="AA2169" s="304">
        <v>0</v>
      </c>
      <c r="AB2169" s="303">
        <v>2022</v>
      </c>
    </row>
    <row r="2170" spans="1:28" ht="35.25" customHeight="1" x14ac:dyDescent="0.5">
      <c r="A2170">
        <v>1</v>
      </c>
      <c r="B2170" s="80">
        <f>SUBTOTAL(103,$A$1697:A2170)</f>
        <v>470</v>
      </c>
      <c r="C2170" s="300" t="s">
        <v>3127</v>
      </c>
      <c r="D2170" s="296">
        <f t="shared" si="104"/>
        <v>1341092.6099999999</v>
      </c>
      <c r="E2170" s="304">
        <v>0</v>
      </c>
      <c r="F2170" s="304">
        <v>615337.76</v>
      </c>
      <c r="G2170" s="304">
        <v>0</v>
      </c>
      <c r="H2170" s="304">
        <v>0</v>
      </c>
      <c r="I2170" s="304">
        <v>0</v>
      </c>
      <c r="J2170" s="304">
        <v>0</v>
      </c>
      <c r="K2170" s="305">
        <v>1</v>
      </c>
      <c r="L2170" s="304">
        <v>43671</v>
      </c>
      <c r="M2170" s="304">
        <v>0</v>
      </c>
      <c r="N2170" s="304">
        <v>0</v>
      </c>
      <c r="O2170" s="304">
        <v>682083.85</v>
      </c>
      <c r="P2170" s="304">
        <v>0</v>
      </c>
      <c r="Q2170" s="304">
        <v>0</v>
      </c>
      <c r="R2170" s="304">
        <v>0</v>
      </c>
      <c r="S2170" s="304">
        <v>0</v>
      </c>
      <c r="T2170" s="304">
        <v>0</v>
      </c>
      <c r="U2170" s="304">
        <v>0</v>
      </c>
      <c r="V2170" s="304">
        <v>0</v>
      </c>
      <c r="W2170" s="304">
        <v>0</v>
      </c>
      <c r="X2170" s="304">
        <v>0</v>
      </c>
      <c r="Y2170" s="304">
        <v>0</v>
      </c>
      <c r="Z2170" s="304">
        <v>0</v>
      </c>
      <c r="AA2170" s="304">
        <v>0</v>
      </c>
      <c r="AB2170" s="303">
        <v>2022</v>
      </c>
    </row>
    <row r="2171" spans="1:28" ht="35.25" customHeight="1" x14ac:dyDescent="0.5">
      <c r="A2171">
        <v>1</v>
      </c>
      <c r="B2171" s="80">
        <f>SUBTOTAL(103,$A$1697:A2171)</f>
        <v>471</v>
      </c>
      <c r="C2171" s="300" t="s">
        <v>3595</v>
      </c>
      <c r="D2171" s="296">
        <f t="shared" si="104"/>
        <v>1647817.5</v>
      </c>
      <c r="E2171" s="304">
        <v>0</v>
      </c>
      <c r="F2171" s="304">
        <v>0</v>
      </c>
      <c r="G2171" s="304">
        <v>0</v>
      </c>
      <c r="H2171" s="304">
        <v>0</v>
      </c>
      <c r="I2171" s="304">
        <v>0</v>
      </c>
      <c r="J2171" s="304">
        <v>0</v>
      </c>
      <c r="K2171" s="305">
        <v>0</v>
      </c>
      <c r="L2171" s="304">
        <v>0</v>
      </c>
      <c r="M2171" s="304">
        <v>1647817.5</v>
      </c>
      <c r="N2171" s="304">
        <v>0</v>
      </c>
      <c r="O2171" s="304">
        <v>0</v>
      </c>
      <c r="P2171" s="304">
        <v>0</v>
      </c>
      <c r="Q2171" s="304">
        <v>0</v>
      </c>
      <c r="R2171" s="304">
        <v>0</v>
      </c>
      <c r="S2171" s="304">
        <v>0</v>
      </c>
      <c r="T2171" s="304">
        <v>0</v>
      </c>
      <c r="U2171" s="304">
        <v>0</v>
      </c>
      <c r="V2171" s="304">
        <v>0</v>
      </c>
      <c r="W2171" s="304">
        <v>0</v>
      </c>
      <c r="X2171" s="304">
        <v>0</v>
      </c>
      <c r="Y2171" s="304">
        <v>0</v>
      </c>
      <c r="Z2171" s="304">
        <v>0</v>
      </c>
      <c r="AA2171" s="304">
        <v>0</v>
      </c>
      <c r="AB2171" s="303">
        <v>2022</v>
      </c>
    </row>
    <row r="2172" spans="1:28" ht="35.25" customHeight="1" x14ac:dyDescent="0.5">
      <c r="A2172">
        <v>1</v>
      </c>
      <c r="B2172" s="80">
        <f>SUBTOTAL(103,$A$1697:A2172)</f>
        <v>472</v>
      </c>
      <c r="C2172" s="300" t="s">
        <v>1687</v>
      </c>
      <c r="D2172" s="296">
        <f t="shared" si="104"/>
        <v>712449.13</v>
      </c>
      <c r="E2172" s="304">
        <v>0</v>
      </c>
      <c r="F2172" s="304">
        <v>0</v>
      </c>
      <c r="G2172" s="304">
        <v>0</v>
      </c>
      <c r="H2172" s="304">
        <v>0</v>
      </c>
      <c r="I2172" s="304">
        <v>0</v>
      </c>
      <c r="J2172" s="304">
        <v>0</v>
      </c>
      <c r="K2172" s="305">
        <v>0</v>
      </c>
      <c r="L2172" s="304">
        <v>0</v>
      </c>
      <c r="M2172" s="304">
        <v>500043.82</v>
      </c>
      <c r="N2172" s="304">
        <v>0</v>
      </c>
      <c r="O2172" s="304">
        <v>212405.31</v>
      </c>
      <c r="P2172" s="304">
        <v>0</v>
      </c>
      <c r="Q2172" s="304">
        <v>0</v>
      </c>
      <c r="R2172" s="304">
        <v>0</v>
      </c>
      <c r="S2172" s="304">
        <v>0</v>
      </c>
      <c r="T2172" s="304">
        <v>0</v>
      </c>
      <c r="U2172" s="304">
        <v>0</v>
      </c>
      <c r="V2172" s="304">
        <v>0</v>
      </c>
      <c r="W2172" s="304">
        <v>0</v>
      </c>
      <c r="X2172" s="304">
        <v>0</v>
      </c>
      <c r="Y2172" s="304">
        <v>0</v>
      </c>
      <c r="Z2172" s="304">
        <v>0</v>
      </c>
      <c r="AA2172" s="304">
        <v>0</v>
      </c>
      <c r="AB2172" s="303">
        <v>2022</v>
      </c>
    </row>
    <row r="2173" spans="1:28" ht="35.25" customHeight="1" x14ac:dyDescent="0.5">
      <c r="A2173">
        <v>1</v>
      </c>
      <c r="B2173" s="80">
        <f>SUBTOTAL(103,$A$1697:A2173)</f>
        <v>473</v>
      </c>
      <c r="C2173" s="300" t="s">
        <v>3596</v>
      </c>
      <c r="D2173" s="296">
        <f t="shared" si="104"/>
        <v>212878.03</v>
      </c>
      <c r="E2173" s="304">
        <v>0</v>
      </c>
      <c r="F2173" s="304">
        <v>0</v>
      </c>
      <c r="G2173" s="304">
        <v>0</v>
      </c>
      <c r="H2173" s="304">
        <v>0</v>
      </c>
      <c r="I2173" s="304">
        <v>0</v>
      </c>
      <c r="J2173" s="304">
        <v>0</v>
      </c>
      <c r="K2173" s="305">
        <v>0</v>
      </c>
      <c r="L2173" s="304">
        <v>0</v>
      </c>
      <c r="M2173" s="304">
        <v>0</v>
      </c>
      <c r="N2173" s="304">
        <v>0</v>
      </c>
      <c r="O2173" s="304">
        <v>212878.03</v>
      </c>
      <c r="P2173" s="304">
        <v>0</v>
      </c>
      <c r="Q2173" s="304">
        <v>0</v>
      </c>
      <c r="R2173" s="304">
        <v>0</v>
      </c>
      <c r="S2173" s="304">
        <v>0</v>
      </c>
      <c r="T2173" s="304">
        <v>0</v>
      </c>
      <c r="U2173" s="304">
        <v>0</v>
      </c>
      <c r="V2173" s="304">
        <v>0</v>
      </c>
      <c r="W2173" s="304">
        <v>0</v>
      </c>
      <c r="X2173" s="304">
        <v>0</v>
      </c>
      <c r="Y2173" s="304">
        <v>0</v>
      </c>
      <c r="Z2173" s="304">
        <v>0</v>
      </c>
      <c r="AA2173" s="304">
        <v>0</v>
      </c>
      <c r="AB2173" s="303">
        <v>2022</v>
      </c>
    </row>
    <row r="2174" spans="1:28" ht="35.25" customHeight="1" x14ac:dyDescent="0.5">
      <c r="A2174">
        <v>1</v>
      </c>
      <c r="B2174" s="80">
        <f>SUBTOTAL(103,$A$1697:A2174)</f>
        <v>474</v>
      </c>
      <c r="C2174" s="300" t="s">
        <v>3132</v>
      </c>
      <c r="D2174" s="296">
        <f t="shared" si="104"/>
        <v>662104.65</v>
      </c>
      <c r="E2174" s="304">
        <v>0</v>
      </c>
      <c r="F2174" s="304">
        <v>0</v>
      </c>
      <c r="G2174" s="304">
        <v>642737.67000000004</v>
      </c>
      <c r="H2174" s="304">
        <v>0</v>
      </c>
      <c r="I2174" s="304">
        <v>0</v>
      </c>
      <c r="J2174" s="304">
        <v>0</v>
      </c>
      <c r="K2174" s="305">
        <v>0</v>
      </c>
      <c r="L2174" s="304">
        <v>0</v>
      </c>
      <c r="M2174" s="304">
        <v>0</v>
      </c>
      <c r="N2174" s="304">
        <v>19366.98</v>
      </c>
      <c r="O2174" s="304">
        <v>0</v>
      </c>
      <c r="P2174" s="304">
        <v>0</v>
      </c>
      <c r="Q2174" s="304">
        <v>0</v>
      </c>
      <c r="R2174" s="304">
        <v>0</v>
      </c>
      <c r="S2174" s="304">
        <v>0</v>
      </c>
      <c r="T2174" s="304">
        <v>0</v>
      </c>
      <c r="U2174" s="304">
        <v>0</v>
      </c>
      <c r="V2174" s="304">
        <v>0</v>
      </c>
      <c r="W2174" s="304">
        <v>0</v>
      </c>
      <c r="X2174" s="304">
        <v>0</v>
      </c>
      <c r="Y2174" s="304">
        <v>0</v>
      </c>
      <c r="Z2174" s="304">
        <v>0</v>
      </c>
      <c r="AA2174" s="304">
        <v>0</v>
      </c>
      <c r="AB2174" s="303">
        <v>2022</v>
      </c>
    </row>
    <row r="2175" spans="1:28" ht="35.25" x14ac:dyDescent="0.5">
      <c r="B2175" s="300" t="s">
        <v>710</v>
      </c>
      <c r="C2175" s="300"/>
      <c r="D2175" s="296">
        <f t="shared" si="104"/>
        <v>158522172.50000003</v>
      </c>
      <c r="E2175" s="296">
        <f t="shared" ref="E2175:AA2175" si="106">SUM(E2176:E2323)</f>
        <v>748939</v>
      </c>
      <c r="F2175" s="296">
        <f t="shared" si="106"/>
        <v>914809</v>
      </c>
      <c r="G2175" s="296">
        <f t="shared" si="106"/>
        <v>9937250.8300000001</v>
      </c>
      <c r="H2175" s="296">
        <f t="shared" si="106"/>
        <v>1717462.8199999998</v>
      </c>
      <c r="I2175" s="296">
        <f t="shared" si="106"/>
        <v>2377084.7999999998</v>
      </c>
      <c r="J2175" s="296">
        <f t="shared" si="106"/>
        <v>0</v>
      </c>
      <c r="K2175" s="297">
        <f t="shared" si="106"/>
        <v>13</v>
      </c>
      <c r="L2175" s="296">
        <f t="shared" si="106"/>
        <v>27169209</v>
      </c>
      <c r="M2175" s="296">
        <f t="shared" si="106"/>
        <v>57996433.630000003</v>
      </c>
      <c r="N2175" s="296">
        <f t="shared" si="106"/>
        <v>0</v>
      </c>
      <c r="O2175" s="296">
        <f t="shared" si="106"/>
        <v>55762408.550000004</v>
      </c>
      <c r="P2175" s="296">
        <f t="shared" si="106"/>
        <v>863124</v>
      </c>
      <c r="Q2175" s="296">
        <f t="shared" si="106"/>
        <v>0</v>
      </c>
      <c r="R2175" s="296">
        <f t="shared" si="106"/>
        <v>0</v>
      </c>
      <c r="S2175" s="296">
        <f t="shared" si="106"/>
        <v>0</v>
      </c>
      <c r="T2175" s="296">
        <f t="shared" si="106"/>
        <v>0</v>
      </c>
      <c r="U2175" s="296">
        <f t="shared" si="106"/>
        <v>0</v>
      </c>
      <c r="V2175" s="296">
        <f t="shared" si="106"/>
        <v>0</v>
      </c>
      <c r="W2175" s="296">
        <f t="shared" si="106"/>
        <v>1035450.87</v>
      </c>
      <c r="X2175" s="296">
        <f t="shared" si="106"/>
        <v>0</v>
      </c>
      <c r="Y2175" s="296">
        <f t="shared" si="106"/>
        <v>0</v>
      </c>
      <c r="Z2175" s="296">
        <f t="shared" si="106"/>
        <v>0</v>
      </c>
      <c r="AA2175" s="296">
        <f t="shared" si="106"/>
        <v>0</v>
      </c>
      <c r="AB2175" s="298" t="s">
        <v>835</v>
      </c>
    </row>
    <row r="2176" spans="1:28" ht="35.25" x14ac:dyDescent="0.5">
      <c r="A2176">
        <v>1</v>
      </c>
      <c r="B2176" s="80">
        <f>SUBTOTAL(103,$A$1697:A2176)</f>
        <v>475</v>
      </c>
      <c r="C2176" s="300" t="s">
        <v>1704</v>
      </c>
      <c r="D2176" s="296">
        <f t="shared" si="104"/>
        <v>4360000</v>
      </c>
      <c r="E2176" s="301">
        <v>0</v>
      </c>
      <c r="F2176" s="301">
        <v>0</v>
      </c>
      <c r="G2176" s="301">
        <v>0</v>
      </c>
      <c r="H2176" s="301">
        <v>0</v>
      </c>
      <c r="I2176" s="301">
        <v>0</v>
      </c>
      <c r="J2176" s="301">
        <v>0</v>
      </c>
      <c r="K2176" s="302">
        <v>2</v>
      </c>
      <c r="L2176" s="301">
        <v>4360000</v>
      </c>
      <c r="M2176" s="301">
        <v>0</v>
      </c>
      <c r="N2176" s="301">
        <v>0</v>
      </c>
      <c r="O2176" s="301">
        <v>0</v>
      </c>
      <c r="P2176" s="301">
        <v>0</v>
      </c>
      <c r="Q2176" s="301">
        <v>0</v>
      </c>
      <c r="R2176" s="301">
        <v>0</v>
      </c>
      <c r="S2176" s="301">
        <v>0</v>
      </c>
      <c r="T2176" s="301">
        <v>0</v>
      </c>
      <c r="U2176" s="301">
        <v>0</v>
      </c>
      <c r="V2176" s="301">
        <v>0</v>
      </c>
      <c r="W2176" s="301">
        <v>0</v>
      </c>
      <c r="X2176" s="301">
        <v>0</v>
      </c>
      <c r="Y2176" s="301">
        <v>0</v>
      </c>
      <c r="Z2176" s="301">
        <v>0</v>
      </c>
      <c r="AA2176" s="301">
        <v>0</v>
      </c>
      <c r="AB2176" s="303">
        <v>2022</v>
      </c>
    </row>
    <row r="2177" spans="1:28" ht="35.25" x14ac:dyDescent="0.5">
      <c r="A2177">
        <v>1</v>
      </c>
      <c r="B2177" s="80">
        <f>SUBTOTAL(103,$A$1697:A2177)</f>
        <v>476</v>
      </c>
      <c r="C2177" s="300" t="s">
        <v>3218</v>
      </c>
      <c r="D2177" s="296">
        <f t="shared" si="104"/>
        <v>488566.6</v>
      </c>
      <c r="E2177" s="301">
        <v>0</v>
      </c>
      <c r="F2177" s="301">
        <v>0</v>
      </c>
      <c r="G2177" s="301">
        <v>0</v>
      </c>
      <c r="H2177" s="301">
        <v>0</v>
      </c>
      <c r="I2177" s="301">
        <v>0</v>
      </c>
      <c r="J2177" s="301">
        <v>0</v>
      </c>
      <c r="K2177" s="302">
        <v>0</v>
      </c>
      <c r="L2177" s="301">
        <v>0</v>
      </c>
      <c r="M2177" s="301">
        <v>0</v>
      </c>
      <c r="N2177" s="301">
        <v>0</v>
      </c>
      <c r="O2177" s="301">
        <v>488566.6</v>
      </c>
      <c r="P2177" s="301">
        <v>0</v>
      </c>
      <c r="Q2177" s="301">
        <v>0</v>
      </c>
      <c r="R2177" s="301">
        <v>0</v>
      </c>
      <c r="S2177" s="301">
        <v>0</v>
      </c>
      <c r="T2177" s="301">
        <v>0</v>
      </c>
      <c r="U2177" s="301">
        <v>0</v>
      </c>
      <c r="V2177" s="301">
        <v>0</v>
      </c>
      <c r="W2177" s="301">
        <v>0</v>
      </c>
      <c r="X2177" s="301">
        <v>0</v>
      </c>
      <c r="Y2177" s="301">
        <v>0</v>
      </c>
      <c r="Z2177" s="301">
        <v>0</v>
      </c>
      <c r="AA2177" s="301">
        <v>0</v>
      </c>
      <c r="AB2177" s="303">
        <v>2022</v>
      </c>
    </row>
    <row r="2178" spans="1:28" ht="35.25" x14ac:dyDescent="0.5">
      <c r="A2178">
        <v>1</v>
      </c>
      <c r="B2178" s="80">
        <f>SUBTOTAL(103,$A$1697:A2178)</f>
        <v>477</v>
      </c>
      <c r="C2178" s="300" t="s">
        <v>3346</v>
      </c>
      <c r="D2178" s="296">
        <f t="shared" si="104"/>
        <v>1168000</v>
      </c>
      <c r="E2178" s="301">
        <v>0</v>
      </c>
      <c r="F2178" s="301">
        <v>0</v>
      </c>
      <c r="G2178" s="301">
        <v>0</v>
      </c>
      <c r="H2178" s="301">
        <v>0</v>
      </c>
      <c r="I2178" s="301">
        <v>0</v>
      </c>
      <c r="J2178" s="301">
        <v>0</v>
      </c>
      <c r="K2178" s="302">
        <v>0</v>
      </c>
      <c r="L2178" s="301">
        <v>0</v>
      </c>
      <c r="M2178" s="301">
        <f>350400+817600</f>
        <v>1168000</v>
      </c>
      <c r="N2178" s="301">
        <v>0</v>
      </c>
      <c r="O2178" s="301">
        <v>0</v>
      </c>
      <c r="P2178" s="301">
        <v>0</v>
      </c>
      <c r="Q2178" s="301">
        <v>0</v>
      </c>
      <c r="R2178" s="301">
        <v>0</v>
      </c>
      <c r="S2178" s="301">
        <v>0</v>
      </c>
      <c r="T2178" s="301">
        <v>0</v>
      </c>
      <c r="U2178" s="301">
        <v>0</v>
      </c>
      <c r="V2178" s="301">
        <v>0</v>
      </c>
      <c r="W2178" s="301">
        <v>0</v>
      </c>
      <c r="X2178" s="301">
        <v>0</v>
      </c>
      <c r="Y2178" s="301">
        <v>0</v>
      </c>
      <c r="Z2178" s="301">
        <v>0</v>
      </c>
      <c r="AA2178" s="301">
        <v>0</v>
      </c>
      <c r="AB2178" s="303">
        <v>2022</v>
      </c>
    </row>
    <row r="2179" spans="1:28" ht="35.25" x14ac:dyDescent="0.5">
      <c r="A2179">
        <v>1</v>
      </c>
      <c r="B2179" s="80">
        <f>SUBTOTAL(103,$A$1697:A2179)</f>
        <v>478</v>
      </c>
      <c r="C2179" s="300" t="s">
        <v>3388</v>
      </c>
      <c r="D2179" s="296">
        <f t="shared" si="104"/>
        <v>120847</v>
      </c>
      <c r="E2179" s="301">
        <v>0</v>
      </c>
      <c r="F2179" s="301">
        <v>0</v>
      </c>
      <c r="G2179" s="301">
        <v>0</v>
      </c>
      <c r="H2179" s="301">
        <v>0</v>
      </c>
      <c r="I2179" s="301">
        <v>0</v>
      </c>
      <c r="J2179" s="301">
        <v>0</v>
      </c>
      <c r="K2179" s="302">
        <v>0</v>
      </c>
      <c r="L2179" s="301">
        <v>0</v>
      </c>
      <c r="M2179" s="301">
        <v>0</v>
      </c>
      <c r="N2179" s="301">
        <v>0</v>
      </c>
      <c r="O2179" s="301">
        <v>120847</v>
      </c>
      <c r="P2179" s="301">
        <v>0</v>
      </c>
      <c r="Q2179" s="301">
        <v>0</v>
      </c>
      <c r="R2179" s="301">
        <v>0</v>
      </c>
      <c r="S2179" s="301">
        <v>0</v>
      </c>
      <c r="T2179" s="301">
        <v>0</v>
      </c>
      <c r="U2179" s="301">
        <v>0</v>
      </c>
      <c r="V2179" s="301">
        <v>0</v>
      </c>
      <c r="W2179" s="301">
        <v>0</v>
      </c>
      <c r="X2179" s="301">
        <v>0</v>
      </c>
      <c r="Y2179" s="301">
        <v>0</v>
      </c>
      <c r="Z2179" s="301">
        <v>0</v>
      </c>
      <c r="AA2179" s="301">
        <v>0</v>
      </c>
      <c r="AB2179" s="303">
        <v>2022</v>
      </c>
    </row>
    <row r="2180" spans="1:28" ht="35.25" x14ac:dyDescent="0.5">
      <c r="A2180">
        <v>1</v>
      </c>
      <c r="B2180" s="80">
        <f>SUBTOTAL(103,$A$1697:A2180)</f>
        <v>479</v>
      </c>
      <c r="C2180" s="300" t="s">
        <v>3118</v>
      </c>
      <c r="D2180" s="296">
        <f t="shared" si="104"/>
        <v>1040664.6</v>
      </c>
      <c r="E2180" s="301">
        <v>0</v>
      </c>
      <c r="F2180" s="301">
        <v>0</v>
      </c>
      <c r="G2180" s="301">
        <v>0</v>
      </c>
      <c r="H2180" s="301">
        <v>0</v>
      </c>
      <c r="I2180" s="301">
        <v>0</v>
      </c>
      <c r="J2180" s="301">
        <v>0</v>
      </c>
      <c r="K2180" s="302">
        <v>0</v>
      </c>
      <c r="L2180" s="301">
        <v>0</v>
      </c>
      <c r="M2180" s="301">
        <f>240153+800511.6</f>
        <v>1040664.6</v>
      </c>
      <c r="N2180" s="301">
        <v>0</v>
      </c>
      <c r="O2180" s="301">
        <v>0</v>
      </c>
      <c r="P2180" s="301">
        <v>0</v>
      </c>
      <c r="Q2180" s="301">
        <v>0</v>
      </c>
      <c r="R2180" s="301">
        <v>0</v>
      </c>
      <c r="S2180" s="301">
        <v>0</v>
      </c>
      <c r="T2180" s="301">
        <v>0</v>
      </c>
      <c r="U2180" s="301">
        <v>0</v>
      </c>
      <c r="V2180" s="301">
        <v>0</v>
      </c>
      <c r="W2180" s="301">
        <v>0</v>
      </c>
      <c r="X2180" s="301">
        <v>0</v>
      </c>
      <c r="Y2180" s="301">
        <v>0</v>
      </c>
      <c r="Z2180" s="301">
        <v>0</v>
      </c>
      <c r="AA2180" s="301">
        <v>0</v>
      </c>
      <c r="AB2180" s="303">
        <v>2022</v>
      </c>
    </row>
    <row r="2181" spans="1:28" ht="35.25" x14ac:dyDescent="0.5">
      <c r="A2181">
        <v>1</v>
      </c>
      <c r="B2181" s="80">
        <f>SUBTOTAL(103,$A$1697:A2181)</f>
        <v>480</v>
      </c>
      <c r="C2181" s="300" t="s">
        <v>1698</v>
      </c>
      <c r="D2181" s="296">
        <f t="shared" si="104"/>
        <v>733005</v>
      </c>
      <c r="E2181" s="301">
        <v>0</v>
      </c>
      <c r="F2181" s="301">
        <v>0</v>
      </c>
      <c r="G2181" s="301">
        <v>0</v>
      </c>
      <c r="H2181" s="301">
        <v>0</v>
      </c>
      <c r="I2181" s="301">
        <v>0</v>
      </c>
      <c r="J2181" s="301">
        <v>0</v>
      </c>
      <c r="K2181" s="302">
        <v>0</v>
      </c>
      <c r="L2181" s="301">
        <v>0</v>
      </c>
      <c r="M2181" s="301">
        <v>0</v>
      </c>
      <c r="N2181" s="301">
        <v>0</v>
      </c>
      <c r="O2181" s="301">
        <f>338310+394695</f>
        <v>733005</v>
      </c>
      <c r="P2181" s="301">
        <v>0</v>
      </c>
      <c r="Q2181" s="301">
        <v>0</v>
      </c>
      <c r="R2181" s="301">
        <v>0</v>
      </c>
      <c r="S2181" s="301">
        <v>0</v>
      </c>
      <c r="T2181" s="301">
        <v>0</v>
      </c>
      <c r="U2181" s="301">
        <v>0</v>
      </c>
      <c r="V2181" s="301">
        <v>0</v>
      </c>
      <c r="W2181" s="301">
        <v>0</v>
      </c>
      <c r="X2181" s="301">
        <v>0</v>
      </c>
      <c r="Y2181" s="301">
        <v>0</v>
      </c>
      <c r="Z2181" s="301">
        <v>0</v>
      </c>
      <c r="AA2181" s="301">
        <v>0</v>
      </c>
      <c r="AB2181" s="303">
        <v>2022</v>
      </c>
    </row>
    <row r="2182" spans="1:28" ht="35.25" x14ac:dyDescent="0.5">
      <c r="A2182">
        <v>1</v>
      </c>
      <c r="B2182" s="80">
        <f>SUBTOTAL(103,$A$1697:A2182)</f>
        <v>481</v>
      </c>
      <c r="C2182" s="300" t="s">
        <v>2830</v>
      </c>
      <c r="D2182" s="296">
        <f t="shared" si="104"/>
        <v>50000</v>
      </c>
      <c r="E2182" s="301">
        <v>0</v>
      </c>
      <c r="F2182" s="301">
        <v>0</v>
      </c>
      <c r="G2182" s="301">
        <v>0</v>
      </c>
      <c r="H2182" s="301">
        <v>0</v>
      </c>
      <c r="I2182" s="301">
        <v>0</v>
      </c>
      <c r="J2182" s="301">
        <v>0</v>
      </c>
      <c r="K2182" s="302">
        <v>0</v>
      </c>
      <c r="L2182" s="301">
        <v>0</v>
      </c>
      <c r="M2182" s="301">
        <v>50000</v>
      </c>
      <c r="N2182" s="301">
        <v>0</v>
      </c>
      <c r="O2182" s="301">
        <v>0</v>
      </c>
      <c r="P2182" s="301">
        <v>0</v>
      </c>
      <c r="Q2182" s="301">
        <v>0</v>
      </c>
      <c r="R2182" s="301">
        <v>0</v>
      </c>
      <c r="S2182" s="301">
        <v>0</v>
      </c>
      <c r="T2182" s="301">
        <v>0</v>
      </c>
      <c r="U2182" s="301">
        <v>0</v>
      </c>
      <c r="V2182" s="301">
        <v>0</v>
      </c>
      <c r="W2182" s="301">
        <v>0</v>
      </c>
      <c r="X2182" s="301">
        <v>0</v>
      </c>
      <c r="Y2182" s="301">
        <v>0</v>
      </c>
      <c r="Z2182" s="301">
        <v>0</v>
      </c>
      <c r="AA2182" s="301">
        <v>0</v>
      </c>
      <c r="AB2182" s="303">
        <v>2022</v>
      </c>
    </row>
    <row r="2183" spans="1:28" ht="35.25" x14ac:dyDescent="0.5">
      <c r="A2183">
        <v>1</v>
      </c>
      <c r="B2183" s="80">
        <f>SUBTOTAL(103,$A$1697:A2183)</f>
        <v>482</v>
      </c>
      <c r="C2183" s="300" t="s">
        <v>1706</v>
      </c>
      <c r="D2183" s="296">
        <f t="shared" si="104"/>
        <v>2020000</v>
      </c>
      <c r="E2183" s="301">
        <v>0</v>
      </c>
      <c r="F2183" s="301">
        <v>0</v>
      </c>
      <c r="G2183" s="301">
        <v>0</v>
      </c>
      <c r="H2183" s="301">
        <v>0</v>
      </c>
      <c r="I2183" s="301">
        <v>0</v>
      </c>
      <c r="J2183" s="301">
        <v>0</v>
      </c>
      <c r="K2183" s="302">
        <v>1</v>
      </c>
      <c r="L2183" s="301">
        <f>1000000+300000+720000</f>
        <v>2020000</v>
      </c>
      <c r="M2183" s="301">
        <v>0</v>
      </c>
      <c r="N2183" s="301">
        <v>0</v>
      </c>
      <c r="O2183" s="301">
        <v>0</v>
      </c>
      <c r="P2183" s="301">
        <v>0</v>
      </c>
      <c r="Q2183" s="301">
        <v>0</v>
      </c>
      <c r="R2183" s="301">
        <v>0</v>
      </c>
      <c r="S2183" s="301">
        <v>0</v>
      </c>
      <c r="T2183" s="301">
        <v>0</v>
      </c>
      <c r="U2183" s="301">
        <v>0</v>
      </c>
      <c r="V2183" s="301">
        <v>0</v>
      </c>
      <c r="W2183" s="301">
        <v>0</v>
      </c>
      <c r="X2183" s="301">
        <v>0</v>
      </c>
      <c r="Y2183" s="301">
        <v>0</v>
      </c>
      <c r="Z2183" s="301">
        <v>0</v>
      </c>
      <c r="AA2183" s="301">
        <v>0</v>
      </c>
      <c r="AB2183" s="303">
        <v>2022</v>
      </c>
    </row>
    <row r="2184" spans="1:28" ht="35.25" x14ac:dyDescent="0.5">
      <c r="A2184">
        <v>1</v>
      </c>
      <c r="B2184" s="80">
        <f>SUBTOTAL(103,$A$1697:A2184)</f>
        <v>483</v>
      </c>
      <c r="C2184" s="300" t="s">
        <v>3347</v>
      </c>
      <c r="D2184" s="296">
        <f t="shared" si="104"/>
        <v>635250</v>
      </c>
      <c r="E2184" s="301">
        <v>0</v>
      </c>
      <c r="F2184" s="301">
        <v>0</v>
      </c>
      <c r="G2184" s="301">
        <v>0</v>
      </c>
      <c r="H2184" s="301">
        <v>0</v>
      </c>
      <c r="I2184" s="301">
        <v>0</v>
      </c>
      <c r="J2184" s="301">
        <v>0</v>
      </c>
      <c r="K2184" s="302">
        <v>0</v>
      </c>
      <c r="L2184" s="301">
        <v>0</v>
      </c>
      <c r="M2184" s="301">
        <v>0</v>
      </c>
      <c r="N2184" s="301">
        <v>0</v>
      </c>
      <c r="O2184" s="301">
        <f>146000+343250+146000</f>
        <v>635250</v>
      </c>
      <c r="P2184" s="301">
        <v>0</v>
      </c>
      <c r="Q2184" s="301">
        <v>0</v>
      </c>
      <c r="R2184" s="301">
        <v>0</v>
      </c>
      <c r="S2184" s="301">
        <v>0</v>
      </c>
      <c r="T2184" s="301">
        <v>0</v>
      </c>
      <c r="U2184" s="301">
        <v>0</v>
      </c>
      <c r="V2184" s="301">
        <v>0</v>
      </c>
      <c r="W2184" s="301">
        <v>0</v>
      </c>
      <c r="X2184" s="301">
        <v>0</v>
      </c>
      <c r="Y2184" s="301">
        <v>0</v>
      </c>
      <c r="Z2184" s="301">
        <v>0</v>
      </c>
      <c r="AA2184" s="301">
        <v>0</v>
      </c>
      <c r="AB2184" s="303">
        <v>2022</v>
      </c>
    </row>
    <row r="2185" spans="1:28" ht="35.25" x14ac:dyDescent="0.5">
      <c r="A2185">
        <v>1</v>
      </c>
      <c r="B2185" s="80">
        <f>SUBTOTAL(103,$A$1697:A2185)</f>
        <v>484</v>
      </c>
      <c r="C2185" s="300" t="s">
        <v>2833</v>
      </c>
      <c r="D2185" s="296">
        <f t="shared" ref="D2185:D2248" si="107">E2185+F2185+G2185+H2185+I2185+J2185+L2185+M2185+N2185+O2185+P2185+Q2185+R2185+S2185+T2185+U2185+V2185+W2185+X2185+Y2185+Z2185+AA2185</f>
        <v>123888.79000000001</v>
      </c>
      <c r="E2185" s="301">
        <v>0</v>
      </c>
      <c r="F2185" s="301">
        <v>0</v>
      </c>
      <c r="G2185" s="301">
        <f>70000+53888.79</f>
        <v>123888.79000000001</v>
      </c>
      <c r="H2185" s="301">
        <v>0</v>
      </c>
      <c r="I2185" s="301">
        <v>0</v>
      </c>
      <c r="J2185" s="301">
        <v>0</v>
      </c>
      <c r="K2185" s="302">
        <v>0</v>
      </c>
      <c r="L2185" s="301">
        <v>0</v>
      </c>
      <c r="M2185" s="301">
        <v>0</v>
      </c>
      <c r="N2185" s="301">
        <v>0</v>
      </c>
      <c r="O2185" s="301">
        <v>0</v>
      </c>
      <c r="P2185" s="301">
        <v>0</v>
      </c>
      <c r="Q2185" s="301">
        <v>0</v>
      </c>
      <c r="R2185" s="301">
        <v>0</v>
      </c>
      <c r="S2185" s="301">
        <v>0</v>
      </c>
      <c r="T2185" s="301">
        <v>0</v>
      </c>
      <c r="U2185" s="301">
        <v>0</v>
      </c>
      <c r="V2185" s="301">
        <v>0</v>
      </c>
      <c r="W2185" s="301">
        <v>0</v>
      </c>
      <c r="X2185" s="301">
        <v>0</v>
      </c>
      <c r="Y2185" s="301">
        <v>0</v>
      </c>
      <c r="Z2185" s="301">
        <v>0</v>
      </c>
      <c r="AA2185" s="301">
        <v>0</v>
      </c>
      <c r="AB2185" s="303">
        <v>2022</v>
      </c>
    </row>
    <row r="2186" spans="1:28" ht="35.25" x14ac:dyDescent="0.5">
      <c r="A2186">
        <v>1</v>
      </c>
      <c r="B2186" s="80">
        <f>SUBTOTAL(103,$A$1697:A2186)</f>
        <v>485</v>
      </c>
      <c r="C2186" s="300" t="s">
        <v>2396</v>
      </c>
      <c r="D2186" s="296">
        <f t="shared" si="107"/>
        <v>629015</v>
      </c>
      <c r="E2186" s="301">
        <v>0</v>
      </c>
      <c r="F2186" s="301">
        <v>0</v>
      </c>
      <c r="G2186" s="301">
        <v>0</v>
      </c>
      <c r="H2186" s="301">
        <v>0</v>
      </c>
      <c r="I2186" s="301">
        <v>0</v>
      </c>
      <c r="J2186" s="301">
        <v>0</v>
      </c>
      <c r="K2186" s="302">
        <v>0</v>
      </c>
      <c r="L2186" s="301">
        <v>0</v>
      </c>
      <c r="M2186" s="301">
        <v>0</v>
      </c>
      <c r="N2186" s="301">
        <v>0</v>
      </c>
      <c r="O2186" s="301">
        <f>151983+139000+338032</f>
        <v>629015</v>
      </c>
      <c r="P2186" s="301">
        <v>0</v>
      </c>
      <c r="Q2186" s="301">
        <v>0</v>
      </c>
      <c r="R2186" s="301">
        <v>0</v>
      </c>
      <c r="S2186" s="301">
        <v>0</v>
      </c>
      <c r="T2186" s="301">
        <v>0</v>
      </c>
      <c r="U2186" s="301">
        <v>0</v>
      </c>
      <c r="V2186" s="301">
        <v>0</v>
      </c>
      <c r="W2186" s="301">
        <v>0</v>
      </c>
      <c r="X2186" s="301">
        <v>0</v>
      </c>
      <c r="Y2186" s="301">
        <v>0</v>
      </c>
      <c r="Z2186" s="301">
        <v>0</v>
      </c>
      <c r="AA2186" s="301">
        <v>0</v>
      </c>
      <c r="AB2186" s="303">
        <v>2022</v>
      </c>
    </row>
    <row r="2187" spans="1:28" ht="35.25" x14ac:dyDescent="0.5">
      <c r="A2187">
        <v>1</v>
      </c>
      <c r="B2187" s="80">
        <f>SUBTOTAL(103,$A$1697:A2187)</f>
        <v>486</v>
      </c>
      <c r="C2187" s="300" t="s">
        <v>2007</v>
      </c>
      <c r="D2187" s="296">
        <f t="shared" si="107"/>
        <v>336000</v>
      </c>
      <c r="E2187" s="301">
        <v>0</v>
      </c>
      <c r="F2187" s="301">
        <v>0</v>
      </c>
      <c r="G2187" s="301">
        <v>0</v>
      </c>
      <c r="H2187" s="301">
        <v>0</v>
      </c>
      <c r="I2187" s="301">
        <v>0</v>
      </c>
      <c r="J2187" s="301">
        <v>0</v>
      </c>
      <c r="K2187" s="302">
        <v>0</v>
      </c>
      <c r="L2187" s="301">
        <v>0</v>
      </c>
      <c r="M2187" s="301">
        <v>0</v>
      </c>
      <c r="N2187" s="301">
        <v>0</v>
      </c>
      <c r="O2187" s="301">
        <f>148000+20000+168000</f>
        <v>336000</v>
      </c>
      <c r="P2187" s="301">
        <v>0</v>
      </c>
      <c r="Q2187" s="301">
        <v>0</v>
      </c>
      <c r="R2187" s="301">
        <v>0</v>
      </c>
      <c r="S2187" s="301">
        <v>0</v>
      </c>
      <c r="T2187" s="301">
        <v>0</v>
      </c>
      <c r="U2187" s="301">
        <v>0</v>
      </c>
      <c r="V2187" s="301">
        <v>0</v>
      </c>
      <c r="W2187" s="301">
        <v>0</v>
      </c>
      <c r="X2187" s="301">
        <v>0</v>
      </c>
      <c r="Y2187" s="301">
        <v>0</v>
      </c>
      <c r="Z2187" s="301">
        <v>0</v>
      </c>
      <c r="AA2187" s="301">
        <v>0</v>
      </c>
      <c r="AB2187" s="303">
        <v>2022</v>
      </c>
    </row>
    <row r="2188" spans="1:28" ht="35.25" x14ac:dyDescent="0.5">
      <c r="A2188">
        <v>1</v>
      </c>
      <c r="B2188" s="80">
        <f>SUBTOTAL(103,$A$1697:A2188)</f>
        <v>487</v>
      </c>
      <c r="C2188" s="300" t="s">
        <v>1708</v>
      </c>
      <c r="D2188" s="296">
        <f t="shared" si="107"/>
        <v>66884.19</v>
      </c>
      <c r="E2188" s="301">
        <v>0</v>
      </c>
      <c r="F2188" s="301">
        <v>0</v>
      </c>
      <c r="G2188" s="301">
        <v>66884.19</v>
      </c>
      <c r="H2188" s="301">
        <v>0</v>
      </c>
      <c r="I2188" s="301">
        <v>0</v>
      </c>
      <c r="J2188" s="301">
        <v>0</v>
      </c>
      <c r="K2188" s="302">
        <v>0</v>
      </c>
      <c r="L2188" s="301">
        <v>0</v>
      </c>
      <c r="M2188" s="301">
        <v>0</v>
      </c>
      <c r="N2188" s="301">
        <v>0</v>
      </c>
      <c r="O2188" s="301">
        <v>0</v>
      </c>
      <c r="P2188" s="301">
        <v>0</v>
      </c>
      <c r="Q2188" s="301">
        <v>0</v>
      </c>
      <c r="R2188" s="301">
        <v>0</v>
      </c>
      <c r="S2188" s="301">
        <v>0</v>
      </c>
      <c r="T2188" s="301">
        <v>0</v>
      </c>
      <c r="U2188" s="301">
        <v>0</v>
      </c>
      <c r="V2188" s="301">
        <v>0</v>
      </c>
      <c r="W2188" s="301">
        <v>0</v>
      </c>
      <c r="X2188" s="301">
        <v>0</v>
      </c>
      <c r="Y2188" s="301">
        <v>0</v>
      </c>
      <c r="Z2188" s="301">
        <v>0</v>
      </c>
      <c r="AA2188" s="301">
        <v>0</v>
      </c>
      <c r="AB2188" s="303">
        <v>2022</v>
      </c>
    </row>
    <row r="2189" spans="1:28" ht="35.25" x14ac:dyDescent="0.5">
      <c r="A2189">
        <v>1</v>
      </c>
      <c r="B2189" s="80">
        <f>SUBTOTAL(103,$A$1697:A2189)</f>
        <v>488</v>
      </c>
      <c r="C2189" s="300" t="s">
        <v>2017</v>
      </c>
      <c r="D2189" s="296">
        <f t="shared" si="107"/>
        <v>754612.59000000008</v>
      </c>
      <c r="E2189" s="301">
        <v>0</v>
      </c>
      <c r="F2189" s="301">
        <v>0</v>
      </c>
      <c r="G2189" s="301">
        <v>444847</v>
      </c>
      <c r="H2189" s="301">
        <v>0</v>
      </c>
      <c r="I2189" s="301">
        <v>0</v>
      </c>
      <c r="J2189" s="301">
        <v>0</v>
      </c>
      <c r="K2189" s="302">
        <v>0</v>
      </c>
      <c r="L2189" s="301">
        <v>0</v>
      </c>
      <c r="M2189" s="301">
        <v>309765.59000000003</v>
      </c>
      <c r="N2189" s="301">
        <v>0</v>
      </c>
      <c r="O2189" s="301">
        <v>0</v>
      </c>
      <c r="P2189" s="301">
        <v>0</v>
      </c>
      <c r="Q2189" s="301">
        <v>0</v>
      </c>
      <c r="R2189" s="301">
        <v>0</v>
      </c>
      <c r="S2189" s="301">
        <v>0</v>
      </c>
      <c r="T2189" s="301">
        <v>0</v>
      </c>
      <c r="U2189" s="301">
        <v>0</v>
      </c>
      <c r="V2189" s="301">
        <v>0</v>
      </c>
      <c r="W2189" s="301">
        <v>0</v>
      </c>
      <c r="X2189" s="301">
        <v>0</v>
      </c>
      <c r="Y2189" s="301">
        <v>0</v>
      </c>
      <c r="Z2189" s="301">
        <v>0</v>
      </c>
      <c r="AA2189" s="301">
        <v>0</v>
      </c>
      <c r="AB2189" s="303">
        <v>2022</v>
      </c>
    </row>
    <row r="2190" spans="1:28" ht="35.25" x14ac:dyDescent="0.5">
      <c r="A2190">
        <v>1</v>
      </c>
      <c r="B2190" s="80">
        <f>SUBTOTAL(103,$A$1697:A2190)</f>
        <v>489</v>
      </c>
      <c r="C2190" s="300" t="s">
        <v>2382</v>
      </c>
      <c r="D2190" s="296">
        <f t="shared" si="107"/>
        <v>669000</v>
      </c>
      <c r="E2190" s="301">
        <v>389000</v>
      </c>
      <c r="F2190" s="301">
        <v>0</v>
      </c>
      <c r="G2190" s="301">
        <v>0</v>
      </c>
      <c r="H2190" s="301">
        <v>0</v>
      </c>
      <c r="I2190" s="301">
        <v>0</v>
      </c>
      <c r="J2190" s="301">
        <v>0</v>
      </c>
      <c r="K2190" s="302">
        <v>0</v>
      </c>
      <c r="L2190" s="301">
        <v>0</v>
      </c>
      <c r="M2190" s="301">
        <f>180000+100000</f>
        <v>280000</v>
      </c>
      <c r="N2190" s="301">
        <v>0</v>
      </c>
      <c r="O2190" s="301">
        <v>0</v>
      </c>
      <c r="P2190" s="301">
        <v>0</v>
      </c>
      <c r="Q2190" s="301">
        <v>0</v>
      </c>
      <c r="R2190" s="301">
        <v>0</v>
      </c>
      <c r="S2190" s="301">
        <v>0</v>
      </c>
      <c r="T2190" s="301">
        <v>0</v>
      </c>
      <c r="U2190" s="301">
        <v>0</v>
      </c>
      <c r="V2190" s="301">
        <v>0</v>
      </c>
      <c r="W2190" s="301">
        <v>0</v>
      </c>
      <c r="X2190" s="301">
        <v>0</v>
      </c>
      <c r="Y2190" s="301">
        <v>0</v>
      </c>
      <c r="Z2190" s="301">
        <v>0</v>
      </c>
      <c r="AA2190" s="301">
        <v>0</v>
      </c>
      <c r="AB2190" s="303">
        <v>2022</v>
      </c>
    </row>
    <row r="2191" spans="1:28" ht="35.25" x14ac:dyDescent="0.5">
      <c r="A2191">
        <v>1</v>
      </c>
      <c r="B2191" s="80">
        <f>SUBTOTAL(103,$A$1697:A2191)</f>
        <v>490</v>
      </c>
      <c r="C2191" s="300" t="s">
        <v>1958</v>
      </c>
      <c r="D2191" s="296">
        <f t="shared" si="107"/>
        <v>10467450.869999999</v>
      </c>
      <c r="E2191" s="301">
        <v>0</v>
      </c>
      <c r="F2191" s="301">
        <v>0</v>
      </c>
      <c r="G2191" s="301">
        <v>0</v>
      </c>
      <c r="H2191" s="301">
        <v>0</v>
      </c>
      <c r="I2191" s="301">
        <v>0</v>
      </c>
      <c r="J2191" s="301">
        <v>0</v>
      </c>
      <c r="K2191" s="302">
        <v>0</v>
      </c>
      <c r="L2191" s="301">
        <v>0</v>
      </c>
      <c r="M2191" s="301">
        <v>0</v>
      </c>
      <c r="N2191" s="301">
        <v>0</v>
      </c>
      <c r="O2191" s="301">
        <v>9432000</v>
      </c>
      <c r="P2191" s="301">
        <v>0</v>
      </c>
      <c r="Q2191" s="301">
        <v>0</v>
      </c>
      <c r="R2191" s="301">
        <v>0</v>
      </c>
      <c r="S2191" s="301">
        <v>0</v>
      </c>
      <c r="T2191" s="301">
        <v>0</v>
      </c>
      <c r="U2191" s="301">
        <v>0</v>
      </c>
      <c r="V2191" s="301">
        <v>0</v>
      </c>
      <c r="W2191" s="301">
        <v>1035450.87</v>
      </c>
      <c r="X2191" s="301">
        <v>0</v>
      </c>
      <c r="Y2191" s="301">
        <v>0</v>
      </c>
      <c r="Z2191" s="301">
        <v>0</v>
      </c>
      <c r="AA2191" s="301">
        <v>0</v>
      </c>
      <c r="AB2191" s="303">
        <v>2022</v>
      </c>
    </row>
    <row r="2192" spans="1:28" ht="35.25" x14ac:dyDescent="0.5">
      <c r="A2192">
        <v>1</v>
      </c>
      <c r="B2192" s="80">
        <f>SUBTOTAL(103,$A$1697:A2192)</f>
        <v>491</v>
      </c>
      <c r="C2192" s="308" t="s">
        <v>3234</v>
      </c>
      <c r="D2192" s="296">
        <f t="shared" si="107"/>
        <v>2120000</v>
      </c>
      <c r="E2192" s="301">
        <v>0</v>
      </c>
      <c r="F2192" s="301">
        <v>0</v>
      </c>
      <c r="G2192" s="301">
        <v>0</v>
      </c>
      <c r="H2192" s="301">
        <v>0</v>
      </c>
      <c r="I2192" s="301">
        <v>0</v>
      </c>
      <c r="J2192" s="301">
        <v>0</v>
      </c>
      <c r="K2192" s="302">
        <v>1</v>
      </c>
      <c r="L2192" s="301">
        <v>2120000</v>
      </c>
      <c r="M2192" s="301">
        <v>0</v>
      </c>
      <c r="N2192" s="301">
        <v>0</v>
      </c>
      <c r="O2192" s="301">
        <v>0</v>
      </c>
      <c r="P2192" s="301">
        <v>0</v>
      </c>
      <c r="Q2192" s="301">
        <v>0</v>
      </c>
      <c r="R2192" s="301">
        <v>0</v>
      </c>
      <c r="S2192" s="301">
        <v>0</v>
      </c>
      <c r="T2192" s="301">
        <v>0</v>
      </c>
      <c r="U2192" s="301">
        <v>0</v>
      </c>
      <c r="V2192" s="301">
        <v>0</v>
      </c>
      <c r="W2192" s="301">
        <v>0</v>
      </c>
      <c r="X2192" s="301">
        <v>0</v>
      </c>
      <c r="Y2192" s="301">
        <v>0</v>
      </c>
      <c r="Z2192" s="301">
        <v>0</v>
      </c>
      <c r="AA2192" s="301">
        <v>0</v>
      </c>
      <c r="AB2192" s="303">
        <v>2022</v>
      </c>
    </row>
    <row r="2193" spans="1:28" ht="35.25" x14ac:dyDescent="0.5">
      <c r="A2193">
        <v>1</v>
      </c>
      <c r="B2193" s="80">
        <f>SUBTOTAL(103,$A$1697:A2193)</f>
        <v>492</v>
      </c>
      <c r="C2193" s="308" t="s">
        <v>1692</v>
      </c>
      <c r="D2193" s="296">
        <f t="shared" si="107"/>
        <v>580886.24</v>
      </c>
      <c r="E2193" s="301">
        <v>0</v>
      </c>
      <c r="F2193" s="301">
        <v>0</v>
      </c>
      <c r="G2193" s="301">
        <v>0</v>
      </c>
      <c r="H2193" s="301">
        <v>0</v>
      </c>
      <c r="I2193" s="301">
        <v>0</v>
      </c>
      <c r="J2193" s="301">
        <v>0</v>
      </c>
      <c r="K2193" s="302">
        <v>0</v>
      </c>
      <c r="L2193" s="301">
        <v>0</v>
      </c>
      <c r="M2193" s="301">
        <v>0</v>
      </c>
      <c r="N2193" s="301">
        <v>0</v>
      </c>
      <c r="O2193" s="301">
        <f>267000+313886.24</f>
        <v>580886.24</v>
      </c>
      <c r="P2193" s="301">
        <v>0</v>
      </c>
      <c r="Q2193" s="301">
        <v>0</v>
      </c>
      <c r="R2193" s="301">
        <v>0</v>
      </c>
      <c r="S2193" s="301">
        <v>0</v>
      </c>
      <c r="T2193" s="301">
        <v>0</v>
      </c>
      <c r="U2193" s="301">
        <v>0</v>
      </c>
      <c r="V2193" s="301">
        <v>0</v>
      </c>
      <c r="W2193" s="301">
        <v>0</v>
      </c>
      <c r="X2193" s="301">
        <v>0</v>
      </c>
      <c r="Y2193" s="301">
        <v>0</v>
      </c>
      <c r="Z2193" s="301">
        <v>0</v>
      </c>
      <c r="AA2193" s="301">
        <v>0</v>
      </c>
      <c r="AB2193" s="303" t="s">
        <v>3313</v>
      </c>
    </row>
    <row r="2194" spans="1:28" ht="35.25" x14ac:dyDescent="0.5">
      <c r="A2194">
        <v>1</v>
      </c>
      <c r="B2194" s="80">
        <f>SUBTOTAL(103,$A$1697:A2194)</f>
        <v>493</v>
      </c>
      <c r="C2194" s="308" t="s">
        <v>3348</v>
      </c>
      <c r="D2194" s="296">
        <f t="shared" si="107"/>
        <v>291693</v>
      </c>
      <c r="E2194" s="301">
        <v>0</v>
      </c>
      <c r="F2194" s="301">
        <v>0</v>
      </c>
      <c r="G2194" s="301">
        <v>235000</v>
      </c>
      <c r="H2194" s="301">
        <v>0</v>
      </c>
      <c r="I2194" s="301">
        <v>56693</v>
      </c>
      <c r="J2194" s="301">
        <v>0</v>
      </c>
      <c r="K2194" s="302">
        <v>0</v>
      </c>
      <c r="L2194" s="301">
        <v>0</v>
      </c>
      <c r="M2194" s="301">
        <v>0</v>
      </c>
      <c r="N2194" s="301">
        <v>0</v>
      </c>
      <c r="O2194" s="301">
        <v>0</v>
      </c>
      <c r="P2194" s="301">
        <v>0</v>
      </c>
      <c r="Q2194" s="301">
        <v>0</v>
      </c>
      <c r="R2194" s="301">
        <v>0</v>
      </c>
      <c r="S2194" s="301">
        <v>0</v>
      </c>
      <c r="T2194" s="301">
        <v>0</v>
      </c>
      <c r="U2194" s="301">
        <v>0</v>
      </c>
      <c r="V2194" s="301">
        <v>0</v>
      </c>
      <c r="W2194" s="301">
        <v>0</v>
      </c>
      <c r="X2194" s="301">
        <v>0</v>
      </c>
      <c r="Y2194" s="301">
        <v>0</v>
      </c>
      <c r="Z2194" s="301">
        <v>0</v>
      </c>
      <c r="AA2194" s="301">
        <v>0</v>
      </c>
      <c r="AB2194" s="303" t="s">
        <v>3313</v>
      </c>
    </row>
    <row r="2195" spans="1:28" ht="35.25" x14ac:dyDescent="0.5">
      <c r="A2195">
        <v>1</v>
      </c>
      <c r="B2195" s="80">
        <f>SUBTOTAL(103,$A$1697:A2195)</f>
        <v>494</v>
      </c>
      <c r="C2195" s="308" t="s">
        <v>3349</v>
      </c>
      <c r="D2195" s="296">
        <f t="shared" si="107"/>
        <v>563500</v>
      </c>
      <c r="E2195" s="301">
        <v>0</v>
      </c>
      <c r="F2195" s="301">
        <v>0</v>
      </c>
      <c r="G2195" s="301">
        <v>0</v>
      </c>
      <c r="H2195" s="301">
        <v>0</v>
      </c>
      <c r="I2195" s="301">
        <v>0</v>
      </c>
      <c r="J2195" s="301">
        <v>0</v>
      </c>
      <c r="K2195" s="302">
        <v>0</v>
      </c>
      <c r="L2195" s="301">
        <v>0</v>
      </c>
      <c r="M2195" s="301">
        <v>0</v>
      </c>
      <c r="N2195" s="301">
        <v>0</v>
      </c>
      <c r="O2195" s="301">
        <f>168000+395500</f>
        <v>563500</v>
      </c>
      <c r="P2195" s="301">
        <v>0</v>
      </c>
      <c r="Q2195" s="301">
        <v>0</v>
      </c>
      <c r="R2195" s="301">
        <v>0</v>
      </c>
      <c r="S2195" s="301">
        <v>0</v>
      </c>
      <c r="T2195" s="301">
        <v>0</v>
      </c>
      <c r="U2195" s="301">
        <v>0</v>
      </c>
      <c r="V2195" s="301">
        <v>0</v>
      </c>
      <c r="W2195" s="301">
        <v>0</v>
      </c>
      <c r="X2195" s="301">
        <v>0</v>
      </c>
      <c r="Y2195" s="301">
        <v>0</v>
      </c>
      <c r="Z2195" s="301">
        <v>0</v>
      </c>
      <c r="AA2195" s="301">
        <v>0</v>
      </c>
      <c r="AB2195" s="303" t="s">
        <v>3313</v>
      </c>
    </row>
    <row r="2196" spans="1:28" ht="35.25" x14ac:dyDescent="0.5">
      <c r="A2196">
        <v>1</v>
      </c>
      <c r="B2196" s="80">
        <f>SUBTOTAL(103,$A$1697:A2196)</f>
        <v>495</v>
      </c>
      <c r="C2196" s="308" t="s">
        <v>1962</v>
      </c>
      <c r="D2196" s="296">
        <f t="shared" si="107"/>
        <v>509492</v>
      </c>
      <c r="E2196" s="301">
        <v>0</v>
      </c>
      <c r="F2196" s="301">
        <v>0</v>
      </c>
      <c r="G2196" s="301">
        <v>0</v>
      </c>
      <c r="H2196" s="301">
        <v>0</v>
      </c>
      <c r="I2196" s="301">
        <v>0</v>
      </c>
      <c r="J2196" s="301">
        <v>0</v>
      </c>
      <c r="K2196" s="302">
        <v>0</v>
      </c>
      <c r="L2196" s="301">
        <v>0</v>
      </c>
      <c r="M2196" s="301">
        <v>509492</v>
      </c>
      <c r="N2196" s="301">
        <v>0</v>
      </c>
      <c r="O2196" s="301">
        <v>0</v>
      </c>
      <c r="P2196" s="301">
        <v>0</v>
      </c>
      <c r="Q2196" s="301">
        <v>0</v>
      </c>
      <c r="R2196" s="301">
        <v>0</v>
      </c>
      <c r="S2196" s="301">
        <v>0</v>
      </c>
      <c r="T2196" s="301">
        <v>0</v>
      </c>
      <c r="U2196" s="301">
        <v>0</v>
      </c>
      <c r="V2196" s="301">
        <v>0</v>
      </c>
      <c r="W2196" s="301">
        <v>0</v>
      </c>
      <c r="X2196" s="301">
        <v>0</v>
      </c>
      <c r="Y2196" s="301">
        <v>0</v>
      </c>
      <c r="Z2196" s="301">
        <v>0</v>
      </c>
      <c r="AA2196" s="301">
        <v>0</v>
      </c>
      <c r="AB2196" s="303" t="s">
        <v>3313</v>
      </c>
    </row>
    <row r="2197" spans="1:28" ht="35.25" x14ac:dyDescent="0.5">
      <c r="A2197">
        <v>1</v>
      </c>
      <c r="B2197" s="80">
        <f>SUBTOTAL(103,$A$1697:A2197)</f>
        <v>496</v>
      </c>
      <c r="C2197" s="308" t="s">
        <v>1963</v>
      </c>
      <c r="D2197" s="296">
        <f t="shared" si="107"/>
        <v>522453.1</v>
      </c>
      <c r="E2197" s="301">
        <v>0</v>
      </c>
      <c r="F2197" s="301">
        <v>0</v>
      </c>
      <c r="G2197" s="301">
        <v>0</v>
      </c>
      <c r="H2197" s="301">
        <v>0</v>
      </c>
      <c r="I2197" s="301">
        <v>0</v>
      </c>
      <c r="J2197" s="301">
        <v>0</v>
      </c>
      <c r="K2197" s="302">
        <v>0</v>
      </c>
      <c r="L2197" s="301">
        <v>0</v>
      </c>
      <c r="M2197" s="301">
        <f>195009.9+327443.2</f>
        <v>522453.1</v>
      </c>
      <c r="N2197" s="301">
        <v>0</v>
      </c>
      <c r="O2197" s="301">
        <v>0</v>
      </c>
      <c r="P2197" s="301">
        <v>0</v>
      </c>
      <c r="Q2197" s="301">
        <v>0</v>
      </c>
      <c r="R2197" s="301">
        <v>0</v>
      </c>
      <c r="S2197" s="301">
        <v>0</v>
      </c>
      <c r="T2197" s="301">
        <v>0</v>
      </c>
      <c r="U2197" s="301">
        <v>0</v>
      </c>
      <c r="V2197" s="301">
        <v>0</v>
      </c>
      <c r="W2197" s="301">
        <v>0</v>
      </c>
      <c r="X2197" s="301">
        <v>0</v>
      </c>
      <c r="Y2197" s="301">
        <v>0</v>
      </c>
      <c r="Z2197" s="301">
        <v>0</v>
      </c>
      <c r="AA2197" s="301">
        <v>0</v>
      </c>
      <c r="AB2197" s="303" t="s">
        <v>3313</v>
      </c>
    </row>
    <row r="2198" spans="1:28" ht="35.25" x14ac:dyDescent="0.5">
      <c r="A2198">
        <v>1</v>
      </c>
      <c r="B2198" s="80">
        <f>SUBTOTAL(103,$A$1697:A2198)</f>
        <v>497</v>
      </c>
      <c r="C2198" s="308" t="s">
        <v>3114</v>
      </c>
      <c r="D2198" s="296">
        <f t="shared" si="107"/>
        <v>66165</v>
      </c>
      <c r="E2198" s="301">
        <v>0</v>
      </c>
      <c r="F2198" s="301">
        <v>0</v>
      </c>
      <c r="G2198" s="301">
        <v>0</v>
      </c>
      <c r="H2198" s="301">
        <v>0</v>
      </c>
      <c r="I2198" s="301">
        <v>0</v>
      </c>
      <c r="J2198" s="301">
        <v>0</v>
      </c>
      <c r="K2198" s="302">
        <v>0</v>
      </c>
      <c r="L2198" s="301">
        <v>0</v>
      </c>
      <c r="M2198" s="301">
        <v>0</v>
      </c>
      <c r="N2198" s="301">
        <v>0</v>
      </c>
      <c r="O2198" s="301">
        <v>66165</v>
      </c>
      <c r="P2198" s="301">
        <v>0</v>
      </c>
      <c r="Q2198" s="301">
        <v>0</v>
      </c>
      <c r="R2198" s="301">
        <v>0</v>
      </c>
      <c r="S2198" s="301">
        <v>0</v>
      </c>
      <c r="T2198" s="301">
        <v>0</v>
      </c>
      <c r="U2198" s="301">
        <v>0</v>
      </c>
      <c r="V2198" s="301">
        <v>0</v>
      </c>
      <c r="W2198" s="301">
        <v>0</v>
      </c>
      <c r="X2198" s="301">
        <v>0</v>
      </c>
      <c r="Y2198" s="301">
        <v>0</v>
      </c>
      <c r="Z2198" s="301">
        <v>0</v>
      </c>
      <c r="AA2198" s="301">
        <v>0</v>
      </c>
      <c r="AB2198" s="303" t="s">
        <v>3313</v>
      </c>
    </row>
    <row r="2199" spans="1:28" ht="35.25" x14ac:dyDescent="0.5">
      <c r="A2199">
        <v>1</v>
      </c>
      <c r="B2199" s="80">
        <f>SUBTOTAL(103,$A$1697:A2199)</f>
        <v>498</v>
      </c>
      <c r="C2199" s="308" t="s">
        <v>3350</v>
      </c>
      <c r="D2199" s="296">
        <f t="shared" si="107"/>
        <v>1859469</v>
      </c>
      <c r="E2199" s="301">
        <v>0</v>
      </c>
      <c r="F2199" s="301">
        <v>0</v>
      </c>
      <c r="G2199" s="301">
        <v>0</v>
      </c>
      <c r="H2199" s="301">
        <v>0</v>
      </c>
      <c r="I2199" s="301">
        <v>0</v>
      </c>
      <c r="J2199" s="301">
        <v>0</v>
      </c>
      <c r="K2199" s="302">
        <v>0</v>
      </c>
      <c r="L2199" s="301">
        <v>0</v>
      </c>
      <c r="M2199" s="301">
        <f>550000+1309469</f>
        <v>1859469</v>
      </c>
      <c r="N2199" s="301">
        <v>0</v>
      </c>
      <c r="O2199" s="301">
        <v>0</v>
      </c>
      <c r="P2199" s="301">
        <v>0</v>
      </c>
      <c r="Q2199" s="301">
        <v>0</v>
      </c>
      <c r="R2199" s="301">
        <v>0</v>
      </c>
      <c r="S2199" s="301">
        <v>0</v>
      </c>
      <c r="T2199" s="301">
        <v>0</v>
      </c>
      <c r="U2199" s="301">
        <v>0</v>
      </c>
      <c r="V2199" s="301">
        <v>0</v>
      </c>
      <c r="W2199" s="301">
        <v>0</v>
      </c>
      <c r="X2199" s="301">
        <v>0</v>
      </c>
      <c r="Y2199" s="301">
        <v>0</v>
      </c>
      <c r="Z2199" s="301">
        <v>0</v>
      </c>
      <c r="AA2199" s="301">
        <v>0</v>
      </c>
      <c r="AB2199" s="303" t="s">
        <v>3313</v>
      </c>
    </row>
    <row r="2200" spans="1:28" ht="35.25" x14ac:dyDescent="0.5">
      <c r="A2200">
        <v>1</v>
      </c>
      <c r="B2200" s="80">
        <f>SUBTOTAL(103,$A$1697:A2200)</f>
        <v>499</v>
      </c>
      <c r="C2200" s="308" t="s">
        <v>1693</v>
      </c>
      <c r="D2200" s="296">
        <f t="shared" si="107"/>
        <v>2120000</v>
      </c>
      <c r="E2200" s="301">
        <v>0</v>
      </c>
      <c r="F2200" s="301">
        <v>0</v>
      </c>
      <c r="G2200" s="301">
        <v>0</v>
      </c>
      <c r="H2200" s="301">
        <v>0</v>
      </c>
      <c r="I2200" s="301">
        <v>0</v>
      </c>
      <c r="J2200" s="301">
        <v>0</v>
      </c>
      <c r="K2200" s="302">
        <v>1</v>
      </c>
      <c r="L2200" s="301">
        <f>636000+1484000</f>
        <v>2120000</v>
      </c>
      <c r="M2200" s="301">
        <v>0</v>
      </c>
      <c r="N2200" s="301">
        <v>0</v>
      </c>
      <c r="O2200" s="301">
        <v>0</v>
      </c>
      <c r="P2200" s="301">
        <v>0</v>
      </c>
      <c r="Q2200" s="301">
        <v>0</v>
      </c>
      <c r="R2200" s="301">
        <v>0</v>
      </c>
      <c r="S2200" s="301">
        <v>0</v>
      </c>
      <c r="T2200" s="301">
        <v>0</v>
      </c>
      <c r="U2200" s="301">
        <v>0</v>
      </c>
      <c r="V2200" s="301">
        <v>0</v>
      </c>
      <c r="W2200" s="301">
        <v>0</v>
      </c>
      <c r="X2200" s="301">
        <v>0</v>
      </c>
      <c r="Y2200" s="301">
        <v>0</v>
      </c>
      <c r="Z2200" s="301">
        <v>0</v>
      </c>
      <c r="AA2200" s="301">
        <v>0</v>
      </c>
      <c r="AB2200" s="303" t="s">
        <v>3313</v>
      </c>
    </row>
    <row r="2201" spans="1:28" ht="35.25" x14ac:dyDescent="0.5">
      <c r="A2201">
        <v>1</v>
      </c>
      <c r="B2201" s="80">
        <f>SUBTOTAL(103,$A$1697:A2201)</f>
        <v>500</v>
      </c>
      <c r="C2201" s="308" t="s">
        <v>3351</v>
      </c>
      <c r="D2201" s="296">
        <f t="shared" si="107"/>
        <v>643577</v>
      </c>
      <c r="E2201" s="301">
        <v>0</v>
      </c>
      <c r="F2201" s="301">
        <v>0</v>
      </c>
      <c r="G2201" s="301">
        <v>0</v>
      </c>
      <c r="H2201" s="301">
        <v>0</v>
      </c>
      <c r="I2201" s="301">
        <v>643577</v>
      </c>
      <c r="J2201" s="301">
        <v>0</v>
      </c>
      <c r="K2201" s="302">
        <v>0</v>
      </c>
      <c r="L2201" s="301">
        <v>0</v>
      </c>
      <c r="M2201" s="301">
        <v>0</v>
      </c>
      <c r="N2201" s="301">
        <v>0</v>
      </c>
      <c r="O2201" s="301">
        <v>0</v>
      </c>
      <c r="P2201" s="301">
        <v>0</v>
      </c>
      <c r="Q2201" s="301">
        <v>0</v>
      </c>
      <c r="R2201" s="301">
        <v>0</v>
      </c>
      <c r="S2201" s="301">
        <v>0</v>
      </c>
      <c r="T2201" s="301">
        <v>0</v>
      </c>
      <c r="U2201" s="301">
        <v>0</v>
      </c>
      <c r="V2201" s="301">
        <v>0</v>
      </c>
      <c r="W2201" s="301">
        <v>0</v>
      </c>
      <c r="X2201" s="301">
        <v>0</v>
      </c>
      <c r="Y2201" s="301">
        <v>0</v>
      </c>
      <c r="Z2201" s="301">
        <v>0</v>
      </c>
      <c r="AA2201" s="301">
        <v>0</v>
      </c>
      <c r="AB2201" s="303" t="s">
        <v>3313</v>
      </c>
    </row>
    <row r="2202" spans="1:28" ht="35.25" x14ac:dyDescent="0.5">
      <c r="A2202">
        <v>1</v>
      </c>
      <c r="B2202" s="80">
        <f>SUBTOTAL(103,$A$1697:A2202)</f>
        <v>501</v>
      </c>
      <c r="C2202" s="308" t="s">
        <v>3375</v>
      </c>
      <c r="D2202" s="296">
        <f t="shared" si="107"/>
        <v>265296</v>
      </c>
      <c r="E2202" s="301">
        <v>0</v>
      </c>
      <c r="F2202" s="301">
        <v>0</v>
      </c>
      <c r="G2202" s="301">
        <v>0</v>
      </c>
      <c r="H2202" s="301">
        <v>0</v>
      </c>
      <c r="I2202" s="301">
        <v>0</v>
      </c>
      <c r="J2202" s="301">
        <v>0</v>
      </c>
      <c r="K2202" s="302">
        <v>0</v>
      </c>
      <c r="L2202" s="301">
        <v>0</v>
      </c>
      <c r="M2202" s="301">
        <v>0</v>
      </c>
      <c r="N2202" s="301">
        <v>0</v>
      </c>
      <c r="O2202" s="301">
        <v>265296</v>
      </c>
      <c r="P2202" s="301">
        <v>0</v>
      </c>
      <c r="Q2202" s="301">
        <v>0</v>
      </c>
      <c r="R2202" s="301">
        <v>0</v>
      </c>
      <c r="S2202" s="301">
        <v>0</v>
      </c>
      <c r="T2202" s="301">
        <v>0</v>
      </c>
      <c r="U2202" s="301">
        <v>0</v>
      </c>
      <c r="V2202" s="301">
        <v>0</v>
      </c>
      <c r="W2202" s="301">
        <v>0</v>
      </c>
      <c r="X2202" s="301">
        <v>0</v>
      </c>
      <c r="Y2202" s="301">
        <v>0</v>
      </c>
      <c r="Z2202" s="301">
        <v>0</v>
      </c>
      <c r="AA2202" s="301">
        <v>0</v>
      </c>
      <c r="AB2202" s="303" t="s">
        <v>3313</v>
      </c>
    </row>
    <row r="2203" spans="1:28" ht="35.25" x14ac:dyDescent="0.5">
      <c r="A2203">
        <v>1</v>
      </c>
      <c r="B2203" s="80">
        <f>SUBTOTAL(103,$A$1697:A2203)</f>
        <v>502</v>
      </c>
      <c r="C2203" s="308" t="s">
        <v>3456</v>
      </c>
      <c r="D2203" s="296">
        <f t="shared" si="107"/>
        <v>794965</v>
      </c>
      <c r="E2203" s="301">
        <v>0</v>
      </c>
      <c r="F2203" s="301">
        <v>0</v>
      </c>
      <c r="G2203" s="301">
        <v>0</v>
      </c>
      <c r="H2203" s="301">
        <v>0</v>
      </c>
      <c r="I2203" s="301">
        <v>0</v>
      </c>
      <c r="J2203" s="301">
        <v>0</v>
      </c>
      <c r="K2203" s="302">
        <v>0</v>
      </c>
      <c r="L2203" s="301">
        <v>0</v>
      </c>
      <c r="M2203" s="301">
        <v>220000</v>
      </c>
      <c r="N2203" s="301">
        <v>0</v>
      </c>
      <c r="O2203" s="301">
        <v>574965</v>
      </c>
      <c r="P2203" s="301">
        <v>0</v>
      </c>
      <c r="Q2203" s="301">
        <v>0</v>
      </c>
      <c r="R2203" s="301">
        <v>0</v>
      </c>
      <c r="S2203" s="301">
        <v>0</v>
      </c>
      <c r="T2203" s="301">
        <v>0</v>
      </c>
      <c r="U2203" s="301">
        <v>0</v>
      </c>
      <c r="V2203" s="301">
        <v>0</v>
      </c>
      <c r="W2203" s="301">
        <v>0</v>
      </c>
      <c r="X2203" s="301">
        <v>0</v>
      </c>
      <c r="Y2203" s="301">
        <v>0</v>
      </c>
      <c r="Z2203" s="301">
        <v>0</v>
      </c>
      <c r="AA2203" s="301">
        <v>0</v>
      </c>
      <c r="AB2203" s="303" t="s">
        <v>3313</v>
      </c>
    </row>
    <row r="2204" spans="1:28" ht="35.25" x14ac:dyDescent="0.5">
      <c r="A2204">
        <v>1</v>
      </c>
      <c r="B2204" s="80">
        <f>SUBTOTAL(103,$A$1697:A2204)</f>
        <v>503</v>
      </c>
      <c r="C2204" s="308" t="s">
        <v>3089</v>
      </c>
      <c r="D2204" s="296">
        <f t="shared" si="107"/>
        <v>488400</v>
      </c>
      <c r="E2204" s="301">
        <v>0</v>
      </c>
      <c r="F2204" s="301">
        <v>0</v>
      </c>
      <c r="G2204" s="301">
        <v>0</v>
      </c>
      <c r="H2204" s="301">
        <v>0</v>
      </c>
      <c r="I2204" s="301">
        <v>0</v>
      </c>
      <c r="J2204" s="301">
        <v>0</v>
      </c>
      <c r="K2204" s="302">
        <v>0</v>
      </c>
      <c r="L2204" s="301">
        <v>0</v>
      </c>
      <c r="M2204" s="301">
        <v>0</v>
      </c>
      <c r="N2204" s="301">
        <v>0</v>
      </c>
      <c r="O2204" s="301">
        <f>386400+102000</f>
        <v>488400</v>
      </c>
      <c r="P2204" s="301">
        <v>0</v>
      </c>
      <c r="Q2204" s="301">
        <v>0</v>
      </c>
      <c r="R2204" s="301">
        <v>0</v>
      </c>
      <c r="S2204" s="301">
        <v>0</v>
      </c>
      <c r="T2204" s="301">
        <v>0</v>
      </c>
      <c r="U2204" s="301">
        <v>0</v>
      </c>
      <c r="V2204" s="301">
        <v>0</v>
      </c>
      <c r="W2204" s="301">
        <v>0</v>
      </c>
      <c r="X2204" s="301">
        <v>0</v>
      </c>
      <c r="Y2204" s="301">
        <v>0</v>
      </c>
      <c r="Z2204" s="301">
        <v>0</v>
      </c>
      <c r="AA2204" s="301">
        <v>0</v>
      </c>
      <c r="AB2204" s="303" t="s">
        <v>3313</v>
      </c>
    </row>
    <row r="2205" spans="1:28" ht="35.25" x14ac:dyDescent="0.5">
      <c r="A2205">
        <v>1</v>
      </c>
      <c r="B2205" s="80">
        <f>SUBTOTAL(103,$A$1697:A2205)</f>
        <v>504</v>
      </c>
      <c r="C2205" s="308" t="s">
        <v>1976</v>
      </c>
      <c r="D2205" s="296">
        <f t="shared" si="107"/>
        <v>998179.89</v>
      </c>
      <c r="E2205" s="301">
        <v>0</v>
      </c>
      <c r="F2205" s="301">
        <v>0</v>
      </c>
      <c r="G2205" s="301">
        <v>0</v>
      </c>
      <c r="H2205" s="301">
        <v>0</v>
      </c>
      <c r="I2205" s="301">
        <v>0</v>
      </c>
      <c r="J2205" s="301">
        <v>0</v>
      </c>
      <c r="K2205" s="302">
        <v>0</v>
      </c>
      <c r="L2205" s="301">
        <v>0</v>
      </c>
      <c r="M2205" s="301">
        <v>998179.89</v>
      </c>
      <c r="N2205" s="301">
        <v>0</v>
      </c>
      <c r="O2205" s="301">
        <v>0</v>
      </c>
      <c r="P2205" s="301">
        <v>0</v>
      </c>
      <c r="Q2205" s="301">
        <v>0</v>
      </c>
      <c r="R2205" s="301">
        <v>0</v>
      </c>
      <c r="S2205" s="301">
        <v>0</v>
      </c>
      <c r="T2205" s="301">
        <v>0</v>
      </c>
      <c r="U2205" s="301">
        <v>0</v>
      </c>
      <c r="V2205" s="301">
        <v>0</v>
      </c>
      <c r="W2205" s="301">
        <v>0</v>
      </c>
      <c r="X2205" s="301">
        <v>0</v>
      </c>
      <c r="Y2205" s="301">
        <v>0</v>
      </c>
      <c r="Z2205" s="301">
        <v>0</v>
      </c>
      <c r="AA2205" s="301">
        <v>0</v>
      </c>
      <c r="AB2205" s="303" t="s">
        <v>3313</v>
      </c>
    </row>
    <row r="2206" spans="1:28" ht="35.25" x14ac:dyDescent="0.5">
      <c r="A2206">
        <v>1</v>
      </c>
      <c r="B2206" s="80">
        <f>SUBTOTAL(103,$A$1697:A2206)</f>
        <v>505</v>
      </c>
      <c r="C2206" s="308" t="s">
        <v>1977</v>
      </c>
      <c r="D2206" s="296">
        <f t="shared" si="107"/>
        <v>1121965.6000000001</v>
      </c>
      <c r="E2206" s="301">
        <v>0</v>
      </c>
      <c r="F2206" s="301">
        <v>0</v>
      </c>
      <c r="G2206" s="301">
        <v>0</v>
      </c>
      <c r="H2206" s="301">
        <v>0</v>
      </c>
      <c r="I2206" s="301">
        <v>0</v>
      </c>
      <c r="J2206" s="301">
        <v>0</v>
      </c>
      <c r="K2206" s="302">
        <v>0</v>
      </c>
      <c r="L2206" s="301">
        <v>0</v>
      </c>
      <c r="M2206" s="301">
        <v>1121965.6000000001</v>
      </c>
      <c r="N2206" s="301">
        <v>0</v>
      </c>
      <c r="O2206" s="301">
        <v>0</v>
      </c>
      <c r="P2206" s="301">
        <v>0</v>
      </c>
      <c r="Q2206" s="301">
        <v>0</v>
      </c>
      <c r="R2206" s="301">
        <v>0</v>
      </c>
      <c r="S2206" s="301">
        <v>0</v>
      </c>
      <c r="T2206" s="301">
        <v>0</v>
      </c>
      <c r="U2206" s="301">
        <v>0</v>
      </c>
      <c r="V2206" s="301">
        <v>0</v>
      </c>
      <c r="W2206" s="301">
        <v>0</v>
      </c>
      <c r="X2206" s="301">
        <v>0</v>
      </c>
      <c r="Y2206" s="301">
        <v>0</v>
      </c>
      <c r="Z2206" s="301">
        <v>0</v>
      </c>
      <c r="AA2206" s="301">
        <v>0</v>
      </c>
      <c r="AB2206" s="303" t="s">
        <v>3313</v>
      </c>
    </row>
    <row r="2207" spans="1:28" ht="35.25" x14ac:dyDescent="0.5">
      <c r="A2207">
        <v>1</v>
      </c>
      <c r="B2207" s="80">
        <f>SUBTOTAL(103,$A$1697:A2207)</f>
        <v>506</v>
      </c>
      <c r="C2207" s="308" t="s">
        <v>1978</v>
      </c>
      <c r="D2207" s="296">
        <f t="shared" si="107"/>
        <v>709378</v>
      </c>
      <c r="E2207" s="301">
        <v>0</v>
      </c>
      <c r="F2207" s="301">
        <v>0</v>
      </c>
      <c r="G2207" s="301">
        <v>0</v>
      </c>
      <c r="H2207" s="301">
        <v>0</v>
      </c>
      <c r="I2207" s="301">
        <v>0</v>
      </c>
      <c r="J2207" s="301">
        <v>0</v>
      </c>
      <c r="K2207" s="302">
        <v>0</v>
      </c>
      <c r="L2207" s="301">
        <v>0</v>
      </c>
      <c r="M2207" s="301">
        <f>212813+496565</f>
        <v>709378</v>
      </c>
      <c r="N2207" s="301">
        <v>0</v>
      </c>
      <c r="O2207" s="301">
        <v>0</v>
      </c>
      <c r="P2207" s="301">
        <v>0</v>
      </c>
      <c r="Q2207" s="301">
        <v>0</v>
      </c>
      <c r="R2207" s="301">
        <v>0</v>
      </c>
      <c r="S2207" s="301">
        <v>0</v>
      </c>
      <c r="T2207" s="301">
        <v>0</v>
      </c>
      <c r="U2207" s="301">
        <v>0</v>
      </c>
      <c r="V2207" s="301">
        <v>0</v>
      </c>
      <c r="W2207" s="301">
        <v>0</v>
      </c>
      <c r="X2207" s="301">
        <v>0</v>
      </c>
      <c r="Y2207" s="301">
        <v>0</v>
      </c>
      <c r="Z2207" s="301">
        <v>0</v>
      </c>
      <c r="AA2207" s="301">
        <v>0</v>
      </c>
      <c r="AB2207" s="303" t="s">
        <v>3313</v>
      </c>
    </row>
    <row r="2208" spans="1:28" ht="35.25" x14ac:dyDescent="0.5">
      <c r="A2208">
        <v>1</v>
      </c>
      <c r="B2208" s="80">
        <f>SUBTOTAL(103,$A$1697:A2208)</f>
        <v>507</v>
      </c>
      <c r="C2208" s="308" t="s">
        <v>3457</v>
      </c>
      <c r="D2208" s="296">
        <f t="shared" si="107"/>
        <v>336290</v>
      </c>
      <c r="E2208" s="301">
        <v>0</v>
      </c>
      <c r="F2208" s="301">
        <v>0</v>
      </c>
      <c r="G2208" s="301">
        <v>0</v>
      </c>
      <c r="H2208" s="301">
        <v>0</v>
      </c>
      <c r="I2208" s="301">
        <v>0</v>
      </c>
      <c r="J2208" s="301">
        <v>0</v>
      </c>
      <c r="K2208" s="302">
        <v>0</v>
      </c>
      <c r="L2208" s="301">
        <v>0</v>
      </c>
      <c r="M2208" s="301">
        <v>0</v>
      </c>
      <c r="N2208" s="301">
        <v>0</v>
      </c>
      <c r="O2208" s="301">
        <v>336290</v>
      </c>
      <c r="P2208" s="301">
        <v>0</v>
      </c>
      <c r="Q2208" s="301">
        <v>0</v>
      </c>
      <c r="R2208" s="301">
        <v>0</v>
      </c>
      <c r="S2208" s="301">
        <v>0</v>
      </c>
      <c r="T2208" s="301">
        <v>0</v>
      </c>
      <c r="U2208" s="301">
        <v>0</v>
      </c>
      <c r="V2208" s="301">
        <v>0</v>
      </c>
      <c r="W2208" s="301">
        <v>0</v>
      </c>
      <c r="X2208" s="301">
        <v>0</v>
      </c>
      <c r="Y2208" s="301">
        <v>0</v>
      </c>
      <c r="Z2208" s="301">
        <v>0</v>
      </c>
      <c r="AA2208" s="301">
        <v>0</v>
      </c>
      <c r="AB2208" s="303" t="s">
        <v>3313</v>
      </c>
    </row>
    <row r="2209" spans="1:28" ht="35.25" x14ac:dyDescent="0.5">
      <c r="A2209">
        <v>1</v>
      </c>
      <c r="B2209" s="80">
        <f>SUBTOTAL(103,$A$1697:A2209)</f>
        <v>508</v>
      </c>
      <c r="C2209" s="308" t="s">
        <v>3091</v>
      </c>
      <c r="D2209" s="296">
        <f t="shared" si="107"/>
        <v>424387</v>
      </c>
      <c r="E2209" s="301">
        <v>0</v>
      </c>
      <c r="F2209" s="301">
        <v>0</v>
      </c>
      <c r="G2209" s="301">
        <v>0</v>
      </c>
      <c r="H2209" s="301">
        <v>0</v>
      </c>
      <c r="I2209" s="301">
        <v>0</v>
      </c>
      <c r="J2209" s="301">
        <v>0</v>
      </c>
      <c r="K2209" s="302">
        <v>0</v>
      </c>
      <c r="L2209" s="301">
        <v>0</v>
      </c>
      <c r="M2209" s="301">
        <f>240387+184000</f>
        <v>424387</v>
      </c>
      <c r="N2209" s="301">
        <v>0</v>
      </c>
      <c r="O2209" s="301">
        <v>0</v>
      </c>
      <c r="P2209" s="301">
        <v>0</v>
      </c>
      <c r="Q2209" s="301">
        <v>0</v>
      </c>
      <c r="R2209" s="301">
        <v>0</v>
      </c>
      <c r="S2209" s="301">
        <v>0</v>
      </c>
      <c r="T2209" s="301">
        <v>0</v>
      </c>
      <c r="U2209" s="301">
        <v>0</v>
      </c>
      <c r="V2209" s="301">
        <v>0</v>
      </c>
      <c r="W2209" s="301">
        <v>0</v>
      </c>
      <c r="X2209" s="301">
        <v>0</v>
      </c>
      <c r="Y2209" s="301">
        <v>0</v>
      </c>
      <c r="Z2209" s="301">
        <v>0</v>
      </c>
      <c r="AA2209" s="301">
        <v>0</v>
      </c>
      <c r="AB2209" s="303" t="s">
        <v>3313</v>
      </c>
    </row>
    <row r="2210" spans="1:28" ht="35.25" x14ac:dyDescent="0.5">
      <c r="A2210">
        <v>1</v>
      </c>
      <c r="B2210" s="80">
        <f>SUBTOTAL(103,$A$1697:A2210)</f>
        <v>509</v>
      </c>
      <c r="C2210" s="308" t="s">
        <v>1979</v>
      </c>
      <c r="D2210" s="296">
        <f t="shared" si="107"/>
        <v>660000</v>
      </c>
      <c r="E2210" s="301">
        <v>0</v>
      </c>
      <c r="F2210" s="301">
        <v>0</v>
      </c>
      <c r="G2210" s="301">
        <v>0</v>
      </c>
      <c r="H2210" s="301">
        <v>0</v>
      </c>
      <c r="I2210" s="301">
        <v>0</v>
      </c>
      <c r="J2210" s="301">
        <v>0</v>
      </c>
      <c r="K2210" s="302">
        <v>0</v>
      </c>
      <c r="L2210" s="301">
        <v>0</v>
      </c>
      <c r="M2210" s="301">
        <v>660000</v>
      </c>
      <c r="N2210" s="301">
        <v>0</v>
      </c>
      <c r="O2210" s="301">
        <v>0</v>
      </c>
      <c r="P2210" s="301">
        <v>0</v>
      </c>
      <c r="Q2210" s="301">
        <v>0</v>
      </c>
      <c r="R2210" s="301">
        <v>0</v>
      </c>
      <c r="S2210" s="301">
        <v>0</v>
      </c>
      <c r="T2210" s="301">
        <v>0</v>
      </c>
      <c r="U2210" s="301">
        <v>0</v>
      </c>
      <c r="V2210" s="301">
        <v>0</v>
      </c>
      <c r="W2210" s="301">
        <v>0</v>
      </c>
      <c r="X2210" s="301">
        <v>0</v>
      </c>
      <c r="Y2210" s="301">
        <v>0</v>
      </c>
      <c r="Z2210" s="301">
        <v>0</v>
      </c>
      <c r="AA2210" s="301">
        <v>0</v>
      </c>
      <c r="AB2210" s="303" t="s">
        <v>3313</v>
      </c>
    </row>
    <row r="2211" spans="1:28" ht="35.25" x14ac:dyDescent="0.5">
      <c r="A2211">
        <v>1</v>
      </c>
      <c r="B2211" s="80">
        <f>SUBTOTAL(103,$A$1697:A2211)</f>
        <v>510</v>
      </c>
      <c r="C2211" s="308" t="s">
        <v>3458</v>
      </c>
      <c r="D2211" s="296">
        <f t="shared" si="107"/>
        <v>3807661</v>
      </c>
      <c r="E2211" s="301">
        <v>0</v>
      </c>
      <c r="F2211" s="301">
        <v>0</v>
      </c>
      <c r="G2211" s="301">
        <v>0</v>
      </c>
      <c r="H2211" s="301">
        <v>0</v>
      </c>
      <c r="I2211" s="301">
        <v>0</v>
      </c>
      <c r="J2211" s="301">
        <v>0</v>
      </c>
      <c r="K2211" s="302">
        <v>0</v>
      </c>
      <c r="L2211" s="301">
        <v>0</v>
      </c>
      <c r="M2211" s="301">
        <v>3807661</v>
      </c>
      <c r="N2211" s="301">
        <v>0</v>
      </c>
      <c r="O2211" s="301">
        <v>0</v>
      </c>
      <c r="P2211" s="301">
        <v>0</v>
      </c>
      <c r="Q2211" s="301">
        <v>0</v>
      </c>
      <c r="R2211" s="301">
        <v>0</v>
      </c>
      <c r="S2211" s="301">
        <v>0</v>
      </c>
      <c r="T2211" s="301">
        <v>0</v>
      </c>
      <c r="U2211" s="301">
        <v>0</v>
      </c>
      <c r="V2211" s="301">
        <v>0</v>
      </c>
      <c r="W2211" s="301">
        <v>0</v>
      </c>
      <c r="X2211" s="301">
        <v>0</v>
      </c>
      <c r="Y2211" s="301">
        <v>0</v>
      </c>
      <c r="Z2211" s="301">
        <v>0</v>
      </c>
      <c r="AA2211" s="301">
        <v>0</v>
      </c>
      <c r="AB2211" s="303" t="s">
        <v>3313</v>
      </c>
    </row>
    <row r="2212" spans="1:28" ht="35.25" x14ac:dyDescent="0.5">
      <c r="A2212">
        <v>1</v>
      </c>
      <c r="B2212" s="80">
        <f>SUBTOTAL(103,$A$1697:A2212)</f>
        <v>511</v>
      </c>
      <c r="C2212" s="308" t="s">
        <v>3385</v>
      </c>
      <c r="D2212" s="296">
        <f t="shared" si="107"/>
        <v>1162000</v>
      </c>
      <c r="E2212" s="301">
        <v>0</v>
      </c>
      <c r="F2212" s="301">
        <v>0</v>
      </c>
      <c r="G2212" s="301">
        <v>0</v>
      </c>
      <c r="H2212" s="301">
        <v>0</v>
      </c>
      <c r="I2212" s="301">
        <v>0</v>
      </c>
      <c r="J2212" s="301">
        <v>0</v>
      </c>
      <c r="K2212" s="302">
        <v>0</v>
      </c>
      <c r="L2212" s="301">
        <v>0</v>
      </c>
      <c r="M2212" s="301">
        <f>964000+198000</f>
        <v>1162000</v>
      </c>
      <c r="N2212" s="301">
        <v>0</v>
      </c>
      <c r="O2212" s="301">
        <v>0</v>
      </c>
      <c r="P2212" s="301">
        <v>0</v>
      </c>
      <c r="Q2212" s="301">
        <v>0</v>
      </c>
      <c r="R2212" s="301">
        <v>0</v>
      </c>
      <c r="S2212" s="301">
        <v>0</v>
      </c>
      <c r="T2212" s="301">
        <v>0</v>
      </c>
      <c r="U2212" s="301">
        <v>0</v>
      </c>
      <c r="V2212" s="301">
        <v>0</v>
      </c>
      <c r="W2212" s="301">
        <v>0</v>
      </c>
      <c r="X2212" s="301">
        <v>0</v>
      </c>
      <c r="Y2212" s="301">
        <v>0</v>
      </c>
      <c r="Z2212" s="301">
        <v>0</v>
      </c>
      <c r="AA2212" s="301">
        <v>0</v>
      </c>
      <c r="AB2212" s="303" t="s">
        <v>3313</v>
      </c>
    </row>
    <row r="2213" spans="1:28" ht="35.25" x14ac:dyDescent="0.5">
      <c r="A2213">
        <v>1</v>
      </c>
      <c r="B2213" s="80">
        <f>SUBTOTAL(103,$A$1697:A2213)</f>
        <v>512</v>
      </c>
      <c r="C2213" s="308" t="s">
        <v>3092</v>
      </c>
      <c r="D2213" s="296">
        <f t="shared" si="107"/>
        <v>202974</v>
      </c>
      <c r="E2213" s="301">
        <v>0</v>
      </c>
      <c r="F2213" s="301">
        <v>0</v>
      </c>
      <c r="G2213" s="301">
        <v>202974</v>
      </c>
      <c r="H2213" s="301">
        <v>0</v>
      </c>
      <c r="I2213" s="301">
        <v>0</v>
      </c>
      <c r="J2213" s="301">
        <v>0</v>
      </c>
      <c r="K2213" s="302">
        <v>0</v>
      </c>
      <c r="L2213" s="301">
        <v>0</v>
      </c>
      <c r="M2213" s="301">
        <v>0</v>
      </c>
      <c r="N2213" s="301">
        <v>0</v>
      </c>
      <c r="O2213" s="301">
        <v>0</v>
      </c>
      <c r="P2213" s="301">
        <v>0</v>
      </c>
      <c r="Q2213" s="301">
        <v>0</v>
      </c>
      <c r="R2213" s="301">
        <v>0</v>
      </c>
      <c r="S2213" s="301">
        <v>0</v>
      </c>
      <c r="T2213" s="301">
        <v>0</v>
      </c>
      <c r="U2213" s="301">
        <v>0</v>
      </c>
      <c r="V2213" s="301">
        <v>0</v>
      </c>
      <c r="W2213" s="301">
        <v>0</v>
      </c>
      <c r="X2213" s="301">
        <v>0</v>
      </c>
      <c r="Y2213" s="301">
        <v>0</v>
      </c>
      <c r="Z2213" s="301">
        <v>0</v>
      </c>
      <c r="AA2213" s="301">
        <v>0</v>
      </c>
      <c r="AB2213" s="303" t="s">
        <v>3313</v>
      </c>
    </row>
    <row r="2214" spans="1:28" ht="35.25" x14ac:dyDescent="0.5">
      <c r="A2214">
        <v>1</v>
      </c>
      <c r="B2214" s="80">
        <f>SUBTOTAL(103,$A$1697:A2214)</f>
        <v>513</v>
      </c>
      <c r="C2214" s="308" t="s">
        <v>3384</v>
      </c>
      <c r="D2214" s="296">
        <f t="shared" si="107"/>
        <v>223250</v>
      </c>
      <c r="E2214" s="301">
        <v>0</v>
      </c>
      <c r="F2214" s="301">
        <v>0</v>
      </c>
      <c r="G2214" s="301">
        <f>66975+156275</f>
        <v>223250</v>
      </c>
      <c r="H2214" s="301">
        <v>0</v>
      </c>
      <c r="I2214" s="301">
        <v>0</v>
      </c>
      <c r="J2214" s="301">
        <v>0</v>
      </c>
      <c r="K2214" s="302">
        <v>0</v>
      </c>
      <c r="L2214" s="301">
        <v>0</v>
      </c>
      <c r="M2214" s="301">
        <v>0</v>
      </c>
      <c r="N2214" s="301">
        <v>0</v>
      </c>
      <c r="O2214" s="301">
        <v>0</v>
      </c>
      <c r="P2214" s="301">
        <v>0</v>
      </c>
      <c r="Q2214" s="301">
        <v>0</v>
      </c>
      <c r="R2214" s="301">
        <v>0</v>
      </c>
      <c r="S2214" s="301">
        <v>0</v>
      </c>
      <c r="T2214" s="301">
        <v>0</v>
      </c>
      <c r="U2214" s="301">
        <v>0</v>
      </c>
      <c r="V2214" s="301">
        <v>0</v>
      </c>
      <c r="W2214" s="301">
        <v>0</v>
      </c>
      <c r="X2214" s="301">
        <v>0</v>
      </c>
      <c r="Y2214" s="301">
        <v>0</v>
      </c>
      <c r="Z2214" s="301">
        <v>0</v>
      </c>
      <c r="AA2214" s="301">
        <v>0</v>
      </c>
      <c r="AB2214" s="303" t="s">
        <v>3313</v>
      </c>
    </row>
    <row r="2215" spans="1:28" ht="35.25" x14ac:dyDescent="0.5">
      <c r="A2215">
        <v>1</v>
      </c>
      <c r="B2215" s="80">
        <f>SUBTOTAL(103,$A$1697:A2215)</f>
        <v>514</v>
      </c>
      <c r="C2215" s="308" t="s">
        <v>1985</v>
      </c>
      <c r="D2215" s="296">
        <f t="shared" si="107"/>
        <v>6514809</v>
      </c>
      <c r="E2215" s="301">
        <v>0</v>
      </c>
      <c r="F2215" s="301">
        <v>914809</v>
      </c>
      <c r="G2215" s="301">
        <v>0</v>
      </c>
      <c r="H2215" s="301">
        <v>0</v>
      </c>
      <c r="I2215" s="301">
        <v>0</v>
      </c>
      <c r="J2215" s="301">
        <v>0</v>
      </c>
      <c r="K2215" s="302">
        <v>2</v>
      </c>
      <c r="L2215" s="301">
        <v>5600000</v>
      </c>
      <c r="M2215" s="301">
        <v>0</v>
      </c>
      <c r="N2215" s="301">
        <v>0</v>
      </c>
      <c r="O2215" s="301">
        <v>0</v>
      </c>
      <c r="P2215" s="301">
        <v>0</v>
      </c>
      <c r="Q2215" s="301">
        <v>0</v>
      </c>
      <c r="R2215" s="301">
        <v>0</v>
      </c>
      <c r="S2215" s="301">
        <v>0</v>
      </c>
      <c r="T2215" s="301">
        <v>0</v>
      </c>
      <c r="U2215" s="301">
        <v>0</v>
      </c>
      <c r="V2215" s="301">
        <v>0</v>
      </c>
      <c r="W2215" s="301">
        <v>0</v>
      </c>
      <c r="X2215" s="301">
        <v>0</v>
      </c>
      <c r="Y2215" s="301">
        <v>0</v>
      </c>
      <c r="Z2215" s="301">
        <v>0</v>
      </c>
      <c r="AA2215" s="301">
        <v>0</v>
      </c>
      <c r="AB2215" s="303" t="s">
        <v>3313</v>
      </c>
    </row>
    <row r="2216" spans="1:28" ht="35.25" x14ac:dyDescent="0.5">
      <c r="A2216">
        <v>1</v>
      </c>
      <c r="B2216" s="80">
        <f>SUBTOTAL(103,$A$1697:A2216)</f>
        <v>515</v>
      </c>
      <c r="C2216" s="308" t="s">
        <v>1700</v>
      </c>
      <c r="D2216" s="296">
        <f t="shared" si="107"/>
        <v>316930</v>
      </c>
      <c r="E2216" s="301">
        <v>0</v>
      </c>
      <c r="F2216" s="301">
        <v>0</v>
      </c>
      <c r="G2216" s="301">
        <v>0</v>
      </c>
      <c r="H2216" s="301">
        <v>0</v>
      </c>
      <c r="I2216" s="301">
        <v>0</v>
      </c>
      <c r="J2216" s="301">
        <v>0</v>
      </c>
      <c r="K2216" s="302">
        <v>0</v>
      </c>
      <c r="L2216" s="301">
        <v>0</v>
      </c>
      <c r="M2216" s="301">
        <v>0</v>
      </c>
      <c r="N2216" s="301">
        <v>0</v>
      </c>
      <c r="O2216" s="301">
        <f>190120+126810</f>
        <v>316930</v>
      </c>
      <c r="P2216" s="301">
        <v>0</v>
      </c>
      <c r="Q2216" s="301">
        <v>0</v>
      </c>
      <c r="R2216" s="301">
        <v>0</v>
      </c>
      <c r="S2216" s="301">
        <v>0</v>
      </c>
      <c r="T2216" s="301">
        <v>0</v>
      </c>
      <c r="U2216" s="301">
        <v>0</v>
      </c>
      <c r="V2216" s="301">
        <v>0</v>
      </c>
      <c r="W2216" s="301">
        <v>0</v>
      </c>
      <c r="X2216" s="301">
        <v>0</v>
      </c>
      <c r="Y2216" s="301">
        <v>0</v>
      </c>
      <c r="Z2216" s="301">
        <v>0</v>
      </c>
      <c r="AA2216" s="301">
        <v>0</v>
      </c>
      <c r="AB2216" s="303" t="s">
        <v>3313</v>
      </c>
    </row>
    <row r="2217" spans="1:28" ht="35.25" x14ac:dyDescent="0.5">
      <c r="A2217">
        <v>1</v>
      </c>
      <c r="B2217" s="80">
        <f>SUBTOTAL(103,$A$1697:A2217)</f>
        <v>516</v>
      </c>
      <c r="C2217" s="308" t="s">
        <v>2829</v>
      </c>
      <c r="D2217" s="296">
        <f t="shared" si="107"/>
        <v>1074756</v>
      </c>
      <c r="E2217" s="301">
        <v>0</v>
      </c>
      <c r="F2217" s="301">
        <v>0</v>
      </c>
      <c r="G2217" s="301">
        <f>260000+614139</f>
        <v>874139</v>
      </c>
      <c r="H2217" s="301">
        <v>0</v>
      </c>
      <c r="I2217" s="301">
        <v>0</v>
      </c>
      <c r="J2217" s="301">
        <v>0</v>
      </c>
      <c r="K2217" s="302">
        <v>0</v>
      </c>
      <c r="L2217" s="301">
        <v>0</v>
      </c>
      <c r="M2217" s="301">
        <v>85000</v>
      </c>
      <c r="N2217" s="301">
        <v>0</v>
      </c>
      <c r="O2217" s="301">
        <f>34000+81617</f>
        <v>115617</v>
      </c>
      <c r="P2217" s="301">
        <v>0</v>
      </c>
      <c r="Q2217" s="301">
        <v>0</v>
      </c>
      <c r="R2217" s="301">
        <v>0</v>
      </c>
      <c r="S2217" s="301">
        <v>0</v>
      </c>
      <c r="T2217" s="301">
        <v>0</v>
      </c>
      <c r="U2217" s="301">
        <v>0</v>
      </c>
      <c r="V2217" s="301">
        <v>0</v>
      </c>
      <c r="W2217" s="301">
        <v>0</v>
      </c>
      <c r="X2217" s="301">
        <v>0</v>
      </c>
      <c r="Y2217" s="301">
        <v>0</v>
      </c>
      <c r="Z2217" s="301">
        <v>0</v>
      </c>
      <c r="AA2217" s="301">
        <v>0</v>
      </c>
      <c r="AB2217" s="303" t="s">
        <v>3313</v>
      </c>
    </row>
    <row r="2218" spans="1:28" ht="35.25" x14ac:dyDescent="0.5">
      <c r="A2218">
        <v>1</v>
      </c>
      <c r="B2218" s="80">
        <f>SUBTOTAL(103,$A$1697:A2218)</f>
        <v>517</v>
      </c>
      <c r="C2218" s="308" t="s">
        <v>3108</v>
      </c>
      <c r="D2218" s="296">
        <f t="shared" si="107"/>
        <v>822800.9</v>
      </c>
      <c r="E2218" s="301">
        <v>0</v>
      </c>
      <c r="F2218" s="301">
        <v>0</v>
      </c>
      <c r="G2218" s="301">
        <v>0</v>
      </c>
      <c r="H2218" s="301">
        <v>0</v>
      </c>
      <c r="I2218" s="301">
        <v>0</v>
      </c>
      <c r="J2218" s="301">
        <v>0</v>
      </c>
      <c r="K2218" s="302">
        <v>0</v>
      </c>
      <c r="L2218" s="301">
        <v>0</v>
      </c>
      <c r="M2218" s="301">
        <v>0</v>
      </c>
      <c r="N2218" s="301">
        <v>0</v>
      </c>
      <c r="O2218" s="301">
        <f>246840.27+575960.63</f>
        <v>822800.9</v>
      </c>
      <c r="P2218" s="301">
        <v>0</v>
      </c>
      <c r="Q2218" s="301">
        <v>0</v>
      </c>
      <c r="R2218" s="301">
        <v>0</v>
      </c>
      <c r="S2218" s="301">
        <v>0</v>
      </c>
      <c r="T2218" s="301">
        <v>0</v>
      </c>
      <c r="U2218" s="301">
        <v>0</v>
      </c>
      <c r="V2218" s="301">
        <v>0</v>
      </c>
      <c r="W2218" s="301">
        <v>0</v>
      </c>
      <c r="X2218" s="301">
        <v>0</v>
      </c>
      <c r="Y2218" s="301">
        <v>0</v>
      </c>
      <c r="Z2218" s="301">
        <v>0</v>
      </c>
      <c r="AA2218" s="301">
        <v>0</v>
      </c>
      <c r="AB2218" s="303" t="s">
        <v>3313</v>
      </c>
    </row>
    <row r="2219" spans="1:28" ht="35.25" x14ac:dyDescent="0.5">
      <c r="A2219">
        <v>1</v>
      </c>
      <c r="B2219" s="80">
        <f>SUBTOTAL(103,$A$1697:A2219)</f>
        <v>518</v>
      </c>
      <c r="C2219" s="308" t="s">
        <v>3305</v>
      </c>
      <c r="D2219" s="296">
        <f t="shared" si="107"/>
        <v>128505</v>
      </c>
      <c r="E2219" s="301">
        <v>0</v>
      </c>
      <c r="F2219" s="301">
        <v>0</v>
      </c>
      <c r="G2219" s="301">
        <v>0</v>
      </c>
      <c r="H2219" s="301">
        <v>0</v>
      </c>
      <c r="I2219" s="301">
        <v>0</v>
      </c>
      <c r="J2219" s="301">
        <v>0</v>
      </c>
      <c r="K2219" s="302">
        <v>0</v>
      </c>
      <c r="L2219" s="301">
        <v>0</v>
      </c>
      <c r="M2219" s="301">
        <v>0</v>
      </c>
      <c r="N2219" s="301">
        <v>0</v>
      </c>
      <c r="O2219" s="301">
        <v>128505</v>
      </c>
      <c r="P2219" s="301">
        <v>0</v>
      </c>
      <c r="Q2219" s="301">
        <v>0</v>
      </c>
      <c r="R2219" s="301">
        <v>0</v>
      </c>
      <c r="S2219" s="301">
        <v>0</v>
      </c>
      <c r="T2219" s="301">
        <v>0</v>
      </c>
      <c r="U2219" s="301">
        <v>0</v>
      </c>
      <c r="V2219" s="301">
        <v>0</v>
      </c>
      <c r="W2219" s="301">
        <v>0</v>
      </c>
      <c r="X2219" s="301">
        <v>0</v>
      </c>
      <c r="Y2219" s="301">
        <v>0</v>
      </c>
      <c r="Z2219" s="301">
        <v>0</v>
      </c>
      <c r="AA2219" s="301">
        <v>0</v>
      </c>
      <c r="AB2219" s="303" t="s">
        <v>3313</v>
      </c>
    </row>
    <row r="2220" spans="1:28" ht="35.25" x14ac:dyDescent="0.5">
      <c r="A2220">
        <v>1</v>
      </c>
      <c r="B2220" s="80">
        <f>SUBTOTAL(103,$A$1697:A2220)</f>
        <v>519</v>
      </c>
      <c r="C2220" s="308" t="s">
        <v>2397</v>
      </c>
      <c r="D2220" s="296">
        <f t="shared" si="107"/>
        <v>871029</v>
      </c>
      <c r="E2220" s="301">
        <v>0</v>
      </c>
      <c r="F2220" s="301">
        <v>0</v>
      </c>
      <c r="G2220" s="301">
        <v>0</v>
      </c>
      <c r="H2220" s="301">
        <v>0</v>
      </c>
      <c r="I2220" s="301">
        <v>0</v>
      </c>
      <c r="J2220" s="301">
        <v>0</v>
      </c>
      <c r="K2220" s="302">
        <v>0</v>
      </c>
      <c r="L2220" s="301">
        <v>0</v>
      </c>
      <c r="M2220" s="301">
        <f>261308.7+609720.3</f>
        <v>871029</v>
      </c>
      <c r="N2220" s="301">
        <v>0</v>
      </c>
      <c r="O2220" s="301">
        <v>0</v>
      </c>
      <c r="P2220" s="301">
        <v>0</v>
      </c>
      <c r="Q2220" s="301">
        <v>0</v>
      </c>
      <c r="R2220" s="301">
        <v>0</v>
      </c>
      <c r="S2220" s="301">
        <v>0</v>
      </c>
      <c r="T2220" s="301">
        <v>0</v>
      </c>
      <c r="U2220" s="301">
        <v>0</v>
      </c>
      <c r="V2220" s="301">
        <v>0</v>
      </c>
      <c r="W2220" s="301">
        <v>0</v>
      </c>
      <c r="X2220" s="301">
        <v>0</v>
      </c>
      <c r="Y2220" s="301">
        <v>0</v>
      </c>
      <c r="Z2220" s="301">
        <v>0</v>
      </c>
      <c r="AA2220" s="301">
        <v>0</v>
      </c>
      <c r="AB2220" s="303" t="s">
        <v>3313</v>
      </c>
    </row>
    <row r="2221" spans="1:28" ht="35.25" x14ac:dyDescent="0.5">
      <c r="A2221">
        <v>1</v>
      </c>
      <c r="B2221" s="80">
        <f>SUBTOTAL(103,$A$1697:A2221)</f>
        <v>520</v>
      </c>
      <c r="C2221" s="308" t="s">
        <v>1707</v>
      </c>
      <c r="D2221" s="296">
        <f t="shared" si="107"/>
        <v>115500</v>
      </c>
      <c r="E2221" s="301">
        <v>0</v>
      </c>
      <c r="F2221" s="301">
        <v>0</v>
      </c>
      <c r="G2221" s="301">
        <v>0</v>
      </c>
      <c r="H2221" s="301">
        <v>0</v>
      </c>
      <c r="I2221" s="301">
        <v>0</v>
      </c>
      <c r="J2221" s="301">
        <v>0</v>
      </c>
      <c r="K2221" s="302">
        <v>0</v>
      </c>
      <c r="L2221" s="301">
        <v>0</v>
      </c>
      <c r="M2221" s="301">
        <v>0</v>
      </c>
      <c r="N2221" s="301">
        <v>0</v>
      </c>
      <c r="O2221" s="301">
        <f>85500+30000</f>
        <v>115500</v>
      </c>
      <c r="P2221" s="301">
        <v>0</v>
      </c>
      <c r="Q2221" s="301">
        <v>0</v>
      </c>
      <c r="R2221" s="301">
        <v>0</v>
      </c>
      <c r="S2221" s="301">
        <v>0</v>
      </c>
      <c r="T2221" s="301">
        <v>0</v>
      </c>
      <c r="U2221" s="301">
        <v>0</v>
      </c>
      <c r="V2221" s="301">
        <v>0</v>
      </c>
      <c r="W2221" s="301">
        <v>0</v>
      </c>
      <c r="X2221" s="301">
        <v>0</v>
      </c>
      <c r="Y2221" s="301">
        <v>0</v>
      </c>
      <c r="Z2221" s="301">
        <v>0</v>
      </c>
      <c r="AA2221" s="301">
        <v>0</v>
      </c>
      <c r="AB2221" s="303" t="s">
        <v>3313</v>
      </c>
    </row>
    <row r="2222" spans="1:28" ht="35.25" x14ac:dyDescent="0.5">
      <c r="A2222">
        <v>1</v>
      </c>
      <c r="B2222" s="80">
        <f>SUBTOTAL(103,$A$1697:A2222)</f>
        <v>521</v>
      </c>
      <c r="C2222" s="308" t="s">
        <v>3352</v>
      </c>
      <c r="D2222" s="296">
        <f t="shared" si="107"/>
        <v>342000</v>
      </c>
      <c r="E2222" s="301">
        <v>0</v>
      </c>
      <c r="F2222" s="301">
        <v>0</v>
      </c>
      <c r="G2222" s="301">
        <v>0</v>
      </c>
      <c r="H2222" s="301">
        <v>0</v>
      </c>
      <c r="I2222" s="301">
        <v>0</v>
      </c>
      <c r="J2222" s="301">
        <v>0</v>
      </c>
      <c r="K2222" s="302">
        <v>0</v>
      </c>
      <c r="L2222" s="301">
        <v>0</v>
      </c>
      <c r="M2222" s="301">
        <v>0</v>
      </c>
      <c r="N2222" s="301">
        <v>0</v>
      </c>
      <c r="O2222" s="301">
        <f>102600+239400</f>
        <v>342000</v>
      </c>
      <c r="P2222" s="301">
        <v>0</v>
      </c>
      <c r="Q2222" s="301">
        <v>0</v>
      </c>
      <c r="R2222" s="301">
        <v>0</v>
      </c>
      <c r="S2222" s="301">
        <v>0</v>
      </c>
      <c r="T2222" s="301">
        <v>0</v>
      </c>
      <c r="U2222" s="301">
        <v>0</v>
      </c>
      <c r="V2222" s="301">
        <v>0</v>
      </c>
      <c r="W2222" s="301">
        <v>0</v>
      </c>
      <c r="X2222" s="301">
        <v>0</v>
      </c>
      <c r="Y2222" s="301">
        <v>0</v>
      </c>
      <c r="Z2222" s="301">
        <v>0</v>
      </c>
      <c r="AA2222" s="301">
        <v>0</v>
      </c>
      <c r="AB2222" s="303" t="s">
        <v>3313</v>
      </c>
    </row>
    <row r="2223" spans="1:28" ht="35.25" x14ac:dyDescent="0.5">
      <c r="A2223">
        <v>1</v>
      </c>
      <c r="B2223" s="80">
        <f>SUBTOTAL(103,$A$1697:A2223)</f>
        <v>522</v>
      </c>
      <c r="C2223" s="308" t="s">
        <v>2383</v>
      </c>
      <c r="D2223" s="296">
        <f t="shared" si="107"/>
        <v>1781000</v>
      </c>
      <c r="E2223" s="301">
        <v>0</v>
      </c>
      <c r="F2223" s="301">
        <v>0</v>
      </c>
      <c r="G2223" s="301">
        <v>0</v>
      </c>
      <c r="H2223" s="301">
        <v>0</v>
      </c>
      <c r="I2223" s="301">
        <v>0</v>
      </c>
      <c r="J2223" s="301">
        <v>0</v>
      </c>
      <c r="K2223" s="302">
        <v>1</v>
      </c>
      <c r="L2223" s="301">
        <f>1005000+776000</f>
        <v>1781000</v>
      </c>
      <c r="M2223" s="301">
        <v>0</v>
      </c>
      <c r="N2223" s="301">
        <v>0</v>
      </c>
      <c r="O2223" s="301">
        <v>0</v>
      </c>
      <c r="P2223" s="301">
        <v>0</v>
      </c>
      <c r="Q2223" s="301">
        <v>0</v>
      </c>
      <c r="R2223" s="301">
        <v>0</v>
      </c>
      <c r="S2223" s="301">
        <v>0</v>
      </c>
      <c r="T2223" s="301">
        <v>0</v>
      </c>
      <c r="U2223" s="301">
        <v>0</v>
      </c>
      <c r="V2223" s="301">
        <v>0</v>
      </c>
      <c r="W2223" s="301">
        <v>0</v>
      </c>
      <c r="X2223" s="301">
        <v>0</v>
      </c>
      <c r="Y2223" s="301">
        <v>0</v>
      </c>
      <c r="Z2223" s="301">
        <v>0</v>
      </c>
      <c r="AA2223" s="301">
        <v>0</v>
      </c>
      <c r="AB2223" s="303" t="s">
        <v>3313</v>
      </c>
    </row>
    <row r="2224" spans="1:28" ht="35.25" x14ac:dyDescent="0.5">
      <c r="A2224">
        <v>1</v>
      </c>
      <c r="B2224" s="80">
        <f>SUBTOTAL(103,$A$1697:A2224)</f>
        <v>523</v>
      </c>
      <c r="C2224" s="308" t="s">
        <v>3374</v>
      </c>
      <c r="D2224" s="296">
        <f t="shared" si="107"/>
        <v>2170000</v>
      </c>
      <c r="E2224" s="301">
        <v>0</v>
      </c>
      <c r="F2224" s="301">
        <v>0</v>
      </c>
      <c r="G2224" s="301">
        <v>0</v>
      </c>
      <c r="H2224" s="301">
        <v>0</v>
      </c>
      <c r="I2224" s="301">
        <v>0</v>
      </c>
      <c r="J2224" s="301">
        <v>0</v>
      </c>
      <c r="K2224" s="302">
        <v>1</v>
      </c>
      <c r="L2224" s="301">
        <v>2170000</v>
      </c>
      <c r="M2224" s="301">
        <v>0</v>
      </c>
      <c r="N2224" s="301">
        <v>0</v>
      </c>
      <c r="O2224" s="301">
        <v>0</v>
      </c>
      <c r="P2224" s="301">
        <v>0</v>
      </c>
      <c r="Q2224" s="301">
        <v>0</v>
      </c>
      <c r="R2224" s="301">
        <v>0</v>
      </c>
      <c r="S2224" s="301">
        <v>0</v>
      </c>
      <c r="T2224" s="301">
        <v>0</v>
      </c>
      <c r="U2224" s="301">
        <v>0</v>
      </c>
      <c r="V2224" s="301">
        <v>0</v>
      </c>
      <c r="W2224" s="301">
        <v>0</v>
      </c>
      <c r="X2224" s="301">
        <v>0</v>
      </c>
      <c r="Y2224" s="301">
        <v>0</v>
      </c>
      <c r="Z2224" s="301">
        <v>0</v>
      </c>
      <c r="AA2224" s="301">
        <v>0</v>
      </c>
      <c r="AB2224" s="303" t="s">
        <v>3313</v>
      </c>
    </row>
    <row r="2225" spans="1:28" ht="35.25" x14ac:dyDescent="0.5">
      <c r="A2225">
        <v>1</v>
      </c>
      <c r="B2225" s="80">
        <f>SUBTOTAL(103,$A$1697:A2225)</f>
        <v>524</v>
      </c>
      <c r="C2225" s="308" t="s">
        <v>3353</v>
      </c>
      <c r="D2225" s="296">
        <f t="shared" si="107"/>
        <v>1949280</v>
      </c>
      <c r="E2225" s="301">
        <v>0</v>
      </c>
      <c r="F2225" s="301">
        <v>0</v>
      </c>
      <c r="G2225" s="301">
        <v>0</v>
      </c>
      <c r="H2225" s="301">
        <v>0</v>
      </c>
      <c r="I2225" s="301">
        <v>0</v>
      </c>
      <c r="J2225" s="301">
        <v>0</v>
      </c>
      <c r="K2225" s="302">
        <v>0</v>
      </c>
      <c r="L2225" s="301">
        <v>0</v>
      </c>
      <c r="M2225" s="301">
        <f>584000+1365280</f>
        <v>1949280</v>
      </c>
      <c r="N2225" s="301">
        <v>0</v>
      </c>
      <c r="O2225" s="301">
        <v>0</v>
      </c>
      <c r="P2225" s="301">
        <v>0</v>
      </c>
      <c r="Q2225" s="301">
        <v>0</v>
      </c>
      <c r="R2225" s="301">
        <v>0</v>
      </c>
      <c r="S2225" s="301">
        <v>0</v>
      </c>
      <c r="T2225" s="301">
        <v>0</v>
      </c>
      <c r="U2225" s="301">
        <v>0</v>
      </c>
      <c r="V2225" s="301">
        <v>0</v>
      </c>
      <c r="W2225" s="301">
        <v>0</v>
      </c>
      <c r="X2225" s="301">
        <v>0</v>
      </c>
      <c r="Y2225" s="301">
        <v>0</v>
      </c>
      <c r="Z2225" s="301">
        <v>0</v>
      </c>
      <c r="AA2225" s="301">
        <v>0</v>
      </c>
      <c r="AB2225" s="303" t="s">
        <v>3313</v>
      </c>
    </row>
    <row r="2226" spans="1:28" ht="35.25" x14ac:dyDescent="0.5">
      <c r="A2226">
        <v>1</v>
      </c>
      <c r="B2226" s="80">
        <f>SUBTOTAL(103,$A$1697:A2226)</f>
        <v>525</v>
      </c>
      <c r="C2226" s="308" t="s">
        <v>1713</v>
      </c>
      <c r="D2226" s="296">
        <f t="shared" si="107"/>
        <v>2120000</v>
      </c>
      <c r="E2226" s="301">
        <v>0</v>
      </c>
      <c r="F2226" s="301">
        <v>0</v>
      </c>
      <c r="G2226" s="301">
        <v>0</v>
      </c>
      <c r="H2226" s="301">
        <v>0</v>
      </c>
      <c r="I2226" s="301">
        <v>0</v>
      </c>
      <c r="J2226" s="301">
        <v>0</v>
      </c>
      <c r="K2226" s="302">
        <v>1</v>
      </c>
      <c r="L2226" s="301">
        <v>2120000</v>
      </c>
      <c r="M2226" s="301">
        <v>0</v>
      </c>
      <c r="N2226" s="301">
        <v>0</v>
      </c>
      <c r="O2226" s="301">
        <v>0</v>
      </c>
      <c r="P2226" s="301">
        <v>0</v>
      </c>
      <c r="Q2226" s="301">
        <v>0</v>
      </c>
      <c r="R2226" s="301">
        <v>0</v>
      </c>
      <c r="S2226" s="301">
        <v>0</v>
      </c>
      <c r="T2226" s="301">
        <v>0</v>
      </c>
      <c r="U2226" s="301">
        <v>0</v>
      </c>
      <c r="V2226" s="301">
        <v>0</v>
      </c>
      <c r="W2226" s="301">
        <v>0</v>
      </c>
      <c r="X2226" s="301">
        <v>0</v>
      </c>
      <c r="Y2226" s="301">
        <v>0</v>
      </c>
      <c r="Z2226" s="301">
        <v>0</v>
      </c>
      <c r="AA2226" s="301">
        <v>0</v>
      </c>
      <c r="AB2226" s="303" t="s">
        <v>3313</v>
      </c>
    </row>
    <row r="2227" spans="1:28" ht="35.25" x14ac:dyDescent="0.5">
      <c r="A2227">
        <v>1</v>
      </c>
      <c r="B2227" s="80">
        <f>SUBTOTAL(103,$A$1697:A2227)</f>
        <v>526</v>
      </c>
      <c r="C2227" s="308" t="s">
        <v>2229</v>
      </c>
      <c r="D2227" s="296">
        <f t="shared" si="107"/>
        <v>850000</v>
      </c>
      <c r="E2227" s="301">
        <v>0</v>
      </c>
      <c r="F2227" s="301">
        <v>0</v>
      </c>
      <c r="G2227" s="301">
        <v>0</v>
      </c>
      <c r="H2227" s="301">
        <v>0</v>
      </c>
      <c r="I2227" s="301">
        <v>0</v>
      </c>
      <c r="J2227" s="301">
        <v>0</v>
      </c>
      <c r="K2227" s="302">
        <v>0</v>
      </c>
      <c r="L2227" s="301">
        <v>0</v>
      </c>
      <c r="M2227" s="301">
        <v>0</v>
      </c>
      <c r="N2227" s="301">
        <v>0</v>
      </c>
      <c r="O2227" s="301">
        <v>850000</v>
      </c>
      <c r="P2227" s="301">
        <v>0</v>
      </c>
      <c r="Q2227" s="301">
        <v>0</v>
      </c>
      <c r="R2227" s="301">
        <v>0</v>
      </c>
      <c r="S2227" s="301">
        <v>0</v>
      </c>
      <c r="T2227" s="301">
        <v>0</v>
      </c>
      <c r="U2227" s="301">
        <v>0</v>
      </c>
      <c r="V2227" s="301">
        <v>0</v>
      </c>
      <c r="W2227" s="301">
        <v>0</v>
      </c>
      <c r="X2227" s="301">
        <v>0</v>
      </c>
      <c r="Y2227" s="301">
        <v>0</v>
      </c>
      <c r="Z2227" s="301">
        <v>0</v>
      </c>
      <c r="AA2227" s="301">
        <v>0</v>
      </c>
      <c r="AB2227" s="303" t="s">
        <v>3313</v>
      </c>
    </row>
    <row r="2228" spans="1:28" ht="35.25" x14ac:dyDescent="0.5">
      <c r="A2228">
        <v>1</v>
      </c>
      <c r="B2228" s="80">
        <f>SUBTOTAL(103,$A$1697:A2228)</f>
        <v>527</v>
      </c>
      <c r="C2228" s="308" t="s">
        <v>3109</v>
      </c>
      <c r="D2228" s="296">
        <f t="shared" si="107"/>
        <v>594000.28</v>
      </c>
      <c r="E2228" s="301">
        <v>0</v>
      </c>
      <c r="F2228" s="301">
        <v>0</v>
      </c>
      <c r="G2228" s="301">
        <v>0</v>
      </c>
      <c r="H2228" s="301">
        <v>0</v>
      </c>
      <c r="I2228" s="301">
        <v>0</v>
      </c>
      <c r="J2228" s="301">
        <v>0</v>
      </c>
      <c r="K2228" s="302">
        <v>0</v>
      </c>
      <c r="L2228" s="301">
        <v>0</v>
      </c>
      <c r="M2228" s="301">
        <v>0</v>
      </c>
      <c r="N2228" s="301">
        <v>0</v>
      </c>
      <c r="O2228" s="301">
        <v>594000.28</v>
      </c>
      <c r="P2228" s="301">
        <v>0</v>
      </c>
      <c r="Q2228" s="301">
        <v>0</v>
      </c>
      <c r="R2228" s="301">
        <v>0</v>
      </c>
      <c r="S2228" s="301">
        <v>0</v>
      </c>
      <c r="T2228" s="301">
        <v>0</v>
      </c>
      <c r="U2228" s="301">
        <v>0</v>
      </c>
      <c r="V2228" s="301">
        <v>0</v>
      </c>
      <c r="W2228" s="301">
        <v>0</v>
      </c>
      <c r="X2228" s="301">
        <v>0</v>
      </c>
      <c r="Y2228" s="301">
        <v>0</v>
      </c>
      <c r="Z2228" s="301">
        <v>0</v>
      </c>
      <c r="AA2228" s="301">
        <v>0</v>
      </c>
      <c r="AB2228" s="303" t="s">
        <v>3313</v>
      </c>
    </row>
    <row r="2229" spans="1:28" ht="35.25" x14ac:dyDescent="0.5">
      <c r="A2229">
        <v>1</v>
      </c>
      <c r="B2229" s="80">
        <f>SUBTOTAL(103,$A$1697:A2229)</f>
        <v>528</v>
      </c>
      <c r="C2229" s="308" t="s">
        <v>3354</v>
      </c>
      <c r="D2229" s="296">
        <f t="shared" si="107"/>
        <v>630000</v>
      </c>
      <c r="E2229" s="301">
        <v>0</v>
      </c>
      <c r="F2229" s="301">
        <v>0</v>
      </c>
      <c r="G2229" s="301">
        <v>0</v>
      </c>
      <c r="H2229" s="301">
        <v>0</v>
      </c>
      <c r="I2229" s="301">
        <v>0</v>
      </c>
      <c r="J2229" s="301">
        <v>0</v>
      </c>
      <c r="K2229" s="302">
        <v>0</v>
      </c>
      <c r="L2229" s="301">
        <v>0</v>
      </c>
      <c r="M2229" s="301">
        <v>0</v>
      </c>
      <c r="N2229" s="301">
        <v>0</v>
      </c>
      <c r="O2229" s="301">
        <v>630000</v>
      </c>
      <c r="P2229" s="301">
        <v>0</v>
      </c>
      <c r="Q2229" s="301">
        <v>0</v>
      </c>
      <c r="R2229" s="301">
        <v>0</v>
      </c>
      <c r="S2229" s="301">
        <v>0</v>
      </c>
      <c r="T2229" s="301">
        <v>0</v>
      </c>
      <c r="U2229" s="301">
        <v>0</v>
      </c>
      <c r="V2229" s="301">
        <v>0</v>
      </c>
      <c r="W2229" s="301">
        <v>0</v>
      </c>
      <c r="X2229" s="301">
        <v>0</v>
      </c>
      <c r="Y2229" s="301">
        <v>0</v>
      </c>
      <c r="Z2229" s="301">
        <v>0</v>
      </c>
      <c r="AA2229" s="301">
        <v>0</v>
      </c>
      <c r="AB2229" s="303" t="s">
        <v>3313</v>
      </c>
    </row>
    <row r="2230" spans="1:28" ht="35.25" x14ac:dyDescent="0.5">
      <c r="A2230">
        <v>1</v>
      </c>
      <c r="B2230" s="80">
        <f>SUBTOTAL(103,$A$1697:A2230)</f>
        <v>529</v>
      </c>
      <c r="C2230" s="308" t="s">
        <v>3355</v>
      </c>
      <c r="D2230" s="296">
        <f t="shared" si="107"/>
        <v>749403</v>
      </c>
      <c r="E2230" s="301">
        <v>0</v>
      </c>
      <c r="F2230" s="301">
        <v>0</v>
      </c>
      <c r="G2230" s="301">
        <v>0</v>
      </c>
      <c r="H2230" s="301">
        <v>0</v>
      </c>
      <c r="I2230" s="301">
        <v>0</v>
      </c>
      <c r="J2230" s="301">
        <v>0</v>
      </c>
      <c r="K2230" s="302">
        <v>0</v>
      </c>
      <c r="L2230" s="301">
        <v>0</v>
      </c>
      <c r="M2230" s="301">
        <v>0</v>
      </c>
      <c r="N2230" s="301">
        <v>0</v>
      </c>
      <c r="O2230" s="301">
        <v>749403</v>
      </c>
      <c r="P2230" s="301">
        <v>0</v>
      </c>
      <c r="Q2230" s="301">
        <v>0</v>
      </c>
      <c r="R2230" s="301">
        <v>0</v>
      </c>
      <c r="S2230" s="301">
        <v>0</v>
      </c>
      <c r="T2230" s="301">
        <v>0</v>
      </c>
      <c r="U2230" s="301">
        <v>0</v>
      </c>
      <c r="V2230" s="301">
        <v>0</v>
      </c>
      <c r="W2230" s="301">
        <v>0</v>
      </c>
      <c r="X2230" s="301">
        <v>0</v>
      </c>
      <c r="Y2230" s="301">
        <v>0</v>
      </c>
      <c r="Z2230" s="301">
        <v>0</v>
      </c>
      <c r="AA2230" s="301">
        <v>0</v>
      </c>
      <c r="AB2230" s="303" t="s">
        <v>3313</v>
      </c>
    </row>
    <row r="2231" spans="1:28" ht="35.25" x14ac:dyDescent="0.5">
      <c r="A2231">
        <v>1</v>
      </c>
      <c r="B2231" s="80">
        <f>SUBTOTAL(103,$A$1697:A2231)</f>
        <v>530</v>
      </c>
      <c r="C2231" s="308" t="s">
        <v>3356</v>
      </c>
      <c r="D2231" s="296">
        <f t="shared" si="107"/>
        <v>997591</v>
      </c>
      <c r="E2231" s="301">
        <v>0</v>
      </c>
      <c r="F2231" s="301">
        <v>0</v>
      </c>
      <c r="G2231" s="301">
        <v>0</v>
      </c>
      <c r="H2231" s="301">
        <v>0</v>
      </c>
      <c r="I2231" s="301">
        <v>0</v>
      </c>
      <c r="J2231" s="301">
        <v>0</v>
      </c>
      <c r="K2231" s="302">
        <v>0</v>
      </c>
      <c r="L2231" s="301">
        <v>0</v>
      </c>
      <c r="M2231" s="301">
        <v>0</v>
      </c>
      <c r="N2231" s="301">
        <v>0</v>
      </c>
      <c r="O2231" s="301">
        <v>997591</v>
      </c>
      <c r="P2231" s="301">
        <v>0</v>
      </c>
      <c r="Q2231" s="301">
        <v>0</v>
      </c>
      <c r="R2231" s="301">
        <v>0</v>
      </c>
      <c r="S2231" s="301">
        <v>0</v>
      </c>
      <c r="T2231" s="301">
        <v>0</v>
      </c>
      <c r="U2231" s="301">
        <v>0</v>
      </c>
      <c r="V2231" s="301">
        <v>0</v>
      </c>
      <c r="W2231" s="301">
        <v>0</v>
      </c>
      <c r="X2231" s="301">
        <v>0</v>
      </c>
      <c r="Y2231" s="301">
        <v>0</v>
      </c>
      <c r="Z2231" s="301">
        <v>0</v>
      </c>
      <c r="AA2231" s="301">
        <v>0</v>
      </c>
      <c r="AB2231" s="303" t="s">
        <v>3313</v>
      </c>
    </row>
    <row r="2232" spans="1:28" ht="35.25" x14ac:dyDescent="0.5">
      <c r="A2232">
        <v>1</v>
      </c>
      <c r="B2232" s="80">
        <f>SUBTOTAL(103,$A$1697:A2232)</f>
        <v>531</v>
      </c>
      <c r="C2232" s="308" t="s">
        <v>3357</v>
      </c>
      <c r="D2232" s="296">
        <f t="shared" si="107"/>
        <v>205175</v>
      </c>
      <c r="E2232" s="301">
        <v>0</v>
      </c>
      <c r="F2232" s="301">
        <v>0</v>
      </c>
      <c r="G2232" s="301">
        <v>205175</v>
      </c>
      <c r="H2232" s="301">
        <v>0</v>
      </c>
      <c r="I2232" s="301">
        <v>0</v>
      </c>
      <c r="J2232" s="301">
        <v>0</v>
      </c>
      <c r="K2232" s="302">
        <v>0</v>
      </c>
      <c r="L2232" s="301">
        <v>0</v>
      </c>
      <c r="M2232" s="301">
        <v>0</v>
      </c>
      <c r="N2232" s="301">
        <v>0</v>
      </c>
      <c r="O2232" s="301">
        <v>0</v>
      </c>
      <c r="P2232" s="301">
        <v>0</v>
      </c>
      <c r="Q2232" s="301">
        <v>0</v>
      </c>
      <c r="R2232" s="301">
        <v>0</v>
      </c>
      <c r="S2232" s="301">
        <v>0</v>
      </c>
      <c r="T2232" s="301">
        <v>0</v>
      </c>
      <c r="U2232" s="301">
        <v>0</v>
      </c>
      <c r="V2232" s="301">
        <v>0</v>
      </c>
      <c r="W2232" s="301">
        <v>0</v>
      </c>
      <c r="X2232" s="301">
        <v>0</v>
      </c>
      <c r="Y2232" s="301">
        <v>0</v>
      </c>
      <c r="Z2232" s="301">
        <v>0</v>
      </c>
      <c r="AA2232" s="301">
        <v>0</v>
      </c>
      <c r="AB2232" s="303" t="s">
        <v>3313</v>
      </c>
    </row>
    <row r="2233" spans="1:28" ht="35.25" x14ac:dyDescent="0.5">
      <c r="A2233">
        <v>1</v>
      </c>
      <c r="B2233" s="80">
        <f>SUBTOTAL(103,$A$1697:A2233)</f>
        <v>532</v>
      </c>
      <c r="C2233" s="308" t="s">
        <v>3459</v>
      </c>
      <c r="D2233" s="296">
        <f t="shared" si="107"/>
        <v>3994608</v>
      </c>
      <c r="E2233" s="301">
        <v>0</v>
      </c>
      <c r="F2233" s="301">
        <v>0</v>
      </c>
      <c r="G2233" s="301">
        <v>0</v>
      </c>
      <c r="H2233" s="301">
        <v>0</v>
      </c>
      <c r="I2233" s="301">
        <v>0</v>
      </c>
      <c r="J2233" s="301">
        <v>0</v>
      </c>
      <c r="K2233" s="302">
        <v>0</v>
      </c>
      <c r="L2233" s="301">
        <v>0</v>
      </c>
      <c r="M2233" s="301">
        <v>0</v>
      </c>
      <c r="N2233" s="301">
        <v>0</v>
      </c>
      <c r="O2233" s="301">
        <v>3994608</v>
      </c>
      <c r="P2233" s="301">
        <v>0</v>
      </c>
      <c r="Q2233" s="301">
        <v>0</v>
      </c>
      <c r="R2233" s="301">
        <v>0</v>
      </c>
      <c r="S2233" s="301">
        <v>0</v>
      </c>
      <c r="T2233" s="301">
        <v>0</v>
      </c>
      <c r="U2233" s="301">
        <v>0</v>
      </c>
      <c r="V2233" s="301">
        <v>0</v>
      </c>
      <c r="W2233" s="301">
        <v>0</v>
      </c>
      <c r="X2233" s="301">
        <v>0</v>
      </c>
      <c r="Y2233" s="301">
        <v>0</v>
      </c>
      <c r="Z2233" s="301">
        <v>0</v>
      </c>
      <c r="AA2233" s="301">
        <v>0</v>
      </c>
      <c r="AB2233" s="303">
        <v>2022</v>
      </c>
    </row>
    <row r="2234" spans="1:28" ht="35.25" x14ac:dyDescent="0.5">
      <c r="A2234">
        <v>1</v>
      </c>
      <c r="B2234" s="80">
        <f>SUBTOTAL(103,$A$1697:A2234)</f>
        <v>533</v>
      </c>
      <c r="C2234" s="308" t="s">
        <v>3460</v>
      </c>
      <c r="D2234" s="296">
        <f t="shared" si="107"/>
        <v>546942.6</v>
      </c>
      <c r="E2234" s="301">
        <v>0</v>
      </c>
      <c r="F2234" s="301">
        <v>0</v>
      </c>
      <c r="G2234" s="301">
        <v>0</v>
      </c>
      <c r="H2234" s="301">
        <v>0</v>
      </c>
      <c r="I2234" s="301">
        <v>546942.6</v>
      </c>
      <c r="J2234" s="301">
        <v>0</v>
      </c>
      <c r="K2234" s="302">
        <v>0</v>
      </c>
      <c r="L2234" s="301">
        <v>0</v>
      </c>
      <c r="M2234" s="301">
        <v>0</v>
      </c>
      <c r="N2234" s="301">
        <v>0</v>
      </c>
      <c r="O2234" s="301">
        <v>0</v>
      </c>
      <c r="P2234" s="301">
        <v>0</v>
      </c>
      <c r="Q2234" s="301">
        <v>0</v>
      </c>
      <c r="R2234" s="301">
        <v>0</v>
      </c>
      <c r="S2234" s="301">
        <v>0</v>
      </c>
      <c r="T2234" s="301">
        <v>0</v>
      </c>
      <c r="U2234" s="301">
        <v>0</v>
      </c>
      <c r="V2234" s="301">
        <v>0</v>
      </c>
      <c r="W2234" s="301">
        <v>0</v>
      </c>
      <c r="X2234" s="301">
        <v>0</v>
      </c>
      <c r="Y2234" s="301">
        <v>0</v>
      </c>
      <c r="Z2234" s="301">
        <v>0</v>
      </c>
      <c r="AA2234" s="301">
        <v>0</v>
      </c>
      <c r="AB2234" s="303">
        <v>2022</v>
      </c>
    </row>
    <row r="2235" spans="1:28" ht="35.25" x14ac:dyDescent="0.5">
      <c r="A2235">
        <v>1</v>
      </c>
      <c r="B2235" s="80">
        <f>SUBTOTAL(103,$A$1697:A2235)</f>
        <v>534</v>
      </c>
      <c r="C2235" s="308" t="s">
        <v>2846</v>
      </c>
      <c r="D2235" s="296">
        <f t="shared" si="107"/>
        <v>5492369</v>
      </c>
      <c r="E2235" s="301">
        <v>0</v>
      </c>
      <c r="F2235" s="301">
        <v>0</v>
      </c>
      <c r="G2235" s="301">
        <v>0</v>
      </c>
      <c r="H2235" s="301">
        <v>0</v>
      </c>
      <c r="I2235" s="301">
        <v>0</v>
      </c>
      <c r="J2235" s="301">
        <v>0</v>
      </c>
      <c r="K2235" s="302">
        <v>0</v>
      </c>
      <c r="L2235" s="301">
        <v>0</v>
      </c>
      <c r="M2235" s="301">
        <v>0</v>
      </c>
      <c r="N2235" s="301">
        <v>0</v>
      </c>
      <c r="O2235" s="301">
        <v>5492369</v>
      </c>
      <c r="P2235" s="301">
        <v>0</v>
      </c>
      <c r="Q2235" s="301">
        <v>0</v>
      </c>
      <c r="R2235" s="301">
        <v>0</v>
      </c>
      <c r="S2235" s="301">
        <v>0</v>
      </c>
      <c r="T2235" s="301">
        <v>0</v>
      </c>
      <c r="U2235" s="301">
        <v>0</v>
      </c>
      <c r="V2235" s="301">
        <v>0</v>
      </c>
      <c r="W2235" s="301">
        <v>0</v>
      </c>
      <c r="X2235" s="301">
        <v>0</v>
      </c>
      <c r="Y2235" s="301">
        <v>0</v>
      </c>
      <c r="Z2235" s="301">
        <v>0</v>
      </c>
      <c r="AA2235" s="301">
        <v>0</v>
      </c>
      <c r="AB2235" s="303">
        <v>2022</v>
      </c>
    </row>
    <row r="2236" spans="1:28" ht="35.25" x14ac:dyDescent="0.5">
      <c r="A2236">
        <v>1</v>
      </c>
      <c r="B2236" s="80">
        <f>SUBTOTAL(103,$A$1697:A2236)</f>
        <v>535</v>
      </c>
      <c r="C2236" s="308" t="s">
        <v>3461</v>
      </c>
      <c r="D2236" s="296">
        <f t="shared" si="107"/>
        <v>3687569</v>
      </c>
      <c r="E2236" s="301">
        <v>0</v>
      </c>
      <c r="F2236" s="301">
        <v>0</v>
      </c>
      <c r="G2236" s="301">
        <v>0</v>
      </c>
      <c r="H2236" s="301">
        <v>0</v>
      </c>
      <c r="I2236" s="301">
        <v>0</v>
      </c>
      <c r="J2236" s="301">
        <v>0</v>
      </c>
      <c r="K2236" s="302">
        <v>0</v>
      </c>
      <c r="L2236" s="301">
        <v>0</v>
      </c>
      <c r="M2236" s="301">
        <v>3687569</v>
      </c>
      <c r="N2236" s="301">
        <v>0</v>
      </c>
      <c r="O2236" s="301">
        <v>0</v>
      </c>
      <c r="P2236" s="301">
        <v>0</v>
      </c>
      <c r="Q2236" s="301">
        <v>0</v>
      </c>
      <c r="R2236" s="301">
        <v>0</v>
      </c>
      <c r="S2236" s="301">
        <v>0</v>
      </c>
      <c r="T2236" s="301">
        <v>0</v>
      </c>
      <c r="U2236" s="301">
        <v>0</v>
      </c>
      <c r="V2236" s="301">
        <v>0</v>
      </c>
      <c r="W2236" s="301">
        <v>0</v>
      </c>
      <c r="X2236" s="301">
        <v>0</v>
      </c>
      <c r="Y2236" s="301">
        <v>0</v>
      </c>
      <c r="Z2236" s="301">
        <v>0</v>
      </c>
      <c r="AA2236" s="301">
        <v>0</v>
      </c>
      <c r="AB2236" s="303">
        <v>2022</v>
      </c>
    </row>
    <row r="2237" spans="1:28" ht="35.25" x14ac:dyDescent="0.5">
      <c r="A2237">
        <v>1</v>
      </c>
      <c r="B2237" s="80">
        <f>SUBTOTAL(103,$A$1697:A2237)</f>
        <v>536</v>
      </c>
      <c r="C2237" s="308" t="s">
        <v>1952</v>
      </c>
      <c r="D2237" s="296">
        <f t="shared" si="107"/>
        <v>4911235</v>
      </c>
      <c r="E2237" s="301">
        <v>0</v>
      </c>
      <c r="F2237" s="301">
        <v>0</v>
      </c>
      <c r="G2237" s="301">
        <v>0</v>
      </c>
      <c r="H2237" s="301">
        <v>0</v>
      </c>
      <c r="I2237" s="301">
        <v>0</v>
      </c>
      <c r="J2237" s="301">
        <v>0</v>
      </c>
      <c r="K2237" s="302">
        <v>0</v>
      </c>
      <c r="L2237" s="301">
        <v>0</v>
      </c>
      <c r="M2237" s="301">
        <v>0</v>
      </c>
      <c r="N2237" s="301">
        <v>0</v>
      </c>
      <c r="O2237" s="301">
        <v>4911235</v>
      </c>
      <c r="P2237" s="301">
        <v>0</v>
      </c>
      <c r="Q2237" s="301">
        <v>0</v>
      </c>
      <c r="R2237" s="301">
        <v>0</v>
      </c>
      <c r="S2237" s="301">
        <v>0</v>
      </c>
      <c r="T2237" s="301">
        <v>0</v>
      </c>
      <c r="U2237" s="301">
        <v>0</v>
      </c>
      <c r="V2237" s="301">
        <v>0</v>
      </c>
      <c r="W2237" s="301">
        <v>0</v>
      </c>
      <c r="X2237" s="301">
        <v>0</v>
      </c>
      <c r="Y2237" s="301">
        <v>0</v>
      </c>
      <c r="Z2237" s="301">
        <v>0</v>
      </c>
      <c r="AA2237" s="301">
        <v>0</v>
      </c>
      <c r="AB2237" s="303">
        <v>2022</v>
      </c>
    </row>
    <row r="2238" spans="1:28" ht="35.25" x14ac:dyDescent="0.5">
      <c r="A2238">
        <v>1</v>
      </c>
      <c r="B2238" s="80">
        <f>SUBTOTAL(103,$A$1697:A2238)</f>
        <v>537</v>
      </c>
      <c r="C2238" s="308" t="s">
        <v>3462</v>
      </c>
      <c r="D2238" s="296">
        <f t="shared" si="107"/>
        <v>1950000</v>
      </c>
      <c r="E2238" s="301">
        <v>0</v>
      </c>
      <c r="F2238" s="301">
        <v>0</v>
      </c>
      <c r="G2238" s="301">
        <v>0</v>
      </c>
      <c r="H2238" s="301">
        <v>0</v>
      </c>
      <c r="I2238" s="301">
        <v>0</v>
      </c>
      <c r="J2238" s="301">
        <v>0</v>
      </c>
      <c r="K2238" s="302">
        <v>0</v>
      </c>
      <c r="L2238" s="301">
        <v>0</v>
      </c>
      <c r="M2238" s="301">
        <v>0</v>
      </c>
      <c r="N2238" s="301">
        <v>0</v>
      </c>
      <c r="O2238" s="301">
        <v>1950000</v>
      </c>
      <c r="P2238" s="301">
        <v>0</v>
      </c>
      <c r="Q2238" s="301">
        <v>0</v>
      </c>
      <c r="R2238" s="301">
        <v>0</v>
      </c>
      <c r="S2238" s="301">
        <v>0</v>
      </c>
      <c r="T2238" s="301">
        <v>0</v>
      </c>
      <c r="U2238" s="301">
        <v>0</v>
      </c>
      <c r="V2238" s="301">
        <v>0</v>
      </c>
      <c r="W2238" s="301">
        <v>0</v>
      </c>
      <c r="X2238" s="301">
        <v>0</v>
      </c>
      <c r="Y2238" s="301">
        <v>0</v>
      </c>
      <c r="Z2238" s="301">
        <v>0</v>
      </c>
      <c r="AA2238" s="301">
        <v>0</v>
      </c>
      <c r="AB2238" s="303">
        <v>2022</v>
      </c>
    </row>
    <row r="2239" spans="1:28" ht="35.25" x14ac:dyDescent="0.5">
      <c r="A2239">
        <v>1</v>
      </c>
      <c r="B2239" s="80">
        <f>SUBTOTAL(103,$A$1697:A2239)</f>
        <v>538</v>
      </c>
      <c r="C2239" s="308" t="s">
        <v>3463</v>
      </c>
      <c r="D2239" s="296">
        <f t="shared" si="107"/>
        <v>2377279</v>
      </c>
      <c r="E2239" s="301">
        <v>0</v>
      </c>
      <c r="F2239" s="301">
        <v>0</v>
      </c>
      <c r="G2239" s="301">
        <v>0</v>
      </c>
      <c r="H2239" s="301">
        <v>0</v>
      </c>
      <c r="I2239" s="301">
        <v>0</v>
      </c>
      <c r="J2239" s="301">
        <v>0</v>
      </c>
      <c r="K2239" s="302">
        <v>0</v>
      </c>
      <c r="L2239" s="301">
        <v>0</v>
      </c>
      <c r="M2239" s="301">
        <v>2377279</v>
      </c>
      <c r="N2239" s="301">
        <v>0</v>
      </c>
      <c r="O2239" s="301">
        <v>0</v>
      </c>
      <c r="P2239" s="301">
        <v>0</v>
      </c>
      <c r="Q2239" s="301">
        <v>0</v>
      </c>
      <c r="R2239" s="301">
        <v>0</v>
      </c>
      <c r="S2239" s="301">
        <v>0</v>
      </c>
      <c r="T2239" s="301">
        <v>0</v>
      </c>
      <c r="U2239" s="301">
        <v>0</v>
      </c>
      <c r="V2239" s="301">
        <v>0</v>
      </c>
      <c r="W2239" s="301">
        <v>0</v>
      </c>
      <c r="X2239" s="301">
        <v>0</v>
      </c>
      <c r="Y2239" s="301">
        <v>0</v>
      </c>
      <c r="Z2239" s="301">
        <v>0</v>
      </c>
      <c r="AA2239" s="301">
        <v>0</v>
      </c>
      <c r="AB2239" s="303">
        <v>2022</v>
      </c>
    </row>
    <row r="2240" spans="1:28" ht="35.25" x14ac:dyDescent="0.5">
      <c r="A2240">
        <v>1</v>
      </c>
      <c r="B2240" s="80">
        <f>SUBTOTAL(103,$A$1697:A2240)</f>
        <v>539</v>
      </c>
      <c r="C2240" s="308" t="s">
        <v>3106</v>
      </c>
      <c r="D2240" s="296">
        <f t="shared" si="107"/>
        <v>930000</v>
      </c>
      <c r="E2240" s="301">
        <v>0</v>
      </c>
      <c r="F2240" s="301">
        <v>0</v>
      </c>
      <c r="G2240" s="301">
        <v>0</v>
      </c>
      <c r="H2240" s="301">
        <v>0</v>
      </c>
      <c r="I2240" s="301">
        <v>0</v>
      </c>
      <c r="J2240" s="301">
        <v>0</v>
      </c>
      <c r="K2240" s="302">
        <v>0</v>
      </c>
      <c r="L2240" s="301">
        <v>0</v>
      </c>
      <c r="M2240" s="301">
        <v>0</v>
      </c>
      <c r="N2240" s="301">
        <v>0</v>
      </c>
      <c r="O2240" s="301">
        <v>930000</v>
      </c>
      <c r="P2240" s="301">
        <v>0</v>
      </c>
      <c r="Q2240" s="301">
        <v>0</v>
      </c>
      <c r="R2240" s="301">
        <v>0</v>
      </c>
      <c r="S2240" s="301">
        <v>0</v>
      </c>
      <c r="T2240" s="301">
        <v>0</v>
      </c>
      <c r="U2240" s="301">
        <v>0</v>
      </c>
      <c r="V2240" s="301">
        <v>0</v>
      </c>
      <c r="W2240" s="301">
        <v>0</v>
      </c>
      <c r="X2240" s="301">
        <v>0</v>
      </c>
      <c r="Y2240" s="301">
        <v>0</v>
      </c>
      <c r="Z2240" s="301">
        <v>0</v>
      </c>
      <c r="AA2240" s="301">
        <v>0</v>
      </c>
      <c r="AB2240" s="303">
        <v>2022</v>
      </c>
    </row>
    <row r="2241" spans="1:28" ht="35.25" x14ac:dyDescent="0.5">
      <c r="A2241">
        <v>1</v>
      </c>
      <c r="B2241" s="80">
        <f>SUBTOTAL(103,$A$1697:A2241)</f>
        <v>540</v>
      </c>
      <c r="C2241" s="308" t="s">
        <v>2230</v>
      </c>
      <c r="D2241" s="296">
        <f t="shared" si="107"/>
        <v>2180000</v>
      </c>
      <c r="E2241" s="301">
        <v>0</v>
      </c>
      <c r="F2241" s="301">
        <v>0</v>
      </c>
      <c r="G2241" s="301">
        <v>0</v>
      </c>
      <c r="H2241" s="301">
        <v>0</v>
      </c>
      <c r="I2241" s="301">
        <v>0</v>
      </c>
      <c r="J2241" s="301">
        <v>0</v>
      </c>
      <c r="K2241" s="302">
        <v>1</v>
      </c>
      <c r="L2241" s="301">
        <v>2180000</v>
      </c>
      <c r="M2241" s="301">
        <v>0</v>
      </c>
      <c r="N2241" s="301">
        <v>0</v>
      </c>
      <c r="O2241" s="301">
        <v>0</v>
      </c>
      <c r="P2241" s="301">
        <v>0</v>
      </c>
      <c r="Q2241" s="301">
        <v>0</v>
      </c>
      <c r="R2241" s="301">
        <v>0</v>
      </c>
      <c r="S2241" s="301">
        <v>0</v>
      </c>
      <c r="T2241" s="301">
        <v>0</v>
      </c>
      <c r="U2241" s="301">
        <v>0</v>
      </c>
      <c r="V2241" s="301">
        <v>0</v>
      </c>
      <c r="W2241" s="301">
        <v>0</v>
      </c>
      <c r="X2241" s="301">
        <v>0</v>
      </c>
      <c r="Y2241" s="301">
        <v>0</v>
      </c>
      <c r="Z2241" s="301">
        <v>0</v>
      </c>
      <c r="AA2241" s="301">
        <v>0</v>
      </c>
      <c r="AB2241" s="303">
        <v>2022</v>
      </c>
    </row>
    <row r="2242" spans="1:28" ht="35.25" x14ac:dyDescent="0.5">
      <c r="A2242">
        <v>1</v>
      </c>
      <c r="B2242" s="80">
        <f>SUBTOTAL(103,$A$1697:A2242)</f>
        <v>541</v>
      </c>
      <c r="C2242" s="308" t="s">
        <v>3464</v>
      </c>
      <c r="D2242" s="296">
        <f t="shared" si="107"/>
        <v>685770.8</v>
      </c>
      <c r="E2242" s="301">
        <v>0</v>
      </c>
      <c r="F2242" s="301">
        <v>0</v>
      </c>
      <c r="G2242" s="301">
        <v>685770.8</v>
      </c>
      <c r="H2242" s="301">
        <v>0</v>
      </c>
      <c r="I2242" s="301">
        <v>0</v>
      </c>
      <c r="J2242" s="301">
        <v>0</v>
      </c>
      <c r="K2242" s="302">
        <v>0</v>
      </c>
      <c r="L2242" s="301">
        <v>0</v>
      </c>
      <c r="M2242" s="301">
        <v>0</v>
      </c>
      <c r="N2242" s="301">
        <v>0</v>
      </c>
      <c r="O2242" s="301">
        <v>0</v>
      </c>
      <c r="P2242" s="301">
        <v>0</v>
      </c>
      <c r="Q2242" s="301">
        <v>0</v>
      </c>
      <c r="R2242" s="301">
        <v>0</v>
      </c>
      <c r="S2242" s="301">
        <v>0</v>
      </c>
      <c r="T2242" s="301">
        <v>0</v>
      </c>
      <c r="U2242" s="301">
        <v>0</v>
      </c>
      <c r="V2242" s="301">
        <v>0</v>
      </c>
      <c r="W2242" s="301">
        <v>0</v>
      </c>
      <c r="X2242" s="301">
        <v>0</v>
      </c>
      <c r="Y2242" s="301">
        <v>0</v>
      </c>
      <c r="Z2242" s="301">
        <v>0</v>
      </c>
      <c r="AA2242" s="301">
        <v>0</v>
      </c>
      <c r="AB2242" s="303">
        <v>2022</v>
      </c>
    </row>
    <row r="2243" spans="1:28" ht="35.25" x14ac:dyDescent="0.5">
      <c r="A2243">
        <v>1</v>
      </c>
      <c r="B2243" s="80">
        <f>SUBTOTAL(103,$A$1697:A2243)</f>
        <v>542</v>
      </c>
      <c r="C2243" s="308" t="s">
        <v>3465</v>
      </c>
      <c r="D2243" s="296">
        <f t="shared" si="107"/>
        <v>236342.34</v>
      </c>
      <c r="E2243" s="301">
        <v>0</v>
      </c>
      <c r="F2243" s="301">
        <v>0</v>
      </c>
      <c r="G2243" s="301">
        <v>0</v>
      </c>
      <c r="H2243" s="301">
        <v>0</v>
      </c>
      <c r="I2243" s="301">
        <v>0</v>
      </c>
      <c r="J2243" s="301">
        <v>0</v>
      </c>
      <c r="K2243" s="302">
        <v>0</v>
      </c>
      <c r="L2243" s="301">
        <v>0</v>
      </c>
      <c r="M2243" s="301">
        <v>0</v>
      </c>
      <c r="N2243" s="301">
        <v>0</v>
      </c>
      <c r="O2243" s="301">
        <v>236342.34</v>
      </c>
      <c r="P2243" s="301">
        <v>0</v>
      </c>
      <c r="Q2243" s="301">
        <v>0</v>
      </c>
      <c r="R2243" s="301">
        <v>0</v>
      </c>
      <c r="S2243" s="301">
        <v>0</v>
      </c>
      <c r="T2243" s="301">
        <v>0</v>
      </c>
      <c r="U2243" s="301">
        <v>0</v>
      </c>
      <c r="V2243" s="301">
        <v>0</v>
      </c>
      <c r="W2243" s="301">
        <v>0</v>
      </c>
      <c r="X2243" s="301">
        <v>0</v>
      </c>
      <c r="Y2243" s="301">
        <v>0</v>
      </c>
      <c r="Z2243" s="301">
        <v>0</v>
      </c>
      <c r="AA2243" s="301">
        <v>0</v>
      </c>
      <c r="AB2243" s="303">
        <v>2022</v>
      </c>
    </row>
    <row r="2244" spans="1:28" ht="35.25" x14ac:dyDescent="0.5">
      <c r="A2244">
        <v>1</v>
      </c>
      <c r="B2244" s="80">
        <f>SUBTOTAL(103,$A$1697:A2244)</f>
        <v>543</v>
      </c>
      <c r="C2244" s="308" t="s">
        <v>3466</v>
      </c>
      <c r="D2244" s="296">
        <f t="shared" si="107"/>
        <v>1242395</v>
      </c>
      <c r="E2244" s="301">
        <v>0</v>
      </c>
      <c r="F2244" s="301">
        <v>0</v>
      </c>
      <c r="G2244" s="301">
        <v>0</v>
      </c>
      <c r="H2244" s="301">
        <v>0</v>
      </c>
      <c r="I2244" s="301">
        <v>0</v>
      </c>
      <c r="J2244" s="301">
        <v>0</v>
      </c>
      <c r="K2244" s="302">
        <v>0</v>
      </c>
      <c r="L2244" s="301">
        <v>0</v>
      </c>
      <c r="M2244" s="301">
        <v>1242395</v>
      </c>
      <c r="N2244" s="301">
        <v>0</v>
      </c>
      <c r="O2244" s="301">
        <v>0</v>
      </c>
      <c r="P2244" s="301">
        <v>0</v>
      </c>
      <c r="Q2244" s="301">
        <v>0</v>
      </c>
      <c r="R2244" s="301">
        <v>0</v>
      </c>
      <c r="S2244" s="301">
        <v>0</v>
      </c>
      <c r="T2244" s="301">
        <v>0</v>
      </c>
      <c r="U2244" s="301">
        <v>0</v>
      </c>
      <c r="V2244" s="301">
        <v>0</v>
      </c>
      <c r="W2244" s="301">
        <v>0</v>
      </c>
      <c r="X2244" s="301">
        <v>0</v>
      </c>
      <c r="Y2244" s="301">
        <v>0</v>
      </c>
      <c r="Z2244" s="301">
        <v>0</v>
      </c>
      <c r="AA2244" s="301">
        <v>0</v>
      </c>
      <c r="AB2244" s="303">
        <v>2022</v>
      </c>
    </row>
    <row r="2245" spans="1:28" ht="35.25" x14ac:dyDescent="0.5">
      <c r="A2245">
        <v>1</v>
      </c>
      <c r="B2245" s="80">
        <f>SUBTOTAL(103,$A$1697:A2245)</f>
        <v>544</v>
      </c>
      <c r="C2245" s="308" t="s">
        <v>3467</v>
      </c>
      <c r="D2245" s="296">
        <f t="shared" si="107"/>
        <v>453215.2</v>
      </c>
      <c r="E2245" s="301">
        <v>0</v>
      </c>
      <c r="F2245" s="301">
        <v>0</v>
      </c>
      <c r="G2245" s="301">
        <v>0</v>
      </c>
      <c r="H2245" s="301">
        <v>0</v>
      </c>
      <c r="I2245" s="301">
        <v>0</v>
      </c>
      <c r="J2245" s="301">
        <v>0</v>
      </c>
      <c r="K2245" s="302">
        <v>0</v>
      </c>
      <c r="L2245" s="301">
        <v>0</v>
      </c>
      <c r="M2245" s="301">
        <v>453215.2</v>
      </c>
      <c r="N2245" s="301">
        <v>0</v>
      </c>
      <c r="O2245" s="301">
        <v>0</v>
      </c>
      <c r="P2245" s="301">
        <v>0</v>
      </c>
      <c r="Q2245" s="301">
        <v>0</v>
      </c>
      <c r="R2245" s="301">
        <v>0</v>
      </c>
      <c r="S2245" s="301">
        <v>0</v>
      </c>
      <c r="T2245" s="301">
        <v>0</v>
      </c>
      <c r="U2245" s="301">
        <v>0</v>
      </c>
      <c r="V2245" s="301">
        <v>0</v>
      </c>
      <c r="W2245" s="301">
        <v>0</v>
      </c>
      <c r="X2245" s="301">
        <v>0</v>
      </c>
      <c r="Y2245" s="301">
        <v>0</v>
      </c>
      <c r="Z2245" s="301">
        <v>0</v>
      </c>
      <c r="AA2245" s="301">
        <v>0</v>
      </c>
      <c r="AB2245" s="303">
        <v>2022</v>
      </c>
    </row>
    <row r="2246" spans="1:28" ht="35.25" x14ac:dyDescent="0.5">
      <c r="A2246">
        <v>1</v>
      </c>
      <c r="B2246" s="80">
        <f>SUBTOTAL(103,$A$1697:A2246)</f>
        <v>545</v>
      </c>
      <c r="C2246" s="308" t="s">
        <v>3112</v>
      </c>
      <c r="D2246" s="296">
        <f t="shared" si="107"/>
        <v>358144.8</v>
      </c>
      <c r="E2246" s="301">
        <v>0</v>
      </c>
      <c r="F2246" s="301">
        <v>0</v>
      </c>
      <c r="G2246" s="301">
        <v>358144.8</v>
      </c>
      <c r="H2246" s="301">
        <v>0</v>
      </c>
      <c r="I2246" s="301">
        <v>0</v>
      </c>
      <c r="J2246" s="301">
        <v>0</v>
      </c>
      <c r="K2246" s="302">
        <v>0</v>
      </c>
      <c r="L2246" s="301">
        <v>0</v>
      </c>
      <c r="M2246" s="301">
        <v>0</v>
      </c>
      <c r="N2246" s="301">
        <v>0</v>
      </c>
      <c r="O2246" s="301">
        <v>0</v>
      </c>
      <c r="P2246" s="301">
        <v>0</v>
      </c>
      <c r="Q2246" s="301">
        <v>0</v>
      </c>
      <c r="R2246" s="301">
        <v>0</v>
      </c>
      <c r="S2246" s="301">
        <v>0</v>
      </c>
      <c r="T2246" s="301">
        <v>0</v>
      </c>
      <c r="U2246" s="301">
        <v>0</v>
      </c>
      <c r="V2246" s="301">
        <v>0</v>
      </c>
      <c r="W2246" s="301">
        <v>0</v>
      </c>
      <c r="X2246" s="301">
        <v>0</v>
      </c>
      <c r="Y2246" s="301">
        <v>0</v>
      </c>
      <c r="Z2246" s="301">
        <v>0</v>
      </c>
      <c r="AA2246" s="301">
        <v>0</v>
      </c>
      <c r="AB2246" s="303">
        <v>2022</v>
      </c>
    </row>
    <row r="2247" spans="1:28" ht="35.25" x14ac:dyDescent="0.5">
      <c r="A2247">
        <v>1</v>
      </c>
      <c r="B2247" s="80">
        <f>SUBTOTAL(103,$A$1697:A2247)</f>
        <v>546</v>
      </c>
      <c r="C2247" s="308" t="s">
        <v>3520</v>
      </c>
      <c r="D2247" s="296">
        <f t="shared" si="107"/>
        <v>1347869</v>
      </c>
      <c r="E2247" s="301">
        <v>0</v>
      </c>
      <c r="F2247" s="301">
        <v>0</v>
      </c>
      <c r="G2247" s="301">
        <v>0</v>
      </c>
      <c r="H2247" s="301">
        <v>0</v>
      </c>
      <c r="I2247" s="301">
        <v>0</v>
      </c>
      <c r="J2247" s="301">
        <v>0</v>
      </c>
      <c r="K2247" s="302">
        <v>0</v>
      </c>
      <c r="L2247" s="301">
        <v>0</v>
      </c>
      <c r="M2247" s="301">
        <v>0</v>
      </c>
      <c r="N2247" s="301">
        <v>0</v>
      </c>
      <c r="O2247" s="301">
        <v>1347869</v>
      </c>
      <c r="P2247" s="301">
        <v>0</v>
      </c>
      <c r="Q2247" s="301">
        <v>0</v>
      </c>
      <c r="R2247" s="301">
        <v>0</v>
      </c>
      <c r="S2247" s="301">
        <v>0</v>
      </c>
      <c r="T2247" s="301">
        <v>0</v>
      </c>
      <c r="U2247" s="301">
        <v>0</v>
      </c>
      <c r="V2247" s="301">
        <v>0</v>
      </c>
      <c r="W2247" s="301">
        <v>0</v>
      </c>
      <c r="X2247" s="301">
        <v>0</v>
      </c>
      <c r="Y2247" s="301">
        <v>0</v>
      </c>
      <c r="Z2247" s="301">
        <v>0</v>
      </c>
      <c r="AA2247" s="301">
        <v>0</v>
      </c>
      <c r="AB2247" s="303">
        <v>2022</v>
      </c>
    </row>
    <row r="2248" spans="1:28" ht="35.25" x14ac:dyDescent="0.5">
      <c r="A2248">
        <v>1</v>
      </c>
      <c r="B2248" s="80">
        <f>SUBTOTAL(103,$A$1697:A2248)</f>
        <v>547</v>
      </c>
      <c r="C2248" s="308" t="s">
        <v>3521</v>
      </c>
      <c r="D2248" s="296">
        <f t="shared" si="107"/>
        <v>3723788</v>
      </c>
      <c r="E2248" s="301">
        <v>0</v>
      </c>
      <c r="F2248" s="301">
        <v>0</v>
      </c>
      <c r="G2248" s="301">
        <v>0</v>
      </c>
      <c r="H2248" s="301">
        <v>0</v>
      </c>
      <c r="I2248" s="301">
        <v>0</v>
      </c>
      <c r="J2248" s="301">
        <v>0</v>
      </c>
      <c r="K2248" s="302">
        <v>0</v>
      </c>
      <c r="L2248" s="301">
        <v>0</v>
      </c>
      <c r="M2248" s="301">
        <v>3723788</v>
      </c>
      <c r="N2248" s="301">
        <v>0</v>
      </c>
      <c r="O2248" s="301">
        <v>0</v>
      </c>
      <c r="P2248" s="301">
        <v>0</v>
      </c>
      <c r="Q2248" s="301">
        <v>0</v>
      </c>
      <c r="R2248" s="301">
        <v>0</v>
      </c>
      <c r="S2248" s="301">
        <v>0</v>
      </c>
      <c r="T2248" s="301">
        <v>0</v>
      </c>
      <c r="U2248" s="301">
        <v>0</v>
      </c>
      <c r="V2248" s="301">
        <v>0</v>
      </c>
      <c r="W2248" s="301">
        <v>0</v>
      </c>
      <c r="X2248" s="301">
        <v>0</v>
      </c>
      <c r="Y2248" s="301">
        <v>0</v>
      </c>
      <c r="Z2248" s="301">
        <v>0</v>
      </c>
      <c r="AA2248" s="301">
        <v>0</v>
      </c>
      <c r="AB2248" s="303">
        <v>2022</v>
      </c>
    </row>
    <row r="2249" spans="1:28" ht="35.25" x14ac:dyDescent="0.5">
      <c r="A2249">
        <v>1</v>
      </c>
      <c r="B2249" s="80">
        <f>SUBTOTAL(103,$A$1697:A2249)</f>
        <v>548</v>
      </c>
      <c r="C2249" s="308" t="s">
        <v>3522</v>
      </c>
      <c r="D2249" s="296">
        <f t="shared" ref="D2249:D2312" si="108">E2249+F2249+G2249+H2249+I2249+J2249+L2249+M2249+N2249+O2249+P2249+Q2249+R2249+S2249+T2249+U2249+V2249+W2249+X2249+Y2249+Z2249+AA2249</f>
        <v>2430763</v>
      </c>
      <c r="E2249" s="301">
        <v>0</v>
      </c>
      <c r="F2249" s="301">
        <v>0</v>
      </c>
      <c r="G2249" s="301">
        <v>0</v>
      </c>
      <c r="H2249" s="301">
        <v>0</v>
      </c>
      <c r="I2249" s="301">
        <v>0</v>
      </c>
      <c r="J2249" s="301">
        <v>0</v>
      </c>
      <c r="K2249" s="302">
        <v>0</v>
      </c>
      <c r="L2249" s="301">
        <v>0</v>
      </c>
      <c r="M2249" s="301">
        <v>2430763</v>
      </c>
      <c r="N2249" s="301">
        <v>0</v>
      </c>
      <c r="O2249" s="301">
        <v>0</v>
      </c>
      <c r="P2249" s="301">
        <v>0</v>
      </c>
      <c r="Q2249" s="301">
        <v>0</v>
      </c>
      <c r="R2249" s="301">
        <v>0</v>
      </c>
      <c r="S2249" s="301">
        <v>0</v>
      </c>
      <c r="T2249" s="301">
        <v>0</v>
      </c>
      <c r="U2249" s="301">
        <v>0</v>
      </c>
      <c r="V2249" s="301">
        <v>0</v>
      </c>
      <c r="W2249" s="301">
        <v>0</v>
      </c>
      <c r="X2249" s="301">
        <v>0</v>
      </c>
      <c r="Y2249" s="301">
        <v>0</v>
      </c>
      <c r="Z2249" s="301">
        <v>0</v>
      </c>
      <c r="AA2249" s="301">
        <v>0</v>
      </c>
      <c r="AB2249" s="303">
        <v>2022</v>
      </c>
    </row>
    <row r="2250" spans="1:28" ht="35.25" x14ac:dyDescent="0.5">
      <c r="A2250">
        <v>1</v>
      </c>
      <c r="B2250" s="80">
        <f>SUBTOTAL(103,$A$1697:A2250)</f>
        <v>549</v>
      </c>
      <c r="C2250" s="308" t="s">
        <v>3104</v>
      </c>
      <c r="D2250" s="296">
        <f t="shared" si="108"/>
        <v>1148417</v>
      </c>
      <c r="E2250" s="301">
        <v>0</v>
      </c>
      <c r="F2250" s="301">
        <v>0</v>
      </c>
      <c r="G2250" s="301">
        <v>0</v>
      </c>
      <c r="H2250" s="301">
        <v>0</v>
      </c>
      <c r="I2250" s="301">
        <v>0</v>
      </c>
      <c r="J2250" s="301">
        <v>0</v>
      </c>
      <c r="K2250" s="302">
        <v>0</v>
      </c>
      <c r="L2250" s="301">
        <v>0</v>
      </c>
      <c r="M2250" s="301">
        <v>0</v>
      </c>
      <c r="N2250" s="301">
        <v>0</v>
      </c>
      <c r="O2250" s="301">
        <v>1148417</v>
      </c>
      <c r="P2250" s="301">
        <v>0</v>
      </c>
      <c r="Q2250" s="301">
        <v>0</v>
      </c>
      <c r="R2250" s="301">
        <v>0</v>
      </c>
      <c r="S2250" s="301">
        <v>0</v>
      </c>
      <c r="T2250" s="301">
        <v>0</v>
      </c>
      <c r="U2250" s="301">
        <v>0</v>
      </c>
      <c r="V2250" s="301">
        <v>0</v>
      </c>
      <c r="W2250" s="301">
        <v>0</v>
      </c>
      <c r="X2250" s="301">
        <v>0</v>
      </c>
      <c r="Y2250" s="301">
        <v>0</v>
      </c>
      <c r="Z2250" s="301">
        <v>0</v>
      </c>
      <c r="AA2250" s="301">
        <v>0</v>
      </c>
      <c r="AB2250" s="303">
        <v>2022</v>
      </c>
    </row>
    <row r="2251" spans="1:28" ht="35.25" x14ac:dyDescent="0.5">
      <c r="A2251">
        <v>1</v>
      </c>
      <c r="B2251" s="80">
        <f>SUBTOTAL(103,$A$1697:A2251)</f>
        <v>550</v>
      </c>
      <c r="C2251" s="308" t="s">
        <v>3523</v>
      </c>
      <c r="D2251" s="296">
        <f t="shared" si="108"/>
        <v>2092503</v>
      </c>
      <c r="E2251" s="301">
        <v>0</v>
      </c>
      <c r="F2251" s="301">
        <v>0</v>
      </c>
      <c r="G2251" s="301">
        <v>545388.19999999995</v>
      </c>
      <c r="H2251" s="301">
        <v>0</v>
      </c>
      <c r="I2251" s="301">
        <v>0</v>
      </c>
      <c r="J2251" s="301">
        <v>0</v>
      </c>
      <c r="K2251" s="302">
        <v>0</v>
      </c>
      <c r="L2251" s="301">
        <v>0</v>
      </c>
      <c r="M2251" s="301">
        <v>0</v>
      </c>
      <c r="N2251" s="301">
        <v>0</v>
      </c>
      <c r="O2251" s="301">
        <v>1547114.8</v>
      </c>
      <c r="P2251" s="301">
        <v>0</v>
      </c>
      <c r="Q2251" s="301">
        <v>0</v>
      </c>
      <c r="R2251" s="301">
        <v>0</v>
      </c>
      <c r="S2251" s="301">
        <v>0</v>
      </c>
      <c r="T2251" s="301">
        <v>0</v>
      </c>
      <c r="U2251" s="301">
        <v>0</v>
      </c>
      <c r="V2251" s="301">
        <v>0</v>
      </c>
      <c r="W2251" s="301">
        <v>0</v>
      </c>
      <c r="X2251" s="301">
        <v>0</v>
      </c>
      <c r="Y2251" s="301">
        <v>0</v>
      </c>
      <c r="Z2251" s="301">
        <v>0</v>
      </c>
      <c r="AA2251" s="301">
        <v>0</v>
      </c>
      <c r="AB2251" s="303">
        <v>2022</v>
      </c>
    </row>
    <row r="2252" spans="1:28" ht="35.25" x14ac:dyDescent="0.5">
      <c r="A2252">
        <v>1</v>
      </c>
      <c r="B2252" s="80">
        <f>SUBTOTAL(103,$A$1697:A2252)</f>
        <v>551</v>
      </c>
      <c r="C2252" s="308" t="s">
        <v>3524</v>
      </c>
      <c r="D2252" s="296">
        <f t="shared" si="108"/>
        <v>1251925</v>
      </c>
      <c r="E2252" s="301">
        <v>0</v>
      </c>
      <c r="F2252" s="301">
        <v>0</v>
      </c>
      <c r="G2252" s="301">
        <v>1251925</v>
      </c>
      <c r="H2252" s="301">
        <v>0</v>
      </c>
      <c r="I2252" s="301">
        <v>0</v>
      </c>
      <c r="J2252" s="301">
        <v>0</v>
      </c>
      <c r="K2252" s="302">
        <v>0</v>
      </c>
      <c r="L2252" s="301">
        <v>0</v>
      </c>
      <c r="M2252" s="301">
        <v>0</v>
      </c>
      <c r="N2252" s="301">
        <v>0</v>
      </c>
      <c r="O2252" s="301">
        <v>0</v>
      </c>
      <c r="P2252" s="301">
        <v>0</v>
      </c>
      <c r="Q2252" s="301">
        <v>0</v>
      </c>
      <c r="R2252" s="301">
        <v>0</v>
      </c>
      <c r="S2252" s="301">
        <v>0</v>
      </c>
      <c r="T2252" s="301">
        <v>0</v>
      </c>
      <c r="U2252" s="301">
        <v>0</v>
      </c>
      <c r="V2252" s="301">
        <v>0</v>
      </c>
      <c r="W2252" s="301">
        <v>0</v>
      </c>
      <c r="X2252" s="301">
        <v>0</v>
      </c>
      <c r="Y2252" s="301">
        <v>0</v>
      </c>
      <c r="Z2252" s="301">
        <v>0</v>
      </c>
      <c r="AA2252" s="301">
        <v>0</v>
      </c>
      <c r="AB2252" s="303">
        <v>2022</v>
      </c>
    </row>
    <row r="2253" spans="1:28" ht="35.25" x14ac:dyDescent="0.5">
      <c r="A2253">
        <v>1</v>
      </c>
      <c r="B2253" s="80">
        <f>SUBTOTAL(103,$A$1697:A2253)</f>
        <v>552</v>
      </c>
      <c r="C2253" s="308" t="s">
        <v>3525</v>
      </c>
      <c r="D2253" s="296">
        <f t="shared" si="108"/>
        <v>1908078</v>
      </c>
      <c r="E2253" s="301">
        <v>0</v>
      </c>
      <c r="F2253" s="301">
        <v>0</v>
      </c>
      <c r="G2253" s="301">
        <v>0</v>
      </c>
      <c r="H2253" s="301">
        <v>0</v>
      </c>
      <c r="I2253" s="301">
        <v>0</v>
      </c>
      <c r="J2253" s="301">
        <v>0</v>
      </c>
      <c r="K2253" s="302">
        <v>0</v>
      </c>
      <c r="L2253" s="301">
        <v>0</v>
      </c>
      <c r="M2253" s="301">
        <v>1908078</v>
      </c>
      <c r="N2253" s="301">
        <v>0</v>
      </c>
      <c r="O2253" s="301">
        <v>0</v>
      </c>
      <c r="P2253" s="301">
        <v>0</v>
      </c>
      <c r="Q2253" s="301">
        <v>0</v>
      </c>
      <c r="R2253" s="301">
        <v>0</v>
      </c>
      <c r="S2253" s="301">
        <v>0</v>
      </c>
      <c r="T2253" s="301">
        <v>0</v>
      </c>
      <c r="U2253" s="301">
        <v>0</v>
      </c>
      <c r="V2253" s="301">
        <v>0</v>
      </c>
      <c r="W2253" s="301">
        <v>0</v>
      </c>
      <c r="X2253" s="301">
        <v>0</v>
      </c>
      <c r="Y2253" s="301">
        <v>0</v>
      </c>
      <c r="Z2253" s="301">
        <v>0</v>
      </c>
      <c r="AA2253" s="301">
        <v>0</v>
      </c>
      <c r="AB2253" s="303">
        <v>2022</v>
      </c>
    </row>
    <row r="2254" spans="1:28" ht="35.25" x14ac:dyDescent="0.5">
      <c r="A2254">
        <v>1</v>
      </c>
      <c r="B2254" s="80">
        <f>SUBTOTAL(103,$A$1697:A2254)</f>
        <v>553</v>
      </c>
      <c r="C2254" s="308" t="s">
        <v>2235</v>
      </c>
      <c r="D2254" s="296">
        <f t="shared" si="108"/>
        <v>212423</v>
      </c>
      <c r="E2254" s="301">
        <v>0</v>
      </c>
      <c r="F2254" s="301">
        <v>0</v>
      </c>
      <c r="G2254" s="301">
        <v>0</v>
      </c>
      <c r="H2254" s="301">
        <v>0</v>
      </c>
      <c r="I2254" s="301">
        <v>0</v>
      </c>
      <c r="J2254" s="301">
        <v>0</v>
      </c>
      <c r="K2254" s="302">
        <v>0</v>
      </c>
      <c r="L2254" s="301">
        <v>0</v>
      </c>
      <c r="M2254" s="301">
        <v>0</v>
      </c>
      <c r="N2254" s="301">
        <v>0</v>
      </c>
      <c r="O2254" s="301">
        <v>212423</v>
      </c>
      <c r="P2254" s="301">
        <v>0</v>
      </c>
      <c r="Q2254" s="301">
        <v>0</v>
      </c>
      <c r="R2254" s="301">
        <v>0</v>
      </c>
      <c r="S2254" s="301">
        <v>0</v>
      </c>
      <c r="T2254" s="301">
        <v>0</v>
      </c>
      <c r="U2254" s="301">
        <v>0</v>
      </c>
      <c r="V2254" s="301">
        <v>0</v>
      </c>
      <c r="W2254" s="301">
        <v>0</v>
      </c>
      <c r="X2254" s="301">
        <v>0</v>
      </c>
      <c r="Y2254" s="301">
        <v>0</v>
      </c>
      <c r="Z2254" s="301">
        <v>0</v>
      </c>
      <c r="AA2254" s="301">
        <v>0</v>
      </c>
      <c r="AB2254" s="303">
        <v>2022</v>
      </c>
    </row>
    <row r="2255" spans="1:28" ht="35.25" x14ac:dyDescent="0.5">
      <c r="A2255">
        <v>1</v>
      </c>
      <c r="B2255" s="80">
        <f>SUBTOTAL(103,$A$1697:A2255)</f>
        <v>554</v>
      </c>
      <c r="C2255" s="308" t="s">
        <v>3526</v>
      </c>
      <c r="D2255" s="296">
        <f t="shared" si="108"/>
        <v>1626748</v>
      </c>
      <c r="E2255" s="301">
        <v>0</v>
      </c>
      <c r="F2255" s="301">
        <v>0</v>
      </c>
      <c r="G2255" s="301">
        <v>0</v>
      </c>
      <c r="H2255" s="301">
        <v>0</v>
      </c>
      <c r="I2255" s="301">
        <v>0</v>
      </c>
      <c r="J2255" s="301">
        <v>0</v>
      </c>
      <c r="K2255" s="302">
        <v>0</v>
      </c>
      <c r="L2255" s="301">
        <v>0</v>
      </c>
      <c r="M2255" s="301">
        <v>1626748</v>
      </c>
      <c r="N2255" s="301">
        <v>0</v>
      </c>
      <c r="O2255" s="301">
        <v>0</v>
      </c>
      <c r="P2255" s="301">
        <v>0</v>
      </c>
      <c r="Q2255" s="301">
        <v>0</v>
      </c>
      <c r="R2255" s="301">
        <v>0</v>
      </c>
      <c r="S2255" s="301">
        <v>0</v>
      </c>
      <c r="T2255" s="301">
        <v>0</v>
      </c>
      <c r="U2255" s="301">
        <v>0</v>
      </c>
      <c r="V2255" s="301">
        <v>0</v>
      </c>
      <c r="W2255" s="301">
        <v>0</v>
      </c>
      <c r="X2255" s="301">
        <v>0</v>
      </c>
      <c r="Y2255" s="301">
        <v>0</v>
      </c>
      <c r="Z2255" s="301">
        <v>0</v>
      </c>
      <c r="AA2255" s="301">
        <v>0</v>
      </c>
      <c r="AB2255" s="303">
        <v>2022</v>
      </c>
    </row>
    <row r="2256" spans="1:28" ht="35.25" x14ac:dyDescent="0.5">
      <c r="A2256">
        <v>1</v>
      </c>
      <c r="B2256" s="80">
        <f>SUBTOTAL(103,$A$1697:A2256)</f>
        <v>555</v>
      </c>
      <c r="C2256" s="308" t="s">
        <v>3527</v>
      </c>
      <c r="D2256" s="296">
        <f t="shared" si="108"/>
        <v>620277.19999999995</v>
      </c>
      <c r="E2256" s="301">
        <v>0</v>
      </c>
      <c r="F2256" s="301">
        <v>0</v>
      </c>
      <c r="G2256" s="301">
        <v>620277.19999999995</v>
      </c>
      <c r="H2256" s="301">
        <v>0</v>
      </c>
      <c r="I2256" s="301">
        <v>0</v>
      </c>
      <c r="J2256" s="301">
        <v>0</v>
      </c>
      <c r="K2256" s="302">
        <v>0</v>
      </c>
      <c r="L2256" s="301">
        <v>0</v>
      </c>
      <c r="M2256" s="301">
        <v>0</v>
      </c>
      <c r="N2256" s="301">
        <v>0</v>
      </c>
      <c r="O2256" s="301">
        <v>0</v>
      </c>
      <c r="P2256" s="301">
        <v>0</v>
      </c>
      <c r="Q2256" s="301">
        <v>0</v>
      </c>
      <c r="R2256" s="301">
        <v>0</v>
      </c>
      <c r="S2256" s="301">
        <v>0</v>
      </c>
      <c r="T2256" s="301">
        <v>0</v>
      </c>
      <c r="U2256" s="301">
        <v>0</v>
      </c>
      <c r="V2256" s="301">
        <v>0</v>
      </c>
      <c r="W2256" s="301">
        <v>0</v>
      </c>
      <c r="X2256" s="301">
        <v>0</v>
      </c>
      <c r="Y2256" s="301">
        <v>0</v>
      </c>
      <c r="Z2256" s="301">
        <v>0</v>
      </c>
      <c r="AA2256" s="301">
        <v>0</v>
      </c>
      <c r="AB2256" s="303">
        <v>2022</v>
      </c>
    </row>
    <row r="2257" spans="1:28" ht="35.25" x14ac:dyDescent="0.5">
      <c r="A2257">
        <v>1</v>
      </c>
      <c r="B2257" s="80">
        <f>SUBTOTAL(103,$A$1697:A2257)</f>
        <v>556</v>
      </c>
      <c r="C2257" s="308" t="s">
        <v>3528</v>
      </c>
      <c r="D2257" s="296">
        <f t="shared" si="108"/>
        <v>731925</v>
      </c>
      <c r="E2257" s="301">
        <v>0</v>
      </c>
      <c r="F2257" s="301">
        <v>0</v>
      </c>
      <c r="G2257" s="301">
        <v>529999</v>
      </c>
      <c r="H2257" s="301">
        <v>0</v>
      </c>
      <c r="I2257" s="301">
        <v>0</v>
      </c>
      <c r="J2257" s="301">
        <v>0</v>
      </c>
      <c r="K2257" s="302">
        <v>0</v>
      </c>
      <c r="L2257" s="301">
        <v>0</v>
      </c>
      <c r="M2257" s="301">
        <v>201926</v>
      </c>
      <c r="N2257" s="301">
        <v>0</v>
      </c>
      <c r="O2257" s="301">
        <v>0</v>
      </c>
      <c r="P2257" s="301">
        <v>0</v>
      </c>
      <c r="Q2257" s="301">
        <v>0</v>
      </c>
      <c r="R2257" s="301">
        <v>0</v>
      </c>
      <c r="S2257" s="301">
        <v>0</v>
      </c>
      <c r="T2257" s="301">
        <v>0</v>
      </c>
      <c r="U2257" s="301">
        <v>0</v>
      </c>
      <c r="V2257" s="301">
        <v>0</v>
      </c>
      <c r="W2257" s="301">
        <v>0</v>
      </c>
      <c r="X2257" s="301">
        <v>0</v>
      </c>
      <c r="Y2257" s="301">
        <v>0</v>
      </c>
      <c r="Z2257" s="301">
        <v>0</v>
      </c>
      <c r="AA2257" s="301">
        <v>0</v>
      </c>
      <c r="AB2257" s="303">
        <v>2022</v>
      </c>
    </row>
    <row r="2258" spans="1:28" ht="35.25" x14ac:dyDescent="0.5">
      <c r="A2258">
        <v>1</v>
      </c>
      <c r="B2258" s="80">
        <f>SUBTOTAL(103,$A$1697:A2258)</f>
        <v>557</v>
      </c>
      <c r="C2258" s="308" t="s">
        <v>3455</v>
      </c>
      <c r="D2258" s="296">
        <f t="shared" si="108"/>
        <v>936098.45</v>
      </c>
      <c r="E2258" s="301">
        <v>0</v>
      </c>
      <c r="F2258" s="301">
        <v>0</v>
      </c>
      <c r="G2258" s="301">
        <v>167482.45000000001</v>
      </c>
      <c r="H2258" s="301">
        <v>0</v>
      </c>
      <c r="I2258" s="301">
        <v>0</v>
      </c>
      <c r="J2258" s="301">
        <v>0</v>
      </c>
      <c r="K2258" s="302">
        <v>0</v>
      </c>
      <c r="L2258" s="301">
        <v>0</v>
      </c>
      <c r="M2258" s="301">
        <v>0</v>
      </c>
      <c r="N2258" s="301">
        <v>0</v>
      </c>
      <c r="O2258" s="301">
        <f>532616+236000</f>
        <v>768616</v>
      </c>
      <c r="P2258" s="301">
        <v>0</v>
      </c>
      <c r="Q2258" s="301">
        <v>0</v>
      </c>
      <c r="R2258" s="301">
        <v>0</v>
      </c>
      <c r="S2258" s="301">
        <v>0</v>
      </c>
      <c r="T2258" s="301">
        <v>0</v>
      </c>
      <c r="U2258" s="301">
        <v>0</v>
      </c>
      <c r="V2258" s="301">
        <v>0</v>
      </c>
      <c r="W2258" s="301">
        <v>0</v>
      </c>
      <c r="X2258" s="301">
        <v>0</v>
      </c>
      <c r="Y2258" s="301">
        <v>0</v>
      </c>
      <c r="Z2258" s="301">
        <v>0</v>
      </c>
      <c r="AA2258" s="301">
        <v>0</v>
      </c>
      <c r="AB2258" s="303">
        <v>2022</v>
      </c>
    </row>
    <row r="2259" spans="1:28" ht="35.25" x14ac:dyDescent="0.5">
      <c r="A2259">
        <v>1</v>
      </c>
      <c r="B2259" s="80">
        <f>SUBTOTAL(103,$A$1697:A2259)</f>
        <v>558</v>
      </c>
      <c r="C2259" s="308" t="s">
        <v>2379</v>
      </c>
      <c r="D2259" s="296">
        <f t="shared" si="108"/>
        <v>340384</v>
      </c>
      <c r="E2259" s="301">
        <v>0</v>
      </c>
      <c r="F2259" s="301">
        <v>0</v>
      </c>
      <c r="G2259" s="301">
        <v>0</v>
      </c>
      <c r="H2259" s="301">
        <v>340384</v>
      </c>
      <c r="I2259" s="301">
        <v>0</v>
      </c>
      <c r="J2259" s="301">
        <v>0</v>
      </c>
      <c r="K2259" s="302">
        <v>0</v>
      </c>
      <c r="L2259" s="301">
        <v>0</v>
      </c>
      <c r="M2259" s="301">
        <v>0</v>
      </c>
      <c r="N2259" s="301">
        <v>0</v>
      </c>
      <c r="O2259" s="301">
        <v>0</v>
      </c>
      <c r="P2259" s="301">
        <v>0</v>
      </c>
      <c r="Q2259" s="301">
        <v>0</v>
      </c>
      <c r="R2259" s="301">
        <v>0</v>
      </c>
      <c r="S2259" s="301">
        <v>0</v>
      </c>
      <c r="T2259" s="301">
        <v>0</v>
      </c>
      <c r="U2259" s="301">
        <v>0</v>
      </c>
      <c r="V2259" s="301">
        <v>0</v>
      </c>
      <c r="W2259" s="301">
        <v>0</v>
      </c>
      <c r="X2259" s="301">
        <v>0</v>
      </c>
      <c r="Y2259" s="301">
        <v>0</v>
      </c>
      <c r="Z2259" s="301">
        <v>0</v>
      </c>
      <c r="AA2259" s="301">
        <v>0</v>
      </c>
      <c r="AB2259" s="303">
        <v>2022</v>
      </c>
    </row>
    <row r="2260" spans="1:28" ht="35.25" x14ac:dyDescent="0.5">
      <c r="A2260">
        <v>1</v>
      </c>
      <c r="B2260" s="80">
        <f>SUBTOTAL(103,$A$1697:A2260)</f>
        <v>559</v>
      </c>
      <c r="C2260" s="308" t="s">
        <v>3597</v>
      </c>
      <c r="D2260" s="296">
        <f t="shared" si="108"/>
        <v>843516</v>
      </c>
      <c r="E2260" s="301">
        <v>0</v>
      </c>
      <c r="F2260" s="301">
        <v>0</v>
      </c>
      <c r="G2260" s="301">
        <v>0</v>
      </c>
      <c r="H2260" s="301">
        <v>843516</v>
      </c>
      <c r="I2260" s="301">
        <v>0</v>
      </c>
      <c r="J2260" s="301">
        <v>0</v>
      </c>
      <c r="K2260" s="302">
        <v>0</v>
      </c>
      <c r="L2260" s="301">
        <v>0</v>
      </c>
      <c r="M2260" s="301">
        <v>0</v>
      </c>
      <c r="N2260" s="301">
        <v>0</v>
      </c>
      <c r="O2260" s="301">
        <v>0</v>
      </c>
      <c r="P2260" s="301">
        <v>0</v>
      </c>
      <c r="Q2260" s="301">
        <v>0</v>
      </c>
      <c r="R2260" s="301">
        <v>0</v>
      </c>
      <c r="S2260" s="301">
        <v>0</v>
      </c>
      <c r="T2260" s="301">
        <v>0</v>
      </c>
      <c r="U2260" s="301">
        <v>0</v>
      </c>
      <c r="V2260" s="301">
        <v>0</v>
      </c>
      <c r="W2260" s="301">
        <v>0</v>
      </c>
      <c r="X2260" s="301">
        <v>0</v>
      </c>
      <c r="Y2260" s="301">
        <v>0</v>
      </c>
      <c r="Z2260" s="301">
        <v>0</v>
      </c>
      <c r="AA2260" s="301">
        <v>0</v>
      </c>
      <c r="AB2260" s="303">
        <v>2022</v>
      </c>
    </row>
    <row r="2261" spans="1:28" ht="35.25" x14ac:dyDescent="0.5">
      <c r="A2261">
        <v>1</v>
      </c>
      <c r="B2261" s="80">
        <f>SUBTOTAL(103,$A$1697:A2261)</f>
        <v>560</v>
      </c>
      <c r="C2261" s="308" t="s">
        <v>3084</v>
      </c>
      <c r="D2261" s="296">
        <f t="shared" si="108"/>
        <v>481018.98</v>
      </c>
      <c r="E2261" s="301">
        <v>0</v>
      </c>
      <c r="F2261" s="301">
        <v>0</v>
      </c>
      <c r="G2261" s="301">
        <v>184398</v>
      </c>
      <c r="H2261" s="301">
        <v>0</v>
      </c>
      <c r="I2261" s="301">
        <v>0</v>
      </c>
      <c r="J2261" s="301">
        <v>0</v>
      </c>
      <c r="K2261" s="302">
        <v>0</v>
      </c>
      <c r="L2261" s="301">
        <v>0</v>
      </c>
      <c r="M2261" s="301">
        <v>296620.98</v>
      </c>
      <c r="N2261" s="301">
        <v>0</v>
      </c>
      <c r="O2261" s="301">
        <v>0</v>
      </c>
      <c r="P2261" s="301">
        <v>0</v>
      </c>
      <c r="Q2261" s="301">
        <v>0</v>
      </c>
      <c r="R2261" s="301">
        <v>0</v>
      </c>
      <c r="S2261" s="301">
        <v>0</v>
      </c>
      <c r="T2261" s="301">
        <v>0</v>
      </c>
      <c r="U2261" s="301">
        <v>0</v>
      </c>
      <c r="V2261" s="301">
        <v>0</v>
      </c>
      <c r="W2261" s="301">
        <v>0</v>
      </c>
      <c r="X2261" s="301">
        <v>0</v>
      </c>
      <c r="Y2261" s="301">
        <v>0</v>
      </c>
      <c r="Z2261" s="301">
        <v>0</v>
      </c>
      <c r="AA2261" s="301">
        <v>0</v>
      </c>
      <c r="AB2261" s="303">
        <v>2022</v>
      </c>
    </row>
    <row r="2262" spans="1:28" ht="35.25" x14ac:dyDescent="0.5">
      <c r="A2262">
        <v>1</v>
      </c>
      <c r="B2262" s="80">
        <f>SUBTOTAL(103,$A$1697:A2262)</f>
        <v>561</v>
      </c>
      <c r="C2262" s="308" t="s">
        <v>3598</v>
      </c>
      <c r="D2262" s="296">
        <f t="shared" si="108"/>
        <v>799466.26</v>
      </c>
      <c r="E2262" s="301">
        <v>0</v>
      </c>
      <c r="F2262" s="301">
        <v>0</v>
      </c>
      <c r="G2262" s="301">
        <v>0</v>
      </c>
      <c r="H2262" s="301">
        <v>0</v>
      </c>
      <c r="I2262" s="301">
        <v>0</v>
      </c>
      <c r="J2262" s="301">
        <v>0</v>
      </c>
      <c r="K2262" s="302">
        <v>0</v>
      </c>
      <c r="L2262" s="301">
        <v>0</v>
      </c>
      <c r="M2262" s="301">
        <v>0</v>
      </c>
      <c r="N2262" s="301">
        <v>0</v>
      </c>
      <c r="O2262" s="301">
        <v>799466.26</v>
      </c>
      <c r="P2262" s="301">
        <v>0</v>
      </c>
      <c r="Q2262" s="301">
        <v>0</v>
      </c>
      <c r="R2262" s="301">
        <v>0</v>
      </c>
      <c r="S2262" s="301">
        <v>0</v>
      </c>
      <c r="T2262" s="301">
        <v>0</v>
      </c>
      <c r="U2262" s="301">
        <v>0</v>
      </c>
      <c r="V2262" s="301">
        <v>0</v>
      </c>
      <c r="W2262" s="301">
        <v>0</v>
      </c>
      <c r="X2262" s="301">
        <v>0</v>
      </c>
      <c r="Y2262" s="301">
        <v>0</v>
      </c>
      <c r="Z2262" s="301">
        <v>0</v>
      </c>
      <c r="AA2262" s="301">
        <v>0</v>
      </c>
      <c r="AB2262" s="303">
        <v>2022</v>
      </c>
    </row>
    <row r="2263" spans="1:28" ht="35.25" x14ac:dyDescent="0.5">
      <c r="A2263">
        <v>1</v>
      </c>
      <c r="B2263" s="80">
        <f>SUBTOTAL(103,$A$1697:A2263)</f>
        <v>562</v>
      </c>
      <c r="C2263" s="308" t="s">
        <v>1961</v>
      </c>
      <c r="D2263" s="296">
        <f t="shared" si="108"/>
        <v>131121</v>
      </c>
      <c r="E2263" s="301">
        <v>0</v>
      </c>
      <c r="F2263" s="301">
        <v>0</v>
      </c>
      <c r="G2263" s="301">
        <v>0</v>
      </c>
      <c r="H2263" s="301">
        <v>0</v>
      </c>
      <c r="I2263" s="301">
        <v>131121</v>
      </c>
      <c r="J2263" s="301">
        <v>0</v>
      </c>
      <c r="K2263" s="302">
        <v>0</v>
      </c>
      <c r="L2263" s="301">
        <v>0</v>
      </c>
      <c r="M2263" s="301">
        <v>0</v>
      </c>
      <c r="N2263" s="301">
        <v>0</v>
      </c>
      <c r="O2263" s="301">
        <v>0</v>
      </c>
      <c r="P2263" s="301">
        <v>0</v>
      </c>
      <c r="Q2263" s="301">
        <v>0</v>
      </c>
      <c r="R2263" s="301">
        <v>0</v>
      </c>
      <c r="S2263" s="301">
        <v>0</v>
      </c>
      <c r="T2263" s="301">
        <v>0</v>
      </c>
      <c r="U2263" s="301">
        <v>0</v>
      </c>
      <c r="V2263" s="301">
        <v>0</v>
      </c>
      <c r="W2263" s="301">
        <v>0</v>
      </c>
      <c r="X2263" s="301">
        <v>0</v>
      </c>
      <c r="Y2263" s="301">
        <v>0</v>
      </c>
      <c r="Z2263" s="301">
        <v>0</v>
      </c>
      <c r="AA2263" s="301">
        <v>0</v>
      </c>
      <c r="AB2263" s="303">
        <v>2022</v>
      </c>
    </row>
    <row r="2264" spans="1:28" ht="35.25" x14ac:dyDescent="0.5">
      <c r="A2264">
        <v>1</v>
      </c>
      <c r="B2264" s="80">
        <f>SUBTOTAL(103,$A$1697:A2264)</f>
        <v>563</v>
      </c>
      <c r="C2264" s="308" t="s">
        <v>3643</v>
      </c>
      <c r="D2264" s="296">
        <f t="shared" si="108"/>
        <v>2401091.8899999997</v>
      </c>
      <c r="E2264" s="301">
        <v>0</v>
      </c>
      <c r="F2264" s="301">
        <v>0</v>
      </c>
      <c r="G2264" s="301">
        <v>0</v>
      </c>
      <c r="H2264" s="301">
        <v>0</v>
      </c>
      <c r="I2264" s="301">
        <v>0</v>
      </c>
      <c r="J2264" s="301">
        <v>0</v>
      </c>
      <c r="K2264" s="302">
        <v>0</v>
      </c>
      <c r="L2264" s="301">
        <v>0</v>
      </c>
      <c r="M2264" s="301">
        <v>2401091.8899999997</v>
      </c>
      <c r="N2264" s="301">
        <v>0</v>
      </c>
      <c r="O2264" s="301">
        <v>0</v>
      </c>
      <c r="P2264" s="301">
        <v>0</v>
      </c>
      <c r="Q2264" s="301">
        <v>0</v>
      </c>
      <c r="R2264" s="301">
        <v>0</v>
      </c>
      <c r="S2264" s="301">
        <v>0</v>
      </c>
      <c r="T2264" s="301">
        <v>0</v>
      </c>
      <c r="U2264" s="301">
        <v>0</v>
      </c>
      <c r="V2264" s="301">
        <v>0</v>
      </c>
      <c r="W2264" s="301">
        <v>0</v>
      </c>
      <c r="X2264" s="301">
        <v>0</v>
      </c>
      <c r="Y2264" s="301">
        <v>0</v>
      </c>
      <c r="Z2264" s="301">
        <v>0</v>
      </c>
      <c r="AA2264" s="301">
        <v>0</v>
      </c>
      <c r="AB2264" s="303">
        <v>2022</v>
      </c>
    </row>
    <row r="2265" spans="1:28" ht="35.25" x14ac:dyDescent="0.5">
      <c r="A2265">
        <v>1</v>
      </c>
      <c r="B2265" s="80">
        <f>SUBTOTAL(103,$A$1697:A2265)</f>
        <v>564</v>
      </c>
      <c r="C2265" s="308" t="s">
        <v>2978</v>
      </c>
      <c r="D2265" s="296">
        <f t="shared" si="108"/>
        <v>1090647</v>
      </c>
      <c r="E2265" s="301">
        <v>0</v>
      </c>
      <c r="F2265" s="301">
        <v>0</v>
      </c>
      <c r="G2265" s="301">
        <v>0</v>
      </c>
      <c r="H2265" s="301">
        <v>0</v>
      </c>
      <c r="I2265" s="301">
        <v>0</v>
      </c>
      <c r="J2265" s="301">
        <v>0</v>
      </c>
      <c r="K2265" s="302">
        <v>0</v>
      </c>
      <c r="L2265" s="301">
        <v>0</v>
      </c>
      <c r="M2265" s="301">
        <v>0</v>
      </c>
      <c r="N2265" s="301">
        <v>0</v>
      </c>
      <c r="O2265" s="301">
        <v>1090647</v>
      </c>
      <c r="P2265" s="301">
        <v>0</v>
      </c>
      <c r="Q2265" s="301">
        <v>0</v>
      </c>
      <c r="R2265" s="301">
        <v>0</v>
      </c>
      <c r="S2265" s="301">
        <v>0</v>
      </c>
      <c r="T2265" s="301">
        <v>0</v>
      </c>
      <c r="U2265" s="301">
        <v>0</v>
      </c>
      <c r="V2265" s="301">
        <v>0</v>
      </c>
      <c r="W2265" s="301">
        <v>0</v>
      </c>
      <c r="X2265" s="301">
        <v>0</v>
      </c>
      <c r="Y2265" s="301">
        <v>0</v>
      </c>
      <c r="Z2265" s="301">
        <v>0</v>
      </c>
      <c r="AA2265" s="301">
        <v>0</v>
      </c>
      <c r="AB2265" s="303">
        <v>2022</v>
      </c>
    </row>
    <row r="2266" spans="1:28" ht="35.25" x14ac:dyDescent="0.5">
      <c r="A2266">
        <v>1</v>
      </c>
      <c r="B2266" s="80">
        <f>SUBTOTAL(103,$A$1697:A2266)</f>
        <v>565</v>
      </c>
      <c r="C2266" s="308" t="s">
        <v>3113</v>
      </c>
      <c r="D2266" s="296">
        <f t="shared" si="108"/>
        <v>224747.66</v>
      </c>
      <c r="E2266" s="301">
        <v>0</v>
      </c>
      <c r="F2266" s="301">
        <v>0</v>
      </c>
      <c r="G2266" s="301">
        <v>0</v>
      </c>
      <c r="H2266" s="301">
        <v>0</v>
      </c>
      <c r="I2266" s="301">
        <v>0</v>
      </c>
      <c r="J2266" s="301">
        <v>0</v>
      </c>
      <c r="K2266" s="302">
        <v>0</v>
      </c>
      <c r="L2266" s="301">
        <v>0</v>
      </c>
      <c r="M2266" s="301">
        <v>224747.66</v>
      </c>
      <c r="N2266" s="301">
        <v>0</v>
      </c>
      <c r="O2266" s="301">
        <v>0</v>
      </c>
      <c r="P2266" s="301">
        <v>0</v>
      </c>
      <c r="Q2266" s="301">
        <v>0</v>
      </c>
      <c r="R2266" s="301">
        <v>0</v>
      </c>
      <c r="S2266" s="301">
        <v>0</v>
      </c>
      <c r="T2266" s="301">
        <v>0</v>
      </c>
      <c r="U2266" s="301">
        <v>0</v>
      </c>
      <c r="V2266" s="301">
        <v>0</v>
      </c>
      <c r="W2266" s="301">
        <v>0</v>
      </c>
      <c r="X2266" s="301">
        <v>0</v>
      </c>
      <c r="Y2266" s="301">
        <v>0</v>
      </c>
      <c r="Z2266" s="301">
        <v>0</v>
      </c>
      <c r="AA2266" s="301">
        <v>0</v>
      </c>
      <c r="AB2266" s="303">
        <v>2022</v>
      </c>
    </row>
    <row r="2267" spans="1:28" ht="35.25" x14ac:dyDescent="0.5">
      <c r="A2267">
        <v>1</v>
      </c>
      <c r="B2267" s="80">
        <f>SUBTOTAL(103,$A$1697:A2267)</f>
        <v>566</v>
      </c>
      <c r="C2267" s="308" t="s">
        <v>1965</v>
      </c>
      <c r="D2267" s="296">
        <f t="shared" si="108"/>
        <v>334560</v>
      </c>
      <c r="E2267" s="301">
        <v>0</v>
      </c>
      <c r="F2267" s="301">
        <v>0</v>
      </c>
      <c r="G2267" s="301">
        <v>0</v>
      </c>
      <c r="H2267" s="301">
        <v>0</v>
      </c>
      <c r="I2267" s="301">
        <v>0</v>
      </c>
      <c r="J2267" s="301">
        <v>0</v>
      </c>
      <c r="K2267" s="302">
        <v>0</v>
      </c>
      <c r="L2267" s="301">
        <v>0</v>
      </c>
      <c r="M2267" s="301">
        <v>0</v>
      </c>
      <c r="N2267" s="301">
        <v>0</v>
      </c>
      <c r="O2267" s="301">
        <v>334560</v>
      </c>
      <c r="P2267" s="301">
        <v>0</v>
      </c>
      <c r="Q2267" s="301">
        <v>0</v>
      </c>
      <c r="R2267" s="301">
        <v>0</v>
      </c>
      <c r="S2267" s="301">
        <v>0</v>
      </c>
      <c r="T2267" s="301">
        <v>0</v>
      </c>
      <c r="U2267" s="301">
        <v>0</v>
      </c>
      <c r="V2267" s="301">
        <v>0</v>
      </c>
      <c r="W2267" s="301">
        <v>0</v>
      </c>
      <c r="X2267" s="301">
        <v>0</v>
      </c>
      <c r="Y2267" s="301">
        <v>0</v>
      </c>
      <c r="Z2267" s="301">
        <v>0</v>
      </c>
      <c r="AA2267" s="301">
        <v>0</v>
      </c>
      <c r="AB2267" s="303">
        <v>2022</v>
      </c>
    </row>
    <row r="2268" spans="1:28" ht="35.25" x14ac:dyDescent="0.5">
      <c r="A2268">
        <v>1</v>
      </c>
      <c r="B2268" s="80">
        <f>SUBTOTAL(103,$A$1697:A2268)</f>
        <v>567</v>
      </c>
      <c r="C2268" s="308" t="s">
        <v>3115</v>
      </c>
      <c r="D2268" s="296">
        <f t="shared" si="108"/>
        <v>359939</v>
      </c>
      <c r="E2268" s="301">
        <v>359939</v>
      </c>
      <c r="F2268" s="301">
        <v>0</v>
      </c>
      <c r="G2268" s="301">
        <v>0</v>
      </c>
      <c r="H2268" s="301">
        <v>0</v>
      </c>
      <c r="I2268" s="301">
        <v>0</v>
      </c>
      <c r="J2268" s="301">
        <v>0</v>
      </c>
      <c r="K2268" s="302">
        <v>0</v>
      </c>
      <c r="L2268" s="301">
        <v>0</v>
      </c>
      <c r="M2268" s="301">
        <v>0</v>
      </c>
      <c r="N2268" s="301">
        <v>0</v>
      </c>
      <c r="O2268" s="301">
        <v>0</v>
      </c>
      <c r="P2268" s="301">
        <v>0</v>
      </c>
      <c r="Q2268" s="301">
        <v>0</v>
      </c>
      <c r="R2268" s="301">
        <v>0</v>
      </c>
      <c r="S2268" s="301">
        <v>0</v>
      </c>
      <c r="T2268" s="301">
        <v>0</v>
      </c>
      <c r="U2268" s="301">
        <v>0</v>
      </c>
      <c r="V2268" s="301">
        <v>0</v>
      </c>
      <c r="W2268" s="301">
        <v>0</v>
      </c>
      <c r="X2268" s="301">
        <v>0</v>
      </c>
      <c r="Y2268" s="301">
        <v>0</v>
      </c>
      <c r="Z2268" s="301">
        <v>0</v>
      </c>
      <c r="AA2268" s="301">
        <v>0</v>
      </c>
      <c r="AB2268" s="303">
        <v>2022</v>
      </c>
    </row>
    <row r="2269" spans="1:28" ht="35.25" x14ac:dyDescent="0.5">
      <c r="A2269">
        <v>1</v>
      </c>
      <c r="B2269" s="80">
        <f>SUBTOTAL(103,$A$1697:A2269)</f>
        <v>568</v>
      </c>
      <c r="C2269" s="308" t="s">
        <v>3546</v>
      </c>
      <c r="D2269" s="296">
        <f t="shared" si="108"/>
        <v>307308</v>
      </c>
      <c r="E2269" s="301">
        <v>0</v>
      </c>
      <c r="F2269" s="301">
        <v>0</v>
      </c>
      <c r="G2269" s="301">
        <v>307308</v>
      </c>
      <c r="H2269" s="301">
        <v>0</v>
      </c>
      <c r="I2269" s="301">
        <v>0</v>
      </c>
      <c r="J2269" s="301">
        <v>0</v>
      </c>
      <c r="K2269" s="302">
        <v>0</v>
      </c>
      <c r="L2269" s="301">
        <v>0</v>
      </c>
      <c r="M2269" s="301">
        <v>0</v>
      </c>
      <c r="N2269" s="301">
        <v>0</v>
      </c>
      <c r="O2269" s="301">
        <v>0</v>
      </c>
      <c r="P2269" s="301">
        <v>0</v>
      </c>
      <c r="Q2269" s="301">
        <v>0</v>
      </c>
      <c r="R2269" s="301">
        <v>0</v>
      </c>
      <c r="S2269" s="301">
        <v>0</v>
      </c>
      <c r="T2269" s="301">
        <v>0</v>
      </c>
      <c r="U2269" s="301">
        <v>0</v>
      </c>
      <c r="V2269" s="301">
        <v>0</v>
      </c>
      <c r="W2269" s="301">
        <v>0</v>
      </c>
      <c r="X2269" s="301">
        <v>0</v>
      </c>
      <c r="Y2269" s="301">
        <v>0</v>
      </c>
      <c r="Z2269" s="301">
        <v>0</v>
      </c>
      <c r="AA2269" s="301">
        <v>0</v>
      </c>
      <c r="AB2269" s="303">
        <v>2022</v>
      </c>
    </row>
    <row r="2270" spans="1:28" ht="35.25" x14ac:dyDescent="0.5">
      <c r="A2270">
        <v>1</v>
      </c>
      <c r="B2270" s="80">
        <f>SUBTOTAL(103,$A$1697:A2270)</f>
        <v>569</v>
      </c>
      <c r="C2270" s="308" t="s">
        <v>3656</v>
      </c>
      <c r="D2270" s="296">
        <f t="shared" si="108"/>
        <v>578209</v>
      </c>
      <c r="E2270" s="301">
        <v>0</v>
      </c>
      <c r="F2270" s="301">
        <v>0</v>
      </c>
      <c r="G2270" s="301">
        <v>0</v>
      </c>
      <c r="H2270" s="301">
        <v>0</v>
      </c>
      <c r="I2270" s="301">
        <v>0</v>
      </c>
      <c r="J2270" s="301">
        <v>0</v>
      </c>
      <c r="K2270" s="302">
        <v>1</v>
      </c>
      <c r="L2270" s="301">
        <v>578209</v>
      </c>
      <c r="M2270" s="301">
        <v>0</v>
      </c>
      <c r="N2270" s="301">
        <v>0</v>
      </c>
      <c r="O2270" s="301">
        <v>0</v>
      </c>
      <c r="P2270" s="301">
        <v>0</v>
      </c>
      <c r="Q2270" s="301">
        <v>0</v>
      </c>
      <c r="R2270" s="301">
        <v>0</v>
      </c>
      <c r="S2270" s="301">
        <v>0</v>
      </c>
      <c r="T2270" s="301">
        <v>0</v>
      </c>
      <c r="U2270" s="301">
        <v>0</v>
      </c>
      <c r="V2270" s="301">
        <v>0</v>
      </c>
      <c r="W2270" s="301">
        <v>0</v>
      </c>
      <c r="X2270" s="301">
        <v>0</v>
      </c>
      <c r="Y2270" s="301">
        <v>0</v>
      </c>
      <c r="Z2270" s="301">
        <v>0</v>
      </c>
      <c r="AA2270" s="301">
        <v>0</v>
      </c>
      <c r="AB2270" s="303">
        <v>2022</v>
      </c>
    </row>
    <row r="2271" spans="1:28" ht="35.25" x14ac:dyDescent="0.5">
      <c r="A2271">
        <v>1</v>
      </c>
      <c r="B2271" s="80">
        <f>SUBTOTAL(103,$A$1697:A2271)</f>
        <v>570</v>
      </c>
      <c r="C2271" s="308" t="s">
        <v>3599</v>
      </c>
      <c r="D2271" s="296">
        <f t="shared" si="108"/>
        <v>2032505</v>
      </c>
      <c r="E2271" s="301">
        <v>0</v>
      </c>
      <c r="F2271" s="301">
        <v>0</v>
      </c>
      <c r="G2271" s="301">
        <v>0</v>
      </c>
      <c r="H2271" s="301">
        <v>0</v>
      </c>
      <c r="I2271" s="301">
        <v>0</v>
      </c>
      <c r="J2271" s="301">
        <v>0</v>
      </c>
      <c r="K2271" s="302">
        <v>0</v>
      </c>
      <c r="L2271" s="301">
        <v>0</v>
      </c>
      <c r="M2271" s="301">
        <v>2032505</v>
      </c>
      <c r="N2271" s="301">
        <v>0</v>
      </c>
      <c r="O2271" s="301">
        <v>0</v>
      </c>
      <c r="P2271" s="301">
        <v>0</v>
      </c>
      <c r="Q2271" s="301">
        <v>0</v>
      </c>
      <c r="R2271" s="301">
        <v>0</v>
      </c>
      <c r="S2271" s="301">
        <v>0</v>
      </c>
      <c r="T2271" s="301">
        <v>0</v>
      </c>
      <c r="U2271" s="301">
        <v>0</v>
      </c>
      <c r="V2271" s="301">
        <v>0</v>
      </c>
      <c r="W2271" s="301">
        <v>0</v>
      </c>
      <c r="X2271" s="301">
        <v>0</v>
      </c>
      <c r="Y2271" s="301">
        <v>0</v>
      </c>
      <c r="Z2271" s="301">
        <v>0</v>
      </c>
      <c r="AA2271" s="301">
        <v>0</v>
      </c>
      <c r="AB2271" s="303">
        <v>2022</v>
      </c>
    </row>
    <row r="2272" spans="1:28" ht="35.25" x14ac:dyDescent="0.5">
      <c r="A2272">
        <v>1</v>
      </c>
      <c r="B2272" s="80">
        <f>SUBTOTAL(103,$A$1697:A2272)</f>
        <v>571</v>
      </c>
      <c r="C2272" s="308" t="s">
        <v>1356</v>
      </c>
      <c r="D2272" s="296">
        <f t="shared" si="108"/>
        <v>533562.81999999995</v>
      </c>
      <c r="E2272" s="301">
        <v>0</v>
      </c>
      <c r="F2272" s="301">
        <v>0</v>
      </c>
      <c r="G2272" s="301">
        <v>0</v>
      </c>
      <c r="H2272" s="301">
        <v>533562.81999999995</v>
      </c>
      <c r="I2272" s="301">
        <v>0</v>
      </c>
      <c r="J2272" s="301">
        <v>0</v>
      </c>
      <c r="K2272" s="302">
        <v>0</v>
      </c>
      <c r="L2272" s="301">
        <v>0</v>
      </c>
      <c r="M2272" s="301">
        <v>0</v>
      </c>
      <c r="N2272" s="301">
        <v>0</v>
      </c>
      <c r="O2272" s="301">
        <v>0</v>
      </c>
      <c r="P2272" s="301">
        <v>0</v>
      </c>
      <c r="Q2272" s="301">
        <v>0</v>
      </c>
      <c r="R2272" s="301">
        <v>0</v>
      </c>
      <c r="S2272" s="301">
        <v>0</v>
      </c>
      <c r="T2272" s="301">
        <v>0</v>
      </c>
      <c r="U2272" s="301">
        <v>0</v>
      </c>
      <c r="V2272" s="301">
        <v>0</v>
      </c>
      <c r="W2272" s="301">
        <v>0</v>
      </c>
      <c r="X2272" s="301">
        <v>0</v>
      </c>
      <c r="Y2272" s="301">
        <v>0</v>
      </c>
      <c r="Z2272" s="301">
        <v>0</v>
      </c>
      <c r="AA2272" s="301">
        <v>0</v>
      </c>
      <c r="AB2272" s="303">
        <v>2022</v>
      </c>
    </row>
    <row r="2273" spans="1:28" ht="35.25" x14ac:dyDescent="0.5">
      <c r="A2273">
        <v>1</v>
      </c>
      <c r="B2273" s="80">
        <f>SUBTOTAL(103,$A$1697:A2273)</f>
        <v>572</v>
      </c>
      <c r="C2273" s="308" t="s">
        <v>3600</v>
      </c>
      <c r="D2273" s="296">
        <f t="shared" si="108"/>
        <v>684925</v>
      </c>
      <c r="E2273" s="301">
        <v>0</v>
      </c>
      <c r="F2273" s="301">
        <v>0</v>
      </c>
      <c r="G2273" s="301">
        <v>0</v>
      </c>
      <c r="H2273" s="301">
        <v>0</v>
      </c>
      <c r="I2273" s="301">
        <v>0</v>
      </c>
      <c r="J2273" s="301">
        <v>0</v>
      </c>
      <c r="K2273" s="302">
        <v>0</v>
      </c>
      <c r="L2273" s="301">
        <v>0</v>
      </c>
      <c r="M2273" s="301">
        <v>684925</v>
      </c>
      <c r="N2273" s="301">
        <v>0</v>
      </c>
      <c r="O2273" s="301">
        <v>0</v>
      </c>
      <c r="P2273" s="301">
        <v>0</v>
      </c>
      <c r="Q2273" s="301">
        <v>0</v>
      </c>
      <c r="R2273" s="301">
        <v>0</v>
      </c>
      <c r="S2273" s="301">
        <v>0</v>
      </c>
      <c r="T2273" s="301">
        <v>0</v>
      </c>
      <c r="U2273" s="301">
        <v>0</v>
      </c>
      <c r="V2273" s="301">
        <v>0</v>
      </c>
      <c r="W2273" s="301">
        <v>0</v>
      </c>
      <c r="X2273" s="301">
        <v>0</v>
      </c>
      <c r="Y2273" s="301">
        <v>0</v>
      </c>
      <c r="Z2273" s="301">
        <v>0</v>
      </c>
      <c r="AA2273" s="301">
        <v>0</v>
      </c>
      <c r="AB2273" s="303">
        <v>2022</v>
      </c>
    </row>
    <row r="2274" spans="1:28" ht="35.25" x14ac:dyDescent="0.5">
      <c r="A2274">
        <v>1</v>
      </c>
      <c r="B2274" s="80">
        <f>SUBTOTAL(103,$A$1697:A2274)</f>
        <v>573</v>
      </c>
      <c r="C2274" s="308" t="s">
        <v>1970</v>
      </c>
      <c r="D2274" s="296">
        <f t="shared" si="108"/>
        <v>230075</v>
      </c>
      <c r="E2274" s="301">
        <v>0</v>
      </c>
      <c r="F2274" s="301">
        <v>0</v>
      </c>
      <c r="G2274" s="301">
        <v>0</v>
      </c>
      <c r="H2274" s="301">
        <v>0</v>
      </c>
      <c r="I2274" s="301">
        <v>0</v>
      </c>
      <c r="J2274" s="301">
        <v>0</v>
      </c>
      <c r="K2274" s="302">
        <v>0</v>
      </c>
      <c r="L2274" s="301">
        <v>0</v>
      </c>
      <c r="M2274" s="301">
        <v>230075</v>
      </c>
      <c r="N2274" s="301">
        <v>0</v>
      </c>
      <c r="O2274" s="301">
        <v>0</v>
      </c>
      <c r="P2274" s="301">
        <v>0</v>
      </c>
      <c r="Q2274" s="301">
        <v>0</v>
      </c>
      <c r="R2274" s="301">
        <v>0</v>
      </c>
      <c r="S2274" s="301">
        <v>0</v>
      </c>
      <c r="T2274" s="301">
        <v>0</v>
      </c>
      <c r="U2274" s="301">
        <v>0</v>
      </c>
      <c r="V2274" s="301">
        <v>0</v>
      </c>
      <c r="W2274" s="301">
        <v>0</v>
      </c>
      <c r="X2274" s="301">
        <v>0</v>
      </c>
      <c r="Y2274" s="301">
        <v>0</v>
      </c>
      <c r="Z2274" s="301">
        <v>0</v>
      </c>
      <c r="AA2274" s="301">
        <v>0</v>
      </c>
      <c r="AB2274" s="303">
        <v>2022</v>
      </c>
    </row>
    <row r="2275" spans="1:28" ht="35.25" x14ac:dyDescent="0.5">
      <c r="A2275">
        <v>1</v>
      </c>
      <c r="B2275" s="80">
        <f>SUBTOTAL(103,$A$1697:A2275)</f>
        <v>574</v>
      </c>
      <c r="C2275" s="308" t="s">
        <v>3644</v>
      </c>
      <c r="D2275" s="296">
        <f t="shared" si="108"/>
        <v>569272.96</v>
      </c>
      <c r="E2275" s="301">
        <v>0</v>
      </c>
      <c r="F2275" s="301">
        <v>0</v>
      </c>
      <c r="G2275" s="301">
        <v>0</v>
      </c>
      <c r="H2275" s="301">
        <v>0</v>
      </c>
      <c r="I2275" s="301">
        <v>185292</v>
      </c>
      <c r="J2275" s="301">
        <v>0</v>
      </c>
      <c r="K2275" s="302">
        <v>0</v>
      </c>
      <c r="L2275" s="301">
        <v>0</v>
      </c>
      <c r="M2275" s="301">
        <v>128980.96</v>
      </c>
      <c r="N2275" s="301">
        <v>0</v>
      </c>
      <c r="O2275" s="301">
        <v>255000</v>
      </c>
      <c r="P2275" s="301">
        <v>0</v>
      </c>
      <c r="Q2275" s="301">
        <v>0</v>
      </c>
      <c r="R2275" s="301">
        <v>0</v>
      </c>
      <c r="S2275" s="301">
        <v>0</v>
      </c>
      <c r="T2275" s="301">
        <v>0</v>
      </c>
      <c r="U2275" s="301">
        <v>0</v>
      </c>
      <c r="V2275" s="301">
        <v>0</v>
      </c>
      <c r="W2275" s="301">
        <v>0</v>
      </c>
      <c r="X2275" s="301">
        <v>0</v>
      </c>
      <c r="Y2275" s="301">
        <v>0</v>
      </c>
      <c r="Z2275" s="301">
        <v>0</v>
      </c>
      <c r="AA2275" s="301">
        <v>0</v>
      </c>
      <c r="AB2275" s="303">
        <v>2022</v>
      </c>
    </row>
    <row r="2276" spans="1:28" ht="35.25" x14ac:dyDescent="0.5">
      <c r="A2276">
        <v>1</v>
      </c>
      <c r="B2276" s="80">
        <f>SUBTOTAL(103,$A$1697:A2276)</f>
        <v>575</v>
      </c>
      <c r="C2276" s="308" t="s">
        <v>3645</v>
      </c>
      <c r="D2276" s="296">
        <f t="shared" si="108"/>
        <v>399542.2</v>
      </c>
      <c r="E2276" s="301">
        <v>0</v>
      </c>
      <c r="F2276" s="301">
        <v>0</v>
      </c>
      <c r="G2276" s="301">
        <v>0</v>
      </c>
      <c r="H2276" s="301">
        <v>0</v>
      </c>
      <c r="I2276" s="301">
        <v>399542.2</v>
      </c>
      <c r="J2276" s="301">
        <v>0</v>
      </c>
      <c r="K2276" s="302">
        <v>0</v>
      </c>
      <c r="L2276" s="301">
        <v>0</v>
      </c>
      <c r="M2276" s="301">
        <v>0</v>
      </c>
      <c r="N2276" s="301">
        <v>0</v>
      </c>
      <c r="O2276" s="301">
        <v>0</v>
      </c>
      <c r="P2276" s="301">
        <v>0</v>
      </c>
      <c r="Q2276" s="301">
        <v>0</v>
      </c>
      <c r="R2276" s="301">
        <v>0</v>
      </c>
      <c r="S2276" s="301">
        <v>0</v>
      </c>
      <c r="T2276" s="301">
        <v>0</v>
      </c>
      <c r="U2276" s="301">
        <v>0</v>
      </c>
      <c r="V2276" s="301">
        <v>0</v>
      </c>
      <c r="W2276" s="301">
        <v>0</v>
      </c>
      <c r="X2276" s="301">
        <v>0</v>
      </c>
      <c r="Y2276" s="301">
        <v>0</v>
      </c>
      <c r="Z2276" s="301">
        <v>0</v>
      </c>
      <c r="AA2276" s="301">
        <v>0</v>
      </c>
      <c r="AB2276" s="303">
        <v>2022</v>
      </c>
    </row>
    <row r="2277" spans="1:28" ht="35.25" x14ac:dyDescent="0.5">
      <c r="A2277">
        <v>1</v>
      </c>
      <c r="B2277" s="80">
        <f>SUBTOTAL(103,$A$1697:A2277)</f>
        <v>576</v>
      </c>
      <c r="C2277" s="308" t="s">
        <v>3601</v>
      </c>
      <c r="D2277" s="296">
        <f t="shared" si="108"/>
        <v>646770</v>
      </c>
      <c r="E2277" s="301">
        <v>0</v>
      </c>
      <c r="F2277" s="301">
        <v>0</v>
      </c>
      <c r="G2277" s="301">
        <v>0</v>
      </c>
      <c r="H2277" s="301">
        <v>0</v>
      </c>
      <c r="I2277" s="301">
        <v>0</v>
      </c>
      <c r="J2277" s="301">
        <v>0</v>
      </c>
      <c r="K2277" s="302">
        <v>0</v>
      </c>
      <c r="L2277" s="301">
        <v>0</v>
      </c>
      <c r="M2277" s="301">
        <v>646770</v>
      </c>
      <c r="N2277" s="301">
        <v>0</v>
      </c>
      <c r="O2277" s="301">
        <v>0</v>
      </c>
      <c r="P2277" s="301">
        <v>0</v>
      </c>
      <c r="Q2277" s="301">
        <v>0</v>
      </c>
      <c r="R2277" s="301">
        <v>0</v>
      </c>
      <c r="S2277" s="301">
        <v>0</v>
      </c>
      <c r="T2277" s="301">
        <v>0</v>
      </c>
      <c r="U2277" s="301">
        <v>0</v>
      </c>
      <c r="V2277" s="301">
        <v>0</v>
      </c>
      <c r="W2277" s="301">
        <v>0</v>
      </c>
      <c r="X2277" s="301">
        <v>0</v>
      </c>
      <c r="Y2277" s="301">
        <v>0</v>
      </c>
      <c r="Z2277" s="301">
        <v>0</v>
      </c>
      <c r="AA2277" s="301">
        <v>0</v>
      </c>
      <c r="AB2277" s="303">
        <v>2022</v>
      </c>
    </row>
    <row r="2278" spans="1:28" ht="35.25" x14ac:dyDescent="0.5">
      <c r="A2278">
        <v>1</v>
      </c>
      <c r="B2278" s="80">
        <f>SUBTOTAL(103,$A$1697:A2278)</f>
        <v>577</v>
      </c>
      <c r="C2278" s="308" t="s">
        <v>3080</v>
      </c>
      <c r="D2278" s="296">
        <f t="shared" si="108"/>
        <v>167120</v>
      </c>
      <c r="E2278" s="301">
        <v>0</v>
      </c>
      <c r="F2278" s="301">
        <v>0</v>
      </c>
      <c r="G2278" s="301">
        <v>0</v>
      </c>
      <c r="H2278" s="301">
        <v>0</v>
      </c>
      <c r="I2278" s="301">
        <v>0</v>
      </c>
      <c r="J2278" s="301">
        <v>0</v>
      </c>
      <c r="K2278" s="302">
        <v>0</v>
      </c>
      <c r="L2278" s="301">
        <v>0</v>
      </c>
      <c r="M2278" s="301">
        <v>167120</v>
      </c>
      <c r="N2278" s="301">
        <v>0</v>
      </c>
      <c r="O2278" s="301">
        <v>0</v>
      </c>
      <c r="P2278" s="301">
        <v>0</v>
      </c>
      <c r="Q2278" s="301">
        <v>0</v>
      </c>
      <c r="R2278" s="301">
        <v>0</v>
      </c>
      <c r="S2278" s="301">
        <v>0</v>
      </c>
      <c r="T2278" s="301">
        <v>0</v>
      </c>
      <c r="U2278" s="301">
        <v>0</v>
      </c>
      <c r="V2278" s="301">
        <v>0</v>
      </c>
      <c r="W2278" s="301">
        <v>0</v>
      </c>
      <c r="X2278" s="301">
        <v>0</v>
      </c>
      <c r="Y2278" s="301">
        <v>0</v>
      </c>
      <c r="Z2278" s="301">
        <v>0</v>
      </c>
      <c r="AA2278" s="301">
        <v>0</v>
      </c>
      <c r="AB2278" s="303">
        <v>2022</v>
      </c>
    </row>
    <row r="2279" spans="1:28" ht="35.25" x14ac:dyDescent="0.5">
      <c r="A2279">
        <v>1</v>
      </c>
      <c r="B2279" s="80">
        <f>SUBTOTAL(103,$A$1697:A2279)</f>
        <v>578</v>
      </c>
      <c r="C2279" s="308" t="s">
        <v>1974</v>
      </c>
      <c r="D2279" s="296">
        <f t="shared" si="108"/>
        <v>470316</v>
      </c>
      <c r="E2279" s="301">
        <v>0</v>
      </c>
      <c r="F2279" s="301">
        <v>0</v>
      </c>
      <c r="G2279" s="301">
        <v>0</v>
      </c>
      <c r="H2279" s="301">
        <v>0</v>
      </c>
      <c r="I2279" s="301">
        <v>0</v>
      </c>
      <c r="J2279" s="301">
        <v>0</v>
      </c>
      <c r="K2279" s="302">
        <v>0</v>
      </c>
      <c r="L2279" s="301">
        <v>0</v>
      </c>
      <c r="M2279" s="301">
        <v>470316</v>
      </c>
      <c r="N2279" s="301">
        <v>0</v>
      </c>
      <c r="O2279" s="301">
        <v>0</v>
      </c>
      <c r="P2279" s="301">
        <v>0</v>
      </c>
      <c r="Q2279" s="301">
        <v>0</v>
      </c>
      <c r="R2279" s="301">
        <v>0</v>
      </c>
      <c r="S2279" s="301">
        <v>0</v>
      </c>
      <c r="T2279" s="301">
        <v>0</v>
      </c>
      <c r="U2279" s="301">
        <v>0</v>
      </c>
      <c r="V2279" s="301">
        <v>0</v>
      </c>
      <c r="W2279" s="301">
        <v>0</v>
      </c>
      <c r="X2279" s="301">
        <v>0</v>
      </c>
      <c r="Y2279" s="301">
        <v>0</v>
      </c>
      <c r="Z2279" s="301">
        <v>0</v>
      </c>
      <c r="AA2279" s="301">
        <v>0</v>
      </c>
      <c r="AB2279" s="303">
        <v>2022</v>
      </c>
    </row>
    <row r="2280" spans="1:28" ht="35.25" x14ac:dyDescent="0.5">
      <c r="A2280">
        <v>1</v>
      </c>
      <c r="B2280" s="80">
        <f>SUBTOTAL(103,$A$1697:A2280)</f>
        <v>579</v>
      </c>
      <c r="C2280" s="308" t="s">
        <v>1972</v>
      </c>
      <c r="D2280" s="296">
        <f t="shared" si="108"/>
        <v>548037</v>
      </c>
      <c r="E2280" s="301">
        <v>0</v>
      </c>
      <c r="F2280" s="301">
        <v>0</v>
      </c>
      <c r="G2280" s="301">
        <v>0</v>
      </c>
      <c r="H2280" s="301">
        <v>0</v>
      </c>
      <c r="I2280" s="301">
        <v>0</v>
      </c>
      <c r="J2280" s="301">
        <v>0</v>
      </c>
      <c r="K2280" s="302">
        <v>0</v>
      </c>
      <c r="L2280" s="301">
        <v>0</v>
      </c>
      <c r="M2280" s="301">
        <v>0</v>
      </c>
      <c r="N2280" s="301">
        <v>0</v>
      </c>
      <c r="O2280" s="301">
        <v>548037</v>
      </c>
      <c r="P2280" s="301">
        <v>0</v>
      </c>
      <c r="Q2280" s="301">
        <v>0</v>
      </c>
      <c r="R2280" s="301">
        <v>0</v>
      </c>
      <c r="S2280" s="301">
        <v>0</v>
      </c>
      <c r="T2280" s="301">
        <v>0</v>
      </c>
      <c r="U2280" s="301">
        <v>0</v>
      </c>
      <c r="V2280" s="301">
        <v>0</v>
      </c>
      <c r="W2280" s="301">
        <v>0</v>
      </c>
      <c r="X2280" s="301">
        <v>0</v>
      </c>
      <c r="Y2280" s="301">
        <v>0</v>
      </c>
      <c r="Z2280" s="301">
        <v>0</v>
      </c>
      <c r="AA2280" s="301">
        <v>0</v>
      </c>
      <c r="AB2280" s="303">
        <v>2022</v>
      </c>
    </row>
    <row r="2281" spans="1:28" ht="35.25" x14ac:dyDescent="0.5">
      <c r="A2281">
        <v>1</v>
      </c>
      <c r="B2281" s="80">
        <f>SUBTOTAL(103,$A$1697:A2281)</f>
        <v>580</v>
      </c>
      <c r="C2281" s="308" t="s">
        <v>1975</v>
      </c>
      <c r="D2281" s="296">
        <f t="shared" si="108"/>
        <v>316367.73</v>
      </c>
      <c r="E2281" s="301">
        <v>0</v>
      </c>
      <c r="F2281" s="301">
        <v>0</v>
      </c>
      <c r="G2281" s="301">
        <v>0</v>
      </c>
      <c r="H2281" s="301">
        <v>0</v>
      </c>
      <c r="I2281" s="301">
        <v>0</v>
      </c>
      <c r="J2281" s="301">
        <v>0</v>
      </c>
      <c r="K2281" s="302">
        <v>0</v>
      </c>
      <c r="L2281" s="301">
        <v>0</v>
      </c>
      <c r="M2281" s="301">
        <v>0</v>
      </c>
      <c r="N2281" s="301">
        <v>0</v>
      </c>
      <c r="O2281" s="301">
        <v>316367.73</v>
      </c>
      <c r="P2281" s="301">
        <v>0</v>
      </c>
      <c r="Q2281" s="301">
        <v>0</v>
      </c>
      <c r="R2281" s="301">
        <v>0</v>
      </c>
      <c r="S2281" s="301">
        <v>0</v>
      </c>
      <c r="T2281" s="301">
        <v>0</v>
      </c>
      <c r="U2281" s="301">
        <v>0</v>
      </c>
      <c r="V2281" s="301">
        <v>0</v>
      </c>
      <c r="W2281" s="301">
        <v>0</v>
      </c>
      <c r="X2281" s="301">
        <v>0</v>
      </c>
      <c r="Y2281" s="301">
        <v>0</v>
      </c>
      <c r="Z2281" s="301">
        <v>0</v>
      </c>
      <c r="AA2281" s="301">
        <v>0</v>
      </c>
      <c r="AB2281" s="303">
        <v>2022</v>
      </c>
    </row>
    <row r="2282" spans="1:28" ht="35.25" x14ac:dyDescent="0.5">
      <c r="A2282">
        <v>1</v>
      </c>
      <c r="B2282" s="80">
        <f>SUBTOTAL(103,$A$1697:A2282)</f>
        <v>581</v>
      </c>
      <c r="C2282" s="308" t="s">
        <v>3602</v>
      </c>
      <c r="D2282" s="296">
        <f t="shared" si="108"/>
        <v>478363</v>
      </c>
      <c r="E2282" s="301">
        <v>0</v>
      </c>
      <c r="F2282" s="301">
        <v>0</v>
      </c>
      <c r="G2282" s="301">
        <v>0</v>
      </c>
      <c r="H2282" s="301">
        <v>0</v>
      </c>
      <c r="I2282" s="301">
        <v>0</v>
      </c>
      <c r="J2282" s="301">
        <v>0</v>
      </c>
      <c r="K2282" s="302">
        <v>0</v>
      </c>
      <c r="L2282" s="301">
        <v>0</v>
      </c>
      <c r="M2282" s="301">
        <v>478363</v>
      </c>
      <c r="N2282" s="301">
        <v>0</v>
      </c>
      <c r="O2282" s="301">
        <v>0</v>
      </c>
      <c r="P2282" s="301">
        <v>0</v>
      </c>
      <c r="Q2282" s="301">
        <v>0</v>
      </c>
      <c r="R2282" s="301">
        <v>0</v>
      </c>
      <c r="S2282" s="301">
        <v>0</v>
      </c>
      <c r="T2282" s="301">
        <v>0</v>
      </c>
      <c r="U2282" s="301">
        <v>0</v>
      </c>
      <c r="V2282" s="301">
        <v>0</v>
      </c>
      <c r="W2282" s="301">
        <v>0</v>
      </c>
      <c r="X2282" s="301">
        <v>0</v>
      </c>
      <c r="Y2282" s="301">
        <v>0</v>
      </c>
      <c r="Z2282" s="301">
        <v>0</v>
      </c>
      <c r="AA2282" s="301">
        <v>0</v>
      </c>
      <c r="AB2282" s="303">
        <v>2022</v>
      </c>
    </row>
    <row r="2283" spans="1:28" ht="35.25" x14ac:dyDescent="0.5">
      <c r="A2283">
        <v>1</v>
      </c>
      <c r="B2283" s="80">
        <f>SUBTOTAL(103,$A$1697:A2283)</f>
        <v>582</v>
      </c>
      <c r="C2283" s="308" t="s">
        <v>3603</v>
      </c>
      <c r="D2283" s="296">
        <f t="shared" si="108"/>
        <v>550400.19999999995</v>
      </c>
      <c r="E2283" s="301">
        <v>0</v>
      </c>
      <c r="F2283" s="301">
        <v>0</v>
      </c>
      <c r="G2283" s="301">
        <v>0</v>
      </c>
      <c r="H2283" s="301">
        <v>0</v>
      </c>
      <c r="I2283" s="301">
        <v>0</v>
      </c>
      <c r="J2283" s="301">
        <v>0</v>
      </c>
      <c r="K2283" s="302">
        <v>0</v>
      </c>
      <c r="L2283" s="301">
        <v>0</v>
      </c>
      <c r="M2283" s="301">
        <v>0</v>
      </c>
      <c r="N2283" s="301">
        <v>0</v>
      </c>
      <c r="O2283" s="301">
        <v>550400.19999999995</v>
      </c>
      <c r="P2283" s="301">
        <v>0</v>
      </c>
      <c r="Q2283" s="301">
        <v>0</v>
      </c>
      <c r="R2283" s="301">
        <v>0</v>
      </c>
      <c r="S2283" s="301">
        <v>0</v>
      </c>
      <c r="T2283" s="301">
        <v>0</v>
      </c>
      <c r="U2283" s="301">
        <v>0</v>
      </c>
      <c r="V2283" s="301">
        <v>0</v>
      </c>
      <c r="W2283" s="301">
        <v>0</v>
      </c>
      <c r="X2283" s="301">
        <v>0</v>
      </c>
      <c r="Y2283" s="301">
        <v>0</v>
      </c>
      <c r="Z2283" s="301">
        <v>0</v>
      </c>
      <c r="AA2283" s="301">
        <v>0</v>
      </c>
      <c r="AB2283" s="303">
        <v>2022</v>
      </c>
    </row>
    <row r="2284" spans="1:28" ht="35.25" x14ac:dyDescent="0.5">
      <c r="A2284">
        <v>1</v>
      </c>
      <c r="B2284" s="80">
        <f>SUBTOTAL(103,$A$1697:A2284)</f>
        <v>583</v>
      </c>
      <c r="C2284" s="308" t="s">
        <v>3117</v>
      </c>
      <c r="D2284" s="296">
        <f t="shared" si="108"/>
        <v>132112</v>
      </c>
      <c r="E2284" s="301">
        <v>0</v>
      </c>
      <c r="F2284" s="301">
        <v>0</v>
      </c>
      <c r="G2284" s="301">
        <v>132112</v>
      </c>
      <c r="H2284" s="301">
        <v>0</v>
      </c>
      <c r="I2284" s="301">
        <v>0</v>
      </c>
      <c r="J2284" s="301">
        <v>0</v>
      </c>
      <c r="K2284" s="302">
        <v>0</v>
      </c>
      <c r="L2284" s="301">
        <v>0</v>
      </c>
      <c r="M2284" s="301">
        <v>0</v>
      </c>
      <c r="N2284" s="301">
        <v>0</v>
      </c>
      <c r="O2284" s="301">
        <v>0</v>
      </c>
      <c r="P2284" s="301">
        <v>0</v>
      </c>
      <c r="Q2284" s="301">
        <v>0</v>
      </c>
      <c r="R2284" s="301">
        <v>0</v>
      </c>
      <c r="S2284" s="301">
        <v>0</v>
      </c>
      <c r="T2284" s="301">
        <v>0</v>
      </c>
      <c r="U2284" s="301">
        <v>0</v>
      </c>
      <c r="V2284" s="301">
        <v>0</v>
      </c>
      <c r="W2284" s="301">
        <v>0</v>
      </c>
      <c r="X2284" s="301">
        <v>0</v>
      </c>
      <c r="Y2284" s="301">
        <v>0</v>
      </c>
      <c r="Z2284" s="301">
        <v>0</v>
      </c>
      <c r="AA2284" s="301">
        <v>0</v>
      </c>
      <c r="AB2284" s="303">
        <v>2022</v>
      </c>
    </row>
    <row r="2285" spans="1:28" ht="35.25" x14ac:dyDescent="0.5">
      <c r="A2285">
        <v>1</v>
      </c>
      <c r="B2285" s="80">
        <f>SUBTOTAL(103,$A$1697:A2285)</f>
        <v>584</v>
      </c>
      <c r="C2285" s="308" t="s">
        <v>2380</v>
      </c>
      <c r="D2285" s="296">
        <f t="shared" si="108"/>
        <v>866517</v>
      </c>
      <c r="E2285" s="301">
        <v>0</v>
      </c>
      <c r="F2285" s="301">
        <v>0</v>
      </c>
      <c r="G2285" s="301">
        <v>0</v>
      </c>
      <c r="H2285" s="301">
        <v>0</v>
      </c>
      <c r="I2285" s="301">
        <v>0</v>
      </c>
      <c r="J2285" s="301">
        <v>0</v>
      </c>
      <c r="K2285" s="302">
        <v>0</v>
      </c>
      <c r="L2285" s="301">
        <v>0</v>
      </c>
      <c r="M2285" s="301">
        <v>866517</v>
      </c>
      <c r="N2285" s="301">
        <v>0</v>
      </c>
      <c r="O2285" s="301">
        <v>0</v>
      </c>
      <c r="P2285" s="301">
        <v>0</v>
      </c>
      <c r="Q2285" s="301">
        <v>0</v>
      </c>
      <c r="R2285" s="301">
        <v>0</v>
      </c>
      <c r="S2285" s="301">
        <v>0</v>
      </c>
      <c r="T2285" s="301">
        <v>0</v>
      </c>
      <c r="U2285" s="301">
        <v>0</v>
      </c>
      <c r="V2285" s="301">
        <v>0</v>
      </c>
      <c r="W2285" s="301">
        <v>0</v>
      </c>
      <c r="X2285" s="301">
        <v>0</v>
      </c>
      <c r="Y2285" s="301">
        <v>0</v>
      </c>
      <c r="Z2285" s="301">
        <v>0</v>
      </c>
      <c r="AA2285" s="301">
        <v>0</v>
      </c>
      <c r="AB2285" s="303">
        <v>2022</v>
      </c>
    </row>
    <row r="2286" spans="1:28" ht="35.25" x14ac:dyDescent="0.5">
      <c r="A2286">
        <v>1</v>
      </c>
      <c r="B2286" s="80">
        <f>SUBTOTAL(103,$A$1697:A2286)</f>
        <v>585</v>
      </c>
      <c r="C2286" s="308" t="s">
        <v>2826</v>
      </c>
      <c r="D2286" s="296">
        <f t="shared" si="108"/>
        <v>451669</v>
      </c>
      <c r="E2286" s="301">
        <v>0</v>
      </c>
      <c r="F2286" s="301">
        <v>0</v>
      </c>
      <c r="G2286" s="301">
        <v>0</v>
      </c>
      <c r="H2286" s="301">
        <v>0</v>
      </c>
      <c r="I2286" s="301">
        <v>0</v>
      </c>
      <c r="J2286" s="301">
        <v>0</v>
      </c>
      <c r="K2286" s="302">
        <v>0</v>
      </c>
      <c r="L2286" s="301">
        <v>0</v>
      </c>
      <c r="M2286" s="301">
        <v>451669</v>
      </c>
      <c r="N2286" s="301">
        <v>0</v>
      </c>
      <c r="O2286" s="301">
        <v>0</v>
      </c>
      <c r="P2286" s="301">
        <v>0</v>
      </c>
      <c r="Q2286" s="301">
        <v>0</v>
      </c>
      <c r="R2286" s="301">
        <v>0</v>
      </c>
      <c r="S2286" s="301">
        <v>0</v>
      </c>
      <c r="T2286" s="301">
        <v>0</v>
      </c>
      <c r="U2286" s="301">
        <v>0</v>
      </c>
      <c r="V2286" s="301">
        <v>0</v>
      </c>
      <c r="W2286" s="301">
        <v>0</v>
      </c>
      <c r="X2286" s="301">
        <v>0</v>
      </c>
      <c r="Y2286" s="301">
        <v>0</v>
      </c>
      <c r="Z2286" s="301">
        <v>0</v>
      </c>
      <c r="AA2286" s="301">
        <v>0</v>
      </c>
      <c r="AB2286" s="303">
        <v>2022</v>
      </c>
    </row>
    <row r="2287" spans="1:28" ht="35.25" x14ac:dyDescent="0.5">
      <c r="A2287">
        <v>1</v>
      </c>
      <c r="B2287" s="80">
        <f>SUBTOTAL(103,$A$1697:A2287)</f>
        <v>586</v>
      </c>
      <c r="C2287" s="308" t="s">
        <v>3646</v>
      </c>
      <c r="D2287" s="296">
        <f t="shared" si="108"/>
        <v>3494535</v>
      </c>
      <c r="E2287" s="301">
        <v>0</v>
      </c>
      <c r="F2287" s="301">
        <v>0</v>
      </c>
      <c r="G2287" s="301">
        <v>0</v>
      </c>
      <c r="H2287" s="301">
        <v>0</v>
      </c>
      <c r="I2287" s="301">
        <v>0</v>
      </c>
      <c r="J2287" s="301">
        <v>0</v>
      </c>
      <c r="K2287" s="302">
        <v>0</v>
      </c>
      <c r="L2287" s="301">
        <v>0</v>
      </c>
      <c r="M2287" s="301">
        <v>3494535</v>
      </c>
      <c r="N2287" s="301">
        <v>0</v>
      </c>
      <c r="O2287" s="301">
        <v>0</v>
      </c>
      <c r="P2287" s="301">
        <v>0</v>
      </c>
      <c r="Q2287" s="301">
        <v>0</v>
      </c>
      <c r="R2287" s="301">
        <v>0</v>
      </c>
      <c r="S2287" s="301">
        <v>0</v>
      </c>
      <c r="T2287" s="301">
        <v>0</v>
      </c>
      <c r="U2287" s="301">
        <v>0</v>
      </c>
      <c r="V2287" s="301">
        <v>0</v>
      </c>
      <c r="W2287" s="301">
        <v>0</v>
      </c>
      <c r="X2287" s="301">
        <v>0</v>
      </c>
      <c r="Y2287" s="301">
        <v>0</v>
      </c>
      <c r="Z2287" s="301">
        <v>0</v>
      </c>
      <c r="AA2287" s="301">
        <v>0</v>
      </c>
      <c r="AB2287" s="303">
        <v>2022</v>
      </c>
    </row>
    <row r="2288" spans="1:28" ht="35.25" x14ac:dyDescent="0.5">
      <c r="A2288">
        <v>1</v>
      </c>
      <c r="B2288" s="80">
        <f>SUBTOTAL(103,$A$1697:A2288)</f>
        <v>587</v>
      </c>
      <c r="C2288" s="308" t="s">
        <v>3647</v>
      </c>
      <c r="D2288" s="296">
        <f t="shared" si="108"/>
        <v>849825</v>
      </c>
      <c r="E2288" s="301">
        <v>0</v>
      </c>
      <c r="F2288" s="301">
        <v>0</v>
      </c>
      <c r="G2288" s="301">
        <v>0</v>
      </c>
      <c r="H2288" s="301">
        <v>0</v>
      </c>
      <c r="I2288" s="301">
        <v>0</v>
      </c>
      <c r="J2288" s="301">
        <v>0</v>
      </c>
      <c r="K2288" s="302">
        <v>0</v>
      </c>
      <c r="L2288" s="301">
        <v>0</v>
      </c>
      <c r="M2288" s="301">
        <v>0</v>
      </c>
      <c r="N2288" s="301">
        <v>0</v>
      </c>
      <c r="O2288" s="301">
        <v>849825</v>
      </c>
      <c r="P2288" s="301">
        <v>0</v>
      </c>
      <c r="Q2288" s="301">
        <v>0</v>
      </c>
      <c r="R2288" s="301">
        <v>0</v>
      </c>
      <c r="S2288" s="301">
        <v>0</v>
      </c>
      <c r="T2288" s="301">
        <v>0</v>
      </c>
      <c r="U2288" s="301">
        <v>0</v>
      </c>
      <c r="V2288" s="301">
        <v>0</v>
      </c>
      <c r="W2288" s="301">
        <v>0</v>
      </c>
      <c r="X2288" s="301">
        <v>0</v>
      </c>
      <c r="Y2288" s="301">
        <v>0</v>
      </c>
      <c r="Z2288" s="301">
        <v>0</v>
      </c>
      <c r="AA2288" s="301">
        <v>0</v>
      </c>
      <c r="AB2288" s="303">
        <v>2022</v>
      </c>
    </row>
    <row r="2289" spans="1:28" ht="35.25" x14ac:dyDescent="0.5">
      <c r="A2289">
        <v>1</v>
      </c>
      <c r="B2289" s="80">
        <f>SUBTOTAL(103,$A$1697:A2289)</f>
        <v>588</v>
      </c>
      <c r="C2289" s="308" t="s">
        <v>3648</v>
      </c>
      <c r="D2289" s="296">
        <f t="shared" si="108"/>
        <v>2203887.2000000002</v>
      </c>
      <c r="E2289" s="301">
        <v>0</v>
      </c>
      <c r="F2289" s="301">
        <v>0</v>
      </c>
      <c r="G2289" s="301">
        <v>0</v>
      </c>
      <c r="H2289" s="301">
        <v>0</v>
      </c>
      <c r="I2289" s="301">
        <v>0</v>
      </c>
      <c r="J2289" s="301">
        <v>0</v>
      </c>
      <c r="K2289" s="302">
        <v>0</v>
      </c>
      <c r="L2289" s="301">
        <v>0</v>
      </c>
      <c r="M2289" s="301">
        <v>2203887.2000000002</v>
      </c>
      <c r="N2289" s="301">
        <v>0</v>
      </c>
      <c r="O2289" s="301">
        <v>0</v>
      </c>
      <c r="P2289" s="301">
        <v>0</v>
      </c>
      <c r="Q2289" s="301">
        <v>0</v>
      </c>
      <c r="R2289" s="301">
        <v>0</v>
      </c>
      <c r="S2289" s="301">
        <v>0</v>
      </c>
      <c r="T2289" s="301">
        <v>0</v>
      </c>
      <c r="U2289" s="301">
        <v>0</v>
      </c>
      <c r="V2289" s="301">
        <v>0</v>
      </c>
      <c r="W2289" s="301">
        <v>0</v>
      </c>
      <c r="X2289" s="301">
        <v>0</v>
      </c>
      <c r="Y2289" s="301">
        <v>0</v>
      </c>
      <c r="Z2289" s="301">
        <v>0</v>
      </c>
      <c r="AA2289" s="301">
        <v>0</v>
      </c>
      <c r="AB2289" s="303">
        <v>2022</v>
      </c>
    </row>
    <row r="2290" spans="1:28" ht="35.25" x14ac:dyDescent="0.5">
      <c r="A2290">
        <v>1</v>
      </c>
      <c r="B2290" s="80">
        <f>SUBTOTAL(103,$A$1697:A2290)</f>
        <v>589</v>
      </c>
      <c r="C2290" s="308" t="s">
        <v>2828</v>
      </c>
      <c r="D2290" s="296">
        <f t="shared" si="108"/>
        <v>141361</v>
      </c>
      <c r="E2290" s="301">
        <v>0</v>
      </c>
      <c r="F2290" s="301">
        <v>0</v>
      </c>
      <c r="G2290" s="301">
        <v>0</v>
      </c>
      <c r="H2290" s="301">
        <v>0</v>
      </c>
      <c r="I2290" s="301">
        <v>0</v>
      </c>
      <c r="J2290" s="301">
        <v>0</v>
      </c>
      <c r="K2290" s="302">
        <v>0</v>
      </c>
      <c r="L2290" s="301">
        <v>0</v>
      </c>
      <c r="M2290" s="301">
        <v>0</v>
      </c>
      <c r="N2290" s="301">
        <v>0</v>
      </c>
      <c r="O2290" s="301">
        <v>141361</v>
      </c>
      <c r="P2290" s="301">
        <v>0</v>
      </c>
      <c r="Q2290" s="301">
        <v>0</v>
      </c>
      <c r="R2290" s="301">
        <v>0</v>
      </c>
      <c r="S2290" s="301">
        <v>0</v>
      </c>
      <c r="T2290" s="301">
        <v>0</v>
      </c>
      <c r="U2290" s="301">
        <v>0</v>
      </c>
      <c r="V2290" s="301">
        <v>0</v>
      </c>
      <c r="W2290" s="301">
        <v>0</v>
      </c>
      <c r="X2290" s="301">
        <v>0</v>
      </c>
      <c r="Y2290" s="301">
        <v>0</v>
      </c>
      <c r="Z2290" s="301">
        <v>0</v>
      </c>
      <c r="AA2290" s="301">
        <v>0</v>
      </c>
      <c r="AB2290" s="303">
        <v>2022</v>
      </c>
    </row>
    <row r="2291" spans="1:28" ht="35.25" x14ac:dyDescent="0.5">
      <c r="A2291">
        <v>1</v>
      </c>
      <c r="B2291" s="80">
        <f>SUBTOTAL(103,$A$1697:A2291)</f>
        <v>590</v>
      </c>
      <c r="C2291" s="308" t="s">
        <v>1699</v>
      </c>
      <c r="D2291" s="296">
        <f t="shared" si="108"/>
        <v>1028390</v>
      </c>
      <c r="E2291" s="301">
        <v>0</v>
      </c>
      <c r="F2291" s="301">
        <v>0</v>
      </c>
      <c r="G2291" s="301">
        <v>0</v>
      </c>
      <c r="H2291" s="301">
        <v>0</v>
      </c>
      <c r="I2291" s="301">
        <v>0</v>
      </c>
      <c r="J2291" s="301">
        <v>0</v>
      </c>
      <c r="K2291" s="302">
        <v>0</v>
      </c>
      <c r="L2291" s="301">
        <v>0</v>
      </c>
      <c r="M2291" s="301">
        <v>0</v>
      </c>
      <c r="N2291" s="301">
        <v>0</v>
      </c>
      <c r="O2291" s="301">
        <v>1028390</v>
      </c>
      <c r="P2291" s="301">
        <v>0</v>
      </c>
      <c r="Q2291" s="301">
        <v>0</v>
      </c>
      <c r="R2291" s="301">
        <v>0</v>
      </c>
      <c r="S2291" s="301">
        <v>0</v>
      </c>
      <c r="T2291" s="301">
        <v>0</v>
      </c>
      <c r="U2291" s="301">
        <v>0</v>
      </c>
      <c r="V2291" s="301">
        <v>0</v>
      </c>
      <c r="W2291" s="301">
        <v>0</v>
      </c>
      <c r="X2291" s="301">
        <v>0</v>
      </c>
      <c r="Y2291" s="301">
        <v>0</v>
      </c>
      <c r="Z2291" s="301">
        <v>0</v>
      </c>
      <c r="AA2291" s="301">
        <v>0</v>
      </c>
      <c r="AB2291" s="303">
        <v>2022</v>
      </c>
    </row>
    <row r="2292" spans="1:28" ht="35.25" x14ac:dyDescent="0.5">
      <c r="A2292">
        <v>1</v>
      </c>
      <c r="B2292" s="80">
        <f>SUBTOTAL(103,$A$1697:A2292)</f>
        <v>591</v>
      </c>
      <c r="C2292" s="308" t="s">
        <v>3604</v>
      </c>
      <c r="D2292" s="296">
        <f t="shared" si="108"/>
        <v>161347.20000000001</v>
      </c>
      <c r="E2292" s="301">
        <v>0</v>
      </c>
      <c r="F2292" s="301">
        <v>0</v>
      </c>
      <c r="G2292" s="301">
        <v>0</v>
      </c>
      <c r="H2292" s="301">
        <v>0</v>
      </c>
      <c r="I2292" s="301">
        <v>0</v>
      </c>
      <c r="J2292" s="301">
        <v>0</v>
      </c>
      <c r="K2292" s="302">
        <v>0</v>
      </c>
      <c r="L2292" s="301">
        <v>0</v>
      </c>
      <c r="M2292" s="301">
        <v>0</v>
      </c>
      <c r="N2292" s="301">
        <v>0</v>
      </c>
      <c r="O2292" s="301">
        <v>161347.20000000001</v>
      </c>
      <c r="P2292" s="301">
        <v>0</v>
      </c>
      <c r="Q2292" s="301">
        <v>0</v>
      </c>
      <c r="R2292" s="301">
        <v>0</v>
      </c>
      <c r="S2292" s="301">
        <v>0</v>
      </c>
      <c r="T2292" s="301">
        <v>0</v>
      </c>
      <c r="U2292" s="301">
        <v>0</v>
      </c>
      <c r="V2292" s="301">
        <v>0</v>
      </c>
      <c r="W2292" s="301">
        <v>0</v>
      </c>
      <c r="X2292" s="301">
        <v>0</v>
      </c>
      <c r="Y2292" s="301">
        <v>0</v>
      </c>
      <c r="Z2292" s="301">
        <v>0</v>
      </c>
      <c r="AA2292" s="301">
        <v>0</v>
      </c>
      <c r="AB2292" s="303">
        <v>2022</v>
      </c>
    </row>
    <row r="2293" spans="1:28" ht="35.25" x14ac:dyDescent="0.5">
      <c r="A2293">
        <v>1</v>
      </c>
      <c r="B2293" s="80">
        <f>SUBTOTAL(103,$A$1697:A2293)</f>
        <v>592</v>
      </c>
      <c r="C2293" s="308" t="s">
        <v>1366</v>
      </c>
      <c r="D2293" s="296">
        <f t="shared" si="108"/>
        <v>537824</v>
      </c>
      <c r="E2293" s="301">
        <v>0</v>
      </c>
      <c r="F2293" s="301">
        <v>0</v>
      </c>
      <c r="G2293" s="301">
        <v>0</v>
      </c>
      <c r="H2293" s="301">
        <v>0</v>
      </c>
      <c r="I2293" s="301">
        <v>0</v>
      </c>
      <c r="J2293" s="301">
        <v>0</v>
      </c>
      <c r="K2293" s="302">
        <v>0</v>
      </c>
      <c r="L2293" s="301">
        <v>0</v>
      </c>
      <c r="M2293" s="301">
        <v>0</v>
      </c>
      <c r="N2293" s="301">
        <v>0</v>
      </c>
      <c r="O2293" s="301">
        <v>537824</v>
      </c>
      <c r="P2293" s="301">
        <v>0</v>
      </c>
      <c r="Q2293" s="301">
        <v>0</v>
      </c>
      <c r="R2293" s="301">
        <v>0</v>
      </c>
      <c r="S2293" s="301">
        <v>0</v>
      </c>
      <c r="T2293" s="301">
        <v>0</v>
      </c>
      <c r="U2293" s="301">
        <v>0</v>
      </c>
      <c r="V2293" s="301">
        <v>0</v>
      </c>
      <c r="W2293" s="301">
        <v>0</v>
      </c>
      <c r="X2293" s="301">
        <v>0</v>
      </c>
      <c r="Y2293" s="301">
        <v>0</v>
      </c>
      <c r="Z2293" s="301">
        <v>0</v>
      </c>
      <c r="AA2293" s="301">
        <v>0</v>
      </c>
      <c r="AB2293" s="303">
        <v>2022</v>
      </c>
    </row>
    <row r="2294" spans="1:28" ht="35.25" x14ac:dyDescent="0.5">
      <c r="A2294">
        <v>1</v>
      </c>
      <c r="B2294" s="80">
        <f>SUBTOTAL(103,$A$1697:A2294)</f>
        <v>593</v>
      </c>
      <c r="C2294" s="308" t="s">
        <v>1701</v>
      </c>
      <c r="D2294" s="296">
        <f t="shared" si="108"/>
        <v>909921.85000000009</v>
      </c>
      <c r="E2294" s="301">
        <v>0</v>
      </c>
      <c r="F2294" s="301">
        <v>0</v>
      </c>
      <c r="G2294" s="301">
        <v>254592</v>
      </c>
      <c r="H2294" s="301">
        <v>0</v>
      </c>
      <c r="I2294" s="301">
        <v>0</v>
      </c>
      <c r="J2294" s="301">
        <v>0</v>
      </c>
      <c r="K2294" s="302">
        <v>0</v>
      </c>
      <c r="L2294" s="301">
        <v>0</v>
      </c>
      <c r="M2294" s="301">
        <v>655329.85000000009</v>
      </c>
      <c r="N2294" s="301">
        <v>0</v>
      </c>
      <c r="O2294" s="301">
        <v>0</v>
      </c>
      <c r="P2294" s="301">
        <v>0</v>
      </c>
      <c r="Q2294" s="301">
        <v>0</v>
      </c>
      <c r="R2294" s="301">
        <v>0</v>
      </c>
      <c r="S2294" s="301">
        <v>0</v>
      </c>
      <c r="T2294" s="301">
        <v>0</v>
      </c>
      <c r="U2294" s="301">
        <v>0</v>
      </c>
      <c r="V2294" s="301">
        <v>0</v>
      </c>
      <c r="W2294" s="301">
        <v>0</v>
      </c>
      <c r="X2294" s="301">
        <v>0</v>
      </c>
      <c r="Y2294" s="301">
        <v>0</v>
      </c>
      <c r="Z2294" s="301">
        <v>0</v>
      </c>
      <c r="AA2294" s="301">
        <v>0</v>
      </c>
      <c r="AB2294" s="303">
        <v>2022</v>
      </c>
    </row>
    <row r="2295" spans="1:28" ht="35.25" x14ac:dyDescent="0.5">
      <c r="A2295">
        <v>1</v>
      </c>
      <c r="B2295" s="80">
        <f>SUBTOTAL(103,$A$1697:A2295)</f>
        <v>594</v>
      </c>
      <c r="C2295" s="308" t="s">
        <v>1987</v>
      </c>
      <c r="D2295" s="296">
        <f t="shared" si="108"/>
        <v>697000</v>
      </c>
      <c r="E2295" s="301">
        <v>0</v>
      </c>
      <c r="F2295" s="301">
        <v>0</v>
      </c>
      <c r="G2295" s="301">
        <v>0</v>
      </c>
      <c r="H2295" s="301">
        <v>0</v>
      </c>
      <c r="I2295" s="301">
        <v>0</v>
      </c>
      <c r="J2295" s="301">
        <v>0</v>
      </c>
      <c r="K2295" s="302">
        <v>0</v>
      </c>
      <c r="L2295" s="301">
        <v>0</v>
      </c>
      <c r="M2295" s="301">
        <v>0</v>
      </c>
      <c r="N2295" s="301">
        <v>0</v>
      </c>
      <c r="O2295" s="301">
        <v>697000</v>
      </c>
      <c r="P2295" s="301">
        <v>0</v>
      </c>
      <c r="Q2295" s="301">
        <v>0</v>
      </c>
      <c r="R2295" s="301">
        <v>0</v>
      </c>
      <c r="S2295" s="301">
        <v>0</v>
      </c>
      <c r="T2295" s="301">
        <v>0</v>
      </c>
      <c r="U2295" s="301">
        <v>0</v>
      </c>
      <c r="V2295" s="301">
        <v>0</v>
      </c>
      <c r="W2295" s="301">
        <v>0</v>
      </c>
      <c r="X2295" s="301">
        <v>0</v>
      </c>
      <c r="Y2295" s="301">
        <v>0</v>
      </c>
      <c r="Z2295" s="301">
        <v>0</v>
      </c>
      <c r="AA2295" s="301">
        <v>0</v>
      </c>
      <c r="AB2295" s="303">
        <v>2022</v>
      </c>
    </row>
    <row r="2296" spans="1:28" ht="35.25" x14ac:dyDescent="0.5">
      <c r="A2296">
        <v>1</v>
      </c>
      <c r="B2296" s="80">
        <f>SUBTOTAL(103,$A$1697:A2296)</f>
        <v>595</v>
      </c>
      <c r="C2296" s="308" t="s">
        <v>3649</v>
      </c>
      <c r="D2296" s="296">
        <f t="shared" si="108"/>
        <v>129184</v>
      </c>
      <c r="E2296" s="301">
        <v>0</v>
      </c>
      <c r="F2296" s="301">
        <v>0</v>
      </c>
      <c r="G2296" s="301">
        <v>129184</v>
      </c>
      <c r="H2296" s="301">
        <v>0</v>
      </c>
      <c r="I2296" s="301">
        <v>0</v>
      </c>
      <c r="J2296" s="301">
        <v>0</v>
      </c>
      <c r="K2296" s="302">
        <v>0</v>
      </c>
      <c r="L2296" s="301">
        <v>0</v>
      </c>
      <c r="M2296" s="301">
        <v>0</v>
      </c>
      <c r="N2296" s="301">
        <v>0</v>
      </c>
      <c r="O2296" s="301">
        <v>0</v>
      </c>
      <c r="P2296" s="301">
        <v>0</v>
      </c>
      <c r="Q2296" s="301">
        <v>0</v>
      </c>
      <c r="R2296" s="301">
        <v>0</v>
      </c>
      <c r="S2296" s="301">
        <v>0</v>
      </c>
      <c r="T2296" s="301">
        <v>0</v>
      </c>
      <c r="U2296" s="301">
        <v>0</v>
      </c>
      <c r="V2296" s="301">
        <v>0</v>
      </c>
      <c r="W2296" s="301">
        <v>0</v>
      </c>
      <c r="X2296" s="301">
        <v>0</v>
      </c>
      <c r="Y2296" s="301">
        <v>0</v>
      </c>
      <c r="Z2296" s="301">
        <v>0</v>
      </c>
      <c r="AA2296" s="301">
        <v>0</v>
      </c>
      <c r="AB2296" s="303">
        <v>2022</v>
      </c>
    </row>
    <row r="2297" spans="1:28" ht="35.25" x14ac:dyDescent="0.5">
      <c r="A2297">
        <v>1</v>
      </c>
      <c r="B2297" s="80">
        <f>SUBTOTAL(103,$A$1697:A2297)</f>
        <v>596</v>
      </c>
      <c r="C2297" s="308" t="s">
        <v>1991</v>
      </c>
      <c r="D2297" s="296">
        <f t="shared" si="108"/>
        <v>795035</v>
      </c>
      <c r="E2297" s="301">
        <v>0</v>
      </c>
      <c r="F2297" s="301">
        <v>0</v>
      </c>
      <c r="G2297" s="301">
        <v>0</v>
      </c>
      <c r="H2297" s="301">
        <v>0</v>
      </c>
      <c r="I2297" s="301">
        <v>0</v>
      </c>
      <c r="J2297" s="301">
        <v>0</v>
      </c>
      <c r="K2297" s="302">
        <v>0</v>
      </c>
      <c r="L2297" s="301">
        <v>0</v>
      </c>
      <c r="M2297" s="301">
        <v>0</v>
      </c>
      <c r="N2297" s="301">
        <v>0</v>
      </c>
      <c r="O2297" s="301">
        <v>795035</v>
      </c>
      <c r="P2297" s="301">
        <v>0</v>
      </c>
      <c r="Q2297" s="301">
        <v>0</v>
      </c>
      <c r="R2297" s="301">
        <v>0</v>
      </c>
      <c r="S2297" s="301">
        <v>0</v>
      </c>
      <c r="T2297" s="301">
        <v>0</v>
      </c>
      <c r="U2297" s="301">
        <v>0</v>
      </c>
      <c r="V2297" s="301">
        <v>0</v>
      </c>
      <c r="W2297" s="301">
        <v>0</v>
      </c>
      <c r="X2297" s="301">
        <v>0</v>
      </c>
      <c r="Y2297" s="301">
        <v>0</v>
      </c>
      <c r="Z2297" s="301">
        <v>0</v>
      </c>
      <c r="AA2297" s="301">
        <v>0</v>
      </c>
      <c r="AB2297" s="303">
        <v>2022</v>
      </c>
    </row>
    <row r="2298" spans="1:28" ht="35.25" x14ac:dyDescent="0.5">
      <c r="A2298">
        <v>1</v>
      </c>
      <c r="B2298" s="80">
        <f>SUBTOTAL(103,$A$1697:A2298)</f>
        <v>597</v>
      </c>
      <c r="C2298" s="308" t="s">
        <v>1994</v>
      </c>
      <c r="D2298" s="296">
        <f t="shared" si="108"/>
        <v>220000</v>
      </c>
      <c r="E2298" s="301">
        <v>0</v>
      </c>
      <c r="F2298" s="301">
        <v>0</v>
      </c>
      <c r="G2298" s="301">
        <v>220000</v>
      </c>
      <c r="H2298" s="301">
        <v>0</v>
      </c>
      <c r="I2298" s="301">
        <v>0</v>
      </c>
      <c r="J2298" s="301">
        <v>0</v>
      </c>
      <c r="K2298" s="302">
        <v>0</v>
      </c>
      <c r="L2298" s="301">
        <v>0</v>
      </c>
      <c r="M2298" s="301">
        <v>0</v>
      </c>
      <c r="N2298" s="301">
        <v>0</v>
      </c>
      <c r="O2298" s="301">
        <v>0</v>
      </c>
      <c r="P2298" s="301">
        <v>0</v>
      </c>
      <c r="Q2298" s="301">
        <v>0</v>
      </c>
      <c r="R2298" s="301">
        <v>0</v>
      </c>
      <c r="S2298" s="301">
        <v>0</v>
      </c>
      <c r="T2298" s="301">
        <v>0</v>
      </c>
      <c r="U2298" s="301">
        <v>0</v>
      </c>
      <c r="V2298" s="301">
        <v>0</v>
      </c>
      <c r="W2298" s="301">
        <v>0</v>
      </c>
      <c r="X2298" s="301">
        <v>0</v>
      </c>
      <c r="Y2298" s="301">
        <v>0</v>
      </c>
      <c r="Z2298" s="301">
        <v>0</v>
      </c>
      <c r="AA2298" s="301">
        <v>0</v>
      </c>
      <c r="AB2298" s="303">
        <v>2022</v>
      </c>
    </row>
    <row r="2299" spans="1:28" ht="35.25" x14ac:dyDescent="0.5">
      <c r="A2299">
        <v>1</v>
      </c>
      <c r="B2299" s="80">
        <f>SUBTOTAL(103,$A$1697:A2299)</f>
        <v>598</v>
      </c>
      <c r="C2299" s="308" t="s">
        <v>1999</v>
      </c>
      <c r="D2299" s="296">
        <f t="shared" si="108"/>
        <v>657114</v>
      </c>
      <c r="E2299" s="301">
        <v>0</v>
      </c>
      <c r="F2299" s="301">
        <v>0</v>
      </c>
      <c r="G2299" s="301">
        <v>657114</v>
      </c>
      <c r="H2299" s="301">
        <v>0</v>
      </c>
      <c r="I2299" s="301">
        <v>0</v>
      </c>
      <c r="J2299" s="301">
        <v>0</v>
      </c>
      <c r="K2299" s="302">
        <v>0</v>
      </c>
      <c r="L2299" s="301">
        <v>0</v>
      </c>
      <c r="M2299" s="301">
        <v>0</v>
      </c>
      <c r="N2299" s="301">
        <v>0</v>
      </c>
      <c r="O2299" s="301">
        <v>0</v>
      </c>
      <c r="P2299" s="301">
        <v>0</v>
      </c>
      <c r="Q2299" s="301">
        <v>0</v>
      </c>
      <c r="R2299" s="301">
        <v>0</v>
      </c>
      <c r="S2299" s="301">
        <v>0</v>
      </c>
      <c r="T2299" s="301">
        <v>0</v>
      </c>
      <c r="U2299" s="301">
        <v>0</v>
      </c>
      <c r="V2299" s="301">
        <v>0</v>
      </c>
      <c r="W2299" s="301">
        <v>0</v>
      </c>
      <c r="X2299" s="301">
        <v>0</v>
      </c>
      <c r="Y2299" s="301">
        <v>0</v>
      </c>
      <c r="Z2299" s="301">
        <v>0</v>
      </c>
      <c r="AA2299" s="301">
        <v>0</v>
      </c>
      <c r="AB2299" s="303">
        <v>2022</v>
      </c>
    </row>
    <row r="2300" spans="1:28" ht="35.25" x14ac:dyDescent="0.5">
      <c r="A2300">
        <v>1</v>
      </c>
      <c r="B2300" s="80">
        <f>SUBTOTAL(103,$A$1697:A2300)</f>
        <v>599</v>
      </c>
      <c r="C2300" s="308" t="s">
        <v>3098</v>
      </c>
      <c r="D2300" s="296">
        <f t="shared" si="108"/>
        <v>266736</v>
      </c>
      <c r="E2300" s="301">
        <v>0</v>
      </c>
      <c r="F2300" s="301">
        <v>0</v>
      </c>
      <c r="G2300" s="301">
        <v>0</v>
      </c>
      <c r="H2300" s="301">
        <v>0</v>
      </c>
      <c r="I2300" s="301">
        <v>0</v>
      </c>
      <c r="J2300" s="301">
        <v>0</v>
      </c>
      <c r="K2300" s="302">
        <v>0</v>
      </c>
      <c r="L2300" s="301">
        <v>0</v>
      </c>
      <c r="M2300" s="301">
        <v>266736</v>
      </c>
      <c r="N2300" s="301">
        <v>0</v>
      </c>
      <c r="O2300" s="301">
        <v>0</v>
      </c>
      <c r="P2300" s="301">
        <v>0</v>
      </c>
      <c r="Q2300" s="301">
        <v>0</v>
      </c>
      <c r="R2300" s="301">
        <v>0</v>
      </c>
      <c r="S2300" s="301">
        <v>0</v>
      </c>
      <c r="T2300" s="301">
        <v>0</v>
      </c>
      <c r="U2300" s="301">
        <v>0</v>
      </c>
      <c r="V2300" s="301">
        <v>0</v>
      </c>
      <c r="W2300" s="301">
        <v>0</v>
      </c>
      <c r="X2300" s="301">
        <v>0</v>
      </c>
      <c r="Y2300" s="301">
        <v>0</v>
      </c>
      <c r="Z2300" s="301">
        <v>0</v>
      </c>
      <c r="AA2300" s="301">
        <v>0</v>
      </c>
      <c r="AB2300" s="303">
        <v>2022</v>
      </c>
    </row>
    <row r="2301" spans="1:28" ht="35.25" x14ac:dyDescent="0.5">
      <c r="A2301">
        <v>1</v>
      </c>
      <c r="B2301" s="80">
        <f>SUBTOTAL(103,$A$1697:A2301)</f>
        <v>600</v>
      </c>
      <c r="C2301" s="308" t="s">
        <v>3121</v>
      </c>
      <c r="D2301" s="296">
        <f t="shared" si="108"/>
        <v>127281</v>
      </c>
      <c r="E2301" s="301">
        <v>0</v>
      </c>
      <c r="F2301" s="301">
        <v>0</v>
      </c>
      <c r="G2301" s="301">
        <v>127281</v>
      </c>
      <c r="H2301" s="301">
        <v>0</v>
      </c>
      <c r="I2301" s="301">
        <v>0</v>
      </c>
      <c r="J2301" s="301">
        <v>0</v>
      </c>
      <c r="K2301" s="302">
        <v>0</v>
      </c>
      <c r="L2301" s="301">
        <v>0</v>
      </c>
      <c r="M2301" s="301">
        <v>0</v>
      </c>
      <c r="N2301" s="301">
        <v>0</v>
      </c>
      <c r="O2301" s="301">
        <v>0</v>
      </c>
      <c r="P2301" s="301">
        <v>0</v>
      </c>
      <c r="Q2301" s="301">
        <v>0</v>
      </c>
      <c r="R2301" s="301">
        <v>0</v>
      </c>
      <c r="S2301" s="301">
        <v>0</v>
      </c>
      <c r="T2301" s="301">
        <v>0</v>
      </c>
      <c r="U2301" s="301">
        <v>0</v>
      </c>
      <c r="V2301" s="301">
        <v>0</v>
      </c>
      <c r="W2301" s="301">
        <v>0</v>
      </c>
      <c r="X2301" s="301">
        <v>0</v>
      </c>
      <c r="Y2301" s="301">
        <v>0</v>
      </c>
      <c r="Z2301" s="301">
        <v>0</v>
      </c>
      <c r="AA2301" s="301">
        <v>0</v>
      </c>
      <c r="AB2301" s="303">
        <v>2022</v>
      </c>
    </row>
    <row r="2302" spans="1:28" ht="35.25" x14ac:dyDescent="0.5">
      <c r="A2302">
        <v>1</v>
      </c>
      <c r="B2302" s="80">
        <f>SUBTOTAL(103,$A$1697:A2302)</f>
        <v>601</v>
      </c>
      <c r="C2302" s="308" t="s">
        <v>3650</v>
      </c>
      <c r="D2302" s="296">
        <f t="shared" si="108"/>
        <v>820441</v>
      </c>
      <c r="E2302" s="301">
        <v>0</v>
      </c>
      <c r="F2302" s="301">
        <v>0</v>
      </c>
      <c r="G2302" s="301">
        <v>0</v>
      </c>
      <c r="H2302" s="301">
        <v>0</v>
      </c>
      <c r="I2302" s="301">
        <v>0</v>
      </c>
      <c r="J2302" s="301">
        <v>0</v>
      </c>
      <c r="K2302" s="302">
        <v>0</v>
      </c>
      <c r="L2302" s="301">
        <v>0</v>
      </c>
      <c r="M2302" s="301">
        <v>820441</v>
      </c>
      <c r="N2302" s="301">
        <v>0</v>
      </c>
      <c r="O2302" s="301">
        <v>0</v>
      </c>
      <c r="P2302" s="301">
        <v>0</v>
      </c>
      <c r="Q2302" s="301">
        <v>0</v>
      </c>
      <c r="R2302" s="301">
        <v>0</v>
      </c>
      <c r="S2302" s="301">
        <v>0</v>
      </c>
      <c r="T2302" s="301">
        <v>0</v>
      </c>
      <c r="U2302" s="301">
        <v>0</v>
      </c>
      <c r="V2302" s="301">
        <v>0</v>
      </c>
      <c r="W2302" s="301">
        <v>0</v>
      </c>
      <c r="X2302" s="301">
        <v>0</v>
      </c>
      <c r="Y2302" s="301">
        <v>0</v>
      </c>
      <c r="Z2302" s="301">
        <v>0</v>
      </c>
      <c r="AA2302" s="301">
        <v>0</v>
      </c>
      <c r="AB2302" s="303">
        <v>2022</v>
      </c>
    </row>
    <row r="2303" spans="1:28" ht="35.25" x14ac:dyDescent="0.5">
      <c r="A2303">
        <v>1</v>
      </c>
      <c r="B2303" s="80">
        <f>SUBTOTAL(103,$A$1697:A2303)</f>
        <v>602</v>
      </c>
      <c r="C2303" s="308" t="s">
        <v>2001</v>
      </c>
      <c r="D2303" s="296">
        <f t="shared" si="108"/>
        <v>426203</v>
      </c>
      <c r="E2303" s="301">
        <v>0</v>
      </c>
      <c r="F2303" s="301">
        <v>0</v>
      </c>
      <c r="G2303" s="301">
        <v>0</v>
      </c>
      <c r="H2303" s="301">
        <v>0</v>
      </c>
      <c r="I2303" s="301">
        <v>0</v>
      </c>
      <c r="J2303" s="301">
        <v>0</v>
      </c>
      <c r="K2303" s="302">
        <v>0</v>
      </c>
      <c r="L2303" s="301">
        <v>0</v>
      </c>
      <c r="M2303" s="301">
        <v>426203</v>
      </c>
      <c r="N2303" s="301">
        <v>0</v>
      </c>
      <c r="O2303" s="301">
        <v>0</v>
      </c>
      <c r="P2303" s="301">
        <v>0</v>
      </c>
      <c r="Q2303" s="301">
        <v>0</v>
      </c>
      <c r="R2303" s="301">
        <v>0</v>
      </c>
      <c r="S2303" s="301">
        <v>0</v>
      </c>
      <c r="T2303" s="301">
        <v>0</v>
      </c>
      <c r="U2303" s="301">
        <v>0</v>
      </c>
      <c r="V2303" s="301">
        <v>0</v>
      </c>
      <c r="W2303" s="301">
        <v>0</v>
      </c>
      <c r="X2303" s="301">
        <v>0</v>
      </c>
      <c r="Y2303" s="301">
        <v>0</v>
      </c>
      <c r="Z2303" s="301">
        <v>0</v>
      </c>
      <c r="AA2303" s="301">
        <v>0</v>
      </c>
      <c r="AB2303" s="303">
        <v>2022</v>
      </c>
    </row>
    <row r="2304" spans="1:28" ht="35.25" x14ac:dyDescent="0.5">
      <c r="A2304">
        <v>1</v>
      </c>
      <c r="B2304" s="80">
        <f>SUBTOTAL(103,$A$1697:A2304)</f>
        <v>603</v>
      </c>
      <c r="C2304" s="308" t="s">
        <v>3651</v>
      </c>
      <c r="D2304" s="296">
        <f t="shared" si="108"/>
        <v>639257</v>
      </c>
      <c r="E2304" s="301">
        <v>0</v>
      </c>
      <c r="F2304" s="301">
        <v>0</v>
      </c>
      <c r="G2304" s="301">
        <v>0</v>
      </c>
      <c r="H2304" s="301">
        <v>0</v>
      </c>
      <c r="I2304" s="301">
        <v>0</v>
      </c>
      <c r="J2304" s="301">
        <v>0</v>
      </c>
      <c r="K2304" s="302">
        <v>0</v>
      </c>
      <c r="L2304" s="301">
        <v>0</v>
      </c>
      <c r="M2304" s="301">
        <v>0</v>
      </c>
      <c r="N2304" s="301">
        <v>0</v>
      </c>
      <c r="O2304" s="301">
        <v>639257</v>
      </c>
      <c r="P2304" s="301">
        <v>0</v>
      </c>
      <c r="Q2304" s="301">
        <v>0</v>
      </c>
      <c r="R2304" s="301">
        <v>0</v>
      </c>
      <c r="S2304" s="301">
        <v>0</v>
      </c>
      <c r="T2304" s="301">
        <v>0</v>
      </c>
      <c r="U2304" s="301">
        <v>0</v>
      </c>
      <c r="V2304" s="301">
        <v>0</v>
      </c>
      <c r="W2304" s="301">
        <v>0</v>
      </c>
      <c r="X2304" s="301">
        <v>0</v>
      </c>
      <c r="Y2304" s="301">
        <v>0</v>
      </c>
      <c r="Z2304" s="301">
        <v>0</v>
      </c>
      <c r="AA2304" s="301">
        <v>0</v>
      </c>
      <c r="AB2304" s="303">
        <v>2022</v>
      </c>
    </row>
    <row r="2305" spans="1:28" ht="35.25" x14ac:dyDescent="0.5">
      <c r="A2305">
        <v>1</v>
      </c>
      <c r="B2305" s="80">
        <f>SUBTOTAL(103,$A$1697:A2305)</f>
        <v>604</v>
      </c>
      <c r="C2305" s="308" t="s">
        <v>2398</v>
      </c>
      <c r="D2305" s="296">
        <f t="shared" si="108"/>
        <v>654472</v>
      </c>
      <c r="E2305" s="301">
        <v>0</v>
      </c>
      <c r="F2305" s="301">
        <v>0</v>
      </c>
      <c r="G2305" s="301">
        <v>0</v>
      </c>
      <c r="H2305" s="301">
        <v>0</v>
      </c>
      <c r="I2305" s="301">
        <v>0</v>
      </c>
      <c r="J2305" s="301">
        <v>0</v>
      </c>
      <c r="K2305" s="302">
        <v>0</v>
      </c>
      <c r="L2305" s="301">
        <v>0</v>
      </c>
      <c r="M2305" s="301">
        <v>0</v>
      </c>
      <c r="N2305" s="301">
        <v>0</v>
      </c>
      <c r="O2305" s="301">
        <v>654472</v>
      </c>
      <c r="P2305" s="301">
        <v>0</v>
      </c>
      <c r="Q2305" s="301">
        <v>0</v>
      </c>
      <c r="R2305" s="301">
        <v>0</v>
      </c>
      <c r="S2305" s="301">
        <v>0</v>
      </c>
      <c r="T2305" s="301">
        <v>0</v>
      </c>
      <c r="U2305" s="301">
        <v>0</v>
      </c>
      <c r="V2305" s="301">
        <v>0</v>
      </c>
      <c r="W2305" s="301">
        <v>0</v>
      </c>
      <c r="X2305" s="301">
        <v>0</v>
      </c>
      <c r="Y2305" s="301">
        <v>0</v>
      </c>
      <c r="Z2305" s="301">
        <v>0</v>
      </c>
      <c r="AA2305" s="301">
        <v>0</v>
      </c>
      <c r="AB2305" s="303">
        <v>2022</v>
      </c>
    </row>
    <row r="2306" spans="1:28" ht="35.25" x14ac:dyDescent="0.5">
      <c r="A2306">
        <v>1</v>
      </c>
      <c r="B2306" s="80">
        <f>SUBTOTAL(103,$A$1697:A2306)</f>
        <v>605</v>
      </c>
      <c r="C2306" s="308" t="s">
        <v>2005</v>
      </c>
      <c r="D2306" s="296">
        <f t="shared" si="108"/>
        <v>372429</v>
      </c>
      <c r="E2306" s="301">
        <v>0</v>
      </c>
      <c r="F2306" s="301">
        <v>0</v>
      </c>
      <c r="G2306" s="301">
        <v>0</v>
      </c>
      <c r="H2306" s="301">
        <v>0</v>
      </c>
      <c r="I2306" s="301">
        <v>0</v>
      </c>
      <c r="J2306" s="301">
        <v>0</v>
      </c>
      <c r="K2306" s="302">
        <v>0</v>
      </c>
      <c r="L2306" s="301">
        <v>0</v>
      </c>
      <c r="M2306" s="301">
        <v>0</v>
      </c>
      <c r="N2306" s="301">
        <v>0</v>
      </c>
      <c r="O2306" s="301">
        <v>372429</v>
      </c>
      <c r="P2306" s="301">
        <v>0</v>
      </c>
      <c r="Q2306" s="301">
        <v>0</v>
      </c>
      <c r="R2306" s="301">
        <v>0</v>
      </c>
      <c r="S2306" s="301">
        <v>0</v>
      </c>
      <c r="T2306" s="301">
        <v>0</v>
      </c>
      <c r="U2306" s="301">
        <v>0</v>
      </c>
      <c r="V2306" s="301">
        <v>0</v>
      </c>
      <c r="W2306" s="301">
        <v>0</v>
      </c>
      <c r="X2306" s="301">
        <v>0</v>
      </c>
      <c r="Y2306" s="301">
        <v>0</v>
      </c>
      <c r="Z2306" s="301">
        <v>0</v>
      </c>
      <c r="AA2306" s="301">
        <v>0</v>
      </c>
      <c r="AB2306" s="303">
        <v>2022</v>
      </c>
    </row>
    <row r="2307" spans="1:28" ht="35.25" x14ac:dyDescent="0.5">
      <c r="A2307">
        <v>1</v>
      </c>
      <c r="B2307" s="80">
        <f>SUBTOTAL(103,$A$1697:A2307)</f>
        <v>606</v>
      </c>
      <c r="C2307" s="308" t="s">
        <v>3122</v>
      </c>
      <c r="D2307" s="296">
        <f t="shared" si="108"/>
        <v>1056815</v>
      </c>
      <c r="E2307" s="301">
        <v>0</v>
      </c>
      <c r="F2307" s="301">
        <v>0</v>
      </c>
      <c r="G2307" s="301">
        <v>0</v>
      </c>
      <c r="H2307" s="301">
        <v>0</v>
      </c>
      <c r="I2307" s="301">
        <v>0</v>
      </c>
      <c r="J2307" s="301">
        <v>0</v>
      </c>
      <c r="K2307" s="302">
        <v>0</v>
      </c>
      <c r="L2307" s="301">
        <v>0</v>
      </c>
      <c r="M2307" s="301">
        <v>1056815</v>
      </c>
      <c r="N2307" s="301">
        <v>0</v>
      </c>
      <c r="O2307" s="301">
        <v>0</v>
      </c>
      <c r="P2307" s="301">
        <v>0</v>
      </c>
      <c r="Q2307" s="301">
        <v>0</v>
      </c>
      <c r="R2307" s="301">
        <v>0</v>
      </c>
      <c r="S2307" s="301">
        <v>0</v>
      </c>
      <c r="T2307" s="301">
        <v>0</v>
      </c>
      <c r="U2307" s="301">
        <v>0</v>
      </c>
      <c r="V2307" s="301">
        <v>0</v>
      </c>
      <c r="W2307" s="301">
        <v>0</v>
      </c>
      <c r="X2307" s="301">
        <v>0</v>
      </c>
      <c r="Y2307" s="301">
        <v>0</v>
      </c>
      <c r="Z2307" s="301">
        <v>0</v>
      </c>
      <c r="AA2307" s="301">
        <v>0</v>
      </c>
      <c r="AB2307" s="303">
        <v>2022</v>
      </c>
    </row>
    <row r="2308" spans="1:28" ht="35.25" x14ac:dyDescent="0.5">
      <c r="A2308">
        <v>1</v>
      </c>
      <c r="B2308" s="80">
        <f>SUBTOTAL(103,$A$1697:A2308)</f>
        <v>607</v>
      </c>
      <c r="C2308" s="308" t="s">
        <v>3605</v>
      </c>
      <c r="D2308" s="296">
        <f t="shared" si="108"/>
        <v>128087</v>
      </c>
      <c r="E2308" s="301">
        <v>0</v>
      </c>
      <c r="F2308" s="301">
        <v>0</v>
      </c>
      <c r="G2308" s="301">
        <v>0</v>
      </c>
      <c r="H2308" s="301">
        <v>0</v>
      </c>
      <c r="I2308" s="301">
        <v>0</v>
      </c>
      <c r="J2308" s="301">
        <v>0</v>
      </c>
      <c r="K2308" s="302">
        <v>0</v>
      </c>
      <c r="L2308" s="301">
        <v>0</v>
      </c>
      <c r="M2308" s="301">
        <v>0</v>
      </c>
      <c r="N2308" s="301">
        <v>0</v>
      </c>
      <c r="O2308" s="301">
        <v>128087</v>
      </c>
      <c r="P2308" s="301">
        <v>0</v>
      </c>
      <c r="Q2308" s="301">
        <v>0</v>
      </c>
      <c r="R2308" s="301">
        <v>0</v>
      </c>
      <c r="S2308" s="301">
        <v>0</v>
      </c>
      <c r="T2308" s="301">
        <v>0</v>
      </c>
      <c r="U2308" s="301">
        <v>0</v>
      </c>
      <c r="V2308" s="301">
        <v>0</v>
      </c>
      <c r="W2308" s="301">
        <v>0</v>
      </c>
      <c r="X2308" s="301">
        <v>0</v>
      </c>
      <c r="Y2308" s="301">
        <v>0</v>
      </c>
      <c r="Z2308" s="301">
        <v>0</v>
      </c>
      <c r="AA2308" s="301">
        <v>0</v>
      </c>
      <c r="AB2308" s="303">
        <v>2022</v>
      </c>
    </row>
    <row r="2309" spans="1:28" ht="35.25" x14ac:dyDescent="0.5">
      <c r="A2309">
        <v>1</v>
      </c>
      <c r="B2309" s="80">
        <f>SUBTOTAL(103,$A$1697:A2309)</f>
        <v>608</v>
      </c>
      <c r="C2309" s="308" t="s">
        <v>3606</v>
      </c>
      <c r="D2309" s="296">
        <f t="shared" si="108"/>
        <v>1143544</v>
      </c>
      <c r="E2309" s="301">
        <v>0</v>
      </c>
      <c r="F2309" s="301">
        <v>0</v>
      </c>
      <c r="G2309" s="301">
        <v>0</v>
      </c>
      <c r="H2309" s="301">
        <v>0</v>
      </c>
      <c r="I2309" s="301">
        <v>0</v>
      </c>
      <c r="J2309" s="301">
        <v>0</v>
      </c>
      <c r="K2309" s="302">
        <v>0</v>
      </c>
      <c r="L2309" s="301">
        <v>0</v>
      </c>
      <c r="M2309" s="301">
        <v>1143544</v>
      </c>
      <c r="N2309" s="301">
        <v>0</v>
      </c>
      <c r="O2309" s="301">
        <v>0</v>
      </c>
      <c r="P2309" s="301">
        <v>0</v>
      </c>
      <c r="Q2309" s="301">
        <v>0</v>
      </c>
      <c r="R2309" s="301">
        <v>0</v>
      </c>
      <c r="S2309" s="301">
        <v>0</v>
      </c>
      <c r="T2309" s="301">
        <v>0</v>
      </c>
      <c r="U2309" s="301">
        <v>0</v>
      </c>
      <c r="V2309" s="301">
        <v>0</v>
      </c>
      <c r="W2309" s="301">
        <v>0</v>
      </c>
      <c r="X2309" s="301">
        <v>0</v>
      </c>
      <c r="Y2309" s="301">
        <v>0</v>
      </c>
      <c r="Z2309" s="301">
        <v>0</v>
      </c>
      <c r="AA2309" s="301">
        <v>0</v>
      </c>
      <c r="AB2309" s="303">
        <v>2022</v>
      </c>
    </row>
    <row r="2310" spans="1:28" ht="35.25" x14ac:dyDescent="0.5">
      <c r="A2310">
        <v>1</v>
      </c>
      <c r="B2310" s="80">
        <f>SUBTOTAL(103,$A$1697:A2310)</f>
        <v>609</v>
      </c>
      <c r="C2310" s="308" t="s">
        <v>2837</v>
      </c>
      <c r="D2310" s="296">
        <f t="shared" si="108"/>
        <v>250529</v>
      </c>
      <c r="E2310" s="301">
        <v>0</v>
      </c>
      <c r="F2310" s="301">
        <v>0</v>
      </c>
      <c r="G2310" s="301">
        <v>250529</v>
      </c>
      <c r="H2310" s="301">
        <v>0</v>
      </c>
      <c r="I2310" s="301">
        <v>0</v>
      </c>
      <c r="J2310" s="301">
        <v>0</v>
      </c>
      <c r="K2310" s="302">
        <v>0</v>
      </c>
      <c r="L2310" s="301">
        <v>0</v>
      </c>
      <c r="M2310" s="301">
        <v>0</v>
      </c>
      <c r="N2310" s="301">
        <v>0</v>
      </c>
      <c r="O2310" s="301">
        <v>0</v>
      </c>
      <c r="P2310" s="301">
        <v>0</v>
      </c>
      <c r="Q2310" s="301">
        <v>0</v>
      </c>
      <c r="R2310" s="301">
        <v>0</v>
      </c>
      <c r="S2310" s="301">
        <v>0</v>
      </c>
      <c r="T2310" s="301">
        <v>0</v>
      </c>
      <c r="U2310" s="301">
        <v>0</v>
      </c>
      <c r="V2310" s="301">
        <v>0</v>
      </c>
      <c r="W2310" s="301">
        <v>0</v>
      </c>
      <c r="X2310" s="301">
        <v>0</v>
      </c>
      <c r="Y2310" s="301">
        <v>0</v>
      </c>
      <c r="Z2310" s="301">
        <v>0</v>
      </c>
      <c r="AA2310" s="301">
        <v>0</v>
      </c>
      <c r="AB2310" s="303">
        <v>2022</v>
      </c>
    </row>
    <row r="2311" spans="1:28" ht="35.25" x14ac:dyDescent="0.5">
      <c r="A2311">
        <v>1</v>
      </c>
      <c r="B2311" s="80">
        <f>SUBTOTAL(103,$A$1697:A2311)</f>
        <v>610</v>
      </c>
      <c r="C2311" s="308" t="s">
        <v>3607</v>
      </c>
      <c r="D2311" s="296">
        <f t="shared" si="108"/>
        <v>509620</v>
      </c>
      <c r="E2311" s="301">
        <v>0</v>
      </c>
      <c r="F2311" s="301">
        <v>0</v>
      </c>
      <c r="G2311" s="301">
        <v>297638</v>
      </c>
      <c r="H2311" s="301">
        <v>0</v>
      </c>
      <c r="I2311" s="301">
        <v>100794</v>
      </c>
      <c r="J2311" s="301">
        <v>0</v>
      </c>
      <c r="K2311" s="302">
        <v>0</v>
      </c>
      <c r="L2311" s="301">
        <v>0</v>
      </c>
      <c r="M2311" s="301">
        <v>111188</v>
      </c>
      <c r="N2311" s="301">
        <v>0</v>
      </c>
      <c r="O2311" s="301">
        <v>0</v>
      </c>
      <c r="P2311" s="301">
        <v>0</v>
      </c>
      <c r="Q2311" s="301">
        <v>0</v>
      </c>
      <c r="R2311" s="301">
        <v>0</v>
      </c>
      <c r="S2311" s="301">
        <v>0</v>
      </c>
      <c r="T2311" s="301">
        <v>0</v>
      </c>
      <c r="U2311" s="301">
        <v>0</v>
      </c>
      <c r="V2311" s="301">
        <v>0</v>
      </c>
      <c r="W2311" s="301">
        <v>0</v>
      </c>
      <c r="X2311" s="301">
        <v>0</v>
      </c>
      <c r="Y2311" s="301">
        <v>0</v>
      </c>
      <c r="Z2311" s="301">
        <v>0</v>
      </c>
      <c r="AA2311" s="301">
        <v>0</v>
      </c>
      <c r="AB2311" s="303">
        <v>2022</v>
      </c>
    </row>
    <row r="2312" spans="1:28" ht="35.25" x14ac:dyDescent="0.5">
      <c r="A2312">
        <v>1</v>
      </c>
      <c r="B2312" s="80">
        <f>SUBTOTAL(103,$A$1697:A2312)</f>
        <v>611</v>
      </c>
      <c r="C2312" s="308" t="s">
        <v>2016</v>
      </c>
      <c r="D2312" s="296">
        <f t="shared" si="108"/>
        <v>357600</v>
      </c>
      <c r="E2312" s="301">
        <v>0</v>
      </c>
      <c r="F2312" s="301">
        <v>0</v>
      </c>
      <c r="G2312" s="301">
        <v>0</v>
      </c>
      <c r="H2312" s="301">
        <v>0</v>
      </c>
      <c r="I2312" s="301">
        <v>0</v>
      </c>
      <c r="J2312" s="301">
        <v>0</v>
      </c>
      <c r="K2312" s="302">
        <v>0</v>
      </c>
      <c r="L2312" s="301">
        <v>0</v>
      </c>
      <c r="M2312" s="301">
        <v>0</v>
      </c>
      <c r="N2312" s="301">
        <v>0</v>
      </c>
      <c r="O2312" s="301">
        <v>357600</v>
      </c>
      <c r="P2312" s="301">
        <v>0</v>
      </c>
      <c r="Q2312" s="301">
        <v>0</v>
      </c>
      <c r="R2312" s="301">
        <v>0</v>
      </c>
      <c r="S2312" s="301">
        <v>0</v>
      </c>
      <c r="T2312" s="301">
        <v>0</v>
      </c>
      <c r="U2312" s="301">
        <v>0</v>
      </c>
      <c r="V2312" s="301">
        <v>0</v>
      </c>
      <c r="W2312" s="301">
        <v>0</v>
      </c>
      <c r="X2312" s="301">
        <v>0</v>
      </c>
      <c r="Y2312" s="301">
        <v>0</v>
      </c>
      <c r="Z2312" s="301">
        <v>0</v>
      </c>
      <c r="AA2312" s="301">
        <v>0</v>
      </c>
      <c r="AB2312" s="303">
        <v>2022</v>
      </c>
    </row>
    <row r="2313" spans="1:28" ht="35.25" x14ac:dyDescent="0.5">
      <c r="A2313">
        <v>1</v>
      </c>
      <c r="B2313" s="80">
        <f>SUBTOTAL(103,$A$1697:A2313)</f>
        <v>612</v>
      </c>
      <c r="C2313" s="308" t="s">
        <v>3652</v>
      </c>
      <c r="D2313" s="296">
        <f t="shared" ref="D2313:D2376" si="109">E2313+F2313+G2313+H2313+I2313+J2313+L2313+M2313+N2313+O2313+P2313+Q2313+R2313+S2313+T2313+U2313+V2313+W2313+X2313+Y2313+Z2313+AA2313</f>
        <v>194000</v>
      </c>
      <c r="E2313" s="301">
        <v>0</v>
      </c>
      <c r="F2313" s="301">
        <v>0</v>
      </c>
      <c r="G2313" s="301">
        <v>0</v>
      </c>
      <c r="H2313" s="301">
        <v>0</v>
      </c>
      <c r="I2313" s="301">
        <v>0</v>
      </c>
      <c r="J2313" s="301">
        <v>0</v>
      </c>
      <c r="K2313" s="302">
        <v>0</v>
      </c>
      <c r="L2313" s="301">
        <v>0</v>
      </c>
      <c r="M2313" s="301">
        <v>0</v>
      </c>
      <c r="N2313" s="301">
        <v>0</v>
      </c>
      <c r="O2313" s="301">
        <v>194000</v>
      </c>
      <c r="P2313" s="301">
        <v>0</v>
      </c>
      <c r="Q2313" s="301">
        <v>0</v>
      </c>
      <c r="R2313" s="301">
        <v>0</v>
      </c>
      <c r="S2313" s="301">
        <v>0</v>
      </c>
      <c r="T2313" s="301">
        <v>0</v>
      </c>
      <c r="U2313" s="301">
        <v>0</v>
      </c>
      <c r="V2313" s="301">
        <v>0</v>
      </c>
      <c r="W2313" s="301">
        <v>0</v>
      </c>
      <c r="X2313" s="301">
        <v>0</v>
      </c>
      <c r="Y2313" s="301">
        <v>0</v>
      </c>
      <c r="Z2313" s="301">
        <v>0</v>
      </c>
      <c r="AA2313" s="301">
        <v>0</v>
      </c>
      <c r="AB2313" s="303">
        <v>2022</v>
      </c>
    </row>
    <row r="2314" spans="1:28" ht="35.25" x14ac:dyDescent="0.5">
      <c r="A2314">
        <v>1</v>
      </c>
      <c r="B2314" s="80">
        <f>SUBTOTAL(103,$A$1697:A2314)</f>
        <v>613</v>
      </c>
      <c r="C2314" s="308" t="s">
        <v>2401</v>
      </c>
      <c r="D2314" s="296">
        <f t="shared" si="109"/>
        <v>462184.51</v>
      </c>
      <c r="E2314" s="301">
        <v>0</v>
      </c>
      <c r="F2314" s="301">
        <v>0</v>
      </c>
      <c r="G2314" s="301">
        <v>0</v>
      </c>
      <c r="H2314" s="301">
        <v>0</v>
      </c>
      <c r="I2314" s="301">
        <v>0</v>
      </c>
      <c r="J2314" s="301">
        <v>0</v>
      </c>
      <c r="K2314" s="302">
        <v>0</v>
      </c>
      <c r="L2314" s="301">
        <v>0</v>
      </c>
      <c r="M2314" s="301">
        <v>462184.51</v>
      </c>
      <c r="N2314" s="301">
        <v>0</v>
      </c>
      <c r="O2314" s="301">
        <v>0</v>
      </c>
      <c r="P2314" s="301">
        <v>0</v>
      </c>
      <c r="Q2314" s="301">
        <v>0</v>
      </c>
      <c r="R2314" s="301">
        <v>0</v>
      </c>
      <c r="S2314" s="301">
        <v>0</v>
      </c>
      <c r="T2314" s="301">
        <v>0</v>
      </c>
      <c r="U2314" s="301">
        <v>0</v>
      </c>
      <c r="V2314" s="301">
        <v>0</v>
      </c>
      <c r="W2314" s="301">
        <v>0</v>
      </c>
      <c r="X2314" s="301">
        <v>0</v>
      </c>
      <c r="Y2314" s="301">
        <v>0</v>
      </c>
      <c r="Z2314" s="301">
        <v>0</v>
      </c>
      <c r="AA2314" s="301">
        <v>0</v>
      </c>
      <c r="AB2314" s="303">
        <v>2022</v>
      </c>
    </row>
    <row r="2315" spans="1:28" ht="35.25" x14ac:dyDescent="0.5">
      <c r="A2315">
        <v>1</v>
      </c>
      <c r="B2315" s="80">
        <f>SUBTOTAL(103,$A$1697:A2315)</f>
        <v>614</v>
      </c>
      <c r="C2315" s="308" t="s">
        <v>3653</v>
      </c>
      <c r="D2315" s="296">
        <f t="shared" si="109"/>
        <v>623626</v>
      </c>
      <c r="E2315" s="301">
        <v>0</v>
      </c>
      <c r="F2315" s="301">
        <v>0</v>
      </c>
      <c r="G2315" s="301">
        <v>0</v>
      </c>
      <c r="H2315" s="301">
        <v>0</v>
      </c>
      <c r="I2315" s="301">
        <v>0</v>
      </c>
      <c r="J2315" s="301">
        <v>0</v>
      </c>
      <c r="K2315" s="302">
        <v>0</v>
      </c>
      <c r="L2315" s="301">
        <v>0</v>
      </c>
      <c r="M2315" s="301">
        <v>0</v>
      </c>
      <c r="N2315" s="301">
        <v>0</v>
      </c>
      <c r="O2315" s="301">
        <v>623626</v>
      </c>
      <c r="P2315" s="301">
        <v>0</v>
      </c>
      <c r="Q2315" s="301">
        <v>0</v>
      </c>
      <c r="R2315" s="301">
        <v>0</v>
      </c>
      <c r="S2315" s="301">
        <v>0</v>
      </c>
      <c r="T2315" s="301">
        <v>0</v>
      </c>
      <c r="U2315" s="301">
        <v>0</v>
      </c>
      <c r="V2315" s="301">
        <v>0</v>
      </c>
      <c r="W2315" s="301">
        <v>0</v>
      </c>
      <c r="X2315" s="301">
        <v>0</v>
      </c>
      <c r="Y2315" s="301">
        <v>0</v>
      </c>
      <c r="Z2315" s="301">
        <v>0</v>
      </c>
      <c r="AA2315" s="301">
        <v>0</v>
      </c>
      <c r="AB2315" s="303">
        <v>2022</v>
      </c>
    </row>
    <row r="2316" spans="1:28" ht="35.25" x14ac:dyDescent="0.5">
      <c r="A2316">
        <v>1</v>
      </c>
      <c r="B2316" s="80">
        <f>SUBTOTAL(103,$A$1697:A2316)</f>
        <v>615</v>
      </c>
      <c r="C2316" s="308" t="s">
        <v>3608</v>
      </c>
      <c r="D2316" s="296">
        <f t="shared" si="109"/>
        <v>1001724</v>
      </c>
      <c r="E2316" s="301">
        <v>0</v>
      </c>
      <c r="F2316" s="301">
        <v>0</v>
      </c>
      <c r="G2316" s="301">
        <v>341000</v>
      </c>
      <c r="H2316" s="301">
        <v>0</v>
      </c>
      <c r="I2316" s="301">
        <v>0</v>
      </c>
      <c r="J2316" s="301">
        <v>0</v>
      </c>
      <c r="K2316" s="302">
        <v>0</v>
      </c>
      <c r="L2316" s="301">
        <v>0</v>
      </c>
      <c r="M2316" s="301">
        <v>0</v>
      </c>
      <c r="N2316" s="301">
        <v>0</v>
      </c>
      <c r="O2316" s="301">
        <v>0</v>
      </c>
      <c r="P2316" s="301">
        <v>660724</v>
      </c>
      <c r="Q2316" s="301">
        <v>0</v>
      </c>
      <c r="R2316" s="301">
        <v>0</v>
      </c>
      <c r="S2316" s="301">
        <v>0</v>
      </c>
      <c r="T2316" s="301">
        <v>0</v>
      </c>
      <c r="U2316" s="301">
        <v>0</v>
      </c>
      <c r="V2316" s="301">
        <v>0</v>
      </c>
      <c r="W2316" s="301">
        <v>0</v>
      </c>
      <c r="X2316" s="301">
        <v>0</v>
      </c>
      <c r="Y2316" s="301">
        <v>0</v>
      </c>
      <c r="Z2316" s="301">
        <v>0</v>
      </c>
      <c r="AA2316" s="301">
        <v>0</v>
      </c>
      <c r="AB2316" s="303">
        <v>2022</v>
      </c>
    </row>
    <row r="2317" spans="1:28" ht="35.25" x14ac:dyDescent="0.5">
      <c r="A2317">
        <v>1</v>
      </c>
      <c r="B2317" s="80">
        <f>SUBTOTAL(103,$A$1697:A2317)</f>
        <v>616</v>
      </c>
      <c r="C2317" s="308" t="s">
        <v>1711</v>
      </c>
      <c r="D2317" s="296">
        <f t="shared" si="109"/>
        <v>226500</v>
      </c>
      <c r="E2317" s="301">
        <v>0</v>
      </c>
      <c r="F2317" s="301">
        <v>0</v>
      </c>
      <c r="G2317" s="301">
        <v>0</v>
      </c>
      <c r="H2317" s="301">
        <v>0</v>
      </c>
      <c r="I2317" s="301">
        <v>0</v>
      </c>
      <c r="J2317" s="301">
        <v>0</v>
      </c>
      <c r="K2317" s="302">
        <v>0</v>
      </c>
      <c r="L2317" s="301">
        <v>0</v>
      </c>
      <c r="M2317" s="301">
        <v>0</v>
      </c>
      <c r="N2317" s="301">
        <v>0</v>
      </c>
      <c r="O2317" s="301">
        <v>24100</v>
      </c>
      <c r="P2317" s="301">
        <v>202400</v>
      </c>
      <c r="Q2317" s="301">
        <v>0</v>
      </c>
      <c r="R2317" s="301">
        <v>0</v>
      </c>
      <c r="S2317" s="301">
        <v>0</v>
      </c>
      <c r="T2317" s="301">
        <v>0</v>
      </c>
      <c r="U2317" s="301">
        <v>0</v>
      </c>
      <c r="V2317" s="301">
        <v>0</v>
      </c>
      <c r="W2317" s="301">
        <v>0</v>
      </c>
      <c r="X2317" s="301">
        <v>0</v>
      </c>
      <c r="Y2317" s="301">
        <v>0</v>
      </c>
      <c r="Z2317" s="301">
        <v>0</v>
      </c>
      <c r="AA2317" s="301">
        <v>0</v>
      </c>
      <c r="AB2317" s="303">
        <v>2022</v>
      </c>
    </row>
    <row r="2318" spans="1:28" ht="35.25" x14ac:dyDescent="0.5">
      <c r="A2318">
        <v>1</v>
      </c>
      <c r="B2318" s="80">
        <f>SUBTOTAL(103,$A$1697:A2318)</f>
        <v>617</v>
      </c>
      <c r="C2318" s="308" t="s">
        <v>2840</v>
      </c>
      <c r="D2318" s="296">
        <f t="shared" si="109"/>
        <v>313123</v>
      </c>
      <c r="E2318" s="301">
        <v>0</v>
      </c>
      <c r="F2318" s="301">
        <v>0</v>
      </c>
      <c r="G2318" s="301">
        <v>0</v>
      </c>
      <c r="H2318" s="301">
        <v>0</v>
      </c>
      <c r="I2318" s="301">
        <v>313123</v>
      </c>
      <c r="J2318" s="301">
        <v>0</v>
      </c>
      <c r="K2318" s="302">
        <v>0</v>
      </c>
      <c r="L2318" s="301">
        <v>0</v>
      </c>
      <c r="M2318" s="301">
        <v>0</v>
      </c>
      <c r="N2318" s="301">
        <v>0</v>
      </c>
      <c r="O2318" s="301">
        <v>0</v>
      </c>
      <c r="P2318" s="301">
        <v>0</v>
      </c>
      <c r="Q2318" s="301">
        <v>0</v>
      </c>
      <c r="R2318" s="301">
        <v>0</v>
      </c>
      <c r="S2318" s="301">
        <v>0</v>
      </c>
      <c r="T2318" s="301">
        <v>0</v>
      </c>
      <c r="U2318" s="301">
        <v>0</v>
      </c>
      <c r="V2318" s="301">
        <v>0</v>
      </c>
      <c r="W2318" s="301">
        <v>0</v>
      </c>
      <c r="X2318" s="301">
        <v>0</v>
      </c>
      <c r="Y2318" s="301">
        <v>0</v>
      </c>
      <c r="Z2318" s="301">
        <v>0</v>
      </c>
      <c r="AA2318" s="301">
        <v>0</v>
      </c>
      <c r="AB2318" s="303">
        <v>2022</v>
      </c>
    </row>
    <row r="2319" spans="1:28" ht="35.25" x14ac:dyDescent="0.5">
      <c r="A2319">
        <v>1</v>
      </c>
      <c r="B2319" s="80">
        <f>SUBTOTAL(103,$A$1697:A2319)</f>
        <v>618</v>
      </c>
      <c r="C2319" s="308" t="s">
        <v>3609</v>
      </c>
      <c r="D2319" s="296">
        <f t="shared" si="109"/>
        <v>1057209.3999999999</v>
      </c>
      <c r="E2319" s="301">
        <v>0</v>
      </c>
      <c r="F2319" s="301">
        <v>0</v>
      </c>
      <c r="G2319" s="301">
        <v>0</v>
      </c>
      <c r="H2319" s="301">
        <v>0</v>
      </c>
      <c r="I2319" s="301">
        <v>0</v>
      </c>
      <c r="J2319" s="301">
        <v>0</v>
      </c>
      <c r="K2319" s="302">
        <v>0</v>
      </c>
      <c r="L2319" s="301">
        <v>0</v>
      </c>
      <c r="M2319" s="301">
        <v>1057209.3999999999</v>
      </c>
      <c r="N2319" s="301">
        <v>0</v>
      </c>
      <c r="O2319" s="301">
        <v>0</v>
      </c>
      <c r="P2319" s="301">
        <v>0</v>
      </c>
      <c r="Q2319" s="301">
        <v>0</v>
      </c>
      <c r="R2319" s="301">
        <v>0</v>
      </c>
      <c r="S2319" s="301">
        <v>0</v>
      </c>
      <c r="T2319" s="301">
        <v>0</v>
      </c>
      <c r="U2319" s="301">
        <v>0</v>
      </c>
      <c r="V2319" s="301">
        <v>0</v>
      </c>
      <c r="W2319" s="301">
        <v>0</v>
      </c>
      <c r="X2319" s="301">
        <v>0</v>
      </c>
      <c r="Y2319" s="301">
        <v>0</v>
      </c>
      <c r="Z2319" s="301">
        <v>0</v>
      </c>
      <c r="AA2319" s="301">
        <v>0</v>
      </c>
      <c r="AB2319" s="303">
        <v>2022</v>
      </c>
    </row>
    <row r="2320" spans="1:28" ht="35.25" x14ac:dyDescent="0.5">
      <c r="A2320">
        <v>1</v>
      </c>
      <c r="B2320" s="80">
        <f>SUBTOTAL(103,$A$1697:A2320)</f>
        <v>619</v>
      </c>
      <c r="C2320" s="308" t="s">
        <v>3124</v>
      </c>
      <c r="D2320" s="296">
        <f t="shared" si="109"/>
        <v>1818173.2</v>
      </c>
      <c r="E2320" s="301">
        <v>0</v>
      </c>
      <c r="F2320" s="301">
        <v>0</v>
      </c>
      <c r="G2320" s="301">
        <v>0</v>
      </c>
      <c r="H2320" s="301">
        <v>0</v>
      </c>
      <c r="I2320" s="301">
        <v>0</v>
      </c>
      <c r="J2320" s="301">
        <v>0</v>
      </c>
      <c r="K2320" s="302">
        <v>0</v>
      </c>
      <c r="L2320" s="301">
        <v>0</v>
      </c>
      <c r="M2320" s="301">
        <v>1818173.2</v>
      </c>
      <c r="N2320" s="301">
        <v>0</v>
      </c>
      <c r="O2320" s="301">
        <v>0</v>
      </c>
      <c r="P2320" s="301">
        <v>0</v>
      </c>
      <c r="Q2320" s="301">
        <v>0</v>
      </c>
      <c r="R2320" s="301">
        <v>0</v>
      </c>
      <c r="S2320" s="301">
        <v>0</v>
      </c>
      <c r="T2320" s="301">
        <v>0</v>
      </c>
      <c r="U2320" s="301">
        <v>0</v>
      </c>
      <c r="V2320" s="301">
        <v>0</v>
      </c>
      <c r="W2320" s="301">
        <v>0</v>
      </c>
      <c r="X2320" s="301">
        <v>0</v>
      </c>
      <c r="Y2320" s="301">
        <v>0</v>
      </c>
      <c r="Z2320" s="301">
        <v>0</v>
      </c>
      <c r="AA2320" s="301">
        <v>0</v>
      </c>
      <c r="AB2320" s="303">
        <v>2022</v>
      </c>
    </row>
    <row r="2321" spans="1:28" ht="35.25" x14ac:dyDescent="0.5">
      <c r="A2321">
        <v>1</v>
      </c>
      <c r="B2321" s="80">
        <f>SUBTOTAL(103,$A$1697:A2321)</f>
        <v>620</v>
      </c>
      <c r="C2321" s="308" t="s">
        <v>2022</v>
      </c>
      <c r="D2321" s="296">
        <f t="shared" si="109"/>
        <v>1212050</v>
      </c>
      <c r="E2321" s="301">
        <v>0</v>
      </c>
      <c r="F2321" s="301">
        <v>0</v>
      </c>
      <c r="G2321" s="301">
        <v>0</v>
      </c>
      <c r="H2321" s="301">
        <v>0</v>
      </c>
      <c r="I2321" s="301">
        <v>0</v>
      </c>
      <c r="J2321" s="301">
        <v>0</v>
      </c>
      <c r="K2321" s="302">
        <v>0</v>
      </c>
      <c r="L2321" s="301">
        <v>0</v>
      </c>
      <c r="M2321" s="301">
        <v>0</v>
      </c>
      <c r="N2321" s="301">
        <v>0</v>
      </c>
      <c r="O2321" s="301">
        <v>1212050</v>
      </c>
      <c r="P2321" s="301">
        <v>0</v>
      </c>
      <c r="Q2321" s="301">
        <v>0</v>
      </c>
      <c r="R2321" s="301">
        <v>0</v>
      </c>
      <c r="S2321" s="301">
        <v>0</v>
      </c>
      <c r="T2321" s="301">
        <v>0</v>
      </c>
      <c r="U2321" s="301">
        <v>0</v>
      </c>
      <c r="V2321" s="301">
        <v>0</v>
      </c>
      <c r="W2321" s="301">
        <v>0</v>
      </c>
      <c r="X2321" s="301">
        <v>0</v>
      </c>
      <c r="Y2321" s="301">
        <v>0</v>
      </c>
      <c r="Z2321" s="301">
        <v>0</v>
      </c>
      <c r="AA2321" s="301">
        <v>0</v>
      </c>
      <c r="AB2321" s="303">
        <v>2022</v>
      </c>
    </row>
    <row r="2322" spans="1:28" ht="35.25" x14ac:dyDescent="0.5">
      <c r="A2322">
        <v>1</v>
      </c>
      <c r="B2322" s="80">
        <f>SUBTOTAL(103,$A$1697:A2322)</f>
        <v>621</v>
      </c>
      <c r="C2322" s="308" t="s">
        <v>3610</v>
      </c>
      <c r="D2322" s="296">
        <f t="shared" si="109"/>
        <v>500949.4</v>
      </c>
      <c r="E2322" s="301">
        <v>0</v>
      </c>
      <c r="F2322" s="301">
        <v>0</v>
      </c>
      <c r="G2322" s="301">
        <v>500949.4</v>
      </c>
      <c r="H2322" s="301">
        <v>0</v>
      </c>
      <c r="I2322" s="301">
        <v>0</v>
      </c>
      <c r="J2322" s="301">
        <v>0</v>
      </c>
      <c r="K2322" s="302">
        <v>0</v>
      </c>
      <c r="L2322" s="301">
        <v>0</v>
      </c>
      <c r="M2322" s="301">
        <v>0</v>
      </c>
      <c r="N2322" s="301">
        <v>0</v>
      </c>
      <c r="O2322" s="301">
        <v>0</v>
      </c>
      <c r="P2322" s="301">
        <v>0</v>
      </c>
      <c r="Q2322" s="301">
        <v>0</v>
      </c>
      <c r="R2322" s="301">
        <v>0</v>
      </c>
      <c r="S2322" s="301">
        <v>0</v>
      </c>
      <c r="T2322" s="301">
        <v>0</v>
      </c>
      <c r="U2322" s="301">
        <v>0</v>
      </c>
      <c r="V2322" s="301">
        <v>0</v>
      </c>
      <c r="W2322" s="301">
        <v>0</v>
      </c>
      <c r="X2322" s="301">
        <v>0</v>
      </c>
      <c r="Y2322" s="301">
        <v>0</v>
      </c>
      <c r="Z2322" s="301">
        <v>0</v>
      </c>
      <c r="AA2322" s="301">
        <v>0</v>
      </c>
      <c r="AB2322" s="303">
        <v>2022</v>
      </c>
    </row>
    <row r="2323" spans="1:28" ht="35.25" x14ac:dyDescent="0.5">
      <c r="A2323">
        <v>1</v>
      </c>
      <c r="B2323" s="80">
        <f>SUBTOTAL(103,$A$1697:A2323)</f>
        <v>622</v>
      </c>
      <c r="C2323" s="300" t="s">
        <v>1703</v>
      </c>
      <c r="D2323" s="296">
        <f t="shared" si="109"/>
        <v>2120000</v>
      </c>
      <c r="E2323" s="301">
        <v>0</v>
      </c>
      <c r="F2323" s="301">
        <v>0</v>
      </c>
      <c r="G2323" s="301">
        <v>0</v>
      </c>
      <c r="H2323" s="301">
        <v>0</v>
      </c>
      <c r="I2323" s="301">
        <v>0</v>
      </c>
      <c r="J2323" s="301">
        <v>0</v>
      </c>
      <c r="K2323" s="302">
        <v>1</v>
      </c>
      <c r="L2323" s="301">
        <v>2120000</v>
      </c>
      <c r="M2323" s="301">
        <v>0</v>
      </c>
      <c r="N2323" s="301">
        <v>0</v>
      </c>
      <c r="O2323" s="301">
        <v>0</v>
      </c>
      <c r="P2323" s="301">
        <v>0</v>
      </c>
      <c r="Q2323" s="301">
        <v>0</v>
      </c>
      <c r="R2323" s="301">
        <v>0</v>
      </c>
      <c r="S2323" s="301">
        <v>0</v>
      </c>
      <c r="T2323" s="301">
        <v>0</v>
      </c>
      <c r="U2323" s="301">
        <v>0</v>
      </c>
      <c r="V2323" s="301">
        <v>0</v>
      </c>
      <c r="W2323" s="301">
        <v>0</v>
      </c>
      <c r="X2323" s="301">
        <v>0</v>
      </c>
      <c r="Y2323" s="301">
        <v>0</v>
      </c>
      <c r="Z2323" s="301">
        <v>0</v>
      </c>
      <c r="AA2323" s="301">
        <v>0</v>
      </c>
      <c r="AB2323" s="303">
        <v>2022</v>
      </c>
    </row>
    <row r="2324" spans="1:28" ht="35.25" x14ac:dyDescent="0.5">
      <c r="B2324" s="299" t="s">
        <v>768</v>
      </c>
      <c r="C2324" s="300"/>
      <c r="D2324" s="296">
        <f t="shared" si="109"/>
        <v>9353040.9900000002</v>
      </c>
      <c r="E2324" s="296">
        <f t="shared" ref="E2324:AA2324" si="110">SUM(E2325:E2336)</f>
        <v>0</v>
      </c>
      <c r="F2324" s="296">
        <f t="shared" si="110"/>
        <v>0</v>
      </c>
      <c r="G2324" s="296">
        <f t="shared" si="110"/>
        <v>1983185.7</v>
      </c>
      <c r="H2324" s="296">
        <f t="shared" si="110"/>
        <v>364630</v>
      </c>
      <c r="I2324" s="296">
        <f t="shared" si="110"/>
        <v>0</v>
      </c>
      <c r="J2324" s="296">
        <f t="shared" si="110"/>
        <v>0</v>
      </c>
      <c r="K2324" s="297">
        <f t="shared" si="110"/>
        <v>0</v>
      </c>
      <c r="L2324" s="296">
        <f t="shared" si="110"/>
        <v>0</v>
      </c>
      <c r="M2324" s="296">
        <f t="shared" si="110"/>
        <v>4980855.1500000004</v>
      </c>
      <c r="N2324" s="296">
        <f t="shared" si="110"/>
        <v>309172</v>
      </c>
      <c r="O2324" s="296">
        <f t="shared" si="110"/>
        <v>1346001.1400000001</v>
      </c>
      <c r="P2324" s="296">
        <f t="shared" si="110"/>
        <v>369197</v>
      </c>
      <c r="Q2324" s="296">
        <f t="shared" si="110"/>
        <v>0</v>
      </c>
      <c r="R2324" s="296">
        <f t="shared" si="110"/>
        <v>0</v>
      </c>
      <c r="S2324" s="296">
        <f t="shared" si="110"/>
        <v>0</v>
      </c>
      <c r="T2324" s="296">
        <f t="shared" si="110"/>
        <v>0</v>
      </c>
      <c r="U2324" s="296">
        <f t="shared" si="110"/>
        <v>0</v>
      </c>
      <c r="V2324" s="296">
        <f t="shared" si="110"/>
        <v>0</v>
      </c>
      <c r="W2324" s="296">
        <f t="shared" si="110"/>
        <v>0</v>
      </c>
      <c r="X2324" s="296">
        <f t="shared" si="110"/>
        <v>0</v>
      </c>
      <c r="Y2324" s="296">
        <f t="shared" si="110"/>
        <v>0</v>
      </c>
      <c r="Z2324" s="296">
        <f t="shared" si="110"/>
        <v>0</v>
      </c>
      <c r="AA2324" s="296">
        <f t="shared" si="110"/>
        <v>0</v>
      </c>
      <c r="AB2324" s="298" t="s">
        <v>835</v>
      </c>
    </row>
    <row r="2325" spans="1:28" ht="35.25" x14ac:dyDescent="0.5">
      <c r="A2325">
        <v>1</v>
      </c>
      <c r="B2325" s="80">
        <f>SUBTOTAL(103,$A$1697:A2325)</f>
        <v>623</v>
      </c>
      <c r="C2325" s="300" t="s">
        <v>2087</v>
      </c>
      <c r="D2325" s="296">
        <f t="shared" si="109"/>
        <v>438174</v>
      </c>
      <c r="E2325" s="301">
        <v>0</v>
      </c>
      <c r="F2325" s="301">
        <v>0</v>
      </c>
      <c r="G2325" s="301">
        <v>0</v>
      </c>
      <c r="H2325" s="301">
        <v>229406</v>
      </c>
      <c r="I2325" s="301">
        <v>0</v>
      </c>
      <c r="J2325" s="301">
        <v>0</v>
      </c>
      <c r="K2325" s="302">
        <v>0</v>
      </c>
      <c r="L2325" s="301">
        <v>0</v>
      </c>
      <c r="M2325" s="301">
        <v>0</v>
      </c>
      <c r="N2325" s="301">
        <v>0</v>
      </c>
      <c r="O2325" s="301">
        <v>208768</v>
      </c>
      <c r="P2325" s="301">
        <v>0</v>
      </c>
      <c r="Q2325" s="301">
        <v>0</v>
      </c>
      <c r="R2325" s="301">
        <v>0</v>
      </c>
      <c r="S2325" s="301">
        <v>0</v>
      </c>
      <c r="T2325" s="301">
        <v>0</v>
      </c>
      <c r="U2325" s="301">
        <v>0</v>
      </c>
      <c r="V2325" s="301">
        <v>0</v>
      </c>
      <c r="W2325" s="301">
        <v>0</v>
      </c>
      <c r="X2325" s="301">
        <v>0</v>
      </c>
      <c r="Y2325" s="301">
        <v>0</v>
      </c>
      <c r="Z2325" s="301">
        <v>0</v>
      </c>
      <c r="AA2325" s="301">
        <v>0</v>
      </c>
      <c r="AB2325" s="303">
        <v>2022</v>
      </c>
    </row>
    <row r="2326" spans="1:28" ht="35.25" x14ac:dyDescent="0.5">
      <c r="A2326">
        <v>1</v>
      </c>
      <c r="B2326" s="80">
        <f>SUBTOTAL(103,$A$1697:A2326)</f>
        <v>624</v>
      </c>
      <c r="C2326" s="300" t="s">
        <v>3137</v>
      </c>
      <c r="D2326" s="296">
        <f t="shared" si="109"/>
        <v>591452</v>
      </c>
      <c r="E2326" s="301">
        <v>0</v>
      </c>
      <c r="F2326" s="301">
        <v>0</v>
      </c>
      <c r="G2326" s="301">
        <v>226280</v>
      </c>
      <c r="H2326" s="301">
        <v>0</v>
      </c>
      <c r="I2326" s="301">
        <v>0</v>
      </c>
      <c r="J2326" s="301">
        <v>0</v>
      </c>
      <c r="K2326" s="302">
        <v>0</v>
      </c>
      <c r="L2326" s="301">
        <v>0</v>
      </c>
      <c r="M2326" s="301">
        <v>0</v>
      </c>
      <c r="N2326" s="301">
        <v>309172</v>
      </c>
      <c r="O2326" s="301">
        <v>56000</v>
      </c>
      <c r="P2326" s="301">
        <v>0</v>
      </c>
      <c r="Q2326" s="301">
        <v>0</v>
      </c>
      <c r="R2326" s="301">
        <v>0</v>
      </c>
      <c r="S2326" s="301">
        <v>0</v>
      </c>
      <c r="T2326" s="301">
        <v>0</v>
      </c>
      <c r="U2326" s="301">
        <v>0</v>
      </c>
      <c r="V2326" s="301">
        <v>0</v>
      </c>
      <c r="W2326" s="301">
        <v>0</v>
      </c>
      <c r="X2326" s="301">
        <v>0</v>
      </c>
      <c r="Y2326" s="301">
        <v>0</v>
      </c>
      <c r="Z2326" s="301">
        <v>0</v>
      </c>
      <c r="AA2326" s="301">
        <v>0</v>
      </c>
      <c r="AB2326" s="303">
        <v>2022</v>
      </c>
    </row>
    <row r="2327" spans="1:28" ht="35.25" x14ac:dyDescent="0.5">
      <c r="A2327">
        <v>1</v>
      </c>
      <c r="B2327" s="80">
        <f>SUBTOTAL(103,$A$1697:A2327)</f>
        <v>625</v>
      </c>
      <c r="C2327" s="300" t="s">
        <v>3611</v>
      </c>
      <c r="D2327" s="296">
        <f t="shared" si="109"/>
        <v>98889.11</v>
      </c>
      <c r="E2327" s="301">
        <v>0</v>
      </c>
      <c r="F2327" s="301">
        <v>0</v>
      </c>
      <c r="G2327" s="301">
        <v>0</v>
      </c>
      <c r="H2327" s="301">
        <v>0</v>
      </c>
      <c r="I2327" s="301">
        <v>0</v>
      </c>
      <c r="J2327" s="301">
        <v>0</v>
      </c>
      <c r="K2327" s="302">
        <v>0</v>
      </c>
      <c r="L2327" s="301">
        <v>0</v>
      </c>
      <c r="M2327" s="301">
        <v>98889.11</v>
      </c>
      <c r="N2327" s="301">
        <v>0</v>
      </c>
      <c r="O2327" s="301">
        <v>0</v>
      </c>
      <c r="P2327" s="301">
        <v>0</v>
      </c>
      <c r="Q2327" s="301">
        <v>0</v>
      </c>
      <c r="R2327" s="301">
        <v>0</v>
      </c>
      <c r="S2327" s="301">
        <v>0</v>
      </c>
      <c r="T2327" s="301">
        <v>0</v>
      </c>
      <c r="U2327" s="301">
        <v>0</v>
      </c>
      <c r="V2327" s="301">
        <v>0</v>
      </c>
      <c r="W2327" s="301">
        <v>0</v>
      </c>
      <c r="X2327" s="301">
        <v>0</v>
      </c>
      <c r="Y2327" s="301">
        <v>0</v>
      </c>
      <c r="Z2327" s="301">
        <v>0</v>
      </c>
      <c r="AA2327" s="301">
        <v>0</v>
      </c>
      <c r="AB2327" s="303">
        <v>2022</v>
      </c>
    </row>
    <row r="2328" spans="1:28" ht="35.25" x14ac:dyDescent="0.5">
      <c r="A2328">
        <v>1</v>
      </c>
      <c r="B2328" s="80">
        <f>SUBTOTAL(103,$A$1697:A2328)</f>
        <v>626</v>
      </c>
      <c r="C2328" s="300" t="s">
        <v>2082</v>
      </c>
      <c r="D2328" s="296">
        <f t="shared" si="109"/>
        <v>1315230</v>
      </c>
      <c r="E2328" s="301">
        <v>0</v>
      </c>
      <c r="F2328" s="301">
        <v>0</v>
      </c>
      <c r="G2328" s="301">
        <v>0</v>
      </c>
      <c r="H2328" s="301">
        <v>0</v>
      </c>
      <c r="I2328" s="301">
        <v>0</v>
      </c>
      <c r="J2328" s="301">
        <v>0</v>
      </c>
      <c r="K2328" s="302">
        <v>0</v>
      </c>
      <c r="L2328" s="301">
        <v>0</v>
      </c>
      <c r="M2328" s="301">
        <v>1315230</v>
      </c>
      <c r="N2328" s="301">
        <v>0</v>
      </c>
      <c r="O2328" s="301">
        <v>0</v>
      </c>
      <c r="P2328" s="301">
        <v>0</v>
      </c>
      <c r="Q2328" s="301">
        <v>0</v>
      </c>
      <c r="R2328" s="301">
        <v>0</v>
      </c>
      <c r="S2328" s="301">
        <v>0</v>
      </c>
      <c r="T2328" s="301">
        <v>0</v>
      </c>
      <c r="U2328" s="301">
        <v>0</v>
      </c>
      <c r="V2328" s="301">
        <v>0</v>
      </c>
      <c r="W2328" s="301">
        <v>0</v>
      </c>
      <c r="X2328" s="301">
        <v>0</v>
      </c>
      <c r="Y2328" s="301">
        <v>0</v>
      </c>
      <c r="Z2328" s="301">
        <v>0</v>
      </c>
      <c r="AA2328" s="301">
        <v>0</v>
      </c>
      <c r="AB2328" s="303">
        <v>2022</v>
      </c>
    </row>
    <row r="2329" spans="1:28" ht="35.25" x14ac:dyDescent="0.5">
      <c r="A2329">
        <v>1</v>
      </c>
      <c r="B2329" s="80">
        <f>SUBTOTAL(103,$A$1697:A2329)</f>
        <v>627</v>
      </c>
      <c r="C2329" s="300" t="s">
        <v>3612</v>
      </c>
      <c r="D2329" s="296">
        <f t="shared" si="109"/>
        <v>603560</v>
      </c>
      <c r="E2329" s="301">
        <v>0</v>
      </c>
      <c r="F2329" s="301">
        <v>0</v>
      </c>
      <c r="G2329" s="301">
        <v>0</v>
      </c>
      <c r="H2329" s="301">
        <v>0</v>
      </c>
      <c r="I2329" s="301">
        <v>0</v>
      </c>
      <c r="J2329" s="301">
        <v>0</v>
      </c>
      <c r="K2329" s="302">
        <v>0</v>
      </c>
      <c r="L2329" s="301">
        <v>0</v>
      </c>
      <c r="M2329" s="301">
        <v>603560</v>
      </c>
      <c r="N2329" s="301">
        <v>0</v>
      </c>
      <c r="O2329" s="301">
        <v>0</v>
      </c>
      <c r="P2329" s="301">
        <v>0</v>
      </c>
      <c r="Q2329" s="301">
        <v>0</v>
      </c>
      <c r="R2329" s="301">
        <v>0</v>
      </c>
      <c r="S2329" s="301">
        <v>0</v>
      </c>
      <c r="T2329" s="301">
        <v>0</v>
      </c>
      <c r="U2329" s="301">
        <v>0</v>
      </c>
      <c r="V2329" s="301">
        <v>0</v>
      </c>
      <c r="W2329" s="301">
        <v>0</v>
      </c>
      <c r="X2329" s="301">
        <v>0</v>
      </c>
      <c r="Y2329" s="301">
        <v>0</v>
      </c>
      <c r="Z2329" s="301">
        <v>0</v>
      </c>
      <c r="AA2329" s="301">
        <v>0</v>
      </c>
      <c r="AB2329" s="303">
        <v>2022</v>
      </c>
    </row>
    <row r="2330" spans="1:28" ht="35.25" x14ac:dyDescent="0.5">
      <c r="A2330">
        <v>1</v>
      </c>
      <c r="B2330" s="80">
        <f>SUBTOTAL(103,$A$1697:A2330)</f>
        <v>628</v>
      </c>
      <c r="C2330" s="300" t="s">
        <v>3613</v>
      </c>
      <c r="D2330" s="296">
        <f t="shared" si="109"/>
        <v>864400</v>
      </c>
      <c r="E2330" s="301">
        <v>0</v>
      </c>
      <c r="F2330" s="301">
        <v>0</v>
      </c>
      <c r="G2330" s="301">
        <v>0</v>
      </c>
      <c r="H2330" s="301">
        <v>0</v>
      </c>
      <c r="I2330" s="301">
        <v>0</v>
      </c>
      <c r="J2330" s="301">
        <v>0</v>
      </c>
      <c r="K2330" s="302">
        <v>0</v>
      </c>
      <c r="L2330" s="301">
        <v>0</v>
      </c>
      <c r="M2330" s="301">
        <v>0</v>
      </c>
      <c r="N2330" s="301">
        <v>0</v>
      </c>
      <c r="O2330" s="301">
        <v>864400</v>
      </c>
      <c r="P2330" s="301">
        <v>0</v>
      </c>
      <c r="Q2330" s="301">
        <v>0</v>
      </c>
      <c r="R2330" s="301">
        <v>0</v>
      </c>
      <c r="S2330" s="301">
        <v>0</v>
      </c>
      <c r="T2330" s="301">
        <v>0</v>
      </c>
      <c r="U2330" s="301">
        <v>0</v>
      </c>
      <c r="V2330" s="301">
        <v>0</v>
      </c>
      <c r="W2330" s="301">
        <v>0</v>
      </c>
      <c r="X2330" s="301">
        <v>0</v>
      </c>
      <c r="Y2330" s="301">
        <v>0</v>
      </c>
      <c r="Z2330" s="301">
        <v>0</v>
      </c>
      <c r="AA2330" s="301">
        <v>0</v>
      </c>
      <c r="AB2330" s="303">
        <v>2022</v>
      </c>
    </row>
    <row r="2331" spans="1:28" ht="35.25" x14ac:dyDescent="0.5">
      <c r="A2331">
        <v>1</v>
      </c>
      <c r="B2331" s="80">
        <f>SUBTOTAL(103,$A$1697:A2331)</f>
        <v>629</v>
      </c>
      <c r="C2331" s="300" t="s">
        <v>2084</v>
      </c>
      <c r="D2331" s="296">
        <f t="shared" si="109"/>
        <v>216833.14</v>
      </c>
      <c r="E2331" s="301">
        <v>0</v>
      </c>
      <c r="F2331" s="301">
        <v>0</v>
      </c>
      <c r="G2331" s="301">
        <v>0</v>
      </c>
      <c r="H2331" s="301">
        <v>0</v>
      </c>
      <c r="I2331" s="301">
        <v>0</v>
      </c>
      <c r="J2331" s="301">
        <v>0</v>
      </c>
      <c r="K2331" s="302">
        <v>0</v>
      </c>
      <c r="L2331" s="301">
        <v>0</v>
      </c>
      <c r="M2331" s="301">
        <v>0</v>
      </c>
      <c r="N2331" s="301">
        <v>0</v>
      </c>
      <c r="O2331" s="301">
        <v>216833.14</v>
      </c>
      <c r="P2331" s="301">
        <v>0</v>
      </c>
      <c r="Q2331" s="301">
        <v>0</v>
      </c>
      <c r="R2331" s="301">
        <v>0</v>
      </c>
      <c r="S2331" s="301">
        <v>0</v>
      </c>
      <c r="T2331" s="301">
        <v>0</v>
      </c>
      <c r="U2331" s="301">
        <v>0</v>
      </c>
      <c r="V2331" s="301">
        <v>0</v>
      </c>
      <c r="W2331" s="301">
        <v>0</v>
      </c>
      <c r="X2331" s="301">
        <v>0</v>
      </c>
      <c r="Y2331" s="301">
        <v>0</v>
      </c>
      <c r="Z2331" s="301">
        <v>0</v>
      </c>
      <c r="AA2331" s="301">
        <v>0</v>
      </c>
      <c r="AB2331" s="303">
        <v>2022</v>
      </c>
    </row>
    <row r="2332" spans="1:28" ht="35.25" x14ac:dyDescent="0.5">
      <c r="A2332">
        <v>1</v>
      </c>
      <c r="B2332" s="80">
        <f>SUBTOTAL(103,$A$1697:A2332)</f>
        <v>630</v>
      </c>
      <c r="C2332" s="300" t="s">
        <v>2866</v>
      </c>
      <c r="D2332" s="296">
        <f t="shared" si="109"/>
        <v>880299.7</v>
      </c>
      <c r="E2332" s="301">
        <v>0</v>
      </c>
      <c r="F2332" s="301">
        <v>0</v>
      </c>
      <c r="G2332" s="301">
        <v>880299.7</v>
      </c>
      <c r="H2332" s="301">
        <v>0</v>
      </c>
      <c r="I2332" s="301">
        <v>0</v>
      </c>
      <c r="J2332" s="301">
        <v>0</v>
      </c>
      <c r="K2332" s="302">
        <v>0</v>
      </c>
      <c r="L2332" s="301">
        <v>0</v>
      </c>
      <c r="M2332" s="301">
        <v>0</v>
      </c>
      <c r="N2332" s="301">
        <v>0</v>
      </c>
      <c r="O2332" s="301">
        <v>0</v>
      </c>
      <c r="P2332" s="301">
        <v>0</v>
      </c>
      <c r="Q2332" s="301">
        <v>0</v>
      </c>
      <c r="R2332" s="301">
        <v>0</v>
      </c>
      <c r="S2332" s="301">
        <v>0</v>
      </c>
      <c r="T2332" s="301">
        <v>0</v>
      </c>
      <c r="U2332" s="301">
        <v>0</v>
      </c>
      <c r="V2332" s="301">
        <v>0</v>
      </c>
      <c r="W2332" s="301">
        <v>0</v>
      </c>
      <c r="X2332" s="301">
        <v>0</v>
      </c>
      <c r="Y2332" s="301">
        <v>0</v>
      </c>
      <c r="Z2332" s="301">
        <v>0</v>
      </c>
      <c r="AA2332" s="301">
        <v>0</v>
      </c>
      <c r="AB2332" s="303">
        <v>2022</v>
      </c>
    </row>
    <row r="2333" spans="1:28" ht="35.25" x14ac:dyDescent="0.5">
      <c r="A2333">
        <v>1</v>
      </c>
      <c r="B2333" s="80">
        <f>SUBTOTAL(103,$A$1697:A2333)</f>
        <v>631</v>
      </c>
      <c r="C2333" s="300" t="s">
        <v>2085</v>
      </c>
      <c r="D2333" s="296">
        <f t="shared" si="109"/>
        <v>369197</v>
      </c>
      <c r="E2333" s="301">
        <v>0</v>
      </c>
      <c r="F2333" s="301">
        <v>0</v>
      </c>
      <c r="G2333" s="301">
        <v>0</v>
      </c>
      <c r="H2333" s="301">
        <v>0</v>
      </c>
      <c r="I2333" s="301">
        <v>0</v>
      </c>
      <c r="J2333" s="301">
        <v>0</v>
      </c>
      <c r="K2333" s="302">
        <v>0</v>
      </c>
      <c r="L2333" s="301">
        <v>0</v>
      </c>
      <c r="M2333" s="301">
        <v>0</v>
      </c>
      <c r="N2333" s="301">
        <v>0</v>
      </c>
      <c r="O2333" s="301">
        <v>0</v>
      </c>
      <c r="P2333" s="301">
        <v>369197</v>
      </c>
      <c r="Q2333" s="301">
        <v>0</v>
      </c>
      <c r="R2333" s="301">
        <v>0</v>
      </c>
      <c r="S2333" s="301">
        <v>0</v>
      </c>
      <c r="T2333" s="301">
        <v>0</v>
      </c>
      <c r="U2333" s="301">
        <v>0</v>
      </c>
      <c r="V2333" s="301">
        <v>0</v>
      </c>
      <c r="W2333" s="301">
        <v>0</v>
      </c>
      <c r="X2333" s="301">
        <v>0</v>
      </c>
      <c r="Y2333" s="301">
        <v>0</v>
      </c>
      <c r="Z2333" s="301">
        <v>0</v>
      </c>
      <c r="AA2333" s="301">
        <v>0</v>
      </c>
      <c r="AB2333" s="303">
        <v>2022</v>
      </c>
    </row>
    <row r="2334" spans="1:28" ht="35.25" x14ac:dyDescent="0.5">
      <c r="A2334">
        <v>1</v>
      </c>
      <c r="B2334" s="80">
        <f>SUBTOTAL(103,$A$1697:A2334)</f>
        <v>632</v>
      </c>
      <c r="C2334" s="300" t="s">
        <v>3139</v>
      </c>
      <c r="D2334" s="296">
        <f t="shared" si="109"/>
        <v>135224</v>
      </c>
      <c r="E2334" s="301">
        <v>0</v>
      </c>
      <c r="F2334" s="301">
        <v>0</v>
      </c>
      <c r="G2334" s="301">
        <v>0</v>
      </c>
      <c r="H2334" s="301">
        <v>135224</v>
      </c>
      <c r="I2334" s="301">
        <v>0</v>
      </c>
      <c r="J2334" s="301">
        <v>0</v>
      </c>
      <c r="K2334" s="302">
        <v>0</v>
      </c>
      <c r="L2334" s="301">
        <v>0</v>
      </c>
      <c r="M2334" s="301">
        <v>0</v>
      </c>
      <c r="N2334" s="301">
        <v>0</v>
      </c>
      <c r="O2334" s="301">
        <v>0</v>
      </c>
      <c r="P2334" s="301">
        <v>0</v>
      </c>
      <c r="Q2334" s="301">
        <v>0</v>
      </c>
      <c r="R2334" s="301">
        <v>0</v>
      </c>
      <c r="S2334" s="301">
        <v>0</v>
      </c>
      <c r="T2334" s="301">
        <v>0</v>
      </c>
      <c r="U2334" s="301">
        <v>0</v>
      </c>
      <c r="V2334" s="301">
        <v>0</v>
      </c>
      <c r="W2334" s="301">
        <v>0</v>
      </c>
      <c r="X2334" s="301">
        <v>0</v>
      </c>
      <c r="Y2334" s="301">
        <v>0</v>
      </c>
      <c r="Z2334" s="301">
        <v>0</v>
      </c>
      <c r="AA2334" s="301">
        <v>0</v>
      </c>
      <c r="AB2334" s="303">
        <v>2022</v>
      </c>
    </row>
    <row r="2335" spans="1:28" ht="35.25" x14ac:dyDescent="0.5">
      <c r="A2335">
        <v>1</v>
      </c>
      <c r="B2335" s="80">
        <f>SUBTOTAL(103,$A$1697:A2335)</f>
        <v>633</v>
      </c>
      <c r="C2335" s="300" t="s">
        <v>2441</v>
      </c>
      <c r="D2335" s="296">
        <f t="shared" si="109"/>
        <v>876606</v>
      </c>
      <c r="E2335" s="301">
        <v>0</v>
      </c>
      <c r="F2335" s="301">
        <v>0</v>
      </c>
      <c r="G2335" s="301">
        <v>876606</v>
      </c>
      <c r="H2335" s="301">
        <v>0</v>
      </c>
      <c r="I2335" s="301">
        <v>0</v>
      </c>
      <c r="J2335" s="301">
        <v>0</v>
      </c>
      <c r="K2335" s="302">
        <v>0</v>
      </c>
      <c r="L2335" s="301">
        <v>0</v>
      </c>
      <c r="M2335" s="301">
        <v>0</v>
      </c>
      <c r="N2335" s="301">
        <v>0</v>
      </c>
      <c r="O2335" s="301">
        <v>0</v>
      </c>
      <c r="P2335" s="301">
        <v>0</v>
      </c>
      <c r="Q2335" s="301">
        <v>0</v>
      </c>
      <c r="R2335" s="301">
        <v>0</v>
      </c>
      <c r="S2335" s="301">
        <v>0</v>
      </c>
      <c r="T2335" s="301">
        <v>0</v>
      </c>
      <c r="U2335" s="301">
        <v>0</v>
      </c>
      <c r="V2335" s="301">
        <v>0</v>
      </c>
      <c r="W2335" s="301">
        <v>0</v>
      </c>
      <c r="X2335" s="301">
        <v>0</v>
      </c>
      <c r="Y2335" s="301">
        <v>0</v>
      </c>
      <c r="Z2335" s="301">
        <v>0</v>
      </c>
      <c r="AA2335" s="301">
        <v>0</v>
      </c>
      <c r="AB2335" s="303">
        <v>2022</v>
      </c>
    </row>
    <row r="2336" spans="1:28" ht="35.25" x14ac:dyDescent="0.5">
      <c r="A2336">
        <v>1</v>
      </c>
      <c r="B2336" s="80">
        <f>SUBTOTAL(103,$A$1697:A2336)</f>
        <v>634</v>
      </c>
      <c r="C2336" s="300" t="s">
        <v>3529</v>
      </c>
      <c r="D2336" s="296">
        <f t="shared" si="109"/>
        <v>2963176.04</v>
      </c>
      <c r="E2336" s="301">
        <v>0</v>
      </c>
      <c r="F2336" s="301">
        <v>0</v>
      </c>
      <c r="G2336" s="301">
        <v>0</v>
      </c>
      <c r="H2336" s="301">
        <v>0</v>
      </c>
      <c r="I2336" s="301">
        <v>0</v>
      </c>
      <c r="J2336" s="301">
        <v>0</v>
      </c>
      <c r="K2336" s="302">
        <v>0</v>
      </c>
      <c r="L2336" s="301">
        <v>0</v>
      </c>
      <c r="M2336" s="301">
        <v>2963176.04</v>
      </c>
      <c r="N2336" s="301">
        <v>0</v>
      </c>
      <c r="O2336" s="301">
        <v>0</v>
      </c>
      <c r="P2336" s="301">
        <v>0</v>
      </c>
      <c r="Q2336" s="301">
        <v>0</v>
      </c>
      <c r="R2336" s="301">
        <v>0</v>
      </c>
      <c r="S2336" s="301">
        <v>0</v>
      </c>
      <c r="T2336" s="301">
        <v>0</v>
      </c>
      <c r="U2336" s="301">
        <v>0</v>
      </c>
      <c r="V2336" s="301">
        <v>0</v>
      </c>
      <c r="W2336" s="301">
        <v>0</v>
      </c>
      <c r="X2336" s="301">
        <v>0</v>
      </c>
      <c r="Y2336" s="301">
        <v>0</v>
      </c>
      <c r="Z2336" s="301">
        <v>0</v>
      </c>
      <c r="AA2336" s="301">
        <v>0</v>
      </c>
      <c r="AB2336" s="303">
        <v>2022</v>
      </c>
    </row>
    <row r="2337" spans="1:28" ht="35.25" x14ac:dyDescent="0.5">
      <c r="B2337" s="300" t="s">
        <v>773</v>
      </c>
      <c r="C2337" s="300"/>
      <c r="D2337" s="296">
        <f t="shared" si="109"/>
        <v>9847384.4700000007</v>
      </c>
      <c r="E2337" s="296">
        <f t="shared" ref="E2337:AA2337" si="111">SUM(E2338:E2358)</f>
        <v>362176</v>
      </c>
      <c r="F2337" s="296">
        <f t="shared" si="111"/>
        <v>0</v>
      </c>
      <c r="G2337" s="296">
        <f t="shared" si="111"/>
        <v>1333073</v>
      </c>
      <c r="H2337" s="296">
        <f t="shared" si="111"/>
        <v>372357.55</v>
      </c>
      <c r="I2337" s="296">
        <f t="shared" si="111"/>
        <v>0</v>
      </c>
      <c r="J2337" s="296">
        <f t="shared" si="111"/>
        <v>0</v>
      </c>
      <c r="K2337" s="297">
        <f t="shared" si="111"/>
        <v>0</v>
      </c>
      <c r="L2337" s="296">
        <f t="shared" si="111"/>
        <v>0</v>
      </c>
      <c r="M2337" s="296">
        <f t="shared" si="111"/>
        <v>5382288</v>
      </c>
      <c r="N2337" s="296">
        <f t="shared" si="111"/>
        <v>0</v>
      </c>
      <c r="O2337" s="296">
        <f t="shared" si="111"/>
        <v>2111896.04</v>
      </c>
      <c r="P2337" s="296">
        <f t="shared" si="111"/>
        <v>285593.88</v>
      </c>
      <c r="Q2337" s="296">
        <f t="shared" si="111"/>
        <v>0</v>
      </c>
      <c r="R2337" s="296">
        <f t="shared" si="111"/>
        <v>0</v>
      </c>
      <c r="S2337" s="296">
        <f t="shared" si="111"/>
        <v>0</v>
      </c>
      <c r="T2337" s="296">
        <f t="shared" si="111"/>
        <v>0</v>
      </c>
      <c r="U2337" s="296">
        <f t="shared" si="111"/>
        <v>0</v>
      </c>
      <c r="V2337" s="296">
        <f t="shared" si="111"/>
        <v>0</v>
      </c>
      <c r="W2337" s="296">
        <f t="shared" si="111"/>
        <v>0</v>
      </c>
      <c r="X2337" s="296">
        <f t="shared" si="111"/>
        <v>0</v>
      </c>
      <c r="Y2337" s="296">
        <f t="shared" si="111"/>
        <v>0</v>
      </c>
      <c r="Z2337" s="296">
        <f t="shared" si="111"/>
        <v>0</v>
      </c>
      <c r="AA2337" s="296">
        <f t="shared" si="111"/>
        <v>0</v>
      </c>
      <c r="AB2337" s="298" t="s">
        <v>835</v>
      </c>
    </row>
    <row r="2338" spans="1:28" ht="35.25" x14ac:dyDescent="0.5">
      <c r="A2338">
        <v>1</v>
      </c>
      <c r="B2338" s="80">
        <f>SUBTOTAL(103,$A$1697:A2338)</f>
        <v>635</v>
      </c>
      <c r="C2338" s="300" t="s">
        <v>3358</v>
      </c>
      <c r="D2338" s="296">
        <f t="shared" si="109"/>
        <v>178999.32</v>
      </c>
      <c r="E2338" s="301">
        <v>0</v>
      </c>
      <c r="F2338" s="301">
        <v>0</v>
      </c>
      <c r="G2338" s="301">
        <v>0</v>
      </c>
      <c r="H2338" s="301">
        <v>0</v>
      </c>
      <c r="I2338" s="301">
        <v>0</v>
      </c>
      <c r="J2338" s="301">
        <v>0</v>
      </c>
      <c r="K2338" s="302">
        <v>0</v>
      </c>
      <c r="L2338" s="301">
        <v>0</v>
      </c>
      <c r="M2338" s="301">
        <v>0</v>
      </c>
      <c r="N2338" s="301">
        <v>0</v>
      </c>
      <c r="O2338" s="301">
        <v>160277.44</v>
      </c>
      <c r="P2338" s="301">
        <v>18721.88</v>
      </c>
      <c r="Q2338" s="301">
        <v>0</v>
      </c>
      <c r="R2338" s="301">
        <v>0</v>
      </c>
      <c r="S2338" s="301">
        <v>0</v>
      </c>
      <c r="T2338" s="301">
        <v>0</v>
      </c>
      <c r="U2338" s="301">
        <v>0</v>
      </c>
      <c r="V2338" s="301">
        <v>0</v>
      </c>
      <c r="W2338" s="301">
        <v>0</v>
      </c>
      <c r="X2338" s="301">
        <v>0</v>
      </c>
      <c r="Y2338" s="301">
        <v>0</v>
      </c>
      <c r="Z2338" s="301">
        <v>0</v>
      </c>
      <c r="AA2338" s="301">
        <v>0</v>
      </c>
      <c r="AB2338" s="303">
        <v>2022</v>
      </c>
    </row>
    <row r="2339" spans="1:28" ht="35.25" x14ac:dyDescent="0.5">
      <c r="A2339">
        <v>1</v>
      </c>
      <c r="B2339" s="80">
        <f>SUBTOTAL(103,$A$1697:A2339)</f>
        <v>636</v>
      </c>
      <c r="C2339" s="300" t="s">
        <v>2437</v>
      </c>
      <c r="D2339" s="296">
        <f t="shared" si="109"/>
        <v>247500</v>
      </c>
      <c r="E2339" s="301">
        <v>0</v>
      </c>
      <c r="F2339" s="301">
        <v>0</v>
      </c>
      <c r="G2339" s="301">
        <v>0</v>
      </c>
      <c r="H2339" s="301">
        <v>0</v>
      </c>
      <c r="I2339" s="301">
        <v>0</v>
      </c>
      <c r="J2339" s="301">
        <v>0</v>
      </c>
      <c r="K2339" s="302">
        <v>0</v>
      </c>
      <c r="L2339" s="301">
        <v>0</v>
      </c>
      <c r="M2339" s="301">
        <v>81000</v>
      </c>
      <c r="N2339" s="301">
        <v>0</v>
      </c>
      <c r="O2339" s="301">
        <v>0</v>
      </c>
      <c r="P2339" s="301">
        <f>85000+81500</f>
        <v>166500</v>
      </c>
      <c r="Q2339" s="301">
        <v>0</v>
      </c>
      <c r="R2339" s="301">
        <v>0</v>
      </c>
      <c r="S2339" s="301">
        <v>0</v>
      </c>
      <c r="T2339" s="301">
        <v>0</v>
      </c>
      <c r="U2339" s="301">
        <v>0</v>
      </c>
      <c r="V2339" s="301">
        <v>0</v>
      </c>
      <c r="W2339" s="301">
        <v>0</v>
      </c>
      <c r="X2339" s="301">
        <v>0</v>
      </c>
      <c r="Y2339" s="301">
        <v>0</v>
      </c>
      <c r="Z2339" s="301">
        <v>0</v>
      </c>
      <c r="AA2339" s="301">
        <v>0</v>
      </c>
      <c r="AB2339" s="303">
        <v>2022</v>
      </c>
    </row>
    <row r="2340" spans="1:28" ht="35.25" x14ac:dyDescent="0.5">
      <c r="A2340">
        <v>1</v>
      </c>
      <c r="B2340" s="80">
        <f>SUBTOTAL(103,$A$1697:A2340)</f>
        <v>637</v>
      </c>
      <c r="C2340" s="300" t="s">
        <v>2436</v>
      </c>
      <c r="D2340" s="296">
        <f t="shared" si="109"/>
        <v>157500</v>
      </c>
      <c r="E2340" s="301">
        <v>0</v>
      </c>
      <c r="F2340" s="301">
        <v>0</v>
      </c>
      <c r="G2340" s="301">
        <v>0</v>
      </c>
      <c r="H2340" s="301">
        <v>0</v>
      </c>
      <c r="I2340" s="301">
        <v>0</v>
      </c>
      <c r="J2340" s="301">
        <v>0</v>
      </c>
      <c r="K2340" s="302">
        <v>0</v>
      </c>
      <c r="L2340" s="301">
        <v>0</v>
      </c>
      <c r="M2340" s="301">
        <v>157500</v>
      </c>
      <c r="N2340" s="301">
        <v>0</v>
      </c>
      <c r="O2340" s="301">
        <v>0</v>
      </c>
      <c r="P2340" s="301">
        <v>0</v>
      </c>
      <c r="Q2340" s="301">
        <v>0</v>
      </c>
      <c r="R2340" s="301">
        <v>0</v>
      </c>
      <c r="S2340" s="301">
        <v>0</v>
      </c>
      <c r="T2340" s="301">
        <v>0</v>
      </c>
      <c r="U2340" s="301">
        <v>0</v>
      </c>
      <c r="V2340" s="301">
        <v>0</v>
      </c>
      <c r="W2340" s="301">
        <v>0</v>
      </c>
      <c r="X2340" s="301">
        <v>0</v>
      </c>
      <c r="Y2340" s="301">
        <v>0</v>
      </c>
      <c r="Z2340" s="301">
        <v>0</v>
      </c>
      <c r="AA2340" s="301">
        <v>0</v>
      </c>
      <c r="AB2340" s="303" t="s">
        <v>3313</v>
      </c>
    </row>
    <row r="2341" spans="1:28" ht="35.25" x14ac:dyDescent="0.5">
      <c r="A2341">
        <v>1</v>
      </c>
      <c r="B2341" s="80">
        <f>SUBTOTAL(103,$A$1697:A2341)</f>
        <v>638</v>
      </c>
      <c r="C2341" s="300" t="s">
        <v>3141</v>
      </c>
      <c r="D2341" s="296">
        <f t="shared" si="109"/>
        <v>53372</v>
      </c>
      <c r="E2341" s="301">
        <v>0</v>
      </c>
      <c r="F2341" s="301">
        <v>0</v>
      </c>
      <c r="G2341" s="301">
        <v>0</v>
      </c>
      <c r="H2341" s="301">
        <v>0</v>
      </c>
      <c r="I2341" s="301">
        <v>0</v>
      </c>
      <c r="J2341" s="301">
        <v>0</v>
      </c>
      <c r="K2341" s="302">
        <v>0</v>
      </c>
      <c r="L2341" s="301">
        <v>0</v>
      </c>
      <c r="M2341" s="301">
        <v>0</v>
      </c>
      <c r="N2341" s="301">
        <v>0</v>
      </c>
      <c r="O2341" s="301">
        <v>0</v>
      </c>
      <c r="P2341" s="301">
        <v>53372</v>
      </c>
      <c r="Q2341" s="301">
        <v>0</v>
      </c>
      <c r="R2341" s="301">
        <v>0</v>
      </c>
      <c r="S2341" s="301">
        <v>0</v>
      </c>
      <c r="T2341" s="301">
        <v>0</v>
      </c>
      <c r="U2341" s="301">
        <v>0</v>
      </c>
      <c r="V2341" s="301">
        <v>0</v>
      </c>
      <c r="W2341" s="301">
        <v>0</v>
      </c>
      <c r="X2341" s="301">
        <v>0</v>
      </c>
      <c r="Y2341" s="301">
        <v>0</v>
      </c>
      <c r="Z2341" s="301">
        <v>0</v>
      </c>
      <c r="AA2341" s="301">
        <v>0</v>
      </c>
      <c r="AB2341" s="303" t="s">
        <v>3313</v>
      </c>
    </row>
    <row r="2342" spans="1:28" ht="35.25" x14ac:dyDescent="0.5">
      <c r="A2342">
        <v>1</v>
      </c>
      <c r="B2342" s="80">
        <f>SUBTOTAL(103,$A$1697:A2342)</f>
        <v>639</v>
      </c>
      <c r="C2342" s="300" t="s">
        <v>3359</v>
      </c>
      <c r="D2342" s="296">
        <f t="shared" si="109"/>
        <v>1111073</v>
      </c>
      <c r="E2342" s="301">
        <v>0</v>
      </c>
      <c r="F2342" s="301">
        <v>0</v>
      </c>
      <c r="G2342" s="301">
        <v>1111073</v>
      </c>
      <c r="H2342" s="301">
        <v>0</v>
      </c>
      <c r="I2342" s="301">
        <v>0</v>
      </c>
      <c r="J2342" s="301">
        <v>0</v>
      </c>
      <c r="K2342" s="302">
        <v>0</v>
      </c>
      <c r="L2342" s="301">
        <v>0</v>
      </c>
      <c r="M2342" s="301">
        <v>0</v>
      </c>
      <c r="N2342" s="301">
        <v>0</v>
      </c>
      <c r="O2342" s="301">
        <v>0</v>
      </c>
      <c r="P2342" s="301">
        <v>0</v>
      </c>
      <c r="Q2342" s="301">
        <v>0</v>
      </c>
      <c r="R2342" s="301">
        <v>0</v>
      </c>
      <c r="S2342" s="301">
        <v>0</v>
      </c>
      <c r="T2342" s="301">
        <v>0</v>
      </c>
      <c r="U2342" s="301">
        <v>0</v>
      </c>
      <c r="V2342" s="301">
        <v>0</v>
      </c>
      <c r="W2342" s="301">
        <v>0</v>
      </c>
      <c r="X2342" s="301">
        <v>0</v>
      </c>
      <c r="Y2342" s="301">
        <v>0</v>
      </c>
      <c r="Z2342" s="301">
        <v>0</v>
      </c>
      <c r="AA2342" s="301">
        <v>0</v>
      </c>
      <c r="AB2342" s="303" t="s">
        <v>3313</v>
      </c>
    </row>
    <row r="2343" spans="1:28" ht="35.25" x14ac:dyDescent="0.5">
      <c r="A2343">
        <v>1</v>
      </c>
      <c r="B2343" s="80">
        <f>SUBTOTAL(103,$A$1697:A2343)</f>
        <v>640</v>
      </c>
      <c r="C2343" s="300" t="s">
        <v>3360</v>
      </c>
      <c r="D2343" s="296">
        <f t="shared" si="109"/>
        <v>210000</v>
      </c>
      <c r="E2343" s="301">
        <v>0</v>
      </c>
      <c r="F2343" s="301">
        <v>0</v>
      </c>
      <c r="G2343" s="301">
        <v>0</v>
      </c>
      <c r="H2343" s="301">
        <v>0</v>
      </c>
      <c r="I2343" s="301">
        <v>0</v>
      </c>
      <c r="J2343" s="301">
        <v>0</v>
      </c>
      <c r="K2343" s="302">
        <v>0</v>
      </c>
      <c r="L2343" s="301">
        <v>0</v>
      </c>
      <c r="M2343" s="301">
        <v>210000</v>
      </c>
      <c r="N2343" s="301">
        <v>0</v>
      </c>
      <c r="O2343" s="301">
        <v>0</v>
      </c>
      <c r="P2343" s="301">
        <v>0</v>
      </c>
      <c r="Q2343" s="301">
        <v>0</v>
      </c>
      <c r="R2343" s="301">
        <v>0</v>
      </c>
      <c r="S2343" s="301">
        <v>0</v>
      </c>
      <c r="T2343" s="301">
        <v>0</v>
      </c>
      <c r="U2343" s="301">
        <v>0</v>
      </c>
      <c r="V2343" s="301">
        <v>0</v>
      </c>
      <c r="W2343" s="301">
        <v>0</v>
      </c>
      <c r="X2343" s="301">
        <v>0</v>
      </c>
      <c r="Y2343" s="301">
        <v>0</v>
      </c>
      <c r="Z2343" s="301">
        <v>0</v>
      </c>
      <c r="AA2343" s="301">
        <v>0</v>
      </c>
      <c r="AB2343" s="303" t="s">
        <v>3313</v>
      </c>
    </row>
    <row r="2344" spans="1:28" ht="35.25" x14ac:dyDescent="0.5">
      <c r="A2344">
        <v>1</v>
      </c>
      <c r="B2344" s="80">
        <f>SUBTOTAL(103,$A$1697:A2344)</f>
        <v>641</v>
      </c>
      <c r="C2344" s="300" t="s">
        <v>2268</v>
      </c>
      <c r="D2344" s="296">
        <f t="shared" si="109"/>
        <v>334663</v>
      </c>
      <c r="E2344" s="301">
        <v>334663</v>
      </c>
      <c r="F2344" s="301">
        <v>0</v>
      </c>
      <c r="G2344" s="301">
        <v>0</v>
      </c>
      <c r="H2344" s="301">
        <v>0</v>
      </c>
      <c r="I2344" s="301">
        <v>0</v>
      </c>
      <c r="J2344" s="301">
        <v>0</v>
      </c>
      <c r="K2344" s="302">
        <v>0</v>
      </c>
      <c r="L2344" s="301">
        <v>0</v>
      </c>
      <c r="M2344" s="301">
        <v>0</v>
      </c>
      <c r="N2344" s="301">
        <v>0</v>
      </c>
      <c r="O2344" s="301">
        <v>0</v>
      </c>
      <c r="P2344" s="301">
        <v>0</v>
      </c>
      <c r="Q2344" s="301">
        <v>0</v>
      </c>
      <c r="R2344" s="301">
        <v>0</v>
      </c>
      <c r="S2344" s="301">
        <v>0</v>
      </c>
      <c r="T2344" s="301">
        <v>0</v>
      </c>
      <c r="U2344" s="301">
        <v>0</v>
      </c>
      <c r="V2344" s="301">
        <v>0</v>
      </c>
      <c r="W2344" s="301">
        <v>0</v>
      </c>
      <c r="X2344" s="301">
        <v>0</v>
      </c>
      <c r="Y2344" s="301">
        <v>0</v>
      </c>
      <c r="Z2344" s="301">
        <v>0</v>
      </c>
      <c r="AA2344" s="301">
        <v>0</v>
      </c>
      <c r="AB2344" s="303">
        <v>2022</v>
      </c>
    </row>
    <row r="2345" spans="1:28" ht="35.25" x14ac:dyDescent="0.5">
      <c r="A2345">
        <v>1</v>
      </c>
      <c r="B2345" s="80">
        <f>SUBTOTAL(103,$A$1697:A2345)</f>
        <v>642</v>
      </c>
      <c r="C2345" s="300" t="s">
        <v>3468</v>
      </c>
      <c r="D2345" s="296">
        <f t="shared" si="109"/>
        <v>4150907</v>
      </c>
      <c r="E2345" s="301">
        <v>0</v>
      </c>
      <c r="F2345" s="301">
        <v>0</v>
      </c>
      <c r="G2345" s="301">
        <v>0</v>
      </c>
      <c r="H2345" s="301">
        <v>0</v>
      </c>
      <c r="I2345" s="301">
        <v>0</v>
      </c>
      <c r="J2345" s="301">
        <v>0</v>
      </c>
      <c r="K2345" s="302">
        <v>0</v>
      </c>
      <c r="L2345" s="301">
        <v>0</v>
      </c>
      <c r="M2345" s="301">
        <v>4150907</v>
      </c>
      <c r="N2345" s="301">
        <v>0</v>
      </c>
      <c r="O2345" s="301">
        <v>0</v>
      </c>
      <c r="P2345" s="301">
        <v>0</v>
      </c>
      <c r="Q2345" s="301">
        <v>0</v>
      </c>
      <c r="R2345" s="301">
        <v>0</v>
      </c>
      <c r="S2345" s="301">
        <v>0</v>
      </c>
      <c r="T2345" s="301">
        <v>0</v>
      </c>
      <c r="U2345" s="301">
        <v>0</v>
      </c>
      <c r="V2345" s="301">
        <v>0</v>
      </c>
      <c r="W2345" s="301">
        <v>0</v>
      </c>
      <c r="X2345" s="301">
        <v>0</v>
      </c>
      <c r="Y2345" s="301">
        <v>0</v>
      </c>
      <c r="Z2345" s="301">
        <v>0</v>
      </c>
      <c r="AA2345" s="301">
        <v>0</v>
      </c>
      <c r="AB2345" s="303">
        <v>2022</v>
      </c>
    </row>
    <row r="2346" spans="1:28" ht="35.25" x14ac:dyDescent="0.5">
      <c r="A2346">
        <v>1</v>
      </c>
      <c r="B2346" s="80">
        <f>SUBTOTAL(103,$A$1697:A2346)</f>
        <v>643</v>
      </c>
      <c r="C2346" s="300" t="s">
        <v>3469</v>
      </c>
      <c r="D2346" s="296">
        <f t="shared" si="109"/>
        <v>927458</v>
      </c>
      <c r="E2346" s="301">
        <v>0</v>
      </c>
      <c r="F2346" s="301">
        <v>0</v>
      </c>
      <c r="G2346" s="301">
        <v>0</v>
      </c>
      <c r="H2346" s="301">
        <v>0</v>
      </c>
      <c r="I2346" s="301">
        <v>0</v>
      </c>
      <c r="J2346" s="301">
        <v>0</v>
      </c>
      <c r="K2346" s="302">
        <v>0</v>
      </c>
      <c r="L2346" s="301">
        <v>0</v>
      </c>
      <c r="M2346" s="301">
        <v>657458</v>
      </c>
      <c r="N2346" s="301">
        <v>0</v>
      </c>
      <c r="O2346" s="301">
        <v>270000</v>
      </c>
      <c r="P2346" s="301">
        <v>0</v>
      </c>
      <c r="Q2346" s="301">
        <v>0</v>
      </c>
      <c r="R2346" s="301">
        <v>0</v>
      </c>
      <c r="S2346" s="301">
        <v>0</v>
      </c>
      <c r="T2346" s="301">
        <v>0</v>
      </c>
      <c r="U2346" s="301">
        <v>0</v>
      </c>
      <c r="V2346" s="301">
        <v>0</v>
      </c>
      <c r="W2346" s="301">
        <v>0</v>
      </c>
      <c r="X2346" s="301">
        <v>0</v>
      </c>
      <c r="Y2346" s="301">
        <v>0</v>
      </c>
      <c r="Z2346" s="301">
        <v>0</v>
      </c>
      <c r="AA2346" s="301">
        <v>0</v>
      </c>
      <c r="AB2346" s="303">
        <v>2022</v>
      </c>
    </row>
    <row r="2347" spans="1:28" ht="35.25" x14ac:dyDescent="0.5">
      <c r="A2347">
        <v>1</v>
      </c>
      <c r="B2347" s="80">
        <f>SUBTOTAL(103,$A$1697:A2347)</f>
        <v>644</v>
      </c>
      <c r="C2347" s="300" t="s">
        <v>2267</v>
      </c>
      <c r="D2347" s="296">
        <f t="shared" si="109"/>
        <v>560000</v>
      </c>
      <c r="E2347" s="301">
        <v>0</v>
      </c>
      <c r="F2347" s="301">
        <v>0</v>
      </c>
      <c r="G2347" s="301">
        <v>0</v>
      </c>
      <c r="H2347" s="301">
        <v>0</v>
      </c>
      <c r="I2347" s="301">
        <v>0</v>
      </c>
      <c r="J2347" s="301">
        <v>0</v>
      </c>
      <c r="K2347" s="302">
        <v>0</v>
      </c>
      <c r="L2347" s="301">
        <v>0</v>
      </c>
      <c r="M2347" s="301">
        <v>0</v>
      </c>
      <c r="N2347" s="301">
        <v>0</v>
      </c>
      <c r="O2347" s="301">
        <v>560000</v>
      </c>
      <c r="P2347" s="301">
        <v>0</v>
      </c>
      <c r="Q2347" s="301">
        <v>0</v>
      </c>
      <c r="R2347" s="301">
        <v>0</v>
      </c>
      <c r="S2347" s="301">
        <v>0</v>
      </c>
      <c r="T2347" s="301">
        <v>0</v>
      </c>
      <c r="U2347" s="301">
        <v>0</v>
      </c>
      <c r="V2347" s="301">
        <v>0</v>
      </c>
      <c r="W2347" s="301">
        <v>0</v>
      </c>
      <c r="X2347" s="301">
        <v>0</v>
      </c>
      <c r="Y2347" s="301">
        <v>0</v>
      </c>
      <c r="Z2347" s="301">
        <v>0</v>
      </c>
      <c r="AA2347" s="301">
        <v>0</v>
      </c>
      <c r="AB2347" s="303">
        <v>2022</v>
      </c>
    </row>
    <row r="2348" spans="1:28" ht="35.25" x14ac:dyDescent="0.5">
      <c r="A2348">
        <v>1</v>
      </c>
      <c r="B2348" s="80">
        <f>SUBTOTAL(103,$A$1697:A2348)</f>
        <v>645</v>
      </c>
      <c r="C2348" s="300" t="s">
        <v>3530</v>
      </c>
      <c r="D2348" s="296">
        <f t="shared" si="109"/>
        <v>300824.59999999998</v>
      </c>
      <c r="E2348" s="301">
        <v>0</v>
      </c>
      <c r="F2348" s="301">
        <v>0</v>
      </c>
      <c r="G2348" s="301">
        <v>0</v>
      </c>
      <c r="H2348" s="301">
        <v>0</v>
      </c>
      <c r="I2348" s="301">
        <v>0</v>
      </c>
      <c r="J2348" s="301">
        <v>0</v>
      </c>
      <c r="K2348" s="302">
        <v>0</v>
      </c>
      <c r="L2348" s="301">
        <v>0</v>
      </c>
      <c r="M2348" s="301">
        <v>0</v>
      </c>
      <c r="N2348" s="301">
        <v>0</v>
      </c>
      <c r="O2348" s="301">
        <v>300824.59999999998</v>
      </c>
      <c r="P2348" s="301">
        <v>0</v>
      </c>
      <c r="Q2348" s="301">
        <v>0</v>
      </c>
      <c r="R2348" s="301">
        <v>0</v>
      </c>
      <c r="S2348" s="301">
        <v>0</v>
      </c>
      <c r="T2348" s="301">
        <v>0</v>
      </c>
      <c r="U2348" s="301">
        <v>0</v>
      </c>
      <c r="V2348" s="301">
        <v>0</v>
      </c>
      <c r="W2348" s="301">
        <v>0</v>
      </c>
      <c r="X2348" s="301">
        <v>0</v>
      </c>
      <c r="Y2348" s="301">
        <v>0</v>
      </c>
      <c r="Z2348" s="301">
        <v>0</v>
      </c>
      <c r="AA2348" s="301">
        <v>0</v>
      </c>
      <c r="AB2348" s="303">
        <v>2022</v>
      </c>
    </row>
    <row r="2349" spans="1:28" ht="35.25" x14ac:dyDescent="0.5">
      <c r="A2349">
        <v>1</v>
      </c>
      <c r="B2349" s="80">
        <f>SUBTOTAL(103,$A$1697:A2349)</f>
        <v>646</v>
      </c>
      <c r="C2349" s="300" t="s">
        <v>2270</v>
      </c>
      <c r="D2349" s="296">
        <f t="shared" si="109"/>
        <v>55823</v>
      </c>
      <c r="E2349" s="301">
        <v>0</v>
      </c>
      <c r="F2349" s="301">
        <v>0</v>
      </c>
      <c r="G2349" s="301">
        <v>0</v>
      </c>
      <c r="H2349" s="301">
        <v>0</v>
      </c>
      <c r="I2349" s="301">
        <v>0</v>
      </c>
      <c r="J2349" s="301">
        <v>0</v>
      </c>
      <c r="K2349" s="302">
        <v>0</v>
      </c>
      <c r="L2349" s="301">
        <v>0</v>
      </c>
      <c r="M2349" s="301">
        <v>0</v>
      </c>
      <c r="N2349" s="301">
        <v>0</v>
      </c>
      <c r="O2349" s="301">
        <v>55823</v>
      </c>
      <c r="P2349" s="301">
        <v>0</v>
      </c>
      <c r="Q2349" s="301">
        <v>0</v>
      </c>
      <c r="R2349" s="301">
        <v>0</v>
      </c>
      <c r="S2349" s="301">
        <v>0</v>
      </c>
      <c r="T2349" s="301">
        <v>0</v>
      </c>
      <c r="U2349" s="301">
        <v>0</v>
      </c>
      <c r="V2349" s="301">
        <v>0</v>
      </c>
      <c r="W2349" s="301">
        <v>0</v>
      </c>
      <c r="X2349" s="301">
        <v>0</v>
      </c>
      <c r="Y2349" s="301">
        <v>0</v>
      </c>
      <c r="Z2349" s="301">
        <v>0</v>
      </c>
      <c r="AA2349" s="301">
        <v>0</v>
      </c>
      <c r="AB2349" s="303">
        <v>2022</v>
      </c>
    </row>
    <row r="2350" spans="1:28" ht="35.25" x14ac:dyDescent="0.5">
      <c r="A2350">
        <v>1</v>
      </c>
      <c r="B2350" s="80">
        <f>SUBTOTAL(103,$A$1697:A2350)</f>
        <v>647</v>
      </c>
      <c r="C2350" s="300" t="s">
        <v>3531</v>
      </c>
      <c r="D2350" s="296">
        <f t="shared" si="109"/>
        <v>222000</v>
      </c>
      <c r="E2350" s="301">
        <v>0</v>
      </c>
      <c r="F2350" s="301">
        <v>0</v>
      </c>
      <c r="G2350" s="301">
        <v>222000</v>
      </c>
      <c r="H2350" s="301">
        <v>0</v>
      </c>
      <c r="I2350" s="301">
        <v>0</v>
      </c>
      <c r="J2350" s="301">
        <v>0</v>
      </c>
      <c r="K2350" s="302">
        <v>0</v>
      </c>
      <c r="L2350" s="301">
        <v>0</v>
      </c>
      <c r="M2350" s="301">
        <v>0</v>
      </c>
      <c r="N2350" s="301">
        <v>0</v>
      </c>
      <c r="O2350" s="301">
        <v>0</v>
      </c>
      <c r="P2350" s="301">
        <v>0</v>
      </c>
      <c r="Q2350" s="301">
        <v>0</v>
      </c>
      <c r="R2350" s="301">
        <v>0</v>
      </c>
      <c r="S2350" s="301">
        <v>0</v>
      </c>
      <c r="T2350" s="301">
        <v>0</v>
      </c>
      <c r="U2350" s="301">
        <v>0</v>
      </c>
      <c r="V2350" s="301">
        <v>0</v>
      </c>
      <c r="W2350" s="301">
        <v>0</v>
      </c>
      <c r="X2350" s="301">
        <v>0</v>
      </c>
      <c r="Y2350" s="301">
        <v>0</v>
      </c>
      <c r="Z2350" s="301">
        <v>0</v>
      </c>
      <c r="AA2350" s="301">
        <v>0</v>
      </c>
      <c r="AB2350" s="303">
        <v>2022</v>
      </c>
    </row>
    <row r="2351" spans="1:28" ht="35.25" x14ac:dyDescent="0.5">
      <c r="A2351">
        <v>1</v>
      </c>
      <c r="B2351" s="80">
        <f>SUBTOTAL(103,$A$1697:A2351)</f>
        <v>648</v>
      </c>
      <c r="C2351" s="300" t="s">
        <v>2871</v>
      </c>
      <c r="D2351" s="296">
        <f t="shared" si="109"/>
        <v>55823</v>
      </c>
      <c r="E2351" s="301">
        <v>0</v>
      </c>
      <c r="F2351" s="301">
        <v>0</v>
      </c>
      <c r="G2351" s="301">
        <v>0</v>
      </c>
      <c r="H2351" s="301">
        <v>0</v>
      </c>
      <c r="I2351" s="301">
        <v>0</v>
      </c>
      <c r="J2351" s="301">
        <v>0</v>
      </c>
      <c r="K2351" s="302">
        <v>0</v>
      </c>
      <c r="L2351" s="301">
        <v>0</v>
      </c>
      <c r="M2351" s="301">
        <v>0</v>
      </c>
      <c r="N2351" s="301">
        <v>0</v>
      </c>
      <c r="O2351" s="301">
        <v>55823</v>
      </c>
      <c r="P2351" s="301">
        <v>0</v>
      </c>
      <c r="Q2351" s="301">
        <v>0</v>
      </c>
      <c r="R2351" s="301">
        <v>0</v>
      </c>
      <c r="S2351" s="301">
        <v>0</v>
      </c>
      <c r="T2351" s="301">
        <v>0</v>
      </c>
      <c r="U2351" s="301">
        <v>0</v>
      </c>
      <c r="V2351" s="301">
        <v>0</v>
      </c>
      <c r="W2351" s="301">
        <v>0</v>
      </c>
      <c r="X2351" s="301">
        <v>0</v>
      </c>
      <c r="Y2351" s="301">
        <v>0</v>
      </c>
      <c r="Z2351" s="301">
        <v>0</v>
      </c>
      <c r="AA2351" s="301">
        <v>0</v>
      </c>
      <c r="AB2351" s="303">
        <v>2022</v>
      </c>
    </row>
    <row r="2352" spans="1:28" ht="35.25" x14ac:dyDescent="0.5">
      <c r="A2352">
        <v>1</v>
      </c>
      <c r="B2352" s="80">
        <f>SUBTOTAL(103,$A$1697:A2352)</f>
        <v>649</v>
      </c>
      <c r="C2352" s="300" t="s">
        <v>2872</v>
      </c>
      <c r="D2352" s="296">
        <f t="shared" si="109"/>
        <v>125423</v>
      </c>
      <c r="E2352" s="301">
        <v>0</v>
      </c>
      <c r="F2352" s="301">
        <v>0</v>
      </c>
      <c r="G2352" s="301">
        <v>0</v>
      </c>
      <c r="H2352" s="301">
        <v>0</v>
      </c>
      <c r="I2352" s="301">
        <v>0</v>
      </c>
      <c r="J2352" s="301">
        <v>0</v>
      </c>
      <c r="K2352" s="302">
        <v>0</v>
      </c>
      <c r="L2352" s="301">
        <v>0</v>
      </c>
      <c r="M2352" s="301">
        <v>125423</v>
      </c>
      <c r="N2352" s="301">
        <v>0</v>
      </c>
      <c r="O2352" s="301">
        <v>0</v>
      </c>
      <c r="P2352" s="301">
        <v>0</v>
      </c>
      <c r="Q2352" s="301">
        <v>0</v>
      </c>
      <c r="R2352" s="301">
        <v>0</v>
      </c>
      <c r="S2352" s="301">
        <v>0</v>
      </c>
      <c r="T2352" s="301">
        <v>0</v>
      </c>
      <c r="U2352" s="301">
        <v>0</v>
      </c>
      <c r="V2352" s="301">
        <v>0</v>
      </c>
      <c r="W2352" s="301">
        <v>0</v>
      </c>
      <c r="X2352" s="301">
        <v>0</v>
      </c>
      <c r="Y2352" s="301">
        <v>0</v>
      </c>
      <c r="Z2352" s="301">
        <v>0</v>
      </c>
      <c r="AA2352" s="301">
        <v>0</v>
      </c>
      <c r="AB2352" s="303">
        <v>2022</v>
      </c>
    </row>
    <row r="2353" spans="1:28" ht="35.25" x14ac:dyDescent="0.5">
      <c r="A2353">
        <v>1</v>
      </c>
      <c r="B2353" s="80">
        <f>SUBTOTAL(103,$A$1697:A2353)</f>
        <v>650</v>
      </c>
      <c r="C2353" s="300" t="s">
        <v>2069</v>
      </c>
      <c r="D2353" s="296">
        <f t="shared" si="109"/>
        <v>264790</v>
      </c>
      <c r="E2353" s="301">
        <v>0</v>
      </c>
      <c r="F2353" s="301">
        <v>0</v>
      </c>
      <c r="G2353" s="301">
        <v>0</v>
      </c>
      <c r="H2353" s="301">
        <v>264790</v>
      </c>
      <c r="I2353" s="301">
        <v>0</v>
      </c>
      <c r="J2353" s="301">
        <v>0</v>
      </c>
      <c r="K2353" s="302">
        <v>0</v>
      </c>
      <c r="L2353" s="301">
        <v>0</v>
      </c>
      <c r="M2353" s="301">
        <v>0</v>
      </c>
      <c r="N2353" s="301">
        <v>0</v>
      </c>
      <c r="O2353" s="301">
        <v>0</v>
      </c>
      <c r="P2353" s="301">
        <v>0</v>
      </c>
      <c r="Q2353" s="301">
        <v>0</v>
      </c>
      <c r="R2353" s="301">
        <v>0</v>
      </c>
      <c r="S2353" s="301">
        <v>0</v>
      </c>
      <c r="T2353" s="301">
        <v>0</v>
      </c>
      <c r="U2353" s="301">
        <v>0</v>
      </c>
      <c r="V2353" s="301">
        <v>0</v>
      </c>
      <c r="W2353" s="301">
        <v>0</v>
      </c>
      <c r="X2353" s="301">
        <v>0</v>
      </c>
      <c r="Y2353" s="301">
        <v>0</v>
      </c>
      <c r="Z2353" s="301">
        <v>0</v>
      </c>
      <c r="AA2353" s="301">
        <v>0</v>
      </c>
      <c r="AB2353" s="303">
        <v>2022</v>
      </c>
    </row>
    <row r="2354" spans="1:28" ht="35.25" x14ac:dyDescent="0.5">
      <c r="A2354">
        <v>1</v>
      </c>
      <c r="B2354" s="80">
        <f>SUBTOTAL(103,$A$1697:A2354)</f>
        <v>651</v>
      </c>
      <c r="C2354" s="300" t="s">
        <v>3614</v>
      </c>
      <c r="D2354" s="296">
        <f t="shared" si="109"/>
        <v>107567.55</v>
      </c>
      <c r="E2354" s="301">
        <v>0</v>
      </c>
      <c r="F2354" s="301">
        <v>0</v>
      </c>
      <c r="G2354" s="301">
        <v>0</v>
      </c>
      <c r="H2354" s="301">
        <v>107567.55</v>
      </c>
      <c r="I2354" s="301">
        <v>0</v>
      </c>
      <c r="J2354" s="301">
        <v>0</v>
      </c>
      <c r="K2354" s="302">
        <v>0</v>
      </c>
      <c r="L2354" s="301">
        <v>0</v>
      </c>
      <c r="M2354" s="301">
        <v>0</v>
      </c>
      <c r="N2354" s="301">
        <v>0</v>
      </c>
      <c r="O2354" s="301">
        <v>0</v>
      </c>
      <c r="P2354" s="301">
        <v>0</v>
      </c>
      <c r="Q2354" s="301">
        <v>0</v>
      </c>
      <c r="R2354" s="301">
        <v>0</v>
      </c>
      <c r="S2354" s="301">
        <v>0</v>
      </c>
      <c r="T2354" s="301">
        <v>0</v>
      </c>
      <c r="U2354" s="301">
        <v>0</v>
      </c>
      <c r="V2354" s="301">
        <v>0</v>
      </c>
      <c r="W2354" s="301">
        <v>0</v>
      </c>
      <c r="X2354" s="301">
        <v>0</v>
      </c>
      <c r="Y2354" s="301">
        <v>0</v>
      </c>
      <c r="Z2354" s="301">
        <v>0</v>
      </c>
      <c r="AA2354" s="301">
        <v>0</v>
      </c>
      <c r="AB2354" s="303">
        <v>2022</v>
      </c>
    </row>
    <row r="2355" spans="1:28" ht="35.25" x14ac:dyDescent="0.5">
      <c r="A2355">
        <v>1</v>
      </c>
      <c r="B2355" s="80">
        <f>SUBTOTAL(103,$A$1697:A2355)</f>
        <v>652</v>
      </c>
      <c r="C2355" s="300" t="s">
        <v>2075</v>
      </c>
      <c r="D2355" s="296">
        <f t="shared" si="109"/>
        <v>245997</v>
      </c>
      <c r="E2355" s="301">
        <v>0</v>
      </c>
      <c r="F2355" s="301">
        <v>0</v>
      </c>
      <c r="G2355" s="301">
        <v>0</v>
      </c>
      <c r="H2355" s="301">
        <v>0</v>
      </c>
      <c r="I2355" s="301">
        <v>0</v>
      </c>
      <c r="J2355" s="301">
        <v>0</v>
      </c>
      <c r="K2355" s="302">
        <v>0</v>
      </c>
      <c r="L2355" s="301">
        <v>0</v>
      </c>
      <c r="M2355" s="301">
        <v>0</v>
      </c>
      <c r="N2355" s="301">
        <v>0</v>
      </c>
      <c r="O2355" s="301">
        <v>245997</v>
      </c>
      <c r="P2355" s="301">
        <v>0</v>
      </c>
      <c r="Q2355" s="301">
        <v>0</v>
      </c>
      <c r="R2355" s="301">
        <v>0</v>
      </c>
      <c r="S2355" s="301">
        <v>0</v>
      </c>
      <c r="T2355" s="301">
        <v>0</v>
      </c>
      <c r="U2355" s="301">
        <v>0</v>
      </c>
      <c r="V2355" s="301">
        <v>0</v>
      </c>
      <c r="W2355" s="301">
        <v>0</v>
      </c>
      <c r="X2355" s="301">
        <v>0</v>
      </c>
      <c r="Y2355" s="301">
        <v>0</v>
      </c>
      <c r="Z2355" s="301">
        <v>0</v>
      </c>
      <c r="AA2355" s="301">
        <v>0</v>
      </c>
      <c r="AB2355" s="303">
        <v>2022</v>
      </c>
    </row>
    <row r="2356" spans="1:28" ht="35.25" x14ac:dyDescent="0.5">
      <c r="A2356">
        <v>1</v>
      </c>
      <c r="B2356" s="80">
        <f>SUBTOTAL(103,$A$1697:A2356)</f>
        <v>653</v>
      </c>
      <c r="C2356" s="300" t="s">
        <v>2072</v>
      </c>
      <c r="D2356" s="296">
        <f t="shared" si="109"/>
        <v>463151</v>
      </c>
      <c r="E2356" s="301">
        <v>0</v>
      </c>
      <c r="F2356" s="301">
        <v>0</v>
      </c>
      <c r="G2356" s="301">
        <v>0</v>
      </c>
      <c r="H2356" s="301">
        <v>0</v>
      </c>
      <c r="I2356" s="301">
        <v>0</v>
      </c>
      <c r="J2356" s="301">
        <v>0</v>
      </c>
      <c r="K2356" s="302">
        <v>0</v>
      </c>
      <c r="L2356" s="301">
        <v>0</v>
      </c>
      <c r="M2356" s="301">
        <v>0</v>
      </c>
      <c r="N2356" s="301">
        <v>0</v>
      </c>
      <c r="O2356" s="301">
        <v>463151</v>
      </c>
      <c r="P2356" s="301">
        <v>0</v>
      </c>
      <c r="Q2356" s="301">
        <v>0</v>
      </c>
      <c r="R2356" s="301">
        <v>0</v>
      </c>
      <c r="S2356" s="301">
        <v>0</v>
      </c>
      <c r="T2356" s="301">
        <v>0</v>
      </c>
      <c r="U2356" s="301">
        <v>0</v>
      </c>
      <c r="V2356" s="301">
        <v>0</v>
      </c>
      <c r="W2356" s="301">
        <v>0</v>
      </c>
      <c r="X2356" s="301">
        <v>0</v>
      </c>
      <c r="Y2356" s="301">
        <v>0</v>
      </c>
      <c r="Z2356" s="301">
        <v>0</v>
      </c>
      <c r="AA2356" s="301">
        <v>0</v>
      </c>
      <c r="AB2356" s="303">
        <v>2022</v>
      </c>
    </row>
    <row r="2357" spans="1:28" ht="35.25" x14ac:dyDescent="0.5">
      <c r="A2357">
        <v>1</v>
      </c>
      <c r="B2357" s="80">
        <f>SUBTOTAL(103,$A$1697:A2357)</f>
        <v>654</v>
      </c>
      <c r="C2357" s="300" t="s">
        <v>2074</v>
      </c>
      <c r="D2357" s="296">
        <f t="shared" si="109"/>
        <v>27513</v>
      </c>
      <c r="E2357" s="301">
        <v>27513</v>
      </c>
      <c r="F2357" s="301">
        <v>0</v>
      </c>
      <c r="G2357" s="301">
        <v>0</v>
      </c>
      <c r="H2357" s="301">
        <v>0</v>
      </c>
      <c r="I2357" s="301">
        <v>0</v>
      </c>
      <c r="J2357" s="301">
        <v>0</v>
      </c>
      <c r="K2357" s="302">
        <v>0</v>
      </c>
      <c r="L2357" s="301">
        <v>0</v>
      </c>
      <c r="M2357" s="301">
        <v>0</v>
      </c>
      <c r="N2357" s="301">
        <v>0</v>
      </c>
      <c r="O2357" s="301">
        <v>0</v>
      </c>
      <c r="P2357" s="301">
        <v>0</v>
      </c>
      <c r="Q2357" s="301">
        <v>0</v>
      </c>
      <c r="R2357" s="301">
        <v>0</v>
      </c>
      <c r="S2357" s="301">
        <v>0</v>
      </c>
      <c r="T2357" s="301">
        <v>0</v>
      </c>
      <c r="U2357" s="301">
        <v>0</v>
      </c>
      <c r="V2357" s="301">
        <v>0</v>
      </c>
      <c r="W2357" s="301">
        <v>0</v>
      </c>
      <c r="X2357" s="301">
        <v>0</v>
      </c>
      <c r="Y2357" s="301">
        <v>0</v>
      </c>
      <c r="Z2357" s="301">
        <v>0</v>
      </c>
      <c r="AA2357" s="301">
        <v>0</v>
      </c>
      <c r="AB2357" s="303">
        <v>2022</v>
      </c>
    </row>
    <row r="2358" spans="1:28" ht="35.25" x14ac:dyDescent="0.5">
      <c r="A2358">
        <v>1</v>
      </c>
      <c r="B2358" s="80">
        <f>SUBTOTAL(103,$A$1697:A2358)</f>
        <v>655</v>
      </c>
      <c r="C2358" s="300" t="s">
        <v>2073</v>
      </c>
      <c r="D2358" s="296">
        <f t="shared" si="109"/>
        <v>47000</v>
      </c>
      <c r="E2358" s="301">
        <v>0</v>
      </c>
      <c r="F2358" s="301">
        <v>0</v>
      </c>
      <c r="G2358" s="301">
        <v>0</v>
      </c>
      <c r="H2358" s="301">
        <v>0</v>
      </c>
      <c r="I2358" s="301">
        <v>0</v>
      </c>
      <c r="J2358" s="301">
        <v>0</v>
      </c>
      <c r="K2358" s="302">
        <v>0</v>
      </c>
      <c r="L2358" s="301">
        <v>0</v>
      </c>
      <c r="M2358" s="301">
        <v>0</v>
      </c>
      <c r="N2358" s="301">
        <v>0</v>
      </c>
      <c r="O2358" s="301">
        <v>0</v>
      </c>
      <c r="P2358" s="301">
        <v>47000</v>
      </c>
      <c r="Q2358" s="301">
        <v>0</v>
      </c>
      <c r="R2358" s="301">
        <v>0</v>
      </c>
      <c r="S2358" s="301">
        <v>0</v>
      </c>
      <c r="T2358" s="301">
        <v>0</v>
      </c>
      <c r="U2358" s="301">
        <v>0</v>
      </c>
      <c r="V2358" s="301">
        <v>0</v>
      </c>
      <c r="W2358" s="301">
        <v>0</v>
      </c>
      <c r="X2358" s="301">
        <v>0</v>
      </c>
      <c r="Y2358" s="301">
        <v>0</v>
      </c>
      <c r="Z2358" s="301">
        <v>0</v>
      </c>
      <c r="AA2358" s="301">
        <v>0</v>
      </c>
      <c r="AB2358" s="303">
        <v>2022</v>
      </c>
    </row>
    <row r="2359" spans="1:28" ht="35.25" x14ac:dyDescent="0.5">
      <c r="B2359" s="299" t="s">
        <v>779</v>
      </c>
      <c r="C2359" s="300"/>
      <c r="D2359" s="296">
        <f t="shared" si="109"/>
        <v>178400</v>
      </c>
      <c r="E2359" s="296">
        <f t="shared" ref="E2359:AA2359" si="112">SUM(E2360:E2361)</f>
        <v>0</v>
      </c>
      <c r="F2359" s="296">
        <f t="shared" si="112"/>
        <v>0</v>
      </c>
      <c r="G2359" s="296">
        <f t="shared" si="112"/>
        <v>0</v>
      </c>
      <c r="H2359" s="296">
        <f t="shared" si="112"/>
        <v>0</v>
      </c>
      <c r="I2359" s="296">
        <f t="shared" si="112"/>
        <v>0</v>
      </c>
      <c r="J2359" s="296">
        <f t="shared" si="112"/>
        <v>0</v>
      </c>
      <c r="K2359" s="297">
        <f t="shared" si="112"/>
        <v>0</v>
      </c>
      <c r="L2359" s="296">
        <f t="shared" si="112"/>
        <v>0</v>
      </c>
      <c r="M2359" s="296">
        <f t="shared" si="112"/>
        <v>178400</v>
      </c>
      <c r="N2359" s="296">
        <f t="shared" si="112"/>
        <v>0</v>
      </c>
      <c r="O2359" s="296">
        <f t="shared" si="112"/>
        <v>0</v>
      </c>
      <c r="P2359" s="296">
        <f t="shared" si="112"/>
        <v>0</v>
      </c>
      <c r="Q2359" s="296">
        <f t="shared" si="112"/>
        <v>0</v>
      </c>
      <c r="R2359" s="296">
        <f t="shared" si="112"/>
        <v>0</v>
      </c>
      <c r="S2359" s="296">
        <f t="shared" si="112"/>
        <v>0</v>
      </c>
      <c r="T2359" s="296">
        <f t="shared" si="112"/>
        <v>0</v>
      </c>
      <c r="U2359" s="296">
        <f t="shared" si="112"/>
        <v>0</v>
      </c>
      <c r="V2359" s="296">
        <f t="shared" si="112"/>
        <v>0</v>
      </c>
      <c r="W2359" s="296">
        <f t="shared" si="112"/>
        <v>0</v>
      </c>
      <c r="X2359" s="296">
        <f t="shared" si="112"/>
        <v>0</v>
      </c>
      <c r="Y2359" s="296">
        <f t="shared" si="112"/>
        <v>0</v>
      </c>
      <c r="Z2359" s="296">
        <f t="shared" si="112"/>
        <v>0</v>
      </c>
      <c r="AA2359" s="296">
        <f t="shared" si="112"/>
        <v>0</v>
      </c>
      <c r="AB2359" s="298" t="s">
        <v>835</v>
      </c>
    </row>
    <row r="2360" spans="1:28" ht="35.25" x14ac:dyDescent="0.5">
      <c r="A2360">
        <v>1</v>
      </c>
      <c r="B2360" s="80">
        <f>SUBTOTAL(103,$A$1697:A2360)</f>
        <v>656</v>
      </c>
      <c r="C2360" s="300" t="s">
        <v>3174</v>
      </c>
      <c r="D2360" s="296">
        <f t="shared" si="109"/>
        <v>93500</v>
      </c>
      <c r="E2360" s="301">
        <v>0</v>
      </c>
      <c r="F2360" s="301">
        <v>0</v>
      </c>
      <c r="G2360" s="301">
        <v>0</v>
      </c>
      <c r="H2360" s="301">
        <v>0</v>
      </c>
      <c r="I2360" s="301">
        <v>0</v>
      </c>
      <c r="J2360" s="301">
        <v>0</v>
      </c>
      <c r="K2360" s="302">
        <v>0</v>
      </c>
      <c r="L2360" s="301">
        <v>0</v>
      </c>
      <c r="M2360" s="301">
        <v>93500</v>
      </c>
      <c r="N2360" s="301">
        <v>0</v>
      </c>
      <c r="O2360" s="301">
        <v>0</v>
      </c>
      <c r="P2360" s="301">
        <v>0</v>
      </c>
      <c r="Q2360" s="301">
        <v>0</v>
      </c>
      <c r="R2360" s="301">
        <v>0</v>
      </c>
      <c r="S2360" s="301">
        <v>0</v>
      </c>
      <c r="T2360" s="301">
        <v>0</v>
      </c>
      <c r="U2360" s="301">
        <v>0</v>
      </c>
      <c r="V2360" s="301">
        <v>0</v>
      </c>
      <c r="W2360" s="301">
        <v>0</v>
      </c>
      <c r="X2360" s="301">
        <v>0</v>
      </c>
      <c r="Y2360" s="301">
        <v>0</v>
      </c>
      <c r="Z2360" s="301">
        <v>0</v>
      </c>
      <c r="AA2360" s="301">
        <v>0</v>
      </c>
      <c r="AB2360" s="303">
        <v>2022</v>
      </c>
    </row>
    <row r="2361" spans="1:28" ht="35.25" x14ac:dyDescent="0.5">
      <c r="A2361">
        <v>1</v>
      </c>
      <c r="B2361" s="80">
        <f>SUBTOTAL(103,$A$1697:A2361)</f>
        <v>657</v>
      </c>
      <c r="C2361" s="300" t="s">
        <v>3175</v>
      </c>
      <c r="D2361" s="296">
        <f t="shared" si="109"/>
        <v>84900</v>
      </c>
      <c r="E2361" s="301">
        <v>0</v>
      </c>
      <c r="F2361" s="301">
        <v>0</v>
      </c>
      <c r="G2361" s="301">
        <v>0</v>
      </c>
      <c r="H2361" s="301">
        <v>0</v>
      </c>
      <c r="I2361" s="301">
        <v>0</v>
      </c>
      <c r="J2361" s="301">
        <v>0</v>
      </c>
      <c r="K2361" s="302">
        <v>0</v>
      </c>
      <c r="L2361" s="301">
        <v>0</v>
      </c>
      <c r="M2361" s="301">
        <v>84900</v>
      </c>
      <c r="N2361" s="301">
        <v>0</v>
      </c>
      <c r="O2361" s="301">
        <v>0</v>
      </c>
      <c r="P2361" s="301">
        <v>0</v>
      </c>
      <c r="Q2361" s="301">
        <v>0</v>
      </c>
      <c r="R2361" s="301">
        <v>0</v>
      </c>
      <c r="S2361" s="301">
        <v>0</v>
      </c>
      <c r="T2361" s="301">
        <v>0</v>
      </c>
      <c r="U2361" s="301">
        <v>0</v>
      </c>
      <c r="V2361" s="301">
        <v>0</v>
      </c>
      <c r="W2361" s="301">
        <v>0</v>
      </c>
      <c r="X2361" s="301">
        <v>0</v>
      </c>
      <c r="Y2361" s="301">
        <v>0</v>
      </c>
      <c r="Z2361" s="301">
        <v>0</v>
      </c>
      <c r="AA2361" s="301">
        <v>0</v>
      </c>
      <c r="AB2361" s="303">
        <v>2022</v>
      </c>
    </row>
    <row r="2362" spans="1:28" ht="35.25" x14ac:dyDescent="0.5">
      <c r="B2362" s="299" t="s">
        <v>785</v>
      </c>
      <c r="C2362" s="300"/>
      <c r="D2362" s="296">
        <f t="shared" si="109"/>
        <v>5596844.4800000004</v>
      </c>
      <c r="E2362" s="296">
        <f t="shared" ref="E2362:AA2362" si="113">SUM(E2363:E2366)</f>
        <v>0</v>
      </c>
      <c r="F2362" s="296">
        <f t="shared" si="113"/>
        <v>0</v>
      </c>
      <c r="G2362" s="296">
        <f t="shared" si="113"/>
        <v>0</v>
      </c>
      <c r="H2362" s="296">
        <f t="shared" si="113"/>
        <v>0</v>
      </c>
      <c r="I2362" s="296">
        <f t="shared" si="113"/>
        <v>0</v>
      </c>
      <c r="J2362" s="296">
        <f t="shared" si="113"/>
        <v>0</v>
      </c>
      <c r="K2362" s="297">
        <f t="shared" si="113"/>
        <v>0</v>
      </c>
      <c r="L2362" s="296">
        <f t="shared" si="113"/>
        <v>0</v>
      </c>
      <c r="M2362" s="296">
        <f t="shared" si="113"/>
        <v>151256.53</v>
      </c>
      <c r="N2362" s="296">
        <f t="shared" si="113"/>
        <v>0</v>
      </c>
      <c r="O2362" s="296">
        <f t="shared" si="113"/>
        <v>4862004.95</v>
      </c>
      <c r="P2362" s="296">
        <f t="shared" si="113"/>
        <v>0</v>
      </c>
      <c r="Q2362" s="296">
        <f t="shared" si="113"/>
        <v>0</v>
      </c>
      <c r="R2362" s="296">
        <f t="shared" si="113"/>
        <v>0</v>
      </c>
      <c r="S2362" s="296">
        <f t="shared" si="113"/>
        <v>0</v>
      </c>
      <c r="T2362" s="296">
        <f t="shared" si="113"/>
        <v>0</v>
      </c>
      <c r="U2362" s="296">
        <f t="shared" si="113"/>
        <v>0</v>
      </c>
      <c r="V2362" s="296">
        <f t="shared" si="113"/>
        <v>0</v>
      </c>
      <c r="W2362" s="296">
        <f t="shared" si="113"/>
        <v>583583</v>
      </c>
      <c r="X2362" s="296">
        <f t="shared" si="113"/>
        <v>0</v>
      </c>
      <c r="Y2362" s="296">
        <f t="shared" si="113"/>
        <v>0</v>
      </c>
      <c r="Z2362" s="296">
        <f t="shared" si="113"/>
        <v>0</v>
      </c>
      <c r="AA2362" s="296">
        <f t="shared" si="113"/>
        <v>0</v>
      </c>
      <c r="AB2362" s="298" t="s">
        <v>835</v>
      </c>
    </row>
    <row r="2363" spans="1:28" ht="35.25" x14ac:dyDescent="0.5">
      <c r="A2363">
        <v>1</v>
      </c>
      <c r="B2363" s="80">
        <f>SUBTOTAL(103,$A$1697:A2363)</f>
        <v>658</v>
      </c>
      <c r="C2363" s="300" t="s">
        <v>2445</v>
      </c>
      <c r="D2363" s="296">
        <f t="shared" si="109"/>
        <v>143583.6</v>
      </c>
      <c r="E2363" s="301">
        <v>0</v>
      </c>
      <c r="F2363" s="301">
        <v>0</v>
      </c>
      <c r="G2363" s="301">
        <v>0</v>
      </c>
      <c r="H2363" s="301">
        <v>0</v>
      </c>
      <c r="I2363" s="301">
        <v>0</v>
      </c>
      <c r="J2363" s="301">
        <v>0</v>
      </c>
      <c r="K2363" s="302">
        <v>0</v>
      </c>
      <c r="L2363" s="301">
        <v>0</v>
      </c>
      <c r="M2363" s="301">
        <v>0</v>
      </c>
      <c r="N2363" s="301">
        <v>0</v>
      </c>
      <c r="O2363" s="301">
        <f>90000+53583.6</f>
        <v>143583.6</v>
      </c>
      <c r="P2363" s="301">
        <v>0</v>
      </c>
      <c r="Q2363" s="301">
        <v>0</v>
      </c>
      <c r="R2363" s="301">
        <v>0</v>
      </c>
      <c r="S2363" s="301">
        <v>0</v>
      </c>
      <c r="T2363" s="301">
        <v>0</v>
      </c>
      <c r="U2363" s="301">
        <v>0</v>
      </c>
      <c r="V2363" s="301">
        <v>0</v>
      </c>
      <c r="W2363" s="301">
        <v>0</v>
      </c>
      <c r="X2363" s="301">
        <v>0</v>
      </c>
      <c r="Y2363" s="301">
        <v>0</v>
      </c>
      <c r="Z2363" s="301">
        <v>0</v>
      </c>
      <c r="AA2363" s="301">
        <v>0</v>
      </c>
      <c r="AB2363" s="303">
        <v>2022</v>
      </c>
    </row>
    <row r="2364" spans="1:28" ht="35.25" x14ac:dyDescent="0.5">
      <c r="A2364">
        <v>1</v>
      </c>
      <c r="B2364" s="80">
        <f>SUBTOTAL(103,$A$1697:A2364)</f>
        <v>659</v>
      </c>
      <c r="C2364" s="300" t="s">
        <v>3308</v>
      </c>
      <c r="D2364" s="296">
        <f t="shared" si="109"/>
        <v>3304509.5</v>
      </c>
      <c r="E2364" s="301">
        <v>0</v>
      </c>
      <c r="F2364" s="301">
        <v>0</v>
      </c>
      <c r="G2364" s="301">
        <v>0</v>
      </c>
      <c r="H2364" s="301">
        <v>0</v>
      </c>
      <c r="I2364" s="301">
        <v>0</v>
      </c>
      <c r="J2364" s="301">
        <v>0</v>
      </c>
      <c r="K2364" s="302">
        <v>0</v>
      </c>
      <c r="L2364" s="301">
        <v>0</v>
      </c>
      <c r="M2364" s="301">
        <v>0</v>
      </c>
      <c r="N2364" s="301">
        <v>0</v>
      </c>
      <c r="O2364" s="301">
        <f>2720926.5</f>
        <v>2720926.5</v>
      </c>
      <c r="P2364" s="301">
        <v>0</v>
      </c>
      <c r="Q2364" s="301">
        <v>0</v>
      </c>
      <c r="R2364" s="301">
        <v>0</v>
      </c>
      <c r="S2364" s="301">
        <v>0</v>
      </c>
      <c r="T2364" s="301">
        <v>0</v>
      </c>
      <c r="U2364" s="301">
        <v>0</v>
      </c>
      <c r="V2364" s="301">
        <v>0</v>
      </c>
      <c r="W2364" s="301">
        <v>583583</v>
      </c>
      <c r="X2364" s="301">
        <v>0</v>
      </c>
      <c r="Y2364" s="301">
        <v>0</v>
      </c>
      <c r="Z2364" s="301">
        <v>0</v>
      </c>
      <c r="AA2364" s="301">
        <v>0</v>
      </c>
      <c r="AB2364" s="303">
        <v>2022</v>
      </c>
    </row>
    <row r="2365" spans="1:28" ht="35.25" x14ac:dyDescent="0.5">
      <c r="A2365">
        <v>1</v>
      </c>
      <c r="B2365" s="80">
        <f>SUBTOTAL(103,$A$1697:A2365)</f>
        <v>660</v>
      </c>
      <c r="C2365" s="300" t="s">
        <v>3615</v>
      </c>
      <c r="D2365" s="296">
        <f t="shared" si="109"/>
        <v>1997494.8499999999</v>
      </c>
      <c r="E2365" s="301">
        <v>0</v>
      </c>
      <c r="F2365" s="301">
        <v>0</v>
      </c>
      <c r="G2365" s="301">
        <v>0</v>
      </c>
      <c r="H2365" s="301">
        <v>0</v>
      </c>
      <c r="I2365" s="301">
        <v>0</v>
      </c>
      <c r="J2365" s="301">
        <v>0</v>
      </c>
      <c r="K2365" s="302">
        <v>0</v>
      </c>
      <c r="L2365" s="301">
        <v>0</v>
      </c>
      <c r="M2365" s="301">
        <v>0</v>
      </c>
      <c r="N2365" s="301">
        <v>0</v>
      </c>
      <c r="O2365" s="301">
        <v>1997494.8499999999</v>
      </c>
      <c r="P2365" s="301">
        <v>0</v>
      </c>
      <c r="Q2365" s="301">
        <v>0</v>
      </c>
      <c r="R2365" s="301">
        <v>0</v>
      </c>
      <c r="S2365" s="301">
        <v>0</v>
      </c>
      <c r="T2365" s="301">
        <v>0</v>
      </c>
      <c r="U2365" s="301">
        <v>0</v>
      </c>
      <c r="V2365" s="301">
        <v>0</v>
      </c>
      <c r="W2365" s="301">
        <v>0</v>
      </c>
      <c r="X2365" s="301">
        <v>0</v>
      </c>
      <c r="Y2365" s="301">
        <v>0</v>
      </c>
      <c r="Z2365" s="301">
        <v>0</v>
      </c>
      <c r="AA2365" s="301">
        <v>0</v>
      </c>
      <c r="AB2365" s="303">
        <v>2022</v>
      </c>
    </row>
    <row r="2366" spans="1:28" ht="35.25" x14ac:dyDescent="0.5">
      <c r="A2366">
        <v>1</v>
      </c>
      <c r="B2366" s="80">
        <f>SUBTOTAL(103,$A$1697:A2366)</f>
        <v>661</v>
      </c>
      <c r="C2366" s="300" t="s">
        <v>2875</v>
      </c>
      <c r="D2366" s="296">
        <f t="shared" si="109"/>
        <v>151256.53</v>
      </c>
      <c r="E2366" s="301">
        <v>0</v>
      </c>
      <c r="F2366" s="301">
        <v>0</v>
      </c>
      <c r="G2366" s="301">
        <v>0</v>
      </c>
      <c r="H2366" s="301">
        <v>0</v>
      </c>
      <c r="I2366" s="301">
        <v>0</v>
      </c>
      <c r="J2366" s="301">
        <v>0</v>
      </c>
      <c r="K2366" s="302">
        <v>0</v>
      </c>
      <c r="L2366" s="301">
        <v>0</v>
      </c>
      <c r="M2366" s="301">
        <f>82188.99+69067.54</f>
        <v>151256.53</v>
      </c>
      <c r="N2366" s="301">
        <v>0</v>
      </c>
      <c r="O2366" s="301">
        <v>0</v>
      </c>
      <c r="P2366" s="301">
        <v>0</v>
      </c>
      <c r="Q2366" s="301">
        <v>0</v>
      </c>
      <c r="R2366" s="301">
        <v>0</v>
      </c>
      <c r="S2366" s="301">
        <v>0</v>
      </c>
      <c r="T2366" s="301">
        <v>0</v>
      </c>
      <c r="U2366" s="301">
        <v>0</v>
      </c>
      <c r="V2366" s="301">
        <v>0</v>
      </c>
      <c r="W2366" s="301">
        <v>0</v>
      </c>
      <c r="X2366" s="301">
        <v>0</v>
      </c>
      <c r="Y2366" s="301">
        <v>0</v>
      </c>
      <c r="Z2366" s="301">
        <v>0</v>
      </c>
      <c r="AA2366" s="301">
        <v>0</v>
      </c>
      <c r="AB2366" s="303">
        <v>2022</v>
      </c>
    </row>
    <row r="2367" spans="1:28" ht="35.25" x14ac:dyDescent="0.5">
      <c r="B2367" s="299" t="s">
        <v>1325</v>
      </c>
      <c r="C2367" s="300"/>
      <c r="D2367" s="296">
        <f t="shared" si="109"/>
        <v>8468724.5</v>
      </c>
      <c r="E2367" s="296">
        <f t="shared" ref="E2367:AA2367" si="114">SUM(E2368:E2375)</f>
        <v>0</v>
      </c>
      <c r="F2367" s="296">
        <f t="shared" si="114"/>
        <v>0</v>
      </c>
      <c r="G2367" s="296">
        <f t="shared" si="114"/>
        <v>0</v>
      </c>
      <c r="H2367" s="296">
        <f t="shared" si="114"/>
        <v>245122</v>
      </c>
      <c r="I2367" s="296">
        <f t="shared" si="114"/>
        <v>0</v>
      </c>
      <c r="J2367" s="296">
        <f t="shared" si="114"/>
        <v>0</v>
      </c>
      <c r="K2367" s="297">
        <f t="shared" si="114"/>
        <v>0</v>
      </c>
      <c r="L2367" s="296">
        <f t="shared" si="114"/>
        <v>0</v>
      </c>
      <c r="M2367" s="296">
        <f t="shared" si="114"/>
        <v>0</v>
      </c>
      <c r="N2367" s="296">
        <f t="shared" si="114"/>
        <v>0</v>
      </c>
      <c r="O2367" s="296">
        <f t="shared" si="114"/>
        <v>8223602.5</v>
      </c>
      <c r="P2367" s="296">
        <f t="shared" si="114"/>
        <v>0</v>
      </c>
      <c r="Q2367" s="296">
        <f t="shared" si="114"/>
        <v>0</v>
      </c>
      <c r="R2367" s="296">
        <f t="shared" si="114"/>
        <v>0</v>
      </c>
      <c r="S2367" s="296">
        <f t="shared" si="114"/>
        <v>0</v>
      </c>
      <c r="T2367" s="296">
        <f t="shared" si="114"/>
        <v>0</v>
      </c>
      <c r="U2367" s="296">
        <f t="shared" si="114"/>
        <v>0</v>
      </c>
      <c r="V2367" s="296">
        <f t="shared" si="114"/>
        <v>0</v>
      </c>
      <c r="W2367" s="296">
        <f t="shared" si="114"/>
        <v>0</v>
      </c>
      <c r="X2367" s="296">
        <f t="shared" si="114"/>
        <v>0</v>
      </c>
      <c r="Y2367" s="296">
        <f t="shared" si="114"/>
        <v>0</v>
      </c>
      <c r="Z2367" s="296">
        <f t="shared" si="114"/>
        <v>0</v>
      </c>
      <c r="AA2367" s="296">
        <f t="shared" si="114"/>
        <v>0</v>
      </c>
      <c r="AB2367" s="298" t="s">
        <v>835</v>
      </c>
    </row>
    <row r="2368" spans="1:28" ht="35.25" x14ac:dyDescent="0.5">
      <c r="A2368">
        <v>1</v>
      </c>
      <c r="B2368" s="80">
        <f>SUBTOTAL(103,$A$1697:A2368)</f>
        <v>662</v>
      </c>
      <c r="C2368" s="300" t="s">
        <v>3361</v>
      </c>
      <c r="D2368" s="296">
        <f t="shared" si="109"/>
        <v>1083898</v>
      </c>
      <c r="E2368" s="301">
        <v>0</v>
      </c>
      <c r="F2368" s="301">
        <v>0</v>
      </c>
      <c r="G2368" s="301">
        <v>0</v>
      </c>
      <c r="H2368" s="301">
        <v>0</v>
      </c>
      <c r="I2368" s="301">
        <v>0</v>
      </c>
      <c r="J2368" s="301">
        <v>0</v>
      </c>
      <c r="K2368" s="302">
        <v>0</v>
      </c>
      <c r="L2368" s="301">
        <v>0</v>
      </c>
      <c r="M2368" s="301">
        <v>0</v>
      </c>
      <c r="N2368" s="301">
        <v>0</v>
      </c>
      <c r="O2368" s="301">
        <f>325169.4+600000+158728.6</f>
        <v>1083898</v>
      </c>
      <c r="P2368" s="301">
        <v>0</v>
      </c>
      <c r="Q2368" s="301">
        <v>0</v>
      </c>
      <c r="R2368" s="301">
        <v>0</v>
      </c>
      <c r="S2368" s="301">
        <v>0</v>
      </c>
      <c r="T2368" s="301">
        <v>0</v>
      </c>
      <c r="U2368" s="301">
        <v>0</v>
      </c>
      <c r="V2368" s="301">
        <v>0</v>
      </c>
      <c r="W2368" s="301">
        <v>0</v>
      </c>
      <c r="X2368" s="301">
        <v>0</v>
      </c>
      <c r="Y2368" s="301">
        <v>0</v>
      </c>
      <c r="Z2368" s="301">
        <v>0</v>
      </c>
      <c r="AA2368" s="301">
        <v>0</v>
      </c>
      <c r="AB2368" s="303">
        <v>2022</v>
      </c>
    </row>
    <row r="2369" spans="1:28" ht="35.25" x14ac:dyDescent="0.5">
      <c r="A2369">
        <v>1</v>
      </c>
      <c r="B2369" s="80">
        <f>SUBTOTAL(103,$A$1697:A2369)</f>
        <v>663</v>
      </c>
      <c r="C2369" s="300" t="s">
        <v>2443</v>
      </c>
      <c r="D2369" s="296">
        <f t="shared" si="109"/>
        <v>100000</v>
      </c>
      <c r="E2369" s="301">
        <v>0</v>
      </c>
      <c r="F2369" s="301">
        <v>0</v>
      </c>
      <c r="G2369" s="301">
        <v>0</v>
      </c>
      <c r="H2369" s="301">
        <v>0</v>
      </c>
      <c r="I2369" s="301">
        <v>0</v>
      </c>
      <c r="J2369" s="301">
        <v>0</v>
      </c>
      <c r="K2369" s="302">
        <v>0</v>
      </c>
      <c r="L2369" s="301">
        <v>0</v>
      </c>
      <c r="M2369" s="301">
        <v>0</v>
      </c>
      <c r="N2369" s="301">
        <v>0</v>
      </c>
      <c r="O2369" s="301">
        <v>100000</v>
      </c>
      <c r="P2369" s="301">
        <v>0</v>
      </c>
      <c r="Q2369" s="301">
        <v>0</v>
      </c>
      <c r="R2369" s="301">
        <v>0</v>
      </c>
      <c r="S2369" s="301">
        <v>0</v>
      </c>
      <c r="T2369" s="301">
        <v>0</v>
      </c>
      <c r="U2369" s="301">
        <v>0</v>
      </c>
      <c r="V2369" s="301">
        <v>0</v>
      </c>
      <c r="W2369" s="301">
        <v>0</v>
      </c>
      <c r="X2369" s="301">
        <v>0</v>
      </c>
      <c r="Y2369" s="301">
        <v>0</v>
      </c>
      <c r="Z2369" s="301">
        <v>0</v>
      </c>
      <c r="AA2369" s="301">
        <v>0</v>
      </c>
      <c r="AB2369" s="303">
        <v>2022</v>
      </c>
    </row>
    <row r="2370" spans="1:28" ht="35.25" x14ac:dyDescent="0.5">
      <c r="A2370">
        <v>1</v>
      </c>
      <c r="B2370" s="80">
        <f>SUBTOTAL(103,$A$1697:A2370)</f>
        <v>664</v>
      </c>
      <c r="C2370" s="300" t="s">
        <v>2878</v>
      </c>
      <c r="D2370" s="296">
        <f t="shared" si="109"/>
        <v>1610224</v>
      </c>
      <c r="E2370" s="301">
        <v>0</v>
      </c>
      <c r="F2370" s="301">
        <v>0</v>
      </c>
      <c r="G2370" s="301">
        <v>0</v>
      </c>
      <c r="H2370" s="301">
        <v>0</v>
      </c>
      <c r="I2370" s="301">
        <v>0</v>
      </c>
      <c r="J2370" s="301">
        <v>0</v>
      </c>
      <c r="K2370" s="302">
        <v>0</v>
      </c>
      <c r="L2370" s="301">
        <v>0</v>
      </c>
      <c r="M2370" s="301">
        <v>0</v>
      </c>
      <c r="N2370" s="301">
        <v>0</v>
      </c>
      <c r="O2370" s="301">
        <v>1610224</v>
      </c>
      <c r="P2370" s="301">
        <v>0</v>
      </c>
      <c r="Q2370" s="301">
        <v>0</v>
      </c>
      <c r="R2370" s="301">
        <v>0</v>
      </c>
      <c r="S2370" s="301">
        <v>0</v>
      </c>
      <c r="T2370" s="301">
        <v>0</v>
      </c>
      <c r="U2370" s="301">
        <v>0</v>
      </c>
      <c r="V2370" s="301">
        <v>0</v>
      </c>
      <c r="W2370" s="301">
        <v>0</v>
      </c>
      <c r="X2370" s="301">
        <v>0</v>
      </c>
      <c r="Y2370" s="301">
        <v>0</v>
      </c>
      <c r="Z2370" s="301">
        <v>0</v>
      </c>
      <c r="AA2370" s="301">
        <v>0</v>
      </c>
      <c r="AB2370" s="303">
        <v>2022</v>
      </c>
    </row>
    <row r="2371" spans="1:28" ht="35.25" x14ac:dyDescent="0.5">
      <c r="A2371">
        <v>1</v>
      </c>
      <c r="B2371" s="80">
        <f>SUBTOTAL(103,$A$1697:A2371)</f>
        <v>665</v>
      </c>
      <c r="C2371" s="300" t="s">
        <v>3362</v>
      </c>
      <c r="D2371" s="296">
        <f t="shared" si="109"/>
        <v>245122</v>
      </c>
      <c r="E2371" s="301">
        <v>0</v>
      </c>
      <c r="F2371" s="301">
        <v>0</v>
      </c>
      <c r="G2371" s="301">
        <v>0</v>
      </c>
      <c r="H2371" s="301">
        <v>245122</v>
      </c>
      <c r="I2371" s="301">
        <v>0</v>
      </c>
      <c r="J2371" s="301">
        <v>0</v>
      </c>
      <c r="K2371" s="302">
        <v>0</v>
      </c>
      <c r="L2371" s="301">
        <v>0</v>
      </c>
      <c r="M2371" s="301">
        <v>0</v>
      </c>
      <c r="N2371" s="301">
        <v>0</v>
      </c>
      <c r="O2371" s="301">
        <v>0</v>
      </c>
      <c r="P2371" s="301">
        <v>0</v>
      </c>
      <c r="Q2371" s="301">
        <v>0</v>
      </c>
      <c r="R2371" s="301">
        <v>0</v>
      </c>
      <c r="S2371" s="301">
        <v>0</v>
      </c>
      <c r="T2371" s="301">
        <v>0</v>
      </c>
      <c r="U2371" s="301">
        <v>0</v>
      </c>
      <c r="V2371" s="301">
        <v>0</v>
      </c>
      <c r="W2371" s="301">
        <v>0</v>
      </c>
      <c r="X2371" s="301">
        <v>0</v>
      </c>
      <c r="Y2371" s="301">
        <v>0</v>
      </c>
      <c r="Z2371" s="301">
        <v>0</v>
      </c>
      <c r="AA2371" s="301">
        <v>0</v>
      </c>
      <c r="AB2371" s="303">
        <v>2022</v>
      </c>
    </row>
    <row r="2372" spans="1:28" ht="35.25" x14ac:dyDescent="0.5">
      <c r="A2372">
        <v>1</v>
      </c>
      <c r="B2372" s="80">
        <f>SUBTOTAL(103,$A$1697:A2372)</f>
        <v>666</v>
      </c>
      <c r="C2372" s="300" t="s">
        <v>2088</v>
      </c>
      <c r="D2372" s="296">
        <f t="shared" si="109"/>
        <v>855642</v>
      </c>
      <c r="E2372" s="301">
        <v>0</v>
      </c>
      <c r="F2372" s="301">
        <v>0</v>
      </c>
      <c r="G2372" s="301">
        <v>0</v>
      </c>
      <c r="H2372" s="301">
        <v>0</v>
      </c>
      <c r="I2372" s="301">
        <v>0</v>
      </c>
      <c r="J2372" s="301">
        <v>0</v>
      </c>
      <c r="K2372" s="302">
        <v>0</v>
      </c>
      <c r="L2372" s="301">
        <v>0</v>
      </c>
      <c r="M2372" s="301">
        <v>0</v>
      </c>
      <c r="N2372" s="301">
        <v>0</v>
      </c>
      <c r="O2372" s="301">
        <f>256692.6+598949.4</f>
        <v>855642</v>
      </c>
      <c r="P2372" s="301">
        <v>0</v>
      </c>
      <c r="Q2372" s="301">
        <v>0</v>
      </c>
      <c r="R2372" s="301">
        <v>0</v>
      </c>
      <c r="S2372" s="301">
        <v>0</v>
      </c>
      <c r="T2372" s="301">
        <v>0</v>
      </c>
      <c r="U2372" s="301">
        <v>0</v>
      </c>
      <c r="V2372" s="301">
        <v>0</v>
      </c>
      <c r="W2372" s="301">
        <v>0</v>
      </c>
      <c r="X2372" s="301">
        <v>0</v>
      </c>
      <c r="Y2372" s="301">
        <v>0</v>
      </c>
      <c r="Z2372" s="301">
        <v>0</v>
      </c>
      <c r="AA2372" s="301">
        <v>0</v>
      </c>
      <c r="AB2372" s="303" t="s">
        <v>3313</v>
      </c>
    </row>
    <row r="2373" spans="1:28" ht="35.25" x14ac:dyDescent="0.5">
      <c r="A2373">
        <v>1</v>
      </c>
      <c r="B2373" s="80">
        <f>SUBTOTAL(103,$A$1697:A2373)</f>
        <v>667</v>
      </c>
      <c r="C2373" s="300" t="s">
        <v>2444</v>
      </c>
      <c r="D2373" s="296">
        <f t="shared" si="109"/>
        <v>1374608.5</v>
      </c>
      <c r="E2373" s="301">
        <v>0</v>
      </c>
      <c r="F2373" s="301">
        <v>0</v>
      </c>
      <c r="G2373" s="301">
        <v>0</v>
      </c>
      <c r="H2373" s="301">
        <v>0</v>
      </c>
      <c r="I2373" s="301">
        <v>0</v>
      </c>
      <c r="J2373" s="301">
        <v>0</v>
      </c>
      <c r="K2373" s="302">
        <v>0</v>
      </c>
      <c r="L2373" s="301">
        <v>0</v>
      </c>
      <c r="M2373" s="301">
        <v>0</v>
      </c>
      <c r="N2373" s="301">
        <v>0</v>
      </c>
      <c r="O2373" s="301">
        <f>271063.5+1103545</f>
        <v>1374608.5</v>
      </c>
      <c r="P2373" s="301">
        <v>0</v>
      </c>
      <c r="Q2373" s="301">
        <v>0</v>
      </c>
      <c r="R2373" s="301">
        <v>0</v>
      </c>
      <c r="S2373" s="301">
        <v>0</v>
      </c>
      <c r="T2373" s="301">
        <v>0</v>
      </c>
      <c r="U2373" s="301">
        <v>0</v>
      </c>
      <c r="V2373" s="301">
        <v>0</v>
      </c>
      <c r="W2373" s="301">
        <v>0</v>
      </c>
      <c r="X2373" s="301">
        <v>0</v>
      </c>
      <c r="Y2373" s="301">
        <v>0</v>
      </c>
      <c r="Z2373" s="301">
        <v>0</v>
      </c>
      <c r="AA2373" s="301">
        <v>0</v>
      </c>
      <c r="AB2373" s="303" t="s">
        <v>3313</v>
      </c>
    </row>
    <row r="2374" spans="1:28" ht="35.25" x14ac:dyDescent="0.5">
      <c r="A2374">
        <v>1</v>
      </c>
      <c r="B2374" s="80">
        <f>SUBTOTAL(103,$A$1697:A2374)</f>
        <v>668</v>
      </c>
      <c r="C2374" s="300" t="s">
        <v>3148</v>
      </c>
      <c r="D2374" s="296">
        <f t="shared" si="109"/>
        <v>2350852</v>
      </c>
      <c r="E2374" s="301">
        <v>0</v>
      </c>
      <c r="F2374" s="301">
        <v>0</v>
      </c>
      <c r="G2374" s="301">
        <v>0</v>
      </c>
      <c r="H2374" s="301">
        <v>0</v>
      </c>
      <c r="I2374" s="301">
        <v>0</v>
      </c>
      <c r="J2374" s="301">
        <v>0</v>
      </c>
      <c r="K2374" s="302">
        <v>0</v>
      </c>
      <c r="L2374" s="301">
        <v>0</v>
      </c>
      <c r="M2374" s="301">
        <v>0</v>
      </c>
      <c r="N2374" s="301">
        <v>0</v>
      </c>
      <c r="O2374" s="301">
        <v>2350852</v>
      </c>
      <c r="P2374" s="301">
        <v>0</v>
      </c>
      <c r="Q2374" s="301">
        <v>0</v>
      </c>
      <c r="R2374" s="301">
        <v>0</v>
      </c>
      <c r="S2374" s="301">
        <v>0</v>
      </c>
      <c r="T2374" s="301">
        <v>0</v>
      </c>
      <c r="U2374" s="301">
        <v>0</v>
      </c>
      <c r="V2374" s="301">
        <v>0</v>
      </c>
      <c r="W2374" s="301">
        <v>0</v>
      </c>
      <c r="X2374" s="301">
        <v>0</v>
      </c>
      <c r="Y2374" s="301">
        <v>0</v>
      </c>
      <c r="Z2374" s="301">
        <v>0</v>
      </c>
      <c r="AA2374" s="301">
        <v>0</v>
      </c>
      <c r="AB2374" s="303">
        <v>2022</v>
      </c>
    </row>
    <row r="2375" spans="1:28" ht="35.25" x14ac:dyDescent="0.5">
      <c r="A2375">
        <v>1</v>
      </c>
      <c r="B2375" s="80">
        <f>SUBTOTAL(103,$A$1697:A2375)</f>
        <v>669</v>
      </c>
      <c r="C2375" s="300" t="s">
        <v>3363</v>
      </c>
      <c r="D2375" s="296">
        <f t="shared" si="109"/>
        <v>848378</v>
      </c>
      <c r="E2375" s="301">
        <v>0</v>
      </c>
      <c r="F2375" s="301">
        <v>0</v>
      </c>
      <c r="G2375" s="301">
        <v>0</v>
      </c>
      <c r="H2375" s="301">
        <v>0</v>
      </c>
      <c r="I2375" s="301">
        <v>0</v>
      </c>
      <c r="J2375" s="301">
        <v>0</v>
      </c>
      <c r="K2375" s="302">
        <v>0</v>
      </c>
      <c r="L2375" s="301">
        <v>0</v>
      </c>
      <c r="M2375" s="301">
        <v>0</v>
      </c>
      <c r="N2375" s="301">
        <v>0</v>
      </c>
      <c r="O2375" s="301">
        <f>781097+67281</f>
        <v>848378</v>
      </c>
      <c r="P2375" s="301">
        <v>0</v>
      </c>
      <c r="Q2375" s="301">
        <v>0</v>
      </c>
      <c r="R2375" s="301">
        <v>0</v>
      </c>
      <c r="S2375" s="301">
        <v>0</v>
      </c>
      <c r="T2375" s="301">
        <v>0</v>
      </c>
      <c r="U2375" s="301">
        <v>0</v>
      </c>
      <c r="V2375" s="301">
        <v>0</v>
      </c>
      <c r="W2375" s="301">
        <v>0</v>
      </c>
      <c r="X2375" s="301">
        <v>0</v>
      </c>
      <c r="Y2375" s="301">
        <v>0</v>
      </c>
      <c r="Z2375" s="301">
        <v>0</v>
      </c>
      <c r="AA2375" s="301">
        <v>0</v>
      </c>
      <c r="AB2375" s="303">
        <v>2022</v>
      </c>
    </row>
    <row r="2376" spans="1:28" ht="35.25" x14ac:dyDescent="0.5">
      <c r="B2376" s="299" t="s">
        <v>798</v>
      </c>
      <c r="C2376" s="300"/>
      <c r="D2376" s="296">
        <f t="shared" si="109"/>
        <v>14385671.690000001</v>
      </c>
      <c r="E2376" s="296">
        <f t="shared" ref="E2376:AA2376" si="115">SUM(E2377:E2398)</f>
        <v>0</v>
      </c>
      <c r="F2376" s="296">
        <f t="shared" si="115"/>
        <v>362090</v>
      </c>
      <c r="G2376" s="296">
        <f t="shared" si="115"/>
        <v>1022110</v>
      </c>
      <c r="H2376" s="296">
        <f t="shared" si="115"/>
        <v>0</v>
      </c>
      <c r="I2376" s="296">
        <f t="shared" si="115"/>
        <v>384414.2</v>
      </c>
      <c r="J2376" s="296">
        <f t="shared" si="115"/>
        <v>0</v>
      </c>
      <c r="K2376" s="297">
        <f t="shared" si="115"/>
        <v>0</v>
      </c>
      <c r="L2376" s="296">
        <f t="shared" si="115"/>
        <v>0</v>
      </c>
      <c r="M2376" s="296">
        <f t="shared" si="115"/>
        <v>1300675.94</v>
      </c>
      <c r="N2376" s="296">
        <f t="shared" si="115"/>
        <v>112000</v>
      </c>
      <c r="O2376" s="296">
        <f t="shared" si="115"/>
        <v>11128381.550000001</v>
      </c>
      <c r="P2376" s="296">
        <f t="shared" si="115"/>
        <v>76000</v>
      </c>
      <c r="Q2376" s="296">
        <f t="shared" si="115"/>
        <v>0</v>
      </c>
      <c r="R2376" s="296">
        <f t="shared" si="115"/>
        <v>0</v>
      </c>
      <c r="S2376" s="296">
        <f t="shared" si="115"/>
        <v>0</v>
      </c>
      <c r="T2376" s="296">
        <f t="shared" si="115"/>
        <v>0</v>
      </c>
      <c r="U2376" s="296">
        <f t="shared" si="115"/>
        <v>0</v>
      </c>
      <c r="V2376" s="296">
        <f t="shared" si="115"/>
        <v>0</v>
      </c>
      <c r="W2376" s="296">
        <f t="shared" si="115"/>
        <v>0</v>
      </c>
      <c r="X2376" s="296">
        <f t="shared" si="115"/>
        <v>0</v>
      </c>
      <c r="Y2376" s="296">
        <f t="shared" si="115"/>
        <v>0</v>
      </c>
      <c r="Z2376" s="296">
        <f t="shared" si="115"/>
        <v>0</v>
      </c>
      <c r="AA2376" s="296">
        <f t="shared" si="115"/>
        <v>0</v>
      </c>
      <c r="AB2376" s="298" t="s">
        <v>835</v>
      </c>
    </row>
    <row r="2377" spans="1:28" ht="35.25" x14ac:dyDescent="0.5">
      <c r="A2377">
        <v>1</v>
      </c>
      <c r="B2377" s="80">
        <f>SUBTOTAL(103,$A$1697:A2377)</f>
        <v>670</v>
      </c>
      <c r="C2377" s="300" t="s">
        <v>2447</v>
      </c>
      <c r="D2377" s="296">
        <f t="shared" ref="D2377:D2440" si="116">E2377+F2377+G2377+H2377+I2377+J2377+L2377+M2377+N2377+O2377+P2377+Q2377+R2377+S2377+T2377+U2377+V2377+W2377+X2377+Y2377+Z2377+AA2377</f>
        <v>196688</v>
      </c>
      <c r="E2377" s="301">
        <v>0</v>
      </c>
      <c r="F2377" s="301">
        <v>0</v>
      </c>
      <c r="G2377" s="301">
        <v>0</v>
      </c>
      <c r="H2377" s="301">
        <v>0</v>
      </c>
      <c r="I2377" s="301">
        <v>0</v>
      </c>
      <c r="J2377" s="301">
        <v>0</v>
      </c>
      <c r="K2377" s="302">
        <v>0</v>
      </c>
      <c r="L2377" s="301">
        <v>0</v>
      </c>
      <c r="M2377" s="301">
        <v>0</v>
      </c>
      <c r="N2377" s="301">
        <v>0</v>
      </c>
      <c r="O2377" s="301">
        <f>69550+75000+52138</f>
        <v>196688</v>
      </c>
      <c r="P2377" s="301">
        <v>0</v>
      </c>
      <c r="Q2377" s="301">
        <v>0</v>
      </c>
      <c r="R2377" s="301">
        <v>0</v>
      </c>
      <c r="S2377" s="301">
        <v>0</v>
      </c>
      <c r="T2377" s="301">
        <v>0</v>
      </c>
      <c r="U2377" s="301">
        <v>0</v>
      </c>
      <c r="V2377" s="301">
        <v>0</v>
      </c>
      <c r="W2377" s="301">
        <v>0</v>
      </c>
      <c r="X2377" s="301">
        <v>0</v>
      </c>
      <c r="Y2377" s="301">
        <v>0</v>
      </c>
      <c r="Z2377" s="301">
        <v>0</v>
      </c>
      <c r="AA2377" s="301">
        <v>0</v>
      </c>
      <c r="AB2377" s="303">
        <v>2022</v>
      </c>
    </row>
    <row r="2378" spans="1:28" ht="35.25" x14ac:dyDescent="0.5">
      <c r="A2378">
        <v>1</v>
      </c>
      <c r="B2378" s="80">
        <f>SUBTOTAL(103,$A$1697:A2378)</f>
        <v>671</v>
      </c>
      <c r="C2378" s="300" t="s">
        <v>2448</v>
      </c>
      <c r="D2378" s="296">
        <f t="shared" si="116"/>
        <v>94550</v>
      </c>
      <c r="E2378" s="301">
        <v>0</v>
      </c>
      <c r="F2378" s="301">
        <v>0</v>
      </c>
      <c r="G2378" s="301">
        <v>65000</v>
      </c>
      <c r="H2378" s="301">
        <v>0</v>
      </c>
      <c r="I2378" s="301">
        <v>0</v>
      </c>
      <c r="J2378" s="301">
        <v>0</v>
      </c>
      <c r="K2378" s="302">
        <v>0</v>
      </c>
      <c r="L2378" s="301">
        <v>0</v>
      </c>
      <c r="M2378" s="301">
        <v>0</v>
      </c>
      <c r="N2378" s="301">
        <v>0</v>
      </c>
      <c r="O2378" s="301">
        <v>29550</v>
      </c>
      <c r="P2378" s="301">
        <v>0</v>
      </c>
      <c r="Q2378" s="301">
        <v>0</v>
      </c>
      <c r="R2378" s="301">
        <v>0</v>
      </c>
      <c r="S2378" s="301">
        <v>0</v>
      </c>
      <c r="T2378" s="301">
        <v>0</v>
      </c>
      <c r="U2378" s="301">
        <v>0</v>
      </c>
      <c r="V2378" s="301">
        <v>0</v>
      </c>
      <c r="W2378" s="301">
        <v>0</v>
      </c>
      <c r="X2378" s="301">
        <v>0</v>
      </c>
      <c r="Y2378" s="301">
        <v>0</v>
      </c>
      <c r="Z2378" s="301">
        <v>0</v>
      </c>
      <c r="AA2378" s="301">
        <v>0</v>
      </c>
      <c r="AB2378" s="303">
        <v>2022</v>
      </c>
    </row>
    <row r="2379" spans="1:28" ht="35.25" x14ac:dyDescent="0.5">
      <c r="A2379">
        <v>1</v>
      </c>
      <c r="B2379" s="80">
        <f>SUBTOTAL(103,$A$1697:A2379)</f>
        <v>672</v>
      </c>
      <c r="C2379" s="300" t="s">
        <v>3616</v>
      </c>
      <c r="D2379" s="296">
        <f t="shared" si="116"/>
        <v>428503.66000000003</v>
      </c>
      <c r="E2379" s="301">
        <v>0</v>
      </c>
      <c r="F2379" s="301">
        <v>0</v>
      </c>
      <c r="G2379" s="301">
        <v>0</v>
      </c>
      <c r="H2379" s="301">
        <v>0</v>
      </c>
      <c r="I2379" s="301">
        <v>0</v>
      </c>
      <c r="J2379" s="301">
        <v>0</v>
      </c>
      <c r="K2379" s="302">
        <v>0</v>
      </c>
      <c r="L2379" s="301">
        <v>0</v>
      </c>
      <c r="M2379" s="301">
        <f>220008+208495.66</f>
        <v>428503.66000000003</v>
      </c>
      <c r="N2379" s="301">
        <v>0</v>
      </c>
      <c r="O2379" s="301">
        <v>0</v>
      </c>
      <c r="P2379" s="301">
        <v>0</v>
      </c>
      <c r="Q2379" s="301">
        <v>0</v>
      </c>
      <c r="R2379" s="301">
        <v>0</v>
      </c>
      <c r="S2379" s="301">
        <v>0</v>
      </c>
      <c r="T2379" s="301">
        <v>0</v>
      </c>
      <c r="U2379" s="301">
        <v>0</v>
      </c>
      <c r="V2379" s="301">
        <v>0</v>
      </c>
      <c r="W2379" s="301">
        <v>0</v>
      </c>
      <c r="X2379" s="301">
        <v>0</v>
      </c>
      <c r="Y2379" s="301">
        <v>0</v>
      </c>
      <c r="Z2379" s="301">
        <v>0</v>
      </c>
      <c r="AA2379" s="301">
        <v>0</v>
      </c>
      <c r="AB2379" s="303">
        <v>2022</v>
      </c>
    </row>
    <row r="2380" spans="1:28" ht="35.25" x14ac:dyDescent="0.5">
      <c r="A2380">
        <v>1</v>
      </c>
      <c r="B2380" s="80">
        <f>SUBTOTAL(103,$A$1697:A2380)</f>
        <v>673</v>
      </c>
      <c r="C2380" s="300" t="s">
        <v>3364</v>
      </c>
      <c r="D2380" s="296">
        <f t="shared" si="116"/>
        <v>447550</v>
      </c>
      <c r="E2380" s="301">
        <v>0</v>
      </c>
      <c r="F2380" s="301">
        <v>0</v>
      </c>
      <c r="G2380" s="301">
        <v>0</v>
      </c>
      <c r="H2380" s="301">
        <v>0</v>
      </c>
      <c r="I2380" s="301">
        <v>0</v>
      </c>
      <c r="J2380" s="301">
        <v>0</v>
      </c>
      <c r="K2380" s="302">
        <v>0</v>
      </c>
      <c r="L2380" s="301">
        <v>0</v>
      </c>
      <c r="M2380" s="301">
        <v>0</v>
      </c>
      <c r="N2380" s="301">
        <v>0</v>
      </c>
      <c r="O2380" s="301">
        <f>131550+169000+147000</f>
        <v>447550</v>
      </c>
      <c r="P2380" s="301">
        <v>0</v>
      </c>
      <c r="Q2380" s="301">
        <v>0</v>
      </c>
      <c r="R2380" s="301">
        <v>0</v>
      </c>
      <c r="S2380" s="301">
        <v>0</v>
      </c>
      <c r="T2380" s="301">
        <v>0</v>
      </c>
      <c r="U2380" s="301">
        <v>0</v>
      </c>
      <c r="V2380" s="301">
        <v>0</v>
      </c>
      <c r="W2380" s="301">
        <v>0</v>
      </c>
      <c r="X2380" s="301">
        <v>0</v>
      </c>
      <c r="Y2380" s="301">
        <v>0</v>
      </c>
      <c r="Z2380" s="301">
        <v>0</v>
      </c>
      <c r="AA2380" s="301">
        <v>0</v>
      </c>
      <c r="AB2380" s="303">
        <v>2022</v>
      </c>
    </row>
    <row r="2381" spans="1:28" ht="35.25" x14ac:dyDescent="0.5">
      <c r="A2381">
        <v>1</v>
      </c>
      <c r="B2381" s="80">
        <f>SUBTOTAL(103,$A$1697:A2381)</f>
        <v>674</v>
      </c>
      <c r="C2381" s="300" t="s">
        <v>2883</v>
      </c>
      <c r="D2381" s="296">
        <f t="shared" si="116"/>
        <v>362090</v>
      </c>
      <c r="E2381" s="301">
        <v>0</v>
      </c>
      <c r="F2381" s="301">
        <f>292100+31550+38440</f>
        <v>362090</v>
      </c>
      <c r="G2381" s="301">
        <v>0</v>
      </c>
      <c r="H2381" s="301">
        <v>0</v>
      </c>
      <c r="I2381" s="301">
        <v>0</v>
      </c>
      <c r="J2381" s="301">
        <v>0</v>
      </c>
      <c r="K2381" s="302">
        <v>0</v>
      </c>
      <c r="L2381" s="301">
        <v>0</v>
      </c>
      <c r="M2381" s="301">
        <v>0</v>
      </c>
      <c r="N2381" s="301">
        <v>0</v>
      </c>
      <c r="O2381" s="301">
        <v>0</v>
      </c>
      <c r="P2381" s="301">
        <v>0</v>
      </c>
      <c r="Q2381" s="301">
        <v>0</v>
      </c>
      <c r="R2381" s="301">
        <v>0</v>
      </c>
      <c r="S2381" s="301">
        <v>0</v>
      </c>
      <c r="T2381" s="301">
        <v>0</v>
      </c>
      <c r="U2381" s="301">
        <v>0</v>
      </c>
      <c r="V2381" s="301">
        <v>0</v>
      </c>
      <c r="W2381" s="301">
        <v>0</v>
      </c>
      <c r="X2381" s="301">
        <v>0</v>
      </c>
      <c r="Y2381" s="301">
        <v>0</v>
      </c>
      <c r="Z2381" s="301">
        <v>0</v>
      </c>
      <c r="AA2381" s="301">
        <v>0</v>
      </c>
      <c r="AB2381" s="303">
        <v>2022</v>
      </c>
    </row>
    <row r="2382" spans="1:28" ht="35.25" x14ac:dyDescent="0.5">
      <c r="A2382">
        <v>1</v>
      </c>
      <c r="B2382" s="80">
        <f>SUBTOTAL(103,$A$1697:A2382)</f>
        <v>675</v>
      </c>
      <c r="C2382" s="300" t="s">
        <v>3155</v>
      </c>
      <c r="D2382" s="296">
        <f t="shared" si="116"/>
        <v>546376.19999999995</v>
      </c>
      <c r="E2382" s="301">
        <v>0</v>
      </c>
      <c r="F2382" s="301">
        <v>0</v>
      </c>
      <c r="G2382" s="301">
        <v>0</v>
      </c>
      <c r="H2382" s="301">
        <v>0</v>
      </c>
      <c r="I2382" s="301">
        <v>147308</v>
      </c>
      <c r="J2382" s="301">
        <v>0</v>
      </c>
      <c r="K2382" s="302">
        <v>0</v>
      </c>
      <c r="L2382" s="301">
        <v>0</v>
      </c>
      <c r="M2382" s="301">
        <v>0</v>
      </c>
      <c r="N2382" s="301">
        <v>0</v>
      </c>
      <c r="O2382" s="301">
        <v>399068.2</v>
      </c>
      <c r="P2382" s="301">
        <v>0</v>
      </c>
      <c r="Q2382" s="301">
        <v>0</v>
      </c>
      <c r="R2382" s="301">
        <v>0</v>
      </c>
      <c r="S2382" s="301">
        <v>0</v>
      </c>
      <c r="T2382" s="301">
        <v>0</v>
      </c>
      <c r="U2382" s="301">
        <v>0</v>
      </c>
      <c r="V2382" s="301">
        <v>0</v>
      </c>
      <c r="W2382" s="301">
        <v>0</v>
      </c>
      <c r="X2382" s="301">
        <v>0</v>
      </c>
      <c r="Y2382" s="301">
        <v>0</v>
      </c>
      <c r="Z2382" s="301">
        <v>0</v>
      </c>
      <c r="AA2382" s="301">
        <v>0</v>
      </c>
      <c r="AB2382" s="303">
        <v>2022</v>
      </c>
    </row>
    <row r="2383" spans="1:28" ht="35.25" x14ac:dyDescent="0.5">
      <c r="A2383">
        <v>1</v>
      </c>
      <c r="B2383" s="80">
        <f>SUBTOTAL(103,$A$1697:A2383)</f>
        <v>676</v>
      </c>
      <c r="C2383" s="300" t="s">
        <v>3233</v>
      </c>
      <c r="D2383" s="296">
        <f t="shared" si="116"/>
        <v>269731</v>
      </c>
      <c r="E2383" s="301">
        <v>0</v>
      </c>
      <c r="F2383" s="301">
        <v>0</v>
      </c>
      <c r="G2383" s="301">
        <f>105000+66000+98731</f>
        <v>269731</v>
      </c>
      <c r="H2383" s="301">
        <v>0</v>
      </c>
      <c r="I2383" s="301">
        <v>0</v>
      </c>
      <c r="J2383" s="301">
        <v>0</v>
      </c>
      <c r="K2383" s="302">
        <v>0</v>
      </c>
      <c r="L2383" s="301">
        <v>0</v>
      </c>
      <c r="M2383" s="301">
        <v>0</v>
      </c>
      <c r="N2383" s="301">
        <v>0</v>
      </c>
      <c r="O2383" s="301">
        <v>0</v>
      </c>
      <c r="P2383" s="301">
        <v>0</v>
      </c>
      <c r="Q2383" s="301">
        <v>0</v>
      </c>
      <c r="R2383" s="301">
        <v>0</v>
      </c>
      <c r="S2383" s="301">
        <v>0</v>
      </c>
      <c r="T2383" s="301">
        <v>0</v>
      </c>
      <c r="U2383" s="301">
        <v>0</v>
      </c>
      <c r="V2383" s="301">
        <v>0</v>
      </c>
      <c r="W2383" s="301">
        <v>0</v>
      </c>
      <c r="X2383" s="301">
        <v>0</v>
      </c>
      <c r="Y2383" s="301">
        <v>0</v>
      </c>
      <c r="Z2383" s="301">
        <v>0</v>
      </c>
      <c r="AA2383" s="301">
        <v>0</v>
      </c>
      <c r="AB2383" s="303">
        <v>2022</v>
      </c>
    </row>
    <row r="2384" spans="1:28" ht="35.25" x14ac:dyDescent="0.5">
      <c r="A2384">
        <v>1</v>
      </c>
      <c r="B2384" s="80">
        <f>SUBTOTAL(103,$A$1697:A2384)</f>
        <v>677</v>
      </c>
      <c r="C2384" s="300" t="s">
        <v>2449</v>
      </c>
      <c r="D2384" s="296">
        <f t="shared" si="116"/>
        <v>197000</v>
      </c>
      <c r="E2384" s="301">
        <v>0</v>
      </c>
      <c r="F2384" s="301">
        <v>0</v>
      </c>
      <c r="G2384" s="301">
        <v>0</v>
      </c>
      <c r="H2384" s="301">
        <v>0</v>
      </c>
      <c r="I2384" s="301">
        <v>0</v>
      </c>
      <c r="J2384" s="301">
        <v>0</v>
      </c>
      <c r="K2384" s="302">
        <v>0</v>
      </c>
      <c r="L2384" s="301">
        <v>0</v>
      </c>
      <c r="M2384" s="301">
        <v>0</v>
      </c>
      <c r="N2384" s="301">
        <v>0</v>
      </c>
      <c r="O2384" s="301">
        <f>53710+143290</f>
        <v>197000</v>
      </c>
      <c r="P2384" s="301">
        <v>0</v>
      </c>
      <c r="Q2384" s="301">
        <v>0</v>
      </c>
      <c r="R2384" s="301">
        <v>0</v>
      </c>
      <c r="S2384" s="301">
        <v>0</v>
      </c>
      <c r="T2384" s="301">
        <v>0</v>
      </c>
      <c r="U2384" s="301">
        <v>0</v>
      </c>
      <c r="V2384" s="301">
        <v>0</v>
      </c>
      <c r="W2384" s="301">
        <v>0</v>
      </c>
      <c r="X2384" s="301">
        <v>0</v>
      </c>
      <c r="Y2384" s="301">
        <v>0</v>
      </c>
      <c r="Z2384" s="301">
        <v>0</v>
      </c>
      <c r="AA2384" s="301">
        <v>0</v>
      </c>
      <c r="AB2384" s="303">
        <v>2022</v>
      </c>
    </row>
    <row r="2385" spans="1:28" ht="35.25" x14ac:dyDescent="0.5">
      <c r="A2385">
        <v>1</v>
      </c>
      <c r="B2385" s="80">
        <f>SUBTOTAL(103,$A$1697:A2385)</f>
        <v>678</v>
      </c>
      <c r="C2385" s="300" t="s">
        <v>2450</v>
      </c>
      <c r="D2385" s="296">
        <f t="shared" si="116"/>
        <v>117500</v>
      </c>
      <c r="E2385" s="301">
        <v>0</v>
      </c>
      <c r="F2385" s="301">
        <v>0</v>
      </c>
      <c r="G2385" s="301">
        <v>0</v>
      </c>
      <c r="H2385" s="301">
        <v>0</v>
      </c>
      <c r="I2385" s="301">
        <v>0</v>
      </c>
      <c r="J2385" s="301">
        <v>0</v>
      </c>
      <c r="K2385" s="302">
        <v>0</v>
      </c>
      <c r="L2385" s="301">
        <v>0</v>
      </c>
      <c r="M2385" s="301">
        <v>0</v>
      </c>
      <c r="N2385" s="301">
        <v>0</v>
      </c>
      <c r="O2385" s="301">
        <v>41500</v>
      </c>
      <c r="P2385" s="301">
        <v>76000</v>
      </c>
      <c r="Q2385" s="301">
        <v>0</v>
      </c>
      <c r="R2385" s="301">
        <v>0</v>
      </c>
      <c r="S2385" s="301">
        <v>0</v>
      </c>
      <c r="T2385" s="301">
        <v>0</v>
      </c>
      <c r="U2385" s="301">
        <v>0</v>
      </c>
      <c r="V2385" s="301">
        <v>0</v>
      </c>
      <c r="W2385" s="301">
        <v>0</v>
      </c>
      <c r="X2385" s="301">
        <v>0</v>
      </c>
      <c r="Y2385" s="301">
        <v>0</v>
      </c>
      <c r="Z2385" s="301">
        <v>0</v>
      </c>
      <c r="AA2385" s="301">
        <v>0</v>
      </c>
      <c r="AB2385" s="303">
        <v>2022</v>
      </c>
    </row>
    <row r="2386" spans="1:28" ht="35.25" x14ac:dyDescent="0.5">
      <c r="A2386">
        <v>1</v>
      </c>
      <c r="B2386" s="80">
        <f>SUBTOTAL(103,$A$1697:A2386)</f>
        <v>679</v>
      </c>
      <c r="C2386" s="300" t="s">
        <v>1751</v>
      </c>
      <c r="D2386" s="296">
        <f t="shared" si="116"/>
        <v>46000</v>
      </c>
      <c r="E2386" s="301">
        <v>0</v>
      </c>
      <c r="F2386" s="301">
        <v>0</v>
      </c>
      <c r="G2386" s="301">
        <v>0</v>
      </c>
      <c r="H2386" s="301">
        <v>0</v>
      </c>
      <c r="I2386" s="301">
        <v>0</v>
      </c>
      <c r="J2386" s="301">
        <v>0</v>
      </c>
      <c r="K2386" s="302">
        <v>0</v>
      </c>
      <c r="L2386" s="301">
        <v>0</v>
      </c>
      <c r="M2386" s="301">
        <v>0</v>
      </c>
      <c r="N2386" s="301">
        <v>0</v>
      </c>
      <c r="O2386" s="301">
        <f>22000+24000</f>
        <v>46000</v>
      </c>
      <c r="P2386" s="301">
        <v>0</v>
      </c>
      <c r="Q2386" s="301">
        <v>0</v>
      </c>
      <c r="R2386" s="301">
        <v>0</v>
      </c>
      <c r="S2386" s="301">
        <v>0</v>
      </c>
      <c r="T2386" s="301">
        <v>0</v>
      </c>
      <c r="U2386" s="301">
        <v>0</v>
      </c>
      <c r="V2386" s="301">
        <v>0</v>
      </c>
      <c r="W2386" s="301">
        <v>0</v>
      </c>
      <c r="X2386" s="301">
        <v>0</v>
      </c>
      <c r="Y2386" s="301">
        <v>0</v>
      </c>
      <c r="Z2386" s="301">
        <v>0</v>
      </c>
      <c r="AA2386" s="301">
        <v>0</v>
      </c>
      <c r="AB2386" s="303" t="s">
        <v>3313</v>
      </c>
    </row>
    <row r="2387" spans="1:28" ht="35.25" x14ac:dyDescent="0.5">
      <c r="A2387">
        <v>1</v>
      </c>
      <c r="B2387" s="80">
        <f>SUBTOTAL(103,$A$1697:A2387)</f>
        <v>680</v>
      </c>
      <c r="C2387" s="300" t="s">
        <v>1752</v>
      </c>
      <c r="D2387" s="296">
        <f t="shared" si="116"/>
        <v>53000</v>
      </c>
      <c r="E2387" s="301">
        <v>0</v>
      </c>
      <c r="F2387" s="301">
        <v>0</v>
      </c>
      <c r="G2387" s="301">
        <v>0</v>
      </c>
      <c r="H2387" s="301">
        <v>0</v>
      </c>
      <c r="I2387" s="301">
        <v>0</v>
      </c>
      <c r="J2387" s="301">
        <v>0</v>
      </c>
      <c r="K2387" s="302">
        <v>0</v>
      </c>
      <c r="L2387" s="301">
        <v>0</v>
      </c>
      <c r="M2387" s="301">
        <v>0</v>
      </c>
      <c r="N2387" s="301">
        <v>0</v>
      </c>
      <c r="O2387" s="301">
        <f>19000+34000</f>
        <v>53000</v>
      </c>
      <c r="P2387" s="301">
        <v>0</v>
      </c>
      <c r="Q2387" s="301">
        <v>0</v>
      </c>
      <c r="R2387" s="301">
        <v>0</v>
      </c>
      <c r="S2387" s="301">
        <v>0</v>
      </c>
      <c r="T2387" s="301">
        <v>0</v>
      </c>
      <c r="U2387" s="301">
        <v>0</v>
      </c>
      <c r="V2387" s="301">
        <v>0</v>
      </c>
      <c r="W2387" s="301">
        <v>0</v>
      </c>
      <c r="X2387" s="301">
        <v>0</v>
      </c>
      <c r="Y2387" s="301">
        <v>0</v>
      </c>
      <c r="Z2387" s="301">
        <v>0</v>
      </c>
      <c r="AA2387" s="301">
        <v>0</v>
      </c>
      <c r="AB2387" s="303" t="s">
        <v>3313</v>
      </c>
    </row>
    <row r="2388" spans="1:28" ht="35.25" x14ac:dyDescent="0.5">
      <c r="A2388">
        <v>1</v>
      </c>
      <c r="B2388" s="80">
        <f>SUBTOTAL(103,$A$1697:A2388)</f>
        <v>681</v>
      </c>
      <c r="C2388" s="300" t="s">
        <v>3152</v>
      </c>
      <c r="D2388" s="296">
        <f t="shared" si="116"/>
        <v>26000</v>
      </c>
      <c r="E2388" s="301">
        <v>0</v>
      </c>
      <c r="F2388" s="301">
        <v>0</v>
      </c>
      <c r="G2388" s="301">
        <v>0</v>
      </c>
      <c r="H2388" s="301">
        <v>0</v>
      </c>
      <c r="I2388" s="301">
        <v>0</v>
      </c>
      <c r="J2388" s="301">
        <v>0</v>
      </c>
      <c r="K2388" s="302">
        <v>0</v>
      </c>
      <c r="L2388" s="301">
        <v>0</v>
      </c>
      <c r="M2388" s="301">
        <v>0</v>
      </c>
      <c r="N2388" s="301">
        <v>0</v>
      </c>
      <c r="O2388" s="301">
        <f>12000+14000</f>
        <v>26000</v>
      </c>
      <c r="P2388" s="301">
        <v>0</v>
      </c>
      <c r="Q2388" s="301">
        <v>0</v>
      </c>
      <c r="R2388" s="301">
        <v>0</v>
      </c>
      <c r="S2388" s="301">
        <v>0</v>
      </c>
      <c r="T2388" s="301">
        <v>0</v>
      </c>
      <c r="U2388" s="301">
        <v>0</v>
      </c>
      <c r="V2388" s="301">
        <v>0</v>
      </c>
      <c r="W2388" s="301">
        <v>0</v>
      </c>
      <c r="X2388" s="301">
        <v>0</v>
      </c>
      <c r="Y2388" s="301">
        <v>0</v>
      </c>
      <c r="Z2388" s="301">
        <v>0</v>
      </c>
      <c r="AA2388" s="301">
        <v>0</v>
      </c>
      <c r="AB2388" s="303" t="s">
        <v>3313</v>
      </c>
    </row>
    <row r="2389" spans="1:28" ht="35.25" x14ac:dyDescent="0.5">
      <c r="A2389">
        <v>1</v>
      </c>
      <c r="B2389" s="80">
        <f>SUBTOTAL(103,$A$1697:A2389)</f>
        <v>682</v>
      </c>
      <c r="C2389" s="300" t="s">
        <v>3365</v>
      </c>
      <c r="D2389" s="296">
        <f t="shared" si="116"/>
        <v>2080317</v>
      </c>
      <c r="E2389" s="301">
        <v>0</v>
      </c>
      <c r="F2389" s="301">
        <v>0</v>
      </c>
      <c r="G2389" s="301">
        <v>0</v>
      </c>
      <c r="H2389" s="301">
        <v>0</v>
      </c>
      <c r="I2389" s="301">
        <v>0</v>
      </c>
      <c r="J2389" s="301">
        <v>0</v>
      </c>
      <c r="K2389" s="302">
        <v>0</v>
      </c>
      <c r="L2389" s="301">
        <v>0</v>
      </c>
      <c r="M2389" s="301">
        <v>0</v>
      </c>
      <c r="N2389" s="301">
        <v>0</v>
      </c>
      <c r="O2389" s="301">
        <f>624095.1+1456221.9</f>
        <v>2080317</v>
      </c>
      <c r="P2389" s="301">
        <v>0</v>
      </c>
      <c r="Q2389" s="301">
        <v>0</v>
      </c>
      <c r="R2389" s="301">
        <v>0</v>
      </c>
      <c r="S2389" s="301">
        <v>0</v>
      </c>
      <c r="T2389" s="301">
        <v>0</v>
      </c>
      <c r="U2389" s="301">
        <v>0</v>
      </c>
      <c r="V2389" s="301">
        <v>0</v>
      </c>
      <c r="W2389" s="301">
        <v>0</v>
      </c>
      <c r="X2389" s="301">
        <v>0</v>
      </c>
      <c r="Y2389" s="301">
        <v>0</v>
      </c>
      <c r="Z2389" s="301">
        <v>0</v>
      </c>
      <c r="AA2389" s="301">
        <v>0</v>
      </c>
      <c r="AB2389" s="303" t="s">
        <v>3313</v>
      </c>
    </row>
    <row r="2390" spans="1:28" ht="35.25" x14ac:dyDescent="0.5">
      <c r="A2390">
        <v>1</v>
      </c>
      <c r="B2390" s="80">
        <f>SUBTOTAL(103,$A$1697:A2390)</f>
        <v>683</v>
      </c>
      <c r="C2390" s="300" t="s">
        <v>3617</v>
      </c>
      <c r="D2390" s="296">
        <f t="shared" si="116"/>
        <v>1052172.28</v>
      </c>
      <c r="E2390" s="301">
        <v>0</v>
      </c>
      <c r="F2390" s="301">
        <v>0</v>
      </c>
      <c r="G2390" s="301">
        <v>0</v>
      </c>
      <c r="H2390" s="301">
        <v>0</v>
      </c>
      <c r="I2390" s="301">
        <v>0</v>
      </c>
      <c r="J2390" s="301">
        <v>0</v>
      </c>
      <c r="K2390" s="302">
        <v>0</v>
      </c>
      <c r="L2390" s="301">
        <v>0</v>
      </c>
      <c r="M2390" s="301">
        <v>872172.28</v>
      </c>
      <c r="N2390" s="301">
        <v>0</v>
      </c>
      <c r="O2390" s="301">
        <v>180000</v>
      </c>
      <c r="P2390" s="301">
        <v>0</v>
      </c>
      <c r="Q2390" s="301">
        <v>0</v>
      </c>
      <c r="R2390" s="301">
        <v>0</v>
      </c>
      <c r="S2390" s="301">
        <v>0</v>
      </c>
      <c r="T2390" s="301">
        <v>0</v>
      </c>
      <c r="U2390" s="301">
        <v>0</v>
      </c>
      <c r="V2390" s="301">
        <v>0</v>
      </c>
      <c r="W2390" s="301">
        <v>0</v>
      </c>
      <c r="X2390" s="301">
        <v>0</v>
      </c>
      <c r="Y2390" s="301">
        <v>0</v>
      </c>
      <c r="Z2390" s="301">
        <v>0</v>
      </c>
      <c r="AA2390" s="301">
        <v>0</v>
      </c>
      <c r="AB2390" s="303">
        <v>2022</v>
      </c>
    </row>
    <row r="2391" spans="1:28" ht="35.25" x14ac:dyDescent="0.5">
      <c r="A2391">
        <v>1</v>
      </c>
      <c r="B2391" s="80">
        <f>SUBTOTAL(103,$A$1697:A2391)</f>
        <v>684</v>
      </c>
      <c r="C2391" s="300" t="s">
        <v>2881</v>
      </c>
      <c r="D2391" s="296">
        <f t="shared" si="116"/>
        <v>1094491</v>
      </c>
      <c r="E2391" s="301">
        <v>0</v>
      </c>
      <c r="F2391" s="301">
        <v>0</v>
      </c>
      <c r="G2391" s="301">
        <v>0</v>
      </c>
      <c r="H2391" s="301">
        <v>0</v>
      </c>
      <c r="I2391" s="301">
        <v>0</v>
      </c>
      <c r="J2391" s="301">
        <v>0</v>
      </c>
      <c r="K2391" s="302">
        <v>0</v>
      </c>
      <c r="L2391" s="301">
        <v>0</v>
      </c>
      <c r="M2391" s="301">
        <v>0</v>
      </c>
      <c r="N2391" s="301">
        <v>0</v>
      </c>
      <c r="O2391" s="301">
        <v>1094491</v>
      </c>
      <c r="P2391" s="301">
        <v>0</v>
      </c>
      <c r="Q2391" s="301">
        <v>0</v>
      </c>
      <c r="R2391" s="301">
        <v>0</v>
      </c>
      <c r="S2391" s="301">
        <v>0</v>
      </c>
      <c r="T2391" s="301">
        <v>0</v>
      </c>
      <c r="U2391" s="301">
        <v>0</v>
      </c>
      <c r="V2391" s="301">
        <v>0</v>
      </c>
      <c r="W2391" s="301">
        <v>0</v>
      </c>
      <c r="X2391" s="301">
        <v>0</v>
      </c>
      <c r="Y2391" s="301">
        <v>0</v>
      </c>
      <c r="Z2391" s="301">
        <v>0</v>
      </c>
      <c r="AA2391" s="301">
        <v>0</v>
      </c>
      <c r="AB2391" s="303">
        <v>2022</v>
      </c>
    </row>
    <row r="2392" spans="1:28" ht="35.25" x14ac:dyDescent="0.5">
      <c r="A2392">
        <v>1</v>
      </c>
      <c r="B2392" s="80">
        <f>SUBTOTAL(103,$A$1697:A2392)</f>
        <v>685</v>
      </c>
      <c r="C2392" s="300" t="s">
        <v>3618</v>
      </c>
      <c r="D2392" s="296">
        <f t="shared" si="116"/>
        <v>1109231.8500000001</v>
      </c>
      <c r="E2392" s="301">
        <v>0</v>
      </c>
      <c r="F2392" s="301">
        <v>0</v>
      </c>
      <c r="G2392" s="301">
        <v>0</v>
      </c>
      <c r="H2392" s="301">
        <v>0</v>
      </c>
      <c r="I2392" s="301">
        <v>0</v>
      </c>
      <c r="J2392" s="301">
        <v>0</v>
      </c>
      <c r="K2392" s="302">
        <v>0</v>
      </c>
      <c r="L2392" s="301">
        <v>0</v>
      </c>
      <c r="M2392" s="301">
        <v>0</v>
      </c>
      <c r="N2392" s="301">
        <v>0</v>
      </c>
      <c r="O2392" s="301">
        <v>1109231.8500000001</v>
      </c>
      <c r="P2392" s="301">
        <v>0</v>
      </c>
      <c r="Q2392" s="301">
        <v>0</v>
      </c>
      <c r="R2392" s="301">
        <v>0</v>
      </c>
      <c r="S2392" s="301">
        <v>0</v>
      </c>
      <c r="T2392" s="301">
        <v>0</v>
      </c>
      <c r="U2392" s="301">
        <v>0</v>
      </c>
      <c r="V2392" s="301">
        <v>0</v>
      </c>
      <c r="W2392" s="301">
        <v>0</v>
      </c>
      <c r="X2392" s="301">
        <v>0</v>
      </c>
      <c r="Y2392" s="301">
        <v>0</v>
      </c>
      <c r="Z2392" s="301">
        <v>0</v>
      </c>
      <c r="AA2392" s="301">
        <v>0</v>
      </c>
      <c r="AB2392" s="303">
        <v>2022</v>
      </c>
    </row>
    <row r="2393" spans="1:28" ht="35.25" x14ac:dyDescent="0.5">
      <c r="A2393">
        <v>1</v>
      </c>
      <c r="B2393" s="80">
        <f>SUBTOTAL(103,$A$1697:A2393)</f>
        <v>686</v>
      </c>
      <c r="C2393" s="300" t="s">
        <v>3619</v>
      </c>
      <c r="D2393" s="296">
        <f t="shared" si="116"/>
        <v>1627543</v>
      </c>
      <c r="E2393" s="301">
        <v>0</v>
      </c>
      <c r="F2393" s="301">
        <v>0</v>
      </c>
      <c r="G2393" s="301">
        <v>0</v>
      </c>
      <c r="H2393" s="301">
        <v>0</v>
      </c>
      <c r="I2393" s="301">
        <v>0</v>
      </c>
      <c r="J2393" s="301">
        <v>0</v>
      </c>
      <c r="K2393" s="302">
        <v>0</v>
      </c>
      <c r="L2393" s="301">
        <v>0</v>
      </c>
      <c r="M2393" s="301">
        <v>0</v>
      </c>
      <c r="N2393" s="301">
        <v>0</v>
      </c>
      <c r="O2393" s="301">
        <v>1627543</v>
      </c>
      <c r="P2393" s="301">
        <v>0</v>
      </c>
      <c r="Q2393" s="301">
        <v>0</v>
      </c>
      <c r="R2393" s="301">
        <v>0</v>
      </c>
      <c r="S2393" s="301">
        <v>0</v>
      </c>
      <c r="T2393" s="301">
        <v>0</v>
      </c>
      <c r="U2393" s="301">
        <v>0</v>
      </c>
      <c r="V2393" s="301">
        <v>0</v>
      </c>
      <c r="W2393" s="301">
        <v>0</v>
      </c>
      <c r="X2393" s="301">
        <v>0</v>
      </c>
      <c r="Y2393" s="301">
        <v>0</v>
      </c>
      <c r="Z2393" s="301">
        <v>0</v>
      </c>
      <c r="AA2393" s="301">
        <v>0</v>
      </c>
      <c r="AB2393" s="303">
        <v>2022</v>
      </c>
    </row>
    <row r="2394" spans="1:28" ht="35.25" x14ac:dyDescent="0.5">
      <c r="A2394">
        <v>1</v>
      </c>
      <c r="B2394" s="80">
        <f>SUBTOTAL(103,$A$1697:A2394)</f>
        <v>687</v>
      </c>
      <c r="C2394" s="300" t="s">
        <v>3620</v>
      </c>
      <c r="D2394" s="296">
        <f t="shared" si="116"/>
        <v>1253460.5</v>
      </c>
      <c r="E2394" s="301">
        <v>0</v>
      </c>
      <c r="F2394" s="301">
        <v>0</v>
      </c>
      <c r="G2394" s="301">
        <v>0</v>
      </c>
      <c r="H2394" s="301">
        <v>0</v>
      </c>
      <c r="I2394" s="301">
        <v>0</v>
      </c>
      <c r="J2394" s="301">
        <v>0</v>
      </c>
      <c r="K2394" s="302">
        <v>0</v>
      </c>
      <c r="L2394" s="301">
        <v>0</v>
      </c>
      <c r="M2394" s="301">
        <v>0</v>
      </c>
      <c r="N2394" s="301">
        <v>0</v>
      </c>
      <c r="O2394" s="301">
        <v>1253460.5</v>
      </c>
      <c r="P2394" s="301">
        <v>0</v>
      </c>
      <c r="Q2394" s="301">
        <v>0</v>
      </c>
      <c r="R2394" s="301">
        <v>0</v>
      </c>
      <c r="S2394" s="301">
        <v>0</v>
      </c>
      <c r="T2394" s="301">
        <v>0</v>
      </c>
      <c r="U2394" s="301">
        <v>0</v>
      </c>
      <c r="V2394" s="301">
        <v>0</v>
      </c>
      <c r="W2394" s="301">
        <v>0</v>
      </c>
      <c r="X2394" s="301">
        <v>0</v>
      </c>
      <c r="Y2394" s="301">
        <v>0</v>
      </c>
      <c r="Z2394" s="301">
        <v>0</v>
      </c>
      <c r="AA2394" s="301">
        <v>0</v>
      </c>
      <c r="AB2394" s="303">
        <v>2022</v>
      </c>
    </row>
    <row r="2395" spans="1:28" ht="35.25" x14ac:dyDescent="0.5">
      <c r="A2395">
        <v>1</v>
      </c>
      <c r="B2395" s="80">
        <f>SUBTOTAL(103,$A$1697:A2395)</f>
        <v>688</v>
      </c>
      <c r="C2395" s="300" t="s">
        <v>3621</v>
      </c>
      <c r="D2395" s="296">
        <f t="shared" si="116"/>
        <v>2161902</v>
      </c>
      <c r="E2395" s="301">
        <v>0</v>
      </c>
      <c r="F2395" s="301">
        <v>0</v>
      </c>
      <c r="G2395" s="301">
        <v>0</v>
      </c>
      <c r="H2395" s="301">
        <v>0</v>
      </c>
      <c r="I2395" s="301">
        <v>0</v>
      </c>
      <c r="J2395" s="301">
        <v>0</v>
      </c>
      <c r="K2395" s="302">
        <v>0</v>
      </c>
      <c r="L2395" s="301">
        <v>0</v>
      </c>
      <c r="M2395" s="301">
        <v>0</v>
      </c>
      <c r="N2395" s="301">
        <v>0</v>
      </c>
      <c r="O2395" s="301">
        <v>2161902</v>
      </c>
      <c r="P2395" s="301">
        <v>0</v>
      </c>
      <c r="Q2395" s="301">
        <v>0</v>
      </c>
      <c r="R2395" s="301">
        <v>0</v>
      </c>
      <c r="S2395" s="301">
        <v>0</v>
      </c>
      <c r="T2395" s="301">
        <v>0</v>
      </c>
      <c r="U2395" s="301">
        <v>0</v>
      </c>
      <c r="V2395" s="301">
        <v>0</v>
      </c>
      <c r="W2395" s="301">
        <v>0</v>
      </c>
      <c r="X2395" s="301">
        <v>0</v>
      </c>
      <c r="Y2395" s="301">
        <v>0</v>
      </c>
      <c r="Z2395" s="301">
        <v>0</v>
      </c>
      <c r="AA2395" s="301">
        <v>0</v>
      </c>
      <c r="AB2395" s="303">
        <v>2022</v>
      </c>
    </row>
    <row r="2396" spans="1:28" ht="35.25" x14ac:dyDescent="0.5">
      <c r="A2396">
        <v>1</v>
      </c>
      <c r="B2396" s="80">
        <f>SUBTOTAL(103,$A$1697:A2396)</f>
        <v>689</v>
      </c>
      <c r="C2396" s="300" t="s">
        <v>3622</v>
      </c>
      <c r="D2396" s="296">
        <f t="shared" si="116"/>
        <v>185080</v>
      </c>
      <c r="E2396" s="301">
        <v>0</v>
      </c>
      <c r="F2396" s="301">
        <v>0</v>
      </c>
      <c r="G2396" s="301">
        <v>0</v>
      </c>
      <c r="H2396" s="301">
        <v>0</v>
      </c>
      <c r="I2396" s="301">
        <v>0</v>
      </c>
      <c r="J2396" s="301">
        <v>0</v>
      </c>
      <c r="K2396" s="302">
        <v>0</v>
      </c>
      <c r="L2396" s="301">
        <v>0</v>
      </c>
      <c r="M2396" s="301">
        <v>0</v>
      </c>
      <c r="N2396" s="301">
        <v>0</v>
      </c>
      <c r="O2396" s="301">
        <v>185080</v>
      </c>
      <c r="P2396" s="301">
        <v>0</v>
      </c>
      <c r="Q2396" s="301">
        <v>0</v>
      </c>
      <c r="R2396" s="301">
        <v>0</v>
      </c>
      <c r="S2396" s="301">
        <v>0</v>
      </c>
      <c r="T2396" s="301">
        <v>0</v>
      </c>
      <c r="U2396" s="301">
        <v>0</v>
      </c>
      <c r="V2396" s="301">
        <v>0</v>
      </c>
      <c r="W2396" s="301">
        <v>0</v>
      </c>
      <c r="X2396" s="301">
        <v>0</v>
      </c>
      <c r="Y2396" s="301">
        <v>0</v>
      </c>
      <c r="Z2396" s="301">
        <v>0</v>
      </c>
      <c r="AA2396" s="301">
        <v>0</v>
      </c>
      <c r="AB2396" s="303">
        <v>2022</v>
      </c>
    </row>
    <row r="2397" spans="1:28" ht="35.25" x14ac:dyDescent="0.5">
      <c r="A2397">
        <v>1</v>
      </c>
      <c r="B2397" s="80">
        <f>SUBTOTAL(103,$A$1697:A2397)</f>
        <v>690</v>
      </c>
      <c r="C2397" s="300" t="s">
        <v>3623</v>
      </c>
      <c r="D2397" s="296">
        <f t="shared" si="116"/>
        <v>924485.2</v>
      </c>
      <c r="E2397" s="301">
        <v>0</v>
      </c>
      <c r="F2397" s="301">
        <v>0</v>
      </c>
      <c r="G2397" s="301">
        <v>687379</v>
      </c>
      <c r="H2397" s="301">
        <v>0</v>
      </c>
      <c r="I2397" s="301">
        <v>237106.2</v>
      </c>
      <c r="J2397" s="301">
        <v>0</v>
      </c>
      <c r="K2397" s="302">
        <v>0</v>
      </c>
      <c r="L2397" s="301">
        <v>0</v>
      </c>
      <c r="M2397" s="301">
        <v>0</v>
      </c>
      <c r="N2397" s="301">
        <v>0</v>
      </c>
      <c r="O2397" s="301">
        <v>0</v>
      </c>
      <c r="P2397" s="301">
        <v>0</v>
      </c>
      <c r="Q2397" s="301">
        <v>0</v>
      </c>
      <c r="R2397" s="301">
        <v>0</v>
      </c>
      <c r="S2397" s="301">
        <v>0</v>
      </c>
      <c r="T2397" s="301">
        <v>0</v>
      </c>
      <c r="U2397" s="301">
        <v>0</v>
      </c>
      <c r="V2397" s="301">
        <v>0</v>
      </c>
      <c r="W2397" s="301">
        <v>0</v>
      </c>
      <c r="X2397" s="301">
        <v>0</v>
      </c>
      <c r="Y2397" s="301">
        <v>0</v>
      </c>
      <c r="Z2397" s="301">
        <v>0</v>
      </c>
      <c r="AA2397" s="301">
        <v>0</v>
      </c>
      <c r="AB2397" s="303">
        <v>2022</v>
      </c>
    </row>
    <row r="2398" spans="1:28" ht="35.25" x14ac:dyDescent="0.5">
      <c r="A2398">
        <v>1</v>
      </c>
      <c r="B2398" s="80">
        <f>SUBTOTAL(103,$A$1697:A2398)</f>
        <v>691</v>
      </c>
      <c r="C2398" s="300" t="s">
        <v>2103</v>
      </c>
      <c r="D2398" s="296">
        <f t="shared" si="116"/>
        <v>112000</v>
      </c>
      <c r="E2398" s="301">
        <v>0</v>
      </c>
      <c r="F2398" s="301">
        <v>0</v>
      </c>
      <c r="G2398" s="301">
        <v>0</v>
      </c>
      <c r="H2398" s="301">
        <v>0</v>
      </c>
      <c r="I2398" s="301">
        <v>0</v>
      </c>
      <c r="J2398" s="301">
        <v>0</v>
      </c>
      <c r="K2398" s="302">
        <v>0</v>
      </c>
      <c r="L2398" s="301">
        <v>0</v>
      </c>
      <c r="M2398" s="301">
        <v>0</v>
      </c>
      <c r="N2398" s="301">
        <v>112000</v>
      </c>
      <c r="O2398" s="301">
        <v>0</v>
      </c>
      <c r="P2398" s="301">
        <v>0</v>
      </c>
      <c r="Q2398" s="301">
        <v>0</v>
      </c>
      <c r="R2398" s="301">
        <v>0</v>
      </c>
      <c r="S2398" s="301">
        <v>0</v>
      </c>
      <c r="T2398" s="301">
        <v>0</v>
      </c>
      <c r="U2398" s="301">
        <v>0</v>
      </c>
      <c r="V2398" s="301">
        <v>0</v>
      </c>
      <c r="W2398" s="301">
        <v>0</v>
      </c>
      <c r="X2398" s="301">
        <v>0</v>
      </c>
      <c r="Y2398" s="301">
        <v>0</v>
      </c>
      <c r="Z2398" s="301">
        <v>0</v>
      </c>
      <c r="AA2398" s="301">
        <v>0</v>
      </c>
      <c r="AB2398" s="303">
        <v>2022</v>
      </c>
    </row>
    <row r="2399" spans="1:28" ht="35.25" x14ac:dyDescent="0.5">
      <c r="B2399" s="299" t="s">
        <v>797</v>
      </c>
      <c r="C2399" s="300"/>
      <c r="D2399" s="296">
        <f t="shared" si="116"/>
        <v>6227892</v>
      </c>
      <c r="E2399" s="296">
        <f t="shared" ref="E2399:AA2399" si="117">SUM(E2400:E2406)</f>
        <v>0</v>
      </c>
      <c r="F2399" s="296">
        <f t="shared" si="117"/>
        <v>0</v>
      </c>
      <c r="G2399" s="296">
        <f t="shared" si="117"/>
        <v>0</v>
      </c>
      <c r="H2399" s="296">
        <f t="shared" si="117"/>
        <v>0</v>
      </c>
      <c r="I2399" s="296">
        <f t="shared" si="117"/>
        <v>3620360</v>
      </c>
      <c r="J2399" s="296">
        <f t="shared" si="117"/>
        <v>0</v>
      </c>
      <c r="K2399" s="297">
        <f t="shared" si="117"/>
        <v>0</v>
      </c>
      <c r="L2399" s="296">
        <f t="shared" si="117"/>
        <v>0</v>
      </c>
      <c r="M2399" s="296">
        <f t="shared" si="117"/>
        <v>0</v>
      </c>
      <c r="N2399" s="296">
        <f t="shared" si="117"/>
        <v>0</v>
      </c>
      <c r="O2399" s="296">
        <f t="shared" si="117"/>
        <v>1636000</v>
      </c>
      <c r="P2399" s="296">
        <f t="shared" si="117"/>
        <v>971532</v>
      </c>
      <c r="Q2399" s="296">
        <f t="shared" si="117"/>
        <v>0</v>
      </c>
      <c r="R2399" s="296">
        <f t="shared" si="117"/>
        <v>0</v>
      </c>
      <c r="S2399" s="296">
        <f t="shared" si="117"/>
        <v>0</v>
      </c>
      <c r="T2399" s="296">
        <f t="shared" si="117"/>
        <v>0</v>
      </c>
      <c r="U2399" s="296">
        <f t="shared" si="117"/>
        <v>0</v>
      </c>
      <c r="V2399" s="296">
        <f t="shared" si="117"/>
        <v>0</v>
      </c>
      <c r="W2399" s="296">
        <f t="shared" si="117"/>
        <v>0</v>
      </c>
      <c r="X2399" s="296">
        <f t="shared" si="117"/>
        <v>0</v>
      </c>
      <c r="Y2399" s="296">
        <f t="shared" si="117"/>
        <v>0</v>
      </c>
      <c r="Z2399" s="296">
        <f t="shared" si="117"/>
        <v>0</v>
      </c>
      <c r="AA2399" s="296">
        <f t="shared" si="117"/>
        <v>0</v>
      </c>
      <c r="AB2399" s="298" t="s">
        <v>835</v>
      </c>
    </row>
    <row r="2400" spans="1:28" ht="35.25" x14ac:dyDescent="0.5">
      <c r="A2400">
        <v>1</v>
      </c>
      <c r="B2400" s="80">
        <f>SUBTOTAL(103,$A$1697:A2400)</f>
        <v>692</v>
      </c>
      <c r="C2400" s="300" t="s">
        <v>3157</v>
      </c>
      <c r="D2400" s="296">
        <f t="shared" si="116"/>
        <v>2133833</v>
      </c>
      <c r="E2400" s="301">
        <v>0</v>
      </c>
      <c r="F2400" s="301">
        <v>0</v>
      </c>
      <c r="G2400" s="301">
        <v>0</v>
      </c>
      <c r="H2400" s="301">
        <v>0</v>
      </c>
      <c r="I2400" s="301">
        <v>1083833</v>
      </c>
      <c r="J2400" s="301">
        <v>0</v>
      </c>
      <c r="K2400" s="302">
        <v>0</v>
      </c>
      <c r="L2400" s="301">
        <v>0</v>
      </c>
      <c r="M2400" s="301">
        <v>0</v>
      </c>
      <c r="N2400" s="301">
        <v>0</v>
      </c>
      <c r="O2400" s="301">
        <v>1050000</v>
      </c>
      <c r="P2400" s="301">
        <v>0</v>
      </c>
      <c r="Q2400" s="301">
        <v>0</v>
      </c>
      <c r="R2400" s="301">
        <v>0</v>
      </c>
      <c r="S2400" s="301">
        <v>0</v>
      </c>
      <c r="T2400" s="301">
        <v>0</v>
      </c>
      <c r="U2400" s="301">
        <v>0</v>
      </c>
      <c r="V2400" s="301">
        <v>0</v>
      </c>
      <c r="W2400" s="301">
        <v>0</v>
      </c>
      <c r="X2400" s="301">
        <v>0</v>
      </c>
      <c r="Y2400" s="301">
        <v>0</v>
      </c>
      <c r="Z2400" s="301">
        <v>0</v>
      </c>
      <c r="AA2400" s="301">
        <v>0</v>
      </c>
      <c r="AB2400" s="303">
        <v>2022</v>
      </c>
    </row>
    <row r="2401" spans="1:28" ht="35.25" x14ac:dyDescent="0.5">
      <c r="A2401">
        <v>1</v>
      </c>
      <c r="B2401" s="80">
        <f>SUBTOTAL(103,$A$1697:A2401)</f>
        <v>693</v>
      </c>
      <c r="C2401" s="300" t="s">
        <v>3366</v>
      </c>
      <c r="D2401" s="296">
        <f t="shared" si="116"/>
        <v>372000</v>
      </c>
      <c r="E2401" s="301">
        <v>0</v>
      </c>
      <c r="F2401" s="301">
        <v>0</v>
      </c>
      <c r="G2401" s="301">
        <v>0</v>
      </c>
      <c r="H2401" s="301">
        <v>0</v>
      </c>
      <c r="I2401" s="301">
        <f>330000+42000</f>
        <v>372000</v>
      </c>
      <c r="J2401" s="301">
        <v>0</v>
      </c>
      <c r="K2401" s="302">
        <v>0</v>
      </c>
      <c r="L2401" s="301">
        <v>0</v>
      </c>
      <c r="M2401" s="301">
        <v>0</v>
      </c>
      <c r="N2401" s="301">
        <v>0</v>
      </c>
      <c r="O2401" s="301">
        <v>0</v>
      </c>
      <c r="P2401" s="301">
        <v>0</v>
      </c>
      <c r="Q2401" s="301">
        <v>0</v>
      </c>
      <c r="R2401" s="301">
        <v>0</v>
      </c>
      <c r="S2401" s="301">
        <v>0</v>
      </c>
      <c r="T2401" s="301">
        <v>0</v>
      </c>
      <c r="U2401" s="301">
        <v>0</v>
      </c>
      <c r="V2401" s="301">
        <v>0</v>
      </c>
      <c r="W2401" s="301">
        <v>0</v>
      </c>
      <c r="X2401" s="301">
        <v>0</v>
      </c>
      <c r="Y2401" s="301">
        <v>0</v>
      </c>
      <c r="Z2401" s="301">
        <v>0</v>
      </c>
      <c r="AA2401" s="301">
        <v>0</v>
      </c>
      <c r="AB2401" s="303" t="s">
        <v>3313</v>
      </c>
    </row>
    <row r="2402" spans="1:28" ht="35.25" x14ac:dyDescent="0.5">
      <c r="A2402">
        <v>1</v>
      </c>
      <c r="B2402" s="80">
        <f>SUBTOTAL(103,$A$1697:A2402)</f>
        <v>694</v>
      </c>
      <c r="C2402" s="300" t="s">
        <v>3624</v>
      </c>
      <c r="D2402" s="296">
        <f t="shared" si="116"/>
        <v>808532</v>
      </c>
      <c r="E2402" s="301">
        <v>0</v>
      </c>
      <c r="F2402" s="301">
        <v>0</v>
      </c>
      <c r="G2402" s="301">
        <v>0</v>
      </c>
      <c r="H2402" s="301">
        <v>0</v>
      </c>
      <c r="I2402" s="301">
        <v>0</v>
      </c>
      <c r="J2402" s="301">
        <v>0</v>
      </c>
      <c r="K2402" s="302">
        <v>0</v>
      </c>
      <c r="L2402" s="301">
        <v>0</v>
      </c>
      <c r="M2402" s="301">
        <v>0</v>
      </c>
      <c r="N2402" s="301">
        <v>0</v>
      </c>
      <c r="O2402" s="301">
        <v>0</v>
      </c>
      <c r="P2402" s="301">
        <v>808532</v>
      </c>
      <c r="Q2402" s="301">
        <v>0</v>
      </c>
      <c r="R2402" s="301">
        <v>0</v>
      </c>
      <c r="S2402" s="301">
        <v>0</v>
      </c>
      <c r="T2402" s="301">
        <v>0</v>
      </c>
      <c r="U2402" s="301">
        <v>0</v>
      </c>
      <c r="V2402" s="301">
        <v>0</v>
      </c>
      <c r="W2402" s="301">
        <v>0</v>
      </c>
      <c r="X2402" s="301">
        <v>0</v>
      </c>
      <c r="Y2402" s="301">
        <v>0</v>
      </c>
      <c r="Z2402" s="301">
        <v>0</v>
      </c>
      <c r="AA2402" s="301">
        <v>0</v>
      </c>
      <c r="AB2402" s="303">
        <v>2022</v>
      </c>
    </row>
    <row r="2403" spans="1:28" ht="35.25" x14ac:dyDescent="0.5">
      <c r="A2403">
        <v>1</v>
      </c>
      <c r="B2403" s="80">
        <f>SUBTOTAL(103,$A$1697:A2403)</f>
        <v>695</v>
      </c>
      <c r="C2403" s="300" t="s">
        <v>3625</v>
      </c>
      <c r="D2403" s="296">
        <f t="shared" si="116"/>
        <v>870000</v>
      </c>
      <c r="E2403" s="301">
        <v>0</v>
      </c>
      <c r="F2403" s="301">
        <v>0</v>
      </c>
      <c r="G2403" s="301">
        <v>0</v>
      </c>
      <c r="H2403" s="301">
        <v>0</v>
      </c>
      <c r="I2403" s="301">
        <v>870000</v>
      </c>
      <c r="J2403" s="301">
        <v>0</v>
      </c>
      <c r="K2403" s="302">
        <v>0</v>
      </c>
      <c r="L2403" s="301">
        <v>0</v>
      </c>
      <c r="M2403" s="301">
        <v>0</v>
      </c>
      <c r="N2403" s="301">
        <v>0</v>
      </c>
      <c r="O2403" s="301">
        <v>0</v>
      </c>
      <c r="P2403" s="301">
        <v>0</v>
      </c>
      <c r="Q2403" s="301">
        <v>0</v>
      </c>
      <c r="R2403" s="301">
        <v>0</v>
      </c>
      <c r="S2403" s="301">
        <v>0</v>
      </c>
      <c r="T2403" s="301">
        <v>0</v>
      </c>
      <c r="U2403" s="301">
        <v>0</v>
      </c>
      <c r="V2403" s="301">
        <v>0</v>
      </c>
      <c r="W2403" s="301">
        <v>0</v>
      </c>
      <c r="X2403" s="301">
        <v>0</v>
      </c>
      <c r="Y2403" s="301">
        <v>0</v>
      </c>
      <c r="Z2403" s="301">
        <v>0</v>
      </c>
      <c r="AA2403" s="301">
        <v>0</v>
      </c>
      <c r="AB2403" s="303">
        <v>2022</v>
      </c>
    </row>
    <row r="2404" spans="1:28" ht="35.25" x14ac:dyDescent="0.5">
      <c r="A2404">
        <v>1</v>
      </c>
      <c r="B2404" s="80">
        <f>SUBTOTAL(103,$A$1697:A2404)</f>
        <v>696</v>
      </c>
      <c r="C2404" s="300" t="s">
        <v>3626</v>
      </c>
      <c r="D2404" s="296">
        <f t="shared" si="116"/>
        <v>813488</v>
      </c>
      <c r="E2404" s="301">
        <v>0</v>
      </c>
      <c r="F2404" s="301">
        <v>0</v>
      </c>
      <c r="G2404" s="301">
        <v>0</v>
      </c>
      <c r="H2404" s="301">
        <v>0</v>
      </c>
      <c r="I2404" s="301">
        <v>549088</v>
      </c>
      <c r="J2404" s="301">
        <v>0</v>
      </c>
      <c r="K2404" s="302">
        <v>0</v>
      </c>
      <c r="L2404" s="301">
        <v>0</v>
      </c>
      <c r="M2404" s="301">
        <v>0</v>
      </c>
      <c r="N2404" s="301">
        <v>0</v>
      </c>
      <c r="O2404" s="301">
        <v>264400</v>
      </c>
      <c r="P2404" s="301">
        <v>0</v>
      </c>
      <c r="Q2404" s="301">
        <v>0</v>
      </c>
      <c r="R2404" s="301">
        <v>0</v>
      </c>
      <c r="S2404" s="301">
        <v>0</v>
      </c>
      <c r="T2404" s="301">
        <v>0</v>
      </c>
      <c r="U2404" s="301">
        <v>0</v>
      </c>
      <c r="V2404" s="301">
        <v>0</v>
      </c>
      <c r="W2404" s="301">
        <v>0</v>
      </c>
      <c r="X2404" s="301">
        <v>0</v>
      </c>
      <c r="Y2404" s="301">
        <v>0</v>
      </c>
      <c r="Z2404" s="301">
        <v>0</v>
      </c>
      <c r="AA2404" s="301">
        <v>0</v>
      </c>
      <c r="AB2404" s="303">
        <v>2022</v>
      </c>
    </row>
    <row r="2405" spans="1:28" ht="35.25" x14ac:dyDescent="0.5">
      <c r="A2405">
        <v>1</v>
      </c>
      <c r="B2405" s="80">
        <f>SUBTOTAL(103,$A$1697:A2405)</f>
        <v>697</v>
      </c>
      <c r="C2405" s="300" t="s">
        <v>1396</v>
      </c>
      <c r="D2405" s="296">
        <f t="shared" si="116"/>
        <v>745439</v>
      </c>
      <c r="E2405" s="301">
        <v>0</v>
      </c>
      <c r="F2405" s="301">
        <v>0</v>
      </c>
      <c r="G2405" s="301">
        <v>0</v>
      </c>
      <c r="H2405" s="301">
        <v>0</v>
      </c>
      <c r="I2405" s="301">
        <v>745439</v>
      </c>
      <c r="J2405" s="301">
        <v>0</v>
      </c>
      <c r="K2405" s="302">
        <v>0</v>
      </c>
      <c r="L2405" s="301">
        <v>0</v>
      </c>
      <c r="M2405" s="301">
        <v>0</v>
      </c>
      <c r="N2405" s="301">
        <v>0</v>
      </c>
      <c r="O2405" s="301">
        <v>0</v>
      </c>
      <c r="P2405" s="301">
        <v>0</v>
      </c>
      <c r="Q2405" s="301">
        <v>0</v>
      </c>
      <c r="R2405" s="301">
        <v>0</v>
      </c>
      <c r="S2405" s="301">
        <v>0</v>
      </c>
      <c r="T2405" s="301">
        <v>0</v>
      </c>
      <c r="U2405" s="301">
        <v>0</v>
      </c>
      <c r="V2405" s="301">
        <v>0</v>
      </c>
      <c r="W2405" s="301">
        <v>0</v>
      </c>
      <c r="X2405" s="301">
        <v>0</v>
      </c>
      <c r="Y2405" s="301">
        <v>0</v>
      </c>
      <c r="Z2405" s="301">
        <v>0</v>
      </c>
      <c r="AA2405" s="301">
        <v>0</v>
      </c>
      <c r="AB2405" s="303">
        <v>2022</v>
      </c>
    </row>
    <row r="2406" spans="1:28" ht="35.25" x14ac:dyDescent="0.5">
      <c r="A2406">
        <v>1</v>
      </c>
      <c r="B2406" s="80">
        <f>SUBTOTAL(103,$A$1697:A2406)</f>
        <v>698</v>
      </c>
      <c r="C2406" s="300" t="s">
        <v>3156</v>
      </c>
      <c r="D2406" s="296">
        <f t="shared" si="116"/>
        <v>484600</v>
      </c>
      <c r="E2406" s="301">
        <v>0</v>
      </c>
      <c r="F2406" s="301">
        <v>0</v>
      </c>
      <c r="G2406" s="301">
        <v>0</v>
      </c>
      <c r="H2406" s="301">
        <v>0</v>
      </c>
      <c r="I2406" s="301">
        <v>0</v>
      </c>
      <c r="J2406" s="301">
        <v>0</v>
      </c>
      <c r="K2406" s="302">
        <v>0</v>
      </c>
      <c r="L2406" s="301">
        <v>0</v>
      </c>
      <c r="M2406" s="301">
        <v>0</v>
      </c>
      <c r="N2406" s="301">
        <v>0</v>
      </c>
      <c r="O2406" s="301">
        <v>321600</v>
      </c>
      <c r="P2406" s="301">
        <v>163000</v>
      </c>
      <c r="Q2406" s="301">
        <v>0</v>
      </c>
      <c r="R2406" s="301">
        <v>0</v>
      </c>
      <c r="S2406" s="301">
        <v>0</v>
      </c>
      <c r="T2406" s="301">
        <v>0</v>
      </c>
      <c r="U2406" s="301">
        <v>0</v>
      </c>
      <c r="V2406" s="301">
        <v>0</v>
      </c>
      <c r="W2406" s="301">
        <v>0</v>
      </c>
      <c r="X2406" s="301">
        <v>0</v>
      </c>
      <c r="Y2406" s="301">
        <v>0</v>
      </c>
      <c r="Z2406" s="301">
        <v>0</v>
      </c>
      <c r="AA2406" s="301">
        <v>0</v>
      </c>
      <c r="AB2406" s="303">
        <v>2022</v>
      </c>
    </row>
    <row r="2407" spans="1:28" ht="35.25" x14ac:dyDescent="0.5">
      <c r="B2407" s="299" t="s">
        <v>796</v>
      </c>
      <c r="C2407" s="300"/>
      <c r="D2407" s="296">
        <f t="shared" si="116"/>
        <v>6865488.2999999998</v>
      </c>
      <c r="E2407" s="296">
        <f t="shared" ref="E2407:AA2407" si="118">SUM(E2408:E2414)</f>
        <v>0</v>
      </c>
      <c r="F2407" s="296">
        <f t="shared" si="118"/>
        <v>665540.71</v>
      </c>
      <c r="G2407" s="296">
        <f t="shared" si="118"/>
        <v>141438.6</v>
      </c>
      <c r="H2407" s="296">
        <f t="shared" si="118"/>
        <v>0</v>
      </c>
      <c r="I2407" s="296">
        <f t="shared" si="118"/>
        <v>572000.4</v>
      </c>
      <c r="J2407" s="296">
        <f t="shared" si="118"/>
        <v>0</v>
      </c>
      <c r="K2407" s="297">
        <f t="shared" si="118"/>
        <v>0</v>
      </c>
      <c r="L2407" s="296">
        <f t="shared" si="118"/>
        <v>0</v>
      </c>
      <c r="M2407" s="296">
        <f t="shared" si="118"/>
        <v>4130706</v>
      </c>
      <c r="N2407" s="296">
        <f t="shared" si="118"/>
        <v>0</v>
      </c>
      <c r="O2407" s="296">
        <f t="shared" si="118"/>
        <v>1355802.59</v>
      </c>
      <c r="P2407" s="296">
        <f t="shared" si="118"/>
        <v>0</v>
      </c>
      <c r="Q2407" s="296">
        <f t="shared" si="118"/>
        <v>0</v>
      </c>
      <c r="R2407" s="296">
        <f t="shared" si="118"/>
        <v>0</v>
      </c>
      <c r="S2407" s="296">
        <f t="shared" si="118"/>
        <v>0</v>
      </c>
      <c r="T2407" s="296">
        <f t="shared" si="118"/>
        <v>0</v>
      </c>
      <c r="U2407" s="296">
        <f t="shared" si="118"/>
        <v>0</v>
      </c>
      <c r="V2407" s="296">
        <f t="shared" si="118"/>
        <v>0</v>
      </c>
      <c r="W2407" s="296">
        <f t="shared" si="118"/>
        <v>0</v>
      </c>
      <c r="X2407" s="296">
        <f t="shared" si="118"/>
        <v>0</v>
      </c>
      <c r="Y2407" s="296">
        <f t="shared" si="118"/>
        <v>0</v>
      </c>
      <c r="Z2407" s="296">
        <f t="shared" si="118"/>
        <v>0</v>
      </c>
      <c r="AA2407" s="296">
        <f t="shared" si="118"/>
        <v>0</v>
      </c>
      <c r="AB2407" s="298" t="s">
        <v>835</v>
      </c>
    </row>
    <row r="2408" spans="1:28" ht="35.25" x14ac:dyDescent="0.5">
      <c r="A2408">
        <v>1</v>
      </c>
      <c r="B2408" s="80">
        <f>SUBTOTAL(103,$A$1697:A2408)</f>
        <v>699</v>
      </c>
      <c r="C2408" s="300" t="s">
        <v>3367</v>
      </c>
      <c r="D2408" s="296">
        <f t="shared" si="116"/>
        <v>1828930</v>
      </c>
      <c r="E2408" s="301">
        <v>0</v>
      </c>
      <c r="F2408" s="301">
        <v>0</v>
      </c>
      <c r="G2408" s="301">
        <v>0</v>
      </c>
      <c r="H2408" s="301">
        <v>0</v>
      </c>
      <c r="I2408" s="301">
        <v>0</v>
      </c>
      <c r="J2408" s="301">
        <v>0</v>
      </c>
      <c r="K2408" s="302">
        <v>0</v>
      </c>
      <c r="L2408" s="301">
        <v>0</v>
      </c>
      <c r="M2408" s="301">
        <f>707000+1121930</f>
        <v>1828930</v>
      </c>
      <c r="N2408" s="301">
        <v>0</v>
      </c>
      <c r="O2408" s="301">
        <v>0</v>
      </c>
      <c r="P2408" s="301">
        <v>0</v>
      </c>
      <c r="Q2408" s="301">
        <v>0</v>
      </c>
      <c r="R2408" s="301">
        <v>0</v>
      </c>
      <c r="S2408" s="301">
        <v>0</v>
      </c>
      <c r="T2408" s="301">
        <v>0</v>
      </c>
      <c r="U2408" s="301">
        <v>0</v>
      </c>
      <c r="V2408" s="301">
        <v>0</v>
      </c>
      <c r="W2408" s="301">
        <v>0</v>
      </c>
      <c r="X2408" s="301">
        <v>0</v>
      </c>
      <c r="Y2408" s="301">
        <v>0</v>
      </c>
      <c r="Z2408" s="301">
        <v>0</v>
      </c>
      <c r="AA2408" s="301">
        <v>0</v>
      </c>
      <c r="AB2408" s="303">
        <v>2022</v>
      </c>
    </row>
    <row r="2409" spans="1:28" ht="35.25" x14ac:dyDescent="0.5">
      <c r="A2409">
        <v>1</v>
      </c>
      <c r="B2409" s="80">
        <f>SUBTOTAL(103,$A$1697:A2409)</f>
        <v>700</v>
      </c>
      <c r="C2409" s="300" t="s">
        <v>3470</v>
      </c>
      <c r="D2409" s="296">
        <f t="shared" si="116"/>
        <v>1249906</v>
      </c>
      <c r="E2409" s="301">
        <v>0</v>
      </c>
      <c r="F2409" s="301">
        <v>0</v>
      </c>
      <c r="G2409" s="301">
        <v>0</v>
      </c>
      <c r="H2409" s="301">
        <v>0</v>
      </c>
      <c r="I2409" s="301">
        <v>0</v>
      </c>
      <c r="J2409" s="301">
        <v>0</v>
      </c>
      <c r="K2409" s="302">
        <v>0</v>
      </c>
      <c r="L2409" s="301">
        <v>0</v>
      </c>
      <c r="M2409" s="301">
        <v>0</v>
      </c>
      <c r="N2409" s="301">
        <v>0</v>
      </c>
      <c r="O2409" s="301">
        <v>1249906</v>
      </c>
      <c r="P2409" s="301">
        <v>0</v>
      </c>
      <c r="Q2409" s="301">
        <v>0</v>
      </c>
      <c r="R2409" s="301">
        <v>0</v>
      </c>
      <c r="S2409" s="301">
        <v>0</v>
      </c>
      <c r="T2409" s="301">
        <v>0</v>
      </c>
      <c r="U2409" s="301">
        <v>0</v>
      </c>
      <c r="V2409" s="301">
        <v>0</v>
      </c>
      <c r="W2409" s="301">
        <v>0</v>
      </c>
      <c r="X2409" s="301">
        <v>0</v>
      </c>
      <c r="Y2409" s="301">
        <v>0</v>
      </c>
      <c r="Z2409" s="301">
        <v>0</v>
      </c>
      <c r="AA2409" s="301">
        <v>0</v>
      </c>
      <c r="AB2409" s="303">
        <v>2022</v>
      </c>
    </row>
    <row r="2410" spans="1:28" ht="35.25" x14ac:dyDescent="0.5">
      <c r="A2410">
        <v>1</v>
      </c>
      <c r="B2410" s="80">
        <f>SUBTOTAL(103,$A$1697:A2410)</f>
        <v>701</v>
      </c>
      <c r="C2410" s="300" t="s">
        <v>2885</v>
      </c>
      <c r="D2410" s="296">
        <f t="shared" si="116"/>
        <v>141438.6</v>
      </c>
      <c r="E2410" s="301">
        <v>0</v>
      </c>
      <c r="F2410" s="301">
        <v>0</v>
      </c>
      <c r="G2410" s="301">
        <v>141438.6</v>
      </c>
      <c r="H2410" s="301">
        <v>0</v>
      </c>
      <c r="I2410" s="301">
        <v>0</v>
      </c>
      <c r="J2410" s="301">
        <v>0</v>
      </c>
      <c r="K2410" s="302">
        <v>0</v>
      </c>
      <c r="L2410" s="301">
        <v>0</v>
      </c>
      <c r="M2410" s="301">
        <v>0</v>
      </c>
      <c r="N2410" s="301">
        <v>0</v>
      </c>
      <c r="O2410" s="301">
        <v>0</v>
      </c>
      <c r="P2410" s="301">
        <v>0</v>
      </c>
      <c r="Q2410" s="301">
        <v>0</v>
      </c>
      <c r="R2410" s="301">
        <v>0</v>
      </c>
      <c r="S2410" s="301">
        <v>0</v>
      </c>
      <c r="T2410" s="301">
        <v>0</v>
      </c>
      <c r="U2410" s="301">
        <v>0</v>
      </c>
      <c r="V2410" s="301">
        <v>0</v>
      </c>
      <c r="W2410" s="301">
        <v>0</v>
      </c>
      <c r="X2410" s="301">
        <v>0</v>
      </c>
      <c r="Y2410" s="301">
        <v>0</v>
      </c>
      <c r="Z2410" s="301">
        <v>0</v>
      </c>
      <c r="AA2410" s="301">
        <v>0</v>
      </c>
      <c r="AB2410" s="303">
        <v>2022</v>
      </c>
    </row>
    <row r="2411" spans="1:28" ht="35.25" x14ac:dyDescent="0.5">
      <c r="A2411">
        <v>1</v>
      </c>
      <c r="B2411" s="80">
        <f>SUBTOTAL(103,$A$1697:A2411)</f>
        <v>702</v>
      </c>
      <c r="C2411" s="300" t="s">
        <v>3542</v>
      </c>
      <c r="D2411" s="296">
        <f t="shared" si="116"/>
        <v>572000.4</v>
      </c>
      <c r="E2411" s="301">
        <v>0</v>
      </c>
      <c r="F2411" s="301">
        <v>0</v>
      </c>
      <c r="G2411" s="301">
        <v>0</v>
      </c>
      <c r="H2411" s="301">
        <v>0</v>
      </c>
      <c r="I2411" s="301">
        <v>572000.4</v>
      </c>
      <c r="J2411" s="301">
        <v>0</v>
      </c>
      <c r="K2411" s="302">
        <v>0</v>
      </c>
      <c r="L2411" s="301">
        <v>0</v>
      </c>
      <c r="M2411" s="301">
        <v>0</v>
      </c>
      <c r="N2411" s="301">
        <v>0</v>
      </c>
      <c r="O2411" s="301">
        <v>0</v>
      </c>
      <c r="P2411" s="301">
        <v>0</v>
      </c>
      <c r="Q2411" s="301">
        <v>0</v>
      </c>
      <c r="R2411" s="301">
        <v>0</v>
      </c>
      <c r="S2411" s="301">
        <v>0</v>
      </c>
      <c r="T2411" s="301">
        <v>0</v>
      </c>
      <c r="U2411" s="301">
        <v>0</v>
      </c>
      <c r="V2411" s="301">
        <v>0</v>
      </c>
      <c r="W2411" s="301">
        <v>0</v>
      </c>
      <c r="X2411" s="301">
        <v>0</v>
      </c>
      <c r="Y2411" s="301">
        <v>0</v>
      </c>
      <c r="Z2411" s="301">
        <v>0</v>
      </c>
      <c r="AA2411" s="301">
        <v>0</v>
      </c>
      <c r="AB2411" s="303">
        <v>2022</v>
      </c>
    </row>
    <row r="2412" spans="1:28" ht="35.25" x14ac:dyDescent="0.5">
      <c r="A2412">
        <v>1</v>
      </c>
      <c r="B2412" s="80">
        <f>SUBTOTAL(103,$A$1697:A2412)</f>
        <v>703</v>
      </c>
      <c r="C2412" s="300" t="s">
        <v>2456</v>
      </c>
      <c r="D2412" s="296">
        <f t="shared" si="116"/>
        <v>1275776</v>
      </c>
      <c r="E2412" s="301">
        <v>0</v>
      </c>
      <c r="F2412" s="301">
        <v>0</v>
      </c>
      <c r="G2412" s="301">
        <v>0</v>
      </c>
      <c r="H2412" s="301">
        <v>0</v>
      </c>
      <c r="I2412" s="301">
        <v>0</v>
      </c>
      <c r="J2412" s="301">
        <v>0</v>
      </c>
      <c r="K2412" s="302">
        <v>0</v>
      </c>
      <c r="L2412" s="301">
        <v>0</v>
      </c>
      <c r="M2412" s="301">
        <v>1275776</v>
      </c>
      <c r="N2412" s="301">
        <v>0</v>
      </c>
      <c r="O2412" s="301">
        <v>0</v>
      </c>
      <c r="P2412" s="301">
        <v>0</v>
      </c>
      <c r="Q2412" s="301">
        <v>0</v>
      </c>
      <c r="R2412" s="301">
        <v>0</v>
      </c>
      <c r="S2412" s="301">
        <v>0</v>
      </c>
      <c r="T2412" s="301">
        <v>0</v>
      </c>
      <c r="U2412" s="301">
        <v>0</v>
      </c>
      <c r="V2412" s="301">
        <v>0</v>
      </c>
      <c r="W2412" s="301">
        <v>0</v>
      </c>
      <c r="X2412" s="301">
        <v>0</v>
      </c>
      <c r="Y2412" s="301">
        <v>0</v>
      </c>
      <c r="Z2412" s="301">
        <v>0</v>
      </c>
      <c r="AA2412" s="301">
        <v>0</v>
      </c>
      <c r="AB2412" s="303">
        <v>2022</v>
      </c>
    </row>
    <row r="2413" spans="1:28" ht="35.25" x14ac:dyDescent="0.5">
      <c r="A2413">
        <v>1</v>
      </c>
      <c r="B2413" s="80">
        <f>SUBTOTAL(103,$A$1697:A2413)</f>
        <v>704</v>
      </c>
      <c r="C2413" s="300" t="s">
        <v>2460</v>
      </c>
      <c r="D2413" s="296">
        <f t="shared" si="116"/>
        <v>1131896.5900000001</v>
      </c>
      <c r="E2413" s="301">
        <v>0</v>
      </c>
      <c r="F2413" s="301">
        <v>0</v>
      </c>
      <c r="G2413" s="301">
        <v>0</v>
      </c>
      <c r="H2413" s="301">
        <v>0</v>
      </c>
      <c r="I2413" s="301">
        <v>0</v>
      </c>
      <c r="J2413" s="301">
        <v>0</v>
      </c>
      <c r="K2413" s="302">
        <v>0</v>
      </c>
      <c r="L2413" s="301">
        <v>0</v>
      </c>
      <c r="M2413" s="301">
        <v>1026000</v>
      </c>
      <c r="N2413" s="301">
        <v>0</v>
      </c>
      <c r="O2413" s="301">
        <v>105896.59</v>
      </c>
      <c r="P2413" s="301">
        <v>0</v>
      </c>
      <c r="Q2413" s="301">
        <v>0</v>
      </c>
      <c r="R2413" s="301">
        <v>0</v>
      </c>
      <c r="S2413" s="301">
        <v>0</v>
      </c>
      <c r="T2413" s="301">
        <v>0</v>
      </c>
      <c r="U2413" s="301">
        <v>0</v>
      </c>
      <c r="V2413" s="301">
        <v>0</v>
      </c>
      <c r="W2413" s="301">
        <v>0</v>
      </c>
      <c r="X2413" s="301">
        <v>0</v>
      </c>
      <c r="Y2413" s="301">
        <v>0</v>
      </c>
      <c r="Z2413" s="301">
        <v>0</v>
      </c>
      <c r="AA2413" s="301">
        <v>0</v>
      </c>
      <c r="AB2413" s="303">
        <v>2022</v>
      </c>
    </row>
    <row r="2414" spans="1:28" ht="35.25" x14ac:dyDescent="0.5">
      <c r="A2414">
        <v>1</v>
      </c>
      <c r="B2414" s="80">
        <f>SUBTOTAL(103,$A$1697:A2414)</f>
        <v>705</v>
      </c>
      <c r="C2414" s="300" t="s">
        <v>2458</v>
      </c>
      <c r="D2414" s="296">
        <f t="shared" si="116"/>
        <v>665540.71</v>
      </c>
      <c r="E2414" s="301">
        <v>0</v>
      </c>
      <c r="F2414" s="301">
        <f>549662.21+115878.5</f>
        <v>665540.71</v>
      </c>
      <c r="G2414" s="301">
        <v>0</v>
      </c>
      <c r="H2414" s="301">
        <v>0</v>
      </c>
      <c r="I2414" s="301">
        <v>0</v>
      </c>
      <c r="J2414" s="301">
        <v>0</v>
      </c>
      <c r="K2414" s="302">
        <v>0</v>
      </c>
      <c r="L2414" s="301">
        <v>0</v>
      </c>
      <c r="M2414" s="301">
        <v>0</v>
      </c>
      <c r="N2414" s="301">
        <v>0</v>
      </c>
      <c r="O2414" s="301">
        <v>0</v>
      </c>
      <c r="P2414" s="301">
        <v>0</v>
      </c>
      <c r="Q2414" s="301">
        <v>0</v>
      </c>
      <c r="R2414" s="301">
        <v>0</v>
      </c>
      <c r="S2414" s="301">
        <v>0</v>
      </c>
      <c r="T2414" s="301">
        <v>0</v>
      </c>
      <c r="U2414" s="301">
        <v>0</v>
      </c>
      <c r="V2414" s="301">
        <v>0</v>
      </c>
      <c r="W2414" s="301">
        <v>0</v>
      </c>
      <c r="X2414" s="301">
        <v>0</v>
      </c>
      <c r="Y2414" s="301">
        <v>0</v>
      </c>
      <c r="Z2414" s="301">
        <v>0</v>
      </c>
      <c r="AA2414" s="301">
        <v>0</v>
      </c>
      <c r="AB2414" s="303">
        <v>2022</v>
      </c>
    </row>
    <row r="2415" spans="1:28" ht="35.25" x14ac:dyDescent="0.5">
      <c r="B2415" s="299" t="s">
        <v>799</v>
      </c>
      <c r="C2415" s="300"/>
      <c r="D2415" s="296">
        <f t="shared" si="116"/>
        <v>621192.80000000005</v>
      </c>
      <c r="E2415" s="296">
        <f t="shared" ref="E2415:AA2415" si="119">E2416</f>
        <v>0</v>
      </c>
      <c r="F2415" s="296">
        <f t="shared" si="119"/>
        <v>0</v>
      </c>
      <c r="G2415" s="296">
        <f t="shared" si="119"/>
        <v>0</v>
      </c>
      <c r="H2415" s="296">
        <f t="shared" si="119"/>
        <v>0</v>
      </c>
      <c r="I2415" s="296">
        <f t="shared" si="119"/>
        <v>0</v>
      </c>
      <c r="J2415" s="296">
        <f t="shared" si="119"/>
        <v>0</v>
      </c>
      <c r="K2415" s="297">
        <f t="shared" si="119"/>
        <v>0</v>
      </c>
      <c r="L2415" s="296">
        <f t="shared" si="119"/>
        <v>0</v>
      </c>
      <c r="M2415" s="296">
        <f t="shared" si="119"/>
        <v>621192.80000000005</v>
      </c>
      <c r="N2415" s="296">
        <f t="shared" si="119"/>
        <v>0</v>
      </c>
      <c r="O2415" s="296">
        <f t="shared" si="119"/>
        <v>0</v>
      </c>
      <c r="P2415" s="296">
        <f t="shared" si="119"/>
        <v>0</v>
      </c>
      <c r="Q2415" s="296">
        <f t="shared" si="119"/>
        <v>0</v>
      </c>
      <c r="R2415" s="296">
        <f t="shared" si="119"/>
        <v>0</v>
      </c>
      <c r="S2415" s="296">
        <f t="shared" si="119"/>
        <v>0</v>
      </c>
      <c r="T2415" s="296">
        <f t="shared" si="119"/>
        <v>0</v>
      </c>
      <c r="U2415" s="296">
        <f t="shared" si="119"/>
        <v>0</v>
      </c>
      <c r="V2415" s="296">
        <f t="shared" si="119"/>
        <v>0</v>
      </c>
      <c r="W2415" s="296">
        <f t="shared" si="119"/>
        <v>0</v>
      </c>
      <c r="X2415" s="296">
        <f t="shared" si="119"/>
        <v>0</v>
      </c>
      <c r="Y2415" s="296">
        <f t="shared" si="119"/>
        <v>0</v>
      </c>
      <c r="Z2415" s="296">
        <f t="shared" si="119"/>
        <v>0</v>
      </c>
      <c r="AA2415" s="296">
        <f t="shared" si="119"/>
        <v>0</v>
      </c>
      <c r="AB2415" s="303" t="s">
        <v>835</v>
      </c>
    </row>
    <row r="2416" spans="1:28" ht="35.25" x14ac:dyDescent="0.5">
      <c r="A2416">
        <v>1</v>
      </c>
      <c r="B2416" s="80">
        <f>SUBTOTAL(103,$A$1697:A2416)</f>
        <v>706</v>
      </c>
      <c r="C2416" s="300" t="s">
        <v>3167</v>
      </c>
      <c r="D2416" s="296">
        <f t="shared" si="116"/>
        <v>621192.80000000005</v>
      </c>
      <c r="E2416" s="301">
        <v>0</v>
      </c>
      <c r="F2416" s="301">
        <v>0</v>
      </c>
      <c r="G2416" s="301">
        <v>0</v>
      </c>
      <c r="H2416" s="301">
        <v>0</v>
      </c>
      <c r="I2416" s="301">
        <v>0</v>
      </c>
      <c r="J2416" s="301">
        <v>0</v>
      </c>
      <c r="K2416" s="302">
        <v>0</v>
      </c>
      <c r="L2416" s="301">
        <v>0</v>
      </c>
      <c r="M2416" s="301">
        <f>159500+152500+309192.8</f>
        <v>621192.80000000005</v>
      </c>
      <c r="N2416" s="301">
        <v>0</v>
      </c>
      <c r="O2416" s="301">
        <v>0</v>
      </c>
      <c r="P2416" s="301">
        <v>0</v>
      </c>
      <c r="Q2416" s="301">
        <v>0</v>
      </c>
      <c r="R2416" s="301">
        <v>0</v>
      </c>
      <c r="S2416" s="301">
        <v>0</v>
      </c>
      <c r="T2416" s="301">
        <v>0</v>
      </c>
      <c r="U2416" s="301">
        <v>0</v>
      </c>
      <c r="V2416" s="301">
        <v>0</v>
      </c>
      <c r="W2416" s="301">
        <v>0</v>
      </c>
      <c r="X2416" s="301">
        <v>0</v>
      </c>
      <c r="Y2416" s="301">
        <v>0</v>
      </c>
      <c r="Z2416" s="301">
        <v>0</v>
      </c>
      <c r="AA2416" s="301">
        <v>0</v>
      </c>
      <c r="AB2416" s="303">
        <v>2022</v>
      </c>
    </row>
    <row r="2417" spans="1:28" ht="35.25" x14ac:dyDescent="0.5">
      <c r="B2417" s="299" t="s">
        <v>2117</v>
      </c>
      <c r="C2417" s="300"/>
      <c r="D2417" s="296">
        <f t="shared" si="116"/>
        <v>1460527</v>
      </c>
      <c r="E2417" s="296">
        <f t="shared" ref="E2417:AA2417" si="120">SUM(E2418:E2420)</f>
        <v>0</v>
      </c>
      <c r="F2417" s="296">
        <f t="shared" si="120"/>
        <v>0</v>
      </c>
      <c r="G2417" s="296">
        <f t="shared" si="120"/>
        <v>0</v>
      </c>
      <c r="H2417" s="296">
        <f t="shared" si="120"/>
        <v>0</v>
      </c>
      <c r="I2417" s="296">
        <f t="shared" si="120"/>
        <v>0</v>
      </c>
      <c r="J2417" s="296">
        <f t="shared" si="120"/>
        <v>0</v>
      </c>
      <c r="K2417" s="297">
        <f t="shared" si="120"/>
        <v>0</v>
      </c>
      <c r="L2417" s="296">
        <f t="shared" si="120"/>
        <v>0</v>
      </c>
      <c r="M2417" s="296">
        <f t="shared" si="120"/>
        <v>856458</v>
      </c>
      <c r="N2417" s="296">
        <f t="shared" si="120"/>
        <v>0</v>
      </c>
      <c r="O2417" s="296">
        <f t="shared" si="120"/>
        <v>604069</v>
      </c>
      <c r="P2417" s="296">
        <f t="shared" si="120"/>
        <v>0</v>
      </c>
      <c r="Q2417" s="296">
        <f t="shared" si="120"/>
        <v>0</v>
      </c>
      <c r="R2417" s="296">
        <f t="shared" si="120"/>
        <v>0</v>
      </c>
      <c r="S2417" s="296">
        <f t="shared" si="120"/>
        <v>0</v>
      </c>
      <c r="T2417" s="296">
        <f t="shared" si="120"/>
        <v>0</v>
      </c>
      <c r="U2417" s="296">
        <f t="shared" si="120"/>
        <v>0</v>
      </c>
      <c r="V2417" s="296">
        <f t="shared" si="120"/>
        <v>0</v>
      </c>
      <c r="W2417" s="296">
        <f t="shared" si="120"/>
        <v>0</v>
      </c>
      <c r="X2417" s="296">
        <f t="shared" si="120"/>
        <v>0</v>
      </c>
      <c r="Y2417" s="296">
        <f t="shared" si="120"/>
        <v>0</v>
      </c>
      <c r="Z2417" s="296">
        <f t="shared" si="120"/>
        <v>0</v>
      </c>
      <c r="AA2417" s="296">
        <f t="shared" si="120"/>
        <v>0</v>
      </c>
      <c r="AB2417" s="298" t="s">
        <v>835</v>
      </c>
    </row>
    <row r="2418" spans="1:28" ht="35.25" x14ac:dyDescent="0.5">
      <c r="A2418">
        <v>1</v>
      </c>
      <c r="B2418" s="80">
        <f>SUBTOTAL(103,$A$1697:A2418)</f>
        <v>707</v>
      </c>
      <c r="C2418" s="300" t="s">
        <v>2119</v>
      </c>
      <c r="D2418" s="296">
        <f t="shared" si="116"/>
        <v>180000</v>
      </c>
      <c r="E2418" s="301">
        <v>0</v>
      </c>
      <c r="F2418" s="301">
        <v>0</v>
      </c>
      <c r="G2418" s="301">
        <v>0</v>
      </c>
      <c r="H2418" s="301">
        <v>0</v>
      </c>
      <c r="I2418" s="301">
        <v>0</v>
      </c>
      <c r="J2418" s="301">
        <v>0</v>
      </c>
      <c r="K2418" s="302">
        <v>0</v>
      </c>
      <c r="L2418" s="301">
        <v>0</v>
      </c>
      <c r="M2418" s="301">
        <v>0</v>
      </c>
      <c r="N2418" s="301">
        <v>0</v>
      </c>
      <c r="O2418" s="301">
        <v>180000</v>
      </c>
      <c r="P2418" s="301">
        <v>0</v>
      </c>
      <c r="Q2418" s="301">
        <v>0</v>
      </c>
      <c r="R2418" s="301">
        <v>0</v>
      </c>
      <c r="S2418" s="301">
        <v>0</v>
      </c>
      <c r="T2418" s="301">
        <v>0</v>
      </c>
      <c r="U2418" s="301">
        <v>0</v>
      </c>
      <c r="V2418" s="301">
        <v>0</v>
      </c>
      <c r="W2418" s="301">
        <v>0</v>
      </c>
      <c r="X2418" s="301">
        <v>0</v>
      </c>
      <c r="Y2418" s="301">
        <v>0</v>
      </c>
      <c r="Z2418" s="301">
        <v>0</v>
      </c>
      <c r="AA2418" s="301">
        <v>0</v>
      </c>
      <c r="AB2418" s="303">
        <v>2022</v>
      </c>
    </row>
    <row r="2419" spans="1:28" ht="35.25" x14ac:dyDescent="0.5">
      <c r="A2419">
        <v>1</v>
      </c>
      <c r="B2419" s="80">
        <f>SUBTOTAL(103,$A$1697:A2419)</f>
        <v>708</v>
      </c>
      <c r="C2419" s="300" t="s">
        <v>2464</v>
      </c>
      <c r="D2419" s="296">
        <f t="shared" si="116"/>
        <v>424069</v>
      </c>
      <c r="E2419" s="301">
        <v>0</v>
      </c>
      <c r="F2419" s="301">
        <v>0</v>
      </c>
      <c r="G2419" s="301">
        <v>0</v>
      </c>
      <c r="H2419" s="301">
        <v>0</v>
      </c>
      <c r="I2419" s="301">
        <v>0</v>
      </c>
      <c r="J2419" s="301">
        <v>0</v>
      </c>
      <c r="K2419" s="302">
        <v>0</v>
      </c>
      <c r="L2419" s="301">
        <v>0</v>
      </c>
      <c r="M2419" s="301">
        <v>0</v>
      </c>
      <c r="N2419" s="301">
        <v>0</v>
      </c>
      <c r="O2419" s="301">
        <v>424069</v>
      </c>
      <c r="P2419" s="301">
        <v>0</v>
      </c>
      <c r="Q2419" s="301">
        <v>0</v>
      </c>
      <c r="R2419" s="301">
        <v>0</v>
      </c>
      <c r="S2419" s="301">
        <v>0</v>
      </c>
      <c r="T2419" s="301">
        <v>0</v>
      </c>
      <c r="U2419" s="301">
        <v>0</v>
      </c>
      <c r="V2419" s="301">
        <v>0</v>
      </c>
      <c r="W2419" s="301">
        <v>0</v>
      </c>
      <c r="X2419" s="301">
        <v>0</v>
      </c>
      <c r="Y2419" s="301">
        <v>0</v>
      </c>
      <c r="Z2419" s="301">
        <v>0</v>
      </c>
      <c r="AA2419" s="301">
        <v>0</v>
      </c>
      <c r="AB2419" s="303">
        <v>2022</v>
      </c>
    </row>
    <row r="2420" spans="1:28" ht="35.25" x14ac:dyDescent="0.5">
      <c r="A2420">
        <v>1</v>
      </c>
      <c r="B2420" s="80">
        <f>SUBTOTAL(103,$A$1697:A2420)</f>
        <v>709</v>
      </c>
      <c r="C2420" s="300" t="s">
        <v>2118</v>
      </c>
      <c r="D2420" s="296">
        <f t="shared" si="116"/>
        <v>856458</v>
      </c>
      <c r="E2420" s="301">
        <v>0</v>
      </c>
      <c r="F2420" s="301">
        <v>0</v>
      </c>
      <c r="G2420" s="301">
        <v>0</v>
      </c>
      <c r="H2420" s="301">
        <v>0</v>
      </c>
      <c r="I2420" s="301">
        <v>0</v>
      </c>
      <c r="J2420" s="301">
        <v>0</v>
      </c>
      <c r="K2420" s="302">
        <v>0</v>
      </c>
      <c r="L2420" s="301">
        <v>0</v>
      </c>
      <c r="M2420" s="301">
        <v>856458</v>
      </c>
      <c r="N2420" s="301">
        <v>0</v>
      </c>
      <c r="O2420" s="301">
        <v>0</v>
      </c>
      <c r="P2420" s="301">
        <v>0</v>
      </c>
      <c r="Q2420" s="301">
        <v>0</v>
      </c>
      <c r="R2420" s="301">
        <v>0</v>
      </c>
      <c r="S2420" s="301">
        <v>0</v>
      </c>
      <c r="T2420" s="301">
        <v>0</v>
      </c>
      <c r="U2420" s="301">
        <v>0</v>
      </c>
      <c r="V2420" s="301">
        <v>0</v>
      </c>
      <c r="W2420" s="301">
        <v>0</v>
      </c>
      <c r="X2420" s="301">
        <v>0</v>
      </c>
      <c r="Y2420" s="301">
        <v>0</v>
      </c>
      <c r="Z2420" s="301">
        <v>0</v>
      </c>
      <c r="AA2420" s="301">
        <v>0</v>
      </c>
      <c r="AB2420" s="303">
        <v>2022</v>
      </c>
    </row>
    <row r="2421" spans="1:28" ht="35.25" x14ac:dyDescent="0.5">
      <c r="B2421" s="300" t="s">
        <v>825</v>
      </c>
      <c r="C2421" s="300"/>
      <c r="D2421" s="296">
        <f t="shared" si="116"/>
        <v>2362659.94</v>
      </c>
      <c r="E2421" s="296">
        <f t="shared" ref="E2421:AA2421" si="121">SUM(E2422:E2423)</f>
        <v>0</v>
      </c>
      <c r="F2421" s="296">
        <f t="shared" si="121"/>
        <v>0</v>
      </c>
      <c r="G2421" s="296">
        <f t="shared" si="121"/>
        <v>229750</v>
      </c>
      <c r="H2421" s="296">
        <f t="shared" si="121"/>
        <v>0</v>
      </c>
      <c r="I2421" s="296">
        <f t="shared" si="121"/>
        <v>0</v>
      </c>
      <c r="J2421" s="296">
        <f t="shared" si="121"/>
        <v>0</v>
      </c>
      <c r="K2421" s="297">
        <f t="shared" si="121"/>
        <v>0</v>
      </c>
      <c r="L2421" s="296">
        <f t="shared" si="121"/>
        <v>0</v>
      </c>
      <c r="M2421" s="296">
        <f t="shared" si="121"/>
        <v>547320.93999999994</v>
      </c>
      <c r="N2421" s="296">
        <f t="shared" si="121"/>
        <v>0</v>
      </c>
      <c r="O2421" s="296">
        <f t="shared" si="121"/>
        <v>1585589</v>
      </c>
      <c r="P2421" s="296">
        <f t="shared" si="121"/>
        <v>0</v>
      </c>
      <c r="Q2421" s="296">
        <f t="shared" si="121"/>
        <v>0</v>
      </c>
      <c r="R2421" s="296">
        <f t="shared" si="121"/>
        <v>0</v>
      </c>
      <c r="S2421" s="296">
        <f t="shared" si="121"/>
        <v>0</v>
      </c>
      <c r="T2421" s="296">
        <f t="shared" si="121"/>
        <v>0</v>
      </c>
      <c r="U2421" s="296">
        <f t="shared" si="121"/>
        <v>0</v>
      </c>
      <c r="V2421" s="296">
        <f t="shared" si="121"/>
        <v>0</v>
      </c>
      <c r="W2421" s="296">
        <f t="shared" si="121"/>
        <v>0</v>
      </c>
      <c r="X2421" s="296">
        <f t="shared" si="121"/>
        <v>0</v>
      </c>
      <c r="Y2421" s="296">
        <f t="shared" si="121"/>
        <v>0</v>
      </c>
      <c r="Z2421" s="296">
        <f t="shared" si="121"/>
        <v>0</v>
      </c>
      <c r="AA2421" s="296">
        <f t="shared" si="121"/>
        <v>0</v>
      </c>
      <c r="AB2421" s="298" t="s">
        <v>835</v>
      </c>
    </row>
    <row r="2422" spans="1:28" ht="35.25" x14ac:dyDescent="0.5">
      <c r="A2422">
        <v>1</v>
      </c>
      <c r="B2422" s="80">
        <f>SUBTOTAL(103,$A$1697:A2422)</f>
        <v>710</v>
      </c>
      <c r="C2422" s="300" t="s">
        <v>2980</v>
      </c>
      <c r="D2422" s="296">
        <f t="shared" si="116"/>
        <v>547320.93999999994</v>
      </c>
      <c r="E2422" s="301">
        <v>0</v>
      </c>
      <c r="F2422" s="301">
        <v>0</v>
      </c>
      <c r="G2422" s="301">
        <v>0</v>
      </c>
      <c r="H2422" s="301">
        <v>0</v>
      </c>
      <c r="I2422" s="301">
        <v>0</v>
      </c>
      <c r="J2422" s="301">
        <v>0</v>
      </c>
      <c r="K2422" s="302">
        <v>0</v>
      </c>
      <c r="L2422" s="301">
        <v>0</v>
      </c>
      <c r="M2422" s="301">
        <f>138779.59+408541.35</f>
        <v>547320.93999999994</v>
      </c>
      <c r="N2422" s="301">
        <v>0</v>
      </c>
      <c r="O2422" s="301">
        <v>0</v>
      </c>
      <c r="P2422" s="301">
        <v>0</v>
      </c>
      <c r="Q2422" s="301">
        <v>0</v>
      </c>
      <c r="R2422" s="301">
        <v>0</v>
      </c>
      <c r="S2422" s="301">
        <v>0</v>
      </c>
      <c r="T2422" s="301">
        <v>0</v>
      </c>
      <c r="U2422" s="301">
        <v>0</v>
      </c>
      <c r="V2422" s="301">
        <v>0</v>
      </c>
      <c r="W2422" s="301">
        <v>0</v>
      </c>
      <c r="X2422" s="301">
        <v>0</v>
      </c>
      <c r="Y2422" s="301">
        <v>0</v>
      </c>
      <c r="Z2422" s="301">
        <v>0</v>
      </c>
      <c r="AA2422" s="301">
        <v>0</v>
      </c>
      <c r="AB2422" s="303">
        <v>2022</v>
      </c>
    </row>
    <row r="2423" spans="1:28" ht="35.25" x14ac:dyDescent="0.5">
      <c r="A2423">
        <v>1</v>
      </c>
      <c r="B2423" s="80">
        <f>SUBTOTAL(103,$A$1697:A2423)</f>
        <v>711</v>
      </c>
      <c r="C2423" s="300" t="s">
        <v>3627</v>
      </c>
      <c r="D2423" s="296">
        <f t="shared" si="116"/>
        <v>1815339</v>
      </c>
      <c r="E2423" s="301">
        <v>0</v>
      </c>
      <c r="F2423" s="301">
        <v>0</v>
      </c>
      <c r="G2423" s="301">
        <v>229750</v>
      </c>
      <c r="H2423" s="301">
        <v>0</v>
      </c>
      <c r="I2423" s="301">
        <v>0</v>
      </c>
      <c r="J2423" s="301">
        <v>0</v>
      </c>
      <c r="K2423" s="302">
        <v>0</v>
      </c>
      <c r="L2423" s="301">
        <v>0</v>
      </c>
      <c r="M2423" s="301">
        <v>0</v>
      </c>
      <c r="N2423" s="301">
        <v>0</v>
      </c>
      <c r="O2423" s="301">
        <v>1585589</v>
      </c>
      <c r="P2423" s="301">
        <v>0</v>
      </c>
      <c r="Q2423" s="301">
        <v>0</v>
      </c>
      <c r="R2423" s="301">
        <v>0</v>
      </c>
      <c r="S2423" s="301">
        <v>0</v>
      </c>
      <c r="T2423" s="301">
        <v>0</v>
      </c>
      <c r="U2423" s="301">
        <v>0</v>
      </c>
      <c r="V2423" s="301">
        <v>0</v>
      </c>
      <c r="W2423" s="301">
        <v>0</v>
      </c>
      <c r="X2423" s="301">
        <v>0</v>
      </c>
      <c r="Y2423" s="301">
        <v>0</v>
      </c>
      <c r="Z2423" s="301">
        <v>0</v>
      </c>
      <c r="AA2423" s="301">
        <v>0</v>
      </c>
      <c r="AB2423" s="303">
        <v>2022</v>
      </c>
    </row>
    <row r="2424" spans="1:28" ht="35.25" x14ac:dyDescent="0.5">
      <c r="B2424" s="299" t="s">
        <v>807</v>
      </c>
      <c r="C2424" s="300"/>
      <c r="D2424" s="296">
        <f t="shared" si="116"/>
        <v>10413304.140000001</v>
      </c>
      <c r="E2424" s="296">
        <f t="shared" ref="E2424:AA2424" si="122">SUM(E2425:E2433)</f>
        <v>0</v>
      </c>
      <c r="F2424" s="296">
        <f t="shared" si="122"/>
        <v>0</v>
      </c>
      <c r="G2424" s="296">
        <f t="shared" si="122"/>
        <v>0</v>
      </c>
      <c r="H2424" s="296">
        <f t="shared" si="122"/>
        <v>0</v>
      </c>
      <c r="I2424" s="296">
        <f t="shared" si="122"/>
        <v>977217</v>
      </c>
      <c r="J2424" s="296">
        <f t="shared" si="122"/>
        <v>0</v>
      </c>
      <c r="K2424" s="297">
        <f t="shared" si="122"/>
        <v>0</v>
      </c>
      <c r="L2424" s="296">
        <f t="shared" si="122"/>
        <v>0</v>
      </c>
      <c r="M2424" s="296">
        <f t="shared" si="122"/>
        <v>7304343</v>
      </c>
      <c r="N2424" s="296">
        <f t="shared" si="122"/>
        <v>0</v>
      </c>
      <c r="O2424" s="296">
        <f t="shared" si="122"/>
        <v>2051744.1400000001</v>
      </c>
      <c r="P2424" s="296">
        <f t="shared" si="122"/>
        <v>0</v>
      </c>
      <c r="Q2424" s="296">
        <f t="shared" si="122"/>
        <v>0</v>
      </c>
      <c r="R2424" s="296">
        <f t="shared" si="122"/>
        <v>0</v>
      </c>
      <c r="S2424" s="296">
        <f t="shared" si="122"/>
        <v>0</v>
      </c>
      <c r="T2424" s="296">
        <f t="shared" si="122"/>
        <v>0</v>
      </c>
      <c r="U2424" s="296">
        <f t="shared" si="122"/>
        <v>0</v>
      </c>
      <c r="V2424" s="296">
        <f t="shared" si="122"/>
        <v>0</v>
      </c>
      <c r="W2424" s="296">
        <f t="shared" si="122"/>
        <v>0</v>
      </c>
      <c r="X2424" s="296">
        <f t="shared" si="122"/>
        <v>0</v>
      </c>
      <c r="Y2424" s="296">
        <f t="shared" si="122"/>
        <v>0</v>
      </c>
      <c r="Z2424" s="296">
        <f t="shared" si="122"/>
        <v>80000</v>
      </c>
      <c r="AA2424" s="296">
        <f t="shared" si="122"/>
        <v>0</v>
      </c>
      <c r="AB2424" s="298" t="s">
        <v>835</v>
      </c>
    </row>
    <row r="2425" spans="1:28" ht="35.25" x14ac:dyDescent="0.5">
      <c r="A2425">
        <v>1</v>
      </c>
      <c r="B2425" s="80">
        <f>SUBTOTAL(103,$A$1697:A2425)</f>
        <v>712</v>
      </c>
      <c r="C2425" s="300" t="s">
        <v>2859</v>
      </c>
      <c r="D2425" s="296">
        <f t="shared" si="116"/>
        <v>29902</v>
      </c>
      <c r="E2425" s="301">
        <v>0</v>
      </c>
      <c r="F2425" s="301">
        <v>0</v>
      </c>
      <c r="G2425" s="301">
        <v>0</v>
      </c>
      <c r="H2425" s="301">
        <v>0</v>
      </c>
      <c r="I2425" s="301">
        <v>0</v>
      </c>
      <c r="J2425" s="301">
        <v>0</v>
      </c>
      <c r="K2425" s="302">
        <v>0</v>
      </c>
      <c r="L2425" s="301">
        <v>0</v>
      </c>
      <c r="M2425" s="301">
        <v>0</v>
      </c>
      <c r="N2425" s="301">
        <v>0</v>
      </c>
      <c r="O2425" s="301">
        <v>29902</v>
      </c>
      <c r="P2425" s="301">
        <v>0</v>
      </c>
      <c r="Q2425" s="301">
        <v>0</v>
      </c>
      <c r="R2425" s="301">
        <v>0</v>
      </c>
      <c r="S2425" s="301">
        <v>0</v>
      </c>
      <c r="T2425" s="301">
        <v>0</v>
      </c>
      <c r="U2425" s="301">
        <v>0</v>
      </c>
      <c r="V2425" s="301">
        <v>0</v>
      </c>
      <c r="W2425" s="301">
        <v>0</v>
      </c>
      <c r="X2425" s="301">
        <v>0</v>
      </c>
      <c r="Y2425" s="301">
        <v>0</v>
      </c>
      <c r="Z2425" s="301">
        <v>0</v>
      </c>
      <c r="AA2425" s="301">
        <v>0</v>
      </c>
      <c r="AB2425" s="303">
        <v>2022</v>
      </c>
    </row>
    <row r="2426" spans="1:28" ht="35.25" x14ac:dyDescent="0.5">
      <c r="A2426">
        <v>1</v>
      </c>
      <c r="B2426" s="80">
        <f>SUBTOTAL(103,$A$1697:A2426)</f>
        <v>713</v>
      </c>
      <c r="C2426" s="300" t="s">
        <v>3368</v>
      </c>
      <c r="D2426" s="296">
        <f t="shared" si="116"/>
        <v>2484964</v>
      </c>
      <c r="E2426" s="301">
        <v>0</v>
      </c>
      <c r="F2426" s="301">
        <v>0</v>
      </c>
      <c r="G2426" s="301">
        <v>0</v>
      </c>
      <c r="H2426" s="301">
        <v>0</v>
      </c>
      <c r="I2426" s="301">
        <v>0</v>
      </c>
      <c r="J2426" s="301">
        <v>0</v>
      </c>
      <c r="K2426" s="302">
        <v>0</v>
      </c>
      <c r="L2426" s="301">
        <v>0</v>
      </c>
      <c r="M2426" s="301">
        <f>858490+1626474</f>
        <v>2484964</v>
      </c>
      <c r="N2426" s="301">
        <v>0</v>
      </c>
      <c r="O2426" s="301">
        <v>0</v>
      </c>
      <c r="P2426" s="301">
        <v>0</v>
      </c>
      <c r="Q2426" s="301">
        <v>0</v>
      </c>
      <c r="R2426" s="301">
        <v>0</v>
      </c>
      <c r="S2426" s="301">
        <v>0</v>
      </c>
      <c r="T2426" s="301">
        <v>0</v>
      </c>
      <c r="U2426" s="301">
        <v>0</v>
      </c>
      <c r="V2426" s="301">
        <v>0</v>
      </c>
      <c r="W2426" s="301">
        <v>0</v>
      </c>
      <c r="X2426" s="301">
        <v>0</v>
      </c>
      <c r="Y2426" s="301">
        <v>0</v>
      </c>
      <c r="Z2426" s="301">
        <v>0</v>
      </c>
      <c r="AA2426" s="301">
        <v>0</v>
      </c>
      <c r="AB2426" s="303" t="s">
        <v>3313</v>
      </c>
    </row>
    <row r="2427" spans="1:28" ht="35.25" x14ac:dyDescent="0.5">
      <c r="A2427">
        <v>1</v>
      </c>
      <c r="B2427" s="80">
        <f>SUBTOTAL(103,$A$1697:A2427)</f>
        <v>714</v>
      </c>
      <c r="C2427" s="300" t="s">
        <v>3532</v>
      </c>
      <c r="D2427" s="296">
        <f t="shared" si="116"/>
        <v>963789.14</v>
      </c>
      <c r="E2427" s="301">
        <v>0</v>
      </c>
      <c r="F2427" s="301">
        <v>0</v>
      </c>
      <c r="G2427" s="301">
        <v>0</v>
      </c>
      <c r="H2427" s="301">
        <v>0</v>
      </c>
      <c r="I2427" s="301">
        <v>0</v>
      </c>
      <c r="J2427" s="301">
        <v>0</v>
      </c>
      <c r="K2427" s="302">
        <v>0</v>
      </c>
      <c r="L2427" s="301">
        <v>0</v>
      </c>
      <c r="M2427" s="301">
        <v>0</v>
      </c>
      <c r="N2427" s="301">
        <v>0</v>
      </c>
      <c r="O2427" s="301">
        <v>963789.14</v>
      </c>
      <c r="P2427" s="301">
        <v>0</v>
      </c>
      <c r="Q2427" s="301">
        <v>0</v>
      </c>
      <c r="R2427" s="301">
        <v>0</v>
      </c>
      <c r="S2427" s="301">
        <v>0</v>
      </c>
      <c r="T2427" s="301">
        <v>0</v>
      </c>
      <c r="U2427" s="301">
        <v>0</v>
      </c>
      <c r="V2427" s="301">
        <v>0</v>
      </c>
      <c r="W2427" s="301">
        <v>0</v>
      </c>
      <c r="X2427" s="301">
        <v>0</v>
      </c>
      <c r="Y2427" s="301">
        <v>0</v>
      </c>
      <c r="Z2427" s="301">
        <v>0</v>
      </c>
      <c r="AA2427" s="301">
        <v>0</v>
      </c>
      <c r="AB2427" s="303">
        <v>2022</v>
      </c>
    </row>
    <row r="2428" spans="1:28" ht="35.25" x14ac:dyDescent="0.5">
      <c r="A2428">
        <v>1</v>
      </c>
      <c r="B2428" s="80">
        <f>SUBTOTAL(103,$A$1697:A2428)</f>
        <v>715</v>
      </c>
      <c r="C2428" s="300" t="s">
        <v>2438</v>
      </c>
      <c r="D2428" s="296">
        <f t="shared" si="116"/>
        <v>977217</v>
      </c>
      <c r="E2428" s="301">
        <v>0</v>
      </c>
      <c r="F2428" s="301">
        <v>0</v>
      </c>
      <c r="G2428" s="301">
        <v>0</v>
      </c>
      <c r="H2428" s="301">
        <v>0</v>
      </c>
      <c r="I2428" s="301">
        <v>977217</v>
      </c>
      <c r="J2428" s="301">
        <v>0</v>
      </c>
      <c r="K2428" s="302">
        <v>0</v>
      </c>
      <c r="L2428" s="301">
        <v>0</v>
      </c>
      <c r="M2428" s="301">
        <v>0</v>
      </c>
      <c r="N2428" s="301">
        <v>0</v>
      </c>
      <c r="O2428" s="301">
        <v>0</v>
      </c>
      <c r="P2428" s="301">
        <v>0</v>
      </c>
      <c r="Q2428" s="301">
        <v>0</v>
      </c>
      <c r="R2428" s="301">
        <v>0</v>
      </c>
      <c r="S2428" s="301">
        <v>0</v>
      </c>
      <c r="T2428" s="301">
        <v>0</v>
      </c>
      <c r="U2428" s="301">
        <v>0</v>
      </c>
      <c r="V2428" s="301">
        <v>0</v>
      </c>
      <c r="W2428" s="301">
        <v>0</v>
      </c>
      <c r="X2428" s="301">
        <v>0</v>
      </c>
      <c r="Y2428" s="301">
        <v>0</v>
      </c>
      <c r="Z2428" s="301">
        <v>0</v>
      </c>
      <c r="AA2428" s="301">
        <v>0</v>
      </c>
      <c r="AB2428" s="303">
        <v>2022</v>
      </c>
    </row>
    <row r="2429" spans="1:28" ht="35.25" x14ac:dyDescent="0.5">
      <c r="A2429">
        <v>1</v>
      </c>
      <c r="B2429" s="80">
        <f>SUBTOTAL(103,$A$1697:A2429)</f>
        <v>716</v>
      </c>
      <c r="C2429" s="300" t="s">
        <v>3162</v>
      </c>
      <c r="D2429" s="296">
        <f t="shared" si="116"/>
        <v>161372</v>
      </c>
      <c r="E2429" s="301">
        <v>0</v>
      </c>
      <c r="F2429" s="301">
        <v>0</v>
      </c>
      <c r="G2429" s="301">
        <v>0</v>
      </c>
      <c r="H2429" s="301">
        <v>0</v>
      </c>
      <c r="I2429" s="301">
        <v>0</v>
      </c>
      <c r="J2429" s="301">
        <v>0</v>
      </c>
      <c r="K2429" s="302">
        <v>0</v>
      </c>
      <c r="L2429" s="301">
        <v>0</v>
      </c>
      <c r="M2429" s="301">
        <v>0</v>
      </c>
      <c r="N2429" s="301">
        <v>0</v>
      </c>
      <c r="O2429" s="301">
        <v>161372</v>
      </c>
      <c r="P2429" s="301">
        <v>0</v>
      </c>
      <c r="Q2429" s="301">
        <v>0</v>
      </c>
      <c r="R2429" s="301">
        <v>0</v>
      </c>
      <c r="S2429" s="301">
        <v>0</v>
      </c>
      <c r="T2429" s="301">
        <v>0</v>
      </c>
      <c r="U2429" s="301">
        <v>0</v>
      </c>
      <c r="V2429" s="301">
        <v>0</v>
      </c>
      <c r="W2429" s="301">
        <v>0</v>
      </c>
      <c r="X2429" s="301">
        <v>0</v>
      </c>
      <c r="Y2429" s="301">
        <v>0</v>
      </c>
      <c r="Z2429" s="301">
        <v>0</v>
      </c>
      <c r="AA2429" s="301">
        <v>0</v>
      </c>
      <c r="AB2429" s="303">
        <v>2022</v>
      </c>
    </row>
    <row r="2430" spans="1:28" ht="35.25" x14ac:dyDescent="0.5">
      <c r="A2430">
        <v>1</v>
      </c>
      <c r="B2430" s="80">
        <f>SUBTOTAL(103,$A$1697:A2430)</f>
        <v>717</v>
      </c>
      <c r="C2430" s="300" t="s">
        <v>3628</v>
      </c>
      <c r="D2430" s="296">
        <f t="shared" si="116"/>
        <v>4819379</v>
      </c>
      <c r="E2430" s="301">
        <v>0</v>
      </c>
      <c r="F2430" s="301">
        <v>0</v>
      </c>
      <c r="G2430" s="301">
        <v>0</v>
      </c>
      <c r="H2430" s="301">
        <v>0</v>
      </c>
      <c r="I2430" s="301">
        <v>0</v>
      </c>
      <c r="J2430" s="301">
        <v>0</v>
      </c>
      <c r="K2430" s="302">
        <v>0</v>
      </c>
      <c r="L2430" s="301">
        <v>0</v>
      </c>
      <c r="M2430" s="301">
        <v>4819379</v>
      </c>
      <c r="N2430" s="301">
        <v>0</v>
      </c>
      <c r="O2430" s="301">
        <v>0</v>
      </c>
      <c r="P2430" s="301">
        <v>0</v>
      </c>
      <c r="Q2430" s="301">
        <v>0</v>
      </c>
      <c r="R2430" s="301">
        <v>0</v>
      </c>
      <c r="S2430" s="301">
        <v>0</v>
      </c>
      <c r="T2430" s="301">
        <v>0</v>
      </c>
      <c r="U2430" s="301">
        <v>0</v>
      </c>
      <c r="V2430" s="301">
        <v>0</v>
      </c>
      <c r="W2430" s="301">
        <v>0</v>
      </c>
      <c r="X2430" s="301">
        <v>0</v>
      </c>
      <c r="Y2430" s="301">
        <v>0</v>
      </c>
      <c r="Z2430" s="301">
        <v>0</v>
      </c>
      <c r="AA2430" s="301">
        <v>0</v>
      </c>
      <c r="AB2430" s="303">
        <v>2022</v>
      </c>
    </row>
    <row r="2431" spans="1:28" ht="35.25" x14ac:dyDescent="0.5">
      <c r="A2431">
        <v>1</v>
      </c>
      <c r="B2431" s="80">
        <f>SUBTOTAL(103,$A$1697:A2431)</f>
        <v>718</v>
      </c>
      <c r="C2431" s="300" t="s">
        <v>3629</v>
      </c>
      <c r="D2431" s="296">
        <f t="shared" si="116"/>
        <v>410716</v>
      </c>
      <c r="E2431" s="301">
        <v>0</v>
      </c>
      <c r="F2431" s="301">
        <v>0</v>
      </c>
      <c r="G2431" s="301">
        <v>0</v>
      </c>
      <c r="H2431" s="301">
        <v>0</v>
      </c>
      <c r="I2431" s="301">
        <v>0</v>
      </c>
      <c r="J2431" s="301">
        <v>0</v>
      </c>
      <c r="K2431" s="302">
        <v>0</v>
      </c>
      <c r="L2431" s="301">
        <v>0</v>
      </c>
      <c r="M2431" s="301">
        <v>0</v>
      </c>
      <c r="N2431" s="301">
        <v>0</v>
      </c>
      <c r="O2431" s="301">
        <v>410716</v>
      </c>
      <c r="P2431" s="301">
        <v>0</v>
      </c>
      <c r="Q2431" s="301">
        <v>0</v>
      </c>
      <c r="R2431" s="301">
        <v>0</v>
      </c>
      <c r="S2431" s="301">
        <v>0</v>
      </c>
      <c r="T2431" s="301">
        <v>0</v>
      </c>
      <c r="U2431" s="301">
        <v>0</v>
      </c>
      <c r="V2431" s="301">
        <v>0</v>
      </c>
      <c r="W2431" s="301">
        <v>0</v>
      </c>
      <c r="X2431" s="301">
        <v>0</v>
      </c>
      <c r="Y2431" s="301">
        <v>0</v>
      </c>
      <c r="Z2431" s="301">
        <v>0</v>
      </c>
      <c r="AA2431" s="301">
        <v>0</v>
      </c>
      <c r="AB2431" s="303">
        <v>2022</v>
      </c>
    </row>
    <row r="2432" spans="1:28" ht="35.25" x14ac:dyDescent="0.5">
      <c r="A2432">
        <v>1</v>
      </c>
      <c r="B2432" s="80">
        <f>SUBTOTAL(103,$A$1697:A2432)</f>
        <v>719</v>
      </c>
      <c r="C2432" s="300" t="s">
        <v>3630</v>
      </c>
      <c r="D2432" s="296">
        <f t="shared" si="116"/>
        <v>485965</v>
      </c>
      <c r="E2432" s="301">
        <v>0</v>
      </c>
      <c r="F2432" s="301">
        <v>0</v>
      </c>
      <c r="G2432" s="301">
        <v>0</v>
      </c>
      <c r="H2432" s="301">
        <v>0</v>
      </c>
      <c r="I2432" s="301">
        <v>0</v>
      </c>
      <c r="J2432" s="301">
        <v>0</v>
      </c>
      <c r="K2432" s="302">
        <v>0</v>
      </c>
      <c r="L2432" s="301">
        <v>0</v>
      </c>
      <c r="M2432" s="301">
        <v>0</v>
      </c>
      <c r="N2432" s="301">
        <v>0</v>
      </c>
      <c r="O2432" s="301">
        <v>485965</v>
      </c>
      <c r="P2432" s="301">
        <v>0</v>
      </c>
      <c r="Q2432" s="301">
        <v>0</v>
      </c>
      <c r="R2432" s="301">
        <v>0</v>
      </c>
      <c r="S2432" s="301">
        <v>0</v>
      </c>
      <c r="T2432" s="301">
        <v>0</v>
      </c>
      <c r="U2432" s="301">
        <v>0</v>
      </c>
      <c r="V2432" s="301">
        <v>0</v>
      </c>
      <c r="W2432" s="301">
        <v>0</v>
      </c>
      <c r="X2432" s="301">
        <v>0</v>
      </c>
      <c r="Y2432" s="301">
        <v>0</v>
      </c>
      <c r="Z2432" s="301">
        <v>0</v>
      </c>
      <c r="AA2432" s="301">
        <v>0</v>
      </c>
      <c r="AB2432" s="303">
        <v>2022</v>
      </c>
    </row>
    <row r="2433" spans="1:28" ht="35.25" x14ac:dyDescent="0.5">
      <c r="A2433">
        <v>1</v>
      </c>
      <c r="B2433" s="80">
        <f>SUBTOTAL(103,$A$1697:A2433)</f>
        <v>720</v>
      </c>
      <c r="C2433" s="300" t="s">
        <v>3369</v>
      </c>
      <c r="D2433" s="296">
        <f t="shared" si="116"/>
        <v>80000</v>
      </c>
      <c r="E2433" s="301">
        <v>0</v>
      </c>
      <c r="F2433" s="301">
        <v>0</v>
      </c>
      <c r="G2433" s="301">
        <v>0</v>
      </c>
      <c r="H2433" s="301">
        <v>0</v>
      </c>
      <c r="I2433" s="301">
        <v>0</v>
      </c>
      <c r="J2433" s="301">
        <v>0</v>
      </c>
      <c r="K2433" s="302">
        <v>0</v>
      </c>
      <c r="L2433" s="301">
        <v>0</v>
      </c>
      <c r="M2433" s="301">
        <v>0</v>
      </c>
      <c r="N2433" s="301">
        <v>0</v>
      </c>
      <c r="O2433" s="301">
        <v>0</v>
      </c>
      <c r="P2433" s="301">
        <v>0</v>
      </c>
      <c r="Q2433" s="301">
        <v>0</v>
      </c>
      <c r="R2433" s="301">
        <v>0</v>
      </c>
      <c r="S2433" s="301">
        <v>0</v>
      </c>
      <c r="T2433" s="301">
        <v>0</v>
      </c>
      <c r="U2433" s="301">
        <v>0</v>
      </c>
      <c r="V2433" s="301">
        <v>0</v>
      </c>
      <c r="W2433" s="301">
        <v>0</v>
      </c>
      <c r="X2433" s="301">
        <v>0</v>
      </c>
      <c r="Y2433" s="301">
        <v>0</v>
      </c>
      <c r="Z2433" s="301">
        <v>80000</v>
      </c>
      <c r="AA2433" s="301">
        <v>0</v>
      </c>
      <c r="AB2433" s="303" t="s">
        <v>3313</v>
      </c>
    </row>
    <row r="2434" spans="1:28" ht="35.25" x14ac:dyDescent="0.5">
      <c r="B2434" s="299" t="s">
        <v>792</v>
      </c>
      <c r="C2434" s="300"/>
      <c r="D2434" s="296">
        <f t="shared" si="116"/>
        <v>23118102.290000003</v>
      </c>
      <c r="E2434" s="296">
        <f t="shared" ref="E2434:AA2434" si="123">SUM(E2435:E2439)</f>
        <v>0</v>
      </c>
      <c r="F2434" s="296">
        <f t="shared" si="123"/>
        <v>0</v>
      </c>
      <c r="G2434" s="296">
        <f t="shared" si="123"/>
        <v>1482615</v>
      </c>
      <c r="H2434" s="296">
        <f t="shared" si="123"/>
        <v>0</v>
      </c>
      <c r="I2434" s="296">
        <f t="shared" si="123"/>
        <v>0</v>
      </c>
      <c r="J2434" s="296">
        <f t="shared" si="123"/>
        <v>0</v>
      </c>
      <c r="K2434" s="297">
        <f t="shared" si="123"/>
        <v>0</v>
      </c>
      <c r="L2434" s="296">
        <f t="shared" si="123"/>
        <v>0</v>
      </c>
      <c r="M2434" s="296">
        <f t="shared" si="123"/>
        <v>0</v>
      </c>
      <c r="N2434" s="296">
        <f t="shared" si="123"/>
        <v>0</v>
      </c>
      <c r="O2434" s="296">
        <f t="shared" si="123"/>
        <v>21160127.940000001</v>
      </c>
      <c r="P2434" s="296">
        <f t="shared" si="123"/>
        <v>0</v>
      </c>
      <c r="Q2434" s="296">
        <f t="shared" si="123"/>
        <v>0</v>
      </c>
      <c r="R2434" s="296">
        <f t="shared" si="123"/>
        <v>0</v>
      </c>
      <c r="S2434" s="296">
        <f t="shared" si="123"/>
        <v>0</v>
      </c>
      <c r="T2434" s="296">
        <f t="shared" si="123"/>
        <v>0</v>
      </c>
      <c r="U2434" s="296">
        <f t="shared" si="123"/>
        <v>0</v>
      </c>
      <c r="V2434" s="296">
        <f t="shared" si="123"/>
        <v>0</v>
      </c>
      <c r="W2434" s="296">
        <f t="shared" si="123"/>
        <v>475359.35</v>
      </c>
      <c r="X2434" s="296">
        <f t="shared" si="123"/>
        <v>0</v>
      </c>
      <c r="Y2434" s="296">
        <f t="shared" si="123"/>
        <v>0</v>
      </c>
      <c r="Z2434" s="296">
        <f t="shared" si="123"/>
        <v>0</v>
      </c>
      <c r="AA2434" s="296">
        <f t="shared" si="123"/>
        <v>0</v>
      </c>
      <c r="AB2434" s="298" t="s">
        <v>835</v>
      </c>
    </row>
    <row r="2435" spans="1:28" ht="35.25" x14ac:dyDescent="0.5">
      <c r="A2435">
        <v>1</v>
      </c>
      <c r="B2435" s="80">
        <f>SUBTOTAL(103,$A$1697:A2435)</f>
        <v>721</v>
      </c>
      <c r="C2435" s="300" t="s">
        <v>3471</v>
      </c>
      <c r="D2435" s="296">
        <f t="shared" si="116"/>
        <v>8229071.1299999999</v>
      </c>
      <c r="E2435" s="301">
        <v>0</v>
      </c>
      <c r="F2435" s="301">
        <v>0</v>
      </c>
      <c r="G2435" s="301">
        <v>0</v>
      </c>
      <c r="H2435" s="301">
        <v>0</v>
      </c>
      <c r="I2435" s="301">
        <v>0</v>
      </c>
      <c r="J2435" s="301">
        <v>0</v>
      </c>
      <c r="K2435" s="302">
        <v>0</v>
      </c>
      <c r="L2435" s="301">
        <v>0</v>
      </c>
      <c r="M2435" s="301">
        <v>0</v>
      </c>
      <c r="N2435" s="301">
        <v>0</v>
      </c>
      <c r="O2435" s="301">
        <v>7753711.7800000003</v>
      </c>
      <c r="P2435" s="301">
        <v>0</v>
      </c>
      <c r="Q2435" s="301">
        <v>0</v>
      </c>
      <c r="R2435" s="301">
        <v>0</v>
      </c>
      <c r="S2435" s="301">
        <v>0</v>
      </c>
      <c r="T2435" s="301">
        <v>0</v>
      </c>
      <c r="U2435" s="301">
        <v>0</v>
      </c>
      <c r="V2435" s="301">
        <v>0</v>
      </c>
      <c r="W2435" s="301">
        <v>475359.35</v>
      </c>
      <c r="X2435" s="301">
        <v>0</v>
      </c>
      <c r="Y2435" s="301">
        <v>0</v>
      </c>
      <c r="Z2435" s="301">
        <v>0</v>
      </c>
      <c r="AA2435" s="301">
        <v>0</v>
      </c>
      <c r="AB2435" s="303">
        <v>2022</v>
      </c>
    </row>
    <row r="2436" spans="1:28" ht="35.25" x14ac:dyDescent="0.5">
      <c r="A2436">
        <v>1</v>
      </c>
      <c r="B2436" s="80">
        <f>SUBTOTAL(103,$A$1697:A2436)</f>
        <v>722</v>
      </c>
      <c r="C2436" s="300" t="s">
        <v>2276</v>
      </c>
      <c r="D2436" s="296">
        <f t="shared" si="116"/>
        <v>8820835</v>
      </c>
      <c r="E2436" s="301">
        <v>0</v>
      </c>
      <c r="F2436" s="301">
        <v>0</v>
      </c>
      <c r="G2436" s="301">
        <v>0</v>
      </c>
      <c r="H2436" s="301">
        <v>0</v>
      </c>
      <c r="I2436" s="301">
        <v>0</v>
      </c>
      <c r="J2436" s="301">
        <v>0</v>
      </c>
      <c r="K2436" s="302">
        <v>0</v>
      </c>
      <c r="L2436" s="301">
        <v>0</v>
      </c>
      <c r="M2436" s="301">
        <v>0</v>
      </c>
      <c r="N2436" s="301">
        <v>0</v>
      </c>
      <c r="O2436" s="301">
        <v>8820835</v>
      </c>
      <c r="P2436" s="301">
        <v>0</v>
      </c>
      <c r="Q2436" s="301">
        <v>0</v>
      </c>
      <c r="R2436" s="301">
        <v>0</v>
      </c>
      <c r="S2436" s="301">
        <v>0</v>
      </c>
      <c r="T2436" s="301">
        <v>0</v>
      </c>
      <c r="U2436" s="301">
        <v>0</v>
      </c>
      <c r="V2436" s="301">
        <v>0</v>
      </c>
      <c r="W2436" s="301">
        <v>0</v>
      </c>
      <c r="X2436" s="301">
        <v>0</v>
      </c>
      <c r="Y2436" s="301">
        <v>0</v>
      </c>
      <c r="Z2436" s="301">
        <v>0</v>
      </c>
      <c r="AA2436" s="301">
        <v>0</v>
      </c>
      <c r="AB2436" s="303">
        <v>2022</v>
      </c>
    </row>
    <row r="2437" spans="1:28" ht="35.25" x14ac:dyDescent="0.5">
      <c r="A2437">
        <v>1</v>
      </c>
      <c r="B2437" s="80">
        <f>SUBTOTAL(103,$A$1697:A2437)</f>
        <v>723</v>
      </c>
      <c r="C2437" s="300" t="s">
        <v>2681</v>
      </c>
      <c r="D2437" s="296">
        <f t="shared" si="116"/>
        <v>930490.15999999992</v>
      </c>
      <c r="E2437" s="301">
        <v>0</v>
      </c>
      <c r="F2437" s="301">
        <v>0</v>
      </c>
      <c r="G2437" s="301">
        <v>614085</v>
      </c>
      <c r="H2437" s="301">
        <v>0</v>
      </c>
      <c r="I2437" s="301">
        <v>0</v>
      </c>
      <c r="J2437" s="301">
        <v>0</v>
      </c>
      <c r="K2437" s="302">
        <v>0</v>
      </c>
      <c r="L2437" s="301">
        <v>0</v>
      </c>
      <c r="M2437" s="301">
        <v>0</v>
      </c>
      <c r="N2437" s="301">
        <v>0</v>
      </c>
      <c r="O2437" s="301">
        <v>316405.15999999997</v>
      </c>
      <c r="P2437" s="301">
        <v>0</v>
      </c>
      <c r="Q2437" s="301">
        <v>0</v>
      </c>
      <c r="R2437" s="301">
        <v>0</v>
      </c>
      <c r="S2437" s="301">
        <v>0</v>
      </c>
      <c r="T2437" s="301">
        <v>0</v>
      </c>
      <c r="U2437" s="301">
        <v>0</v>
      </c>
      <c r="V2437" s="301">
        <v>0</v>
      </c>
      <c r="W2437" s="301">
        <v>0</v>
      </c>
      <c r="X2437" s="301">
        <v>0</v>
      </c>
      <c r="Y2437" s="301">
        <v>0</v>
      </c>
      <c r="Z2437" s="301">
        <v>0</v>
      </c>
      <c r="AA2437" s="301">
        <v>0</v>
      </c>
      <c r="AB2437" s="303">
        <v>2022</v>
      </c>
    </row>
    <row r="2438" spans="1:28" ht="35.25" x14ac:dyDescent="0.5">
      <c r="A2438">
        <v>1</v>
      </c>
      <c r="B2438" s="80">
        <f>SUBTOTAL(103,$A$1697:A2438)</f>
        <v>724</v>
      </c>
      <c r="C2438" s="300" t="s">
        <v>3533</v>
      </c>
      <c r="D2438" s="296">
        <f t="shared" si="116"/>
        <v>4297241</v>
      </c>
      <c r="E2438" s="301">
        <v>0</v>
      </c>
      <c r="F2438" s="301">
        <v>0</v>
      </c>
      <c r="G2438" s="301">
        <v>868530</v>
      </c>
      <c r="H2438" s="301">
        <v>0</v>
      </c>
      <c r="I2438" s="301">
        <v>0</v>
      </c>
      <c r="J2438" s="301">
        <v>0</v>
      </c>
      <c r="K2438" s="302">
        <v>0</v>
      </c>
      <c r="L2438" s="301">
        <v>0</v>
      </c>
      <c r="M2438" s="301">
        <v>0</v>
      </c>
      <c r="N2438" s="301">
        <v>0</v>
      </c>
      <c r="O2438" s="301">
        <v>3428711</v>
      </c>
      <c r="P2438" s="301">
        <v>0</v>
      </c>
      <c r="Q2438" s="301">
        <v>0</v>
      </c>
      <c r="R2438" s="301">
        <v>0</v>
      </c>
      <c r="S2438" s="301">
        <v>0</v>
      </c>
      <c r="T2438" s="301">
        <v>0</v>
      </c>
      <c r="U2438" s="301">
        <v>0</v>
      </c>
      <c r="V2438" s="301">
        <v>0</v>
      </c>
      <c r="W2438" s="301">
        <v>0</v>
      </c>
      <c r="X2438" s="301">
        <v>0</v>
      </c>
      <c r="Y2438" s="301">
        <v>0</v>
      </c>
      <c r="Z2438" s="301">
        <v>0</v>
      </c>
      <c r="AA2438" s="301">
        <v>0</v>
      </c>
      <c r="AB2438" s="303">
        <v>2022</v>
      </c>
    </row>
    <row r="2439" spans="1:28" ht="35.25" x14ac:dyDescent="0.5">
      <c r="A2439">
        <v>1</v>
      </c>
      <c r="B2439" s="80">
        <f>SUBTOTAL(103,$A$1697:A2439)</f>
        <v>725</v>
      </c>
      <c r="C2439" s="300" t="s">
        <v>3472</v>
      </c>
      <c r="D2439" s="296">
        <f t="shared" si="116"/>
        <v>840465</v>
      </c>
      <c r="E2439" s="301">
        <v>0</v>
      </c>
      <c r="F2439" s="301">
        <v>0</v>
      </c>
      <c r="G2439" s="301">
        <v>0</v>
      </c>
      <c r="H2439" s="301">
        <v>0</v>
      </c>
      <c r="I2439" s="301">
        <v>0</v>
      </c>
      <c r="J2439" s="301">
        <v>0</v>
      </c>
      <c r="K2439" s="302">
        <v>0</v>
      </c>
      <c r="L2439" s="301">
        <v>0</v>
      </c>
      <c r="M2439" s="301">
        <v>0</v>
      </c>
      <c r="N2439" s="301">
        <v>0</v>
      </c>
      <c r="O2439" s="301">
        <v>840465</v>
      </c>
      <c r="P2439" s="301">
        <v>0</v>
      </c>
      <c r="Q2439" s="301">
        <v>0</v>
      </c>
      <c r="R2439" s="301">
        <v>0</v>
      </c>
      <c r="S2439" s="301">
        <v>0</v>
      </c>
      <c r="T2439" s="301">
        <v>0</v>
      </c>
      <c r="U2439" s="301">
        <v>0</v>
      </c>
      <c r="V2439" s="301">
        <v>0</v>
      </c>
      <c r="W2439" s="301">
        <v>0</v>
      </c>
      <c r="X2439" s="301">
        <v>0</v>
      </c>
      <c r="Y2439" s="301">
        <v>0</v>
      </c>
      <c r="Z2439" s="301">
        <v>0</v>
      </c>
      <c r="AA2439" s="301">
        <v>0</v>
      </c>
      <c r="AB2439" s="303">
        <v>2022</v>
      </c>
    </row>
    <row r="2440" spans="1:28" ht="35.25" x14ac:dyDescent="0.5">
      <c r="B2440" s="299" t="s">
        <v>762</v>
      </c>
      <c r="C2440" s="300"/>
      <c r="D2440" s="296">
        <f t="shared" si="116"/>
        <v>2078654.1000000003</v>
      </c>
      <c r="E2440" s="296">
        <f t="shared" ref="E2440:AA2440" si="124">SUM(E2441:E2442)</f>
        <v>332962.01</v>
      </c>
      <c r="F2440" s="296">
        <f t="shared" si="124"/>
        <v>776744.42</v>
      </c>
      <c r="G2440" s="296">
        <f t="shared" si="124"/>
        <v>0</v>
      </c>
      <c r="H2440" s="296">
        <f t="shared" si="124"/>
        <v>0</v>
      </c>
      <c r="I2440" s="296">
        <f t="shared" si="124"/>
        <v>0</v>
      </c>
      <c r="J2440" s="296">
        <f t="shared" si="124"/>
        <v>0</v>
      </c>
      <c r="K2440" s="297">
        <f t="shared" si="124"/>
        <v>0</v>
      </c>
      <c r="L2440" s="296">
        <f t="shared" si="124"/>
        <v>0</v>
      </c>
      <c r="M2440" s="296">
        <f t="shared" si="124"/>
        <v>554947.91</v>
      </c>
      <c r="N2440" s="296">
        <f t="shared" si="124"/>
        <v>0</v>
      </c>
      <c r="O2440" s="296">
        <f t="shared" si="124"/>
        <v>413999.76</v>
      </c>
      <c r="P2440" s="296">
        <f t="shared" si="124"/>
        <v>0</v>
      </c>
      <c r="Q2440" s="296">
        <f t="shared" si="124"/>
        <v>0</v>
      </c>
      <c r="R2440" s="296">
        <f t="shared" si="124"/>
        <v>0</v>
      </c>
      <c r="S2440" s="296">
        <f t="shared" si="124"/>
        <v>0</v>
      </c>
      <c r="T2440" s="296">
        <f t="shared" si="124"/>
        <v>0</v>
      </c>
      <c r="U2440" s="296">
        <f t="shared" si="124"/>
        <v>0</v>
      </c>
      <c r="V2440" s="296">
        <f t="shared" si="124"/>
        <v>0</v>
      </c>
      <c r="W2440" s="296">
        <f t="shared" si="124"/>
        <v>0</v>
      </c>
      <c r="X2440" s="296">
        <f t="shared" si="124"/>
        <v>0</v>
      </c>
      <c r="Y2440" s="296">
        <f t="shared" si="124"/>
        <v>0</v>
      </c>
      <c r="Z2440" s="296">
        <f t="shared" si="124"/>
        <v>0</v>
      </c>
      <c r="AA2440" s="296">
        <f t="shared" si="124"/>
        <v>0</v>
      </c>
      <c r="AB2440" s="298" t="s">
        <v>835</v>
      </c>
    </row>
    <row r="2441" spans="1:28" ht="35.25" x14ac:dyDescent="0.5">
      <c r="A2441">
        <v>1</v>
      </c>
      <c r="B2441" s="80">
        <f>SUBTOTAL(103,$A$1697:A2441)</f>
        <v>726</v>
      </c>
      <c r="C2441" s="300" t="s">
        <v>2864</v>
      </c>
      <c r="D2441" s="296">
        <f t="shared" ref="D2441:D2480" si="125">E2441+F2441+G2441+H2441+I2441+J2441+L2441+M2441+N2441+O2441+P2441+Q2441+R2441+S2441+T2441+U2441+V2441+W2441+X2441+Y2441+Z2441+AA2441</f>
        <v>413999.76</v>
      </c>
      <c r="E2441" s="301">
        <v>0</v>
      </c>
      <c r="F2441" s="301">
        <v>0</v>
      </c>
      <c r="G2441" s="301">
        <v>0</v>
      </c>
      <c r="H2441" s="301">
        <v>0</v>
      </c>
      <c r="I2441" s="301">
        <v>0</v>
      </c>
      <c r="J2441" s="301">
        <v>0</v>
      </c>
      <c r="K2441" s="302">
        <v>0</v>
      </c>
      <c r="L2441" s="301">
        <v>0</v>
      </c>
      <c r="M2441" s="301">
        <v>0</v>
      </c>
      <c r="N2441" s="301">
        <v>0</v>
      </c>
      <c r="O2441" s="301">
        <v>413999.76</v>
      </c>
      <c r="P2441" s="301">
        <v>0</v>
      </c>
      <c r="Q2441" s="301">
        <v>0</v>
      </c>
      <c r="R2441" s="301">
        <v>0</v>
      </c>
      <c r="S2441" s="301">
        <v>0</v>
      </c>
      <c r="T2441" s="301">
        <v>0</v>
      </c>
      <c r="U2441" s="301">
        <v>0</v>
      </c>
      <c r="V2441" s="301">
        <v>0</v>
      </c>
      <c r="W2441" s="301">
        <v>0</v>
      </c>
      <c r="X2441" s="301">
        <v>0</v>
      </c>
      <c r="Y2441" s="301">
        <v>0</v>
      </c>
      <c r="Z2441" s="301">
        <v>0</v>
      </c>
      <c r="AA2441" s="301">
        <v>0</v>
      </c>
      <c r="AB2441" s="303" t="s">
        <v>3313</v>
      </c>
    </row>
    <row r="2442" spans="1:28" ht="35.25" x14ac:dyDescent="0.5">
      <c r="A2442">
        <v>1</v>
      </c>
      <c r="B2442" s="80">
        <f>SUBTOTAL(103,$A$1697:A2442)</f>
        <v>727</v>
      </c>
      <c r="C2442" s="300" t="s">
        <v>2865</v>
      </c>
      <c r="D2442" s="296">
        <f t="shared" si="125"/>
        <v>1664654.3400000003</v>
      </c>
      <c r="E2442" s="301">
        <v>332962.01</v>
      </c>
      <c r="F2442" s="301">
        <v>776744.42</v>
      </c>
      <c r="G2442" s="301">
        <v>0</v>
      </c>
      <c r="H2442" s="301">
        <v>0</v>
      </c>
      <c r="I2442" s="301">
        <v>0</v>
      </c>
      <c r="J2442" s="301">
        <v>0</v>
      </c>
      <c r="K2442" s="302">
        <v>0</v>
      </c>
      <c r="L2442" s="301">
        <v>0</v>
      </c>
      <c r="M2442" s="301">
        <v>554947.91</v>
      </c>
      <c r="N2442" s="301">
        <v>0</v>
      </c>
      <c r="O2442" s="301">
        <v>0</v>
      </c>
      <c r="P2442" s="301">
        <v>0</v>
      </c>
      <c r="Q2442" s="301">
        <v>0</v>
      </c>
      <c r="R2442" s="301">
        <v>0</v>
      </c>
      <c r="S2442" s="301">
        <v>0</v>
      </c>
      <c r="T2442" s="301">
        <v>0</v>
      </c>
      <c r="U2442" s="301">
        <v>0</v>
      </c>
      <c r="V2442" s="301">
        <v>0</v>
      </c>
      <c r="W2442" s="301">
        <v>0</v>
      </c>
      <c r="X2442" s="301">
        <v>0</v>
      </c>
      <c r="Y2442" s="301">
        <v>0</v>
      </c>
      <c r="Z2442" s="301">
        <v>0</v>
      </c>
      <c r="AA2442" s="301">
        <v>0</v>
      </c>
      <c r="AB2442" s="303" t="s">
        <v>3313</v>
      </c>
    </row>
    <row r="2443" spans="1:28" ht="35.25" x14ac:dyDescent="0.5">
      <c r="B2443" s="299" t="s">
        <v>776</v>
      </c>
      <c r="C2443" s="300"/>
      <c r="D2443" s="296">
        <f t="shared" si="125"/>
        <v>2257353.5499999998</v>
      </c>
      <c r="E2443" s="296">
        <f t="shared" ref="E2443:AA2443" si="126">SUM(E2444:E2448)</f>
        <v>0</v>
      </c>
      <c r="F2443" s="296">
        <f t="shared" si="126"/>
        <v>47856</v>
      </c>
      <c r="G2443" s="296">
        <f t="shared" si="126"/>
        <v>208840</v>
      </c>
      <c r="H2443" s="296">
        <f t="shared" si="126"/>
        <v>0</v>
      </c>
      <c r="I2443" s="296">
        <f t="shared" si="126"/>
        <v>0</v>
      </c>
      <c r="J2443" s="296">
        <f t="shared" si="126"/>
        <v>0</v>
      </c>
      <c r="K2443" s="297">
        <f t="shared" si="126"/>
        <v>0</v>
      </c>
      <c r="L2443" s="296">
        <f t="shared" si="126"/>
        <v>0</v>
      </c>
      <c r="M2443" s="296">
        <f t="shared" si="126"/>
        <v>1671419.55</v>
      </c>
      <c r="N2443" s="296">
        <f t="shared" si="126"/>
        <v>0</v>
      </c>
      <c r="O2443" s="296">
        <f t="shared" si="126"/>
        <v>0</v>
      </c>
      <c r="P2443" s="296">
        <f t="shared" si="126"/>
        <v>329238</v>
      </c>
      <c r="Q2443" s="296">
        <f t="shared" si="126"/>
        <v>0</v>
      </c>
      <c r="R2443" s="296">
        <f t="shared" si="126"/>
        <v>0</v>
      </c>
      <c r="S2443" s="296">
        <f t="shared" si="126"/>
        <v>0</v>
      </c>
      <c r="T2443" s="296">
        <f t="shared" si="126"/>
        <v>0</v>
      </c>
      <c r="U2443" s="296">
        <f t="shared" si="126"/>
        <v>0</v>
      </c>
      <c r="V2443" s="296">
        <f t="shared" si="126"/>
        <v>0</v>
      </c>
      <c r="W2443" s="296">
        <f t="shared" si="126"/>
        <v>0</v>
      </c>
      <c r="X2443" s="296">
        <f t="shared" si="126"/>
        <v>0</v>
      </c>
      <c r="Y2443" s="296">
        <f t="shared" si="126"/>
        <v>0</v>
      </c>
      <c r="Z2443" s="296">
        <f t="shared" si="126"/>
        <v>0</v>
      </c>
      <c r="AA2443" s="296">
        <f t="shared" si="126"/>
        <v>0</v>
      </c>
      <c r="AB2443" s="298" t="s">
        <v>835</v>
      </c>
    </row>
    <row r="2444" spans="1:28" ht="35.25" x14ac:dyDescent="0.5">
      <c r="A2444">
        <v>1</v>
      </c>
      <c r="B2444" s="80">
        <f>SUBTOTAL(103,$A$1697:A2444)</f>
        <v>728</v>
      </c>
      <c r="C2444" s="300" t="s">
        <v>2091</v>
      </c>
      <c r="D2444" s="296">
        <f t="shared" si="125"/>
        <v>47856</v>
      </c>
      <c r="E2444" s="301">
        <v>0</v>
      </c>
      <c r="F2444" s="301">
        <v>47856</v>
      </c>
      <c r="G2444" s="301">
        <v>0</v>
      </c>
      <c r="H2444" s="301">
        <v>0</v>
      </c>
      <c r="I2444" s="301">
        <v>0</v>
      </c>
      <c r="J2444" s="301">
        <v>0</v>
      </c>
      <c r="K2444" s="302">
        <v>0</v>
      </c>
      <c r="L2444" s="301">
        <v>0</v>
      </c>
      <c r="M2444" s="301">
        <v>0</v>
      </c>
      <c r="N2444" s="301">
        <v>0</v>
      </c>
      <c r="O2444" s="301">
        <v>0</v>
      </c>
      <c r="P2444" s="301">
        <v>0</v>
      </c>
      <c r="Q2444" s="301">
        <v>0</v>
      </c>
      <c r="R2444" s="301">
        <v>0</v>
      </c>
      <c r="S2444" s="301">
        <v>0</v>
      </c>
      <c r="T2444" s="301">
        <v>0</v>
      </c>
      <c r="U2444" s="301">
        <v>0</v>
      </c>
      <c r="V2444" s="301">
        <v>0</v>
      </c>
      <c r="W2444" s="301">
        <v>0</v>
      </c>
      <c r="X2444" s="301">
        <v>0</v>
      </c>
      <c r="Y2444" s="301">
        <v>0</v>
      </c>
      <c r="Z2444" s="301">
        <v>0</v>
      </c>
      <c r="AA2444" s="301">
        <v>0</v>
      </c>
      <c r="AB2444" s="303" t="s">
        <v>3313</v>
      </c>
    </row>
    <row r="2445" spans="1:28" ht="35.25" x14ac:dyDescent="0.5">
      <c r="A2445">
        <v>1</v>
      </c>
      <c r="B2445" s="80">
        <f>SUBTOTAL(103,$A$1697:A2445)</f>
        <v>729</v>
      </c>
      <c r="C2445" s="300" t="s">
        <v>3631</v>
      </c>
      <c r="D2445" s="296">
        <f t="shared" si="125"/>
        <v>329238</v>
      </c>
      <c r="E2445" s="301">
        <v>0</v>
      </c>
      <c r="F2445" s="301">
        <v>0</v>
      </c>
      <c r="G2445" s="301">
        <v>0</v>
      </c>
      <c r="H2445" s="301">
        <v>0</v>
      </c>
      <c r="I2445" s="301">
        <v>0</v>
      </c>
      <c r="J2445" s="301">
        <v>0</v>
      </c>
      <c r="K2445" s="302">
        <v>0</v>
      </c>
      <c r="L2445" s="301">
        <v>0</v>
      </c>
      <c r="M2445" s="301">
        <v>0</v>
      </c>
      <c r="N2445" s="301">
        <v>0</v>
      </c>
      <c r="O2445" s="301">
        <v>0</v>
      </c>
      <c r="P2445" s="301">
        <v>329238</v>
      </c>
      <c r="Q2445" s="301">
        <v>0</v>
      </c>
      <c r="R2445" s="301">
        <v>0</v>
      </c>
      <c r="S2445" s="301">
        <v>0</v>
      </c>
      <c r="T2445" s="301">
        <v>0</v>
      </c>
      <c r="U2445" s="301">
        <v>0</v>
      </c>
      <c r="V2445" s="301">
        <v>0</v>
      </c>
      <c r="W2445" s="301">
        <v>0</v>
      </c>
      <c r="X2445" s="301">
        <v>0</v>
      </c>
      <c r="Y2445" s="301">
        <v>0</v>
      </c>
      <c r="Z2445" s="301">
        <v>0</v>
      </c>
      <c r="AA2445" s="301">
        <v>0</v>
      </c>
      <c r="AB2445" s="303">
        <v>2022</v>
      </c>
    </row>
    <row r="2446" spans="1:28" ht="35.25" x14ac:dyDescent="0.5">
      <c r="A2446">
        <v>1</v>
      </c>
      <c r="B2446" s="80">
        <f>SUBTOTAL(103,$A$1697:A2446)</f>
        <v>730</v>
      </c>
      <c r="C2446" s="300" t="s">
        <v>3632</v>
      </c>
      <c r="D2446" s="296">
        <f t="shared" si="125"/>
        <v>208840</v>
      </c>
      <c r="E2446" s="301">
        <v>0</v>
      </c>
      <c r="F2446" s="301">
        <v>0</v>
      </c>
      <c r="G2446" s="301">
        <v>208840</v>
      </c>
      <c r="H2446" s="301">
        <v>0</v>
      </c>
      <c r="I2446" s="301">
        <v>0</v>
      </c>
      <c r="J2446" s="301">
        <v>0</v>
      </c>
      <c r="K2446" s="302">
        <v>0</v>
      </c>
      <c r="L2446" s="301">
        <v>0</v>
      </c>
      <c r="M2446" s="301">
        <v>0</v>
      </c>
      <c r="N2446" s="301">
        <v>0</v>
      </c>
      <c r="O2446" s="301">
        <v>0</v>
      </c>
      <c r="P2446" s="301">
        <v>0</v>
      </c>
      <c r="Q2446" s="301">
        <v>0</v>
      </c>
      <c r="R2446" s="301">
        <v>0</v>
      </c>
      <c r="S2446" s="301">
        <v>0</v>
      </c>
      <c r="T2446" s="301">
        <v>0</v>
      </c>
      <c r="U2446" s="301">
        <v>0</v>
      </c>
      <c r="V2446" s="301">
        <v>0</v>
      </c>
      <c r="W2446" s="301">
        <v>0</v>
      </c>
      <c r="X2446" s="301">
        <v>0</v>
      </c>
      <c r="Y2446" s="301">
        <v>0</v>
      </c>
      <c r="Z2446" s="301">
        <v>0</v>
      </c>
      <c r="AA2446" s="301">
        <v>0</v>
      </c>
      <c r="AB2446" s="303">
        <v>2022</v>
      </c>
    </row>
    <row r="2447" spans="1:28" ht="35.25" x14ac:dyDescent="0.5">
      <c r="A2447">
        <v>1</v>
      </c>
      <c r="B2447" s="80">
        <f>SUBTOTAL(103,$A$1697:A2447)</f>
        <v>731</v>
      </c>
      <c r="C2447" s="300" t="s">
        <v>2092</v>
      </c>
      <c r="D2447" s="296">
        <f t="shared" si="125"/>
        <v>800000</v>
      </c>
      <c r="E2447" s="301">
        <v>0</v>
      </c>
      <c r="F2447" s="301">
        <v>0</v>
      </c>
      <c r="G2447" s="301">
        <v>0</v>
      </c>
      <c r="H2447" s="301">
        <v>0</v>
      </c>
      <c r="I2447" s="301">
        <v>0</v>
      </c>
      <c r="J2447" s="301">
        <v>0</v>
      </c>
      <c r="K2447" s="302">
        <v>0</v>
      </c>
      <c r="L2447" s="301">
        <v>0</v>
      </c>
      <c r="M2447" s="301">
        <v>800000</v>
      </c>
      <c r="N2447" s="301">
        <v>0</v>
      </c>
      <c r="O2447" s="301">
        <v>0</v>
      </c>
      <c r="P2447" s="301">
        <v>0</v>
      </c>
      <c r="Q2447" s="301">
        <v>0</v>
      </c>
      <c r="R2447" s="301">
        <v>0</v>
      </c>
      <c r="S2447" s="301">
        <v>0</v>
      </c>
      <c r="T2447" s="301">
        <v>0</v>
      </c>
      <c r="U2447" s="301">
        <v>0</v>
      </c>
      <c r="V2447" s="301">
        <v>0</v>
      </c>
      <c r="W2447" s="301">
        <v>0</v>
      </c>
      <c r="X2447" s="301">
        <v>0</v>
      </c>
      <c r="Y2447" s="301">
        <v>0</v>
      </c>
      <c r="Z2447" s="301">
        <v>0</v>
      </c>
      <c r="AA2447" s="301">
        <v>0</v>
      </c>
      <c r="AB2447" s="303">
        <v>2022</v>
      </c>
    </row>
    <row r="2448" spans="1:28" ht="35.25" x14ac:dyDescent="0.5">
      <c r="A2448">
        <v>1</v>
      </c>
      <c r="B2448" s="80">
        <f>SUBTOTAL(103,$A$1697:A2448)</f>
        <v>732</v>
      </c>
      <c r="C2448" s="300" t="s">
        <v>3633</v>
      </c>
      <c r="D2448" s="296">
        <f t="shared" si="125"/>
        <v>871419.55</v>
      </c>
      <c r="E2448" s="301">
        <v>0</v>
      </c>
      <c r="F2448" s="301">
        <v>0</v>
      </c>
      <c r="G2448" s="301">
        <v>0</v>
      </c>
      <c r="H2448" s="301">
        <v>0</v>
      </c>
      <c r="I2448" s="301">
        <v>0</v>
      </c>
      <c r="J2448" s="301">
        <v>0</v>
      </c>
      <c r="K2448" s="302">
        <v>0</v>
      </c>
      <c r="L2448" s="301">
        <v>0</v>
      </c>
      <c r="M2448" s="301">
        <v>871419.55</v>
      </c>
      <c r="N2448" s="301">
        <v>0</v>
      </c>
      <c r="O2448" s="301">
        <v>0</v>
      </c>
      <c r="P2448" s="301">
        <v>0</v>
      </c>
      <c r="Q2448" s="301">
        <v>0</v>
      </c>
      <c r="R2448" s="301">
        <v>0</v>
      </c>
      <c r="S2448" s="301">
        <v>0</v>
      </c>
      <c r="T2448" s="301">
        <v>0</v>
      </c>
      <c r="U2448" s="301">
        <v>0</v>
      </c>
      <c r="V2448" s="301">
        <v>0</v>
      </c>
      <c r="W2448" s="301">
        <v>0</v>
      </c>
      <c r="X2448" s="301">
        <v>0</v>
      </c>
      <c r="Y2448" s="301">
        <v>0</v>
      </c>
      <c r="Z2448" s="301">
        <v>0</v>
      </c>
      <c r="AA2448" s="301">
        <v>0</v>
      </c>
      <c r="AB2448" s="303">
        <v>2022</v>
      </c>
    </row>
    <row r="2449" spans="1:28" ht="35.25" x14ac:dyDescent="0.5">
      <c r="B2449" s="299" t="s">
        <v>817</v>
      </c>
      <c r="C2449" s="300"/>
      <c r="D2449" s="296">
        <f t="shared" si="125"/>
        <v>2622702</v>
      </c>
      <c r="E2449" s="296">
        <f t="shared" ref="E2449:AA2449" si="127">SUM(E2450:E2451)</f>
        <v>0</v>
      </c>
      <c r="F2449" s="296">
        <f t="shared" si="127"/>
        <v>0</v>
      </c>
      <c r="G2449" s="296">
        <f t="shared" si="127"/>
        <v>0</v>
      </c>
      <c r="H2449" s="296">
        <f t="shared" si="127"/>
        <v>0</v>
      </c>
      <c r="I2449" s="296">
        <f t="shared" si="127"/>
        <v>0</v>
      </c>
      <c r="J2449" s="296">
        <f t="shared" si="127"/>
        <v>0</v>
      </c>
      <c r="K2449" s="297">
        <f t="shared" si="127"/>
        <v>0</v>
      </c>
      <c r="L2449" s="296">
        <f t="shared" si="127"/>
        <v>0</v>
      </c>
      <c r="M2449" s="296">
        <f t="shared" si="127"/>
        <v>2622702</v>
      </c>
      <c r="N2449" s="296">
        <f t="shared" si="127"/>
        <v>0</v>
      </c>
      <c r="O2449" s="296">
        <f t="shared" si="127"/>
        <v>0</v>
      </c>
      <c r="P2449" s="296">
        <f t="shared" si="127"/>
        <v>0</v>
      </c>
      <c r="Q2449" s="296">
        <f t="shared" si="127"/>
        <v>0</v>
      </c>
      <c r="R2449" s="296">
        <f t="shared" si="127"/>
        <v>0</v>
      </c>
      <c r="S2449" s="296">
        <f t="shared" si="127"/>
        <v>0</v>
      </c>
      <c r="T2449" s="296">
        <f t="shared" si="127"/>
        <v>0</v>
      </c>
      <c r="U2449" s="296">
        <f t="shared" si="127"/>
        <v>0</v>
      </c>
      <c r="V2449" s="296">
        <f t="shared" si="127"/>
        <v>0</v>
      </c>
      <c r="W2449" s="296">
        <f t="shared" si="127"/>
        <v>0</v>
      </c>
      <c r="X2449" s="296">
        <f t="shared" si="127"/>
        <v>0</v>
      </c>
      <c r="Y2449" s="296">
        <f t="shared" si="127"/>
        <v>0</v>
      </c>
      <c r="Z2449" s="296">
        <f t="shared" si="127"/>
        <v>0</v>
      </c>
      <c r="AA2449" s="296">
        <f t="shared" si="127"/>
        <v>0</v>
      </c>
      <c r="AB2449" s="298" t="s">
        <v>835</v>
      </c>
    </row>
    <row r="2450" spans="1:28" ht="35.25" x14ac:dyDescent="0.5">
      <c r="A2450">
        <v>1</v>
      </c>
      <c r="B2450" s="80">
        <f>SUBTOTAL(103,$A$1697:A2450)</f>
        <v>733</v>
      </c>
      <c r="C2450" s="300" t="s">
        <v>3370</v>
      </c>
      <c r="D2450" s="296">
        <f t="shared" si="125"/>
        <v>1286169</v>
      </c>
      <c r="E2450" s="301">
        <v>0</v>
      </c>
      <c r="F2450" s="301">
        <v>0</v>
      </c>
      <c r="G2450" s="301">
        <v>0</v>
      </c>
      <c r="H2450" s="301">
        <v>0</v>
      </c>
      <c r="I2450" s="301">
        <v>0</v>
      </c>
      <c r="J2450" s="301">
        <v>0</v>
      </c>
      <c r="K2450" s="302">
        <v>0</v>
      </c>
      <c r="L2450" s="301">
        <v>0</v>
      </c>
      <c r="M2450" s="301">
        <v>1286169</v>
      </c>
      <c r="N2450" s="301">
        <v>0</v>
      </c>
      <c r="O2450" s="301">
        <v>0</v>
      </c>
      <c r="P2450" s="301">
        <v>0</v>
      </c>
      <c r="Q2450" s="301">
        <v>0</v>
      </c>
      <c r="R2450" s="301">
        <v>0</v>
      </c>
      <c r="S2450" s="301">
        <v>0</v>
      </c>
      <c r="T2450" s="301">
        <v>0</v>
      </c>
      <c r="U2450" s="301">
        <v>0</v>
      </c>
      <c r="V2450" s="301">
        <v>0</v>
      </c>
      <c r="W2450" s="301">
        <v>0</v>
      </c>
      <c r="X2450" s="301">
        <v>0</v>
      </c>
      <c r="Y2450" s="301">
        <v>0</v>
      </c>
      <c r="Z2450" s="301">
        <v>0</v>
      </c>
      <c r="AA2450" s="301">
        <v>0</v>
      </c>
      <c r="AB2450" s="303" t="s">
        <v>3313</v>
      </c>
    </row>
    <row r="2451" spans="1:28" ht="35.25" x14ac:dyDescent="0.5">
      <c r="A2451">
        <v>1</v>
      </c>
      <c r="B2451" s="80">
        <f>SUBTOTAL(103,$A$1697:A2451)</f>
        <v>734</v>
      </c>
      <c r="C2451" s="300" t="s">
        <v>3634</v>
      </c>
      <c r="D2451" s="296">
        <f t="shared" si="125"/>
        <v>1336533</v>
      </c>
      <c r="E2451" s="301">
        <v>0</v>
      </c>
      <c r="F2451" s="301">
        <v>0</v>
      </c>
      <c r="G2451" s="301">
        <v>0</v>
      </c>
      <c r="H2451" s="301">
        <v>0</v>
      </c>
      <c r="I2451" s="301">
        <v>0</v>
      </c>
      <c r="J2451" s="301">
        <v>0</v>
      </c>
      <c r="K2451" s="302">
        <v>0</v>
      </c>
      <c r="L2451" s="301">
        <v>0</v>
      </c>
      <c r="M2451" s="301">
        <v>1336533</v>
      </c>
      <c r="N2451" s="301">
        <v>0</v>
      </c>
      <c r="O2451" s="301">
        <v>0</v>
      </c>
      <c r="P2451" s="301">
        <v>0</v>
      </c>
      <c r="Q2451" s="301">
        <v>0</v>
      </c>
      <c r="R2451" s="301">
        <v>0</v>
      </c>
      <c r="S2451" s="301">
        <v>0</v>
      </c>
      <c r="T2451" s="301">
        <v>0</v>
      </c>
      <c r="U2451" s="301">
        <v>0</v>
      </c>
      <c r="V2451" s="301">
        <v>0</v>
      </c>
      <c r="W2451" s="301">
        <v>0</v>
      </c>
      <c r="X2451" s="301">
        <v>0</v>
      </c>
      <c r="Y2451" s="301">
        <v>0</v>
      </c>
      <c r="Z2451" s="301">
        <v>0</v>
      </c>
      <c r="AA2451" s="301">
        <v>0</v>
      </c>
      <c r="AB2451" s="303">
        <v>2022</v>
      </c>
    </row>
    <row r="2452" spans="1:28" ht="35.25" x14ac:dyDescent="0.5">
      <c r="B2452" s="299" t="s">
        <v>804</v>
      </c>
      <c r="C2452" s="300"/>
      <c r="D2452" s="296">
        <f t="shared" si="125"/>
        <v>326960.53999999998</v>
      </c>
      <c r="E2452" s="296">
        <f t="shared" ref="E2452:AA2452" si="128">SUM(E2453:E2453)</f>
        <v>0</v>
      </c>
      <c r="F2452" s="296">
        <f t="shared" si="128"/>
        <v>0</v>
      </c>
      <c r="G2452" s="296">
        <f t="shared" si="128"/>
        <v>0</v>
      </c>
      <c r="H2452" s="296">
        <f t="shared" si="128"/>
        <v>0</v>
      </c>
      <c r="I2452" s="296">
        <f t="shared" si="128"/>
        <v>0</v>
      </c>
      <c r="J2452" s="296">
        <f t="shared" si="128"/>
        <v>0</v>
      </c>
      <c r="K2452" s="297">
        <f t="shared" si="128"/>
        <v>0</v>
      </c>
      <c r="L2452" s="296">
        <f t="shared" si="128"/>
        <v>0</v>
      </c>
      <c r="M2452" s="296">
        <f t="shared" si="128"/>
        <v>0</v>
      </c>
      <c r="N2452" s="296">
        <f t="shared" si="128"/>
        <v>0</v>
      </c>
      <c r="O2452" s="296">
        <f t="shared" si="128"/>
        <v>326960.53999999998</v>
      </c>
      <c r="P2452" s="296">
        <f t="shared" si="128"/>
        <v>0</v>
      </c>
      <c r="Q2452" s="296">
        <f t="shared" si="128"/>
        <v>0</v>
      </c>
      <c r="R2452" s="296">
        <f t="shared" si="128"/>
        <v>0</v>
      </c>
      <c r="S2452" s="296">
        <f t="shared" si="128"/>
        <v>0</v>
      </c>
      <c r="T2452" s="296">
        <f t="shared" si="128"/>
        <v>0</v>
      </c>
      <c r="U2452" s="296">
        <f t="shared" si="128"/>
        <v>0</v>
      </c>
      <c r="V2452" s="296">
        <f t="shared" si="128"/>
        <v>0</v>
      </c>
      <c r="W2452" s="296">
        <f t="shared" si="128"/>
        <v>0</v>
      </c>
      <c r="X2452" s="296">
        <f t="shared" si="128"/>
        <v>0</v>
      </c>
      <c r="Y2452" s="296">
        <f t="shared" si="128"/>
        <v>0</v>
      </c>
      <c r="Z2452" s="296">
        <f t="shared" si="128"/>
        <v>0</v>
      </c>
      <c r="AA2452" s="296">
        <f t="shared" si="128"/>
        <v>0</v>
      </c>
      <c r="AB2452" s="298" t="s">
        <v>835</v>
      </c>
    </row>
    <row r="2453" spans="1:28" ht="35.25" x14ac:dyDescent="0.5">
      <c r="A2453">
        <v>1</v>
      </c>
      <c r="B2453" s="80">
        <f>SUBTOTAL(103,$A$1697:A2453)</f>
        <v>735</v>
      </c>
      <c r="C2453" s="300" t="s">
        <v>2463</v>
      </c>
      <c r="D2453" s="296">
        <f t="shared" si="125"/>
        <v>326960.53999999998</v>
      </c>
      <c r="E2453" s="301">
        <v>0</v>
      </c>
      <c r="F2453" s="301">
        <v>0</v>
      </c>
      <c r="G2453" s="301">
        <v>0</v>
      </c>
      <c r="H2453" s="301">
        <v>0</v>
      </c>
      <c r="I2453" s="301">
        <v>0</v>
      </c>
      <c r="J2453" s="301">
        <v>0</v>
      </c>
      <c r="K2453" s="302">
        <v>0</v>
      </c>
      <c r="L2453" s="301">
        <v>0</v>
      </c>
      <c r="M2453" s="301">
        <v>0</v>
      </c>
      <c r="N2453" s="301">
        <v>0</v>
      </c>
      <c r="O2453" s="301">
        <f>132360.86+194599.68</f>
        <v>326960.53999999998</v>
      </c>
      <c r="P2453" s="301">
        <v>0</v>
      </c>
      <c r="Q2453" s="301">
        <v>0</v>
      </c>
      <c r="R2453" s="301">
        <v>0</v>
      </c>
      <c r="S2453" s="301">
        <v>0</v>
      </c>
      <c r="T2453" s="301">
        <v>0</v>
      </c>
      <c r="U2453" s="301">
        <v>0</v>
      </c>
      <c r="V2453" s="301">
        <v>0</v>
      </c>
      <c r="W2453" s="301">
        <v>0</v>
      </c>
      <c r="X2453" s="301">
        <v>0</v>
      </c>
      <c r="Y2453" s="301">
        <v>0</v>
      </c>
      <c r="Z2453" s="301">
        <v>0</v>
      </c>
      <c r="AA2453" s="301">
        <v>0</v>
      </c>
      <c r="AB2453" s="303" t="s">
        <v>3313</v>
      </c>
    </row>
    <row r="2454" spans="1:28" ht="35.25" x14ac:dyDescent="0.5">
      <c r="B2454" s="300" t="s">
        <v>774</v>
      </c>
      <c r="C2454" s="300"/>
      <c r="D2454" s="296">
        <f t="shared" si="125"/>
        <v>3657984</v>
      </c>
      <c r="E2454" s="296">
        <f t="shared" ref="E2454:AA2454" si="129">SUM(E2455:E2456)</f>
        <v>0</v>
      </c>
      <c r="F2454" s="296">
        <f t="shared" si="129"/>
        <v>0</v>
      </c>
      <c r="G2454" s="296">
        <f t="shared" si="129"/>
        <v>0</v>
      </c>
      <c r="H2454" s="296">
        <f t="shared" si="129"/>
        <v>0</v>
      </c>
      <c r="I2454" s="296">
        <f t="shared" si="129"/>
        <v>0</v>
      </c>
      <c r="J2454" s="296">
        <f t="shared" si="129"/>
        <v>0</v>
      </c>
      <c r="K2454" s="302">
        <f t="shared" si="129"/>
        <v>0</v>
      </c>
      <c r="L2454" s="296">
        <f t="shared" si="129"/>
        <v>0</v>
      </c>
      <c r="M2454" s="296">
        <f t="shared" si="129"/>
        <v>3657984</v>
      </c>
      <c r="N2454" s="296">
        <f t="shared" si="129"/>
        <v>0</v>
      </c>
      <c r="O2454" s="296">
        <f t="shared" si="129"/>
        <v>0</v>
      </c>
      <c r="P2454" s="296">
        <f t="shared" si="129"/>
        <v>0</v>
      </c>
      <c r="Q2454" s="296">
        <f t="shared" si="129"/>
        <v>0</v>
      </c>
      <c r="R2454" s="296">
        <f t="shared" si="129"/>
        <v>0</v>
      </c>
      <c r="S2454" s="296">
        <f t="shared" si="129"/>
        <v>0</v>
      </c>
      <c r="T2454" s="296">
        <f t="shared" si="129"/>
        <v>0</v>
      </c>
      <c r="U2454" s="296">
        <f t="shared" si="129"/>
        <v>0</v>
      </c>
      <c r="V2454" s="296">
        <f t="shared" si="129"/>
        <v>0</v>
      </c>
      <c r="W2454" s="296">
        <f t="shared" si="129"/>
        <v>0</v>
      </c>
      <c r="X2454" s="296">
        <f t="shared" si="129"/>
        <v>0</v>
      </c>
      <c r="Y2454" s="296">
        <f t="shared" si="129"/>
        <v>0</v>
      </c>
      <c r="Z2454" s="296">
        <f t="shared" si="129"/>
        <v>0</v>
      </c>
      <c r="AA2454" s="296">
        <f t="shared" si="129"/>
        <v>0</v>
      </c>
      <c r="AB2454" s="298" t="s">
        <v>835</v>
      </c>
    </row>
    <row r="2455" spans="1:28" ht="35.25" x14ac:dyDescent="0.5">
      <c r="A2455">
        <v>1</v>
      </c>
      <c r="B2455" s="80">
        <f>SUBTOTAL(103,$A$1697:A2455)</f>
        <v>736</v>
      </c>
      <c r="C2455" s="300" t="s">
        <v>3473</v>
      </c>
      <c r="D2455" s="296">
        <f t="shared" si="125"/>
        <v>3527844</v>
      </c>
      <c r="E2455" s="301">
        <v>0</v>
      </c>
      <c r="F2455" s="301">
        <v>0</v>
      </c>
      <c r="G2455" s="301">
        <v>0</v>
      </c>
      <c r="H2455" s="301">
        <v>0</v>
      </c>
      <c r="I2455" s="301">
        <v>0</v>
      </c>
      <c r="J2455" s="301">
        <v>0</v>
      </c>
      <c r="K2455" s="302">
        <v>0</v>
      </c>
      <c r="L2455" s="301">
        <v>0</v>
      </c>
      <c r="M2455" s="301">
        <v>3527844</v>
      </c>
      <c r="N2455" s="301">
        <v>0</v>
      </c>
      <c r="O2455" s="301">
        <v>0</v>
      </c>
      <c r="P2455" s="301">
        <v>0</v>
      </c>
      <c r="Q2455" s="301">
        <v>0</v>
      </c>
      <c r="R2455" s="301">
        <v>0</v>
      </c>
      <c r="S2455" s="301">
        <v>0</v>
      </c>
      <c r="T2455" s="301">
        <v>0</v>
      </c>
      <c r="U2455" s="301">
        <v>0</v>
      </c>
      <c r="V2455" s="301">
        <v>0</v>
      </c>
      <c r="W2455" s="301">
        <v>0</v>
      </c>
      <c r="X2455" s="301">
        <v>0</v>
      </c>
      <c r="Y2455" s="301">
        <v>0</v>
      </c>
      <c r="Z2455" s="301">
        <v>0</v>
      </c>
      <c r="AA2455" s="301">
        <v>0</v>
      </c>
      <c r="AB2455" s="303">
        <v>2022</v>
      </c>
    </row>
    <row r="2456" spans="1:28" ht="35.25" x14ac:dyDescent="0.5">
      <c r="A2456">
        <v>1</v>
      </c>
      <c r="B2456" s="80">
        <f>SUBTOTAL(103,$A$1697:A2456)</f>
        <v>737</v>
      </c>
      <c r="C2456" s="300" t="s">
        <v>1719</v>
      </c>
      <c r="D2456" s="296">
        <f t="shared" si="125"/>
        <v>130140</v>
      </c>
      <c r="E2456" s="301">
        <v>0</v>
      </c>
      <c r="F2456" s="301">
        <v>0</v>
      </c>
      <c r="G2456" s="301">
        <v>0</v>
      </c>
      <c r="H2456" s="301">
        <v>0</v>
      </c>
      <c r="I2456" s="301">
        <v>0</v>
      </c>
      <c r="J2456" s="301">
        <v>0</v>
      </c>
      <c r="K2456" s="302">
        <v>0</v>
      </c>
      <c r="L2456" s="301">
        <v>0</v>
      </c>
      <c r="M2456" s="301">
        <v>130140</v>
      </c>
      <c r="N2456" s="301">
        <v>0</v>
      </c>
      <c r="O2456" s="301">
        <v>0</v>
      </c>
      <c r="P2456" s="301">
        <v>0</v>
      </c>
      <c r="Q2456" s="301">
        <v>0</v>
      </c>
      <c r="R2456" s="301">
        <v>0</v>
      </c>
      <c r="S2456" s="301">
        <v>0</v>
      </c>
      <c r="T2456" s="301">
        <v>0</v>
      </c>
      <c r="U2456" s="301">
        <v>0</v>
      </c>
      <c r="V2456" s="301">
        <v>0</v>
      </c>
      <c r="W2456" s="301">
        <v>0</v>
      </c>
      <c r="X2456" s="301">
        <v>0</v>
      </c>
      <c r="Y2456" s="301">
        <v>0</v>
      </c>
      <c r="Z2456" s="301">
        <v>0</v>
      </c>
      <c r="AA2456" s="301">
        <v>0</v>
      </c>
      <c r="AB2456" s="303">
        <v>2022</v>
      </c>
    </row>
    <row r="2457" spans="1:28" ht="35.25" x14ac:dyDescent="0.5">
      <c r="B2457" s="299" t="s">
        <v>2630</v>
      </c>
      <c r="C2457" s="300"/>
      <c r="D2457" s="296">
        <f t="shared" si="125"/>
        <v>8632995.629999999</v>
      </c>
      <c r="E2457" s="296">
        <f t="shared" ref="E2457:AA2457" si="130">SUM(E2458:E2459)</f>
        <v>0</v>
      </c>
      <c r="F2457" s="296">
        <f t="shared" si="130"/>
        <v>0</v>
      </c>
      <c r="G2457" s="296">
        <f t="shared" si="130"/>
        <v>0</v>
      </c>
      <c r="H2457" s="296">
        <f t="shared" si="130"/>
        <v>0</v>
      </c>
      <c r="I2457" s="296">
        <f t="shared" si="130"/>
        <v>0</v>
      </c>
      <c r="J2457" s="296">
        <f t="shared" si="130"/>
        <v>0</v>
      </c>
      <c r="K2457" s="302">
        <f t="shared" si="130"/>
        <v>0</v>
      </c>
      <c r="L2457" s="296">
        <f t="shared" si="130"/>
        <v>0</v>
      </c>
      <c r="M2457" s="296">
        <f t="shared" si="130"/>
        <v>8632995.629999999</v>
      </c>
      <c r="N2457" s="296">
        <f t="shared" si="130"/>
        <v>0</v>
      </c>
      <c r="O2457" s="296">
        <f t="shared" si="130"/>
        <v>0</v>
      </c>
      <c r="P2457" s="296">
        <f t="shared" si="130"/>
        <v>0</v>
      </c>
      <c r="Q2457" s="296">
        <f t="shared" si="130"/>
        <v>0</v>
      </c>
      <c r="R2457" s="296">
        <f t="shared" si="130"/>
        <v>0</v>
      </c>
      <c r="S2457" s="296">
        <f t="shared" si="130"/>
        <v>0</v>
      </c>
      <c r="T2457" s="296">
        <f t="shared" si="130"/>
        <v>0</v>
      </c>
      <c r="U2457" s="296">
        <f t="shared" si="130"/>
        <v>0</v>
      </c>
      <c r="V2457" s="296">
        <f t="shared" si="130"/>
        <v>0</v>
      </c>
      <c r="W2457" s="296">
        <f t="shared" si="130"/>
        <v>0</v>
      </c>
      <c r="X2457" s="296">
        <f t="shared" si="130"/>
        <v>0</v>
      </c>
      <c r="Y2457" s="296">
        <f t="shared" si="130"/>
        <v>0</v>
      </c>
      <c r="Z2457" s="296">
        <f t="shared" si="130"/>
        <v>0</v>
      </c>
      <c r="AA2457" s="296">
        <f t="shared" si="130"/>
        <v>0</v>
      </c>
      <c r="AB2457" s="298" t="s">
        <v>835</v>
      </c>
    </row>
    <row r="2458" spans="1:28" ht="35.25" x14ac:dyDescent="0.5">
      <c r="A2458">
        <v>1</v>
      </c>
      <c r="B2458" s="80">
        <f>SUBTOTAL(103,$A$1697:A2458)</f>
        <v>738</v>
      </c>
      <c r="C2458" s="300" t="s">
        <v>3474</v>
      </c>
      <c r="D2458" s="296">
        <f t="shared" si="125"/>
        <v>4395999.2699999996</v>
      </c>
      <c r="E2458" s="301">
        <v>0</v>
      </c>
      <c r="F2458" s="301">
        <v>0</v>
      </c>
      <c r="G2458" s="301">
        <v>0</v>
      </c>
      <c r="H2458" s="301">
        <v>0</v>
      </c>
      <c r="I2458" s="301">
        <v>0</v>
      </c>
      <c r="J2458" s="301">
        <v>0</v>
      </c>
      <c r="K2458" s="302">
        <v>0</v>
      </c>
      <c r="L2458" s="301">
        <v>0</v>
      </c>
      <c r="M2458" s="301">
        <v>4395999.2699999996</v>
      </c>
      <c r="N2458" s="301">
        <v>0</v>
      </c>
      <c r="O2458" s="301">
        <v>0</v>
      </c>
      <c r="P2458" s="301">
        <v>0</v>
      </c>
      <c r="Q2458" s="301">
        <v>0</v>
      </c>
      <c r="R2458" s="301">
        <v>0</v>
      </c>
      <c r="S2458" s="301">
        <v>0</v>
      </c>
      <c r="T2458" s="301">
        <v>0</v>
      </c>
      <c r="U2458" s="301">
        <v>0</v>
      </c>
      <c r="V2458" s="301">
        <v>0</v>
      </c>
      <c r="W2458" s="301">
        <v>0</v>
      </c>
      <c r="X2458" s="301">
        <v>0</v>
      </c>
      <c r="Y2458" s="301">
        <v>0</v>
      </c>
      <c r="Z2458" s="301">
        <v>0</v>
      </c>
      <c r="AA2458" s="301">
        <v>0</v>
      </c>
      <c r="AB2458" s="303">
        <v>2022</v>
      </c>
    </row>
    <row r="2459" spans="1:28" ht="35.25" x14ac:dyDescent="0.5">
      <c r="A2459">
        <v>1</v>
      </c>
      <c r="B2459" s="80">
        <f>SUBTOTAL(103,$A$1697:A2459)</f>
        <v>739</v>
      </c>
      <c r="C2459" s="300" t="s">
        <v>3475</v>
      </c>
      <c r="D2459" s="296">
        <f t="shared" si="125"/>
        <v>4236996.3600000003</v>
      </c>
      <c r="E2459" s="301">
        <v>0</v>
      </c>
      <c r="F2459" s="301">
        <v>0</v>
      </c>
      <c r="G2459" s="301">
        <v>0</v>
      </c>
      <c r="H2459" s="301">
        <v>0</v>
      </c>
      <c r="I2459" s="301">
        <v>0</v>
      </c>
      <c r="J2459" s="301">
        <v>0</v>
      </c>
      <c r="K2459" s="302">
        <v>0</v>
      </c>
      <c r="L2459" s="301">
        <v>0</v>
      </c>
      <c r="M2459" s="301">
        <v>4236996.3600000003</v>
      </c>
      <c r="N2459" s="301">
        <v>0</v>
      </c>
      <c r="O2459" s="301">
        <v>0</v>
      </c>
      <c r="P2459" s="301">
        <v>0</v>
      </c>
      <c r="Q2459" s="301">
        <v>0</v>
      </c>
      <c r="R2459" s="301">
        <v>0</v>
      </c>
      <c r="S2459" s="301">
        <v>0</v>
      </c>
      <c r="T2459" s="301">
        <v>0</v>
      </c>
      <c r="U2459" s="301">
        <v>0</v>
      </c>
      <c r="V2459" s="301">
        <v>0</v>
      </c>
      <c r="W2459" s="301">
        <v>0</v>
      </c>
      <c r="X2459" s="301">
        <v>0</v>
      </c>
      <c r="Y2459" s="301">
        <v>0</v>
      </c>
      <c r="Z2459" s="301">
        <v>0</v>
      </c>
      <c r="AA2459" s="301">
        <v>0</v>
      </c>
      <c r="AB2459" s="303">
        <v>2022</v>
      </c>
    </row>
    <row r="2460" spans="1:28" ht="35.25" x14ac:dyDescent="0.5">
      <c r="B2460" s="300" t="s">
        <v>1211</v>
      </c>
      <c r="C2460" s="300"/>
      <c r="D2460" s="296">
        <f t="shared" si="125"/>
        <v>289640.2</v>
      </c>
      <c r="E2460" s="296">
        <f t="shared" ref="E2460:AA2460" si="131">E2461</f>
        <v>0</v>
      </c>
      <c r="F2460" s="296">
        <f t="shared" si="131"/>
        <v>0</v>
      </c>
      <c r="G2460" s="296">
        <f t="shared" si="131"/>
        <v>0</v>
      </c>
      <c r="H2460" s="296">
        <f t="shared" si="131"/>
        <v>0</v>
      </c>
      <c r="I2460" s="296">
        <f t="shared" si="131"/>
        <v>0</v>
      </c>
      <c r="J2460" s="296">
        <f t="shared" si="131"/>
        <v>0</v>
      </c>
      <c r="K2460" s="297">
        <f t="shared" si="131"/>
        <v>0</v>
      </c>
      <c r="L2460" s="296">
        <f t="shared" si="131"/>
        <v>0</v>
      </c>
      <c r="M2460" s="296">
        <f t="shared" si="131"/>
        <v>0</v>
      </c>
      <c r="N2460" s="296">
        <f t="shared" si="131"/>
        <v>0</v>
      </c>
      <c r="O2460" s="296">
        <f t="shared" si="131"/>
        <v>289640.2</v>
      </c>
      <c r="P2460" s="296">
        <f t="shared" si="131"/>
        <v>0</v>
      </c>
      <c r="Q2460" s="296">
        <f t="shared" si="131"/>
        <v>0</v>
      </c>
      <c r="R2460" s="296">
        <f t="shared" si="131"/>
        <v>0</v>
      </c>
      <c r="S2460" s="296">
        <f t="shared" si="131"/>
        <v>0</v>
      </c>
      <c r="T2460" s="296">
        <f t="shared" si="131"/>
        <v>0</v>
      </c>
      <c r="U2460" s="296">
        <f t="shared" si="131"/>
        <v>0</v>
      </c>
      <c r="V2460" s="296">
        <f t="shared" si="131"/>
        <v>0</v>
      </c>
      <c r="W2460" s="296">
        <f t="shared" si="131"/>
        <v>0</v>
      </c>
      <c r="X2460" s="296">
        <f t="shared" si="131"/>
        <v>0</v>
      </c>
      <c r="Y2460" s="296">
        <f t="shared" si="131"/>
        <v>0</v>
      </c>
      <c r="Z2460" s="296">
        <f t="shared" si="131"/>
        <v>0</v>
      </c>
      <c r="AA2460" s="296">
        <f t="shared" si="131"/>
        <v>0</v>
      </c>
      <c r="AB2460" s="298" t="s">
        <v>835</v>
      </c>
    </row>
    <row r="2461" spans="1:28" ht="35.25" x14ac:dyDescent="0.5">
      <c r="A2461">
        <v>1</v>
      </c>
      <c r="B2461" s="80">
        <f>SUBTOTAL(103,$A$1697:A2461)</f>
        <v>740</v>
      </c>
      <c r="C2461" s="300" t="s">
        <v>3476</v>
      </c>
      <c r="D2461" s="296">
        <f t="shared" si="125"/>
        <v>289640.2</v>
      </c>
      <c r="E2461" s="301">
        <v>0</v>
      </c>
      <c r="F2461" s="301">
        <v>0</v>
      </c>
      <c r="G2461" s="301">
        <v>0</v>
      </c>
      <c r="H2461" s="301">
        <v>0</v>
      </c>
      <c r="I2461" s="301">
        <v>0</v>
      </c>
      <c r="J2461" s="301">
        <v>0</v>
      </c>
      <c r="K2461" s="302">
        <v>0</v>
      </c>
      <c r="L2461" s="301">
        <v>0</v>
      </c>
      <c r="M2461" s="301">
        <v>0</v>
      </c>
      <c r="N2461" s="301">
        <v>0</v>
      </c>
      <c r="O2461" s="304">
        <v>289640.2</v>
      </c>
      <c r="P2461" s="301">
        <v>0</v>
      </c>
      <c r="Q2461" s="301">
        <v>0</v>
      </c>
      <c r="R2461" s="301">
        <v>0</v>
      </c>
      <c r="S2461" s="301">
        <v>0</v>
      </c>
      <c r="T2461" s="301">
        <v>0</v>
      </c>
      <c r="U2461" s="301">
        <v>0</v>
      </c>
      <c r="V2461" s="301">
        <v>0</v>
      </c>
      <c r="W2461" s="301">
        <v>0</v>
      </c>
      <c r="X2461" s="301">
        <v>0</v>
      </c>
      <c r="Y2461" s="301">
        <v>0</v>
      </c>
      <c r="Z2461" s="301">
        <v>0</v>
      </c>
      <c r="AA2461" s="301">
        <v>0</v>
      </c>
      <c r="AB2461" s="303">
        <v>2022</v>
      </c>
    </row>
    <row r="2462" spans="1:28" ht="35.25" x14ac:dyDescent="0.5">
      <c r="B2462" s="299" t="s">
        <v>780</v>
      </c>
      <c r="C2462" s="300"/>
      <c r="D2462" s="296">
        <f t="shared" si="125"/>
        <v>6601123.4000000004</v>
      </c>
      <c r="E2462" s="296">
        <f t="shared" ref="E2462:AA2462" si="132">SUM(E2463:E2464)</f>
        <v>0</v>
      </c>
      <c r="F2462" s="296">
        <f t="shared" si="132"/>
        <v>0</v>
      </c>
      <c r="G2462" s="296">
        <f t="shared" si="132"/>
        <v>0</v>
      </c>
      <c r="H2462" s="296">
        <f t="shared" si="132"/>
        <v>0</v>
      </c>
      <c r="I2462" s="296">
        <f t="shared" si="132"/>
        <v>0</v>
      </c>
      <c r="J2462" s="296">
        <f t="shared" si="132"/>
        <v>0</v>
      </c>
      <c r="K2462" s="297">
        <f t="shared" si="132"/>
        <v>0</v>
      </c>
      <c r="L2462" s="296">
        <f t="shared" si="132"/>
        <v>0</v>
      </c>
      <c r="M2462" s="296">
        <f t="shared" si="132"/>
        <v>6601123.4000000004</v>
      </c>
      <c r="N2462" s="296">
        <f t="shared" si="132"/>
        <v>0</v>
      </c>
      <c r="O2462" s="296">
        <f t="shared" si="132"/>
        <v>0</v>
      </c>
      <c r="P2462" s="296">
        <f t="shared" si="132"/>
        <v>0</v>
      </c>
      <c r="Q2462" s="296">
        <f t="shared" si="132"/>
        <v>0</v>
      </c>
      <c r="R2462" s="296">
        <f t="shared" si="132"/>
        <v>0</v>
      </c>
      <c r="S2462" s="296">
        <f t="shared" si="132"/>
        <v>0</v>
      </c>
      <c r="T2462" s="296">
        <f t="shared" si="132"/>
        <v>0</v>
      </c>
      <c r="U2462" s="296">
        <f t="shared" si="132"/>
        <v>0</v>
      </c>
      <c r="V2462" s="296">
        <f t="shared" si="132"/>
        <v>0</v>
      </c>
      <c r="W2462" s="296">
        <f t="shared" si="132"/>
        <v>0</v>
      </c>
      <c r="X2462" s="296">
        <f t="shared" si="132"/>
        <v>0</v>
      </c>
      <c r="Y2462" s="296">
        <f t="shared" si="132"/>
        <v>0</v>
      </c>
      <c r="Z2462" s="296">
        <f t="shared" si="132"/>
        <v>0</v>
      </c>
      <c r="AA2462" s="296">
        <f t="shared" si="132"/>
        <v>0</v>
      </c>
      <c r="AB2462" s="298" t="s">
        <v>835</v>
      </c>
    </row>
    <row r="2463" spans="1:28" ht="35.25" x14ac:dyDescent="0.5">
      <c r="A2463">
        <v>1</v>
      </c>
      <c r="B2463" s="80">
        <f>SUBTOTAL(103,$A$1697:A2463)</f>
        <v>741</v>
      </c>
      <c r="C2463" s="300" t="s">
        <v>3534</v>
      </c>
      <c r="D2463" s="296">
        <f t="shared" si="125"/>
        <v>3450809.6</v>
      </c>
      <c r="E2463" s="301">
        <v>0</v>
      </c>
      <c r="F2463" s="301">
        <v>0</v>
      </c>
      <c r="G2463" s="301">
        <v>0</v>
      </c>
      <c r="H2463" s="301">
        <v>0</v>
      </c>
      <c r="I2463" s="301">
        <v>0</v>
      </c>
      <c r="J2463" s="301">
        <v>0</v>
      </c>
      <c r="K2463" s="302">
        <v>0</v>
      </c>
      <c r="L2463" s="301">
        <v>0</v>
      </c>
      <c r="M2463" s="301">
        <v>3450809.6</v>
      </c>
      <c r="N2463" s="301">
        <v>0</v>
      </c>
      <c r="O2463" s="301">
        <v>0</v>
      </c>
      <c r="P2463" s="301">
        <v>0</v>
      </c>
      <c r="Q2463" s="301">
        <v>0</v>
      </c>
      <c r="R2463" s="301">
        <v>0</v>
      </c>
      <c r="S2463" s="301">
        <v>0</v>
      </c>
      <c r="T2463" s="301">
        <v>0</v>
      </c>
      <c r="U2463" s="301">
        <v>0</v>
      </c>
      <c r="V2463" s="301">
        <v>0</v>
      </c>
      <c r="W2463" s="301">
        <v>0</v>
      </c>
      <c r="X2463" s="301">
        <v>0</v>
      </c>
      <c r="Y2463" s="301">
        <v>0</v>
      </c>
      <c r="Z2463" s="301">
        <v>0</v>
      </c>
      <c r="AA2463" s="301">
        <v>0</v>
      </c>
      <c r="AB2463" s="303">
        <v>2022</v>
      </c>
    </row>
    <row r="2464" spans="1:28" ht="35.25" x14ac:dyDescent="0.5">
      <c r="A2464">
        <v>1</v>
      </c>
      <c r="B2464" s="80">
        <f>SUBTOTAL(103,$A$1697:A2464)</f>
        <v>742</v>
      </c>
      <c r="C2464" s="300" t="s">
        <v>3535</v>
      </c>
      <c r="D2464" s="296">
        <f t="shared" si="125"/>
        <v>3150313.8</v>
      </c>
      <c r="E2464" s="301">
        <v>0</v>
      </c>
      <c r="F2464" s="301">
        <v>0</v>
      </c>
      <c r="G2464" s="301">
        <v>0</v>
      </c>
      <c r="H2464" s="301">
        <v>0</v>
      </c>
      <c r="I2464" s="301">
        <v>0</v>
      </c>
      <c r="J2464" s="301">
        <v>0</v>
      </c>
      <c r="K2464" s="302">
        <v>0</v>
      </c>
      <c r="L2464" s="301">
        <v>0</v>
      </c>
      <c r="M2464" s="301">
        <v>3150313.8</v>
      </c>
      <c r="N2464" s="301">
        <v>0</v>
      </c>
      <c r="O2464" s="301">
        <v>0</v>
      </c>
      <c r="P2464" s="301">
        <v>0</v>
      </c>
      <c r="Q2464" s="301">
        <v>0</v>
      </c>
      <c r="R2464" s="301">
        <v>0</v>
      </c>
      <c r="S2464" s="301">
        <v>0</v>
      </c>
      <c r="T2464" s="301">
        <v>0</v>
      </c>
      <c r="U2464" s="301">
        <v>0</v>
      </c>
      <c r="V2464" s="301">
        <v>0</v>
      </c>
      <c r="W2464" s="301">
        <v>0</v>
      </c>
      <c r="X2464" s="301">
        <v>0</v>
      </c>
      <c r="Y2464" s="301">
        <v>0</v>
      </c>
      <c r="Z2464" s="301">
        <v>0</v>
      </c>
      <c r="AA2464" s="301">
        <v>0</v>
      </c>
      <c r="AB2464" s="303">
        <v>2022</v>
      </c>
    </row>
    <row r="2465" spans="1:28" ht="35.25" x14ac:dyDescent="0.5">
      <c r="B2465" s="299" t="s">
        <v>790</v>
      </c>
      <c r="C2465" s="300"/>
      <c r="D2465" s="296">
        <f t="shared" si="125"/>
        <v>5074996.74</v>
      </c>
      <c r="E2465" s="296">
        <f t="shared" ref="E2465:AA2465" si="133">SUM(E2466:E2467)</f>
        <v>0</v>
      </c>
      <c r="F2465" s="296">
        <f t="shared" si="133"/>
        <v>0</v>
      </c>
      <c r="G2465" s="296">
        <f t="shared" si="133"/>
        <v>0</v>
      </c>
      <c r="H2465" s="296">
        <f t="shared" si="133"/>
        <v>0</v>
      </c>
      <c r="I2465" s="296">
        <f t="shared" si="133"/>
        <v>0</v>
      </c>
      <c r="J2465" s="296">
        <f t="shared" si="133"/>
        <v>0</v>
      </c>
      <c r="K2465" s="297">
        <f t="shared" si="133"/>
        <v>0</v>
      </c>
      <c r="L2465" s="296">
        <f t="shared" si="133"/>
        <v>0</v>
      </c>
      <c r="M2465" s="296">
        <f t="shared" si="133"/>
        <v>5074996.74</v>
      </c>
      <c r="N2465" s="296">
        <f t="shared" si="133"/>
        <v>0</v>
      </c>
      <c r="O2465" s="296">
        <f t="shared" si="133"/>
        <v>0</v>
      </c>
      <c r="P2465" s="296">
        <f t="shared" si="133"/>
        <v>0</v>
      </c>
      <c r="Q2465" s="296">
        <f t="shared" si="133"/>
        <v>0</v>
      </c>
      <c r="R2465" s="296">
        <f t="shared" si="133"/>
        <v>0</v>
      </c>
      <c r="S2465" s="296">
        <f t="shared" si="133"/>
        <v>0</v>
      </c>
      <c r="T2465" s="296">
        <f t="shared" si="133"/>
        <v>0</v>
      </c>
      <c r="U2465" s="296">
        <f t="shared" si="133"/>
        <v>0</v>
      </c>
      <c r="V2465" s="296">
        <f t="shared" si="133"/>
        <v>0</v>
      </c>
      <c r="W2465" s="296">
        <f t="shared" si="133"/>
        <v>0</v>
      </c>
      <c r="X2465" s="296">
        <f t="shared" si="133"/>
        <v>0</v>
      </c>
      <c r="Y2465" s="296">
        <f t="shared" si="133"/>
        <v>0</v>
      </c>
      <c r="Z2465" s="296">
        <f t="shared" si="133"/>
        <v>0</v>
      </c>
      <c r="AA2465" s="296">
        <f t="shared" si="133"/>
        <v>0</v>
      </c>
      <c r="AB2465" s="298" t="s">
        <v>835</v>
      </c>
    </row>
    <row r="2466" spans="1:28" ht="35.25" x14ac:dyDescent="0.5">
      <c r="A2466">
        <v>1</v>
      </c>
      <c r="B2466" s="80">
        <f>SUBTOTAL(103,$A$1697:A2466)</f>
        <v>743</v>
      </c>
      <c r="C2466" s="300" t="s">
        <v>3536</v>
      </c>
      <c r="D2466" s="296">
        <f t="shared" si="125"/>
        <v>2133045.7999999998</v>
      </c>
      <c r="E2466" s="301">
        <v>0</v>
      </c>
      <c r="F2466" s="301">
        <v>0</v>
      </c>
      <c r="G2466" s="301">
        <v>0</v>
      </c>
      <c r="H2466" s="301">
        <v>0</v>
      </c>
      <c r="I2466" s="301">
        <v>0</v>
      </c>
      <c r="J2466" s="301">
        <v>0</v>
      </c>
      <c r="K2466" s="302">
        <v>0</v>
      </c>
      <c r="L2466" s="301">
        <v>0</v>
      </c>
      <c r="M2466" s="301">
        <v>2133045.7999999998</v>
      </c>
      <c r="N2466" s="301">
        <v>0</v>
      </c>
      <c r="O2466" s="301">
        <v>0</v>
      </c>
      <c r="P2466" s="301">
        <v>0</v>
      </c>
      <c r="Q2466" s="301">
        <v>0</v>
      </c>
      <c r="R2466" s="301">
        <v>0</v>
      </c>
      <c r="S2466" s="301">
        <v>0</v>
      </c>
      <c r="T2466" s="301">
        <v>0</v>
      </c>
      <c r="U2466" s="301">
        <v>0</v>
      </c>
      <c r="V2466" s="301">
        <v>0</v>
      </c>
      <c r="W2466" s="301">
        <v>0</v>
      </c>
      <c r="X2466" s="301">
        <v>0</v>
      </c>
      <c r="Y2466" s="301">
        <v>0</v>
      </c>
      <c r="Z2466" s="301">
        <v>0</v>
      </c>
      <c r="AA2466" s="301">
        <v>0</v>
      </c>
      <c r="AB2466" s="303">
        <v>2022</v>
      </c>
    </row>
    <row r="2467" spans="1:28" ht="35.25" x14ac:dyDescent="0.5">
      <c r="A2467">
        <v>1</v>
      </c>
      <c r="B2467" s="80">
        <f>SUBTOTAL(103,$A$1697:A2467)</f>
        <v>744</v>
      </c>
      <c r="C2467" s="300" t="s">
        <v>3537</v>
      </c>
      <c r="D2467" s="296">
        <f t="shared" si="125"/>
        <v>2941950.94</v>
      </c>
      <c r="E2467" s="301">
        <v>0</v>
      </c>
      <c r="F2467" s="301">
        <v>0</v>
      </c>
      <c r="G2467" s="301">
        <v>0</v>
      </c>
      <c r="H2467" s="301">
        <v>0</v>
      </c>
      <c r="I2467" s="301">
        <v>0</v>
      </c>
      <c r="J2467" s="301">
        <v>0</v>
      </c>
      <c r="K2467" s="302">
        <v>0</v>
      </c>
      <c r="L2467" s="301">
        <v>0</v>
      </c>
      <c r="M2467" s="301">
        <v>2941950.94</v>
      </c>
      <c r="N2467" s="301">
        <v>0</v>
      </c>
      <c r="O2467" s="301">
        <v>0</v>
      </c>
      <c r="P2467" s="301">
        <v>0</v>
      </c>
      <c r="Q2467" s="301">
        <v>0</v>
      </c>
      <c r="R2467" s="301">
        <v>0</v>
      </c>
      <c r="S2467" s="301">
        <v>0</v>
      </c>
      <c r="T2467" s="301">
        <v>0</v>
      </c>
      <c r="U2467" s="301">
        <v>0</v>
      </c>
      <c r="V2467" s="301">
        <v>0</v>
      </c>
      <c r="W2467" s="301">
        <v>0</v>
      </c>
      <c r="X2467" s="301">
        <v>0</v>
      </c>
      <c r="Y2467" s="301">
        <v>0</v>
      </c>
      <c r="Z2467" s="301">
        <v>0</v>
      </c>
      <c r="AA2467" s="301">
        <v>0</v>
      </c>
      <c r="AB2467" s="303">
        <v>2022</v>
      </c>
    </row>
    <row r="2468" spans="1:28" ht="35.25" x14ac:dyDescent="0.5">
      <c r="B2468" s="299" t="s">
        <v>788</v>
      </c>
      <c r="C2468" s="300"/>
      <c r="D2468" s="296">
        <f t="shared" si="125"/>
        <v>441688</v>
      </c>
      <c r="E2468" s="296">
        <f t="shared" ref="E2468:AA2468" si="134">SUM(E2469)</f>
        <v>0</v>
      </c>
      <c r="F2468" s="296">
        <f t="shared" si="134"/>
        <v>0</v>
      </c>
      <c r="G2468" s="296">
        <f t="shared" si="134"/>
        <v>0</v>
      </c>
      <c r="H2468" s="296">
        <f t="shared" si="134"/>
        <v>0</v>
      </c>
      <c r="I2468" s="296">
        <f t="shared" si="134"/>
        <v>0</v>
      </c>
      <c r="J2468" s="296">
        <f t="shared" si="134"/>
        <v>0</v>
      </c>
      <c r="K2468" s="297">
        <f t="shared" si="134"/>
        <v>0</v>
      </c>
      <c r="L2468" s="296">
        <f t="shared" si="134"/>
        <v>0</v>
      </c>
      <c r="M2468" s="296">
        <f t="shared" si="134"/>
        <v>0</v>
      </c>
      <c r="N2468" s="296">
        <f t="shared" si="134"/>
        <v>0</v>
      </c>
      <c r="O2468" s="296">
        <f t="shared" si="134"/>
        <v>441688</v>
      </c>
      <c r="P2468" s="296">
        <f t="shared" si="134"/>
        <v>0</v>
      </c>
      <c r="Q2468" s="296">
        <f t="shared" si="134"/>
        <v>0</v>
      </c>
      <c r="R2468" s="296">
        <f t="shared" si="134"/>
        <v>0</v>
      </c>
      <c r="S2468" s="296">
        <f t="shared" si="134"/>
        <v>0</v>
      </c>
      <c r="T2468" s="296">
        <f t="shared" si="134"/>
        <v>0</v>
      </c>
      <c r="U2468" s="296">
        <f t="shared" si="134"/>
        <v>0</v>
      </c>
      <c r="V2468" s="296">
        <f t="shared" si="134"/>
        <v>0</v>
      </c>
      <c r="W2468" s="296">
        <f t="shared" si="134"/>
        <v>0</v>
      </c>
      <c r="X2468" s="296">
        <f t="shared" si="134"/>
        <v>0</v>
      </c>
      <c r="Y2468" s="296">
        <f t="shared" si="134"/>
        <v>0</v>
      </c>
      <c r="Z2468" s="296">
        <f t="shared" si="134"/>
        <v>0</v>
      </c>
      <c r="AA2468" s="296">
        <f t="shared" si="134"/>
        <v>0</v>
      </c>
      <c r="AB2468" s="298" t="s">
        <v>835</v>
      </c>
    </row>
    <row r="2469" spans="1:28" ht="35.25" x14ac:dyDescent="0.5">
      <c r="A2469">
        <v>1</v>
      </c>
      <c r="B2469" s="80">
        <f>SUBTOTAL(103,$A$1697:A2469)</f>
        <v>745</v>
      </c>
      <c r="C2469" s="300" t="s">
        <v>3538</v>
      </c>
      <c r="D2469" s="296">
        <f t="shared" si="125"/>
        <v>441688</v>
      </c>
      <c r="E2469" s="301">
        <v>0</v>
      </c>
      <c r="F2469" s="301">
        <v>0</v>
      </c>
      <c r="G2469" s="301">
        <v>0</v>
      </c>
      <c r="H2469" s="301">
        <v>0</v>
      </c>
      <c r="I2469" s="301">
        <v>0</v>
      </c>
      <c r="J2469" s="301">
        <v>0</v>
      </c>
      <c r="K2469" s="302">
        <v>0</v>
      </c>
      <c r="L2469" s="301">
        <v>0</v>
      </c>
      <c r="M2469" s="301">
        <v>0</v>
      </c>
      <c r="N2469" s="301">
        <v>0</v>
      </c>
      <c r="O2469" s="301">
        <v>441688</v>
      </c>
      <c r="P2469" s="301">
        <v>0</v>
      </c>
      <c r="Q2469" s="301">
        <v>0</v>
      </c>
      <c r="R2469" s="301">
        <v>0</v>
      </c>
      <c r="S2469" s="301">
        <v>0</v>
      </c>
      <c r="T2469" s="301">
        <v>0</v>
      </c>
      <c r="U2469" s="301">
        <v>0</v>
      </c>
      <c r="V2469" s="301">
        <v>0</v>
      </c>
      <c r="W2469" s="301">
        <v>0</v>
      </c>
      <c r="X2469" s="301">
        <v>0</v>
      </c>
      <c r="Y2469" s="301">
        <v>0</v>
      </c>
      <c r="Z2469" s="301">
        <v>0</v>
      </c>
      <c r="AA2469" s="301">
        <v>0</v>
      </c>
      <c r="AB2469" s="303">
        <v>2022</v>
      </c>
    </row>
    <row r="2470" spans="1:28" ht="35.25" x14ac:dyDescent="0.5">
      <c r="B2470" s="299" t="s">
        <v>3635</v>
      </c>
      <c r="C2470" s="300"/>
      <c r="D2470" s="296">
        <f t="shared" si="125"/>
        <v>317500</v>
      </c>
      <c r="E2470" s="296">
        <f t="shared" ref="E2470:AA2470" si="135">SUM(E2471:E2472)</f>
        <v>0</v>
      </c>
      <c r="F2470" s="296">
        <f t="shared" si="135"/>
        <v>0</v>
      </c>
      <c r="G2470" s="296">
        <f t="shared" si="135"/>
        <v>0</v>
      </c>
      <c r="H2470" s="296">
        <f t="shared" si="135"/>
        <v>0</v>
      </c>
      <c r="I2470" s="296">
        <f t="shared" si="135"/>
        <v>0</v>
      </c>
      <c r="J2470" s="296">
        <f t="shared" si="135"/>
        <v>0</v>
      </c>
      <c r="K2470" s="296">
        <f t="shared" si="135"/>
        <v>0</v>
      </c>
      <c r="L2470" s="296">
        <f t="shared" si="135"/>
        <v>0</v>
      </c>
      <c r="M2470" s="296">
        <f t="shared" si="135"/>
        <v>0</v>
      </c>
      <c r="N2470" s="296">
        <f t="shared" si="135"/>
        <v>180000</v>
      </c>
      <c r="O2470" s="296">
        <f t="shared" si="135"/>
        <v>40000</v>
      </c>
      <c r="P2470" s="296">
        <f t="shared" si="135"/>
        <v>97500</v>
      </c>
      <c r="Q2470" s="296">
        <f t="shared" si="135"/>
        <v>0</v>
      </c>
      <c r="R2470" s="296">
        <f t="shared" si="135"/>
        <v>0</v>
      </c>
      <c r="S2470" s="296">
        <f t="shared" si="135"/>
        <v>0</v>
      </c>
      <c r="T2470" s="296">
        <f t="shared" si="135"/>
        <v>0</v>
      </c>
      <c r="U2470" s="296">
        <f t="shared" si="135"/>
        <v>0</v>
      </c>
      <c r="V2470" s="296">
        <f t="shared" si="135"/>
        <v>0</v>
      </c>
      <c r="W2470" s="296">
        <f t="shared" si="135"/>
        <v>0</v>
      </c>
      <c r="X2470" s="296">
        <f t="shared" si="135"/>
        <v>0</v>
      </c>
      <c r="Y2470" s="296">
        <f t="shared" si="135"/>
        <v>0</v>
      </c>
      <c r="Z2470" s="296">
        <f t="shared" si="135"/>
        <v>0</v>
      </c>
      <c r="AA2470" s="296">
        <f t="shared" si="135"/>
        <v>0</v>
      </c>
      <c r="AB2470" s="298" t="s">
        <v>835</v>
      </c>
    </row>
    <row r="2471" spans="1:28" ht="35.25" x14ac:dyDescent="0.5">
      <c r="A2471">
        <v>1</v>
      </c>
      <c r="B2471" s="80">
        <f>SUBTOTAL(103,$A$1697:A2471)</f>
        <v>746</v>
      </c>
      <c r="C2471" s="300" t="s">
        <v>3636</v>
      </c>
      <c r="D2471" s="296">
        <f t="shared" si="125"/>
        <v>180000</v>
      </c>
      <c r="E2471" s="301">
        <v>0</v>
      </c>
      <c r="F2471" s="301">
        <v>0</v>
      </c>
      <c r="G2471" s="301">
        <v>0</v>
      </c>
      <c r="H2471" s="301">
        <v>0</v>
      </c>
      <c r="I2471" s="301">
        <v>0</v>
      </c>
      <c r="J2471" s="301">
        <v>0</v>
      </c>
      <c r="K2471" s="302">
        <v>0</v>
      </c>
      <c r="L2471" s="301">
        <v>0</v>
      </c>
      <c r="M2471" s="301">
        <v>0</v>
      </c>
      <c r="N2471" s="301">
        <v>180000</v>
      </c>
      <c r="O2471" s="301">
        <v>0</v>
      </c>
      <c r="P2471" s="301">
        <v>0</v>
      </c>
      <c r="Q2471" s="301">
        <v>0</v>
      </c>
      <c r="R2471" s="301">
        <v>0</v>
      </c>
      <c r="S2471" s="301">
        <v>0</v>
      </c>
      <c r="T2471" s="301">
        <v>0</v>
      </c>
      <c r="U2471" s="301">
        <v>0</v>
      </c>
      <c r="V2471" s="301">
        <v>0</v>
      </c>
      <c r="W2471" s="301">
        <v>0</v>
      </c>
      <c r="X2471" s="301">
        <v>0</v>
      </c>
      <c r="Y2471" s="301">
        <v>0</v>
      </c>
      <c r="Z2471" s="301">
        <v>0</v>
      </c>
      <c r="AA2471" s="301">
        <v>0</v>
      </c>
      <c r="AB2471" s="303">
        <v>2022</v>
      </c>
    </row>
    <row r="2472" spans="1:28" ht="35.25" x14ac:dyDescent="0.5">
      <c r="A2472">
        <v>1</v>
      </c>
      <c r="B2472" s="80">
        <f>SUBTOTAL(103,$A$1697:A2472)</f>
        <v>747</v>
      </c>
      <c r="C2472" s="300" t="s">
        <v>3637</v>
      </c>
      <c r="D2472" s="296">
        <f t="shared" si="125"/>
        <v>137500</v>
      </c>
      <c r="E2472" s="301">
        <v>0</v>
      </c>
      <c r="F2472" s="301">
        <v>0</v>
      </c>
      <c r="G2472" s="301">
        <v>0</v>
      </c>
      <c r="H2472" s="301">
        <v>0</v>
      </c>
      <c r="I2472" s="301">
        <v>0</v>
      </c>
      <c r="J2472" s="301">
        <v>0</v>
      </c>
      <c r="K2472" s="302">
        <v>0</v>
      </c>
      <c r="L2472" s="301">
        <v>0</v>
      </c>
      <c r="M2472" s="301">
        <v>0</v>
      </c>
      <c r="N2472" s="301">
        <v>0</v>
      </c>
      <c r="O2472" s="301">
        <v>40000</v>
      </c>
      <c r="P2472" s="301">
        <v>97500</v>
      </c>
      <c r="Q2472" s="301">
        <v>0</v>
      </c>
      <c r="R2472" s="301">
        <v>0</v>
      </c>
      <c r="S2472" s="301">
        <v>0</v>
      </c>
      <c r="T2472" s="301">
        <v>0</v>
      </c>
      <c r="U2472" s="301">
        <v>0</v>
      </c>
      <c r="V2472" s="301">
        <v>0</v>
      </c>
      <c r="W2472" s="301">
        <v>0</v>
      </c>
      <c r="X2472" s="301">
        <v>0</v>
      </c>
      <c r="Y2472" s="301">
        <v>0</v>
      </c>
      <c r="Z2472" s="301">
        <v>0</v>
      </c>
      <c r="AA2472" s="301">
        <v>0</v>
      </c>
      <c r="AB2472" s="303">
        <v>2022</v>
      </c>
    </row>
    <row r="2473" spans="1:28" ht="35.25" x14ac:dyDescent="0.5">
      <c r="B2473" s="299" t="s">
        <v>775</v>
      </c>
      <c r="C2473" s="300"/>
      <c r="D2473" s="296">
        <f t="shared" si="125"/>
        <v>994553</v>
      </c>
      <c r="E2473" s="296">
        <f t="shared" ref="E2473:AA2473" si="136">SUM(E2474:E2475)</f>
        <v>0</v>
      </c>
      <c r="F2473" s="296">
        <f t="shared" si="136"/>
        <v>0</v>
      </c>
      <c r="G2473" s="296">
        <f t="shared" si="136"/>
        <v>0</v>
      </c>
      <c r="H2473" s="296">
        <f t="shared" si="136"/>
        <v>994553</v>
      </c>
      <c r="I2473" s="296">
        <f t="shared" si="136"/>
        <v>0</v>
      </c>
      <c r="J2473" s="296">
        <f t="shared" si="136"/>
        <v>0</v>
      </c>
      <c r="K2473" s="296">
        <f t="shared" si="136"/>
        <v>0</v>
      </c>
      <c r="L2473" s="296">
        <f t="shared" si="136"/>
        <v>0</v>
      </c>
      <c r="M2473" s="296">
        <f t="shared" si="136"/>
        <v>0</v>
      </c>
      <c r="N2473" s="296">
        <f t="shared" si="136"/>
        <v>0</v>
      </c>
      <c r="O2473" s="296">
        <f t="shared" si="136"/>
        <v>0</v>
      </c>
      <c r="P2473" s="296">
        <f t="shared" si="136"/>
        <v>0</v>
      </c>
      <c r="Q2473" s="296">
        <f t="shared" si="136"/>
        <v>0</v>
      </c>
      <c r="R2473" s="296">
        <f t="shared" si="136"/>
        <v>0</v>
      </c>
      <c r="S2473" s="296">
        <f t="shared" si="136"/>
        <v>0</v>
      </c>
      <c r="T2473" s="296">
        <f t="shared" si="136"/>
        <v>0</v>
      </c>
      <c r="U2473" s="296">
        <f t="shared" si="136"/>
        <v>0</v>
      </c>
      <c r="V2473" s="296">
        <f t="shared" si="136"/>
        <v>0</v>
      </c>
      <c r="W2473" s="296">
        <f t="shared" si="136"/>
        <v>0</v>
      </c>
      <c r="X2473" s="296">
        <f t="shared" si="136"/>
        <v>0</v>
      </c>
      <c r="Y2473" s="296">
        <f t="shared" si="136"/>
        <v>0</v>
      </c>
      <c r="Z2473" s="296">
        <f t="shared" si="136"/>
        <v>0</v>
      </c>
      <c r="AA2473" s="296">
        <f t="shared" si="136"/>
        <v>0</v>
      </c>
      <c r="AB2473" s="298" t="s">
        <v>835</v>
      </c>
    </row>
    <row r="2474" spans="1:28" ht="35.25" x14ac:dyDescent="0.5">
      <c r="A2474">
        <v>1</v>
      </c>
      <c r="B2474" s="80">
        <f>SUBTOTAL(103,$A$1697:A2474)</f>
        <v>748</v>
      </c>
      <c r="C2474" s="300" t="s">
        <v>3638</v>
      </c>
      <c r="D2474" s="296">
        <f t="shared" si="125"/>
        <v>496619</v>
      </c>
      <c r="E2474" s="301">
        <v>0</v>
      </c>
      <c r="F2474" s="301">
        <v>0</v>
      </c>
      <c r="G2474" s="301">
        <v>0</v>
      </c>
      <c r="H2474" s="301">
        <v>496619</v>
      </c>
      <c r="I2474" s="301">
        <v>0</v>
      </c>
      <c r="J2474" s="301">
        <v>0</v>
      </c>
      <c r="K2474" s="302">
        <v>0</v>
      </c>
      <c r="L2474" s="301">
        <v>0</v>
      </c>
      <c r="M2474" s="301">
        <v>0</v>
      </c>
      <c r="N2474" s="301">
        <v>0</v>
      </c>
      <c r="O2474" s="301">
        <v>0</v>
      </c>
      <c r="P2474" s="301">
        <v>0</v>
      </c>
      <c r="Q2474" s="301">
        <v>0</v>
      </c>
      <c r="R2474" s="301">
        <v>0</v>
      </c>
      <c r="S2474" s="301">
        <v>0</v>
      </c>
      <c r="T2474" s="301">
        <v>0</v>
      </c>
      <c r="U2474" s="301">
        <v>0</v>
      </c>
      <c r="V2474" s="301">
        <v>0</v>
      </c>
      <c r="W2474" s="301">
        <v>0</v>
      </c>
      <c r="X2474" s="301">
        <v>0</v>
      </c>
      <c r="Y2474" s="301">
        <v>0</v>
      </c>
      <c r="Z2474" s="301">
        <v>0</v>
      </c>
      <c r="AA2474" s="301">
        <v>0</v>
      </c>
      <c r="AB2474" s="303">
        <v>2022</v>
      </c>
    </row>
    <row r="2475" spans="1:28" ht="35.25" x14ac:dyDescent="0.5">
      <c r="A2475">
        <v>1</v>
      </c>
      <c r="B2475" s="80">
        <f>SUBTOTAL(103,$A$1697:A2475)</f>
        <v>749</v>
      </c>
      <c r="C2475" s="300" t="s">
        <v>3639</v>
      </c>
      <c r="D2475" s="296">
        <f t="shared" si="125"/>
        <v>497934</v>
      </c>
      <c r="E2475" s="301">
        <v>0</v>
      </c>
      <c r="F2475" s="301">
        <v>0</v>
      </c>
      <c r="G2475" s="301">
        <v>0</v>
      </c>
      <c r="H2475" s="301">
        <v>497934</v>
      </c>
      <c r="I2475" s="301">
        <v>0</v>
      </c>
      <c r="J2475" s="301">
        <v>0</v>
      </c>
      <c r="K2475" s="302">
        <v>0</v>
      </c>
      <c r="L2475" s="301">
        <v>0</v>
      </c>
      <c r="M2475" s="301">
        <v>0</v>
      </c>
      <c r="N2475" s="301">
        <v>0</v>
      </c>
      <c r="O2475" s="301">
        <v>0</v>
      </c>
      <c r="P2475" s="301">
        <v>0</v>
      </c>
      <c r="Q2475" s="301">
        <v>0</v>
      </c>
      <c r="R2475" s="301">
        <v>0</v>
      </c>
      <c r="S2475" s="301">
        <v>0</v>
      </c>
      <c r="T2475" s="301">
        <v>0</v>
      </c>
      <c r="U2475" s="301">
        <v>0</v>
      </c>
      <c r="V2475" s="301">
        <v>0</v>
      </c>
      <c r="W2475" s="301">
        <v>0</v>
      </c>
      <c r="X2475" s="301">
        <v>0</v>
      </c>
      <c r="Y2475" s="301">
        <v>0</v>
      </c>
      <c r="Z2475" s="301">
        <v>0</v>
      </c>
      <c r="AA2475" s="301">
        <v>0</v>
      </c>
      <c r="AB2475" s="303">
        <v>2022</v>
      </c>
    </row>
    <row r="2476" spans="1:28" ht="35.25" x14ac:dyDescent="0.5">
      <c r="B2476" s="299" t="s">
        <v>791</v>
      </c>
      <c r="C2476" s="300"/>
      <c r="D2476" s="296">
        <f t="shared" si="125"/>
        <v>3397665</v>
      </c>
      <c r="E2476" s="296">
        <f t="shared" ref="E2476:AA2476" si="137">SUM(E2477:E2478)</f>
        <v>0</v>
      </c>
      <c r="F2476" s="296">
        <f t="shared" si="137"/>
        <v>0</v>
      </c>
      <c r="G2476" s="296">
        <f t="shared" si="137"/>
        <v>0</v>
      </c>
      <c r="H2476" s="296">
        <f t="shared" si="137"/>
        <v>0</v>
      </c>
      <c r="I2476" s="296">
        <f t="shared" si="137"/>
        <v>0</v>
      </c>
      <c r="J2476" s="296">
        <f t="shared" si="137"/>
        <v>0</v>
      </c>
      <c r="K2476" s="297">
        <f t="shared" si="137"/>
        <v>0</v>
      </c>
      <c r="L2476" s="296">
        <f t="shared" si="137"/>
        <v>0</v>
      </c>
      <c r="M2476" s="296">
        <f t="shared" si="137"/>
        <v>2531379</v>
      </c>
      <c r="N2476" s="296">
        <f t="shared" si="137"/>
        <v>0</v>
      </c>
      <c r="O2476" s="296">
        <f t="shared" si="137"/>
        <v>866286</v>
      </c>
      <c r="P2476" s="296">
        <f t="shared" si="137"/>
        <v>0</v>
      </c>
      <c r="Q2476" s="296">
        <f t="shared" si="137"/>
        <v>0</v>
      </c>
      <c r="R2476" s="296">
        <f t="shared" si="137"/>
        <v>0</v>
      </c>
      <c r="S2476" s="296">
        <f t="shared" si="137"/>
        <v>0</v>
      </c>
      <c r="T2476" s="296">
        <f t="shared" si="137"/>
        <v>0</v>
      </c>
      <c r="U2476" s="296">
        <f t="shared" si="137"/>
        <v>0</v>
      </c>
      <c r="V2476" s="296">
        <f t="shared" si="137"/>
        <v>0</v>
      </c>
      <c r="W2476" s="296">
        <f t="shared" si="137"/>
        <v>0</v>
      </c>
      <c r="X2476" s="296">
        <f t="shared" si="137"/>
        <v>0</v>
      </c>
      <c r="Y2476" s="296">
        <f t="shared" si="137"/>
        <v>0</v>
      </c>
      <c r="Z2476" s="296">
        <f t="shared" si="137"/>
        <v>0</v>
      </c>
      <c r="AA2476" s="296">
        <f t="shared" si="137"/>
        <v>0</v>
      </c>
      <c r="AB2476" s="298" t="s">
        <v>835</v>
      </c>
    </row>
    <row r="2477" spans="1:28" ht="35.25" x14ac:dyDescent="0.5">
      <c r="A2477">
        <v>1</v>
      </c>
      <c r="B2477" s="80">
        <f>SUBTOTAL(103,$A$1697:A2477)</f>
        <v>750</v>
      </c>
      <c r="C2477" s="300" t="s">
        <v>3640</v>
      </c>
      <c r="D2477" s="296">
        <f t="shared" si="125"/>
        <v>2531379</v>
      </c>
      <c r="E2477" s="301">
        <v>0</v>
      </c>
      <c r="F2477" s="301">
        <v>0</v>
      </c>
      <c r="G2477" s="301">
        <v>0</v>
      </c>
      <c r="H2477" s="301">
        <v>0</v>
      </c>
      <c r="I2477" s="301">
        <v>0</v>
      </c>
      <c r="J2477" s="301">
        <v>0</v>
      </c>
      <c r="K2477" s="302">
        <v>0</v>
      </c>
      <c r="L2477" s="301">
        <v>0</v>
      </c>
      <c r="M2477" s="301">
        <v>2531379</v>
      </c>
      <c r="N2477" s="301">
        <v>0</v>
      </c>
      <c r="O2477" s="301">
        <v>0</v>
      </c>
      <c r="P2477" s="301">
        <v>0</v>
      </c>
      <c r="Q2477" s="301">
        <v>0</v>
      </c>
      <c r="R2477" s="301">
        <v>0</v>
      </c>
      <c r="S2477" s="301">
        <v>0</v>
      </c>
      <c r="T2477" s="301">
        <v>0</v>
      </c>
      <c r="U2477" s="301">
        <v>0</v>
      </c>
      <c r="V2477" s="301">
        <v>0</v>
      </c>
      <c r="W2477" s="301">
        <v>0</v>
      </c>
      <c r="X2477" s="301">
        <v>0</v>
      </c>
      <c r="Y2477" s="301">
        <v>0</v>
      </c>
      <c r="Z2477" s="301">
        <v>0</v>
      </c>
      <c r="AA2477" s="301">
        <v>0</v>
      </c>
      <c r="AB2477" s="303">
        <v>2022</v>
      </c>
    </row>
    <row r="2478" spans="1:28" ht="35.25" x14ac:dyDescent="0.5">
      <c r="A2478">
        <v>1</v>
      </c>
      <c r="B2478" s="80">
        <f>SUBTOTAL(103,$A$1697:A2478)</f>
        <v>751</v>
      </c>
      <c r="C2478" s="300" t="s">
        <v>2098</v>
      </c>
      <c r="D2478" s="296">
        <f t="shared" si="125"/>
        <v>866286</v>
      </c>
      <c r="E2478" s="301">
        <v>0</v>
      </c>
      <c r="F2478" s="301">
        <v>0</v>
      </c>
      <c r="G2478" s="301">
        <v>0</v>
      </c>
      <c r="H2478" s="301">
        <v>0</v>
      </c>
      <c r="I2478" s="301">
        <v>0</v>
      </c>
      <c r="J2478" s="301">
        <v>0</v>
      </c>
      <c r="K2478" s="302">
        <v>0</v>
      </c>
      <c r="L2478" s="301">
        <v>0</v>
      </c>
      <c r="M2478" s="301">
        <v>0</v>
      </c>
      <c r="N2478" s="301">
        <v>0</v>
      </c>
      <c r="O2478" s="301">
        <v>866286</v>
      </c>
      <c r="P2478" s="301">
        <v>0</v>
      </c>
      <c r="Q2478" s="301">
        <v>0</v>
      </c>
      <c r="R2478" s="301">
        <v>0</v>
      </c>
      <c r="S2478" s="301">
        <v>0</v>
      </c>
      <c r="T2478" s="301">
        <v>0</v>
      </c>
      <c r="U2478" s="301">
        <v>0</v>
      </c>
      <c r="V2478" s="301">
        <v>0</v>
      </c>
      <c r="W2478" s="301">
        <v>0</v>
      </c>
      <c r="X2478" s="301">
        <v>0</v>
      </c>
      <c r="Y2478" s="301">
        <v>0</v>
      </c>
      <c r="Z2478" s="301">
        <v>0</v>
      </c>
      <c r="AA2478" s="301">
        <v>0</v>
      </c>
      <c r="AB2478" s="303">
        <v>2022</v>
      </c>
    </row>
    <row r="2479" spans="1:28" ht="35.25" x14ac:dyDescent="0.5">
      <c r="B2479" s="299" t="s">
        <v>803</v>
      </c>
      <c r="C2479" s="300"/>
      <c r="D2479" s="296">
        <f t="shared" si="125"/>
        <v>315021.14</v>
      </c>
      <c r="E2479" s="296">
        <f t="shared" ref="E2479:AA2479" si="138">SUM(E2480:E2480)</f>
        <v>0</v>
      </c>
      <c r="F2479" s="296">
        <f t="shared" si="138"/>
        <v>0</v>
      </c>
      <c r="G2479" s="296">
        <f t="shared" si="138"/>
        <v>0</v>
      </c>
      <c r="H2479" s="296">
        <f t="shared" si="138"/>
        <v>0</v>
      </c>
      <c r="I2479" s="296">
        <f t="shared" si="138"/>
        <v>0</v>
      </c>
      <c r="J2479" s="296">
        <f t="shared" si="138"/>
        <v>0</v>
      </c>
      <c r="K2479" s="297">
        <f t="shared" si="138"/>
        <v>0</v>
      </c>
      <c r="L2479" s="296">
        <f t="shared" si="138"/>
        <v>0</v>
      </c>
      <c r="M2479" s="296">
        <f t="shared" si="138"/>
        <v>0</v>
      </c>
      <c r="N2479" s="296">
        <f t="shared" si="138"/>
        <v>0</v>
      </c>
      <c r="O2479" s="296">
        <f t="shared" si="138"/>
        <v>0</v>
      </c>
      <c r="P2479" s="296">
        <f t="shared" si="138"/>
        <v>315021.14</v>
      </c>
      <c r="Q2479" s="296">
        <f t="shared" si="138"/>
        <v>0</v>
      </c>
      <c r="R2479" s="296">
        <f t="shared" si="138"/>
        <v>0</v>
      </c>
      <c r="S2479" s="296">
        <f t="shared" si="138"/>
        <v>0</v>
      </c>
      <c r="T2479" s="296">
        <f t="shared" si="138"/>
        <v>0</v>
      </c>
      <c r="U2479" s="296">
        <f t="shared" si="138"/>
        <v>0</v>
      </c>
      <c r="V2479" s="296">
        <f t="shared" si="138"/>
        <v>0</v>
      </c>
      <c r="W2479" s="296">
        <f t="shared" si="138"/>
        <v>0</v>
      </c>
      <c r="X2479" s="296">
        <f t="shared" si="138"/>
        <v>0</v>
      </c>
      <c r="Y2479" s="296">
        <f t="shared" si="138"/>
        <v>0</v>
      </c>
      <c r="Z2479" s="296">
        <f t="shared" si="138"/>
        <v>0</v>
      </c>
      <c r="AA2479" s="296">
        <f t="shared" si="138"/>
        <v>0</v>
      </c>
      <c r="AB2479" s="298" t="s">
        <v>835</v>
      </c>
    </row>
    <row r="2480" spans="1:28" ht="35.25" x14ac:dyDescent="0.5">
      <c r="A2480">
        <v>1</v>
      </c>
      <c r="B2480" s="80">
        <f>SUBTOTAL(103,$A$1697:A2480)</f>
        <v>752</v>
      </c>
      <c r="C2480" s="300" t="s">
        <v>3641</v>
      </c>
      <c r="D2480" s="296">
        <f t="shared" si="125"/>
        <v>315021.14</v>
      </c>
      <c r="E2480" s="304">
        <v>0</v>
      </c>
      <c r="F2480" s="304">
        <v>0</v>
      </c>
      <c r="G2480" s="304">
        <v>0</v>
      </c>
      <c r="H2480" s="304">
        <v>0</v>
      </c>
      <c r="I2480" s="304">
        <v>0</v>
      </c>
      <c r="J2480" s="304">
        <v>0</v>
      </c>
      <c r="K2480" s="305">
        <v>0</v>
      </c>
      <c r="L2480" s="304">
        <v>0</v>
      </c>
      <c r="M2480" s="304">
        <v>0</v>
      </c>
      <c r="N2480" s="304">
        <v>0</v>
      </c>
      <c r="O2480" s="304">
        <v>0</v>
      </c>
      <c r="P2480" s="304">
        <v>315021.14</v>
      </c>
      <c r="Q2480" s="304">
        <v>0</v>
      </c>
      <c r="R2480" s="304">
        <v>0</v>
      </c>
      <c r="S2480" s="304">
        <v>0</v>
      </c>
      <c r="T2480" s="304">
        <v>0</v>
      </c>
      <c r="U2480" s="304">
        <v>0</v>
      </c>
      <c r="V2480" s="304">
        <v>0</v>
      </c>
      <c r="W2480" s="304">
        <v>0</v>
      </c>
      <c r="X2480" s="304">
        <v>0</v>
      </c>
      <c r="Y2480" s="304">
        <v>0</v>
      </c>
      <c r="Z2480" s="304">
        <v>0</v>
      </c>
      <c r="AA2480" s="304">
        <v>0</v>
      </c>
      <c r="AB2480" s="303">
        <v>2022</v>
      </c>
    </row>
  </sheetData>
  <autoFilter ref="A1696:AB1696" xr:uid="{00000000-0001-0000-0400-000000000000}"/>
  <mergeCells count="24"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  <mergeCell ref="R3:R4"/>
    <mergeCell ref="S3:S4"/>
    <mergeCell ref="Y3:Y4"/>
    <mergeCell ref="Z3:Z4"/>
    <mergeCell ref="AA3:AA4"/>
    <mergeCell ref="T3:T4"/>
    <mergeCell ref="U3:U4"/>
    <mergeCell ref="V3:V4"/>
    <mergeCell ref="W3:W4"/>
    <mergeCell ref="X3:X4"/>
  </mergeCells>
  <conditionalFormatting sqref="C2436:C2439 C2434">
    <cfRule type="expression" dxfId="15" priority="12" stopIfTrue="1">
      <formula>AND(COUNTIF($C$2436:$C$2439, C2434)+COUNTIF($C$2434:$C$2434, C2434)&gt;1,NOT(ISBLANK(C2434)))</formula>
    </cfRule>
  </conditionalFormatting>
  <conditionalFormatting sqref="C2443:C2448">
    <cfRule type="duplicateValues" dxfId="14" priority="11" stopIfTrue="1"/>
  </conditionalFormatting>
  <conditionalFormatting sqref="C2449:C2451">
    <cfRule type="duplicateValues" dxfId="13" priority="10" stopIfTrue="1"/>
  </conditionalFormatting>
  <conditionalFormatting sqref="C2435 C807:C1694">
    <cfRule type="expression" dxfId="12" priority="13" stopIfTrue="1">
      <formula>AND(COUNTIF($C$2435:$C$2435, C807)+COUNTIF($C$807:$C$1694, C807)&gt;1,NOT(ISBLANK(C807)))</formula>
    </cfRule>
  </conditionalFormatting>
  <conditionalFormatting sqref="C2454:C2456">
    <cfRule type="duplicateValues" dxfId="11" priority="9" stopIfTrue="1"/>
  </conditionalFormatting>
  <conditionalFormatting sqref="C2457:C2459">
    <cfRule type="duplicateValues" dxfId="10" priority="8" stopIfTrue="1"/>
  </conditionalFormatting>
  <conditionalFormatting sqref="C2460:C2461">
    <cfRule type="duplicateValues" dxfId="9" priority="7" stopIfTrue="1"/>
  </conditionalFormatting>
  <conditionalFormatting sqref="C9:C805">
    <cfRule type="duplicateValues" dxfId="8" priority="15" stopIfTrue="1"/>
  </conditionalFormatting>
  <conditionalFormatting sqref="C2462:C2464">
    <cfRule type="expression" dxfId="7" priority="6" stopIfTrue="1">
      <formula>AND(COUNTIF($C$2435:$C$2435, C2462)+COUNTIF($C$807:$C$1694, C2462)&gt;1,NOT(ISBLANK(C2462)))</formula>
    </cfRule>
  </conditionalFormatting>
  <conditionalFormatting sqref="C2465:C2467">
    <cfRule type="expression" dxfId="6" priority="5" stopIfTrue="1">
      <formula>AND(COUNTIF($C$2435:$C$2435, C2465)+COUNTIF($C$807:$C$1694, C2465)&gt;1,NOT(ISBLANK(C2465)))</formula>
    </cfRule>
  </conditionalFormatting>
  <conditionalFormatting sqref="C2468:C2469">
    <cfRule type="expression" dxfId="5" priority="4" stopIfTrue="1">
      <formula>AND(COUNTIF($C$2435:$C$2435, C2468)+COUNTIF($C$807:$C$1694, C2468)&gt;1,NOT(ISBLANK(C2468)))</formula>
    </cfRule>
  </conditionalFormatting>
  <conditionalFormatting sqref="C2470:C2475">
    <cfRule type="duplicateValues" dxfId="4" priority="3" stopIfTrue="1"/>
  </conditionalFormatting>
  <conditionalFormatting sqref="C2476:C2478">
    <cfRule type="duplicateValues" dxfId="3" priority="2" stopIfTrue="1"/>
  </conditionalFormatting>
  <conditionalFormatting sqref="C2479:C2480">
    <cfRule type="duplicateValues" dxfId="2" priority="1" stopIfTrue="1"/>
  </conditionalFormatting>
  <conditionalFormatting sqref="C2452:C2453">
    <cfRule type="duplicateValues" dxfId="1" priority="16" stopIfTrue="1"/>
  </conditionalFormatting>
  <conditionalFormatting sqref="C2440:C2442 C1697:C2433">
    <cfRule type="expression" dxfId="0" priority="912" stopIfTrue="1">
      <formula>AND(COUNTIF($C$2462:$C$2565, C1697)+COUNTIF($C$2440:$C$2442, C1697)+COUNTIF($C$1697:$C$2433, C1697)&gt;1,NOT(ISBLANK(C1697)))</formula>
    </cfRule>
  </conditionalFormatting>
  <pageMargins left="0.23622047244094491" right="0.23622047244094491" top="0.55118110236220474" bottom="0.35433070866141736" header="0.31496062992125984" footer="0.31496062992125984"/>
  <pageSetup paperSize="8" scale="1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AC22"/>
  <sheetViews>
    <sheetView view="pageBreakPreview" topLeftCell="L1" zoomScale="40" zoomScaleNormal="55" zoomScaleSheetLayoutView="40" workbookViewId="0">
      <selection activeCell="C1" sqref="C1:AC22"/>
    </sheetView>
  </sheetViews>
  <sheetFormatPr defaultRowHeight="15" x14ac:dyDescent="0.25"/>
  <cols>
    <col min="1" max="2" width="0" style="25" hidden="1" customWidth="1"/>
    <col min="3" max="3" width="15.7109375" style="25" customWidth="1"/>
    <col min="4" max="4" width="106.85546875" style="25" customWidth="1"/>
    <col min="5" max="5" width="32.28515625" style="25" customWidth="1"/>
    <col min="6" max="6" width="23.7109375" style="25" customWidth="1"/>
    <col min="7" max="7" width="26.42578125" style="25" customWidth="1"/>
    <col min="8" max="8" width="26.5703125" style="25" customWidth="1"/>
    <col min="9" max="9" width="27.85546875" style="25" customWidth="1"/>
    <col min="10" max="10" width="28.140625" style="25" customWidth="1"/>
    <col min="11" max="11" width="24.28515625" style="25" customWidth="1"/>
    <col min="12" max="12" width="13.140625" style="25" customWidth="1"/>
    <col min="13" max="13" width="28.85546875" style="25" customWidth="1"/>
    <col min="14" max="14" width="34.42578125" style="25" customWidth="1"/>
    <col min="15" max="15" width="18.140625" style="25" customWidth="1"/>
    <col min="16" max="16" width="33.7109375" style="25" customWidth="1"/>
    <col min="17" max="17" width="23.28515625" style="25" customWidth="1"/>
    <col min="18" max="18" width="18.42578125" style="25" customWidth="1"/>
    <col min="19" max="19" width="27.85546875" style="25" customWidth="1"/>
    <col min="20" max="20" width="49.42578125" style="25" customWidth="1"/>
    <col min="21" max="21" width="32.140625" style="25" customWidth="1"/>
    <col min="22" max="22" width="22.42578125" style="25" customWidth="1"/>
    <col min="23" max="23" width="33" style="25" customWidth="1"/>
    <col min="24" max="24" width="58.85546875" style="25" customWidth="1"/>
    <col min="25" max="25" width="37.85546875" style="25" customWidth="1"/>
    <col min="26" max="26" width="23" style="25" customWidth="1"/>
    <col min="27" max="27" width="24.85546875" style="25" customWidth="1"/>
    <col min="28" max="28" width="28.7109375" style="25" customWidth="1"/>
    <col min="29" max="29" width="23.85546875" style="25" customWidth="1"/>
    <col min="30" max="256" width="9.140625" style="25"/>
    <col min="257" max="258" width="0" style="25" hidden="1" customWidth="1"/>
    <col min="259" max="259" width="15.7109375" style="25" customWidth="1"/>
    <col min="260" max="260" width="93.42578125" style="25" customWidth="1"/>
    <col min="261" max="261" width="32.28515625" style="25" customWidth="1"/>
    <col min="262" max="262" width="23.7109375" style="25" customWidth="1"/>
    <col min="263" max="263" width="26.42578125" style="25" customWidth="1"/>
    <col min="264" max="264" width="26.5703125" style="25" customWidth="1"/>
    <col min="265" max="265" width="27.85546875" style="25" customWidth="1"/>
    <col min="266" max="266" width="28.140625" style="25" customWidth="1"/>
    <col min="267" max="267" width="24.28515625" style="25" customWidth="1"/>
    <col min="268" max="268" width="13.140625" style="25" customWidth="1"/>
    <col min="269" max="269" width="19.85546875" style="25" customWidth="1"/>
    <col min="270" max="270" width="34.42578125" style="25" customWidth="1"/>
    <col min="271" max="271" width="18.140625" style="25" customWidth="1"/>
    <col min="272" max="272" width="24.7109375" style="25" customWidth="1"/>
    <col min="273" max="273" width="23.28515625" style="25" customWidth="1"/>
    <col min="274" max="274" width="18.42578125" style="25" customWidth="1"/>
    <col min="275" max="275" width="27.85546875" style="25" customWidth="1"/>
    <col min="276" max="276" width="49.42578125" style="25" customWidth="1"/>
    <col min="277" max="277" width="32.140625" style="25" customWidth="1"/>
    <col min="278" max="278" width="22.42578125" style="25" customWidth="1"/>
    <col min="279" max="279" width="33" style="25" customWidth="1"/>
    <col min="280" max="280" width="58.85546875" style="25" customWidth="1"/>
    <col min="281" max="281" width="37.85546875" style="25" customWidth="1"/>
    <col min="282" max="282" width="17.5703125" style="25" customWidth="1"/>
    <col min="283" max="283" width="16.5703125" style="25" customWidth="1"/>
    <col min="284" max="284" width="28.7109375" style="25" customWidth="1"/>
    <col min="285" max="285" width="23.85546875" style="25" customWidth="1"/>
    <col min="286" max="512" width="9.140625" style="25"/>
    <col min="513" max="514" width="0" style="25" hidden="1" customWidth="1"/>
    <col min="515" max="515" width="15.7109375" style="25" customWidth="1"/>
    <col min="516" max="516" width="93.42578125" style="25" customWidth="1"/>
    <col min="517" max="517" width="32.28515625" style="25" customWidth="1"/>
    <col min="518" max="518" width="23.7109375" style="25" customWidth="1"/>
    <col min="519" max="519" width="26.42578125" style="25" customWidth="1"/>
    <col min="520" max="520" width="26.5703125" style="25" customWidth="1"/>
    <col min="521" max="521" width="27.85546875" style="25" customWidth="1"/>
    <col min="522" max="522" width="28.140625" style="25" customWidth="1"/>
    <col min="523" max="523" width="24.28515625" style="25" customWidth="1"/>
    <col min="524" max="524" width="13.140625" style="25" customWidth="1"/>
    <col min="525" max="525" width="19.85546875" style="25" customWidth="1"/>
    <col min="526" max="526" width="34.42578125" style="25" customWidth="1"/>
    <col min="527" max="527" width="18.140625" style="25" customWidth="1"/>
    <col min="528" max="528" width="24.7109375" style="25" customWidth="1"/>
    <col min="529" max="529" width="23.28515625" style="25" customWidth="1"/>
    <col min="530" max="530" width="18.42578125" style="25" customWidth="1"/>
    <col min="531" max="531" width="27.85546875" style="25" customWidth="1"/>
    <col min="532" max="532" width="49.42578125" style="25" customWidth="1"/>
    <col min="533" max="533" width="32.140625" style="25" customWidth="1"/>
    <col min="534" max="534" width="22.42578125" style="25" customWidth="1"/>
    <col min="535" max="535" width="33" style="25" customWidth="1"/>
    <col min="536" max="536" width="58.85546875" style="25" customWidth="1"/>
    <col min="537" max="537" width="37.85546875" style="25" customWidth="1"/>
    <col min="538" max="538" width="17.5703125" style="25" customWidth="1"/>
    <col min="539" max="539" width="16.5703125" style="25" customWidth="1"/>
    <col min="540" max="540" width="28.7109375" style="25" customWidth="1"/>
    <col min="541" max="541" width="23.85546875" style="25" customWidth="1"/>
    <col min="542" max="768" width="9.140625" style="25"/>
    <col min="769" max="770" width="0" style="25" hidden="1" customWidth="1"/>
    <col min="771" max="771" width="15.7109375" style="25" customWidth="1"/>
    <col min="772" max="772" width="93.42578125" style="25" customWidth="1"/>
    <col min="773" max="773" width="32.28515625" style="25" customWidth="1"/>
    <col min="774" max="774" width="23.7109375" style="25" customWidth="1"/>
    <col min="775" max="775" width="26.42578125" style="25" customWidth="1"/>
    <col min="776" max="776" width="26.5703125" style="25" customWidth="1"/>
    <col min="777" max="777" width="27.85546875" style="25" customWidth="1"/>
    <col min="778" max="778" width="28.140625" style="25" customWidth="1"/>
    <col min="779" max="779" width="24.28515625" style="25" customWidth="1"/>
    <col min="780" max="780" width="13.140625" style="25" customWidth="1"/>
    <col min="781" max="781" width="19.85546875" style="25" customWidth="1"/>
    <col min="782" max="782" width="34.42578125" style="25" customWidth="1"/>
    <col min="783" max="783" width="18.140625" style="25" customWidth="1"/>
    <col min="784" max="784" width="24.7109375" style="25" customWidth="1"/>
    <col min="785" max="785" width="23.28515625" style="25" customWidth="1"/>
    <col min="786" max="786" width="18.42578125" style="25" customWidth="1"/>
    <col min="787" max="787" width="27.85546875" style="25" customWidth="1"/>
    <col min="788" max="788" width="49.42578125" style="25" customWidth="1"/>
    <col min="789" max="789" width="32.140625" style="25" customWidth="1"/>
    <col min="790" max="790" width="22.42578125" style="25" customWidth="1"/>
    <col min="791" max="791" width="33" style="25" customWidth="1"/>
    <col min="792" max="792" width="58.85546875" style="25" customWidth="1"/>
    <col min="793" max="793" width="37.85546875" style="25" customWidth="1"/>
    <col min="794" max="794" width="17.5703125" style="25" customWidth="1"/>
    <col min="795" max="795" width="16.5703125" style="25" customWidth="1"/>
    <col min="796" max="796" width="28.7109375" style="25" customWidth="1"/>
    <col min="797" max="797" width="23.85546875" style="25" customWidth="1"/>
    <col min="798" max="1024" width="9.140625" style="25"/>
    <col min="1025" max="1026" width="0" style="25" hidden="1" customWidth="1"/>
    <col min="1027" max="1027" width="15.7109375" style="25" customWidth="1"/>
    <col min="1028" max="1028" width="93.42578125" style="25" customWidth="1"/>
    <col min="1029" max="1029" width="32.28515625" style="25" customWidth="1"/>
    <col min="1030" max="1030" width="23.7109375" style="25" customWidth="1"/>
    <col min="1031" max="1031" width="26.42578125" style="25" customWidth="1"/>
    <col min="1032" max="1032" width="26.5703125" style="25" customWidth="1"/>
    <col min="1033" max="1033" width="27.85546875" style="25" customWidth="1"/>
    <col min="1034" max="1034" width="28.140625" style="25" customWidth="1"/>
    <col min="1035" max="1035" width="24.28515625" style="25" customWidth="1"/>
    <col min="1036" max="1036" width="13.140625" style="25" customWidth="1"/>
    <col min="1037" max="1037" width="19.85546875" style="25" customWidth="1"/>
    <col min="1038" max="1038" width="34.42578125" style="25" customWidth="1"/>
    <col min="1039" max="1039" width="18.140625" style="25" customWidth="1"/>
    <col min="1040" max="1040" width="24.7109375" style="25" customWidth="1"/>
    <col min="1041" max="1041" width="23.28515625" style="25" customWidth="1"/>
    <col min="1042" max="1042" width="18.42578125" style="25" customWidth="1"/>
    <col min="1043" max="1043" width="27.85546875" style="25" customWidth="1"/>
    <col min="1044" max="1044" width="49.42578125" style="25" customWidth="1"/>
    <col min="1045" max="1045" width="32.140625" style="25" customWidth="1"/>
    <col min="1046" max="1046" width="22.42578125" style="25" customWidth="1"/>
    <col min="1047" max="1047" width="33" style="25" customWidth="1"/>
    <col min="1048" max="1048" width="58.85546875" style="25" customWidth="1"/>
    <col min="1049" max="1049" width="37.85546875" style="25" customWidth="1"/>
    <col min="1050" max="1050" width="17.5703125" style="25" customWidth="1"/>
    <col min="1051" max="1051" width="16.5703125" style="25" customWidth="1"/>
    <col min="1052" max="1052" width="28.7109375" style="25" customWidth="1"/>
    <col min="1053" max="1053" width="23.85546875" style="25" customWidth="1"/>
    <col min="1054" max="1280" width="9.140625" style="25"/>
    <col min="1281" max="1282" width="0" style="25" hidden="1" customWidth="1"/>
    <col min="1283" max="1283" width="15.7109375" style="25" customWidth="1"/>
    <col min="1284" max="1284" width="93.42578125" style="25" customWidth="1"/>
    <col min="1285" max="1285" width="32.28515625" style="25" customWidth="1"/>
    <col min="1286" max="1286" width="23.7109375" style="25" customWidth="1"/>
    <col min="1287" max="1287" width="26.42578125" style="25" customWidth="1"/>
    <col min="1288" max="1288" width="26.5703125" style="25" customWidth="1"/>
    <col min="1289" max="1289" width="27.85546875" style="25" customWidth="1"/>
    <col min="1290" max="1290" width="28.140625" style="25" customWidth="1"/>
    <col min="1291" max="1291" width="24.28515625" style="25" customWidth="1"/>
    <col min="1292" max="1292" width="13.140625" style="25" customWidth="1"/>
    <col min="1293" max="1293" width="19.85546875" style="25" customWidth="1"/>
    <col min="1294" max="1294" width="34.42578125" style="25" customWidth="1"/>
    <col min="1295" max="1295" width="18.140625" style="25" customWidth="1"/>
    <col min="1296" max="1296" width="24.7109375" style="25" customWidth="1"/>
    <col min="1297" max="1297" width="23.28515625" style="25" customWidth="1"/>
    <col min="1298" max="1298" width="18.42578125" style="25" customWidth="1"/>
    <col min="1299" max="1299" width="27.85546875" style="25" customWidth="1"/>
    <col min="1300" max="1300" width="49.42578125" style="25" customWidth="1"/>
    <col min="1301" max="1301" width="32.140625" style="25" customWidth="1"/>
    <col min="1302" max="1302" width="22.42578125" style="25" customWidth="1"/>
    <col min="1303" max="1303" width="33" style="25" customWidth="1"/>
    <col min="1304" max="1304" width="58.85546875" style="25" customWidth="1"/>
    <col min="1305" max="1305" width="37.85546875" style="25" customWidth="1"/>
    <col min="1306" max="1306" width="17.5703125" style="25" customWidth="1"/>
    <col min="1307" max="1307" width="16.5703125" style="25" customWidth="1"/>
    <col min="1308" max="1308" width="28.7109375" style="25" customWidth="1"/>
    <col min="1309" max="1309" width="23.85546875" style="25" customWidth="1"/>
    <col min="1310" max="1536" width="9.140625" style="25"/>
    <col min="1537" max="1538" width="0" style="25" hidden="1" customWidth="1"/>
    <col min="1539" max="1539" width="15.7109375" style="25" customWidth="1"/>
    <col min="1540" max="1540" width="93.42578125" style="25" customWidth="1"/>
    <col min="1541" max="1541" width="32.28515625" style="25" customWidth="1"/>
    <col min="1542" max="1542" width="23.7109375" style="25" customWidth="1"/>
    <col min="1543" max="1543" width="26.42578125" style="25" customWidth="1"/>
    <col min="1544" max="1544" width="26.5703125" style="25" customWidth="1"/>
    <col min="1545" max="1545" width="27.85546875" style="25" customWidth="1"/>
    <col min="1546" max="1546" width="28.140625" style="25" customWidth="1"/>
    <col min="1547" max="1547" width="24.28515625" style="25" customWidth="1"/>
    <col min="1548" max="1548" width="13.140625" style="25" customWidth="1"/>
    <col min="1549" max="1549" width="19.85546875" style="25" customWidth="1"/>
    <col min="1550" max="1550" width="34.42578125" style="25" customWidth="1"/>
    <col min="1551" max="1551" width="18.140625" style="25" customWidth="1"/>
    <col min="1552" max="1552" width="24.7109375" style="25" customWidth="1"/>
    <col min="1553" max="1553" width="23.28515625" style="25" customWidth="1"/>
    <col min="1554" max="1554" width="18.42578125" style="25" customWidth="1"/>
    <col min="1555" max="1555" width="27.85546875" style="25" customWidth="1"/>
    <col min="1556" max="1556" width="49.42578125" style="25" customWidth="1"/>
    <col min="1557" max="1557" width="32.140625" style="25" customWidth="1"/>
    <col min="1558" max="1558" width="22.42578125" style="25" customWidth="1"/>
    <col min="1559" max="1559" width="33" style="25" customWidth="1"/>
    <col min="1560" max="1560" width="58.85546875" style="25" customWidth="1"/>
    <col min="1561" max="1561" width="37.85546875" style="25" customWidth="1"/>
    <col min="1562" max="1562" width="17.5703125" style="25" customWidth="1"/>
    <col min="1563" max="1563" width="16.5703125" style="25" customWidth="1"/>
    <col min="1564" max="1564" width="28.7109375" style="25" customWidth="1"/>
    <col min="1565" max="1565" width="23.85546875" style="25" customWidth="1"/>
    <col min="1566" max="1792" width="9.140625" style="25"/>
    <col min="1793" max="1794" width="0" style="25" hidden="1" customWidth="1"/>
    <col min="1795" max="1795" width="15.7109375" style="25" customWidth="1"/>
    <col min="1796" max="1796" width="93.42578125" style="25" customWidth="1"/>
    <col min="1797" max="1797" width="32.28515625" style="25" customWidth="1"/>
    <col min="1798" max="1798" width="23.7109375" style="25" customWidth="1"/>
    <col min="1799" max="1799" width="26.42578125" style="25" customWidth="1"/>
    <col min="1800" max="1800" width="26.5703125" style="25" customWidth="1"/>
    <col min="1801" max="1801" width="27.85546875" style="25" customWidth="1"/>
    <col min="1802" max="1802" width="28.140625" style="25" customWidth="1"/>
    <col min="1803" max="1803" width="24.28515625" style="25" customWidth="1"/>
    <col min="1804" max="1804" width="13.140625" style="25" customWidth="1"/>
    <col min="1805" max="1805" width="19.85546875" style="25" customWidth="1"/>
    <col min="1806" max="1806" width="34.42578125" style="25" customWidth="1"/>
    <col min="1807" max="1807" width="18.140625" style="25" customWidth="1"/>
    <col min="1808" max="1808" width="24.7109375" style="25" customWidth="1"/>
    <col min="1809" max="1809" width="23.28515625" style="25" customWidth="1"/>
    <col min="1810" max="1810" width="18.42578125" style="25" customWidth="1"/>
    <col min="1811" max="1811" width="27.85546875" style="25" customWidth="1"/>
    <col min="1812" max="1812" width="49.42578125" style="25" customWidth="1"/>
    <col min="1813" max="1813" width="32.140625" style="25" customWidth="1"/>
    <col min="1814" max="1814" width="22.42578125" style="25" customWidth="1"/>
    <col min="1815" max="1815" width="33" style="25" customWidth="1"/>
    <col min="1816" max="1816" width="58.85546875" style="25" customWidth="1"/>
    <col min="1817" max="1817" width="37.85546875" style="25" customWidth="1"/>
    <col min="1818" max="1818" width="17.5703125" style="25" customWidth="1"/>
    <col min="1819" max="1819" width="16.5703125" style="25" customWidth="1"/>
    <col min="1820" max="1820" width="28.7109375" style="25" customWidth="1"/>
    <col min="1821" max="1821" width="23.85546875" style="25" customWidth="1"/>
    <col min="1822" max="2048" width="9.140625" style="25"/>
    <col min="2049" max="2050" width="0" style="25" hidden="1" customWidth="1"/>
    <col min="2051" max="2051" width="15.7109375" style="25" customWidth="1"/>
    <col min="2052" max="2052" width="93.42578125" style="25" customWidth="1"/>
    <col min="2053" max="2053" width="32.28515625" style="25" customWidth="1"/>
    <col min="2054" max="2054" width="23.7109375" style="25" customWidth="1"/>
    <col min="2055" max="2055" width="26.42578125" style="25" customWidth="1"/>
    <col min="2056" max="2056" width="26.5703125" style="25" customWidth="1"/>
    <col min="2057" max="2057" width="27.85546875" style="25" customWidth="1"/>
    <col min="2058" max="2058" width="28.140625" style="25" customWidth="1"/>
    <col min="2059" max="2059" width="24.28515625" style="25" customWidth="1"/>
    <col min="2060" max="2060" width="13.140625" style="25" customWidth="1"/>
    <col min="2061" max="2061" width="19.85546875" style="25" customWidth="1"/>
    <col min="2062" max="2062" width="34.42578125" style="25" customWidth="1"/>
    <col min="2063" max="2063" width="18.140625" style="25" customWidth="1"/>
    <col min="2064" max="2064" width="24.7109375" style="25" customWidth="1"/>
    <col min="2065" max="2065" width="23.28515625" style="25" customWidth="1"/>
    <col min="2066" max="2066" width="18.42578125" style="25" customWidth="1"/>
    <col min="2067" max="2067" width="27.85546875" style="25" customWidth="1"/>
    <col min="2068" max="2068" width="49.42578125" style="25" customWidth="1"/>
    <col min="2069" max="2069" width="32.140625" style="25" customWidth="1"/>
    <col min="2070" max="2070" width="22.42578125" style="25" customWidth="1"/>
    <col min="2071" max="2071" width="33" style="25" customWidth="1"/>
    <col min="2072" max="2072" width="58.85546875" style="25" customWidth="1"/>
    <col min="2073" max="2073" width="37.85546875" style="25" customWidth="1"/>
    <col min="2074" max="2074" width="17.5703125" style="25" customWidth="1"/>
    <col min="2075" max="2075" width="16.5703125" style="25" customWidth="1"/>
    <col min="2076" max="2076" width="28.7109375" style="25" customWidth="1"/>
    <col min="2077" max="2077" width="23.85546875" style="25" customWidth="1"/>
    <col min="2078" max="2304" width="9.140625" style="25"/>
    <col min="2305" max="2306" width="0" style="25" hidden="1" customWidth="1"/>
    <col min="2307" max="2307" width="15.7109375" style="25" customWidth="1"/>
    <col min="2308" max="2308" width="93.42578125" style="25" customWidth="1"/>
    <col min="2309" max="2309" width="32.28515625" style="25" customWidth="1"/>
    <col min="2310" max="2310" width="23.7109375" style="25" customWidth="1"/>
    <col min="2311" max="2311" width="26.42578125" style="25" customWidth="1"/>
    <col min="2312" max="2312" width="26.5703125" style="25" customWidth="1"/>
    <col min="2313" max="2313" width="27.85546875" style="25" customWidth="1"/>
    <col min="2314" max="2314" width="28.140625" style="25" customWidth="1"/>
    <col min="2315" max="2315" width="24.28515625" style="25" customWidth="1"/>
    <col min="2316" max="2316" width="13.140625" style="25" customWidth="1"/>
    <col min="2317" max="2317" width="19.85546875" style="25" customWidth="1"/>
    <col min="2318" max="2318" width="34.42578125" style="25" customWidth="1"/>
    <col min="2319" max="2319" width="18.140625" style="25" customWidth="1"/>
    <col min="2320" max="2320" width="24.7109375" style="25" customWidth="1"/>
    <col min="2321" max="2321" width="23.28515625" style="25" customWidth="1"/>
    <col min="2322" max="2322" width="18.42578125" style="25" customWidth="1"/>
    <col min="2323" max="2323" width="27.85546875" style="25" customWidth="1"/>
    <col min="2324" max="2324" width="49.42578125" style="25" customWidth="1"/>
    <col min="2325" max="2325" width="32.140625" style="25" customWidth="1"/>
    <col min="2326" max="2326" width="22.42578125" style="25" customWidth="1"/>
    <col min="2327" max="2327" width="33" style="25" customWidth="1"/>
    <col min="2328" max="2328" width="58.85546875" style="25" customWidth="1"/>
    <col min="2329" max="2329" width="37.85546875" style="25" customWidth="1"/>
    <col min="2330" max="2330" width="17.5703125" style="25" customWidth="1"/>
    <col min="2331" max="2331" width="16.5703125" style="25" customWidth="1"/>
    <col min="2332" max="2332" width="28.7109375" style="25" customWidth="1"/>
    <col min="2333" max="2333" width="23.85546875" style="25" customWidth="1"/>
    <col min="2334" max="2560" width="9.140625" style="25"/>
    <col min="2561" max="2562" width="0" style="25" hidden="1" customWidth="1"/>
    <col min="2563" max="2563" width="15.7109375" style="25" customWidth="1"/>
    <col min="2564" max="2564" width="93.42578125" style="25" customWidth="1"/>
    <col min="2565" max="2565" width="32.28515625" style="25" customWidth="1"/>
    <col min="2566" max="2566" width="23.7109375" style="25" customWidth="1"/>
    <col min="2567" max="2567" width="26.42578125" style="25" customWidth="1"/>
    <col min="2568" max="2568" width="26.5703125" style="25" customWidth="1"/>
    <col min="2569" max="2569" width="27.85546875" style="25" customWidth="1"/>
    <col min="2570" max="2570" width="28.140625" style="25" customWidth="1"/>
    <col min="2571" max="2571" width="24.28515625" style="25" customWidth="1"/>
    <col min="2572" max="2572" width="13.140625" style="25" customWidth="1"/>
    <col min="2573" max="2573" width="19.85546875" style="25" customWidth="1"/>
    <col min="2574" max="2574" width="34.42578125" style="25" customWidth="1"/>
    <col min="2575" max="2575" width="18.140625" style="25" customWidth="1"/>
    <col min="2576" max="2576" width="24.7109375" style="25" customWidth="1"/>
    <col min="2577" max="2577" width="23.28515625" style="25" customWidth="1"/>
    <col min="2578" max="2578" width="18.42578125" style="25" customWidth="1"/>
    <col min="2579" max="2579" width="27.85546875" style="25" customWidth="1"/>
    <col min="2580" max="2580" width="49.42578125" style="25" customWidth="1"/>
    <col min="2581" max="2581" width="32.140625" style="25" customWidth="1"/>
    <col min="2582" max="2582" width="22.42578125" style="25" customWidth="1"/>
    <col min="2583" max="2583" width="33" style="25" customWidth="1"/>
    <col min="2584" max="2584" width="58.85546875" style="25" customWidth="1"/>
    <col min="2585" max="2585" width="37.85546875" style="25" customWidth="1"/>
    <col min="2586" max="2586" width="17.5703125" style="25" customWidth="1"/>
    <col min="2587" max="2587" width="16.5703125" style="25" customWidth="1"/>
    <col min="2588" max="2588" width="28.7109375" style="25" customWidth="1"/>
    <col min="2589" max="2589" width="23.85546875" style="25" customWidth="1"/>
    <col min="2590" max="2816" width="9.140625" style="25"/>
    <col min="2817" max="2818" width="0" style="25" hidden="1" customWidth="1"/>
    <col min="2819" max="2819" width="15.7109375" style="25" customWidth="1"/>
    <col min="2820" max="2820" width="93.42578125" style="25" customWidth="1"/>
    <col min="2821" max="2821" width="32.28515625" style="25" customWidth="1"/>
    <col min="2822" max="2822" width="23.7109375" style="25" customWidth="1"/>
    <col min="2823" max="2823" width="26.42578125" style="25" customWidth="1"/>
    <col min="2824" max="2824" width="26.5703125" style="25" customWidth="1"/>
    <col min="2825" max="2825" width="27.85546875" style="25" customWidth="1"/>
    <col min="2826" max="2826" width="28.140625" style="25" customWidth="1"/>
    <col min="2827" max="2827" width="24.28515625" style="25" customWidth="1"/>
    <col min="2828" max="2828" width="13.140625" style="25" customWidth="1"/>
    <col min="2829" max="2829" width="19.85546875" style="25" customWidth="1"/>
    <col min="2830" max="2830" width="34.42578125" style="25" customWidth="1"/>
    <col min="2831" max="2831" width="18.140625" style="25" customWidth="1"/>
    <col min="2832" max="2832" width="24.7109375" style="25" customWidth="1"/>
    <col min="2833" max="2833" width="23.28515625" style="25" customWidth="1"/>
    <col min="2834" max="2834" width="18.42578125" style="25" customWidth="1"/>
    <col min="2835" max="2835" width="27.85546875" style="25" customWidth="1"/>
    <col min="2836" max="2836" width="49.42578125" style="25" customWidth="1"/>
    <col min="2837" max="2837" width="32.140625" style="25" customWidth="1"/>
    <col min="2838" max="2838" width="22.42578125" style="25" customWidth="1"/>
    <col min="2839" max="2839" width="33" style="25" customWidth="1"/>
    <col min="2840" max="2840" width="58.85546875" style="25" customWidth="1"/>
    <col min="2841" max="2841" width="37.85546875" style="25" customWidth="1"/>
    <col min="2842" max="2842" width="17.5703125" style="25" customWidth="1"/>
    <col min="2843" max="2843" width="16.5703125" style="25" customWidth="1"/>
    <col min="2844" max="2844" width="28.7109375" style="25" customWidth="1"/>
    <col min="2845" max="2845" width="23.85546875" style="25" customWidth="1"/>
    <col min="2846" max="3072" width="9.140625" style="25"/>
    <col min="3073" max="3074" width="0" style="25" hidden="1" customWidth="1"/>
    <col min="3075" max="3075" width="15.7109375" style="25" customWidth="1"/>
    <col min="3076" max="3076" width="93.42578125" style="25" customWidth="1"/>
    <col min="3077" max="3077" width="32.28515625" style="25" customWidth="1"/>
    <col min="3078" max="3078" width="23.7109375" style="25" customWidth="1"/>
    <col min="3079" max="3079" width="26.42578125" style="25" customWidth="1"/>
    <col min="3080" max="3080" width="26.5703125" style="25" customWidth="1"/>
    <col min="3081" max="3081" width="27.85546875" style="25" customWidth="1"/>
    <col min="3082" max="3082" width="28.140625" style="25" customWidth="1"/>
    <col min="3083" max="3083" width="24.28515625" style="25" customWidth="1"/>
    <col min="3084" max="3084" width="13.140625" style="25" customWidth="1"/>
    <col min="3085" max="3085" width="19.85546875" style="25" customWidth="1"/>
    <col min="3086" max="3086" width="34.42578125" style="25" customWidth="1"/>
    <col min="3087" max="3087" width="18.140625" style="25" customWidth="1"/>
    <col min="3088" max="3088" width="24.7109375" style="25" customWidth="1"/>
    <col min="3089" max="3089" width="23.28515625" style="25" customWidth="1"/>
    <col min="3090" max="3090" width="18.42578125" style="25" customWidth="1"/>
    <col min="3091" max="3091" width="27.85546875" style="25" customWidth="1"/>
    <col min="3092" max="3092" width="49.42578125" style="25" customWidth="1"/>
    <col min="3093" max="3093" width="32.140625" style="25" customWidth="1"/>
    <col min="3094" max="3094" width="22.42578125" style="25" customWidth="1"/>
    <col min="3095" max="3095" width="33" style="25" customWidth="1"/>
    <col min="3096" max="3096" width="58.85546875" style="25" customWidth="1"/>
    <col min="3097" max="3097" width="37.85546875" style="25" customWidth="1"/>
    <col min="3098" max="3098" width="17.5703125" style="25" customWidth="1"/>
    <col min="3099" max="3099" width="16.5703125" style="25" customWidth="1"/>
    <col min="3100" max="3100" width="28.7109375" style="25" customWidth="1"/>
    <col min="3101" max="3101" width="23.85546875" style="25" customWidth="1"/>
    <col min="3102" max="3328" width="9.140625" style="25"/>
    <col min="3329" max="3330" width="0" style="25" hidden="1" customWidth="1"/>
    <col min="3331" max="3331" width="15.7109375" style="25" customWidth="1"/>
    <col min="3332" max="3332" width="93.42578125" style="25" customWidth="1"/>
    <col min="3333" max="3333" width="32.28515625" style="25" customWidth="1"/>
    <col min="3334" max="3334" width="23.7109375" style="25" customWidth="1"/>
    <col min="3335" max="3335" width="26.42578125" style="25" customWidth="1"/>
    <col min="3336" max="3336" width="26.5703125" style="25" customWidth="1"/>
    <col min="3337" max="3337" width="27.85546875" style="25" customWidth="1"/>
    <col min="3338" max="3338" width="28.140625" style="25" customWidth="1"/>
    <col min="3339" max="3339" width="24.28515625" style="25" customWidth="1"/>
    <col min="3340" max="3340" width="13.140625" style="25" customWidth="1"/>
    <col min="3341" max="3341" width="19.85546875" style="25" customWidth="1"/>
    <col min="3342" max="3342" width="34.42578125" style="25" customWidth="1"/>
    <col min="3343" max="3343" width="18.140625" style="25" customWidth="1"/>
    <col min="3344" max="3344" width="24.7109375" style="25" customWidth="1"/>
    <col min="3345" max="3345" width="23.28515625" style="25" customWidth="1"/>
    <col min="3346" max="3346" width="18.42578125" style="25" customWidth="1"/>
    <col min="3347" max="3347" width="27.85546875" style="25" customWidth="1"/>
    <col min="3348" max="3348" width="49.42578125" style="25" customWidth="1"/>
    <col min="3349" max="3349" width="32.140625" style="25" customWidth="1"/>
    <col min="3350" max="3350" width="22.42578125" style="25" customWidth="1"/>
    <col min="3351" max="3351" width="33" style="25" customWidth="1"/>
    <col min="3352" max="3352" width="58.85546875" style="25" customWidth="1"/>
    <col min="3353" max="3353" width="37.85546875" style="25" customWidth="1"/>
    <col min="3354" max="3354" width="17.5703125" style="25" customWidth="1"/>
    <col min="3355" max="3355" width="16.5703125" style="25" customWidth="1"/>
    <col min="3356" max="3356" width="28.7109375" style="25" customWidth="1"/>
    <col min="3357" max="3357" width="23.85546875" style="25" customWidth="1"/>
    <col min="3358" max="3584" width="9.140625" style="25"/>
    <col min="3585" max="3586" width="0" style="25" hidden="1" customWidth="1"/>
    <col min="3587" max="3587" width="15.7109375" style="25" customWidth="1"/>
    <col min="3588" max="3588" width="93.42578125" style="25" customWidth="1"/>
    <col min="3589" max="3589" width="32.28515625" style="25" customWidth="1"/>
    <col min="3590" max="3590" width="23.7109375" style="25" customWidth="1"/>
    <col min="3591" max="3591" width="26.42578125" style="25" customWidth="1"/>
    <col min="3592" max="3592" width="26.5703125" style="25" customWidth="1"/>
    <col min="3593" max="3593" width="27.85546875" style="25" customWidth="1"/>
    <col min="3594" max="3594" width="28.140625" style="25" customWidth="1"/>
    <col min="3595" max="3595" width="24.28515625" style="25" customWidth="1"/>
    <col min="3596" max="3596" width="13.140625" style="25" customWidth="1"/>
    <col min="3597" max="3597" width="19.85546875" style="25" customWidth="1"/>
    <col min="3598" max="3598" width="34.42578125" style="25" customWidth="1"/>
    <col min="3599" max="3599" width="18.140625" style="25" customWidth="1"/>
    <col min="3600" max="3600" width="24.7109375" style="25" customWidth="1"/>
    <col min="3601" max="3601" width="23.28515625" style="25" customWidth="1"/>
    <col min="3602" max="3602" width="18.42578125" style="25" customWidth="1"/>
    <col min="3603" max="3603" width="27.85546875" style="25" customWidth="1"/>
    <col min="3604" max="3604" width="49.42578125" style="25" customWidth="1"/>
    <col min="3605" max="3605" width="32.140625" style="25" customWidth="1"/>
    <col min="3606" max="3606" width="22.42578125" style="25" customWidth="1"/>
    <col min="3607" max="3607" width="33" style="25" customWidth="1"/>
    <col min="3608" max="3608" width="58.85546875" style="25" customWidth="1"/>
    <col min="3609" max="3609" width="37.85546875" style="25" customWidth="1"/>
    <col min="3610" max="3610" width="17.5703125" style="25" customWidth="1"/>
    <col min="3611" max="3611" width="16.5703125" style="25" customWidth="1"/>
    <col min="3612" max="3612" width="28.7109375" style="25" customWidth="1"/>
    <col min="3613" max="3613" width="23.85546875" style="25" customWidth="1"/>
    <col min="3614" max="3840" width="9.140625" style="25"/>
    <col min="3841" max="3842" width="0" style="25" hidden="1" customWidth="1"/>
    <col min="3843" max="3843" width="15.7109375" style="25" customWidth="1"/>
    <col min="3844" max="3844" width="93.42578125" style="25" customWidth="1"/>
    <col min="3845" max="3845" width="32.28515625" style="25" customWidth="1"/>
    <col min="3846" max="3846" width="23.7109375" style="25" customWidth="1"/>
    <col min="3847" max="3847" width="26.42578125" style="25" customWidth="1"/>
    <col min="3848" max="3848" width="26.5703125" style="25" customWidth="1"/>
    <col min="3849" max="3849" width="27.85546875" style="25" customWidth="1"/>
    <col min="3850" max="3850" width="28.140625" style="25" customWidth="1"/>
    <col min="3851" max="3851" width="24.28515625" style="25" customWidth="1"/>
    <col min="3852" max="3852" width="13.140625" style="25" customWidth="1"/>
    <col min="3853" max="3853" width="19.85546875" style="25" customWidth="1"/>
    <col min="3854" max="3854" width="34.42578125" style="25" customWidth="1"/>
    <col min="3855" max="3855" width="18.140625" style="25" customWidth="1"/>
    <col min="3856" max="3856" width="24.7109375" style="25" customWidth="1"/>
    <col min="3857" max="3857" width="23.28515625" style="25" customWidth="1"/>
    <col min="3858" max="3858" width="18.42578125" style="25" customWidth="1"/>
    <col min="3859" max="3859" width="27.85546875" style="25" customWidth="1"/>
    <col min="3860" max="3860" width="49.42578125" style="25" customWidth="1"/>
    <col min="3861" max="3861" width="32.140625" style="25" customWidth="1"/>
    <col min="3862" max="3862" width="22.42578125" style="25" customWidth="1"/>
    <col min="3863" max="3863" width="33" style="25" customWidth="1"/>
    <col min="3864" max="3864" width="58.85546875" style="25" customWidth="1"/>
    <col min="3865" max="3865" width="37.85546875" style="25" customWidth="1"/>
    <col min="3866" max="3866" width="17.5703125" style="25" customWidth="1"/>
    <col min="3867" max="3867" width="16.5703125" style="25" customWidth="1"/>
    <col min="3868" max="3868" width="28.7109375" style="25" customWidth="1"/>
    <col min="3869" max="3869" width="23.85546875" style="25" customWidth="1"/>
    <col min="3870" max="4096" width="9.140625" style="25"/>
    <col min="4097" max="4098" width="0" style="25" hidden="1" customWidth="1"/>
    <col min="4099" max="4099" width="15.7109375" style="25" customWidth="1"/>
    <col min="4100" max="4100" width="93.42578125" style="25" customWidth="1"/>
    <col min="4101" max="4101" width="32.28515625" style="25" customWidth="1"/>
    <col min="4102" max="4102" width="23.7109375" style="25" customWidth="1"/>
    <col min="4103" max="4103" width="26.42578125" style="25" customWidth="1"/>
    <col min="4104" max="4104" width="26.5703125" style="25" customWidth="1"/>
    <col min="4105" max="4105" width="27.85546875" style="25" customWidth="1"/>
    <col min="4106" max="4106" width="28.140625" style="25" customWidth="1"/>
    <col min="4107" max="4107" width="24.28515625" style="25" customWidth="1"/>
    <col min="4108" max="4108" width="13.140625" style="25" customWidth="1"/>
    <col min="4109" max="4109" width="19.85546875" style="25" customWidth="1"/>
    <col min="4110" max="4110" width="34.42578125" style="25" customWidth="1"/>
    <col min="4111" max="4111" width="18.140625" style="25" customWidth="1"/>
    <col min="4112" max="4112" width="24.7109375" style="25" customWidth="1"/>
    <col min="4113" max="4113" width="23.28515625" style="25" customWidth="1"/>
    <col min="4114" max="4114" width="18.42578125" style="25" customWidth="1"/>
    <col min="4115" max="4115" width="27.85546875" style="25" customWidth="1"/>
    <col min="4116" max="4116" width="49.42578125" style="25" customWidth="1"/>
    <col min="4117" max="4117" width="32.140625" style="25" customWidth="1"/>
    <col min="4118" max="4118" width="22.42578125" style="25" customWidth="1"/>
    <col min="4119" max="4119" width="33" style="25" customWidth="1"/>
    <col min="4120" max="4120" width="58.85546875" style="25" customWidth="1"/>
    <col min="4121" max="4121" width="37.85546875" style="25" customWidth="1"/>
    <col min="4122" max="4122" width="17.5703125" style="25" customWidth="1"/>
    <col min="4123" max="4123" width="16.5703125" style="25" customWidth="1"/>
    <col min="4124" max="4124" width="28.7109375" style="25" customWidth="1"/>
    <col min="4125" max="4125" width="23.85546875" style="25" customWidth="1"/>
    <col min="4126" max="4352" width="9.140625" style="25"/>
    <col min="4353" max="4354" width="0" style="25" hidden="1" customWidth="1"/>
    <col min="4355" max="4355" width="15.7109375" style="25" customWidth="1"/>
    <col min="4356" max="4356" width="93.42578125" style="25" customWidth="1"/>
    <col min="4357" max="4357" width="32.28515625" style="25" customWidth="1"/>
    <col min="4358" max="4358" width="23.7109375" style="25" customWidth="1"/>
    <col min="4359" max="4359" width="26.42578125" style="25" customWidth="1"/>
    <col min="4360" max="4360" width="26.5703125" style="25" customWidth="1"/>
    <col min="4361" max="4361" width="27.85546875" style="25" customWidth="1"/>
    <col min="4362" max="4362" width="28.140625" style="25" customWidth="1"/>
    <col min="4363" max="4363" width="24.28515625" style="25" customWidth="1"/>
    <col min="4364" max="4364" width="13.140625" style="25" customWidth="1"/>
    <col min="4365" max="4365" width="19.85546875" style="25" customWidth="1"/>
    <col min="4366" max="4366" width="34.42578125" style="25" customWidth="1"/>
    <col min="4367" max="4367" width="18.140625" style="25" customWidth="1"/>
    <col min="4368" max="4368" width="24.7109375" style="25" customWidth="1"/>
    <col min="4369" max="4369" width="23.28515625" style="25" customWidth="1"/>
    <col min="4370" max="4370" width="18.42578125" style="25" customWidth="1"/>
    <col min="4371" max="4371" width="27.85546875" style="25" customWidth="1"/>
    <col min="4372" max="4372" width="49.42578125" style="25" customWidth="1"/>
    <col min="4373" max="4373" width="32.140625" style="25" customWidth="1"/>
    <col min="4374" max="4374" width="22.42578125" style="25" customWidth="1"/>
    <col min="4375" max="4375" width="33" style="25" customWidth="1"/>
    <col min="4376" max="4376" width="58.85546875" style="25" customWidth="1"/>
    <col min="4377" max="4377" width="37.85546875" style="25" customWidth="1"/>
    <col min="4378" max="4378" width="17.5703125" style="25" customWidth="1"/>
    <col min="4379" max="4379" width="16.5703125" style="25" customWidth="1"/>
    <col min="4380" max="4380" width="28.7109375" style="25" customWidth="1"/>
    <col min="4381" max="4381" width="23.85546875" style="25" customWidth="1"/>
    <col min="4382" max="4608" width="9.140625" style="25"/>
    <col min="4609" max="4610" width="0" style="25" hidden="1" customWidth="1"/>
    <col min="4611" max="4611" width="15.7109375" style="25" customWidth="1"/>
    <col min="4612" max="4612" width="93.42578125" style="25" customWidth="1"/>
    <col min="4613" max="4613" width="32.28515625" style="25" customWidth="1"/>
    <col min="4614" max="4614" width="23.7109375" style="25" customWidth="1"/>
    <col min="4615" max="4615" width="26.42578125" style="25" customWidth="1"/>
    <col min="4616" max="4616" width="26.5703125" style="25" customWidth="1"/>
    <col min="4617" max="4617" width="27.85546875" style="25" customWidth="1"/>
    <col min="4618" max="4618" width="28.140625" style="25" customWidth="1"/>
    <col min="4619" max="4619" width="24.28515625" style="25" customWidth="1"/>
    <col min="4620" max="4620" width="13.140625" style="25" customWidth="1"/>
    <col min="4621" max="4621" width="19.85546875" style="25" customWidth="1"/>
    <col min="4622" max="4622" width="34.42578125" style="25" customWidth="1"/>
    <col min="4623" max="4623" width="18.140625" style="25" customWidth="1"/>
    <col min="4624" max="4624" width="24.7109375" style="25" customWidth="1"/>
    <col min="4625" max="4625" width="23.28515625" style="25" customWidth="1"/>
    <col min="4626" max="4626" width="18.42578125" style="25" customWidth="1"/>
    <col min="4627" max="4627" width="27.85546875" style="25" customWidth="1"/>
    <col min="4628" max="4628" width="49.42578125" style="25" customWidth="1"/>
    <col min="4629" max="4629" width="32.140625" style="25" customWidth="1"/>
    <col min="4630" max="4630" width="22.42578125" style="25" customWidth="1"/>
    <col min="4631" max="4631" width="33" style="25" customWidth="1"/>
    <col min="4632" max="4632" width="58.85546875" style="25" customWidth="1"/>
    <col min="4633" max="4633" width="37.85546875" style="25" customWidth="1"/>
    <col min="4634" max="4634" width="17.5703125" style="25" customWidth="1"/>
    <col min="4635" max="4635" width="16.5703125" style="25" customWidth="1"/>
    <col min="4636" max="4636" width="28.7109375" style="25" customWidth="1"/>
    <col min="4637" max="4637" width="23.85546875" style="25" customWidth="1"/>
    <col min="4638" max="4864" width="9.140625" style="25"/>
    <col min="4865" max="4866" width="0" style="25" hidden="1" customWidth="1"/>
    <col min="4867" max="4867" width="15.7109375" style="25" customWidth="1"/>
    <col min="4868" max="4868" width="93.42578125" style="25" customWidth="1"/>
    <col min="4869" max="4869" width="32.28515625" style="25" customWidth="1"/>
    <col min="4870" max="4870" width="23.7109375" style="25" customWidth="1"/>
    <col min="4871" max="4871" width="26.42578125" style="25" customWidth="1"/>
    <col min="4872" max="4872" width="26.5703125" style="25" customWidth="1"/>
    <col min="4873" max="4873" width="27.85546875" style="25" customWidth="1"/>
    <col min="4874" max="4874" width="28.140625" style="25" customWidth="1"/>
    <col min="4875" max="4875" width="24.28515625" style="25" customWidth="1"/>
    <col min="4876" max="4876" width="13.140625" style="25" customWidth="1"/>
    <col min="4877" max="4877" width="19.85546875" style="25" customWidth="1"/>
    <col min="4878" max="4878" width="34.42578125" style="25" customWidth="1"/>
    <col min="4879" max="4879" width="18.140625" style="25" customWidth="1"/>
    <col min="4880" max="4880" width="24.7109375" style="25" customWidth="1"/>
    <col min="4881" max="4881" width="23.28515625" style="25" customWidth="1"/>
    <col min="4882" max="4882" width="18.42578125" style="25" customWidth="1"/>
    <col min="4883" max="4883" width="27.85546875" style="25" customWidth="1"/>
    <col min="4884" max="4884" width="49.42578125" style="25" customWidth="1"/>
    <col min="4885" max="4885" width="32.140625" style="25" customWidth="1"/>
    <col min="4886" max="4886" width="22.42578125" style="25" customWidth="1"/>
    <col min="4887" max="4887" width="33" style="25" customWidth="1"/>
    <col min="4888" max="4888" width="58.85546875" style="25" customWidth="1"/>
    <col min="4889" max="4889" width="37.85546875" style="25" customWidth="1"/>
    <col min="4890" max="4890" width="17.5703125" style="25" customWidth="1"/>
    <col min="4891" max="4891" width="16.5703125" style="25" customWidth="1"/>
    <col min="4892" max="4892" width="28.7109375" style="25" customWidth="1"/>
    <col min="4893" max="4893" width="23.85546875" style="25" customWidth="1"/>
    <col min="4894" max="5120" width="9.140625" style="25"/>
    <col min="5121" max="5122" width="0" style="25" hidden="1" customWidth="1"/>
    <col min="5123" max="5123" width="15.7109375" style="25" customWidth="1"/>
    <col min="5124" max="5124" width="93.42578125" style="25" customWidth="1"/>
    <col min="5125" max="5125" width="32.28515625" style="25" customWidth="1"/>
    <col min="5126" max="5126" width="23.7109375" style="25" customWidth="1"/>
    <col min="5127" max="5127" width="26.42578125" style="25" customWidth="1"/>
    <col min="5128" max="5128" width="26.5703125" style="25" customWidth="1"/>
    <col min="5129" max="5129" width="27.85546875" style="25" customWidth="1"/>
    <col min="5130" max="5130" width="28.140625" style="25" customWidth="1"/>
    <col min="5131" max="5131" width="24.28515625" style="25" customWidth="1"/>
    <col min="5132" max="5132" width="13.140625" style="25" customWidth="1"/>
    <col min="5133" max="5133" width="19.85546875" style="25" customWidth="1"/>
    <col min="5134" max="5134" width="34.42578125" style="25" customWidth="1"/>
    <col min="5135" max="5135" width="18.140625" style="25" customWidth="1"/>
    <col min="5136" max="5136" width="24.7109375" style="25" customWidth="1"/>
    <col min="5137" max="5137" width="23.28515625" style="25" customWidth="1"/>
    <col min="5138" max="5138" width="18.42578125" style="25" customWidth="1"/>
    <col min="5139" max="5139" width="27.85546875" style="25" customWidth="1"/>
    <col min="5140" max="5140" width="49.42578125" style="25" customWidth="1"/>
    <col min="5141" max="5141" width="32.140625" style="25" customWidth="1"/>
    <col min="5142" max="5142" width="22.42578125" style="25" customWidth="1"/>
    <col min="5143" max="5143" width="33" style="25" customWidth="1"/>
    <col min="5144" max="5144" width="58.85546875" style="25" customWidth="1"/>
    <col min="5145" max="5145" width="37.85546875" style="25" customWidth="1"/>
    <col min="5146" max="5146" width="17.5703125" style="25" customWidth="1"/>
    <col min="5147" max="5147" width="16.5703125" style="25" customWidth="1"/>
    <col min="5148" max="5148" width="28.7109375" style="25" customWidth="1"/>
    <col min="5149" max="5149" width="23.85546875" style="25" customWidth="1"/>
    <col min="5150" max="5376" width="9.140625" style="25"/>
    <col min="5377" max="5378" width="0" style="25" hidden="1" customWidth="1"/>
    <col min="5379" max="5379" width="15.7109375" style="25" customWidth="1"/>
    <col min="5380" max="5380" width="93.42578125" style="25" customWidth="1"/>
    <col min="5381" max="5381" width="32.28515625" style="25" customWidth="1"/>
    <col min="5382" max="5382" width="23.7109375" style="25" customWidth="1"/>
    <col min="5383" max="5383" width="26.42578125" style="25" customWidth="1"/>
    <col min="5384" max="5384" width="26.5703125" style="25" customWidth="1"/>
    <col min="5385" max="5385" width="27.85546875" style="25" customWidth="1"/>
    <col min="5386" max="5386" width="28.140625" style="25" customWidth="1"/>
    <col min="5387" max="5387" width="24.28515625" style="25" customWidth="1"/>
    <col min="5388" max="5388" width="13.140625" style="25" customWidth="1"/>
    <col min="5389" max="5389" width="19.85546875" style="25" customWidth="1"/>
    <col min="5390" max="5390" width="34.42578125" style="25" customWidth="1"/>
    <col min="5391" max="5391" width="18.140625" style="25" customWidth="1"/>
    <col min="5392" max="5392" width="24.7109375" style="25" customWidth="1"/>
    <col min="5393" max="5393" width="23.28515625" style="25" customWidth="1"/>
    <col min="5394" max="5394" width="18.42578125" style="25" customWidth="1"/>
    <col min="5395" max="5395" width="27.85546875" style="25" customWidth="1"/>
    <col min="5396" max="5396" width="49.42578125" style="25" customWidth="1"/>
    <col min="5397" max="5397" width="32.140625" style="25" customWidth="1"/>
    <col min="5398" max="5398" width="22.42578125" style="25" customWidth="1"/>
    <col min="5399" max="5399" width="33" style="25" customWidth="1"/>
    <col min="5400" max="5400" width="58.85546875" style="25" customWidth="1"/>
    <col min="5401" max="5401" width="37.85546875" style="25" customWidth="1"/>
    <col min="5402" max="5402" width="17.5703125" style="25" customWidth="1"/>
    <col min="5403" max="5403" width="16.5703125" style="25" customWidth="1"/>
    <col min="5404" max="5404" width="28.7109375" style="25" customWidth="1"/>
    <col min="5405" max="5405" width="23.85546875" style="25" customWidth="1"/>
    <col min="5406" max="5632" width="9.140625" style="25"/>
    <col min="5633" max="5634" width="0" style="25" hidden="1" customWidth="1"/>
    <col min="5635" max="5635" width="15.7109375" style="25" customWidth="1"/>
    <col min="5636" max="5636" width="93.42578125" style="25" customWidth="1"/>
    <col min="5637" max="5637" width="32.28515625" style="25" customWidth="1"/>
    <col min="5638" max="5638" width="23.7109375" style="25" customWidth="1"/>
    <col min="5639" max="5639" width="26.42578125" style="25" customWidth="1"/>
    <col min="5640" max="5640" width="26.5703125" style="25" customWidth="1"/>
    <col min="5641" max="5641" width="27.85546875" style="25" customWidth="1"/>
    <col min="5642" max="5642" width="28.140625" style="25" customWidth="1"/>
    <col min="5643" max="5643" width="24.28515625" style="25" customWidth="1"/>
    <col min="5644" max="5644" width="13.140625" style="25" customWidth="1"/>
    <col min="5645" max="5645" width="19.85546875" style="25" customWidth="1"/>
    <col min="5646" max="5646" width="34.42578125" style="25" customWidth="1"/>
    <col min="5647" max="5647" width="18.140625" style="25" customWidth="1"/>
    <col min="5648" max="5648" width="24.7109375" style="25" customWidth="1"/>
    <col min="5649" max="5649" width="23.28515625" style="25" customWidth="1"/>
    <col min="5650" max="5650" width="18.42578125" style="25" customWidth="1"/>
    <col min="5651" max="5651" width="27.85546875" style="25" customWidth="1"/>
    <col min="5652" max="5652" width="49.42578125" style="25" customWidth="1"/>
    <col min="5653" max="5653" width="32.140625" style="25" customWidth="1"/>
    <col min="5654" max="5654" width="22.42578125" style="25" customWidth="1"/>
    <col min="5655" max="5655" width="33" style="25" customWidth="1"/>
    <col min="5656" max="5656" width="58.85546875" style="25" customWidth="1"/>
    <col min="5657" max="5657" width="37.85546875" style="25" customWidth="1"/>
    <col min="5658" max="5658" width="17.5703125" style="25" customWidth="1"/>
    <col min="5659" max="5659" width="16.5703125" style="25" customWidth="1"/>
    <col min="5660" max="5660" width="28.7109375" style="25" customWidth="1"/>
    <col min="5661" max="5661" width="23.85546875" style="25" customWidth="1"/>
    <col min="5662" max="5888" width="9.140625" style="25"/>
    <col min="5889" max="5890" width="0" style="25" hidden="1" customWidth="1"/>
    <col min="5891" max="5891" width="15.7109375" style="25" customWidth="1"/>
    <col min="5892" max="5892" width="93.42578125" style="25" customWidth="1"/>
    <col min="5893" max="5893" width="32.28515625" style="25" customWidth="1"/>
    <col min="5894" max="5894" width="23.7109375" style="25" customWidth="1"/>
    <col min="5895" max="5895" width="26.42578125" style="25" customWidth="1"/>
    <col min="5896" max="5896" width="26.5703125" style="25" customWidth="1"/>
    <col min="5897" max="5897" width="27.85546875" style="25" customWidth="1"/>
    <col min="5898" max="5898" width="28.140625" style="25" customWidth="1"/>
    <col min="5899" max="5899" width="24.28515625" style="25" customWidth="1"/>
    <col min="5900" max="5900" width="13.140625" style="25" customWidth="1"/>
    <col min="5901" max="5901" width="19.85546875" style="25" customWidth="1"/>
    <col min="5902" max="5902" width="34.42578125" style="25" customWidth="1"/>
    <col min="5903" max="5903" width="18.140625" style="25" customWidth="1"/>
    <col min="5904" max="5904" width="24.7109375" style="25" customWidth="1"/>
    <col min="5905" max="5905" width="23.28515625" style="25" customWidth="1"/>
    <col min="5906" max="5906" width="18.42578125" style="25" customWidth="1"/>
    <col min="5907" max="5907" width="27.85546875" style="25" customWidth="1"/>
    <col min="5908" max="5908" width="49.42578125" style="25" customWidth="1"/>
    <col min="5909" max="5909" width="32.140625" style="25" customWidth="1"/>
    <col min="5910" max="5910" width="22.42578125" style="25" customWidth="1"/>
    <col min="5911" max="5911" width="33" style="25" customWidth="1"/>
    <col min="5912" max="5912" width="58.85546875" style="25" customWidth="1"/>
    <col min="5913" max="5913" width="37.85546875" style="25" customWidth="1"/>
    <col min="5914" max="5914" width="17.5703125" style="25" customWidth="1"/>
    <col min="5915" max="5915" width="16.5703125" style="25" customWidth="1"/>
    <col min="5916" max="5916" width="28.7109375" style="25" customWidth="1"/>
    <col min="5917" max="5917" width="23.85546875" style="25" customWidth="1"/>
    <col min="5918" max="6144" width="9.140625" style="25"/>
    <col min="6145" max="6146" width="0" style="25" hidden="1" customWidth="1"/>
    <col min="6147" max="6147" width="15.7109375" style="25" customWidth="1"/>
    <col min="6148" max="6148" width="93.42578125" style="25" customWidth="1"/>
    <col min="6149" max="6149" width="32.28515625" style="25" customWidth="1"/>
    <col min="6150" max="6150" width="23.7109375" style="25" customWidth="1"/>
    <col min="6151" max="6151" width="26.42578125" style="25" customWidth="1"/>
    <col min="6152" max="6152" width="26.5703125" style="25" customWidth="1"/>
    <col min="6153" max="6153" width="27.85546875" style="25" customWidth="1"/>
    <col min="6154" max="6154" width="28.140625" style="25" customWidth="1"/>
    <col min="6155" max="6155" width="24.28515625" style="25" customWidth="1"/>
    <col min="6156" max="6156" width="13.140625" style="25" customWidth="1"/>
    <col min="6157" max="6157" width="19.85546875" style="25" customWidth="1"/>
    <col min="6158" max="6158" width="34.42578125" style="25" customWidth="1"/>
    <col min="6159" max="6159" width="18.140625" style="25" customWidth="1"/>
    <col min="6160" max="6160" width="24.7109375" style="25" customWidth="1"/>
    <col min="6161" max="6161" width="23.28515625" style="25" customWidth="1"/>
    <col min="6162" max="6162" width="18.42578125" style="25" customWidth="1"/>
    <col min="6163" max="6163" width="27.85546875" style="25" customWidth="1"/>
    <col min="6164" max="6164" width="49.42578125" style="25" customWidth="1"/>
    <col min="6165" max="6165" width="32.140625" style="25" customWidth="1"/>
    <col min="6166" max="6166" width="22.42578125" style="25" customWidth="1"/>
    <col min="6167" max="6167" width="33" style="25" customWidth="1"/>
    <col min="6168" max="6168" width="58.85546875" style="25" customWidth="1"/>
    <col min="6169" max="6169" width="37.85546875" style="25" customWidth="1"/>
    <col min="6170" max="6170" width="17.5703125" style="25" customWidth="1"/>
    <col min="6171" max="6171" width="16.5703125" style="25" customWidth="1"/>
    <col min="6172" max="6172" width="28.7109375" style="25" customWidth="1"/>
    <col min="6173" max="6173" width="23.85546875" style="25" customWidth="1"/>
    <col min="6174" max="6400" width="9.140625" style="25"/>
    <col min="6401" max="6402" width="0" style="25" hidden="1" customWidth="1"/>
    <col min="6403" max="6403" width="15.7109375" style="25" customWidth="1"/>
    <col min="6404" max="6404" width="93.42578125" style="25" customWidth="1"/>
    <col min="6405" max="6405" width="32.28515625" style="25" customWidth="1"/>
    <col min="6406" max="6406" width="23.7109375" style="25" customWidth="1"/>
    <col min="6407" max="6407" width="26.42578125" style="25" customWidth="1"/>
    <col min="6408" max="6408" width="26.5703125" style="25" customWidth="1"/>
    <col min="6409" max="6409" width="27.85546875" style="25" customWidth="1"/>
    <col min="6410" max="6410" width="28.140625" style="25" customWidth="1"/>
    <col min="6411" max="6411" width="24.28515625" style="25" customWidth="1"/>
    <col min="6412" max="6412" width="13.140625" style="25" customWidth="1"/>
    <col min="6413" max="6413" width="19.85546875" style="25" customWidth="1"/>
    <col min="6414" max="6414" width="34.42578125" style="25" customWidth="1"/>
    <col min="6415" max="6415" width="18.140625" style="25" customWidth="1"/>
    <col min="6416" max="6416" width="24.7109375" style="25" customWidth="1"/>
    <col min="6417" max="6417" width="23.28515625" style="25" customWidth="1"/>
    <col min="6418" max="6418" width="18.42578125" style="25" customWidth="1"/>
    <col min="6419" max="6419" width="27.85546875" style="25" customWidth="1"/>
    <col min="6420" max="6420" width="49.42578125" style="25" customWidth="1"/>
    <col min="6421" max="6421" width="32.140625" style="25" customWidth="1"/>
    <col min="6422" max="6422" width="22.42578125" style="25" customWidth="1"/>
    <col min="6423" max="6423" width="33" style="25" customWidth="1"/>
    <col min="6424" max="6424" width="58.85546875" style="25" customWidth="1"/>
    <col min="6425" max="6425" width="37.85546875" style="25" customWidth="1"/>
    <col min="6426" max="6426" width="17.5703125" style="25" customWidth="1"/>
    <col min="6427" max="6427" width="16.5703125" style="25" customWidth="1"/>
    <col min="6428" max="6428" width="28.7109375" style="25" customWidth="1"/>
    <col min="6429" max="6429" width="23.85546875" style="25" customWidth="1"/>
    <col min="6430" max="6656" width="9.140625" style="25"/>
    <col min="6657" max="6658" width="0" style="25" hidden="1" customWidth="1"/>
    <col min="6659" max="6659" width="15.7109375" style="25" customWidth="1"/>
    <col min="6660" max="6660" width="93.42578125" style="25" customWidth="1"/>
    <col min="6661" max="6661" width="32.28515625" style="25" customWidth="1"/>
    <col min="6662" max="6662" width="23.7109375" style="25" customWidth="1"/>
    <col min="6663" max="6663" width="26.42578125" style="25" customWidth="1"/>
    <col min="6664" max="6664" width="26.5703125" style="25" customWidth="1"/>
    <col min="6665" max="6665" width="27.85546875" style="25" customWidth="1"/>
    <col min="6666" max="6666" width="28.140625" style="25" customWidth="1"/>
    <col min="6667" max="6667" width="24.28515625" style="25" customWidth="1"/>
    <col min="6668" max="6668" width="13.140625" style="25" customWidth="1"/>
    <col min="6669" max="6669" width="19.85546875" style="25" customWidth="1"/>
    <col min="6670" max="6670" width="34.42578125" style="25" customWidth="1"/>
    <col min="6671" max="6671" width="18.140625" style="25" customWidth="1"/>
    <col min="6672" max="6672" width="24.7109375" style="25" customWidth="1"/>
    <col min="6673" max="6673" width="23.28515625" style="25" customWidth="1"/>
    <col min="6674" max="6674" width="18.42578125" style="25" customWidth="1"/>
    <col min="6675" max="6675" width="27.85546875" style="25" customWidth="1"/>
    <col min="6676" max="6676" width="49.42578125" style="25" customWidth="1"/>
    <col min="6677" max="6677" width="32.140625" style="25" customWidth="1"/>
    <col min="6678" max="6678" width="22.42578125" style="25" customWidth="1"/>
    <col min="6679" max="6679" width="33" style="25" customWidth="1"/>
    <col min="6680" max="6680" width="58.85546875" style="25" customWidth="1"/>
    <col min="6681" max="6681" width="37.85546875" style="25" customWidth="1"/>
    <col min="6682" max="6682" width="17.5703125" style="25" customWidth="1"/>
    <col min="6683" max="6683" width="16.5703125" style="25" customWidth="1"/>
    <col min="6684" max="6684" width="28.7109375" style="25" customWidth="1"/>
    <col min="6685" max="6685" width="23.85546875" style="25" customWidth="1"/>
    <col min="6686" max="6912" width="9.140625" style="25"/>
    <col min="6913" max="6914" width="0" style="25" hidden="1" customWidth="1"/>
    <col min="6915" max="6915" width="15.7109375" style="25" customWidth="1"/>
    <col min="6916" max="6916" width="93.42578125" style="25" customWidth="1"/>
    <col min="6917" max="6917" width="32.28515625" style="25" customWidth="1"/>
    <col min="6918" max="6918" width="23.7109375" style="25" customWidth="1"/>
    <col min="6919" max="6919" width="26.42578125" style="25" customWidth="1"/>
    <col min="6920" max="6920" width="26.5703125" style="25" customWidth="1"/>
    <col min="6921" max="6921" width="27.85546875" style="25" customWidth="1"/>
    <col min="6922" max="6922" width="28.140625" style="25" customWidth="1"/>
    <col min="6923" max="6923" width="24.28515625" style="25" customWidth="1"/>
    <col min="6924" max="6924" width="13.140625" style="25" customWidth="1"/>
    <col min="6925" max="6925" width="19.85546875" style="25" customWidth="1"/>
    <col min="6926" max="6926" width="34.42578125" style="25" customWidth="1"/>
    <col min="6927" max="6927" width="18.140625" style="25" customWidth="1"/>
    <col min="6928" max="6928" width="24.7109375" style="25" customWidth="1"/>
    <col min="6929" max="6929" width="23.28515625" style="25" customWidth="1"/>
    <col min="6930" max="6930" width="18.42578125" style="25" customWidth="1"/>
    <col min="6931" max="6931" width="27.85546875" style="25" customWidth="1"/>
    <col min="6932" max="6932" width="49.42578125" style="25" customWidth="1"/>
    <col min="6933" max="6933" width="32.140625" style="25" customWidth="1"/>
    <col min="6934" max="6934" width="22.42578125" style="25" customWidth="1"/>
    <col min="6935" max="6935" width="33" style="25" customWidth="1"/>
    <col min="6936" max="6936" width="58.85546875" style="25" customWidth="1"/>
    <col min="6937" max="6937" width="37.85546875" style="25" customWidth="1"/>
    <col min="6938" max="6938" width="17.5703125" style="25" customWidth="1"/>
    <col min="6939" max="6939" width="16.5703125" style="25" customWidth="1"/>
    <col min="6940" max="6940" width="28.7109375" style="25" customWidth="1"/>
    <col min="6941" max="6941" width="23.85546875" style="25" customWidth="1"/>
    <col min="6942" max="7168" width="9.140625" style="25"/>
    <col min="7169" max="7170" width="0" style="25" hidden="1" customWidth="1"/>
    <col min="7171" max="7171" width="15.7109375" style="25" customWidth="1"/>
    <col min="7172" max="7172" width="93.42578125" style="25" customWidth="1"/>
    <col min="7173" max="7173" width="32.28515625" style="25" customWidth="1"/>
    <col min="7174" max="7174" width="23.7109375" style="25" customWidth="1"/>
    <col min="7175" max="7175" width="26.42578125" style="25" customWidth="1"/>
    <col min="7176" max="7176" width="26.5703125" style="25" customWidth="1"/>
    <col min="7177" max="7177" width="27.85546875" style="25" customWidth="1"/>
    <col min="7178" max="7178" width="28.140625" style="25" customWidth="1"/>
    <col min="7179" max="7179" width="24.28515625" style="25" customWidth="1"/>
    <col min="7180" max="7180" width="13.140625" style="25" customWidth="1"/>
    <col min="7181" max="7181" width="19.85546875" style="25" customWidth="1"/>
    <col min="7182" max="7182" width="34.42578125" style="25" customWidth="1"/>
    <col min="7183" max="7183" width="18.140625" style="25" customWidth="1"/>
    <col min="7184" max="7184" width="24.7109375" style="25" customWidth="1"/>
    <col min="7185" max="7185" width="23.28515625" style="25" customWidth="1"/>
    <col min="7186" max="7186" width="18.42578125" style="25" customWidth="1"/>
    <col min="7187" max="7187" width="27.85546875" style="25" customWidth="1"/>
    <col min="7188" max="7188" width="49.42578125" style="25" customWidth="1"/>
    <col min="7189" max="7189" width="32.140625" style="25" customWidth="1"/>
    <col min="7190" max="7190" width="22.42578125" style="25" customWidth="1"/>
    <col min="7191" max="7191" width="33" style="25" customWidth="1"/>
    <col min="7192" max="7192" width="58.85546875" style="25" customWidth="1"/>
    <col min="7193" max="7193" width="37.85546875" style="25" customWidth="1"/>
    <col min="7194" max="7194" width="17.5703125" style="25" customWidth="1"/>
    <col min="7195" max="7195" width="16.5703125" style="25" customWidth="1"/>
    <col min="7196" max="7196" width="28.7109375" style="25" customWidth="1"/>
    <col min="7197" max="7197" width="23.85546875" style="25" customWidth="1"/>
    <col min="7198" max="7424" width="9.140625" style="25"/>
    <col min="7425" max="7426" width="0" style="25" hidden="1" customWidth="1"/>
    <col min="7427" max="7427" width="15.7109375" style="25" customWidth="1"/>
    <col min="7428" max="7428" width="93.42578125" style="25" customWidth="1"/>
    <col min="7429" max="7429" width="32.28515625" style="25" customWidth="1"/>
    <col min="7430" max="7430" width="23.7109375" style="25" customWidth="1"/>
    <col min="7431" max="7431" width="26.42578125" style="25" customWidth="1"/>
    <col min="7432" max="7432" width="26.5703125" style="25" customWidth="1"/>
    <col min="7433" max="7433" width="27.85546875" style="25" customWidth="1"/>
    <col min="7434" max="7434" width="28.140625" style="25" customWidth="1"/>
    <col min="7435" max="7435" width="24.28515625" style="25" customWidth="1"/>
    <col min="7436" max="7436" width="13.140625" style="25" customWidth="1"/>
    <col min="7437" max="7437" width="19.85546875" style="25" customWidth="1"/>
    <col min="7438" max="7438" width="34.42578125" style="25" customWidth="1"/>
    <col min="7439" max="7439" width="18.140625" style="25" customWidth="1"/>
    <col min="7440" max="7440" width="24.7109375" style="25" customWidth="1"/>
    <col min="7441" max="7441" width="23.28515625" style="25" customWidth="1"/>
    <col min="7442" max="7442" width="18.42578125" style="25" customWidth="1"/>
    <col min="7443" max="7443" width="27.85546875" style="25" customWidth="1"/>
    <col min="7444" max="7444" width="49.42578125" style="25" customWidth="1"/>
    <col min="7445" max="7445" width="32.140625" style="25" customWidth="1"/>
    <col min="7446" max="7446" width="22.42578125" style="25" customWidth="1"/>
    <col min="7447" max="7447" width="33" style="25" customWidth="1"/>
    <col min="7448" max="7448" width="58.85546875" style="25" customWidth="1"/>
    <col min="7449" max="7449" width="37.85546875" style="25" customWidth="1"/>
    <col min="7450" max="7450" width="17.5703125" style="25" customWidth="1"/>
    <col min="7451" max="7451" width="16.5703125" style="25" customWidth="1"/>
    <col min="7452" max="7452" width="28.7109375" style="25" customWidth="1"/>
    <col min="7453" max="7453" width="23.85546875" style="25" customWidth="1"/>
    <col min="7454" max="7680" width="9.140625" style="25"/>
    <col min="7681" max="7682" width="0" style="25" hidden="1" customWidth="1"/>
    <col min="7683" max="7683" width="15.7109375" style="25" customWidth="1"/>
    <col min="7684" max="7684" width="93.42578125" style="25" customWidth="1"/>
    <col min="7685" max="7685" width="32.28515625" style="25" customWidth="1"/>
    <col min="7686" max="7686" width="23.7109375" style="25" customWidth="1"/>
    <col min="7687" max="7687" width="26.42578125" style="25" customWidth="1"/>
    <col min="7688" max="7688" width="26.5703125" style="25" customWidth="1"/>
    <col min="7689" max="7689" width="27.85546875" style="25" customWidth="1"/>
    <col min="7690" max="7690" width="28.140625" style="25" customWidth="1"/>
    <col min="7691" max="7691" width="24.28515625" style="25" customWidth="1"/>
    <col min="7692" max="7692" width="13.140625" style="25" customWidth="1"/>
    <col min="7693" max="7693" width="19.85546875" style="25" customWidth="1"/>
    <col min="7694" max="7694" width="34.42578125" style="25" customWidth="1"/>
    <col min="7695" max="7695" width="18.140625" style="25" customWidth="1"/>
    <col min="7696" max="7696" width="24.7109375" style="25" customWidth="1"/>
    <col min="7697" max="7697" width="23.28515625" style="25" customWidth="1"/>
    <col min="7698" max="7698" width="18.42578125" style="25" customWidth="1"/>
    <col min="7699" max="7699" width="27.85546875" style="25" customWidth="1"/>
    <col min="7700" max="7700" width="49.42578125" style="25" customWidth="1"/>
    <col min="7701" max="7701" width="32.140625" style="25" customWidth="1"/>
    <col min="7702" max="7702" width="22.42578125" style="25" customWidth="1"/>
    <col min="7703" max="7703" width="33" style="25" customWidth="1"/>
    <col min="7704" max="7704" width="58.85546875" style="25" customWidth="1"/>
    <col min="7705" max="7705" width="37.85546875" style="25" customWidth="1"/>
    <col min="7706" max="7706" width="17.5703125" style="25" customWidth="1"/>
    <col min="7707" max="7707" width="16.5703125" style="25" customWidth="1"/>
    <col min="7708" max="7708" width="28.7109375" style="25" customWidth="1"/>
    <col min="7709" max="7709" width="23.85546875" style="25" customWidth="1"/>
    <col min="7710" max="7936" width="9.140625" style="25"/>
    <col min="7937" max="7938" width="0" style="25" hidden="1" customWidth="1"/>
    <col min="7939" max="7939" width="15.7109375" style="25" customWidth="1"/>
    <col min="7940" max="7940" width="93.42578125" style="25" customWidth="1"/>
    <col min="7941" max="7941" width="32.28515625" style="25" customWidth="1"/>
    <col min="7942" max="7942" width="23.7109375" style="25" customWidth="1"/>
    <col min="7943" max="7943" width="26.42578125" style="25" customWidth="1"/>
    <col min="7944" max="7944" width="26.5703125" style="25" customWidth="1"/>
    <col min="7945" max="7945" width="27.85546875" style="25" customWidth="1"/>
    <col min="7946" max="7946" width="28.140625" style="25" customWidth="1"/>
    <col min="7947" max="7947" width="24.28515625" style="25" customWidth="1"/>
    <col min="7948" max="7948" width="13.140625" style="25" customWidth="1"/>
    <col min="7949" max="7949" width="19.85546875" style="25" customWidth="1"/>
    <col min="7950" max="7950" width="34.42578125" style="25" customWidth="1"/>
    <col min="7951" max="7951" width="18.140625" style="25" customWidth="1"/>
    <col min="7952" max="7952" width="24.7109375" style="25" customWidth="1"/>
    <col min="7953" max="7953" width="23.28515625" style="25" customWidth="1"/>
    <col min="7954" max="7954" width="18.42578125" style="25" customWidth="1"/>
    <col min="7955" max="7955" width="27.85546875" style="25" customWidth="1"/>
    <col min="7956" max="7956" width="49.42578125" style="25" customWidth="1"/>
    <col min="7957" max="7957" width="32.140625" style="25" customWidth="1"/>
    <col min="7958" max="7958" width="22.42578125" style="25" customWidth="1"/>
    <col min="7959" max="7959" width="33" style="25" customWidth="1"/>
    <col min="7960" max="7960" width="58.85546875" style="25" customWidth="1"/>
    <col min="7961" max="7961" width="37.85546875" style="25" customWidth="1"/>
    <col min="7962" max="7962" width="17.5703125" style="25" customWidth="1"/>
    <col min="7963" max="7963" width="16.5703125" style="25" customWidth="1"/>
    <col min="7964" max="7964" width="28.7109375" style="25" customWidth="1"/>
    <col min="7965" max="7965" width="23.85546875" style="25" customWidth="1"/>
    <col min="7966" max="8192" width="9.140625" style="25"/>
    <col min="8193" max="8194" width="0" style="25" hidden="1" customWidth="1"/>
    <col min="8195" max="8195" width="15.7109375" style="25" customWidth="1"/>
    <col min="8196" max="8196" width="93.42578125" style="25" customWidth="1"/>
    <col min="8197" max="8197" width="32.28515625" style="25" customWidth="1"/>
    <col min="8198" max="8198" width="23.7109375" style="25" customWidth="1"/>
    <col min="8199" max="8199" width="26.42578125" style="25" customWidth="1"/>
    <col min="8200" max="8200" width="26.5703125" style="25" customWidth="1"/>
    <col min="8201" max="8201" width="27.85546875" style="25" customWidth="1"/>
    <col min="8202" max="8202" width="28.140625" style="25" customWidth="1"/>
    <col min="8203" max="8203" width="24.28515625" style="25" customWidth="1"/>
    <col min="8204" max="8204" width="13.140625" style="25" customWidth="1"/>
    <col min="8205" max="8205" width="19.85546875" style="25" customWidth="1"/>
    <col min="8206" max="8206" width="34.42578125" style="25" customWidth="1"/>
    <col min="8207" max="8207" width="18.140625" style="25" customWidth="1"/>
    <col min="8208" max="8208" width="24.7109375" style="25" customWidth="1"/>
    <col min="8209" max="8209" width="23.28515625" style="25" customWidth="1"/>
    <col min="8210" max="8210" width="18.42578125" style="25" customWidth="1"/>
    <col min="8211" max="8211" width="27.85546875" style="25" customWidth="1"/>
    <col min="8212" max="8212" width="49.42578125" style="25" customWidth="1"/>
    <col min="8213" max="8213" width="32.140625" style="25" customWidth="1"/>
    <col min="8214" max="8214" width="22.42578125" style="25" customWidth="1"/>
    <col min="8215" max="8215" width="33" style="25" customWidth="1"/>
    <col min="8216" max="8216" width="58.85546875" style="25" customWidth="1"/>
    <col min="8217" max="8217" width="37.85546875" style="25" customWidth="1"/>
    <col min="8218" max="8218" width="17.5703125" style="25" customWidth="1"/>
    <col min="8219" max="8219" width="16.5703125" style="25" customWidth="1"/>
    <col min="8220" max="8220" width="28.7109375" style="25" customWidth="1"/>
    <col min="8221" max="8221" width="23.85546875" style="25" customWidth="1"/>
    <col min="8222" max="8448" width="9.140625" style="25"/>
    <col min="8449" max="8450" width="0" style="25" hidden="1" customWidth="1"/>
    <col min="8451" max="8451" width="15.7109375" style="25" customWidth="1"/>
    <col min="8452" max="8452" width="93.42578125" style="25" customWidth="1"/>
    <col min="8453" max="8453" width="32.28515625" style="25" customWidth="1"/>
    <col min="8454" max="8454" width="23.7109375" style="25" customWidth="1"/>
    <col min="8455" max="8455" width="26.42578125" style="25" customWidth="1"/>
    <col min="8456" max="8456" width="26.5703125" style="25" customWidth="1"/>
    <col min="8457" max="8457" width="27.85546875" style="25" customWidth="1"/>
    <col min="8458" max="8458" width="28.140625" style="25" customWidth="1"/>
    <col min="8459" max="8459" width="24.28515625" style="25" customWidth="1"/>
    <col min="8460" max="8460" width="13.140625" style="25" customWidth="1"/>
    <col min="8461" max="8461" width="19.85546875" style="25" customWidth="1"/>
    <col min="8462" max="8462" width="34.42578125" style="25" customWidth="1"/>
    <col min="8463" max="8463" width="18.140625" style="25" customWidth="1"/>
    <col min="8464" max="8464" width="24.7109375" style="25" customWidth="1"/>
    <col min="8465" max="8465" width="23.28515625" style="25" customWidth="1"/>
    <col min="8466" max="8466" width="18.42578125" style="25" customWidth="1"/>
    <col min="8467" max="8467" width="27.85546875" style="25" customWidth="1"/>
    <col min="8468" max="8468" width="49.42578125" style="25" customWidth="1"/>
    <col min="8469" max="8469" width="32.140625" style="25" customWidth="1"/>
    <col min="8470" max="8470" width="22.42578125" style="25" customWidth="1"/>
    <col min="8471" max="8471" width="33" style="25" customWidth="1"/>
    <col min="8472" max="8472" width="58.85546875" style="25" customWidth="1"/>
    <col min="8473" max="8473" width="37.85546875" style="25" customWidth="1"/>
    <col min="8474" max="8474" width="17.5703125" style="25" customWidth="1"/>
    <col min="8475" max="8475" width="16.5703125" style="25" customWidth="1"/>
    <col min="8476" max="8476" width="28.7109375" style="25" customWidth="1"/>
    <col min="8477" max="8477" width="23.85546875" style="25" customWidth="1"/>
    <col min="8478" max="8704" width="9.140625" style="25"/>
    <col min="8705" max="8706" width="0" style="25" hidden="1" customWidth="1"/>
    <col min="8707" max="8707" width="15.7109375" style="25" customWidth="1"/>
    <col min="8708" max="8708" width="93.42578125" style="25" customWidth="1"/>
    <col min="8709" max="8709" width="32.28515625" style="25" customWidth="1"/>
    <col min="8710" max="8710" width="23.7109375" style="25" customWidth="1"/>
    <col min="8711" max="8711" width="26.42578125" style="25" customWidth="1"/>
    <col min="8712" max="8712" width="26.5703125" style="25" customWidth="1"/>
    <col min="8713" max="8713" width="27.85546875" style="25" customWidth="1"/>
    <col min="8714" max="8714" width="28.140625" style="25" customWidth="1"/>
    <col min="8715" max="8715" width="24.28515625" style="25" customWidth="1"/>
    <col min="8716" max="8716" width="13.140625" style="25" customWidth="1"/>
    <col min="8717" max="8717" width="19.85546875" style="25" customWidth="1"/>
    <col min="8718" max="8718" width="34.42578125" style="25" customWidth="1"/>
    <col min="8719" max="8719" width="18.140625" style="25" customWidth="1"/>
    <col min="8720" max="8720" width="24.7109375" style="25" customWidth="1"/>
    <col min="8721" max="8721" width="23.28515625" style="25" customWidth="1"/>
    <col min="8722" max="8722" width="18.42578125" style="25" customWidth="1"/>
    <col min="8723" max="8723" width="27.85546875" style="25" customWidth="1"/>
    <col min="8724" max="8724" width="49.42578125" style="25" customWidth="1"/>
    <col min="8725" max="8725" width="32.140625" style="25" customWidth="1"/>
    <col min="8726" max="8726" width="22.42578125" style="25" customWidth="1"/>
    <col min="8727" max="8727" width="33" style="25" customWidth="1"/>
    <col min="8728" max="8728" width="58.85546875" style="25" customWidth="1"/>
    <col min="8729" max="8729" width="37.85546875" style="25" customWidth="1"/>
    <col min="8730" max="8730" width="17.5703125" style="25" customWidth="1"/>
    <col min="8731" max="8731" width="16.5703125" style="25" customWidth="1"/>
    <col min="8732" max="8732" width="28.7109375" style="25" customWidth="1"/>
    <col min="8733" max="8733" width="23.85546875" style="25" customWidth="1"/>
    <col min="8734" max="8960" width="9.140625" style="25"/>
    <col min="8961" max="8962" width="0" style="25" hidden="1" customWidth="1"/>
    <col min="8963" max="8963" width="15.7109375" style="25" customWidth="1"/>
    <col min="8964" max="8964" width="93.42578125" style="25" customWidth="1"/>
    <col min="8965" max="8965" width="32.28515625" style="25" customWidth="1"/>
    <col min="8966" max="8966" width="23.7109375" style="25" customWidth="1"/>
    <col min="8967" max="8967" width="26.42578125" style="25" customWidth="1"/>
    <col min="8968" max="8968" width="26.5703125" style="25" customWidth="1"/>
    <col min="8969" max="8969" width="27.85546875" style="25" customWidth="1"/>
    <col min="8970" max="8970" width="28.140625" style="25" customWidth="1"/>
    <col min="8971" max="8971" width="24.28515625" style="25" customWidth="1"/>
    <col min="8972" max="8972" width="13.140625" style="25" customWidth="1"/>
    <col min="8973" max="8973" width="19.85546875" style="25" customWidth="1"/>
    <col min="8974" max="8974" width="34.42578125" style="25" customWidth="1"/>
    <col min="8975" max="8975" width="18.140625" style="25" customWidth="1"/>
    <col min="8976" max="8976" width="24.7109375" style="25" customWidth="1"/>
    <col min="8977" max="8977" width="23.28515625" style="25" customWidth="1"/>
    <col min="8978" max="8978" width="18.42578125" style="25" customWidth="1"/>
    <col min="8979" max="8979" width="27.85546875" style="25" customWidth="1"/>
    <col min="8980" max="8980" width="49.42578125" style="25" customWidth="1"/>
    <col min="8981" max="8981" width="32.140625" style="25" customWidth="1"/>
    <col min="8982" max="8982" width="22.42578125" style="25" customWidth="1"/>
    <col min="8983" max="8983" width="33" style="25" customWidth="1"/>
    <col min="8984" max="8984" width="58.85546875" style="25" customWidth="1"/>
    <col min="8985" max="8985" width="37.85546875" style="25" customWidth="1"/>
    <col min="8986" max="8986" width="17.5703125" style="25" customWidth="1"/>
    <col min="8987" max="8987" width="16.5703125" style="25" customWidth="1"/>
    <col min="8988" max="8988" width="28.7109375" style="25" customWidth="1"/>
    <col min="8989" max="8989" width="23.85546875" style="25" customWidth="1"/>
    <col min="8990" max="9216" width="9.140625" style="25"/>
    <col min="9217" max="9218" width="0" style="25" hidden="1" customWidth="1"/>
    <col min="9219" max="9219" width="15.7109375" style="25" customWidth="1"/>
    <col min="9220" max="9220" width="93.42578125" style="25" customWidth="1"/>
    <col min="9221" max="9221" width="32.28515625" style="25" customWidth="1"/>
    <col min="9222" max="9222" width="23.7109375" style="25" customWidth="1"/>
    <col min="9223" max="9223" width="26.42578125" style="25" customWidth="1"/>
    <col min="9224" max="9224" width="26.5703125" style="25" customWidth="1"/>
    <col min="9225" max="9225" width="27.85546875" style="25" customWidth="1"/>
    <col min="9226" max="9226" width="28.140625" style="25" customWidth="1"/>
    <col min="9227" max="9227" width="24.28515625" style="25" customWidth="1"/>
    <col min="9228" max="9228" width="13.140625" style="25" customWidth="1"/>
    <col min="9229" max="9229" width="19.85546875" style="25" customWidth="1"/>
    <col min="9230" max="9230" width="34.42578125" style="25" customWidth="1"/>
    <col min="9231" max="9231" width="18.140625" style="25" customWidth="1"/>
    <col min="9232" max="9232" width="24.7109375" style="25" customWidth="1"/>
    <col min="9233" max="9233" width="23.28515625" style="25" customWidth="1"/>
    <col min="9234" max="9234" width="18.42578125" style="25" customWidth="1"/>
    <col min="9235" max="9235" width="27.85546875" style="25" customWidth="1"/>
    <col min="9236" max="9236" width="49.42578125" style="25" customWidth="1"/>
    <col min="9237" max="9237" width="32.140625" style="25" customWidth="1"/>
    <col min="9238" max="9238" width="22.42578125" style="25" customWidth="1"/>
    <col min="9239" max="9239" width="33" style="25" customWidth="1"/>
    <col min="9240" max="9240" width="58.85546875" style="25" customWidth="1"/>
    <col min="9241" max="9241" width="37.85546875" style="25" customWidth="1"/>
    <col min="9242" max="9242" width="17.5703125" style="25" customWidth="1"/>
    <col min="9243" max="9243" width="16.5703125" style="25" customWidth="1"/>
    <col min="9244" max="9244" width="28.7109375" style="25" customWidth="1"/>
    <col min="9245" max="9245" width="23.85546875" style="25" customWidth="1"/>
    <col min="9246" max="9472" width="9.140625" style="25"/>
    <col min="9473" max="9474" width="0" style="25" hidden="1" customWidth="1"/>
    <col min="9475" max="9475" width="15.7109375" style="25" customWidth="1"/>
    <col min="9476" max="9476" width="93.42578125" style="25" customWidth="1"/>
    <col min="9477" max="9477" width="32.28515625" style="25" customWidth="1"/>
    <col min="9478" max="9478" width="23.7109375" style="25" customWidth="1"/>
    <col min="9479" max="9479" width="26.42578125" style="25" customWidth="1"/>
    <col min="9480" max="9480" width="26.5703125" style="25" customWidth="1"/>
    <col min="9481" max="9481" width="27.85546875" style="25" customWidth="1"/>
    <col min="9482" max="9482" width="28.140625" style="25" customWidth="1"/>
    <col min="9483" max="9483" width="24.28515625" style="25" customWidth="1"/>
    <col min="9484" max="9484" width="13.140625" style="25" customWidth="1"/>
    <col min="9485" max="9485" width="19.85546875" style="25" customWidth="1"/>
    <col min="9486" max="9486" width="34.42578125" style="25" customWidth="1"/>
    <col min="9487" max="9487" width="18.140625" style="25" customWidth="1"/>
    <col min="9488" max="9488" width="24.7109375" style="25" customWidth="1"/>
    <col min="9489" max="9489" width="23.28515625" style="25" customWidth="1"/>
    <col min="9490" max="9490" width="18.42578125" style="25" customWidth="1"/>
    <col min="9491" max="9491" width="27.85546875" style="25" customWidth="1"/>
    <col min="9492" max="9492" width="49.42578125" style="25" customWidth="1"/>
    <col min="9493" max="9493" width="32.140625" style="25" customWidth="1"/>
    <col min="9494" max="9494" width="22.42578125" style="25" customWidth="1"/>
    <col min="9495" max="9495" width="33" style="25" customWidth="1"/>
    <col min="9496" max="9496" width="58.85546875" style="25" customWidth="1"/>
    <col min="9497" max="9497" width="37.85546875" style="25" customWidth="1"/>
    <col min="9498" max="9498" width="17.5703125" style="25" customWidth="1"/>
    <col min="9499" max="9499" width="16.5703125" style="25" customWidth="1"/>
    <col min="9500" max="9500" width="28.7109375" style="25" customWidth="1"/>
    <col min="9501" max="9501" width="23.85546875" style="25" customWidth="1"/>
    <col min="9502" max="9728" width="9.140625" style="25"/>
    <col min="9729" max="9730" width="0" style="25" hidden="1" customWidth="1"/>
    <col min="9731" max="9731" width="15.7109375" style="25" customWidth="1"/>
    <col min="9732" max="9732" width="93.42578125" style="25" customWidth="1"/>
    <col min="9733" max="9733" width="32.28515625" style="25" customWidth="1"/>
    <col min="9734" max="9734" width="23.7109375" style="25" customWidth="1"/>
    <col min="9735" max="9735" width="26.42578125" style="25" customWidth="1"/>
    <col min="9736" max="9736" width="26.5703125" style="25" customWidth="1"/>
    <col min="9737" max="9737" width="27.85546875" style="25" customWidth="1"/>
    <col min="9738" max="9738" width="28.140625" style="25" customWidth="1"/>
    <col min="9739" max="9739" width="24.28515625" style="25" customWidth="1"/>
    <col min="9740" max="9740" width="13.140625" style="25" customWidth="1"/>
    <col min="9741" max="9741" width="19.85546875" style="25" customWidth="1"/>
    <col min="9742" max="9742" width="34.42578125" style="25" customWidth="1"/>
    <col min="9743" max="9743" width="18.140625" style="25" customWidth="1"/>
    <col min="9744" max="9744" width="24.7109375" style="25" customWidth="1"/>
    <col min="9745" max="9745" width="23.28515625" style="25" customWidth="1"/>
    <col min="9746" max="9746" width="18.42578125" style="25" customWidth="1"/>
    <col min="9747" max="9747" width="27.85546875" style="25" customWidth="1"/>
    <col min="9748" max="9748" width="49.42578125" style="25" customWidth="1"/>
    <col min="9749" max="9749" width="32.140625" style="25" customWidth="1"/>
    <col min="9750" max="9750" width="22.42578125" style="25" customWidth="1"/>
    <col min="9751" max="9751" width="33" style="25" customWidth="1"/>
    <col min="9752" max="9752" width="58.85546875" style="25" customWidth="1"/>
    <col min="9753" max="9753" width="37.85546875" style="25" customWidth="1"/>
    <col min="9754" max="9754" width="17.5703125" style="25" customWidth="1"/>
    <col min="9755" max="9755" width="16.5703125" style="25" customWidth="1"/>
    <col min="9756" max="9756" width="28.7109375" style="25" customWidth="1"/>
    <col min="9757" max="9757" width="23.85546875" style="25" customWidth="1"/>
    <col min="9758" max="9984" width="9.140625" style="25"/>
    <col min="9985" max="9986" width="0" style="25" hidden="1" customWidth="1"/>
    <col min="9987" max="9987" width="15.7109375" style="25" customWidth="1"/>
    <col min="9988" max="9988" width="93.42578125" style="25" customWidth="1"/>
    <col min="9989" max="9989" width="32.28515625" style="25" customWidth="1"/>
    <col min="9990" max="9990" width="23.7109375" style="25" customWidth="1"/>
    <col min="9991" max="9991" width="26.42578125" style="25" customWidth="1"/>
    <col min="9992" max="9992" width="26.5703125" style="25" customWidth="1"/>
    <col min="9993" max="9993" width="27.85546875" style="25" customWidth="1"/>
    <col min="9994" max="9994" width="28.140625" style="25" customWidth="1"/>
    <col min="9995" max="9995" width="24.28515625" style="25" customWidth="1"/>
    <col min="9996" max="9996" width="13.140625" style="25" customWidth="1"/>
    <col min="9997" max="9997" width="19.85546875" style="25" customWidth="1"/>
    <col min="9998" max="9998" width="34.42578125" style="25" customWidth="1"/>
    <col min="9999" max="9999" width="18.140625" style="25" customWidth="1"/>
    <col min="10000" max="10000" width="24.7109375" style="25" customWidth="1"/>
    <col min="10001" max="10001" width="23.28515625" style="25" customWidth="1"/>
    <col min="10002" max="10002" width="18.42578125" style="25" customWidth="1"/>
    <col min="10003" max="10003" width="27.85546875" style="25" customWidth="1"/>
    <col min="10004" max="10004" width="49.42578125" style="25" customWidth="1"/>
    <col min="10005" max="10005" width="32.140625" style="25" customWidth="1"/>
    <col min="10006" max="10006" width="22.42578125" style="25" customWidth="1"/>
    <col min="10007" max="10007" width="33" style="25" customWidth="1"/>
    <col min="10008" max="10008" width="58.85546875" style="25" customWidth="1"/>
    <col min="10009" max="10009" width="37.85546875" style="25" customWidth="1"/>
    <col min="10010" max="10010" width="17.5703125" style="25" customWidth="1"/>
    <col min="10011" max="10011" width="16.5703125" style="25" customWidth="1"/>
    <col min="10012" max="10012" width="28.7109375" style="25" customWidth="1"/>
    <col min="10013" max="10013" width="23.85546875" style="25" customWidth="1"/>
    <col min="10014" max="10240" width="9.140625" style="25"/>
    <col min="10241" max="10242" width="0" style="25" hidden="1" customWidth="1"/>
    <col min="10243" max="10243" width="15.7109375" style="25" customWidth="1"/>
    <col min="10244" max="10244" width="93.42578125" style="25" customWidth="1"/>
    <col min="10245" max="10245" width="32.28515625" style="25" customWidth="1"/>
    <col min="10246" max="10246" width="23.7109375" style="25" customWidth="1"/>
    <col min="10247" max="10247" width="26.42578125" style="25" customWidth="1"/>
    <col min="10248" max="10248" width="26.5703125" style="25" customWidth="1"/>
    <col min="10249" max="10249" width="27.85546875" style="25" customWidth="1"/>
    <col min="10250" max="10250" width="28.140625" style="25" customWidth="1"/>
    <col min="10251" max="10251" width="24.28515625" style="25" customWidth="1"/>
    <col min="10252" max="10252" width="13.140625" style="25" customWidth="1"/>
    <col min="10253" max="10253" width="19.85546875" style="25" customWidth="1"/>
    <col min="10254" max="10254" width="34.42578125" style="25" customWidth="1"/>
    <col min="10255" max="10255" width="18.140625" style="25" customWidth="1"/>
    <col min="10256" max="10256" width="24.7109375" style="25" customWidth="1"/>
    <col min="10257" max="10257" width="23.28515625" style="25" customWidth="1"/>
    <col min="10258" max="10258" width="18.42578125" style="25" customWidth="1"/>
    <col min="10259" max="10259" width="27.85546875" style="25" customWidth="1"/>
    <col min="10260" max="10260" width="49.42578125" style="25" customWidth="1"/>
    <col min="10261" max="10261" width="32.140625" style="25" customWidth="1"/>
    <col min="10262" max="10262" width="22.42578125" style="25" customWidth="1"/>
    <col min="10263" max="10263" width="33" style="25" customWidth="1"/>
    <col min="10264" max="10264" width="58.85546875" style="25" customWidth="1"/>
    <col min="10265" max="10265" width="37.85546875" style="25" customWidth="1"/>
    <col min="10266" max="10266" width="17.5703125" style="25" customWidth="1"/>
    <col min="10267" max="10267" width="16.5703125" style="25" customWidth="1"/>
    <col min="10268" max="10268" width="28.7109375" style="25" customWidth="1"/>
    <col min="10269" max="10269" width="23.85546875" style="25" customWidth="1"/>
    <col min="10270" max="10496" width="9.140625" style="25"/>
    <col min="10497" max="10498" width="0" style="25" hidden="1" customWidth="1"/>
    <col min="10499" max="10499" width="15.7109375" style="25" customWidth="1"/>
    <col min="10500" max="10500" width="93.42578125" style="25" customWidth="1"/>
    <col min="10501" max="10501" width="32.28515625" style="25" customWidth="1"/>
    <col min="10502" max="10502" width="23.7109375" style="25" customWidth="1"/>
    <col min="10503" max="10503" width="26.42578125" style="25" customWidth="1"/>
    <col min="10504" max="10504" width="26.5703125" style="25" customWidth="1"/>
    <col min="10505" max="10505" width="27.85546875" style="25" customWidth="1"/>
    <col min="10506" max="10506" width="28.140625" style="25" customWidth="1"/>
    <col min="10507" max="10507" width="24.28515625" style="25" customWidth="1"/>
    <col min="10508" max="10508" width="13.140625" style="25" customWidth="1"/>
    <col min="10509" max="10509" width="19.85546875" style="25" customWidth="1"/>
    <col min="10510" max="10510" width="34.42578125" style="25" customWidth="1"/>
    <col min="10511" max="10511" width="18.140625" style="25" customWidth="1"/>
    <col min="10512" max="10512" width="24.7109375" style="25" customWidth="1"/>
    <col min="10513" max="10513" width="23.28515625" style="25" customWidth="1"/>
    <col min="10514" max="10514" width="18.42578125" style="25" customWidth="1"/>
    <col min="10515" max="10515" width="27.85546875" style="25" customWidth="1"/>
    <col min="10516" max="10516" width="49.42578125" style="25" customWidth="1"/>
    <col min="10517" max="10517" width="32.140625" style="25" customWidth="1"/>
    <col min="10518" max="10518" width="22.42578125" style="25" customWidth="1"/>
    <col min="10519" max="10519" width="33" style="25" customWidth="1"/>
    <col min="10520" max="10520" width="58.85546875" style="25" customWidth="1"/>
    <col min="10521" max="10521" width="37.85546875" style="25" customWidth="1"/>
    <col min="10522" max="10522" width="17.5703125" style="25" customWidth="1"/>
    <col min="10523" max="10523" width="16.5703125" style="25" customWidth="1"/>
    <col min="10524" max="10524" width="28.7109375" style="25" customWidth="1"/>
    <col min="10525" max="10525" width="23.85546875" style="25" customWidth="1"/>
    <col min="10526" max="10752" width="9.140625" style="25"/>
    <col min="10753" max="10754" width="0" style="25" hidden="1" customWidth="1"/>
    <col min="10755" max="10755" width="15.7109375" style="25" customWidth="1"/>
    <col min="10756" max="10756" width="93.42578125" style="25" customWidth="1"/>
    <col min="10757" max="10757" width="32.28515625" style="25" customWidth="1"/>
    <col min="10758" max="10758" width="23.7109375" style="25" customWidth="1"/>
    <col min="10759" max="10759" width="26.42578125" style="25" customWidth="1"/>
    <col min="10760" max="10760" width="26.5703125" style="25" customWidth="1"/>
    <col min="10761" max="10761" width="27.85546875" style="25" customWidth="1"/>
    <col min="10762" max="10762" width="28.140625" style="25" customWidth="1"/>
    <col min="10763" max="10763" width="24.28515625" style="25" customWidth="1"/>
    <col min="10764" max="10764" width="13.140625" style="25" customWidth="1"/>
    <col min="10765" max="10765" width="19.85546875" style="25" customWidth="1"/>
    <col min="10766" max="10766" width="34.42578125" style="25" customWidth="1"/>
    <col min="10767" max="10767" width="18.140625" style="25" customWidth="1"/>
    <col min="10768" max="10768" width="24.7109375" style="25" customWidth="1"/>
    <col min="10769" max="10769" width="23.28515625" style="25" customWidth="1"/>
    <col min="10770" max="10770" width="18.42578125" style="25" customWidth="1"/>
    <col min="10771" max="10771" width="27.85546875" style="25" customWidth="1"/>
    <col min="10772" max="10772" width="49.42578125" style="25" customWidth="1"/>
    <col min="10773" max="10773" width="32.140625" style="25" customWidth="1"/>
    <col min="10774" max="10774" width="22.42578125" style="25" customWidth="1"/>
    <col min="10775" max="10775" width="33" style="25" customWidth="1"/>
    <col min="10776" max="10776" width="58.85546875" style="25" customWidth="1"/>
    <col min="10777" max="10777" width="37.85546875" style="25" customWidth="1"/>
    <col min="10778" max="10778" width="17.5703125" style="25" customWidth="1"/>
    <col min="10779" max="10779" width="16.5703125" style="25" customWidth="1"/>
    <col min="10780" max="10780" width="28.7109375" style="25" customWidth="1"/>
    <col min="10781" max="10781" width="23.85546875" style="25" customWidth="1"/>
    <col min="10782" max="11008" width="9.140625" style="25"/>
    <col min="11009" max="11010" width="0" style="25" hidden="1" customWidth="1"/>
    <col min="11011" max="11011" width="15.7109375" style="25" customWidth="1"/>
    <col min="11012" max="11012" width="93.42578125" style="25" customWidth="1"/>
    <col min="11013" max="11013" width="32.28515625" style="25" customWidth="1"/>
    <col min="11014" max="11014" width="23.7109375" style="25" customWidth="1"/>
    <col min="11015" max="11015" width="26.42578125" style="25" customWidth="1"/>
    <col min="11016" max="11016" width="26.5703125" style="25" customWidth="1"/>
    <col min="11017" max="11017" width="27.85546875" style="25" customWidth="1"/>
    <col min="11018" max="11018" width="28.140625" style="25" customWidth="1"/>
    <col min="11019" max="11019" width="24.28515625" style="25" customWidth="1"/>
    <col min="11020" max="11020" width="13.140625" style="25" customWidth="1"/>
    <col min="11021" max="11021" width="19.85546875" style="25" customWidth="1"/>
    <col min="11022" max="11022" width="34.42578125" style="25" customWidth="1"/>
    <col min="11023" max="11023" width="18.140625" style="25" customWidth="1"/>
    <col min="11024" max="11024" width="24.7109375" style="25" customWidth="1"/>
    <col min="11025" max="11025" width="23.28515625" style="25" customWidth="1"/>
    <col min="11026" max="11026" width="18.42578125" style="25" customWidth="1"/>
    <col min="11027" max="11027" width="27.85546875" style="25" customWidth="1"/>
    <col min="11028" max="11028" width="49.42578125" style="25" customWidth="1"/>
    <col min="11029" max="11029" width="32.140625" style="25" customWidth="1"/>
    <col min="11030" max="11030" width="22.42578125" style="25" customWidth="1"/>
    <col min="11031" max="11031" width="33" style="25" customWidth="1"/>
    <col min="11032" max="11032" width="58.85546875" style="25" customWidth="1"/>
    <col min="11033" max="11033" width="37.85546875" style="25" customWidth="1"/>
    <col min="11034" max="11034" width="17.5703125" style="25" customWidth="1"/>
    <col min="11035" max="11035" width="16.5703125" style="25" customWidth="1"/>
    <col min="11036" max="11036" width="28.7109375" style="25" customWidth="1"/>
    <col min="11037" max="11037" width="23.85546875" style="25" customWidth="1"/>
    <col min="11038" max="11264" width="9.140625" style="25"/>
    <col min="11265" max="11266" width="0" style="25" hidden="1" customWidth="1"/>
    <col min="11267" max="11267" width="15.7109375" style="25" customWidth="1"/>
    <col min="11268" max="11268" width="93.42578125" style="25" customWidth="1"/>
    <col min="11269" max="11269" width="32.28515625" style="25" customWidth="1"/>
    <col min="11270" max="11270" width="23.7109375" style="25" customWidth="1"/>
    <col min="11271" max="11271" width="26.42578125" style="25" customWidth="1"/>
    <col min="11272" max="11272" width="26.5703125" style="25" customWidth="1"/>
    <col min="11273" max="11273" width="27.85546875" style="25" customWidth="1"/>
    <col min="11274" max="11274" width="28.140625" style="25" customWidth="1"/>
    <col min="11275" max="11275" width="24.28515625" style="25" customWidth="1"/>
    <col min="11276" max="11276" width="13.140625" style="25" customWidth="1"/>
    <col min="11277" max="11277" width="19.85546875" style="25" customWidth="1"/>
    <col min="11278" max="11278" width="34.42578125" style="25" customWidth="1"/>
    <col min="11279" max="11279" width="18.140625" style="25" customWidth="1"/>
    <col min="11280" max="11280" width="24.7109375" style="25" customWidth="1"/>
    <col min="11281" max="11281" width="23.28515625" style="25" customWidth="1"/>
    <col min="11282" max="11282" width="18.42578125" style="25" customWidth="1"/>
    <col min="11283" max="11283" width="27.85546875" style="25" customWidth="1"/>
    <col min="11284" max="11284" width="49.42578125" style="25" customWidth="1"/>
    <col min="11285" max="11285" width="32.140625" style="25" customWidth="1"/>
    <col min="11286" max="11286" width="22.42578125" style="25" customWidth="1"/>
    <col min="11287" max="11287" width="33" style="25" customWidth="1"/>
    <col min="11288" max="11288" width="58.85546875" style="25" customWidth="1"/>
    <col min="11289" max="11289" width="37.85546875" style="25" customWidth="1"/>
    <col min="11290" max="11290" width="17.5703125" style="25" customWidth="1"/>
    <col min="11291" max="11291" width="16.5703125" style="25" customWidth="1"/>
    <col min="11292" max="11292" width="28.7109375" style="25" customWidth="1"/>
    <col min="11293" max="11293" width="23.85546875" style="25" customWidth="1"/>
    <col min="11294" max="11520" width="9.140625" style="25"/>
    <col min="11521" max="11522" width="0" style="25" hidden="1" customWidth="1"/>
    <col min="11523" max="11523" width="15.7109375" style="25" customWidth="1"/>
    <col min="11524" max="11524" width="93.42578125" style="25" customWidth="1"/>
    <col min="11525" max="11525" width="32.28515625" style="25" customWidth="1"/>
    <col min="11526" max="11526" width="23.7109375" style="25" customWidth="1"/>
    <col min="11527" max="11527" width="26.42578125" style="25" customWidth="1"/>
    <col min="11528" max="11528" width="26.5703125" style="25" customWidth="1"/>
    <col min="11529" max="11529" width="27.85546875" style="25" customWidth="1"/>
    <col min="11530" max="11530" width="28.140625" style="25" customWidth="1"/>
    <col min="11531" max="11531" width="24.28515625" style="25" customWidth="1"/>
    <col min="11532" max="11532" width="13.140625" style="25" customWidth="1"/>
    <col min="11533" max="11533" width="19.85546875" style="25" customWidth="1"/>
    <col min="11534" max="11534" width="34.42578125" style="25" customWidth="1"/>
    <col min="11535" max="11535" width="18.140625" style="25" customWidth="1"/>
    <col min="11536" max="11536" width="24.7109375" style="25" customWidth="1"/>
    <col min="11537" max="11537" width="23.28515625" style="25" customWidth="1"/>
    <col min="11538" max="11538" width="18.42578125" style="25" customWidth="1"/>
    <col min="11539" max="11539" width="27.85546875" style="25" customWidth="1"/>
    <col min="11540" max="11540" width="49.42578125" style="25" customWidth="1"/>
    <col min="11541" max="11541" width="32.140625" style="25" customWidth="1"/>
    <col min="11542" max="11542" width="22.42578125" style="25" customWidth="1"/>
    <col min="11543" max="11543" width="33" style="25" customWidth="1"/>
    <col min="11544" max="11544" width="58.85546875" style="25" customWidth="1"/>
    <col min="11545" max="11545" width="37.85546875" style="25" customWidth="1"/>
    <col min="11546" max="11546" width="17.5703125" style="25" customWidth="1"/>
    <col min="11547" max="11547" width="16.5703125" style="25" customWidth="1"/>
    <col min="11548" max="11548" width="28.7109375" style="25" customWidth="1"/>
    <col min="11549" max="11549" width="23.85546875" style="25" customWidth="1"/>
    <col min="11550" max="11776" width="9.140625" style="25"/>
    <col min="11777" max="11778" width="0" style="25" hidden="1" customWidth="1"/>
    <col min="11779" max="11779" width="15.7109375" style="25" customWidth="1"/>
    <col min="11780" max="11780" width="93.42578125" style="25" customWidth="1"/>
    <col min="11781" max="11781" width="32.28515625" style="25" customWidth="1"/>
    <col min="11782" max="11782" width="23.7109375" style="25" customWidth="1"/>
    <col min="11783" max="11783" width="26.42578125" style="25" customWidth="1"/>
    <col min="11784" max="11784" width="26.5703125" style="25" customWidth="1"/>
    <col min="11785" max="11785" width="27.85546875" style="25" customWidth="1"/>
    <col min="11786" max="11786" width="28.140625" style="25" customWidth="1"/>
    <col min="11787" max="11787" width="24.28515625" style="25" customWidth="1"/>
    <col min="11788" max="11788" width="13.140625" style="25" customWidth="1"/>
    <col min="11789" max="11789" width="19.85546875" style="25" customWidth="1"/>
    <col min="11790" max="11790" width="34.42578125" style="25" customWidth="1"/>
    <col min="11791" max="11791" width="18.140625" style="25" customWidth="1"/>
    <col min="11792" max="11792" width="24.7109375" style="25" customWidth="1"/>
    <col min="11793" max="11793" width="23.28515625" style="25" customWidth="1"/>
    <col min="11794" max="11794" width="18.42578125" style="25" customWidth="1"/>
    <col min="11795" max="11795" width="27.85546875" style="25" customWidth="1"/>
    <col min="11796" max="11796" width="49.42578125" style="25" customWidth="1"/>
    <col min="11797" max="11797" width="32.140625" style="25" customWidth="1"/>
    <col min="11798" max="11798" width="22.42578125" style="25" customWidth="1"/>
    <col min="11799" max="11799" width="33" style="25" customWidth="1"/>
    <col min="11800" max="11800" width="58.85546875" style="25" customWidth="1"/>
    <col min="11801" max="11801" width="37.85546875" style="25" customWidth="1"/>
    <col min="11802" max="11802" width="17.5703125" style="25" customWidth="1"/>
    <col min="11803" max="11803" width="16.5703125" style="25" customWidth="1"/>
    <col min="11804" max="11804" width="28.7109375" style="25" customWidth="1"/>
    <col min="11805" max="11805" width="23.85546875" style="25" customWidth="1"/>
    <col min="11806" max="12032" width="9.140625" style="25"/>
    <col min="12033" max="12034" width="0" style="25" hidden="1" customWidth="1"/>
    <col min="12035" max="12035" width="15.7109375" style="25" customWidth="1"/>
    <col min="12036" max="12036" width="93.42578125" style="25" customWidth="1"/>
    <col min="12037" max="12037" width="32.28515625" style="25" customWidth="1"/>
    <col min="12038" max="12038" width="23.7109375" style="25" customWidth="1"/>
    <col min="12039" max="12039" width="26.42578125" style="25" customWidth="1"/>
    <col min="12040" max="12040" width="26.5703125" style="25" customWidth="1"/>
    <col min="12041" max="12041" width="27.85546875" style="25" customWidth="1"/>
    <col min="12042" max="12042" width="28.140625" style="25" customWidth="1"/>
    <col min="12043" max="12043" width="24.28515625" style="25" customWidth="1"/>
    <col min="12044" max="12044" width="13.140625" style="25" customWidth="1"/>
    <col min="12045" max="12045" width="19.85546875" style="25" customWidth="1"/>
    <col min="12046" max="12046" width="34.42578125" style="25" customWidth="1"/>
    <col min="12047" max="12047" width="18.140625" style="25" customWidth="1"/>
    <col min="12048" max="12048" width="24.7109375" style="25" customWidth="1"/>
    <col min="12049" max="12049" width="23.28515625" style="25" customWidth="1"/>
    <col min="12050" max="12050" width="18.42578125" style="25" customWidth="1"/>
    <col min="12051" max="12051" width="27.85546875" style="25" customWidth="1"/>
    <col min="12052" max="12052" width="49.42578125" style="25" customWidth="1"/>
    <col min="12053" max="12053" width="32.140625" style="25" customWidth="1"/>
    <col min="12054" max="12054" width="22.42578125" style="25" customWidth="1"/>
    <col min="12055" max="12055" width="33" style="25" customWidth="1"/>
    <col min="12056" max="12056" width="58.85546875" style="25" customWidth="1"/>
    <col min="12057" max="12057" width="37.85546875" style="25" customWidth="1"/>
    <col min="12058" max="12058" width="17.5703125" style="25" customWidth="1"/>
    <col min="12059" max="12059" width="16.5703125" style="25" customWidth="1"/>
    <col min="12060" max="12060" width="28.7109375" style="25" customWidth="1"/>
    <col min="12061" max="12061" width="23.85546875" style="25" customWidth="1"/>
    <col min="12062" max="12288" width="9.140625" style="25"/>
    <col min="12289" max="12290" width="0" style="25" hidden="1" customWidth="1"/>
    <col min="12291" max="12291" width="15.7109375" style="25" customWidth="1"/>
    <col min="12292" max="12292" width="93.42578125" style="25" customWidth="1"/>
    <col min="12293" max="12293" width="32.28515625" style="25" customWidth="1"/>
    <col min="12294" max="12294" width="23.7109375" style="25" customWidth="1"/>
    <col min="12295" max="12295" width="26.42578125" style="25" customWidth="1"/>
    <col min="12296" max="12296" width="26.5703125" style="25" customWidth="1"/>
    <col min="12297" max="12297" width="27.85546875" style="25" customWidth="1"/>
    <col min="12298" max="12298" width="28.140625" style="25" customWidth="1"/>
    <col min="12299" max="12299" width="24.28515625" style="25" customWidth="1"/>
    <col min="12300" max="12300" width="13.140625" style="25" customWidth="1"/>
    <col min="12301" max="12301" width="19.85546875" style="25" customWidth="1"/>
    <col min="12302" max="12302" width="34.42578125" style="25" customWidth="1"/>
    <col min="12303" max="12303" width="18.140625" style="25" customWidth="1"/>
    <col min="12304" max="12304" width="24.7109375" style="25" customWidth="1"/>
    <col min="12305" max="12305" width="23.28515625" style="25" customWidth="1"/>
    <col min="12306" max="12306" width="18.42578125" style="25" customWidth="1"/>
    <col min="12307" max="12307" width="27.85546875" style="25" customWidth="1"/>
    <col min="12308" max="12308" width="49.42578125" style="25" customWidth="1"/>
    <col min="12309" max="12309" width="32.140625" style="25" customWidth="1"/>
    <col min="12310" max="12310" width="22.42578125" style="25" customWidth="1"/>
    <col min="12311" max="12311" width="33" style="25" customWidth="1"/>
    <col min="12312" max="12312" width="58.85546875" style="25" customWidth="1"/>
    <col min="12313" max="12313" width="37.85546875" style="25" customWidth="1"/>
    <col min="12314" max="12314" width="17.5703125" style="25" customWidth="1"/>
    <col min="12315" max="12315" width="16.5703125" style="25" customWidth="1"/>
    <col min="12316" max="12316" width="28.7109375" style="25" customWidth="1"/>
    <col min="12317" max="12317" width="23.85546875" style="25" customWidth="1"/>
    <col min="12318" max="12544" width="9.140625" style="25"/>
    <col min="12545" max="12546" width="0" style="25" hidden="1" customWidth="1"/>
    <col min="12547" max="12547" width="15.7109375" style="25" customWidth="1"/>
    <col min="12548" max="12548" width="93.42578125" style="25" customWidth="1"/>
    <col min="12549" max="12549" width="32.28515625" style="25" customWidth="1"/>
    <col min="12550" max="12550" width="23.7109375" style="25" customWidth="1"/>
    <col min="12551" max="12551" width="26.42578125" style="25" customWidth="1"/>
    <col min="12552" max="12552" width="26.5703125" style="25" customWidth="1"/>
    <col min="12553" max="12553" width="27.85546875" style="25" customWidth="1"/>
    <col min="12554" max="12554" width="28.140625" style="25" customWidth="1"/>
    <col min="12555" max="12555" width="24.28515625" style="25" customWidth="1"/>
    <col min="12556" max="12556" width="13.140625" style="25" customWidth="1"/>
    <col min="12557" max="12557" width="19.85546875" style="25" customWidth="1"/>
    <col min="12558" max="12558" width="34.42578125" style="25" customWidth="1"/>
    <col min="12559" max="12559" width="18.140625" style="25" customWidth="1"/>
    <col min="12560" max="12560" width="24.7109375" style="25" customWidth="1"/>
    <col min="12561" max="12561" width="23.28515625" style="25" customWidth="1"/>
    <col min="12562" max="12562" width="18.42578125" style="25" customWidth="1"/>
    <col min="12563" max="12563" width="27.85546875" style="25" customWidth="1"/>
    <col min="12564" max="12564" width="49.42578125" style="25" customWidth="1"/>
    <col min="12565" max="12565" width="32.140625" style="25" customWidth="1"/>
    <col min="12566" max="12566" width="22.42578125" style="25" customWidth="1"/>
    <col min="12567" max="12567" width="33" style="25" customWidth="1"/>
    <col min="12568" max="12568" width="58.85546875" style="25" customWidth="1"/>
    <col min="12569" max="12569" width="37.85546875" style="25" customWidth="1"/>
    <col min="12570" max="12570" width="17.5703125" style="25" customWidth="1"/>
    <col min="12571" max="12571" width="16.5703125" style="25" customWidth="1"/>
    <col min="12572" max="12572" width="28.7109375" style="25" customWidth="1"/>
    <col min="12573" max="12573" width="23.85546875" style="25" customWidth="1"/>
    <col min="12574" max="12800" width="9.140625" style="25"/>
    <col min="12801" max="12802" width="0" style="25" hidden="1" customWidth="1"/>
    <col min="12803" max="12803" width="15.7109375" style="25" customWidth="1"/>
    <col min="12804" max="12804" width="93.42578125" style="25" customWidth="1"/>
    <col min="12805" max="12805" width="32.28515625" style="25" customWidth="1"/>
    <col min="12806" max="12806" width="23.7109375" style="25" customWidth="1"/>
    <col min="12807" max="12807" width="26.42578125" style="25" customWidth="1"/>
    <col min="12808" max="12808" width="26.5703125" style="25" customWidth="1"/>
    <col min="12809" max="12809" width="27.85546875" style="25" customWidth="1"/>
    <col min="12810" max="12810" width="28.140625" style="25" customWidth="1"/>
    <col min="12811" max="12811" width="24.28515625" style="25" customWidth="1"/>
    <col min="12812" max="12812" width="13.140625" style="25" customWidth="1"/>
    <col min="12813" max="12813" width="19.85546875" style="25" customWidth="1"/>
    <col min="12814" max="12814" width="34.42578125" style="25" customWidth="1"/>
    <col min="12815" max="12815" width="18.140625" style="25" customWidth="1"/>
    <col min="12816" max="12816" width="24.7109375" style="25" customWidth="1"/>
    <col min="12817" max="12817" width="23.28515625" style="25" customWidth="1"/>
    <col min="12818" max="12818" width="18.42578125" style="25" customWidth="1"/>
    <col min="12819" max="12819" width="27.85546875" style="25" customWidth="1"/>
    <col min="12820" max="12820" width="49.42578125" style="25" customWidth="1"/>
    <col min="12821" max="12821" width="32.140625" style="25" customWidth="1"/>
    <col min="12822" max="12822" width="22.42578125" style="25" customWidth="1"/>
    <col min="12823" max="12823" width="33" style="25" customWidth="1"/>
    <col min="12824" max="12824" width="58.85546875" style="25" customWidth="1"/>
    <col min="12825" max="12825" width="37.85546875" style="25" customWidth="1"/>
    <col min="12826" max="12826" width="17.5703125" style="25" customWidth="1"/>
    <col min="12827" max="12827" width="16.5703125" style="25" customWidth="1"/>
    <col min="12828" max="12828" width="28.7109375" style="25" customWidth="1"/>
    <col min="12829" max="12829" width="23.85546875" style="25" customWidth="1"/>
    <col min="12830" max="13056" width="9.140625" style="25"/>
    <col min="13057" max="13058" width="0" style="25" hidden="1" customWidth="1"/>
    <col min="13059" max="13059" width="15.7109375" style="25" customWidth="1"/>
    <col min="13060" max="13060" width="93.42578125" style="25" customWidth="1"/>
    <col min="13061" max="13061" width="32.28515625" style="25" customWidth="1"/>
    <col min="13062" max="13062" width="23.7109375" style="25" customWidth="1"/>
    <col min="13063" max="13063" width="26.42578125" style="25" customWidth="1"/>
    <col min="13064" max="13064" width="26.5703125" style="25" customWidth="1"/>
    <col min="13065" max="13065" width="27.85546875" style="25" customWidth="1"/>
    <col min="13066" max="13066" width="28.140625" style="25" customWidth="1"/>
    <col min="13067" max="13067" width="24.28515625" style="25" customWidth="1"/>
    <col min="13068" max="13068" width="13.140625" style="25" customWidth="1"/>
    <col min="13069" max="13069" width="19.85546875" style="25" customWidth="1"/>
    <col min="13070" max="13070" width="34.42578125" style="25" customWidth="1"/>
    <col min="13071" max="13071" width="18.140625" style="25" customWidth="1"/>
    <col min="13072" max="13072" width="24.7109375" style="25" customWidth="1"/>
    <col min="13073" max="13073" width="23.28515625" style="25" customWidth="1"/>
    <col min="13074" max="13074" width="18.42578125" style="25" customWidth="1"/>
    <col min="13075" max="13075" width="27.85546875" style="25" customWidth="1"/>
    <col min="13076" max="13076" width="49.42578125" style="25" customWidth="1"/>
    <col min="13077" max="13077" width="32.140625" style="25" customWidth="1"/>
    <col min="13078" max="13078" width="22.42578125" style="25" customWidth="1"/>
    <col min="13079" max="13079" width="33" style="25" customWidth="1"/>
    <col min="13080" max="13080" width="58.85546875" style="25" customWidth="1"/>
    <col min="13081" max="13081" width="37.85546875" style="25" customWidth="1"/>
    <col min="13082" max="13082" width="17.5703125" style="25" customWidth="1"/>
    <col min="13083" max="13083" width="16.5703125" style="25" customWidth="1"/>
    <col min="13084" max="13084" width="28.7109375" style="25" customWidth="1"/>
    <col min="13085" max="13085" width="23.85546875" style="25" customWidth="1"/>
    <col min="13086" max="13312" width="9.140625" style="25"/>
    <col min="13313" max="13314" width="0" style="25" hidden="1" customWidth="1"/>
    <col min="13315" max="13315" width="15.7109375" style="25" customWidth="1"/>
    <col min="13316" max="13316" width="93.42578125" style="25" customWidth="1"/>
    <col min="13317" max="13317" width="32.28515625" style="25" customWidth="1"/>
    <col min="13318" max="13318" width="23.7109375" style="25" customWidth="1"/>
    <col min="13319" max="13319" width="26.42578125" style="25" customWidth="1"/>
    <col min="13320" max="13320" width="26.5703125" style="25" customWidth="1"/>
    <col min="13321" max="13321" width="27.85546875" style="25" customWidth="1"/>
    <col min="13322" max="13322" width="28.140625" style="25" customWidth="1"/>
    <col min="13323" max="13323" width="24.28515625" style="25" customWidth="1"/>
    <col min="13324" max="13324" width="13.140625" style="25" customWidth="1"/>
    <col min="13325" max="13325" width="19.85546875" style="25" customWidth="1"/>
    <col min="13326" max="13326" width="34.42578125" style="25" customWidth="1"/>
    <col min="13327" max="13327" width="18.140625" style="25" customWidth="1"/>
    <col min="13328" max="13328" width="24.7109375" style="25" customWidth="1"/>
    <col min="13329" max="13329" width="23.28515625" style="25" customWidth="1"/>
    <col min="13330" max="13330" width="18.42578125" style="25" customWidth="1"/>
    <col min="13331" max="13331" width="27.85546875" style="25" customWidth="1"/>
    <col min="13332" max="13332" width="49.42578125" style="25" customWidth="1"/>
    <col min="13333" max="13333" width="32.140625" style="25" customWidth="1"/>
    <col min="13334" max="13334" width="22.42578125" style="25" customWidth="1"/>
    <col min="13335" max="13335" width="33" style="25" customWidth="1"/>
    <col min="13336" max="13336" width="58.85546875" style="25" customWidth="1"/>
    <col min="13337" max="13337" width="37.85546875" style="25" customWidth="1"/>
    <col min="13338" max="13338" width="17.5703125" style="25" customWidth="1"/>
    <col min="13339" max="13339" width="16.5703125" style="25" customWidth="1"/>
    <col min="13340" max="13340" width="28.7109375" style="25" customWidth="1"/>
    <col min="13341" max="13341" width="23.85546875" style="25" customWidth="1"/>
    <col min="13342" max="13568" width="9.140625" style="25"/>
    <col min="13569" max="13570" width="0" style="25" hidden="1" customWidth="1"/>
    <col min="13571" max="13571" width="15.7109375" style="25" customWidth="1"/>
    <col min="13572" max="13572" width="93.42578125" style="25" customWidth="1"/>
    <col min="13573" max="13573" width="32.28515625" style="25" customWidth="1"/>
    <col min="13574" max="13574" width="23.7109375" style="25" customWidth="1"/>
    <col min="13575" max="13575" width="26.42578125" style="25" customWidth="1"/>
    <col min="13576" max="13576" width="26.5703125" style="25" customWidth="1"/>
    <col min="13577" max="13577" width="27.85546875" style="25" customWidth="1"/>
    <col min="13578" max="13578" width="28.140625" style="25" customWidth="1"/>
    <col min="13579" max="13579" width="24.28515625" style="25" customWidth="1"/>
    <col min="13580" max="13580" width="13.140625" style="25" customWidth="1"/>
    <col min="13581" max="13581" width="19.85546875" style="25" customWidth="1"/>
    <col min="13582" max="13582" width="34.42578125" style="25" customWidth="1"/>
    <col min="13583" max="13583" width="18.140625" style="25" customWidth="1"/>
    <col min="13584" max="13584" width="24.7109375" style="25" customWidth="1"/>
    <col min="13585" max="13585" width="23.28515625" style="25" customWidth="1"/>
    <col min="13586" max="13586" width="18.42578125" style="25" customWidth="1"/>
    <col min="13587" max="13587" width="27.85546875" style="25" customWidth="1"/>
    <col min="13588" max="13588" width="49.42578125" style="25" customWidth="1"/>
    <col min="13589" max="13589" width="32.140625" style="25" customWidth="1"/>
    <col min="13590" max="13590" width="22.42578125" style="25" customWidth="1"/>
    <col min="13591" max="13591" width="33" style="25" customWidth="1"/>
    <col min="13592" max="13592" width="58.85546875" style="25" customWidth="1"/>
    <col min="13593" max="13593" width="37.85546875" style="25" customWidth="1"/>
    <col min="13594" max="13594" width="17.5703125" style="25" customWidth="1"/>
    <col min="13595" max="13595" width="16.5703125" style="25" customWidth="1"/>
    <col min="13596" max="13596" width="28.7109375" style="25" customWidth="1"/>
    <col min="13597" max="13597" width="23.85546875" style="25" customWidth="1"/>
    <col min="13598" max="13824" width="9.140625" style="25"/>
    <col min="13825" max="13826" width="0" style="25" hidden="1" customWidth="1"/>
    <col min="13827" max="13827" width="15.7109375" style="25" customWidth="1"/>
    <col min="13828" max="13828" width="93.42578125" style="25" customWidth="1"/>
    <col min="13829" max="13829" width="32.28515625" style="25" customWidth="1"/>
    <col min="13830" max="13830" width="23.7109375" style="25" customWidth="1"/>
    <col min="13831" max="13831" width="26.42578125" style="25" customWidth="1"/>
    <col min="13832" max="13832" width="26.5703125" style="25" customWidth="1"/>
    <col min="13833" max="13833" width="27.85546875" style="25" customWidth="1"/>
    <col min="13834" max="13834" width="28.140625" style="25" customWidth="1"/>
    <col min="13835" max="13835" width="24.28515625" style="25" customWidth="1"/>
    <col min="13836" max="13836" width="13.140625" style="25" customWidth="1"/>
    <col min="13837" max="13837" width="19.85546875" style="25" customWidth="1"/>
    <col min="13838" max="13838" width="34.42578125" style="25" customWidth="1"/>
    <col min="13839" max="13839" width="18.140625" style="25" customWidth="1"/>
    <col min="13840" max="13840" width="24.7109375" style="25" customWidth="1"/>
    <col min="13841" max="13841" width="23.28515625" style="25" customWidth="1"/>
    <col min="13842" max="13842" width="18.42578125" style="25" customWidth="1"/>
    <col min="13843" max="13843" width="27.85546875" style="25" customWidth="1"/>
    <col min="13844" max="13844" width="49.42578125" style="25" customWidth="1"/>
    <col min="13845" max="13845" width="32.140625" style="25" customWidth="1"/>
    <col min="13846" max="13846" width="22.42578125" style="25" customWidth="1"/>
    <col min="13847" max="13847" width="33" style="25" customWidth="1"/>
    <col min="13848" max="13848" width="58.85546875" style="25" customWidth="1"/>
    <col min="13849" max="13849" width="37.85546875" style="25" customWidth="1"/>
    <col min="13850" max="13850" width="17.5703125" style="25" customWidth="1"/>
    <col min="13851" max="13851" width="16.5703125" style="25" customWidth="1"/>
    <col min="13852" max="13852" width="28.7109375" style="25" customWidth="1"/>
    <col min="13853" max="13853" width="23.85546875" style="25" customWidth="1"/>
    <col min="13854" max="14080" width="9.140625" style="25"/>
    <col min="14081" max="14082" width="0" style="25" hidden="1" customWidth="1"/>
    <col min="14083" max="14083" width="15.7109375" style="25" customWidth="1"/>
    <col min="14084" max="14084" width="93.42578125" style="25" customWidth="1"/>
    <col min="14085" max="14085" width="32.28515625" style="25" customWidth="1"/>
    <col min="14086" max="14086" width="23.7109375" style="25" customWidth="1"/>
    <col min="14087" max="14087" width="26.42578125" style="25" customWidth="1"/>
    <col min="14088" max="14088" width="26.5703125" style="25" customWidth="1"/>
    <col min="14089" max="14089" width="27.85546875" style="25" customWidth="1"/>
    <col min="14090" max="14090" width="28.140625" style="25" customWidth="1"/>
    <col min="14091" max="14091" width="24.28515625" style="25" customWidth="1"/>
    <col min="14092" max="14092" width="13.140625" style="25" customWidth="1"/>
    <col min="14093" max="14093" width="19.85546875" style="25" customWidth="1"/>
    <col min="14094" max="14094" width="34.42578125" style="25" customWidth="1"/>
    <col min="14095" max="14095" width="18.140625" style="25" customWidth="1"/>
    <col min="14096" max="14096" width="24.7109375" style="25" customWidth="1"/>
    <col min="14097" max="14097" width="23.28515625" style="25" customWidth="1"/>
    <col min="14098" max="14098" width="18.42578125" style="25" customWidth="1"/>
    <col min="14099" max="14099" width="27.85546875" style="25" customWidth="1"/>
    <col min="14100" max="14100" width="49.42578125" style="25" customWidth="1"/>
    <col min="14101" max="14101" width="32.140625" style="25" customWidth="1"/>
    <col min="14102" max="14102" width="22.42578125" style="25" customWidth="1"/>
    <col min="14103" max="14103" width="33" style="25" customWidth="1"/>
    <col min="14104" max="14104" width="58.85546875" style="25" customWidth="1"/>
    <col min="14105" max="14105" width="37.85546875" style="25" customWidth="1"/>
    <col min="14106" max="14106" width="17.5703125" style="25" customWidth="1"/>
    <col min="14107" max="14107" width="16.5703125" style="25" customWidth="1"/>
    <col min="14108" max="14108" width="28.7109375" style="25" customWidth="1"/>
    <col min="14109" max="14109" width="23.85546875" style="25" customWidth="1"/>
    <col min="14110" max="14336" width="9.140625" style="25"/>
    <col min="14337" max="14338" width="0" style="25" hidden="1" customWidth="1"/>
    <col min="14339" max="14339" width="15.7109375" style="25" customWidth="1"/>
    <col min="14340" max="14340" width="93.42578125" style="25" customWidth="1"/>
    <col min="14341" max="14341" width="32.28515625" style="25" customWidth="1"/>
    <col min="14342" max="14342" width="23.7109375" style="25" customWidth="1"/>
    <col min="14343" max="14343" width="26.42578125" style="25" customWidth="1"/>
    <col min="14344" max="14344" width="26.5703125" style="25" customWidth="1"/>
    <col min="14345" max="14345" width="27.85546875" style="25" customWidth="1"/>
    <col min="14346" max="14346" width="28.140625" style="25" customWidth="1"/>
    <col min="14347" max="14347" width="24.28515625" style="25" customWidth="1"/>
    <col min="14348" max="14348" width="13.140625" style="25" customWidth="1"/>
    <col min="14349" max="14349" width="19.85546875" style="25" customWidth="1"/>
    <col min="14350" max="14350" width="34.42578125" style="25" customWidth="1"/>
    <col min="14351" max="14351" width="18.140625" style="25" customWidth="1"/>
    <col min="14352" max="14352" width="24.7109375" style="25" customWidth="1"/>
    <col min="14353" max="14353" width="23.28515625" style="25" customWidth="1"/>
    <col min="14354" max="14354" width="18.42578125" style="25" customWidth="1"/>
    <col min="14355" max="14355" width="27.85546875" style="25" customWidth="1"/>
    <col min="14356" max="14356" width="49.42578125" style="25" customWidth="1"/>
    <col min="14357" max="14357" width="32.140625" style="25" customWidth="1"/>
    <col min="14358" max="14358" width="22.42578125" style="25" customWidth="1"/>
    <col min="14359" max="14359" width="33" style="25" customWidth="1"/>
    <col min="14360" max="14360" width="58.85546875" style="25" customWidth="1"/>
    <col min="14361" max="14361" width="37.85546875" style="25" customWidth="1"/>
    <col min="14362" max="14362" width="17.5703125" style="25" customWidth="1"/>
    <col min="14363" max="14363" width="16.5703125" style="25" customWidth="1"/>
    <col min="14364" max="14364" width="28.7109375" style="25" customWidth="1"/>
    <col min="14365" max="14365" width="23.85546875" style="25" customWidth="1"/>
    <col min="14366" max="14592" width="9.140625" style="25"/>
    <col min="14593" max="14594" width="0" style="25" hidden="1" customWidth="1"/>
    <col min="14595" max="14595" width="15.7109375" style="25" customWidth="1"/>
    <col min="14596" max="14596" width="93.42578125" style="25" customWidth="1"/>
    <col min="14597" max="14597" width="32.28515625" style="25" customWidth="1"/>
    <col min="14598" max="14598" width="23.7109375" style="25" customWidth="1"/>
    <col min="14599" max="14599" width="26.42578125" style="25" customWidth="1"/>
    <col min="14600" max="14600" width="26.5703125" style="25" customWidth="1"/>
    <col min="14601" max="14601" width="27.85546875" style="25" customWidth="1"/>
    <col min="14602" max="14602" width="28.140625" style="25" customWidth="1"/>
    <col min="14603" max="14603" width="24.28515625" style="25" customWidth="1"/>
    <col min="14604" max="14604" width="13.140625" style="25" customWidth="1"/>
    <col min="14605" max="14605" width="19.85546875" style="25" customWidth="1"/>
    <col min="14606" max="14606" width="34.42578125" style="25" customWidth="1"/>
    <col min="14607" max="14607" width="18.140625" style="25" customWidth="1"/>
    <col min="14608" max="14608" width="24.7109375" style="25" customWidth="1"/>
    <col min="14609" max="14609" width="23.28515625" style="25" customWidth="1"/>
    <col min="14610" max="14610" width="18.42578125" style="25" customWidth="1"/>
    <col min="14611" max="14611" width="27.85546875" style="25" customWidth="1"/>
    <col min="14612" max="14612" width="49.42578125" style="25" customWidth="1"/>
    <col min="14613" max="14613" width="32.140625" style="25" customWidth="1"/>
    <col min="14614" max="14614" width="22.42578125" style="25" customWidth="1"/>
    <col min="14615" max="14615" width="33" style="25" customWidth="1"/>
    <col min="14616" max="14616" width="58.85546875" style="25" customWidth="1"/>
    <col min="14617" max="14617" width="37.85546875" style="25" customWidth="1"/>
    <col min="14618" max="14618" width="17.5703125" style="25" customWidth="1"/>
    <col min="14619" max="14619" width="16.5703125" style="25" customWidth="1"/>
    <col min="14620" max="14620" width="28.7109375" style="25" customWidth="1"/>
    <col min="14621" max="14621" width="23.85546875" style="25" customWidth="1"/>
    <col min="14622" max="14848" width="9.140625" style="25"/>
    <col min="14849" max="14850" width="0" style="25" hidden="1" customWidth="1"/>
    <col min="14851" max="14851" width="15.7109375" style="25" customWidth="1"/>
    <col min="14852" max="14852" width="93.42578125" style="25" customWidth="1"/>
    <col min="14853" max="14853" width="32.28515625" style="25" customWidth="1"/>
    <col min="14854" max="14854" width="23.7109375" style="25" customWidth="1"/>
    <col min="14855" max="14855" width="26.42578125" style="25" customWidth="1"/>
    <col min="14856" max="14856" width="26.5703125" style="25" customWidth="1"/>
    <col min="14857" max="14857" width="27.85546875" style="25" customWidth="1"/>
    <col min="14858" max="14858" width="28.140625" style="25" customWidth="1"/>
    <col min="14859" max="14859" width="24.28515625" style="25" customWidth="1"/>
    <col min="14860" max="14860" width="13.140625" style="25" customWidth="1"/>
    <col min="14861" max="14861" width="19.85546875" style="25" customWidth="1"/>
    <col min="14862" max="14862" width="34.42578125" style="25" customWidth="1"/>
    <col min="14863" max="14863" width="18.140625" style="25" customWidth="1"/>
    <col min="14864" max="14864" width="24.7109375" style="25" customWidth="1"/>
    <col min="14865" max="14865" width="23.28515625" style="25" customWidth="1"/>
    <col min="14866" max="14866" width="18.42578125" style="25" customWidth="1"/>
    <col min="14867" max="14867" width="27.85546875" style="25" customWidth="1"/>
    <col min="14868" max="14868" width="49.42578125" style="25" customWidth="1"/>
    <col min="14869" max="14869" width="32.140625" style="25" customWidth="1"/>
    <col min="14870" max="14870" width="22.42578125" style="25" customWidth="1"/>
    <col min="14871" max="14871" width="33" style="25" customWidth="1"/>
    <col min="14872" max="14872" width="58.85546875" style="25" customWidth="1"/>
    <col min="14873" max="14873" width="37.85546875" style="25" customWidth="1"/>
    <col min="14874" max="14874" width="17.5703125" style="25" customWidth="1"/>
    <col min="14875" max="14875" width="16.5703125" style="25" customWidth="1"/>
    <col min="14876" max="14876" width="28.7109375" style="25" customWidth="1"/>
    <col min="14877" max="14877" width="23.85546875" style="25" customWidth="1"/>
    <col min="14878" max="15104" width="9.140625" style="25"/>
    <col min="15105" max="15106" width="0" style="25" hidden="1" customWidth="1"/>
    <col min="15107" max="15107" width="15.7109375" style="25" customWidth="1"/>
    <col min="15108" max="15108" width="93.42578125" style="25" customWidth="1"/>
    <col min="15109" max="15109" width="32.28515625" style="25" customWidth="1"/>
    <col min="15110" max="15110" width="23.7109375" style="25" customWidth="1"/>
    <col min="15111" max="15111" width="26.42578125" style="25" customWidth="1"/>
    <col min="15112" max="15112" width="26.5703125" style="25" customWidth="1"/>
    <col min="15113" max="15113" width="27.85546875" style="25" customWidth="1"/>
    <col min="15114" max="15114" width="28.140625" style="25" customWidth="1"/>
    <col min="15115" max="15115" width="24.28515625" style="25" customWidth="1"/>
    <col min="15116" max="15116" width="13.140625" style="25" customWidth="1"/>
    <col min="15117" max="15117" width="19.85546875" style="25" customWidth="1"/>
    <col min="15118" max="15118" width="34.42578125" style="25" customWidth="1"/>
    <col min="15119" max="15119" width="18.140625" style="25" customWidth="1"/>
    <col min="15120" max="15120" width="24.7109375" style="25" customWidth="1"/>
    <col min="15121" max="15121" width="23.28515625" style="25" customWidth="1"/>
    <col min="15122" max="15122" width="18.42578125" style="25" customWidth="1"/>
    <col min="15123" max="15123" width="27.85546875" style="25" customWidth="1"/>
    <col min="15124" max="15124" width="49.42578125" style="25" customWidth="1"/>
    <col min="15125" max="15125" width="32.140625" style="25" customWidth="1"/>
    <col min="15126" max="15126" width="22.42578125" style="25" customWidth="1"/>
    <col min="15127" max="15127" width="33" style="25" customWidth="1"/>
    <col min="15128" max="15128" width="58.85546875" style="25" customWidth="1"/>
    <col min="15129" max="15129" width="37.85546875" style="25" customWidth="1"/>
    <col min="15130" max="15130" width="17.5703125" style="25" customWidth="1"/>
    <col min="15131" max="15131" width="16.5703125" style="25" customWidth="1"/>
    <col min="15132" max="15132" width="28.7109375" style="25" customWidth="1"/>
    <col min="15133" max="15133" width="23.85546875" style="25" customWidth="1"/>
    <col min="15134" max="15360" width="9.140625" style="25"/>
    <col min="15361" max="15362" width="0" style="25" hidden="1" customWidth="1"/>
    <col min="15363" max="15363" width="15.7109375" style="25" customWidth="1"/>
    <col min="15364" max="15364" width="93.42578125" style="25" customWidth="1"/>
    <col min="15365" max="15365" width="32.28515625" style="25" customWidth="1"/>
    <col min="15366" max="15366" width="23.7109375" style="25" customWidth="1"/>
    <col min="15367" max="15367" width="26.42578125" style="25" customWidth="1"/>
    <col min="15368" max="15368" width="26.5703125" style="25" customWidth="1"/>
    <col min="15369" max="15369" width="27.85546875" style="25" customWidth="1"/>
    <col min="15370" max="15370" width="28.140625" style="25" customWidth="1"/>
    <col min="15371" max="15371" width="24.28515625" style="25" customWidth="1"/>
    <col min="15372" max="15372" width="13.140625" style="25" customWidth="1"/>
    <col min="15373" max="15373" width="19.85546875" style="25" customWidth="1"/>
    <col min="15374" max="15374" width="34.42578125" style="25" customWidth="1"/>
    <col min="15375" max="15375" width="18.140625" style="25" customWidth="1"/>
    <col min="15376" max="15376" width="24.7109375" style="25" customWidth="1"/>
    <col min="15377" max="15377" width="23.28515625" style="25" customWidth="1"/>
    <col min="15378" max="15378" width="18.42578125" style="25" customWidth="1"/>
    <col min="15379" max="15379" width="27.85546875" style="25" customWidth="1"/>
    <col min="15380" max="15380" width="49.42578125" style="25" customWidth="1"/>
    <col min="15381" max="15381" width="32.140625" style="25" customWidth="1"/>
    <col min="15382" max="15382" width="22.42578125" style="25" customWidth="1"/>
    <col min="15383" max="15383" width="33" style="25" customWidth="1"/>
    <col min="15384" max="15384" width="58.85546875" style="25" customWidth="1"/>
    <col min="15385" max="15385" width="37.85546875" style="25" customWidth="1"/>
    <col min="15386" max="15386" width="17.5703125" style="25" customWidth="1"/>
    <col min="15387" max="15387" width="16.5703125" style="25" customWidth="1"/>
    <col min="15388" max="15388" width="28.7109375" style="25" customWidth="1"/>
    <col min="15389" max="15389" width="23.85546875" style="25" customWidth="1"/>
    <col min="15390" max="15616" width="9.140625" style="25"/>
    <col min="15617" max="15618" width="0" style="25" hidden="1" customWidth="1"/>
    <col min="15619" max="15619" width="15.7109375" style="25" customWidth="1"/>
    <col min="15620" max="15620" width="93.42578125" style="25" customWidth="1"/>
    <col min="15621" max="15621" width="32.28515625" style="25" customWidth="1"/>
    <col min="15622" max="15622" width="23.7109375" style="25" customWidth="1"/>
    <col min="15623" max="15623" width="26.42578125" style="25" customWidth="1"/>
    <col min="15624" max="15624" width="26.5703125" style="25" customWidth="1"/>
    <col min="15625" max="15625" width="27.85546875" style="25" customWidth="1"/>
    <col min="15626" max="15626" width="28.140625" style="25" customWidth="1"/>
    <col min="15627" max="15627" width="24.28515625" style="25" customWidth="1"/>
    <col min="15628" max="15628" width="13.140625" style="25" customWidth="1"/>
    <col min="15629" max="15629" width="19.85546875" style="25" customWidth="1"/>
    <col min="15630" max="15630" width="34.42578125" style="25" customWidth="1"/>
    <col min="15631" max="15631" width="18.140625" style="25" customWidth="1"/>
    <col min="15632" max="15632" width="24.7109375" style="25" customWidth="1"/>
    <col min="15633" max="15633" width="23.28515625" style="25" customWidth="1"/>
    <col min="15634" max="15634" width="18.42578125" style="25" customWidth="1"/>
    <col min="15635" max="15635" width="27.85546875" style="25" customWidth="1"/>
    <col min="15636" max="15636" width="49.42578125" style="25" customWidth="1"/>
    <col min="15637" max="15637" width="32.140625" style="25" customWidth="1"/>
    <col min="15638" max="15638" width="22.42578125" style="25" customWidth="1"/>
    <col min="15639" max="15639" width="33" style="25" customWidth="1"/>
    <col min="15640" max="15640" width="58.85546875" style="25" customWidth="1"/>
    <col min="15641" max="15641" width="37.85546875" style="25" customWidth="1"/>
    <col min="15642" max="15642" width="17.5703125" style="25" customWidth="1"/>
    <col min="15643" max="15643" width="16.5703125" style="25" customWidth="1"/>
    <col min="15644" max="15644" width="28.7109375" style="25" customWidth="1"/>
    <col min="15645" max="15645" width="23.85546875" style="25" customWidth="1"/>
    <col min="15646" max="15872" width="9.140625" style="25"/>
    <col min="15873" max="15874" width="0" style="25" hidden="1" customWidth="1"/>
    <col min="15875" max="15875" width="15.7109375" style="25" customWidth="1"/>
    <col min="15876" max="15876" width="93.42578125" style="25" customWidth="1"/>
    <col min="15877" max="15877" width="32.28515625" style="25" customWidth="1"/>
    <col min="15878" max="15878" width="23.7109375" style="25" customWidth="1"/>
    <col min="15879" max="15879" width="26.42578125" style="25" customWidth="1"/>
    <col min="15880" max="15880" width="26.5703125" style="25" customWidth="1"/>
    <col min="15881" max="15881" width="27.85546875" style="25" customWidth="1"/>
    <col min="15882" max="15882" width="28.140625" style="25" customWidth="1"/>
    <col min="15883" max="15883" width="24.28515625" style="25" customWidth="1"/>
    <col min="15884" max="15884" width="13.140625" style="25" customWidth="1"/>
    <col min="15885" max="15885" width="19.85546875" style="25" customWidth="1"/>
    <col min="15886" max="15886" width="34.42578125" style="25" customWidth="1"/>
    <col min="15887" max="15887" width="18.140625" style="25" customWidth="1"/>
    <col min="15888" max="15888" width="24.7109375" style="25" customWidth="1"/>
    <col min="15889" max="15889" width="23.28515625" style="25" customWidth="1"/>
    <col min="15890" max="15890" width="18.42578125" style="25" customWidth="1"/>
    <col min="15891" max="15891" width="27.85546875" style="25" customWidth="1"/>
    <col min="15892" max="15892" width="49.42578125" style="25" customWidth="1"/>
    <col min="15893" max="15893" width="32.140625" style="25" customWidth="1"/>
    <col min="15894" max="15894" width="22.42578125" style="25" customWidth="1"/>
    <col min="15895" max="15895" width="33" style="25" customWidth="1"/>
    <col min="15896" max="15896" width="58.85546875" style="25" customWidth="1"/>
    <col min="15897" max="15897" width="37.85546875" style="25" customWidth="1"/>
    <col min="15898" max="15898" width="17.5703125" style="25" customWidth="1"/>
    <col min="15899" max="15899" width="16.5703125" style="25" customWidth="1"/>
    <col min="15900" max="15900" width="28.7109375" style="25" customWidth="1"/>
    <col min="15901" max="15901" width="23.85546875" style="25" customWidth="1"/>
    <col min="15902" max="16128" width="9.140625" style="25"/>
    <col min="16129" max="16130" width="0" style="25" hidden="1" customWidth="1"/>
    <col min="16131" max="16131" width="15.7109375" style="25" customWidth="1"/>
    <col min="16132" max="16132" width="93.42578125" style="25" customWidth="1"/>
    <col min="16133" max="16133" width="32.28515625" style="25" customWidth="1"/>
    <col min="16134" max="16134" width="23.7109375" style="25" customWidth="1"/>
    <col min="16135" max="16135" width="26.42578125" style="25" customWidth="1"/>
    <col min="16136" max="16136" width="26.5703125" style="25" customWidth="1"/>
    <col min="16137" max="16137" width="27.85546875" style="25" customWidth="1"/>
    <col min="16138" max="16138" width="28.140625" style="25" customWidth="1"/>
    <col min="16139" max="16139" width="24.28515625" style="25" customWidth="1"/>
    <col min="16140" max="16140" width="13.140625" style="25" customWidth="1"/>
    <col min="16141" max="16141" width="19.85546875" style="25" customWidth="1"/>
    <col min="16142" max="16142" width="34.42578125" style="25" customWidth="1"/>
    <col min="16143" max="16143" width="18.140625" style="25" customWidth="1"/>
    <col min="16144" max="16144" width="24.7109375" style="25" customWidth="1"/>
    <col min="16145" max="16145" width="23.28515625" style="25" customWidth="1"/>
    <col min="16146" max="16146" width="18.42578125" style="25" customWidth="1"/>
    <col min="16147" max="16147" width="27.85546875" style="25" customWidth="1"/>
    <col min="16148" max="16148" width="49.42578125" style="25" customWidth="1"/>
    <col min="16149" max="16149" width="32.140625" style="25" customWidth="1"/>
    <col min="16150" max="16150" width="22.42578125" style="25" customWidth="1"/>
    <col min="16151" max="16151" width="33" style="25" customWidth="1"/>
    <col min="16152" max="16152" width="58.85546875" style="25" customWidth="1"/>
    <col min="16153" max="16153" width="37.85546875" style="25" customWidth="1"/>
    <col min="16154" max="16154" width="17.5703125" style="25" customWidth="1"/>
    <col min="16155" max="16155" width="16.5703125" style="25" customWidth="1"/>
    <col min="16156" max="16156" width="28.7109375" style="25" customWidth="1"/>
    <col min="16157" max="16157" width="23.85546875" style="25" customWidth="1"/>
    <col min="16158" max="16384" width="9.140625" style="25"/>
  </cols>
  <sheetData>
    <row r="1" spans="1:29" ht="31.5" x14ac:dyDescent="0.5">
      <c r="F1" s="26"/>
      <c r="G1" s="26"/>
      <c r="H1" s="26"/>
      <c r="I1" s="26"/>
      <c r="J1" s="26"/>
      <c r="K1" s="26"/>
      <c r="L1" s="403"/>
      <c r="M1" s="403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7"/>
      <c r="AA1" s="404"/>
      <c r="AB1" s="404"/>
      <c r="AC1" s="404"/>
    </row>
    <row r="2" spans="1:29" ht="20.25" x14ac:dyDescent="0.3">
      <c r="Z2" s="404"/>
      <c r="AA2" s="404"/>
      <c r="AB2" s="404"/>
      <c r="AC2" s="404"/>
    </row>
    <row r="3" spans="1:29" ht="21" x14ac:dyDescent="0.35">
      <c r="Z3" s="27"/>
      <c r="AA3" s="404"/>
      <c r="AB3" s="404"/>
      <c r="AC3" s="404"/>
    </row>
    <row r="4" spans="1:29" ht="31.5" x14ac:dyDescent="0.5">
      <c r="AA4" s="26"/>
      <c r="AB4" s="28"/>
      <c r="AC4" s="29"/>
    </row>
    <row r="5" spans="1:29" ht="147.75" customHeight="1" x14ac:dyDescent="0.25">
      <c r="C5" s="405" t="s">
        <v>1610</v>
      </c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  <c r="T5" s="405"/>
      <c r="U5" s="405"/>
      <c r="V5" s="405"/>
      <c r="W5" s="405"/>
      <c r="X5" s="405"/>
      <c r="Y5" s="405"/>
      <c r="Z5" s="405"/>
      <c r="AA5" s="405"/>
      <c r="AB5" s="405"/>
      <c r="AC5" s="405"/>
    </row>
    <row r="6" spans="1:29" s="30" customFormat="1" ht="30.75" customHeight="1" x14ac:dyDescent="0.4">
      <c r="C6" s="406" t="s">
        <v>6</v>
      </c>
      <c r="D6" s="406" t="s">
        <v>7</v>
      </c>
      <c r="E6" s="407" t="s">
        <v>8</v>
      </c>
      <c r="F6" s="399" t="s">
        <v>929</v>
      </c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410" t="s">
        <v>9</v>
      </c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398" t="s">
        <v>1597</v>
      </c>
    </row>
    <row r="7" spans="1:29" s="30" customFormat="1" ht="48.75" customHeight="1" x14ac:dyDescent="0.4">
      <c r="C7" s="406"/>
      <c r="D7" s="406"/>
      <c r="E7" s="408"/>
      <c r="F7" s="399" t="s">
        <v>13</v>
      </c>
      <c r="G7" s="399"/>
      <c r="H7" s="399"/>
      <c r="I7" s="399"/>
      <c r="J7" s="399"/>
      <c r="K7" s="399"/>
      <c r="L7" s="400" t="s">
        <v>14</v>
      </c>
      <c r="M7" s="400"/>
      <c r="N7" s="400" t="s">
        <v>15</v>
      </c>
      <c r="O7" s="400" t="s">
        <v>16</v>
      </c>
      <c r="P7" s="400" t="s">
        <v>17</v>
      </c>
      <c r="Q7" s="400" t="s">
        <v>18</v>
      </c>
      <c r="R7" s="401" t="s">
        <v>1598</v>
      </c>
      <c r="S7" s="401" t="s">
        <v>1599</v>
      </c>
      <c r="T7" s="401" t="s">
        <v>1600</v>
      </c>
      <c r="U7" s="401" t="s">
        <v>1601</v>
      </c>
      <c r="V7" s="401" t="s">
        <v>23</v>
      </c>
      <c r="W7" s="401" t="s">
        <v>1602</v>
      </c>
      <c r="X7" s="401" t="s">
        <v>1603</v>
      </c>
      <c r="Y7" s="401" t="s">
        <v>1604</v>
      </c>
      <c r="Z7" s="401" t="s">
        <v>27</v>
      </c>
      <c r="AA7" s="401" t="s">
        <v>28</v>
      </c>
      <c r="AB7" s="401" t="s">
        <v>1605</v>
      </c>
      <c r="AC7" s="398"/>
    </row>
    <row r="8" spans="1:29" s="30" customFormat="1" ht="409.5" customHeight="1" x14ac:dyDescent="0.4">
      <c r="C8" s="406"/>
      <c r="D8" s="406"/>
      <c r="E8" s="409"/>
      <c r="F8" s="31" t="s">
        <v>30</v>
      </c>
      <c r="G8" s="31" t="s">
        <v>31</v>
      </c>
      <c r="H8" s="31" t="s">
        <v>32</v>
      </c>
      <c r="I8" s="31" t="s">
        <v>33</v>
      </c>
      <c r="J8" s="31" t="s">
        <v>34</v>
      </c>
      <c r="K8" s="31" t="s">
        <v>35</v>
      </c>
      <c r="L8" s="400"/>
      <c r="M8" s="400"/>
      <c r="N8" s="400"/>
      <c r="O8" s="400"/>
      <c r="P8" s="400"/>
      <c r="Q8" s="400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398"/>
    </row>
    <row r="9" spans="1:29" s="30" customFormat="1" ht="38.25" customHeight="1" x14ac:dyDescent="0.4">
      <c r="C9" s="406"/>
      <c r="D9" s="406"/>
      <c r="E9" s="32" t="s">
        <v>36</v>
      </c>
      <c r="F9" s="33" t="s">
        <v>36</v>
      </c>
      <c r="G9" s="33" t="s">
        <v>36</v>
      </c>
      <c r="H9" s="33" t="s">
        <v>36</v>
      </c>
      <c r="I9" s="33" t="s">
        <v>36</v>
      </c>
      <c r="J9" s="33" t="s">
        <v>36</v>
      </c>
      <c r="K9" s="33" t="s">
        <v>36</v>
      </c>
      <c r="L9" s="33" t="s">
        <v>37</v>
      </c>
      <c r="M9" s="33" t="s">
        <v>36</v>
      </c>
      <c r="N9" s="33" t="s">
        <v>36</v>
      </c>
      <c r="O9" s="33" t="s">
        <v>36</v>
      </c>
      <c r="P9" s="33" t="s">
        <v>36</v>
      </c>
      <c r="Q9" s="33" t="s">
        <v>36</v>
      </c>
      <c r="R9" s="33" t="s">
        <v>36</v>
      </c>
      <c r="S9" s="33" t="s">
        <v>36</v>
      </c>
      <c r="T9" s="33" t="s">
        <v>36</v>
      </c>
      <c r="U9" s="33" t="s">
        <v>36</v>
      </c>
      <c r="V9" s="33" t="s">
        <v>36</v>
      </c>
      <c r="W9" s="33" t="s">
        <v>36</v>
      </c>
      <c r="X9" s="33" t="s">
        <v>36</v>
      </c>
      <c r="Y9" s="33" t="s">
        <v>36</v>
      </c>
      <c r="Z9" s="33" t="s">
        <v>36</v>
      </c>
      <c r="AA9" s="33" t="s">
        <v>36</v>
      </c>
      <c r="AB9" s="33" t="s">
        <v>36</v>
      </c>
      <c r="AC9" s="398"/>
    </row>
    <row r="10" spans="1:29" s="30" customFormat="1" ht="34.5" customHeight="1" x14ac:dyDescent="0.45">
      <c r="A10" s="30">
        <v>1</v>
      </c>
      <c r="C10" s="34">
        <v>1</v>
      </c>
      <c r="D10" s="34">
        <v>2</v>
      </c>
      <c r="E10" s="35">
        <f>D10+1</f>
        <v>3</v>
      </c>
      <c r="F10" s="35">
        <f>E10+1</f>
        <v>4</v>
      </c>
      <c r="G10" s="35">
        <v>5</v>
      </c>
      <c r="H10" s="35">
        <v>6</v>
      </c>
      <c r="I10" s="35">
        <v>7</v>
      </c>
      <c r="J10" s="35">
        <v>8</v>
      </c>
      <c r="K10" s="35">
        <v>9</v>
      </c>
      <c r="L10" s="35">
        <v>10</v>
      </c>
      <c r="M10" s="35">
        <v>11</v>
      </c>
      <c r="N10" s="35">
        <v>12</v>
      </c>
      <c r="O10" s="35">
        <v>13</v>
      </c>
      <c r="P10" s="35">
        <v>14</v>
      </c>
      <c r="Q10" s="35">
        <v>15</v>
      </c>
      <c r="R10" s="35">
        <v>16</v>
      </c>
      <c r="S10" s="35">
        <v>17</v>
      </c>
      <c r="T10" s="35">
        <v>18</v>
      </c>
      <c r="U10" s="35">
        <v>19</v>
      </c>
      <c r="V10" s="35">
        <v>20</v>
      </c>
      <c r="W10" s="35">
        <v>21</v>
      </c>
      <c r="X10" s="35">
        <v>22</v>
      </c>
      <c r="Y10" s="35">
        <v>23</v>
      </c>
      <c r="Z10" s="35">
        <v>24</v>
      </c>
      <c r="AA10" s="35">
        <v>25</v>
      </c>
      <c r="AB10" s="35">
        <v>26</v>
      </c>
      <c r="AC10" s="35">
        <v>27</v>
      </c>
    </row>
    <row r="11" spans="1:29" s="30" customFormat="1" ht="27.75" x14ac:dyDescent="0.4">
      <c r="C11" s="36" t="s">
        <v>1606</v>
      </c>
      <c r="D11" s="34"/>
      <c r="E11" s="37">
        <f>E12+E17</f>
        <v>2525064.9900000002</v>
      </c>
      <c r="F11" s="37">
        <f t="shared" ref="F11:AB11" si="0">F12+F17</f>
        <v>0</v>
      </c>
      <c r="G11" s="37">
        <f t="shared" si="0"/>
        <v>0</v>
      </c>
      <c r="H11" s="37">
        <f t="shared" si="0"/>
        <v>954899.34</v>
      </c>
      <c r="I11" s="37">
        <f t="shared" si="0"/>
        <v>58937.15</v>
      </c>
      <c r="J11" s="37">
        <f t="shared" si="0"/>
        <v>140121</v>
      </c>
      <c r="K11" s="37">
        <f t="shared" si="0"/>
        <v>0</v>
      </c>
      <c r="L11" s="41">
        <f t="shared" si="0"/>
        <v>0</v>
      </c>
      <c r="M11" s="37">
        <f t="shared" si="0"/>
        <v>0</v>
      </c>
      <c r="N11" s="37">
        <f t="shared" si="0"/>
        <v>193013</v>
      </c>
      <c r="O11" s="37">
        <f t="shared" si="0"/>
        <v>0</v>
      </c>
      <c r="P11" s="37">
        <f t="shared" si="0"/>
        <v>1178094.5</v>
      </c>
      <c r="Q11" s="37">
        <f t="shared" si="0"/>
        <v>0</v>
      </c>
      <c r="R11" s="37">
        <f t="shared" si="0"/>
        <v>0</v>
      </c>
      <c r="S11" s="37">
        <f t="shared" si="0"/>
        <v>0</v>
      </c>
      <c r="T11" s="37">
        <f t="shared" si="0"/>
        <v>0</v>
      </c>
      <c r="U11" s="37">
        <f t="shared" si="0"/>
        <v>0</v>
      </c>
      <c r="V11" s="37">
        <f t="shared" si="0"/>
        <v>0</v>
      </c>
      <c r="W11" s="37">
        <f t="shared" si="0"/>
        <v>0</v>
      </c>
      <c r="X11" s="37">
        <f t="shared" si="0"/>
        <v>0</v>
      </c>
      <c r="Y11" s="37">
        <f t="shared" si="0"/>
        <v>0</v>
      </c>
      <c r="Z11" s="37">
        <f t="shared" si="0"/>
        <v>0</v>
      </c>
      <c r="AA11" s="37">
        <f t="shared" si="0"/>
        <v>0</v>
      </c>
      <c r="AB11" s="37">
        <f t="shared" si="0"/>
        <v>0</v>
      </c>
      <c r="AC11" s="34" t="s">
        <v>835</v>
      </c>
    </row>
    <row r="12" spans="1:29" s="30" customFormat="1" ht="27.75" x14ac:dyDescent="0.4">
      <c r="C12" s="39" t="s">
        <v>1607</v>
      </c>
      <c r="D12" s="34"/>
      <c r="E12" s="37">
        <f>E13+E15</f>
        <v>619476.49</v>
      </c>
      <c r="F12" s="37">
        <f t="shared" ref="F12:AB12" si="1">F13+F15</f>
        <v>0</v>
      </c>
      <c r="G12" s="37">
        <f t="shared" si="1"/>
        <v>0</v>
      </c>
      <c r="H12" s="37">
        <f t="shared" si="1"/>
        <v>560539.34</v>
      </c>
      <c r="I12" s="37">
        <f t="shared" si="1"/>
        <v>58937.15</v>
      </c>
      <c r="J12" s="37">
        <f t="shared" si="1"/>
        <v>0</v>
      </c>
      <c r="K12" s="37">
        <f t="shared" si="1"/>
        <v>0</v>
      </c>
      <c r="L12" s="41">
        <f t="shared" si="1"/>
        <v>0</v>
      </c>
      <c r="M12" s="37">
        <f t="shared" si="1"/>
        <v>0</v>
      </c>
      <c r="N12" s="37">
        <f t="shared" si="1"/>
        <v>0</v>
      </c>
      <c r="O12" s="37">
        <f t="shared" si="1"/>
        <v>0</v>
      </c>
      <c r="P12" s="37">
        <f t="shared" si="1"/>
        <v>0</v>
      </c>
      <c r="Q12" s="37">
        <f t="shared" si="1"/>
        <v>0</v>
      </c>
      <c r="R12" s="37">
        <f t="shared" si="1"/>
        <v>0</v>
      </c>
      <c r="S12" s="37">
        <f t="shared" si="1"/>
        <v>0</v>
      </c>
      <c r="T12" s="37">
        <f t="shared" si="1"/>
        <v>0</v>
      </c>
      <c r="U12" s="37">
        <f t="shared" si="1"/>
        <v>0</v>
      </c>
      <c r="V12" s="37">
        <f t="shared" si="1"/>
        <v>0</v>
      </c>
      <c r="W12" s="37">
        <f t="shared" si="1"/>
        <v>0</v>
      </c>
      <c r="X12" s="37">
        <f t="shared" si="1"/>
        <v>0</v>
      </c>
      <c r="Y12" s="37">
        <f t="shared" si="1"/>
        <v>0</v>
      </c>
      <c r="Z12" s="37">
        <f t="shared" si="1"/>
        <v>0</v>
      </c>
      <c r="AA12" s="37">
        <f t="shared" si="1"/>
        <v>0</v>
      </c>
      <c r="AB12" s="37">
        <f t="shared" si="1"/>
        <v>0</v>
      </c>
      <c r="AC12" s="34" t="s">
        <v>835</v>
      </c>
    </row>
    <row r="13" spans="1:29" s="30" customFormat="1" ht="27.75" x14ac:dyDescent="0.4">
      <c r="A13" s="30">
        <v>2</v>
      </c>
      <c r="C13" s="39" t="s">
        <v>1609</v>
      </c>
      <c r="D13" s="34"/>
      <c r="E13" s="37">
        <f>F13+G13+H13+I13+J13+K13+M13+N13+O13+P13+Q13+R13+S13+T13+U13+V13+W13+X13+Y13+Z13+AA13+AB13</f>
        <v>58937.15</v>
      </c>
      <c r="F13" s="37">
        <f t="shared" ref="F13:Q13" si="2">F14</f>
        <v>0</v>
      </c>
      <c r="G13" s="37">
        <f t="shared" si="2"/>
        <v>0</v>
      </c>
      <c r="H13" s="37">
        <f t="shared" si="2"/>
        <v>0</v>
      </c>
      <c r="I13" s="37">
        <f t="shared" si="2"/>
        <v>58937.15</v>
      </c>
      <c r="J13" s="37">
        <f t="shared" si="2"/>
        <v>0</v>
      </c>
      <c r="K13" s="37">
        <f t="shared" si="2"/>
        <v>0</v>
      </c>
      <c r="L13" s="38">
        <f t="shared" si="2"/>
        <v>0</v>
      </c>
      <c r="M13" s="37">
        <f t="shared" si="2"/>
        <v>0</v>
      </c>
      <c r="N13" s="37">
        <f t="shared" si="2"/>
        <v>0</v>
      </c>
      <c r="O13" s="37">
        <f t="shared" si="2"/>
        <v>0</v>
      </c>
      <c r="P13" s="37">
        <f t="shared" si="2"/>
        <v>0</v>
      </c>
      <c r="Q13" s="37">
        <f t="shared" si="2"/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f>Z14</f>
        <v>0</v>
      </c>
      <c r="AA13" s="37">
        <f>AA14</f>
        <v>0</v>
      </c>
      <c r="AB13" s="37">
        <f>AB14</f>
        <v>0</v>
      </c>
      <c r="AC13" s="34" t="s">
        <v>835</v>
      </c>
    </row>
    <row r="14" spans="1:29" s="30" customFormat="1" ht="27.75" x14ac:dyDescent="0.4">
      <c r="A14" s="30">
        <v>3</v>
      </c>
      <c r="B14" s="30">
        <v>1</v>
      </c>
      <c r="C14" s="40">
        <v>1</v>
      </c>
      <c r="D14" s="41" t="s">
        <v>1608</v>
      </c>
      <c r="E14" s="37">
        <f>F14+G14+H14+I14+J14+K14+M14+N14+O14+P14+Q14+R14+S14+T14+U14+V14+W14+X14+Y14+Z14+AA14+AB14</f>
        <v>58937.15</v>
      </c>
      <c r="F14" s="42">
        <v>0</v>
      </c>
      <c r="G14" s="42">
        <v>0</v>
      </c>
      <c r="H14" s="42">
        <v>0</v>
      </c>
      <c r="I14" s="42">
        <v>58937.15</v>
      </c>
      <c r="J14" s="42">
        <v>0</v>
      </c>
      <c r="K14" s="42">
        <v>0</v>
      </c>
      <c r="L14" s="41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0">
        <v>2020</v>
      </c>
    </row>
    <row r="15" spans="1:29" s="30" customFormat="1" ht="27.75" x14ac:dyDescent="0.4">
      <c r="A15" s="30">
        <v>2</v>
      </c>
      <c r="C15" s="39" t="s">
        <v>985</v>
      </c>
      <c r="D15" s="34"/>
      <c r="E15" s="37">
        <f>F15+G15+H15+I15+J15+K15+M15+N15+O15+P15+Q15+R15+S15+T15+U15+V15+W15+X15+Y15+Z15+AA15+AB15</f>
        <v>560539.34</v>
      </c>
      <c r="F15" s="37">
        <f t="shared" ref="F15:Q15" si="3">F16</f>
        <v>0</v>
      </c>
      <c r="G15" s="37">
        <f t="shared" si="3"/>
        <v>0</v>
      </c>
      <c r="H15" s="37">
        <f t="shared" si="3"/>
        <v>560539.34</v>
      </c>
      <c r="I15" s="37">
        <f t="shared" si="3"/>
        <v>0</v>
      </c>
      <c r="J15" s="37">
        <f t="shared" si="3"/>
        <v>0</v>
      </c>
      <c r="K15" s="37">
        <f t="shared" si="3"/>
        <v>0</v>
      </c>
      <c r="L15" s="38">
        <f t="shared" si="3"/>
        <v>0</v>
      </c>
      <c r="M15" s="37">
        <f t="shared" si="3"/>
        <v>0</v>
      </c>
      <c r="N15" s="37">
        <f t="shared" si="3"/>
        <v>0</v>
      </c>
      <c r="O15" s="37">
        <f t="shared" si="3"/>
        <v>0</v>
      </c>
      <c r="P15" s="37">
        <f t="shared" si="3"/>
        <v>0</v>
      </c>
      <c r="Q15" s="37">
        <f t="shared" si="3"/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f>Z16</f>
        <v>0</v>
      </c>
      <c r="AA15" s="37">
        <f>AA16</f>
        <v>0</v>
      </c>
      <c r="AB15" s="37">
        <f>AB16</f>
        <v>0</v>
      </c>
      <c r="AC15" s="34" t="s">
        <v>835</v>
      </c>
    </row>
    <row r="16" spans="1:29" s="30" customFormat="1" ht="27.75" x14ac:dyDescent="0.4">
      <c r="A16" s="30">
        <v>3</v>
      </c>
      <c r="B16" s="30">
        <v>1</v>
      </c>
      <c r="C16" s="40">
        <v>2</v>
      </c>
      <c r="D16" s="41" t="s">
        <v>1793</v>
      </c>
      <c r="E16" s="37">
        <f>F16+G16+H16+I16+J16+K16+M16+N16+O16+P16+Q16+R16+S16+T16+U16+V16+W16+X16+Y16+Z16+AA16+AB16</f>
        <v>560539.34</v>
      </c>
      <c r="F16" s="42">
        <v>0</v>
      </c>
      <c r="G16" s="42">
        <v>0</v>
      </c>
      <c r="H16" s="42">
        <v>560539.34</v>
      </c>
      <c r="I16" s="42">
        <v>0</v>
      </c>
      <c r="J16" s="42">
        <v>0</v>
      </c>
      <c r="K16" s="42">
        <v>0</v>
      </c>
      <c r="L16" s="41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0">
        <v>2020</v>
      </c>
    </row>
    <row r="17" spans="1:29" s="30" customFormat="1" ht="27.75" x14ac:dyDescent="0.4">
      <c r="C17" s="39" t="s">
        <v>2282</v>
      </c>
      <c r="D17" s="34"/>
      <c r="E17" s="37">
        <f>E20+E18</f>
        <v>1905588.5</v>
      </c>
      <c r="F17" s="37">
        <f t="shared" ref="F17:AB17" si="4">F20+F18</f>
        <v>0</v>
      </c>
      <c r="G17" s="37">
        <f t="shared" si="4"/>
        <v>0</v>
      </c>
      <c r="H17" s="37">
        <f t="shared" si="4"/>
        <v>394360</v>
      </c>
      <c r="I17" s="37">
        <f t="shared" si="4"/>
        <v>0</v>
      </c>
      <c r="J17" s="37">
        <f t="shared" si="4"/>
        <v>140121</v>
      </c>
      <c r="K17" s="37">
        <f t="shared" si="4"/>
        <v>0</v>
      </c>
      <c r="L17" s="38">
        <f t="shared" si="4"/>
        <v>0</v>
      </c>
      <c r="M17" s="37">
        <f t="shared" si="4"/>
        <v>0</v>
      </c>
      <c r="N17" s="37">
        <f t="shared" si="4"/>
        <v>193013</v>
      </c>
      <c r="O17" s="37">
        <f t="shared" si="4"/>
        <v>0</v>
      </c>
      <c r="P17" s="37">
        <f t="shared" si="4"/>
        <v>1178094.5</v>
      </c>
      <c r="Q17" s="37">
        <f t="shared" si="4"/>
        <v>0</v>
      </c>
      <c r="R17" s="37">
        <f t="shared" si="4"/>
        <v>0</v>
      </c>
      <c r="S17" s="37">
        <f t="shared" si="4"/>
        <v>0</v>
      </c>
      <c r="T17" s="37">
        <f t="shared" si="4"/>
        <v>0</v>
      </c>
      <c r="U17" s="37">
        <f t="shared" si="4"/>
        <v>0</v>
      </c>
      <c r="V17" s="37">
        <f t="shared" si="4"/>
        <v>0</v>
      </c>
      <c r="W17" s="37">
        <f t="shared" si="4"/>
        <v>0</v>
      </c>
      <c r="X17" s="37">
        <f t="shared" si="4"/>
        <v>0</v>
      </c>
      <c r="Y17" s="37">
        <f t="shared" si="4"/>
        <v>0</v>
      </c>
      <c r="Z17" s="37">
        <f t="shared" si="4"/>
        <v>0</v>
      </c>
      <c r="AA17" s="37">
        <f t="shared" si="4"/>
        <v>0</v>
      </c>
      <c r="AB17" s="37">
        <f t="shared" si="4"/>
        <v>0</v>
      </c>
      <c r="AC17" s="34" t="s">
        <v>835</v>
      </c>
    </row>
    <row r="18" spans="1:29" s="30" customFormat="1" ht="27.75" x14ac:dyDescent="0.4">
      <c r="A18" s="30">
        <v>2</v>
      </c>
      <c r="C18" s="39" t="s">
        <v>786</v>
      </c>
      <c r="D18" s="34"/>
      <c r="E18" s="37">
        <f>F18+G18+H18+I18+J18+K18+M18+N18+O18+P18+Q18+R18+S18+T18+U18+V18+W18+X18+Y18+Z18+AA18+AB18</f>
        <v>409751.5</v>
      </c>
      <c r="F18" s="37">
        <f t="shared" ref="F18:Q18" si="5">F19</f>
        <v>0</v>
      </c>
      <c r="G18" s="37">
        <f t="shared" si="5"/>
        <v>0</v>
      </c>
      <c r="H18" s="37">
        <f t="shared" si="5"/>
        <v>0</v>
      </c>
      <c r="I18" s="37">
        <f t="shared" si="5"/>
        <v>0</v>
      </c>
      <c r="J18" s="37">
        <f t="shared" si="5"/>
        <v>140121</v>
      </c>
      <c r="K18" s="37">
        <f t="shared" si="5"/>
        <v>0</v>
      </c>
      <c r="L18" s="38">
        <f t="shared" si="5"/>
        <v>0</v>
      </c>
      <c r="M18" s="37">
        <f t="shared" si="5"/>
        <v>0</v>
      </c>
      <c r="N18" s="37">
        <f t="shared" si="5"/>
        <v>193013</v>
      </c>
      <c r="O18" s="37">
        <f t="shared" si="5"/>
        <v>0</v>
      </c>
      <c r="P18" s="37">
        <f t="shared" si="5"/>
        <v>76617.5</v>
      </c>
      <c r="Q18" s="37">
        <f t="shared" si="5"/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f>Z19</f>
        <v>0</v>
      </c>
      <c r="AA18" s="37">
        <f>AA19</f>
        <v>0</v>
      </c>
      <c r="AB18" s="37">
        <f>AB19</f>
        <v>0</v>
      </c>
      <c r="AC18" s="34" t="s">
        <v>835</v>
      </c>
    </row>
    <row r="19" spans="1:29" s="30" customFormat="1" ht="27.75" x14ac:dyDescent="0.4">
      <c r="A19" s="30">
        <v>3</v>
      </c>
      <c r="B19" s="30">
        <v>1</v>
      </c>
      <c r="C19" s="40">
        <v>1</v>
      </c>
      <c r="D19" s="41" t="s">
        <v>2283</v>
      </c>
      <c r="E19" s="37">
        <f>F19+G19+H19+I19+J19+K19+M19+N19+O19+P19+Q19+R19+S19+T19+U19+V19+W19+X19+Y19+Z19+AA19+AB19</f>
        <v>409751.5</v>
      </c>
      <c r="F19" s="42">
        <v>0</v>
      </c>
      <c r="G19" s="42">
        <v>0</v>
      </c>
      <c r="H19" s="42">
        <v>0</v>
      </c>
      <c r="I19" s="42">
        <v>0</v>
      </c>
      <c r="J19" s="42">
        <v>140121</v>
      </c>
      <c r="K19" s="42">
        <v>0</v>
      </c>
      <c r="L19" s="41">
        <v>0</v>
      </c>
      <c r="M19" s="42">
        <v>0</v>
      </c>
      <c r="N19" s="42">
        <v>193013</v>
      </c>
      <c r="O19" s="42">
        <v>0</v>
      </c>
      <c r="P19" s="42">
        <v>76617.5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0">
        <v>2021</v>
      </c>
    </row>
    <row r="20" spans="1:29" s="30" customFormat="1" ht="27.75" x14ac:dyDescent="0.4">
      <c r="A20" s="30">
        <v>2</v>
      </c>
      <c r="C20" s="39" t="s">
        <v>985</v>
      </c>
      <c r="D20" s="34"/>
      <c r="E20" s="37">
        <f>SUM(E21:E22)</f>
        <v>1495837</v>
      </c>
      <c r="F20" s="37">
        <f t="shared" ref="F20:AB20" si="6">SUM(F21:F22)</f>
        <v>0</v>
      </c>
      <c r="G20" s="37">
        <f t="shared" si="6"/>
        <v>0</v>
      </c>
      <c r="H20" s="37">
        <f t="shared" si="6"/>
        <v>394360</v>
      </c>
      <c r="I20" s="37">
        <f t="shared" si="6"/>
        <v>0</v>
      </c>
      <c r="J20" s="37">
        <f t="shared" si="6"/>
        <v>0</v>
      </c>
      <c r="K20" s="37">
        <f t="shared" si="6"/>
        <v>0</v>
      </c>
      <c r="L20" s="38">
        <f t="shared" si="6"/>
        <v>0</v>
      </c>
      <c r="M20" s="37">
        <f t="shared" si="6"/>
        <v>0</v>
      </c>
      <c r="N20" s="37">
        <f t="shared" si="6"/>
        <v>0</v>
      </c>
      <c r="O20" s="37">
        <f t="shared" si="6"/>
        <v>0</v>
      </c>
      <c r="P20" s="37">
        <f t="shared" si="6"/>
        <v>1101477</v>
      </c>
      <c r="Q20" s="37">
        <f t="shared" si="6"/>
        <v>0</v>
      </c>
      <c r="R20" s="37">
        <f t="shared" si="6"/>
        <v>0</v>
      </c>
      <c r="S20" s="37">
        <f t="shared" si="6"/>
        <v>0</v>
      </c>
      <c r="T20" s="37">
        <f t="shared" si="6"/>
        <v>0</v>
      </c>
      <c r="U20" s="37">
        <f t="shared" si="6"/>
        <v>0</v>
      </c>
      <c r="V20" s="37">
        <f t="shared" si="6"/>
        <v>0</v>
      </c>
      <c r="W20" s="37">
        <f t="shared" si="6"/>
        <v>0</v>
      </c>
      <c r="X20" s="37">
        <f t="shared" si="6"/>
        <v>0</v>
      </c>
      <c r="Y20" s="37">
        <f t="shared" si="6"/>
        <v>0</v>
      </c>
      <c r="Z20" s="37">
        <f t="shared" si="6"/>
        <v>0</v>
      </c>
      <c r="AA20" s="37">
        <f t="shared" si="6"/>
        <v>0</v>
      </c>
      <c r="AB20" s="37">
        <f t="shared" si="6"/>
        <v>0</v>
      </c>
      <c r="AC20" s="34" t="s">
        <v>835</v>
      </c>
    </row>
    <row r="21" spans="1:29" s="30" customFormat="1" ht="27.75" x14ac:dyDescent="0.4">
      <c r="A21" s="30">
        <v>3</v>
      </c>
      <c r="B21" s="30">
        <v>1</v>
      </c>
      <c r="C21" s="40">
        <v>2</v>
      </c>
      <c r="D21" s="41" t="s">
        <v>2898</v>
      </c>
      <c r="E21" s="37">
        <f>F21+G21+H21+I21+J21+K21+M21+N21+O21+P21+Q21+R21+S21+T21+U21+V21+W21+X21+Y21+Z21+AA21+AB21</f>
        <v>394360</v>
      </c>
      <c r="F21" s="42">
        <v>0</v>
      </c>
      <c r="G21" s="42">
        <v>0</v>
      </c>
      <c r="H21" s="42">
        <v>394360</v>
      </c>
      <c r="I21" s="42">
        <v>0</v>
      </c>
      <c r="J21" s="42">
        <v>0</v>
      </c>
      <c r="K21" s="42">
        <v>0</v>
      </c>
      <c r="L21" s="41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0">
        <v>2021</v>
      </c>
    </row>
    <row r="22" spans="1:29" s="30" customFormat="1" ht="27.75" x14ac:dyDescent="0.4">
      <c r="A22" s="30">
        <v>3</v>
      </c>
      <c r="B22" s="30">
        <v>1</v>
      </c>
      <c r="C22" s="40">
        <v>3</v>
      </c>
      <c r="D22" s="41" t="s">
        <v>2964</v>
      </c>
      <c r="E22" s="37">
        <f>F22+G22+H22+I22+J22+K22+M22+N22+O22+P22+Q22+R22+S22+T22+U22+V22+W22+X22+Y22+Z22+AA22+AB22</f>
        <v>1101477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1">
        <v>0</v>
      </c>
      <c r="M22" s="42">
        <v>0</v>
      </c>
      <c r="N22" s="42">
        <v>0</v>
      </c>
      <c r="O22" s="42">
        <v>0</v>
      </c>
      <c r="P22" s="42">
        <v>1101477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0">
        <v>2021</v>
      </c>
    </row>
  </sheetData>
  <mergeCells count="28">
    <mergeCell ref="C6:C9"/>
    <mergeCell ref="D6:D9"/>
    <mergeCell ref="E6:E8"/>
    <mergeCell ref="F6:Q6"/>
    <mergeCell ref="R6:AB6"/>
    <mergeCell ref="Y7:Y8"/>
    <mergeCell ref="Z7:Z8"/>
    <mergeCell ref="L1:M1"/>
    <mergeCell ref="AA1:AC1"/>
    <mergeCell ref="Z2:AC2"/>
    <mergeCell ref="AA3:AC3"/>
    <mergeCell ref="C5:AC5"/>
    <mergeCell ref="AC6:AC9"/>
    <mergeCell ref="F7:K7"/>
    <mergeCell ref="L7:M8"/>
    <mergeCell ref="N7:N8"/>
    <mergeCell ref="O7:O8"/>
    <mergeCell ref="P7:P8"/>
    <mergeCell ref="Q7:Q8"/>
    <mergeCell ref="R7:R8"/>
    <mergeCell ref="S7:S8"/>
    <mergeCell ref="T7:T8"/>
    <mergeCell ref="AA7:AA8"/>
    <mergeCell ref="AB7:AB8"/>
    <mergeCell ref="U7:U8"/>
    <mergeCell ref="V7:V8"/>
    <mergeCell ref="W7:W8"/>
    <mergeCell ref="X7:X8"/>
  </mergeCells>
  <pageMargins left="0.25" right="0.25" top="0.75" bottom="0.75" header="0.3" footer="0.3"/>
  <pageSetup paperSize="8" scale="2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N212"/>
  <sheetViews>
    <sheetView topLeftCell="B186" zoomScale="20" zoomScaleNormal="20" workbookViewId="0">
      <selection activeCell="B1" sqref="B1:AJ212"/>
    </sheetView>
  </sheetViews>
  <sheetFormatPr defaultRowHeight="15" x14ac:dyDescent="0.25"/>
  <cols>
    <col min="1" max="1" width="9.140625" hidden="1" customWidth="1"/>
    <col min="2" max="2" width="26.42578125" customWidth="1"/>
    <col min="3" max="3" width="244.140625" customWidth="1"/>
    <col min="4" max="4" width="55.28515625" customWidth="1"/>
    <col min="5" max="5" width="58.5703125" customWidth="1"/>
    <col min="6" max="6" width="62.85546875" customWidth="1"/>
    <col min="7" max="8" width="45.7109375" customWidth="1"/>
    <col min="9" max="9" width="43.5703125" customWidth="1"/>
    <col min="10" max="10" width="40.7109375" customWidth="1"/>
    <col min="11" max="11" width="52.85546875" customWidth="1"/>
    <col min="12" max="12" width="44.28515625" customWidth="1"/>
    <col min="13" max="13" width="40.140625" customWidth="1"/>
    <col min="14" max="14" width="44.42578125" customWidth="1"/>
    <col min="15" max="15" width="49.42578125" customWidth="1"/>
    <col min="16" max="16" width="65" customWidth="1"/>
    <col min="17" max="17" width="41.42578125" customWidth="1"/>
    <col min="18" max="18" width="42.5703125" customWidth="1"/>
    <col min="19" max="19" width="43.85546875" customWidth="1"/>
    <col min="20" max="20" width="60.28515625" customWidth="1"/>
    <col min="21" max="21" width="35.42578125" customWidth="1"/>
    <col min="22" max="22" width="49.140625" customWidth="1"/>
    <col min="23" max="23" width="34.28515625" customWidth="1"/>
    <col min="24" max="24" width="58" customWidth="1"/>
    <col min="25" max="25" width="91.28515625" customWidth="1"/>
    <col min="26" max="26" width="80.42578125" customWidth="1"/>
    <col min="27" max="27" width="41.42578125" customWidth="1"/>
    <col min="28" max="28" width="69" customWidth="1"/>
    <col min="29" max="29" width="96.7109375" customWidth="1"/>
    <col min="30" max="30" width="79.5703125" customWidth="1"/>
    <col min="31" max="32" width="59.5703125" customWidth="1"/>
    <col min="33" max="33" width="63.28515625" customWidth="1"/>
    <col min="34" max="34" width="38.140625" customWidth="1"/>
    <col min="35" max="35" width="41.7109375" customWidth="1"/>
    <col min="36" max="36" width="45.28515625" customWidth="1"/>
  </cols>
  <sheetData>
    <row r="1" spans="1:36" ht="90" x14ac:dyDescent="1.1499999999999999">
      <c r="B1" s="426" t="s">
        <v>923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</row>
    <row r="2" spans="1:36" ht="90" x14ac:dyDescent="0.25">
      <c r="B2" s="427" t="s">
        <v>3249</v>
      </c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</row>
    <row r="3" spans="1:36" ht="76.5" x14ac:dyDescent="1.05">
      <c r="B3" s="271" t="s">
        <v>925</v>
      </c>
      <c r="C3" s="428" t="s">
        <v>2140</v>
      </c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8"/>
      <c r="AF3" s="428"/>
      <c r="AG3" s="428"/>
      <c r="AH3" s="428"/>
      <c r="AI3" s="428"/>
      <c r="AJ3" s="428"/>
    </row>
    <row r="4" spans="1:36" ht="76.5" x14ac:dyDescent="0.25">
      <c r="B4" s="271" t="s">
        <v>926</v>
      </c>
      <c r="C4" s="429" t="s">
        <v>951</v>
      </c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  <c r="V4" s="429"/>
      <c r="W4" s="429"/>
      <c r="X4" s="429"/>
      <c r="Y4" s="429"/>
      <c r="Z4" s="429"/>
      <c r="AA4" s="429"/>
      <c r="AB4" s="429"/>
      <c r="AC4" s="429"/>
      <c r="AD4" s="429"/>
      <c r="AE4" s="429"/>
      <c r="AF4" s="429"/>
      <c r="AG4" s="429"/>
      <c r="AH4" s="429"/>
      <c r="AI4" s="429"/>
      <c r="AJ4" s="429"/>
    </row>
    <row r="5" spans="1:36" ht="45.75" customHeight="1" x14ac:dyDescent="0.25">
      <c r="B5" s="314" t="s">
        <v>6</v>
      </c>
      <c r="C5" s="314" t="s">
        <v>7</v>
      </c>
      <c r="D5" s="430" t="s">
        <v>952</v>
      </c>
      <c r="E5" s="430" t="s">
        <v>953</v>
      </c>
      <c r="F5" s="433" t="s">
        <v>8</v>
      </c>
      <c r="G5" s="314" t="s">
        <v>929</v>
      </c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436" t="s">
        <v>9</v>
      </c>
      <c r="X5" s="436"/>
      <c r="Y5" s="436"/>
      <c r="Z5" s="436"/>
      <c r="AA5" s="436"/>
      <c r="AB5" s="436"/>
      <c r="AC5" s="436"/>
      <c r="AD5" s="436"/>
      <c r="AE5" s="436"/>
      <c r="AF5" s="436"/>
      <c r="AG5" s="436"/>
      <c r="AH5" s="419" t="s">
        <v>10</v>
      </c>
      <c r="AI5" s="419" t="s">
        <v>11</v>
      </c>
      <c r="AJ5" s="419" t="s">
        <v>12</v>
      </c>
    </row>
    <row r="6" spans="1:36" ht="45.75" x14ac:dyDescent="0.25">
      <c r="B6" s="314"/>
      <c r="C6" s="314"/>
      <c r="D6" s="431"/>
      <c r="E6" s="431"/>
      <c r="F6" s="434"/>
      <c r="G6" s="314" t="s">
        <v>13</v>
      </c>
      <c r="H6" s="314"/>
      <c r="I6" s="314"/>
      <c r="J6" s="314"/>
      <c r="K6" s="314"/>
      <c r="L6" s="314"/>
      <c r="M6" s="422" t="s">
        <v>14</v>
      </c>
      <c r="N6" s="423"/>
      <c r="O6" s="422" t="s">
        <v>15</v>
      </c>
      <c r="P6" s="423"/>
      <c r="Q6" s="422" t="s">
        <v>16</v>
      </c>
      <c r="R6" s="423"/>
      <c r="S6" s="422" t="s">
        <v>17</v>
      </c>
      <c r="T6" s="423"/>
      <c r="U6" s="422" t="s">
        <v>18</v>
      </c>
      <c r="V6" s="423"/>
      <c r="W6" s="415" t="s">
        <v>19</v>
      </c>
      <c r="X6" s="415" t="s">
        <v>20</v>
      </c>
      <c r="Y6" s="415" t="s">
        <v>21</v>
      </c>
      <c r="Z6" s="415" t="s">
        <v>22</v>
      </c>
      <c r="AA6" s="415" t="s">
        <v>23</v>
      </c>
      <c r="AB6" s="415" t="s">
        <v>954</v>
      </c>
      <c r="AC6" s="415" t="s">
        <v>3481</v>
      </c>
      <c r="AD6" s="415" t="s">
        <v>3482</v>
      </c>
      <c r="AE6" s="417" t="s">
        <v>27</v>
      </c>
      <c r="AF6" s="417" t="s">
        <v>28</v>
      </c>
      <c r="AG6" s="417" t="s">
        <v>955</v>
      </c>
      <c r="AH6" s="420"/>
      <c r="AI6" s="420"/>
      <c r="AJ6" s="420"/>
    </row>
    <row r="7" spans="1:36" ht="408" customHeight="1" x14ac:dyDescent="0.25">
      <c r="B7" s="314"/>
      <c r="C7" s="314"/>
      <c r="D7" s="431"/>
      <c r="E7" s="432"/>
      <c r="F7" s="435"/>
      <c r="G7" s="272" t="s">
        <v>30</v>
      </c>
      <c r="H7" s="272" t="s">
        <v>31</v>
      </c>
      <c r="I7" s="272" t="s">
        <v>32</v>
      </c>
      <c r="J7" s="272" t="s">
        <v>33</v>
      </c>
      <c r="K7" s="272" t="s">
        <v>34</v>
      </c>
      <c r="L7" s="272" t="s">
        <v>35</v>
      </c>
      <c r="M7" s="424"/>
      <c r="N7" s="425"/>
      <c r="O7" s="424"/>
      <c r="P7" s="425"/>
      <c r="Q7" s="424"/>
      <c r="R7" s="425"/>
      <c r="S7" s="424"/>
      <c r="T7" s="425"/>
      <c r="U7" s="424"/>
      <c r="V7" s="425"/>
      <c r="W7" s="416"/>
      <c r="X7" s="416"/>
      <c r="Y7" s="416"/>
      <c r="Z7" s="416"/>
      <c r="AA7" s="416"/>
      <c r="AB7" s="416"/>
      <c r="AC7" s="416"/>
      <c r="AD7" s="416"/>
      <c r="AE7" s="418"/>
      <c r="AF7" s="418"/>
      <c r="AG7" s="418"/>
      <c r="AH7" s="420"/>
      <c r="AI7" s="420"/>
      <c r="AJ7" s="420"/>
    </row>
    <row r="8" spans="1:36" ht="38.25" customHeight="1" x14ac:dyDescent="0.25">
      <c r="B8" s="314"/>
      <c r="C8" s="314"/>
      <c r="D8" s="432"/>
      <c r="E8" s="155" t="s">
        <v>956</v>
      </c>
      <c r="F8" s="156" t="s">
        <v>36</v>
      </c>
      <c r="G8" s="155" t="s">
        <v>36</v>
      </c>
      <c r="H8" s="155" t="s">
        <v>36</v>
      </c>
      <c r="I8" s="155" t="s">
        <v>36</v>
      </c>
      <c r="J8" s="155" t="s">
        <v>36</v>
      </c>
      <c r="K8" s="155" t="s">
        <v>36</v>
      </c>
      <c r="L8" s="155" t="s">
        <v>36</v>
      </c>
      <c r="M8" s="155" t="s">
        <v>37</v>
      </c>
      <c r="N8" s="155" t="s">
        <v>36</v>
      </c>
      <c r="O8" s="155" t="s">
        <v>38</v>
      </c>
      <c r="P8" s="155" t="s">
        <v>36</v>
      </c>
      <c r="Q8" s="155" t="s">
        <v>38</v>
      </c>
      <c r="R8" s="155" t="s">
        <v>36</v>
      </c>
      <c r="S8" s="155" t="s">
        <v>38</v>
      </c>
      <c r="T8" s="155" t="s">
        <v>36</v>
      </c>
      <c r="U8" s="155" t="s">
        <v>39</v>
      </c>
      <c r="V8" s="155" t="s">
        <v>36</v>
      </c>
      <c r="W8" s="155" t="s">
        <v>36</v>
      </c>
      <c r="X8" s="155" t="s">
        <v>36</v>
      </c>
      <c r="Y8" s="155" t="s">
        <v>36</v>
      </c>
      <c r="Z8" s="155" t="s">
        <v>36</v>
      </c>
      <c r="AA8" s="155" t="s">
        <v>36</v>
      </c>
      <c r="AB8" s="155" t="s">
        <v>36</v>
      </c>
      <c r="AC8" s="155" t="s">
        <v>36</v>
      </c>
      <c r="AD8" s="155" t="s">
        <v>36</v>
      </c>
      <c r="AE8" s="155" t="s">
        <v>36</v>
      </c>
      <c r="AF8" s="155" t="s">
        <v>36</v>
      </c>
      <c r="AG8" s="155" t="s">
        <v>36</v>
      </c>
      <c r="AH8" s="421"/>
      <c r="AI8" s="421"/>
      <c r="AJ8" s="421"/>
    </row>
    <row r="9" spans="1:36" ht="45.75" x14ac:dyDescent="0.65">
      <c r="B9" s="158">
        <v>1</v>
      </c>
      <c r="C9" s="158">
        <v>2</v>
      </c>
      <c r="D9" s="158">
        <v>3</v>
      </c>
      <c r="E9" s="158">
        <v>4</v>
      </c>
      <c r="F9" s="158">
        <v>5</v>
      </c>
      <c r="G9" s="158">
        <v>6</v>
      </c>
      <c r="H9" s="158">
        <v>7</v>
      </c>
      <c r="I9" s="158">
        <v>8</v>
      </c>
      <c r="J9" s="158">
        <v>9</v>
      </c>
      <c r="K9" s="158">
        <v>10</v>
      </c>
      <c r="L9" s="158">
        <v>11</v>
      </c>
      <c r="M9" s="158">
        <v>12</v>
      </c>
      <c r="N9" s="158">
        <v>13</v>
      </c>
      <c r="O9" s="158">
        <v>14</v>
      </c>
      <c r="P9" s="158">
        <v>15</v>
      </c>
      <c r="Q9" s="158">
        <v>16</v>
      </c>
      <c r="R9" s="158">
        <v>17</v>
      </c>
      <c r="S9" s="158">
        <v>18</v>
      </c>
      <c r="T9" s="158">
        <v>19</v>
      </c>
      <c r="U9" s="158">
        <v>20</v>
      </c>
      <c r="V9" s="158">
        <v>21</v>
      </c>
      <c r="W9" s="158">
        <v>22</v>
      </c>
      <c r="X9" s="158">
        <v>23</v>
      </c>
      <c r="Y9" s="158">
        <v>24</v>
      </c>
      <c r="Z9" s="158">
        <v>25</v>
      </c>
      <c r="AA9" s="158">
        <v>26</v>
      </c>
      <c r="AB9" s="158">
        <v>27</v>
      </c>
      <c r="AC9" s="158">
        <v>28</v>
      </c>
      <c r="AD9" s="158">
        <v>29</v>
      </c>
      <c r="AE9" s="158">
        <v>30</v>
      </c>
      <c r="AF9" s="158">
        <v>31</v>
      </c>
      <c r="AG9" s="158">
        <v>32</v>
      </c>
      <c r="AH9" s="158">
        <v>33</v>
      </c>
      <c r="AI9" s="158">
        <v>34</v>
      </c>
      <c r="AJ9" s="158">
        <v>35</v>
      </c>
    </row>
    <row r="10" spans="1:36" ht="61.5" x14ac:dyDescent="0.25">
      <c r="B10" s="414" t="s">
        <v>957</v>
      </c>
      <c r="C10" s="414"/>
      <c r="D10" s="414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4"/>
      <c r="R10" s="414"/>
      <c r="S10" s="414"/>
      <c r="T10" s="414"/>
      <c r="U10" s="414"/>
      <c r="V10" s="414"/>
      <c r="W10" s="414"/>
      <c r="X10" s="414"/>
      <c r="Y10" s="414"/>
      <c r="Z10" s="414"/>
      <c r="AA10" s="414"/>
      <c r="AB10" s="414"/>
      <c r="AC10" s="414"/>
      <c r="AD10" s="414"/>
      <c r="AE10" s="414"/>
      <c r="AF10" s="414"/>
      <c r="AG10" s="414"/>
      <c r="AH10" s="414"/>
      <c r="AI10" s="414"/>
      <c r="AJ10" s="414"/>
    </row>
    <row r="11" spans="1:36" s="273" customFormat="1" ht="61.5" x14ac:dyDescent="0.85">
      <c r="B11" s="274" t="s">
        <v>1808</v>
      </c>
      <c r="C11" s="275"/>
      <c r="D11" s="276" t="s">
        <v>835</v>
      </c>
      <c r="E11" s="97">
        <f>AVERAGE(E13:E59)</f>
        <v>1.007232092198582</v>
      </c>
      <c r="F11" s="177">
        <f t="shared" ref="F11:AG11" si="0">F12+F64+F79</f>
        <v>85429069.480000004</v>
      </c>
      <c r="G11" s="60">
        <f t="shared" si="0"/>
        <v>0</v>
      </c>
      <c r="H11" s="60">
        <f t="shared" si="0"/>
        <v>0</v>
      </c>
      <c r="I11" s="60">
        <f t="shared" si="0"/>
        <v>0</v>
      </c>
      <c r="J11" s="60">
        <f t="shared" si="0"/>
        <v>0</v>
      </c>
      <c r="K11" s="60">
        <f t="shared" si="0"/>
        <v>597348</v>
      </c>
      <c r="L11" s="60">
        <f t="shared" si="0"/>
        <v>0</v>
      </c>
      <c r="M11" s="168">
        <f t="shared" si="0"/>
        <v>0</v>
      </c>
      <c r="N11" s="60">
        <f t="shared" si="0"/>
        <v>0</v>
      </c>
      <c r="O11" s="60">
        <f t="shared" si="0"/>
        <v>16424.75</v>
      </c>
      <c r="P11" s="60">
        <f t="shared" si="0"/>
        <v>77575832.350000009</v>
      </c>
      <c r="Q11" s="60">
        <f t="shared" si="0"/>
        <v>0</v>
      </c>
      <c r="R11" s="60">
        <f t="shared" si="0"/>
        <v>0</v>
      </c>
      <c r="S11" s="60">
        <f t="shared" si="0"/>
        <v>1379.5099999999998</v>
      </c>
      <c r="T11" s="60">
        <f t="shared" si="0"/>
        <v>4677520.24</v>
      </c>
      <c r="U11" s="60">
        <f t="shared" si="0"/>
        <v>0</v>
      </c>
      <c r="V11" s="60">
        <f t="shared" si="0"/>
        <v>0</v>
      </c>
      <c r="W11" s="60">
        <f t="shared" si="0"/>
        <v>0</v>
      </c>
      <c r="X11" s="60">
        <f t="shared" si="0"/>
        <v>0</v>
      </c>
      <c r="Y11" s="60">
        <f t="shared" si="0"/>
        <v>0</v>
      </c>
      <c r="Z11" s="60">
        <f t="shared" si="0"/>
        <v>0</v>
      </c>
      <c r="AA11" s="60">
        <f t="shared" si="0"/>
        <v>0</v>
      </c>
      <c r="AB11" s="60">
        <f t="shared" si="0"/>
        <v>0</v>
      </c>
      <c r="AC11" s="60">
        <f t="shared" si="0"/>
        <v>0</v>
      </c>
      <c r="AD11" s="60">
        <f t="shared" si="0"/>
        <v>0</v>
      </c>
      <c r="AE11" s="60">
        <f t="shared" si="0"/>
        <v>825998.19</v>
      </c>
      <c r="AF11" s="60">
        <f t="shared" si="0"/>
        <v>1752370.7</v>
      </c>
      <c r="AG11" s="60">
        <f t="shared" si="0"/>
        <v>0</v>
      </c>
      <c r="AH11" s="63" t="s">
        <v>835</v>
      </c>
      <c r="AI11" s="63" t="s">
        <v>835</v>
      </c>
      <c r="AJ11" s="63" t="s">
        <v>835</v>
      </c>
    </row>
    <row r="12" spans="1:36" s="273" customFormat="1" ht="61.5" x14ac:dyDescent="0.85">
      <c r="B12" s="274" t="s">
        <v>1562</v>
      </c>
      <c r="C12" s="275"/>
      <c r="D12" s="276" t="s">
        <v>835</v>
      </c>
      <c r="E12" s="97">
        <f>AVERAGE(E14:E59)</f>
        <v>1.0072697463768121</v>
      </c>
      <c r="F12" s="177">
        <f t="shared" ref="F12:AG12" si="1">F13+F15+F24+F26+F28+F30+F33+F36+F40+F42+F44+F48+F50+F52+F54+F58+F62+F60</f>
        <v>51349524.150000006</v>
      </c>
      <c r="G12" s="60">
        <f t="shared" si="1"/>
        <v>0</v>
      </c>
      <c r="H12" s="60">
        <f t="shared" si="1"/>
        <v>0</v>
      </c>
      <c r="I12" s="60">
        <f t="shared" si="1"/>
        <v>0</v>
      </c>
      <c r="J12" s="60">
        <f t="shared" si="1"/>
        <v>0</v>
      </c>
      <c r="K12" s="60">
        <f t="shared" si="1"/>
        <v>597348</v>
      </c>
      <c r="L12" s="60">
        <f t="shared" si="1"/>
        <v>0</v>
      </c>
      <c r="M12" s="168">
        <f t="shared" si="1"/>
        <v>0</v>
      </c>
      <c r="N12" s="60">
        <f t="shared" si="1"/>
        <v>0</v>
      </c>
      <c r="O12" s="60">
        <f t="shared" si="1"/>
        <v>10871.88</v>
      </c>
      <c r="P12" s="60">
        <f t="shared" si="1"/>
        <v>46165774.080000006</v>
      </c>
      <c r="Q12" s="60">
        <f t="shared" si="1"/>
        <v>0</v>
      </c>
      <c r="R12" s="60">
        <f t="shared" si="1"/>
        <v>0</v>
      </c>
      <c r="S12" s="60">
        <f t="shared" si="1"/>
        <v>857.57999999999993</v>
      </c>
      <c r="T12" s="60">
        <f t="shared" si="1"/>
        <v>2568651.2599999998</v>
      </c>
      <c r="U12" s="60">
        <f t="shared" si="1"/>
        <v>0</v>
      </c>
      <c r="V12" s="60">
        <f t="shared" si="1"/>
        <v>0</v>
      </c>
      <c r="W12" s="60">
        <f t="shared" si="1"/>
        <v>0</v>
      </c>
      <c r="X12" s="60">
        <f t="shared" si="1"/>
        <v>0</v>
      </c>
      <c r="Y12" s="60">
        <f t="shared" si="1"/>
        <v>0</v>
      </c>
      <c r="Z12" s="60">
        <f t="shared" si="1"/>
        <v>0</v>
      </c>
      <c r="AA12" s="60">
        <f t="shared" si="1"/>
        <v>0</v>
      </c>
      <c r="AB12" s="60">
        <f t="shared" si="1"/>
        <v>0</v>
      </c>
      <c r="AC12" s="60">
        <f t="shared" si="1"/>
        <v>0</v>
      </c>
      <c r="AD12" s="60">
        <f t="shared" si="1"/>
        <v>0</v>
      </c>
      <c r="AE12" s="60">
        <f t="shared" si="1"/>
        <v>452407.60000000003</v>
      </c>
      <c r="AF12" s="60">
        <f t="shared" si="1"/>
        <v>1565343.21</v>
      </c>
      <c r="AG12" s="60">
        <f t="shared" si="1"/>
        <v>0</v>
      </c>
      <c r="AH12" s="63" t="s">
        <v>835</v>
      </c>
      <c r="AI12" s="63" t="s">
        <v>835</v>
      </c>
      <c r="AJ12" s="63" t="s">
        <v>835</v>
      </c>
    </row>
    <row r="13" spans="1:36" s="7" customFormat="1" ht="61.5" x14ac:dyDescent="0.85">
      <c r="B13" s="277" t="s">
        <v>760</v>
      </c>
      <c r="C13" s="160"/>
      <c r="D13" s="276" t="s">
        <v>835</v>
      </c>
      <c r="E13" s="97">
        <f>AVERAGE(E14:E14)</f>
        <v>1.0055000000000001</v>
      </c>
      <c r="F13" s="177">
        <f t="shared" ref="F13:AG13" si="2">F14</f>
        <v>2123521.14</v>
      </c>
      <c r="G13" s="60">
        <f t="shared" si="2"/>
        <v>0</v>
      </c>
      <c r="H13" s="60">
        <f t="shared" si="2"/>
        <v>0</v>
      </c>
      <c r="I13" s="60">
        <f t="shared" si="2"/>
        <v>0</v>
      </c>
      <c r="J13" s="60">
        <f t="shared" si="2"/>
        <v>0</v>
      </c>
      <c r="K13" s="60">
        <f t="shared" si="2"/>
        <v>0</v>
      </c>
      <c r="L13" s="60">
        <f t="shared" si="2"/>
        <v>0</v>
      </c>
      <c r="M13" s="168">
        <f t="shared" si="2"/>
        <v>0</v>
      </c>
      <c r="N13" s="60">
        <f t="shared" si="2"/>
        <v>0</v>
      </c>
      <c r="O13" s="60">
        <f t="shared" si="2"/>
        <v>521</v>
      </c>
      <c r="P13" s="60">
        <f t="shared" si="2"/>
        <v>2110856</v>
      </c>
      <c r="Q13" s="60">
        <f t="shared" si="2"/>
        <v>0</v>
      </c>
      <c r="R13" s="60">
        <f t="shared" si="2"/>
        <v>0</v>
      </c>
      <c r="S13" s="60">
        <f t="shared" si="2"/>
        <v>0</v>
      </c>
      <c r="T13" s="60">
        <f t="shared" si="2"/>
        <v>0</v>
      </c>
      <c r="U13" s="60">
        <f t="shared" si="2"/>
        <v>0</v>
      </c>
      <c r="V13" s="60">
        <f t="shared" si="2"/>
        <v>0</v>
      </c>
      <c r="W13" s="60">
        <f t="shared" si="2"/>
        <v>0</v>
      </c>
      <c r="X13" s="60">
        <f t="shared" si="2"/>
        <v>0</v>
      </c>
      <c r="Y13" s="60">
        <f t="shared" si="2"/>
        <v>0</v>
      </c>
      <c r="Z13" s="60">
        <f t="shared" si="2"/>
        <v>0</v>
      </c>
      <c r="AA13" s="60">
        <f t="shared" si="2"/>
        <v>0</v>
      </c>
      <c r="AB13" s="60">
        <f t="shared" si="2"/>
        <v>0</v>
      </c>
      <c r="AC13" s="60">
        <f t="shared" si="2"/>
        <v>0</v>
      </c>
      <c r="AD13" s="60">
        <f t="shared" si="2"/>
        <v>0</v>
      </c>
      <c r="AE13" s="58">
        <f t="shared" si="2"/>
        <v>12665.14</v>
      </c>
      <c r="AF13" s="58">
        <f t="shared" si="2"/>
        <v>0</v>
      </c>
      <c r="AG13" s="60">
        <f t="shared" si="2"/>
        <v>0</v>
      </c>
      <c r="AH13" s="63" t="s">
        <v>835</v>
      </c>
      <c r="AI13" s="63" t="s">
        <v>835</v>
      </c>
      <c r="AJ13" s="63" t="s">
        <v>835</v>
      </c>
    </row>
    <row r="14" spans="1:36" s="7" customFormat="1" ht="61.5" x14ac:dyDescent="0.85">
      <c r="A14" s="7">
        <v>1</v>
      </c>
      <c r="B14" s="59">
        <f>SUBTOTAL(103,$A14:A$14)</f>
        <v>1</v>
      </c>
      <c r="C14" s="160" t="s">
        <v>958</v>
      </c>
      <c r="D14" s="276" t="s">
        <v>977</v>
      </c>
      <c r="E14" s="97">
        <v>1.0055000000000001</v>
      </c>
      <c r="F14" s="60">
        <f>G14+H14+I14+J14+K14+L14+N14+P14+R14+T14+V14+W14+X14+Y14+Z14+AA14+AB14+AC14+AD14+AE14+AF14+AG14</f>
        <v>2123521.14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168">
        <v>0</v>
      </c>
      <c r="N14" s="60">
        <v>0</v>
      </c>
      <c r="O14" s="62">
        <v>521</v>
      </c>
      <c r="P14" s="62">
        <v>2110856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60">
        <v>0</v>
      </c>
      <c r="AB14" s="60">
        <v>0</v>
      </c>
      <c r="AC14" s="60">
        <v>0</v>
      </c>
      <c r="AD14" s="60">
        <v>0</v>
      </c>
      <c r="AE14" s="58">
        <v>12665.14</v>
      </c>
      <c r="AF14" s="58">
        <v>0</v>
      </c>
      <c r="AG14" s="58">
        <v>0</v>
      </c>
      <c r="AH14" s="63" t="s">
        <v>257</v>
      </c>
      <c r="AI14" s="63">
        <v>2020</v>
      </c>
      <c r="AJ14" s="63">
        <v>2020</v>
      </c>
    </row>
    <row r="15" spans="1:36" s="7" customFormat="1" ht="61.5" x14ac:dyDescent="0.85">
      <c r="B15" s="277" t="s">
        <v>985</v>
      </c>
      <c r="C15" s="160"/>
      <c r="D15" s="276" t="s">
        <v>835</v>
      </c>
      <c r="E15" s="97">
        <f>AVERAGE(E16:E23)</f>
        <v>1.0039750000000001</v>
      </c>
      <c r="F15" s="177">
        <f t="shared" ref="F15:AG15" si="3">SUM(F16:F23)</f>
        <v>14141903.43</v>
      </c>
      <c r="G15" s="60">
        <f t="shared" si="3"/>
        <v>0</v>
      </c>
      <c r="H15" s="60">
        <f t="shared" si="3"/>
        <v>0</v>
      </c>
      <c r="I15" s="60">
        <f t="shared" si="3"/>
        <v>0</v>
      </c>
      <c r="J15" s="60">
        <f t="shared" si="3"/>
        <v>0</v>
      </c>
      <c r="K15" s="60">
        <f t="shared" si="3"/>
        <v>0</v>
      </c>
      <c r="L15" s="60">
        <f t="shared" si="3"/>
        <v>0</v>
      </c>
      <c r="M15" s="168">
        <f t="shared" si="3"/>
        <v>0</v>
      </c>
      <c r="N15" s="60">
        <f t="shared" si="3"/>
        <v>0</v>
      </c>
      <c r="O15" s="60">
        <f t="shared" si="3"/>
        <v>2840</v>
      </c>
      <c r="P15" s="60">
        <f t="shared" si="3"/>
        <v>12813797.620000001</v>
      </c>
      <c r="Q15" s="60">
        <f t="shared" si="3"/>
        <v>0</v>
      </c>
      <c r="R15" s="60">
        <f t="shared" si="3"/>
        <v>0</v>
      </c>
      <c r="S15" s="60">
        <f t="shared" si="3"/>
        <v>419</v>
      </c>
      <c r="T15" s="60">
        <f t="shared" si="3"/>
        <v>981934.24</v>
      </c>
      <c r="U15" s="60">
        <f t="shared" si="3"/>
        <v>0</v>
      </c>
      <c r="V15" s="60">
        <f t="shared" si="3"/>
        <v>0</v>
      </c>
      <c r="W15" s="60">
        <f t="shared" si="3"/>
        <v>0</v>
      </c>
      <c r="X15" s="60">
        <f t="shared" si="3"/>
        <v>0</v>
      </c>
      <c r="Y15" s="60">
        <f t="shared" si="3"/>
        <v>0</v>
      </c>
      <c r="Z15" s="60">
        <f t="shared" si="3"/>
        <v>0</v>
      </c>
      <c r="AA15" s="60">
        <f t="shared" si="3"/>
        <v>0</v>
      </c>
      <c r="AB15" s="60">
        <f t="shared" si="3"/>
        <v>0</v>
      </c>
      <c r="AC15" s="60">
        <f t="shared" si="3"/>
        <v>0</v>
      </c>
      <c r="AD15" s="60">
        <f t="shared" si="3"/>
        <v>0</v>
      </c>
      <c r="AE15" s="60">
        <f t="shared" si="3"/>
        <v>190381.11000000002</v>
      </c>
      <c r="AF15" s="60">
        <f t="shared" si="3"/>
        <v>155790.46000000002</v>
      </c>
      <c r="AG15" s="60">
        <f t="shared" si="3"/>
        <v>0</v>
      </c>
      <c r="AH15" s="63" t="s">
        <v>835</v>
      </c>
      <c r="AI15" s="63" t="s">
        <v>835</v>
      </c>
      <c r="AJ15" s="63" t="s">
        <v>835</v>
      </c>
    </row>
    <row r="16" spans="1:36" s="7" customFormat="1" ht="61.5" x14ac:dyDescent="0.85">
      <c r="A16" s="7">
        <v>1</v>
      </c>
      <c r="B16" s="59">
        <f>SUBTOTAL(103,$A$14:A16)</f>
        <v>2</v>
      </c>
      <c r="C16" s="160" t="s">
        <v>959</v>
      </c>
      <c r="D16" s="276" t="s">
        <v>978</v>
      </c>
      <c r="E16" s="97">
        <v>1.0047999999999999</v>
      </c>
      <c r="F16" s="60">
        <f t="shared" ref="F16:F23" si="4">G16+H16+I16+J16+K16+L16+N16+P16+R16+T16+V16+W16+X16+Y16+Z16+AA16+AB16+AC16+AD16+AE16+AF16+AG16</f>
        <v>6213014.2000000002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168">
        <v>0</v>
      </c>
      <c r="N16" s="60">
        <v>0</v>
      </c>
      <c r="O16" s="60">
        <v>1441</v>
      </c>
      <c r="P16" s="205">
        <v>6128441.7000000002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278">
        <v>84572.5</v>
      </c>
      <c r="AF16" s="58">
        <v>0</v>
      </c>
      <c r="AG16" s="58">
        <v>0</v>
      </c>
      <c r="AH16" s="63" t="s">
        <v>257</v>
      </c>
      <c r="AI16" s="63">
        <v>2020</v>
      </c>
      <c r="AJ16" s="63">
        <v>2020</v>
      </c>
    </row>
    <row r="17" spans="1:36" s="7" customFormat="1" ht="61.5" x14ac:dyDescent="0.85">
      <c r="A17" s="7">
        <v>1</v>
      </c>
      <c r="B17" s="59">
        <f>SUBTOTAL(103,$A$14:A17)</f>
        <v>3</v>
      </c>
      <c r="C17" s="160" t="s">
        <v>960</v>
      </c>
      <c r="D17" s="276" t="s">
        <v>977</v>
      </c>
      <c r="E17" s="97">
        <v>1</v>
      </c>
      <c r="F17" s="60">
        <f t="shared" si="4"/>
        <v>801933.34000000008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168">
        <v>0</v>
      </c>
      <c r="N17" s="60">
        <v>0</v>
      </c>
      <c r="O17" s="62">
        <v>163</v>
      </c>
      <c r="P17" s="62">
        <v>791017.3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0</v>
      </c>
      <c r="AE17" s="58">
        <v>10916.04</v>
      </c>
      <c r="AF17" s="58">
        <v>0</v>
      </c>
      <c r="AG17" s="58">
        <v>0</v>
      </c>
      <c r="AH17" s="63" t="s">
        <v>257</v>
      </c>
      <c r="AI17" s="63">
        <v>2020</v>
      </c>
      <c r="AJ17" s="63">
        <v>2020</v>
      </c>
    </row>
    <row r="18" spans="1:36" s="7" customFormat="1" ht="61.5" x14ac:dyDescent="0.85">
      <c r="A18" s="7">
        <v>1</v>
      </c>
      <c r="B18" s="59">
        <f>SUBTOTAL(103,$A$14:A18)</f>
        <v>4</v>
      </c>
      <c r="C18" s="160" t="s">
        <v>961</v>
      </c>
      <c r="D18" s="276" t="s">
        <v>979</v>
      </c>
      <c r="E18" s="97">
        <v>1.0003</v>
      </c>
      <c r="F18" s="60">
        <f t="shared" si="4"/>
        <v>61989.62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168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58">
        <f>ROUND(P18*1.5%,2)</f>
        <v>0</v>
      </c>
      <c r="AF18" s="279">
        <v>61989.62</v>
      </c>
      <c r="AG18" s="58">
        <v>0</v>
      </c>
      <c r="AH18" s="63">
        <v>2020</v>
      </c>
      <c r="AI18" s="63" t="s">
        <v>257</v>
      </c>
      <c r="AJ18" s="63" t="s">
        <v>257</v>
      </c>
    </row>
    <row r="19" spans="1:36" s="7" customFormat="1" ht="61.5" x14ac:dyDescent="0.85">
      <c r="A19" s="7">
        <v>1</v>
      </c>
      <c r="B19" s="59">
        <f>SUBTOTAL(103,$A$14:A19)</f>
        <v>5</v>
      </c>
      <c r="C19" s="160" t="s">
        <v>974</v>
      </c>
      <c r="D19" s="276" t="s">
        <v>978</v>
      </c>
      <c r="E19" s="97">
        <v>1.0178</v>
      </c>
      <c r="F19" s="60">
        <f t="shared" si="4"/>
        <v>995484.92999999993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168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2">
        <v>419</v>
      </c>
      <c r="T19" s="62">
        <v>981934.24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2">
        <v>13550.69</v>
      </c>
      <c r="AF19" s="58">
        <v>0</v>
      </c>
      <c r="AG19" s="58">
        <v>0</v>
      </c>
      <c r="AH19" s="63" t="s">
        <v>257</v>
      </c>
      <c r="AI19" s="63">
        <v>2020</v>
      </c>
      <c r="AJ19" s="63">
        <v>2020</v>
      </c>
    </row>
    <row r="20" spans="1:36" s="7" customFormat="1" ht="61.5" x14ac:dyDescent="0.85">
      <c r="A20" s="7">
        <v>1</v>
      </c>
      <c r="B20" s="59">
        <f>SUBTOTAL(103,$A$14:A20)</f>
        <v>6</v>
      </c>
      <c r="C20" s="160" t="s">
        <v>1016</v>
      </c>
      <c r="D20" s="276" t="s">
        <v>980</v>
      </c>
      <c r="E20" s="97">
        <v>1</v>
      </c>
      <c r="F20" s="60">
        <f t="shared" si="4"/>
        <v>4973435.79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168">
        <v>0</v>
      </c>
      <c r="N20" s="60">
        <v>0</v>
      </c>
      <c r="O20" s="205">
        <v>977</v>
      </c>
      <c r="P20" s="205">
        <v>4905736.62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60">
        <v>0</v>
      </c>
      <c r="AD20" s="60">
        <v>0</v>
      </c>
      <c r="AE20" s="62">
        <v>67699.17</v>
      </c>
      <c r="AF20" s="58">
        <v>0</v>
      </c>
      <c r="AG20" s="58">
        <v>0</v>
      </c>
      <c r="AH20" s="63" t="s">
        <v>257</v>
      </c>
      <c r="AI20" s="63">
        <v>2020</v>
      </c>
      <c r="AJ20" s="63">
        <v>2020</v>
      </c>
    </row>
    <row r="21" spans="1:36" s="7" customFormat="1" ht="61.5" x14ac:dyDescent="0.85">
      <c r="A21" s="7">
        <v>1</v>
      </c>
      <c r="B21" s="59">
        <f>SUBTOTAL(103,$A$14:A21)</f>
        <v>7</v>
      </c>
      <c r="C21" s="160" t="s">
        <v>1024</v>
      </c>
      <c r="D21" s="276" t="s">
        <v>978</v>
      </c>
      <c r="E21" s="97">
        <v>1.0053000000000001</v>
      </c>
      <c r="F21" s="60">
        <f t="shared" si="4"/>
        <v>50283.37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68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  <c r="AC21" s="60">
        <v>0</v>
      </c>
      <c r="AD21" s="60">
        <v>0</v>
      </c>
      <c r="AE21" s="58">
        <f>ROUND(P21*1.5%,2)</f>
        <v>0</v>
      </c>
      <c r="AF21" s="279">
        <v>50283.37</v>
      </c>
      <c r="AG21" s="58">
        <v>0</v>
      </c>
      <c r="AH21" s="63">
        <v>2020</v>
      </c>
      <c r="AI21" s="63" t="s">
        <v>257</v>
      </c>
      <c r="AJ21" s="63" t="s">
        <v>257</v>
      </c>
    </row>
    <row r="22" spans="1:36" s="7" customFormat="1" ht="61.5" x14ac:dyDescent="0.85">
      <c r="A22" s="7">
        <v>1</v>
      </c>
      <c r="B22" s="59">
        <f>SUBTOTAL(103,$A$14:A22)</f>
        <v>8</v>
      </c>
      <c r="C22" s="160" t="s">
        <v>1320</v>
      </c>
      <c r="D22" s="276" t="s">
        <v>978</v>
      </c>
      <c r="E22" s="97">
        <v>1.0036</v>
      </c>
      <c r="F22" s="60">
        <f t="shared" si="4"/>
        <v>43517.47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168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60">
        <v>0</v>
      </c>
      <c r="AD22" s="60">
        <v>0</v>
      </c>
      <c r="AE22" s="58">
        <f>ROUND(P22*1.5%,2)</f>
        <v>0</v>
      </c>
      <c r="AF22" s="279">
        <v>43517.47</v>
      </c>
      <c r="AG22" s="58">
        <v>0</v>
      </c>
      <c r="AH22" s="63">
        <v>2020</v>
      </c>
      <c r="AI22" s="63" t="s">
        <v>257</v>
      </c>
      <c r="AJ22" s="63" t="s">
        <v>257</v>
      </c>
    </row>
    <row r="23" spans="1:36" s="7" customFormat="1" ht="61.5" x14ac:dyDescent="0.85">
      <c r="A23" s="7">
        <v>1</v>
      </c>
      <c r="B23" s="59">
        <f>SUBTOTAL(103,$A$14:A23)</f>
        <v>9</v>
      </c>
      <c r="C23" s="160" t="s">
        <v>1611</v>
      </c>
      <c r="D23" s="276" t="s">
        <v>979</v>
      </c>
      <c r="E23" s="97">
        <v>1</v>
      </c>
      <c r="F23" s="60">
        <f t="shared" si="4"/>
        <v>1002244.71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168">
        <v>0</v>
      </c>
      <c r="N23" s="60">
        <v>0</v>
      </c>
      <c r="O23" s="60">
        <v>259</v>
      </c>
      <c r="P23" s="60">
        <v>988602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  <c r="AC23" s="60">
        <v>0</v>
      </c>
      <c r="AD23" s="60">
        <v>0</v>
      </c>
      <c r="AE23" s="58">
        <v>13642.71</v>
      </c>
      <c r="AF23" s="58">
        <v>0</v>
      </c>
      <c r="AG23" s="58">
        <v>0</v>
      </c>
      <c r="AH23" s="63" t="s">
        <v>257</v>
      </c>
      <c r="AI23" s="63">
        <v>2020</v>
      </c>
      <c r="AJ23" s="63">
        <v>2020</v>
      </c>
    </row>
    <row r="24" spans="1:36" s="7" customFormat="1" ht="61.5" x14ac:dyDescent="0.85">
      <c r="B24" s="277" t="s">
        <v>764</v>
      </c>
      <c r="C24" s="160"/>
      <c r="D24" s="276" t="s">
        <v>835</v>
      </c>
      <c r="E24" s="97">
        <f>AVERAGE(E25)</f>
        <v>1.0267999999999999</v>
      </c>
      <c r="F24" s="177">
        <f t="shared" ref="F24:AG24" si="5">F25</f>
        <v>2046844.64</v>
      </c>
      <c r="G24" s="60">
        <f t="shared" si="5"/>
        <v>0</v>
      </c>
      <c r="H24" s="60">
        <f t="shared" si="5"/>
        <v>0</v>
      </c>
      <c r="I24" s="60">
        <f t="shared" si="5"/>
        <v>0</v>
      </c>
      <c r="J24" s="60">
        <f t="shared" si="5"/>
        <v>0</v>
      </c>
      <c r="K24" s="60">
        <f t="shared" si="5"/>
        <v>0</v>
      </c>
      <c r="L24" s="60">
        <f t="shared" si="5"/>
        <v>0</v>
      </c>
      <c r="M24" s="168">
        <f t="shared" si="5"/>
        <v>0</v>
      </c>
      <c r="N24" s="60">
        <f t="shared" si="5"/>
        <v>0</v>
      </c>
      <c r="O24" s="60">
        <f t="shared" si="5"/>
        <v>386.8</v>
      </c>
      <c r="P24" s="60">
        <f t="shared" si="5"/>
        <v>1947102</v>
      </c>
      <c r="Q24" s="60">
        <f t="shared" si="5"/>
        <v>0</v>
      </c>
      <c r="R24" s="60">
        <f t="shared" si="5"/>
        <v>0</v>
      </c>
      <c r="S24" s="60">
        <f t="shared" si="5"/>
        <v>0</v>
      </c>
      <c r="T24" s="60">
        <f t="shared" si="5"/>
        <v>0</v>
      </c>
      <c r="U24" s="60">
        <f t="shared" si="5"/>
        <v>0</v>
      </c>
      <c r="V24" s="60">
        <f t="shared" si="5"/>
        <v>0</v>
      </c>
      <c r="W24" s="60">
        <f t="shared" si="5"/>
        <v>0</v>
      </c>
      <c r="X24" s="60">
        <f t="shared" si="5"/>
        <v>0</v>
      </c>
      <c r="Y24" s="60">
        <f t="shared" si="5"/>
        <v>0</v>
      </c>
      <c r="Z24" s="60">
        <f t="shared" si="5"/>
        <v>0</v>
      </c>
      <c r="AA24" s="60">
        <f t="shared" si="5"/>
        <v>0</v>
      </c>
      <c r="AB24" s="60">
        <f t="shared" si="5"/>
        <v>0</v>
      </c>
      <c r="AC24" s="60">
        <f t="shared" si="5"/>
        <v>0</v>
      </c>
      <c r="AD24" s="60">
        <f t="shared" si="5"/>
        <v>0</v>
      </c>
      <c r="AE24" s="58">
        <f t="shared" si="5"/>
        <v>19714.41</v>
      </c>
      <c r="AF24" s="58">
        <f t="shared" si="5"/>
        <v>80028.23</v>
      </c>
      <c r="AG24" s="60">
        <f t="shared" si="5"/>
        <v>0</v>
      </c>
      <c r="AH24" s="63" t="s">
        <v>835</v>
      </c>
      <c r="AI24" s="63" t="s">
        <v>835</v>
      </c>
      <c r="AJ24" s="63" t="s">
        <v>835</v>
      </c>
    </row>
    <row r="25" spans="1:36" s="7" customFormat="1" ht="61.5" x14ac:dyDescent="0.85">
      <c r="A25" s="7">
        <v>1</v>
      </c>
      <c r="B25" s="59">
        <f>SUBTOTAL(103,$A$14:A25)</f>
        <v>10</v>
      </c>
      <c r="C25" s="160" t="s">
        <v>627</v>
      </c>
      <c r="D25" s="276" t="s">
        <v>980</v>
      </c>
      <c r="E25" s="97">
        <v>1.0267999999999999</v>
      </c>
      <c r="F25" s="60">
        <f>G25+H25+I25+J25+K25+L25+N25+P25+R25+T25+V25+W25+X25+Y25+Z25+AA25+AB25+AC25+AD25+AE25+AF25+AG25</f>
        <v>2046844.64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168">
        <v>0</v>
      </c>
      <c r="N25" s="60">
        <v>0</v>
      </c>
      <c r="O25" s="62">
        <v>386.8</v>
      </c>
      <c r="P25" s="62">
        <v>1947102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C25" s="60">
        <v>0</v>
      </c>
      <c r="AD25" s="60">
        <v>0</v>
      </c>
      <c r="AE25" s="58">
        <v>19714.41</v>
      </c>
      <c r="AF25" s="279">
        <v>80028.23</v>
      </c>
      <c r="AG25" s="60">
        <v>0</v>
      </c>
      <c r="AH25" s="63">
        <v>2020</v>
      </c>
      <c r="AI25" s="63">
        <v>2020</v>
      </c>
      <c r="AJ25" s="63">
        <v>2020</v>
      </c>
    </row>
    <row r="26" spans="1:36" s="7" customFormat="1" ht="61.5" x14ac:dyDescent="0.85">
      <c r="B26" s="277" t="s">
        <v>768</v>
      </c>
      <c r="C26" s="160"/>
      <c r="D26" s="276" t="s">
        <v>835</v>
      </c>
      <c r="E26" s="97">
        <f>AVERAGE(E27)</f>
        <v>1</v>
      </c>
      <c r="F26" s="177">
        <f t="shared" ref="F26:AG26" si="6">F27</f>
        <v>5153989.53</v>
      </c>
      <c r="G26" s="60">
        <f t="shared" si="6"/>
        <v>0</v>
      </c>
      <c r="H26" s="60">
        <f t="shared" si="6"/>
        <v>0</v>
      </c>
      <c r="I26" s="60">
        <f t="shared" si="6"/>
        <v>0</v>
      </c>
      <c r="J26" s="60">
        <f t="shared" si="6"/>
        <v>0</v>
      </c>
      <c r="K26" s="60">
        <f t="shared" si="6"/>
        <v>0</v>
      </c>
      <c r="L26" s="60">
        <f t="shared" si="6"/>
        <v>0</v>
      </c>
      <c r="M26" s="168">
        <f t="shared" si="6"/>
        <v>0</v>
      </c>
      <c r="N26" s="60">
        <f t="shared" si="6"/>
        <v>0</v>
      </c>
      <c r="O26" s="60">
        <f t="shared" si="6"/>
        <v>1080.5999999999999</v>
      </c>
      <c r="P26" s="60">
        <f t="shared" si="6"/>
        <v>5102328.45</v>
      </c>
      <c r="Q26" s="60">
        <f t="shared" si="6"/>
        <v>0</v>
      </c>
      <c r="R26" s="60">
        <f t="shared" si="6"/>
        <v>0</v>
      </c>
      <c r="S26" s="60">
        <f t="shared" si="6"/>
        <v>0</v>
      </c>
      <c r="T26" s="60">
        <f t="shared" si="6"/>
        <v>0</v>
      </c>
      <c r="U26" s="60">
        <f t="shared" si="6"/>
        <v>0</v>
      </c>
      <c r="V26" s="60">
        <f t="shared" si="6"/>
        <v>0</v>
      </c>
      <c r="W26" s="60">
        <f t="shared" si="6"/>
        <v>0</v>
      </c>
      <c r="X26" s="60">
        <f t="shared" si="6"/>
        <v>0</v>
      </c>
      <c r="Y26" s="60">
        <f t="shared" si="6"/>
        <v>0</v>
      </c>
      <c r="Z26" s="60">
        <f t="shared" si="6"/>
        <v>0</v>
      </c>
      <c r="AA26" s="60">
        <f t="shared" si="6"/>
        <v>0</v>
      </c>
      <c r="AB26" s="60">
        <f t="shared" si="6"/>
        <v>0</v>
      </c>
      <c r="AC26" s="60">
        <f t="shared" si="6"/>
        <v>0</v>
      </c>
      <c r="AD26" s="60">
        <f t="shared" si="6"/>
        <v>0</v>
      </c>
      <c r="AE26" s="58">
        <f t="shared" si="6"/>
        <v>51661.08</v>
      </c>
      <c r="AF26" s="58">
        <f t="shared" si="6"/>
        <v>0</v>
      </c>
      <c r="AG26" s="60">
        <f t="shared" si="6"/>
        <v>0</v>
      </c>
      <c r="AH26" s="63" t="s">
        <v>835</v>
      </c>
      <c r="AI26" s="63" t="s">
        <v>835</v>
      </c>
      <c r="AJ26" s="63" t="s">
        <v>835</v>
      </c>
    </row>
    <row r="27" spans="1:36" s="7" customFormat="1" ht="61.5" x14ac:dyDescent="0.85">
      <c r="A27" s="7">
        <v>1</v>
      </c>
      <c r="B27" s="59">
        <f>SUBTOTAL(103,$A$14:A27)</f>
        <v>11</v>
      </c>
      <c r="C27" s="160" t="s">
        <v>1007</v>
      </c>
      <c r="D27" s="276" t="s">
        <v>981</v>
      </c>
      <c r="E27" s="97">
        <v>1</v>
      </c>
      <c r="F27" s="60">
        <f>G27+H27+I27+J27+K27+L27+N27+P27+R27+T27+V27+W27+X27+Y27+Z27+AA27+AB27+AC27+AD27+AE27+AF27+AG27</f>
        <v>5153989.53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168">
        <v>0</v>
      </c>
      <c r="N27" s="60">
        <v>0</v>
      </c>
      <c r="O27" s="62">
        <v>1080.5999999999999</v>
      </c>
      <c r="P27" s="62">
        <v>5102328.45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C27" s="60">
        <v>0</v>
      </c>
      <c r="AD27" s="60">
        <v>0</v>
      </c>
      <c r="AE27" s="62">
        <v>51661.08</v>
      </c>
      <c r="AF27" s="58">
        <v>0</v>
      </c>
      <c r="AG27" s="60">
        <v>0</v>
      </c>
      <c r="AH27" s="63" t="s">
        <v>257</v>
      </c>
      <c r="AI27" s="63">
        <v>2020</v>
      </c>
      <c r="AJ27" s="63">
        <v>2020</v>
      </c>
    </row>
    <row r="28" spans="1:36" s="7" customFormat="1" ht="61.5" x14ac:dyDescent="0.85">
      <c r="B28" s="277" t="s">
        <v>769</v>
      </c>
      <c r="C28" s="160"/>
      <c r="D28" s="276" t="s">
        <v>835</v>
      </c>
      <c r="E28" s="97">
        <f>AVERAGE(E29)</f>
        <v>1.0308999999999999</v>
      </c>
      <c r="F28" s="177">
        <f t="shared" ref="F28:AG28" si="7">F29</f>
        <v>48440.03</v>
      </c>
      <c r="G28" s="60">
        <f t="shared" si="7"/>
        <v>0</v>
      </c>
      <c r="H28" s="60">
        <f t="shared" si="7"/>
        <v>0</v>
      </c>
      <c r="I28" s="60">
        <f t="shared" si="7"/>
        <v>0</v>
      </c>
      <c r="J28" s="60">
        <f t="shared" si="7"/>
        <v>0</v>
      </c>
      <c r="K28" s="60">
        <f t="shared" si="7"/>
        <v>0</v>
      </c>
      <c r="L28" s="60">
        <f t="shared" si="7"/>
        <v>0</v>
      </c>
      <c r="M28" s="168">
        <f t="shared" si="7"/>
        <v>0</v>
      </c>
      <c r="N28" s="60">
        <f t="shared" si="7"/>
        <v>0</v>
      </c>
      <c r="O28" s="60">
        <f t="shared" si="7"/>
        <v>0</v>
      </c>
      <c r="P28" s="60">
        <f t="shared" si="7"/>
        <v>0</v>
      </c>
      <c r="Q28" s="60">
        <f t="shared" si="7"/>
        <v>0</v>
      </c>
      <c r="R28" s="60">
        <f t="shared" si="7"/>
        <v>0</v>
      </c>
      <c r="S28" s="60">
        <f t="shared" si="7"/>
        <v>0</v>
      </c>
      <c r="T28" s="60">
        <f t="shared" si="7"/>
        <v>0</v>
      </c>
      <c r="U28" s="60">
        <f t="shared" si="7"/>
        <v>0</v>
      </c>
      <c r="V28" s="60">
        <f t="shared" si="7"/>
        <v>0</v>
      </c>
      <c r="W28" s="60">
        <f t="shared" si="7"/>
        <v>0</v>
      </c>
      <c r="X28" s="60">
        <f t="shared" si="7"/>
        <v>0</v>
      </c>
      <c r="Y28" s="60">
        <f t="shared" si="7"/>
        <v>0</v>
      </c>
      <c r="Z28" s="60">
        <f t="shared" si="7"/>
        <v>0</v>
      </c>
      <c r="AA28" s="60">
        <f t="shared" si="7"/>
        <v>0</v>
      </c>
      <c r="AB28" s="60">
        <f t="shared" si="7"/>
        <v>0</v>
      </c>
      <c r="AC28" s="60">
        <f t="shared" si="7"/>
        <v>0</v>
      </c>
      <c r="AD28" s="60">
        <f t="shared" si="7"/>
        <v>0</v>
      </c>
      <c r="AE28" s="58">
        <f t="shared" si="7"/>
        <v>0</v>
      </c>
      <c r="AF28" s="58">
        <f t="shared" si="7"/>
        <v>48440.03</v>
      </c>
      <c r="AG28" s="60">
        <f t="shared" si="7"/>
        <v>0</v>
      </c>
      <c r="AH28" s="63" t="s">
        <v>835</v>
      </c>
      <c r="AI28" s="63" t="s">
        <v>835</v>
      </c>
      <c r="AJ28" s="63" t="s">
        <v>835</v>
      </c>
    </row>
    <row r="29" spans="1:36" s="7" customFormat="1" ht="61.5" x14ac:dyDescent="0.85">
      <c r="A29" s="7">
        <v>1</v>
      </c>
      <c r="B29" s="59">
        <f>SUBTOTAL(103,$A$14:A29)</f>
        <v>12</v>
      </c>
      <c r="C29" s="160" t="s">
        <v>962</v>
      </c>
      <c r="D29" s="276" t="s">
        <v>977</v>
      </c>
      <c r="E29" s="97">
        <v>1.0308999999999999</v>
      </c>
      <c r="F29" s="60">
        <f>G29+H29+I29+J29+K29+L29+N29+P29+R29+T29+V29+W29+X29+Y29+Z29+AA29+AB29+AC29+AD29+AE29+AF29+AG29</f>
        <v>48440.03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168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0">
        <v>0</v>
      </c>
      <c r="AB29" s="60">
        <v>0</v>
      </c>
      <c r="AC29" s="60">
        <v>0</v>
      </c>
      <c r="AD29" s="60">
        <v>0</v>
      </c>
      <c r="AE29" s="58">
        <f>ROUND(P29*1.5%,2)</f>
        <v>0</v>
      </c>
      <c r="AF29" s="279">
        <v>48440.03</v>
      </c>
      <c r="AG29" s="60">
        <v>0</v>
      </c>
      <c r="AH29" s="63">
        <v>2020</v>
      </c>
      <c r="AI29" s="63" t="s">
        <v>257</v>
      </c>
      <c r="AJ29" s="63" t="s">
        <v>257</v>
      </c>
    </row>
    <row r="30" spans="1:36" s="7" customFormat="1" ht="61.5" x14ac:dyDescent="0.85">
      <c r="B30" s="277" t="s">
        <v>986</v>
      </c>
      <c r="C30" s="160"/>
      <c r="D30" s="276" t="s">
        <v>835</v>
      </c>
      <c r="E30" s="97">
        <f>AVERAGE(E31:E32)</f>
        <v>1.0206</v>
      </c>
      <c r="F30" s="177">
        <f t="shared" ref="F30:AG30" si="8">SUM(F31:F32)</f>
        <v>31767</v>
      </c>
      <c r="G30" s="60">
        <f t="shared" si="8"/>
        <v>0</v>
      </c>
      <c r="H30" s="60">
        <f t="shared" si="8"/>
        <v>0</v>
      </c>
      <c r="I30" s="60">
        <f t="shared" si="8"/>
        <v>0</v>
      </c>
      <c r="J30" s="60">
        <f t="shared" si="8"/>
        <v>0</v>
      </c>
      <c r="K30" s="60">
        <f t="shared" si="8"/>
        <v>0</v>
      </c>
      <c r="L30" s="60">
        <f t="shared" si="8"/>
        <v>0</v>
      </c>
      <c r="M30" s="168">
        <f t="shared" si="8"/>
        <v>0</v>
      </c>
      <c r="N30" s="60">
        <f t="shared" si="8"/>
        <v>0</v>
      </c>
      <c r="O30" s="60">
        <f t="shared" si="8"/>
        <v>0</v>
      </c>
      <c r="P30" s="60">
        <f t="shared" si="8"/>
        <v>0</v>
      </c>
      <c r="Q30" s="60">
        <f t="shared" si="8"/>
        <v>0</v>
      </c>
      <c r="R30" s="60">
        <f t="shared" si="8"/>
        <v>0</v>
      </c>
      <c r="S30" s="60">
        <f t="shared" si="8"/>
        <v>0</v>
      </c>
      <c r="T30" s="60">
        <f t="shared" si="8"/>
        <v>0</v>
      </c>
      <c r="U30" s="60">
        <f t="shared" si="8"/>
        <v>0</v>
      </c>
      <c r="V30" s="60">
        <f t="shared" si="8"/>
        <v>0</v>
      </c>
      <c r="W30" s="60">
        <f t="shared" si="8"/>
        <v>0</v>
      </c>
      <c r="X30" s="60">
        <f t="shared" si="8"/>
        <v>0</v>
      </c>
      <c r="Y30" s="60">
        <f t="shared" si="8"/>
        <v>0</v>
      </c>
      <c r="Z30" s="60">
        <f t="shared" si="8"/>
        <v>0</v>
      </c>
      <c r="AA30" s="60">
        <f t="shared" si="8"/>
        <v>0</v>
      </c>
      <c r="AB30" s="60">
        <f t="shared" si="8"/>
        <v>0</v>
      </c>
      <c r="AC30" s="60">
        <f t="shared" si="8"/>
        <v>0</v>
      </c>
      <c r="AD30" s="60">
        <f t="shared" si="8"/>
        <v>0</v>
      </c>
      <c r="AE30" s="58">
        <f t="shared" si="8"/>
        <v>0</v>
      </c>
      <c r="AF30" s="58">
        <f t="shared" si="8"/>
        <v>31767</v>
      </c>
      <c r="AG30" s="60">
        <f t="shared" si="8"/>
        <v>0</v>
      </c>
      <c r="AH30" s="63" t="s">
        <v>835</v>
      </c>
      <c r="AI30" s="63" t="s">
        <v>835</v>
      </c>
      <c r="AJ30" s="63" t="s">
        <v>835</v>
      </c>
    </row>
    <row r="31" spans="1:36" s="7" customFormat="1" ht="61.5" x14ac:dyDescent="0.85">
      <c r="A31" s="7">
        <v>1</v>
      </c>
      <c r="B31" s="59">
        <f>SUBTOTAL(103,$A$14:A31)</f>
        <v>13</v>
      </c>
      <c r="C31" s="160" t="s">
        <v>963</v>
      </c>
      <c r="D31" s="276" t="s">
        <v>980</v>
      </c>
      <c r="E31" s="97">
        <v>1.0385</v>
      </c>
      <c r="F31" s="60">
        <f>G31+H31+I31+J31+K31+L31+N31+P31+R31+T31+V31+W31+X31+Y31+Z31+AA31+AB31+AC31+AD31+AE31+AF31+AG31</f>
        <v>13099.1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168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60">
        <v>0</v>
      </c>
      <c r="AB31" s="60">
        <v>0</v>
      </c>
      <c r="AC31" s="60">
        <v>0</v>
      </c>
      <c r="AD31" s="60">
        <v>0</v>
      </c>
      <c r="AE31" s="58">
        <f>ROUND(P31*1.5%,2)</f>
        <v>0</v>
      </c>
      <c r="AF31" s="279">
        <v>13099.1</v>
      </c>
      <c r="AG31" s="60">
        <v>0</v>
      </c>
      <c r="AH31" s="63">
        <v>2020</v>
      </c>
      <c r="AI31" s="63" t="s">
        <v>257</v>
      </c>
      <c r="AJ31" s="63" t="s">
        <v>257</v>
      </c>
    </row>
    <row r="32" spans="1:36" s="7" customFormat="1" ht="61.5" x14ac:dyDescent="0.85">
      <c r="A32" s="7">
        <v>1</v>
      </c>
      <c r="B32" s="59">
        <f>SUBTOTAL(103,$A$14:A32)</f>
        <v>14</v>
      </c>
      <c r="C32" s="160" t="s">
        <v>964</v>
      </c>
      <c r="D32" s="276" t="s">
        <v>980</v>
      </c>
      <c r="E32" s="97">
        <v>1.0026999999999999</v>
      </c>
      <c r="F32" s="60">
        <f>G32+H32+I32+J32+K32+L32+N32+P32+R32+T32+V32+W32+X32+Y32+Z32+AA32+AB32+AC32+AD32+AE32+AF32+AG32</f>
        <v>18667.900000000001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168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0">
        <v>0</v>
      </c>
      <c r="AB32" s="60">
        <v>0</v>
      </c>
      <c r="AC32" s="60">
        <v>0</v>
      </c>
      <c r="AD32" s="60">
        <v>0</v>
      </c>
      <c r="AE32" s="58">
        <f>ROUND(T32*1.5%,2)</f>
        <v>0</v>
      </c>
      <c r="AF32" s="279">
        <v>18667.900000000001</v>
      </c>
      <c r="AG32" s="60">
        <v>0</v>
      </c>
      <c r="AH32" s="63">
        <v>2020</v>
      </c>
      <c r="AI32" s="63" t="s">
        <v>257</v>
      </c>
      <c r="AJ32" s="63" t="s">
        <v>257</v>
      </c>
    </row>
    <row r="33" spans="1:36" s="7" customFormat="1" ht="61.5" x14ac:dyDescent="0.85">
      <c r="B33" s="277" t="s">
        <v>776</v>
      </c>
      <c r="C33" s="160"/>
      <c r="D33" s="276" t="s">
        <v>835</v>
      </c>
      <c r="E33" s="97">
        <f>AVERAGE(E34:E35)</f>
        <v>1</v>
      </c>
      <c r="F33" s="177">
        <f t="shared" ref="F33:AG33" si="9">SUM(F34:F35)</f>
        <v>3557815.66</v>
      </c>
      <c r="G33" s="60">
        <f t="shared" si="9"/>
        <v>0</v>
      </c>
      <c r="H33" s="60">
        <f t="shared" si="9"/>
        <v>0</v>
      </c>
      <c r="I33" s="60">
        <f t="shared" si="9"/>
        <v>0</v>
      </c>
      <c r="J33" s="60">
        <f t="shared" si="9"/>
        <v>0</v>
      </c>
      <c r="K33" s="60">
        <f t="shared" si="9"/>
        <v>0</v>
      </c>
      <c r="L33" s="60">
        <f t="shared" si="9"/>
        <v>0</v>
      </c>
      <c r="M33" s="168">
        <f t="shared" si="9"/>
        <v>0</v>
      </c>
      <c r="N33" s="60">
        <f t="shared" si="9"/>
        <v>0</v>
      </c>
      <c r="O33" s="60">
        <f t="shared" si="9"/>
        <v>828.5</v>
      </c>
      <c r="P33" s="60">
        <f t="shared" si="9"/>
        <v>3438664.78</v>
      </c>
      <c r="Q33" s="60">
        <f t="shared" si="9"/>
        <v>0</v>
      </c>
      <c r="R33" s="60">
        <f t="shared" si="9"/>
        <v>0</v>
      </c>
      <c r="S33" s="60">
        <f t="shared" si="9"/>
        <v>0</v>
      </c>
      <c r="T33" s="60">
        <f t="shared" si="9"/>
        <v>0</v>
      </c>
      <c r="U33" s="60">
        <f t="shared" si="9"/>
        <v>0</v>
      </c>
      <c r="V33" s="60">
        <f t="shared" si="9"/>
        <v>0</v>
      </c>
      <c r="W33" s="60">
        <f t="shared" si="9"/>
        <v>0</v>
      </c>
      <c r="X33" s="60">
        <f t="shared" si="9"/>
        <v>0</v>
      </c>
      <c r="Y33" s="60">
        <f t="shared" si="9"/>
        <v>0</v>
      </c>
      <c r="Z33" s="60">
        <f t="shared" si="9"/>
        <v>0</v>
      </c>
      <c r="AA33" s="60">
        <f t="shared" si="9"/>
        <v>0</v>
      </c>
      <c r="AB33" s="60">
        <f t="shared" si="9"/>
        <v>0</v>
      </c>
      <c r="AC33" s="60">
        <f t="shared" si="9"/>
        <v>0</v>
      </c>
      <c r="AD33" s="60">
        <f t="shared" si="9"/>
        <v>0</v>
      </c>
      <c r="AE33" s="58">
        <f t="shared" si="9"/>
        <v>20632</v>
      </c>
      <c r="AF33" s="58">
        <f t="shared" si="9"/>
        <v>98518.88</v>
      </c>
      <c r="AG33" s="60">
        <f t="shared" si="9"/>
        <v>0</v>
      </c>
      <c r="AH33" s="63" t="s">
        <v>835</v>
      </c>
      <c r="AI33" s="63" t="s">
        <v>835</v>
      </c>
      <c r="AJ33" s="63" t="s">
        <v>835</v>
      </c>
    </row>
    <row r="34" spans="1:36" s="7" customFormat="1" ht="61.5" x14ac:dyDescent="0.85">
      <c r="A34" s="7">
        <v>1</v>
      </c>
      <c r="B34" s="59">
        <f>SUBTOTAL(103,$A$14:A34)</f>
        <v>15</v>
      </c>
      <c r="C34" s="160" t="s">
        <v>984</v>
      </c>
      <c r="D34" s="276" t="s">
        <v>978</v>
      </c>
      <c r="E34" s="97">
        <v>1</v>
      </c>
      <c r="F34" s="60">
        <f>G34+H34+I34+J34+K34+L34+N34+P34+R34+T34+V34+W34+X34+Y34+Z34+AA34+AB34+AC34+AD34+AE34+AF34+AG34</f>
        <v>2576429.98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  <c r="M34" s="168">
        <v>0</v>
      </c>
      <c r="N34" s="60">
        <v>0</v>
      </c>
      <c r="O34" s="62">
        <v>604.54</v>
      </c>
      <c r="P34" s="62">
        <v>2510284.38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60">
        <v>0</v>
      </c>
      <c r="W34" s="60">
        <v>0</v>
      </c>
      <c r="X34" s="60">
        <v>0</v>
      </c>
      <c r="Y34" s="60">
        <v>0</v>
      </c>
      <c r="Z34" s="60">
        <v>0</v>
      </c>
      <c r="AA34" s="60">
        <v>0</v>
      </c>
      <c r="AB34" s="60">
        <v>0</v>
      </c>
      <c r="AC34" s="60">
        <v>0</v>
      </c>
      <c r="AD34" s="60">
        <v>0</v>
      </c>
      <c r="AE34" s="58">
        <f>ROUND(P34*0.6%,2)</f>
        <v>15061.71</v>
      </c>
      <c r="AF34" s="58">
        <v>51083.89</v>
      </c>
      <c r="AG34" s="60">
        <v>0</v>
      </c>
      <c r="AH34" s="63">
        <v>2020</v>
      </c>
      <c r="AI34" s="63">
        <v>2020</v>
      </c>
      <c r="AJ34" s="63">
        <v>2020</v>
      </c>
    </row>
    <row r="35" spans="1:36" s="7" customFormat="1" ht="61.5" x14ac:dyDescent="0.85">
      <c r="A35" s="7">
        <v>1</v>
      </c>
      <c r="B35" s="59">
        <f>SUBTOTAL(103,$A$14:A35)</f>
        <v>16</v>
      </c>
      <c r="C35" s="160" t="s">
        <v>965</v>
      </c>
      <c r="D35" s="276" t="s">
        <v>978</v>
      </c>
      <c r="E35" s="97">
        <v>1</v>
      </c>
      <c r="F35" s="60">
        <f>G35+H35+I35+J35+K35+L35+N35+P35+R35+T35+V35+W35+X35+Y35+Z35+AA35+AB35+AC35+AD35+AE35+AF35+AG35</f>
        <v>981385.68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168">
        <v>0</v>
      </c>
      <c r="N35" s="60">
        <v>0</v>
      </c>
      <c r="O35" s="62">
        <v>223.96</v>
      </c>
      <c r="P35" s="62">
        <v>928380.4</v>
      </c>
      <c r="Q35" s="60">
        <v>0</v>
      </c>
      <c r="R35" s="60">
        <v>0</v>
      </c>
      <c r="S35" s="60">
        <v>0</v>
      </c>
      <c r="T35" s="60">
        <v>0</v>
      </c>
      <c r="U35" s="60">
        <v>0</v>
      </c>
      <c r="V35" s="60">
        <v>0</v>
      </c>
      <c r="W35" s="60">
        <v>0</v>
      </c>
      <c r="X35" s="60">
        <v>0</v>
      </c>
      <c r="Y35" s="60">
        <v>0</v>
      </c>
      <c r="Z35" s="60">
        <v>0</v>
      </c>
      <c r="AA35" s="60">
        <v>0</v>
      </c>
      <c r="AB35" s="60">
        <v>0</v>
      </c>
      <c r="AC35" s="60">
        <v>0</v>
      </c>
      <c r="AD35" s="60">
        <v>0</v>
      </c>
      <c r="AE35" s="62">
        <v>5570.29</v>
      </c>
      <c r="AF35" s="58">
        <v>47434.99</v>
      </c>
      <c r="AG35" s="60">
        <v>0</v>
      </c>
      <c r="AH35" s="63">
        <v>2020</v>
      </c>
      <c r="AI35" s="63">
        <v>2020</v>
      </c>
      <c r="AJ35" s="63">
        <v>2020</v>
      </c>
    </row>
    <row r="36" spans="1:36" s="7" customFormat="1" ht="61.5" x14ac:dyDescent="0.85">
      <c r="B36" s="277" t="s">
        <v>710</v>
      </c>
      <c r="C36" s="160"/>
      <c r="D36" s="276" t="s">
        <v>835</v>
      </c>
      <c r="E36" s="97">
        <f>AVERAGE(E37:E41)</f>
        <v>1.0075000000000001</v>
      </c>
      <c r="F36" s="177">
        <f t="shared" ref="F36:AG36" si="10">SUM(F37:F39)</f>
        <v>223917.22</v>
      </c>
      <c r="G36" s="60">
        <f t="shared" si="10"/>
        <v>0</v>
      </c>
      <c r="H36" s="60">
        <f t="shared" si="10"/>
        <v>0</v>
      </c>
      <c r="I36" s="60">
        <f t="shared" si="10"/>
        <v>0</v>
      </c>
      <c r="J36" s="60">
        <f t="shared" si="10"/>
        <v>0</v>
      </c>
      <c r="K36" s="60">
        <f t="shared" si="10"/>
        <v>0</v>
      </c>
      <c r="L36" s="60">
        <f t="shared" si="10"/>
        <v>0</v>
      </c>
      <c r="M36" s="168">
        <f t="shared" si="10"/>
        <v>0</v>
      </c>
      <c r="N36" s="60">
        <f t="shared" si="10"/>
        <v>0</v>
      </c>
      <c r="O36" s="60">
        <f t="shared" si="10"/>
        <v>0</v>
      </c>
      <c r="P36" s="60">
        <f t="shared" si="10"/>
        <v>0</v>
      </c>
      <c r="Q36" s="60">
        <f t="shared" si="10"/>
        <v>0</v>
      </c>
      <c r="R36" s="60">
        <f t="shared" si="10"/>
        <v>0</v>
      </c>
      <c r="S36" s="60">
        <f t="shared" si="10"/>
        <v>0</v>
      </c>
      <c r="T36" s="60">
        <f t="shared" si="10"/>
        <v>0</v>
      </c>
      <c r="U36" s="60">
        <f t="shared" si="10"/>
        <v>0</v>
      </c>
      <c r="V36" s="60">
        <f t="shared" si="10"/>
        <v>0</v>
      </c>
      <c r="W36" s="60">
        <f t="shared" si="10"/>
        <v>0</v>
      </c>
      <c r="X36" s="60">
        <f t="shared" si="10"/>
        <v>0</v>
      </c>
      <c r="Y36" s="60">
        <f t="shared" si="10"/>
        <v>0</v>
      </c>
      <c r="Z36" s="60">
        <f t="shared" si="10"/>
        <v>0</v>
      </c>
      <c r="AA36" s="60">
        <f t="shared" si="10"/>
        <v>0</v>
      </c>
      <c r="AB36" s="60">
        <f t="shared" si="10"/>
        <v>0</v>
      </c>
      <c r="AC36" s="60">
        <f t="shared" si="10"/>
        <v>0</v>
      </c>
      <c r="AD36" s="60">
        <f t="shared" si="10"/>
        <v>0</v>
      </c>
      <c r="AE36" s="58">
        <f t="shared" si="10"/>
        <v>0</v>
      </c>
      <c r="AF36" s="58">
        <f t="shared" si="10"/>
        <v>223917.22</v>
      </c>
      <c r="AG36" s="60">
        <f t="shared" si="10"/>
        <v>0</v>
      </c>
      <c r="AH36" s="63" t="s">
        <v>835</v>
      </c>
      <c r="AI36" s="63" t="s">
        <v>835</v>
      </c>
      <c r="AJ36" s="63" t="s">
        <v>835</v>
      </c>
    </row>
    <row r="37" spans="1:36" s="7" customFormat="1" ht="61.5" x14ac:dyDescent="0.85">
      <c r="A37" s="7">
        <v>1</v>
      </c>
      <c r="B37" s="59">
        <f>SUBTOTAL(103,$A$14:A37)</f>
        <v>17</v>
      </c>
      <c r="C37" s="160" t="s">
        <v>966</v>
      </c>
      <c r="D37" s="276" t="s">
        <v>979</v>
      </c>
      <c r="E37" s="97">
        <v>1.0043</v>
      </c>
      <c r="F37" s="60">
        <f>G37+H37+I37+J37+K37+L37+N37+P37+R37+T37+V37+W37+X37+Y37+Z37+AA37+AB37+AC37+AD37+AE37+AF37+AG37</f>
        <v>47271.85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168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0</v>
      </c>
      <c r="W37" s="60">
        <v>0</v>
      </c>
      <c r="X37" s="60">
        <v>0</v>
      </c>
      <c r="Y37" s="60">
        <v>0</v>
      </c>
      <c r="Z37" s="60">
        <v>0</v>
      </c>
      <c r="AA37" s="60">
        <v>0</v>
      </c>
      <c r="AB37" s="60">
        <v>0</v>
      </c>
      <c r="AC37" s="60">
        <v>0</v>
      </c>
      <c r="AD37" s="60">
        <v>0</v>
      </c>
      <c r="AE37" s="58">
        <f>ROUND(P37*1.5%,2)</f>
        <v>0</v>
      </c>
      <c r="AF37" s="62">
        <v>47271.85</v>
      </c>
      <c r="AG37" s="60">
        <v>0</v>
      </c>
      <c r="AH37" s="63">
        <v>2020</v>
      </c>
      <c r="AI37" s="63" t="s">
        <v>257</v>
      </c>
      <c r="AJ37" s="63" t="s">
        <v>257</v>
      </c>
    </row>
    <row r="38" spans="1:36" s="7" customFormat="1" ht="61.5" x14ac:dyDescent="0.85">
      <c r="A38" s="7">
        <v>1</v>
      </c>
      <c r="B38" s="59">
        <f>SUBTOTAL(103,$A$14:A38)</f>
        <v>18</v>
      </c>
      <c r="C38" s="160" t="s">
        <v>733</v>
      </c>
      <c r="D38" s="276" t="s">
        <v>979</v>
      </c>
      <c r="E38" s="97">
        <v>1.0185999999999999</v>
      </c>
      <c r="F38" s="60">
        <f>G38+H38+I38+J38+K38+L38+N38+P38+R38+T38+V38+W38+X38+Y38+Z38+AA38+AB38+AC38+AD38+AE38+AF38+AG38</f>
        <v>99352.46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168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>
        <v>0</v>
      </c>
      <c r="AB38" s="60">
        <v>0</v>
      </c>
      <c r="AC38" s="60">
        <v>0</v>
      </c>
      <c r="AD38" s="60">
        <v>0</v>
      </c>
      <c r="AE38" s="58">
        <f>ROUND(P38*1.5%,2)</f>
        <v>0</v>
      </c>
      <c r="AF38" s="62">
        <v>99352.46</v>
      </c>
      <c r="AG38" s="60">
        <v>0</v>
      </c>
      <c r="AH38" s="63">
        <v>2020</v>
      </c>
      <c r="AI38" s="63" t="s">
        <v>257</v>
      </c>
      <c r="AJ38" s="63" t="s">
        <v>257</v>
      </c>
    </row>
    <row r="39" spans="1:36" s="7" customFormat="1" ht="61.5" x14ac:dyDescent="0.85">
      <c r="A39" s="7">
        <v>1</v>
      </c>
      <c r="B39" s="59">
        <f>SUBTOTAL(103,$A$14:A39)</f>
        <v>19</v>
      </c>
      <c r="C39" s="160" t="s">
        <v>725</v>
      </c>
      <c r="D39" s="276" t="s">
        <v>979</v>
      </c>
      <c r="E39" s="97">
        <v>1.0064</v>
      </c>
      <c r="F39" s="60">
        <f>G39+H39+I39+J39+K39+L39+N39+P39+R39+T39+V39+W39+X39+Y39+Z39+AA39+AB39+AC39+AD39+AE39+AF39+AG39</f>
        <v>77292.91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168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0</v>
      </c>
      <c r="U39" s="60">
        <v>0</v>
      </c>
      <c r="V39" s="60">
        <v>0</v>
      </c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0">
        <v>0</v>
      </c>
      <c r="AD39" s="60">
        <v>0</v>
      </c>
      <c r="AE39" s="58">
        <f>ROUND(P39*1.5%,2)</f>
        <v>0</v>
      </c>
      <c r="AF39" s="62">
        <v>77292.91</v>
      </c>
      <c r="AG39" s="60">
        <v>0</v>
      </c>
      <c r="AH39" s="63">
        <v>2020</v>
      </c>
      <c r="AI39" s="63" t="s">
        <v>257</v>
      </c>
      <c r="AJ39" s="63" t="s">
        <v>257</v>
      </c>
    </row>
    <row r="40" spans="1:36" s="7" customFormat="1" ht="61.5" x14ac:dyDescent="0.85">
      <c r="B40" s="277" t="s">
        <v>783</v>
      </c>
      <c r="C40" s="160"/>
      <c r="D40" s="276" t="s">
        <v>835</v>
      </c>
      <c r="E40" s="97">
        <f>AVERAGE(E41)</f>
        <v>1.0041</v>
      </c>
      <c r="F40" s="177">
        <f t="shared" ref="F40:AG40" si="11">F41</f>
        <v>3265341.36</v>
      </c>
      <c r="G40" s="60">
        <f t="shared" si="11"/>
        <v>0</v>
      </c>
      <c r="H40" s="60">
        <f t="shared" si="11"/>
        <v>0</v>
      </c>
      <c r="I40" s="60">
        <f t="shared" si="11"/>
        <v>0</v>
      </c>
      <c r="J40" s="60">
        <f t="shared" si="11"/>
        <v>0</v>
      </c>
      <c r="K40" s="60">
        <f t="shared" si="11"/>
        <v>0</v>
      </c>
      <c r="L40" s="60">
        <f t="shared" si="11"/>
        <v>0</v>
      </c>
      <c r="M40" s="168">
        <f t="shared" si="11"/>
        <v>0</v>
      </c>
      <c r="N40" s="60">
        <f t="shared" si="11"/>
        <v>0</v>
      </c>
      <c r="O40" s="60">
        <f t="shared" si="11"/>
        <v>695</v>
      </c>
      <c r="P40" s="60">
        <f t="shared" si="11"/>
        <v>3166427.79</v>
      </c>
      <c r="Q40" s="60">
        <f t="shared" si="11"/>
        <v>0</v>
      </c>
      <c r="R40" s="60">
        <f t="shared" si="11"/>
        <v>0</v>
      </c>
      <c r="S40" s="60">
        <f t="shared" si="11"/>
        <v>0</v>
      </c>
      <c r="T40" s="60">
        <f t="shared" si="11"/>
        <v>0</v>
      </c>
      <c r="U40" s="60">
        <f t="shared" si="11"/>
        <v>0</v>
      </c>
      <c r="V40" s="60">
        <f t="shared" si="11"/>
        <v>0</v>
      </c>
      <c r="W40" s="60">
        <f t="shared" si="11"/>
        <v>0</v>
      </c>
      <c r="X40" s="60">
        <f t="shared" si="11"/>
        <v>0</v>
      </c>
      <c r="Y40" s="60">
        <f t="shared" si="11"/>
        <v>0</v>
      </c>
      <c r="Z40" s="60">
        <f t="shared" si="11"/>
        <v>0</v>
      </c>
      <c r="AA40" s="60">
        <f t="shared" si="11"/>
        <v>0</v>
      </c>
      <c r="AB40" s="60">
        <f t="shared" si="11"/>
        <v>0</v>
      </c>
      <c r="AC40" s="60">
        <f t="shared" si="11"/>
        <v>0</v>
      </c>
      <c r="AD40" s="60">
        <f t="shared" si="11"/>
        <v>0</v>
      </c>
      <c r="AE40" s="58">
        <f t="shared" si="11"/>
        <v>18998.57</v>
      </c>
      <c r="AF40" s="58">
        <f t="shared" si="11"/>
        <v>79915</v>
      </c>
      <c r="AG40" s="60">
        <f t="shared" si="11"/>
        <v>0</v>
      </c>
      <c r="AH40" s="63" t="s">
        <v>835</v>
      </c>
      <c r="AI40" s="63" t="s">
        <v>835</v>
      </c>
      <c r="AJ40" s="63" t="s">
        <v>835</v>
      </c>
    </row>
    <row r="41" spans="1:36" s="7" customFormat="1" ht="61.5" x14ac:dyDescent="0.85">
      <c r="A41" s="7">
        <v>1</v>
      </c>
      <c r="B41" s="59">
        <f>SUBTOTAL(103,$A$14:A41)</f>
        <v>20</v>
      </c>
      <c r="C41" s="160" t="s">
        <v>967</v>
      </c>
      <c r="D41" s="276" t="s">
        <v>978</v>
      </c>
      <c r="E41" s="97">
        <v>1.0041</v>
      </c>
      <c r="F41" s="60">
        <f>G41+H41+I41+J41+K41+L41+N41+P41+R41+T41+V41+W41+X41+Y41+Z41+AA41+AB41+AC41+AD41+AE41+AF41+AG41</f>
        <v>3265341.36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168">
        <v>0</v>
      </c>
      <c r="N41" s="60">
        <v>0</v>
      </c>
      <c r="O41" s="62">
        <v>695</v>
      </c>
      <c r="P41" s="62">
        <v>3166427.79</v>
      </c>
      <c r="Q41" s="60">
        <v>0</v>
      </c>
      <c r="R41" s="60">
        <v>0</v>
      </c>
      <c r="S41" s="60">
        <v>0</v>
      </c>
      <c r="T41" s="60">
        <v>0</v>
      </c>
      <c r="U41" s="60">
        <v>0</v>
      </c>
      <c r="V41" s="60">
        <v>0</v>
      </c>
      <c r="W41" s="60">
        <v>0</v>
      </c>
      <c r="X41" s="60">
        <v>0</v>
      </c>
      <c r="Y41" s="60">
        <v>0</v>
      </c>
      <c r="Z41" s="60">
        <v>0</v>
      </c>
      <c r="AA41" s="60">
        <v>0</v>
      </c>
      <c r="AB41" s="60">
        <v>0</v>
      </c>
      <c r="AC41" s="60">
        <v>0</v>
      </c>
      <c r="AD41" s="60">
        <v>0</v>
      </c>
      <c r="AE41" s="58">
        <v>18998.57</v>
      </c>
      <c r="AF41" s="62">
        <v>79915</v>
      </c>
      <c r="AG41" s="60">
        <v>0</v>
      </c>
      <c r="AH41" s="63">
        <v>2020</v>
      </c>
      <c r="AI41" s="63">
        <v>2020</v>
      </c>
      <c r="AJ41" s="63">
        <v>2020</v>
      </c>
    </row>
    <row r="42" spans="1:36" s="7" customFormat="1" ht="61.5" x14ac:dyDescent="0.85">
      <c r="B42" s="277" t="s">
        <v>785</v>
      </c>
      <c r="C42" s="160"/>
      <c r="D42" s="276" t="s">
        <v>835</v>
      </c>
      <c r="E42" s="97">
        <f>AVERAGE(E43)</f>
        <v>1</v>
      </c>
      <c r="F42" s="177">
        <f t="shared" ref="F42:AG42" si="12">F43</f>
        <v>97672.62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168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60">
        <f t="shared" si="12"/>
        <v>0</v>
      </c>
      <c r="AA42" s="60">
        <f t="shared" si="12"/>
        <v>0</v>
      </c>
      <c r="AB42" s="60">
        <f t="shared" si="12"/>
        <v>0</v>
      </c>
      <c r="AC42" s="60">
        <f t="shared" si="12"/>
        <v>0</v>
      </c>
      <c r="AD42" s="60">
        <f t="shared" si="12"/>
        <v>0</v>
      </c>
      <c r="AE42" s="58">
        <f t="shared" si="12"/>
        <v>0</v>
      </c>
      <c r="AF42" s="58">
        <f t="shared" si="12"/>
        <v>97672.62</v>
      </c>
      <c r="AG42" s="60">
        <f t="shared" si="12"/>
        <v>0</v>
      </c>
      <c r="AH42" s="63" t="s">
        <v>835</v>
      </c>
      <c r="AI42" s="63" t="s">
        <v>835</v>
      </c>
      <c r="AJ42" s="63" t="s">
        <v>835</v>
      </c>
    </row>
    <row r="43" spans="1:36" s="7" customFormat="1" ht="61.5" x14ac:dyDescent="0.85">
      <c r="A43" s="7">
        <v>1</v>
      </c>
      <c r="B43" s="59">
        <f>SUBTOTAL(103,$A$14:A43)</f>
        <v>21</v>
      </c>
      <c r="C43" s="160" t="s">
        <v>968</v>
      </c>
      <c r="D43" s="276" t="s">
        <v>980</v>
      </c>
      <c r="E43" s="97">
        <v>1</v>
      </c>
      <c r="F43" s="60">
        <f>G43+H43+I43+J43+K43+L43+N43+P43+R43+T43+V43+W43+X43+Y43+Z43+AA43+AB43+AC43+AD43+AE43+AF43+AG43</f>
        <v>97672.62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168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0</v>
      </c>
      <c r="W43" s="60">
        <v>0</v>
      </c>
      <c r="X43" s="60">
        <v>0</v>
      </c>
      <c r="Y43" s="60">
        <v>0</v>
      </c>
      <c r="Z43" s="60">
        <v>0</v>
      </c>
      <c r="AA43" s="60">
        <v>0</v>
      </c>
      <c r="AB43" s="60">
        <v>0</v>
      </c>
      <c r="AC43" s="60">
        <v>0</v>
      </c>
      <c r="AD43" s="60">
        <v>0</v>
      </c>
      <c r="AE43" s="58">
        <f>ROUND(P43*1.5%,2)</f>
        <v>0</v>
      </c>
      <c r="AF43" s="279">
        <v>97672.62</v>
      </c>
      <c r="AG43" s="60">
        <v>0</v>
      </c>
      <c r="AH43" s="63">
        <v>2020</v>
      </c>
      <c r="AI43" s="63" t="s">
        <v>257</v>
      </c>
      <c r="AJ43" s="63" t="s">
        <v>257</v>
      </c>
    </row>
    <row r="44" spans="1:36" s="7" customFormat="1" ht="61.5" x14ac:dyDescent="0.85">
      <c r="B44" s="277" t="s">
        <v>987</v>
      </c>
      <c r="C44" s="160"/>
      <c r="D44" s="276" t="s">
        <v>835</v>
      </c>
      <c r="E44" s="97">
        <f>AVERAGE(E45:E47)</f>
        <v>1.0093333333333334</v>
      </c>
      <c r="F44" s="177">
        <f t="shared" ref="F44:AG44" si="13">SUM(F45:F47)</f>
        <v>7629142.8200000003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168">
        <f t="shared" si="13"/>
        <v>0</v>
      </c>
      <c r="N44" s="60">
        <f t="shared" si="13"/>
        <v>0</v>
      </c>
      <c r="O44" s="60">
        <f t="shared" si="13"/>
        <v>1438.7</v>
      </c>
      <c r="P44" s="60">
        <f t="shared" si="13"/>
        <v>7406508.8399999999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60">
        <f t="shared" si="13"/>
        <v>0</v>
      </c>
      <c r="AA44" s="60">
        <f t="shared" si="13"/>
        <v>0</v>
      </c>
      <c r="AB44" s="60">
        <f t="shared" si="13"/>
        <v>0</v>
      </c>
      <c r="AC44" s="60">
        <f t="shared" si="13"/>
        <v>0</v>
      </c>
      <c r="AD44" s="60">
        <f t="shared" si="13"/>
        <v>0</v>
      </c>
      <c r="AE44" s="58">
        <f t="shared" si="13"/>
        <v>17662.57</v>
      </c>
      <c r="AF44" s="58">
        <f t="shared" si="13"/>
        <v>204971.41</v>
      </c>
      <c r="AG44" s="60">
        <f t="shared" si="13"/>
        <v>0</v>
      </c>
      <c r="AH44" s="63" t="s">
        <v>835</v>
      </c>
      <c r="AI44" s="63" t="s">
        <v>835</v>
      </c>
      <c r="AJ44" s="63" t="s">
        <v>835</v>
      </c>
    </row>
    <row r="45" spans="1:36" s="7" customFormat="1" ht="61.5" x14ac:dyDescent="0.85">
      <c r="A45" s="7">
        <v>1</v>
      </c>
      <c r="B45" s="59">
        <f>SUBTOTAL(103,$A$14:A45)</f>
        <v>22</v>
      </c>
      <c r="C45" s="160" t="s">
        <v>969</v>
      </c>
      <c r="D45" s="276" t="s">
        <v>982</v>
      </c>
      <c r="E45" s="97">
        <v>1.0093000000000001</v>
      </c>
      <c r="F45" s="60">
        <f>G45+H45+I45+J45+K45+L45+N45+P45+R45+T45+V45+W45+X45+Y45+Z45+AA45+AB45+AC45+AD45+AE45+AF45+AG45</f>
        <v>2406352.7599999998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168">
        <v>0</v>
      </c>
      <c r="N45" s="60">
        <v>0</v>
      </c>
      <c r="O45" s="62">
        <v>441.7</v>
      </c>
      <c r="P45" s="62">
        <v>2338270.38</v>
      </c>
      <c r="Q45" s="60">
        <v>0</v>
      </c>
      <c r="R45" s="60">
        <v>0</v>
      </c>
      <c r="S45" s="60">
        <v>0</v>
      </c>
      <c r="T45" s="60">
        <v>0</v>
      </c>
      <c r="U45" s="60">
        <v>0</v>
      </c>
      <c r="V45" s="60">
        <v>0</v>
      </c>
      <c r="W45" s="60">
        <v>0</v>
      </c>
      <c r="X45" s="60">
        <v>0</v>
      </c>
      <c r="Y45" s="60">
        <v>0</v>
      </c>
      <c r="Z45" s="60">
        <v>0</v>
      </c>
      <c r="AA45" s="60">
        <v>0</v>
      </c>
      <c r="AB45" s="60">
        <v>0</v>
      </c>
      <c r="AC45" s="60">
        <v>0</v>
      </c>
      <c r="AD45" s="60">
        <v>0</v>
      </c>
      <c r="AE45" s="58">
        <v>0</v>
      </c>
      <c r="AF45" s="62">
        <v>68082.38</v>
      </c>
      <c r="AG45" s="60">
        <v>0</v>
      </c>
      <c r="AH45" s="63">
        <v>2020</v>
      </c>
      <c r="AI45" s="63">
        <v>2020</v>
      </c>
      <c r="AJ45" s="63" t="s">
        <v>257</v>
      </c>
    </row>
    <row r="46" spans="1:36" s="7" customFormat="1" ht="61.5" x14ac:dyDescent="0.85">
      <c r="A46" s="7">
        <v>1</v>
      </c>
      <c r="B46" s="59">
        <f>SUBTOTAL(103,$A$14:A46)</f>
        <v>23</v>
      </c>
      <c r="C46" s="160" t="s">
        <v>970</v>
      </c>
      <c r="D46" s="276" t="s">
        <v>978</v>
      </c>
      <c r="E46" s="97">
        <v>1.0031000000000001</v>
      </c>
      <c r="F46" s="60">
        <f>G46+H46+I46+J46+K46+L46+N46+P46+R46+T46+V46+W46+X46+Y46+Z46+AA46+AB46+AC46+AD46+AE46+AF46+AG46</f>
        <v>2491755.89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168">
        <v>0</v>
      </c>
      <c r="N46" s="60">
        <v>0</v>
      </c>
      <c r="O46" s="62">
        <v>502</v>
      </c>
      <c r="P46" s="62">
        <v>2407983.3199999998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60">
        <v>0</v>
      </c>
      <c r="AB46" s="60">
        <v>0</v>
      </c>
      <c r="AC46" s="60">
        <v>0</v>
      </c>
      <c r="AD46" s="60">
        <v>0</v>
      </c>
      <c r="AE46" s="60">
        <v>11377.72</v>
      </c>
      <c r="AF46" s="279">
        <v>72394.850000000006</v>
      </c>
      <c r="AG46" s="60">
        <v>0</v>
      </c>
      <c r="AH46" s="63">
        <v>2020</v>
      </c>
      <c r="AI46" s="63">
        <v>2020</v>
      </c>
      <c r="AJ46" s="63">
        <v>2020</v>
      </c>
    </row>
    <row r="47" spans="1:36" s="7" customFormat="1" ht="61.5" x14ac:dyDescent="0.85">
      <c r="A47" s="7">
        <v>1</v>
      </c>
      <c r="B47" s="59">
        <f>SUBTOTAL(103,$A$14:A47)</f>
        <v>24</v>
      </c>
      <c r="C47" s="160" t="s">
        <v>971</v>
      </c>
      <c r="D47" s="276" t="s">
        <v>981</v>
      </c>
      <c r="E47" s="97">
        <v>1.0156000000000001</v>
      </c>
      <c r="F47" s="60">
        <f>G47+H47+I47+J47+K47+L47+N47+P47+R47+T47+V47+W47+X47+Y47+Z47+AA47+AB47+AC47+AD47+AE47+AF47+AG47</f>
        <v>2731034.1700000004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68">
        <v>0</v>
      </c>
      <c r="N47" s="60">
        <v>0</v>
      </c>
      <c r="O47" s="62">
        <v>495</v>
      </c>
      <c r="P47" s="62">
        <v>2660255.14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  <c r="Z47" s="60">
        <v>0</v>
      </c>
      <c r="AA47" s="60">
        <v>0</v>
      </c>
      <c r="AB47" s="60">
        <v>0</v>
      </c>
      <c r="AC47" s="60">
        <v>0</v>
      </c>
      <c r="AD47" s="60">
        <v>0</v>
      </c>
      <c r="AE47" s="60">
        <v>6284.85</v>
      </c>
      <c r="AF47" s="279">
        <v>64494.18</v>
      </c>
      <c r="AG47" s="60">
        <v>0</v>
      </c>
      <c r="AH47" s="63">
        <v>2020</v>
      </c>
      <c r="AI47" s="63">
        <v>2020</v>
      </c>
      <c r="AJ47" s="63">
        <v>2020</v>
      </c>
    </row>
    <row r="48" spans="1:36" s="7" customFormat="1" ht="61.5" x14ac:dyDescent="0.85">
      <c r="B48" s="277" t="s">
        <v>988</v>
      </c>
      <c r="C48" s="160"/>
      <c r="D48" s="276" t="s">
        <v>835</v>
      </c>
      <c r="E48" s="97">
        <f>AVERAGE(E49)</f>
        <v>1</v>
      </c>
      <c r="F48" s="177">
        <f t="shared" ref="F48:AG48" si="14">F49</f>
        <v>2434994.4500000002</v>
      </c>
      <c r="G48" s="60">
        <f t="shared" si="14"/>
        <v>0</v>
      </c>
      <c r="H48" s="60">
        <f t="shared" si="14"/>
        <v>0</v>
      </c>
      <c r="I48" s="60">
        <f t="shared" si="14"/>
        <v>0</v>
      </c>
      <c r="J48" s="60">
        <f t="shared" si="14"/>
        <v>0</v>
      </c>
      <c r="K48" s="60">
        <f t="shared" si="14"/>
        <v>0</v>
      </c>
      <c r="L48" s="60">
        <f t="shared" si="14"/>
        <v>0</v>
      </c>
      <c r="M48" s="168">
        <f t="shared" si="14"/>
        <v>0</v>
      </c>
      <c r="N48" s="60">
        <f t="shared" si="14"/>
        <v>0</v>
      </c>
      <c r="O48" s="60">
        <f t="shared" si="14"/>
        <v>780</v>
      </c>
      <c r="P48" s="60">
        <f t="shared" si="14"/>
        <v>2307296.7200000002</v>
      </c>
      <c r="Q48" s="60">
        <f t="shared" si="14"/>
        <v>0</v>
      </c>
      <c r="R48" s="60">
        <f t="shared" si="14"/>
        <v>0</v>
      </c>
      <c r="S48" s="60">
        <f t="shared" si="14"/>
        <v>0</v>
      </c>
      <c r="T48" s="60">
        <f t="shared" si="14"/>
        <v>0</v>
      </c>
      <c r="U48" s="60">
        <f t="shared" si="14"/>
        <v>0</v>
      </c>
      <c r="V48" s="60">
        <f t="shared" si="14"/>
        <v>0</v>
      </c>
      <c r="W48" s="60">
        <f t="shared" si="14"/>
        <v>0</v>
      </c>
      <c r="X48" s="60">
        <f t="shared" si="14"/>
        <v>0</v>
      </c>
      <c r="Y48" s="60">
        <f t="shared" si="14"/>
        <v>0</v>
      </c>
      <c r="Z48" s="60">
        <f t="shared" si="14"/>
        <v>0</v>
      </c>
      <c r="AA48" s="60">
        <f t="shared" si="14"/>
        <v>0</v>
      </c>
      <c r="AB48" s="60">
        <f t="shared" si="14"/>
        <v>0</v>
      </c>
      <c r="AC48" s="60">
        <f t="shared" si="14"/>
        <v>0</v>
      </c>
      <c r="AD48" s="60">
        <f t="shared" si="14"/>
        <v>0</v>
      </c>
      <c r="AE48" s="58">
        <f t="shared" si="14"/>
        <v>32359.84</v>
      </c>
      <c r="AF48" s="58">
        <f t="shared" si="14"/>
        <v>95337.89</v>
      </c>
      <c r="AG48" s="60">
        <f t="shared" si="14"/>
        <v>0</v>
      </c>
      <c r="AH48" s="63" t="s">
        <v>835</v>
      </c>
      <c r="AI48" s="63" t="s">
        <v>835</v>
      </c>
      <c r="AJ48" s="63" t="s">
        <v>835</v>
      </c>
    </row>
    <row r="49" spans="1:36" s="7" customFormat="1" ht="61.5" x14ac:dyDescent="0.85">
      <c r="A49" s="7">
        <v>1</v>
      </c>
      <c r="B49" s="59">
        <f>SUBTOTAL(103,$A$14:A49)</f>
        <v>25</v>
      </c>
      <c r="C49" s="160" t="s">
        <v>976</v>
      </c>
      <c r="D49" s="276" t="s">
        <v>977</v>
      </c>
      <c r="E49" s="97">
        <v>1</v>
      </c>
      <c r="F49" s="60">
        <f>G49+H49+I49+J49+K49+L49+N49+P49+R49+T49+V49+W49+X49+Y49+Z49+AA49+AB49+AC49+AD49+AE49+AF49+AG49</f>
        <v>2434994.4500000002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168">
        <v>0</v>
      </c>
      <c r="N49" s="60">
        <v>0</v>
      </c>
      <c r="O49" s="60">
        <v>780</v>
      </c>
      <c r="P49" s="60">
        <v>2307296.7200000002</v>
      </c>
      <c r="Q49" s="60">
        <v>0</v>
      </c>
      <c r="R49" s="60">
        <v>0</v>
      </c>
      <c r="S49" s="60">
        <v>0</v>
      </c>
      <c r="T49" s="60">
        <v>0</v>
      </c>
      <c r="U49" s="60">
        <v>0</v>
      </c>
      <c r="V49" s="60">
        <v>0</v>
      </c>
      <c r="W49" s="60">
        <v>0</v>
      </c>
      <c r="X49" s="60">
        <v>0</v>
      </c>
      <c r="Y49" s="60">
        <v>0</v>
      </c>
      <c r="Z49" s="60">
        <v>0</v>
      </c>
      <c r="AA49" s="60">
        <v>0</v>
      </c>
      <c r="AB49" s="60">
        <v>0</v>
      </c>
      <c r="AC49" s="60">
        <v>0</v>
      </c>
      <c r="AD49" s="60">
        <v>0</v>
      </c>
      <c r="AE49" s="62">
        <v>32359.84</v>
      </c>
      <c r="AF49" s="279">
        <v>95337.89</v>
      </c>
      <c r="AG49" s="60">
        <v>0</v>
      </c>
      <c r="AH49" s="63">
        <v>2020</v>
      </c>
      <c r="AI49" s="63">
        <v>2020</v>
      </c>
      <c r="AJ49" s="63">
        <v>2020</v>
      </c>
    </row>
    <row r="50" spans="1:36" s="7" customFormat="1" ht="61.5" x14ac:dyDescent="0.85">
      <c r="B50" s="277" t="s">
        <v>796</v>
      </c>
      <c r="C50" s="160"/>
      <c r="D50" s="276" t="s">
        <v>835</v>
      </c>
      <c r="E50" s="97">
        <f>AVERAGE(E51)</f>
        <v>1.008</v>
      </c>
      <c r="F50" s="177">
        <f t="shared" ref="F50:AG50" si="15">F51</f>
        <v>89459.11</v>
      </c>
      <c r="G50" s="60">
        <f t="shared" si="15"/>
        <v>0</v>
      </c>
      <c r="H50" s="60">
        <f t="shared" si="15"/>
        <v>0</v>
      </c>
      <c r="I50" s="60">
        <f t="shared" si="15"/>
        <v>0</v>
      </c>
      <c r="J50" s="60">
        <f t="shared" si="15"/>
        <v>0</v>
      </c>
      <c r="K50" s="60">
        <f t="shared" si="15"/>
        <v>0</v>
      </c>
      <c r="L50" s="60">
        <f t="shared" si="15"/>
        <v>0</v>
      </c>
      <c r="M50" s="168">
        <f t="shared" si="15"/>
        <v>0</v>
      </c>
      <c r="N50" s="60">
        <f t="shared" si="15"/>
        <v>0</v>
      </c>
      <c r="O50" s="60">
        <f t="shared" si="15"/>
        <v>0</v>
      </c>
      <c r="P50" s="60">
        <f t="shared" si="15"/>
        <v>0</v>
      </c>
      <c r="Q50" s="60">
        <f t="shared" si="15"/>
        <v>0</v>
      </c>
      <c r="R50" s="60">
        <f t="shared" si="15"/>
        <v>0</v>
      </c>
      <c r="S50" s="60">
        <f t="shared" si="15"/>
        <v>0</v>
      </c>
      <c r="T50" s="60">
        <f t="shared" si="15"/>
        <v>0</v>
      </c>
      <c r="U50" s="60">
        <f t="shared" si="15"/>
        <v>0</v>
      </c>
      <c r="V50" s="60">
        <f t="shared" si="15"/>
        <v>0</v>
      </c>
      <c r="W50" s="60">
        <f t="shared" si="15"/>
        <v>0</v>
      </c>
      <c r="X50" s="60">
        <f t="shared" si="15"/>
        <v>0</v>
      </c>
      <c r="Y50" s="60">
        <f t="shared" si="15"/>
        <v>0</v>
      </c>
      <c r="Z50" s="60">
        <f t="shared" si="15"/>
        <v>0</v>
      </c>
      <c r="AA50" s="60">
        <f t="shared" si="15"/>
        <v>0</v>
      </c>
      <c r="AB50" s="60">
        <f t="shared" si="15"/>
        <v>0</v>
      </c>
      <c r="AC50" s="60">
        <f t="shared" si="15"/>
        <v>0</v>
      </c>
      <c r="AD50" s="60">
        <f t="shared" si="15"/>
        <v>0</v>
      </c>
      <c r="AE50" s="58">
        <f t="shared" si="15"/>
        <v>0</v>
      </c>
      <c r="AF50" s="58">
        <f t="shared" si="15"/>
        <v>89459.11</v>
      </c>
      <c r="AG50" s="60">
        <f t="shared" si="15"/>
        <v>0</v>
      </c>
      <c r="AH50" s="63" t="s">
        <v>835</v>
      </c>
      <c r="AI50" s="63" t="s">
        <v>835</v>
      </c>
      <c r="AJ50" s="63" t="s">
        <v>835</v>
      </c>
    </row>
    <row r="51" spans="1:36" s="7" customFormat="1" ht="61.5" x14ac:dyDescent="0.85">
      <c r="A51" s="7">
        <v>1</v>
      </c>
      <c r="B51" s="59">
        <f>SUBTOTAL(103,$A$14:A51)</f>
        <v>26</v>
      </c>
      <c r="C51" s="160" t="s">
        <v>972</v>
      </c>
      <c r="D51" s="276" t="s">
        <v>978</v>
      </c>
      <c r="E51" s="97">
        <v>1.008</v>
      </c>
      <c r="F51" s="60">
        <f>G51+H51+I51+J51+K51+L51+N51+P51+R51+T51+V51+W51+X51+Y51+Z51+AA51+AB51+AC51+AD51+AE51+AF51+AG51</f>
        <v>89459.11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168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0">
        <v>0</v>
      </c>
      <c r="T51" s="60">
        <v>0</v>
      </c>
      <c r="U51" s="60">
        <v>0</v>
      </c>
      <c r="V51" s="60">
        <v>0</v>
      </c>
      <c r="W51" s="60">
        <v>0</v>
      </c>
      <c r="X51" s="60">
        <v>0</v>
      </c>
      <c r="Y51" s="60">
        <v>0</v>
      </c>
      <c r="Z51" s="60">
        <v>0</v>
      </c>
      <c r="AA51" s="60">
        <v>0</v>
      </c>
      <c r="AB51" s="60">
        <v>0</v>
      </c>
      <c r="AC51" s="60">
        <v>0</v>
      </c>
      <c r="AD51" s="60">
        <v>0</v>
      </c>
      <c r="AE51" s="58">
        <f>ROUND(P51*1.5%,2)</f>
        <v>0</v>
      </c>
      <c r="AF51" s="279">
        <v>89459.11</v>
      </c>
      <c r="AG51" s="60">
        <v>0</v>
      </c>
      <c r="AH51" s="63">
        <v>2020</v>
      </c>
      <c r="AI51" s="63" t="s">
        <v>257</v>
      </c>
      <c r="AJ51" s="63" t="s">
        <v>257</v>
      </c>
    </row>
    <row r="52" spans="1:36" s="7" customFormat="1" ht="61.5" x14ac:dyDescent="0.85">
      <c r="B52" s="277" t="s">
        <v>802</v>
      </c>
      <c r="C52" s="160"/>
      <c r="D52" s="276" t="s">
        <v>835</v>
      </c>
      <c r="E52" s="97">
        <f>AVERAGE(E53)</f>
        <v>1.0001</v>
      </c>
      <c r="F52" s="177">
        <f t="shared" ref="F52:AG52" si="16">F53</f>
        <v>3168456.39</v>
      </c>
      <c r="G52" s="60">
        <f t="shared" si="16"/>
        <v>0</v>
      </c>
      <c r="H52" s="60">
        <f t="shared" si="16"/>
        <v>0</v>
      </c>
      <c r="I52" s="60">
        <f t="shared" si="16"/>
        <v>0</v>
      </c>
      <c r="J52" s="60">
        <f t="shared" si="16"/>
        <v>0</v>
      </c>
      <c r="K52" s="60">
        <f t="shared" si="16"/>
        <v>0</v>
      </c>
      <c r="L52" s="60">
        <f t="shared" si="16"/>
        <v>0</v>
      </c>
      <c r="M52" s="168">
        <f t="shared" si="16"/>
        <v>0</v>
      </c>
      <c r="N52" s="60">
        <f t="shared" si="16"/>
        <v>0</v>
      </c>
      <c r="O52" s="60">
        <f t="shared" si="16"/>
        <v>874</v>
      </c>
      <c r="P52" s="60">
        <f t="shared" si="16"/>
        <v>3070274</v>
      </c>
      <c r="Q52" s="60">
        <f t="shared" si="16"/>
        <v>0</v>
      </c>
      <c r="R52" s="60">
        <f t="shared" si="16"/>
        <v>0</v>
      </c>
      <c r="S52" s="60">
        <f t="shared" si="16"/>
        <v>0</v>
      </c>
      <c r="T52" s="60">
        <f t="shared" si="16"/>
        <v>0</v>
      </c>
      <c r="U52" s="60">
        <f t="shared" si="16"/>
        <v>0</v>
      </c>
      <c r="V52" s="60">
        <f t="shared" si="16"/>
        <v>0</v>
      </c>
      <c r="W52" s="60">
        <f t="shared" si="16"/>
        <v>0</v>
      </c>
      <c r="X52" s="60">
        <f t="shared" si="16"/>
        <v>0</v>
      </c>
      <c r="Y52" s="60">
        <f t="shared" si="16"/>
        <v>0</v>
      </c>
      <c r="Z52" s="60">
        <f t="shared" si="16"/>
        <v>0</v>
      </c>
      <c r="AA52" s="60">
        <f t="shared" si="16"/>
        <v>0</v>
      </c>
      <c r="AB52" s="60">
        <f t="shared" si="16"/>
        <v>0</v>
      </c>
      <c r="AC52" s="60">
        <f t="shared" si="16"/>
        <v>0</v>
      </c>
      <c r="AD52" s="60">
        <f t="shared" si="16"/>
        <v>0</v>
      </c>
      <c r="AE52" s="58">
        <f t="shared" si="16"/>
        <v>0</v>
      </c>
      <c r="AF52" s="58">
        <f t="shared" si="16"/>
        <v>98182.39</v>
      </c>
      <c r="AG52" s="60">
        <f t="shared" si="16"/>
        <v>0</v>
      </c>
      <c r="AH52" s="63" t="s">
        <v>835</v>
      </c>
      <c r="AI52" s="63" t="s">
        <v>835</v>
      </c>
      <c r="AJ52" s="63" t="s">
        <v>835</v>
      </c>
    </row>
    <row r="53" spans="1:36" s="7" customFormat="1" ht="61.5" x14ac:dyDescent="0.85">
      <c r="A53" s="7">
        <v>1</v>
      </c>
      <c r="B53" s="59">
        <f>SUBTOTAL(103,$A$14:A53)</f>
        <v>27</v>
      </c>
      <c r="C53" s="160" t="s">
        <v>975</v>
      </c>
      <c r="D53" s="276" t="s">
        <v>980</v>
      </c>
      <c r="E53" s="97">
        <v>1.0001</v>
      </c>
      <c r="F53" s="60">
        <f>G53+H53+I53+J53+K53+L53+N53+P53+R53+T53+V53+W53+X53+Y53+Z53+AA53+AB53+AC53+AD53+AE53+AF53+AG53</f>
        <v>3168456.39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168">
        <v>0</v>
      </c>
      <c r="N53" s="60">
        <v>0</v>
      </c>
      <c r="O53" s="62">
        <v>874</v>
      </c>
      <c r="P53" s="62">
        <v>3070274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0</v>
      </c>
      <c r="Y53" s="60">
        <v>0</v>
      </c>
      <c r="Z53" s="60">
        <v>0</v>
      </c>
      <c r="AA53" s="60">
        <v>0</v>
      </c>
      <c r="AB53" s="60">
        <v>0</v>
      </c>
      <c r="AC53" s="60">
        <v>0</v>
      </c>
      <c r="AD53" s="60">
        <v>0</v>
      </c>
      <c r="AE53" s="58">
        <v>0</v>
      </c>
      <c r="AF53" s="279">
        <v>98182.39</v>
      </c>
      <c r="AG53" s="60">
        <v>0</v>
      </c>
      <c r="AH53" s="63">
        <v>2020</v>
      </c>
      <c r="AI53" s="63">
        <v>2020</v>
      </c>
      <c r="AJ53" s="63" t="s">
        <v>257</v>
      </c>
    </row>
    <row r="54" spans="1:36" s="7" customFormat="1" ht="61.5" x14ac:dyDescent="0.85">
      <c r="B54" s="277" t="s">
        <v>804</v>
      </c>
      <c r="C54" s="160"/>
      <c r="D54" s="276" t="s">
        <v>835</v>
      </c>
      <c r="E54" s="97">
        <f>AVERAGE(E55:E56)</f>
        <v>1.0058</v>
      </c>
      <c r="F54" s="177">
        <f t="shared" ref="F54:AG54" si="17">F56+F55+F57</f>
        <v>4966030.97</v>
      </c>
      <c r="G54" s="60">
        <f t="shared" si="17"/>
        <v>0</v>
      </c>
      <c r="H54" s="60">
        <f t="shared" si="17"/>
        <v>0</v>
      </c>
      <c r="I54" s="60">
        <f t="shared" si="17"/>
        <v>0</v>
      </c>
      <c r="J54" s="60">
        <f t="shared" si="17"/>
        <v>0</v>
      </c>
      <c r="K54" s="60">
        <f t="shared" si="17"/>
        <v>0</v>
      </c>
      <c r="L54" s="60">
        <f t="shared" si="17"/>
        <v>0</v>
      </c>
      <c r="M54" s="168">
        <f t="shared" si="17"/>
        <v>0</v>
      </c>
      <c r="N54" s="60">
        <f t="shared" si="17"/>
        <v>0</v>
      </c>
      <c r="O54" s="60">
        <f t="shared" si="17"/>
        <v>880.82999999999993</v>
      </c>
      <c r="P54" s="60">
        <f t="shared" si="17"/>
        <v>3232706.81</v>
      </c>
      <c r="Q54" s="60">
        <f t="shared" si="17"/>
        <v>0</v>
      </c>
      <c r="R54" s="60">
        <f t="shared" si="17"/>
        <v>0</v>
      </c>
      <c r="S54" s="60">
        <f t="shared" si="17"/>
        <v>438.58</v>
      </c>
      <c r="T54" s="60">
        <f t="shared" si="17"/>
        <v>1586717.02</v>
      </c>
      <c r="U54" s="60">
        <f t="shared" si="17"/>
        <v>0</v>
      </c>
      <c r="V54" s="60">
        <f t="shared" si="17"/>
        <v>0</v>
      </c>
      <c r="W54" s="60">
        <f t="shared" si="17"/>
        <v>0</v>
      </c>
      <c r="X54" s="60">
        <f t="shared" si="17"/>
        <v>0</v>
      </c>
      <c r="Y54" s="60">
        <f t="shared" si="17"/>
        <v>0</v>
      </c>
      <c r="Z54" s="60">
        <f t="shared" si="17"/>
        <v>0</v>
      </c>
      <c r="AA54" s="60">
        <f t="shared" si="17"/>
        <v>0</v>
      </c>
      <c r="AB54" s="60">
        <f t="shared" si="17"/>
        <v>0</v>
      </c>
      <c r="AC54" s="60">
        <f t="shared" si="17"/>
        <v>0</v>
      </c>
      <c r="AD54" s="60">
        <f t="shared" si="17"/>
        <v>0</v>
      </c>
      <c r="AE54" s="60">
        <f t="shared" si="17"/>
        <v>62168.57</v>
      </c>
      <c r="AF54" s="60">
        <f t="shared" si="17"/>
        <v>84438.57</v>
      </c>
      <c r="AG54" s="60">
        <f t="shared" si="17"/>
        <v>0</v>
      </c>
      <c r="AH54" s="63" t="s">
        <v>835</v>
      </c>
      <c r="AI54" s="63" t="s">
        <v>835</v>
      </c>
      <c r="AJ54" s="63" t="s">
        <v>835</v>
      </c>
    </row>
    <row r="55" spans="1:36" s="7" customFormat="1" ht="61.5" x14ac:dyDescent="0.85">
      <c r="A55" s="7">
        <v>1</v>
      </c>
      <c r="B55" s="59">
        <f>SUBTOTAL(103,$A$14:A55)</f>
        <v>28</v>
      </c>
      <c r="C55" s="160" t="s">
        <v>1017</v>
      </c>
      <c r="D55" s="276" t="s">
        <v>977</v>
      </c>
      <c r="E55" s="97">
        <v>1</v>
      </c>
      <c r="F55" s="60">
        <f>G55+H55+I55+J55+K55+L55+N55+P55+R55+T55+V55+W55+X55+Y55+Z55+AA55+AB55+AC55+AD55+AE55+AF55+AG55</f>
        <v>1924066.04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168">
        <v>0</v>
      </c>
      <c r="N55" s="60">
        <v>0</v>
      </c>
      <c r="O55" s="62">
        <v>571.88</v>
      </c>
      <c r="P55" s="169">
        <v>1899561.69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60">
        <v>0</v>
      </c>
      <c r="AA55" s="60">
        <v>0</v>
      </c>
      <c r="AB55" s="60">
        <v>0</v>
      </c>
      <c r="AC55" s="60">
        <v>0</v>
      </c>
      <c r="AD55" s="60">
        <v>0</v>
      </c>
      <c r="AE55" s="169">
        <v>24504.35</v>
      </c>
      <c r="AF55" s="58">
        <v>0</v>
      </c>
      <c r="AG55" s="60">
        <v>0</v>
      </c>
      <c r="AH55" s="63" t="s">
        <v>257</v>
      </c>
      <c r="AI55" s="63">
        <v>2020</v>
      </c>
      <c r="AJ55" s="63">
        <v>2020</v>
      </c>
    </row>
    <row r="56" spans="1:36" s="7" customFormat="1" ht="61.5" x14ac:dyDescent="0.85">
      <c r="A56" s="7">
        <v>1</v>
      </c>
      <c r="B56" s="59">
        <f>SUBTOTAL(103,$A$14:A56)</f>
        <v>29</v>
      </c>
      <c r="C56" s="160" t="s">
        <v>973</v>
      </c>
      <c r="D56" s="276" t="s">
        <v>983</v>
      </c>
      <c r="E56" s="97">
        <v>1.0116000000000001</v>
      </c>
      <c r="F56" s="60">
        <f>G56+H56+I56+J56+K56+L56+N56+P56+R56+T56+V56+W56+X56+Y56+Z56+AA56+AB56+AC56+AD56+AE56+AF56+AG56</f>
        <v>1650932.93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168">
        <v>0</v>
      </c>
      <c r="N56" s="60">
        <v>0</v>
      </c>
      <c r="O56" s="60">
        <v>0</v>
      </c>
      <c r="P56" s="60">
        <f>O56*4800</f>
        <v>0</v>
      </c>
      <c r="Q56" s="60">
        <v>0</v>
      </c>
      <c r="R56" s="60">
        <v>0</v>
      </c>
      <c r="S56" s="62">
        <v>438.58</v>
      </c>
      <c r="T56" s="62">
        <v>1586717.02</v>
      </c>
      <c r="U56" s="60">
        <v>0</v>
      </c>
      <c r="V56" s="60">
        <v>0</v>
      </c>
      <c r="W56" s="60">
        <v>0</v>
      </c>
      <c r="X56" s="60">
        <v>0</v>
      </c>
      <c r="Y56" s="60">
        <v>0</v>
      </c>
      <c r="Z56" s="60">
        <v>0</v>
      </c>
      <c r="AA56" s="60">
        <v>0</v>
      </c>
      <c r="AB56" s="60">
        <v>0</v>
      </c>
      <c r="AC56" s="60">
        <v>0</v>
      </c>
      <c r="AD56" s="60">
        <v>0</v>
      </c>
      <c r="AE56" s="62">
        <v>20468.650000000001</v>
      </c>
      <c r="AF56" s="279">
        <v>43747.26</v>
      </c>
      <c r="AG56" s="60">
        <v>0</v>
      </c>
      <c r="AH56" s="63">
        <v>2020</v>
      </c>
      <c r="AI56" s="63">
        <v>2020</v>
      </c>
      <c r="AJ56" s="63">
        <v>2020</v>
      </c>
    </row>
    <row r="57" spans="1:36" s="7" customFormat="1" ht="61.5" x14ac:dyDescent="0.85">
      <c r="A57" s="7">
        <v>1</v>
      </c>
      <c r="B57" s="59">
        <f>SUBTOTAL(103,$A$14:A57)</f>
        <v>30</v>
      </c>
      <c r="C57" s="160" t="s">
        <v>183</v>
      </c>
      <c r="D57" s="276" t="s">
        <v>979</v>
      </c>
      <c r="E57" s="97">
        <v>1</v>
      </c>
      <c r="F57" s="60">
        <f>G57+H57+I57+J57+K57+L57+N57+P57+R57+T57+V57+W57+X57+Y57+Z57+AA57+AB57+AC57+AD57+AE57+AF57+AG57</f>
        <v>1391032.0000000002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168">
        <v>0</v>
      </c>
      <c r="N57" s="60">
        <v>0</v>
      </c>
      <c r="O57" s="62">
        <v>308.95</v>
      </c>
      <c r="P57" s="62">
        <v>1333145.1200000001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60">
        <v>0</v>
      </c>
      <c r="W57" s="60">
        <v>0</v>
      </c>
      <c r="X57" s="60">
        <v>0</v>
      </c>
      <c r="Y57" s="60">
        <v>0</v>
      </c>
      <c r="Z57" s="60">
        <v>0</v>
      </c>
      <c r="AA57" s="60">
        <v>0</v>
      </c>
      <c r="AB57" s="60">
        <v>0</v>
      </c>
      <c r="AC57" s="60">
        <v>0</v>
      </c>
      <c r="AD57" s="60">
        <v>0</v>
      </c>
      <c r="AE57" s="62">
        <v>17195.57</v>
      </c>
      <c r="AF57" s="62">
        <v>40691.31</v>
      </c>
      <c r="AG57" s="60">
        <v>0</v>
      </c>
      <c r="AH57" s="63">
        <v>2020</v>
      </c>
      <c r="AI57" s="63">
        <v>2020</v>
      </c>
      <c r="AJ57" s="63">
        <v>2020</v>
      </c>
    </row>
    <row r="58" spans="1:36" s="7" customFormat="1" ht="61.5" x14ac:dyDescent="0.85">
      <c r="B58" s="277" t="s">
        <v>803</v>
      </c>
      <c r="C58" s="160"/>
      <c r="D58" s="276" t="s">
        <v>835</v>
      </c>
      <c r="E58" s="97">
        <f>AVERAGE(E59)</f>
        <v>1</v>
      </c>
      <c r="F58" s="177">
        <f t="shared" ref="F58:AG58" si="18">F59</f>
        <v>1661171.06</v>
      </c>
      <c r="G58" s="60">
        <f t="shared" si="18"/>
        <v>0</v>
      </c>
      <c r="H58" s="60">
        <f t="shared" si="18"/>
        <v>0</v>
      </c>
      <c r="I58" s="60">
        <f t="shared" si="18"/>
        <v>0</v>
      </c>
      <c r="J58" s="60">
        <f t="shared" si="18"/>
        <v>0</v>
      </c>
      <c r="K58" s="60">
        <f t="shared" si="18"/>
        <v>0</v>
      </c>
      <c r="L58" s="60">
        <f t="shared" si="18"/>
        <v>0</v>
      </c>
      <c r="M58" s="168">
        <f t="shared" si="18"/>
        <v>0</v>
      </c>
      <c r="N58" s="60">
        <f t="shared" si="18"/>
        <v>0</v>
      </c>
      <c r="O58" s="60">
        <f t="shared" si="18"/>
        <v>546.45000000000005</v>
      </c>
      <c r="P58" s="60">
        <f t="shared" si="18"/>
        <v>1569811.07</v>
      </c>
      <c r="Q58" s="60">
        <f t="shared" si="18"/>
        <v>0</v>
      </c>
      <c r="R58" s="60">
        <f t="shared" si="18"/>
        <v>0</v>
      </c>
      <c r="S58" s="60">
        <f t="shared" si="18"/>
        <v>0</v>
      </c>
      <c r="T58" s="60">
        <f t="shared" si="18"/>
        <v>0</v>
      </c>
      <c r="U58" s="60">
        <f t="shared" si="18"/>
        <v>0</v>
      </c>
      <c r="V58" s="60">
        <f t="shared" si="18"/>
        <v>0</v>
      </c>
      <c r="W58" s="60">
        <f t="shared" si="18"/>
        <v>0</v>
      </c>
      <c r="X58" s="60">
        <f t="shared" si="18"/>
        <v>0</v>
      </c>
      <c r="Y58" s="60">
        <f t="shared" si="18"/>
        <v>0</v>
      </c>
      <c r="Z58" s="60">
        <f t="shared" si="18"/>
        <v>0</v>
      </c>
      <c r="AA58" s="60">
        <f t="shared" si="18"/>
        <v>0</v>
      </c>
      <c r="AB58" s="60">
        <f t="shared" si="18"/>
        <v>0</v>
      </c>
      <c r="AC58" s="60">
        <f t="shared" si="18"/>
        <v>0</v>
      </c>
      <c r="AD58" s="60">
        <f t="shared" si="18"/>
        <v>0</v>
      </c>
      <c r="AE58" s="58">
        <f t="shared" si="18"/>
        <v>20250.560000000001</v>
      </c>
      <c r="AF58" s="58">
        <f t="shared" si="18"/>
        <v>71109.429999999993</v>
      </c>
      <c r="AG58" s="60">
        <f t="shared" si="18"/>
        <v>0</v>
      </c>
      <c r="AH58" s="63" t="s">
        <v>835</v>
      </c>
      <c r="AI58" s="63" t="s">
        <v>835</v>
      </c>
      <c r="AJ58" s="63" t="s">
        <v>835</v>
      </c>
    </row>
    <row r="59" spans="1:36" s="7" customFormat="1" ht="61.5" x14ac:dyDescent="0.85">
      <c r="A59" s="7">
        <v>1</v>
      </c>
      <c r="B59" s="59">
        <f>SUBTOTAL(103,$A$14:A59)</f>
        <v>31</v>
      </c>
      <c r="C59" s="160" t="s">
        <v>1008</v>
      </c>
      <c r="D59" s="276" t="s">
        <v>982</v>
      </c>
      <c r="E59" s="97">
        <v>1</v>
      </c>
      <c r="F59" s="60">
        <f>G59+H59+I59+J59+K59+L59+N59+P59+R59+T59+V59+W59+X59+Y59+Z59+AA59+AB59+AC59+AD59+AE59+AF59+AG59</f>
        <v>1661171.06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168">
        <v>0</v>
      </c>
      <c r="N59" s="60">
        <v>0</v>
      </c>
      <c r="O59" s="62">
        <v>546.45000000000005</v>
      </c>
      <c r="P59" s="169">
        <v>1569811.07</v>
      </c>
      <c r="Q59" s="60">
        <v>0</v>
      </c>
      <c r="R59" s="60">
        <v>0</v>
      </c>
      <c r="S59" s="60">
        <v>0</v>
      </c>
      <c r="T59" s="60">
        <v>0</v>
      </c>
      <c r="U59" s="60">
        <v>0</v>
      </c>
      <c r="V59" s="60">
        <v>0</v>
      </c>
      <c r="W59" s="60">
        <v>0</v>
      </c>
      <c r="X59" s="60">
        <v>0</v>
      </c>
      <c r="Y59" s="60">
        <v>0</v>
      </c>
      <c r="Z59" s="60">
        <v>0</v>
      </c>
      <c r="AA59" s="60">
        <v>0</v>
      </c>
      <c r="AB59" s="60">
        <v>0</v>
      </c>
      <c r="AC59" s="60">
        <v>0</v>
      </c>
      <c r="AD59" s="60">
        <v>0</v>
      </c>
      <c r="AE59" s="169">
        <v>20250.560000000001</v>
      </c>
      <c r="AF59" s="279">
        <v>71109.429999999993</v>
      </c>
      <c r="AG59" s="60">
        <v>0</v>
      </c>
      <c r="AH59" s="63">
        <v>2020</v>
      </c>
      <c r="AI59" s="63">
        <v>2020</v>
      </c>
      <c r="AJ59" s="63">
        <v>2020</v>
      </c>
    </row>
    <row r="60" spans="1:36" s="7" customFormat="1" ht="61.5" x14ac:dyDescent="0.85">
      <c r="B60" s="277" t="s">
        <v>779</v>
      </c>
      <c r="C60" s="160"/>
      <c r="D60" s="276" t="s">
        <v>835</v>
      </c>
      <c r="E60" s="97">
        <f t="shared" ref="E60:AG60" si="19">E61</f>
        <v>1.009761876417796</v>
      </c>
      <c r="F60" s="177">
        <f t="shared" si="19"/>
        <v>105794.97</v>
      </c>
      <c r="G60" s="60">
        <f t="shared" si="19"/>
        <v>0</v>
      </c>
      <c r="H60" s="60">
        <f t="shared" si="19"/>
        <v>0</v>
      </c>
      <c r="I60" s="60">
        <f t="shared" si="19"/>
        <v>0</v>
      </c>
      <c r="J60" s="60">
        <f t="shared" si="19"/>
        <v>0</v>
      </c>
      <c r="K60" s="60">
        <f t="shared" si="19"/>
        <v>0</v>
      </c>
      <c r="L60" s="60">
        <f t="shared" si="19"/>
        <v>0</v>
      </c>
      <c r="M60" s="168">
        <f t="shared" si="19"/>
        <v>0</v>
      </c>
      <c r="N60" s="60">
        <f t="shared" si="19"/>
        <v>0</v>
      </c>
      <c r="O60" s="60">
        <f t="shared" si="19"/>
        <v>0</v>
      </c>
      <c r="P60" s="60">
        <f t="shared" si="19"/>
        <v>0</v>
      </c>
      <c r="Q60" s="60">
        <f t="shared" si="19"/>
        <v>0</v>
      </c>
      <c r="R60" s="60">
        <f t="shared" si="19"/>
        <v>0</v>
      </c>
      <c r="S60" s="60">
        <f t="shared" si="19"/>
        <v>0</v>
      </c>
      <c r="T60" s="60">
        <f t="shared" si="19"/>
        <v>0</v>
      </c>
      <c r="U60" s="60">
        <f t="shared" si="19"/>
        <v>0</v>
      </c>
      <c r="V60" s="60">
        <f t="shared" si="19"/>
        <v>0</v>
      </c>
      <c r="W60" s="60">
        <f t="shared" si="19"/>
        <v>0</v>
      </c>
      <c r="X60" s="60">
        <f t="shared" si="19"/>
        <v>0</v>
      </c>
      <c r="Y60" s="60">
        <f t="shared" si="19"/>
        <v>0</v>
      </c>
      <c r="Z60" s="60">
        <f t="shared" si="19"/>
        <v>0</v>
      </c>
      <c r="AA60" s="60">
        <f t="shared" si="19"/>
        <v>0</v>
      </c>
      <c r="AB60" s="60">
        <f t="shared" si="19"/>
        <v>0</v>
      </c>
      <c r="AC60" s="60">
        <f t="shared" si="19"/>
        <v>0</v>
      </c>
      <c r="AD60" s="60">
        <f t="shared" si="19"/>
        <v>0</v>
      </c>
      <c r="AE60" s="60">
        <f t="shared" si="19"/>
        <v>0</v>
      </c>
      <c r="AF60" s="60">
        <f t="shared" si="19"/>
        <v>105794.97</v>
      </c>
      <c r="AG60" s="60">
        <f t="shared" si="19"/>
        <v>0</v>
      </c>
      <c r="AH60" s="63" t="s">
        <v>835</v>
      </c>
      <c r="AI60" s="63" t="s">
        <v>835</v>
      </c>
      <c r="AJ60" s="63" t="s">
        <v>835</v>
      </c>
    </row>
    <row r="61" spans="1:36" s="7" customFormat="1" ht="61.5" x14ac:dyDescent="0.85">
      <c r="A61" s="7">
        <v>1</v>
      </c>
      <c r="B61" s="59">
        <f>SUBTOTAL(103,$A$14:A61)</f>
        <v>32</v>
      </c>
      <c r="C61" s="160" t="s">
        <v>3539</v>
      </c>
      <c r="D61" s="276" t="s">
        <v>982</v>
      </c>
      <c r="E61" s="97">
        <v>1.009761876417796</v>
      </c>
      <c r="F61" s="60">
        <f>G61+H61+I61+J61+K61+L61+N61+P61+R61+T61+V61+W61+X61+Y61+Z61+AA61+AB61+AC61+AD61+AE61+AF61+AG61</f>
        <v>105794.97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168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60">
        <v>0</v>
      </c>
      <c r="W61" s="60">
        <v>0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60">
        <f>ROUND(P61*1.5%,2)</f>
        <v>0</v>
      </c>
      <c r="AF61" s="280">
        <v>105794.97</v>
      </c>
      <c r="AG61" s="60">
        <v>0</v>
      </c>
      <c r="AH61" s="63">
        <v>2020</v>
      </c>
      <c r="AI61" s="63" t="s">
        <v>257</v>
      </c>
      <c r="AJ61" s="63" t="s">
        <v>257</v>
      </c>
    </row>
    <row r="62" spans="1:36" s="7" customFormat="1" ht="61.5" x14ac:dyDescent="0.85">
      <c r="B62" s="277" t="s">
        <v>815</v>
      </c>
      <c r="C62" s="160"/>
      <c r="D62" s="276" t="s">
        <v>835</v>
      </c>
      <c r="E62" s="97">
        <f t="shared" ref="E62:AG62" si="20">E63</f>
        <v>1.0869557735329547</v>
      </c>
      <c r="F62" s="177">
        <f t="shared" si="20"/>
        <v>603261.75</v>
      </c>
      <c r="G62" s="60">
        <f t="shared" si="20"/>
        <v>0</v>
      </c>
      <c r="H62" s="60">
        <f t="shared" si="20"/>
        <v>0</v>
      </c>
      <c r="I62" s="60">
        <f t="shared" si="20"/>
        <v>0</v>
      </c>
      <c r="J62" s="60">
        <f t="shared" si="20"/>
        <v>0</v>
      </c>
      <c r="K62" s="60">
        <f t="shared" si="20"/>
        <v>597348</v>
      </c>
      <c r="L62" s="60">
        <f t="shared" si="20"/>
        <v>0</v>
      </c>
      <c r="M62" s="168">
        <f t="shared" si="20"/>
        <v>0</v>
      </c>
      <c r="N62" s="60">
        <f t="shared" si="20"/>
        <v>0</v>
      </c>
      <c r="O62" s="60">
        <f t="shared" si="20"/>
        <v>0</v>
      </c>
      <c r="P62" s="60">
        <f t="shared" si="20"/>
        <v>0</v>
      </c>
      <c r="Q62" s="60">
        <f t="shared" si="20"/>
        <v>0</v>
      </c>
      <c r="R62" s="60">
        <f t="shared" si="20"/>
        <v>0</v>
      </c>
      <c r="S62" s="60">
        <f t="shared" si="20"/>
        <v>0</v>
      </c>
      <c r="T62" s="60">
        <f t="shared" si="20"/>
        <v>0</v>
      </c>
      <c r="U62" s="60">
        <f t="shared" si="20"/>
        <v>0</v>
      </c>
      <c r="V62" s="60">
        <f t="shared" si="20"/>
        <v>0</v>
      </c>
      <c r="W62" s="60">
        <f t="shared" si="20"/>
        <v>0</v>
      </c>
      <c r="X62" s="60">
        <f t="shared" si="20"/>
        <v>0</v>
      </c>
      <c r="Y62" s="60">
        <f t="shared" si="20"/>
        <v>0</v>
      </c>
      <c r="Z62" s="60">
        <f t="shared" si="20"/>
        <v>0</v>
      </c>
      <c r="AA62" s="60">
        <f t="shared" si="20"/>
        <v>0</v>
      </c>
      <c r="AB62" s="60">
        <f t="shared" si="20"/>
        <v>0</v>
      </c>
      <c r="AC62" s="60">
        <f t="shared" si="20"/>
        <v>0</v>
      </c>
      <c r="AD62" s="60">
        <f t="shared" si="20"/>
        <v>0</v>
      </c>
      <c r="AE62" s="60">
        <f t="shared" si="20"/>
        <v>5913.75</v>
      </c>
      <c r="AF62" s="60">
        <f t="shared" si="20"/>
        <v>0</v>
      </c>
      <c r="AG62" s="60">
        <f t="shared" si="20"/>
        <v>0</v>
      </c>
      <c r="AH62" s="63" t="s">
        <v>835</v>
      </c>
      <c r="AI62" s="63" t="s">
        <v>835</v>
      </c>
      <c r="AJ62" s="63" t="s">
        <v>835</v>
      </c>
    </row>
    <row r="63" spans="1:36" s="7" customFormat="1" ht="61.5" x14ac:dyDescent="0.85">
      <c r="A63" s="7">
        <v>1</v>
      </c>
      <c r="B63" s="59">
        <f>SUBTOTAL(103,$A$14:A63)</f>
        <v>33</v>
      </c>
      <c r="C63" s="160" t="s">
        <v>1322</v>
      </c>
      <c r="D63" s="276" t="s">
        <v>982</v>
      </c>
      <c r="E63" s="97">
        <v>1.0869557735329547</v>
      </c>
      <c r="F63" s="60">
        <f>G63+H63+I63+J63+K63+L63+N63+P63+R63+T63+V63+W63+X63+Y63+Z63+AA63+AB63+AC63+AD63+AE63+AF63+AG63</f>
        <v>603261.75</v>
      </c>
      <c r="G63" s="60">
        <v>0</v>
      </c>
      <c r="H63" s="60">
        <v>0</v>
      </c>
      <c r="I63" s="60">
        <v>0</v>
      </c>
      <c r="J63" s="60">
        <v>0</v>
      </c>
      <c r="K63" s="62">
        <v>597348</v>
      </c>
      <c r="L63" s="60">
        <v>0</v>
      </c>
      <c r="M63" s="168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60">
        <v>0</v>
      </c>
      <c r="Z63" s="60">
        <v>0</v>
      </c>
      <c r="AA63" s="60">
        <v>0</v>
      </c>
      <c r="AB63" s="60">
        <v>0</v>
      </c>
      <c r="AC63" s="60">
        <v>0</v>
      </c>
      <c r="AD63" s="60">
        <v>0</v>
      </c>
      <c r="AE63" s="62">
        <v>5913.75</v>
      </c>
      <c r="AF63" s="60">
        <v>0</v>
      </c>
      <c r="AG63" s="60">
        <v>0</v>
      </c>
      <c r="AH63" s="63" t="s">
        <v>257</v>
      </c>
      <c r="AI63" s="63">
        <v>2020</v>
      </c>
      <c r="AJ63" s="63">
        <v>2020</v>
      </c>
    </row>
    <row r="64" spans="1:36" s="273" customFormat="1" ht="61.5" x14ac:dyDescent="0.85">
      <c r="B64" s="274" t="s">
        <v>1806</v>
      </c>
      <c r="C64" s="61"/>
      <c r="D64" s="276" t="s">
        <v>835</v>
      </c>
      <c r="E64" s="97">
        <f>AVERAGE(E65:E78)</f>
        <v>1.0186428571428574</v>
      </c>
      <c r="F64" s="177">
        <f t="shared" ref="F64:AG64" si="21">F65+F69+F71+F73+F75+F77</f>
        <v>11274519.959999999</v>
      </c>
      <c r="G64" s="60">
        <f t="shared" si="21"/>
        <v>0</v>
      </c>
      <c r="H64" s="60">
        <f t="shared" si="21"/>
        <v>0</v>
      </c>
      <c r="I64" s="60">
        <f t="shared" si="21"/>
        <v>0</v>
      </c>
      <c r="J64" s="60">
        <f t="shared" si="21"/>
        <v>0</v>
      </c>
      <c r="K64" s="60">
        <f t="shared" si="21"/>
        <v>0</v>
      </c>
      <c r="L64" s="60">
        <f t="shared" si="21"/>
        <v>0</v>
      </c>
      <c r="M64" s="168">
        <f t="shared" si="21"/>
        <v>0</v>
      </c>
      <c r="N64" s="60">
        <f t="shared" si="21"/>
        <v>0</v>
      </c>
      <c r="O64" s="60">
        <f t="shared" si="21"/>
        <v>2279.2299999999996</v>
      </c>
      <c r="P64" s="60">
        <f t="shared" si="21"/>
        <v>8865198.4699999988</v>
      </c>
      <c r="Q64" s="60">
        <f t="shared" si="21"/>
        <v>0</v>
      </c>
      <c r="R64" s="60">
        <f t="shared" si="21"/>
        <v>0</v>
      </c>
      <c r="S64" s="60">
        <f t="shared" si="21"/>
        <v>521.92999999999995</v>
      </c>
      <c r="T64" s="60">
        <f t="shared" si="21"/>
        <v>2108868.98</v>
      </c>
      <c r="U64" s="60">
        <f t="shared" si="21"/>
        <v>0</v>
      </c>
      <c r="V64" s="60">
        <f t="shared" si="21"/>
        <v>0</v>
      </c>
      <c r="W64" s="60">
        <f t="shared" si="21"/>
        <v>0</v>
      </c>
      <c r="X64" s="60">
        <f t="shared" si="21"/>
        <v>0</v>
      </c>
      <c r="Y64" s="60">
        <f t="shared" si="21"/>
        <v>0</v>
      </c>
      <c r="Z64" s="60">
        <f t="shared" si="21"/>
        <v>0</v>
      </c>
      <c r="AA64" s="60">
        <f t="shared" si="21"/>
        <v>0</v>
      </c>
      <c r="AB64" s="60">
        <f t="shared" si="21"/>
        <v>0</v>
      </c>
      <c r="AC64" s="60">
        <f t="shared" si="21"/>
        <v>0</v>
      </c>
      <c r="AD64" s="60">
        <f t="shared" si="21"/>
        <v>0</v>
      </c>
      <c r="AE64" s="60">
        <f t="shared" si="21"/>
        <v>113425.01999999999</v>
      </c>
      <c r="AF64" s="60">
        <f t="shared" si="21"/>
        <v>187027.49</v>
      </c>
      <c r="AG64" s="60">
        <f t="shared" si="21"/>
        <v>0</v>
      </c>
      <c r="AH64" s="63" t="s">
        <v>835</v>
      </c>
      <c r="AI64" s="63" t="s">
        <v>835</v>
      </c>
      <c r="AJ64" s="63" t="s">
        <v>835</v>
      </c>
    </row>
    <row r="65" spans="1:36" s="7" customFormat="1" ht="61.5" x14ac:dyDescent="0.85">
      <c r="B65" s="277" t="s">
        <v>985</v>
      </c>
      <c r="C65" s="160"/>
      <c r="D65" s="276" t="s">
        <v>835</v>
      </c>
      <c r="E65" s="97">
        <f>AVERAGE(E66:E68)</f>
        <v>1.0022</v>
      </c>
      <c r="F65" s="177">
        <f t="shared" ref="F65:AG65" si="22">SUM(F66:F68)</f>
        <v>4318971.5999999996</v>
      </c>
      <c r="G65" s="60">
        <f t="shared" si="22"/>
        <v>0</v>
      </c>
      <c r="H65" s="60">
        <f t="shared" si="22"/>
        <v>0</v>
      </c>
      <c r="I65" s="60">
        <f t="shared" si="22"/>
        <v>0</v>
      </c>
      <c r="J65" s="60">
        <f t="shared" si="22"/>
        <v>0</v>
      </c>
      <c r="K65" s="60">
        <f t="shared" si="22"/>
        <v>0</v>
      </c>
      <c r="L65" s="60">
        <f t="shared" si="22"/>
        <v>0</v>
      </c>
      <c r="M65" s="168">
        <f t="shared" si="22"/>
        <v>0</v>
      </c>
      <c r="N65" s="60">
        <f t="shared" si="22"/>
        <v>0</v>
      </c>
      <c r="O65" s="60">
        <f t="shared" si="22"/>
        <v>642.32000000000005</v>
      </c>
      <c r="P65" s="60">
        <f t="shared" si="22"/>
        <v>2151312.13</v>
      </c>
      <c r="Q65" s="60">
        <f t="shared" si="22"/>
        <v>0</v>
      </c>
      <c r="R65" s="60">
        <f t="shared" si="22"/>
        <v>0</v>
      </c>
      <c r="S65" s="60">
        <f t="shared" si="22"/>
        <v>521.92999999999995</v>
      </c>
      <c r="T65" s="60">
        <f t="shared" si="22"/>
        <v>2108868.98</v>
      </c>
      <c r="U65" s="60">
        <f t="shared" si="22"/>
        <v>0</v>
      </c>
      <c r="V65" s="60">
        <f t="shared" si="22"/>
        <v>0</v>
      </c>
      <c r="W65" s="60">
        <f t="shared" si="22"/>
        <v>0</v>
      </c>
      <c r="X65" s="60">
        <f t="shared" si="22"/>
        <v>0</v>
      </c>
      <c r="Y65" s="60">
        <f t="shared" si="22"/>
        <v>0</v>
      </c>
      <c r="Z65" s="60">
        <f t="shared" si="22"/>
        <v>0</v>
      </c>
      <c r="AA65" s="60">
        <f t="shared" si="22"/>
        <v>0</v>
      </c>
      <c r="AB65" s="60">
        <f t="shared" si="22"/>
        <v>0</v>
      </c>
      <c r="AC65" s="60">
        <f t="shared" si="22"/>
        <v>0</v>
      </c>
      <c r="AD65" s="60">
        <f t="shared" si="22"/>
        <v>0</v>
      </c>
      <c r="AE65" s="60">
        <f t="shared" si="22"/>
        <v>58790.49</v>
      </c>
      <c r="AF65" s="60">
        <f t="shared" si="22"/>
        <v>0</v>
      </c>
      <c r="AG65" s="60">
        <f t="shared" si="22"/>
        <v>0</v>
      </c>
      <c r="AH65" s="63" t="s">
        <v>835</v>
      </c>
      <c r="AI65" s="63" t="s">
        <v>835</v>
      </c>
      <c r="AJ65" s="63" t="s">
        <v>835</v>
      </c>
    </row>
    <row r="66" spans="1:36" s="7" customFormat="1" ht="61.5" x14ac:dyDescent="0.85">
      <c r="A66" s="7">
        <v>1</v>
      </c>
      <c r="B66" s="59">
        <f>SUBTOTAL(103,$A$65:A66)</f>
        <v>1</v>
      </c>
      <c r="C66" s="160" t="s">
        <v>961</v>
      </c>
      <c r="D66" s="276" t="s">
        <v>979</v>
      </c>
      <c r="E66" s="97">
        <v>1.0003</v>
      </c>
      <c r="F66" s="60">
        <f>G66+H66+I66+J66+K66+L66+N66+P66+R66+T66+V66+W66+X66+Y66+Z66+AA66+AB66+AC66+AD66+AE66+AF66+AG66</f>
        <v>903430.57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168">
        <v>0</v>
      </c>
      <c r="N66" s="60">
        <v>0</v>
      </c>
      <c r="O66" s="62">
        <v>255.03</v>
      </c>
      <c r="P66" s="169">
        <v>891132.94</v>
      </c>
      <c r="Q66" s="60">
        <v>0</v>
      </c>
      <c r="R66" s="60">
        <v>0</v>
      </c>
      <c r="S66" s="60">
        <v>0</v>
      </c>
      <c r="T66" s="60">
        <v>0</v>
      </c>
      <c r="U66" s="60">
        <v>0</v>
      </c>
      <c r="V66" s="60">
        <v>0</v>
      </c>
      <c r="W66" s="60">
        <v>0</v>
      </c>
      <c r="X66" s="60">
        <v>0</v>
      </c>
      <c r="Y66" s="60">
        <v>0</v>
      </c>
      <c r="Z66" s="60">
        <v>0</v>
      </c>
      <c r="AA66" s="60">
        <v>0</v>
      </c>
      <c r="AB66" s="60">
        <v>0</v>
      </c>
      <c r="AC66" s="60">
        <v>0</v>
      </c>
      <c r="AD66" s="60">
        <v>0</v>
      </c>
      <c r="AE66" s="58">
        <v>12297.63</v>
      </c>
      <c r="AF66" s="58">
        <v>0</v>
      </c>
      <c r="AG66" s="58">
        <v>0</v>
      </c>
      <c r="AH66" s="63" t="s">
        <v>257</v>
      </c>
      <c r="AI66" s="63">
        <v>2021</v>
      </c>
      <c r="AJ66" s="63">
        <v>2021</v>
      </c>
    </row>
    <row r="67" spans="1:36" s="7" customFormat="1" ht="61.5" x14ac:dyDescent="0.85">
      <c r="A67" s="7">
        <v>1</v>
      </c>
      <c r="B67" s="59">
        <f>SUBTOTAL(103,$A$65:A67)</f>
        <v>2</v>
      </c>
      <c r="C67" s="160" t="s">
        <v>1023</v>
      </c>
      <c r="D67" s="276" t="s">
        <v>980</v>
      </c>
      <c r="E67" s="97">
        <v>1.0026999999999999</v>
      </c>
      <c r="F67" s="60">
        <f>G67+H67+I67+J67+K67+L67+N67+P67+R67+T67+V67+W67+X67+Y67+Z67+AA67+AB67+AC67+AD67+AE67+AF67+AG67</f>
        <v>2137971.37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168">
        <v>0</v>
      </c>
      <c r="N67" s="60">
        <v>0</v>
      </c>
      <c r="O67" s="60">
        <v>0</v>
      </c>
      <c r="P67" s="60">
        <v>0</v>
      </c>
      <c r="Q67" s="60">
        <v>0</v>
      </c>
      <c r="R67" s="60">
        <v>0</v>
      </c>
      <c r="S67" s="205">
        <v>521.92999999999995</v>
      </c>
      <c r="T67" s="205">
        <v>2108868.98</v>
      </c>
      <c r="U67" s="60">
        <v>0</v>
      </c>
      <c r="V67" s="60">
        <v>0</v>
      </c>
      <c r="W67" s="60">
        <v>0</v>
      </c>
      <c r="X67" s="60">
        <v>0</v>
      </c>
      <c r="Y67" s="60">
        <v>0</v>
      </c>
      <c r="Z67" s="60">
        <v>0</v>
      </c>
      <c r="AA67" s="60">
        <v>0</v>
      </c>
      <c r="AB67" s="60">
        <v>0</v>
      </c>
      <c r="AC67" s="60">
        <v>0</v>
      </c>
      <c r="AD67" s="60">
        <v>0</v>
      </c>
      <c r="AE67" s="62">
        <v>29102.39</v>
      </c>
      <c r="AF67" s="58">
        <v>0</v>
      </c>
      <c r="AG67" s="58">
        <v>0</v>
      </c>
      <c r="AH67" s="63" t="s">
        <v>257</v>
      </c>
      <c r="AI67" s="63">
        <v>2021</v>
      </c>
      <c r="AJ67" s="63">
        <v>2021</v>
      </c>
    </row>
    <row r="68" spans="1:36" s="7" customFormat="1" ht="61.5" x14ac:dyDescent="0.85">
      <c r="A68" s="7">
        <v>1</v>
      </c>
      <c r="B68" s="59">
        <f>SUBTOTAL(103,$A$65:A68)</f>
        <v>3</v>
      </c>
      <c r="C68" s="160" t="s">
        <v>1320</v>
      </c>
      <c r="D68" s="276" t="s">
        <v>978</v>
      </c>
      <c r="E68" s="97">
        <v>1.0036</v>
      </c>
      <c r="F68" s="60">
        <f>G68+H68+I68+J68+K68+L68+N68+P68+R68+T68+V68+W68+X68+Y68+Z68+AA68+AB68+AC68+AD68+AE68+AF68+AG68</f>
        <v>1277569.6599999999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168">
        <v>0</v>
      </c>
      <c r="N68" s="60">
        <v>0</v>
      </c>
      <c r="O68" s="62">
        <v>387.29</v>
      </c>
      <c r="P68" s="62">
        <v>1260179.19</v>
      </c>
      <c r="Q68" s="60">
        <v>0</v>
      </c>
      <c r="R68" s="60">
        <v>0</v>
      </c>
      <c r="S68" s="60">
        <v>0</v>
      </c>
      <c r="T68" s="60">
        <v>0</v>
      </c>
      <c r="U68" s="60">
        <v>0</v>
      </c>
      <c r="V68" s="60">
        <v>0</v>
      </c>
      <c r="W68" s="60">
        <v>0</v>
      </c>
      <c r="X68" s="60">
        <v>0</v>
      </c>
      <c r="Y68" s="60">
        <v>0</v>
      </c>
      <c r="Z68" s="60">
        <v>0</v>
      </c>
      <c r="AA68" s="60">
        <v>0</v>
      </c>
      <c r="AB68" s="60">
        <v>0</v>
      </c>
      <c r="AC68" s="60">
        <v>0</v>
      </c>
      <c r="AD68" s="60">
        <v>0</v>
      </c>
      <c r="AE68" s="62">
        <v>17390.47</v>
      </c>
      <c r="AF68" s="58">
        <v>0</v>
      </c>
      <c r="AG68" s="58">
        <v>0</v>
      </c>
      <c r="AH68" s="63" t="s">
        <v>257</v>
      </c>
      <c r="AI68" s="63">
        <v>2021</v>
      </c>
      <c r="AJ68" s="63">
        <v>2021</v>
      </c>
    </row>
    <row r="69" spans="1:36" s="7" customFormat="1" ht="61.5" x14ac:dyDescent="0.85">
      <c r="B69" s="277" t="s">
        <v>769</v>
      </c>
      <c r="C69" s="160"/>
      <c r="D69" s="276" t="s">
        <v>835</v>
      </c>
      <c r="E69" s="97">
        <f>AVERAGE(E70)</f>
        <v>1.0308999999999999</v>
      </c>
      <c r="F69" s="177">
        <f t="shared" ref="F69:AG69" si="23">F70</f>
        <v>1358175.69</v>
      </c>
      <c r="G69" s="60">
        <f t="shared" si="23"/>
        <v>0</v>
      </c>
      <c r="H69" s="60">
        <f t="shared" si="23"/>
        <v>0</v>
      </c>
      <c r="I69" s="60">
        <f t="shared" si="23"/>
        <v>0</v>
      </c>
      <c r="J69" s="60">
        <f t="shared" si="23"/>
        <v>0</v>
      </c>
      <c r="K69" s="60">
        <f t="shared" si="23"/>
        <v>0</v>
      </c>
      <c r="L69" s="60">
        <f t="shared" si="23"/>
        <v>0</v>
      </c>
      <c r="M69" s="168">
        <f t="shared" si="23"/>
        <v>0</v>
      </c>
      <c r="N69" s="60">
        <f t="shared" si="23"/>
        <v>0</v>
      </c>
      <c r="O69" s="60">
        <f t="shared" si="23"/>
        <v>304.95</v>
      </c>
      <c r="P69" s="60">
        <f t="shared" si="23"/>
        <v>1344562</v>
      </c>
      <c r="Q69" s="60">
        <f t="shared" si="23"/>
        <v>0</v>
      </c>
      <c r="R69" s="60">
        <f t="shared" si="23"/>
        <v>0</v>
      </c>
      <c r="S69" s="60">
        <f t="shared" si="23"/>
        <v>0</v>
      </c>
      <c r="T69" s="60">
        <f t="shared" si="23"/>
        <v>0</v>
      </c>
      <c r="U69" s="60">
        <f t="shared" si="23"/>
        <v>0</v>
      </c>
      <c r="V69" s="60">
        <f t="shared" si="23"/>
        <v>0</v>
      </c>
      <c r="W69" s="60">
        <f t="shared" si="23"/>
        <v>0</v>
      </c>
      <c r="X69" s="60">
        <f t="shared" si="23"/>
        <v>0</v>
      </c>
      <c r="Y69" s="60">
        <f t="shared" si="23"/>
        <v>0</v>
      </c>
      <c r="Z69" s="60">
        <f t="shared" si="23"/>
        <v>0</v>
      </c>
      <c r="AA69" s="60">
        <f t="shared" si="23"/>
        <v>0</v>
      </c>
      <c r="AB69" s="60">
        <f t="shared" si="23"/>
        <v>0</v>
      </c>
      <c r="AC69" s="60">
        <f t="shared" si="23"/>
        <v>0</v>
      </c>
      <c r="AD69" s="60">
        <f t="shared" si="23"/>
        <v>0</v>
      </c>
      <c r="AE69" s="58">
        <f t="shared" si="23"/>
        <v>13613.69</v>
      </c>
      <c r="AF69" s="58">
        <f t="shared" si="23"/>
        <v>0</v>
      </c>
      <c r="AG69" s="60">
        <f t="shared" si="23"/>
        <v>0</v>
      </c>
      <c r="AH69" s="63" t="s">
        <v>835</v>
      </c>
      <c r="AI69" s="63" t="s">
        <v>835</v>
      </c>
      <c r="AJ69" s="63" t="s">
        <v>835</v>
      </c>
    </row>
    <row r="70" spans="1:36" s="7" customFormat="1" ht="61.5" x14ac:dyDescent="0.85">
      <c r="A70" s="7">
        <v>1</v>
      </c>
      <c r="B70" s="59">
        <f>SUBTOTAL(103,$A$65:A70)</f>
        <v>4</v>
      </c>
      <c r="C70" s="160" t="s">
        <v>962</v>
      </c>
      <c r="D70" s="276" t="s">
        <v>977</v>
      </c>
      <c r="E70" s="97">
        <v>1.0308999999999999</v>
      </c>
      <c r="F70" s="60">
        <f>G70+H70+I70+J70+K70+L70+N70+P70+R70+T70+V70+W70+X70+Y70+Z70+AA70+AB70+AC70+AD70+AE70+AF70+AG70</f>
        <v>1358175.69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  <c r="M70" s="168">
        <v>0</v>
      </c>
      <c r="N70" s="60">
        <v>0</v>
      </c>
      <c r="O70" s="62">
        <v>304.95</v>
      </c>
      <c r="P70" s="62">
        <v>1344562</v>
      </c>
      <c r="Q70" s="60">
        <v>0</v>
      </c>
      <c r="R70" s="60">
        <v>0</v>
      </c>
      <c r="S70" s="60">
        <v>0</v>
      </c>
      <c r="T70" s="60">
        <v>0</v>
      </c>
      <c r="U70" s="60">
        <v>0</v>
      </c>
      <c r="V70" s="60">
        <v>0</v>
      </c>
      <c r="W70" s="60">
        <v>0</v>
      </c>
      <c r="X70" s="60">
        <v>0</v>
      </c>
      <c r="Y70" s="60">
        <v>0</v>
      </c>
      <c r="Z70" s="60">
        <v>0</v>
      </c>
      <c r="AA70" s="60">
        <v>0</v>
      </c>
      <c r="AB70" s="60">
        <v>0</v>
      </c>
      <c r="AC70" s="60">
        <v>0</v>
      </c>
      <c r="AD70" s="60">
        <v>0</v>
      </c>
      <c r="AE70" s="62">
        <v>13613.69</v>
      </c>
      <c r="AF70" s="58">
        <v>0</v>
      </c>
      <c r="AG70" s="60">
        <v>0</v>
      </c>
      <c r="AH70" s="63" t="s">
        <v>257</v>
      </c>
      <c r="AI70" s="63">
        <v>2021</v>
      </c>
      <c r="AJ70" s="63">
        <v>2021</v>
      </c>
    </row>
    <row r="71" spans="1:36" s="7" customFormat="1" ht="61.5" x14ac:dyDescent="0.85">
      <c r="B71" s="277" t="s">
        <v>986</v>
      </c>
      <c r="C71" s="160"/>
      <c r="D71" s="276" t="s">
        <v>835</v>
      </c>
      <c r="E71" s="97">
        <f>AVERAGE(E72:E72)</f>
        <v>1.0385</v>
      </c>
      <c r="F71" s="177">
        <f t="shared" ref="F71:AG71" si="24">SUM(F72:F72)</f>
        <v>60184.81</v>
      </c>
      <c r="G71" s="60">
        <f t="shared" si="24"/>
        <v>0</v>
      </c>
      <c r="H71" s="60">
        <f t="shared" si="24"/>
        <v>0</v>
      </c>
      <c r="I71" s="60">
        <f t="shared" si="24"/>
        <v>0</v>
      </c>
      <c r="J71" s="60">
        <f t="shared" si="24"/>
        <v>0</v>
      </c>
      <c r="K71" s="60">
        <f t="shared" si="24"/>
        <v>0</v>
      </c>
      <c r="L71" s="60">
        <f t="shared" si="24"/>
        <v>0</v>
      </c>
      <c r="M71" s="168">
        <f t="shared" si="24"/>
        <v>0</v>
      </c>
      <c r="N71" s="60">
        <f t="shared" si="24"/>
        <v>0</v>
      </c>
      <c r="O71" s="60">
        <f t="shared" si="24"/>
        <v>0</v>
      </c>
      <c r="P71" s="60">
        <f t="shared" si="24"/>
        <v>0</v>
      </c>
      <c r="Q71" s="60">
        <f t="shared" si="24"/>
        <v>0</v>
      </c>
      <c r="R71" s="60">
        <f t="shared" si="24"/>
        <v>0</v>
      </c>
      <c r="S71" s="60">
        <f t="shared" si="24"/>
        <v>0</v>
      </c>
      <c r="T71" s="60">
        <f t="shared" si="24"/>
        <v>0</v>
      </c>
      <c r="U71" s="60">
        <f t="shared" si="24"/>
        <v>0</v>
      </c>
      <c r="V71" s="60">
        <f t="shared" si="24"/>
        <v>0</v>
      </c>
      <c r="W71" s="60">
        <f t="shared" si="24"/>
        <v>0</v>
      </c>
      <c r="X71" s="60">
        <f t="shared" si="24"/>
        <v>0</v>
      </c>
      <c r="Y71" s="60">
        <f t="shared" si="24"/>
        <v>0</v>
      </c>
      <c r="Z71" s="60">
        <f t="shared" si="24"/>
        <v>0</v>
      </c>
      <c r="AA71" s="60">
        <f t="shared" si="24"/>
        <v>0</v>
      </c>
      <c r="AB71" s="60">
        <f t="shared" si="24"/>
        <v>0</v>
      </c>
      <c r="AC71" s="60">
        <f t="shared" si="24"/>
        <v>0</v>
      </c>
      <c r="AD71" s="60">
        <f t="shared" si="24"/>
        <v>0</v>
      </c>
      <c r="AE71" s="58">
        <f t="shared" si="24"/>
        <v>0</v>
      </c>
      <c r="AF71" s="58">
        <f t="shared" si="24"/>
        <v>60184.81</v>
      </c>
      <c r="AG71" s="60">
        <f t="shared" si="24"/>
        <v>0</v>
      </c>
      <c r="AH71" s="63" t="s">
        <v>835</v>
      </c>
      <c r="AI71" s="63" t="s">
        <v>835</v>
      </c>
      <c r="AJ71" s="63" t="s">
        <v>835</v>
      </c>
    </row>
    <row r="72" spans="1:36" s="7" customFormat="1" ht="61.5" x14ac:dyDescent="0.85">
      <c r="A72" s="7">
        <v>1</v>
      </c>
      <c r="B72" s="59">
        <f>SUBTOTAL(103,$A$65:A72)</f>
        <v>5</v>
      </c>
      <c r="C72" s="160" t="s">
        <v>1807</v>
      </c>
      <c r="D72" s="276" t="s">
        <v>980</v>
      </c>
      <c r="E72" s="97">
        <v>1.0385</v>
      </c>
      <c r="F72" s="60">
        <f>G72+H72+I72+J72+K72+L72+N72+P72+R72+T72+V72+W72+X72+Y72+Z72+AA72+AB72+AC72+AD72+AE72+AF72+AG72</f>
        <v>60184.81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168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  <c r="T72" s="60">
        <v>0</v>
      </c>
      <c r="U72" s="60">
        <v>0</v>
      </c>
      <c r="V72" s="60">
        <v>0</v>
      </c>
      <c r="W72" s="60">
        <v>0</v>
      </c>
      <c r="X72" s="60">
        <v>0</v>
      </c>
      <c r="Y72" s="60">
        <v>0</v>
      </c>
      <c r="Z72" s="60">
        <v>0</v>
      </c>
      <c r="AA72" s="60">
        <v>0</v>
      </c>
      <c r="AB72" s="60">
        <v>0</v>
      </c>
      <c r="AC72" s="60">
        <v>0</v>
      </c>
      <c r="AD72" s="60">
        <v>0</v>
      </c>
      <c r="AE72" s="58">
        <f>ROUND(P72*1.5%,2)</f>
        <v>0</v>
      </c>
      <c r="AF72" s="281">
        <v>60184.81</v>
      </c>
      <c r="AG72" s="60">
        <v>0</v>
      </c>
      <c r="AH72" s="63">
        <v>2021</v>
      </c>
      <c r="AI72" s="63" t="s">
        <v>257</v>
      </c>
      <c r="AJ72" s="63" t="s">
        <v>257</v>
      </c>
    </row>
    <row r="73" spans="1:36" s="7" customFormat="1" ht="61.5" x14ac:dyDescent="0.85">
      <c r="B73" s="277" t="s">
        <v>710</v>
      </c>
      <c r="C73" s="160"/>
      <c r="D73" s="276" t="s">
        <v>835</v>
      </c>
      <c r="E73" s="97">
        <f>AVERAGE(E74:E74)</f>
        <v>1.0043</v>
      </c>
      <c r="F73" s="177">
        <f t="shared" ref="F73:AG73" si="25">SUM(F74:F74)</f>
        <v>1003273.4</v>
      </c>
      <c r="G73" s="60">
        <f t="shared" si="25"/>
        <v>0</v>
      </c>
      <c r="H73" s="60">
        <f t="shared" si="25"/>
        <v>0</v>
      </c>
      <c r="I73" s="60">
        <f t="shared" si="25"/>
        <v>0</v>
      </c>
      <c r="J73" s="60">
        <f t="shared" si="25"/>
        <v>0</v>
      </c>
      <c r="K73" s="60">
        <f t="shared" si="25"/>
        <v>0</v>
      </c>
      <c r="L73" s="60">
        <f t="shared" si="25"/>
        <v>0</v>
      </c>
      <c r="M73" s="168">
        <f t="shared" si="25"/>
        <v>0</v>
      </c>
      <c r="N73" s="60">
        <f t="shared" si="25"/>
        <v>0</v>
      </c>
      <c r="O73" s="60">
        <f t="shared" si="25"/>
        <v>290.64</v>
      </c>
      <c r="P73" s="60">
        <f t="shared" si="25"/>
        <v>990496</v>
      </c>
      <c r="Q73" s="60">
        <f t="shared" si="25"/>
        <v>0</v>
      </c>
      <c r="R73" s="60">
        <f t="shared" si="25"/>
        <v>0</v>
      </c>
      <c r="S73" s="60">
        <f t="shared" si="25"/>
        <v>0</v>
      </c>
      <c r="T73" s="60">
        <f t="shared" si="25"/>
        <v>0</v>
      </c>
      <c r="U73" s="60">
        <f t="shared" si="25"/>
        <v>0</v>
      </c>
      <c r="V73" s="60">
        <f t="shared" si="25"/>
        <v>0</v>
      </c>
      <c r="W73" s="60">
        <f t="shared" si="25"/>
        <v>0</v>
      </c>
      <c r="X73" s="60">
        <f t="shared" si="25"/>
        <v>0</v>
      </c>
      <c r="Y73" s="60">
        <f t="shared" si="25"/>
        <v>0</v>
      </c>
      <c r="Z73" s="60">
        <f t="shared" si="25"/>
        <v>0</v>
      </c>
      <c r="AA73" s="60">
        <f t="shared" si="25"/>
        <v>0</v>
      </c>
      <c r="AB73" s="60">
        <f t="shared" si="25"/>
        <v>0</v>
      </c>
      <c r="AC73" s="60">
        <f t="shared" si="25"/>
        <v>0</v>
      </c>
      <c r="AD73" s="60">
        <f t="shared" si="25"/>
        <v>0</v>
      </c>
      <c r="AE73" s="58">
        <f t="shared" si="25"/>
        <v>12777.4</v>
      </c>
      <c r="AF73" s="58">
        <f t="shared" si="25"/>
        <v>0</v>
      </c>
      <c r="AG73" s="60">
        <f t="shared" si="25"/>
        <v>0</v>
      </c>
      <c r="AH73" s="63" t="s">
        <v>835</v>
      </c>
      <c r="AI73" s="63" t="s">
        <v>835</v>
      </c>
      <c r="AJ73" s="63" t="s">
        <v>835</v>
      </c>
    </row>
    <row r="74" spans="1:36" s="7" customFormat="1" ht="61.5" x14ac:dyDescent="0.85">
      <c r="A74" s="7">
        <v>1</v>
      </c>
      <c r="B74" s="59">
        <f>SUBTOTAL(103,$A$65:A74)</f>
        <v>6</v>
      </c>
      <c r="C74" s="160" t="s">
        <v>966</v>
      </c>
      <c r="D74" s="276" t="s">
        <v>979</v>
      </c>
      <c r="E74" s="97">
        <v>1.0043</v>
      </c>
      <c r="F74" s="60">
        <f>G74+H74+I74+J74+K74+L74+N74+P74+R74+T74+V74+W74+X74+Y74+Z74+AA74+AB74+AC74+AD74+AE74+AF74+AG74</f>
        <v>1003273.4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0</v>
      </c>
      <c r="M74" s="168">
        <v>0</v>
      </c>
      <c r="N74" s="60">
        <v>0</v>
      </c>
      <c r="O74" s="62">
        <v>290.64</v>
      </c>
      <c r="P74" s="62">
        <v>990496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0</v>
      </c>
      <c r="AC74" s="60">
        <v>0</v>
      </c>
      <c r="AD74" s="60">
        <v>0</v>
      </c>
      <c r="AE74" s="62">
        <v>12777.4</v>
      </c>
      <c r="AF74" s="58">
        <v>0</v>
      </c>
      <c r="AG74" s="60">
        <v>0</v>
      </c>
      <c r="AH74" s="63" t="s">
        <v>257</v>
      </c>
      <c r="AI74" s="63">
        <v>2021</v>
      </c>
      <c r="AJ74" s="63">
        <v>2021</v>
      </c>
    </row>
    <row r="75" spans="1:36" s="7" customFormat="1" ht="61.5" x14ac:dyDescent="0.85">
      <c r="B75" s="277" t="s">
        <v>785</v>
      </c>
      <c r="C75" s="160"/>
      <c r="D75" s="276" t="s">
        <v>835</v>
      </c>
      <c r="E75" s="97">
        <f>AVERAGE(E76)</f>
        <v>1</v>
      </c>
      <c r="F75" s="177">
        <f t="shared" ref="F75:AG75" si="26">F76</f>
        <v>4407071.78</v>
      </c>
      <c r="G75" s="60">
        <f t="shared" si="26"/>
        <v>0</v>
      </c>
      <c r="H75" s="60">
        <f t="shared" si="26"/>
        <v>0</v>
      </c>
      <c r="I75" s="60">
        <f t="shared" si="26"/>
        <v>0</v>
      </c>
      <c r="J75" s="60">
        <f t="shared" si="26"/>
        <v>0</v>
      </c>
      <c r="K75" s="60">
        <f t="shared" si="26"/>
        <v>0</v>
      </c>
      <c r="L75" s="60">
        <f t="shared" si="26"/>
        <v>0</v>
      </c>
      <c r="M75" s="168">
        <f t="shared" si="26"/>
        <v>0</v>
      </c>
      <c r="N75" s="60">
        <f t="shared" si="26"/>
        <v>0</v>
      </c>
      <c r="O75" s="60">
        <f t="shared" si="26"/>
        <v>1041.32</v>
      </c>
      <c r="P75" s="60">
        <f t="shared" si="26"/>
        <v>4378828.34</v>
      </c>
      <c r="Q75" s="60">
        <f t="shared" si="26"/>
        <v>0</v>
      </c>
      <c r="R75" s="60">
        <f t="shared" si="26"/>
        <v>0</v>
      </c>
      <c r="S75" s="60">
        <f t="shared" si="26"/>
        <v>0</v>
      </c>
      <c r="T75" s="60">
        <f t="shared" si="26"/>
        <v>0</v>
      </c>
      <c r="U75" s="60">
        <f t="shared" si="26"/>
        <v>0</v>
      </c>
      <c r="V75" s="60">
        <f t="shared" si="26"/>
        <v>0</v>
      </c>
      <c r="W75" s="60">
        <f t="shared" si="26"/>
        <v>0</v>
      </c>
      <c r="X75" s="60">
        <f t="shared" si="26"/>
        <v>0</v>
      </c>
      <c r="Y75" s="60">
        <f t="shared" si="26"/>
        <v>0</v>
      </c>
      <c r="Z75" s="60">
        <f t="shared" si="26"/>
        <v>0</v>
      </c>
      <c r="AA75" s="60">
        <f t="shared" si="26"/>
        <v>0</v>
      </c>
      <c r="AB75" s="60">
        <f t="shared" si="26"/>
        <v>0</v>
      </c>
      <c r="AC75" s="60">
        <f t="shared" si="26"/>
        <v>0</v>
      </c>
      <c r="AD75" s="60">
        <f t="shared" si="26"/>
        <v>0</v>
      </c>
      <c r="AE75" s="58">
        <f t="shared" si="26"/>
        <v>28243.439999999999</v>
      </c>
      <c r="AF75" s="58">
        <f t="shared" si="26"/>
        <v>0</v>
      </c>
      <c r="AG75" s="60">
        <f t="shared" si="26"/>
        <v>0</v>
      </c>
      <c r="AH75" s="63" t="s">
        <v>835</v>
      </c>
      <c r="AI75" s="63" t="s">
        <v>835</v>
      </c>
      <c r="AJ75" s="63" t="s">
        <v>835</v>
      </c>
    </row>
    <row r="76" spans="1:36" s="7" customFormat="1" ht="61.5" x14ac:dyDescent="0.85">
      <c r="A76" s="7">
        <v>1</v>
      </c>
      <c r="B76" s="59">
        <f>SUBTOTAL(103,$A$65:A76)</f>
        <v>7</v>
      </c>
      <c r="C76" s="160" t="s">
        <v>968</v>
      </c>
      <c r="D76" s="276" t="s">
        <v>980</v>
      </c>
      <c r="E76" s="97">
        <v>1</v>
      </c>
      <c r="F76" s="60">
        <f>G76+H76+I76+J76+K76+L76+N76+P76+R76+T76+V76+W76+X76+Y76+Z76+AA76+AB76+AC76+AD76+AE76+AF76+AG76</f>
        <v>4407071.78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0</v>
      </c>
      <c r="M76" s="168">
        <v>0</v>
      </c>
      <c r="N76" s="60">
        <v>0</v>
      </c>
      <c r="O76" s="62">
        <v>1041.32</v>
      </c>
      <c r="P76" s="62">
        <v>4378828.34</v>
      </c>
      <c r="Q76" s="60">
        <v>0</v>
      </c>
      <c r="R76" s="60">
        <v>0</v>
      </c>
      <c r="S76" s="60">
        <v>0</v>
      </c>
      <c r="T76" s="60">
        <v>0</v>
      </c>
      <c r="U76" s="60">
        <v>0</v>
      </c>
      <c r="V76" s="60">
        <v>0</v>
      </c>
      <c r="W76" s="60">
        <v>0</v>
      </c>
      <c r="X76" s="60">
        <v>0</v>
      </c>
      <c r="Y76" s="60">
        <v>0</v>
      </c>
      <c r="Z76" s="60">
        <v>0</v>
      </c>
      <c r="AA76" s="60">
        <v>0</v>
      </c>
      <c r="AB76" s="60">
        <v>0</v>
      </c>
      <c r="AC76" s="60">
        <v>0</v>
      </c>
      <c r="AD76" s="60">
        <v>0</v>
      </c>
      <c r="AE76" s="62">
        <v>28243.439999999999</v>
      </c>
      <c r="AF76" s="58">
        <v>0</v>
      </c>
      <c r="AG76" s="60">
        <v>0</v>
      </c>
      <c r="AH76" s="63" t="s">
        <v>257</v>
      </c>
      <c r="AI76" s="63">
        <v>2021</v>
      </c>
      <c r="AJ76" s="63">
        <v>2021</v>
      </c>
    </row>
    <row r="77" spans="1:36" s="7" customFormat="1" ht="61.5" x14ac:dyDescent="0.85">
      <c r="B77" s="277" t="s">
        <v>1594</v>
      </c>
      <c r="C77" s="160"/>
      <c r="D77" s="276" t="s">
        <v>835</v>
      </c>
      <c r="E77" s="97">
        <f>AVERAGE(E78)</f>
        <v>1.0524</v>
      </c>
      <c r="F77" s="177">
        <f t="shared" ref="F77:AG77" si="27">F78</f>
        <v>126842.68</v>
      </c>
      <c r="G77" s="60">
        <f t="shared" si="27"/>
        <v>0</v>
      </c>
      <c r="H77" s="60">
        <f t="shared" si="27"/>
        <v>0</v>
      </c>
      <c r="I77" s="60">
        <f t="shared" si="27"/>
        <v>0</v>
      </c>
      <c r="J77" s="60">
        <f t="shared" si="27"/>
        <v>0</v>
      </c>
      <c r="K77" s="60">
        <f t="shared" si="27"/>
        <v>0</v>
      </c>
      <c r="L77" s="60">
        <f t="shared" si="27"/>
        <v>0</v>
      </c>
      <c r="M77" s="168">
        <f t="shared" si="27"/>
        <v>0</v>
      </c>
      <c r="N77" s="60">
        <f t="shared" si="27"/>
        <v>0</v>
      </c>
      <c r="O77" s="60">
        <f t="shared" si="27"/>
        <v>0</v>
      </c>
      <c r="P77" s="60">
        <f t="shared" si="27"/>
        <v>0</v>
      </c>
      <c r="Q77" s="60">
        <f t="shared" si="27"/>
        <v>0</v>
      </c>
      <c r="R77" s="60">
        <f t="shared" si="27"/>
        <v>0</v>
      </c>
      <c r="S77" s="60">
        <f t="shared" si="27"/>
        <v>0</v>
      </c>
      <c r="T77" s="60">
        <f t="shared" si="27"/>
        <v>0</v>
      </c>
      <c r="U77" s="60">
        <f t="shared" si="27"/>
        <v>0</v>
      </c>
      <c r="V77" s="60">
        <f t="shared" si="27"/>
        <v>0</v>
      </c>
      <c r="W77" s="60">
        <f t="shared" si="27"/>
        <v>0</v>
      </c>
      <c r="X77" s="60">
        <f t="shared" si="27"/>
        <v>0</v>
      </c>
      <c r="Y77" s="60">
        <f t="shared" si="27"/>
        <v>0</v>
      </c>
      <c r="Z77" s="60">
        <f t="shared" si="27"/>
        <v>0</v>
      </c>
      <c r="AA77" s="60">
        <f t="shared" si="27"/>
        <v>0</v>
      </c>
      <c r="AB77" s="60">
        <f t="shared" si="27"/>
        <v>0</v>
      </c>
      <c r="AC77" s="60">
        <f t="shared" si="27"/>
        <v>0</v>
      </c>
      <c r="AD77" s="60">
        <f t="shared" si="27"/>
        <v>0</v>
      </c>
      <c r="AE77" s="58">
        <f t="shared" si="27"/>
        <v>0</v>
      </c>
      <c r="AF77" s="58">
        <f t="shared" si="27"/>
        <v>126842.68</v>
      </c>
      <c r="AG77" s="60">
        <f t="shared" si="27"/>
        <v>0</v>
      </c>
      <c r="AH77" s="63" t="s">
        <v>835</v>
      </c>
      <c r="AI77" s="63" t="s">
        <v>835</v>
      </c>
      <c r="AJ77" s="63" t="s">
        <v>835</v>
      </c>
    </row>
    <row r="78" spans="1:36" s="7" customFormat="1" ht="61.5" x14ac:dyDescent="0.85">
      <c r="A78" s="7">
        <v>1</v>
      </c>
      <c r="B78" s="59">
        <f>SUBTOTAL(103,$A$65:A78)</f>
        <v>8</v>
      </c>
      <c r="C78" s="160" t="s">
        <v>1593</v>
      </c>
      <c r="D78" s="276" t="s">
        <v>980</v>
      </c>
      <c r="E78" s="97">
        <v>1.0524</v>
      </c>
      <c r="F78" s="60">
        <f>G78+H78+I78+J78+K78+L78+N78+P78+R78+T78+V78+W78+X78+Y78+Z78+AA78+AB78+AC78+AD78+AE78+AF78+AG78</f>
        <v>126842.68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  <c r="M78" s="168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</v>
      </c>
      <c r="V78" s="60">
        <v>0</v>
      </c>
      <c r="W78" s="60">
        <v>0</v>
      </c>
      <c r="X78" s="60">
        <v>0</v>
      </c>
      <c r="Y78" s="60">
        <v>0</v>
      </c>
      <c r="Z78" s="60">
        <v>0</v>
      </c>
      <c r="AA78" s="60">
        <v>0</v>
      </c>
      <c r="AB78" s="60">
        <v>0</v>
      </c>
      <c r="AC78" s="60">
        <v>0</v>
      </c>
      <c r="AD78" s="60">
        <v>0</v>
      </c>
      <c r="AE78" s="58">
        <f>ROUND(P78*1.5%,2)</f>
        <v>0</v>
      </c>
      <c r="AF78" s="281">
        <v>126842.68</v>
      </c>
      <c r="AG78" s="60">
        <v>0</v>
      </c>
      <c r="AH78" s="63">
        <v>2021</v>
      </c>
      <c r="AI78" s="63" t="s">
        <v>257</v>
      </c>
      <c r="AJ78" s="63" t="s">
        <v>257</v>
      </c>
    </row>
    <row r="79" spans="1:36" s="273" customFormat="1" ht="61.5" x14ac:dyDescent="0.85">
      <c r="B79" s="274" t="s">
        <v>2684</v>
      </c>
      <c r="C79" s="61"/>
      <c r="D79" s="276" t="s">
        <v>835</v>
      </c>
      <c r="E79" s="97">
        <f>AVERAGE(E87:E104)</f>
        <v>0.91350530257564155</v>
      </c>
      <c r="F79" s="177">
        <f>F87+F80+F85+F89+F83</f>
        <v>22805025.370000001</v>
      </c>
      <c r="G79" s="60">
        <f t="shared" ref="G79:AG79" si="28">G87+G80+G85+G89+G83</f>
        <v>0</v>
      </c>
      <c r="H79" s="60">
        <f t="shared" si="28"/>
        <v>0</v>
      </c>
      <c r="I79" s="60">
        <f t="shared" si="28"/>
        <v>0</v>
      </c>
      <c r="J79" s="60">
        <f t="shared" si="28"/>
        <v>0</v>
      </c>
      <c r="K79" s="60">
        <f t="shared" si="28"/>
        <v>0</v>
      </c>
      <c r="L79" s="60">
        <f t="shared" si="28"/>
        <v>0</v>
      </c>
      <c r="M79" s="168">
        <f t="shared" si="28"/>
        <v>0</v>
      </c>
      <c r="N79" s="60">
        <f t="shared" si="28"/>
        <v>0</v>
      </c>
      <c r="O79" s="60">
        <f t="shared" si="28"/>
        <v>3273.64</v>
      </c>
      <c r="P79" s="60">
        <f t="shared" si="28"/>
        <v>22544859.800000001</v>
      </c>
      <c r="Q79" s="60">
        <f t="shared" si="28"/>
        <v>0</v>
      </c>
      <c r="R79" s="60">
        <f t="shared" si="28"/>
        <v>0</v>
      </c>
      <c r="S79" s="60">
        <f t="shared" si="28"/>
        <v>0</v>
      </c>
      <c r="T79" s="60">
        <f t="shared" si="28"/>
        <v>0</v>
      </c>
      <c r="U79" s="60">
        <f t="shared" si="28"/>
        <v>0</v>
      </c>
      <c r="V79" s="60">
        <f t="shared" si="28"/>
        <v>0</v>
      </c>
      <c r="W79" s="60">
        <f t="shared" si="28"/>
        <v>0</v>
      </c>
      <c r="X79" s="60">
        <f t="shared" si="28"/>
        <v>0</v>
      </c>
      <c r="Y79" s="60">
        <f t="shared" si="28"/>
        <v>0</v>
      </c>
      <c r="Z79" s="60">
        <f t="shared" si="28"/>
        <v>0</v>
      </c>
      <c r="AA79" s="60">
        <f t="shared" si="28"/>
        <v>0</v>
      </c>
      <c r="AB79" s="60">
        <f t="shared" si="28"/>
        <v>0</v>
      </c>
      <c r="AC79" s="60">
        <f t="shared" si="28"/>
        <v>0</v>
      </c>
      <c r="AD79" s="60">
        <f t="shared" si="28"/>
        <v>0</v>
      </c>
      <c r="AE79" s="60">
        <f t="shared" si="28"/>
        <v>260165.56999999998</v>
      </c>
      <c r="AF79" s="60">
        <f t="shared" si="28"/>
        <v>0</v>
      </c>
      <c r="AG79" s="60">
        <f t="shared" si="28"/>
        <v>0</v>
      </c>
      <c r="AH79" s="63" t="s">
        <v>835</v>
      </c>
      <c r="AI79" s="63" t="s">
        <v>835</v>
      </c>
      <c r="AJ79" s="63" t="s">
        <v>835</v>
      </c>
    </row>
    <row r="80" spans="1:36" s="7" customFormat="1" ht="61.5" x14ac:dyDescent="0.85">
      <c r="B80" s="277" t="s">
        <v>710</v>
      </c>
      <c r="C80" s="160"/>
      <c r="D80" s="276" t="s">
        <v>835</v>
      </c>
      <c r="E80" s="97">
        <f>AVERAGE(E81:E81)</f>
        <v>1.0064</v>
      </c>
      <c r="F80" s="177">
        <f t="shared" ref="F80:AG80" si="29">SUM(F81:F82)</f>
        <v>7480255.5499999998</v>
      </c>
      <c r="G80" s="60">
        <f t="shared" si="29"/>
        <v>0</v>
      </c>
      <c r="H80" s="60">
        <f t="shared" si="29"/>
        <v>0</v>
      </c>
      <c r="I80" s="60">
        <f t="shared" si="29"/>
        <v>0</v>
      </c>
      <c r="J80" s="60">
        <f t="shared" si="29"/>
        <v>0</v>
      </c>
      <c r="K80" s="60">
        <f t="shared" si="29"/>
        <v>0</v>
      </c>
      <c r="L80" s="60">
        <f t="shared" si="29"/>
        <v>0</v>
      </c>
      <c r="M80" s="168">
        <f t="shared" si="29"/>
        <v>0</v>
      </c>
      <c r="N80" s="60">
        <f t="shared" si="29"/>
        <v>0</v>
      </c>
      <c r="O80" s="60">
        <f t="shared" si="29"/>
        <v>997.38</v>
      </c>
      <c r="P80" s="60">
        <f t="shared" si="29"/>
        <v>7384989.2000000002</v>
      </c>
      <c r="Q80" s="60">
        <f t="shared" si="29"/>
        <v>0</v>
      </c>
      <c r="R80" s="60">
        <f t="shared" si="29"/>
        <v>0</v>
      </c>
      <c r="S80" s="60">
        <f t="shared" si="29"/>
        <v>0</v>
      </c>
      <c r="T80" s="60">
        <f t="shared" si="29"/>
        <v>0</v>
      </c>
      <c r="U80" s="60">
        <f t="shared" si="29"/>
        <v>0</v>
      </c>
      <c r="V80" s="60">
        <f t="shared" si="29"/>
        <v>0</v>
      </c>
      <c r="W80" s="60">
        <f t="shared" si="29"/>
        <v>0</v>
      </c>
      <c r="X80" s="60">
        <f t="shared" si="29"/>
        <v>0</v>
      </c>
      <c r="Y80" s="60">
        <f t="shared" si="29"/>
        <v>0</v>
      </c>
      <c r="Z80" s="60">
        <f t="shared" si="29"/>
        <v>0</v>
      </c>
      <c r="AA80" s="60">
        <f t="shared" si="29"/>
        <v>0</v>
      </c>
      <c r="AB80" s="60">
        <f t="shared" si="29"/>
        <v>0</v>
      </c>
      <c r="AC80" s="60">
        <f t="shared" si="29"/>
        <v>0</v>
      </c>
      <c r="AD80" s="60">
        <f t="shared" si="29"/>
        <v>0</v>
      </c>
      <c r="AE80" s="58">
        <f t="shared" si="29"/>
        <v>95266.35</v>
      </c>
      <c r="AF80" s="58">
        <f t="shared" si="29"/>
        <v>0</v>
      </c>
      <c r="AG80" s="60">
        <f t="shared" si="29"/>
        <v>0</v>
      </c>
      <c r="AH80" s="63" t="s">
        <v>835</v>
      </c>
      <c r="AI80" s="63" t="s">
        <v>835</v>
      </c>
      <c r="AJ80" s="63" t="s">
        <v>835</v>
      </c>
    </row>
    <row r="81" spans="1:40" s="7" customFormat="1" ht="61.5" x14ac:dyDescent="0.85">
      <c r="A81" s="7">
        <v>1</v>
      </c>
      <c r="B81" s="59">
        <f>SUBTOTAL(103,$A$81:A81)</f>
        <v>1</v>
      </c>
      <c r="C81" s="160" t="s">
        <v>725</v>
      </c>
      <c r="D81" s="276" t="s">
        <v>979</v>
      </c>
      <c r="E81" s="97">
        <v>1.0064</v>
      </c>
      <c r="F81" s="60">
        <f>G81+H81+I81+J81+K81+L81+N81+P81+R81+T81+V81+W81+X81+Y81+Z81+AA81+AB81+AC81+AD81+AE81+AF81+AG81</f>
        <v>2786404.0300000003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168">
        <v>0</v>
      </c>
      <c r="N81" s="60">
        <v>0</v>
      </c>
      <c r="O81" s="60">
        <v>478.5</v>
      </c>
      <c r="P81" s="60">
        <v>2750917.2</v>
      </c>
      <c r="Q81" s="60">
        <v>0</v>
      </c>
      <c r="R81" s="60">
        <v>0</v>
      </c>
      <c r="S81" s="60">
        <v>0</v>
      </c>
      <c r="T81" s="60">
        <v>0</v>
      </c>
      <c r="U81" s="60">
        <v>0</v>
      </c>
      <c r="V81" s="60">
        <v>0</v>
      </c>
      <c r="W81" s="60">
        <v>0</v>
      </c>
      <c r="X81" s="60">
        <v>0</v>
      </c>
      <c r="Y81" s="60">
        <v>0</v>
      </c>
      <c r="Z81" s="60">
        <v>0</v>
      </c>
      <c r="AA81" s="60">
        <v>0</v>
      </c>
      <c r="AB81" s="60">
        <v>0</v>
      </c>
      <c r="AC81" s="60">
        <v>0</v>
      </c>
      <c r="AD81" s="60">
        <v>0</v>
      </c>
      <c r="AE81" s="58">
        <v>35486.83</v>
      </c>
      <c r="AF81" s="58">
        <v>0</v>
      </c>
      <c r="AG81" s="60">
        <v>0</v>
      </c>
      <c r="AH81" s="63" t="s">
        <v>257</v>
      </c>
      <c r="AI81" s="63">
        <v>2022</v>
      </c>
      <c r="AJ81" s="63">
        <v>2022</v>
      </c>
    </row>
    <row r="82" spans="1:40" s="7" customFormat="1" ht="61.5" x14ac:dyDescent="0.85">
      <c r="A82" s="7">
        <v>1</v>
      </c>
      <c r="B82" s="59">
        <f>SUBTOTAL(103,$A$81:A82)</f>
        <v>2</v>
      </c>
      <c r="C82" s="160" t="s">
        <v>733</v>
      </c>
      <c r="D82" s="276" t="s">
        <v>979</v>
      </c>
      <c r="E82" s="97">
        <v>1.0185999999999999</v>
      </c>
      <c r="F82" s="60">
        <f>G82+H82+I82+J82+K82+L82+N82+P82+R82+T82+V82+W82+X82+Y82+Z82+AA82+AB82+AC82+AD82+AE82+AF82+AG82</f>
        <v>4693851.5199999996</v>
      </c>
      <c r="G82" s="60">
        <v>0</v>
      </c>
      <c r="H82" s="60">
        <v>0</v>
      </c>
      <c r="I82" s="60">
        <v>0</v>
      </c>
      <c r="J82" s="60">
        <v>0</v>
      </c>
      <c r="K82" s="60">
        <v>0</v>
      </c>
      <c r="L82" s="60">
        <v>0</v>
      </c>
      <c r="M82" s="168">
        <v>0</v>
      </c>
      <c r="N82" s="60">
        <v>0</v>
      </c>
      <c r="O82" s="60">
        <v>518.88</v>
      </c>
      <c r="P82" s="60">
        <v>4634072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0">
        <v>0</v>
      </c>
      <c r="W82" s="60">
        <v>0</v>
      </c>
      <c r="X82" s="60">
        <v>0</v>
      </c>
      <c r="Y82" s="60">
        <v>0</v>
      </c>
      <c r="Z82" s="60">
        <v>0</v>
      </c>
      <c r="AA82" s="60">
        <v>0</v>
      </c>
      <c r="AB82" s="60">
        <v>0</v>
      </c>
      <c r="AC82" s="60">
        <v>0</v>
      </c>
      <c r="AD82" s="60">
        <v>0</v>
      </c>
      <c r="AE82" s="58">
        <v>59779.519999999997</v>
      </c>
      <c r="AF82" s="58">
        <v>0</v>
      </c>
      <c r="AG82" s="60">
        <v>0</v>
      </c>
      <c r="AH82" s="63" t="s">
        <v>257</v>
      </c>
      <c r="AI82" s="63">
        <v>2022</v>
      </c>
      <c r="AJ82" s="63">
        <v>2022</v>
      </c>
    </row>
    <row r="83" spans="1:40" s="7" customFormat="1" ht="61.5" x14ac:dyDescent="0.85">
      <c r="B83" s="277" t="s">
        <v>986</v>
      </c>
      <c r="C83" s="160"/>
      <c r="D83" s="276" t="s">
        <v>835</v>
      </c>
      <c r="E83" s="97">
        <f>AVERAGE(E84:E84)</f>
        <v>1.0385</v>
      </c>
      <c r="F83" s="177">
        <f t="shared" ref="F83:AG83" si="30">SUM(F84:F84)</f>
        <v>2215379.62</v>
      </c>
      <c r="G83" s="60">
        <f t="shared" si="30"/>
        <v>0</v>
      </c>
      <c r="H83" s="60">
        <f t="shared" si="30"/>
        <v>0</v>
      </c>
      <c r="I83" s="60">
        <f t="shared" si="30"/>
        <v>0</v>
      </c>
      <c r="J83" s="60">
        <f t="shared" si="30"/>
        <v>0</v>
      </c>
      <c r="K83" s="60">
        <f t="shared" si="30"/>
        <v>0</v>
      </c>
      <c r="L83" s="60">
        <f t="shared" si="30"/>
        <v>0</v>
      </c>
      <c r="M83" s="168">
        <f t="shared" si="30"/>
        <v>0</v>
      </c>
      <c r="N83" s="60">
        <f t="shared" si="30"/>
        <v>0</v>
      </c>
      <c r="O83" s="60">
        <f t="shared" si="30"/>
        <v>387</v>
      </c>
      <c r="P83" s="60">
        <f t="shared" si="30"/>
        <v>2201182</v>
      </c>
      <c r="Q83" s="60">
        <f t="shared" si="30"/>
        <v>0</v>
      </c>
      <c r="R83" s="60">
        <f t="shared" si="30"/>
        <v>0</v>
      </c>
      <c r="S83" s="60">
        <f t="shared" si="30"/>
        <v>0</v>
      </c>
      <c r="T83" s="60">
        <f t="shared" si="30"/>
        <v>0</v>
      </c>
      <c r="U83" s="60">
        <f t="shared" si="30"/>
        <v>0</v>
      </c>
      <c r="V83" s="60">
        <f t="shared" si="30"/>
        <v>0</v>
      </c>
      <c r="W83" s="60">
        <f t="shared" si="30"/>
        <v>0</v>
      </c>
      <c r="X83" s="60">
        <f t="shared" si="30"/>
        <v>0</v>
      </c>
      <c r="Y83" s="60">
        <f t="shared" si="30"/>
        <v>0</v>
      </c>
      <c r="Z83" s="60">
        <f t="shared" si="30"/>
        <v>0</v>
      </c>
      <c r="AA83" s="60">
        <f t="shared" si="30"/>
        <v>0</v>
      </c>
      <c r="AB83" s="60">
        <f t="shared" si="30"/>
        <v>0</v>
      </c>
      <c r="AC83" s="60">
        <f t="shared" si="30"/>
        <v>0</v>
      </c>
      <c r="AD83" s="60">
        <f t="shared" si="30"/>
        <v>0</v>
      </c>
      <c r="AE83" s="58">
        <f t="shared" si="30"/>
        <v>14197.62</v>
      </c>
      <c r="AF83" s="58">
        <f t="shared" si="30"/>
        <v>0</v>
      </c>
      <c r="AG83" s="60">
        <f t="shared" si="30"/>
        <v>0</v>
      </c>
      <c r="AH83" s="63" t="s">
        <v>835</v>
      </c>
      <c r="AI83" s="63" t="s">
        <v>835</v>
      </c>
      <c r="AJ83" s="63" t="s">
        <v>835</v>
      </c>
    </row>
    <row r="84" spans="1:40" s="7" customFormat="1" ht="61.5" x14ac:dyDescent="0.85">
      <c r="A84" s="7">
        <v>1</v>
      </c>
      <c r="B84" s="59">
        <f>SUBTOTAL(103,$A$81:A84)</f>
        <v>3</v>
      </c>
      <c r="C84" s="160" t="s">
        <v>1807</v>
      </c>
      <c r="D84" s="276" t="s">
        <v>980</v>
      </c>
      <c r="E84" s="97">
        <v>1.0385</v>
      </c>
      <c r="F84" s="60">
        <f>G84+H84+I84+J84+K84+L84+N84+P84+R84+T84+V84+W84+X84+Y84+Z84+AA84+AB84+AC84+AD84+AE84+AF84+AG84</f>
        <v>2215379.62</v>
      </c>
      <c r="G84" s="60">
        <v>0</v>
      </c>
      <c r="H84" s="60">
        <v>0</v>
      </c>
      <c r="I84" s="60">
        <v>0</v>
      </c>
      <c r="J84" s="60">
        <v>0</v>
      </c>
      <c r="K84" s="60">
        <v>0</v>
      </c>
      <c r="L84" s="60">
        <v>0</v>
      </c>
      <c r="M84" s="168">
        <v>0</v>
      </c>
      <c r="N84" s="60">
        <v>0</v>
      </c>
      <c r="O84" s="60">
        <v>387</v>
      </c>
      <c r="P84" s="60">
        <v>2201182</v>
      </c>
      <c r="Q84" s="60">
        <v>0</v>
      </c>
      <c r="R84" s="60">
        <v>0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60">
        <v>0</v>
      </c>
      <c r="Y84" s="60">
        <v>0</v>
      </c>
      <c r="Z84" s="60">
        <v>0</v>
      </c>
      <c r="AA84" s="60">
        <v>0</v>
      </c>
      <c r="AB84" s="60">
        <v>0</v>
      </c>
      <c r="AC84" s="60">
        <v>0</v>
      </c>
      <c r="AD84" s="60">
        <v>0</v>
      </c>
      <c r="AE84" s="60">
        <v>14197.62</v>
      </c>
      <c r="AF84" s="58">
        <v>0</v>
      </c>
      <c r="AG84" s="60">
        <v>0</v>
      </c>
      <c r="AH84" s="63" t="s">
        <v>257</v>
      </c>
      <c r="AI84" s="63">
        <v>2022</v>
      </c>
      <c r="AJ84" s="63">
        <v>2022</v>
      </c>
    </row>
    <row r="85" spans="1:40" s="7" customFormat="1" ht="61.5" x14ac:dyDescent="0.85">
      <c r="B85" s="277" t="s">
        <v>796</v>
      </c>
      <c r="C85" s="160"/>
      <c r="D85" s="276" t="s">
        <v>835</v>
      </c>
      <c r="E85" s="97">
        <f>AVERAGE(E86)</f>
        <v>1.008</v>
      </c>
      <c r="F85" s="177">
        <f t="shared" ref="F85:AG85" si="31">F86</f>
        <v>3391766.52</v>
      </c>
      <c r="G85" s="60">
        <f t="shared" si="31"/>
        <v>0</v>
      </c>
      <c r="H85" s="60">
        <f t="shared" si="31"/>
        <v>0</v>
      </c>
      <c r="I85" s="60">
        <f t="shared" si="31"/>
        <v>0</v>
      </c>
      <c r="J85" s="60">
        <f t="shared" si="31"/>
        <v>0</v>
      </c>
      <c r="K85" s="60">
        <f t="shared" si="31"/>
        <v>0</v>
      </c>
      <c r="L85" s="60">
        <f t="shared" si="31"/>
        <v>0</v>
      </c>
      <c r="M85" s="168">
        <f t="shared" si="31"/>
        <v>0</v>
      </c>
      <c r="N85" s="60">
        <f t="shared" si="31"/>
        <v>0</v>
      </c>
      <c r="O85" s="60">
        <f t="shared" si="31"/>
        <v>425.75</v>
      </c>
      <c r="P85" s="60">
        <f t="shared" si="31"/>
        <v>3322792</v>
      </c>
      <c r="Q85" s="60">
        <f t="shared" si="31"/>
        <v>0</v>
      </c>
      <c r="R85" s="60">
        <f t="shared" si="31"/>
        <v>0</v>
      </c>
      <c r="S85" s="60">
        <f t="shared" si="31"/>
        <v>0</v>
      </c>
      <c r="T85" s="60">
        <f t="shared" si="31"/>
        <v>0</v>
      </c>
      <c r="U85" s="60">
        <f t="shared" si="31"/>
        <v>0</v>
      </c>
      <c r="V85" s="60">
        <f t="shared" si="31"/>
        <v>0</v>
      </c>
      <c r="W85" s="60">
        <f t="shared" si="31"/>
        <v>0</v>
      </c>
      <c r="X85" s="60">
        <f t="shared" si="31"/>
        <v>0</v>
      </c>
      <c r="Y85" s="60">
        <f t="shared" si="31"/>
        <v>0</v>
      </c>
      <c r="Z85" s="60">
        <f t="shared" si="31"/>
        <v>0</v>
      </c>
      <c r="AA85" s="60">
        <f t="shared" si="31"/>
        <v>0</v>
      </c>
      <c r="AB85" s="60">
        <f t="shared" si="31"/>
        <v>0</v>
      </c>
      <c r="AC85" s="60">
        <f t="shared" si="31"/>
        <v>0</v>
      </c>
      <c r="AD85" s="60">
        <f t="shared" si="31"/>
        <v>0</v>
      </c>
      <c r="AE85" s="58">
        <f t="shared" si="31"/>
        <v>68974.52</v>
      </c>
      <c r="AF85" s="58">
        <f t="shared" si="31"/>
        <v>0</v>
      </c>
      <c r="AG85" s="60">
        <f t="shared" si="31"/>
        <v>0</v>
      </c>
      <c r="AH85" s="63" t="s">
        <v>835</v>
      </c>
      <c r="AI85" s="63" t="s">
        <v>835</v>
      </c>
      <c r="AJ85" s="63" t="s">
        <v>835</v>
      </c>
    </row>
    <row r="86" spans="1:40" s="7" customFormat="1" ht="61.5" x14ac:dyDescent="0.85">
      <c r="A86" s="7">
        <v>1</v>
      </c>
      <c r="B86" s="59">
        <f>SUBTOTAL(103,$A$81:A86)</f>
        <v>4</v>
      </c>
      <c r="C86" s="160" t="s">
        <v>972</v>
      </c>
      <c r="D86" s="276" t="s">
        <v>978</v>
      </c>
      <c r="E86" s="97">
        <v>1.008</v>
      </c>
      <c r="F86" s="60">
        <f>G86+H86+I86+J86+K86+L86+N86+P86+R86+T86+V86+W86+X86+Y86+Z86+AA86+AB86+AC86+AD86+AE86+AF86+AG86</f>
        <v>3391766.52</v>
      </c>
      <c r="G86" s="60">
        <v>0</v>
      </c>
      <c r="H86" s="60">
        <v>0</v>
      </c>
      <c r="I86" s="60">
        <v>0</v>
      </c>
      <c r="J86" s="60">
        <v>0</v>
      </c>
      <c r="K86" s="60">
        <v>0</v>
      </c>
      <c r="L86" s="60">
        <v>0</v>
      </c>
      <c r="M86" s="168">
        <v>0</v>
      </c>
      <c r="N86" s="60">
        <v>0</v>
      </c>
      <c r="O86" s="62">
        <v>425.75</v>
      </c>
      <c r="P86" s="62">
        <v>3322792</v>
      </c>
      <c r="Q86" s="60">
        <v>0</v>
      </c>
      <c r="R86" s="60">
        <v>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60">
        <v>0</v>
      </c>
      <c r="Y86" s="60">
        <v>0</v>
      </c>
      <c r="Z86" s="60">
        <v>0</v>
      </c>
      <c r="AA86" s="60">
        <v>0</v>
      </c>
      <c r="AB86" s="60">
        <v>0</v>
      </c>
      <c r="AC86" s="60">
        <v>0</v>
      </c>
      <c r="AD86" s="60">
        <v>0</v>
      </c>
      <c r="AE86" s="58">
        <f>ROUND(P86*2.0758%,2)</f>
        <v>68974.52</v>
      </c>
      <c r="AF86" s="58">
        <v>0</v>
      </c>
      <c r="AG86" s="60">
        <v>0</v>
      </c>
      <c r="AH86" s="63" t="s">
        <v>257</v>
      </c>
      <c r="AI86" s="63">
        <v>2022</v>
      </c>
      <c r="AJ86" s="63">
        <v>2022</v>
      </c>
    </row>
    <row r="87" spans="1:40" s="7" customFormat="1" ht="61.5" x14ac:dyDescent="0.85">
      <c r="B87" s="277" t="s">
        <v>779</v>
      </c>
      <c r="C87" s="160"/>
      <c r="D87" s="276" t="s">
        <v>835</v>
      </c>
      <c r="E87" s="97">
        <f t="shared" ref="E87:AG87" si="32">E88</f>
        <v>1.009761876417796</v>
      </c>
      <c r="F87" s="177">
        <f t="shared" si="32"/>
        <v>5730244.9099999992</v>
      </c>
      <c r="G87" s="60">
        <f t="shared" si="32"/>
        <v>0</v>
      </c>
      <c r="H87" s="60">
        <f t="shared" si="32"/>
        <v>0</v>
      </c>
      <c r="I87" s="60">
        <f t="shared" si="32"/>
        <v>0</v>
      </c>
      <c r="J87" s="60">
        <f t="shared" si="32"/>
        <v>0</v>
      </c>
      <c r="K87" s="60">
        <f t="shared" si="32"/>
        <v>0</v>
      </c>
      <c r="L87" s="60">
        <f t="shared" si="32"/>
        <v>0</v>
      </c>
      <c r="M87" s="168">
        <f t="shared" si="32"/>
        <v>0</v>
      </c>
      <c r="N87" s="60">
        <f t="shared" si="32"/>
        <v>0</v>
      </c>
      <c r="O87" s="60">
        <f t="shared" si="32"/>
        <v>830.51</v>
      </c>
      <c r="P87" s="60">
        <f t="shared" si="32"/>
        <v>5674071.5999999996</v>
      </c>
      <c r="Q87" s="60">
        <f t="shared" si="32"/>
        <v>0</v>
      </c>
      <c r="R87" s="60">
        <f t="shared" si="32"/>
        <v>0</v>
      </c>
      <c r="S87" s="60">
        <f t="shared" si="32"/>
        <v>0</v>
      </c>
      <c r="T87" s="60">
        <f t="shared" si="32"/>
        <v>0</v>
      </c>
      <c r="U87" s="60">
        <f t="shared" si="32"/>
        <v>0</v>
      </c>
      <c r="V87" s="60">
        <f t="shared" si="32"/>
        <v>0</v>
      </c>
      <c r="W87" s="60">
        <f t="shared" si="32"/>
        <v>0</v>
      </c>
      <c r="X87" s="60">
        <f t="shared" si="32"/>
        <v>0</v>
      </c>
      <c r="Y87" s="60">
        <f t="shared" si="32"/>
        <v>0</v>
      </c>
      <c r="Z87" s="60">
        <f t="shared" si="32"/>
        <v>0</v>
      </c>
      <c r="AA87" s="60">
        <f t="shared" si="32"/>
        <v>0</v>
      </c>
      <c r="AB87" s="60">
        <f t="shared" si="32"/>
        <v>0</v>
      </c>
      <c r="AC87" s="60">
        <f t="shared" si="32"/>
        <v>0</v>
      </c>
      <c r="AD87" s="60">
        <f t="shared" si="32"/>
        <v>0</v>
      </c>
      <c r="AE87" s="60">
        <f t="shared" si="32"/>
        <v>56173.31</v>
      </c>
      <c r="AF87" s="60">
        <f t="shared" si="32"/>
        <v>0</v>
      </c>
      <c r="AG87" s="60">
        <f t="shared" si="32"/>
        <v>0</v>
      </c>
      <c r="AH87" s="63" t="s">
        <v>835</v>
      </c>
      <c r="AI87" s="63" t="s">
        <v>835</v>
      </c>
      <c r="AJ87" s="63" t="s">
        <v>835</v>
      </c>
    </row>
    <row r="88" spans="1:40" s="7" customFormat="1" ht="61.5" x14ac:dyDescent="0.85">
      <c r="A88" s="7">
        <v>1</v>
      </c>
      <c r="B88" s="59">
        <f>SUBTOTAL(103,$A$81:A88)</f>
        <v>5</v>
      </c>
      <c r="C88" s="160" t="s">
        <v>3539</v>
      </c>
      <c r="D88" s="276" t="s">
        <v>982</v>
      </c>
      <c r="E88" s="97">
        <v>1.009761876417796</v>
      </c>
      <c r="F88" s="60">
        <f>G88+H88+I88+J88+K88+L88+N88+P88+R88+T88+V88+W88+X88+Y88+Z88+AA88+AB88+AC88+AD88+AE88+AF88+AG88</f>
        <v>5730244.9099999992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168">
        <v>0</v>
      </c>
      <c r="N88" s="60">
        <v>0</v>
      </c>
      <c r="O88" s="62">
        <v>830.51</v>
      </c>
      <c r="P88" s="62">
        <v>5674071.5999999996</v>
      </c>
      <c r="Q88" s="60">
        <v>0</v>
      </c>
      <c r="R88" s="60">
        <v>0</v>
      </c>
      <c r="S88" s="60">
        <v>0</v>
      </c>
      <c r="T88" s="60">
        <v>0</v>
      </c>
      <c r="U88" s="60">
        <v>0</v>
      </c>
      <c r="V88" s="60">
        <v>0</v>
      </c>
      <c r="W88" s="60">
        <v>0</v>
      </c>
      <c r="X88" s="60">
        <v>0</v>
      </c>
      <c r="Y88" s="60">
        <v>0</v>
      </c>
      <c r="Z88" s="60">
        <v>0</v>
      </c>
      <c r="AA88" s="60">
        <v>0</v>
      </c>
      <c r="AB88" s="60">
        <v>0</v>
      </c>
      <c r="AC88" s="60">
        <v>0</v>
      </c>
      <c r="AD88" s="60">
        <v>0</v>
      </c>
      <c r="AE88" s="60">
        <v>56173.31</v>
      </c>
      <c r="AF88" s="58">
        <v>0</v>
      </c>
      <c r="AG88" s="60">
        <v>0</v>
      </c>
      <c r="AH88" s="63" t="s">
        <v>257</v>
      </c>
      <c r="AI88" s="63">
        <v>2022</v>
      </c>
      <c r="AJ88" s="63">
        <v>2022</v>
      </c>
    </row>
    <row r="89" spans="1:40" s="7" customFormat="1" ht="61.5" x14ac:dyDescent="0.85">
      <c r="B89" s="277" t="s">
        <v>1594</v>
      </c>
      <c r="C89" s="160"/>
      <c r="D89" s="276" t="s">
        <v>835</v>
      </c>
      <c r="E89" s="97">
        <f>AVERAGE(E90)</f>
        <v>1.0524</v>
      </c>
      <c r="F89" s="177">
        <f t="shared" ref="F89:AG89" si="33">F90</f>
        <v>3987378.77</v>
      </c>
      <c r="G89" s="60">
        <f t="shared" si="33"/>
        <v>0</v>
      </c>
      <c r="H89" s="60">
        <f t="shared" si="33"/>
        <v>0</v>
      </c>
      <c r="I89" s="60">
        <f t="shared" si="33"/>
        <v>0</v>
      </c>
      <c r="J89" s="60">
        <f t="shared" si="33"/>
        <v>0</v>
      </c>
      <c r="K89" s="60">
        <f t="shared" si="33"/>
        <v>0</v>
      </c>
      <c r="L89" s="60">
        <f t="shared" si="33"/>
        <v>0</v>
      </c>
      <c r="M89" s="168">
        <f t="shared" si="33"/>
        <v>0</v>
      </c>
      <c r="N89" s="60">
        <f t="shared" si="33"/>
        <v>0</v>
      </c>
      <c r="O89" s="60">
        <f t="shared" si="33"/>
        <v>633</v>
      </c>
      <c r="P89" s="60">
        <f t="shared" si="33"/>
        <v>3961825</v>
      </c>
      <c r="Q89" s="60">
        <f t="shared" si="33"/>
        <v>0</v>
      </c>
      <c r="R89" s="60">
        <f t="shared" si="33"/>
        <v>0</v>
      </c>
      <c r="S89" s="60">
        <f t="shared" si="33"/>
        <v>0</v>
      </c>
      <c r="T89" s="60">
        <f t="shared" si="33"/>
        <v>0</v>
      </c>
      <c r="U89" s="60">
        <f t="shared" si="33"/>
        <v>0</v>
      </c>
      <c r="V89" s="60">
        <f t="shared" si="33"/>
        <v>0</v>
      </c>
      <c r="W89" s="60">
        <f t="shared" si="33"/>
        <v>0</v>
      </c>
      <c r="X89" s="60">
        <f t="shared" si="33"/>
        <v>0</v>
      </c>
      <c r="Y89" s="60">
        <f t="shared" si="33"/>
        <v>0</v>
      </c>
      <c r="Z89" s="60">
        <f t="shared" si="33"/>
        <v>0</v>
      </c>
      <c r="AA89" s="60">
        <f t="shared" si="33"/>
        <v>0</v>
      </c>
      <c r="AB89" s="60">
        <f t="shared" si="33"/>
        <v>0</v>
      </c>
      <c r="AC89" s="60">
        <f t="shared" si="33"/>
        <v>0</v>
      </c>
      <c r="AD89" s="60">
        <f t="shared" si="33"/>
        <v>0</v>
      </c>
      <c r="AE89" s="58">
        <f t="shared" si="33"/>
        <v>25553.77</v>
      </c>
      <c r="AF89" s="58">
        <f t="shared" si="33"/>
        <v>0</v>
      </c>
      <c r="AG89" s="60">
        <f t="shared" si="33"/>
        <v>0</v>
      </c>
      <c r="AH89" s="63" t="s">
        <v>835</v>
      </c>
      <c r="AI89" s="63" t="s">
        <v>835</v>
      </c>
      <c r="AJ89" s="63" t="s">
        <v>835</v>
      </c>
    </row>
    <row r="90" spans="1:40" s="7" customFormat="1" ht="61.5" x14ac:dyDescent="0.85">
      <c r="A90" s="7">
        <v>1</v>
      </c>
      <c r="B90" s="59">
        <f>SUBTOTAL(103,$A$81:A90)</f>
        <v>6</v>
      </c>
      <c r="C90" s="160" t="s">
        <v>1593</v>
      </c>
      <c r="D90" s="276" t="s">
        <v>980</v>
      </c>
      <c r="E90" s="97">
        <v>1.0524</v>
      </c>
      <c r="F90" s="60">
        <f>G90+H90+I90+J90+K90+L90+N90+P90+R90+T90+V90+W90+X90+Y90+Z90+AA90+AB90+AC90+AD90+AE90+AF90+AG90</f>
        <v>3987378.77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168">
        <v>0</v>
      </c>
      <c r="N90" s="60">
        <v>0</v>
      </c>
      <c r="O90" s="60">
        <v>633</v>
      </c>
      <c r="P90" s="60">
        <v>3961825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60">
        <v>0</v>
      </c>
      <c r="Y90" s="60">
        <v>0</v>
      </c>
      <c r="Z90" s="60">
        <v>0</v>
      </c>
      <c r="AA90" s="60">
        <v>0</v>
      </c>
      <c r="AB90" s="60">
        <v>0</v>
      </c>
      <c r="AC90" s="60">
        <v>0</v>
      </c>
      <c r="AD90" s="60">
        <v>0</v>
      </c>
      <c r="AE90" s="58">
        <v>25553.77</v>
      </c>
      <c r="AF90" s="58">
        <v>0</v>
      </c>
      <c r="AG90" s="60">
        <v>0</v>
      </c>
      <c r="AH90" s="63" t="s">
        <v>257</v>
      </c>
      <c r="AI90" s="63">
        <v>2022</v>
      </c>
      <c r="AJ90" s="63">
        <v>2022</v>
      </c>
    </row>
    <row r="91" spans="1:40" ht="61.5" x14ac:dyDescent="0.25">
      <c r="B91" s="414" t="s">
        <v>1323</v>
      </c>
      <c r="C91" s="414"/>
      <c r="D91" s="414"/>
      <c r="E91" s="414"/>
      <c r="F91" s="414"/>
      <c r="G91" s="414"/>
      <c r="H91" s="414"/>
      <c r="I91" s="414"/>
      <c r="J91" s="414"/>
      <c r="K91" s="414"/>
      <c r="L91" s="414"/>
      <c r="M91" s="414"/>
      <c r="N91" s="414"/>
      <c r="O91" s="414"/>
      <c r="P91" s="414"/>
      <c r="Q91" s="414"/>
      <c r="R91" s="414"/>
      <c r="S91" s="414"/>
      <c r="T91" s="414"/>
      <c r="U91" s="414"/>
      <c r="V91" s="414"/>
      <c r="W91" s="414"/>
      <c r="X91" s="414"/>
      <c r="Y91" s="414"/>
      <c r="Z91" s="414"/>
      <c r="AA91" s="414"/>
      <c r="AB91" s="414"/>
      <c r="AC91" s="414"/>
      <c r="AD91" s="414"/>
      <c r="AE91" s="414"/>
      <c r="AF91" s="414"/>
      <c r="AG91" s="414"/>
      <c r="AH91" s="414"/>
      <c r="AI91" s="414"/>
      <c r="AJ91" s="414"/>
    </row>
    <row r="92" spans="1:40" ht="61.5" x14ac:dyDescent="0.85">
      <c r="B92" s="412" t="s">
        <v>989</v>
      </c>
      <c r="C92" s="413"/>
      <c r="D92" s="282" t="s">
        <v>835</v>
      </c>
      <c r="E92" s="97">
        <v>0.89549999999999996</v>
      </c>
      <c r="F92" s="177">
        <f>F93+F100+F104+F120+F128+F132+F147+F162+F168+F171+F173+F175+F180+F183+F185+F187+F191+F194+F196+F198+F200+F202+F205+F207+F209+F211</f>
        <v>39753305.280000001</v>
      </c>
      <c r="G92" s="60">
        <f t="shared" ref="G92:AG92" si="34">G93+G100+G104+G120+G128+G132+G147+G162+G168+G171+G173+G175+G180+G183+G185+G187+G191+G194+G196+G198+G200+G202+G205+G207+G209+G211</f>
        <v>0</v>
      </c>
      <c r="H92" s="60">
        <f t="shared" si="34"/>
        <v>0</v>
      </c>
      <c r="I92" s="60">
        <f t="shared" si="34"/>
        <v>0</v>
      </c>
      <c r="J92" s="60">
        <f t="shared" si="34"/>
        <v>0</v>
      </c>
      <c r="K92" s="60">
        <f t="shared" si="34"/>
        <v>44750</v>
      </c>
      <c r="L92" s="60">
        <f t="shared" si="34"/>
        <v>0</v>
      </c>
      <c r="M92" s="168">
        <f t="shared" si="34"/>
        <v>0</v>
      </c>
      <c r="N92" s="60">
        <f t="shared" si="34"/>
        <v>0</v>
      </c>
      <c r="O92" s="60">
        <f t="shared" si="34"/>
        <v>68980.950000000012</v>
      </c>
      <c r="P92" s="60">
        <f t="shared" si="34"/>
        <v>37451724.239999995</v>
      </c>
      <c r="Q92" s="60">
        <f t="shared" si="34"/>
        <v>0</v>
      </c>
      <c r="R92" s="60">
        <f t="shared" si="34"/>
        <v>0</v>
      </c>
      <c r="S92" s="60">
        <f t="shared" si="34"/>
        <v>3996.6400000000003</v>
      </c>
      <c r="T92" s="60">
        <f t="shared" si="34"/>
        <v>1145030.2100000002</v>
      </c>
      <c r="U92" s="60">
        <f t="shared" si="34"/>
        <v>143.80000000000001</v>
      </c>
      <c r="V92" s="60">
        <f t="shared" si="34"/>
        <v>109992</v>
      </c>
      <c r="W92" s="60">
        <f t="shared" si="34"/>
        <v>0</v>
      </c>
      <c r="X92" s="60">
        <f t="shared" si="34"/>
        <v>426031.78</v>
      </c>
      <c r="Y92" s="60">
        <f t="shared" si="34"/>
        <v>0</v>
      </c>
      <c r="Z92" s="60">
        <f t="shared" si="34"/>
        <v>0</v>
      </c>
      <c r="AA92" s="60">
        <f t="shared" si="34"/>
        <v>0</v>
      </c>
      <c r="AB92" s="60">
        <f t="shared" si="34"/>
        <v>0</v>
      </c>
      <c r="AC92" s="60">
        <f t="shared" si="34"/>
        <v>0</v>
      </c>
      <c r="AD92" s="60">
        <f t="shared" si="34"/>
        <v>0</v>
      </c>
      <c r="AE92" s="60">
        <f t="shared" si="34"/>
        <v>486194.31000000006</v>
      </c>
      <c r="AF92" s="60">
        <f t="shared" si="34"/>
        <v>89582.74</v>
      </c>
      <c r="AG92" s="60">
        <f t="shared" si="34"/>
        <v>0</v>
      </c>
      <c r="AH92" s="98" t="s">
        <v>835</v>
      </c>
      <c r="AI92" s="98" t="s">
        <v>835</v>
      </c>
      <c r="AJ92" s="98" t="s">
        <v>835</v>
      </c>
    </row>
    <row r="93" spans="1:40" ht="62.25" x14ac:dyDescent="0.9">
      <c r="B93" s="283" t="s">
        <v>760</v>
      </c>
      <c r="C93" s="284"/>
      <c r="D93" s="99" t="s">
        <v>835</v>
      </c>
      <c r="E93" s="97">
        <f>AVERAGE(E94:E99)</f>
        <v>0.82381693240432963</v>
      </c>
      <c r="F93" s="177">
        <f t="shared" ref="F93:AG93" si="35">SUM(F94:F99)</f>
        <v>3100093.7600000002</v>
      </c>
      <c r="G93" s="60">
        <f t="shared" si="35"/>
        <v>0</v>
      </c>
      <c r="H93" s="60">
        <f t="shared" si="35"/>
        <v>0</v>
      </c>
      <c r="I93" s="60">
        <f t="shared" si="35"/>
        <v>0</v>
      </c>
      <c r="J93" s="60">
        <f t="shared" si="35"/>
        <v>0</v>
      </c>
      <c r="K93" s="60">
        <f t="shared" si="35"/>
        <v>0</v>
      </c>
      <c r="L93" s="60">
        <f t="shared" si="35"/>
        <v>0</v>
      </c>
      <c r="M93" s="61">
        <f t="shared" si="35"/>
        <v>0</v>
      </c>
      <c r="N93" s="60">
        <f t="shared" si="35"/>
        <v>0</v>
      </c>
      <c r="O93" s="60">
        <f t="shared" si="35"/>
        <v>4824.3</v>
      </c>
      <c r="P93" s="60">
        <f t="shared" si="35"/>
        <v>2698471.5</v>
      </c>
      <c r="Q93" s="60">
        <f t="shared" si="35"/>
        <v>0</v>
      </c>
      <c r="R93" s="60">
        <f t="shared" si="35"/>
        <v>0</v>
      </c>
      <c r="S93" s="60">
        <f t="shared" si="35"/>
        <v>0</v>
      </c>
      <c r="T93" s="60">
        <f t="shared" si="35"/>
        <v>0</v>
      </c>
      <c r="U93" s="60">
        <f t="shared" si="35"/>
        <v>0</v>
      </c>
      <c r="V93" s="60">
        <f t="shared" si="35"/>
        <v>0</v>
      </c>
      <c r="W93" s="60">
        <f t="shared" si="35"/>
        <v>0</v>
      </c>
      <c r="X93" s="60">
        <f t="shared" si="35"/>
        <v>356033.78</v>
      </c>
      <c r="Y93" s="60">
        <f t="shared" si="35"/>
        <v>0</v>
      </c>
      <c r="Z93" s="60">
        <f t="shared" si="35"/>
        <v>0</v>
      </c>
      <c r="AA93" s="60">
        <f t="shared" si="35"/>
        <v>0</v>
      </c>
      <c r="AB93" s="60">
        <f t="shared" si="35"/>
        <v>0</v>
      </c>
      <c r="AC93" s="60">
        <f t="shared" si="35"/>
        <v>0</v>
      </c>
      <c r="AD93" s="60">
        <f t="shared" si="35"/>
        <v>0</v>
      </c>
      <c r="AE93" s="60">
        <f t="shared" si="35"/>
        <v>45588.480000000003</v>
      </c>
      <c r="AF93" s="60">
        <f t="shared" si="35"/>
        <v>0</v>
      </c>
      <c r="AG93" s="60">
        <f t="shared" si="35"/>
        <v>0</v>
      </c>
      <c r="AH93" s="98" t="s">
        <v>835</v>
      </c>
      <c r="AI93" s="98" t="s">
        <v>835</v>
      </c>
      <c r="AJ93" s="98" t="s">
        <v>835</v>
      </c>
    </row>
    <row r="94" spans="1:40" ht="62.25" x14ac:dyDescent="0.9">
      <c r="A94">
        <v>1</v>
      </c>
      <c r="B94" s="59">
        <f>SUBTOTAL(103,$A$94:A94)</f>
        <v>1</v>
      </c>
      <c r="C94" s="100" t="s">
        <v>579</v>
      </c>
      <c r="D94" s="54" t="s">
        <v>1766</v>
      </c>
      <c r="E94" s="97">
        <v>0.68103653271030484</v>
      </c>
      <c r="F94" s="60">
        <f t="shared" ref="F94:F99" si="36">G94+H94+I94+J94+K94+L94+N94+P94+R94+T94+V94+W94+X94+Y94+Z94+AA94+AB94+AC94+AD94+AE94+AF94+AG94</f>
        <v>546562.15</v>
      </c>
      <c r="G94" s="60">
        <v>0</v>
      </c>
      <c r="H94" s="60">
        <v>0</v>
      </c>
      <c r="I94" s="60">
        <v>0</v>
      </c>
      <c r="J94" s="60">
        <v>0</v>
      </c>
      <c r="K94" s="60">
        <v>0</v>
      </c>
      <c r="L94" s="60">
        <v>0</v>
      </c>
      <c r="M94" s="61">
        <v>0</v>
      </c>
      <c r="N94" s="60">
        <v>0</v>
      </c>
      <c r="O94" s="60">
        <v>851.8</v>
      </c>
      <c r="P94" s="60">
        <v>538524.67000000004</v>
      </c>
      <c r="Q94" s="60">
        <v>0</v>
      </c>
      <c r="R94" s="60">
        <v>0</v>
      </c>
      <c r="S94" s="60">
        <v>0</v>
      </c>
      <c r="T94" s="101">
        <v>0</v>
      </c>
      <c r="U94" s="60">
        <v>0</v>
      </c>
      <c r="V94" s="60">
        <v>0</v>
      </c>
      <c r="W94" s="60">
        <v>0</v>
      </c>
      <c r="X94" s="60">
        <v>0</v>
      </c>
      <c r="Y94" s="60">
        <v>0</v>
      </c>
      <c r="Z94" s="60">
        <v>0</v>
      </c>
      <c r="AA94" s="60">
        <v>0</v>
      </c>
      <c r="AB94" s="60">
        <v>0</v>
      </c>
      <c r="AC94" s="60">
        <v>0</v>
      </c>
      <c r="AD94" s="60">
        <v>0</v>
      </c>
      <c r="AE94" s="60">
        <v>8037.48</v>
      </c>
      <c r="AF94" s="60">
        <v>0</v>
      </c>
      <c r="AG94" s="60">
        <v>0</v>
      </c>
      <c r="AH94" s="98" t="s">
        <v>257</v>
      </c>
      <c r="AI94" s="98">
        <v>2020</v>
      </c>
      <c r="AJ94" s="98">
        <v>2020</v>
      </c>
      <c r="AK94" s="102"/>
      <c r="AL94" s="102"/>
      <c r="AM94" s="102"/>
      <c r="AN94" s="102"/>
    </row>
    <row r="95" spans="1:40" ht="62.25" x14ac:dyDescent="0.9">
      <c r="A95">
        <v>1</v>
      </c>
      <c r="B95" s="59">
        <f>SUBTOTAL(103,$A$94:A95)</f>
        <v>2</v>
      </c>
      <c r="C95" s="100" t="s">
        <v>1327</v>
      </c>
      <c r="D95" s="54" t="s">
        <v>1766</v>
      </c>
      <c r="E95" s="97">
        <v>0.76770000000000005</v>
      </c>
      <c r="F95" s="60">
        <f t="shared" si="36"/>
        <v>491248.27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1">
        <v>0</v>
      </c>
      <c r="N95" s="60">
        <v>0</v>
      </c>
      <c r="O95" s="60">
        <v>901.5</v>
      </c>
      <c r="P95" s="60">
        <v>484024.21</v>
      </c>
      <c r="Q95" s="60">
        <v>0</v>
      </c>
      <c r="R95" s="60">
        <v>0</v>
      </c>
      <c r="S95" s="60">
        <v>0</v>
      </c>
      <c r="T95" s="60">
        <v>0</v>
      </c>
      <c r="U95" s="60">
        <v>0</v>
      </c>
      <c r="V95" s="60">
        <v>0</v>
      </c>
      <c r="W95" s="60">
        <v>0</v>
      </c>
      <c r="X95" s="60">
        <v>0</v>
      </c>
      <c r="Y95" s="60">
        <v>0</v>
      </c>
      <c r="Z95" s="60">
        <v>0</v>
      </c>
      <c r="AA95" s="60">
        <v>0</v>
      </c>
      <c r="AB95" s="60">
        <v>0</v>
      </c>
      <c r="AC95" s="60">
        <v>0</v>
      </c>
      <c r="AD95" s="60">
        <v>0</v>
      </c>
      <c r="AE95" s="60">
        <v>7224.06</v>
      </c>
      <c r="AF95" s="60">
        <v>0</v>
      </c>
      <c r="AG95" s="60">
        <v>0</v>
      </c>
      <c r="AH95" s="98" t="s">
        <v>257</v>
      </c>
      <c r="AI95" s="98">
        <v>2020</v>
      </c>
      <c r="AJ95" s="98">
        <v>2020</v>
      </c>
      <c r="AK95" s="102"/>
      <c r="AL95" s="102"/>
      <c r="AM95" s="102"/>
      <c r="AN95" s="102"/>
    </row>
    <row r="96" spans="1:40" ht="62.25" x14ac:dyDescent="0.9">
      <c r="A96">
        <v>1</v>
      </c>
      <c r="B96" s="59">
        <f>SUBTOTAL(103,$A$94:A96)</f>
        <v>3</v>
      </c>
      <c r="C96" s="100" t="s">
        <v>1328</v>
      </c>
      <c r="D96" s="54" t="s">
        <v>1766</v>
      </c>
      <c r="E96" s="97">
        <v>0.87790000000000001</v>
      </c>
      <c r="F96" s="60">
        <f t="shared" si="36"/>
        <v>1439722.57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v>0</v>
      </c>
      <c r="M96" s="61">
        <v>0</v>
      </c>
      <c r="N96" s="60">
        <v>0</v>
      </c>
      <c r="O96" s="60">
        <v>811</v>
      </c>
      <c r="P96" s="60">
        <v>1418550.7</v>
      </c>
      <c r="Q96" s="60">
        <v>0</v>
      </c>
      <c r="R96" s="60">
        <v>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60">
        <v>0</v>
      </c>
      <c r="Y96" s="60">
        <v>0</v>
      </c>
      <c r="Z96" s="60">
        <v>0</v>
      </c>
      <c r="AA96" s="60">
        <v>0</v>
      </c>
      <c r="AB96" s="60">
        <v>0</v>
      </c>
      <c r="AC96" s="60">
        <v>0</v>
      </c>
      <c r="AD96" s="60">
        <v>0</v>
      </c>
      <c r="AE96" s="60">
        <v>21171.87</v>
      </c>
      <c r="AF96" s="60">
        <v>0</v>
      </c>
      <c r="AG96" s="60">
        <v>0</v>
      </c>
      <c r="AH96" s="98" t="s">
        <v>257</v>
      </c>
      <c r="AI96" s="98">
        <v>2020</v>
      </c>
      <c r="AJ96" s="98">
        <v>2020</v>
      </c>
      <c r="AK96" s="102"/>
      <c r="AL96" s="102"/>
      <c r="AM96" s="102"/>
      <c r="AN96" s="102"/>
    </row>
    <row r="97" spans="1:40" ht="62.25" x14ac:dyDescent="0.9">
      <c r="A97">
        <v>1</v>
      </c>
      <c r="B97" s="59">
        <f>SUBTOTAL(103,$A$94:A97)</f>
        <v>4</v>
      </c>
      <c r="C97" s="100" t="s">
        <v>1329</v>
      </c>
      <c r="D97" s="55" t="s">
        <v>1766</v>
      </c>
      <c r="E97" s="97">
        <v>0.74686506171567224</v>
      </c>
      <c r="F97" s="60">
        <f t="shared" si="36"/>
        <v>361347.58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1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0">
        <v>0</v>
      </c>
      <c r="T97" s="101">
        <v>0</v>
      </c>
      <c r="U97" s="60">
        <v>0</v>
      </c>
      <c r="V97" s="60">
        <v>0</v>
      </c>
      <c r="W97" s="60">
        <v>0</v>
      </c>
      <c r="X97" s="62">
        <v>356033.78</v>
      </c>
      <c r="Y97" s="60">
        <v>0</v>
      </c>
      <c r="Z97" s="60">
        <v>0</v>
      </c>
      <c r="AA97" s="60">
        <v>0</v>
      </c>
      <c r="AB97" s="60">
        <v>0</v>
      </c>
      <c r="AC97" s="60">
        <v>0</v>
      </c>
      <c r="AD97" s="60">
        <v>0</v>
      </c>
      <c r="AE97" s="60">
        <v>5313.8</v>
      </c>
      <c r="AF97" s="60">
        <v>0</v>
      </c>
      <c r="AG97" s="60">
        <v>0</v>
      </c>
      <c r="AH97" s="98" t="s">
        <v>257</v>
      </c>
      <c r="AI97" s="63">
        <v>2021</v>
      </c>
      <c r="AJ97" s="63">
        <v>2021</v>
      </c>
      <c r="AK97" s="102"/>
      <c r="AL97" s="102"/>
      <c r="AM97" s="102"/>
      <c r="AN97" s="102"/>
    </row>
    <row r="98" spans="1:40" ht="62.25" x14ac:dyDescent="0.9">
      <c r="A98">
        <v>1</v>
      </c>
      <c r="B98" s="59">
        <f>SUBTOTAL(103,$A$94:A98)</f>
        <v>5</v>
      </c>
      <c r="C98" s="100" t="s">
        <v>1330</v>
      </c>
      <c r="D98" s="54" t="s">
        <v>1767</v>
      </c>
      <c r="E98" s="97">
        <v>0.94499999999999995</v>
      </c>
      <c r="F98" s="60">
        <f t="shared" si="36"/>
        <v>179907.52000000002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1">
        <v>0</v>
      </c>
      <c r="N98" s="60">
        <v>0</v>
      </c>
      <c r="O98" s="60">
        <v>1160</v>
      </c>
      <c r="P98" s="60">
        <v>177261.89</v>
      </c>
      <c r="Q98" s="60">
        <v>0</v>
      </c>
      <c r="R98" s="60">
        <v>0</v>
      </c>
      <c r="S98" s="60">
        <v>0</v>
      </c>
      <c r="T98" s="101">
        <v>0</v>
      </c>
      <c r="U98" s="60">
        <v>0</v>
      </c>
      <c r="V98" s="60">
        <v>0</v>
      </c>
      <c r="W98" s="60">
        <v>0</v>
      </c>
      <c r="X98" s="60">
        <v>0</v>
      </c>
      <c r="Y98" s="60">
        <v>0</v>
      </c>
      <c r="Z98" s="60">
        <v>0</v>
      </c>
      <c r="AA98" s="60">
        <v>0</v>
      </c>
      <c r="AB98" s="60">
        <v>0</v>
      </c>
      <c r="AC98" s="60">
        <v>0</v>
      </c>
      <c r="AD98" s="60">
        <v>0</v>
      </c>
      <c r="AE98" s="60">
        <v>2645.63</v>
      </c>
      <c r="AF98" s="60">
        <v>0</v>
      </c>
      <c r="AG98" s="60">
        <v>0</v>
      </c>
      <c r="AH98" s="98" t="s">
        <v>257</v>
      </c>
      <c r="AI98" s="98">
        <v>2020</v>
      </c>
      <c r="AJ98" s="98">
        <v>2020</v>
      </c>
      <c r="AK98" s="102"/>
      <c r="AL98" s="102"/>
      <c r="AM98" s="102"/>
      <c r="AN98" s="102"/>
    </row>
    <row r="99" spans="1:40" ht="62.25" x14ac:dyDescent="0.9">
      <c r="A99">
        <v>1</v>
      </c>
      <c r="B99" s="59">
        <f>SUBTOTAL(103,$A$94:A99)</f>
        <v>6</v>
      </c>
      <c r="C99" s="100" t="s">
        <v>1331</v>
      </c>
      <c r="D99" s="54" t="s">
        <v>1767</v>
      </c>
      <c r="E99" s="97">
        <v>0.9244</v>
      </c>
      <c r="F99" s="60">
        <f t="shared" si="36"/>
        <v>81305.67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1">
        <v>0</v>
      </c>
      <c r="N99" s="60">
        <v>0</v>
      </c>
      <c r="O99" s="60">
        <v>1100</v>
      </c>
      <c r="P99" s="60">
        <f>80110.03</f>
        <v>80110.03</v>
      </c>
      <c r="Q99" s="60">
        <v>0</v>
      </c>
      <c r="R99" s="60">
        <v>0</v>
      </c>
      <c r="S99" s="60">
        <v>0</v>
      </c>
      <c r="T99" s="101">
        <v>0</v>
      </c>
      <c r="U99" s="60">
        <v>0</v>
      </c>
      <c r="V99" s="60">
        <v>0</v>
      </c>
      <c r="W99" s="60">
        <v>0</v>
      </c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0">
        <v>0</v>
      </c>
      <c r="AD99" s="60">
        <v>0</v>
      </c>
      <c r="AE99" s="60">
        <v>1195.6400000000001</v>
      </c>
      <c r="AF99" s="60">
        <v>0</v>
      </c>
      <c r="AG99" s="60">
        <v>0</v>
      </c>
      <c r="AH99" s="98" t="s">
        <v>257</v>
      </c>
      <c r="AI99" s="63">
        <v>2022</v>
      </c>
      <c r="AJ99" s="63">
        <v>2022</v>
      </c>
      <c r="AK99" s="102"/>
      <c r="AL99" s="102"/>
      <c r="AM99" s="102"/>
      <c r="AN99" s="102"/>
    </row>
    <row r="100" spans="1:40" ht="62.25" x14ac:dyDescent="0.9">
      <c r="B100" s="283" t="s">
        <v>764</v>
      </c>
      <c r="C100" s="284"/>
      <c r="D100" s="99" t="s">
        <v>835</v>
      </c>
      <c r="E100" s="97">
        <f>AVERAGE(E101:E103)</f>
        <v>0.94748668819388027</v>
      </c>
      <c r="F100" s="177">
        <f t="shared" ref="F100:AG100" si="37">F101+F102+F103</f>
        <v>35523.810000000005</v>
      </c>
      <c r="G100" s="60">
        <f t="shared" si="37"/>
        <v>0</v>
      </c>
      <c r="H100" s="60">
        <f t="shared" si="37"/>
        <v>0</v>
      </c>
      <c r="I100" s="60">
        <f t="shared" si="37"/>
        <v>0</v>
      </c>
      <c r="J100" s="60">
        <f t="shared" si="37"/>
        <v>0</v>
      </c>
      <c r="K100" s="60">
        <f t="shared" si="37"/>
        <v>0</v>
      </c>
      <c r="L100" s="60">
        <f t="shared" si="37"/>
        <v>0</v>
      </c>
      <c r="M100" s="61">
        <f t="shared" si="37"/>
        <v>0</v>
      </c>
      <c r="N100" s="60">
        <f t="shared" si="37"/>
        <v>0</v>
      </c>
      <c r="O100" s="60">
        <f t="shared" si="37"/>
        <v>2012</v>
      </c>
      <c r="P100" s="60">
        <f t="shared" si="37"/>
        <v>35329.020000000004</v>
      </c>
      <c r="Q100" s="60">
        <f t="shared" si="37"/>
        <v>0</v>
      </c>
      <c r="R100" s="60">
        <f t="shared" si="37"/>
        <v>0</v>
      </c>
      <c r="S100" s="60">
        <f t="shared" si="37"/>
        <v>0</v>
      </c>
      <c r="T100" s="60">
        <f t="shared" si="37"/>
        <v>0</v>
      </c>
      <c r="U100" s="60">
        <f t="shared" si="37"/>
        <v>0</v>
      </c>
      <c r="V100" s="60">
        <f t="shared" si="37"/>
        <v>0</v>
      </c>
      <c r="W100" s="60">
        <f t="shared" si="37"/>
        <v>0</v>
      </c>
      <c r="X100" s="60">
        <f t="shared" si="37"/>
        <v>0</v>
      </c>
      <c r="Y100" s="60">
        <f t="shared" si="37"/>
        <v>0</v>
      </c>
      <c r="Z100" s="60">
        <f t="shared" si="37"/>
        <v>0</v>
      </c>
      <c r="AA100" s="60">
        <f t="shared" si="37"/>
        <v>0</v>
      </c>
      <c r="AB100" s="60">
        <f t="shared" si="37"/>
        <v>0</v>
      </c>
      <c r="AC100" s="60">
        <f t="shared" si="37"/>
        <v>0</v>
      </c>
      <c r="AD100" s="60">
        <f t="shared" si="37"/>
        <v>0</v>
      </c>
      <c r="AE100" s="60">
        <f t="shared" si="37"/>
        <v>194.79</v>
      </c>
      <c r="AF100" s="60">
        <f t="shared" si="37"/>
        <v>0</v>
      </c>
      <c r="AG100" s="60">
        <f t="shared" si="37"/>
        <v>0</v>
      </c>
      <c r="AH100" s="98" t="s">
        <v>835</v>
      </c>
      <c r="AI100" s="98" t="s">
        <v>835</v>
      </c>
      <c r="AJ100" s="98" t="s">
        <v>835</v>
      </c>
      <c r="AK100" s="102"/>
      <c r="AL100" s="102"/>
      <c r="AM100" s="102"/>
      <c r="AN100" s="102"/>
    </row>
    <row r="101" spans="1:40" ht="62.25" x14ac:dyDescent="0.9">
      <c r="A101">
        <v>1</v>
      </c>
      <c r="B101" s="59">
        <f>SUBTOTAL(103,$A$94:A101)</f>
        <v>7</v>
      </c>
      <c r="C101" s="100" t="s">
        <v>1332</v>
      </c>
      <c r="D101" s="54" t="s">
        <v>1767</v>
      </c>
      <c r="E101" s="97">
        <v>0.95197013899993665</v>
      </c>
      <c r="F101" s="60">
        <f>G101+H101+I101+J101+K101+L101+N101+P101+R101+T101+V101+W101+X101+Y101+Z101+AA101+AB101+AC101+AD101+AE101+AF101+AG101</f>
        <v>11055.78</v>
      </c>
      <c r="G101" s="60">
        <v>0</v>
      </c>
      <c r="H101" s="60">
        <v>0</v>
      </c>
      <c r="I101" s="60">
        <v>0</v>
      </c>
      <c r="J101" s="60">
        <v>0</v>
      </c>
      <c r="K101" s="60">
        <v>0</v>
      </c>
      <c r="L101" s="60">
        <v>0</v>
      </c>
      <c r="M101" s="61">
        <v>0</v>
      </c>
      <c r="N101" s="60">
        <v>0</v>
      </c>
      <c r="O101" s="60">
        <v>924</v>
      </c>
      <c r="P101" s="60">
        <v>11055.78</v>
      </c>
      <c r="Q101" s="60">
        <v>0</v>
      </c>
      <c r="R101" s="60">
        <v>0</v>
      </c>
      <c r="S101" s="60">
        <v>0</v>
      </c>
      <c r="T101" s="101">
        <v>0</v>
      </c>
      <c r="U101" s="60">
        <v>0</v>
      </c>
      <c r="V101" s="60">
        <v>0</v>
      </c>
      <c r="W101" s="60">
        <v>0</v>
      </c>
      <c r="X101" s="60">
        <v>0</v>
      </c>
      <c r="Y101" s="60">
        <v>0</v>
      </c>
      <c r="Z101" s="60">
        <v>0</v>
      </c>
      <c r="AA101" s="60">
        <v>0</v>
      </c>
      <c r="AB101" s="60">
        <v>0</v>
      </c>
      <c r="AC101" s="60">
        <v>0</v>
      </c>
      <c r="AD101" s="60">
        <v>0</v>
      </c>
      <c r="AE101" s="60">
        <v>0</v>
      </c>
      <c r="AF101" s="60">
        <v>0</v>
      </c>
      <c r="AG101" s="60">
        <v>0</v>
      </c>
      <c r="AH101" s="98" t="s">
        <v>257</v>
      </c>
      <c r="AI101" s="98">
        <v>2020</v>
      </c>
      <c r="AJ101" s="98" t="s">
        <v>257</v>
      </c>
      <c r="AK101" s="102"/>
      <c r="AL101" s="102"/>
      <c r="AM101" s="102"/>
      <c r="AN101" s="102"/>
    </row>
    <row r="102" spans="1:40" ht="62.25" x14ac:dyDescent="0.9">
      <c r="A102">
        <v>1</v>
      </c>
      <c r="B102" s="59">
        <f>SUBTOTAL(103,$A$94:A102)</f>
        <v>8</v>
      </c>
      <c r="C102" s="100" t="s">
        <v>1333</v>
      </c>
      <c r="D102" s="54" t="s">
        <v>1767</v>
      </c>
      <c r="E102" s="97">
        <v>0.89759999999999995</v>
      </c>
      <c r="F102" s="60">
        <f>G102+H102+I102+J102+K102+L102+N102+P102+R102+T102+V102+W102+X102+Y102+Z102+AA102+AB102+AC102+AD102+AE102+AF102+AG102</f>
        <v>19576.66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1">
        <v>0</v>
      </c>
      <c r="N102" s="60">
        <v>0</v>
      </c>
      <c r="O102" s="60">
        <v>746</v>
      </c>
      <c r="P102" s="60">
        <v>19381.87</v>
      </c>
      <c r="Q102" s="60">
        <v>0</v>
      </c>
      <c r="R102" s="60">
        <v>0</v>
      </c>
      <c r="S102" s="60">
        <v>0</v>
      </c>
      <c r="T102" s="101">
        <v>0</v>
      </c>
      <c r="U102" s="60">
        <v>0</v>
      </c>
      <c r="V102" s="60">
        <v>0</v>
      </c>
      <c r="W102" s="60">
        <v>0</v>
      </c>
      <c r="X102" s="60">
        <v>0</v>
      </c>
      <c r="Y102" s="60">
        <v>0</v>
      </c>
      <c r="Z102" s="60">
        <v>0</v>
      </c>
      <c r="AA102" s="60">
        <v>0</v>
      </c>
      <c r="AB102" s="60">
        <v>0</v>
      </c>
      <c r="AC102" s="60">
        <v>0</v>
      </c>
      <c r="AD102" s="60">
        <v>0</v>
      </c>
      <c r="AE102" s="60">
        <v>194.79</v>
      </c>
      <c r="AF102" s="60">
        <v>0</v>
      </c>
      <c r="AG102" s="60">
        <v>0</v>
      </c>
      <c r="AH102" s="98" t="s">
        <v>257</v>
      </c>
      <c r="AI102" s="98">
        <v>2020</v>
      </c>
      <c r="AJ102" s="98">
        <v>2020</v>
      </c>
      <c r="AK102" s="102"/>
      <c r="AL102" s="102"/>
      <c r="AM102" s="102"/>
      <c r="AN102" s="102"/>
    </row>
    <row r="103" spans="1:40" ht="62.25" x14ac:dyDescent="0.9">
      <c r="A103">
        <v>1</v>
      </c>
      <c r="B103" s="59">
        <f>SUBTOTAL(103,$A$94:A103)</f>
        <v>9</v>
      </c>
      <c r="C103" s="100" t="s">
        <v>1768</v>
      </c>
      <c r="D103" s="54" t="s">
        <v>1766</v>
      </c>
      <c r="E103" s="97">
        <v>0.9928899255817043</v>
      </c>
      <c r="F103" s="60">
        <f>P103+AE103</f>
        <v>4891.37</v>
      </c>
      <c r="G103" s="60">
        <v>0</v>
      </c>
      <c r="H103" s="60">
        <v>0</v>
      </c>
      <c r="I103" s="60">
        <v>0</v>
      </c>
      <c r="J103" s="60">
        <v>0</v>
      </c>
      <c r="K103" s="60">
        <v>0</v>
      </c>
      <c r="L103" s="60">
        <v>0</v>
      </c>
      <c r="M103" s="61">
        <v>0</v>
      </c>
      <c r="N103" s="60">
        <v>0</v>
      </c>
      <c r="O103" s="60">
        <v>342</v>
      </c>
      <c r="P103" s="60">
        <v>4891.37</v>
      </c>
      <c r="Q103" s="60">
        <v>0</v>
      </c>
      <c r="R103" s="60">
        <v>0</v>
      </c>
      <c r="S103" s="60">
        <v>0</v>
      </c>
      <c r="T103" s="101">
        <v>0</v>
      </c>
      <c r="U103" s="60">
        <v>0</v>
      </c>
      <c r="V103" s="60">
        <v>0</v>
      </c>
      <c r="W103" s="60">
        <v>0</v>
      </c>
      <c r="X103" s="60">
        <v>0</v>
      </c>
      <c r="Y103" s="60">
        <v>0</v>
      </c>
      <c r="Z103" s="60">
        <v>0</v>
      </c>
      <c r="AA103" s="60">
        <v>0</v>
      </c>
      <c r="AB103" s="60">
        <v>0</v>
      </c>
      <c r="AC103" s="60">
        <v>0</v>
      </c>
      <c r="AD103" s="60">
        <v>0</v>
      </c>
      <c r="AE103" s="60">
        <v>0</v>
      </c>
      <c r="AF103" s="60">
        <v>0</v>
      </c>
      <c r="AG103" s="60">
        <v>0</v>
      </c>
      <c r="AH103" s="98" t="s">
        <v>257</v>
      </c>
      <c r="AI103" s="63">
        <v>2022</v>
      </c>
      <c r="AJ103" s="63" t="s">
        <v>257</v>
      </c>
      <c r="AK103" s="102"/>
      <c r="AL103" s="102"/>
      <c r="AM103" s="102"/>
      <c r="AN103" s="102"/>
    </row>
    <row r="104" spans="1:40" ht="62.25" x14ac:dyDescent="0.9">
      <c r="B104" s="283" t="s">
        <v>985</v>
      </c>
      <c r="C104" s="284"/>
      <c r="D104" s="99" t="s">
        <v>835</v>
      </c>
      <c r="E104" s="97">
        <f>AVERAGE(E105:E119)</f>
        <v>0.9531011113444855</v>
      </c>
      <c r="F104" s="177">
        <f t="shared" ref="F104:AG104" si="38">SUM(F105:F119)</f>
        <v>1617789.28</v>
      </c>
      <c r="G104" s="60">
        <f t="shared" si="38"/>
        <v>0</v>
      </c>
      <c r="H104" s="60">
        <f t="shared" si="38"/>
        <v>0</v>
      </c>
      <c r="I104" s="60">
        <f t="shared" si="38"/>
        <v>0</v>
      </c>
      <c r="J104" s="60">
        <f t="shared" si="38"/>
        <v>0</v>
      </c>
      <c r="K104" s="60">
        <f t="shared" si="38"/>
        <v>0</v>
      </c>
      <c r="L104" s="60">
        <f t="shared" si="38"/>
        <v>0</v>
      </c>
      <c r="M104" s="61">
        <f t="shared" si="38"/>
        <v>0</v>
      </c>
      <c r="N104" s="60">
        <f t="shared" si="38"/>
        <v>0</v>
      </c>
      <c r="O104" s="60">
        <f t="shared" si="38"/>
        <v>8823.5600000000013</v>
      </c>
      <c r="P104" s="60">
        <f t="shared" si="38"/>
        <v>970155.63</v>
      </c>
      <c r="Q104" s="60">
        <f t="shared" si="38"/>
        <v>0</v>
      </c>
      <c r="R104" s="60">
        <f t="shared" si="38"/>
        <v>0</v>
      </c>
      <c r="S104" s="60">
        <f t="shared" si="38"/>
        <v>853.2</v>
      </c>
      <c r="T104" s="60">
        <f t="shared" si="38"/>
        <v>427011.58</v>
      </c>
      <c r="U104" s="60">
        <f t="shared" si="38"/>
        <v>143.80000000000001</v>
      </c>
      <c r="V104" s="60">
        <f t="shared" si="38"/>
        <v>109992</v>
      </c>
      <c r="W104" s="60">
        <f t="shared" si="38"/>
        <v>0</v>
      </c>
      <c r="X104" s="60">
        <f t="shared" si="38"/>
        <v>0</v>
      </c>
      <c r="Y104" s="60">
        <f t="shared" si="38"/>
        <v>0</v>
      </c>
      <c r="Z104" s="60">
        <f t="shared" si="38"/>
        <v>0</v>
      </c>
      <c r="AA104" s="60">
        <f t="shared" si="38"/>
        <v>0</v>
      </c>
      <c r="AB104" s="60">
        <f t="shared" si="38"/>
        <v>0</v>
      </c>
      <c r="AC104" s="60">
        <f t="shared" si="38"/>
        <v>0</v>
      </c>
      <c r="AD104" s="60">
        <f t="shared" si="38"/>
        <v>0</v>
      </c>
      <c r="AE104" s="60">
        <f t="shared" si="38"/>
        <v>21047.329999999998</v>
      </c>
      <c r="AF104" s="60">
        <f t="shared" si="38"/>
        <v>89582.74</v>
      </c>
      <c r="AG104" s="60">
        <f t="shared" si="38"/>
        <v>0</v>
      </c>
      <c r="AH104" s="98" t="s">
        <v>835</v>
      </c>
      <c r="AI104" s="98" t="s">
        <v>835</v>
      </c>
      <c r="AJ104" s="98" t="s">
        <v>835</v>
      </c>
      <c r="AK104" s="102"/>
      <c r="AL104" s="102"/>
      <c r="AM104" s="102"/>
      <c r="AN104" s="102"/>
    </row>
    <row r="105" spans="1:40" ht="62.25" x14ac:dyDescent="0.9">
      <c r="A105">
        <v>1</v>
      </c>
      <c r="B105" s="59">
        <f>SUBTOTAL(103,$A$94:A105)</f>
        <v>10</v>
      </c>
      <c r="C105" s="100" t="s">
        <v>1334</v>
      </c>
      <c r="D105" s="54" t="s">
        <v>1767</v>
      </c>
      <c r="E105" s="97">
        <v>0.97330000000000005</v>
      </c>
      <c r="F105" s="60">
        <f t="shared" ref="F105:F117" si="39">G105+H105+I105+J105+K105+L105+N105+P105+R105+T105+V105+W105+X105+Y105+Z105+AA105+AB105+AC105+AD105+AE105+AF105+AG105</f>
        <v>9167.9599999999991</v>
      </c>
      <c r="G105" s="60">
        <v>0</v>
      </c>
      <c r="H105" s="60">
        <v>0</v>
      </c>
      <c r="I105" s="60">
        <v>0</v>
      </c>
      <c r="J105" s="60">
        <v>0</v>
      </c>
      <c r="K105" s="60">
        <v>0</v>
      </c>
      <c r="L105" s="60">
        <v>0</v>
      </c>
      <c r="M105" s="61">
        <v>0</v>
      </c>
      <c r="N105" s="60">
        <v>0</v>
      </c>
      <c r="O105" s="60">
        <v>1120</v>
      </c>
      <c r="P105" s="60">
        <v>9032.4699999999993</v>
      </c>
      <c r="Q105" s="60">
        <v>0</v>
      </c>
      <c r="R105" s="60">
        <v>0</v>
      </c>
      <c r="S105" s="60">
        <v>0</v>
      </c>
      <c r="T105" s="101">
        <v>0</v>
      </c>
      <c r="U105" s="60">
        <v>0</v>
      </c>
      <c r="V105" s="60">
        <v>0</v>
      </c>
      <c r="W105" s="60">
        <v>0</v>
      </c>
      <c r="X105" s="60">
        <v>0</v>
      </c>
      <c r="Y105" s="60">
        <v>0</v>
      </c>
      <c r="Z105" s="60">
        <v>0</v>
      </c>
      <c r="AA105" s="60">
        <v>0</v>
      </c>
      <c r="AB105" s="60">
        <v>0</v>
      </c>
      <c r="AC105" s="60">
        <v>0</v>
      </c>
      <c r="AD105" s="60">
        <v>0</v>
      </c>
      <c r="AE105" s="60">
        <v>135.49</v>
      </c>
      <c r="AF105" s="60">
        <v>0</v>
      </c>
      <c r="AG105" s="60">
        <v>0</v>
      </c>
      <c r="AH105" s="98" t="s">
        <v>257</v>
      </c>
      <c r="AI105" s="98">
        <v>2020</v>
      </c>
      <c r="AJ105" s="98">
        <v>2020</v>
      </c>
      <c r="AK105" s="102"/>
      <c r="AL105" s="102"/>
      <c r="AM105" s="102"/>
      <c r="AN105" s="102"/>
    </row>
    <row r="106" spans="1:40" ht="62.25" x14ac:dyDescent="0.9">
      <c r="A106">
        <v>1</v>
      </c>
      <c r="B106" s="59">
        <f>SUBTOTAL(103,$A$94:A106)</f>
        <v>11</v>
      </c>
      <c r="C106" s="100" t="s">
        <v>1335</v>
      </c>
      <c r="D106" s="54" t="s">
        <v>1766</v>
      </c>
      <c r="E106" s="97">
        <v>0.86990000000000001</v>
      </c>
      <c r="F106" s="60">
        <f t="shared" si="39"/>
        <v>208365.3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0</v>
      </c>
      <c r="M106" s="61">
        <v>0</v>
      </c>
      <c r="N106" s="60">
        <v>0</v>
      </c>
      <c r="O106" s="60">
        <v>728.12</v>
      </c>
      <c r="P106" s="60">
        <v>205529</v>
      </c>
      <c r="Q106" s="60">
        <v>0</v>
      </c>
      <c r="R106" s="60">
        <v>0</v>
      </c>
      <c r="S106" s="60">
        <v>0</v>
      </c>
      <c r="T106" s="60">
        <v>0</v>
      </c>
      <c r="U106" s="60">
        <v>0</v>
      </c>
      <c r="V106" s="60">
        <v>0</v>
      </c>
      <c r="W106" s="60">
        <v>0</v>
      </c>
      <c r="X106" s="60">
        <v>0</v>
      </c>
      <c r="Y106" s="60">
        <v>0</v>
      </c>
      <c r="Z106" s="60">
        <v>0</v>
      </c>
      <c r="AA106" s="60">
        <v>0</v>
      </c>
      <c r="AB106" s="60">
        <v>0</v>
      </c>
      <c r="AC106" s="60">
        <v>0</v>
      </c>
      <c r="AD106" s="60">
        <v>0</v>
      </c>
      <c r="AE106" s="62">
        <v>2836.3</v>
      </c>
      <c r="AF106" s="60">
        <v>0</v>
      </c>
      <c r="AG106" s="60">
        <v>0</v>
      </c>
      <c r="AH106" s="98" t="s">
        <v>257</v>
      </c>
      <c r="AI106" s="98">
        <v>2020</v>
      </c>
      <c r="AJ106" s="98">
        <v>2020</v>
      </c>
      <c r="AK106" s="102"/>
      <c r="AL106" s="102"/>
      <c r="AM106" s="102"/>
      <c r="AN106" s="102"/>
    </row>
    <row r="107" spans="1:40" ht="62.25" x14ac:dyDescent="0.9">
      <c r="A107">
        <v>1</v>
      </c>
      <c r="B107" s="59">
        <f>SUBTOTAL(103,$A$94:A107)</f>
        <v>12</v>
      </c>
      <c r="C107" s="100" t="s">
        <v>1336</v>
      </c>
      <c r="D107" s="54" t="s">
        <v>1767</v>
      </c>
      <c r="E107" s="97">
        <v>0.95440000000000003</v>
      </c>
      <c r="F107" s="60">
        <f t="shared" si="39"/>
        <v>170151.06</v>
      </c>
      <c r="G107" s="60">
        <v>0</v>
      </c>
      <c r="H107" s="60">
        <v>0</v>
      </c>
      <c r="I107" s="60">
        <v>0</v>
      </c>
      <c r="J107" s="60">
        <v>0</v>
      </c>
      <c r="K107" s="60">
        <v>0</v>
      </c>
      <c r="L107" s="60">
        <v>0</v>
      </c>
      <c r="M107" s="61">
        <v>0</v>
      </c>
      <c r="N107" s="60">
        <v>0</v>
      </c>
      <c r="O107" s="60">
        <v>755</v>
      </c>
      <c r="P107" s="60">
        <v>167636.51</v>
      </c>
      <c r="Q107" s="60">
        <v>0</v>
      </c>
      <c r="R107" s="60">
        <v>0</v>
      </c>
      <c r="S107" s="60">
        <v>0</v>
      </c>
      <c r="T107" s="101">
        <v>0</v>
      </c>
      <c r="U107" s="60">
        <v>0</v>
      </c>
      <c r="V107" s="60">
        <v>0</v>
      </c>
      <c r="W107" s="60">
        <v>0</v>
      </c>
      <c r="X107" s="60">
        <v>0</v>
      </c>
      <c r="Y107" s="60">
        <v>0</v>
      </c>
      <c r="Z107" s="60">
        <v>0</v>
      </c>
      <c r="AA107" s="60">
        <v>0</v>
      </c>
      <c r="AB107" s="60">
        <v>0</v>
      </c>
      <c r="AC107" s="60">
        <v>0</v>
      </c>
      <c r="AD107" s="60">
        <v>0</v>
      </c>
      <c r="AE107" s="60">
        <v>2514.5500000000002</v>
      </c>
      <c r="AF107" s="60">
        <v>0</v>
      </c>
      <c r="AG107" s="60">
        <v>0</v>
      </c>
      <c r="AH107" s="98" t="s">
        <v>257</v>
      </c>
      <c r="AI107" s="98">
        <v>2020</v>
      </c>
      <c r="AJ107" s="98">
        <v>2020</v>
      </c>
      <c r="AK107" s="102"/>
      <c r="AL107" s="102"/>
      <c r="AM107" s="102"/>
      <c r="AN107" s="102"/>
    </row>
    <row r="108" spans="1:40" ht="62.25" x14ac:dyDescent="0.9">
      <c r="A108">
        <v>1</v>
      </c>
      <c r="B108" s="59">
        <f>SUBTOTAL(103,$A$94:A108)</f>
        <v>13</v>
      </c>
      <c r="C108" s="100" t="s">
        <v>1337</v>
      </c>
      <c r="D108" s="54" t="s">
        <v>1767</v>
      </c>
      <c r="E108" s="97">
        <v>1.0023</v>
      </c>
      <c r="F108" s="60">
        <f t="shared" si="39"/>
        <v>39070.28</v>
      </c>
      <c r="G108" s="60">
        <v>0</v>
      </c>
      <c r="H108" s="60">
        <v>0</v>
      </c>
      <c r="I108" s="60">
        <v>0</v>
      </c>
      <c r="J108" s="60">
        <v>0</v>
      </c>
      <c r="K108" s="60">
        <v>0</v>
      </c>
      <c r="L108" s="60">
        <v>0</v>
      </c>
      <c r="M108" s="61">
        <v>0</v>
      </c>
      <c r="N108" s="60">
        <v>0</v>
      </c>
      <c r="O108" s="60">
        <v>497</v>
      </c>
      <c r="P108" s="60">
        <v>38538.449999999997</v>
      </c>
      <c r="Q108" s="60">
        <v>0</v>
      </c>
      <c r="R108" s="60">
        <v>0</v>
      </c>
      <c r="S108" s="60">
        <v>0</v>
      </c>
      <c r="T108" s="60">
        <v>0</v>
      </c>
      <c r="U108" s="60">
        <v>0</v>
      </c>
      <c r="V108" s="60">
        <v>0</v>
      </c>
      <c r="W108" s="60">
        <v>0</v>
      </c>
      <c r="X108" s="60">
        <v>0</v>
      </c>
      <c r="Y108" s="60">
        <v>0</v>
      </c>
      <c r="Z108" s="60">
        <v>0</v>
      </c>
      <c r="AA108" s="60">
        <v>0</v>
      </c>
      <c r="AB108" s="60">
        <v>0</v>
      </c>
      <c r="AC108" s="60">
        <v>0</v>
      </c>
      <c r="AD108" s="60">
        <v>0</v>
      </c>
      <c r="AE108" s="62">
        <v>531.83000000000004</v>
      </c>
      <c r="AF108" s="60">
        <v>0</v>
      </c>
      <c r="AG108" s="60">
        <v>0</v>
      </c>
      <c r="AH108" s="98" t="s">
        <v>257</v>
      </c>
      <c r="AI108" s="98">
        <v>2020</v>
      </c>
      <c r="AJ108" s="98">
        <v>2020</v>
      </c>
      <c r="AK108" s="102"/>
      <c r="AL108" s="102"/>
      <c r="AM108" s="102"/>
      <c r="AN108" s="102"/>
    </row>
    <row r="109" spans="1:40" ht="62.25" x14ac:dyDescent="0.9">
      <c r="A109">
        <v>1</v>
      </c>
      <c r="B109" s="59">
        <f>SUBTOTAL(103,$A$94:A109)</f>
        <v>14</v>
      </c>
      <c r="C109" s="100" t="s">
        <v>1338</v>
      </c>
      <c r="D109" s="54" t="s">
        <v>1766</v>
      </c>
      <c r="E109" s="97">
        <v>0.96599999999999997</v>
      </c>
      <c r="F109" s="60">
        <f t="shared" si="39"/>
        <v>35421.97</v>
      </c>
      <c r="G109" s="60">
        <v>0</v>
      </c>
      <c r="H109" s="60">
        <v>0</v>
      </c>
      <c r="I109" s="60">
        <v>0</v>
      </c>
      <c r="J109" s="60">
        <v>0</v>
      </c>
      <c r="K109" s="60">
        <v>0</v>
      </c>
      <c r="L109" s="60">
        <v>0</v>
      </c>
      <c r="M109" s="61">
        <v>0</v>
      </c>
      <c r="N109" s="60">
        <v>0</v>
      </c>
      <c r="O109" s="60">
        <v>636</v>
      </c>
      <c r="P109" s="60">
        <v>34939.800000000003</v>
      </c>
      <c r="Q109" s="60">
        <v>0</v>
      </c>
      <c r="R109" s="60">
        <v>0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0</v>
      </c>
      <c r="Z109" s="60">
        <v>0</v>
      </c>
      <c r="AA109" s="60">
        <v>0</v>
      </c>
      <c r="AB109" s="60">
        <v>0</v>
      </c>
      <c r="AC109" s="60">
        <v>0</v>
      </c>
      <c r="AD109" s="60">
        <v>0</v>
      </c>
      <c r="AE109" s="62">
        <v>482.17</v>
      </c>
      <c r="AF109" s="60">
        <v>0</v>
      </c>
      <c r="AG109" s="60">
        <v>0</v>
      </c>
      <c r="AH109" s="98" t="s">
        <v>257</v>
      </c>
      <c r="AI109" s="98">
        <v>2020</v>
      </c>
      <c r="AJ109" s="98">
        <v>2020</v>
      </c>
      <c r="AK109" s="102"/>
      <c r="AL109" s="102"/>
      <c r="AM109" s="102"/>
      <c r="AN109" s="102"/>
    </row>
    <row r="110" spans="1:40" ht="62.25" x14ac:dyDescent="0.9">
      <c r="A110">
        <v>1</v>
      </c>
      <c r="B110" s="59">
        <f>SUBTOTAL(103,$A$94:A110)</f>
        <v>15</v>
      </c>
      <c r="C110" s="100" t="s">
        <v>1340</v>
      </c>
      <c r="D110" s="54" t="s">
        <v>1766</v>
      </c>
      <c r="E110" s="97">
        <v>0.97260000000000002</v>
      </c>
      <c r="F110" s="60">
        <f t="shared" si="39"/>
        <v>7571.98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1">
        <v>0</v>
      </c>
      <c r="N110" s="60">
        <v>0</v>
      </c>
      <c r="O110" s="60">
        <v>691.81</v>
      </c>
      <c r="P110" s="60">
        <v>7460.08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60">
        <v>0</v>
      </c>
      <c r="Y110" s="60">
        <v>0</v>
      </c>
      <c r="Z110" s="60">
        <v>0</v>
      </c>
      <c r="AA110" s="60">
        <v>0</v>
      </c>
      <c r="AB110" s="60">
        <v>0</v>
      </c>
      <c r="AC110" s="60">
        <v>0</v>
      </c>
      <c r="AD110" s="60">
        <v>0</v>
      </c>
      <c r="AE110" s="60">
        <v>111.9</v>
      </c>
      <c r="AF110" s="60">
        <v>0</v>
      </c>
      <c r="AG110" s="60">
        <v>0</v>
      </c>
      <c r="AH110" s="98" t="s">
        <v>257</v>
      </c>
      <c r="AI110" s="98">
        <v>2020</v>
      </c>
      <c r="AJ110" s="98">
        <v>2020</v>
      </c>
      <c r="AK110" s="102"/>
      <c r="AL110" s="102"/>
      <c r="AM110" s="102"/>
      <c r="AN110" s="102"/>
    </row>
    <row r="111" spans="1:40" ht="62.25" x14ac:dyDescent="0.9">
      <c r="A111">
        <v>1</v>
      </c>
      <c r="B111" s="59">
        <f>SUBTOTAL(103,$A$94:A111)</f>
        <v>16</v>
      </c>
      <c r="C111" s="100" t="s">
        <v>1341</v>
      </c>
      <c r="D111" s="55" t="s">
        <v>1767</v>
      </c>
      <c r="E111" s="97">
        <v>0.9919</v>
      </c>
      <c r="F111" s="60">
        <f t="shared" si="39"/>
        <v>433416.75</v>
      </c>
      <c r="G111" s="60">
        <v>0</v>
      </c>
      <c r="H111" s="60">
        <v>0</v>
      </c>
      <c r="I111" s="60">
        <v>0</v>
      </c>
      <c r="J111" s="60">
        <v>0</v>
      </c>
      <c r="K111" s="60">
        <v>0</v>
      </c>
      <c r="L111" s="60">
        <v>0</v>
      </c>
      <c r="M111" s="61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853.2</v>
      </c>
      <c r="T111" s="101">
        <v>427011.58</v>
      </c>
      <c r="U111" s="60">
        <v>0</v>
      </c>
      <c r="V111" s="60">
        <v>0</v>
      </c>
      <c r="W111" s="60">
        <v>0</v>
      </c>
      <c r="X111" s="60">
        <v>0</v>
      </c>
      <c r="Y111" s="60">
        <v>0</v>
      </c>
      <c r="Z111" s="60">
        <v>0</v>
      </c>
      <c r="AA111" s="60">
        <v>0</v>
      </c>
      <c r="AB111" s="60">
        <v>0</v>
      </c>
      <c r="AC111" s="60">
        <v>0</v>
      </c>
      <c r="AD111" s="60">
        <v>0</v>
      </c>
      <c r="AE111" s="60">
        <v>6405.17</v>
      </c>
      <c r="AF111" s="60">
        <v>0</v>
      </c>
      <c r="AG111" s="60">
        <v>0</v>
      </c>
      <c r="AH111" s="98" t="s">
        <v>257</v>
      </c>
      <c r="AI111" s="98">
        <v>2020</v>
      </c>
      <c r="AJ111" s="98">
        <v>2020</v>
      </c>
      <c r="AK111" s="102"/>
      <c r="AL111" s="102"/>
      <c r="AM111" s="102"/>
      <c r="AN111" s="102"/>
    </row>
    <row r="112" spans="1:40" ht="62.25" x14ac:dyDescent="0.9">
      <c r="A112">
        <v>1</v>
      </c>
      <c r="B112" s="59">
        <f>SUBTOTAL(103,$A$94:A112)</f>
        <v>17</v>
      </c>
      <c r="C112" s="100" t="s">
        <v>1054</v>
      </c>
      <c r="D112" s="54" t="s">
        <v>1435</v>
      </c>
      <c r="E112" s="97">
        <v>0.96870000000000001</v>
      </c>
      <c r="F112" s="60">
        <f t="shared" si="39"/>
        <v>167825.19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1">
        <v>0</v>
      </c>
      <c r="N112" s="60">
        <v>0</v>
      </c>
      <c r="O112" s="60">
        <v>404</v>
      </c>
      <c r="P112" s="60">
        <v>165540.73000000001</v>
      </c>
      <c r="Q112" s="60">
        <v>0</v>
      </c>
      <c r="R112" s="60">
        <v>0</v>
      </c>
      <c r="S112" s="60">
        <v>0</v>
      </c>
      <c r="T112" s="101">
        <v>0</v>
      </c>
      <c r="U112" s="60">
        <v>0</v>
      </c>
      <c r="V112" s="60">
        <v>0</v>
      </c>
      <c r="W112" s="60">
        <v>0</v>
      </c>
      <c r="X112" s="60">
        <v>0</v>
      </c>
      <c r="Y112" s="60">
        <v>0</v>
      </c>
      <c r="Z112" s="60">
        <v>0</v>
      </c>
      <c r="AA112" s="60">
        <v>0</v>
      </c>
      <c r="AB112" s="60">
        <v>0</v>
      </c>
      <c r="AC112" s="60">
        <v>0</v>
      </c>
      <c r="AD112" s="60">
        <v>0</v>
      </c>
      <c r="AE112" s="60">
        <v>2284.46</v>
      </c>
      <c r="AF112" s="60">
        <v>0</v>
      </c>
      <c r="AG112" s="60">
        <v>0</v>
      </c>
      <c r="AH112" s="98" t="s">
        <v>257</v>
      </c>
      <c r="AI112" s="98">
        <v>2020</v>
      </c>
      <c r="AJ112" s="98">
        <v>2020</v>
      </c>
      <c r="AK112" s="102"/>
      <c r="AL112" s="102"/>
      <c r="AM112" s="102"/>
      <c r="AN112" s="102"/>
    </row>
    <row r="113" spans="1:40" ht="62.25" x14ac:dyDescent="0.9">
      <c r="A113">
        <v>1</v>
      </c>
      <c r="B113" s="59">
        <f>SUBTOTAL(103,$A$94:A113)</f>
        <v>18</v>
      </c>
      <c r="C113" s="100" t="s">
        <v>1403</v>
      </c>
      <c r="D113" s="55" t="s">
        <v>1435</v>
      </c>
      <c r="E113" s="97">
        <v>0.97260000000000002</v>
      </c>
      <c r="F113" s="60">
        <f t="shared" si="39"/>
        <v>111509.89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1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101">
        <v>0</v>
      </c>
      <c r="U113" s="60">
        <v>143.80000000000001</v>
      </c>
      <c r="V113" s="60">
        <v>109992</v>
      </c>
      <c r="W113" s="60">
        <v>0</v>
      </c>
      <c r="X113" s="60">
        <v>0</v>
      </c>
      <c r="Y113" s="60">
        <v>0</v>
      </c>
      <c r="Z113" s="60">
        <v>0</v>
      </c>
      <c r="AA113" s="60">
        <v>0</v>
      </c>
      <c r="AB113" s="60">
        <v>0</v>
      </c>
      <c r="AC113" s="60">
        <v>0</v>
      </c>
      <c r="AD113" s="60">
        <v>0</v>
      </c>
      <c r="AE113" s="60">
        <v>1517.89</v>
      </c>
      <c r="AF113" s="60">
        <v>0</v>
      </c>
      <c r="AG113" s="60">
        <v>0</v>
      </c>
      <c r="AH113" s="98" t="s">
        <v>257</v>
      </c>
      <c r="AI113" s="98">
        <v>2020</v>
      </c>
      <c r="AJ113" s="98">
        <v>2020</v>
      </c>
      <c r="AK113" s="102"/>
      <c r="AL113" s="102"/>
      <c r="AM113" s="102"/>
      <c r="AN113" s="102"/>
    </row>
    <row r="114" spans="1:40" ht="62.25" x14ac:dyDescent="0.9">
      <c r="A114">
        <v>1</v>
      </c>
      <c r="B114" s="59">
        <f>SUBTOTAL(103,$A$94:A114)</f>
        <v>19</v>
      </c>
      <c r="C114" s="100" t="s">
        <v>1404</v>
      </c>
      <c r="D114" s="54" t="s">
        <v>1766</v>
      </c>
      <c r="E114" s="97">
        <v>0.9859</v>
      </c>
      <c r="F114" s="60">
        <f t="shared" si="39"/>
        <v>155632.46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1">
        <v>0</v>
      </c>
      <c r="N114" s="60">
        <v>0</v>
      </c>
      <c r="O114" s="60">
        <v>622.63</v>
      </c>
      <c r="P114" s="60">
        <v>153513.97</v>
      </c>
      <c r="Q114" s="60">
        <v>0</v>
      </c>
      <c r="R114" s="60">
        <v>0</v>
      </c>
      <c r="S114" s="60">
        <v>0</v>
      </c>
      <c r="T114" s="101">
        <v>0</v>
      </c>
      <c r="U114" s="60">
        <v>0</v>
      </c>
      <c r="V114" s="60">
        <v>0</v>
      </c>
      <c r="W114" s="60">
        <v>0</v>
      </c>
      <c r="X114" s="60">
        <v>0</v>
      </c>
      <c r="Y114" s="60">
        <v>0</v>
      </c>
      <c r="Z114" s="60">
        <v>0</v>
      </c>
      <c r="AA114" s="60">
        <v>0</v>
      </c>
      <c r="AB114" s="60">
        <v>0</v>
      </c>
      <c r="AC114" s="60">
        <v>0</v>
      </c>
      <c r="AD114" s="60">
        <v>0</v>
      </c>
      <c r="AE114" s="62">
        <v>2118.4899999999998</v>
      </c>
      <c r="AF114" s="60">
        <v>0</v>
      </c>
      <c r="AG114" s="60">
        <v>0</v>
      </c>
      <c r="AH114" s="98" t="s">
        <v>257</v>
      </c>
      <c r="AI114" s="98">
        <v>2020</v>
      </c>
      <c r="AJ114" s="98">
        <v>2020</v>
      </c>
      <c r="AK114" s="102"/>
      <c r="AL114" s="102"/>
      <c r="AM114" s="102"/>
      <c r="AN114" s="102"/>
    </row>
    <row r="115" spans="1:40" ht="62.25" x14ac:dyDescent="0.9">
      <c r="A115">
        <v>1</v>
      </c>
      <c r="B115" s="59">
        <f>SUBTOTAL(103,$A$94:A115)</f>
        <v>20</v>
      </c>
      <c r="C115" s="100" t="s">
        <v>1405</v>
      </c>
      <c r="D115" s="54" t="s">
        <v>1767</v>
      </c>
      <c r="E115" s="97">
        <v>1.0001</v>
      </c>
      <c r="F115" s="60">
        <f t="shared" si="39"/>
        <v>7494.52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1">
        <v>0</v>
      </c>
      <c r="N115" s="60">
        <v>0</v>
      </c>
      <c r="O115" s="60">
        <v>550</v>
      </c>
      <c r="P115" s="60">
        <v>7392.5</v>
      </c>
      <c r="Q115" s="60">
        <v>0</v>
      </c>
      <c r="R115" s="60">
        <v>0</v>
      </c>
      <c r="S115" s="60">
        <v>0</v>
      </c>
      <c r="T115" s="101">
        <v>0</v>
      </c>
      <c r="U115" s="60">
        <v>0</v>
      </c>
      <c r="V115" s="60">
        <v>0</v>
      </c>
      <c r="W115" s="60">
        <v>0</v>
      </c>
      <c r="X115" s="60">
        <v>0</v>
      </c>
      <c r="Y115" s="60">
        <v>0</v>
      </c>
      <c r="Z115" s="60">
        <v>0</v>
      </c>
      <c r="AA115" s="60">
        <v>0</v>
      </c>
      <c r="AB115" s="60">
        <v>0</v>
      </c>
      <c r="AC115" s="60">
        <v>0</v>
      </c>
      <c r="AD115" s="60">
        <v>0</v>
      </c>
      <c r="AE115" s="62">
        <v>102.02</v>
      </c>
      <c r="AF115" s="60">
        <v>0</v>
      </c>
      <c r="AG115" s="60">
        <v>0</v>
      </c>
      <c r="AH115" s="98" t="s">
        <v>257</v>
      </c>
      <c r="AI115" s="98">
        <v>2020</v>
      </c>
      <c r="AJ115" s="98">
        <v>2020</v>
      </c>
      <c r="AK115" s="102"/>
      <c r="AL115" s="102"/>
      <c r="AM115" s="102"/>
      <c r="AN115" s="102"/>
    </row>
    <row r="116" spans="1:40" ht="62.25" x14ac:dyDescent="0.9">
      <c r="A116">
        <v>1</v>
      </c>
      <c r="B116" s="59">
        <f>SUBTOTAL(103,$A$94:A116)</f>
        <v>21</v>
      </c>
      <c r="C116" s="100" t="s">
        <v>1406</v>
      </c>
      <c r="D116" s="54" t="s">
        <v>1769</v>
      </c>
      <c r="E116" s="97">
        <v>0.95650000000000002</v>
      </c>
      <c r="F116" s="60">
        <f t="shared" si="39"/>
        <v>48133.04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1">
        <v>0</v>
      </c>
      <c r="N116" s="60">
        <v>0</v>
      </c>
      <c r="O116" s="60">
        <v>807</v>
      </c>
      <c r="P116" s="60">
        <v>47477.85</v>
      </c>
      <c r="Q116" s="60">
        <v>0</v>
      </c>
      <c r="R116" s="60">
        <v>0</v>
      </c>
      <c r="S116" s="60">
        <v>0</v>
      </c>
      <c r="T116" s="101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60">
        <v>0</v>
      </c>
      <c r="AB116" s="60">
        <v>0</v>
      </c>
      <c r="AC116" s="60">
        <v>0</v>
      </c>
      <c r="AD116" s="60">
        <v>0</v>
      </c>
      <c r="AE116" s="60">
        <v>655.19000000000005</v>
      </c>
      <c r="AF116" s="60">
        <v>0</v>
      </c>
      <c r="AG116" s="60">
        <v>0</v>
      </c>
      <c r="AH116" s="98" t="s">
        <v>257</v>
      </c>
      <c r="AI116" s="98">
        <v>2020</v>
      </c>
      <c r="AJ116" s="98">
        <v>2020</v>
      </c>
      <c r="AK116" s="102"/>
      <c r="AL116" s="102"/>
      <c r="AM116" s="102"/>
      <c r="AN116" s="102"/>
    </row>
    <row r="117" spans="1:40" ht="62.25" x14ac:dyDescent="0.9">
      <c r="A117">
        <v>1</v>
      </c>
      <c r="B117" s="59">
        <f>SUBTOTAL(103,$A$94:A117)</f>
        <v>22</v>
      </c>
      <c r="C117" s="100" t="s">
        <v>1504</v>
      </c>
      <c r="D117" s="54" t="s">
        <v>1767</v>
      </c>
      <c r="E117" s="97">
        <v>0.76249999999999996</v>
      </c>
      <c r="F117" s="60">
        <f t="shared" si="39"/>
        <v>91476.549999999988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1">
        <v>0</v>
      </c>
      <c r="N117" s="60">
        <v>0</v>
      </c>
      <c r="O117" s="60">
        <v>1059</v>
      </c>
      <c r="P117" s="60">
        <v>90124.68</v>
      </c>
      <c r="Q117" s="60">
        <v>0</v>
      </c>
      <c r="R117" s="60">
        <v>0</v>
      </c>
      <c r="S117" s="60">
        <v>0</v>
      </c>
      <c r="T117" s="101">
        <v>0</v>
      </c>
      <c r="U117" s="60">
        <v>0</v>
      </c>
      <c r="V117" s="60">
        <v>0</v>
      </c>
      <c r="W117" s="60">
        <v>0</v>
      </c>
      <c r="X117" s="60">
        <v>0</v>
      </c>
      <c r="Y117" s="60">
        <v>0</v>
      </c>
      <c r="Z117" s="60">
        <v>0</v>
      </c>
      <c r="AA117" s="60">
        <v>0</v>
      </c>
      <c r="AB117" s="60">
        <v>0</v>
      </c>
      <c r="AC117" s="60">
        <v>0</v>
      </c>
      <c r="AD117" s="60">
        <v>0</v>
      </c>
      <c r="AE117" s="60">
        <v>1351.87</v>
      </c>
      <c r="AF117" s="60">
        <v>0</v>
      </c>
      <c r="AG117" s="60">
        <v>0</v>
      </c>
      <c r="AH117" s="98" t="s">
        <v>257</v>
      </c>
      <c r="AI117" s="98">
        <v>2020</v>
      </c>
      <c r="AJ117" s="98">
        <v>2020</v>
      </c>
      <c r="AK117" s="102"/>
      <c r="AL117" s="102"/>
      <c r="AM117" s="102"/>
      <c r="AN117" s="102"/>
    </row>
    <row r="118" spans="1:40" ht="62.25" x14ac:dyDescent="0.9">
      <c r="A118">
        <v>1</v>
      </c>
      <c r="B118" s="59">
        <f>SUBTOTAL(103,$A$94:A118)</f>
        <v>23</v>
      </c>
      <c r="C118" s="100" t="s">
        <v>1770</v>
      </c>
      <c r="D118" s="54" t="s">
        <v>1769</v>
      </c>
      <c r="E118" s="97">
        <v>0.95521667016728007</v>
      </c>
      <c r="F118" s="60">
        <f>P118+AE118</f>
        <v>42969.59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1">
        <v>0</v>
      </c>
      <c r="N118" s="60">
        <v>0</v>
      </c>
      <c r="O118" s="60">
        <v>953</v>
      </c>
      <c r="P118" s="60">
        <v>42969.59</v>
      </c>
      <c r="Q118" s="60">
        <v>0</v>
      </c>
      <c r="R118" s="60">
        <v>0</v>
      </c>
      <c r="S118" s="60">
        <v>0</v>
      </c>
      <c r="T118" s="101">
        <v>0</v>
      </c>
      <c r="U118" s="60">
        <v>0</v>
      </c>
      <c r="V118" s="60">
        <v>0</v>
      </c>
      <c r="W118" s="60">
        <v>0</v>
      </c>
      <c r="X118" s="60">
        <v>0</v>
      </c>
      <c r="Y118" s="60">
        <v>0</v>
      </c>
      <c r="Z118" s="60">
        <v>0</v>
      </c>
      <c r="AA118" s="60">
        <v>0</v>
      </c>
      <c r="AB118" s="60">
        <v>0</v>
      </c>
      <c r="AC118" s="60">
        <v>0</v>
      </c>
      <c r="AD118" s="60">
        <v>0</v>
      </c>
      <c r="AE118" s="60">
        <v>0</v>
      </c>
      <c r="AF118" s="60">
        <v>0</v>
      </c>
      <c r="AG118" s="60">
        <v>0</v>
      </c>
      <c r="AH118" s="98" t="s">
        <v>257</v>
      </c>
      <c r="AI118" s="98">
        <v>2020</v>
      </c>
      <c r="AJ118" s="98" t="s">
        <v>257</v>
      </c>
      <c r="AK118" s="102"/>
      <c r="AL118" s="102"/>
      <c r="AM118" s="102"/>
      <c r="AN118" s="102"/>
    </row>
    <row r="119" spans="1:40" ht="62.25" x14ac:dyDescent="0.9">
      <c r="A119">
        <v>1</v>
      </c>
      <c r="B119" s="59">
        <f>SUBTOTAL(103,$A$94:A119)</f>
        <v>24</v>
      </c>
      <c r="C119" s="100" t="s">
        <v>3180</v>
      </c>
      <c r="D119" s="55">
        <v>2015</v>
      </c>
      <c r="E119" s="97">
        <v>0.96460000000000001</v>
      </c>
      <c r="F119" s="60">
        <f>G119+H119+I119+J119+K119+L119+N119+P119+R119+T119+V119+W119+X119+Y119+Z119+AA119+AB119+AC119+AD119+AE119+AF119+AG119</f>
        <v>89582.74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1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0">
        <v>0</v>
      </c>
      <c r="T119" s="101">
        <v>0</v>
      </c>
      <c r="U119" s="60">
        <v>0</v>
      </c>
      <c r="V119" s="60">
        <v>0</v>
      </c>
      <c r="W119" s="60">
        <v>0</v>
      </c>
      <c r="X119" s="60">
        <v>0</v>
      </c>
      <c r="Y119" s="60">
        <v>0</v>
      </c>
      <c r="Z119" s="60">
        <v>0</v>
      </c>
      <c r="AA119" s="60">
        <v>0</v>
      </c>
      <c r="AB119" s="60">
        <v>0</v>
      </c>
      <c r="AC119" s="60">
        <v>0</v>
      </c>
      <c r="AD119" s="60">
        <v>0</v>
      </c>
      <c r="AE119" s="60">
        <f>ROUND(P119*2.14%,2)</f>
        <v>0</v>
      </c>
      <c r="AF119" s="58">
        <v>89582.74</v>
      </c>
      <c r="AG119" s="60">
        <v>0</v>
      </c>
      <c r="AH119" s="98">
        <v>2022</v>
      </c>
      <c r="AI119" s="98" t="s">
        <v>257</v>
      </c>
      <c r="AJ119" s="98" t="s">
        <v>3483</v>
      </c>
      <c r="AK119" s="102"/>
      <c r="AL119" s="102"/>
      <c r="AM119" s="102"/>
      <c r="AN119" s="102"/>
    </row>
    <row r="120" spans="1:40" ht="62.25" x14ac:dyDescent="0.9">
      <c r="B120" s="283" t="s">
        <v>768</v>
      </c>
      <c r="C120" s="284"/>
      <c r="D120" s="99" t="s">
        <v>835</v>
      </c>
      <c r="E120" s="97">
        <f>AVERAGE(E121:E127)</f>
        <v>0.79046997917439299</v>
      </c>
      <c r="F120" s="177">
        <f t="shared" ref="F120:AG120" si="40">SUM(F121:F127)</f>
        <v>3390582.9900000007</v>
      </c>
      <c r="G120" s="60">
        <f t="shared" si="40"/>
        <v>0</v>
      </c>
      <c r="H120" s="60">
        <f t="shared" si="40"/>
        <v>0</v>
      </c>
      <c r="I120" s="60">
        <f t="shared" si="40"/>
        <v>0</v>
      </c>
      <c r="J120" s="60">
        <f t="shared" si="40"/>
        <v>0</v>
      </c>
      <c r="K120" s="60">
        <f t="shared" si="40"/>
        <v>0</v>
      </c>
      <c r="L120" s="60">
        <f t="shared" si="40"/>
        <v>0</v>
      </c>
      <c r="M120" s="61">
        <f t="shared" si="40"/>
        <v>0</v>
      </c>
      <c r="N120" s="60">
        <f t="shared" si="40"/>
        <v>0</v>
      </c>
      <c r="O120" s="60">
        <f t="shared" si="40"/>
        <v>6319.26</v>
      </c>
      <c r="P120" s="60">
        <f t="shared" si="40"/>
        <v>3356867.9500000007</v>
      </c>
      <c r="Q120" s="60">
        <f t="shared" si="40"/>
        <v>0</v>
      </c>
      <c r="R120" s="60">
        <f t="shared" si="40"/>
        <v>0</v>
      </c>
      <c r="S120" s="60">
        <f t="shared" si="40"/>
        <v>0</v>
      </c>
      <c r="T120" s="60">
        <f t="shared" si="40"/>
        <v>0</v>
      </c>
      <c r="U120" s="60">
        <f t="shared" si="40"/>
        <v>0</v>
      </c>
      <c r="V120" s="60">
        <f t="shared" si="40"/>
        <v>0</v>
      </c>
      <c r="W120" s="60">
        <f t="shared" si="40"/>
        <v>0</v>
      </c>
      <c r="X120" s="60">
        <f t="shared" si="40"/>
        <v>0</v>
      </c>
      <c r="Y120" s="60">
        <f t="shared" si="40"/>
        <v>0</v>
      </c>
      <c r="Z120" s="60">
        <f t="shared" si="40"/>
        <v>0</v>
      </c>
      <c r="AA120" s="60">
        <f t="shared" si="40"/>
        <v>0</v>
      </c>
      <c r="AB120" s="60">
        <f t="shared" si="40"/>
        <v>0</v>
      </c>
      <c r="AC120" s="60">
        <f t="shared" si="40"/>
        <v>0</v>
      </c>
      <c r="AD120" s="60">
        <f t="shared" si="40"/>
        <v>0</v>
      </c>
      <c r="AE120" s="60">
        <f t="shared" si="40"/>
        <v>33715.040000000001</v>
      </c>
      <c r="AF120" s="60">
        <f t="shared" si="40"/>
        <v>0</v>
      </c>
      <c r="AG120" s="60">
        <f t="shared" si="40"/>
        <v>0</v>
      </c>
      <c r="AH120" s="98" t="s">
        <v>835</v>
      </c>
      <c r="AI120" s="98" t="s">
        <v>835</v>
      </c>
      <c r="AJ120" s="98" t="s">
        <v>835</v>
      </c>
      <c r="AK120" s="102"/>
      <c r="AL120" s="102"/>
      <c r="AM120" s="102"/>
      <c r="AN120" s="102"/>
    </row>
    <row r="121" spans="1:40" ht="62.25" x14ac:dyDescent="0.9">
      <c r="A121">
        <v>1</v>
      </c>
      <c r="B121" s="59">
        <f>SUBTOTAL(103,$A$94:A121)</f>
        <v>25</v>
      </c>
      <c r="C121" s="100" t="s">
        <v>1342</v>
      </c>
      <c r="D121" s="54" t="s">
        <v>1767</v>
      </c>
      <c r="E121" s="97">
        <v>0.79441212856856191</v>
      </c>
      <c r="F121" s="60">
        <f t="shared" ref="F121:F126" si="41">G121+H121+I121+J121+K121+L121+N121+P121+R121+T121+V121+W121+X121+Y121+Z121+AA121+AB121+AC121+AD121+AE121+AF121+AG121</f>
        <v>502837.5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1">
        <v>0</v>
      </c>
      <c r="N121" s="60">
        <v>0</v>
      </c>
      <c r="O121" s="60">
        <v>1148</v>
      </c>
      <c r="P121" s="60">
        <v>497834.27</v>
      </c>
      <c r="Q121" s="60">
        <v>0</v>
      </c>
      <c r="R121" s="60">
        <v>0</v>
      </c>
      <c r="S121" s="60">
        <v>0</v>
      </c>
      <c r="T121" s="101">
        <v>0</v>
      </c>
      <c r="U121" s="60">
        <v>0</v>
      </c>
      <c r="V121" s="60">
        <v>0</v>
      </c>
      <c r="W121" s="60">
        <v>0</v>
      </c>
      <c r="X121" s="60">
        <v>0</v>
      </c>
      <c r="Y121" s="60">
        <v>0</v>
      </c>
      <c r="Z121" s="60">
        <v>0</v>
      </c>
      <c r="AA121" s="60">
        <v>0</v>
      </c>
      <c r="AB121" s="60">
        <v>0</v>
      </c>
      <c r="AC121" s="60">
        <v>0</v>
      </c>
      <c r="AD121" s="60">
        <v>0</v>
      </c>
      <c r="AE121" s="62">
        <v>5003.2299999999996</v>
      </c>
      <c r="AF121" s="60">
        <v>0</v>
      </c>
      <c r="AG121" s="60">
        <v>0</v>
      </c>
      <c r="AH121" s="98" t="s">
        <v>257</v>
      </c>
      <c r="AI121" s="98">
        <v>2020</v>
      </c>
      <c r="AJ121" s="98">
        <v>2020</v>
      </c>
      <c r="AK121" s="102"/>
      <c r="AL121" s="102"/>
      <c r="AM121" s="102"/>
      <c r="AN121" s="102"/>
    </row>
    <row r="122" spans="1:40" ht="62.25" x14ac:dyDescent="0.9">
      <c r="A122">
        <v>1</v>
      </c>
      <c r="B122" s="59">
        <f>SUBTOTAL(103,$A$94:A122)</f>
        <v>26</v>
      </c>
      <c r="C122" s="100" t="s">
        <v>1343</v>
      </c>
      <c r="D122" s="54" t="s">
        <v>1767</v>
      </c>
      <c r="E122" s="97">
        <v>0.77911652932310516</v>
      </c>
      <c r="F122" s="60">
        <f t="shared" si="41"/>
        <v>2550266.3600000003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1">
        <v>0</v>
      </c>
      <c r="N122" s="60">
        <v>0</v>
      </c>
      <c r="O122" s="60">
        <v>812.5</v>
      </c>
      <c r="P122" s="60">
        <v>2524891.2000000002</v>
      </c>
      <c r="Q122" s="60">
        <v>0</v>
      </c>
      <c r="R122" s="60">
        <v>0</v>
      </c>
      <c r="S122" s="60">
        <v>0</v>
      </c>
      <c r="T122" s="101">
        <v>0</v>
      </c>
      <c r="U122" s="60">
        <v>0</v>
      </c>
      <c r="V122" s="60">
        <v>0</v>
      </c>
      <c r="W122" s="60">
        <v>0</v>
      </c>
      <c r="X122" s="60">
        <v>0</v>
      </c>
      <c r="Y122" s="60">
        <v>0</v>
      </c>
      <c r="Z122" s="60">
        <v>0</v>
      </c>
      <c r="AA122" s="60">
        <v>0</v>
      </c>
      <c r="AB122" s="60">
        <v>0</v>
      </c>
      <c r="AC122" s="60">
        <v>0</v>
      </c>
      <c r="AD122" s="60">
        <v>0</v>
      </c>
      <c r="AE122" s="60">
        <v>25375.16</v>
      </c>
      <c r="AF122" s="60">
        <v>0</v>
      </c>
      <c r="AG122" s="60">
        <v>0</v>
      </c>
      <c r="AH122" s="98" t="s">
        <v>257</v>
      </c>
      <c r="AI122" s="63">
        <v>2022</v>
      </c>
      <c r="AJ122" s="63">
        <v>2022</v>
      </c>
      <c r="AK122" s="102"/>
      <c r="AL122" s="102"/>
      <c r="AM122" s="102"/>
      <c r="AN122" s="102"/>
    </row>
    <row r="123" spans="1:40" ht="62.25" x14ac:dyDescent="0.9">
      <c r="A123">
        <v>1</v>
      </c>
      <c r="B123" s="59">
        <f>SUBTOTAL(103,$A$94:A123)</f>
        <v>27</v>
      </c>
      <c r="C123" s="100" t="s">
        <v>1344</v>
      </c>
      <c r="D123" s="54" t="s">
        <v>1435</v>
      </c>
      <c r="E123" s="97">
        <v>0.64500000000000002</v>
      </c>
      <c r="F123" s="60">
        <f t="shared" si="41"/>
        <v>57982.38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1">
        <v>0</v>
      </c>
      <c r="N123" s="60">
        <v>0</v>
      </c>
      <c r="O123" s="60">
        <v>1240.56</v>
      </c>
      <c r="P123" s="101">
        <v>57405.46</v>
      </c>
      <c r="Q123" s="60">
        <v>0</v>
      </c>
      <c r="R123" s="60">
        <v>0</v>
      </c>
      <c r="S123" s="60">
        <v>0</v>
      </c>
      <c r="T123" s="101">
        <v>0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  <c r="Z123" s="60">
        <v>0</v>
      </c>
      <c r="AA123" s="60">
        <v>0</v>
      </c>
      <c r="AB123" s="60">
        <v>0</v>
      </c>
      <c r="AC123" s="60">
        <v>0</v>
      </c>
      <c r="AD123" s="60">
        <v>0</v>
      </c>
      <c r="AE123" s="60">
        <v>576.91999999999996</v>
      </c>
      <c r="AF123" s="60">
        <v>0</v>
      </c>
      <c r="AG123" s="60">
        <v>0</v>
      </c>
      <c r="AH123" s="98" t="s">
        <v>257</v>
      </c>
      <c r="AI123" s="98">
        <v>2020</v>
      </c>
      <c r="AJ123" s="98">
        <v>2020</v>
      </c>
      <c r="AK123" s="102"/>
      <c r="AL123" s="102"/>
      <c r="AM123" s="102"/>
      <c r="AN123" s="102"/>
    </row>
    <row r="124" spans="1:40" ht="62.25" x14ac:dyDescent="0.9">
      <c r="A124">
        <v>1</v>
      </c>
      <c r="B124" s="59">
        <f>SUBTOTAL(103,$A$94:A124)</f>
        <v>28</v>
      </c>
      <c r="C124" s="100" t="s">
        <v>1345</v>
      </c>
      <c r="D124" s="54" t="s">
        <v>1767</v>
      </c>
      <c r="E124" s="97">
        <v>0.88700000000000001</v>
      </c>
      <c r="F124" s="60">
        <f t="shared" si="41"/>
        <v>175548.91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1">
        <v>0</v>
      </c>
      <c r="N124" s="60">
        <v>0</v>
      </c>
      <c r="O124" s="60">
        <v>838</v>
      </c>
      <c r="P124" s="60">
        <v>173802.2</v>
      </c>
      <c r="Q124" s="60">
        <v>0</v>
      </c>
      <c r="R124" s="60">
        <v>0</v>
      </c>
      <c r="S124" s="60">
        <v>0</v>
      </c>
      <c r="T124" s="101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0</v>
      </c>
      <c r="AE124" s="60">
        <v>1746.71</v>
      </c>
      <c r="AF124" s="60">
        <v>0</v>
      </c>
      <c r="AG124" s="60">
        <v>0</v>
      </c>
      <c r="AH124" s="98" t="s">
        <v>257</v>
      </c>
      <c r="AI124" s="98">
        <v>2020</v>
      </c>
      <c r="AJ124" s="98">
        <v>2020</v>
      </c>
      <c r="AK124" s="102"/>
      <c r="AL124" s="102"/>
      <c r="AM124" s="102"/>
      <c r="AN124" s="102"/>
    </row>
    <row r="125" spans="1:40" ht="62.25" x14ac:dyDescent="0.9">
      <c r="A125">
        <v>1</v>
      </c>
      <c r="B125" s="59">
        <f>SUBTOTAL(103,$A$94:A125)</f>
        <v>29</v>
      </c>
      <c r="C125" s="100" t="s">
        <v>1346</v>
      </c>
      <c r="D125" s="54" t="s">
        <v>1767</v>
      </c>
      <c r="E125" s="97">
        <v>0.78459999999999996</v>
      </c>
      <c r="F125" s="60">
        <f t="shared" si="41"/>
        <v>63565.37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1">
        <v>0</v>
      </c>
      <c r="N125" s="60">
        <v>0</v>
      </c>
      <c r="O125" s="60">
        <v>823.2</v>
      </c>
      <c r="P125" s="60">
        <v>62932.89</v>
      </c>
      <c r="Q125" s="60">
        <v>0</v>
      </c>
      <c r="R125" s="60">
        <v>0</v>
      </c>
      <c r="S125" s="60">
        <v>0</v>
      </c>
      <c r="T125" s="101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  <c r="Z125" s="60">
        <v>0</v>
      </c>
      <c r="AA125" s="60">
        <v>0</v>
      </c>
      <c r="AB125" s="60">
        <v>0</v>
      </c>
      <c r="AC125" s="60">
        <v>0</v>
      </c>
      <c r="AD125" s="60">
        <v>0</v>
      </c>
      <c r="AE125" s="60">
        <v>632.48</v>
      </c>
      <c r="AF125" s="60">
        <v>0</v>
      </c>
      <c r="AG125" s="60">
        <v>0</v>
      </c>
      <c r="AH125" s="98" t="s">
        <v>257</v>
      </c>
      <c r="AI125" s="98">
        <v>2020</v>
      </c>
      <c r="AJ125" s="98">
        <v>2020</v>
      </c>
      <c r="AK125" s="102"/>
      <c r="AL125" s="102"/>
      <c r="AM125" s="102"/>
      <c r="AN125" s="102"/>
    </row>
    <row r="126" spans="1:40" ht="62.25" x14ac:dyDescent="0.9">
      <c r="A126">
        <v>1</v>
      </c>
      <c r="B126" s="59">
        <f>SUBTOTAL(103,$A$94:A126)</f>
        <v>30</v>
      </c>
      <c r="C126" s="100" t="s">
        <v>1347</v>
      </c>
      <c r="D126" s="54" t="s">
        <v>1767</v>
      </c>
      <c r="E126" s="97">
        <v>0.70240000000000002</v>
      </c>
      <c r="F126" s="60">
        <f t="shared" si="41"/>
        <v>2418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1">
        <v>0</v>
      </c>
      <c r="N126" s="60">
        <v>0</v>
      </c>
      <c r="O126" s="60">
        <v>472</v>
      </c>
      <c r="P126" s="60">
        <v>2418</v>
      </c>
      <c r="Q126" s="60">
        <v>0</v>
      </c>
      <c r="R126" s="60">
        <v>0</v>
      </c>
      <c r="S126" s="60">
        <v>0</v>
      </c>
      <c r="T126" s="101">
        <v>0</v>
      </c>
      <c r="U126" s="60">
        <v>0</v>
      </c>
      <c r="V126" s="60">
        <v>0</v>
      </c>
      <c r="W126" s="60">
        <v>0</v>
      </c>
      <c r="X126" s="60">
        <v>0</v>
      </c>
      <c r="Y126" s="60">
        <v>0</v>
      </c>
      <c r="Z126" s="60">
        <v>0</v>
      </c>
      <c r="AA126" s="60">
        <v>0</v>
      </c>
      <c r="AB126" s="60">
        <v>0</v>
      </c>
      <c r="AC126" s="60">
        <v>0</v>
      </c>
      <c r="AD126" s="60">
        <v>0</v>
      </c>
      <c r="AE126" s="60">
        <v>0</v>
      </c>
      <c r="AF126" s="60">
        <v>0</v>
      </c>
      <c r="AG126" s="60">
        <v>0</v>
      </c>
      <c r="AH126" s="98" t="s">
        <v>257</v>
      </c>
      <c r="AI126" s="98">
        <v>2020</v>
      </c>
      <c r="AJ126" s="98" t="s">
        <v>257</v>
      </c>
      <c r="AK126" s="102"/>
      <c r="AL126" s="102"/>
      <c r="AM126" s="102"/>
      <c r="AN126" s="102"/>
    </row>
    <row r="127" spans="1:40" ht="62.25" x14ac:dyDescent="0.9">
      <c r="A127">
        <v>1</v>
      </c>
      <c r="B127" s="59">
        <f>SUBTOTAL(103,$A$94:A127)</f>
        <v>31</v>
      </c>
      <c r="C127" s="100" t="s">
        <v>1771</v>
      </c>
      <c r="D127" s="54" t="s">
        <v>1435</v>
      </c>
      <c r="E127" s="97">
        <v>0.94076119632908406</v>
      </c>
      <c r="F127" s="60">
        <f>P127+AE127</f>
        <v>37964.47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1">
        <v>0</v>
      </c>
      <c r="N127" s="60">
        <v>0</v>
      </c>
      <c r="O127" s="60">
        <v>985</v>
      </c>
      <c r="P127" s="60">
        <v>37583.93</v>
      </c>
      <c r="Q127" s="60">
        <v>0</v>
      </c>
      <c r="R127" s="60">
        <v>0</v>
      </c>
      <c r="S127" s="60">
        <v>0</v>
      </c>
      <c r="T127" s="101">
        <v>0</v>
      </c>
      <c r="U127" s="60">
        <v>0</v>
      </c>
      <c r="V127" s="60">
        <v>0</v>
      </c>
      <c r="W127" s="60">
        <v>0</v>
      </c>
      <c r="X127" s="60">
        <v>0</v>
      </c>
      <c r="Y127" s="60">
        <v>0</v>
      </c>
      <c r="Z127" s="60">
        <v>0</v>
      </c>
      <c r="AA127" s="60">
        <v>0</v>
      </c>
      <c r="AB127" s="60">
        <v>0</v>
      </c>
      <c r="AC127" s="60">
        <v>0</v>
      </c>
      <c r="AD127" s="60">
        <v>0</v>
      </c>
      <c r="AE127" s="60">
        <v>380.54</v>
      </c>
      <c r="AF127" s="60">
        <v>0</v>
      </c>
      <c r="AG127" s="60">
        <v>0</v>
      </c>
      <c r="AH127" s="98" t="s">
        <v>257</v>
      </c>
      <c r="AI127" s="63">
        <v>2022</v>
      </c>
      <c r="AJ127" s="63">
        <v>2022</v>
      </c>
      <c r="AK127" s="102"/>
      <c r="AL127" s="102"/>
      <c r="AM127" s="102"/>
      <c r="AN127" s="102"/>
    </row>
    <row r="128" spans="1:40" ht="62.25" x14ac:dyDescent="0.9">
      <c r="B128" s="283" t="s">
        <v>767</v>
      </c>
      <c r="C128" s="284"/>
      <c r="D128" s="99" t="s">
        <v>835</v>
      </c>
      <c r="E128" s="97">
        <f>AVERAGE(E129:E131)</f>
        <v>0.67563641817834752</v>
      </c>
      <c r="F128" s="177">
        <f t="shared" ref="F128:AG128" si="42">SUM(F129:F131)</f>
        <v>110217.53</v>
      </c>
      <c r="G128" s="60">
        <f t="shared" si="42"/>
        <v>0</v>
      </c>
      <c r="H128" s="60">
        <f t="shared" si="42"/>
        <v>0</v>
      </c>
      <c r="I128" s="60">
        <f t="shared" si="42"/>
        <v>0</v>
      </c>
      <c r="J128" s="60">
        <f t="shared" si="42"/>
        <v>0</v>
      </c>
      <c r="K128" s="60">
        <f t="shared" si="42"/>
        <v>0</v>
      </c>
      <c r="L128" s="60">
        <f t="shared" si="42"/>
        <v>0</v>
      </c>
      <c r="M128" s="61">
        <f t="shared" si="42"/>
        <v>0</v>
      </c>
      <c r="N128" s="60">
        <f t="shared" si="42"/>
        <v>0</v>
      </c>
      <c r="O128" s="60">
        <f t="shared" si="42"/>
        <v>1254</v>
      </c>
      <c r="P128" s="60">
        <f t="shared" si="42"/>
        <v>109120.87</v>
      </c>
      <c r="Q128" s="60">
        <f t="shared" si="42"/>
        <v>0</v>
      </c>
      <c r="R128" s="60">
        <f t="shared" si="42"/>
        <v>0</v>
      </c>
      <c r="S128" s="60">
        <f t="shared" si="42"/>
        <v>0</v>
      </c>
      <c r="T128" s="60">
        <f t="shared" si="42"/>
        <v>0</v>
      </c>
      <c r="U128" s="60">
        <f t="shared" si="42"/>
        <v>0</v>
      </c>
      <c r="V128" s="60">
        <f t="shared" si="42"/>
        <v>0</v>
      </c>
      <c r="W128" s="60">
        <f t="shared" si="42"/>
        <v>0</v>
      </c>
      <c r="X128" s="60">
        <f t="shared" si="42"/>
        <v>0</v>
      </c>
      <c r="Y128" s="60">
        <f t="shared" si="42"/>
        <v>0</v>
      </c>
      <c r="Z128" s="60">
        <f t="shared" si="42"/>
        <v>0</v>
      </c>
      <c r="AA128" s="60">
        <f t="shared" si="42"/>
        <v>0</v>
      </c>
      <c r="AB128" s="60">
        <f t="shared" si="42"/>
        <v>0</v>
      </c>
      <c r="AC128" s="60">
        <f t="shared" si="42"/>
        <v>0</v>
      </c>
      <c r="AD128" s="60">
        <f t="shared" si="42"/>
        <v>0</v>
      </c>
      <c r="AE128" s="60">
        <f t="shared" si="42"/>
        <v>1096.6599999999999</v>
      </c>
      <c r="AF128" s="60">
        <f t="shared" si="42"/>
        <v>0</v>
      </c>
      <c r="AG128" s="60">
        <f t="shared" si="42"/>
        <v>0</v>
      </c>
      <c r="AH128" s="98" t="s">
        <v>835</v>
      </c>
      <c r="AI128" s="98" t="s">
        <v>835</v>
      </c>
      <c r="AJ128" s="98" t="s">
        <v>835</v>
      </c>
      <c r="AK128" s="102"/>
      <c r="AL128" s="102"/>
      <c r="AM128" s="102"/>
      <c r="AN128" s="102"/>
    </row>
    <row r="129" spans="1:40" ht="62.25" x14ac:dyDescent="0.9">
      <c r="A129">
        <v>1</v>
      </c>
      <c r="B129" s="59">
        <f>SUBTOTAL(103,$A$94:A129)</f>
        <v>32</v>
      </c>
      <c r="C129" s="100" t="s">
        <v>1348</v>
      </c>
      <c r="D129" s="54" t="s">
        <v>1767</v>
      </c>
      <c r="E129" s="97">
        <v>0.4062203289705193</v>
      </c>
      <c r="F129" s="60">
        <f>G129+H129+I129+J129+K129+L129+N129+P129+R129+T129+V129+W129+X129+Y129+Z129+AA129+AB129+AC129+AD129+AE129+AF129+AG129</f>
        <v>48915.49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1">
        <v>0</v>
      </c>
      <c r="N129" s="60">
        <v>0</v>
      </c>
      <c r="O129" s="173">
        <v>412</v>
      </c>
      <c r="P129" s="60">
        <v>48428.78</v>
      </c>
      <c r="Q129" s="60">
        <v>0</v>
      </c>
      <c r="R129" s="60">
        <v>0</v>
      </c>
      <c r="S129" s="60">
        <v>0</v>
      </c>
      <c r="T129" s="101">
        <v>0</v>
      </c>
      <c r="U129" s="60">
        <v>0</v>
      </c>
      <c r="V129" s="60">
        <v>0</v>
      </c>
      <c r="W129" s="60">
        <v>0</v>
      </c>
      <c r="X129" s="60">
        <v>0</v>
      </c>
      <c r="Y129" s="60">
        <v>0</v>
      </c>
      <c r="Z129" s="60">
        <v>0</v>
      </c>
      <c r="AA129" s="60">
        <v>0</v>
      </c>
      <c r="AB129" s="60">
        <v>0</v>
      </c>
      <c r="AC129" s="60">
        <v>0</v>
      </c>
      <c r="AD129" s="60">
        <v>0</v>
      </c>
      <c r="AE129" s="60">
        <v>486.71</v>
      </c>
      <c r="AF129" s="60">
        <v>0</v>
      </c>
      <c r="AG129" s="60">
        <v>0</v>
      </c>
      <c r="AH129" s="98" t="s">
        <v>257</v>
      </c>
      <c r="AI129" s="98">
        <v>2020</v>
      </c>
      <c r="AJ129" s="98">
        <v>2020</v>
      </c>
      <c r="AK129" s="102"/>
      <c r="AL129" s="102"/>
      <c r="AM129" s="102"/>
      <c r="AN129" s="102"/>
    </row>
    <row r="130" spans="1:40" ht="62.25" x14ac:dyDescent="0.9">
      <c r="A130">
        <v>1</v>
      </c>
      <c r="B130" s="59">
        <f>SUBTOTAL(103,$A$94:A130)</f>
        <v>33</v>
      </c>
      <c r="C130" s="100" t="s">
        <v>1349</v>
      </c>
      <c r="D130" s="54" t="s">
        <v>1767</v>
      </c>
      <c r="E130" s="97">
        <v>0.69908892556452351</v>
      </c>
      <c r="F130" s="60">
        <f>G130+H130+I130+J130+K130+L130+N130+P130+R130+T130+V130+W130+X130+Y130+Z130+AA130+AB130+AC130+AD130+AE130+AF130+AG130</f>
        <v>14682.87</v>
      </c>
      <c r="G130" s="60">
        <v>0</v>
      </c>
      <c r="H130" s="60">
        <v>0</v>
      </c>
      <c r="I130" s="60">
        <v>0</v>
      </c>
      <c r="J130" s="60">
        <v>0</v>
      </c>
      <c r="K130" s="60">
        <v>0</v>
      </c>
      <c r="L130" s="60">
        <v>0</v>
      </c>
      <c r="M130" s="61">
        <v>0</v>
      </c>
      <c r="N130" s="60">
        <v>0</v>
      </c>
      <c r="O130" s="60">
        <v>508</v>
      </c>
      <c r="P130" s="60">
        <v>14536.78</v>
      </c>
      <c r="Q130" s="60">
        <v>0</v>
      </c>
      <c r="R130" s="60">
        <v>0</v>
      </c>
      <c r="S130" s="60">
        <v>0</v>
      </c>
      <c r="T130" s="101">
        <v>0</v>
      </c>
      <c r="U130" s="60">
        <v>0</v>
      </c>
      <c r="V130" s="60">
        <v>0</v>
      </c>
      <c r="W130" s="60">
        <v>0</v>
      </c>
      <c r="X130" s="60">
        <v>0</v>
      </c>
      <c r="Y130" s="60">
        <v>0</v>
      </c>
      <c r="Z130" s="60">
        <v>0</v>
      </c>
      <c r="AA130" s="60">
        <v>0</v>
      </c>
      <c r="AB130" s="60">
        <v>0</v>
      </c>
      <c r="AC130" s="60">
        <v>0</v>
      </c>
      <c r="AD130" s="60">
        <v>0</v>
      </c>
      <c r="AE130" s="60">
        <v>146.09</v>
      </c>
      <c r="AF130" s="60">
        <v>0</v>
      </c>
      <c r="AG130" s="60">
        <v>0</v>
      </c>
      <c r="AH130" s="98" t="s">
        <v>257</v>
      </c>
      <c r="AI130" s="98">
        <v>2020</v>
      </c>
      <c r="AJ130" s="98">
        <v>2020</v>
      </c>
      <c r="AK130" s="102"/>
      <c r="AL130" s="102"/>
      <c r="AM130" s="102"/>
      <c r="AN130" s="102"/>
    </row>
    <row r="131" spans="1:40" ht="62.25" x14ac:dyDescent="0.9">
      <c r="A131">
        <v>1</v>
      </c>
      <c r="B131" s="59">
        <f>SUBTOTAL(103,$A$94:A131)</f>
        <v>34</v>
      </c>
      <c r="C131" s="100" t="s">
        <v>1350</v>
      </c>
      <c r="D131" s="54" t="s">
        <v>1766</v>
      </c>
      <c r="E131" s="97">
        <v>0.92159999999999997</v>
      </c>
      <c r="F131" s="60">
        <f>G131+H131+I131+J131+K131+L131+N131+P131+R131+T131+V131+W131+X131+Y131+Z131+AA131+AB131+AC131+AD131+AE131+AF131+AG131</f>
        <v>46619.17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1">
        <v>0</v>
      </c>
      <c r="N131" s="60">
        <v>0</v>
      </c>
      <c r="O131" s="60">
        <v>334</v>
      </c>
      <c r="P131" s="60">
        <v>46155.31</v>
      </c>
      <c r="Q131" s="60">
        <v>0</v>
      </c>
      <c r="R131" s="60">
        <v>0</v>
      </c>
      <c r="S131" s="60">
        <v>0</v>
      </c>
      <c r="T131" s="101">
        <v>0</v>
      </c>
      <c r="U131" s="60">
        <v>0</v>
      </c>
      <c r="V131" s="60">
        <v>0</v>
      </c>
      <c r="W131" s="60">
        <v>0</v>
      </c>
      <c r="X131" s="60">
        <v>0</v>
      </c>
      <c r="Y131" s="60">
        <v>0</v>
      </c>
      <c r="Z131" s="60">
        <v>0</v>
      </c>
      <c r="AA131" s="60">
        <v>0</v>
      </c>
      <c r="AB131" s="60">
        <v>0</v>
      </c>
      <c r="AC131" s="60">
        <v>0</v>
      </c>
      <c r="AD131" s="60">
        <v>0</v>
      </c>
      <c r="AE131" s="60">
        <v>463.86</v>
      </c>
      <c r="AF131" s="60">
        <v>0</v>
      </c>
      <c r="AG131" s="60">
        <v>0</v>
      </c>
      <c r="AH131" s="98" t="s">
        <v>257</v>
      </c>
      <c r="AI131" s="98">
        <v>2020</v>
      </c>
      <c r="AJ131" s="98">
        <v>2020</v>
      </c>
      <c r="AK131" s="102"/>
      <c r="AL131" s="102"/>
      <c r="AM131" s="102"/>
      <c r="AN131" s="102"/>
    </row>
    <row r="132" spans="1:40" ht="62.25" x14ac:dyDescent="0.9">
      <c r="B132" s="283" t="s">
        <v>710</v>
      </c>
      <c r="C132" s="284"/>
      <c r="D132" s="99" t="s">
        <v>835</v>
      </c>
      <c r="E132" s="97">
        <f>AVERAGE(E133:E146)</f>
        <v>0.86005637504310761</v>
      </c>
      <c r="F132" s="177">
        <f t="shared" ref="F132:AG132" si="43">SUM(F133:F146)</f>
        <v>4163714.65</v>
      </c>
      <c r="G132" s="60">
        <f t="shared" si="43"/>
        <v>0</v>
      </c>
      <c r="H132" s="60">
        <f t="shared" si="43"/>
        <v>0</v>
      </c>
      <c r="I132" s="60">
        <f t="shared" si="43"/>
        <v>0</v>
      </c>
      <c r="J132" s="60">
        <f t="shared" si="43"/>
        <v>0</v>
      </c>
      <c r="K132" s="60">
        <f t="shared" si="43"/>
        <v>44750</v>
      </c>
      <c r="L132" s="60">
        <f t="shared" si="43"/>
        <v>0</v>
      </c>
      <c r="M132" s="61">
        <f t="shared" si="43"/>
        <v>0</v>
      </c>
      <c r="N132" s="60">
        <f t="shared" si="43"/>
        <v>0</v>
      </c>
      <c r="O132" s="60">
        <f t="shared" si="43"/>
        <v>7864.6</v>
      </c>
      <c r="P132" s="60">
        <f t="shared" si="43"/>
        <v>3942734.98</v>
      </c>
      <c r="Q132" s="60">
        <f t="shared" si="43"/>
        <v>0</v>
      </c>
      <c r="R132" s="60">
        <f t="shared" si="43"/>
        <v>0</v>
      </c>
      <c r="S132" s="60">
        <f t="shared" si="43"/>
        <v>2126.85</v>
      </c>
      <c r="T132" s="60">
        <f t="shared" si="43"/>
        <v>132894.74</v>
      </c>
      <c r="U132" s="60">
        <f t="shared" si="43"/>
        <v>0</v>
      </c>
      <c r="V132" s="60">
        <f t="shared" si="43"/>
        <v>0</v>
      </c>
      <c r="W132" s="60">
        <f t="shared" si="43"/>
        <v>0</v>
      </c>
      <c r="X132" s="60">
        <f t="shared" si="43"/>
        <v>0</v>
      </c>
      <c r="Y132" s="60">
        <f t="shared" si="43"/>
        <v>0</v>
      </c>
      <c r="Z132" s="60">
        <f t="shared" si="43"/>
        <v>0</v>
      </c>
      <c r="AA132" s="60">
        <f t="shared" si="43"/>
        <v>0</v>
      </c>
      <c r="AB132" s="60">
        <f t="shared" si="43"/>
        <v>0</v>
      </c>
      <c r="AC132" s="60">
        <f t="shared" si="43"/>
        <v>0</v>
      </c>
      <c r="AD132" s="60">
        <f t="shared" si="43"/>
        <v>0</v>
      </c>
      <c r="AE132" s="60">
        <f t="shared" si="43"/>
        <v>43334.93</v>
      </c>
      <c r="AF132" s="60">
        <f t="shared" si="43"/>
        <v>0</v>
      </c>
      <c r="AG132" s="60">
        <f t="shared" si="43"/>
        <v>0</v>
      </c>
      <c r="AH132" s="98" t="s">
        <v>835</v>
      </c>
      <c r="AI132" s="98" t="s">
        <v>835</v>
      </c>
      <c r="AJ132" s="98" t="s">
        <v>835</v>
      </c>
      <c r="AK132" s="102"/>
      <c r="AL132" s="102"/>
      <c r="AM132" s="102"/>
      <c r="AN132" s="102"/>
    </row>
    <row r="133" spans="1:40" ht="62.25" x14ac:dyDescent="0.9">
      <c r="A133">
        <v>1</v>
      </c>
      <c r="B133" s="59">
        <f>SUBTOTAL(103,$A$94:A133)</f>
        <v>35</v>
      </c>
      <c r="C133" s="100" t="s">
        <v>1351</v>
      </c>
      <c r="D133" s="54" t="s">
        <v>1766</v>
      </c>
      <c r="E133" s="97">
        <v>0.87120114478643584</v>
      </c>
      <c r="F133" s="60">
        <f t="shared" ref="F133:F143" si="44">G133+H133+I133+J133+K133+L133+N133+P133+R133+T133+V133+W133+X133+Y133+Z133+AA133+AB133+AC133+AD133+AE133+AF133+AG133</f>
        <v>13000.44</v>
      </c>
      <c r="G133" s="60">
        <v>0</v>
      </c>
      <c r="H133" s="60">
        <v>0</v>
      </c>
      <c r="I133" s="60">
        <v>0</v>
      </c>
      <c r="J133" s="60">
        <v>0</v>
      </c>
      <c r="K133" s="60">
        <v>12873</v>
      </c>
      <c r="L133" s="60">
        <v>0</v>
      </c>
      <c r="M133" s="61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0">
        <v>0</v>
      </c>
      <c r="T133" s="101">
        <v>0</v>
      </c>
      <c r="U133" s="60">
        <v>0</v>
      </c>
      <c r="V133" s="60">
        <v>0</v>
      </c>
      <c r="W133" s="60">
        <v>0</v>
      </c>
      <c r="X133" s="60">
        <v>0</v>
      </c>
      <c r="Y133" s="60">
        <v>0</v>
      </c>
      <c r="Z133" s="60">
        <v>0</v>
      </c>
      <c r="AA133" s="60">
        <v>0</v>
      </c>
      <c r="AB133" s="60">
        <v>0</v>
      </c>
      <c r="AC133" s="60">
        <v>0</v>
      </c>
      <c r="AD133" s="60">
        <v>0</v>
      </c>
      <c r="AE133" s="60">
        <v>127.44</v>
      </c>
      <c r="AF133" s="60">
        <v>0</v>
      </c>
      <c r="AG133" s="60">
        <v>0</v>
      </c>
      <c r="AH133" s="98" t="s">
        <v>257</v>
      </c>
      <c r="AI133" s="98">
        <v>2020</v>
      </c>
      <c r="AJ133" s="98">
        <v>2020</v>
      </c>
      <c r="AK133" s="102"/>
      <c r="AL133" s="102"/>
      <c r="AM133" s="102"/>
      <c r="AN133" s="102"/>
    </row>
    <row r="134" spans="1:40" ht="62.25" x14ac:dyDescent="0.9">
      <c r="A134">
        <v>1</v>
      </c>
      <c r="B134" s="59">
        <f>SUBTOTAL(103,$A$94:A134)</f>
        <v>36</v>
      </c>
      <c r="C134" s="100" t="s">
        <v>1352</v>
      </c>
      <c r="D134" s="54" t="s">
        <v>1766</v>
      </c>
      <c r="E134" s="97">
        <v>0.88725132075072177</v>
      </c>
      <c r="F134" s="60">
        <f t="shared" si="44"/>
        <v>1780255.26</v>
      </c>
      <c r="G134" s="60">
        <v>0</v>
      </c>
      <c r="H134" s="60">
        <v>0</v>
      </c>
      <c r="I134" s="60">
        <v>0</v>
      </c>
      <c r="J134" s="60">
        <v>0</v>
      </c>
      <c r="K134" s="60">
        <v>0</v>
      </c>
      <c r="L134" s="60">
        <v>0</v>
      </c>
      <c r="M134" s="61">
        <v>0</v>
      </c>
      <c r="N134" s="60">
        <v>0</v>
      </c>
      <c r="O134" s="60">
        <v>1600</v>
      </c>
      <c r="P134" s="60">
        <v>1762803.51</v>
      </c>
      <c r="Q134" s="60">
        <v>0</v>
      </c>
      <c r="R134" s="60">
        <v>0</v>
      </c>
      <c r="S134" s="60">
        <v>0</v>
      </c>
      <c r="T134" s="101">
        <v>0</v>
      </c>
      <c r="U134" s="60">
        <v>0</v>
      </c>
      <c r="V134" s="60">
        <v>0</v>
      </c>
      <c r="W134" s="60">
        <v>0</v>
      </c>
      <c r="X134" s="60">
        <v>0</v>
      </c>
      <c r="Y134" s="60">
        <v>0</v>
      </c>
      <c r="Z134" s="60">
        <v>0</v>
      </c>
      <c r="AA134" s="60">
        <v>0</v>
      </c>
      <c r="AB134" s="60">
        <v>0</v>
      </c>
      <c r="AC134" s="60">
        <v>0</v>
      </c>
      <c r="AD134" s="60">
        <v>0</v>
      </c>
      <c r="AE134" s="60">
        <v>17451.75</v>
      </c>
      <c r="AF134" s="60">
        <v>0</v>
      </c>
      <c r="AG134" s="60">
        <v>0</v>
      </c>
      <c r="AH134" s="98" t="s">
        <v>257</v>
      </c>
      <c r="AI134" s="63">
        <v>2021</v>
      </c>
      <c r="AJ134" s="63">
        <v>2021</v>
      </c>
      <c r="AK134" s="102"/>
      <c r="AL134" s="102"/>
      <c r="AM134" s="102"/>
      <c r="AN134" s="102"/>
    </row>
    <row r="135" spans="1:40" ht="62.25" x14ac:dyDescent="0.9">
      <c r="A135">
        <v>1</v>
      </c>
      <c r="B135" s="59">
        <f>SUBTOTAL(103,$A$94:A135)</f>
        <v>37</v>
      </c>
      <c r="C135" s="100" t="s">
        <v>1355</v>
      </c>
      <c r="D135" s="54" t="s">
        <v>1766</v>
      </c>
      <c r="E135" s="97">
        <v>0.93600000000000005</v>
      </c>
      <c r="F135" s="60">
        <f t="shared" si="44"/>
        <v>1170243.6200000001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1">
        <v>0</v>
      </c>
      <c r="N135" s="60">
        <v>0</v>
      </c>
      <c r="O135" s="60">
        <v>1110</v>
      </c>
      <c r="P135" s="60">
        <v>1158771.78</v>
      </c>
      <c r="Q135" s="60">
        <v>0</v>
      </c>
      <c r="R135" s="60">
        <v>0</v>
      </c>
      <c r="S135" s="60">
        <v>0</v>
      </c>
      <c r="T135" s="101">
        <v>0</v>
      </c>
      <c r="U135" s="60">
        <v>0</v>
      </c>
      <c r="V135" s="60">
        <v>0</v>
      </c>
      <c r="W135" s="60">
        <v>0</v>
      </c>
      <c r="X135" s="60">
        <v>0</v>
      </c>
      <c r="Y135" s="60">
        <v>0</v>
      </c>
      <c r="Z135" s="60">
        <v>0</v>
      </c>
      <c r="AA135" s="60">
        <v>0</v>
      </c>
      <c r="AB135" s="60">
        <v>0</v>
      </c>
      <c r="AC135" s="60">
        <v>0</v>
      </c>
      <c r="AD135" s="60">
        <v>0</v>
      </c>
      <c r="AE135" s="60">
        <v>11471.84</v>
      </c>
      <c r="AF135" s="60">
        <v>0</v>
      </c>
      <c r="AG135" s="60">
        <v>0</v>
      </c>
      <c r="AH135" s="98" t="s">
        <v>257</v>
      </c>
      <c r="AI135" s="98">
        <v>2020</v>
      </c>
      <c r="AJ135" s="98">
        <v>2020</v>
      </c>
      <c r="AK135" s="102"/>
      <c r="AL135" s="102"/>
      <c r="AM135" s="102"/>
      <c r="AN135" s="102"/>
    </row>
    <row r="136" spans="1:40" ht="62.25" x14ac:dyDescent="0.9">
      <c r="A136">
        <v>1</v>
      </c>
      <c r="B136" s="59">
        <f>SUBTOTAL(103,$A$94:A136)</f>
        <v>38</v>
      </c>
      <c r="C136" s="100" t="s">
        <v>1356</v>
      </c>
      <c r="D136" s="54" t="s">
        <v>1766</v>
      </c>
      <c r="E136" s="97">
        <v>0.91669999999999996</v>
      </c>
      <c r="F136" s="60">
        <f t="shared" si="44"/>
        <v>82236.160000000003</v>
      </c>
      <c r="G136" s="60">
        <v>0</v>
      </c>
      <c r="H136" s="60">
        <v>0</v>
      </c>
      <c r="I136" s="60">
        <v>0</v>
      </c>
      <c r="J136" s="60">
        <v>0</v>
      </c>
      <c r="K136" s="60">
        <v>0</v>
      </c>
      <c r="L136" s="60">
        <v>0</v>
      </c>
      <c r="M136" s="61">
        <v>0</v>
      </c>
      <c r="N136" s="60">
        <v>0</v>
      </c>
      <c r="O136" s="60">
        <v>1586.2</v>
      </c>
      <c r="P136" s="60">
        <v>81430</v>
      </c>
      <c r="Q136" s="60">
        <v>0</v>
      </c>
      <c r="R136" s="60">
        <v>0</v>
      </c>
      <c r="S136" s="60">
        <v>0</v>
      </c>
      <c r="T136" s="60">
        <v>0</v>
      </c>
      <c r="U136" s="60">
        <v>0</v>
      </c>
      <c r="V136" s="60">
        <v>0</v>
      </c>
      <c r="W136" s="60">
        <v>0</v>
      </c>
      <c r="X136" s="60">
        <v>0</v>
      </c>
      <c r="Y136" s="60">
        <v>0</v>
      </c>
      <c r="Z136" s="60">
        <v>0</v>
      </c>
      <c r="AA136" s="60">
        <v>0</v>
      </c>
      <c r="AB136" s="60">
        <v>0</v>
      </c>
      <c r="AC136" s="60">
        <v>0</v>
      </c>
      <c r="AD136" s="60">
        <v>0</v>
      </c>
      <c r="AE136" s="60">
        <v>806.16</v>
      </c>
      <c r="AF136" s="60">
        <v>0</v>
      </c>
      <c r="AG136" s="60">
        <v>0</v>
      </c>
      <c r="AH136" s="98" t="s">
        <v>257</v>
      </c>
      <c r="AI136" s="98">
        <v>2020</v>
      </c>
      <c r="AJ136" s="98">
        <v>2020</v>
      </c>
      <c r="AK136" s="102"/>
      <c r="AL136" s="102"/>
      <c r="AM136" s="102"/>
      <c r="AN136" s="102"/>
    </row>
    <row r="137" spans="1:40" ht="62.25" x14ac:dyDescent="0.9">
      <c r="A137">
        <v>1</v>
      </c>
      <c r="B137" s="59">
        <f>SUBTOTAL(103,$A$94:A137)</f>
        <v>39</v>
      </c>
      <c r="C137" s="100" t="s">
        <v>1357</v>
      </c>
      <c r="D137" s="55" t="s">
        <v>1766</v>
      </c>
      <c r="E137" s="97">
        <v>0.86950000000000005</v>
      </c>
      <c r="F137" s="60">
        <f t="shared" si="44"/>
        <v>32192.58</v>
      </c>
      <c r="G137" s="60">
        <v>0</v>
      </c>
      <c r="H137" s="60">
        <v>0</v>
      </c>
      <c r="I137" s="60">
        <v>0</v>
      </c>
      <c r="J137" s="60">
        <v>0</v>
      </c>
      <c r="K137" s="60">
        <v>31877</v>
      </c>
      <c r="L137" s="60">
        <v>0</v>
      </c>
      <c r="M137" s="61">
        <v>0</v>
      </c>
      <c r="N137" s="60">
        <v>0</v>
      </c>
      <c r="O137" s="60">
        <v>0</v>
      </c>
      <c r="P137" s="60">
        <v>0</v>
      </c>
      <c r="Q137" s="60">
        <v>0</v>
      </c>
      <c r="R137" s="60">
        <v>0</v>
      </c>
      <c r="S137" s="60">
        <v>0</v>
      </c>
      <c r="T137" s="60">
        <v>0</v>
      </c>
      <c r="U137" s="60">
        <v>0</v>
      </c>
      <c r="V137" s="60">
        <v>0</v>
      </c>
      <c r="W137" s="60">
        <v>0</v>
      </c>
      <c r="X137" s="60">
        <v>0</v>
      </c>
      <c r="Y137" s="60">
        <v>0</v>
      </c>
      <c r="Z137" s="60">
        <v>0</v>
      </c>
      <c r="AA137" s="60">
        <v>0</v>
      </c>
      <c r="AB137" s="60">
        <v>0</v>
      </c>
      <c r="AC137" s="60">
        <v>0</v>
      </c>
      <c r="AD137" s="60">
        <v>0</v>
      </c>
      <c r="AE137" s="60">
        <v>315.58</v>
      </c>
      <c r="AF137" s="60">
        <v>0</v>
      </c>
      <c r="AG137" s="60">
        <v>0</v>
      </c>
      <c r="AH137" s="98" t="s">
        <v>257</v>
      </c>
      <c r="AI137" s="63">
        <v>2022</v>
      </c>
      <c r="AJ137" s="63">
        <v>2022</v>
      </c>
      <c r="AK137" s="102"/>
      <c r="AL137" s="102"/>
      <c r="AM137" s="102"/>
      <c r="AN137" s="102"/>
    </row>
    <row r="138" spans="1:40" ht="62.25" x14ac:dyDescent="0.9">
      <c r="A138">
        <v>1</v>
      </c>
      <c r="B138" s="59">
        <f>SUBTOTAL(103,$A$94:A138)</f>
        <v>40</v>
      </c>
      <c r="C138" s="100" t="s">
        <v>1358</v>
      </c>
      <c r="D138" s="54" t="s">
        <v>1766</v>
      </c>
      <c r="E138" s="97">
        <v>0.94930000000000003</v>
      </c>
      <c r="F138" s="60">
        <f t="shared" si="44"/>
        <v>23581.1</v>
      </c>
      <c r="G138" s="60">
        <v>0</v>
      </c>
      <c r="H138" s="60">
        <v>0</v>
      </c>
      <c r="I138" s="60">
        <v>0</v>
      </c>
      <c r="J138" s="60">
        <v>0</v>
      </c>
      <c r="K138" s="60">
        <v>0</v>
      </c>
      <c r="L138" s="60">
        <v>0</v>
      </c>
      <c r="M138" s="61">
        <v>0</v>
      </c>
      <c r="N138" s="60">
        <v>0</v>
      </c>
      <c r="O138" s="60">
        <v>649.79999999999995</v>
      </c>
      <c r="P138" s="60">
        <v>23349.94</v>
      </c>
      <c r="Q138" s="60">
        <v>0</v>
      </c>
      <c r="R138" s="60">
        <v>0</v>
      </c>
      <c r="S138" s="60">
        <v>0</v>
      </c>
      <c r="T138" s="60">
        <v>0</v>
      </c>
      <c r="U138" s="60">
        <v>0</v>
      </c>
      <c r="V138" s="60">
        <v>0</v>
      </c>
      <c r="W138" s="60">
        <v>0</v>
      </c>
      <c r="X138" s="60">
        <v>0</v>
      </c>
      <c r="Y138" s="60">
        <v>0</v>
      </c>
      <c r="Z138" s="60">
        <v>0</v>
      </c>
      <c r="AA138" s="60">
        <v>0</v>
      </c>
      <c r="AB138" s="60">
        <v>0</v>
      </c>
      <c r="AC138" s="60">
        <v>0</v>
      </c>
      <c r="AD138" s="60">
        <v>0</v>
      </c>
      <c r="AE138" s="60">
        <v>231.16</v>
      </c>
      <c r="AF138" s="60">
        <v>0</v>
      </c>
      <c r="AG138" s="60">
        <v>0</v>
      </c>
      <c r="AH138" s="98" t="s">
        <v>257</v>
      </c>
      <c r="AI138" s="98">
        <v>2020</v>
      </c>
      <c r="AJ138" s="98">
        <v>2020</v>
      </c>
      <c r="AK138" s="102"/>
      <c r="AL138" s="102"/>
      <c r="AM138" s="102"/>
      <c r="AN138" s="102"/>
    </row>
    <row r="139" spans="1:40" ht="62.25" x14ac:dyDescent="0.9">
      <c r="A139">
        <v>1</v>
      </c>
      <c r="B139" s="59">
        <f>SUBTOTAL(103,$A$94:A139)</f>
        <v>41</v>
      </c>
      <c r="C139" s="100" t="s">
        <v>1359</v>
      </c>
      <c r="D139" s="54" t="s">
        <v>1767</v>
      </c>
      <c r="E139" s="97">
        <v>0.79333438101544396</v>
      </c>
      <c r="F139" s="60">
        <f t="shared" si="44"/>
        <v>649198.31999999995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1">
        <v>0</v>
      </c>
      <c r="N139" s="60">
        <v>0</v>
      </c>
      <c r="O139" s="60">
        <v>1265</v>
      </c>
      <c r="P139" s="60">
        <v>640930.31999999995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60">
        <v>0</v>
      </c>
      <c r="Y139" s="60">
        <v>0</v>
      </c>
      <c r="Z139" s="60">
        <v>0</v>
      </c>
      <c r="AA139" s="60">
        <v>0</v>
      </c>
      <c r="AB139" s="60">
        <v>0</v>
      </c>
      <c r="AC139" s="60">
        <v>0</v>
      </c>
      <c r="AD139" s="60">
        <v>0</v>
      </c>
      <c r="AE139" s="60">
        <v>8268</v>
      </c>
      <c r="AF139" s="60">
        <v>0</v>
      </c>
      <c r="AG139" s="60">
        <v>0</v>
      </c>
      <c r="AH139" s="98" t="s">
        <v>257</v>
      </c>
      <c r="AI139" s="98">
        <v>2020</v>
      </c>
      <c r="AJ139" s="98">
        <v>2020</v>
      </c>
      <c r="AK139" s="102"/>
      <c r="AL139" s="102"/>
      <c r="AM139" s="102"/>
      <c r="AN139" s="102"/>
    </row>
    <row r="140" spans="1:40" ht="62.25" x14ac:dyDescent="0.9">
      <c r="A140">
        <v>1</v>
      </c>
      <c r="B140" s="59">
        <f>SUBTOTAL(103,$A$94:A140)</f>
        <v>42</v>
      </c>
      <c r="C140" s="100" t="s">
        <v>1361</v>
      </c>
      <c r="D140" s="55" t="s">
        <v>1767</v>
      </c>
      <c r="E140" s="97">
        <v>0.80210000000000004</v>
      </c>
      <c r="F140" s="60">
        <f t="shared" si="44"/>
        <v>54035.4</v>
      </c>
      <c r="G140" s="60">
        <v>0</v>
      </c>
      <c r="H140" s="60">
        <v>0</v>
      </c>
      <c r="I140" s="60">
        <v>0</v>
      </c>
      <c r="J140" s="60">
        <v>0</v>
      </c>
      <c r="K140" s="60">
        <v>0</v>
      </c>
      <c r="L140" s="60">
        <v>0</v>
      </c>
      <c r="M140" s="61">
        <v>0</v>
      </c>
      <c r="N140" s="60">
        <v>0</v>
      </c>
      <c r="O140" s="60">
        <v>0</v>
      </c>
      <c r="P140" s="60">
        <v>0</v>
      </c>
      <c r="Q140" s="60">
        <v>0</v>
      </c>
      <c r="R140" s="60">
        <v>0</v>
      </c>
      <c r="S140" s="60">
        <v>276.85000000000002</v>
      </c>
      <c r="T140" s="60">
        <v>53469</v>
      </c>
      <c r="U140" s="60">
        <v>0</v>
      </c>
      <c r="V140" s="60">
        <v>0</v>
      </c>
      <c r="W140" s="60">
        <v>0</v>
      </c>
      <c r="X140" s="60">
        <v>0</v>
      </c>
      <c r="Y140" s="60">
        <v>0</v>
      </c>
      <c r="Z140" s="60">
        <v>0</v>
      </c>
      <c r="AA140" s="60">
        <v>0</v>
      </c>
      <c r="AB140" s="60">
        <v>0</v>
      </c>
      <c r="AC140" s="60">
        <v>0</v>
      </c>
      <c r="AD140" s="60">
        <v>0</v>
      </c>
      <c r="AE140" s="60">
        <f>ROUND(T140*1.0593%,2)</f>
        <v>566.4</v>
      </c>
      <c r="AF140" s="60">
        <v>0</v>
      </c>
      <c r="AG140" s="60">
        <v>0</v>
      </c>
      <c r="AH140" s="98" t="s">
        <v>257</v>
      </c>
      <c r="AI140" s="63">
        <v>2022</v>
      </c>
      <c r="AJ140" s="63">
        <v>2022</v>
      </c>
      <c r="AK140" s="102"/>
      <c r="AL140" s="102"/>
      <c r="AM140" s="102"/>
      <c r="AN140" s="102"/>
    </row>
    <row r="141" spans="1:40" ht="62.25" x14ac:dyDescent="0.9">
      <c r="A141">
        <v>1</v>
      </c>
      <c r="B141" s="59">
        <f>SUBTOTAL(103,$A$94:A141)</f>
        <v>43</v>
      </c>
      <c r="C141" s="100" t="s">
        <v>1365</v>
      </c>
      <c r="D141" s="55">
        <v>2015</v>
      </c>
      <c r="E141" s="97">
        <v>0.9476</v>
      </c>
      <c r="F141" s="60">
        <f t="shared" si="44"/>
        <v>37308.06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1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174</v>
      </c>
      <c r="T141" s="101">
        <v>37308.06</v>
      </c>
      <c r="U141" s="60">
        <v>0</v>
      </c>
      <c r="V141" s="60">
        <v>0</v>
      </c>
      <c r="W141" s="60">
        <v>0</v>
      </c>
      <c r="X141" s="60">
        <v>0</v>
      </c>
      <c r="Y141" s="60">
        <v>0</v>
      </c>
      <c r="Z141" s="60">
        <v>0</v>
      </c>
      <c r="AA141" s="60">
        <v>0</v>
      </c>
      <c r="AB141" s="60">
        <v>0</v>
      </c>
      <c r="AC141" s="60">
        <v>0</v>
      </c>
      <c r="AD141" s="60">
        <v>0</v>
      </c>
      <c r="AE141" s="60">
        <v>0</v>
      </c>
      <c r="AF141" s="60">
        <v>0</v>
      </c>
      <c r="AG141" s="60">
        <v>0</v>
      </c>
      <c r="AH141" s="98" t="s">
        <v>257</v>
      </c>
      <c r="AI141" s="63">
        <v>2020</v>
      </c>
      <c r="AJ141" s="63" t="s">
        <v>257</v>
      </c>
      <c r="AK141" s="102"/>
      <c r="AL141" s="102"/>
      <c r="AM141" s="102"/>
      <c r="AN141" s="102"/>
    </row>
    <row r="142" spans="1:40" ht="62.25" x14ac:dyDescent="0.9">
      <c r="A142">
        <v>1</v>
      </c>
      <c r="B142" s="59">
        <f>SUBTOTAL(103,$A$94:A142)</f>
        <v>44</v>
      </c>
      <c r="C142" s="100" t="s">
        <v>1407</v>
      </c>
      <c r="D142" s="55" t="s">
        <v>1435</v>
      </c>
      <c r="E142" s="97">
        <v>0.80649999999999999</v>
      </c>
      <c r="F142" s="60">
        <f t="shared" si="44"/>
        <v>42661</v>
      </c>
      <c r="G142" s="60">
        <v>0</v>
      </c>
      <c r="H142" s="60">
        <v>0</v>
      </c>
      <c r="I142" s="60">
        <v>0</v>
      </c>
      <c r="J142" s="60">
        <v>0</v>
      </c>
      <c r="K142" s="60">
        <v>0</v>
      </c>
      <c r="L142" s="60">
        <v>0</v>
      </c>
      <c r="M142" s="61">
        <v>0</v>
      </c>
      <c r="N142" s="60">
        <v>0</v>
      </c>
      <c r="O142" s="60">
        <v>0</v>
      </c>
      <c r="P142" s="60">
        <v>0</v>
      </c>
      <c r="Q142" s="60">
        <v>0</v>
      </c>
      <c r="R142" s="60">
        <v>0</v>
      </c>
      <c r="S142" s="60">
        <v>1676</v>
      </c>
      <c r="T142" s="101">
        <v>42117.68</v>
      </c>
      <c r="U142" s="60">
        <v>0</v>
      </c>
      <c r="V142" s="60">
        <v>0</v>
      </c>
      <c r="W142" s="60">
        <v>0</v>
      </c>
      <c r="X142" s="60">
        <v>0</v>
      </c>
      <c r="Y142" s="60">
        <v>0</v>
      </c>
      <c r="Z142" s="60">
        <v>0</v>
      </c>
      <c r="AA142" s="60">
        <v>0</v>
      </c>
      <c r="AB142" s="60">
        <v>0</v>
      </c>
      <c r="AC142" s="60">
        <v>0</v>
      </c>
      <c r="AD142" s="60">
        <v>0</v>
      </c>
      <c r="AE142" s="60">
        <v>543.32000000000005</v>
      </c>
      <c r="AF142" s="60">
        <v>0</v>
      </c>
      <c r="AG142" s="60">
        <v>0</v>
      </c>
      <c r="AH142" s="98" t="s">
        <v>257</v>
      </c>
      <c r="AI142" s="63">
        <v>2020</v>
      </c>
      <c r="AJ142" s="63">
        <v>2020</v>
      </c>
      <c r="AK142" s="102"/>
      <c r="AL142" s="102"/>
      <c r="AM142" s="102"/>
      <c r="AN142" s="102"/>
    </row>
    <row r="143" spans="1:40" ht="62.25" x14ac:dyDescent="0.9">
      <c r="A143">
        <v>1</v>
      </c>
      <c r="B143" s="59">
        <f>SUBTOTAL(103,$A$94:A143)</f>
        <v>45</v>
      </c>
      <c r="C143" s="100" t="s">
        <v>1408</v>
      </c>
      <c r="D143" s="54" t="s">
        <v>1767</v>
      </c>
      <c r="E143" s="97">
        <v>0.79520000000000002</v>
      </c>
      <c r="F143" s="60">
        <f t="shared" si="44"/>
        <v>65466.48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1">
        <v>0</v>
      </c>
      <c r="N143" s="60">
        <v>0</v>
      </c>
      <c r="O143" s="60">
        <v>352</v>
      </c>
      <c r="P143" s="60">
        <v>64632.72</v>
      </c>
      <c r="Q143" s="60">
        <v>0</v>
      </c>
      <c r="R143" s="60">
        <v>0</v>
      </c>
      <c r="S143" s="60">
        <v>0</v>
      </c>
      <c r="T143" s="101">
        <v>0</v>
      </c>
      <c r="U143" s="60">
        <v>0</v>
      </c>
      <c r="V143" s="60">
        <v>0</v>
      </c>
      <c r="W143" s="60">
        <v>0</v>
      </c>
      <c r="X143" s="60">
        <v>0</v>
      </c>
      <c r="Y143" s="60">
        <v>0</v>
      </c>
      <c r="Z143" s="60">
        <v>0</v>
      </c>
      <c r="AA143" s="60">
        <v>0</v>
      </c>
      <c r="AB143" s="60">
        <v>0</v>
      </c>
      <c r="AC143" s="60">
        <v>0</v>
      </c>
      <c r="AD143" s="60">
        <v>0</v>
      </c>
      <c r="AE143" s="60">
        <v>833.76</v>
      </c>
      <c r="AF143" s="60">
        <v>0</v>
      </c>
      <c r="AG143" s="60">
        <v>0</v>
      </c>
      <c r="AH143" s="98" t="s">
        <v>257</v>
      </c>
      <c r="AI143" s="98">
        <v>2020</v>
      </c>
      <c r="AJ143" s="98">
        <v>2020</v>
      </c>
      <c r="AK143" s="102"/>
      <c r="AL143" s="102"/>
      <c r="AM143" s="102"/>
      <c r="AN143" s="102"/>
    </row>
    <row r="144" spans="1:40" ht="62.25" x14ac:dyDescent="0.9">
      <c r="A144">
        <v>1</v>
      </c>
      <c r="B144" s="59">
        <f>SUBTOTAL(103,$A$94:A144)</f>
        <v>46</v>
      </c>
      <c r="C144" s="100" t="s">
        <v>1772</v>
      </c>
      <c r="D144" s="54" t="s">
        <v>1766</v>
      </c>
      <c r="E144" s="97">
        <v>0.88386686541757653</v>
      </c>
      <c r="F144" s="60">
        <f>P144+AE144</f>
        <v>24060.129999999997</v>
      </c>
      <c r="G144" s="60">
        <v>0</v>
      </c>
      <c r="H144" s="60">
        <v>0</v>
      </c>
      <c r="I144" s="60">
        <v>0</v>
      </c>
      <c r="J144" s="60">
        <v>0</v>
      </c>
      <c r="K144" s="60">
        <v>0</v>
      </c>
      <c r="L144" s="60">
        <v>0</v>
      </c>
      <c r="M144" s="61">
        <v>0</v>
      </c>
      <c r="N144" s="60">
        <v>0</v>
      </c>
      <c r="O144" s="60">
        <v>345.6</v>
      </c>
      <c r="P144" s="60">
        <v>23753.71</v>
      </c>
      <c r="Q144" s="60">
        <v>0</v>
      </c>
      <c r="R144" s="60">
        <v>0</v>
      </c>
      <c r="S144" s="60">
        <v>0</v>
      </c>
      <c r="T144" s="101">
        <v>0</v>
      </c>
      <c r="U144" s="60">
        <v>0</v>
      </c>
      <c r="V144" s="60">
        <v>0</v>
      </c>
      <c r="W144" s="60">
        <v>0</v>
      </c>
      <c r="X144" s="60">
        <v>0</v>
      </c>
      <c r="Y144" s="60">
        <v>0</v>
      </c>
      <c r="Z144" s="60">
        <v>0</v>
      </c>
      <c r="AA144" s="60">
        <v>0</v>
      </c>
      <c r="AB144" s="60">
        <v>0</v>
      </c>
      <c r="AC144" s="60">
        <v>0</v>
      </c>
      <c r="AD144" s="60">
        <v>0</v>
      </c>
      <c r="AE144" s="60">
        <v>306.42</v>
      </c>
      <c r="AF144" s="60">
        <v>0</v>
      </c>
      <c r="AG144" s="60">
        <v>0</v>
      </c>
      <c r="AH144" s="98" t="s">
        <v>257</v>
      </c>
      <c r="AI144" s="98">
        <v>2021</v>
      </c>
      <c r="AJ144" s="98">
        <v>2021</v>
      </c>
      <c r="AK144" s="102"/>
      <c r="AL144" s="102"/>
      <c r="AM144" s="102"/>
      <c r="AN144" s="102"/>
    </row>
    <row r="145" spans="1:40" ht="62.25" x14ac:dyDescent="0.9">
      <c r="A145">
        <v>1</v>
      </c>
      <c r="B145" s="59">
        <f>SUBTOTAL(103,$A$94:A145)</f>
        <v>47</v>
      </c>
      <c r="C145" s="100" t="s">
        <v>1773</v>
      </c>
      <c r="D145" s="54" t="s">
        <v>1767</v>
      </c>
      <c r="E145" s="97">
        <v>0.76750579810492481</v>
      </c>
      <c r="F145" s="60">
        <f>P145+AE145</f>
        <v>124416.53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1">
        <v>0</v>
      </c>
      <c r="N145" s="60">
        <v>0</v>
      </c>
      <c r="O145" s="60">
        <v>425</v>
      </c>
      <c r="P145" s="60">
        <v>122832</v>
      </c>
      <c r="Q145" s="60">
        <v>0</v>
      </c>
      <c r="R145" s="60">
        <v>0</v>
      </c>
      <c r="S145" s="60">
        <v>0</v>
      </c>
      <c r="T145" s="101">
        <v>0</v>
      </c>
      <c r="U145" s="60">
        <v>0</v>
      </c>
      <c r="V145" s="60">
        <v>0</v>
      </c>
      <c r="W145" s="60">
        <v>0</v>
      </c>
      <c r="X145" s="60">
        <v>0</v>
      </c>
      <c r="Y145" s="60">
        <v>0</v>
      </c>
      <c r="Z145" s="60">
        <v>0</v>
      </c>
      <c r="AA145" s="60">
        <v>0</v>
      </c>
      <c r="AB145" s="60">
        <v>0</v>
      </c>
      <c r="AC145" s="60">
        <v>0</v>
      </c>
      <c r="AD145" s="60">
        <v>0</v>
      </c>
      <c r="AE145" s="60">
        <v>1584.53</v>
      </c>
      <c r="AF145" s="60">
        <v>0</v>
      </c>
      <c r="AG145" s="60">
        <v>0</v>
      </c>
      <c r="AH145" s="98" t="s">
        <v>257</v>
      </c>
      <c r="AI145" s="98">
        <v>2021</v>
      </c>
      <c r="AJ145" s="98">
        <v>2021</v>
      </c>
      <c r="AK145" s="102"/>
      <c r="AL145" s="102"/>
      <c r="AM145" s="102"/>
      <c r="AN145" s="102"/>
    </row>
    <row r="146" spans="1:40" ht="62.25" x14ac:dyDescent="0.9">
      <c r="A146">
        <v>1</v>
      </c>
      <c r="B146" s="59">
        <f>SUBTOTAL(103,$A$94:A146)</f>
        <v>48</v>
      </c>
      <c r="C146" s="100" t="s">
        <v>1774</v>
      </c>
      <c r="D146" s="54" t="s">
        <v>1767</v>
      </c>
      <c r="E146" s="97">
        <v>0.81472974052840219</v>
      </c>
      <c r="F146" s="60">
        <f>P146+AE146</f>
        <v>65059.57</v>
      </c>
      <c r="G146" s="60">
        <v>0</v>
      </c>
      <c r="H146" s="60">
        <v>0</v>
      </c>
      <c r="I146" s="60">
        <v>0</v>
      </c>
      <c r="J146" s="60">
        <v>0</v>
      </c>
      <c r="K146" s="60">
        <v>0</v>
      </c>
      <c r="L146" s="60">
        <v>0</v>
      </c>
      <c r="M146" s="61">
        <v>0</v>
      </c>
      <c r="N146" s="60">
        <v>0</v>
      </c>
      <c r="O146" s="60">
        <v>531</v>
      </c>
      <c r="P146" s="60">
        <v>64231</v>
      </c>
      <c r="Q146" s="60">
        <v>0</v>
      </c>
      <c r="R146" s="60">
        <v>0</v>
      </c>
      <c r="S146" s="60">
        <v>0</v>
      </c>
      <c r="T146" s="101">
        <v>0</v>
      </c>
      <c r="U146" s="60">
        <v>0</v>
      </c>
      <c r="V146" s="60">
        <v>0</v>
      </c>
      <c r="W146" s="60">
        <v>0</v>
      </c>
      <c r="X146" s="60">
        <v>0</v>
      </c>
      <c r="Y146" s="60">
        <v>0</v>
      </c>
      <c r="Z146" s="60">
        <v>0</v>
      </c>
      <c r="AA146" s="60">
        <v>0</v>
      </c>
      <c r="AB146" s="60">
        <v>0</v>
      </c>
      <c r="AC146" s="60">
        <v>0</v>
      </c>
      <c r="AD146" s="60">
        <v>0</v>
      </c>
      <c r="AE146" s="60">
        <v>828.57</v>
      </c>
      <c r="AF146" s="60">
        <v>0</v>
      </c>
      <c r="AG146" s="60">
        <v>0</v>
      </c>
      <c r="AH146" s="98" t="s">
        <v>257</v>
      </c>
      <c r="AI146" s="63">
        <v>2022</v>
      </c>
      <c r="AJ146" s="63">
        <v>2022</v>
      </c>
      <c r="AK146" s="102"/>
      <c r="AL146" s="102"/>
      <c r="AM146" s="102"/>
      <c r="AN146" s="102"/>
    </row>
    <row r="147" spans="1:40" ht="62.25" x14ac:dyDescent="0.9">
      <c r="B147" s="283" t="s">
        <v>1324</v>
      </c>
      <c r="C147" s="284"/>
      <c r="D147" s="99" t="s">
        <v>835</v>
      </c>
      <c r="E147" s="97">
        <f>AVERAGE(E148:E161)</f>
        <v>0.89899527061752027</v>
      </c>
      <c r="F147" s="177">
        <f t="shared" ref="F147:AG147" si="45">SUM(F148:F161)</f>
        <v>5154613.0699999994</v>
      </c>
      <c r="G147" s="60">
        <f t="shared" si="45"/>
        <v>0</v>
      </c>
      <c r="H147" s="60">
        <f t="shared" si="45"/>
        <v>0</v>
      </c>
      <c r="I147" s="60">
        <f t="shared" si="45"/>
        <v>0</v>
      </c>
      <c r="J147" s="60">
        <f t="shared" si="45"/>
        <v>0</v>
      </c>
      <c r="K147" s="60">
        <f t="shared" si="45"/>
        <v>0</v>
      </c>
      <c r="L147" s="60">
        <f t="shared" si="45"/>
        <v>0</v>
      </c>
      <c r="M147" s="61">
        <f t="shared" si="45"/>
        <v>0</v>
      </c>
      <c r="N147" s="60">
        <f t="shared" si="45"/>
        <v>0</v>
      </c>
      <c r="O147" s="60">
        <f t="shared" si="45"/>
        <v>13196</v>
      </c>
      <c r="P147" s="60">
        <f t="shared" si="45"/>
        <v>5011043.43</v>
      </c>
      <c r="Q147" s="60">
        <f t="shared" si="45"/>
        <v>0</v>
      </c>
      <c r="R147" s="60">
        <f t="shared" si="45"/>
        <v>0</v>
      </c>
      <c r="S147" s="60">
        <f t="shared" si="45"/>
        <v>0</v>
      </c>
      <c r="T147" s="60">
        <f t="shared" si="45"/>
        <v>0</v>
      </c>
      <c r="U147" s="60">
        <f t="shared" si="45"/>
        <v>0</v>
      </c>
      <c r="V147" s="60">
        <f t="shared" si="45"/>
        <v>0</v>
      </c>
      <c r="W147" s="60">
        <f t="shared" si="45"/>
        <v>0</v>
      </c>
      <c r="X147" s="60">
        <f t="shared" si="45"/>
        <v>69998</v>
      </c>
      <c r="Y147" s="60">
        <f t="shared" si="45"/>
        <v>0</v>
      </c>
      <c r="Z147" s="60">
        <f t="shared" si="45"/>
        <v>0</v>
      </c>
      <c r="AA147" s="60">
        <f t="shared" si="45"/>
        <v>0</v>
      </c>
      <c r="AB147" s="60">
        <f t="shared" si="45"/>
        <v>0</v>
      </c>
      <c r="AC147" s="60">
        <f t="shared" si="45"/>
        <v>0</v>
      </c>
      <c r="AD147" s="60">
        <f t="shared" si="45"/>
        <v>0</v>
      </c>
      <c r="AE147" s="60">
        <f t="shared" si="45"/>
        <v>73571.640000000014</v>
      </c>
      <c r="AF147" s="60">
        <f t="shared" si="45"/>
        <v>0</v>
      </c>
      <c r="AG147" s="60">
        <f t="shared" si="45"/>
        <v>0</v>
      </c>
      <c r="AH147" s="98" t="s">
        <v>835</v>
      </c>
      <c r="AI147" s="98" t="s">
        <v>835</v>
      </c>
      <c r="AJ147" s="98" t="s">
        <v>835</v>
      </c>
      <c r="AK147" s="102"/>
      <c r="AL147" s="102"/>
      <c r="AM147" s="102"/>
      <c r="AN147" s="102"/>
    </row>
    <row r="148" spans="1:40" ht="62.25" x14ac:dyDescent="0.9">
      <c r="A148">
        <v>1</v>
      </c>
      <c r="B148" s="59">
        <f>SUBTOTAL(103,$A$94:A148)</f>
        <v>49</v>
      </c>
      <c r="C148" s="100" t="s">
        <v>1368</v>
      </c>
      <c r="D148" s="54" t="s">
        <v>1767</v>
      </c>
      <c r="E148" s="97">
        <v>0.95770131483230581</v>
      </c>
      <c r="F148" s="60">
        <f t="shared" ref="F148:F159" si="46">G148+H148+I148+J148+K148+L148+N148+P148+R148+T148+V148+W148+X148+Y148+Z148+AA148+AB148+AC148+AD148+AE148+AF148+AG148</f>
        <v>1768733.14</v>
      </c>
      <c r="G148" s="60">
        <v>0</v>
      </c>
      <c r="H148" s="60">
        <v>0</v>
      </c>
      <c r="I148" s="60">
        <v>0</v>
      </c>
      <c r="J148" s="60">
        <v>0</v>
      </c>
      <c r="K148" s="60">
        <v>0</v>
      </c>
      <c r="L148" s="60">
        <v>0</v>
      </c>
      <c r="M148" s="61">
        <v>0</v>
      </c>
      <c r="N148" s="60">
        <v>0</v>
      </c>
      <c r="O148" s="60">
        <v>2039</v>
      </c>
      <c r="P148" s="60">
        <v>1742723</v>
      </c>
      <c r="Q148" s="60">
        <v>0</v>
      </c>
      <c r="R148" s="60">
        <v>0</v>
      </c>
      <c r="S148" s="60">
        <v>0</v>
      </c>
      <c r="T148" s="101">
        <v>0</v>
      </c>
      <c r="U148" s="60">
        <v>0</v>
      </c>
      <c r="V148" s="60">
        <v>0</v>
      </c>
      <c r="W148" s="60">
        <v>0</v>
      </c>
      <c r="X148" s="60">
        <v>0</v>
      </c>
      <c r="Y148" s="60">
        <v>0</v>
      </c>
      <c r="Z148" s="60">
        <v>0</v>
      </c>
      <c r="AA148" s="60">
        <v>0</v>
      </c>
      <c r="AB148" s="60">
        <v>0</v>
      </c>
      <c r="AC148" s="60">
        <v>0</v>
      </c>
      <c r="AD148" s="60">
        <v>0</v>
      </c>
      <c r="AE148" s="60">
        <v>26010.14</v>
      </c>
      <c r="AF148" s="60">
        <v>0</v>
      </c>
      <c r="AG148" s="60">
        <v>0</v>
      </c>
      <c r="AH148" s="98" t="s">
        <v>257</v>
      </c>
      <c r="AI148" s="98">
        <v>2020</v>
      </c>
      <c r="AJ148" s="98">
        <v>2020</v>
      </c>
      <c r="AK148" s="102"/>
      <c r="AL148" s="102"/>
      <c r="AM148" s="102"/>
      <c r="AN148" s="102"/>
    </row>
    <row r="149" spans="1:40" ht="62.25" x14ac:dyDescent="0.9">
      <c r="A149">
        <v>1</v>
      </c>
      <c r="B149" s="59">
        <f>SUBTOTAL(103,$A$94:A149)</f>
        <v>50</v>
      </c>
      <c r="C149" s="100" t="s">
        <v>1369</v>
      </c>
      <c r="D149" s="54" t="s">
        <v>1766</v>
      </c>
      <c r="E149" s="97">
        <v>0.91669999999999996</v>
      </c>
      <c r="F149" s="60">
        <f t="shared" si="46"/>
        <v>224063.98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1">
        <v>0</v>
      </c>
      <c r="N149" s="60">
        <v>0</v>
      </c>
      <c r="O149" s="60">
        <v>1135</v>
      </c>
      <c r="P149" s="60">
        <v>220769</v>
      </c>
      <c r="Q149" s="60">
        <v>0</v>
      </c>
      <c r="R149" s="60">
        <v>0</v>
      </c>
      <c r="S149" s="60">
        <v>0</v>
      </c>
      <c r="T149" s="101">
        <v>0</v>
      </c>
      <c r="U149" s="60">
        <v>0</v>
      </c>
      <c r="V149" s="60">
        <v>0</v>
      </c>
      <c r="W149" s="60">
        <v>0</v>
      </c>
      <c r="X149" s="60">
        <v>0</v>
      </c>
      <c r="Y149" s="60">
        <v>0</v>
      </c>
      <c r="Z149" s="60">
        <v>0</v>
      </c>
      <c r="AA149" s="60">
        <v>0</v>
      </c>
      <c r="AB149" s="60">
        <v>0</v>
      </c>
      <c r="AC149" s="60">
        <v>0</v>
      </c>
      <c r="AD149" s="60">
        <v>0</v>
      </c>
      <c r="AE149" s="60">
        <v>3294.98</v>
      </c>
      <c r="AF149" s="60">
        <v>0</v>
      </c>
      <c r="AG149" s="60">
        <v>0</v>
      </c>
      <c r="AH149" s="98" t="s">
        <v>257</v>
      </c>
      <c r="AI149" s="98">
        <v>2020</v>
      </c>
      <c r="AJ149" s="98">
        <v>2020</v>
      </c>
      <c r="AK149" s="102"/>
      <c r="AL149" s="102"/>
      <c r="AM149" s="102"/>
      <c r="AN149" s="102"/>
    </row>
    <row r="150" spans="1:40" ht="62.25" x14ac:dyDescent="0.9">
      <c r="A150">
        <v>1</v>
      </c>
      <c r="B150" s="59">
        <f>SUBTOTAL(103,$A$94:A150)</f>
        <v>51</v>
      </c>
      <c r="C150" s="100" t="s">
        <v>1370</v>
      </c>
      <c r="D150" s="54" t="s">
        <v>1767</v>
      </c>
      <c r="E150" s="97">
        <v>0.98309999999999997</v>
      </c>
      <c r="F150" s="60">
        <f t="shared" si="46"/>
        <v>31696.09</v>
      </c>
      <c r="G150" s="60">
        <v>0</v>
      </c>
      <c r="H150" s="60">
        <v>0</v>
      </c>
      <c r="I150" s="60">
        <v>0</v>
      </c>
      <c r="J150" s="60">
        <v>0</v>
      </c>
      <c r="K150" s="60">
        <v>0</v>
      </c>
      <c r="L150" s="60">
        <v>0</v>
      </c>
      <c r="M150" s="61">
        <v>0</v>
      </c>
      <c r="N150" s="60">
        <v>0</v>
      </c>
      <c r="O150" s="60">
        <v>1845</v>
      </c>
      <c r="P150" s="60">
        <v>31229.98</v>
      </c>
      <c r="Q150" s="60">
        <v>0</v>
      </c>
      <c r="R150" s="60">
        <v>0</v>
      </c>
      <c r="S150" s="60">
        <v>0</v>
      </c>
      <c r="T150" s="101">
        <v>0</v>
      </c>
      <c r="U150" s="60">
        <v>0</v>
      </c>
      <c r="V150" s="60">
        <v>0</v>
      </c>
      <c r="W150" s="60">
        <v>0</v>
      </c>
      <c r="X150" s="60">
        <v>0</v>
      </c>
      <c r="Y150" s="60">
        <v>0</v>
      </c>
      <c r="Z150" s="60">
        <v>0</v>
      </c>
      <c r="AA150" s="60">
        <v>0</v>
      </c>
      <c r="AB150" s="60">
        <v>0</v>
      </c>
      <c r="AC150" s="60">
        <v>0</v>
      </c>
      <c r="AD150" s="60">
        <v>0</v>
      </c>
      <c r="AE150" s="60">
        <v>466.11</v>
      </c>
      <c r="AF150" s="60">
        <v>0</v>
      </c>
      <c r="AG150" s="60">
        <v>0</v>
      </c>
      <c r="AH150" s="98" t="s">
        <v>257</v>
      </c>
      <c r="AI150" s="98">
        <v>2020</v>
      </c>
      <c r="AJ150" s="98">
        <v>2020</v>
      </c>
      <c r="AK150" s="102"/>
      <c r="AL150" s="102"/>
      <c r="AM150" s="102"/>
      <c r="AN150" s="102"/>
    </row>
    <row r="151" spans="1:40" ht="62.25" x14ac:dyDescent="0.9">
      <c r="A151">
        <v>1</v>
      </c>
      <c r="B151" s="59">
        <f>SUBTOTAL(103,$A$94:A151)</f>
        <v>52</v>
      </c>
      <c r="C151" s="100" t="s">
        <v>1371</v>
      </c>
      <c r="D151" s="54" t="s">
        <v>1767</v>
      </c>
      <c r="E151" s="97">
        <v>0.9163</v>
      </c>
      <c r="F151" s="60">
        <f t="shared" si="46"/>
        <v>97154.82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1">
        <v>0</v>
      </c>
      <c r="N151" s="60">
        <v>0</v>
      </c>
      <c r="O151" s="60">
        <v>736</v>
      </c>
      <c r="P151" s="60">
        <v>95726.11</v>
      </c>
      <c r="Q151" s="60">
        <v>0</v>
      </c>
      <c r="R151" s="60">
        <v>0</v>
      </c>
      <c r="S151" s="60">
        <v>0</v>
      </c>
      <c r="T151" s="101">
        <v>0</v>
      </c>
      <c r="U151" s="60">
        <v>0</v>
      </c>
      <c r="V151" s="60">
        <v>0</v>
      </c>
      <c r="W151" s="60">
        <v>0</v>
      </c>
      <c r="X151" s="60">
        <v>0</v>
      </c>
      <c r="Y151" s="60">
        <v>0</v>
      </c>
      <c r="Z151" s="60">
        <v>0</v>
      </c>
      <c r="AA151" s="60">
        <v>0</v>
      </c>
      <c r="AB151" s="60">
        <v>0</v>
      </c>
      <c r="AC151" s="60">
        <v>0</v>
      </c>
      <c r="AD151" s="60">
        <v>0</v>
      </c>
      <c r="AE151" s="60">
        <v>1428.71</v>
      </c>
      <c r="AF151" s="60">
        <v>0</v>
      </c>
      <c r="AG151" s="60">
        <v>0</v>
      </c>
      <c r="AH151" s="98" t="s">
        <v>257</v>
      </c>
      <c r="AI151" s="98">
        <v>2020</v>
      </c>
      <c r="AJ151" s="98">
        <v>2020</v>
      </c>
      <c r="AK151" s="102"/>
      <c r="AL151" s="102"/>
      <c r="AM151" s="102"/>
      <c r="AN151" s="102"/>
    </row>
    <row r="152" spans="1:40" ht="62.25" x14ac:dyDescent="0.9">
      <c r="A152">
        <v>1</v>
      </c>
      <c r="B152" s="59">
        <f>SUBTOTAL(103,$A$94:A152)</f>
        <v>53</v>
      </c>
      <c r="C152" s="100" t="s">
        <v>1372</v>
      </c>
      <c r="D152" s="54" t="s">
        <v>1766</v>
      </c>
      <c r="E152" s="97">
        <v>0.88370000000000004</v>
      </c>
      <c r="F152" s="60">
        <f t="shared" si="46"/>
        <v>115006.25</v>
      </c>
      <c r="G152" s="60">
        <v>0</v>
      </c>
      <c r="H152" s="60">
        <v>0</v>
      </c>
      <c r="I152" s="60">
        <v>0</v>
      </c>
      <c r="J152" s="60">
        <v>0</v>
      </c>
      <c r="K152" s="60">
        <v>0</v>
      </c>
      <c r="L152" s="60">
        <v>0</v>
      </c>
      <c r="M152" s="61">
        <v>0</v>
      </c>
      <c r="N152" s="60">
        <v>0</v>
      </c>
      <c r="O152" s="60">
        <v>518</v>
      </c>
      <c r="P152" s="60">
        <v>113315.02</v>
      </c>
      <c r="Q152" s="60">
        <v>0</v>
      </c>
      <c r="R152" s="60">
        <v>0</v>
      </c>
      <c r="S152" s="60">
        <v>0</v>
      </c>
      <c r="T152" s="101">
        <v>0</v>
      </c>
      <c r="U152" s="60">
        <v>0</v>
      </c>
      <c r="V152" s="60">
        <v>0</v>
      </c>
      <c r="W152" s="60">
        <v>0</v>
      </c>
      <c r="X152" s="60">
        <v>0</v>
      </c>
      <c r="Y152" s="60">
        <v>0</v>
      </c>
      <c r="Z152" s="60">
        <v>0</v>
      </c>
      <c r="AA152" s="60">
        <v>0</v>
      </c>
      <c r="AB152" s="60">
        <v>0</v>
      </c>
      <c r="AC152" s="60">
        <v>0</v>
      </c>
      <c r="AD152" s="60">
        <v>0</v>
      </c>
      <c r="AE152" s="60">
        <v>1691.23</v>
      </c>
      <c r="AF152" s="60">
        <v>0</v>
      </c>
      <c r="AG152" s="60">
        <v>0</v>
      </c>
      <c r="AH152" s="98" t="s">
        <v>257</v>
      </c>
      <c r="AI152" s="98">
        <v>2020</v>
      </c>
      <c r="AJ152" s="98">
        <v>2020</v>
      </c>
      <c r="AK152" s="102"/>
      <c r="AL152" s="102"/>
      <c r="AM152" s="102"/>
      <c r="AN152" s="102"/>
    </row>
    <row r="153" spans="1:40" ht="62.25" x14ac:dyDescent="0.9">
      <c r="A153">
        <v>1</v>
      </c>
      <c r="B153" s="59">
        <f>SUBTOTAL(103,$A$94:A153)</f>
        <v>54</v>
      </c>
      <c r="C153" s="100" t="s">
        <v>1373</v>
      </c>
      <c r="D153" s="54" t="s">
        <v>1767</v>
      </c>
      <c r="E153" s="97">
        <v>1.000675491846317</v>
      </c>
      <c r="F153" s="60">
        <f t="shared" si="46"/>
        <v>1485022.6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1">
        <v>0</v>
      </c>
      <c r="N153" s="60">
        <v>0</v>
      </c>
      <c r="O153" s="60">
        <v>1238</v>
      </c>
      <c r="P153" s="60">
        <v>1463184.57</v>
      </c>
      <c r="Q153" s="60">
        <v>0</v>
      </c>
      <c r="R153" s="60">
        <v>0</v>
      </c>
      <c r="S153" s="60">
        <v>0</v>
      </c>
      <c r="T153" s="101">
        <v>0</v>
      </c>
      <c r="U153" s="60">
        <v>0</v>
      </c>
      <c r="V153" s="60">
        <v>0</v>
      </c>
      <c r="W153" s="60">
        <v>0</v>
      </c>
      <c r="X153" s="60">
        <v>0</v>
      </c>
      <c r="Y153" s="60">
        <v>0</v>
      </c>
      <c r="Z153" s="60">
        <v>0</v>
      </c>
      <c r="AA153" s="60">
        <v>0</v>
      </c>
      <c r="AB153" s="60">
        <v>0</v>
      </c>
      <c r="AC153" s="60">
        <v>0</v>
      </c>
      <c r="AD153" s="60">
        <v>0</v>
      </c>
      <c r="AE153" s="60">
        <v>21838.03</v>
      </c>
      <c r="AF153" s="60">
        <v>0</v>
      </c>
      <c r="AG153" s="60">
        <v>0</v>
      </c>
      <c r="AH153" s="98" t="s">
        <v>257</v>
      </c>
      <c r="AI153" s="98">
        <v>2020</v>
      </c>
      <c r="AJ153" s="98">
        <v>2020</v>
      </c>
      <c r="AK153" s="102"/>
      <c r="AL153" s="102"/>
      <c r="AM153" s="102"/>
      <c r="AN153" s="102"/>
    </row>
    <row r="154" spans="1:40" ht="62.25" x14ac:dyDescent="0.9">
      <c r="A154">
        <v>1</v>
      </c>
      <c r="B154" s="59">
        <f>SUBTOTAL(103,$A$94:A154)</f>
        <v>55</v>
      </c>
      <c r="C154" s="100" t="s">
        <v>1374</v>
      </c>
      <c r="D154" s="54" t="s">
        <v>1767</v>
      </c>
      <c r="E154" s="97">
        <v>0.80026822300653366</v>
      </c>
      <c r="F154" s="60">
        <f t="shared" si="46"/>
        <v>179270.28</v>
      </c>
      <c r="G154" s="60">
        <v>0</v>
      </c>
      <c r="H154" s="60">
        <v>0</v>
      </c>
      <c r="I154" s="60">
        <v>0</v>
      </c>
      <c r="J154" s="60">
        <v>0</v>
      </c>
      <c r="K154" s="60">
        <v>0</v>
      </c>
      <c r="L154" s="60">
        <v>0</v>
      </c>
      <c r="M154" s="61">
        <v>0</v>
      </c>
      <c r="N154" s="60">
        <v>0</v>
      </c>
      <c r="O154" s="60">
        <v>668</v>
      </c>
      <c r="P154" s="60">
        <v>176634.02</v>
      </c>
      <c r="Q154" s="60">
        <v>0</v>
      </c>
      <c r="R154" s="60">
        <v>0</v>
      </c>
      <c r="S154" s="60">
        <v>0</v>
      </c>
      <c r="T154" s="101">
        <v>0</v>
      </c>
      <c r="U154" s="60">
        <v>0</v>
      </c>
      <c r="V154" s="60">
        <v>0</v>
      </c>
      <c r="W154" s="60">
        <v>0</v>
      </c>
      <c r="X154" s="60">
        <v>0</v>
      </c>
      <c r="Y154" s="60">
        <v>0</v>
      </c>
      <c r="Z154" s="60">
        <v>0</v>
      </c>
      <c r="AA154" s="60">
        <v>0</v>
      </c>
      <c r="AB154" s="60">
        <v>0</v>
      </c>
      <c r="AC154" s="60">
        <v>0</v>
      </c>
      <c r="AD154" s="60">
        <v>0</v>
      </c>
      <c r="AE154" s="60">
        <v>2636.26</v>
      </c>
      <c r="AF154" s="60">
        <v>0</v>
      </c>
      <c r="AG154" s="60">
        <v>0</v>
      </c>
      <c r="AH154" s="98" t="s">
        <v>257</v>
      </c>
      <c r="AI154" s="98">
        <v>2020</v>
      </c>
      <c r="AJ154" s="98">
        <v>2020</v>
      </c>
      <c r="AK154" s="102"/>
      <c r="AL154" s="102"/>
      <c r="AM154" s="102"/>
      <c r="AN154" s="102"/>
    </row>
    <row r="155" spans="1:40" ht="62.25" x14ac:dyDescent="0.9">
      <c r="A155">
        <v>1</v>
      </c>
      <c r="B155" s="59">
        <f>SUBTOTAL(103,$A$94:A155)</f>
        <v>56</v>
      </c>
      <c r="C155" s="100" t="s">
        <v>1375</v>
      </c>
      <c r="D155" s="54" t="s">
        <v>1766</v>
      </c>
      <c r="E155" s="97">
        <v>0.92587279445283599</v>
      </c>
      <c r="F155" s="60">
        <f t="shared" si="46"/>
        <v>21660.55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1">
        <v>0</v>
      </c>
      <c r="N155" s="60">
        <v>0</v>
      </c>
      <c r="O155" s="60">
        <v>559</v>
      </c>
      <c r="P155" s="60">
        <v>21342.02</v>
      </c>
      <c r="Q155" s="60">
        <v>0</v>
      </c>
      <c r="R155" s="60">
        <v>0</v>
      </c>
      <c r="S155" s="60">
        <v>0</v>
      </c>
      <c r="T155" s="101">
        <v>0</v>
      </c>
      <c r="U155" s="60">
        <v>0</v>
      </c>
      <c r="V155" s="60">
        <v>0</v>
      </c>
      <c r="W155" s="60">
        <v>0</v>
      </c>
      <c r="X155" s="60">
        <v>0</v>
      </c>
      <c r="Y155" s="60">
        <v>0</v>
      </c>
      <c r="Z155" s="60">
        <v>0</v>
      </c>
      <c r="AA155" s="60">
        <v>0</v>
      </c>
      <c r="AB155" s="60">
        <v>0</v>
      </c>
      <c r="AC155" s="60">
        <v>0</v>
      </c>
      <c r="AD155" s="60">
        <v>0</v>
      </c>
      <c r="AE155" s="60">
        <v>318.52999999999997</v>
      </c>
      <c r="AF155" s="60">
        <v>0</v>
      </c>
      <c r="AG155" s="60">
        <v>0</v>
      </c>
      <c r="AH155" s="98" t="s">
        <v>257</v>
      </c>
      <c r="AI155" s="98">
        <v>2020</v>
      </c>
      <c r="AJ155" s="98">
        <v>2020</v>
      </c>
      <c r="AK155" s="102"/>
      <c r="AL155" s="102"/>
      <c r="AM155" s="102"/>
      <c r="AN155" s="102"/>
    </row>
    <row r="156" spans="1:40" ht="62.25" x14ac:dyDescent="0.9">
      <c r="A156">
        <v>1</v>
      </c>
      <c r="B156" s="59">
        <f>SUBTOTAL(103,$A$94:A156)</f>
        <v>57</v>
      </c>
      <c r="C156" s="100" t="s">
        <v>1376</v>
      </c>
      <c r="D156" s="54" t="s">
        <v>1767</v>
      </c>
      <c r="E156" s="97">
        <v>0.87360000000000004</v>
      </c>
      <c r="F156" s="60">
        <f t="shared" si="46"/>
        <v>825558.04</v>
      </c>
      <c r="G156" s="60">
        <v>0</v>
      </c>
      <c r="H156" s="60">
        <v>0</v>
      </c>
      <c r="I156" s="60">
        <v>0</v>
      </c>
      <c r="J156" s="60">
        <v>0</v>
      </c>
      <c r="K156" s="60">
        <v>0</v>
      </c>
      <c r="L156" s="60">
        <v>0</v>
      </c>
      <c r="M156" s="61">
        <v>0</v>
      </c>
      <c r="N156" s="60">
        <v>0</v>
      </c>
      <c r="O156" s="60">
        <v>1549</v>
      </c>
      <c r="P156" s="60">
        <v>813417.78</v>
      </c>
      <c r="Q156" s="60">
        <v>0</v>
      </c>
      <c r="R156" s="60">
        <v>0</v>
      </c>
      <c r="S156" s="60">
        <v>0</v>
      </c>
      <c r="T156" s="101">
        <v>0</v>
      </c>
      <c r="U156" s="60">
        <v>0</v>
      </c>
      <c r="V156" s="60">
        <v>0</v>
      </c>
      <c r="W156" s="60">
        <v>0</v>
      </c>
      <c r="X156" s="60">
        <v>0</v>
      </c>
      <c r="Y156" s="60">
        <v>0</v>
      </c>
      <c r="Z156" s="60">
        <v>0</v>
      </c>
      <c r="AA156" s="60">
        <v>0</v>
      </c>
      <c r="AB156" s="60">
        <v>0</v>
      </c>
      <c r="AC156" s="60">
        <v>0</v>
      </c>
      <c r="AD156" s="60">
        <v>0</v>
      </c>
      <c r="AE156" s="60">
        <v>12140.26</v>
      </c>
      <c r="AF156" s="60">
        <v>0</v>
      </c>
      <c r="AG156" s="60">
        <v>0</v>
      </c>
      <c r="AH156" s="98" t="s">
        <v>257</v>
      </c>
      <c r="AI156" s="98">
        <v>2020</v>
      </c>
      <c r="AJ156" s="98">
        <v>2020</v>
      </c>
      <c r="AK156" s="102"/>
      <c r="AL156" s="102"/>
      <c r="AM156" s="102"/>
      <c r="AN156" s="102"/>
    </row>
    <row r="157" spans="1:40" ht="62.25" x14ac:dyDescent="0.9">
      <c r="A157">
        <v>1</v>
      </c>
      <c r="B157" s="59">
        <f>SUBTOTAL(103,$A$94:A157)</f>
        <v>58</v>
      </c>
      <c r="C157" s="100" t="s">
        <v>1377</v>
      </c>
      <c r="D157" s="54" t="s">
        <v>1766</v>
      </c>
      <c r="E157" s="97">
        <v>0.78059999999999996</v>
      </c>
      <c r="F157" s="60">
        <f t="shared" si="46"/>
        <v>58127.710000000006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1">
        <v>0</v>
      </c>
      <c r="N157" s="60">
        <v>0</v>
      </c>
      <c r="O157" s="60">
        <v>450</v>
      </c>
      <c r="P157" s="60">
        <v>57272.91</v>
      </c>
      <c r="Q157" s="60">
        <v>0</v>
      </c>
      <c r="R157" s="60">
        <v>0</v>
      </c>
      <c r="S157" s="60">
        <v>0</v>
      </c>
      <c r="T157" s="101">
        <v>0</v>
      </c>
      <c r="U157" s="60">
        <v>0</v>
      </c>
      <c r="V157" s="60">
        <v>0</v>
      </c>
      <c r="W157" s="60">
        <v>0</v>
      </c>
      <c r="X157" s="60">
        <v>0</v>
      </c>
      <c r="Y157" s="60">
        <v>0</v>
      </c>
      <c r="Z157" s="60">
        <v>0</v>
      </c>
      <c r="AA157" s="60">
        <v>0</v>
      </c>
      <c r="AB157" s="60">
        <v>0</v>
      </c>
      <c r="AC157" s="60">
        <v>0</v>
      </c>
      <c r="AD157" s="60">
        <v>0</v>
      </c>
      <c r="AE157" s="60">
        <v>854.8</v>
      </c>
      <c r="AF157" s="60">
        <v>0</v>
      </c>
      <c r="AG157" s="60">
        <v>0</v>
      </c>
      <c r="AH157" s="98" t="s">
        <v>257</v>
      </c>
      <c r="AI157" s="98">
        <v>2020</v>
      </c>
      <c r="AJ157" s="98">
        <v>2020</v>
      </c>
      <c r="AK157" s="102"/>
      <c r="AL157" s="102"/>
      <c r="AM157" s="102"/>
      <c r="AN157" s="102"/>
    </row>
    <row r="158" spans="1:40" ht="62.25" x14ac:dyDescent="0.9">
      <c r="A158">
        <v>1</v>
      </c>
      <c r="B158" s="59">
        <f>SUBTOTAL(103,$A$94:A158)</f>
        <v>59</v>
      </c>
      <c r="C158" s="100" t="s">
        <v>1092</v>
      </c>
      <c r="D158" s="54" t="s">
        <v>1767</v>
      </c>
      <c r="E158" s="97">
        <v>0.88049999999999995</v>
      </c>
      <c r="F158" s="60">
        <f t="shared" si="46"/>
        <v>174209.85</v>
      </c>
      <c r="G158" s="60">
        <v>0</v>
      </c>
      <c r="H158" s="60">
        <v>0</v>
      </c>
      <c r="I158" s="60">
        <v>0</v>
      </c>
      <c r="J158" s="60">
        <v>0</v>
      </c>
      <c r="K158" s="60">
        <v>0</v>
      </c>
      <c r="L158" s="60">
        <v>0</v>
      </c>
      <c r="M158" s="61">
        <v>0</v>
      </c>
      <c r="N158" s="60">
        <v>0</v>
      </c>
      <c r="O158" s="60">
        <v>498</v>
      </c>
      <c r="P158" s="60">
        <v>171648</v>
      </c>
      <c r="Q158" s="60">
        <v>0</v>
      </c>
      <c r="R158" s="60">
        <v>0</v>
      </c>
      <c r="S158" s="60">
        <v>0</v>
      </c>
      <c r="T158" s="101">
        <v>0</v>
      </c>
      <c r="U158" s="60">
        <v>0</v>
      </c>
      <c r="V158" s="60">
        <v>0</v>
      </c>
      <c r="W158" s="60">
        <v>0</v>
      </c>
      <c r="X158" s="60">
        <v>0</v>
      </c>
      <c r="Y158" s="60">
        <v>0</v>
      </c>
      <c r="Z158" s="60">
        <v>0</v>
      </c>
      <c r="AA158" s="60">
        <v>0</v>
      </c>
      <c r="AB158" s="60">
        <v>0</v>
      </c>
      <c r="AC158" s="60">
        <v>0</v>
      </c>
      <c r="AD158" s="60">
        <v>0</v>
      </c>
      <c r="AE158" s="60">
        <v>2561.85</v>
      </c>
      <c r="AF158" s="60">
        <v>0</v>
      </c>
      <c r="AG158" s="60">
        <v>0</v>
      </c>
      <c r="AH158" s="98" t="s">
        <v>257</v>
      </c>
      <c r="AI158" s="98">
        <v>2020</v>
      </c>
      <c r="AJ158" s="98">
        <v>2020</v>
      </c>
      <c r="AK158" s="102"/>
      <c r="AL158" s="102"/>
      <c r="AM158" s="102"/>
      <c r="AN158" s="102"/>
    </row>
    <row r="159" spans="1:40" ht="62.25" x14ac:dyDescent="0.9">
      <c r="A159">
        <v>1</v>
      </c>
      <c r="B159" s="59">
        <f>SUBTOTAL(103,$A$94:A159)</f>
        <v>60</v>
      </c>
      <c r="C159" s="100" t="s">
        <v>1412</v>
      </c>
      <c r="D159" s="55" t="s">
        <v>1435</v>
      </c>
      <c r="E159" s="97">
        <v>0.93899999999999995</v>
      </c>
      <c r="F159" s="60">
        <f t="shared" si="46"/>
        <v>70328.740000000005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1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101">
        <v>0</v>
      </c>
      <c r="U159" s="60">
        <v>0</v>
      </c>
      <c r="V159" s="60">
        <v>0</v>
      </c>
      <c r="W159" s="60">
        <v>0</v>
      </c>
      <c r="X159" s="60">
        <v>69998</v>
      </c>
      <c r="Y159" s="60">
        <v>0</v>
      </c>
      <c r="Z159" s="60">
        <v>0</v>
      </c>
      <c r="AA159" s="60">
        <v>0</v>
      </c>
      <c r="AB159" s="60">
        <v>0</v>
      </c>
      <c r="AC159" s="60">
        <v>0</v>
      </c>
      <c r="AD159" s="60">
        <v>0</v>
      </c>
      <c r="AE159" s="60">
        <v>330.74</v>
      </c>
      <c r="AF159" s="60">
        <v>0</v>
      </c>
      <c r="AG159" s="60">
        <v>0</v>
      </c>
      <c r="AH159" s="98" t="s">
        <v>257</v>
      </c>
      <c r="AI159" s="98">
        <v>2020</v>
      </c>
      <c r="AJ159" s="98">
        <v>2020</v>
      </c>
      <c r="AK159" s="102"/>
      <c r="AL159" s="102"/>
      <c r="AM159" s="102"/>
      <c r="AN159" s="102"/>
    </row>
    <row r="160" spans="1:40" ht="62.25" x14ac:dyDescent="0.9">
      <c r="A160">
        <v>1</v>
      </c>
      <c r="B160" s="59">
        <f>SUBTOTAL(103,$A$94:A160)</f>
        <v>61</v>
      </c>
      <c r="C160" s="100" t="s">
        <v>1775</v>
      </c>
      <c r="D160" s="54" t="s">
        <v>1766</v>
      </c>
      <c r="E160" s="97">
        <v>0.97650000000000003</v>
      </c>
      <c r="F160" s="60">
        <f>P160+AE160</f>
        <v>46142.63</v>
      </c>
      <c r="G160" s="60">
        <v>0</v>
      </c>
      <c r="H160" s="60">
        <v>0</v>
      </c>
      <c r="I160" s="60">
        <v>0</v>
      </c>
      <c r="J160" s="60">
        <v>0</v>
      </c>
      <c r="K160" s="60">
        <v>0</v>
      </c>
      <c r="L160" s="60">
        <v>0</v>
      </c>
      <c r="M160" s="61">
        <v>0</v>
      </c>
      <c r="N160" s="60">
        <v>0</v>
      </c>
      <c r="O160" s="60">
        <v>1461</v>
      </c>
      <c r="P160" s="60">
        <v>46142.63</v>
      </c>
      <c r="Q160" s="60">
        <v>0</v>
      </c>
      <c r="R160" s="60">
        <v>0</v>
      </c>
      <c r="S160" s="60">
        <v>0</v>
      </c>
      <c r="T160" s="101">
        <v>0</v>
      </c>
      <c r="U160" s="60">
        <v>0</v>
      </c>
      <c r="V160" s="60">
        <v>0</v>
      </c>
      <c r="W160" s="60">
        <v>0</v>
      </c>
      <c r="X160" s="60">
        <v>0</v>
      </c>
      <c r="Y160" s="60">
        <v>0</v>
      </c>
      <c r="Z160" s="60">
        <v>0</v>
      </c>
      <c r="AA160" s="60">
        <v>0</v>
      </c>
      <c r="AB160" s="60">
        <v>0</v>
      </c>
      <c r="AC160" s="60">
        <v>0</v>
      </c>
      <c r="AD160" s="60">
        <v>0</v>
      </c>
      <c r="AE160" s="60">
        <v>0</v>
      </c>
      <c r="AF160" s="60">
        <v>0</v>
      </c>
      <c r="AG160" s="60">
        <v>0</v>
      </c>
      <c r="AH160" s="98" t="s">
        <v>257</v>
      </c>
      <c r="AI160" s="98">
        <v>2020</v>
      </c>
      <c r="AJ160" s="98" t="s">
        <v>257</v>
      </c>
      <c r="AK160" s="102"/>
      <c r="AL160" s="102"/>
      <c r="AM160" s="102"/>
      <c r="AN160" s="102"/>
    </row>
    <row r="161" spans="1:40" ht="62.25" x14ac:dyDescent="0.9">
      <c r="A161">
        <v>1</v>
      </c>
      <c r="B161" s="59">
        <f>SUBTOTAL(103,$A$94:A161)</f>
        <v>62</v>
      </c>
      <c r="C161" s="100" t="s">
        <v>1776</v>
      </c>
      <c r="D161" s="54" t="s">
        <v>1766</v>
      </c>
      <c r="E161" s="97">
        <v>0.75141596450729198</v>
      </c>
      <c r="F161" s="60">
        <f>P161+AE161</f>
        <v>57638.39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1">
        <v>0</v>
      </c>
      <c r="N161" s="60">
        <v>0</v>
      </c>
      <c r="O161" s="60">
        <v>500</v>
      </c>
      <c r="P161" s="60">
        <v>57638.39</v>
      </c>
      <c r="Q161" s="60">
        <v>0</v>
      </c>
      <c r="R161" s="60">
        <v>0</v>
      </c>
      <c r="S161" s="60">
        <v>0</v>
      </c>
      <c r="T161" s="101">
        <v>0</v>
      </c>
      <c r="U161" s="60">
        <v>0</v>
      </c>
      <c r="V161" s="60">
        <v>0</v>
      </c>
      <c r="W161" s="60">
        <v>0</v>
      </c>
      <c r="X161" s="60">
        <v>0</v>
      </c>
      <c r="Y161" s="60">
        <v>0</v>
      </c>
      <c r="Z161" s="60">
        <v>0</v>
      </c>
      <c r="AA161" s="60">
        <v>0</v>
      </c>
      <c r="AB161" s="60">
        <v>0</v>
      </c>
      <c r="AC161" s="60">
        <v>0</v>
      </c>
      <c r="AD161" s="60">
        <v>0</v>
      </c>
      <c r="AE161" s="60">
        <v>0</v>
      </c>
      <c r="AF161" s="60">
        <v>0</v>
      </c>
      <c r="AG161" s="60">
        <v>0</v>
      </c>
      <c r="AH161" s="98" t="s">
        <v>257</v>
      </c>
      <c r="AI161" s="98">
        <v>2020</v>
      </c>
      <c r="AJ161" s="98" t="s">
        <v>257</v>
      </c>
      <c r="AK161" s="102"/>
      <c r="AL161" s="102"/>
      <c r="AM161" s="102"/>
      <c r="AN161" s="102"/>
    </row>
    <row r="162" spans="1:40" ht="62.25" x14ac:dyDescent="0.9">
      <c r="B162" s="283" t="s">
        <v>1325</v>
      </c>
      <c r="C162" s="284"/>
      <c r="D162" s="99" t="s">
        <v>835</v>
      </c>
      <c r="E162" s="97">
        <f>AVERAGE(E163:E167)</f>
        <v>0.87974755396834392</v>
      </c>
      <c r="F162" s="177">
        <f t="shared" ref="F162:AG162" si="47">SUM(F163:F167)</f>
        <v>1529537.19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1">
        <f t="shared" si="47"/>
        <v>0</v>
      </c>
      <c r="N162" s="60">
        <f t="shared" si="47"/>
        <v>0</v>
      </c>
      <c r="O162" s="60">
        <f t="shared" si="47"/>
        <v>5282.4000000000005</v>
      </c>
      <c r="P162" s="60">
        <f t="shared" si="47"/>
        <v>1519734.91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  <c r="Z162" s="60">
        <f t="shared" si="47"/>
        <v>0</v>
      </c>
      <c r="AA162" s="60">
        <f t="shared" si="47"/>
        <v>0</v>
      </c>
      <c r="AB162" s="60">
        <f t="shared" si="47"/>
        <v>0</v>
      </c>
      <c r="AC162" s="60">
        <f t="shared" si="47"/>
        <v>0</v>
      </c>
      <c r="AD162" s="60">
        <f t="shared" si="47"/>
        <v>0</v>
      </c>
      <c r="AE162" s="60">
        <f t="shared" si="47"/>
        <v>9802.2799999999988</v>
      </c>
      <c r="AF162" s="60">
        <f t="shared" si="47"/>
        <v>0</v>
      </c>
      <c r="AG162" s="60">
        <f t="shared" si="47"/>
        <v>0</v>
      </c>
      <c r="AH162" s="98" t="s">
        <v>835</v>
      </c>
      <c r="AI162" s="98" t="s">
        <v>835</v>
      </c>
      <c r="AJ162" s="98" t="s">
        <v>835</v>
      </c>
      <c r="AK162" s="102"/>
      <c r="AL162" s="102"/>
      <c r="AM162" s="102"/>
      <c r="AN162" s="102"/>
    </row>
    <row r="163" spans="1:40" ht="62.25" x14ac:dyDescent="0.9">
      <c r="A163">
        <v>1</v>
      </c>
      <c r="B163" s="59">
        <f>SUBTOTAL(103,$A$94:A163)</f>
        <v>63</v>
      </c>
      <c r="C163" s="100" t="s">
        <v>1378</v>
      </c>
      <c r="D163" s="54" t="s">
        <v>1767</v>
      </c>
      <c r="E163" s="97">
        <v>0.9054350997618551</v>
      </c>
      <c r="F163" s="60">
        <f>G163+H163+I163+J163+K163+L163+N163+P163+R163+T163+V163+W163+X163+Y163+Z163+AA163+AB163+AC163+AD163+AE163+AF163+AG163</f>
        <v>379333.74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1">
        <v>0</v>
      </c>
      <c r="N163" s="60">
        <v>0</v>
      </c>
      <c r="O163" s="60">
        <v>1160.0999999999999</v>
      </c>
      <c r="P163" s="60">
        <v>376902.72</v>
      </c>
      <c r="Q163" s="60">
        <v>0</v>
      </c>
      <c r="R163" s="60">
        <v>0</v>
      </c>
      <c r="S163" s="60">
        <v>0</v>
      </c>
      <c r="T163" s="101">
        <v>0</v>
      </c>
      <c r="U163" s="60">
        <v>0</v>
      </c>
      <c r="V163" s="60">
        <v>0</v>
      </c>
      <c r="W163" s="60">
        <v>0</v>
      </c>
      <c r="X163" s="60">
        <v>0</v>
      </c>
      <c r="Y163" s="60">
        <v>0</v>
      </c>
      <c r="Z163" s="60">
        <v>0</v>
      </c>
      <c r="AA163" s="60">
        <v>0</v>
      </c>
      <c r="AB163" s="60">
        <v>0</v>
      </c>
      <c r="AC163" s="60">
        <v>0</v>
      </c>
      <c r="AD163" s="60">
        <v>0</v>
      </c>
      <c r="AE163" s="60">
        <v>2431.02</v>
      </c>
      <c r="AF163" s="60">
        <v>0</v>
      </c>
      <c r="AG163" s="60">
        <v>0</v>
      </c>
      <c r="AH163" s="98" t="s">
        <v>257</v>
      </c>
      <c r="AI163" s="98">
        <v>2020</v>
      </c>
      <c r="AJ163" s="98">
        <v>2020</v>
      </c>
      <c r="AK163" s="102"/>
      <c r="AL163" s="102"/>
      <c r="AM163" s="102"/>
      <c r="AN163" s="102"/>
    </row>
    <row r="164" spans="1:40" ht="62.25" x14ac:dyDescent="0.9">
      <c r="A164">
        <v>1</v>
      </c>
      <c r="B164" s="59">
        <f>SUBTOTAL(103,$A$94:A164)</f>
        <v>64</v>
      </c>
      <c r="C164" s="100" t="s">
        <v>1379</v>
      </c>
      <c r="D164" s="54" t="s">
        <v>1767</v>
      </c>
      <c r="E164" s="97">
        <v>0.87345236547698324</v>
      </c>
      <c r="F164" s="60">
        <f>G164+H164+I164+J164+K164+L164+N164+P164+R164+T164+V164+W164+X164+Y164+Z164+AA164+AB164+AC164+AD164+AE164+AF164+AG164</f>
        <v>378072.25</v>
      </c>
      <c r="G164" s="60">
        <v>0</v>
      </c>
      <c r="H164" s="60">
        <v>0</v>
      </c>
      <c r="I164" s="60">
        <v>0</v>
      </c>
      <c r="J164" s="60">
        <v>0</v>
      </c>
      <c r="K164" s="60">
        <v>0</v>
      </c>
      <c r="L164" s="60">
        <v>0</v>
      </c>
      <c r="M164" s="61">
        <v>0</v>
      </c>
      <c r="N164" s="60">
        <v>0</v>
      </c>
      <c r="O164" s="60">
        <v>1192.7</v>
      </c>
      <c r="P164" s="60">
        <v>375649.31</v>
      </c>
      <c r="Q164" s="60">
        <v>0</v>
      </c>
      <c r="R164" s="60">
        <v>0</v>
      </c>
      <c r="S164" s="60">
        <v>0</v>
      </c>
      <c r="T164" s="101">
        <v>0</v>
      </c>
      <c r="U164" s="60">
        <v>0</v>
      </c>
      <c r="V164" s="60">
        <v>0</v>
      </c>
      <c r="W164" s="60">
        <v>0</v>
      </c>
      <c r="X164" s="60">
        <v>0</v>
      </c>
      <c r="Y164" s="60">
        <v>0</v>
      </c>
      <c r="Z164" s="60">
        <v>0</v>
      </c>
      <c r="AA164" s="60">
        <v>0</v>
      </c>
      <c r="AB164" s="60">
        <v>0</v>
      </c>
      <c r="AC164" s="60">
        <v>0</v>
      </c>
      <c r="AD164" s="60">
        <v>0</v>
      </c>
      <c r="AE164" s="60">
        <v>2422.94</v>
      </c>
      <c r="AF164" s="60">
        <v>0</v>
      </c>
      <c r="AG164" s="60">
        <v>0</v>
      </c>
      <c r="AH164" s="98" t="s">
        <v>257</v>
      </c>
      <c r="AI164" s="98">
        <v>2020</v>
      </c>
      <c r="AJ164" s="98">
        <v>2020</v>
      </c>
      <c r="AK164" s="102"/>
      <c r="AL164" s="102"/>
      <c r="AM164" s="102"/>
      <c r="AN164" s="102"/>
    </row>
    <row r="165" spans="1:40" ht="62.25" x14ac:dyDescent="0.9">
      <c r="A165">
        <v>1</v>
      </c>
      <c r="B165" s="59">
        <f>SUBTOTAL(103,$A$94:A165)</f>
        <v>65</v>
      </c>
      <c r="C165" s="100" t="s">
        <v>363</v>
      </c>
      <c r="D165" s="54" t="s">
        <v>1767</v>
      </c>
      <c r="E165" s="97">
        <v>0.86236529068576662</v>
      </c>
      <c r="F165" s="60">
        <f>G165+H165+I165+J165+K165+L165+N165+P165+R165+T165+V165+W165+X165+Y165+Z165+AA165+AB165+AC165+AD165+AE165+AF165+AG165</f>
        <v>289922.22000000003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1">
        <v>0</v>
      </c>
      <c r="N165" s="60">
        <v>0</v>
      </c>
      <c r="O165" s="60">
        <v>1207</v>
      </c>
      <c r="P165" s="60">
        <v>288064.21000000002</v>
      </c>
      <c r="Q165" s="60">
        <v>0</v>
      </c>
      <c r="R165" s="60">
        <v>0</v>
      </c>
      <c r="S165" s="60">
        <v>0</v>
      </c>
      <c r="T165" s="101">
        <v>0</v>
      </c>
      <c r="U165" s="60">
        <v>0</v>
      </c>
      <c r="V165" s="60">
        <v>0</v>
      </c>
      <c r="W165" s="60">
        <v>0</v>
      </c>
      <c r="X165" s="60">
        <v>0</v>
      </c>
      <c r="Y165" s="60">
        <v>0</v>
      </c>
      <c r="Z165" s="60">
        <v>0</v>
      </c>
      <c r="AA165" s="60">
        <v>0</v>
      </c>
      <c r="AB165" s="60">
        <v>0</v>
      </c>
      <c r="AC165" s="60">
        <v>0</v>
      </c>
      <c r="AD165" s="60">
        <v>0</v>
      </c>
      <c r="AE165" s="60">
        <v>1858.01</v>
      </c>
      <c r="AF165" s="60">
        <v>0</v>
      </c>
      <c r="AG165" s="60">
        <v>0</v>
      </c>
      <c r="AH165" s="98" t="s">
        <v>257</v>
      </c>
      <c r="AI165" s="98">
        <v>2020</v>
      </c>
      <c r="AJ165" s="98">
        <v>2020</v>
      </c>
      <c r="AK165" s="102"/>
      <c r="AL165" s="102"/>
      <c r="AM165" s="102"/>
      <c r="AN165" s="102"/>
    </row>
    <row r="166" spans="1:40" ht="62.25" x14ac:dyDescent="0.9">
      <c r="A166">
        <v>1</v>
      </c>
      <c r="B166" s="59">
        <f>SUBTOTAL(103,$A$94:A166)</f>
        <v>66</v>
      </c>
      <c r="C166" s="100" t="s">
        <v>1380</v>
      </c>
      <c r="D166" s="54" t="s">
        <v>1767</v>
      </c>
      <c r="E166" s="97">
        <v>0.85951459937778774</v>
      </c>
      <c r="F166" s="60">
        <f>G166+H166+I166+J166+K166+L166+N166+P166+R166+T166+V166+W166+X166+Y166+Z166+AA166+AB166+AC166+AD166+AE166+AF166+AG166</f>
        <v>289922.22000000003</v>
      </c>
      <c r="G166" s="60">
        <v>0</v>
      </c>
      <c r="H166" s="60">
        <v>0</v>
      </c>
      <c r="I166" s="60">
        <v>0</v>
      </c>
      <c r="J166" s="60">
        <v>0</v>
      </c>
      <c r="K166" s="60">
        <v>0</v>
      </c>
      <c r="L166" s="60">
        <v>0</v>
      </c>
      <c r="M166" s="61">
        <v>0</v>
      </c>
      <c r="N166" s="60">
        <v>0</v>
      </c>
      <c r="O166" s="60">
        <v>1206</v>
      </c>
      <c r="P166" s="60">
        <v>288064.21000000002</v>
      </c>
      <c r="Q166" s="60">
        <v>0</v>
      </c>
      <c r="R166" s="60">
        <v>0</v>
      </c>
      <c r="S166" s="60">
        <v>0</v>
      </c>
      <c r="T166" s="101">
        <v>0</v>
      </c>
      <c r="U166" s="60">
        <v>0</v>
      </c>
      <c r="V166" s="60">
        <v>0</v>
      </c>
      <c r="W166" s="60">
        <v>0</v>
      </c>
      <c r="X166" s="60">
        <v>0</v>
      </c>
      <c r="Y166" s="60">
        <v>0</v>
      </c>
      <c r="Z166" s="60">
        <v>0</v>
      </c>
      <c r="AA166" s="60">
        <v>0</v>
      </c>
      <c r="AB166" s="60">
        <v>0</v>
      </c>
      <c r="AC166" s="60">
        <v>0</v>
      </c>
      <c r="AD166" s="60">
        <v>0</v>
      </c>
      <c r="AE166" s="60">
        <v>1858.01</v>
      </c>
      <c r="AF166" s="60">
        <v>0</v>
      </c>
      <c r="AG166" s="60">
        <v>0</v>
      </c>
      <c r="AH166" s="98" t="s">
        <v>257</v>
      </c>
      <c r="AI166" s="98">
        <v>2020</v>
      </c>
      <c r="AJ166" s="98">
        <v>2020</v>
      </c>
      <c r="AK166" s="102"/>
      <c r="AL166" s="102"/>
      <c r="AM166" s="102"/>
      <c r="AN166" s="102"/>
    </row>
    <row r="167" spans="1:40" ht="62.25" x14ac:dyDescent="0.9">
      <c r="A167">
        <v>1</v>
      </c>
      <c r="B167" s="59">
        <f>SUBTOTAL(103,$A$94:A167)</f>
        <v>67</v>
      </c>
      <c r="C167" s="100" t="s">
        <v>1381</v>
      </c>
      <c r="D167" s="54" t="s">
        <v>1767</v>
      </c>
      <c r="E167" s="97">
        <v>0.89797041453932691</v>
      </c>
      <c r="F167" s="60">
        <f>G167+H167+I167+J167+K167+L167+N167+P167+R167+T167+V167+W167+X167+Y167+Z167+AA167+AB167+AC167+AD167+AE167+AF167+AG167</f>
        <v>192286.75999999998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1">
        <v>0</v>
      </c>
      <c r="N167" s="60">
        <v>0</v>
      </c>
      <c r="O167" s="60">
        <v>516.6</v>
      </c>
      <c r="P167" s="60">
        <v>191054.46</v>
      </c>
      <c r="Q167" s="60">
        <v>0</v>
      </c>
      <c r="R167" s="60">
        <v>0</v>
      </c>
      <c r="S167" s="60">
        <v>0</v>
      </c>
      <c r="T167" s="101">
        <v>0</v>
      </c>
      <c r="U167" s="60">
        <v>0</v>
      </c>
      <c r="V167" s="60">
        <v>0</v>
      </c>
      <c r="W167" s="60">
        <v>0</v>
      </c>
      <c r="X167" s="60">
        <v>0</v>
      </c>
      <c r="Y167" s="60">
        <v>0</v>
      </c>
      <c r="Z167" s="60">
        <v>0</v>
      </c>
      <c r="AA167" s="60">
        <v>0</v>
      </c>
      <c r="AB167" s="60">
        <v>0</v>
      </c>
      <c r="AC167" s="60">
        <v>0</v>
      </c>
      <c r="AD167" s="60">
        <v>0</v>
      </c>
      <c r="AE167" s="60">
        <v>1232.3</v>
      </c>
      <c r="AF167" s="60">
        <v>0</v>
      </c>
      <c r="AG167" s="60">
        <v>0</v>
      </c>
      <c r="AH167" s="98" t="s">
        <v>257</v>
      </c>
      <c r="AI167" s="98">
        <v>2020</v>
      </c>
      <c r="AJ167" s="98">
        <v>2020</v>
      </c>
      <c r="AK167" s="102"/>
      <c r="AL167" s="102"/>
      <c r="AM167" s="102"/>
      <c r="AN167" s="102"/>
    </row>
    <row r="168" spans="1:40" ht="62.25" x14ac:dyDescent="0.9">
      <c r="B168" s="283" t="s">
        <v>829</v>
      </c>
      <c r="C168" s="284"/>
      <c r="D168" s="99" t="s">
        <v>835</v>
      </c>
      <c r="E168" s="97">
        <f>AVERAGE(E169:E170)</f>
        <v>0.86194999999999999</v>
      </c>
      <c r="F168" s="177">
        <f t="shared" ref="F168:AG168" si="48">SUM(F169:F170)</f>
        <v>3231773.15</v>
      </c>
      <c r="G168" s="60">
        <f t="shared" si="48"/>
        <v>0</v>
      </c>
      <c r="H168" s="60">
        <f t="shared" si="48"/>
        <v>0</v>
      </c>
      <c r="I168" s="60">
        <f t="shared" si="48"/>
        <v>0</v>
      </c>
      <c r="J168" s="60">
        <f t="shared" si="48"/>
        <v>0</v>
      </c>
      <c r="K168" s="60">
        <f t="shared" si="48"/>
        <v>0</v>
      </c>
      <c r="L168" s="60">
        <f t="shared" si="48"/>
        <v>0</v>
      </c>
      <c r="M168" s="61">
        <f t="shared" si="48"/>
        <v>0</v>
      </c>
      <c r="N168" s="60">
        <f t="shared" si="48"/>
        <v>0</v>
      </c>
      <c r="O168" s="60">
        <f t="shared" si="48"/>
        <v>1625</v>
      </c>
      <c r="P168" s="60">
        <f t="shared" si="48"/>
        <v>3199617</v>
      </c>
      <c r="Q168" s="60">
        <f t="shared" si="48"/>
        <v>0</v>
      </c>
      <c r="R168" s="60">
        <f t="shared" si="48"/>
        <v>0</v>
      </c>
      <c r="S168" s="60">
        <f t="shared" si="48"/>
        <v>0</v>
      </c>
      <c r="T168" s="60">
        <f t="shared" si="48"/>
        <v>0</v>
      </c>
      <c r="U168" s="60">
        <f t="shared" si="48"/>
        <v>0</v>
      </c>
      <c r="V168" s="60">
        <f t="shared" si="48"/>
        <v>0</v>
      </c>
      <c r="W168" s="60">
        <f t="shared" si="48"/>
        <v>0</v>
      </c>
      <c r="X168" s="60">
        <f t="shared" si="48"/>
        <v>0</v>
      </c>
      <c r="Y168" s="60">
        <f t="shared" si="48"/>
        <v>0</v>
      </c>
      <c r="Z168" s="60">
        <f t="shared" si="48"/>
        <v>0</v>
      </c>
      <c r="AA168" s="60">
        <f t="shared" si="48"/>
        <v>0</v>
      </c>
      <c r="AB168" s="60">
        <f t="shared" si="48"/>
        <v>0</v>
      </c>
      <c r="AC168" s="60">
        <f t="shared" si="48"/>
        <v>0</v>
      </c>
      <c r="AD168" s="60">
        <f t="shared" si="48"/>
        <v>0</v>
      </c>
      <c r="AE168" s="60">
        <f t="shared" si="48"/>
        <v>32156.15</v>
      </c>
      <c r="AF168" s="60">
        <f t="shared" si="48"/>
        <v>0</v>
      </c>
      <c r="AG168" s="60">
        <f t="shared" si="48"/>
        <v>0</v>
      </c>
      <c r="AH168" s="98" t="s">
        <v>835</v>
      </c>
      <c r="AI168" s="98" t="s">
        <v>835</v>
      </c>
      <c r="AJ168" s="98" t="s">
        <v>835</v>
      </c>
      <c r="AK168" s="102"/>
      <c r="AL168" s="102"/>
      <c r="AM168" s="102"/>
      <c r="AN168" s="102"/>
    </row>
    <row r="169" spans="1:40" ht="62.25" x14ac:dyDescent="0.9">
      <c r="A169">
        <v>1</v>
      </c>
      <c r="B169" s="59">
        <f>SUBTOTAL(103,$A$94:A169)</f>
        <v>68</v>
      </c>
      <c r="C169" s="100" t="s">
        <v>1382</v>
      </c>
      <c r="D169" s="54" t="s">
        <v>1766</v>
      </c>
      <c r="E169" s="97">
        <v>0.82040000000000002</v>
      </c>
      <c r="F169" s="60">
        <f>G169+H169+I169+J169+K169+L169+N169+P169+R169+T169+V169+W169+X169+Y169+Z169+AA169+AB169+AC169+AD169+AE169+AF169+AG169</f>
        <v>1617633.46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1">
        <v>0</v>
      </c>
      <c r="N169" s="60">
        <v>0</v>
      </c>
      <c r="O169" s="60">
        <v>812.5</v>
      </c>
      <c r="P169" s="60">
        <v>1601538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60">
        <v>0</v>
      </c>
      <c r="Y169" s="60">
        <v>0</v>
      </c>
      <c r="Z169" s="60">
        <v>0</v>
      </c>
      <c r="AA169" s="60">
        <v>0</v>
      </c>
      <c r="AB169" s="60">
        <v>0</v>
      </c>
      <c r="AC169" s="60">
        <v>0</v>
      </c>
      <c r="AD169" s="60">
        <v>0</v>
      </c>
      <c r="AE169" s="60">
        <v>16095.46</v>
      </c>
      <c r="AF169" s="60">
        <v>0</v>
      </c>
      <c r="AG169" s="60">
        <v>0</v>
      </c>
      <c r="AH169" s="98" t="s">
        <v>257</v>
      </c>
      <c r="AI169" s="98">
        <v>2020</v>
      </c>
      <c r="AJ169" s="98">
        <v>2020</v>
      </c>
      <c r="AK169" s="102"/>
      <c r="AL169" s="102"/>
      <c r="AM169" s="102"/>
      <c r="AN169" s="102"/>
    </row>
    <row r="170" spans="1:40" ht="62.25" x14ac:dyDescent="0.9">
      <c r="A170">
        <v>1</v>
      </c>
      <c r="B170" s="59">
        <f>SUBTOTAL(103,$A$94:A170)</f>
        <v>69</v>
      </c>
      <c r="C170" s="100" t="s">
        <v>1383</v>
      </c>
      <c r="D170" s="54" t="s">
        <v>1767</v>
      </c>
      <c r="E170" s="97">
        <v>0.90349999999999997</v>
      </c>
      <c r="F170" s="60">
        <f>G170+H170+I170+J170+K170+L170+N170+P170+R170+T170+V170+W170+X170+Y170+Z170+AA170+AB170+AC170+AD170+AE170+AF170+AG170</f>
        <v>1614139.69</v>
      </c>
      <c r="G170" s="60">
        <v>0</v>
      </c>
      <c r="H170" s="60">
        <v>0</v>
      </c>
      <c r="I170" s="60">
        <v>0</v>
      </c>
      <c r="J170" s="60">
        <v>0</v>
      </c>
      <c r="K170" s="60">
        <v>0</v>
      </c>
      <c r="L170" s="60">
        <v>0</v>
      </c>
      <c r="M170" s="61">
        <v>0</v>
      </c>
      <c r="N170" s="60">
        <v>0</v>
      </c>
      <c r="O170" s="60">
        <v>812.5</v>
      </c>
      <c r="P170" s="60">
        <v>1598079</v>
      </c>
      <c r="Q170" s="60">
        <v>0</v>
      </c>
      <c r="R170" s="60">
        <v>0</v>
      </c>
      <c r="S170" s="60">
        <v>0</v>
      </c>
      <c r="T170" s="60">
        <v>0</v>
      </c>
      <c r="U170" s="60">
        <v>0</v>
      </c>
      <c r="V170" s="60">
        <v>0</v>
      </c>
      <c r="W170" s="60">
        <v>0</v>
      </c>
      <c r="X170" s="60">
        <v>0</v>
      </c>
      <c r="Y170" s="60">
        <v>0</v>
      </c>
      <c r="Z170" s="60">
        <v>0</v>
      </c>
      <c r="AA170" s="60">
        <v>0</v>
      </c>
      <c r="AB170" s="60">
        <v>0</v>
      </c>
      <c r="AC170" s="60">
        <v>0</v>
      </c>
      <c r="AD170" s="60">
        <v>0</v>
      </c>
      <c r="AE170" s="60">
        <v>16060.69</v>
      </c>
      <c r="AF170" s="60">
        <v>0</v>
      </c>
      <c r="AG170" s="60">
        <v>0</v>
      </c>
      <c r="AH170" s="98" t="s">
        <v>257</v>
      </c>
      <c r="AI170" s="98">
        <v>2020</v>
      </c>
      <c r="AJ170" s="98">
        <v>2020</v>
      </c>
      <c r="AK170" s="102"/>
      <c r="AL170" s="102"/>
      <c r="AM170" s="102"/>
      <c r="AN170" s="102"/>
    </row>
    <row r="171" spans="1:40" ht="62.25" x14ac:dyDescent="0.9">
      <c r="B171" s="103" t="s">
        <v>1326</v>
      </c>
      <c r="C171" s="100"/>
      <c r="D171" s="99" t="s">
        <v>835</v>
      </c>
      <c r="E171" s="97">
        <f>AVERAGE(E172:E172)</f>
        <v>0.93579999999999997</v>
      </c>
      <c r="F171" s="177">
        <f t="shared" ref="F171:AG171" si="49">F172</f>
        <v>11164.380000000001</v>
      </c>
      <c r="G171" s="60">
        <f t="shared" si="49"/>
        <v>0</v>
      </c>
      <c r="H171" s="60">
        <f t="shared" si="49"/>
        <v>0</v>
      </c>
      <c r="I171" s="60">
        <f t="shared" si="49"/>
        <v>0</v>
      </c>
      <c r="J171" s="60">
        <f t="shared" si="49"/>
        <v>0</v>
      </c>
      <c r="K171" s="60">
        <f t="shared" si="49"/>
        <v>0</v>
      </c>
      <c r="L171" s="60">
        <f t="shared" si="49"/>
        <v>0</v>
      </c>
      <c r="M171" s="61">
        <f t="shared" si="49"/>
        <v>0</v>
      </c>
      <c r="N171" s="60">
        <f t="shared" si="49"/>
        <v>0</v>
      </c>
      <c r="O171" s="60">
        <f t="shared" si="49"/>
        <v>471.6</v>
      </c>
      <c r="P171" s="60">
        <f t="shared" si="49"/>
        <v>11054.94</v>
      </c>
      <c r="Q171" s="60">
        <f t="shared" si="49"/>
        <v>0</v>
      </c>
      <c r="R171" s="60">
        <f t="shared" si="49"/>
        <v>0</v>
      </c>
      <c r="S171" s="60">
        <f t="shared" si="49"/>
        <v>0</v>
      </c>
      <c r="T171" s="60">
        <f t="shared" si="49"/>
        <v>0</v>
      </c>
      <c r="U171" s="60">
        <f t="shared" si="49"/>
        <v>0</v>
      </c>
      <c r="V171" s="60">
        <f t="shared" si="49"/>
        <v>0</v>
      </c>
      <c r="W171" s="60">
        <f t="shared" si="49"/>
        <v>0</v>
      </c>
      <c r="X171" s="60">
        <f t="shared" si="49"/>
        <v>0</v>
      </c>
      <c r="Y171" s="60">
        <f t="shared" si="49"/>
        <v>0</v>
      </c>
      <c r="Z171" s="60">
        <f t="shared" si="49"/>
        <v>0</v>
      </c>
      <c r="AA171" s="60">
        <f t="shared" si="49"/>
        <v>0</v>
      </c>
      <c r="AB171" s="60">
        <f t="shared" si="49"/>
        <v>0</v>
      </c>
      <c r="AC171" s="60">
        <f t="shared" si="49"/>
        <v>0</v>
      </c>
      <c r="AD171" s="60">
        <f t="shared" si="49"/>
        <v>0</v>
      </c>
      <c r="AE171" s="60">
        <f t="shared" si="49"/>
        <v>109.44</v>
      </c>
      <c r="AF171" s="60">
        <f t="shared" si="49"/>
        <v>0</v>
      </c>
      <c r="AG171" s="60">
        <f t="shared" si="49"/>
        <v>0</v>
      </c>
      <c r="AH171" s="98" t="s">
        <v>835</v>
      </c>
      <c r="AI171" s="98" t="s">
        <v>835</v>
      </c>
      <c r="AJ171" s="98" t="s">
        <v>835</v>
      </c>
      <c r="AK171" s="102"/>
      <c r="AL171" s="102"/>
      <c r="AM171" s="102"/>
      <c r="AN171" s="102"/>
    </row>
    <row r="172" spans="1:40" ht="62.25" x14ac:dyDescent="0.9">
      <c r="A172">
        <v>1</v>
      </c>
      <c r="B172" s="59">
        <f>SUBTOTAL(103,$A$94:A172)</f>
        <v>70</v>
      </c>
      <c r="C172" s="100" t="s">
        <v>1384</v>
      </c>
      <c r="D172" s="54" t="s">
        <v>1435</v>
      </c>
      <c r="E172" s="97">
        <v>0.93579999999999997</v>
      </c>
      <c r="F172" s="60">
        <f>G172+H172+I172+J172+K172+L172+N172+P172+R172+T172+V172+W172+X172+Y172+Z172+AA172+AB172+AC172+AD172+AE172+AF172+AG172</f>
        <v>11164.380000000001</v>
      </c>
      <c r="G172" s="60">
        <v>0</v>
      </c>
      <c r="H172" s="60">
        <v>0</v>
      </c>
      <c r="I172" s="60">
        <v>0</v>
      </c>
      <c r="J172" s="60">
        <v>0</v>
      </c>
      <c r="K172" s="60">
        <v>0</v>
      </c>
      <c r="L172" s="60">
        <v>0</v>
      </c>
      <c r="M172" s="61">
        <v>0</v>
      </c>
      <c r="N172" s="60">
        <v>0</v>
      </c>
      <c r="O172" s="60">
        <v>471.6</v>
      </c>
      <c r="P172" s="60">
        <v>11054.94</v>
      </c>
      <c r="Q172" s="60">
        <v>0</v>
      </c>
      <c r="R172" s="60">
        <v>0</v>
      </c>
      <c r="S172" s="60">
        <v>0</v>
      </c>
      <c r="T172" s="60">
        <v>0</v>
      </c>
      <c r="U172" s="60">
        <v>0</v>
      </c>
      <c r="V172" s="60">
        <v>0</v>
      </c>
      <c r="W172" s="60">
        <v>0</v>
      </c>
      <c r="X172" s="60">
        <v>0</v>
      </c>
      <c r="Y172" s="60">
        <v>0</v>
      </c>
      <c r="Z172" s="60">
        <v>0</v>
      </c>
      <c r="AA172" s="60">
        <v>0</v>
      </c>
      <c r="AB172" s="60">
        <v>0</v>
      </c>
      <c r="AC172" s="60">
        <v>0</v>
      </c>
      <c r="AD172" s="60">
        <v>0</v>
      </c>
      <c r="AE172" s="60">
        <v>109.44</v>
      </c>
      <c r="AF172" s="60">
        <v>0</v>
      </c>
      <c r="AG172" s="60">
        <v>0</v>
      </c>
      <c r="AH172" s="98" t="s">
        <v>257</v>
      </c>
      <c r="AI172" s="98">
        <v>2020</v>
      </c>
      <c r="AJ172" s="98">
        <v>2020</v>
      </c>
      <c r="AK172" s="102"/>
      <c r="AL172" s="102"/>
      <c r="AM172" s="102"/>
      <c r="AN172" s="102"/>
    </row>
    <row r="173" spans="1:40" ht="62.25" x14ac:dyDescent="0.9">
      <c r="B173" s="103" t="s">
        <v>805</v>
      </c>
      <c r="C173" s="100"/>
      <c r="D173" s="99" t="s">
        <v>835</v>
      </c>
      <c r="E173" s="97">
        <f t="shared" ref="E173:AG173" si="50">E174</f>
        <v>0.9657</v>
      </c>
      <c r="F173" s="177">
        <f t="shared" si="50"/>
        <v>766743.64</v>
      </c>
      <c r="G173" s="60">
        <f t="shared" si="50"/>
        <v>0</v>
      </c>
      <c r="H173" s="60">
        <f t="shared" si="50"/>
        <v>0</v>
      </c>
      <c r="I173" s="60">
        <f t="shared" si="50"/>
        <v>0</v>
      </c>
      <c r="J173" s="60">
        <f t="shared" si="50"/>
        <v>0</v>
      </c>
      <c r="K173" s="60">
        <f t="shared" si="50"/>
        <v>0</v>
      </c>
      <c r="L173" s="60">
        <f t="shared" si="50"/>
        <v>0</v>
      </c>
      <c r="M173" s="61">
        <f t="shared" si="50"/>
        <v>0</v>
      </c>
      <c r="N173" s="60">
        <f t="shared" si="50"/>
        <v>0</v>
      </c>
      <c r="O173" s="60">
        <f t="shared" si="50"/>
        <v>972.5</v>
      </c>
      <c r="P173" s="60">
        <f t="shared" si="50"/>
        <v>766743.64</v>
      </c>
      <c r="Q173" s="60">
        <f t="shared" si="50"/>
        <v>0</v>
      </c>
      <c r="R173" s="60">
        <f t="shared" si="50"/>
        <v>0</v>
      </c>
      <c r="S173" s="60">
        <f t="shared" si="50"/>
        <v>0</v>
      </c>
      <c r="T173" s="60">
        <f t="shared" si="50"/>
        <v>0</v>
      </c>
      <c r="U173" s="60">
        <f t="shared" si="50"/>
        <v>0</v>
      </c>
      <c r="V173" s="60">
        <f t="shared" si="50"/>
        <v>0</v>
      </c>
      <c r="W173" s="60">
        <f t="shared" si="50"/>
        <v>0</v>
      </c>
      <c r="X173" s="60">
        <f t="shared" si="50"/>
        <v>0</v>
      </c>
      <c r="Y173" s="60">
        <f t="shared" si="50"/>
        <v>0</v>
      </c>
      <c r="Z173" s="60">
        <f t="shared" si="50"/>
        <v>0</v>
      </c>
      <c r="AA173" s="60">
        <f t="shared" si="50"/>
        <v>0</v>
      </c>
      <c r="AB173" s="60">
        <f t="shared" si="50"/>
        <v>0</v>
      </c>
      <c r="AC173" s="60">
        <f t="shared" si="50"/>
        <v>0</v>
      </c>
      <c r="AD173" s="60">
        <f t="shared" si="50"/>
        <v>0</v>
      </c>
      <c r="AE173" s="60">
        <f t="shared" si="50"/>
        <v>0</v>
      </c>
      <c r="AF173" s="60">
        <f t="shared" si="50"/>
        <v>0</v>
      </c>
      <c r="AG173" s="60">
        <f t="shared" si="50"/>
        <v>0</v>
      </c>
      <c r="AH173" s="98" t="s">
        <v>835</v>
      </c>
      <c r="AI173" s="98" t="s">
        <v>835</v>
      </c>
      <c r="AJ173" s="98" t="s">
        <v>835</v>
      </c>
      <c r="AK173" s="102"/>
      <c r="AL173" s="102"/>
      <c r="AM173" s="102"/>
      <c r="AN173" s="102"/>
    </row>
    <row r="174" spans="1:40" ht="62.25" x14ac:dyDescent="0.9">
      <c r="A174">
        <v>1</v>
      </c>
      <c r="B174" s="59">
        <f>SUBTOTAL(103,$A$94:A174)</f>
        <v>71</v>
      </c>
      <c r="C174" s="100" t="s">
        <v>1385</v>
      </c>
      <c r="D174" s="54" t="s">
        <v>1435</v>
      </c>
      <c r="E174" s="97">
        <v>0.9657</v>
      </c>
      <c r="F174" s="60">
        <f>G174+H174+I174+J174+K174+L174+N174+P174+R174+T174+V174+W174+X174+Y174+Z174+AA174+AB174+AC174+AD174+AE174+AF174+AG174</f>
        <v>766743.64</v>
      </c>
      <c r="G174" s="60">
        <v>0</v>
      </c>
      <c r="H174" s="60">
        <v>0</v>
      </c>
      <c r="I174" s="60">
        <v>0</v>
      </c>
      <c r="J174" s="60">
        <v>0</v>
      </c>
      <c r="K174" s="60">
        <v>0</v>
      </c>
      <c r="L174" s="60">
        <v>0</v>
      </c>
      <c r="M174" s="61">
        <v>0</v>
      </c>
      <c r="N174" s="60">
        <v>0</v>
      </c>
      <c r="O174" s="60">
        <v>972.5</v>
      </c>
      <c r="P174" s="60">
        <v>766743.64</v>
      </c>
      <c r="Q174" s="60">
        <v>0</v>
      </c>
      <c r="R174" s="60">
        <v>0</v>
      </c>
      <c r="S174" s="60">
        <v>0</v>
      </c>
      <c r="T174" s="60">
        <v>0</v>
      </c>
      <c r="U174" s="60">
        <v>0</v>
      </c>
      <c r="V174" s="60">
        <v>0</v>
      </c>
      <c r="W174" s="60">
        <v>0</v>
      </c>
      <c r="X174" s="60">
        <v>0</v>
      </c>
      <c r="Y174" s="60">
        <v>0</v>
      </c>
      <c r="Z174" s="60">
        <v>0</v>
      </c>
      <c r="AA174" s="60">
        <v>0</v>
      </c>
      <c r="AB174" s="60">
        <v>0</v>
      </c>
      <c r="AC174" s="60">
        <v>0</v>
      </c>
      <c r="AD174" s="60">
        <v>0</v>
      </c>
      <c r="AE174" s="60">
        <v>0</v>
      </c>
      <c r="AF174" s="60">
        <v>0</v>
      </c>
      <c r="AG174" s="60">
        <v>0</v>
      </c>
      <c r="AH174" s="98" t="s">
        <v>257</v>
      </c>
      <c r="AI174" s="98">
        <v>2020</v>
      </c>
      <c r="AJ174" s="98" t="s">
        <v>257</v>
      </c>
      <c r="AK174" s="102"/>
      <c r="AL174" s="102"/>
      <c r="AM174" s="102"/>
      <c r="AN174" s="102"/>
    </row>
    <row r="175" spans="1:40" ht="62.25" x14ac:dyDescent="0.9">
      <c r="B175" s="103" t="s">
        <v>791</v>
      </c>
      <c r="C175" s="100"/>
      <c r="D175" s="99" t="s">
        <v>835</v>
      </c>
      <c r="E175" s="97">
        <f>AVERAGE(E176:E179)</f>
        <v>0.80904999999999994</v>
      </c>
      <c r="F175" s="177">
        <f t="shared" ref="F175:AG175" si="51">SUM(F176:F179)</f>
        <v>2297433.3200000003</v>
      </c>
      <c r="G175" s="60">
        <f t="shared" si="51"/>
        <v>0</v>
      </c>
      <c r="H175" s="60">
        <f t="shared" si="51"/>
        <v>0</v>
      </c>
      <c r="I175" s="60">
        <f t="shared" si="51"/>
        <v>0</v>
      </c>
      <c r="J175" s="60">
        <f t="shared" si="51"/>
        <v>0</v>
      </c>
      <c r="K175" s="60">
        <f t="shared" si="51"/>
        <v>0</v>
      </c>
      <c r="L175" s="60">
        <f t="shared" si="51"/>
        <v>0</v>
      </c>
      <c r="M175" s="61">
        <f t="shared" si="51"/>
        <v>0</v>
      </c>
      <c r="N175" s="60">
        <f t="shared" si="51"/>
        <v>0</v>
      </c>
      <c r="O175" s="60">
        <f t="shared" si="51"/>
        <v>2445.1</v>
      </c>
      <c r="P175" s="60">
        <f t="shared" si="51"/>
        <v>2044610.6800000002</v>
      </c>
      <c r="Q175" s="60">
        <f t="shared" si="51"/>
        <v>0</v>
      </c>
      <c r="R175" s="60">
        <f t="shared" si="51"/>
        <v>0</v>
      </c>
      <c r="S175" s="60">
        <f t="shared" si="51"/>
        <v>157.6</v>
      </c>
      <c r="T175" s="60">
        <f t="shared" si="51"/>
        <v>230009.4</v>
      </c>
      <c r="U175" s="60">
        <f t="shared" si="51"/>
        <v>0</v>
      </c>
      <c r="V175" s="60">
        <f t="shared" si="51"/>
        <v>0</v>
      </c>
      <c r="W175" s="60">
        <f t="shared" si="51"/>
        <v>0</v>
      </c>
      <c r="X175" s="60">
        <f t="shared" si="51"/>
        <v>0</v>
      </c>
      <c r="Y175" s="60">
        <f t="shared" si="51"/>
        <v>0</v>
      </c>
      <c r="Z175" s="60">
        <f t="shared" si="51"/>
        <v>0</v>
      </c>
      <c r="AA175" s="60">
        <f t="shared" si="51"/>
        <v>0</v>
      </c>
      <c r="AB175" s="60">
        <f t="shared" si="51"/>
        <v>0</v>
      </c>
      <c r="AC175" s="60">
        <f t="shared" si="51"/>
        <v>0</v>
      </c>
      <c r="AD175" s="60">
        <f t="shared" si="51"/>
        <v>0</v>
      </c>
      <c r="AE175" s="60">
        <f t="shared" si="51"/>
        <v>22813.239999999998</v>
      </c>
      <c r="AF175" s="60">
        <f t="shared" si="51"/>
        <v>0</v>
      </c>
      <c r="AG175" s="60">
        <f t="shared" si="51"/>
        <v>0</v>
      </c>
      <c r="AH175" s="98" t="s">
        <v>835</v>
      </c>
      <c r="AI175" s="98" t="s">
        <v>835</v>
      </c>
      <c r="AJ175" s="98" t="s">
        <v>835</v>
      </c>
      <c r="AK175" s="102"/>
      <c r="AL175" s="102"/>
      <c r="AM175" s="102"/>
      <c r="AN175" s="102"/>
    </row>
    <row r="176" spans="1:40" ht="62.25" x14ac:dyDescent="0.9">
      <c r="A176">
        <v>1</v>
      </c>
      <c r="B176" s="59">
        <f>SUBTOTAL(103,$A$94:A176)</f>
        <v>72</v>
      </c>
      <c r="C176" s="100" t="s">
        <v>1386</v>
      </c>
      <c r="D176" s="54" t="s">
        <v>1435</v>
      </c>
      <c r="E176" s="97">
        <v>0.83589999999999998</v>
      </c>
      <c r="F176" s="60">
        <f>G176+H176+I176+J176+K176+L176+N176+P176+R176+T176+V176+W176+X176+Y176+Z176+AA176+AB176+AC176+AD176+AE176+AF176+AG176</f>
        <v>662767.68000000005</v>
      </c>
      <c r="G176" s="60">
        <v>0</v>
      </c>
      <c r="H176" s="60">
        <v>0</v>
      </c>
      <c r="I176" s="60">
        <v>0</v>
      </c>
      <c r="J176" s="60">
        <v>0</v>
      </c>
      <c r="K176" s="60">
        <v>0</v>
      </c>
      <c r="L176" s="60">
        <v>0</v>
      </c>
      <c r="M176" s="61">
        <v>0</v>
      </c>
      <c r="N176" s="60">
        <v>0</v>
      </c>
      <c r="O176" s="60">
        <v>958</v>
      </c>
      <c r="P176" s="60">
        <v>662767.68000000005</v>
      </c>
      <c r="Q176" s="60">
        <v>0</v>
      </c>
      <c r="R176" s="60">
        <v>0</v>
      </c>
      <c r="S176" s="60">
        <v>0</v>
      </c>
      <c r="T176" s="60">
        <v>0</v>
      </c>
      <c r="U176" s="60">
        <v>0</v>
      </c>
      <c r="V176" s="60">
        <v>0</v>
      </c>
      <c r="W176" s="60">
        <v>0</v>
      </c>
      <c r="X176" s="60">
        <v>0</v>
      </c>
      <c r="Y176" s="60">
        <v>0</v>
      </c>
      <c r="Z176" s="60">
        <v>0</v>
      </c>
      <c r="AA176" s="60">
        <v>0</v>
      </c>
      <c r="AB176" s="60">
        <v>0</v>
      </c>
      <c r="AC176" s="60">
        <v>0</v>
      </c>
      <c r="AD176" s="60">
        <v>0</v>
      </c>
      <c r="AE176" s="60">
        <v>0</v>
      </c>
      <c r="AF176" s="60">
        <v>0</v>
      </c>
      <c r="AG176" s="60">
        <v>0</v>
      </c>
      <c r="AH176" s="98" t="s">
        <v>257</v>
      </c>
      <c r="AI176" s="98">
        <v>2020</v>
      </c>
      <c r="AJ176" s="98" t="s">
        <v>257</v>
      </c>
      <c r="AK176" s="102"/>
      <c r="AL176" s="102"/>
      <c r="AM176" s="102"/>
      <c r="AN176" s="102"/>
    </row>
    <row r="177" spans="1:40" ht="62.25" x14ac:dyDescent="0.9">
      <c r="A177">
        <v>1</v>
      </c>
      <c r="B177" s="59">
        <f>SUBTOTAL(103,$A$94:A177)</f>
        <v>73</v>
      </c>
      <c r="C177" s="100" t="s">
        <v>1387</v>
      </c>
      <c r="D177" s="55" t="s">
        <v>1767</v>
      </c>
      <c r="E177" s="97">
        <v>0.62490000000000001</v>
      </c>
      <c r="F177" s="60">
        <f>G177+H177+I177+J177+K177+L177+N177+P177+R177+T177+V177+W177+X177+Y177+Z177+AA177+AB177+AC177+AD177+AE177+AF177+AG177</f>
        <v>233442.29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1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157.6</v>
      </c>
      <c r="T177" s="60">
        <v>230009.4</v>
      </c>
      <c r="U177" s="60">
        <v>0</v>
      </c>
      <c r="V177" s="60">
        <v>0</v>
      </c>
      <c r="W177" s="60">
        <v>0</v>
      </c>
      <c r="X177" s="60">
        <v>0</v>
      </c>
      <c r="Y177" s="60">
        <v>0</v>
      </c>
      <c r="Z177" s="60">
        <v>0</v>
      </c>
      <c r="AA177" s="60">
        <v>0</v>
      </c>
      <c r="AB177" s="60">
        <v>0</v>
      </c>
      <c r="AC177" s="60">
        <v>0</v>
      </c>
      <c r="AD177" s="60">
        <v>0</v>
      </c>
      <c r="AE177" s="60">
        <v>3432.89</v>
      </c>
      <c r="AF177" s="60">
        <v>0</v>
      </c>
      <c r="AG177" s="60">
        <v>0</v>
      </c>
      <c r="AH177" s="98" t="s">
        <v>257</v>
      </c>
      <c r="AI177" s="98">
        <v>2020</v>
      </c>
      <c r="AJ177" s="98">
        <v>2020</v>
      </c>
      <c r="AK177" s="102"/>
      <c r="AL177" s="102"/>
      <c r="AM177" s="102"/>
      <c r="AN177" s="102"/>
    </row>
    <row r="178" spans="1:40" ht="62.25" x14ac:dyDescent="0.9">
      <c r="A178">
        <v>1</v>
      </c>
      <c r="B178" s="59">
        <f>SUBTOTAL(103,$A$94:A178)</f>
        <v>74</v>
      </c>
      <c r="C178" s="100" t="s">
        <v>1413</v>
      </c>
      <c r="D178" s="54" t="s">
        <v>1767</v>
      </c>
      <c r="E178" s="97">
        <v>0.875</v>
      </c>
      <c r="F178" s="60">
        <f>G178+H178+I178+J178+K178+L178+N178+P178+R178+T178+V178+W178+X178+Y178+Z178+AA178+AB178+AC178+AD178+AE178+AF178+AG178</f>
        <v>57615.89</v>
      </c>
      <c r="G178" s="60">
        <v>0</v>
      </c>
      <c r="H178" s="60">
        <v>0</v>
      </c>
      <c r="I178" s="60">
        <v>0</v>
      </c>
      <c r="J178" s="60">
        <v>0</v>
      </c>
      <c r="K178" s="60">
        <v>0</v>
      </c>
      <c r="L178" s="60">
        <v>0</v>
      </c>
      <c r="M178" s="61">
        <v>0</v>
      </c>
      <c r="N178" s="60">
        <v>0</v>
      </c>
      <c r="O178" s="60">
        <v>508</v>
      </c>
      <c r="P178" s="60">
        <v>56819</v>
      </c>
      <c r="Q178" s="60">
        <v>0</v>
      </c>
      <c r="R178" s="60">
        <v>0</v>
      </c>
      <c r="S178" s="60">
        <v>0</v>
      </c>
      <c r="T178" s="60">
        <v>0</v>
      </c>
      <c r="U178" s="60">
        <v>0</v>
      </c>
      <c r="V178" s="60">
        <v>0</v>
      </c>
      <c r="W178" s="60">
        <v>0</v>
      </c>
      <c r="X178" s="60">
        <v>0</v>
      </c>
      <c r="Y178" s="60">
        <v>0</v>
      </c>
      <c r="Z178" s="60">
        <v>0</v>
      </c>
      <c r="AA178" s="60">
        <v>0</v>
      </c>
      <c r="AB178" s="60">
        <v>0</v>
      </c>
      <c r="AC178" s="60">
        <v>0</v>
      </c>
      <c r="AD178" s="60">
        <v>0</v>
      </c>
      <c r="AE178" s="60">
        <f>ROUND(P178*1.4025%,2)</f>
        <v>796.89</v>
      </c>
      <c r="AF178" s="60">
        <v>0</v>
      </c>
      <c r="AG178" s="60">
        <v>0</v>
      </c>
      <c r="AH178" s="98" t="s">
        <v>257</v>
      </c>
      <c r="AI178" s="63">
        <v>2022</v>
      </c>
      <c r="AJ178" s="63">
        <v>2022</v>
      </c>
      <c r="AK178" s="102"/>
      <c r="AL178" s="102"/>
      <c r="AM178" s="102"/>
      <c r="AN178" s="102"/>
    </row>
    <row r="179" spans="1:40" ht="62.25" x14ac:dyDescent="0.9">
      <c r="A179">
        <v>1</v>
      </c>
      <c r="B179" s="59">
        <f>SUBTOTAL(103,$A$94:A179)</f>
        <v>75</v>
      </c>
      <c r="C179" s="100" t="s">
        <v>2138</v>
      </c>
      <c r="D179" s="54">
        <v>2015</v>
      </c>
      <c r="E179" s="97">
        <v>0.90039999999999998</v>
      </c>
      <c r="F179" s="60">
        <f>G179+H179+I179+J179+K179+L179+N179+P179+R179+T179+V179+W179+X179+Y179+Z179+AA179+AB179+AC179+AD179+AE179+AF179+AG179</f>
        <v>1343607.46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1">
        <v>0</v>
      </c>
      <c r="N179" s="60">
        <v>0</v>
      </c>
      <c r="O179" s="60">
        <v>979.1</v>
      </c>
      <c r="P179" s="60">
        <v>1325024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60">
        <v>0</v>
      </c>
      <c r="Y179" s="60">
        <v>0</v>
      </c>
      <c r="Z179" s="60">
        <v>0</v>
      </c>
      <c r="AA179" s="60">
        <v>0</v>
      </c>
      <c r="AB179" s="60">
        <v>0</v>
      </c>
      <c r="AC179" s="60">
        <v>0</v>
      </c>
      <c r="AD179" s="60">
        <v>0</v>
      </c>
      <c r="AE179" s="60">
        <f>ROUND(P179*1.4025%,2)</f>
        <v>18583.46</v>
      </c>
      <c r="AF179" s="60">
        <v>0</v>
      </c>
      <c r="AG179" s="60">
        <v>0</v>
      </c>
      <c r="AH179" s="98" t="s">
        <v>257</v>
      </c>
      <c r="AI179" s="63">
        <v>2022</v>
      </c>
      <c r="AJ179" s="63">
        <v>2022</v>
      </c>
      <c r="AK179" s="102"/>
      <c r="AL179" s="102"/>
      <c r="AM179" s="102"/>
      <c r="AN179" s="102"/>
    </row>
    <row r="180" spans="1:40" ht="62.25" x14ac:dyDescent="0.9">
      <c r="B180" s="103" t="s">
        <v>815</v>
      </c>
      <c r="C180" s="100"/>
      <c r="D180" s="99" t="s">
        <v>835</v>
      </c>
      <c r="E180" s="97">
        <f>E181</f>
        <v>0.93430000000000002</v>
      </c>
      <c r="F180" s="177">
        <f t="shared" ref="F180:AF180" si="52">F181+F182</f>
        <v>701741.56</v>
      </c>
      <c r="G180" s="60">
        <f t="shared" si="52"/>
        <v>0</v>
      </c>
      <c r="H180" s="60">
        <f t="shared" si="52"/>
        <v>0</v>
      </c>
      <c r="I180" s="60">
        <f t="shared" si="52"/>
        <v>0</v>
      </c>
      <c r="J180" s="60">
        <f t="shared" si="52"/>
        <v>0</v>
      </c>
      <c r="K180" s="60">
        <f t="shared" si="52"/>
        <v>0</v>
      </c>
      <c r="L180" s="60">
        <f t="shared" si="52"/>
        <v>0</v>
      </c>
      <c r="M180" s="61">
        <f t="shared" si="52"/>
        <v>0</v>
      </c>
      <c r="N180" s="60">
        <f t="shared" si="52"/>
        <v>0</v>
      </c>
      <c r="O180" s="60">
        <f t="shared" si="52"/>
        <v>2032.6</v>
      </c>
      <c r="P180" s="60">
        <f t="shared" si="52"/>
        <v>698842.96</v>
      </c>
      <c r="Q180" s="60">
        <f t="shared" si="52"/>
        <v>0</v>
      </c>
      <c r="R180" s="60">
        <f t="shared" si="52"/>
        <v>0</v>
      </c>
      <c r="S180" s="60">
        <f t="shared" si="52"/>
        <v>0</v>
      </c>
      <c r="T180" s="60">
        <f t="shared" si="52"/>
        <v>0</v>
      </c>
      <c r="U180" s="60">
        <f t="shared" si="52"/>
        <v>0</v>
      </c>
      <c r="V180" s="60">
        <f t="shared" si="52"/>
        <v>0</v>
      </c>
      <c r="W180" s="60">
        <f t="shared" si="52"/>
        <v>0</v>
      </c>
      <c r="X180" s="60">
        <f t="shared" si="52"/>
        <v>0</v>
      </c>
      <c r="Y180" s="60">
        <f t="shared" si="52"/>
        <v>0</v>
      </c>
      <c r="Z180" s="60">
        <f t="shared" si="52"/>
        <v>0</v>
      </c>
      <c r="AA180" s="60">
        <f t="shared" si="52"/>
        <v>0</v>
      </c>
      <c r="AB180" s="60">
        <f t="shared" si="52"/>
        <v>0</v>
      </c>
      <c r="AC180" s="60">
        <f t="shared" si="52"/>
        <v>0</v>
      </c>
      <c r="AD180" s="60">
        <f t="shared" si="52"/>
        <v>0</v>
      </c>
      <c r="AE180" s="60">
        <f t="shared" si="52"/>
        <v>2898.6</v>
      </c>
      <c r="AF180" s="60">
        <f t="shared" si="52"/>
        <v>0</v>
      </c>
      <c r="AG180" s="60">
        <f>AG181</f>
        <v>0</v>
      </c>
      <c r="AH180" s="98" t="s">
        <v>835</v>
      </c>
      <c r="AI180" s="98" t="s">
        <v>835</v>
      </c>
      <c r="AJ180" s="98" t="s">
        <v>835</v>
      </c>
      <c r="AK180" s="102"/>
      <c r="AL180" s="102"/>
      <c r="AM180" s="102"/>
      <c r="AN180" s="102"/>
    </row>
    <row r="181" spans="1:40" ht="62.25" x14ac:dyDescent="0.9">
      <c r="A181">
        <v>1</v>
      </c>
      <c r="B181" s="59">
        <f>SUBTOTAL(103,$A$94:A181)</f>
        <v>76</v>
      </c>
      <c r="C181" s="100" t="s">
        <v>1388</v>
      </c>
      <c r="D181" s="54" t="s">
        <v>1766</v>
      </c>
      <c r="E181" s="97">
        <v>0.93430000000000002</v>
      </c>
      <c r="F181" s="60">
        <f>G181+H181+I181+J181+K181+L181+N181+P181+R181+T181+V181+W181+X181+Y181+Z181+AA181+AB181+AC181+AD181+AE181+AF181+AG181</f>
        <v>425208.96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1">
        <v>0</v>
      </c>
      <c r="N181" s="60">
        <v>0</v>
      </c>
      <c r="O181" s="60">
        <v>1223</v>
      </c>
      <c r="P181" s="60">
        <v>425208.96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60">
        <v>0</v>
      </c>
      <c r="Y181" s="60">
        <v>0</v>
      </c>
      <c r="Z181" s="60">
        <v>0</v>
      </c>
      <c r="AA181" s="60">
        <v>0</v>
      </c>
      <c r="AB181" s="60">
        <v>0</v>
      </c>
      <c r="AC181" s="60">
        <v>0</v>
      </c>
      <c r="AD181" s="60">
        <v>0</v>
      </c>
      <c r="AE181" s="60">
        <v>0</v>
      </c>
      <c r="AF181" s="60">
        <v>0</v>
      </c>
      <c r="AG181" s="60">
        <v>0</v>
      </c>
      <c r="AH181" s="98" t="s">
        <v>257</v>
      </c>
      <c r="AI181" s="98">
        <v>2020</v>
      </c>
      <c r="AJ181" s="98" t="s">
        <v>257</v>
      </c>
      <c r="AK181" s="102"/>
      <c r="AL181" s="102"/>
      <c r="AM181" s="102"/>
      <c r="AN181" s="102"/>
    </row>
    <row r="182" spans="1:40" ht="62.25" x14ac:dyDescent="0.9">
      <c r="A182">
        <v>1</v>
      </c>
      <c r="B182" s="59">
        <f>SUBTOTAL(103,$A$94:A182)</f>
        <v>77</v>
      </c>
      <c r="C182" s="100" t="s">
        <v>3181</v>
      </c>
      <c r="D182" s="55">
        <v>2019</v>
      </c>
      <c r="E182" s="97">
        <v>0.98839999999999995</v>
      </c>
      <c r="F182" s="60">
        <f>G182+H182+I182+J182+K182+L182+N182+P182+R182+T182+V182+W182+X182+Y182+Z182+AA182+AB182+AC182+AD182+AE182+AF182+AG182</f>
        <v>276532.59999999998</v>
      </c>
      <c r="G182" s="60">
        <v>0</v>
      </c>
      <c r="H182" s="60">
        <v>0</v>
      </c>
      <c r="I182" s="60">
        <v>0</v>
      </c>
      <c r="J182" s="60">
        <v>0</v>
      </c>
      <c r="K182" s="60">
        <v>0</v>
      </c>
      <c r="L182" s="60">
        <v>0</v>
      </c>
      <c r="M182" s="61">
        <v>0</v>
      </c>
      <c r="N182" s="60">
        <v>0</v>
      </c>
      <c r="O182" s="60">
        <v>809.6</v>
      </c>
      <c r="P182" s="60">
        <v>273634</v>
      </c>
      <c r="Q182" s="60"/>
      <c r="R182" s="60">
        <v>0</v>
      </c>
      <c r="S182" s="60">
        <v>0</v>
      </c>
      <c r="T182" s="60">
        <v>0</v>
      </c>
      <c r="U182" s="60">
        <v>0</v>
      </c>
      <c r="V182" s="60">
        <v>0</v>
      </c>
      <c r="W182" s="60">
        <v>0</v>
      </c>
      <c r="X182" s="60">
        <v>0</v>
      </c>
      <c r="Y182" s="60">
        <v>0</v>
      </c>
      <c r="Z182" s="60">
        <v>0</v>
      </c>
      <c r="AA182" s="60">
        <v>0</v>
      </c>
      <c r="AB182" s="60">
        <v>0</v>
      </c>
      <c r="AC182" s="60">
        <v>0</v>
      </c>
      <c r="AD182" s="60">
        <v>0</v>
      </c>
      <c r="AE182" s="60">
        <v>2898.6</v>
      </c>
      <c r="AF182" s="60">
        <v>0</v>
      </c>
      <c r="AG182" s="60">
        <v>0</v>
      </c>
      <c r="AH182" s="285" t="s">
        <v>257</v>
      </c>
      <c r="AI182" s="98">
        <v>2022</v>
      </c>
      <c r="AJ182" s="98">
        <v>2022</v>
      </c>
      <c r="AK182" s="102"/>
      <c r="AL182" s="102"/>
      <c r="AM182" s="102"/>
      <c r="AN182" s="102"/>
    </row>
    <row r="183" spans="1:40" ht="62.25" x14ac:dyDescent="0.9">
      <c r="B183" s="103" t="s">
        <v>776</v>
      </c>
      <c r="C183" s="100"/>
      <c r="D183" s="99" t="s">
        <v>835</v>
      </c>
      <c r="E183" s="97">
        <f>AVERAGE(E184:E184)</f>
        <v>0.96641898912086177</v>
      </c>
      <c r="F183" s="177">
        <f t="shared" ref="F183:AG183" si="53">F184</f>
        <v>215585.3</v>
      </c>
      <c r="G183" s="60">
        <f t="shared" si="53"/>
        <v>0</v>
      </c>
      <c r="H183" s="60">
        <f t="shared" si="53"/>
        <v>0</v>
      </c>
      <c r="I183" s="60">
        <f t="shared" si="53"/>
        <v>0</v>
      </c>
      <c r="J183" s="60">
        <f t="shared" si="53"/>
        <v>0</v>
      </c>
      <c r="K183" s="60">
        <f t="shared" si="53"/>
        <v>0</v>
      </c>
      <c r="L183" s="60">
        <f t="shared" si="53"/>
        <v>0</v>
      </c>
      <c r="M183" s="61">
        <f t="shared" si="53"/>
        <v>0</v>
      </c>
      <c r="N183" s="60">
        <f t="shared" si="53"/>
        <v>0</v>
      </c>
      <c r="O183" s="60">
        <f t="shared" si="53"/>
        <v>729.8</v>
      </c>
      <c r="P183" s="60">
        <f t="shared" si="53"/>
        <v>215585.3</v>
      </c>
      <c r="Q183" s="60">
        <f t="shared" si="53"/>
        <v>0</v>
      </c>
      <c r="R183" s="60">
        <f t="shared" si="53"/>
        <v>0</v>
      </c>
      <c r="S183" s="60">
        <f t="shared" si="53"/>
        <v>0</v>
      </c>
      <c r="T183" s="60">
        <f t="shared" si="53"/>
        <v>0</v>
      </c>
      <c r="U183" s="60">
        <f t="shared" si="53"/>
        <v>0</v>
      </c>
      <c r="V183" s="60">
        <f t="shared" si="53"/>
        <v>0</v>
      </c>
      <c r="W183" s="60">
        <f t="shared" si="53"/>
        <v>0</v>
      </c>
      <c r="X183" s="60">
        <f t="shared" si="53"/>
        <v>0</v>
      </c>
      <c r="Y183" s="60">
        <f t="shared" si="53"/>
        <v>0</v>
      </c>
      <c r="Z183" s="60">
        <f t="shared" si="53"/>
        <v>0</v>
      </c>
      <c r="AA183" s="60">
        <f t="shared" si="53"/>
        <v>0</v>
      </c>
      <c r="AB183" s="60">
        <f t="shared" si="53"/>
        <v>0</v>
      </c>
      <c r="AC183" s="60">
        <f t="shared" si="53"/>
        <v>0</v>
      </c>
      <c r="AD183" s="60">
        <f t="shared" si="53"/>
        <v>0</v>
      </c>
      <c r="AE183" s="60">
        <f t="shared" si="53"/>
        <v>0</v>
      </c>
      <c r="AF183" s="60">
        <f t="shared" si="53"/>
        <v>0</v>
      </c>
      <c r="AG183" s="60">
        <f t="shared" si="53"/>
        <v>0</v>
      </c>
      <c r="AH183" s="98" t="s">
        <v>835</v>
      </c>
      <c r="AI183" s="98" t="s">
        <v>835</v>
      </c>
      <c r="AJ183" s="98" t="s">
        <v>835</v>
      </c>
      <c r="AK183" s="102"/>
      <c r="AL183" s="102"/>
      <c r="AM183" s="102"/>
      <c r="AN183" s="102"/>
    </row>
    <row r="184" spans="1:40" ht="62.25" x14ac:dyDescent="0.9">
      <c r="A184">
        <v>1</v>
      </c>
      <c r="B184" s="59">
        <f>SUBTOTAL(103,$A$94:A184)</f>
        <v>78</v>
      </c>
      <c r="C184" s="100" t="s">
        <v>1389</v>
      </c>
      <c r="D184" s="54" t="s">
        <v>1766</v>
      </c>
      <c r="E184" s="97">
        <v>0.96641898912086177</v>
      </c>
      <c r="F184" s="60">
        <f>G184+H184+I184+J184+K184+L184+N184+P184+R184+T184+V184+W184+X184+Y184+Z184+AA184+AB184+AC184+AD184+AE184+AF184+AG184</f>
        <v>215585.3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60">
        <v>0</v>
      </c>
      <c r="M184" s="61">
        <v>0</v>
      </c>
      <c r="N184" s="60">
        <v>0</v>
      </c>
      <c r="O184" s="60">
        <v>729.8</v>
      </c>
      <c r="P184" s="60">
        <v>215585.3</v>
      </c>
      <c r="Q184" s="60">
        <v>0</v>
      </c>
      <c r="R184" s="60">
        <v>0</v>
      </c>
      <c r="S184" s="60">
        <v>0</v>
      </c>
      <c r="T184" s="60">
        <v>0</v>
      </c>
      <c r="U184" s="60">
        <v>0</v>
      </c>
      <c r="V184" s="60">
        <v>0</v>
      </c>
      <c r="W184" s="60">
        <v>0</v>
      </c>
      <c r="X184" s="60">
        <v>0</v>
      </c>
      <c r="Y184" s="60">
        <v>0</v>
      </c>
      <c r="Z184" s="60">
        <v>0</v>
      </c>
      <c r="AA184" s="60">
        <v>0</v>
      </c>
      <c r="AB184" s="60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98" t="s">
        <v>257</v>
      </c>
      <c r="AI184" s="98">
        <v>2020</v>
      </c>
      <c r="AJ184" s="98" t="s">
        <v>257</v>
      </c>
      <c r="AK184" s="102"/>
      <c r="AL184" s="102"/>
      <c r="AM184" s="102"/>
      <c r="AN184" s="102"/>
    </row>
    <row r="185" spans="1:40" ht="62.25" x14ac:dyDescent="0.9">
      <c r="B185" s="103" t="s">
        <v>788</v>
      </c>
      <c r="C185" s="100"/>
      <c r="D185" s="99" t="s">
        <v>835</v>
      </c>
      <c r="E185" s="97">
        <f>AVERAGE(E186:E186)</f>
        <v>0.71899999999999997</v>
      </c>
      <c r="F185" s="177">
        <f>F186</f>
        <v>2090256.71</v>
      </c>
      <c r="G185" s="60">
        <f t="shared" ref="G185:AG185" si="54">G186</f>
        <v>0</v>
      </c>
      <c r="H185" s="60">
        <f t="shared" si="54"/>
        <v>0</v>
      </c>
      <c r="I185" s="60">
        <f t="shared" si="54"/>
        <v>0</v>
      </c>
      <c r="J185" s="60">
        <f t="shared" si="54"/>
        <v>0</v>
      </c>
      <c r="K185" s="60">
        <f t="shared" si="54"/>
        <v>0</v>
      </c>
      <c r="L185" s="60">
        <f t="shared" si="54"/>
        <v>0</v>
      </c>
      <c r="M185" s="61">
        <f t="shared" si="54"/>
        <v>0</v>
      </c>
      <c r="N185" s="60">
        <f t="shared" si="54"/>
        <v>0</v>
      </c>
      <c r="O185" s="60">
        <f t="shared" si="54"/>
        <v>1961</v>
      </c>
      <c r="P185" s="60">
        <f t="shared" si="54"/>
        <v>2059518.4</v>
      </c>
      <c r="Q185" s="60">
        <f t="shared" si="54"/>
        <v>0</v>
      </c>
      <c r="R185" s="60">
        <f t="shared" si="54"/>
        <v>0</v>
      </c>
      <c r="S185" s="60">
        <f t="shared" si="54"/>
        <v>0</v>
      </c>
      <c r="T185" s="60">
        <f t="shared" si="54"/>
        <v>0</v>
      </c>
      <c r="U185" s="60">
        <f t="shared" si="54"/>
        <v>0</v>
      </c>
      <c r="V185" s="60">
        <f t="shared" si="54"/>
        <v>0</v>
      </c>
      <c r="W185" s="60">
        <f t="shared" si="54"/>
        <v>0</v>
      </c>
      <c r="X185" s="60">
        <f t="shared" si="54"/>
        <v>0</v>
      </c>
      <c r="Y185" s="60">
        <f t="shared" si="54"/>
        <v>0</v>
      </c>
      <c r="Z185" s="60">
        <f t="shared" si="54"/>
        <v>0</v>
      </c>
      <c r="AA185" s="60">
        <f t="shared" si="54"/>
        <v>0</v>
      </c>
      <c r="AB185" s="60">
        <f t="shared" si="54"/>
        <v>0</v>
      </c>
      <c r="AC185" s="60">
        <f t="shared" si="54"/>
        <v>0</v>
      </c>
      <c r="AD185" s="60">
        <f t="shared" si="54"/>
        <v>0</v>
      </c>
      <c r="AE185" s="60">
        <f t="shared" si="54"/>
        <v>30738.31</v>
      </c>
      <c r="AF185" s="60">
        <f t="shared" si="54"/>
        <v>0</v>
      </c>
      <c r="AG185" s="60">
        <f t="shared" si="54"/>
        <v>0</v>
      </c>
      <c r="AH185" s="98" t="s">
        <v>835</v>
      </c>
      <c r="AI185" s="98" t="s">
        <v>835</v>
      </c>
      <c r="AJ185" s="98" t="s">
        <v>835</v>
      </c>
      <c r="AK185" s="102"/>
      <c r="AL185" s="102"/>
      <c r="AM185" s="102"/>
      <c r="AN185" s="102"/>
    </row>
    <row r="186" spans="1:40" ht="62.25" x14ac:dyDescent="0.9">
      <c r="A186">
        <v>1</v>
      </c>
      <c r="B186" s="59">
        <f>SUBTOTAL(103,$A$94:A186)</f>
        <v>79</v>
      </c>
      <c r="C186" s="100" t="s">
        <v>1391</v>
      </c>
      <c r="D186" s="54" t="s">
        <v>1767</v>
      </c>
      <c r="E186" s="97">
        <v>0.71899999999999997</v>
      </c>
      <c r="F186" s="60">
        <f>G186+H186+I186+J186+K186+L186+N186+P186+R186+T186+V186+W186+X186+Y186+Z186+AA186+AB186+AC186+AD186+AE186+AF186+AG186</f>
        <v>2090256.71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60">
        <v>0</v>
      </c>
      <c r="M186" s="61">
        <v>0</v>
      </c>
      <c r="N186" s="60">
        <v>0</v>
      </c>
      <c r="O186" s="60">
        <v>1961</v>
      </c>
      <c r="P186" s="60">
        <v>2059518.4</v>
      </c>
      <c r="Q186" s="60">
        <v>0</v>
      </c>
      <c r="R186" s="60">
        <v>0</v>
      </c>
      <c r="S186" s="60">
        <v>0</v>
      </c>
      <c r="T186" s="60">
        <v>0</v>
      </c>
      <c r="U186" s="60">
        <v>0</v>
      </c>
      <c r="V186" s="60">
        <v>0</v>
      </c>
      <c r="W186" s="60">
        <v>0</v>
      </c>
      <c r="X186" s="60">
        <v>0</v>
      </c>
      <c r="Y186" s="60">
        <v>0</v>
      </c>
      <c r="Z186" s="60">
        <v>0</v>
      </c>
      <c r="AA186" s="60">
        <v>0</v>
      </c>
      <c r="AB186" s="60">
        <v>0</v>
      </c>
      <c r="AC186" s="60">
        <v>0</v>
      </c>
      <c r="AD186" s="60">
        <v>0</v>
      </c>
      <c r="AE186" s="60">
        <v>30738.31</v>
      </c>
      <c r="AF186" s="60">
        <v>0</v>
      </c>
      <c r="AG186" s="60">
        <v>0</v>
      </c>
      <c r="AH186" s="98" t="s">
        <v>257</v>
      </c>
      <c r="AI186" s="63">
        <v>2021</v>
      </c>
      <c r="AJ186" s="63">
        <v>2021</v>
      </c>
      <c r="AK186" s="102"/>
      <c r="AL186" s="102"/>
      <c r="AM186" s="102"/>
      <c r="AN186" s="102"/>
    </row>
    <row r="187" spans="1:40" ht="62.25" x14ac:dyDescent="0.9">
      <c r="B187" s="103" t="s">
        <v>828</v>
      </c>
      <c r="C187" s="100"/>
      <c r="D187" s="99" t="s">
        <v>835</v>
      </c>
      <c r="E187" s="97">
        <f>AVERAGE(E188:E190)</f>
        <v>0.90376666666666672</v>
      </c>
      <c r="F187" s="177">
        <f t="shared" ref="F187:AG187" si="55">F188+F189+F190</f>
        <v>627279.43999999994</v>
      </c>
      <c r="G187" s="60">
        <f t="shared" si="55"/>
        <v>0</v>
      </c>
      <c r="H187" s="60">
        <f t="shared" si="55"/>
        <v>0</v>
      </c>
      <c r="I187" s="60">
        <f t="shared" si="55"/>
        <v>0</v>
      </c>
      <c r="J187" s="60">
        <f t="shared" si="55"/>
        <v>0</v>
      </c>
      <c r="K187" s="60">
        <f t="shared" si="55"/>
        <v>0</v>
      </c>
      <c r="L187" s="60">
        <f t="shared" si="55"/>
        <v>0</v>
      </c>
      <c r="M187" s="61">
        <f t="shared" si="55"/>
        <v>0</v>
      </c>
      <c r="N187" s="60">
        <f t="shared" si="55"/>
        <v>0</v>
      </c>
      <c r="O187" s="60">
        <f t="shared" si="55"/>
        <v>2046.8</v>
      </c>
      <c r="P187" s="60">
        <f t="shared" si="55"/>
        <v>626536.16</v>
      </c>
      <c r="Q187" s="60">
        <f t="shared" si="55"/>
        <v>0</v>
      </c>
      <c r="R187" s="60">
        <f t="shared" si="55"/>
        <v>0</v>
      </c>
      <c r="S187" s="60">
        <f t="shared" si="55"/>
        <v>0</v>
      </c>
      <c r="T187" s="60">
        <f t="shared" si="55"/>
        <v>0</v>
      </c>
      <c r="U187" s="60">
        <f t="shared" si="55"/>
        <v>0</v>
      </c>
      <c r="V187" s="60">
        <f t="shared" si="55"/>
        <v>0</v>
      </c>
      <c r="W187" s="60">
        <f t="shared" si="55"/>
        <v>0</v>
      </c>
      <c r="X187" s="60">
        <f t="shared" si="55"/>
        <v>0</v>
      </c>
      <c r="Y187" s="60">
        <f t="shared" si="55"/>
        <v>0</v>
      </c>
      <c r="Z187" s="60">
        <f t="shared" si="55"/>
        <v>0</v>
      </c>
      <c r="AA187" s="60">
        <f t="shared" si="55"/>
        <v>0</v>
      </c>
      <c r="AB187" s="60">
        <f t="shared" si="55"/>
        <v>0</v>
      </c>
      <c r="AC187" s="60">
        <f t="shared" si="55"/>
        <v>0</v>
      </c>
      <c r="AD187" s="60">
        <f t="shared" si="55"/>
        <v>0</v>
      </c>
      <c r="AE187" s="60">
        <f t="shared" si="55"/>
        <v>743.28</v>
      </c>
      <c r="AF187" s="60">
        <f t="shared" si="55"/>
        <v>0</v>
      </c>
      <c r="AG187" s="60">
        <f t="shared" si="55"/>
        <v>0</v>
      </c>
      <c r="AH187" s="98" t="s">
        <v>835</v>
      </c>
      <c r="AI187" s="98" t="s">
        <v>835</v>
      </c>
      <c r="AJ187" s="98" t="s">
        <v>835</v>
      </c>
      <c r="AK187" s="102"/>
      <c r="AL187" s="102"/>
      <c r="AM187" s="102"/>
      <c r="AN187" s="102"/>
    </row>
    <row r="188" spans="1:40" ht="62.25" x14ac:dyDescent="0.9">
      <c r="A188">
        <v>1</v>
      </c>
      <c r="B188" s="59">
        <f>SUBTOTAL(103,$A$94:A188)</f>
        <v>80</v>
      </c>
      <c r="C188" s="100" t="s">
        <v>1392</v>
      </c>
      <c r="D188" s="54" t="s">
        <v>1767</v>
      </c>
      <c r="E188" s="97">
        <v>0.75539999999999996</v>
      </c>
      <c r="F188" s="60">
        <f>G188+H188+I188+J188+K188+L188+N188+P188+R188+T188+V188+W188+X188+Y188+Z188+AA188+AB188+AC188+AD188+AE188+AF188+AG188</f>
        <v>543238.43999999994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60">
        <v>0</v>
      </c>
      <c r="M188" s="61">
        <v>0</v>
      </c>
      <c r="N188" s="60">
        <v>0</v>
      </c>
      <c r="O188" s="60">
        <v>749</v>
      </c>
      <c r="P188" s="60">
        <f>543238.44</f>
        <v>543238.43999999994</v>
      </c>
      <c r="Q188" s="60">
        <v>0</v>
      </c>
      <c r="R188" s="60">
        <v>0</v>
      </c>
      <c r="S188" s="60">
        <v>0</v>
      </c>
      <c r="T188" s="60">
        <v>0</v>
      </c>
      <c r="U188" s="60">
        <v>0</v>
      </c>
      <c r="V188" s="60">
        <v>0</v>
      </c>
      <c r="W188" s="60">
        <v>0</v>
      </c>
      <c r="X188" s="60">
        <v>0</v>
      </c>
      <c r="Y188" s="60">
        <v>0</v>
      </c>
      <c r="Z188" s="60">
        <v>0</v>
      </c>
      <c r="AA188" s="60">
        <v>0</v>
      </c>
      <c r="AB188" s="60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98" t="s">
        <v>257</v>
      </c>
      <c r="AI188" s="98">
        <v>2020</v>
      </c>
      <c r="AJ188" s="98" t="s">
        <v>257</v>
      </c>
      <c r="AK188" s="102"/>
      <c r="AL188" s="102"/>
      <c r="AM188" s="102"/>
      <c r="AN188" s="102"/>
    </row>
    <row r="189" spans="1:40" ht="62.25" x14ac:dyDescent="0.9">
      <c r="A189">
        <v>1</v>
      </c>
      <c r="B189" s="59">
        <f>SUBTOTAL(103,$A$94:A189)</f>
        <v>81</v>
      </c>
      <c r="C189" s="100" t="s">
        <v>1393</v>
      </c>
      <c r="D189" s="54" t="s">
        <v>1435</v>
      </c>
      <c r="E189" s="97">
        <v>0.95920000000000005</v>
      </c>
      <c r="F189" s="60">
        <f>G189+H189+I189+J189+K189+L189+N189+P189+R189+T189+V189+W189+X189+Y189+Z189+AA189+AB189+AC189+AD189+AE189+AF189+AG189</f>
        <v>30300.92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1">
        <v>0</v>
      </c>
      <c r="N189" s="60">
        <v>0</v>
      </c>
      <c r="O189" s="60">
        <v>703.8</v>
      </c>
      <c r="P189" s="60">
        <v>30300.92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60">
        <v>0</v>
      </c>
      <c r="Y189" s="60">
        <v>0</v>
      </c>
      <c r="Z189" s="60">
        <v>0</v>
      </c>
      <c r="AA189" s="60">
        <v>0</v>
      </c>
      <c r="AB189" s="60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98" t="s">
        <v>257</v>
      </c>
      <c r="AI189" s="98">
        <v>2020</v>
      </c>
      <c r="AJ189" s="98" t="s">
        <v>257</v>
      </c>
      <c r="AK189" s="102"/>
      <c r="AL189" s="102"/>
      <c r="AM189" s="102"/>
      <c r="AN189" s="102"/>
    </row>
    <row r="190" spans="1:40" ht="62.25" x14ac:dyDescent="0.9">
      <c r="A190">
        <v>1</v>
      </c>
      <c r="B190" s="59">
        <f>SUBTOTAL(103,$A$94:A190)</f>
        <v>82</v>
      </c>
      <c r="C190" s="100" t="s">
        <v>1777</v>
      </c>
      <c r="D190" s="54" t="s">
        <v>1435</v>
      </c>
      <c r="E190" s="97">
        <v>0.99670000000000003</v>
      </c>
      <c r="F190" s="60">
        <f>P190+AE190</f>
        <v>53740.08</v>
      </c>
      <c r="G190" s="60">
        <v>0</v>
      </c>
      <c r="H190" s="60">
        <v>0</v>
      </c>
      <c r="I190" s="60">
        <v>0</v>
      </c>
      <c r="J190" s="60">
        <v>0</v>
      </c>
      <c r="K190" s="60">
        <v>0</v>
      </c>
      <c r="L190" s="60">
        <v>0</v>
      </c>
      <c r="M190" s="61">
        <v>0</v>
      </c>
      <c r="N190" s="60">
        <v>0</v>
      </c>
      <c r="O190" s="60">
        <v>594</v>
      </c>
      <c r="P190" s="60">
        <v>52996.800000000003</v>
      </c>
      <c r="Q190" s="60">
        <v>0</v>
      </c>
      <c r="R190" s="60">
        <v>0</v>
      </c>
      <c r="S190" s="60">
        <v>0</v>
      </c>
      <c r="T190" s="101">
        <v>0</v>
      </c>
      <c r="U190" s="60">
        <v>0</v>
      </c>
      <c r="V190" s="60">
        <v>0</v>
      </c>
      <c r="W190" s="60">
        <v>0</v>
      </c>
      <c r="X190" s="60">
        <v>0</v>
      </c>
      <c r="Y190" s="60">
        <v>0</v>
      </c>
      <c r="Z190" s="60">
        <v>0</v>
      </c>
      <c r="AA190" s="60">
        <v>0</v>
      </c>
      <c r="AB190" s="60">
        <v>0</v>
      </c>
      <c r="AC190" s="60">
        <v>0</v>
      </c>
      <c r="AD190" s="60">
        <v>0</v>
      </c>
      <c r="AE190" s="60">
        <f>ROUND(P190*1.4025%,2)</f>
        <v>743.28</v>
      </c>
      <c r="AF190" s="60">
        <v>0</v>
      </c>
      <c r="AG190" s="60">
        <v>0</v>
      </c>
      <c r="AH190" s="98" t="s">
        <v>257</v>
      </c>
      <c r="AI190" s="63">
        <v>2022</v>
      </c>
      <c r="AJ190" s="63">
        <v>2022</v>
      </c>
      <c r="AK190" s="102"/>
      <c r="AL190" s="102"/>
      <c r="AM190" s="102"/>
      <c r="AN190" s="102"/>
    </row>
    <row r="191" spans="1:40" ht="62.25" x14ac:dyDescent="0.9">
      <c r="B191" s="103" t="s">
        <v>797</v>
      </c>
      <c r="C191" s="100"/>
      <c r="D191" s="99" t="s">
        <v>835</v>
      </c>
      <c r="E191" s="97">
        <f>AVERAGE(E192:E193)</f>
        <v>0.94140000000000001</v>
      </c>
      <c r="F191" s="177">
        <f t="shared" ref="F191:AG191" si="56">SUM(F192:F193)</f>
        <v>5216795.97</v>
      </c>
      <c r="G191" s="60">
        <f t="shared" si="56"/>
        <v>0</v>
      </c>
      <c r="H191" s="60">
        <f t="shared" si="56"/>
        <v>0</v>
      </c>
      <c r="I191" s="60">
        <f t="shared" si="56"/>
        <v>0</v>
      </c>
      <c r="J191" s="60">
        <f t="shared" si="56"/>
        <v>0</v>
      </c>
      <c r="K191" s="60">
        <f t="shared" si="56"/>
        <v>0</v>
      </c>
      <c r="L191" s="60">
        <f t="shared" si="56"/>
        <v>0</v>
      </c>
      <c r="M191" s="61">
        <f t="shared" si="56"/>
        <v>0</v>
      </c>
      <c r="N191" s="60">
        <f t="shared" si="56"/>
        <v>0</v>
      </c>
      <c r="O191" s="60">
        <f t="shared" si="56"/>
        <v>1779.9</v>
      </c>
      <c r="P191" s="60">
        <f t="shared" si="56"/>
        <v>5110915.0599999996</v>
      </c>
      <c r="Q191" s="60">
        <f t="shared" si="56"/>
        <v>0</v>
      </c>
      <c r="R191" s="60">
        <f t="shared" si="56"/>
        <v>0</v>
      </c>
      <c r="S191" s="60">
        <f t="shared" si="56"/>
        <v>0</v>
      </c>
      <c r="T191" s="60">
        <f t="shared" si="56"/>
        <v>0</v>
      </c>
      <c r="U191" s="60">
        <f t="shared" si="56"/>
        <v>0</v>
      </c>
      <c r="V191" s="60">
        <f t="shared" si="56"/>
        <v>0</v>
      </c>
      <c r="W191" s="60">
        <f t="shared" si="56"/>
        <v>0</v>
      </c>
      <c r="X191" s="60">
        <f t="shared" si="56"/>
        <v>0</v>
      </c>
      <c r="Y191" s="60">
        <f t="shared" si="56"/>
        <v>0</v>
      </c>
      <c r="Z191" s="60">
        <f t="shared" si="56"/>
        <v>0</v>
      </c>
      <c r="AA191" s="60">
        <f t="shared" si="56"/>
        <v>0</v>
      </c>
      <c r="AB191" s="60">
        <f t="shared" si="56"/>
        <v>0</v>
      </c>
      <c r="AC191" s="60">
        <f t="shared" si="56"/>
        <v>0</v>
      </c>
      <c r="AD191" s="60">
        <f t="shared" si="56"/>
        <v>0</v>
      </c>
      <c r="AE191" s="60">
        <f t="shared" si="56"/>
        <v>105880.91</v>
      </c>
      <c r="AF191" s="60">
        <f t="shared" si="56"/>
        <v>0</v>
      </c>
      <c r="AG191" s="60">
        <f t="shared" si="56"/>
        <v>0</v>
      </c>
      <c r="AH191" s="98" t="s">
        <v>835</v>
      </c>
      <c r="AI191" s="98" t="s">
        <v>835</v>
      </c>
      <c r="AJ191" s="98" t="s">
        <v>835</v>
      </c>
      <c r="AK191" s="102"/>
    </row>
    <row r="192" spans="1:40" ht="62.25" x14ac:dyDescent="0.9">
      <c r="A192">
        <v>1</v>
      </c>
      <c r="B192" s="59">
        <f>SUBTOTAL(103,$A$94:A192)</f>
        <v>83</v>
      </c>
      <c r="C192" s="100" t="s">
        <v>1396</v>
      </c>
      <c r="D192" s="54" t="s">
        <v>1766</v>
      </c>
      <c r="E192" s="97">
        <v>0.96160000000000001</v>
      </c>
      <c r="F192" s="60">
        <f>G192+H192+I192+J192+K192+L192+N192+P192+R192+T192+V192+W192+X192+Y192+Z192+AA192+AB192+AC192+AD192+AE192+AF192+AG192</f>
        <v>5206608.91</v>
      </c>
      <c r="G192" s="60">
        <v>0</v>
      </c>
      <c r="H192" s="60">
        <v>0</v>
      </c>
      <c r="I192" s="60">
        <v>0</v>
      </c>
      <c r="J192" s="60">
        <v>0</v>
      </c>
      <c r="K192" s="60">
        <v>0</v>
      </c>
      <c r="L192" s="60">
        <v>0</v>
      </c>
      <c r="M192" s="61">
        <v>0</v>
      </c>
      <c r="N192" s="60">
        <v>0</v>
      </c>
      <c r="O192" s="60">
        <v>1245.4000000000001</v>
      </c>
      <c r="P192" s="60">
        <v>5100728</v>
      </c>
      <c r="Q192" s="60">
        <v>0</v>
      </c>
      <c r="R192" s="60">
        <v>0</v>
      </c>
      <c r="S192" s="60">
        <v>0</v>
      </c>
      <c r="T192" s="60">
        <v>0</v>
      </c>
      <c r="U192" s="60">
        <v>0</v>
      </c>
      <c r="V192" s="60">
        <v>0</v>
      </c>
      <c r="W192" s="60">
        <v>0</v>
      </c>
      <c r="X192" s="60">
        <v>0</v>
      </c>
      <c r="Y192" s="60">
        <v>0</v>
      </c>
      <c r="Z192" s="60">
        <v>0</v>
      </c>
      <c r="AA192" s="60">
        <v>0</v>
      </c>
      <c r="AB192" s="60">
        <v>0</v>
      </c>
      <c r="AC192" s="60">
        <v>0</v>
      </c>
      <c r="AD192" s="60">
        <v>0</v>
      </c>
      <c r="AE192" s="60">
        <v>105880.91</v>
      </c>
      <c r="AF192" s="60">
        <v>0</v>
      </c>
      <c r="AG192" s="60">
        <v>0</v>
      </c>
      <c r="AH192" s="98" t="s">
        <v>257</v>
      </c>
      <c r="AI192" s="63">
        <v>2022</v>
      </c>
      <c r="AJ192" s="63">
        <v>2022</v>
      </c>
      <c r="AK192" s="102"/>
    </row>
    <row r="193" spans="1:37" ht="62.25" x14ac:dyDescent="0.9">
      <c r="A193">
        <v>1</v>
      </c>
      <c r="B193" s="59">
        <f>SUBTOTAL(103,$A$94:A193)</f>
        <v>84</v>
      </c>
      <c r="C193" s="100" t="s">
        <v>1397</v>
      </c>
      <c r="D193" s="54" t="s">
        <v>1767</v>
      </c>
      <c r="E193" s="97">
        <v>0.92120000000000002</v>
      </c>
      <c r="F193" s="60">
        <f>G193+H193+I193+J193+K193+L193+N193+P193+R193+T193+V193+W193+X193+Y193+Z193+AA193+AB193+AC193+AD193+AE193+AF193+AG193</f>
        <v>10187.06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1">
        <v>0</v>
      </c>
      <c r="N193" s="60">
        <v>0</v>
      </c>
      <c r="O193" s="60">
        <v>534.5</v>
      </c>
      <c r="P193" s="60">
        <v>10187.06</v>
      </c>
      <c r="Q193" s="60">
        <v>0</v>
      </c>
      <c r="R193" s="60">
        <v>0</v>
      </c>
      <c r="S193" s="60">
        <v>0</v>
      </c>
      <c r="T193" s="60">
        <v>0</v>
      </c>
      <c r="U193" s="60">
        <v>0</v>
      </c>
      <c r="V193" s="60">
        <v>0</v>
      </c>
      <c r="W193" s="60">
        <v>0</v>
      </c>
      <c r="X193" s="60">
        <v>0</v>
      </c>
      <c r="Y193" s="60">
        <v>0</v>
      </c>
      <c r="Z193" s="60">
        <v>0</v>
      </c>
      <c r="AA193" s="60">
        <v>0</v>
      </c>
      <c r="AB193" s="60">
        <v>0</v>
      </c>
      <c r="AC193" s="60">
        <v>0</v>
      </c>
      <c r="AD193" s="60">
        <v>0</v>
      </c>
      <c r="AE193" s="60">
        <v>0</v>
      </c>
      <c r="AF193" s="60">
        <v>0</v>
      </c>
      <c r="AG193" s="60">
        <v>0</v>
      </c>
      <c r="AH193" s="98" t="s">
        <v>257</v>
      </c>
      <c r="AI193" s="63">
        <v>2021</v>
      </c>
      <c r="AJ193" s="63" t="s">
        <v>257</v>
      </c>
      <c r="AK193" s="102"/>
    </row>
    <row r="194" spans="1:37" ht="62.25" x14ac:dyDescent="0.9">
      <c r="B194" s="103" t="s">
        <v>1211</v>
      </c>
      <c r="C194" s="100"/>
      <c r="D194" s="99" t="s">
        <v>835</v>
      </c>
      <c r="E194" s="97">
        <f t="shared" ref="E194:AG194" si="57">E195</f>
        <v>0.99180000000000001</v>
      </c>
      <c r="F194" s="177">
        <f t="shared" si="57"/>
        <v>222759.59</v>
      </c>
      <c r="G194" s="60">
        <f t="shared" si="57"/>
        <v>0</v>
      </c>
      <c r="H194" s="60">
        <f t="shared" si="57"/>
        <v>0</v>
      </c>
      <c r="I194" s="60">
        <f t="shared" si="57"/>
        <v>0</v>
      </c>
      <c r="J194" s="60">
        <f t="shared" si="57"/>
        <v>0</v>
      </c>
      <c r="K194" s="60">
        <f t="shared" si="57"/>
        <v>0</v>
      </c>
      <c r="L194" s="60">
        <f t="shared" si="57"/>
        <v>0</v>
      </c>
      <c r="M194" s="61">
        <f t="shared" si="57"/>
        <v>0</v>
      </c>
      <c r="N194" s="60">
        <f t="shared" si="57"/>
        <v>0</v>
      </c>
      <c r="O194" s="60">
        <f t="shared" si="57"/>
        <v>0</v>
      </c>
      <c r="P194" s="60">
        <f t="shared" si="57"/>
        <v>0</v>
      </c>
      <c r="Q194" s="60">
        <f t="shared" si="57"/>
        <v>0</v>
      </c>
      <c r="R194" s="60">
        <f t="shared" si="57"/>
        <v>0</v>
      </c>
      <c r="S194" s="60">
        <f t="shared" si="57"/>
        <v>488.11</v>
      </c>
      <c r="T194" s="60">
        <f t="shared" si="57"/>
        <v>219483.79</v>
      </c>
      <c r="U194" s="60">
        <f t="shared" si="57"/>
        <v>0</v>
      </c>
      <c r="V194" s="60">
        <f t="shared" si="57"/>
        <v>0</v>
      </c>
      <c r="W194" s="60">
        <f t="shared" si="57"/>
        <v>0</v>
      </c>
      <c r="X194" s="60">
        <f t="shared" si="57"/>
        <v>0</v>
      </c>
      <c r="Y194" s="60">
        <f t="shared" si="57"/>
        <v>0</v>
      </c>
      <c r="Z194" s="60">
        <f t="shared" si="57"/>
        <v>0</v>
      </c>
      <c r="AA194" s="60">
        <f t="shared" si="57"/>
        <v>0</v>
      </c>
      <c r="AB194" s="60">
        <f t="shared" si="57"/>
        <v>0</v>
      </c>
      <c r="AC194" s="60">
        <f t="shared" si="57"/>
        <v>0</v>
      </c>
      <c r="AD194" s="60">
        <f t="shared" si="57"/>
        <v>0</v>
      </c>
      <c r="AE194" s="60">
        <f t="shared" si="57"/>
        <v>3275.8</v>
      </c>
      <c r="AF194" s="60">
        <f t="shared" si="57"/>
        <v>0</v>
      </c>
      <c r="AG194" s="60">
        <f t="shared" si="57"/>
        <v>0</v>
      </c>
      <c r="AH194" s="98" t="s">
        <v>835</v>
      </c>
      <c r="AI194" s="98" t="s">
        <v>835</v>
      </c>
      <c r="AJ194" s="98" t="s">
        <v>835</v>
      </c>
      <c r="AK194" s="102"/>
    </row>
    <row r="195" spans="1:37" ht="62.25" x14ac:dyDescent="0.9">
      <c r="A195">
        <v>1</v>
      </c>
      <c r="B195" s="59">
        <f>SUBTOTAL(103,$A$94:A195)</f>
        <v>85</v>
      </c>
      <c r="C195" s="100" t="s">
        <v>1399</v>
      </c>
      <c r="D195" s="99" t="s">
        <v>1435</v>
      </c>
      <c r="E195" s="97">
        <v>0.99180000000000001</v>
      </c>
      <c r="F195" s="60">
        <f>G195+H195+I195+J195+K195+L195+N195+P195+R195+T195+V195+W195+X195+Y195+Z195+AA195+AB195+AC195+AD195+AE195+AF195+AG195</f>
        <v>222759.59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1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0">
        <v>488.11</v>
      </c>
      <c r="T195" s="60">
        <v>219483.79</v>
      </c>
      <c r="U195" s="60">
        <v>0</v>
      </c>
      <c r="V195" s="60">
        <v>0</v>
      </c>
      <c r="W195" s="60">
        <v>0</v>
      </c>
      <c r="X195" s="60">
        <v>0</v>
      </c>
      <c r="Y195" s="60">
        <v>0</v>
      </c>
      <c r="Z195" s="60">
        <v>0</v>
      </c>
      <c r="AA195" s="60">
        <v>0</v>
      </c>
      <c r="AB195" s="60">
        <v>0</v>
      </c>
      <c r="AC195" s="60">
        <v>0</v>
      </c>
      <c r="AD195" s="60">
        <v>0</v>
      </c>
      <c r="AE195" s="60">
        <v>3275.8</v>
      </c>
      <c r="AF195" s="60">
        <v>0</v>
      </c>
      <c r="AG195" s="60">
        <v>0</v>
      </c>
      <c r="AH195" s="98" t="s">
        <v>257</v>
      </c>
      <c r="AI195" s="98">
        <v>2020</v>
      </c>
      <c r="AJ195" s="98">
        <v>2020</v>
      </c>
      <c r="AK195" s="102"/>
    </row>
    <row r="196" spans="1:37" ht="62.25" x14ac:dyDescent="0.9">
      <c r="B196" s="103" t="s">
        <v>793</v>
      </c>
      <c r="C196" s="100"/>
      <c r="D196" s="99" t="s">
        <v>835</v>
      </c>
      <c r="E196" s="97">
        <f t="shared" ref="E196:AG196" si="58">E197</f>
        <v>1</v>
      </c>
      <c r="F196" s="177">
        <f t="shared" si="58"/>
        <v>137654.99000000002</v>
      </c>
      <c r="G196" s="60">
        <f t="shared" si="58"/>
        <v>0</v>
      </c>
      <c r="H196" s="60">
        <f t="shared" si="58"/>
        <v>0</v>
      </c>
      <c r="I196" s="60">
        <f t="shared" si="58"/>
        <v>0</v>
      </c>
      <c r="J196" s="60">
        <f t="shared" si="58"/>
        <v>0</v>
      </c>
      <c r="K196" s="60">
        <f t="shared" si="58"/>
        <v>0</v>
      </c>
      <c r="L196" s="60">
        <f t="shared" si="58"/>
        <v>0</v>
      </c>
      <c r="M196" s="61">
        <f t="shared" si="58"/>
        <v>0</v>
      </c>
      <c r="N196" s="60">
        <f t="shared" si="58"/>
        <v>0</v>
      </c>
      <c r="O196" s="60">
        <f t="shared" si="58"/>
        <v>0</v>
      </c>
      <c r="P196" s="60">
        <f t="shared" si="58"/>
        <v>0</v>
      </c>
      <c r="Q196" s="60">
        <f t="shared" si="58"/>
        <v>0</v>
      </c>
      <c r="R196" s="60">
        <f t="shared" si="58"/>
        <v>0</v>
      </c>
      <c r="S196" s="60">
        <f t="shared" si="58"/>
        <v>370.88</v>
      </c>
      <c r="T196" s="60">
        <f t="shared" si="58"/>
        <v>135630.70000000001</v>
      </c>
      <c r="U196" s="60">
        <f t="shared" si="58"/>
        <v>0</v>
      </c>
      <c r="V196" s="60">
        <f t="shared" si="58"/>
        <v>0</v>
      </c>
      <c r="W196" s="60">
        <f t="shared" si="58"/>
        <v>0</v>
      </c>
      <c r="X196" s="60">
        <f t="shared" si="58"/>
        <v>0</v>
      </c>
      <c r="Y196" s="60">
        <f t="shared" si="58"/>
        <v>0</v>
      </c>
      <c r="Z196" s="60">
        <f t="shared" si="58"/>
        <v>0</v>
      </c>
      <c r="AA196" s="60">
        <f t="shared" si="58"/>
        <v>0</v>
      </c>
      <c r="AB196" s="60">
        <f t="shared" si="58"/>
        <v>0</v>
      </c>
      <c r="AC196" s="60">
        <f t="shared" si="58"/>
        <v>0</v>
      </c>
      <c r="AD196" s="60">
        <f t="shared" si="58"/>
        <v>0</v>
      </c>
      <c r="AE196" s="60">
        <f t="shared" si="58"/>
        <v>2024.29</v>
      </c>
      <c r="AF196" s="60">
        <f t="shared" si="58"/>
        <v>0</v>
      </c>
      <c r="AG196" s="60">
        <f t="shared" si="58"/>
        <v>0</v>
      </c>
      <c r="AH196" s="98" t="s">
        <v>835</v>
      </c>
      <c r="AI196" s="98" t="s">
        <v>835</v>
      </c>
      <c r="AJ196" s="98" t="s">
        <v>835</v>
      </c>
      <c r="AK196" s="102"/>
    </row>
    <row r="197" spans="1:37" ht="62.25" x14ac:dyDescent="0.9">
      <c r="A197">
        <v>1</v>
      </c>
      <c r="B197" s="59">
        <f>SUBTOTAL(103,$A$94:A197)</f>
        <v>86</v>
      </c>
      <c r="C197" s="100" t="s">
        <v>1400</v>
      </c>
      <c r="D197" s="99" t="s">
        <v>1435</v>
      </c>
      <c r="E197" s="97">
        <v>1</v>
      </c>
      <c r="F197" s="60">
        <f>G197+H197+I197+J197+K197+L197+N197+P197+R197+T197+V197+W197+X197+Y197+Z197+AA197+AB197+AC197+AD197+AE197+AF197+AG197</f>
        <v>137654.99000000002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1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0">
        <v>370.88</v>
      </c>
      <c r="T197" s="60">
        <v>135630.70000000001</v>
      </c>
      <c r="U197" s="60">
        <v>0</v>
      </c>
      <c r="V197" s="60">
        <v>0</v>
      </c>
      <c r="W197" s="60">
        <v>0</v>
      </c>
      <c r="X197" s="60">
        <v>0</v>
      </c>
      <c r="Y197" s="60">
        <v>0</v>
      </c>
      <c r="Z197" s="60">
        <v>0</v>
      </c>
      <c r="AA197" s="60">
        <v>0</v>
      </c>
      <c r="AB197" s="60">
        <v>0</v>
      </c>
      <c r="AC197" s="60">
        <v>0</v>
      </c>
      <c r="AD197" s="60">
        <v>0</v>
      </c>
      <c r="AE197" s="60">
        <v>2024.29</v>
      </c>
      <c r="AF197" s="60">
        <v>0</v>
      </c>
      <c r="AG197" s="60">
        <v>0</v>
      </c>
      <c r="AH197" s="98" t="s">
        <v>257</v>
      </c>
      <c r="AI197" s="98">
        <v>2020</v>
      </c>
      <c r="AJ197" s="98">
        <v>2020</v>
      </c>
      <c r="AK197" s="102"/>
    </row>
    <row r="198" spans="1:37" ht="62.25" x14ac:dyDescent="0.9">
      <c r="B198" s="103" t="s">
        <v>786</v>
      </c>
      <c r="C198" s="100"/>
      <c r="D198" s="99" t="s">
        <v>835</v>
      </c>
      <c r="E198" s="97">
        <f t="shared" ref="E198:AG198" si="59">E199</f>
        <v>0.72670000000000001</v>
      </c>
      <c r="F198" s="177">
        <f t="shared" si="59"/>
        <v>58502.98</v>
      </c>
      <c r="G198" s="60">
        <f t="shared" si="59"/>
        <v>0</v>
      </c>
      <c r="H198" s="60">
        <f t="shared" si="59"/>
        <v>0</v>
      </c>
      <c r="I198" s="60">
        <f t="shared" si="59"/>
        <v>0</v>
      </c>
      <c r="J198" s="60">
        <f t="shared" si="59"/>
        <v>0</v>
      </c>
      <c r="K198" s="60">
        <f t="shared" si="59"/>
        <v>0</v>
      </c>
      <c r="L198" s="60">
        <f t="shared" si="59"/>
        <v>0</v>
      </c>
      <c r="M198" s="61">
        <f t="shared" si="59"/>
        <v>0</v>
      </c>
      <c r="N198" s="60">
        <f t="shared" si="59"/>
        <v>0</v>
      </c>
      <c r="O198" s="60">
        <f t="shared" si="59"/>
        <v>651</v>
      </c>
      <c r="P198" s="60">
        <f t="shared" si="59"/>
        <v>57638.400000000001</v>
      </c>
      <c r="Q198" s="60">
        <f t="shared" si="59"/>
        <v>0</v>
      </c>
      <c r="R198" s="60">
        <f t="shared" si="59"/>
        <v>0</v>
      </c>
      <c r="S198" s="60">
        <f t="shared" si="59"/>
        <v>0</v>
      </c>
      <c r="T198" s="60">
        <f t="shared" si="59"/>
        <v>0</v>
      </c>
      <c r="U198" s="60">
        <f t="shared" si="59"/>
        <v>0</v>
      </c>
      <c r="V198" s="60">
        <f t="shared" si="59"/>
        <v>0</v>
      </c>
      <c r="W198" s="60">
        <f t="shared" si="59"/>
        <v>0</v>
      </c>
      <c r="X198" s="60">
        <f t="shared" si="59"/>
        <v>0</v>
      </c>
      <c r="Y198" s="60">
        <f t="shared" si="59"/>
        <v>0</v>
      </c>
      <c r="Z198" s="60">
        <f t="shared" si="59"/>
        <v>0</v>
      </c>
      <c r="AA198" s="60">
        <f t="shared" si="59"/>
        <v>0</v>
      </c>
      <c r="AB198" s="60">
        <f t="shared" si="59"/>
        <v>0</v>
      </c>
      <c r="AC198" s="60">
        <f t="shared" si="59"/>
        <v>0</v>
      </c>
      <c r="AD198" s="60">
        <f t="shared" si="59"/>
        <v>0</v>
      </c>
      <c r="AE198" s="60">
        <f t="shared" si="59"/>
        <v>864.58</v>
      </c>
      <c r="AF198" s="60">
        <f t="shared" si="59"/>
        <v>0</v>
      </c>
      <c r="AG198" s="60">
        <f t="shared" si="59"/>
        <v>0</v>
      </c>
      <c r="AH198" s="98" t="s">
        <v>835</v>
      </c>
      <c r="AI198" s="98" t="s">
        <v>835</v>
      </c>
      <c r="AJ198" s="98" t="s">
        <v>835</v>
      </c>
      <c r="AK198" s="102"/>
    </row>
    <row r="199" spans="1:37" ht="62.25" x14ac:dyDescent="0.9">
      <c r="A199">
        <v>1</v>
      </c>
      <c r="B199" s="59">
        <f>SUBTOTAL(103,$A$94:A199)</f>
        <v>87</v>
      </c>
      <c r="C199" s="100" t="s">
        <v>1401</v>
      </c>
      <c r="D199" s="54" t="s">
        <v>1435</v>
      </c>
      <c r="E199" s="97">
        <v>0.72670000000000001</v>
      </c>
      <c r="F199" s="60">
        <f>G199+H199+I199+J199+K199+L199+N199+P199+R199+T199+V199+W199+X199+Y199+Z199+AA199+AB199+AC199+AD199+AE199+AF199+AG199</f>
        <v>58502.98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1">
        <v>0</v>
      </c>
      <c r="N199" s="60">
        <v>0</v>
      </c>
      <c r="O199" s="60">
        <v>651</v>
      </c>
      <c r="P199" s="60">
        <v>57638.400000000001</v>
      </c>
      <c r="Q199" s="60">
        <v>0</v>
      </c>
      <c r="R199" s="60">
        <v>0</v>
      </c>
      <c r="S199" s="60">
        <v>0</v>
      </c>
      <c r="T199" s="60">
        <v>0</v>
      </c>
      <c r="U199" s="60">
        <v>0</v>
      </c>
      <c r="V199" s="60">
        <v>0</v>
      </c>
      <c r="W199" s="60">
        <v>0</v>
      </c>
      <c r="X199" s="60">
        <v>0</v>
      </c>
      <c r="Y199" s="60">
        <v>0</v>
      </c>
      <c r="Z199" s="60">
        <v>0</v>
      </c>
      <c r="AA199" s="60">
        <v>0</v>
      </c>
      <c r="AB199" s="60">
        <v>0</v>
      </c>
      <c r="AC199" s="60">
        <v>0</v>
      </c>
      <c r="AD199" s="60">
        <v>0</v>
      </c>
      <c r="AE199" s="60">
        <f>ROUND(P199*1.5%,2)</f>
        <v>864.58</v>
      </c>
      <c r="AF199" s="60">
        <v>0</v>
      </c>
      <c r="AG199" s="60">
        <v>0</v>
      </c>
      <c r="AH199" s="98" t="s">
        <v>257</v>
      </c>
      <c r="AI199" s="63">
        <v>2022</v>
      </c>
      <c r="AJ199" s="63">
        <v>2022</v>
      </c>
      <c r="AK199" s="102"/>
    </row>
    <row r="200" spans="1:37" ht="62.25" x14ac:dyDescent="0.9">
      <c r="B200" s="103" t="s">
        <v>801</v>
      </c>
      <c r="C200" s="100"/>
      <c r="D200" s="99" t="s">
        <v>835</v>
      </c>
      <c r="E200" s="97">
        <f t="shared" ref="E200:AG200" si="60">E201</f>
        <v>0.98380000000000001</v>
      </c>
      <c r="F200" s="177">
        <f t="shared" si="60"/>
        <v>39037.31</v>
      </c>
      <c r="G200" s="60">
        <f t="shared" si="60"/>
        <v>0</v>
      </c>
      <c r="H200" s="60">
        <f t="shared" si="60"/>
        <v>0</v>
      </c>
      <c r="I200" s="60">
        <f t="shared" si="60"/>
        <v>0</v>
      </c>
      <c r="J200" s="60">
        <f t="shared" si="60"/>
        <v>0</v>
      </c>
      <c r="K200" s="60">
        <f t="shared" si="60"/>
        <v>0</v>
      </c>
      <c r="L200" s="60">
        <f t="shared" si="60"/>
        <v>0</v>
      </c>
      <c r="M200" s="61">
        <f t="shared" si="60"/>
        <v>0</v>
      </c>
      <c r="N200" s="60">
        <f t="shared" si="60"/>
        <v>0</v>
      </c>
      <c r="O200" s="60">
        <f t="shared" si="60"/>
        <v>762</v>
      </c>
      <c r="P200" s="60">
        <f t="shared" si="60"/>
        <v>39037.31</v>
      </c>
      <c r="Q200" s="60">
        <f t="shared" si="60"/>
        <v>0</v>
      </c>
      <c r="R200" s="60">
        <f t="shared" si="60"/>
        <v>0</v>
      </c>
      <c r="S200" s="60">
        <f t="shared" si="60"/>
        <v>0</v>
      </c>
      <c r="T200" s="60">
        <f t="shared" si="60"/>
        <v>0</v>
      </c>
      <c r="U200" s="60">
        <f t="shared" si="60"/>
        <v>0</v>
      </c>
      <c r="V200" s="60">
        <f t="shared" si="60"/>
        <v>0</v>
      </c>
      <c r="W200" s="60">
        <f t="shared" si="60"/>
        <v>0</v>
      </c>
      <c r="X200" s="60">
        <f t="shared" si="60"/>
        <v>0</v>
      </c>
      <c r="Y200" s="60">
        <f t="shared" si="60"/>
        <v>0</v>
      </c>
      <c r="Z200" s="60">
        <f t="shared" si="60"/>
        <v>0</v>
      </c>
      <c r="AA200" s="60">
        <f t="shared" si="60"/>
        <v>0</v>
      </c>
      <c r="AB200" s="60">
        <f t="shared" si="60"/>
        <v>0</v>
      </c>
      <c r="AC200" s="60">
        <f t="shared" si="60"/>
        <v>0</v>
      </c>
      <c r="AD200" s="60">
        <f t="shared" si="60"/>
        <v>0</v>
      </c>
      <c r="AE200" s="60">
        <f t="shared" si="60"/>
        <v>0</v>
      </c>
      <c r="AF200" s="60">
        <f t="shared" si="60"/>
        <v>0</v>
      </c>
      <c r="AG200" s="60">
        <f t="shared" si="60"/>
        <v>0</v>
      </c>
      <c r="AH200" s="98" t="s">
        <v>835</v>
      </c>
      <c r="AI200" s="98" t="s">
        <v>835</v>
      </c>
      <c r="AJ200" s="98" t="s">
        <v>835</v>
      </c>
      <c r="AK200" s="102"/>
    </row>
    <row r="201" spans="1:37" ht="62.25" x14ac:dyDescent="0.9">
      <c r="A201">
        <v>1</v>
      </c>
      <c r="B201" s="59">
        <f>SUBTOTAL(103,$A$94:A201)</f>
        <v>88</v>
      </c>
      <c r="C201" s="100" t="s">
        <v>1402</v>
      </c>
      <c r="D201" s="54" t="s">
        <v>1767</v>
      </c>
      <c r="E201" s="97">
        <v>0.98380000000000001</v>
      </c>
      <c r="F201" s="60">
        <f>G201+H201+I201+J201+K201+L201+N201+P201+R201+T201+V201+W201+X201+Y201+Z201+AA201+AB201+AC201+AD201+AE201+AF201+AG201</f>
        <v>39037.31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1">
        <v>0</v>
      </c>
      <c r="N201" s="60">
        <v>0</v>
      </c>
      <c r="O201" s="60">
        <v>762</v>
      </c>
      <c r="P201" s="60">
        <v>39037.31</v>
      </c>
      <c r="Q201" s="60">
        <v>0</v>
      </c>
      <c r="R201" s="60">
        <v>0</v>
      </c>
      <c r="S201" s="60">
        <v>0</v>
      </c>
      <c r="T201" s="60">
        <v>0</v>
      </c>
      <c r="U201" s="60">
        <v>0</v>
      </c>
      <c r="V201" s="60">
        <v>0</v>
      </c>
      <c r="W201" s="60">
        <v>0</v>
      </c>
      <c r="X201" s="60">
        <v>0</v>
      </c>
      <c r="Y201" s="60">
        <v>0</v>
      </c>
      <c r="Z201" s="60">
        <v>0</v>
      </c>
      <c r="AA201" s="60">
        <v>0</v>
      </c>
      <c r="AB201" s="60">
        <v>0</v>
      </c>
      <c r="AC201" s="60">
        <v>0</v>
      </c>
      <c r="AD201" s="60">
        <v>0</v>
      </c>
      <c r="AE201" s="60">
        <v>0</v>
      </c>
      <c r="AF201" s="60">
        <v>0</v>
      </c>
      <c r="AG201" s="60">
        <v>0</v>
      </c>
      <c r="AH201" s="98" t="s">
        <v>257</v>
      </c>
      <c r="AI201" s="98">
        <v>2020</v>
      </c>
      <c r="AJ201" s="98" t="s">
        <v>257</v>
      </c>
      <c r="AK201" s="102"/>
    </row>
    <row r="202" spans="1:37" ht="62.25" x14ac:dyDescent="0.9">
      <c r="B202" s="103" t="s">
        <v>784</v>
      </c>
      <c r="C202" s="100"/>
      <c r="D202" s="99" t="s">
        <v>835</v>
      </c>
      <c r="E202" s="97">
        <f>AVERAGE(E203:E204)</f>
        <v>0.83830000000000005</v>
      </c>
      <c r="F202" s="177">
        <f>F203+F204</f>
        <v>98453.75</v>
      </c>
      <c r="G202" s="60">
        <f t="shared" ref="G202:AG202" si="61">G203+G204</f>
        <v>0</v>
      </c>
      <c r="H202" s="60">
        <f t="shared" si="61"/>
        <v>0</v>
      </c>
      <c r="I202" s="60">
        <f t="shared" si="61"/>
        <v>0</v>
      </c>
      <c r="J202" s="60">
        <f t="shared" si="61"/>
        <v>0</v>
      </c>
      <c r="K202" s="60">
        <f t="shared" si="61"/>
        <v>0</v>
      </c>
      <c r="L202" s="60">
        <f t="shared" si="61"/>
        <v>0</v>
      </c>
      <c r="M202" s="61">
        <f t="shared" si="61"/>
        <v>0</v>
      </c>
      <c r="N202" s="60">
        <f t="shared" si="61"/>
        <v>0</v>
      </c>
      <c r="O202" s="60">
        <f t="shared" si="61"/>
        <v>949</v>
      </c>
      <c r="P202" s="60">
        <f t="shared" si="61"/>
        <v>97866.559999999998</v>
      </c>
      <c r="Q202" s="60">
        <f t="shared" si="61"/>
        <v>0</v>
      </c>
      <c r="R202" s="60">
        <f t="shared" si="61"/>
        <v>0</v>
      </c>
      <c r="S202" s="60">
        <f t="shared" si="61"/>
        <v>0</v>
      </c>
      <c r="T202" s="60">
        <f t="shared" si="61"/>
        <v>0</v>
      </c>
      <c r="U202" s="60">
        <f t="shared" si="61"/>
        <v>0</v>
      </c>
      <c r="V202" s="60">
        <f t="shared" si="61"/>
        <v>0</v>
      </c>
      <c r="W202" s="60">
        <f t="shared" si="61"/>
        <v>0</v>
      </c>
      <c r="X202" s="60">
        <f t="shared" si="61"/>
        <v>0</v>
      </c>
      <c r="Y202" s="60">
        <f t="shared" si="61"/>
        <v>0</v>
      </c>
      <c r="Z202" s="60">
        <f t="shared" si="61"/>
        <v>0</v>
      </c>
      <c r="AA202" s="60">
        <f t="shared" si="61"/>
        <v>0</v>
      </c>
      <c r="AB202" s="60">
        <f t="shared" si="61"/>
        <v>0</v>
      </c>
      <c r="AC202" s="60">
        <f t="shared" si="61"/>
        <v>0</v>
      </c>
      <c r="AD202" s="60">
        <f t="shared" si="61"/>
        <v>0</v>
      </c>
      <c r="AE202" s="60">
        <f t="shared" si="61"/>
        <v>587.18999999999994</v>
      </c>
      <c r="AF202" s="60">
        <f t="shared" si="61"/>
        <v>0</v>
      </c>
      <c r="AG202" s="60">
        <f t="shared" si="61"/>
        <v>0</v>
      </c>
      <c r="AH202" s="98" t="s">
        <v>835</v>
      </c>
      <c r="AI202" s="98" t="s">
        <v>835</v>
      </c>
      <c r="AJ202" s="98" t="s">
        <v>835</v>
      </c>
      <c r="AK202" s="102"/>
    </row>
    <row r="203" spans="1:37" ht="62.25" x14ac:dyDescent="0.9">
      <c r="A203">
        <v>1</v>
      </c>
      <c r="B203" s="59">
        <f>SUBTOTAL(103,$A$94:A203)</f>
        <v>89</v>
      </c>
      <c r="C203" s="100" t="s">
        <v>1410</v>
      </c>
      <c r="D203" s="54" t="s">
        <v>1766</v>
      </c>
      <c r="E203" s="97">
        <v>0.75480000000000003</v>
      </c>
      <c r="F203" s="60">
        <f>G203+H203+I203+J203+K203+L203+N203+P203+R203+T203+V203+W203+X203+Y203+Z203+AA203+AB203+AC203+AD203+AE203+AF203+AG203</f>
        <v>78556.570000000007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1">
        <v>0</v>
      </c>
      <c r="N203" s="60">
        <v>0</v>
      </c>
      <c r="O203" s="60">
        <v>577</v>
      </c>
      <c r="P203" s="60">
        <v>78088.05</v>
      </c>
      <c r="Q203" s="60">
        <v>0</v>
      </c>
      <c r="R203" s="60">
        <v>0</v>
      </c>
      <c r="S203" s="60">
        <v>0</v>
      </c>
      <c r="T203" s="60">
        <v>0</v>
      </c>
      <c r="U203" s="60">
        <v>0</v>
      </c>
      <c r="V203" s="60">
        <v>0</v>
      </c>
      <c r="W203" s="60">
        <v>0</v>
      </c>
      <c r="X203" s="60">
        <v>0</v>
      </c>
      <c r="Y203" s="60">
        <v>0</v>
      </c>
      <c r="Z203" s="60">
        <v>0</v>
      </c>
      <c r="AA203" s="60">
        <v>0</v>
      </c>
      <c r="AB203" s="60">
        <v>0</v>
      </c>
      <c r="AC203" s="60">
        <v>0</v>
      </c>
      <c r="AD203" s="60">
        <v>0</v>
      </c>
      <c r="AE203" s="60">
        <v>468.52</v>
      </c>
      <c r="AF203" s="60">
        <v>0</v>
      </c>
      <c r="AG203" s="60">
        <v>0</v>
      </c>
      <c r="AH203" s="98" t="s">
        <v>257</v>
      </c>
      <c r="AI203" s="98">
        <v>2020</v>
      </c>
      <c r="AJ203" s="98">
        <v>2020</v>
      </c>
      <c r="AK203" s="102"/>
    </row>
    <row r="204" spans="1:37" ht="62.25" x14ac:dyDescent="0.9">
      <c r="A204">
        <v>1</v>
      </c>
      <c r="B204" s="59">
        <f>SUBTOTAL(103,$A$94:A204)</f>
        <v>90</v>
      </c>
      <c r="C204" s="100" t="s">
        <v>1411</v>
      </c>
      <c r="D204" s="54" t="s">
        <v>1767</v>
      </c>
      <c r="E204" s="97">
        <v>0.92179999999999995</v>
      </c>
      <c r="F204" s="60">
        <f>G204+H204+I204+J204+K204+L204+N204+P204+R204+T204+V204+W204+X204+Y204+Z204+AA204+AB204+AC204+AD204+AE204+AF204+AG204</f>
        <v>19897.179999999997</v>
      </c>
      <c r="G204" s="60">
        <v>0</v>
      </c>
      <c r="H204" s="60">
        <v>0</v>
      </c>
      <c r="I204" s="60">
        <v>0</v>
      </c>
      <c r="J204" s="60">
        <v>0</v>
      </c>
      <c r="K204" s="60">
        <v>0</v>
      </c>
      <c r="L204" s="60">
        <v>0</v>
      </c>
      <c r="M204" s="61">
        <v>0</v>
      </c>
      <c r="N204" s="60">
        <v>0</v>
      </c>
      <c r="O204" s="60">
        <v>372</v>
      </c>
      <c r="P204" s="60">
        <v>19778.509999999998</v>
      </c>
      <c r="Q204" s="60">
        <v>0</v>
      </c>
      <c r="R204" s="60">
        <v>0</v>
      </c>
      <c r="S204" s="60">
        <v>0</v>
      </c>
      <c r="T204" s="60">
        <v>0</v>
      </c>
      <c r="U204" s="60">
        <v>0</v>
      </c>
      <c r="V204" s="60">
        <v>0</v>
      </c>
      <c r="W204" s="60">
        <v>0</v>
      </c>
      <c r="X204" s="60">
        <v>0</v>
      </c>
      <c r="Y204" s="60">
        <v>0</v>
      </c>
      <c r="Z204" s="60">
        <v>0</v>
      </c>
      <c r="AA204" s="60">
        <v>0</v>
      </c>
      <c r="AB204" s="60">
        <v>0</v>
      </c>
      <c r="AC204" s="60">
        <v>0</v>
      </c>
      <c r="AD204" s="60">
        <v>0</v>
      </c>
      <c r="AE204" s="60">
        <v>118.67</v>
      </c>
      <c r="AF204" s="60">
        <v>0</v>
      </c>
      <c r="AG204" s="60">
        <v>0</v>
      </c>
      <c r="AH204" s="98" t="s">
        <v>257</v>
      </c>
      <c r="AI204" s="98">
        <v>2020</v>
      </c>
      <c r="AJ204" s="98">
        <v>2020</v>
      </c>
      <c r="AK204" s="102"/>
    </row>
    <row r="205" spans="1:37" ht="62.25" x14ac:dyDescent="0.9">
      <c r="B205" s="103" t="s">
        <v>986</v>
      </c>
      <c r="C205" s="100"/>
      <c r="D205" s="99" t="s">
        <v>835</v>
      </c>
      <c r="E205" s="97">
        <f t="shared" ref="E205:T211" si="62">E206</f>
        <v>0.93410000000000004</v>
      </c>
      <c r="F205" s="177">
        <f t="shared" si="62"/>
        <v>5231.2299999999996</v>
      </c>
      <c r="G205" s="60">
        <f t="shared" si="62"/>
        <v>0</v>
      </c>
      <c r="H205" s="60">
        <f t="shared" si="62"/>
        <v>0</v>
      </c>
      <c r="I205" s="60">
        <f t="shared" si="62"/>
        <v>0</v>
      </c>
      <c r="J205" s="60">
        <f t="shared" si="62"/>
        <v>0</v>
      </c>
      <c r="K205" s="60">
        <f t="shared" si="62"/>
        <v>0</v>
      </c>
      <c r="L205" s="60">
        <f t="shared" si="62"/>
        <v>0</v>
      </c>
      <c r="M205" s="61">
        <f t="shared" si="62"/>
        <v>0</v>
      </c>
      <c r="N205" s="60">
        <f t="shared" si="62"/>
        <v>0</v>
      </c>
      <c r="O205" s="60">
        <f t="shared" si="62"/>
        <v>429.6</v>
      </c>
      <c r="P205" s="60">
        <f t="shared" si="62"/>
        <v>5231.2299999999996</v>
      </c>
      <c r="Q205" s="60">
        <f t="shared" si="62"/>
        <v>0</v>
      </c>
      <c r="R205" s="60">
        <f t="shared" si="62"/>
        <v>0</v>
      </c>
      <c r="S205" s="60">
        <f t="shared" si="62"/>
        <v>0</v>
      </c>
      <c r="T205" s="60">
        <f t="shared" si="62"/>
        <v>0</v>
      </c>
      <c r="U205" s="60">
        <f t="shared" ref="U205:AG205" si="63">U206</f>
        <v>0</v>
      </c>
      <c r="V205" s="60">
        <f t="shared" si="63"/>
        <v>0</v>
      </c>
      <c r="W205" s="60">
        <f t="shared" si="63"/>
        <v>0</v>
      </c>
      <c r="X205" s="60">
        <f t="shared" si="63"/>
        <v>0</v>
      </c>
      <c r="Y205" s="60">
        <f t="shared" si="63"/>
        <v>0</v>
      </c>
      <c r="Z205" s="60">
        <f t="shared" si="63"/>
        <v>0</v>
      </c>
      <c r="AA205" s="60">
        <f t="shared" si="63"/>
        <v>0</v>
      </c>
      <c r="AB205" s="60">
        <f t="shared" si="63"/>
        <v>0</v>
      </c>
      <c r="AC205" s="60">
        <f t="shared" si="63"/>
        <v>0</v>
      </c>
      <c r="AD205" s="60">
        <f t="shared" si="63"/>
        <v>0</v>
      </c>
      <c r="AE205" s="60">
        <f t="shared" si="63"/>
        <v>0</v>
      </c>
      <c r="AF205" s="60">
        <f t="shared" si="63"/>
        <v>0</v>
      </c>
      <c r="AG205" s="60">
        <f t="shared" si="63"/>
        <v>0</v>
      </c>
      <c r="AH205" s="98" t="s">
        <v>835</v>
      </c>
      <c r="AI205" s="98" t="s">
        <v>835</v>
      </c>
      <c r="AJ205" s="98" t="s">
        <v>835</v>
      </c>
      <c r="AK205" s="102"/>
    </row>
    <row r="206" spans="1:37" ht="62.25" x14ac:dyDescent="0.9">
      <c r="A206">
        <v>1</v>
      </c>
      <c r="B206" s="59">
        <f>SUBTOTAL(103,$A$94:A206)</f>
        <v>91</v>
      </c>
      <c r="C206" s="100" t="s">
        <v>1497</v>
      </c>
      <c r="D206" s="54" t="s">
        <v>1766</v>
      </c>
      <c r="E206" s="97">
        <v>0.93410000000000004</v>
      </c>
      <c r="F206" s="60">
        <f>G206+H206+I206+J206+K206+L206+N206+P206+R206+T206+V206+W206+X206+Y206+Z206+AA206+AB206+AC206+AD206+AE206+AF206+AG206</f>
        <v>5231.2299999999996</v>
      </c>
      <c r="G206" s="60">
        <v>0</v>
      </c>
      <c r="H206" s="60">
        <v>0</v>
      </c>
      <c r="I206" s="60">
        <v>0</v>
      </c>
      <c r="J206" s="60">
        <v>0</v>
      </c>
      <c r="K206" s="60">
        <v>0</v>
      </c>
      <c r="L206" s="60">
        <v>0</v>
      </c>
      <c r="M206" s="61">
        <v>0</v>
      </c>
      <c r="N206" s="60">
        <v>0</v>
      </c>
      <c r="O206" s="60">
        <v>429.6</v>
      </c>
      <c r="P206" s="60">
        <v>5231.2299999999996</v>
      </c>
      <c r="Q206" s="60">
        <v>0</v>
      </c>
      <c r="R206" s="60">
        <v>0</v>
      </c>
      <c r="S206" s="60">
        <v>0</v>
      </c>
      <c r="T206" s="60">
        <v>0</v>
      </c>
      <c r="U206" s="60">
        <v>0</v>
      </c>
      <c r="V206" s="60">
        <v>0</v>
      </c>
      <c r="W206" s="60">
        <v>0</v>
      </c>
      <c r="X206" s="60">
        <v>0</v>
      </c>
      <c r="Y206" s="60">
        <v>0</v>
      </c>
      <c r="Z206" s="60">
        <v>0</v>
      </c>
      <c r="AA206" s="60">
        <v>0</v>
      </c>
      <c r="AB206" s="60">
        <v>0</v>
      </c>
      <c r="AC206" s="60">
        <v>0</v>
      </c>
      <c r="AD206" s="60">
        <v>0</v>
      </c>
      <c r="AE206" s="60">
        <v>0</v>
      </c>
      <c r="AF206" s="60">
        <v>0</v>
      </c>
      <c r="AG206" s="60">
        <v>0</v>
      </c>
      <c r="AH206" s="98" t="s">
        <v>257</v>
      </c>
      <c r="AI206" s="98">
        <v>2020</v>
      </c>
      <c r="AJ206" s="98" t="s">
        <v>257</v>
      </c>
      <c r="AK206" s="102"/>
    </row>
    <row r="207" spans="1:37" ht="62.25" x14ac:dyDescent="0.9">
      <c r="B207" s="103" t="s">
        <v>827</v>
      </c>
      <c r="C207" s="100"/>
      <c r="D207" s="99" t="s">
        <v>835</v>
      </c>
      <c r="E207" s="97">
        <v>0.99509999999999998</v>
      </c>
      <c r="F207" s="177">
        <f t="shared" si="62"/>
        <v>185435</v>
      </c>
      <c r="G207" s="60">
        <f t="shared" si="62"/>
        <v>0</v>
      </c>
      <c r="H207" s="60">
        <f t="shared" si="62"/>
        <v>0</v>
      </c>
      <c r="I207" s="60">
        <f t="shared" si="62"/>
        <v>0</v>
      </c>
      <c r="J207" s="60">
        <f t="shared" si="62"/>
        <v>0</v>
      </c>
      <c r="K207" s="60">
        <f t="shared" si="62"/>
        <v>0</v>
      </c>
      <c r="L207" s="60">
        <f t="shared" si="62"/>
        <v>0</v>
      </c>
      <c r="M207" s="61">
        <f t="shared" si="62"/>
        <v>0</v>
      </c>
      <c r="N207" s="60">
        <f t="shared" si="62"/>
        <v>0</v>
      </c>
      <c r="O207" s="60">
        <f t="shared" si="62"/>
        <v>186.15</v>
      </c>
      <c r="P207" s="60">
        <f t="shared" si="62"/>
        <v>185435</v>
      </c>
      <c r="Q207" s="60">
        <f t="shared" si="62"/>
        <v>0</v>
      </c>
      <c r="R207" s="60">
        <f t="shared" si="62"/>
        <v>0</v>
      </c>
      <c r="S207" s="60">
        <f t="shared" si="62"/>
        <v>0</v>
      </c>
      <c r="T207" s="60">
        <f t="shared" si="62"/>
        <v>0</v>
      </c>
      <c r="U207" s="60">
        <f t="shared" ref="U207:AG207" si="64">U208</f>
        <v>0</v>
      </c>
      <c r="V207" s="60">
        <f t="shared" si="64"/>
        <v>0</v>
      </c>
      <c r="W207" s="60">
        <f t="shared" si="64"/>
        <v>0</v>
      </c>
      <c r="X207" s="60">
        <f t="shared" si="64"/>
        <v>0</v>
      </c>
      <c r="Y207" s="60">
        <f t="shared" si="64"/>
        <v>0</v>
      </c>
      <c r="Z207" s="60">
        <f t="shared" si="64"/>
        <v>0</v>
      </c>
      <c r="AA207" s="60">
        <f t="shared" si="64"/>
        <v>0</v>
      </c>
      <c r="AB207" s="60">
        <f t="shared" si="64"/>
        <v>0</v>
      </c>
      <c r="AC207" s="60">
        <f t="shared" si="64"/>
        <v>0</v>
      </c>
      <c r="AD207" s="60">
        <f t="shared" si="64"/>
        <v>0</v>
      </c>
      <c r="AE207" s="60">
        <f t="shared" si="64"/>
        <v>0</v>
      </c>
      <c r="AF207" s="60">
        <f t="shared" si="64"/>
        <v>0</v>
      </c>
      <c r="AG207" s="60">
        <f t="shared" si="64"/>
        <v>0</v>
      </c>
      <c r="AH207" s="98" t="s">
        <v>835</v>
      </c>
      <c r="AI207" s="98" t="s">
        <v>835</v>
      </c>
      <c r="AJ207" s="98" t="s">
        <v>835</v>
      </c>
      <c r="AK207" s="102"/>
    </row>
    <row r="208" spans="1:37" ht="62.25" x14ac:dyDescent="0.9">
      <c r="A208">
        <v>1</v>
      </c>
      <c r="B208" s="59">
        <f>SUBTOTAL(103,$A$94:A208)</f>
        <v>92</v>
      </c>
      <c r="C208" s="100" t="s">
        <v>1576</v>
      </c>
      <c r="D208" s="54" t="s">
        <v>1766</v>
      </c>
      <c r="E208" s="97">
        <v>0.99509999999999998</v>
      </c>
      <c r="F208" s="60">
        <f>P208+AE208</f>
        <v>185435</v>
      </c>
      <c r="G208" s="60">
        <v>0</v>
      </c>
      <c r="H208" s="60">
        <v>0</v>
      </c>
      <c r="I208" s="60">
        <v>0</v>
      </c>
      <c r="J208" s="60">
        <v>0</v>
      </c>
      <c r="K208" s="60">
        <v>0</v>
      </c>
      <c r="L208" s="60">
        <v>0</v>
      </c>
      <c r="M208" s="61">
        <v>0</v>
      </c>
      <c r="N208" s="60">
        <v>0</v>
      </c>
      <c r="O208" s="60">
        <v>186.15</v>
      </c>
      <c r="P208" s="60">
        <v>185435</v>
      </c>
      <c r="Q208" s="60">
        <v>0</v>
      </c>
      <c r="R208" s="60">
        <v>0</v>
      </c>
      <c r="S208" s="60">
        <v>0</v>
      </c>
      <c r="T208" s="101">
        <v>0</v>
      </c>
      <c r="U208" s="60">
        <v>0</v>
      </c>
      <c r="V208" s="60">
        <v>0</v>
      </c>
      <c r="W208" s="60">
        <v>0</v>
      </c>
      <c r="X208" s="60">
        <v>0</v>
      </c>
      <c r="Y208" s="60">
        <v>0</v>
      </c>
      <c r="Z208" s="60">
        <v>0</v>
      </c>
      <c r="AA208" s="60">
        <v>0</v>
      </c>
      <c r="AB208" s="60">
        <v>0</v>
      </c>
      <c r="AC208" s="60">
        <v>0</v>
      </c>
      <c r="AD208" s="60">
        <v>0</v>
      </c>
      <c r="AE208" s="60">
        <v>0</v>
      </c>
      <c r="AF208" s="60">
        <v>0</v>
      </c>
      <c r="AG208" s="60">
        <v>0</v>
      </c>
      <c r="AH208" s="98" t="s">
        <v>257</v>
      </c>
      <c r="AI208" s="98">
        <v>2020</v>
      </c>
      <c r="AJ208" s="98" t="s">
        <v>257</v>
      </c>
      <c r="AK208" s="102"/>
    </row>
    <row r="209" spans="1:37" ht="62.25" x14ac:dyDescent="0.9">
      <c r="B209" s="103" t="s">
        <v>796</v>
      </c>
      <c r="C209" s="100"/>
      <c r="D209" s="99" t="s">
        <v>835</v>
      </c>
      <c r="E209" s="97">
        <f t="shared" si="62"/>
        <v>0.95199999999999996</v>
      </c>
      <c r="F209" s="177">
        <f t="shared" si="62"/>
        <v>4030893.68</v>
      </c>
      <c r="G209" s="60">
        <f t="shared" si="62"/>
        <v>0</v>
      </c>
      <c r="H209" s="60">
        <f t="shared" si="62"/>
        <v>0</v>
      </c>
      <c r="I209" s="60">
        <f t="shared" si="62"/>
        <v>0</v>
      </c>
      <c r="J209" s="60">
        <f t="shared" si="62"/>
        <v>0</v>
      </c>
      <c r="K209" s="60">
        <f t="shared" si="62"/>
        <v>0</v>
      </c>
      <c r="L209" s="60">
        <f t="shared" si="62"/>
        <v>0</v>
      </c>
      <c r="M209" s="61">
        <f t="shared" si="62"/>
        <v>0</v>
      </c>
      <c r="N209" s="60">
        <f t="shared" si="62"/>
        <v>0</v>
      </c>
      <c r="O209" s="60">
        <f t="shared" si="62"/>
        <v>1020</v>
      </c>
      <c r="P209" s="60">
        <f t="shared" si="62"/>
        <v>3975142.31</v>
      </c>
      <c r="Q209" s="60">
        <f t="shared" si="62"/>
        <v>0</v>
      </c>
      <c r="R209" s="60">
        <f t="shared" si="62"/>
        <v>0</v>
      </c>
      <c r="S209" s="60">
        <f t="shared" si="62"/>
        <v>0</v>
      </c>
      <c r="T209" s="60">
        <f t="shared" si="62"/>
        <v>0</v>
      </c>
      <c r="U209" s="60">
        <f t="shared" ref="U209:AG211" si="65">U210</f>
        <v>0</v>
      </c>
      <c r="V209" s="60">
        <f t="shared" si="65"/>
        <v>0</v>
      </c>
      <c r="W209" s="60">
        <f t="shared" si="65"/>
        <v>0</v>
      </c>
      <c r="X209" s="60">
        <f t="shared" si="65"/>
        <v>0</v>
      </c>
      <c r="Y209" s="60">
        <f t="shared" si="65"/>
        <v>0</v>
      </c>
      <c r="Z209" s="60">
        <f t="shared" si="65"/>
        <v>0</v>
      </c>
      <c r="AA209" s="60">
        <f t="shared" si="65"/>
        <v>0</v>
      </c>
      <c r="AB209" s="60">
        <f t="shared" si="65"/>
        <v>0</v>
      </c>
      <c r="AC209" s="60">
        <f t="shared" si="65"/>
        <v>0</v>
      </c>
      <c r="AD209" s="60">
        <f t="shared" si="65"/>
        <v>0</v>
      </c>
      <c r="AE209" s="60">
        <f t="shared" si="65"/>
        <v>55751.37</v>
      </c>
      <c r="AF209" s="60">
        <f t="shared" si="65"/>
        <v>0</v>
      </c>
      <c r="AG209" s="60">
        <f t="shared" si="65"/>
        <v>0</v>
      </c>
      <c r="AH209" s="98" t="s">
        <v>835</v>
      </c>
      <c r="AI209" s="98" t="s">
        <v>835</v>
      </c>
      <c r="AJ209" s="98" t="s">
        <v>835</v>
      </c>
      <c r="AK209" s="102"/>
    </row>
    <row r="210" spans="1:37" ht="62.25" x14ac:dyDescent="0.9">
      <c r="A210">
        <v>1</v>
      </c>
      <c r="B210" s="59">
        <f>SUBTOTAL(103,$A$94:A210)</f>
        <v>93</v>
      </c>
      <c r="C210" s="100" t="s">
        <v>2136</v>
      </c>
      <c r="D210" s="55">
        <v>2015</v>
      </c>
      <c r="E210" s="97">
        <v>0.95199999999999996</v>
      </c>
      <c r="F210" s="60">
        <f>G210+H210+I210+J210+K210+L210+N210+P210+R210+T210+V210+W210+X210+Y210+Z210+AA210+AB210+AC210+AD210+AE210+AF210+AG210</f>
        <v>4030893.68</v>
      </c>
      <c r="G210" s="60">
        <v>0</v>
      </c>
      <c r="H210" s="60">
        <v>0</v>
      </c>
      <c r="I210" s="60">
        <v>0</v>
      </c>
      <c r="J210" s="60">
        <v>0</v>
      </c>
      <c r="K210" s="60">
        <v>0</v>
      </c>
      <c r="L210" s="60">
        <v>0</v>
      </c>
      <c r="M210" s="61">
        <v>0</v>
      </c>
      <c r="N210" s="60">
        <v>0</v>
      </c>
      <c r="O210" s="60">
        <v>1020</v>
      </c>
      <c r="P210" s="60">
        <v>3975142.31</v>
      </c>
      <c r="Q210" s="60">
        <v>0</v>
      </c>
      <c r="R210" s="60">
        <v>0</v>
      </c>
      <c r="S210" s="60">
        <v>0</v>
      </c>
      <c r="T210" s="101">
        <v>0</v>
      </c>
      <c r="U210" s="60">
        <v>0</v>
      </c>
      <c r="V210" s="60">
        <v>0</v>
      </c>
      <c r="W210" s="60">
        <v>0</v>
      </c>
      <c r="X210" s="60">
        <v>0</v>
      </c>
      <c r="Y210" s="60">
        <v>0</v>
      </c>
      <c r="Z210" s="60">
        <v>0</v>
      </c>
      <c r="AA210" s="60">
        <v>0</v>
      </c>
      <c r="AB210" s="60">
        <v>0</v>
      </c>
      <c r="AC210" s="60">
        <v>0</v>
      </c>
      <c r="AD210" s="60">
        <v>0</v>
      </c>
      <c r="AE210" s="60">
        <v>55751.37</v>
      </c>
      <c r="AF210" s="60">
        <v>0</v>
      </c>
      <c r="AG210" s="60">
        <v>0</v>
      </c>
      <c r="AH210" s="98" t="s">
        <v>257</v>
      </c>
      <c r="AI210" s="98">
        <v>2021</v>
      </c>
      <c r="AJ210" s="98">
        <v>2021</v>
      </c>
      <c r="AK210" s="102"/>
    </row>
    <row r="211" spans="1:37" ht="62.25" x14ac:dyDescent="0.9">
      <c r="B211" s="103" t="s">
        <v>763</v>
      </c>
      <c r="C211" s="100"/>
      <c r="D211" s="99" t="s">
        <v>835</v>
      </c>
      <c r="E211" s="97">
        <f t="shared" si="62"/>
        <v>0.60399999999999998</v>
      </c>
      <c r="F211" s="177">
        <f t="shared" si="62"/>
        <v>714491</v>
      </c>
      <c r="G211" s="60">
        <f t="shared" si="62"/>
        <v>0</v>
      </c>
      <c r="H211" s="60">
        <f t="shared" si="62"/>
        <v>0</v>
      </c>
      <c r="I211" s="60">
        <f t="shared" si="62"/>
        <v>0</v>
      </c>
      <c r="J211" s="60">
        <f t="shared" si="62"/>
        <v>0</v>
      </c>
      <c r="K211" s="60">
        <f t="shared" si="62"/>
        <v>0</v>
      </c>
      <c r="L211" s="60">
        <f t="shared" si="62"/>
        <v>0</v>
      </c>
      <c r="M211" s="61">
        <f t="shared" si="62"/>
        <v>0</v>
      </c>
      <c r="N211" s="60">
        <f t="shared" si="62"/>
        <v>0</v>
      </c>
      <c r="O211" s="60">
        <f t="shared" si="62"/>
        <v>1342.78</v>
      </c>
      <c r="P211" s="60">
        <f t="shared" si="62"/>
        <v>714491</v>
      </c>
      <c r="Q211" s="60">
        <f t="shared" si="62"/>
        <v>0</v>
      </c>
      <c r="R211" s="60">
        <f t="shared" si="62"/>
        <v>0</v>
      </c>
      <c r="S211" s="60">
        <f t="shared" si="62"/>
        <v>0</v>
      </c>
      <c r="T211" s="60">
        <f t="shared" si="62"/>
        <v>0</v>
      </c>
      <c r="U211" s="60">
        <f t="shared" si="65"/>
        <v>0</v>
      </c>
      <c r="V211" s="60">
        <f t="shared" si="65"/>
        <v>0</v>
      </c>
      <c r="W211" s="60">
        <f t="shared" si="65"/>
        <v>0</v>
      </c>
      <c r="X211" s="60">
        <f t="shared" si="65"/>
        <v>0</v>
      </c>
      <c r="Y211" s="60">
        <f t="shared" si="65"/>
        <v>0</v>
      </c>
      <c r="Z211" s="60">
        <f t="shared" si="65"/>
        <v>0</v>
      </c>
      <c r="AA211" s="60">
        <f t="shared" si="65"/>
        <v>0</v>
      </c>
      <c r="AB211" s="60">
        <f t="shared" si="65"/>
        <v>0</v>
      </c>
      <c r="AC211" s="60">
        <f t="shared" si="65"/>
        <v>0</v>
      </c>
      <c r="AD211" s="60">
        <f t="shared" si="65"/>
        <v>0</v>
      </c>
      <c r="AE211" s="60">
        <f t="shared" si="65"/>
        <v>0</v>
      </c>
      <c r="AF211" s="60">
        <f t="shared" si="65"/>
        <v>0</v>
      </c>
      <c r="AG211" s="60">
        <f t="shared" si="65"/>
        <v>0</v>
      </c>
      <c r="AH211" s="98" t="s">
        <v>835</v>
      </c>
      <c r="AI211" s="98" t="s">
        <v>835</v>
      </c>
      <c r="AJ211" s="98" t="s">
        <v>835</v>
      </c>
      <c r="AK211" s="102"/>
    </row>
    <row r="212" spans="1:37" ht="62.25" x14ac:dyDescent="0.9">
      <c r="A212">
        <v>1</v>
      </c>
      <c r="B212" s="59">
        <f>SUBTOTAL(103,$A$94:A212)</f>
        <v>94</v>
      </c>
      <c r="C212" s="100" t="s">
        <v>2584</v>
      </c>
      <c r="D212" s="55">
        <v>2016</v>
      </c>
      <c r="E212" s="97">
        <v>0.60399999999999998</v>
      </c>
      <c r="F212" s="60">
        <f>G212+H212+I212+J212+K212+L212+N212+P212+R212+T212+V212+W212+X212+Y212+Z212+AA212+AB212+AC212+AD212+AE212+AF212+AG212</f>
        <v>714491</v>
      </c>
      <c r="G212" s="60">
        <v>0</v>
      </c>
      <c r="H212" s="60">
        <v>0</v>
      </c>
      <c r="I212" s="60">
        <v>0</v>
      </c>
      <c r="J212" s="60">
        <v>0</v>
      </c>
      <c r="K212" s="60">
        <v>0</v>
      </c>
      <c r="L212" s="60">
        <v>0</v>
      </c>
      <c r="M212" s="61">
        <v>0</v>
      </c>
      <c r="N212" s="60">
        <v>0</v>
      </c>
      <c r="O212" s="60">
        <v>1342.78</v>
      </c>
      <c r="P212" s="60">
        <v>714491</v>
      </c>
      <c r="Q212" s="60">
        <v>0</v>
      </c>
      <c r="R212" s="60">
        <v>0</v>
      </c>
      <c r="S212" s="60">
        <v>0</v>
      </c>
      <c r="T212" s="101">
        <v>0</v>
      </c>
      <c r="U212" s="60">
        <v>0</v>
      </c>
      <c r="V212" s="60">
        <v>0</v>
      </c>
      <c r="W212" s="60">
        <v>0</v>
      </c>
      <c r="X212" s="60">
        <v>0</v>
      </c>
      <c r="Y212" s="60">
        <v>0</v>
      </c>
      <c r="Z212" s="60">
        <v>0</v>
      </c>
      <c r="AA212" s="60">
        <v>0</v>
      </c>
      <c r="AB212" s="60">
        <v>0</v>
      </c>
      <c r="AC212" s="60">
        <v>0</v>
      </c>
      <c r="AD212" s="60">
        <v>0</v>
      </c>
      <c r="AE212" s="60">
        <v>0</v>
      </c>
      <c r="AF212" s="60">
        <v>0</v>
      </c>
      <c r="AG212" s="60">
        <v>0</v>
      </c>
      <c r="AH212" s="98" t="s">
        <v>257</v>
      </c>
      <c r="AI212" s="63">
        <v>2022</v>
      </c>
      <c r="AJ212" s="63" t="s">
        <v>257</v>
      </c>
      <c r="AK212" s="102"/>
    </row>
  </sheetData>
  <mergeCells count="34"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B10:AJ10"/>
    <mergeCell ref="W6:W7"/>
    <mergeCell ref="S6:T7"/>
    <mergeCell ref="M6:N7"/>
    <mergeCell ref="G6:L6"/>
    <mergeCell ref="U6:V7"/>
    <mergeCell ref="B92:C92"/>
    <mergeCell ref="B91:AJ91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</mergeCells>
  <phoneticPr fontId="39" type="noConversion"/>
  <pageMargins left="0.23622047244094491" right="0" top="0.74803149606299213" bottom="0.35433070866141736" header="0.31496062992125984" footer="0.31496062992125984"/>
  <pageSetup paperSize="8" scale="10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T211"/>
  <sheetViews>
    <sheetView topLeftCell="B164" zoomScale="30" zoomScaleNormal="30" workbookViewId="0">
      <selection activeCell="B1" sqref="B1:Q211"/>
    </sheetView>
  </sheetViews>
  <sheetFormatPr defaultRowHeight="28.5" x14ac:dyDescent="0.45"/>
  <cols>
    <col min="1" max="1" width="9.140625" hidden="1" customWidth="1"/>
    <col min="2" max="2" width="15.85546875" customWidth="1"/>
    <col min="3" max="3" width="219.85546875" customWidth="1"/>
    <col min="4" max="4" width="37.7109375" customWidth="1"/>
    <col min="5" max="5" width="29.140625" customWidth="1"/>
    <col min="6" max="6" width="74.28515625" customWidth="1"/>
    <col min="7" max="7" width="24.28515625" customWidth="1"/>
    <col min="8" max="8" width="23.85546875" customWidth="1"/>
    <col min="9" max="9" width="38.28515625" customWidth="1"/>
    <col min="10" max="10" width="39.42578125" customWidth="1"/>
    <col min="11" max="11" width="36.42578125" customWidth="1"/>
    <col min="12" max="12" width="32.85546875" customWidth="1"/>
    <col min="13" max="13" width="42.28515625" customWidth="1"/>
    <col min="14" max="14" width="101" customWidth="1"/>
    <col min="15" max="15" width="51.7109375" customWidth="1"/>
    <col min="16" max="16" width="36" customWidth="1"/>
    <col min="17" max="17" width="37" customWidth="1"/>
    <col min="18" max="18" width="33" style="74" customWidth="1"/>
    <col min="19" max="19" width="22.5703125" style="107" bestFit="1" customWidth="1"/>
    <col min="20" max="20" width="19.140625" bestFit="1" customWidth="1"/>
  </cols>
  <sheetData>
    <row r="1" spans="1:18" ht="35.25" x14ac:dyDescent="0.5">
      <c r="B1" s="104"/>
      <c r="C1" s="104"/>
      <c r="D1" s="104"/>
      <c r="E1" s="104"/>
      <c r="F1" s="104"/>
      <c r="G1" s="105"/>
      <c r="H1" s="104"/>
      <c r="I1" s="104"/>
      <c r="J1" s="104"/>
      <c r="K1" s="104"/>
      <c r="L1" s="104"/>
      <c r="M1" s="106"/>
      <c r="N1" s="106"/>
      <c r="O1" s="457" t="s">
        <v>990</v>
      </c>
      <c r="P1" s="457"/>
      <c r="Q1" s="457"/>
    </row>
    <row r="2" spans="1:18" ht="71.25" customHeight="1" x14ac:dyDescent="0.5">
      <c r="B2" s="104"/>
      <c r="C2" s="104"/>
      <c r="D2" s="104"/>
      <c r="E2" s="104"/>
      <c r="F2" s="104"/>
      <c r="G2" s="105"/>
      <c r="H2" s="104"/>
      <c r="I2" s="104"/>
      <c r="J2" s="104"/>
      <c r="K2" s="104"/>
      <c r="L2" s="104"/>
      <c r="M2" s="108"/>
      <c r="N2" s="458" t="s">
        <v>991</v>
      </c>
      <c r="O2" s="458"/>
      <c r="P2" s="458"/>
      <c r="Q2" s="458"/>
    </row>
    <row r="3" spans="1:18" ht="201.75" customHeight="1" x14ac:dyDescent="0.45">
      <c r="B3" s="459" t="s">
        <v>3248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</row>
    <row r="4" spans="1:18" ht="35.25" x14ac:dyDescent="0.45">
      <c r="B4" s="449" t="s">
        <v>6</v>
      </c>
      <c r="C4" s="449" t="s">
        <v>992</v>
      </c>
      <c r="D4" s="449" t="s">
        <v>237</v>
      </c>
      <c r="E4" s="443"/>
      <c r="F4" s="442" t="s">
        <v>238</v>
      </c>
      <c r="G4" s="445" t="s">
        <v>239</v>
      </c>
      <c r="H4" s="445" t="s">
        <v>240</v>
      </c>
      <c r="I4" s="442" t="s">
        <v>241</v>
      </c>
      <c r="J4" s="449" t="s">
        <v>242</v>
      </c>
      <c r="K4" s="443"/>
      <c r="L4" s="450" t="s">
        <v>993</v>
      </c>
      <c r="M4" s="450" t="s">
        <v>994</v>
      </c>
      <c r="N4" s="450" t="s">
        <v>243</v>
      </c>
      <c r="O4" s="455" t="s">
        <v>8</v>
      </c>
      <c r="P4" s="440" t="s">
        <v>245</v>
      </c>
      <c r="Q4" s="440" t="s">
        <v>246</v>
      </c>
    </row>
    <row r="5" spans="1:18" x14ac:dyDescent="0.45">
      <c r="B5" s="443"/>
      <c r="C5" s="443"/>
      <c r="D5" s="442" t="s">
        <v>247</v>
      </c>
      <c r="E5" s="445" t="s">
        <v>248</v>
      </c>
      <c r="F5" s="443"/>
      <c r="G5" s="460"/>
      <c r="H5" s="460"/>
      <c r="I5" s="443"/>
      <c r="J5" s="442" t="s">
        <v>249</v>
      </c>
      <c r="K5" s="445" t="s">
        <v>995</v>
      </c>
      <c r="L5" s="451"/>
      <c r="M5" s="453"/>
      <c r="N5" s="453"/>
      <c r="O5" s="446"/>
      <c r="P5" s="441"/>
      <c r="Q5" s="441"/>
    </row>
    <row r="6" spans="1:18" ht="408.75" customHeight="1" x14ac:dyDescent="0.45">
      <c r="B6" s="443"/>
      <c r="C6" s="443"/>
      <c r="D6" s="443"/>
      <c r="E6" s="446"/>
      <c r="F6" s="443"/>
      <c r="G6" s="460"/>
      <c r="H6" s="460"/>
      <c r="I6" s="443"/>
      <c r="J6" s="443"/>
      <c r="K6" s="448"/>
      <c r="L6" s="452"/>
      <c r="M6" s="453"/>
      <c r="N6" s="453"/>
      <c r="O6" s="456"/>
      <c r="P6" s="441"/>
      <c r="Q6" s="441"/>
    </row>
    <row r="7" spans="1:18" ht="35.25" x14ac:dyDescent="0.45">
      <c r="B7" s="444"/>
      <c r="C7" s="444"/>
      <c r="D7" s="444"/>
      <c r="E7" s="447"/>
      <c r="F7" s="443"/>
      <c r="G7" s="461"/>
      <c r="H7" s="461"/>
      <c r="I7" s="109" t="s">
        <v>38</v>
      </c>
      <c r="J7" s="109" t="s">
        <v>38</v>
      </c>
      <c r="K7" s="109" t="s">
        <v>38</v>
      </c>
      <c r="L7" s="109" t="s">
        <v>252</v>
      </c>
      <c r="M7" s="454"/>
      <c r="N7" s="454"/>
      <c r="O7" s="109" t="s">
        <v>36</v>
      </c>
      <c r="P7" s="109" t="s">
        <v>253</v>
      </c>
      <c r="Q7" s="109" t="s">
        <v>253</v>
      </c>
    </row>
    <row r="8" spans="1:18" ht="35.25" x14ac:dyDescent="0.45">
      <c r="B8" s="109">
        <v>1</v>
      </c>
      <c r="C8" s="109">
        <v>2</v>
      </c>
      <c r="D8" s="109">
        <v>3</v>
      </c>
      <c r="E8" s="109">
        <v>4</v>
      </c>
      <c r="F8" s="109">
        <v>5</v>
      </c>
      <c r="G8" s="110">
        <v>5.5697674418604599</v>
      </c>
      <c r="H8" s="110">
        <v>7</v>
      </c>
      <c r="I8" s="110">
        <v>8</v>
      </c>
      <c r="J8" s="110">
        <v>9</v>
      </c>
      <c r="K8" s="110">
        <v>10</v>
      </c>
      <c r="L8" s="109">
        <v>11</v>
      </c>
      <c r="M8" s="110">
        <v>12</v>
      </c>
      <c r="N8" s="110">
        <v>13</v>
      </c>
      <c r="O8" s="110">
        <v>14</v>
      </c>
      <c r="P8" s="110">
        <v>15</v>
      </c>
      <c r="Q8" s="110">
        <v>16</v>
      </c>
    </row>
    <row r="9" spans="1:18" ht="45.75" x14ac:dyDescent="0.45">
      <c r="B9" s="437" t="s">
        <v>957</v>
      </c>
      <c r="C9" s="438"/>
      <c r="D9" s="438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9"/>
    </row>
    <row r="10" spans="1:18" ht="35.25" x14ac:dyDescent="0.45">
      <c r="B10" s="77" t="s">
        <v>1808</v>
      </c>
      <c r="C10" s="111"/>
      <c r="D10" s="86" t="s">
        <v>835</v>
      </c>
      <c r="E10" s="86" t="s">
        <v>835</v>
      </c>
      <c r="F10" s="86" t="s">
        <v>835</v>
      </c>
      <c r="G10" s="86" t="s">
        <v>835</v>
      </c>
      <c r="H10" s="86" t="s">
        <v>835</v>
      </c>
      <c r="I10" s="87">
        <f>I11+I63+I78</f>
        <v>44721.18</v>
      </c>
      <c r="J10" s="87">
        <f>J11+J63+J78</f>
        <v>38397.31</v>
      </c>
      <c r="K10" s="87">
        <f>K11+K63+K78</f>
        <v>34490.81</v>
      </c>
      <c r="L10" s="88">
        <f>L11+L63+L78</f>
        <v>1844</v>
      </c>
      <c r="M10" s="86" t="s">
        <v>835</v>
      </c>
      <c r="N10" s="86" t="s">
        <v>835</v>
      </c>
      <c r="O10" s="144">
        <f>O11+O63+O78</f>
        <v>85429069.480000004</v>
      </c>
      <c r="P10" s="84">
        <f t="shared" ref="P10:P41" si="0">O10/I10</f>
        <v>1910.2597355436508</v>
      </c>
      <c r="Q10" s="78">
        <f>MAX(Q11:Q87)</f>
        <v>10841.363509544788</v>
      </c>
    </row>
    <row r="11" spans="1:18" ht="35.25" x14ac:dyDescent="0.45">
      <c r="B11" s="77" t="s">
        <v>1562</v>
      </c>
      <c r="C11" s="111"/>
      <c r="D11" s="86" t="s">
        <v>835</v>
      </c>
      <c r="E11" s="86" t="s">
        <v>835</v>
      </c>
      <c r="F11" s="86" t="s">
        <v>835</v>
      </c>
      <c r="G11" s="86" t="s">
        <v>835</v>
      </c>
      <c r="H11" s="86" t="s">
        <v>835</v>
      </c>
      <c r="I11" s="87">
        <f>I12+I14+I23+I25+I27+I29+I32+I35+I39+I41+I43+I47+I49+I51+I53+I57+I61+I59</f>
        <v>33695.279999999999</v>
      </c>
      <c r="J11" s="87">
        <f>J12+J14+J23+J25+J27+J29+J32+J35+J39+J41+J43+J47+J49+J51+J53+J57+J61+J59</f>
        <v>29309.11</v>
      </c>
      <c r="K11" s="87">
        <f>K12+K14+K23+K25+K27+K29+K32+K35+K39+K41+K43+K47+K49+K51+K53+K57+K61+K59</f>
        <v>26092.609999999997</v>
      </c>
      <c r="L11" s="88">
        <f>L12+L14+L23+L25+L27+L29+L32+L35+L39+L41+L43+L47+L49+L51+L53+L57+L61+L59</f>
        <v>1359</v>
      </c>
      <c r="M11" s="86" t="s">
        <v>835</v>
      </c>
      <c r="N11" s="86" t="s">
        <v>835</v>
      </c>
      <c r="O11" s="144">
        <v>51349524.150000006</v>
      </c>
      <c r="P11" s="84">
        <f t="shared" si="0"/>
        <v>1523.9381940141172</v>
      </c>
      <c r="Q11" s="78">
        <f>MAX(Q12:Q62)</f>
        <v>10841.363509544788</v>
      </c>
      <c r="R11" s="75"/>
    </row>
    <row r="12" spans="1:18" ht="35.25" x14ac:dyDescent="0.45">
      <c r="B12" s="77" t="s">
        <v>760</v>
      </c>
      <c r="C12" s="111"/>
      <c r="D12" s="86" t="s">
        <v>835</v>
      </c>
      <c r="E12" s="86" t="s">
        <v>835</v>
      </c>
      <c r="F12" s="86" t="s">
        <v>835</v>
      </c>
      <c r="G12" s="86" t="s">
        <v>835</v>
      </c>
      <c r="H12" s="86" t="s">
        <v>835</v>
      </c>
      <c r="I12" s="87">
        <f>I13</f>
        <v>792.7</v>
      </c>
      <c r="J12" s="87">
        <f>J13</f>
        <v>481</v>
      </c>
      <c r="K12" s="87">
        <f>K13</f>
        <v>481</v>
      </c>
      <c r="L12" s="88">
        <f>L13</f>
        <v>42</v>
      </c>
      <c r="M12" s="86" t="s">
        <v>835</v>
      </c>
      <c r="N12" s="86" t="s">
        <v>835</v>
      </c>
      <c r="O12" s="138">
        <v>2123521.14</v>
      </c>
      <c r="P12" s="84">
        <f t="shared" si="0"/>
        <v>2678.8458937807495</v>
      </c>
      <c r="Q12" s="78">
        <f>Q13</f>
        <v>5860.7011984357268</v>
      </c>
      <c r="R12" s="75"/>
    </row>
    <row r="13" spans="1:18" ht="35.25" x14ac:dyDescent="0.5">
      <c r="A13">
        <v>1</v>
      </c>
      <c r="B13" s="85">
        <f>SUBTOTAL(103,$A13:A$13)</f>
        <v>1</v>
      </c>
      <c r="C13" s="112" t="s">
        <v>958</v>
      </c>
      <c r="D13" s="86">
        <v>1969</v>
      </c>
      <c r="E13" s="86"/>
      <c r="F13" s="86" t="s">
        <v>256</v>
      </c>
      <c r="G13" s="86" t="s">
        <v>290</v>
      </c>
      <c r="H13" s="86" t="s">
        <v>290</v>
      </c>
      <c r="I13" s="87">
        <v>792.7</v>
      </c>
      <c r="J13" s="87">
        <v>481</v>
      </c>
      <c r="K13" s="87">
        <f>J13</f>
        <v>481</v>
      </c>
      <c r="L13" s="88">
        <v>42</v>
      </c>
      <c r="M13" s="86" t="s">
        <v>255</v>
      </c>
      <c r="N13" s="86" t="s">
        <v>257</v>
      </c>
      <c r="O13" s="84">
        <v>2123521.14</v>
      </c>
      <c r="P13" s="84">
        <f t="shared" si="0"/>
        <v>2678.8458937807495</v>
      </c>
      <c r="Q13" s="78">
        <v>5860.7011984357268</v>
      </c>
      <c r="R13" s="75"/>
    </row>
    <row r="14" spans="1:18" ht="35.25" x14ac:dyDescent="0.45">
      <c r="B14" s="112" t="s">
        <v>985</v>
      </c>
      <c r="C14" s="112"/>
      <c r="D14" s="86" t="s">
        <v>835</v>
      </c>
      <c r="E14" s="86" t="s">
        <v>835</v>
      </c>
      <c r="F14" s="86" t="s">
        <v>835</v>
      </c>
      <c r="G14" s="86" t="s">
        <v>835</v>
      </c>
      <c r="H14" s="86" t="s">
        <v>835</v>
      </c>
      <c r="I14" s="87">
        <f>SUM(I15:I22)</f>
        <v>12811.8</v>
      </c>
      <c r="J14" s="87">
        <f>SUM(J15:J22)</f>
        <v>11686.800000000001</v>
      </c>
      <c r="K14" s="87">
        <f>SUM(K15:K22)</f>
        <v>10750.4</v>
      </c>
      <c r="L14" s="88">
        <f>SUM(L15:L22)</f>
        <v>434</v>
      </c>
      <c r="M14" s="86" t="s">
        <v>835</v>
      </c>
      <c r="N14" s="86" t="s">
        <v>835</v>
      </c>
      <c r="O14" s="138">
        <v>14141903.43</v>
      </c>
      <c r="P14" s="84">
        <f t="shared" si="0"/>
        <v>1103.8186226759706</v>
      </c>
      <c r="Q14" s="78">
        <f>MAX(Q15:Q22)</f>
        <v>10841.363509544788</v>
      </c>
      <c r="R14" s="75"/>
    </row>
    <row r="15" spans="1:18" ht="35.25" x14ac:dyDescent="0.5">
      <c r="A15">
        <v>1</v>
      </c>
      <c r="B15" s="85">
        <f>SUBTOTAL(103,$A$13:A15)</f>
        <v>2</v>
      </c>
      <c r="C15" s="112" t="s">
        <v>959</v>
      </c>
      <c r="D15" s="86">
        <v>1958</v>
      </c>
      <c r="E15" s="86"/>
      <c r="F15" s="86" t="s">
        <v>256</v>
      </c>
      <c r="G15" s="86" t="s">
        <v>337</v>
      </c>
      <c r="H15" s="86" t="s">
        <v>295</v>
      </c>
      <c r="I15" s="87">
        <v>5229.2</v>
      </c>
      <c r="J15" s="87">
        <v>5229.2</v>
      </c>
      <c r="K15" s="87">
        <f>J15-227.6</f>
        <v>5001.5999999999995</v>
      </c>
      <c r="L15" s="88">
        <v>121</v>
      </c>
      <c r="M15" s="86" t="s">
        <v>327</v>
      </c>
      <c r="N15" s="86" t="s">
        <v>996</v>
      </c>
      <c r="O15" s="84">
        <v>6213014.2000000002</v>
      </c>
      <c r="P15" s="84">
        <f t="shared" si="0"/>
        <v>1188.1385680410006</v>
      </c>
      <c r="Q15" s="78">
        <v>2457.2505622274921</v>
      </c>
      <c r="R15" s="75"/>
    </row>
    <row r="16" spans="1:18" ht="35.25" x14ac:dyDescent="0.5">
      <c r="A16">
        <v>1</v>
      </c>
      <c r="B16" s="85">
        <f>SUBTOTAL(103,$A$13:A16)</f>
        <v>3</v>
      </c>
      <c r="C16" s="112" t="s">
        <v>960</v>
      </c>
      <c r="D16" s="86">
        <v>1979</v>
      </c>
      <c r="E16" s="86"/>
      <c r="F16" s="86" t="s">
        <v>256</v>
      </c>
      <c r="G16" s="86" t="s">
        <v>337</v>
      </c>
      <c r="H16" s="86" t="s">
        <v>291</v>
      </c>
      <c r="I16" s="87">
        <v>802.1</v>
      </c>
      <c r="J16" s="87">
        <v>554.1</v>
      </c>
      <c r="K16" s="87">
        <f>J16</f>
        <v>554.1</v>
      </c>
      <c r="L16" s="88">
        <v>25</v>
      </c>
      <c r="M16" s="86" t="s">
        <v>258</v>
      </c>
      <c r="N16" s="86" t="s">
        <v>997</v>
      </c>
      <c r="O16" s="84">
        <v>801933.34000000008</v>
      </c>
      <c r="P16" s="84">
        <f t="shared" si="0"/>
        <v>999.79222042139395</v>
      </c>
      <c r="Q16" s="78">
        <v>1812.0901633212818</v>
      </c>
      <c r="R16" s="75"/>
    </row>
    <row r="17" spans="1:18" ht="35.25" x14ac:dyDescent="0.5">
      <c r="A17">
        <v>1</v>
      </c>
      <c r="B17" s="85">
        <f>SUBTOTAL(103,$A$13:A17)</f>
        <v>4</v>
      </c>
      <c r="C17" s="112" t="s">
        <v>961</v>
      </c>
      <c r="D17" s="86">
        <v>1961</v>
      </c>
      <c r="E17" s="86"/>
      <c r="F17" s="86" t="s">
        <v>256</v>
      </c>
      <c r="G17" s="86" t="s">
        <v>290</v>
      </c>
      <c r="H17" s="86" t="s">
        <v>291</v>
      </c>
      <c r="I17" s="87">
        <v>301.39999999999998</v>
      </c>
      <c r="J17" s="87">
        <v>276.5</v>
      </c>
      <c r="K17" s="87">
        <f>J17-38</f>
        <v>238.5</v>
      </c>
      <c r="L17" s="88">
        <v>16</v>
      </c>
      <c r="M17" s="86" t="s">
        <v>258</v>
      </c>
      <c r="N17" s="86" t="s">
        <v>941</v>
      </c>
      <c r="O17" s="84">
        <v>61989.62</v>
      </c>
      <c r="P17" s="84">
        <f t="shared" si="0"/>
        <v>205.67226277372265</v>
      </c>
      <c r="Q17" s="78">
        <v>205.67226277372265</v>
      </c>
      <c r="R17" s="75"/>
    </row>
    <row r="18" spans="1:18" ht="35.25" x14ac:dyDescent="0.5">
      <c r="A18">
        <v>1</v>
      </c>
      <c r="B18" s="85">
        <f>SUBTOTAL(103,$A$13:A18)</f>
        <v>5</v>
      </c>
      <c r="C18" s="112" t="s">
        <v>974</v>
      </c>
      <c r="D18" s="86">
        <v>1957</v>
      </c>
      <c r="E18" s="86"/>
      <c r="F18" s="86" t="s">
        <v>256</v>
      </c>
      <c r="G18" s="86" t="s">
        <v>290</v>
      </c>
      <c r="H18" s="86" t="s">
        <v>291</v>
      </c>
      <c r="I18" s="87">
        <v>272.39999999999998</v>
      </c>
      <c r="J18" s="87">
        <v>194.8</v>
      </c>
      <c r="K18" s="87">
        <f>J18-37.2</f>
        <v>157.60000000000002</v>
      </c>
      <c r="L18" s="88">
        <v>14</v>
      </c>
      <c r="M18" s="86" t="s">
        <v>258</v>
      </c>
      <c r="N18" s="86" t="s">
        <v>998</v>
      </c>
      <c r="O18" s="84">
        <v>995484.92999999993</v>
      </c>
      <c r="P18" s="84">
        <f t="shared" si="0"/>
        <v>3654.4968061674008</v>
      </c>
      <c r="Q18" s="78">
        <v>10841.363509544788</v>
      </c>
      <c r="R18" s="75"/>
    </row>
    <row r="19" spans="1:18" ht="35.25" x14ac:dyDescent="0.5">
      <c r="A19">
        <v>1</v>
      </c>
      <c r="B19" s="85">
        <f>SUBTOTAL(103,$A$13:A19)</f>
        <v>6</v>
      </c>
      <c r="C19" s="112" t="s">
        <v>1016</v>
      </c>
      <c r="D19" s="86">
        <v>1960</v>
      </c>
      <c r="E19" s="86"/>
      <c r="F19" s="86" t="s">
        <v>256</v>
      </c>
      <c r="G19" s="86" t="s">
        <v>295</v>
      </c>
      <c r="H19" s="86" t="s">
        <v>295</v>
      </c>
      <c r="I19" s="87">
        <v>2738.8</v>
      </c>
      <c r="J19" s="87">
        <v>2498.1</v>
      </c>
      <c r="K19" s="87">
        <f>2498.1-114.3</f>
        <v>2383.7999999999997</v>
      </c>
      <c r="L19" s="88">
        <v>128</v>
      </c>
      <c r="M19" s="86" t="s">
        <v>258</v>
      </c>
      <c r="N19" s="86" t="s">
        <v>1015</v>
      </c>
      <c r="O19" s="84">
        <v>4973435.79</v>
      </c>
      <c r="P19" s="84">
        <f t="shared" si="0"/>
        <v>1815.9178435811302</v>
      </c>
      <c r="Q19" s="78">
        <v>3180.9362056375053</v>
      </c>
      <c r="R19" s="75"/>
    </row>
    <row r="20" spans="1:18" ht="35.25" x14ac:dyDescent="0.5">
      <c r="A20">
        <v>1</v>
      </c>
      <c r="B20" s="85">
        <f>SUBTOTAL(103,$A$13:A20)</f>
        <v>7</v>
      </c>
      <c r="C20" s="83" t="s">
        <v>1024</v>
      </c>
      <c r="D20" s="86">
        <v>1956</v>
      </c>
      <c r="E20" s="86"/>
      <c r="F20" s="86" t="s">
        <v>256</v>
      </c>
      <c r="G20" s="86" t="s">
        <v>290</v>
      </c>
      <c r="H20" s="86" t="s">
        <v>291</v>
      </c>
      <c r="I20" s="87">
        <v>512.5</v>
      </c>
      <c r="J20" s="87">
        <v>512.20000000000005</v>
      </c>
      <c r="K20" s="87">
        <v>324.10000000000002</v>
      </c>
      <c r="L20" s="88">
        <v>25</v>
      </c>
      <c r="M20" s="86" t="s">
        <v>258</v>
      </c>
      <c r="N20" s="86" t="s">
        <v>998</v>
      </c>
      <c r="O20" s="84">
        <v>50283.37</v>
      </c>
      <c r="P20" s="84">
        <f t="shared" si="0"/>
        <v>98.113892682926831</v>
      </c>
      <c r="Q20" s="78">
        <v>98.113892682926831</v>
      </c>
      <c r="R20" s="75"/>
    </row>
    <row r="21" spans="1:18" ht="35.25" x14ac:dyDescent="0.5">
      <c r="A21">
        <v>1</v>
      </c>
      <c r="B21" s="85">
        <f>SUBTOTAL(103,$A$13:A21)</f>
        <v>8</v>
      </c>
      <c r="C21" s="83" t="s">
        <v>1320</v>
      </c>
      <c r="D21" s="86">
        <v>1957</v>
      </c>
      <c r="E21" s="86"/>
      <c r="F21" s="86" t="s">
        <v>256</v>
      </c>
      <c r="G21" s="86" t="s">
        <v>290</v>
      </c>
      <c r="H21" s="86" t="s">
        <v>291</v>
      </c>
      <c r="I21" s="87">
        <v>436.2</v>
      </c>
      <c r="J21" s="87">
        <v>387.1</v>
      </c>
      <c r="K21" s="87">
        <v>340.8</v>
      </c>
      <c r="L21" s="88">
        <v>20</v>
      </c>
      <c r="M21" s="86" t="s">
        <v>258</v>
      </c>
      <c r="N21" s="86" t="s">
        <v>1321</v>
      </c>
      <c r="O21" s="84">
        <v>43517.47</v>
      </c>
      <c r="P21" s="84">
        <f t="shared" si="0"/>
        <v>99.764947271893632</v>
      </c>
      <c r="Q21" s="78">
        <v>99.764947271893632</v>
      </c>
      <c r="R21" s="75"/>
    </row>
    <row r="22" spans="1:18" ht="35.25" x14ac:dyDescent="0.5">
      <c r="A22">
        <v>1</v>
      </c>
      <c r="B22" s="85">
        <f>SUBTOTAL(103,$A$13:A22)</f>
        <v>9</v>
      </c>
      <c r="C22" s="83" t="s">
        <v>1611</v>
      </c>
      <c r="D22" s="86">
        <v>1965</v>
      </c>
      <c r="E22" s="86"/>
      <c r="F22" s="86" t="s">
        <v>256</v>
      </c>
      <c r="G22" s="86" t="s">
        <v>337</v>
      </c>
      <c r="H22" s="86" t="s">
        <v>290</v>
      </c>
      <c r="I22" s="87">
        <v>2519.1999999999998</v>
      </c>
      <c r="J22" s="87">
        <v>2034.8</v>
      </c>
      <c r="K22" s="87">
        <v>1749.9</v>
      </c>
      <c r="L22" s="88">
        <v>85</v>
      </c>
      <c r="M22" s="86" t="s">
        <v>254</v>
      </c>
      <c r="N22" s="86" t="s">
        <v>1301</v>
      </c>
      <c r="O22" s="84">
        <v>1002244.71</v>
      </c>
      <c r="P22" s="84">
        <f t="shared" si="0"/>
        <v>397.8424539536361</v>
      </c>
      <c r="Q22" s="78">
        <v>916.76459193394749</v>
      </c>
      <c r="R22" s="75"/>
    </row>
    <row r="23" spans="1:18" ht="35.25" x14ac:dyDescent="0.45">
      <c r="B23" s="112" t="s">
        <v>764</v>
      </c>
      <c r="C23" s="112"/>
      <c r="D23" s="86" t="s">
        <v>835</v>
      </c>
      <c r="E23" s="86" t="s">
        <v>835</v>
      </c>
      <c r="F23" s="86" t="s">
        <v>835</v>
      </c>
      <c r="G23" s="86" t="s">
        <v>835</v>
      </c>
      <c r="H23" s="86" t="s">
        <v>835</v>
      </c>
      <c r="I23" s="87">
        <f>I24</f>
        <v>882.3</v>
      </c>
      <c r="J23" s="87">
        <f>J24</f>
        <v>779.5</v>
      </c>
      <c r="K23" s="87">
        <f>K24</f>
        <v>779.5</v>
      </c>
      <c r="L23" s="88">
        <f>L24</f>
        <v>29</v>
      </c>
      <c r="M23" s="86" t="s">
        <v>835</v>
      </c>
      <c r="N23" s="86" t="s">
        <v>835</v>
      </c>
      <c r="O23" s="138">
        <v>2046844.64</v>
      </c>
      <c r="P23" s="84">
        <f t="shared" si="0"/>
        <v>2319.8964524538137</v>
      </c>
      <c r="Q23" s="78">
        <f>MAX(Q24)</f>
        <v>3909.2271018927813</v>
      </c>
      <c r="R23" s="75"/>
    </row>
    <row r="24" spans="1:18" ht="35.25" x14ac:dyDescent="0.5">
      <c r="A24">
        <v>1</v>
      </c>
      <c r="B24" s="85">
        <f>SUBTOTAL(103,$A$13:A24)</f>
        <v>10</v>
      </c>
      <c r="C24" s="112" t="s">
        <v>627</v>
      </c>
      <c r="D24" s="86">
        <v>1982</v>
      </c>
      <c r="E24" s="86"/>
      <c r="F24" s="86" t="s">
        <v>256</v>
      </c>
      <c r="G24" s="86" t="s">
        <v>295</v>
      </c>
      <c r="H24" s="86" t="s">
        <v>291</v>
      </c>
      <c r="I24" s="87">
        <v>882.3</v>
      </c>
      <c r="J24" s="87">
        <v>779.5</v>
      </c>
      <c r="K24" s="87">
        <f>J24</f>
        <v>779.5</v>
      </c>
      <c r="L24" s="88">
        <v>29</v>
      </c>
      <c r="M24" s="86" t="s">
        <v>255</v>
      </c>
      <c r="N24" s="86" t="s">
        <v>257</v>
      </c>
      <c r="O24" s="84">
        <v>2046844.64</v>
      </c>
      <c r="P24" s="84">
        <f t="shared" si="0"/>
        <v>2319.8964524538137</v>
      </c>
      <c r="Q24" s="78">
        <v>3909.2271018927813</v>
      </c>
      <c r="R24" s="75"/>
    </row>
    <row r="25" spans="1:18" ht="35.25" x14ac:dyDescent="0.5">
      <c r="B25" s="113" t="s">
        <v>768</v>
      </c>
      <c r="C25" s="112"/>
      <c r="D25" s="86" t="s">
        <v>835</v>
      </c>
      <c r="E25" s="86" t="s">
        <v>835</v>
      </c>
      <c r="F25" s="86" t="s">
        <v>835</v>
      </c>
      <c r="G25" s="86" t="s">
        <v>835</v>
      </c>
      <c r="H25" s="86" t="s">
        <v>835</v>
      </c>
      <c r="I25" s="87">
        <f>I26</f>
        <v>1813.2</v>
      </c>
      <c r="J25" s="87">
        <f>J26</f>
        <v>1042.3</v>
      </c>
      <c r="K25" s="87">
        <f>K26</f>
        <v>567</v>
      </c>
      <c r="L25" s="88">
        <f>L26</f>
        <v>156</v>
      </c>
      <c r="M25" s="86" t="s">
        <v>835</v>
      </c>
      <c r="N25" s="86" t="s">
        <v>835</v>
      </c>
      <c r="O25" s="138">
        <v>5153989.53</v>
      </c>
      <c r="P25" s="84">
        <f t="shared" si="0"/>
        <v>2842.4826439444078</v>
      </c>
      <c r="Q25" s="78">
        <f>MAX(Q26)</f>
        <v>5314.2253606882859</v>
      </c>
      <c r="R25" s="75"/>
    </row>
    <row r="26" spans="1:18" ht="35.25" x14ac:dyDescent="0.5">
      <c r="A26">
        <v>1</v>
      </c>
      <c r="B26" s="85">
        <f>SUBTOTAL(103,$A$13:A26)</f>
        <v>11</v>
      </c>
      <c r="C26" s="112" t="s">
        <v>1007</v>
      </c>
      <c r="D26" s="86">
        <v>2007</v>
      </c>
      <c r="E26" s="86"/>
      <c r="F26" s="86" t="s">
        <v>256</v>
      </c>
      <c r="G26" s="86" t="s">
        <v>299</v>
      </c>
      <c r="H26" s="86" t="s">
        <v>299</v>
      </c>
      <c r="I26" s="87">
        <v>1813.2</v>
      </c>
      <c r="J26" s="87">
        <v>1042.3</v>
      </c>
      <c r="K26" s="87">
        <f>J26-475.3</f>
        <v>567</v>
      </c>
      <c r="L26" s="88">
        <v>156</v>
      </c>
      <c r="M26" s="86" t="s">
        <v>258</v>
      </c>
      <c r="N26" s="86" t="s">
        <v>1009</v>
      </c>
      <c r="O26" s="84">
        <v>5153989.53</v>
      </c>
      <c r="P26" s="84">
        <f t="shared" si="0"/>
        <v>2842.4826439444078</v>
      </c>
      <c r="Q26" s="78">
        <v>5314.2253606882859</v>
      </c>
      <c r="R26" s="75"/>
    </row>
    <row r="27" spans="1:18" ht="35.25" x14ac:dyDescent="0.45">
      <c r="B27" s="112" t="s">
        <v>769</v>
      </c>
      <c r="C27" s="112"/>
      <c r="D27" s="86" t="s">
        <v>835</v>
      </c>
      <c r="E27" s="86" t="s">
        <v>835</v>
      </c>
      <c r="F27" s="86" t="s">
        <v>835</v>
      </c>
      <c r="G27" s="86" t="s">
        <v>835</v>
      </c>
      <c r="H27" s="86" t="s">
        <v>835</v>
      </c>
      <c r="I27" s="87">
        <f>I28</f>
        <v>366.5</v>
      </c>
      <c r="J27" s="87">
        <f>J28</f>
        <v>336.9</v>
      </c>
      <c r="K27" s="87">
        <f>K28</f>
        <v>336.9</v>
      </c>
      <c r="L27" s="88">
        <f>L28</f>
        <v>13</v>
      </c>
      <c r="M27" s="86" t="s">
        <v>835</v>
      </c>
      <c r="N27" s="86" t="s">
        <v>835</v>
      </c>
      <c r="O27" s="138">
        <v>48440.03</v>
      </c>
      <c r="P27" s="84">
        <f t="shared" si="0"/>
        <v>132.16924965893588</v>
      </c>
      <c r="Q27" s="78">
        <f>MAX(Q28)</f>
        <v>132.16924965893588</v>
      </c>
      <c r="R27" s="75"/>
    </row>
    <row r="28" spans="1:18" ht="35.25" x14ac:dyDescent="0.5">
      <c r="A28">
        <v>1</v>
      </c>
      <c r="B28" s="85">
        <f>SUBTOTAL(103,$A$13:A28)</f>
        <v>12</v>
      </c>
      <c r="C28" s="112" t="s">
        <v>962</v>
      </c>
      <c r="D28" s="86">
        <v>1971</v>
      </c>
      <c r="E28" s="86"/>
      <c r="F28" s="86" t="s">
        <v>256</v>
      </c>
      <c r="G28" s="86" t="s">
        <v>290</v>
      </c>
      <c r="H28" s="86" t="s">
        <v>291</v>
      </c>
      <c r="I28" s="87">
        <v>366.5</v>
      </c>
      <c r="J28" s="87">
        <v>336.9</v>
      </c>
      <c r="K28" s="87">
        <f>J28</f>
        <v>336.9</v>
      </c>
      <c r="L28" s="88">
        <v>13</v>
      </c>
      <c r="M28" s="86" t="s">
        <v>258</v>
      </c>
      <c r="N28" s="86" t="s">
        <v>319</v>
      </c>
      <c r="O28" s="84">
        <v>48440.03</v>
      </c>
      <c r="P28" s="84">
        <f t="shared" si="0"/>
        <v>132.16924965893588</v>
      </c>
      <c r="Q28" s="78">
        <v>132.16924965893588</v>
      </c>
      <c r="R28" s="75"/>
    </row>
    <row r="29" spans="1:18" ht="35.25" x14ac:dyDescent="0.45">
      <c r="B29" s="112" t="s">
        <v>986</v>
      </c>
      <c r="C29" s="112"/>
      <c r="D29" s="86" t="s">
        <v>835</v>
      </c>
      <c r="E29" s="86" t="s">
        <v>835</v>
      </c>
      <c r="F29" s="86" t="s">
        <v>835</v>
      </c>
      <c r="G29" s="86" t="s">
        <v>835</v>
      </c>
      <c r="H29" s="86" t="s">
        <v>835</v>
      </c>
      <c r="I29" s="87">
        <f>I30+I31</f>
        <v>872.2</v>
      </c>
      <c r="J29" s="87">
        <f>J30+J31</f>
        <v>820.40000000000009</v>
      </c>
      <c r="K29" s="87">
        <f>K30+K31</f>
        <v>653.30000000000007</v>
      </c>
      <c r="L29" s="88">
        <f>L30+L31</f>
        <v>38</v>
      </c>
      <c r="M29" s="86" t="s">
        <v>835</v>
      </c>
      <c r="N29" s="86" t="s">
        <v>835</v>
      </c>
      <c r="O29" s="138">
        <v>31767</v>
      </c>
      <c r="P29" s="84">
        <f t="shared" si="0"/>
        <v>36.421692272414582</v>
      </c>
      <c r="Q29" s="78">
        <f>MAX(Q30:Q31)</f>
        <v>46.402933134476761</v>
      </c>
      <c r="R29" s="75"/>
    </row>
    <row r="30" spans="1:18" ht="35.25" x14ac:dyDescent="0.5">
      <c r="A30">
        <v>1</v>
      </c>
      <c r="B30" s="85">
        <f>SUBTOTAL(103,$A$13:A30)</f>
        <v>13</v>
      </c>
      <c r="C30" s="112" t="s">
        <v>963</v>
      </c>
      <c r="D30" s="86">
        <v>1938</v>
      </c>
      <c r="E30" s="86"/>
      <c r="F30" s="86" t="s">
        <v>316</v>
      </c>
      <c r="G30" s="86" t="s">
        <v>290</v>
      </c>
      <c r="H30" s="86" t="s">
        <v>290</v>
      </c>
      <c r="I30" s="87">
        <v>469.9</v>
      </c>
      <c r="J30" s="87">
        <v>418.1</v>
      </c>
      <c r="K30" s="87">
        <f>J30-167.1</f>
        <v>251.00000000000003</v>
      </c>
      <c r="L30" s="88">
        <v>19</v>
      </c>
      <c r="M30" s="86" t="s">
        <v>255</v>
      </c>
      <c r="N30" s="86" t="s">
        <v>257</v>
      </c>
      <c r="O30" s="84">
        <v>13099.1</v>
      </c>
      <c r="P30" s="84">
        <f t="shared" si="0"/>
        <v>27.876356671632266</v>
      </c>
      <c r="Q30" s="78">
        <v>27.876356671632266</v>
      </c>
      <c r="R30" s="75"/>
    </row>
    <row r="31" spans="1:18" ht="35.25" x14ac:dyDescent="0.5">
      <c r="A31">
        <v>1</v>
      </c>
      <c r="B31" s="85">
        <f>SUBTOTAL(103,$A$13:A31)</f>
        <v>14</v>
      </c>
      <c r="C31" s="112" t="s">
        <v>964</v>
      </c>
      <c r="D31" s="86">
        <v>1950</v>
      </c>
      <c r="E31" s="86"/>
      <c r="F31" s="86" t="s">
        <v>316</v>
      </c>
      <c r="G31" s="86" t="s">
        <v>290</v>
      </c>
      <c r="H31" s="86" t="s">
        <v>290</v>
      </c>
      <c r="I31" s="87">
        <v>402.3</v>
      </c>
      <c r="J31" s="87">
        <v>402.3</v>
      </c>
      <c r="K31" s="87">
        <f>J31</f>
        <v>402.3</v>
      </c>
      <c r="L31" s="88">
        <v>19</v>
      </c>
      <c r="M31" s="86" t="s">
        <v>255</v>
      </c>
      <c r="N31" s="86" t="s">
        <v>257</v>
      </c>
      <c r="O31" s="84">
        <v>18667.900000000001</v>
      </c>
      <c r="P31" s="84">
        <f t="shared" si="0"/>
        <v>46.402933134476761</v>
      </c>
      <c r="Q31" s="78">
        <v>46.402933134476761</v>
      </c>
      <c r="R31" s="75"/>
    </row>
    <row r="32" spans="1:18" ht="35.25" x14ac:dyDescent="0.45">
      <c r="B32" s="112" t="s">
        <v>776</v>
      </c>
      <c r="C32" s="112"/>
      <c r="D32" s="86" t="s">
        <v>835</v>
      </c>
      <c r="E32" s="86" t="s">
        <v>835</v>
      </c>
      <c r="F32" s="86" t="s">
        <v>835</v>
      </c>
      <c r="G32" s="86" t="s">
        <v>835</v>
      </c>
      <c r="H32" s="86" t="s">
        <v>835</v>
      </c>
      <c r="I32" s="87">
        <f>I33+I34</f>
        <v>881.98</v>
      </c>
      <c r="J32" s="87">
        <f>J33+J34</f>
        <v>832.51</v>
      </c>
      <c r="K32" s="87">
        <f>K33+K34</f>
        <v>544.31000000000006</v>
      </c>
      <c r="L32" s="88">
        <f>L33+L34</f>
        <v>48</v>
      </c>
      <c r="M32" s="86" t="s">
        <v>835</v>
      </c>
      <c r="N32" s="86" t="s">
        <v>835</v>
      </c>
      <c r="O32" s="138">
        <v>3557815.66</v>
      </c>
      <c r="P32" s="84">
        <f t="shared" si="0"/>
        <v>4033.8960747409237</v>
      </c>
      <c r="Q32" s="78">
        <f>MAX(Q33:Q34)</f>
        <v>9509.8108495238102</v>
      </c>
      <c r="R32" s="75"/>
    </row>
    <row r="33" spans="1:18" ht="35.25" x14ac:dyDescent="0.5">
      <c r="A33">
        <v>1</v>
      </c>
      <c r="B33" s="85">
        <f>SUBTOTAL(103,$A$13:A33)</f>
        <v>15</v>
      </c>
      <c r="C33" s="112" t="s">
        <v>984</v>
      </c>
      <c r="D33" s="86">
        <v>1962</v>
      </c>
      <c r="E33" s="86"/>
      <c r="F33" s="86" t="s">
        <v>256</v>
      </c>
      <c r="G33" s="86" t="s">
        <v>290</v>
      </c>
      <c r="H33" s="86" t="s">
        <v>290</v>
      </c>
      <c r="I33" s="87">
        <v>671.98</v>
      </c>
      <c r="J33" s="87">
        <v>624.21</v>
      </c>
      <c r="K33" s="87">
        <f>J33-79.9</f>
        <v>544.31000000000006</v>
      </c>
      <c r="L33" s="88">
        <v>38</v>
      </c>
      <c r="M33" s="86" t="s">
        <v>258</v>
      </c>
      <c r="N33" s="86" t="s">
        <v>273</v>
      </c>
      <c r="O33" s="84">
        <v>2576429.98</v>
      </c>
      <c r="P33" s="84">
        <f t="shared" si="0"/>
        <v>3834.0872942647102</v>
      </c>
      <c r="Q33" s="78">
        <v>8022.1247084734669</v>
      </c>
      <c r="R33" s="75"/>
    </row>
    <row r="34" spans="1:18" ht="35.25" x14ac:dyDescent="0.5">
      <c r="A34">
        <v>1</v>
      </c>
      <c r="B34" s="85">
        <f>SUBTOTAL(103,$A$13:A34)</f>
        <v>16</v>
      </c>
      <c r="C34" s="112" t="s">
        <v>965</v>
      </c>
      <c r="D34" s="86">
        <v>1964</v>
      </c>
      <c r="E34" s="86"/>
      <c r="F34" s="86" t="s">
        <v>256</v>
      </c>
      <c r="G34" s="86" t="s">
        <v>290</v>
      </c>
      <c r="H34" s="86" t="s">
        <v>291</v>
      </c>
      <c r="I34" s="87">
        <v>210</v>
      </c>
      <c r="J34" s="87">
        <v>208.3</v>
      </c>
      <c r="K34" s="87">
        <v>0</v>
      </c>
      <c r="L34" s="88">
        <v>10</v>
      </c>
      <c r="M34" s="86" t="s">
        <v>255</v>
      </c>
      <c r="N34" s="86" t="s">
        <v>257</v>
      </c>
      <c r="O34" s="84">
        <v>981385.68</v>
      </c>
      <c r="P34" s="84">
        <f t="shared" si="0"/>
        <v>4673.2651428571435</v>
      </c>
      <c r="Q34" s="78">
        <v>9509.8108495238102</v>
      </c>
      <c r="R34" s="75"/>
    </row>
    <row r="35" spans="1:18" ht="35.25" x14ac:dyDescent="0.45">
      <c r="B35" s="112" t="s">
        <v>710</v>
      </c>
      <c r="C35" s="112"/>
      <c r="D35" s="86" t="s">
        <v>835</v>
      </c>
      <c r="E35" s="86" t="s">
        <v>835</v>
      </c>
      <c r="F35" s="86" t="s">
        <v>835</v>
      </c>
      <c r="G35" s="86" t="s">
        <v>835</v>
      </c>
      <c r="H35" s="86" t="s">
        <v>835</v>
      </c>
      <c r="I35" s="87">
        <f>I36+I37+I38</f>
        <v>2093.1</v>
      </c>
      <c r="J35" s="87">
        <f>J36+J37+J38</f>
        <v>1649</v>
      </c>
      <c r="K35" s="87">
        <f>K36+K37+K38</f>
        <v>1480.6</v>
      </c>
      <c r="L35" s="88">
        <f>L36+L37+L38</f>
        <v>110</v>
      </c>
      <c r="M35" s="86" t="s">
        <v>835</v>
      </c>
      <c r="N35" s="86" t="s">
        <v>835</v>
      </c>
      <c r="O35" s="138">
        <v>223917.22</v>
      </c>
      <c r="P35" s="84">
        <f t="shared" si="0"/>
        <v>106.97874922363958</v>
      </c>
      <c r="Q35" s="78">
        <f>MAX(Q36:Q38)</f>
        <v>154.58582000000001</v>
      </c>
      <c r="R35" s="75"/>
    </row>
    <row r="36" spans="1:18" ht="35.25" x14ac:dyDescent="0.5">
      <c r="A36">
        <v>1</v>
      </c>
      <c r="B36" s="85">
        <f>SUBTOTAL(103,$A$13:A36)</f>
        <v>17</v>
      </c>
      <c r="C36" s="112" t="s">
        <v>966</v>
      </c>
      <c r="D36" s="86">
        <v>1960</v>
      </c>
      <c r="E36" s="86"/>
      <c r="F36" s="86" t="s">
        <v>256</v>
      </c>
      <c r="G36" s="86" t="s">
        <v>290</v>
      </c>
      <c r="H36" s="86" t="s">
        <v>291</v>
      </c>
      <c r="I36" s="87">
        <v>306.60000000000002</v>
      </c>
      <c r="J36" s="87">
        <v>285.60000000000002</v>
      </c>
      <c r="K36" s="87">
        <f>J36-33.2</f>
        <v>252.40000000000003</v>
      </c>
      <c r="L36" s="88">
        <v>21</v>
      </c>
      <c r="M36" s="86" t="s">
        <v>255</v>
      </c>
      <c r="N36" s="86" t="s">
        <v>257</v>
      </c>
      <c r="O36" s="84">
        <v>47271.85</v>
      </c>
      <c r="P36" s="84">
        <f t="shared" si="0"/>
        <v>154.18085453359424</v>
      </c>
      <c r="Q36" s="78">
        <v>154.18085453359424</v>
      </c>
      <c r="R36" s="75"/>
    </row>
    <row r="37" spans="1:18" ht="35.25" x14ac:dyDescent="0.5">
      <c r="A37">
        <v>1</v>
      </c>
      <c r="B37" s="85">
        <f>SUBTOTAL(103,$A$13:A37)</f>
        <v>18</v>
      </c>
      <c r="C37" s="112" t="s">
        <v>733</v>
      </c>
      <c r="D37" s="86">
        <v>1960</v>
      </c>
      <c r="E37" s="86"/>
      <c r="F37" s="86" t="s">
        <v>256</v>
      </c>
      <c r="G37" s="86" t="s">
        <v>299</v>
      </c>
      <c r="H37" s="86" t="s">
        <v>290</v>
      </c>
      <c r="I37" s="87">
        <v>1286.5</v>
      </c>
      <c r="J37" s="87">
        <v>881.8</v>
      </c>
      <c r="K37" s="87">
        <f>J37-65.9</f>
        <v>815.9</v>
      </c>
      <c r="L37" s="88">
        <v>39</v>
      </c>
      <c r="M37" s="86" t="s">
        <v>255</v>
      </c>
      <c r="N37" s="86" t="s">
        <v>257</v>
      </c>
      <c r="O37" s="84">
        <v>99352.46</v>
      </c>
      <c r="P37" s="84">
        <f t="shared" si="0"/>
        <v>77.226941313641674</v>
      </c>
      <c r="Q37" s="78">
        <v>77.226941313641674</v>
      </c>
      <c r="R37" s="75"/>
    </row>
    <row r="38" spans="1:18" ht="35.25" x14ac:dyDescent="0.5">
      <c r="A38">
        <v>1</v>
      </c>
      <c r="B38" s="85">
        <f>SUBTOTAL(103,$A$13:A38)</f>
        <v>19</v>
      </c>
      <c r="C38" s="112" t="s">
        <v>725</v>
      </c>
      <c r="D38" s="86">
        <v>1965</v>
      </c>
      <c r="E38" s="86"/>
      <c r="F38" s="86" t="s">
        <v>256</v>
      </c>
      <c r="G38" s="86" t="s">
        <v>290</v>
      </c>
      <c r="H38" s="86" t="s">
        <v>299</v>
      </c>
      <c r="I38" s="87">
        <v>500</v>
      </c>
      <c r="J38" s="87">
        <v>481.6</v>
      </c>
      <c r="K38" s="87">
        <f>J38-69.3</f>
        <v>412.3</v>
      </c>
      <c r="L38" s="88">
        <v>50</v>
      </c>
      <c r="M38" s="86" t="s">
        <v>255</v>
      </c>
      <c r="N38" s="86" t="s">
        <v>257</v>
      </c>
      <c r="O38" s="84">
        <v>77292.91</v>
      </c>
      <c r="P38" s="84">
        <f t="shared" si="0"/>
        <v>154.58582000000001</v>
      </c>
      <c r="Q38" s="78">
        <v>154.58582000000001</v>
      </c>
      <c r="R38" s="75"/>
    </row>
    <row r="39" spans="1:18" ht="35.25" x14ac:dyDescent="0.45">
      <c r="B39" s="112" t="s">
        <v>783</v>
      </c>
      <c r="C39" s="112"/>
      <c r="D39" s="86" t="s">
        <v>835</v>
      </c>
      <c r="E39" s="86" t="s">
        <v>835</v>
      </c>
      <c r="F39" s="86" t="s">
        <v>835</v>
      </c>
      <c r="G39" s="86" t="s">
        <v>835</v>
      </c>
      <c r="H39" s="86" t="s">
        <v>835</v>
      </c>
      <c r="I39" s="87">
        <f>I40</f>
        <v>755.8</v>
      </c>
      <c r="J39" s="87">
        <f>J40</f>
        <v>690.5</v>
      </c>
      <c r="K39" s="87">
        <f>K40</f>
        <v>391.9</v>
      </c>
      <c r="L39" s="88">
        <f>L40</f>
        <v>20</v>
      </c>
      <c r="M39" s="86" t="s">
        <v>835</v>
      </c>
      <c r="N39" s="86" t="s">
        <v>835</v>
      </c>
      <c r="O39" s="138">
        <v>3265341.36</v>
      </c>
      <c r="P39" s="84">
        <f t="shared" si="0"/>
        <v>4320.3775602011119</v>
      </c>
      <c r="Q39" s="78">
        <f>MAX(Q40)</f>
        <v>8199.7126223868763</v>
      </c>
      <c r="R39" s="75"/>
    </row>
    <row r="40" spans="1:18" ht="35.25" x14ac:dyDescent="0.5">
      <c r="A40">
        <v>1</v>
      </c>
      <c r="B40" s="85">
        <f>SUBTOTAL(103,$A$13:A40)</f>
        <v>20</v>
      </c>
      <c r="C40" s="112" t="s">
        <v>967</v>
      </c>
      <c r="D40" s="86">
        <v>1953</v>
      </c>
      <c r="E40" s="86"/>
      <c r="F40" s="86" t="s">
        <v>256</v>
      </c>
      <c r="G40" s="86" t="s">
        <v>290</v>
      </c>
      <c r="H40" s="86" t="s">
        <v>290</v>
      </c>
      <c r="I40" s="87">
        <v>755.8</v>
      </c>
      <c r="J40" s="87">
        <v>690.5</v>
      </c>
      <c r="K40" s="87">
        <f>J40-298.6</f>
        <v>391.9</v>
      </c>
      <c r="L40" s="88">
        <v>20</v>
      </c>
      <c r="M40" s="86" t="s">
        <v>255</v>
      </c>
      <c r="N40" s="86" t="s">
        <v>257</v>
      </c>
      <c r="O40" s="84">
        <v>3265341.36</v>
      </c>
      <c r="P40" s="84">
        <f t="shared" si="0"/>
        <v>4320.3775602011119</v>
      </c>
      <c r="Q40" s="78">
        <v>8199.7126223868763</v>
      </c>
      <c r="R40" s="75"/>
    </row>
    <row r="41" spans="1:18" ht="35.25" x14ac:dyDescent="0.45">
      <c r="B41" s="112" t="s">
        <v>785</v>
      </c>
      <c r="C41" s="112"/>
      <c r="D41" s="86" t="s">
        <v>835</v>
      </c>
      <c r="E41" s="86" t="s">
        <v>835</v>
      </c>
      <c r="F41" s="86" t="s">
        <v>835</v>
      </c>
      <c r="G41" s="86" t="s">
        <v>835</v>
      </c>
      <c r="H41" s="86" t="s">
        <v>835</v>
      </c>
      <c r="I41" s="87">
        <f>I42</f>
        <v>1840.2</v>
      </c>
      <c r="J41" s="87">
        <f>J42</f>
        <v>1840.2</v>
      </c>
      <c r="K41" s="87">
        <f>K42</f>
        <v>1695.4</v>
      </c>
      <c r="L41" s="88">
        <f>L42</f>
        <v>77</v>
      </c>
      <c r="M41" s="86" t="s">
        <v>835</v>
      </c>
      <c r="N41" s="86" t="s">
        <v>835</v>
      </c>
      <c r="O41" s="138">
        <v>97672.62</v>
      </c>
      <c r="P41" s="84">
        <f t="shared" si="0"/>
        <v>53.077176393870225</v>
      </c>
      <c r="Q41" s="78">
        <f>MAX(Q42)</f>
        <v>53.077176393870225</v>
      </c>
      <c r="R41" s="75"/>
    </row>
    <row r="42" spans="1:18" ht="35.25" x14ac:dyDescent="0.5">
      <c r="A42">
        <v>1</v>
      </c>
      <c r="B42" s="85">
        <f>SUBTOTAL(103,$A$13:A42)</f>
        <v>21</v>
      </c>
      <c r="C42" s="112" t="s">
        <v>968</v>
      </c>
      <c r="D42" s="86">
        <v>1986</v>
      </c>
      <c r="E42" s="86"/>
      <c r="F42" s="86" t="s">
        <v>256</v>
      </c>
      <c r="G42" s="86" t="s">
        <v>299</v>
      </c>
      <c r="H42" s="86" t="s">
        <v>299</v>
      </c>
      <c r="I42" s="87">
        <v>1840.2</v>
      </c>
      <c r="J42" s="87">
        <v>1840.2</v>
      </c>
      <c r="K42" s="87">
        <f>J42-144.8</f>
        <v>1695.4</v>
      </c>
      <c r="L42" s="88">
        <v>77</v>
      </c>
      <c r="M42" s="86" t="s">
        <v>327</v>
      </c>
      <c r="N42" s="86" t="s">
        <v>999</v>
      </c>
      <c r="O42" s="84">
        <v>97672.62</v>
      </c>
      <c r="P42" s="84">
        <f t="shared" ref="P42:P73" si="1">O42/I42</f>
        <v>53.077176393870225</v>
      </c>
      <c r="Q42" s="78">
        <v>53.077176393870225</v>
      </c>
      <c r="R42" s="75"/>
    </row>
    <row r="43" spans="1:18" ht="35.25" x14ac:dyDescent="0.45">
      <c r="B43" s="112" t="s">
        <v>987</v>
      </c>
      <c r="C43" s="112"/>
      <c r="D43" s="86" t="s">
        <v>835</v>
      </c>
      <c r="E43" s="86" t="s">
        <v>835</v>
      </c>
      <c r="F43" s="86" t="s">
        <v>835</v>
      </c>
      <c r="G43" s="86" t="s">
        <v>835</v>
      </c>
      <c r="H43" s="86" t="s">
        <v>835</v>
      </c>
      <c r="I43" s="87">
        <f>I44+I45+I46</f>
        <v>1621.7</v>
      </c>
      <c r="J43" s="87">
        <f>J44+J45+J46</f>
        <v>1475.1999999999998</v>
      </c>
      <c r="K43" s="87">
        <f>K44+K45+K46</f>
        <v>1246.9000000000001</v>
      </c>
      <c r="L43" s="88">
        <f>L44+L45+L46</f>
        <v>58</v>
      </c>
      <c r="M43" s="86" t="s">
        <v>835</v>
      </c>
      <c r="N43" s="86" t="s">
        <v>835</v>
      </c>
      <c r="O43" s="138">
        <v>7629142.8200000003</v>
      </c>
      <c r="P43" s="84">
        <f t="shared" si="1"/>
        <v>4704.4106924831967</v>
      </c>
      <c r="Q43" s="78">
        <f>MAX(Q44:Q46)</f>
        <v>8062.7565363357226</v>
      </c>
      <c r="R43" s="75"/>
    </row>
    <row r="44" spans="1:18" ht="35.25" x14ac:dyDescent="0.5">
      <c r="A44">
        <v>1</v>
      </c>
      <c r="B44" s="85">
        <f>SUBTOTAL(103,$A$13:A44)</f>
        <v>22</v>
      </c>
      <c r="C44" s="112" t="s">
        <v>969</v>
      </c>
      <c r="D44" s="86">
        <v>1950</v>
      </c>
      <c r="E44" s="86"/>
      <c r="F44" s="86" t="s">
        <v>256</v>
      </c>
      <c r="G44" s="86" t="s">
        <v>290</v>
      </c>
      <c r="H44" s="86" t="s">
        <v>291</v>
      </c>
      <c r="I44" s="87">
        <v>488.5</v>
      </c>
      <c r="J44" s="87">
        <v>433.9</v>
      </c>
      <c r="K44" s="87">
        <f>J44-53.4</f>
        <v>380.5</v>
      </c>
      <c r="L44" s="88">
        <v>18</v>
      </c>
      <c r="M44" s="86" t="s">
        <v>258</v>
      </c>
      <c r="N44" s="86" t="s">
        <v>307</v>
      </c>
      <c r="O44" s="84">
        <v>2406352.7599999998</v>
      </c>
      <c r="P44" s="84">
        <f t="shared" si="1"/>
        <v>4926.003602865916</v>
      </c>
      <c r="Q44" s="78">
        <v>8062.7565363357226</v>
      </c>
      <c r="R44" s="75"/>
    </row>
    <row r="45" spans="1:18" ht="35.25" x14ac:dyDescent="0.5">
      <c r="A45">
        <v>1</v>
      </c>
      <c r="B45" s="85">
        <f>SUBTOTAL(103,$A$13:A45)</f>
        <v>23</v>
      </c>
      <c r="C45" s="112" t="s">
        <v>970</v>
      </c>
      <c r="D45" s="86">
        <v>1956</v>
      </c>
      <c r="E45" s="86"/>
      <c r="F45" s="86" t="s">
        <v>256</v>
      </c>
      <c r="G45" s="86" t="s">
        <v>290</v>
      </c>
      <c r="H45" s="86" t="s">
        <v>291</v>
      </c>
      <c r="I45" s="87">
        <v>567.9</v>
      </c>
      <c r="J45" s="87">
        <v>524.79999999999995</v>
      </c>
      <c r="K45" s="87">
        <f>J45-79.8</f>
        <v>444.99999999999994</v>
      </c>
      <c r="L45" s="88">
        <v>13</v>
      </c>
      <c r="M45" s="86" t="s">
        <v>258</v>
      </c>
      <c r="N45" s="86" t="s">
        <v>307</v>
      </c>
      <c r="O45" s="84">
        <v>2491755.89</v>
      </c>
      <c r="P45" s="84">
        <f t="shared" si="1"/>
        <v>4387.6666490579328</v>
      </c>
      <c r="Q45" s="78">
        <v>7882.2927980278218</v>
      </c>
      <c r="R45" s="75"/>
    </row>
    <row r="46" spans="1:18" ht="35.25" x14ac:dyDescent="0.5">
      <c r="A46">
        <v>1</v>
      </c>
      <c r="B46" s="85">
        <f>SUBTOTAL(103,$A$13:A46)</f>
        <v>24</v>
      </c>
      <c r="C46" s="112" t="s">
        <v>971</v>
      </c>
      <c r="D46" s="86">
        <v>1963</v>
      </c>
      <c r="E46" s="86"/>
      <c r="F46" s="86" t="s">
        <v>256</v>
      </c>
      <c r="G46" s="86" t="s">
        <v>290</v>
      </c>
      <c r="H46" s="86" t="s">
        <v>290</v>
      </c>
      <c r="I46" s="87">
        <v>565.29999999999995</v>
      </c>
      <c r="J46" s="87">
        <v>516.5</v>
      </c>
      <c r="K46" s="87">
        <f>J46-95.1</f>
        <v>421.4</v>
      </c>
      <c r="L46" s="88">
        <v>27</v>
      </c>
      <c r="M46" s="86" t="s">
        <v>258</v>
      </c>
      <c r="N46" s="86" t="s">
        <v>313</v>
      </c>
      <c r="O46" s="84">
        <v>2731034.1700000004</v>
      </c>
      <c r="P46" s="84">
        <f t="shared" si="1"/>
        <v>4831.1235980895108</v>
      </c>
      <c r="Q46" s="78">
        <v>7808.1280735892469</v>
      </c>
      <c r="R46" s="75"/>
    </row>
    <row r="47" spans="1:18" ht="35.25" x14ac:dyDescent="0.45">
      <c r="B47" s="112" t="s">
        <v>988</v>
      </c>
      <c r="C47" s="112"/>
      <c r="D47" s="86" t="s">
        <v>835</v>
      </c>
      <c r="E47" s="86" t="s">
        <v>835</v>
      </c>
      <c r="F47" s="86" t="s">
        <v>835</v>
      </c>
      <c r="G47" s="86" t="s">
        <v>835</v>
      </c>
      <c r="H47" s="86" t="s">
        <v>835</v>
      </c>
      <c r="I47" s="87">
        <f>I48</f>
        <v>1598.9</v>
      </c>
      <c r="J47" s="87">
        <f>J48</f>
        <v>874</v>
      </c>
      <c r="K47" s="87">
        <f>K48</f>
        <v>786.4</v>
      </c>
      <c r="L47" s="88">
        <f>L48</f>
        <v>38</v>
      </c>
      <c r="M47" s="86" t="s">
        <v>835</v>
      </c>
      <c r="N47" s="86" t="s">
        <v>835</v>
      </c>
      <c r="O47" s="138">
        <v>2434994.4500000002</v>
      </c>
      <c r="P47" s="84">
        <f t="shared" si="1"/>
        <v>1522.9185377446995</v>
      </c>
      <c r="Q47" s="78">
        <f>MAX(Q48)</f>
        <v>4350.0476577647141</v>
      </c>
      <c r="R47" s="75"/>
    </row>
    <row r="48" spans="1:18" ht="35.25" x14ac:dyDescent="0.5">
      <c r="A48">
        <v>1</v>
      </c>
      <c r="B48" s="85">
        <f>SUBTOTAL(103,$A$13:A48)</f>
        <v>25</v>
      </c>
      <c r="C48" s="112" t="s">
        <v>976</v>
      </c>
      <c r="D48" s="86">
        <v>1974</v>
      </c>
      <c r="E48" s="86"/>
      <c r="F48" s="86" t="s">
        <v>256</v>
      </c>
      <c r="G48" s="86" t="s">
        <v>290</v>
      </c>
      <c r="H48" s="86" t="s">
        <v>299</v>
      </c>
      <c r="I48" s="87">
        <v>1598.9</v>
      </c>
      <c r="J48" s="87">
        <v>874</v>
      </c>
      <c r="K48" s="87">
        <f>J48-87.6</f>
        <v>786.4</v>
      </c>
      <c r="L48" s="88">
        <v>38</v>
      </c>
      <c r="M48" s="86" t="s">
        <v>258</v>
      </c>
      <c r="N48" s="86" t="s">
        <v>282</v>
      </c>
      <c r="O48" s="84">
        <v>2434994.4500000002</v>
      </c>
      <c r="P48" s="84">
        <f t="shared" si="1"/>
        <v>1522.9185377446995</v>
      </c>
      <c r="Q48" s="78">
        <v>4350.0476577647141</v>
      </c>
      <c r="R48" s="75"/>
    </row>
    <row r="49" spans="1:18" ht="35.25" x14ac:dyDescent="0.45">
      <c r="B49" s="112" t="s">
        <v>796</v>
      </c>
      <c r="C49" s="112"/>
      <c r="D49" s="86" t="s">
        <v>835</v>
      </c>
      <c r="E49" s="86" t="s">
        <v>835</v>
      </c>
      <c r="F49" s="86" t="s">
        <v>835</v>
      </c>
      <c r="G49" s="86" t="s">
        <v>835</v>
      </c>
      <c r="H49" s="86" t="s">
        <v>835</v>
      </c>
      <c r="I49" s="87">
        <f>I50</f>
        <v>465</v>
      </c>
      <c r="J49" s="87">
        <f>J50</f>
        <v>424.6</v>
      </c>
      <c r="K49" s="87">
        <f>K50</f>
        <v>175.8</v>
      </c>
      <c r="L49" s="88">
        <f>L50</f>
        <v>26</v>
      </c>
      <c r="M49" s="86" t="s">
        <v>835</v>
      </c>
      <c r="N49" s="86" t="s">
        <v>835</v>
      </c>
      <c r="O49" s="138">
        <v>89459.11</v>
      </c>
      <c r="P49" s="84">
        <f t="shared" si="1"/>
        <v>192.38518279569894</v>
      </c>
      <c r="Q49" s="78">
        <f>MAX(Q50)</f>
        <v>192.38518279569894</v>
      </c>
      <c r="R49" s="75"/>
    </row>
    <row r="50" spans="1:18" ht="35.25" x14ac:dyDescent="0.5">
      <c r="A50">
        <v>1</v>
      </c>
      <c r="B50" s="85">
        <f>SUBTOTAL(103,$A$13:A50)</f>
        <v>26</v>
      </c>
      <c r="C50" s="112" t="s">
        <v>972</v>
      </c>
      <c r="D50" s="86">
        <v>1953</v>
      </c>
      <c r="E50" s="86"/>
      <c r="F50" s="86" t="s">
        <v>256</v>
      </c>
      <c r="G50" s="86" t="s">
        <v>290</v>
      </c>
      <c r="H50" s="86" t="s">
        <v>291</v>
      </c>
      <c r="I50" s="87">
        <v>465</v>
      </c>
      <c r="J50" s="87">
        <v>424.6</v>
      </c>
      <c r="K50" s="87">
        <f>J50-248.8</f>
        <v>175.8</v>
      </c>
      <c r="L50" s="88">
        <v>26</v>
      </c>
      <c r="M50" s="86" t="s">
        <v>255</v>
      </c>
      <c r="N50" s="86" t="s">
        <v>257</v>
      </c>
      <c r="O50" s="84">
        <v>89459.11</v>
      </c>
      <c r="P50" s="84">
        <f t="shared" si="1"/>
        <v>192.38518279569894</v>
      </c>
      <c r="Q50" s="78">
        <v>192.38518279569894</v>
      </c>
      <c r="R50" s="75"/>
    </row>
    <row r="51" spans="1:18" ht="35.25" x14ac:dyDescent="0.45">
      <c r="B51" s="112" t="s">
        <v>802</v>
      </c>
      <c r="C51" s="112"/>
      <c r="D51" s="86" t="s">
        <v>835</v>
      </c>
      <c r="E51" s="86" t="s">
        <v>835</v>
      </c>
      <c r="F51" s="86" t="s">
        <v>835</v>
      </c>
      <c r="G51" s="86" t="s">
        <v>835</v>
      </c>
      <c r="H51" s="86" t="s">
        <v>835</v>
      </c>
      <c r="I51" s="87">
        <f>I52</f>
        <v>861.5</v>
      </c>
      <c r="J51" s="87">
        <f>J52</f>
        <v>861.5</v>
      </c>
      <c r="K51" s="87">
        <f>K52</f>
        <v>816.5</v>
      </c>
      <c r="L51" s="88">
        <f>L52</f>
        <v>31</v>
      </c>
      <c r="M51" s="86" t="s">
        <v>835</v>
      </c>
      <c r="N51" s="86" t="s">
        <v>835</v>
      </c>
      <c r="O51" s="138">
        <v>3168456.39</v>
      </c>
      <c r="P51" s="84">
        <f t="shared" si="1"/>
        <v>3677.8367846778874</v>
      </c>
      <c r="Q51" s="78">
        <f>MAX(Q52)</f>
        <v>9046.4224724318065</v>
      </c>
      <c r="R51" s="75"/>
    </row>
    <row r="52" spans="1:18" ht="35.25" x14ac:dyDescent="0.5">
      <c r="A52">
        <v>1</v>
      </c>
      <c r="B52" s="85">
        <f>SUBTOTAL(103,$A$13:A52)</f>
        <v>27</v>
      </c>
      <c r="C52" s="112" t="s">
        <v>975</v>
      </c>
      <c r="D52" s="86">
        <v>1980</v>
      </c>
      <c r="E52" s="86"/>
      <c r="F52" s="86" t="s">
        <v>256</v>
      </c>
      <c r="G52" s="86" t="s">
        <v>290</v>
      </c>
      <c r="H52" s="86" t="s">
        <v>299</v>
      </c>
      <c r="I52" s="87">
        <v>861.5</v>
      </c>
      <c r="J52" s="87">
        <v>861.5</v>
      </c>
      <c r="K52" s="87">
        <f>J52-45</f>
        <v>816.5</v>
      </c>
      <c r="L52" s="88">
        <v>31</v>
      </c>
      <c r="M52" s="86" t="s">
        <v>258</v>
      </c>
      <c r="N52" s="86" t="s">
        <v>270</v>
      </c>
      <c r="O52" s="84">
        <v>3168456.39</v>
      </c>
      <c r="P52" s="84">
        <f t="shared" si="1"/>
        <v>3677.8367846778874</v>
      </c>
      <c r="Q52" s="78">
        <v>9046.4224724318065</v>
      </c>
      <c r="R52" s="75"/>
    </row>
    <row r="53" spans="1:18" ht="35.25" x14ac:dyDescent="0.45">
      <c r="B53" s="112" t="s">
        <v>804</v>
      </c>
      <c r="C53" s="112"/>
      <c r="D53" s="86" t="s">
        <v>835</v>
      </c>
      <c r="E53" s="86" t="s">
        <v>835</v>
      </c>
      <c r="F53" s="86" t="s">
        <v>835</v>
      </c>
      <c r="G53" s="86" t="s">
        <v>835</v>
      </c>
      <c r="H53" s="86" t="s">
        <v>835</v>
      </c>
      <c r="I53" s="87">
        <f>I55+I54+I56</f>
        <v>2249.1999999999998</v>
      </c>
      <c r="J53" s="87">
        <f>J55+J54+J56</f>
        <v>2068.4</v>
      </c>
      <c r="K53" s="87">
        <f>K55+K54+K56</f>
        <v>2023.6000000000001</v>
      </c>
      <c r="L53" s="88">
        <f>L55+L54+L56</f>
        <v>104</v>
      </c>
      <c r="M53" s="86" t="s">
        <v>835</v>
      </c>
      <c r="N53" s="86" t="s">
        <v>835</v>
      </c>
      <c r="O53" s="138">
        <v>4966030.97</v>
      </c>
      <c r="P53" s="84">
        <f t="shared" si="1"/>
        <v>2207.9099101902898</v>
      </c>
      <c r="Q53" s="78">
        <f>MAX(Q54:Q56)</f>
        <v>7657.1483388654951</v>
      </c>
      <c r="R53" s="75"/>
    </row>
    <row r="54" spans="1:18" ht="35.25" x14ac:dyDescent="0.5">
      <c r="A54">
        <v>1</v>
      </c>
      <c r="B54" s="85">
        <f>SUBTOTAL(103,$A$13:A54)</f>
        <v>28</v>
      </c>
      <c r="C54" s="112" t="s">
        <v>1017</v>
      </c>
      <c r="D54" s="86">
        <v>1980</v>
      </c>
      <c r="E54" s="86"/>
      <c r="F54" s="86" t="s">
        <v>304</v>
      </c>
      <c r="G54" s="86" t="s">
        <v>299</v>
      </c>
      <c r="H54" s="86" t="s">
        <v>299</v>
      </c>
      <c r="I54" s="87">
        <v>1481.6</v>
      </c>
      <c r="J54" s="87">
        <v>1361.4</v>
      </c>
      <c r="K54" s="87">
        <v>1361.4</v>
      </c>
      <c r="L54" s="88">
        <v>70</v>
      </c>
      <c r="M54" s="86" t="s">
        <v>255</v>
      </c>
      <c r="N54" s="86" t="s">
        <v>257</v>
      </c>
      <c r="O54" s="84">
        <v>1924066.04</v>
      </c>
      <c r="P54" s="84">
        <f t="shared" si="1"/>
        <v>1298.6406857451404</v>
      </c>
      <c r="Q54" s="78">
        <v>3441.8715140388776</v>
      </c>
      <c r="R54" s="75"/>
    </row>
    <row r="55" spans="1:18" ht="35.25" x14ac:dyDescent="0.5">
      <c r="A55">
        <v>1</v>
      </c>
      <c r="B55" s="85">
        <f>SUBTOTAL(103,$A$13:A55)</f>
        <v>29</v>
      </c>
      <c r="C55" s="112" t="s">
        <v>973</v>
      </c>
      <c r="D55" s="86">
        <v>1970</v>
      </c>
      <c r="E55" s="86"/>
      <c r="F55" s="86" t="s">
        <v>256</v>
      </c>
      <c r="G55" s="86" t="s">
        <v>290</v>
      </c>
      <c r="H55" s="86" t="s">
        <v>291</v>
      </c>
      <c r="I55" s="87">
        <v>403.7</v>
      </c>
      <c r="J55" s="87">
        <v>373</v>
      </c>
      <c r="K55" s="87">
        <f>J55-44.8</f>
        <v>328.2</v>
      </c>
      <c r="L55" s="88">
        <v>20</v>
      </c>
      <c r="M55" s="86" t="s">
        <v>255</v>
      </c>
      <c r="N55" s="86" t="s">
        <v>257</v>
      </c>
      <c r="O55" s="84">
        <v>1650932.93</v>
      </c>
      <c r="P55" s="84">
        <f t="shared" si="1"/>
        <v>4089.5044092147632</v>
      </c>
      <c r="Q55" s="78">
        <v>7657.1483388654951</v>
      </c>
      <c r="R55" s="75"/>
    </row>
    <row r="56" spans="1:18" ht="35.25" x14ac:dyDescent="0.5">
      <c r="A56">
        <v>1</v>
      </c>
      <c r="B56" s="85">
        <f>SUBTOTAL(103,$A$13:A56)</f>
        <v>30</v>
      </c>
      <c r="C56" s="112" t="s">
        <v>183</v>
      </c>
      <c r="D56" s="86">
        <v>1968</v>
      </c>
      <c r="E56" s="86"/>
      <c r="F56" s="86" t="s">
        <v>256</v>
      </c>
      <c r="G56" s="86" t="s">
        <v>290</v>
      </c>
      <c r="H56" s="86" t="s">
        <v>291</v>
      </c>
      <c r="I56" s="87">
        <v>363.9</v>
      </c>
      <c r="J56" s="87">
        <v>334</v>
      </c>
      <c r="K56" s="87">
        <v>334</v>
      </c>
      <c r="L56" s="88">
        <v>14</v>
      </c>
      <c r="M56" s="86" t="s">
        <v>255</v>
      </c>
      <c r="N56" s="86" t="s">
        <v>257</v>
      </c>
      <c r="O56" s="84">
        <v>1391032.0000000002</v>
      </c>
      <c r="P56" s="84">
        <f t="shared" si="1"/>
        <v>3822.5666391865907</v>
      </c>
      <c r="Q56" s="78">
        <v>7570.5400054960173</v>
      </c>
      <c r="R56" s="75"/>
    </row>
    <row r="57" spans="1:18" ht="35.25" x14ac:dyDescent="0.45">
      <c r="B57" s="112" t="s">
        <v>803</v>
      </c>
      <c r="C57" s="112"/>
      <c r="D57" s="86" t="s">
        <v>835</v>
      </c>
      <c r="E57" s="86" t="s">
        <v>835</v>
      </c>
      <c r="F57" s="86" t="s">
        <v>835</v>
      </c>
      <c r="G57" s="86" t="s">
        <v>835</v>
      </c>
      <c r="H57" s="86" t="s">
        <v>835</v>
      </c>
      <c r="I57" s="87">
        <f>I58</f>
        <v>940.4</v>
      </c>
      <c r="J57" s="87">
        <f>J58</f>
        <v>940.4</v>
      </c>
      <c r="K57" s="87">
        <f>K58</f>
        <v>940.4</v>
      </c>
      <c r="L57" s="88">
        <f>L58</f>
        <v>26</v>
      </c>
      <c r="M57" s="86" t="s">
        <v>835</v>
      </c>
      <c r="N57" s="86" t="s">
        <v>835</v>
      </c>
      <c r="O57" s="138">
        <v>1661171.06</v>
      </c>
      <c r="P57" s="84">
        <f t="shared" si="1"/>
        <v>1766.4515737983838</v>
      </c>
      <c r="Q57" s="78">
        <f>MAX(Q58)</f>
        <v>5181.5360569970244</v>
      </c>
      <c r="R57" s="75"/>
    </row>
    <row r="58" spans="1:18" ht="35.25" x14ac:dyDescent="0.5">
      <c r="A58">
        <v>1</v>
      </c>
      <c r="B58" s="85">
        <f>SUBTOTAL(103,$A$13:A58)</f>
        <v>31</v>
      </c>
      <c r="C58" s="112" t="s">
        <v>1008</v>
      </c>
      <c r="D58" s="86">
        <v>1987</v>
      </c>
      <c r="E58" s="86"/>
      <c r="F58" s="86" t="s">
        <v>256</v>
      </c>
      <c r="G58" s="86" t="s">
        <v>290</v>
      </c>
      <c r="H58" s="86" t="s">
        <v>290</v>
      </c>
      <c r="I58" s="87">
        <v>940.4</v>
      </c>
      <c r="J58" s="87">
        <v>940.4</v>
      </c>
      <c r="K58" s="87">
        <f>J58</f>
        <v>940.4</v>
      </c>
      <c r="L58" s="88">
        <v>26</v>
      </c>
      <c r="M58" s="86" t="s">
        <v>258</v>
      </c>
      <c r="N58" s="86" t="s">
        <v>1010</v>
      </c>
      <c r="O58" s="84">
        <v>1661171.06</v>
      </c>
      <c r="P58" s="84">
        <f t="shared" si="1"/>
        <v>1766.4515737983838</v>
      </c>
      <c r="Q58" s="78">
        <v>5181.5360569970244</v>
      </c>
      <c r="R58" s="75"/>
    </row>
    <row r="59" spans="1:18" ht="35.25" x14ac:dyDescent="0.5">
      <c r="B59" s="113" t="s">
        <v>779</v>
      </c>
      <c r="C59" s="112"/>
      <c r="D59" s="86" t="s">
        <v>835</v>
      </c>
      <c r="E59" s="86" t="s">
        <v>835</v>
      </c>
      <c r="F59" s="86" t="s">
        <v>835</v>
      </c>
      <c r="G59" s="86" t="s">
        <v>835</v>
      </c>
      <c r="H59" s="86" t="s">
        <v>835</v>
      </c>
      <c r="I59" s="87">
        <f>I60</f>
        <v>1743.7</v>
      </c>
      <c r="J59" s="87">
        <f>J60</f>
        <v>1552.6</v>
      </c>
      <c r="K59" s="87">
        <f>K60</f>
        <v>1552.6</v>
      </c>
      <c r="L59" s="88">
        <f>L60</f>
        <v>65</v>
      </c>
      <c r="M59" s="86" t="s">
        <v>835</v>
      </c>
      <c r="N59" s="86" t="s">
        <v>835</v>
      </c>
      <c r="O59" s="138">
        <v>105794.97</v>
      </c>
      <c r="P59" s="84">
        <f t="shared" si="1"/>
        <v>60.672690256351437</v>
      </c>
      <c r="Q59" s="78">
        <f>MAX(Q60)</f>
        <v>60.672690256351437</v>
      </c>
      <c r="R59" s="75"/>
    </row>
    <row r="60" spans="1:18" ht="35.25" x14ac:dyDescent="0.5">
      <c r="A60">
        <v>1</v>
      </c>
      <c r="B60" s="85">
        <f>SUBTOTAL(103,$A$13:A60)</f>
        <v>32</v>
      </c>
      <c r="C60" s="112" t="s">
        <v>3539</v>
      </c>
      <c r="D60" s="86">
        <v>1978</v>
      </c>
      <c r="E60" s="86"/>
      <c r="F60" s="86" t="s">
        <v>256</v>
      </c>
      <c r="G60" s="86" t="s">
        <v>299</v>
      </c>
      <c r="H60" s="86" t="s">
        <v>299</v>
      </c>
      <c r="I60" s="87">
        <v>1743.7</v>
      </c>
      <c r="J60" s="87">
        <v>1552.6</v>
      </c>
      <c r="K60" s="87">
        <f>J60</f>
        <v>1552.6</v>
      </c>
      <c r="L60" s="88">
        <v>65</v>
      </c>
      <c r="M60" s="86" t="s">
        <v>258</v>
      </c>
      <c r="N60" s="86" t="s">
        <v>756</v>
      </c>
      <c r="O60" s="84">
        <v>105794.97</v>
      </c>
      <c r="P60" s="84">
        <f t="shared" si="1"/>
        <v>60.672690256351437</v>
      </c>
      <c r="Q60" s="78">
        <v>60.672690256351437</v>
      </c>
      <c r="R60" s="75"/>
    </row>
    <row r="61" spans="1:18" ht="35.25" x14ac:dyDescent="0.5">
      <c r="B61" s="113" t="s">
        <v>815</v>
      </c>
      <c r="C61" s="112"/>
      <c r="D61" s="86" t="s">
        <v>835</v>
      </c>
      <c r="E61" s="86" t="s">
        <v>835</v>
      </c>
      <c r="F61" s="86" t="s">
        <v>835</v>
      </c>
      <c r="G61" s="86" t="s">
        <v>835</v>
      </c>
      <c r="H61" s="86" t="s">
        <v>835</v>
      </c>
      <c r="I61" s="87">
        <f>I62</f>
        <v>1105.0999999999999</v>
      </c>
      <c r="J61" s="87">
        <f>J62</f>
        <v>953.3</v>
      </c>
      <c r="K61" s="87">
        <f>K62</f>
        <v>870.1</v>
      </c>
      <c r="L61" s="88">
        <f>L62</f>
        <v>44</v>
      </c>
      <c r="M61" s="86" t="s">
        <v>835</v>
      </c>
      <c r="N61" s="86" t="s">
        <v>835</v>
      </c>
      <c r="O61" s="138">
        <v>603261.75</v>
      </c>
      <c r="P61" s="84">
        <f t="shared" si="1"/>
        <v>545.88883358972043</v>
      </c>
      <c r="Q61" s="78">
        <f>MAX(Q62)</f>
        <v>810.46</v>
      </c>
      <c r="R61" s="75"/>
    </row>
    <row r="62" spans="1:18" ht="35.25" x14ac:dyDescent="0.5">
      <c r="A62">
        <v>1</v>
      </c>
      <c r="B62" s="85">
        <f>SUBTOTAL(103,$A$13:A62)</f>
        <v>33</v>
      </c>
      <c r="C62" s="112" t="s">
        <v>1322</v>
      </c>
      <c r="D62" s="86">
        <v>1979</v>
      </c>
      <c r="E62" s="86"/>
      <c r="F62" s="86" t="s">
        <v>256</v>
      </c>
      <c r="G62" s="86" t="s">
        <v>290</v>
      </c>
      <c r="H62" s="86" t="s">
        <v>299</v>
      </c>
      <c r="I62" s="87">
        <v>1105.0999999999999</v>
      </c>
      <c r="J62" s="87">
        <v>953.3</v>
      </c>
      <c r="K62" s="87">
        <v>870.1</v>
      </c>
      <c r="L62" s="88">
        <v>44</v>
      </c>
      <c r="M62" s="86" t="s">
        <v>258</v>
      </c>
      <c r="N62" s="86" t="s">
        <v>1279</v>
      </c>
      <c r="O62" s="84">
        <v>603261.75</v>
      </c>
      <c r="P62" s="84">
        <f t="shared" si="1"/>
        <v>545.88883358972043</v>
      </c>
      <c r="Q62" s="78">
        <v>810.46</v>
      </c>
      <c r="R62" s="75"/>
    </row>
    <row r="63" spans="1:18" ht="35.25" x14ac:dyDescent="0.45">
      <c r="B63" s="77" t="s">
        <v>1806</v>
      </c>
      <c r="C63" s="111"/>
      <c r="D63" s="86" t="s">
        <v>835</v>
      </c>
      <c r="E63" s="86" t="s">
        <v>835</v>
      </c>
      <c r="F63" s="86" t="s">
        <v>835</v>
      </c>
      <c r="G63" s="86" t="s">
        <v>835</v>
      </c>
      <c r="H63" s="86" t="s">
        <v>835</v>
      </c>
      <c r="I63" s="87">
        <f>I64+I68+I70+I72+I74+I76</f>
        <v>5362.3</v>
      </c>
      <c r="J63" s="87">
        <f>J64+J68+J70+J72+J74+J76</f>
        <v>4635.5</v>
      </c>
      <c r="K63" s="87">
        <f>K64+K68+K70+K72+K74+K76</f>
        <v>4329.5</v>
      </c>
      <c r="L63" s="88">
        <f>L64+L68+L70+L72+L74+L76</f>
        <v>244</v>
      </c>
      <c r="M63" s="86" t="s">
        <v>835</v>
      </c>
      <c r="N63" s="86" t="s">
        <v>835</v>
      </c>
      <c r="O63" s="144">
        <v>11274519.959999999</v>
      </c>
      <c r="P63" s="84">
        <f t="shared" si="1"/>
        <v>2102.5530015105455</v>
      </c>
      <c r="Q63" s="78">
        <f>MAX(Q64:Q77)</f>
        <v>8452.8653150684931</v>
      </c>
      <c r="R63" s="75"/>
    </row>
    <row r="64" spans="1:18" ht="35.25" x14ac:dyDescent="0.45">
      <c r="B64" s="112" t="s">
        <v>985</v>
      </c>
      <c r="C64" s="112"/>
      <c r="D64" s="86" t="s">
        <v>835</v>
      </c>
      <c r="E64" s="86" t="s">
        <v>835</v>
      </c>
      <c r="F64" s="86" t="s">
        <v>835</v>
      </c>
      <c r="G64" s="86" t="s">
        <v>835</v>
      </c>
      <c r="H64" s="86" t="s">
        <v>835</v>
      </c>
      <c r="I64" s="87">
        <f>SUM(I65:I67)</f>
        <v>1180.5999999999999</v>
      </c>
      <c r="J64" s="87">
        <f>SUM(J65:J67)</f>
        <v>1060.7</v>
      </c>
      <c r="K64" s="87">
        <f>SUM(K65:K67)</f>
        <v>932.7</v>
      </c>
      <c r="L64" s="88">
        <f>SUM(L65:L67)</f>
        <v>60</v>
      </c>
      <c r="M64" s="86" t="s">
        <v>835</v>
      </c>
      <c r="N64" s="86" t="s">
        <v>835</v>
      </c>
      <c r="O64" s="138">
        <v>4318971.5999999996</v>
      </c>
      <c r="P64" s="84">
        <f t="shared" si="1"/>
        <v>3658.2852786718618</v>
      </c>
      <c r="Q64" s="78">
        <f>MAX(Q65:Q67)</f>
        <v>8303.965208577878</v>
      </c>
      <c r="R64" s="75"/>
    </row>
    <row r="65" spans="1:18" ht="35.25" x14ac:dyDescent="0.5">
      <c r="A65">
        <v>1</v>
      </c>
      <c r="B65" s="85">
        <f>SUBTOTAL(103,$A$64:A65)</f>
        <v>1</v>
      </c>
      <c r="C65" s="112" t="s">
        <v>961</v>
      </c>
      <c r="D65" s="86">
        <v>1961</v>
      </c>
      <c r="E65" s="86"/>
      <c r="F65" s="86" t="s">
        <v>256</v>
      </c>
      <c r="G65" s="86" t="s">
        <v>290</v>
      </c>
      <c r="H65" s="86" t="s">
        <v>291</v>
      </c>
      <c r="I65" s="87">
        <v>301.39999999999998</v>
      </c>
      <c r="J65" s="87">
        <v>276.5</v>
      </c>
      <c r="K65" s="87">
        <f>J65-38</f>
        <v>238.5</v>
      </c>
      <c r="L65" s="88">
        <v>16</v>
      </c>
      <c r="M65" s="86" t="s">
        <v>258</v>
      </c>
      <c r="N65" s="86" t="s">
        <v>941</v>
      </c>
      <c r="O65" s="84">
        <v>903430.57</v>
      </c>
      <c r="P65" s="84">
        <f t="shared" si="1"/>
        <v>2997.4471466489717</v>
      </c>
      <c r="Q65" s="78">
        <v>7545.164934306571</v>
      </c>
      <c r="R65" s="75"/>
    </row>
    <row r="66" spans="1:18" ht="35.25" x14ac:dyDescent="0.5">
      <c r="A66">
        <v>1</v>
      </c>
      <c r="B66" s="85">
        <f>SUBTOTAL(103,$A$64:A66)</f>
        <v>2</v>
      </c>
      <c r="C66" s="83" t="s">
        <v>1023</v>
      </c>
      <c r="D66" s="86">
        <v>1956</v>
      </c>
      <c r="E66" s="86"/>
      <c r="F66" s="86" t="s">
        <v>256</v>
      </c>
      <c r="G66" s="86" t="s">
        <v>290</v>
      </c>
      <c r="H66" s="86" t="s">
        <v>291</v>
      </c>
      <c r="I66" s="87">
        <v>443</v>
      </c>
      <c r="J66" s="87">
        <v>397.1</v>
      </c>
      <c r="K66" s="87">
        <v>353.4</v>
      </c>
      <c r="L66" s="88">
        <v>24</v>
      </c>
      <c r="M66" s="86" t="s">
        <v>258</v>
      </c>
      <c r="N66" s="86" t="s">
        <v>1015</v>
      </c>
      <c r="O66" s="84">
        <v>2137971.37</v>
      </c>
      <c r="P66" s="84">
        <f t="shared" si="1"/>
        <v>4826.120474040632</v>
      </c>
      <c r="Q66" s="78">
        <v>8303.965208577878</v>
      </c>
      <c r="R66" s="75"/>
    </row>
    <row r="67" spans="1:18" ht="35.25" x14ac:dyDescent="0.5">
      <c r="A67">
        <v>1</v>
      </c>
      <c r="B67" s="85">
        <f>SUBTOTAL(103,$A$64:A67)</f>
        <v>3</v>
      </c>
      <c r="C67" s="83" t="s">
        <v>1320</v>
      </c>
      <c r="D67" s="86">
        <v>1957</v>
      </c>
      <c r="E67" s="86"/>
      <c r="F67" s="86" t="s">
        <v>256</v>
      </c>
      <c r="G67" s="86" t="s">
        <v>290</v>
      </c>
      <c r="H67" s="86" t="s">
        <v>291</v>
      </c>
      <c r="I67" s="87">
        <v>436.2</v>
      </c>
      <c r="J67" s="87">
        <v>387.1</v>
      </c>
      <c r="K67" s="87">
        <v>340.8</v>
      </c>
      <c r="L67" s="88">
        <v>20</v>
      </c>
      <c r="M67" s="86" t="s">
        <v>258</v>
      </c>
      <c r="N67" s="86" t="s">
        <v>1321</v>
      </c>
      <c r="O67" s="84">
        <v>1277569.6599999999</v>
      </c>
      <c r="P67" s="84">
        <f t="shared" si="1"/>
        <v>2928.8621274644656</v>
      </c>
      <c r="Q67" s="78">
        <v>7917.1949142595149</v>
      </c>
      <c r="R67" s="75"/>
    </row>
    <row r="68" spans="1:18" ht="35.25" x14ac:dyDescent="0.45">
      <c r="B68" s="112" t="s">
        <v>769</v>
      </c>
      <c r="C68" s="112"/>
      <c r="D68" s="86" t="s">
        <v>835</v>
      </c>
      <c r="E68" s="86" t="s">
        <v>835</v>
      </c>
      <c r="F68" s="86" t="s">
        <v>835</v>
      </c>
      <c r="G68" s="86" t="s">
        <v>835</v>
      </c>
      <c r="H68" s="86" t="s">
        <v>835</v>
      </c>
      <c r="I68" s="87">
        <f>I69</f>
        <v>366.5</v>
      </c>
      <c r="J68" s="87">
        <f>J69</f>
        <v>336.9</v>
      </c>
      <c r="K68" s="87">
        <f>K69</f>
        <v>336.9</v>
      </c>
      <c r="L68" s="88">
        <f>L69</f>
        <v>25</v>
      </c>
      <c r="M68" s="86" t="s">
        <v>835</v>
      </c>
      <c r="N68" s="86" t="s">
        <v>835</v>
      </c>
      <c r="O68" s="138">
        <v>1358175.69</v>
      </c>
      <c r="P68" s="84">
        <f t="shared" si="1"/>
        <v>3705.7999727148704</v>
      </c>
      <c r="Q68" s="78">
        <f>Q69</f>
        <v>7419.5125457025924</v>
      </c>
      <c r="R68" s="75"/>
    </row>
    <row r="69" spans="1:18" ht="35.25" x14ac:dyDescent="0.5">
      <c r="A69">
        <v>1</v>
      </c>
      <c r="B69" s="85">
        <f>SUBTOTAL(103,$A$64:A69)</f>
        <v>4</v>
      </c>
      <c r="C69" s="112" t="s">
        <v>962</v>
      </c>
      <c r="D69" s="86">
        <v>1971</v>
      </c>
      <c r="E69" s="86"/>
      <c r="F69" s="86" t="s">
        <v>256</v>
      </c>
      <c r="G69" s="86" t="s">
        <v>290</v>
      </c>
      <c r="H69" s="86" t="s">
        <v>291</v>
      </c>
      <c r="I69" s="87">
        <v>366.5</v>
      </c>
      <c r="J69" s="87">
        <v>336.9</v>
      </c>
      <c r="K69" s="87">
        <f>J69</f>
        <v>336.9</v>
      </c>
      <c r="L69" s="88">
        <f>L70</f>
        <v>25</v>
      </c>
      <c r="M69" s="86" t="s">
        <v>258</v>
      </c>
      <c r="N69" s="86" t="s">
        <v>319</v>
      </c>
      <c r="O69" s="84">
        <v>1358175.69</v>
      </c>
      <c r="P69" s="84">
        <f t="shared" si="1"/>
        <v>3705.7999727148704</v>
      </c>
      <c r="Q69" s="78">
        <v>7419.5125457025924</v>
      </c>
      <c r="R69" s="75"/>
    </row>
    <row r="70" spans="1:18" ht="35.25" x14ac:dyDescent="0.45">
      <c r="B70" s="112" t="s">
        <v>986</v>
      </c>
      <c r="C70" s="112"/>
      <c r="D70" s="86" t="s">
        <v>835</v>
      </c>
      <c r="E70" s="86" t="s">
        <v>835</v>
      </c>
      <c r="F70" s="86" t="s">
        <v>835</v>
      </c>
      <c r="G70" s="86" t="s">
        <v>835</v>
      </c>
      <c r="H70" s="86" t="s">
        <v>835</v>
      </c>
      <c r="I70" s="87">
        <f>I71</f>
        <v>410.7</v>
      </c>
      <c r="J70" s="87">
        <f>J71</f>
        <v>379.6</v>
      </c>
      <c r="K70" s="87">
        <f>K71</f>
        <v>379.6</v>
      </c>
      <c r="L70" s="88">
        <f>L71</f>
        <v>25</v>
      </c>
      <c r="M70" s="86" t="s">
        <v>835</v>
      </c>
      <c r="N70" s="86" t="s">
        <v>835</v>
      </c>
      <c r="O70" s="138">
        <v>60184.81</v>
      </c>
      <c r="P70" s="84">
        <f t="shared" si="1"/>
        <v>146.54202580959338</v>
      </c>
      <c r="Q70" s="78">
        <f>Q71</f>
        <v>146.54202580959338</v>
      </c>
      <c r="R70" s="75"/>
    </row>
    <row r="71" spans="1:18" ht="35.25" x14ac:dyDescent="0.5">
      <c r="A71">
        <v>1</v>
      </c>
      <c r="B71" s="85">
        <f>SUBTOTAL(103,$A$64:A71)</f>
        <v>5</v>
      </c>
      <c r="C71" s="112" t="s">
        <v>1807</v>
      </c>
      <c r="D71" s="86">
        <v>1997</v>
      </c>
      <c r="E71" s="86"/>
      <c r="F71" s="86" t="s">
        <v>256</v>
      </c>
      <c r="G71" s="86">
        <v>2</v>
      </c>
      <c r="H71" s="86">
        <v>1</v>
      </c>
      <c r="I71" s="87">
        <v>410.7</v>
      </c>
      <c r="J71" s="87">
        <v>379.6</v>
      </c>
      <c r="K71" s="87">
        <v>379.6</v>
      </c>
      <c r="L71" s="88">
        <v>25</v>
      </c>
      <c r="M71" s="86" t="s">
        <v>255</v>
      </c>
      <c r="N71" s="86" t="s">
        <v>257</v>
      </c>
      <c r="O71" s="84">
        <v>60184.81</v>
      </c>
      <c r="P71" s="84">
        <f t="shared" si="1"/>
        <v>146.54202580959338</v>
      </c>
      <c r="Q71" s="78">
        <v>146.54202580959338</v>
      </c>
      <c r="R71" s="75"/>
    </row>
    <row r="72" spans="1:18" ht="35.25" x14ac:dyDescent="0.45">
      <c r="B72" s="112" t="s">
        <v>710</v>
      </c>
      <c r="C72" s="112"/>
      <c r="D72" s="86" t="s">
        <v>835</v>
      </c>
      <c r="E72" s="86" t="s">
        <v>835</v>
      </c>
      <c r="F72" s="86" t="s">
        <v>835</v>
      </c>
      <c r="G72" s="86" t="s">
        <v>835</v>
      </c>
      <c r="H72" s="86" t="s">
        <v>835</v>
      </c>
      <c r="I72" s="87">
        <f>SUM(I73:I73)</f>
        <v>306.60000000000002</v>
      </c>
      <c r="J72" s="87">
        <f>SUM(J73:J73)</f>
        <v>285.60000000000002</v>
      </c>
      <c r="K72" s="87">
        <f>SUM(K73:K73)</f>
        <v>252.40000000000003</v>
      </c>
      <c r="L72" s="88">
        <f>SUM(L73:L73)</f>
        <v>21</v>
      </c>
      <c r="M72" s="86" t="s">
        <v>835</v>
      </c>
      <c r="N72" s="86" t="s">
        <v>835</v>
      </c>
      <c r="O72" s="138">
        <v>1003273.4</v>
      </c>
      <c r="P72" s="84">
        <f t="shared" si="1"/>
        <v>3272.2550554468362</v>
      </c>
      <c r="Q72" s="78">
        <f>MAX(Q73:Q73)</f>
        <v>8452.8653150684931</v>
      </c>
      <c r="R72" s="75"/>
    </row>
    <row r="73" spans="1:18" ht="35.25" x14ac:dyDescent="0.5">
      <c r="A73">
        <v>1</v>
      </c>
      <c r="B73" s="85">
        <f>SUBTOTAL(103,$A$64:A73)</f>
        <v>6</v>
      </c>
      <c r="C73" s="112" t="s">
        <v>966</v>
      </c>
      <c r="D73" s="86">
        <v>1960</v>
      </c>
      <c r="E73" s="86"/>
      <c r="F73" s="86" t="s">
        <v>256</v>
      </c>
      <c r="G73" s="86" t="s">
        <v>290</v>
      </c>
      <c r="H73" s="86" t="s">
        <v>291</v>
      </c>
      <c r="I73" s="87">
        <v>306.60000000000002</v>
      </c>
      <c r="J73" s="87">
        <v>285.60000000000002</v>
      </c>
      <c r="K73" s="87">
        <f>J73-33.2</f>
        <v>252.40000000000003</v>
      </c>
      <c r="L73" s="88">
        <v>21</v>
      </c>
      <c r="M73" s="86" t="s">
        <v>255</v>
      </c>
      <c r="N73" s="86" t="s">
        <v>257</v>
      </c>
      <c r="O73" s="84">
        <v>1003273.4</v>
      </c>
      <c r="P73" s="84">
        <f t="shared" si="1"/>
        <v>3272.2550554468362</v>
      </c>
      <c r="Q73" s="78">
        <v>8452.8653150684931</v>
      </c>
      <c r="R73" s="75"/>
    </row>
    <row r="74" spans="1:18" ht="35.25" x14ac:dyDescent="0.45">
      <c r="B74" s="112" t="s">
        <v>785</v>
      </c>
      <c r="C74" s="112"/>
      <c r="D74" s="86" t="s">
        <v>835</v>
      </c>
      <c r="E74" s="86" t="s">
        <v>835</v>
      </c>
      <c r="F74" s="86" t="s">
        <v>835</v>
      </c>
      <c r="G74" s="86" t="s">
        <v>835</v>
      </c>
      <c r="H74" s="86" t="s">
        <v>835</v>
      </c>
      <c r="I74" s="87">
        <f>I75</f>
        <v>1840.2</v>
      </c>
      <c r="J74" s="87">
        <f>J75</f>
        <v>1840.2</v>
      </c>
      <c r="K74" s="87">
        <f>K75</f>
        <v>1695.4</v>
      </c>
      <c r="L74" s="88">
        <f>L75</f>
        <v>77</v>
      </c>
      <c r="M74" s="86" t="s">
        <v>835</v>
      </c>
      <c r="N74" s="86" t="s">
        <v>835</v>
      </c>
      <c r="O74" s="138">
        <v>4407071.78</v>
      </c>
      <c r="P74" s="84">
        <f t="shared" ref="P74:P89" si="2">O74/I74</f>
        <v>2394.8873926747092</v>
      </c>
      <c r="Q74" s="78">
        <f>Q75</f>
        <v>5045.9146249320729</v>
      </c>
      <c r="R74" s="75"/>
    </row>
    <row r="75" spans="1:18" ht="35.25" x14ac:dyDescent="0.5">
      <c r="A75">
        <v>1</v>
      </c>
      <c r="B75" s="85">
        <f>SUBTOTAL(103,$A$64:A75)</f>
        <v>7</v>
      </c>
      <c r="C75" s="112" t="s">
        <v>968</v>
      </c>
      <c r="D75" s="86">
        <v>1986</v>
      </c>
      <c r="E75" s="86"/>
      <c r="F75" s="86" t="s">
        <v>256</v>
      </c>
      <c r="G75" s="86" t="s">
        <v>299</v>
      </c>
      <c r="H75" s="86" t="s">
        <v>299</v>
      </c>
      <c r="I75" s="87">
        <v>1840.2</v>
      </c>
      <c r="J75" s="87">
        <v>1840.2</v>
      </c>
      <c r="K75" s="87">
        <f>J75-144.8</f>
        <v>1695.4</v>
      </c>
      <c r="L75" s="88">
        <v>77</v>
      </c>
      <c r="M75" s="86" t="s">
        <v>327</v>
      </c>
      <c r="N75" s="86" t="s">
        <v>999</v>
      </c>
      <c r="O75" s="84">
        <v>4407071.78</v>
      </c>
      <c r="P75" s="84">
        <f t="shared" si="2"/>
        <v>2394.8873926747092</v>
      </c>
      <c r="Q75" s="78">
        <v>5045.9146249320729</v>
      </c>
      <c r="R75" s="75"/>
    </row>
    <row r="76" spans="1:18" ht="35.25" x14ac:dyDescent="0.45">
      <c r="B76" s="112" t="s">
        <v>1594</v>
      </c>
      <c r="C76" s="112"/>
      <c r="D76" s="86" t="s">
        <v>835</v>
      </c>
      <c r="E76" s="86" t="s">
        <v>835</v>
      </c>
      <c r="F76" s="86" t="s">
        <v>835</v>
      </c>
      <c r="G76" s="86" t="s">
        <v>835</v>
      </c>
      <c r="H76" s="86" t="s">
        <v>835</v>
      </c>
      <c r="I76" s="87">
        <f>I77</f>
        <v>1257.7</v>
      </c>
      <c r="J76" s="87">
        <f>J77</f>
        <v>732.5</v>
      </c>
      <c r="K76" s="87">
        <f>K77</f>
        <v>732.5</v>
      </c>
      <c r="L76" s="88">
        <f>L77</f>
        <v>36</v>
      </c>
      <c r="M76" s="86" t="s">
        <v>835</v>
      </c>
      <c r="N76" s="86" t="s">
        <v>835</v>
      </c>
      <c r="O76" s="138">
        <v>126842.68</v>
      </c>
      <c r="P76" s="84">
        <f t="shared" si="2"/>
        <v>100.85289019639022</v>
      </c>
      <c r="Q76" s="78">
        <f>Q77</f>
        <v>100.85289019639022</v>
      </c>
      <c r="R76" s="75"/>
    </row>
    <row r="77" spans="1:18" ht="35.25" x14ac:dyDescent="0.5">
      <c r="A77">
        <v>1</v>
      </c>
      <c r="B77" s="85">
        <f>SUBTOTAL(103,$A$64:A77)</f>
        <v>8</v>
      </c>
      <c r="C77" s="112" t="s">
        <v>1593</v>
      </c>
      <c r="D77" s="86">
        <v>1972</v>
      </c>
      <c r="E77" s="86"/>
      <c r="F77" s="86" t="s">
        <v>256</v>
      </c>
      <c r="G77" s="86" t="s">
        <v>290</v>
      </c>
      <c r="H77" s="86" t="s">
        <v>290</v>
      </c>
      <c r="I77" s="87">
        <v>1257.7</v>
      </c>
      <c r="J77" s="87">
        <v>732.5</v>
      </c>
      <c r="K77" s="87">
        <f>J77</f>
        <v>732.5</v>
      </c>
      <c r="L77" s="88">
        <v>36</v>
      </c>
      <c r="M77" s="86" t="s">
        <v>327</v>
      </c>
      <c r="N77" s="86" t="s">
        <v>1595</v>
      </c>
      <c r="O77" s="84">
        <v>126842.68</v>
      </c>
      <c r="P77" s="84">
        <f t="shared" si="2"/>
        <v>100.85289019639022</v>
      </c>
      <c r="Q77" s="81">
        <f>P77</f>
        <v>100.85289019639022</v>
      </c>
      <c r="R77" s="75"/>
    </row>
    <row r="78" spans="1:18" ht="35.25" x14ac:dyDescent="0.45">
      <c r="B78" s="77" t="s">
        <v>2684</v>
      </c>
      <c r="C78" s="111"/>
      <c r="D78" s="86" t="s">
        <v>835</v>
      </c>
      <c r="E78" s="86" t="s">
        <v>835</v>
      </c>
      <c r="F78" s="86" t="s">
        <v>835</v>
      </c>
      <c r="G78" s="86" t="s">
        <v>835</v>
      </c>
      <c r="H78" s="86" t="s">
        <v>835</v>
      </c>
      <c r="I78" s="87">
        <f>I79+I84+I86+I88+I82</f>
        <v>5663.5999999999995</v>
      </c>
      <c r="J78" s="87">
        <f>J79+J84+J86+J88+J82</f>
        <v>4452.7</v>
      </c>
      <c r="K78" s="87">
        <f>K79+K84+K86+K88+K82</f>
        <v>4068.7</v>
      </c>
      <c r="L78" s="88">
        <f>L79+L84+L86+L88+L82</f>
        <v>241</v>
      </c>
      <c r="M78" s="86" t="s">
        <v>835</v>
      </c>
      <c r="N78" s="86" t="s">
        <v>835</v>
      </c>
      <c r="O78" s="144">
        <v>22805025.370000001</v>
      </c>
      <c r="P78" s="84">
        <f t="shared" si="2"/>
        <v>4026.5953404195216</v>
      </c>
      <c r="Q78" s="78">
        <f>MAX(Q79:Q89)</f>
        <v>10389.42</v>
      </c>
      <c r="R78" s="75"/>
    </row>
    <row r="79" spans="1:18" ht="35.25" x14ac:dyDescent="0.45">
      <c r="B79" s="112" t="s">
        <v>710</v>
      </c>
      <c r="C79" s="112"/>
      <c r="D79" s="86" t="s">
        <v>835</v>
      </c>
      <c r="E79" s="86" t="s">
        <v>835</v>
      </c>
      <c r="F79" s="86" t="s">
        <v>835</v>
      </c>
      <c r="G79" s="86" t="s">
        <v>835</v>
      </c>
      <c r="H79" s="86" t="s">
        <v>835</v>
      </c>
      <c r="I79" s="87">
        <f>SUM(I80:I81)</f>
        <v>1786.5</v>
      </c>
      <c r="J79" s="87">
        <f>SUM(J80:J81)</f>
        <v>1363.4</v>
      </c>
      <c r="K79" s="87">
        <f>SUM(K80:K81)</f>
        <v>1228.2</v>
      </c>
      <c r="L79" s="88">
        <f>SUM(L80:L81)</f>
        <v>89</v>
      </c>
      <c r="M79" s="86" t="s">
        <v>835</v>
      </c>
      <c r="N79" s="86" t="s">
        <v>835</v>
      </c>
      <c r="O79" s="138">
        <v>7480255.5499999998</v>
      </c>
      <c r="P79" s="84">
        <f t="shared" si="2"/>
        <v>4187.1007836551917</v>
      </c>
      <c r="Q79" s="78">
        <f>MAX(Q80:Q81)</f>
        <v>10389.42</v>
      </c>
      <c r="R79" s="75"/>
    </row>
    <row r="80" spans="1:18" ht="35.25" x14ac:dyDescent="0.5">
      <c r="A80">
        <v>1</v>
      </c>
      <c r="B80" s="85">
        <v>1</v>
      </c>
      <c r="C80" s="112" t="s">
        <v>725</v>
      </c>
      <c r="D80" s="86">
        <v>1965</v>
      </c>
      <c r="E80" s="86"/>
      <c r="F80" s="86" t="s">
        <v>256</v>
      </c>
      <c r="G80" s="86" t="s">
        <v>290</v>
      </c>
      <c r="H80" s="86" t="s">
        <v>299</v>
      </c>
      <c r="I80" s="87">
        <v>500</v>
      </c>
      <c r="J80" s="87">
        <v>481.6</v>
      </c>
      <c r="K80" s="87">
        <f>J80-69.3</f>
        <v>412.3</v>
      </c>
      <c r="L80" s="88">
        <v>50</v>
      </c>
      <c r="M80" s="86" t="s">
        <v>255</v>
      </c>
      <c r="N80" s="86" t="s">
        <v>257</v>
      </c>
      <c r="O80" s="84">
        <v>2786404.0300000003</v>
      </c>
      <c r="P80" s="84">
        <f t="shared" si="2"/>
        <v>5572.8080600000003</v>
      </c>
      <c r="Q80" s="78">
        <v>10389.42</v>
      </c>
      <c r="R80" s="75"/>
    </row>
    <row r="81" spans="1:20" ht="35.25" x14ac:dyDescent="0.5">
      <c r="A81">
        <v>1</v>
      </c>
      <c r="B81" s="85">
        <v>2</v>
      </c>
      <c r="C81" s="112" t="s">
        <v>733</v>
      </c>
      <c r="D81" s="86">
        <v>1960</v>
      </c>
      <c r="E81" s="86"/>
      <c r="F81" s="86" t="s">
        <v>256</v>
      </c>
      <c r="G81" s="86" t="s">
        <v>299</v>
      </c>
      <c r="H81" s="86" t="s">
        <v>290</v>
      </c>
      <c r="I81" s="87">
        <v>1286.5</v>
      </c>
      <c r="J81" s="87">
        <v>881.8</v>
      </c>
      <c r="K81" s="87">
        <f>J81-65.9</f>
        <v>815.9</v>
      </c>
      <c r="L81" s="88">
        <v>39</v>
      </c>
      <c r="M81" s="86" t="s">
        <v>255</v>
      </c>
      <c r="N81" s="86" t="s">
        <v>257</v>
      </c>
      <c r="O81" s="84">
        <v>4693851.5199999996</v>
      </c>
      <c r="P81" s="84">
        <f t="shared" si="2"/>
        <v>3648.5437388262726</v>
      </c>
      <c r="Q81" s="78">
        <v>4378.6099999999997</v>
      </c>
      <c r="R81" s="75"/>
    </row>
    <row r="82" spans="1:20" ht="35.25" x14ac:dyDescent="0.45">
      <c r="B82" s="112" t="s">
        <v>986</v>
      </c>
      <c r="C82" s="112"/>
      <c r="D82" s="86" t="s">
        <v>835</v>
      </c>
      <c r="E82" s="86" t="s">
        <v>835</v>
      </c>
      <c r="F82" s="86" t="s">
        <v>835</v>
      </c>
      <c r="G82" s="86" t="s">
        <v>835</v>
      </c>
      <c r="H82" s="86" t="s">
        <v>835</v>
      </c>
      <c r="I82" s="87">
        <f>I83</f>
        <v>410.7</v>
      </c>
      <c r="J82" s="87">
        <f>J83</f>
        <v>379.6</v>
      </c>
      <c r="K82" s="87">
        <f>K83</f>
        <v>379.6</v>
      </c>
      <c r="L82" s="88">
        <f>L83</f>
        <v>25</v>
      </c>
      <c r="M82" s="86" t="s">
        <v>835</v>
      </c>
      <c r="N82" s="86" t="s">
        <v>835</v>
      </c>
      <c r="O82" s="138">
        <v>2215379.62</v>
      </c>
      <c r="P82" s="84">
        <f t="shared" si="2"/>
        <v>5394.155393231069</v>
      </c>
      <c r="Q82" s="78">
        <f>Q83</f>
        <v>10229.77</v>
      </c>
      <c r="R82" s="75"/>
    </row>
    <row r="83" spans="1:20" ht="35.25" x14ac:dyDescent="0.5">
      <c r="A83">
        <v>1</v>
      </c>
      <c r="B83" s="85">
        <v>3</v>
      </c>
      <c r="C83" s="112" t="s">
        <v>1807</v>
      </c>
      <c r="D83" s="86">
        <v>1997</v>
      </c>
      <c r="E83" s="86"/>
      <c r="F83" s="86" t="s">
        <v>256</v>
      </c>
      <c r="G83" s="86">
        <v>2</v>
      </c>
      <c r="H83" s="86">
        <v>1</v>
      </c>
      <c r="I83" s="87">
        <v>410.7</v>
      </c>
      <c r="J83" s="87">
        <v>379.6</v>
      </c>
      <c r="K83" s="87">
        <v>379.6</v>
      </c>
      <c r="L83" s="88">
        <v>25</v>
      </c>
      <c r="M83" s="86" t="s">
        <v>255</v>
      </c>
      <c r="N83" s="86" t="s">
        <v>257</v>
      </c>
      <c r="O83" s="84">
        <v>2215379.62</v>
      </c>
      <c r="P83" s="84">
        <f t="shared" si="2"/>
        <v>5394.155393231069</v>
      </c>
      <c r="Q83" s="78">
        <v>10229.77</v>
      </c>
      <c r="R83" s="75"/>
    </row>
    <row r="84" spans="1:20" ht="35.25" x14ac:dyDescent="0.45">
      <c r="B84" s="112" t="s">
        <v>796</v>
      </c>
      <c r="C84" s="112"/>
      <c r="D84" s="86" t="s">
        <v>835</v>
      </c>
      <c r="E84" s="86" t="s">
        <v>835</v>
      </c>
      <c r="F84" s="86" t="s">
        <v>835</v>
      </c>
      <c r="G84" s="86" t="s">
        <v>835</v>
      </c>
      <c r="H84" s="86" t="s">
        <v>835</v>
      </c>
      <c r="I84" s="87">
        <f>I85</f>
        <v>465</v>
      </c>
      <c r="J84" s="87">
        <f>J85</f>
        <v>424.6</v>
      </c>
      <c r="K84" s="87">
        <f>K85</f>
        <v>175.8</v>
      </c>
      <c r="L84" s="88">
        <f>L85</f>
        <v>26</v>
      </c>
      <c r="M84" s="86" t="s">
        <v>835</v>
      </c>
      <c r="N84" s="86" t="s">
        <v>835</v>
      </c>
      <c r="O84" s="138">
        <v>3391766.52</v>
      </c>
      <c r="P84" s="84">
        <f t="shared" si="2"/>
        <v>7294.1215483870965</v>
      </c>
      <c r="Q84" s="78">
        <f>Q85</f>
        <v>9939.8799999999992</v>
      </c>
      <c r="R84" s="75"/>
    </row>
    <row r="85" spans="1:20" ht="35.25" x14ac:dyDescent="0.5">
      <c r="A85">
        <v>1</v>
      </c>
      <c r="B85" s="85">
        <v>4</v>
      </c>
      <c r="C85" s="112" t="s">
        <v>972</v>
      </c>
      <c r="D85" s="86">
        <v>1953</v>
      </c>
      <c r="E85" s="86"/>
      <c r="F85" s="86" t="s">
        <v>256</v>
      </c>
      <c r="G85" s="86" t="s">
        <v>290</v>
      </c>
      <c r="H85" s="86" t="s">
        <v>291</v>
      </c>
      <c r="I85" s="87">
        <v>465</v>
      </c>
      <c r="J85" s="87">
        <v>424.6</v>
      </c>
      <c r="K85" s="87">
        <f>J85-248.8</f>
        <v>175.8</v>
      </c>
      <c r="L85" s="88">
        <v>26</v>
      </c>
      <c r="M85" s="86" t="s">
        <v>255</v>
      </c>
      <c r="N85" s="86" t="s">
        <v>257</v>
      </c>
      <c r="O85" s="84">
        <v>3391766.52</v>
      </c>
      <c r="P85" s="84">
        <f t="shared" si="2"/>
        <v>7294.1215483870965</v>
      </c>
      <c r="Q85" s="78">
        <v>9939.8799999999992</v>
      </c>
      <c r="R85" s="75"/>
    </row>
    <row r="86" spans="1:20" ht="35.25" x14ac:dyDescent="0.5">
      <c r="B86" s="113" t="s">
        <v>779</v>
      </c>
      <c r="C86" s="112"/>
      <c r="D86" s="86" t="s">
        <v>835</v>
      </c>
      <c r="E86" s="86" t="s">
        <v>835</v>
      </c>
      <c r="F86" s="86" t="s">
        <v>835</v>
      </c>
      <c r="G86" s="86" t="s">
        <v>835</v>
      </c>
      <c r="H86" s="86" t="s">
        <v>835</v>
      </c>
      <c r="I86" s="87">
        <f>I87</f>
        <v>1743.7</v>
      </c>
      <c r="J86" s="87">
        <f>J87</f>
        <v>1552.6</v>
      </c>
      <c r="K86" s="87">
        <f>K87</f>
        <v>1552.6</v>
      </c>
      <c r="L86" s="88">
        <f>L87</f>
        <v>65</v>
      </c>
      <c r="M86" s="86" t="s">
        <v>835</v>
      </c>
      <c r="N86" s="86" t="s">
        <v>835</v>
      </c>
      <c r="O86" s="138">
        <v>5730244.9099999992</v>
      </c>
      <c r="P86" s="84">
        <f t="shared" si="2"/>
        <v>3286.2561851235873</v>
      </c>
      <c r="Q86" s="78">
        <f>Q87</f>
        <v>5170.74</v>
      </c>
      <c r="R86" s="75"/>
    </row>
    <row r="87" spans="1:20" ht="35.25" x14ac:dyDescent="0.5">
      <c r="A87">
        <v>1</v>
      </c>
      <c r="B87" s="85">
        <v>5</v>
      </c>
      <c r="C87" s="112" t="s">
        <v>3539</v>
      </c>
      <c r="D87" s="86">
        <v>1978</v>
      </c>
      <c r="E87" s="86"/>
      <c r="F87" s="86" t="s">
        <v>256</v>
      </c>
      <c r="G87" s="86" t="s">
        <v>299</v>
      </c>
      <c r="H87" s="86" t="s">
        <v>299</v>
      </c>
      <c r="I87" s="87">
        <v>1743.7</v>
      </c>
      <c r="J87" s="87">
        <v>1552.6</v>
      </c>
      <c r="K87" s="87">
        <f>J87</f>
        <v>1552.6</v>
      </c>
      <c r="L87" s="88">
        <v>65</v>
      </c>
      <c r="M87" s="86" t="s">
        <v>258</v>
      </c>
      <c r="N87" s="86" t="s">
        <v>756</v>
      </c>
      <c r="O87" s="84">
        <v>5730244.9099999992</v>
      </c>
      <c r="P87" s="84">
        <f t="shared" si="2"/>
        <v>3286.2561851235873</v>
      </c>
      <c r="Q87" s="78">
        <v>5170.74</v>
      </c>
      <c r="R87" s="75"/>
    </row>
    <row r="88" spans="1:20" ht="35.25" x14ac:dyDescent="0.45">
      <c r="B88" s="112" t="s">
        <v>1594</v>
      </c>
      <c r="C88" s="112"/>
      <c r="D88" s="86" t="s">
        <v>835</v>
      </c>
      <c r="E88" s="86" t="s">
        <v>835</v>
      </c>
      <c r="F88" s="86" t="s">
        <v>835</v>
      </c>
      <c r="G88" s="86" t="s">
        <v>835</v>
      </c>
      <c r="H88" s="86" t="s">
        <v>835</v>
      </c>
      <c r="I88" s="87">
        <f>I89</f>
        <v>1257.7</v>
      </c>
      <c r="J88" s="87">
        <f>J89</f>
        <v>732.5</v>
      </c>
      <c r="K88" s="87">
        <f>K89</f>
        <v>732.5</v>
      </c>
      <c r="L88" s="88">
        <f>L89</f>
        <v>36</v>
      </c>
      <c r="M88" s="86" t="s">
        <v>835</v>
      </c>
      <c r="N88" s="86" t="s">
        <v>835</v>
      </c>
      <c r="O88" s="138">
        <v>3987378.77</v>
      </c>
      <c r="P88" s="84">
        <f t="shared" si="2"/>
        <v>3170.3735151466963</v>
      </c>
      <c r="Q88" s="78">
        <f>Q89</f>
        <v>5463.94</v>
      </c>
      <c r="R88" s="75"/>
    </row>
    <row r="89" spans="1:20" ht="35.25" x14ac:dyDescent="0.5">
      <c r="A89">
        <v>1</v>
      </c>
      <c r="B89" s="85">
        <v>6</v>
      </c>
      <c r="C89" s="112" t="s">
        <v>1593</v>
      </c>
      <c r="D89" s="86">
        <v>1972</v>
      </c>
      <c r="E89" s="86"/>
      <c r="F89" s="86" t="s">
        <v>256</v>
      </c>
      <c r="G89" s="86" t="s">
        <v>290</v>
      </c>
      <c r="H89" s="86" t="s">
        <v>290</v>
      </c>
      <c r="I89" s="87">
        <v>1257.7</v>
      </c>
      <c r="J89" s="87">
        <v>732.5</v>
      </c>
      <c r="K89" s="87">
        <f>J89</f>
        <v>732.5</v>
      </c>
      <c r="L89" s="88">
        <v>36</v>
      </c>
      <c r="M89" s="86" t="s">
        <v>327</v>
      </c>
      <c r="N89" s="86" t="s">
        <v>1595</v>
      </c>
      <c r="O89" s="84">
        <v>3987378.77</v>
      </c>
      <c r="P89" s="84">
        <f t="shared" si="2"/>
        <v>3170.3735151466963</v>
      </c>
      <c r="Q89" s="78">
        <v>5463.94</v>
      </c>
      <c r="R89" s="75"/>
    </row>
    <row r="90" spans="1:20" ht="45.75" x14ac:dyDescent="0.45">
      <c r="B90" s="437" t="s">
        <v>1323</v>
      </c>
      <c r="C90" s="438"/>
      <c r="D90" s="438"/>
      <c r="E90" s="438"/>
      <c r="F90" s="438"/>
      <c r="G90" s="438"/>
      <c r="H90" s="438"/>
      <c r="I90" s="438"/>
      <c r="J90" s="438"/>
      <c r="K90" s="438"/>
      <c r="L90" s="438"/>
      <c r="M90" s="438"/>
      <c r="N90" s="438"/>
      <c r="O90" s="438"/>
      <c r="P90" s="438"/>
      <c r="Q90" s="439"/>
      <c r="R90" s="75"/>
    </row>
    <row r="91" spans="1:20" ht="35.25" x14ac:dyDescent="0.5">
      <c r="B91" s="114" t="s">
        <v>989</v>
      </c>
      <c r="C91" s="114"/>
      <c r="D91" s="115" t="s">
        <v>701</v>
      </c>
      <c r="E91" s="115" t="s">
        <v>701</v>
      </c>
      <c r="F91" s="116" t="s">
        <v>701</v>
      </c>
      <c r="G91" s="116" t="s">
        <v>701</v>
      </c>
      <c r="H91" s="116" t="s">
        <v>701</v>
      </c>
      <c r="I91" s="117">
        <f>I92+I99+I103+I119+I127+I131+I146+I161+I167+I170+I172+I174+I179+I182+I184+I186+I190+I193+I195+I199+I197+I201+I204+I206+I208+I210</f>
        <v>229806.17000000004</v>
      </c>
      <c r="J91" s="117">
        <f t="shared" ref="J91:L91" si="3">J92+J99+J103+J119+J127+J131+J146+J161+J167+J170+J172+J174+J179+J182+J184+J186+J190+J193+J195+J199+J197+J201+J204+J206+J208+J210</f>
        <v>192893.56999999998</v>
      </c>
      <c r="K91" s="117">
        <f t="shared" si="3"/>
        <v>174162.59999999998</v>
      </c>
      <c r="L91" s="118">
        <f t="shared" si="3"/>
        <v>9863</v>
      </c>
      <c r="M91" s="115" t="s">
        <v>835</v>
      </c>
      <c r="N91" s="119" t="s">
        <v>835</v>
      </c>
      <c r="O91" s="145">
        <f>O92+O99+O103+O119+O127+O131+O146+O161+O167+O170+O172+O174+O179+O182+O184+O186+O190+O193+O195+O199+O197+O201+O204+O206+O208+O210</f>
        <v>39753305.280000001</v>
      </c>
      <c r="P91" s="117">
        <f t="shared" ref="P91:P122" si="4">O91/I91</f>
        <v>172.98624001261581</v>
      </c>
      <c r="Q91" s="117">
        <f>MAX(Q92:Q211)</f>
        <v>12662.680934933673</v>
      </c>
      <c r="R91" s="75"/>
      <c r="T91" s="74"/>
    </row>
    <row r="92" spans="1:20" ht="35.25" x14ac:dyDescent="0.5">
      <c r="B92" s="114" t="s">
        <v>760</v>
      </c>
      <c r="C92" s="114"/>
      <c r="D92" s="115" t="s">
        <v>701</v>
      </c>
      <c r="E92" s="115" t="s">
        <v>701</v>
      </c>
      <c r="F92" s="116" t="s">
        <v>701</v>
      </c>
      <c r="G92" s="115" t="s">
        <v>701</v>
      </c>
      <c r="H92" s="115" t="s">
        <v>701</v>
      </c>
      <c r="I92" s="117">
        <f>SUM(I93:I98)</f>
        <v>13682.619999999999</v>
      </c>
      <c r="J92" s="117">
        <f>SUM(J93:J98)</f>
        <v>11157.02</v>
      </c>
      <c r="K92" s="117">
        <f>SUM(K93:K98)</f>
        <v>10128.199999999999</v>
      </c>
      <c r="L92" s="118">
        <f>SUM(L93:L98)</f>
        <v>744</v>
      </c>
      <c r="M92" s="115" t="s">
        <v>835</v>
      </c>
      <c r="N92" s="119" t="s">
        <v>835</v>
      </c>
      <c r="O92" s="145">
        <v>3100093.7600000002</v>
      </c>
      <c r="P92" s="117">
        <f t="shared" si="4"/>
        <v>226.57164782768217</v>
      </c>
      <c r="Q92" s="117">
        <f>MAX(Q93:Q98)</f>
        <v>4899.7046089716268</v>
      </c>
      <c r="R92" s="75"/>
      <c r="T92" s="74"/>
    </row>
    <row r="93" spans="1:20" ht="35.25" x14ac:dyDescent="0.5">
      <c r="A93">
        <v>1</v>
      </c>
      <c r="B93" s="120">
        <f>SUBTOTAL(103,$A93:A$93)</f>
        <v>1</v>
      </c>
      <c r="C93" s="121" t="s">
        <v>579</v>
      </c>
      <c r="D93" s="115">
        <v>1965</v>
      </c>
      <c r="E93" s="115"/>
      <c r="F93" s="116" t="s">
        <v>256</v>
      </c>
      <c r="G93" s="115">
        <v>5</v>
      </c>
      <c r="H93" s="115">
        <v>2</v>
      </c>
      <c r="I93" s="117">
        <v>2985.38</v>
      </c>
      <c r="J93" s="117">
        <v>2398.58</v>
      </c>
      <c r="K93" s="117">
        <v>1889.27</v>
      </c>
      <c r="L93" s="118">
        <v>202</v>
      </c>
      <c r="M93" s="115" t="s">
        <v>258</v>
      </c>
      <c r="N93" s="115" t="s">
        <v>1235</v>
      </c>
      <c r="O93" s="117">
        <v>546562.15</v>
      </c>
      <c r="P93" s="117">
        <f t="shared" si="4"/>
        <v>183.07959120781945</v>
      </c>
      <c r="Q93" s="117">
        <v>2544.2438389752729</v>
      </c>
      <c r="R93" s="75"/>
      <c r="T93" s="74"/>
    </row>
    <row r="94" spans="1:20" ht="35.25" x14ac:dyDescent="0.5">
      <c r="A94">
        <v>1</v>
      </c>
      <c r="B94" s="120">
        <f>SUBTOTAL(103,$A$93:A94)</f>
        <v>2</v>
      </c>
      <c r="C94" s="121" t="s">
        <v>1327</v>
      </c>
      <c r="D94" s="115">
        <v>1986</v>
      </c>
      <c r="E94" s="115"/>
      <c r="F94" s="116" t="s">
        <v>256</v>
      </c>
      <c r="G94" s="115">
        <v>4</v>
      </c>
      <c r="H94" s="115">
        <v>1</v>
      </c>
      <c r="I94" s="117">
        <v>2374.1999999999998</v>
      </c>
      <c r="J94" s="117">
        <v>1689.3</v>
      </c>
      <c r="K94" s="117">
        <v>1639.4</v>
      </c>
      <c r="L94" s="118">
        <v>151</v>
      </c>
      <c r="M94" s="115" t="s">
        <v>258</v>
      </c>
      <c r="N94" s="119" t="s">
        <v>1414</v>
      </c>
      <c r="O94" s="117">
        <v>491248.27</v>
      </c>
      <c r="P94" s="117">
        <f t="shared" si="4"/>
        <v>206.91107320360544</v>
      </c>
      <c r="Q94" s="117">
        <v>3385.8611574425076</v>
      </c>
      <c r="R94" s="75"/>
      <c r="T94" s="74"/>
    </row>
    <row r="95" spans="1:20" ht="35.25" x14ac:dyDescent="0.5">
      <c r="A95">
        <v>1</v>
      </c>
      <c r="B95" s="120">
        <f>SUBTOTAL(103,$A$93:A95)</f>
        <v>3</v>
      </c>
      <c r="C95" s="121" t="s">
        <v>1328</v>
      </c>
      <c r="D95" s="115">
        <v>1969</v>
      </c>
      <c r="E95" s="115"/>
      <c r="F95" s="116" t="s">
        <v>256</v>
      </c>
      <c r="G95" s="115">
        <v>5</v>
      </c>
      <c r="H95" s="115">
        <v>4</v>
      </c>
      <c r="I95" s="117">
        <v>2953.64</v>
      </c>
      <c r="J95" s="117">
        <v>2684.14</v>
      </c>
      <c r="K95" s="117">
        <v>2616.34</v>
      </c>
      <c r="L95" s="118">
        <v>107</v>
      </c>
      <c r="M95" s="115" t="s">
        <v>258</v>
      </c>
      <c r="N95" s="119" t="s">
        <v>1018</v>
      </c>
      <c r="O95" s="117">
        <v>1439722.57</v>
      </c>
      <c r="P95" s="117">
        <f t="shared" si="4"/>
        <v>487.44009764223131</v>
      </c>
      <c r="Q95" s="117">
        <v>2448.4092306442221</v>
      </c>
      <c r="R95" s="75"/>
      <c r="T95" s="74"/>
    </row>
    <row r="96" spans="1:20" ht="35.25" x14ac:dyDescent="0.5">
      <c r="A96">
        <v>1</v>
      </c>
      <c r="B96" s="120">
        <f>SUBTOTAL(103,$A$93:A96)</f>
        <v>4</v>
      </c>
      <c r="C96" s="121" t="s">
        <v>1329</v>
      </c>
      <c r="D96" s="115">
        <v>1928</v>
      </c>
      <c r="E96" s="115"/>
      <c r="F96" s="116" t="s">
        <v>256</v>
      </c>
      <c r="G96" s="115">
        <v>3</v>
      </c>
      <c r="H96" s="115">
        <v>2</v>
      </c>
      <c r="I96" s="117">
        <v>884.1</v>
      </c>
      <c r="J96" s="117">
        <v>763.7</v>
      </c>
      <c r="K96" s="117">
        <v>441.4</v>
      </c>
      <c r="L96" s="118">
        <v>48</v>
      </c>
      <c r="M96" s="115" t="s">
        <v>258</v>
      </c>
      <c r="N96" s="115" t="s">
        <v>1415</v>
      </c>
      <c r="O96" s="117">
        <v>361347.58</v>
      </c>
      <c r="P96" s="117">
        <f t="shared" si="4"/>
        <v>408.71799570184368</v>
      </c>
      <c r="Q96" s="117">
        <v>712.1</v>
      </c>
      <c r="R96" s="75"/>
      <c r="T96" s="74"/>
    </row>
    <row r="97" spans="1:20" ht="35.25" x14ac:dyDescent="0.5">
      <c r="A97">
        <v>1</v>
      </c>
      <c r="B97" s="120">
        <f>SUBTOTAL(103,$A$93:A97)</f>
        <v>5</v>
      </c>
      <c r="C97" s="121" t="s">
        <v>1330</v>
      </c>
      <c r="D97" s="115">
        <v>1958</v>
      </c>
      <c r="E97" s="115"/>
      <c r="F97" s="116" t="s">
        <v>256</v>
      </c>
      <c r="G97" s="115">
        <v>3</v>
      </c>
      <c r="H97" s="115">
        <v>3</v>
      </c>
      <c r="I97" s="117">
        <v>2111.1</v>
      </c>
      <c r="J97" s="117">
        <v>1932</v>
      </c>
      <c r="K97" s="117">
        <v>1902.39</v>
      </c>
      <c r="L97" s="118">
        <v>85</v>
      </c>
      <c r="M97" s="115" t="s">
        <v>255</v>
      </c>
      <c r="N97" s="115" t="s">
        <v>257</v>
      </c>
      <c r="O97" s="117">
        <v>179907.52000000002</v>
      </c>
      <c r="P97" s="117">
        <f t="shared" si="4"/>
        <v>85.219800104211089</v>
      </c>
      <c r="Q97" s="117">
        <v>4899.7046089716268</v>
      </c>
      <c r="R97" s="75"/>
      <c r="T97" s="74"/>
    </row>
    <row r="98" spans="1:20" ht="35.25" x14ac:dyDescent="0.5">
      <c r="A98">
        <v>1</v>
      </c>
      <c r="B98" s="120">
        <f>SUBTOTAL(103,$A$93:A98)</f>
        <v>6</v>
      </c>
      <c r="C98" s="121" t="s">
        <v>1331</v>
      </c>
      <c r="D98" s="115">
        <v>1986</v>
      </c>
      <c r="E98" s="115"/>
      <c r="F98" s="116" t="s">
        <v>256</v>
      </c>
      <c r="G98" s="115">
        <v>4</v>
      </c>
      <c r="H98" s="115">
        <v>1</v>
      </c>
      <c r="I98" s="117">
        <v>2374.1999999999998</v>
      </c>
      <c r="J98" s="117">
        <v>1689.3</v>
      </c>
      <c r="K98" s="117">
        <v>1639.4</v>
      </c>
      <c r="L98" s="118">
        <v>151</v>
      </c>
      <c r="M98" s="115" t="s">
        <v>258</v>
      </c>
      <c r="N98" s="115" t="s">
        <v>1414</v>
      </c>
      <c r="O98" s="117">
        <v>81305.67</v>
      </c>
      <c r="P98" s="117">
        <f t="shared" si="4"/>
        <v>34.245501642658581</v>
      </c>
      <c r="Q98" s="117">
        <v>4131.389099486144</v>
      </c>
      <c r="R98" s="75"/>
      <c r="T98" s="74"/>
    </row>
    <row r="99" spans="1:20" ht="35.25" x14ac:dyDescent="0.5">
      <c r="B99" s="114" t="s">
        <v>764</v>
      </c>
      <c r="C99" s="121"/>
      <c r="D99" s="115" t="s">
        <v>701</v>
      </c>
      <c r="E99" s="115" t="s">
        <v>701</v>
      </c>
      <c r="F99" s="115" t="s">
        <v>701</v>
      </c>
      <c r="G99" s="115" t="s">
        <v>701</v>
      </c>
      <c r="H99" s="115" t="s">
        <v>701</v>
      </c>
      <c r="I99" s="117">
        <f>I100+I101+I102</f>
        <v>2327.5</v>
      </c>
      <c r="J99" s="117">
        <f>J100+J101+J102</f>
        <v>2088.7999999999997</v>
      </c>
      <c r="K99" s="117">
        <f>K100+K101+K102</f>
        <v>1990.8000000000002</v>
      </c>
      <c r="L99" s="118">
        <f>L100+L101+L102</f>
        <v>106</v>
      </c>
      <c r="M99" s="115" t="s">
        <v>835</v>
      </c>
      <c r="N99" s="119" t="s">
        <v>835</v>
      </c>
      <c r="O99" s="145">
        <v>35523.810000000005</v>
      </c>
      <c r="P99" s="117">
        <f t="shared" si="4"/>
        <v>15.262646616541355</v>
      </c>
      <c r="Q99" s="117">
        <f>MAX(Q100:Q102)</f>
        <v>9169.0549609140107</v>
      </c>
      <c r="R99" s="75"/>
      <c r="T99" s="74"/>
    </row>
    <row r="100" spans="1:20" ht="35.25" x14ac:dyDescent="0.5">
      <c r="A100">
        <v>1</v>
      </c>
      <c r="B100" s="120">
        <f>SUBTOTAL(103,$A$93:A100)</f>
        <v>7</v>
      </c>
      <c r="C100" s="121" t="s">
        <v>1332</v>
      </c>
      <c r="D100" s="115">
        <v>1979</v>
      </c>
      <c r="E100" s="115"/>
      <c r="F100" s="116" t="s">
        <v>256</v>
      </c>
      <c r="G100" s="115">
        <v>2</v>
      </c>
      <c r="H100" s="115">
        <v>3</v>
      </c>
      <c r="I100" s="117">
        <v>1053.2</v>
      </c>
      <c r="J100" s="117">
        <v>928.3</v>
      </c>
      <c r="K100" s="117">
        <v>866</v>
      </c>
      <c r="L100" s="118">
        <v>38</v>
      </c>
      <c r="M100" s="115" t="s">
        <v>255</v>
      </c>
      <c r="N100" s="119" t="s">
        <v>257</v>
      </c>
      <c r="O100" s="117">
        <v>11055.78</v>
      </c>
      <c r="P100" s="117">
        <f t="shared" si="4"/>
        <v>10.497322445879226</v>
      </c>
      <c r="Q100" s="117">
        <v>7823.1532092669968</v>
      </c>
      <c r="R100" s="75"/>
      <c r="T100" s="74"/>
    </row>
    <row r="101" spans="1:20" ht="35.25" x14ac:dyDescent="0.5">
      <c r="A101">
        <v>1</v>
      </c>
      <c r="B101" s="120">
        <f>SUBTOTAL(103,$A$93:A101)</f>
        <v>8</v>
      </c>
      <c r="C101" s="121" t="s">
        <v>1333</v>
      </c>
      <c r="D101" s="115">
        <v>1980</v>
      </c>
      <c r="E101" s="115"/>
      <c r="F101" s="116" t="s">
        <v>256</v>
      </c>
      <c r="G101" s="115">
        <v>2</v>
      </c>
      <c r="H101" s="115">
        <v>3</v>
      </c>
      <c r="I101" s="117">
        <v>941.7</v>
      </c>
      <c r="J101" s="117">
        <v>856.9</v>
      </c>
      <c r="K101" s="117">
        <v>856.9</v>
      </c>
      <c r="L101" s="118">
        <v>53</v>
      </c>
      <c r="M101" s="115" t="s">
        <v>255</v>
      </c>
      <c r="N101" s="119" t="s">
        <v>257</v>
      </c>
      <c r="O101" s="117">
        <v>19576.66</v>
      </c>
      <c r="P101" s="117">
        <f t="shared" si="4"/>
        <v>20.78863757035149</v>
      </c>
      <c r="Q101" s="117">
        <v>7063.939513645535</v>
      </c>
      <c r="R101" s="75"/>
      <c r="T101" s="74"/>
    </row>
    <row r="102" spans="1:20" ht="35.25" x14ac:dyDescent="0.5">
      <c r="A102">
        <v>1</v>
      </c>
      <c r="B102" s="120">
        <f>SUBTOTAL(103,$A$93:A102)</f>
        <v>9</v>
      </c>
      <c r="C102" s="121" t="s">
        <v>1768</v>
      </c>
      <c r="D102" s="115">
        <v>1962</v>
      </c>
      <c r="E102" s="115"/>
      <c r="F102" s="116" t="s">
        <v>256</v>
      </c>
      <c r="G102" s="115">
        <v>2</v>
      </c>
      <c r="H102" s="115">
        <v>1</v>
      </c>
      <c r="I102" s="117">
        <v>332.6</v>
      </c>
      <c r="J102" s="117">
        <v>303.60000000000002</v>
      </c>
      <c r="K102" s="117">
        <v>267.89999999999998</v>
      </c>
      <c r="L102" s="118">
        <v>15</v>
      </c>
      <c r="M102" s="115" t="s">
        <v>255</v>
      </c>
      <c r="N102" s="119" t="s">
        <v>257</v>
      </c>
      <c r="O102" s="117">
        <v>4891.37</v>
      </c>
      <c r="P102" s="117">
        <f t="shared" si="4"/>
        <v>14.706464221286829</v>
      </c>
      <c r="Q102" s="117">
        <v>9169.0549609140107</v>
      </c>
      <c r="R102" s="75"/>
      <c r="T102" s="74"/>
    </row>
    <row r="103" spans="1:20" ht="35.25" x14ac:dyDescent="0.5">
      <c r="B103" s="114" t="s">
        <v>985</v>
      </c>
      <c r="C103" s="121"/>
      <c r="D103" s="115" t="s">
        <v>701</v>
      </c>
      <c r="E103" s="115" t="s">
        <v>701</v>
      </c>
      <c r="F103" s="116" t="s">
        <v>701</v>
      </c>
      <c r="G103" s="115" t="s">
        <v>701</v>
      </c>
      <c r="H103" s="115" t="s">
        <v>701</v>
      </c>
      <c r="I103" s="117">
        <f>SUM(I104:I118)</f>
        <v>25577.94</v>
      </c>
      <c r="J103" s="117">
        <f>SUM(J104:J118)</f>
        <v>21889.910000000003</v>
      </c>
      <c r="K103" s="117">
        <f>SUM(K104:K118)</f>
        <v>19541.27</v>
      </c>
      <c r="L103" s="118">
        <f>SUM(L104:L118)</f>
        <v>1090</v>
      </c>
      <c r="M103" s="115" t="s">
        <v>835</v>
      </c>
      <c r="N103" s="119" t="s">
        <v>835</v>
      </c>
      <c r="O103" s="145">
        <v>1617789.28</v>
      </c>
      <c r="P103" s="117">
        <f t="shared" si="4"/>
        <v>63.24939694127049</v>
      </c>
      <c r="Q103" s="117">
        <f>MAX(Q104:Q118)</f>
        <v>12662.680934933673</v>
      </c>
      <c r="R103" s="75"/>
      <c r="T103" s="74"/>
    </row>
    <row r="104" spans="1:20" ht="35.25" x14ac:dyDescent="0.5">
      <c r="A104">
        <v>1</v>
      </c>
      <c r="B104" s="120">
        <f>SUBTOTAL(103,$A$93:A104)</f>
        <v>10</v>
      </c>
      <c r="C104" s="121" t="s">
        <v>1334</v>
      </c>
      <c r="D104" s="115">
        <v>1966</v>
      </c>
      <c r="E104" s="115"/>
      <c r="F104" s="116" t="s">
        <v>256</v>
      </c>
      <c r="G104" s="115">
        <v>5</v>
      </c>
      <c r="H104" s="115">
        <v>4</v>
      </c>
      <c r="I104" s="117">
        <v>4070</v>
      </c>
      <c r="J104" s="117">
        <v>3151.1</v>
      </c>
      <c r="K104" s="117">
        <v>2925.4</v>
      </c>
      <c r="L104" s="118">
        <v>137</v>
      </c>
      <c r="M104" s="115" t="s">
        <v>258</v>
      </c>
      <c r="N104" s="119" t="s">
        <v>1417</v>
      </c>
      <c r="O104" s="117">
        <v>9167.9599999999991</v>
      </c>
      <c r="P104" s="117">
        <f t="shared" si="4"/>
        <v>2.2525700245700242</v>
      </c>
      <c r="Q104" s="117">
        <v>2453.8291891891895</v>
      </c>
      <c r="R104" s="75"/>
      <c r="T104" s="74"/>
    </row>
    <row r="105" spans="1:20" ht="35.25" x14ac:dyDescent="0.5">
      <c r="A105">
        <v>1</v>
      </c>
      <c r="B105" s="120">
        <f>SUBTOTAL(103,$A$93:A105)</f>
        <v>11</v>
      </c>
      <c r="C105" s="121" t="s">
        <v>1335</v>
      </c>
      <c r="D105" s="115">
        <v>1960</v>
      </c>
      <c r="E105" s="115">
        <v>2006</v>
      </c>
      <c r="F105" s="116" t="s">
        <v>256</v>
      </c>
      <c r="G105" s="115">
        <v>2</v>
      </c>
      <c r="H105" s="115">
        <v>3</v>
      </c>
      <c r="I105" s="117">
        <v>1011.9</v>
      </c>
      <c r="J105" s="117">
        <v>804.7</v>
      </c>
      <c r="K105" s="117">
        <v>655.4</v>
      </c>
      <c r="L105" s="118">
        <v>42</v>
      </c>
      <c r="M105" s="115" t="s">
        <v>258</v>
      </c>
      <c r="N105" s="119" t="s">
        <v>1418</v>
      </c>
      <c r="O105" s="117">
        <v>208365.3</v>
      </c>
      <c r="P105" s="117">
        <f t="shared" si="4"/>
        <v>205.9149125407649</v>
      </c>
      <c r="Q105" s="117">
        <v>6416.3209455479791</v>
      </c>
      <c r="R105" s="75"/>
      <c r="T105" s="74"/>
    </row>
    <row r="106" spans="1:20" ht="35.25" x14ac:dyDescent="0.5">
      <c r="A106">
        <v>1</v>
      </c>
      <c r="B106" s="120">
        <f>SUBTOTAL(103,$A$93:A106)</f>
        <v>12</v>
      </c>
      <c r="C106" s="121" t="s">
        <v>1336</v>
      </c>
      <c r="D106" s="115">
        <v>1951</v>
      </c>
      <c r="E106" s="115"/>
      <c r="F106" s="116" t="s">
        <v>256</v>
      </c>
      <c r="G106" s="115">
        <v>2</v>
      </c>
      <c r="H106" s="115">
        <v>2</v>
      </c>
      <c r="I106" s="117">
        <v>695</v>
      </c>
      <c r="J106" s="117">
        <v>626.9</v>
      </c>
      <c r="K106" s="117">
        <v>626.9</v>
      </c>
      <c r="L106" s="118">
        <v>33</v>
      </c>
      <c r="M106" s="115" t="s">
        <v>258</v>
      </c>
      <c r="N106" s="119" t="s">
        <v>933</v>
      </c>
      <c r="O106" s="117">
        <v>170151.06</v>
      </c>
      <c r="P106" s="117">
        <f t="shared" si="4"/>
        <v>244.82166906474819</v>
      </c>
      <c r="Q106" s="117">
        <v>9686.8564028777</v>
      </c>
      <c r="R106" s="75"/>
      <c r="T106" s="74"/>
    </row>
    <row r="107" spans="1:20" ht="35.25" x14ac:dyDescent="0.5">
      <c r="A107">
        <v>1</v>
      </c>
      <c r="B107" s="120">
        <f>SUBTOTAL(103,$A$93:A107)</f>
        <v>13</v>
      </c>
      <c r="C107" s="121" t="s">
        <v>1337</v>
      </c>
      <c r="D107" s="115">
        <v>1953</v>
      </c>
      <c r="E107" s="115">
        <v>2006</v>
      </c>
      <c r="F107" s="116" t="s">
        <v>256</v>
      </c>
      <c r="G107" s="115">
        <v>2</v>
      </c>
      <c r="H107" s="115">
        <v>1</v>
      </c>
      <c r="I107" s="117">
        <v>537.54</v>
      </c>
      <c r="J107" s="117">
        <v>501.3</v>
      </c>
      <c r="K107" s="117">
        <v>310.2</v>
      </c>
      <c r="L107" s="118">
        <v>37</v>
      </c>
      <c r="M107" s="115" t="s">
        <v>258</v>
      </c>
      <c r="N107" s="119" t="s">
        <v>1416</v>
      </c>
      <c r="O107" s="117">
        <v>39070.28</v>
      </c>
      <c r="P107" s="117">
        <f t="shared" si="4"/>
        <v>72.68348401979388</v>
      </c>
      <c r="Q107" s="117">
        <v>8244.5378576478051</v>
      </c>
      <c r="R107" s="75"/>
      <c r="T107" s="74"/>
    </row>
    <row r="108" spans="1:20" ht="35.25" x14ac:dyDescent="0.5">
      <c r="A108">
        <v>1</v>
      </c>
      <c r="B108" s="120">
        <f>SUBTOTAL(103,$A$93:A108)</f>
        <v>14</v>
      </c>
      <c r="C108" s="121" t="s">
        <v>1338</v>
      </c>
      <c r="D108" s="115">
        <v>1958</v>
      </c>
      <c r="E108" s="115">
        <v>2007</v>
      </c>
      <c r="F108" s="116" t="s">
        <v>256</v>
      </c>
      <c r="G108" s="115">
        <v>2</v>
      </c>
      <c r="H108" s="115">
        <v>2</v>
      </c>
      <c r="I108" s="117">
        <v>854.8</v>
      </c>
      <c r="J108" s="117">
        <v>789.8</v>
      </c>
      <c r="K108" s="117">
        <v>434.07</v>
      </c>
      <c r="L108" s="118">
        <v>42</v>
      </c>
      <c r="M108" s="115" t="s">
        <v>258</v>
      </c>
      <c r="N108" s="119" t="s">
        <v>1418</v>
      </c>
      <c r="O108" s="117">
        <v>35421.97</v>
      </c>
      <c r="P108" s="117">
        <f t="shared" si="4"/>
        <v>41.438897987833414</v>
      </c>
      <c r="Q108" s="117">
        <v>6634.5781937295278</v>
      </c>
      <c r="R108" s="75"/>
      <c r="T108" s="74"/>
    </row>
    <row r="109" spans="1:20" ht="35.25" x14ac:dyDescent="0.5">
      <c r="A109">
        <v>1</v>
      </c>
      <c r="B109" s="120">
        <f>SUBTOTAL(103,$A$93:A109)</f>
        <v>15</v>
      </c>
      <c r="C109" s="121" t="s">
        <v>1340</v>
      </c>
      <c r="D109" s="115">
        <v>1961</v>
      </c>
      <c r="E109" s="115"/>
      <c r="F109" s="116" t="s">
        <v>256</v>
      </c>
      <c r="G109" s="115">
        <v>4</v>
      </c>
      <c r="H109" s="115">
        <v>3</v>
      </c>
      <c r="I109" s="117">
        <v>2136.1</v>
      </c>
      <c r="J109" s="117">
        <v>1990.2</v>
      </c>
      <c r="K109" s="117">
        <v>1946.2</v>
      </c>
      <c r="L109" s="118">
        <v>89</v>
      </c>
      <c r="M109" s="115" t="s">
        <v>258</v>
      </c>
      <c r="N109" s="119" t="s">
        <v>933</v>
      </c>
      <c r="O109" s="117">
        <v>7571.98</v>
      </c>
      <c r="P109" s="117">
        <f t="shared" si="4"/>
        <v>3.5447685033472216</v>
      </c>
      <c r="Q109" s="117">
        <v>2887.9253978746315</v>
      </c>
      <c r="R109" s="75"/>
      <c r="T109" s="74"/>
    </row>
    <row r="110" spans="1:20" ht="35.25" x14ac:dyDescent="0.5">
      <c r="A110">
        <v>1</v>
      </c>
      <c r="B110" s="120">
        <f>SUBTOTAL(103,$A$93:A110)</f>
        <v>16</v>
      </c>
      <c r="C110" s="121" t="s">
        <v>1341</v>
      </c>
      <c r="D110" s="115">
        <v>1935</v>
      </c>
      <c r="E110" s="115"/>
      <c r="F110" s="116" t="s">
        <v>256</v>
      </c>
      <c r="G110" s="115">
        <v>2</v>
      </c>
      <c r="H110" s="115">
        <v>2</v>
      </c>
      <c r="I110" s="117">
        <v>474.9</v>
      </c>
      <c r="J110" s="117">
        <v>427.5</v>
      </c>
      <c r="K110" s="117">
        <v>427.5</v>
      </c>
      <c r="L110" s="118">
        <v>15</v>
      </c>
      <c r="M110" s="115" t="s">
        <v>258</v>
      </c>
      <c r="N110" s="119" t="s">
        <v>335</v>
      </c>
      <c r="O110" s="117">
        <v>433416.75</v>
      </c>
      <c r="P110" s="117">
        <f t="shared" si="4"/>
        <v>912.64845230574861</v>
      </c>
      <c r="Q110" s="117">
        <v>12662.680934933673</v>
      </c>
      <c r="R110" s="75"/>
      <c r="T110" s="74"/>
    </row>
    <row r="111" spans="1:20" ht="35.25" x14ac:dyDescent="0.5">
      <c r="A111">
        <v>1</v>
      </c>
      <c r="B111" s="120">
        <f>SUBTOTAL(103,$A$93:A111)</f>
        <v>17</v>
      </c>
      <c r="C111" s="121" t="s">
        <v>1054</v>
      </c>
      <c r="D111" s="115">
        <v>1991</v>
      </c>
      <c r="E111" s="115">
        <v>2010</v>
      </c>
      <c r="F111" s="116" t="s">
        <v>1240</v>
      </c>
      <c r="G111" s="115">
        <v>13</v>
      </c>
      <c r="H111" s="115">
        <v>1</v>
      </c>
      <c r="I111" s="117">
        <v>4135.3</v>
      </c>
      <c r="J111" s="117">
        <v>3928.9</v>
      </c>
      <c r="K111" s="117">
        <v>3680.79</v>
      </c>
      <c r="L111" s="118">
        <v>225</v>
      </c>
      <c r="M111" s="119" t="s">
        <v>258</v>
      </c>
      <c r="N111" s="122" t="s">
        <v>334</v>
      </c>
      <c r="O111" s="117">
        <v>167825.19</v>
      </c>
      <c r="P111" s="117">
        <f t="shared" si="4"/>
        <v>40.583558629361832</v>
      </c>
      <c r="Q111" s="117">
        <v>871.15424757575022</v>
      </c>
      <c r="R111" s="75"/>
      <c r="T111" s="74"/>
    </row>
    <row r="112" spans="1:20" ht="35.25" x14ac:dyDescent="0.5">
      <c r="A112">
        <v>1</v>
      </c>
      <c r="B112" s="120">
        <f>SUBTOTAL(103,$A$93:A112)</f>
        <v>18</v>
      </c>
      <c r="C112" s="121" t="s">
        <v>1403</v>
      </c>
      <c r="D112" s="115">
        <v>1953</v>
      </c>
      <c r="E112" s="115">
        <v>2008</v>
      </c>
      <c r="F112" s="116" t="s">
        <v>256</v>
      </c>
      <c r="G112" s="115">
        <v>2</v>
      </c>
      <c r="H112" s="115">
        <v>1</v>
      </c>
      <c r="I112" s="117">
        <v>520.79999999999995</v>
      </c>
      <c r="J112" s="117">
        <v>480.7</v>
      </c>
      <c r="K112" s="117">
        <v>406.6</v>
      </c>
      <c r="L112" s="118">
        <v>27</v>
      </c>
      <c r="M112" s="122" t="s">
        <v>258</v>
      </c>
      <c r="N112" s="122" t="s">
        <v>334</v>
      </c>
      <c r="O112" s="117">
        <v>111509.89</v>
      </c>
      <c r="P112" s="117">
        <f t="shared" si="4"/>
        <v>214.11269201228882</v>
      </c>
      <c r="Q112" s="117">
        <v>9325.2146313364065</v>
      </c>
      <c r="R112" s="75"/>
      <c r="T112" s="74"/>
    </row>
    <row r="113" spans="1:20" ht="35.25" x14ac:dyDescent="0.5">
      <c r="A113">
        <v>1</v>
      </c>
      <c r="B113" s="120">
        <f>SUBTOTAL(103,$A$93:A113)</f>
        <v>19</v>
      </c>
      <c r="C113" s="121" t="s">
        <v>1404</v>
      </c>
      <c r="D113" s="115">
        <v>1936</v>
      </c>
      <c r="E113" s="115">
        <v>2008</v>
      </c>
      <c r="F113" s="116" t="s">
        <v>256</v>
      </c>
      <c r="G113" s="115">
        <v>3</v>
      </c>
      <c r="H113" s="115">
        <v>4</v>
      </c>
      <c r="I113" s="117">
        <v>1637.8</v>
      </c>
      <c r="J113" s="117">
        <v>1246.5999999999999</v>
      </c>
      <c r="K113" s="117">
        <v>1142.8</v>
      </c>
      <c r="L113" s="118">
        <v>53</v>
      </c>
      <c r="M113" s="122" t="s">
        <v>258</v>
      </c>
      <c r="N113" s="122" t="s">
        <v>335</v>
      </c>
      <c r="O113" s="117">
        <v>155632.46</v>
      </c>
      <c r="P113" s="117">
        <f t="shared" si="4"/>
        <v>95.025314446208327</v>
      </c>
      <c r="Q113" s="117">
        <v>3389.9234431554532</v>
      </c>
      <c r="R113" s="75"/>
      <c r="T113" s="74"/>
    </row>
    <row r="114" spans="1:20" ht="35.25" x14ac:dyDescent="0.5">
      <c r="A114">
        <v>1</v>
      </c>
      <c r="B114" s="120">
        <f>SUBTOTAL(103,$A$93:A114)</f>
        <v>20</v>
      </c>
      <c r="C114" s="121" t="s">
        <v>1405</v>
      </c>
      <c r="D114" s="115">
        <v>1950</v>
      </c>
      <c r="E114" s="115"/>
      <c r="F114" s="116" t="s">
        <v>256</v>
      </c>
      <c r="G114" s="115">
        <v>2</v>
      </c>
      <c r="H114" s="115">
        <v>1</v>
      </c>
      <c r="I114" s="117">
        <v>459.9</v>
      </c>
      <c r="J114" s="117">
        <v>417.6</v>
      </c>
      <c r="K114" s="117">
        <v>417.6</v>
      </c>
      <c r="L114" s="118">
        <v>24</v>
      </c>
      <c r="M114" s="122" t="s">
        <v>258</v>
      </c>
      <c r="N114" s="122" t="s">
        <v>933</v>
      </c>
      <c r="O114" s="117">
        <v>7494.52</v>
      </c>
      <c r="P114" s="117">
        <f t="shared" si="4"/>
        <v>16.295977386388348</v>
      </c>
      <c r="Q114" s="117">
        <v>10663.996520982824</v>
      </c>
      <c r="R114" s="75"/>
      <c r="T114" s="74"/>
    </row>
    <row r="115" spans="1:20" ht="35.25" x14ac:dyDescent="0.5">
      <c r="A115">
        <v>1</v>
      </c>
      <c r="B115" s="120">
        <f>SUBTOTAL(103,$A$93:A115)</f>
        <v>21</v>
      </c>
      <c r="C115" s="121" t="s">
        <v>1406</v>
      </c>
      <c r="D115" s="115">
        <v>1961</v>
      </c>
      <c r="E115" s="115"/>
      <c r="F115" s="116" t="s">
        <v>256</v>
      </c>
      <c r="G115" s="115">
        <v>4</v>
      </c>
      <c r="H115" s="115">
        <v>2</v>
      </c>
      <c r="I115" s="117">
        <v>2794.3</v>
      </c>
      <c r="J115" s="117">
        <v>1973.11</v>
      </c>
      <c r="K115" s="117">
        <v>1887.11</v>
      </c>
      <c r="L115" s="118">
        <v>86</v>
      </c>
      <c r="M115" s="122" t="s">
        <v>258</v>
      </c>
      <c r="N115" s="122" t="s">
        <v>1470</v>
      </c>
      <c r="O115" s="117">
        <v>48133.04</v>
      </c>
      <c r="P115" s="117">
        <f t="shared" si="4"/>
        <v>17.225437497763302</v>
      </c>
      <c r="Q115" s="117">
        <v>2575.2608095050637</v>
      </c>
      <c r="R115" s="75"/>
      <c r="T115" s="74"/>
    </row>
    <row r="116" spans="1:20" ht="35.25" x14ac:dyDescent="0.5">
      <c r="A116">
        <v>1</v>
      </c>
      <c r="B116" s="120">
        <f>SUBTOTAL(103,$A$93:A116)</f>
        <v>22</v>
      </c>
      <c r="C116" s="121" t="s">
        <v>1504</v>
      </c>
      <c r="D116" s="115">
        <v>1952</v>
      </c>
      <c r="E116" s="115"/>
      <c r="F116" s="116" t="s">
        <v>322</v>
      </c>
      <c r="G116" s="115">
        <v>2</v>
      </c>
      <c r="H116" s="115">
        <v>3</v>
      </c>
      <c r="I116" s="117">
        <v>1380</v>
      </c>
      <c r="J116" s="117">
        <v>1114.5</v>
      </c>
      <c r="K116" s="117">
        <v>895.5</v>
      </c>
      <c r="L116" s="118">
        <v>35</v>
      </c>
      <c r="M116" s="122" t="s">
        <v>258</v>
      </c>
      <c r="N116" s="122" t="s">
        <v>1503</v>
      </c>
      <c r="O116" s="117">
        <v>91476.549999999988</v>
      </c>
      <c r="P116" s="117">
        <f t="shared" si="4"/>
        <v>66.287355072463754</v>
      </c>
      <c r="Q116" s="117">
        <v>6842.8589565217399</v>
      </c>
      <c r="R116" s="75"/>
      <c r="T116" s="74"/>
    </row>
    <row r="117" spans="1:20" ht="35.25" x14ac:dyDescent="0.5">
      <c r="A117">
        <v>1</v>
      </c>
      <c r="B117" s="120">
        <f>SUBTOTAL(103,$A$93:A117)</f>
        <v>23</v>
      </c>
      <c r="C117" s="121" t="s">
        <v>1770</v>
      </c>
      <c r="D117" s="115" t="s">
        <v>357</v>
      </c>
      <c r="E117" s="115"/>
      <c r="F117" s="116" t="s">
        <v>298</v>
      </c>
      <c r="G117" s="115">
        <v>5</v>
      </c>
      <c r="H117" s="115">
        <v>4</v>
      </c>
      <c r="I117" s="117">
        <v>3908</v>
      </c>
      <c r="J117" s="117">
        <v>3817</v>
      </c>
      <c r="K117" s="117">
        <v>3165.2</v>
      </c>
      <c r="L117" s="118">
        <v>197</v>
      </c>
      <c r="M117" s="122" t="s">
        <v>258</v>
      </c>
      <c r="N117" s="119" t="s">
        <v>1584</v>
      </c>
      <c r="O117" s="117">
        <v>42969.59</v>
      </c>
      <c r="P117" s="117">
        <f t="shared" si="4"/>
        <v>10.995289150460593</v>
      </c>
      <c r="Q117" s="117">
        <v>2174.4982395087004</v>
      </c>
      <c r="R117" s="75"/>
      <c r="T117" s="74"/>
    </row>
    <row r="118" spans="1:20" ht="35.25" x14ac:dyDescent="0.5">
      <c r="A118">
        <v>1</v>
      </c>
      <c r="B118" s="120">
        <f>SUBTOTAL(103,$A$93:A118)</f>
        <v>24</v>
      </c>
      <c r="C118" s="121" t="s">
        <v>3180</v>
      </c>
      <c r="D118" s="115">
        <v>1962</v>
      </c>
      <c r="E118" s="115"/>
      <c r="F118" s="116" t="s">
        <v>1263</v>
      </c>
      <c r="G118" s="115">
        <v>3</v>
      </c>
      <c r="H118" s="115">
        <v>2</v>
      </c>
      <c r="I118" s="117">
        <v>961.6</v>
      </c>
      <c r="J118" s="117">
        <v>620</v>
      </c>
      <c r="K118" s="117">
        <v>620</v>
      </c>
      <c r="L118" s="118">
        <v>48</v>
      </c>
      <c r="M118" s="122" t="s">
        <v>258</v>
      </c>
      <c r="N118" s="119" t="s">
        <v>3184</v>
      </c>
      <c r="O118" s="117">
        <v>89582.74</v>
      </c>
      <c r="P118" s="117">
        <f t="shared" si="4"/>
        <v>93.160087354409328</v>
      </c>
      <c r="Q118" s="117">
        <v>111.79</v>
      </c>
      <c r="R118" s="75"/>
      <c r="T118" s="74"/>
    </row>
    <row r="119" spans="1:20" ht="35.25" x14ac:dyDescent="0.5">
      <c r="B119" s="114" t="s">
        <v>768</v>
      </c>
      <c r="C119" s="121"/>
      <c r="D119" s="115" t="s">
        <v>701</v>
      </c>
      <c r="E119" s="115" t="s">
        <v>701</v>
      </c>
      <c r="F119" s="116" t="s">
        <v>701</v>
      </c>
      <c r="G119" s="115" t="s">
        <v>701</v>
      </c>
      <c r="H119" s="115" t="s">
        <v>701</v>
      </c>
      <c r="I119" s="117">
        <f>SUM(I120:I126)</f>
        <v>14909.5</v>
      </c>
      <c r="J119" s="117">
        <f>SUM(J120:J126)</f>
        <v>8883.0999999999985</v>
      </c>
      <c r="K119" s="117">
        <f>SUM(K120:K126)</f>
        <v>7514.1</v>
      </c>
      <c r="L119" s="118">
        <f>SUM(L120:L126)</f>
        <v>477</v>
      </c>
      <c r="M119" s="115" t="s">
        <v>835</v>
      </c>
      <c r="N119" s="119" t="s">
        <v>835</v>
      </c>
      <c r="O119" s="145">
        <v>3390582.9900000007</v>
      </c>
      <c r="P119" s="117">
        <f t="shared" si="4"/>
        <v>227.41091183473628</v>
      </c>
      <c r="Q119" s="117">
        <f>MAX(Q120:Q126)</f>
        <v>8417.0477330581361</v>
      </c>
      <c r="R119" s="75"/>
      <c r="T119" s="74"/>
    </row>
    <row r="120" spans="1:20" ht="35.25" x14ac:dyDescent="0.5">
      <c r="A120">
        <v>1</v>
      </c>
      <c r="B120" s="120">
        <f>SUBTOTAL(103,$A$93:A120)</f>
        <v>25</v>
      </c>
      <c r="C120" s="121" t="s">
        <v>1342</v>
      </c>
      <c r="D120" s="115">
        <v>1992</v>
      </c>
      <c r="E120" s="115"/>
      <c r="F120" s="116" t="s">
        <v>256</v>
      </c>
      <c r="G120" s="115">
        <v>3</v>
      </c>
      <c r="H120" s="115">
        <v>3</v>
      </c>
      <c r="I120" s="117">
        <v>3997</v>
      </c>
      <c r="J120" s="117">
        <v>1901.1</v>
      </c>
      <c r="K120" s="117">
        <v>1791.5</v>
      </c>
      <c r="L120" s="118">
        <v>73</v>
      </c>
      <c r="M120" s="115" t="s">
        <v>258</v>
      </c>
      <c r="N120" s="119" t="s">
        <v>1419</v>
      </c>
      <c r="O120" s="117">
        <v>502837.5</v>
      </c>
      <c r="P120" s="117">
        <f t="shared" si="4"/>
        <v>125.80372779584688</v>
      </c>
      <c r="Q120" s="117">
        <v>2561.1113134851144</v>
      </c>
      <c r="R120" s="75"/>
      <c r="T120" s="74"/>
    </row>
    <row r="121" spans="1:20" ht="35.25" x14ac:dyDescent="0.5">
      <c r="A121">
        <v>1</v>
      </c>
      <c r="B121" s="120">
        <f>SUBTOTAL(103,$A$93:A121)</f>
        <v>26</v>
      </c>
      <c r="C121" s="121" t="s">
        <v>1343</v>
      </c>
      <c r="D121" s="115">
        <v>1983</v>
      </c>
      <c r="E121" s="115"/>
      <c r="F121" s="116" t="s">
        <v>298</v>
      </c>
      <c r="G121" s="115">
        <v>5</v>
      </c>
      <c r="H121" s="115">
        <v>4</v>
      </c>
      <c r="I121" s="117">
        <v>4357</v>
      </c>
      <c r="J121" s="117">
        <v>1821.4</v>
      </c>
      <c r="K121" s="117">
        <v>1678.3</v>
      </c>
      <c r="L121" s="118">
        <v>159</v>
      </c>
      <c r="M121" s="115" t="s">
        <v>258</v>
      </c>
      <c r="N121" s="119" t="s">
        <v>1419</v>
      </c>
      <c r="O121" s="117">
        <v>2550266.3600000003</v>
      </c>
      <c r="P121" s="117">
        <f t="shared" si="4"/>
        <v>585.32622446637606</v>
      </c>
      <c r="Q121" s="117">
        <v>1662.8632086297914</v>
      </c>
      <c r="R121" s="75"/>
      <c r="T121" s="74"/>
    </row>
    <row r="122" spans="1:20" ht="35.25" x14ac:dyDescent="0.5">
      <c r="A122">
        <v>1</v>
      </c>
      <c r="B122" s="120">
        <f>SUBTOTAL(103,$A$93:A122)</f>
        <v>27</v>
      </c>
      <c r="C122" s="121" t="s">
        <v>1344</v>
      </c>
      <c r="D122" s="115">
        <v>1940</v>
      </c>
      <c r="E122" s="115"/>
      <c r="F122" s="116" t="s">
        <v>256</v>
      </c>
      <c r="G122" s="115">
        <v>3</v>
      </c>
      <c r="H122" s="115">
        <v>3</v>
      </c>
      <c r="I122" s="117">
        <v>2021</v>
      </c>
      <c r="J122" s="117">
        <v>1886.9</v>
      </c>
      <c r="K122" s="117">
        <v>1320.5</v>
      </c>
      <c r="L122" s="118">
        <v>47</v>
      </c>
      <c r="M122" s="115" t="s">
        <v>258</v>
      </c>
      <c r="N122" s="119" t="s">
        <v>1420</v>
      </c>
      <c r="O122" s="117">
        <v>57982.38</v>
      </c>
      <c r="P122" s="117">
        <f t="shared" si="4"/>
        <v>28.689945571499255</v>
      </c>
      <c r="Q122" s="117">
        <v>5473.5888878772885</v>
      </c>
      <c r="R122" s="75"/>
      <c r="T122" s="74"/>
    </row>
    <row r="123" spans="1:20" ht="35.25" x14ac:dyDescent="0.5">
      <c r="A123">
        <v>1</v>
      </c>
      <c r="B123" s="120">
        <f>SUBTOTAL(103,$A$93:A123)</f>
        <v>28</v>
      </c>
      <c r="C123" s="121" t="s">
        <v>1345</v>
      </c>
      <c r="D123" s="115">
        <v>1994</v>
      </c>
      <c r="E123" s="115"/>
      <c r="F123" s="116" t="s">
        <v>256</v>
      </c>
      <c r="G123" s="115">
        <v>3</v>
      </c>
      <c r="H123" s="115">
        <v>3</v>
      </c>
      <c r="I123" s="117">
        <v>1540.3</v>
      </c>
      <c r="J123" s="117">
        <v>1362.4</v>
      </c>
      <c r="K123" s="117">
        <v>1247.3</v>
      </c>
      <c r="L123" s="118">
        <v>65</v>
      </c>
      <c r="M123" s="115" t="s">
        <v>255</v>
      </c>
      <c r="N123" s="119" t="s">
        <v>257</v>
      </c>
      <c r="O123" s="117">
        <v>175548.91</v>
      </c>
      <c r="P123" s="117">
        <f t="shared" ref="P123:P154" si="5">O123/I123</f>
        <v>113.97059663701877</v>
      </c>
      <c r="Q123" s="117">
        <v>4851.3143673310396</v>
      </c>
      <c r="R123" s="75"/>
      <c r="T123" s="74"/>
    </row>
    <row r="124" spans="1:20" ht="35.25" x14ac:dyDescent="0.5">
      <c r="A124">
        <v>1</v>
      </c>
      <c r="B124" s="120">
        <f>SUBTOTAL(103,$A$93:A124)</f>
        <v>29</v>
      </c>
      <c r="C124" s="121" t="s">
        <v>1346</v>
      </c>
      <c r="D124" s="115">
        <v>1955</v>
      </c>
      <c r="E124" s="115"/>
      <c r="F124" s="116" t="s">
        <v>256</v>
      </c>
      <c r="G124" s="115">
        <v>2</v>
      </c>
      <c r="H124" s="115">
        <v>2</v>
      </c>
      <c r="I124" s="117">
        <v>872.1</v>
      </c>
      <c r="J124" s="117">
        <v>557</v>
      </c>
      <c r="K124" s="117">
        <v>255.4</v>
      </c>
      <c r="L124" s="118">
        <v>40</v>
      </c>
      <c r="M124" s="115" t="s">
        <v>258</v>
      </c>
      <c r="N124" s="119" t="s">
        <v>1420</v>
      </c>
      <c r="O124" s="117">
        <v>63565.37</v>
      </c>
      <c r="P124" s="117">
        <f t="shared" si="5"/>
        <v>72.887707831670681</v>
      </c>
      <c r="Q124" s="117">
        <v>8417.0477330581361</v>
      </c>
      <c r="R124" s="75"/>
      <c r="T124" s="74"/>
    </row>
    <row r="125" spans="1:20" ht="35.25" x14ac:dyDescent="0.5">
      <c r="A125">
        <v>1</v>
      </c>
      <c r="B125" s="120">
        <f>SUBTOTAL(103,$A$93:A125)</f>
        <v>30</v>
      </c>
      <c r="C125" s="121" t="s">
        <v>1347</v>
      </c>
      <c r="D125" s="115">
        <v>1928</v>
      </c>
      <c r="E125" s="115"/>
      <c r="F125" s="116" t="s">
        <v>256</v>
      </c>
      <c r="G125" s="115">
        <v>2</v>
      </c>
      <c r="H125" s="115">
        <v>2</v>
      </c>
      <c r="I125" s="117">
        <v>552</v>
      </c>
      <c r="J125" s="117">
        <v>401.5</v>
      </c>
      <c r="K125" s="117">
        <v>268.3</v>
      </c>
      <c r="L125" s="118">
        <v>32</v>
      </c>
      <c r="M125" s="115" t="s">
        <v>255</v>
      </c>
      <c r="N125" s="119" t="s">
        <v>257</v>
      </c>
      <c r="O125" s="117">
        <v>2418</v>
      </c>
      <c r="P125" s="117">
        <f t="shared" si="5"/>
        <v>4.3804347826086953</v>
      </c>
      <c r="Q125" s="117">
        <v>7624.7153623188424</v>
      </c>
      <c r="R125" s="75"/>
      <c r="T125" s="74"/>
    </row>
    <row r="126" spans="1:20" ht="35.25" x14ac:dyDescent="0.5">
      <c r="A126">
        <v>1</v>
      </c>
      <c r="B126" s="120">
        <f>SUBTOTAL(103,$A$93:A126)</f>
        <v>31</v>
      </c>
      <c r="C126" s="121" t="s">
        <v>1771</v>
      </c>
      <c r="D126" s="115" t="s">
        <v>353</v>
      </c>
      <c r="E126" s="115"/>
      <c r="F126" s="116" t="s">
        <v>256</v>
      </c>
      <c r="G126" s="115">
        <v>3</v>
      </c>
      <c r="H126" s="115">
        <v>3</v>
      </c>
      <c r="I126" s="117">
        <v>1570.1</v>
      </c>
      <c r="J126" s="117">
        <v>952.8</v>
      </c>
      <c r="K126" s="117">
        <v>952.8</v>
      </c>
      <c r="L126" s="118">
        <v>61</v>
      </c>
      <c r="M126" s="115" t="s">
        <v>327</v>
      </c>
      <c r="N126" s="119" t="s">
        <v>1780</v>
      </c>
      <c r="O126" s="117">
        <v>37964.47</v>
      </c>
      <c r="P126" s="117">
        <f t="shared" si="5"/>
        <v>24.179650977644737</v>
      </c>
      <c r="Q126" s="117">
        <v>5594.0923508056821</v>
      </c>
      <c r="R126" s="75"/>
      <c r="T126" s="74"/>
    </row>
    <row r="127" spans="1:20" ht="35.25" x14ac:dyDescent="0.5">
      <c r="B127" s="114" t="s">
        <v>767</v>
      </c>
      <c r="C127" s="121"/>
      <c r="D127" s="115" t="s">
        <v>701</v>
      </c>
      <c r="E127" s="115" t="s">
        <v>701</v>
      </c>
      <c r="F127" s="116" t="s">
        <v>701</v>
      </c>
      <c r="G127" s="115" t="s">
        <v>701</v>
      </c>
      <c r="H127" s="115" t="s">
        <v>701</v>
      </c>
      <c r="I127" s="117">
        <f>SUM(I128:I130)</f>
        <v>2078.8000000000002</v>
      </c>
      <c r="J127" s="117">
        <f>SUM(J128:J130)</f>
        <v>1360</v>
      </c>
      <c r="K127" s="117">
        <f>SUM(K128:K130)</f>
        <v>756.3</v>
      </c>
      <c r="L127" s="118">
        <f>SUM(L128:L130)</f>
        <v>93</v>
      </c>
      <c r="M127" s="115" t="s">
        <v>835</v>
      </c>
      <c r="N127" s="119" t="s">
        <v>835</v>
      </c>
      <c r="O127" s="145">
        <v>110217.53</v>
      </c>
      <c r="P127" s="117">
        <f t="shared" si="5"/>
        <v>53.019785453146042</v>
      </c>
      <c r="Q127" s="117">
        <f>MAX(Q128:Q130)</f>
        <v>6418.7313793103458</v>
      </c>
      <c r="R127" s="75"/>
      <c r="T127" s="74"/>
    </row>
    <row r="128" spans="1:20" ht="35.25" x14ac:dyDescent="0.5">
      <c r="A128">
        <v>1</v>
      </c>
      <c r="B128" s="120">
        <f>SUBTOTAL(103,$A$93:A128)</f>
        <v>32</v>
      </c>
      <c r="C128" s="121" t="s">
        <v>1348</v>
      </c>
      <c r="D128" s="115">
        <v>1965</v>
      </c>
      <c r="E128" s="115"/>
      <c r="F128" s="116" t="s">
        <v>256</v>
      </c>
      <c r="G128" s="115">
        <v>2</v>
      </c>
      <c r="H128" s="115">
        <v>2</v>
      </c>
      <c r="I128" s="117">
        <v>772.6</v>
      </c>
      <c r="J128" s="117">
        <v>450.9</v>
      </c>
      <c r="K128" s="117">
        <v>299.5</v>
      </c>
      <c r="L128" s="118">
        <v>27</v>
      </c>
      <c r="M128" s="115" t="s">
        <v>255</v>
      </c>
      <c r="N128" s="115" t="s">
        <v>257</v>
      </c>
      <c r="O128" s="117">
        <v>48915.49</v>
      </c>
      <c r="P128" s="117">
        <f t="shared" si="5"/>
        <v>63.312826818534816</v>
      </c>
      <c r="Q128" s="117">
        <v>4755.1391146777123</v>
      </c>
      <c r="R128" s="75"/>
      <c r="T128" s="74"/>
    </row>
    <row r="129" spans="1:20" ht="35.25" x14ac:dyDescent="0.5">
      <c r="A129">
        <v>1</v>
      </c>
      <c r="B129" s="120">
        <f>SUBTOTAL(103,$A$93:A129)</f>
        <v>33</v>
      </c>
      <c r="C129" s="121" t="s">
        <v>1349</v>
      </c>
      <c r="D129" s="115">
        <v>1942</v>
      </c>
      <c r="E129" s="115"/>
      <c r="F129" s="116" t="s">
        <v>316</v>
      </c>
      <c r="G129" s="115">
        <v>2</v>
      </c>
      <c r="H129" s="115">
        <v>2</v>
      </c>
      <c r="I129" s="117">
        <v>842.2</v>
      </c>
      <c r="J129" s="117">
        <v>492.3</v>
      </c>
      <c r="K129" s="117">
        <v>352</v>
      </c>
      <c r="L129" s="118">
        <v>33</v>
      </c>
      <c r="M129" s="115" t="s">
        <v>255</v>
      </c>
      <c r="N129" s="115" t="s">
        <v>257</v>
      </c>
      <c r="O129" s="117">
        <v>14682.87</v>
      </c>
      <c r="P129" s="117">
        <f t="shared" si="5"/>
        <v>17.433946805984327</v>
      </c>
      <c r="Q129" s="117">
        <v>5378.5992875801476</v>
      </c>
      <c r="R129" s="75"/>
      <c r="T129" s="74"/>
    </row>
    <row r="130" spans="1:20" ht="35.25" x14ac:dyDescent="0.5">
      <c r="A130">
        <v>1</v>
      </c>
      <c r="B130" s="120">
        <f>SUBTOTAL(103,$A$93:A130)</f>
        <v>34</v>
      </c>
      <c r="C130" s="121" t="s">
        <v>1350</v>
      </c>
      <c r="D130" s="115">
        <v>1934</v>
      </c>
      <c r="E130" s="115"/>
      <c r="F130" s="116" t="s">
        <v>316</v>
      </c>
      <c r="G130" s="115">
        <v>2</v>
      </c>
      <c r="H130" s="115">
        <v>2</v>
      </c>
      <c r="I130" s="117">
        <v>464</v>
      </c>
      <c r="J130" s="117">
        <v>416.8</v>
      </c>
      <c r="K130" s="117">
        <v>104.80000000000001</v>
      </c>
      <c r="L130" s="118">
        <v>33</v>
      </c>
      <c r="M130" s="115" t="s">
        <v>255</v>
      </c>
      <c r="N130" s="115" t="s">
        <v>257</v>
      </c>
      <c r="O130" s="117">
        <v>46619.17</v>
      </c>
      <c r="P130" s="117">
        <f t="shared" si="5"/>
        <v>100.47234913793103</v>
      </c>
      <c r="Q130" s="117">
        <v>6418.7313793103458</v>
      </c>
      <c r="R130" s="75"/>
      <c r="T130" s="74"/>
    </row>
    <row r="131" spans="1:20" ht="35.25" x14ac:dyDescent="0.5">
      <c r="B131" s="114" t="s">
        <v>710</v>
      </c>
      <c r="C131" s="121"/>
      <c r="D131" s="115" t="s">
        <v>701</v>
      </c>
      <c r="E131" s="115" t="s">
        <v>701</v>
      </c>
      <c r="F131" s="116" t="s">
        <v>701</v>
      </c>
      <c r="G131" s="115" t="s">
        <v>701</v>
      </c>
      <c r="H131" s="115" t="s">
        <v>701</v>
      </c>
      <c r="I131" s="117">
        <f>SUM(I132:I145)</f>
        <v>30064.530000000006</v>
      </c>
      <c r="J131" s="117">
        <f>SUM(J132:J145)</f>
        <v>23813.670000000002</v>
      </c>
      <c r="K131" s="117">
        <f>SUM(K132:K145)</f>
        <v>20538.670000000002</v>
      </c>
      <c r="L131" s="118">
        <f>SUM(L132:L145)</f>
        <v>930</v>
      </c>
      <c r="M131" s="115" t="s">
        <v>835</v>
      </c>
      <c r="N131" s="119" t="s">
        <v>835</v>
      </c>
      <c r="O131" s="145">
        <v>4163714.65</v>
      </c>
      <c r="P131" s="117">
        <f t="shared" si="5"/>
        <v>138.49259077058576</v>
      </c>
      <c r="Q131" s="117">
        <f>MAX(Q132:Q145)</f>
        <v>9377.3953584722458</v>
      </c>
      <c r="R131" s="75"/>
      <c r="T131" s="74"/>
    </row>
    <row r="132" spans="1:20" ht="35.25" x14ac:dyDescent="0.5">
      <c r="A132">
        <v>1</v>
      </c>
      <c r="B132" s="120">
        <f>SUBTOTAL(103,$A$93:A132)</f>
        <v>35</v>
      </c>
      <c r="C132" s="121" t="s">
        <v>1351</v>
      </c>
      <c r="D132" s="115">
        <v>1962</v>
      </c>
      <c r="E132" s="115"/>
      <c r="F132" s="116" t="s">
        <v>256</v>
      </c>
      <c r="G132" s="115">
        <v>5</v>
      </c>
      <c r="H132" s="115">
        <v>2</v>
      </c>
      <c r="I132" s="117">
        <v>1612.2</v>
      </c>
      <c r="J132" s="117">
        <v>1358.8</v>
      </c>
      <c r="K132" s="117">
        <v>1358.8</v>
      </c>
      <c r="L132" s="118">
        <v>53</v>
      </c>
      <c r="M132" s="115" t="s">
        <v>258</v>
      </c>
      <c r="N132" s="115" t="s">
        <v>1421</v>
      </c>
      <c r="O132" s="117">
        <v>13000.44</v>
      </c>
      <c r="P132" s="117">
        <f t="shared" si="5"/>
        <v>8.0637886118347595</v>
      </c>
      <c r="Q132" s="117">
        <v>810.46</v>
      </c>
      <c r="R132" s="75"/>
      <c r="T132" s="74"/>
    </row>
    <row r="133" spans="1:20" ht="35.25" x14ac:dyDescent="0.5">
      <c r="A133">
        <v>1</v>
      </c>
      <c r="B133" s="120">
        <f>SUBTOTAL(103,$A$93:A133)</f>
        <v>36</v>
      </c>
      <c r="C133" s="121" t="s">
        <v>1352</v>
      </c>
      <c r="D133" s="115">
        <v>1958</v>
      </c>
      <c r="E133" s="115"/>
      <c r="F133" s="116" t="s">
        <v>256</v>
      </c>
      <c r="G133" s="115">
        <v>4</v>
      </c>
      <c r="H133" s="115">
        <v>4</v>
      </c>
      <c r="I133" s="117">
        <v>5485.5</v>
      </c>
      <c r="J133" s="117">
        <v>4412.8</v>
      </c>
      <c r="K133" s="117">
        <v>3382.7</v>
      </c>
      <c r="L133" s="118">
        <v>96</v>
      </c>
      <c r="M133" s="115" t="s">
        <v>258</v>
      </c>
      <c r="N133" s="119" t="s">
        <v>1275</v>
      </c>
      <c r="O133" s="117">
        <v>1780255.26</v>
      </c>
      <c r="P133" s="117">
        <f t="shared" si="5"/>
        <v>324.5383757178015</v>
      </c>
      <c r="Q133" s="117">
        <v>2600.9049311822082</v>
      </c>
      <c r="R133" s="75"/>
      <c r="T133" s="74"/>
    </row>
    <row r="134" spans="1:20" ht="35.25" x14ac:dyDescent="0.5">
      <c r="A134">
        <v>1</v>
      </c>
      <c r="B134" s="120">
        <f>SUBTOTAL(103,$A$93:A134)</f>
        <v>37</v>
      </c>
      <c r="C134" s="121" t="s">
        <v>1355</v>
      </c>
      <c r="D134" s="115">
        <v>1959</v>
      </c>
      <c r="E134" s="115"/>
      <c r="F134" s="116" t="s">
        <v>256</v>
      </c>
      <c r="G134" s="115">
        <v>4</v>
      </c>
      <c r="H134" s="115">
        <v>3</v>
      </c>
      <c r="I134" s="117">
        <v>3647.3</v>
      </c>
      <c r="J134" s="117">
        <v>2675.1</v>
      </c>
      <c r="K134" s="117">
        <v>2194.3000000000002</v>
      </c>
      <c r="L134" s="118">
        <v>61</v>
      </c>
      <c r="M134" s="115" t="s">
        <v>258</v>
      </c>
      <c r="N134" s="119" t="s">
        <v>1422</v>
      </c>
      <c r="O134" s="117">
        <v>1170243.6200000001</v>
      </c>
      <c r="P134" s="117">
        <f t="shared" si="5"/>
        <v>320.85203301072028</v>
      </c>
      <c r="Q134" s="117">
        <v>2713.7648123269269</v>
      </c>
      <c r="R134" s="75"/>
      <c r="T134" s="74"/>
    </row>
    <row r="135" spans="1:20" ht="35.25" x14ac:dyDescent="0.5">
      <c r="A135">
        <v>1</v>
      </c>
      <c r="B135" s="120">
        <f>SUBTOTAL(103,$A$93:A135)</f>
        <v>38</v>
      </c>
      <c r="C135" s="121" t="s">
        <v>1356</v>
      </c>
      <c r="D135" s="115">
        <v>1973</v>
      </c>
      <c r="E135" s="115"/>
      <c r="F135" s="116" t="s">
        <v>256</v>
      </c>
      <c r="G135" s="115">
        <v>5</v>
      </c>
      <c r="H135" s="115">
        <v>6</v>
      </c>
      <c r="I135" s="117">
        <v>4358.8999999999996</v>
      </c>
      <c r="J135" s="117">
        <v>3381.5</v>
      </c>
      <c r="K135" s="117">
        <v>2777</v>
      </c>
      <c r="L135" s="118">
        <v>177</v>
      </c>
      <c r="M135" s="115" t="s">
        <v>258</v>
      </c>
      <c r="N135" s="119" t="s">
        <v>1311</v>
      </c>
      <c r="O135" s="117">
        <v>82236.160000000003</v>
      </c>
      <c r="P135" s="117">
        <f t="shared" si="5"/>
        <v>18.866264424510774</v>
      </c>
      <c r="Q135" s="117">
        <v>3244.9032664204278</v>
      </c>
      <c r="R135" s="75"/>
      <c r="T135" s="74"/>
    </row>
    <row r="136" spans="1:20" ht="35.25" x14ac:dyDescent="0.5">
      <c r="A136">
        <v>1</v>
      </c>
      <c r="B136" s="120">
        <f>SUBTOTAL(103,$A$93:A136)</f>
        <v>39</v>
      </c>
      <c r="C136" s="121" t="s">
        <v>1357</v>
      </c>
      <c r="D136" s="115">
        <v>1956</v>
      </c>
      <c r="E136" s="115"/>
      <c r="F136" s="116" t="s">
        <v>256</v>
      </c>
      <c r="G136" s="115">
        <v>4</v>
      </c>
      <c r="H136" s="115">
        <v>3</v>
      </c>
      <c r="I136" s="117">
        <v>4032.8</v>
      </c>
      <c r="J136" s="117">
        <v>3036.64</v>
      </c>
      <c r="K136" s="117">
        <v>2440.14</v>
      </c>
      <c r="L136" s="118">
        <v>93</v>
      </c>
      <c r="M136" s="115" t="s">
        <v>258</v>
      </c>
      <c r="N136" s="119" t="s">
        <v>1422</v>
      </c>
      <c r="O136" s="117">
        <v>32192.58</v>
      </c>
      <c r="P136" s="117">
        <f t="shared" si="5"/>
        <v>7.9826869668716522</v>
      </c>
      <c r="Q136" s="117">
        <v>810.46</v>
      </c>
      <c r="R136" s="75"/>
      <c r="T136" s="74"/>
    </row>
    <row r="137" spans="1:20" ht="35.25" x14ac:dyDescent="0.5">
      <c r="A137">
        <v>1</v>
      </c>
      <c r="B137" s="120">
        <f>SUBTOTAL(103,$A$93:A137)</f>
        <v>40</v>
      </c>
      <c r="C137" s="121" t="s">
        <v>1358</v>
      </c>
      <c r="D137" s="115">
        <v>1953</v>
      </c>
      <c r="E137" s="115"/>
      <c r="F137" s="116" t="s">
        <v>256</v>
      </c>
      <c r="G137" s="115">
        <v>2</v>
      </c>
      <c r="H137" s="115">
        <v>1</v>
      </c>
      <c r="I137" s="117">
        <v>617.9</v>
      </c>
      <c r="J137" s="117">
        <v>408.9</v>
      </c>
      <c r="K137" s="117">
        <v>408.9</v>
      </c>
      <c r="L137" s="118">
        <v>21</v>
      </c>
      <c r="M137" s="115" t="s">
        <v>255</v>
      </c>
      <c r="N137" s="119" t="s">
        <v>257</v>
      </c>
      <c r="O137" s="117">
        <v>23581.1</v>
      </c>
      <c r="P137" s="117">
        <f t="shared" si="5"/>
        <v>38.163295031558505</v>
      </c>
      <c r="Q137" s="117">
        <v>9377.3953584722458</v>
      </c>
      <c r="R137" s="75"/>
      <c r="T137" s="74"/>
    </row>
    <row r="138" spans="1:20" ht="35.25" x14ac:dyDescent="0.5">
      <c r="A138">
        <v>1</v>
      </c>
      <c r="B138" s="120">
        <f>SUBTOTAL(103,$A$93:A138)</f>
        <v>41</v>
      </c>
      <c r="C138" s="121" t="s">
        <v>1359</v>
      </c>
      <c r="D138" s="115">
        <v>1937</v>
      </c>
      <c r="E138" s="115"/>
      <c r="F138" s="116" t="s">
        <v>256</v>
      </c>
      <c r="G138" s="115">
        <v>4</v>
      </c>
      <c r="H138" s="115">
        <v>6</v>
      </c>
      <c r="I138" s="117">
        <v>2381.6999999999998</v>
      </c>
      <c r="J138" s="117">
        <v>2256.8000000000002</v>
      </c>
      <c r="K138" s="117">
        <v>2256.8000000000002</v>
      </c>
      <c r="L138" s="118">
        <v>155</v>
      </c>
      <c r="M138" s="115" t="s">
        <v>258</v>
      </c>
      <c r="N138" s="119" t="s">
        <v>1508</v>
      </c>
      <c r="O138" s="117">
        <v>649198.31999999995</v>
      </c>
      <c r="P138" s="117">
        <f t="shared" si="5"/>
        <v>272.57770500062981</v>
      </c>
      <c r="Q138" s="117">
        <v>4736.1362052315581</v>
      </c>
      <c r="R138" s="75"/>
      <c r="T138" s="74"/>
    </row>
    <row r="139" spans="1:20" ht="35.25" x14ac:dyDescent="0.5">
      <c r="A139">
        <v>1</v>
      </c>
      <c r="B139" s="120">
        <f>SUBTOTAL(103,$A$93:A139)</f>
        <v>42</v>
      </c>
      <c r="C139" s="121" t="s">
        <v>1361</v>
      </c>
      <c r="D139" s="115">
        <v>1929</v>
      </c>
      <c r="E139" s="115"/>
      <c r="F139" s="116" t="s">
        <v>256</v>
      </c>
      <c r="G139" s="115">
        <v>3</v>
      </c>
      <c r="H139" s="115">
        <v>5</v>
      </c>
      <c r="I139" s="117">
        <v>2240.83</v>
      </c>
      <c r="J139" s="117">
        <v>1864.33</v>
      </c>
      <c r="K139" s="117">
        <v>1864.33</v>
      </c>
      <c r="L139" s="118">
        <v>90</v>
      </c>
      <c r="M139" s="115" t="s">
        <v>258</v>
      </c>
      <c r="N139" s="119" t="s">
        <v>1275</v>
      </c>
      <c r="O139" s="117">
        <v>54035.4</v>
      </c>
      <c r="P139" s="117">
        <f t="shared" si="5"/>
        <v>24.114011326160398</v>
      </c>
      <c r="Q139" s="117">
        <v>870.78833869592972</v>
      </c>
      <c r="R139" s="75"/>
      <c r="T139" s="74"/>
    </row>
    <row r="140" spans="1:20" ht="35.25" x14ac:dyDescent="0.5">
      <c r="A140">
        <v>1</v>
      </c>
      <c r="B140" s="120">
        <f>SUBTOTAL(103,$A$93:A140)</f>
        <v>43</v>
      </c>
      <c r="C140" s="121" t="s">
        <v>1365</v>
      </c>
      <c r="D140" s="115">
        <v>1928</v>
      </c>
      <c r="E140" s="115"/>
      <c r="F140" s="116" t="s">
        <v>316</v>
      </c>
      <c r="G140" s="115">
        <v>2</v>
      </c>
      <c r="H140" s="115">
        <v>1</v>
      </c>
      <c r="I140" s="117">
        <v>286.10000000000002</v>
      </c>
      <c r="J140" s="117">
        <v>205.8</v>
      </c>
      <c r="K140" s="117">
        <v>205.8</v>
      </c>
      <c r="L140" s="118">
        <v>16</v>
      </c>
      <c r="M140" s="115" t="s">
        <v>255</v>
      </c>
      <c r="N140" s="119" t="s">
        <v>257</v>
      </c>
      <c r="O140" s="117">
        <v>37308.06</v>
      </c>
      <c r="P140" s="117">
        <f t="shared" si="5"/>
        <v>130.40216707444947</v>
      </c>
      <c r="Q140" s="117">
        <v>1925.3486193638587</v>
      </c>
      <c r="R140" s="75"/>
      <c r="T140" s="74"/>
    </row>
    <row r="141" spans="1:20" ht="35.25" x14ac:dyDescent="0.5">
      <c r="A141">
        <v>1</v>
      </c>
      <c r="B141" s="120">
        <f>SUBTOTAL(103,$A$93:A141)</f>
        <v>44</v>
      </c>
      <c r="C141" s="121" t="s">
        <v>1407</v>
      </c>
      <c r="D141" s="115">
        <v>1958</v>
      </c>
      <c r="E141" s="115"/>
      <c r="F141" s="116" t="s">
        <v>256</v>
      </c>
      <c r="G141" s="115">
        <v>4</v>
      </c>
      <c r="H141" s="115">
        <v>4</v>
      </c>
      <c r="I141" s="117">
        <v>3399.9</v>
      </c>
      <c r="J141" s="117">
        <v>2625.8</v>
      </c>
      <c r="K141" s="117">
        <v>2062.6999999999998</v>
      </c>
      <c r="L141" s="118">
        <v>68</v>
      </c>
      <c r="M141" s="115" t="s">
        <v>258</v>
      </c>
      <c r="N141" s="119" t="s">
        <v>1471</v>
      </c>
      <c r="O141" s="117">
        <v>42661</v>
      </c>
      <c r="P141" s="117">
        <f t="shared" si="5"/>
        <v>12.547721991823289</v>
      </c>
      <c r="Q141" s="117">
        <v>3474.4403305979586</v>
      </c>
      <c r="R141" s="75"/>
      <c r="T141" s="74"/>
    </row>
    <row r="142" spans="1:20" ht="35.25" x14ac:dyDescent="0.5">
      <c r="A142">
        <v>1</v>
      </c>
      <c r="B142" s="120">
        <f>SUBTOTAL(103,$A$93:A142)</f>
        <v>45</v>
      </c>
      <c r="C142" s="121" t="s">
        <v>1408</v>
      </c>
      <c r="D142" s="115">
        <v>1942</v>
      </c>
      <c r="E142" s="115"/>
      <c r="F142" s="116" t="s">
        <v>316</v>
      </c>
      <c r="G142" s="115">
        <v>2</v>
      </c>
      <c r="H142" s="115">
        <v>2</v>
      </c>
      <c r="I142" s="117">
        <v>489</v>
      </c>
      <c r="J142" s="117">
        <v>431</v>
      </c>
      <c r="K142" s="117">
        <v>431</v>
      </c>
      <c r="L142" s="118">
        <v>39</v>
      </c>
      <c r="M142" s="115" t="s">
        <v>255</v>
      </c>
      <c r="N142" s="119" t="s">
        <v>257</v>
      </c>
      <c r="O142" s="117">
        <v>65466.48</v>
      </c>
      <c r="P142" s="117">
        <f t="shared" si="5"/>
        <v>133.87828220858896</v>
      </c>
      <c r="Q142" s="117">
        <v>6418.8099795501021</v>
      </c>
      <c r="R142" s="75"/>
      <c r="T142" s="74"/>
    </row>
    <row r="143" spans="1:20" ht="35.25" x14ac:dyDescent="0.5">
      <c r="A143">
        <v>1</v>
      </c>
      <c r="B143" s="120">
        <f>SUBTOTAL(103,$A$93:A143)</f>
        <v>46</v>
      </c>
      <c r="C143" s="121" t="s">
        <v>1772</v>
      </c>
      <c r="D143" s="115">
        <v>1959</v>
      </c>
      <c r="E143" s="115"/>
      <c r="F143" s="116" t="s">
        <v>256</v>
      </c>
      <c r="G143" s="115">
        <v>2</v>
      </c>
      <c r="H143" s="115">
        <v>1</v>
      </c>
      <c r="I143" s="117">
        <v>416.5</v>
      </c>
      <c r="J143" s="117">
        <v>259.3</v>
      </c>
      <c r="K143" s="117">
        <v>259.3</v>
      </c>
      <c r="L143" s="118">
        <v>14</v>
      </c>
      <c r="M143" s="122" t="s">
        <v>258</v>
      </c>
      <c r="N143" s="119" t="s">
        <v>1781</v>
      </c>
      <c r="O143" s="117">
        <v>24060.129999999997</v>
      </c>
      <c r="P143" s="117">
        <f t="shared" si="5"/>
        <v>57.767418967587027</v>
      </c>
      <c r="Q143" s="117">
        <v>7399.10930132053</v>
      </c>
      <c r="R143" s="75"/>
      <c r="T143" s="74"/>
    </row>
    <row r="144" spans="1:20" ht="35.25" x14ac:dyDescent="0.5">
      <c r="A144">
        <v>1</v>
      </c>
      <c r="B144" s="120">
        <f>SUBTOTAL(103,$A$93:A144)</f>
        <v>47</v>
      </c>
      <c r="C144" s="121" t="s">
        <v>1773</v>
      </c>
      <c r="D144" s="115" t="s">
        <v>351</v>
      </c>
      <c r="E144" s="115"/>
      <c r="F144" s="116" t="s">
        <v>316</v>
      </c>
      <c r="G144" s="115">
        <v>2</v>
      </c>
      <c r="H144" s="115">
        <v>2</v>
      </c>
      <c r="I144" s="117">
        <v>485</v>
      </c>
      <c r="J144" s="117">
        <v>329.7</v>
      </c>
      <c r="K144" s="117">
        <v>329.7</v>
      </c>
      <c r="L144" s="118">
        <v>21</v>
      </c>
      <c r="M144" s="122" t="s">
        <v>258</v>
      </c>
      <c r="N144" s="119" t="s">
        <v>752</v>
      </c>
      <c r="O144" s="117">
        <v>124416.53</v>
      </c>
      <c r="P144" s="117">
        <f t="shared" si="5"/>
        <v>256.52892783505155</v>
      </c>
      <c r="Q144" s="117">
        <v>7813.9010309278356</v>
      </c>
      <c r="R144" s="75"/>
      <c r="T144" s="74"/>
    </row>
    <row r="145" spans="1:20" ht="35.25" x14ac:dyDescent="0.5">
      <c r="A145">
        <v>1</v>
      </c>
      <c r="B145" s="120">
        <f>SUBTOTAL(103,$A$93:A145)</f>
        <v>48</v>
      </c>
      <c r="C145" s="121" t="s">
        <v>1774</v>
      </c>
      <c r="D145" s="115" t="s">
        <v>293</v>
      </c>
      <c r="E145" s="115"/>
      <c r="F145" s="116" t="s">
        <v>256</v>
      </c>
      <c r="G145" s="115">
        <v>2</v>
      </c>
      <c r="H145" s="115">
        <v>2</v>
      </c>
      <c r="I145" s="117">
        <v>610.9</v>
      </c>
      <c r="J145" s="117">
        <v>567.20000000000005</v>
      </c>
      <c r="K145" s="117">
        <v>567.20000000000005</v>
      </c>
      <c r="L145" s="118">
        <v>26</v>
      </c>
      <c r="M145" s="122" t="s">
        <v>258</v>
      </c>
      <c r="N145" s="119" t="s">
        <v>1781</v>
      </c>
      <c r="O145" s="117">
        <v>65059.57</v>
      </c>
      <c r="P145" s="117">
        <f t="shared" si="5"/>
        <v>106.49790473072517</v>
      </c>
      <c r="Q145" s="117">
        <v>7750.7746603372079</v>
      </c>
      <c r="R145" s="75"/>
      <c r="T145" s="74"/>
    </row>
    <row r="146" spans="1:20" ht="35.25" x14ac:dyDescent="0.5">
      <c r="B146" s="114" t="s">
        <v>1324</v>
      </c>
      <c r="C146" s="121"/>
      <c r="D146" s="115" t="s">
        <v>701</v>
      </c>
      <c r="E146" s="115" t="s">
        <v>701</v>
      </c>
      <c r="F146" s="116" t="s">
        <v>701</v>
      </c>
      <c r="G146" s="115" t="s">
        <v>701</v>
      </c>
      <c r="H146" s="115" t="s">
        <v>701</v>
      </c>
      <c r="I146" s="117">
        <f>SUM(I147:I160)</f>
        <v>43259.47</v>
      </c>
      <c r="J146" s="117">
        <f>SUM(J147:J160)</f>
        <v>40862.079999999994</v>
      </c>
      <c r="K146" s="117">
        <f>SUM(K147:K160)</f>
        <v>37007.06</v>
      </c>
      <c r="L146" s="118">
        <f>SUM(L147:L160)</f>
        <v>2029</v>
      </c>
      <c r="M146" s="115" t="s">
        <v>835</v>
      </c>
      <c r="N146" s="119" t="s">
        <v>835</v>
      </c>
      <c r="O146" s="145">
        <v>5154613.0699999994</v>
      </c>
      <c r="P146" s="117">
        <f t="shared" si="5"/>
        <v>119.15571480649206</v>
      </c>
      <c r="Q146" s="117">
        <f>MAX(Q147:Q160)</f>
        <v>9454.2293093577046</v>
      </c>
      <c r="R146" s="75"/>
      <c r="T146" s="74"/>
    </row>
    <row r="147" spans="1:20" ht="35.25" x14ac:dyDescent="0.5">
      <c r="A147">
        <v>1</v>
      </c>
      <c r="B147" s="120">
        <f>SUBTOTAL(103,$A$93:A147)</f>
        <v>49</v>
      </c>
      <c r="C147" s="121" t="s">
        <v>1368</v>
      </c>
      <c r="D147" s="115">
        <v>1968</v>
      </c>
      <c r="E147" s="115"/>
      <c r="F147" s="116" t="s">
        <v>256</v>
      </c>
      <c r="G147" s="115">
        <v>6</v>
      </c>
      <c r="H147" s="115">
        <v>8</v>
      </c>
      <c r="I147" s="117">
        <v>6064</v>
      </c>
      <c r="J147" s="117">
        <v>5971</v>
      </c>
      <c r="K147" s="117">
        <v>5128.3999999999996</v>
      </c>
      <c r="L147" s="118">
        <v>268</v>
      </c>
      <c r="M147" s="115" t="s">
        <v>327</v>
      </c>
      <c r="N147" s="119" t="s">
        <v>1423</v>
      </c>
      <c r="O147" s="117">
        <v>1768733.14</v>
      </c>
      <c r="P147" s="117">
        <f t="shared" si="5"/>
        <v>291.67762862796832</v>
      </c>
      <c r="Q147" s="117">
        <v>2998.3252902374675</v>
      </c>
      <c r="R147" s="75"/>
      <c r="T147" s="74"/>
    </row>
    <row r="148" spans="1:20" ht="35.25" x14ac:dyDescent="0.5">
      <c r="A148">
        <v>1</v>
      </c>
      <c r="B148" s="120">
        <f>SUBTOTAL(103,$A$93:A148)</f>
        <v>50</v>
      </c>
      <c r="C148" s="121" t="s">
        <v>1369</v>
      </c>
      <c r="D148" s="115">
        <v>1983</v>
      </c>
      <c r="E148" s="115"/>
      <c r="F148" s="116" t="s">
        <v>256</v>
      </c>
      <c r="G148" s="115">
        <v>5</v>
      </c>
      <c r="H148" s="115">
        <v>6</v>
      </c>
      <c r="I148" s="117">
        <v>4247.2</v>
      </c>
      <c r="J148" s="117">
        <v>3821.7</v>
      </c>
      <c r="K148" s="117">
        <v>3620.8</v>
      </c>
      <c r="L148" s="118">
        <v>176</v>
      </c>
      <c r="M148" s="115" t="s">
        <v>258</v>
      </c>
      <c r="N148" s="119" t="s">
        <v>1424</v>
      </c>
      <c r="O148" s="117">
        <v>224063.98</v>
      </c>
      <c r="P148" s="117">
        <f t="shared" si="5"/>
        <v>52.755693162554159</v>
      </c>
      <c r="Q148" s="117">
        <v>2382.9441514409496</v>
      </c>
      <c r="R148" s="75"/>
      <c r="T148" s="74"/>
    </row>
    <row r="149" spans="1:20" ht="35.25" x14ac:dyDescent="0.5">
      <c r="A149">
        <v>1</v>
      </c>
      <c r="B149" s="120">
        <f>SUBTOTAL(103,$A$93:A149)</f>
        <v>51</v>
      </c>
      <c r="C149" s="121" t="s">
        <v>1370</v>
      </c>
      <c r="D149" s="115">
        <v>1973</v>
      </c>
      <c r="E149" s="115"/>
      <c r="F149" s="116" t="s">
        <v>256</v>
      </c>
      <c r="G149" s="115">
        <v>5</v>
      </c>
      <c r="H149" s="115">
        <v>8</v>
      </c>
      <c r="I149" s="117">
        <v>6143</v>
      </c>
      <c r="J149" s="117">
        <v>6075.43</v>
      </c>
      <c r="K149" s="117">
        <v>5422.03</v>
      </c>
      <c r="L149" s="118">
        <v>275</v>
      </c>
      <c r="M149" s="115" t="s">
        <v>258</v>
      </c>
      <c r="N149" s="119" t="s">
        <v>1425</v>
      </c>
      <c r="O149" s="117">
        <v>31696.09</v>
      </c>
      <c r="P149" s="117">
        <f t="shared" si="5"/>
        <v>5.1597086114276411</v>
      </c>
      <c r="Q149" s="117">
        <v>2678.1603125508709</v>
      </c>
      <c r="R149" s="75"/>
      <c r="T149" s="74"/>
    </row>
    <row r="150" spans="1:20" ht="35.25" x14ac:dyDescent="0.5">
      <c r="A150">
        <v>1</v>
      </c>
      <c r="B150" s="120">
        <f>SUBTOTAL(103,$A$93:A150)</f>
        <v>52</v>
      </c>
      <c r="C150" s="121" t="s">
        <v>1371</v>
      </c>
      <c r="D150" s="115">
        <v>1961</v>
      </c>
      <c r="E150" s="115"/>
      <c r="F150" s="116" t="s">
        <v>256</v>
      </c>
      <c r="G150" s="115">
        <v>4</v>
      </c>
      <c r="H150" s="115">
        <v>3</v>
      </c>
      <c r="I150" s="117">
        <v>2176</v>
      </c>
      <c r="J150" s="117">
        <v>2029.3</v>
      </c>
      <c r="K150" s="117">
        <v>1988.8</v>
      </c>
      <c r="L150" s="118">
        <v>89</v>
      </c>
      <c r="M150" s="115" t="s">
        <v>258</v>
      </c>
      <c r="N150" s="119" t="s">
        <v>1260</v>
      </c>
      <c r="O150" s="117">
        <v>97154.82</v>
      </c>
      <c r="P150" s="117">
        <f t="shared" si="5"/>
        <v>44.648354779411768</v>
      </c>
      <c r="Q150" s="117">
        <v>3016.0576470588239</v>
      </c>
      <c r="R150" s="75"/>
      <c r="T150" s="74"/>
    </row>
    <row r="151" spans="1:20" ht="35.25" x14ac:dyDescent="0.5">
      <c r="A151">
        <v>1</v>
      </c>
      <c r="B151" s="120">
        <f>SUBTOTAL(103,$A$93:A151)</f>
        <v>53</v>
      </c>
      <c r="C151" s="121" t="s">
        <v>1372</v>
      </c>
      <c r="D151" s="115">
        <v>1961</v>
      </c>
      <c r="E151" s="115"/>
      <c r="F151" s="116" t="s">
        <v>256</v>
      </c>
      <c r="G151" s="115">
        <v>2</v>
      </c>
      <c r="H151" s="115">
        <v>2</v>
      </c>
      <c r="I151" s="117">
        <v>588.42999999999995</v>
      </c>
      <c r="J151" s="117">
        <v>546.92999999999995</v>
      </c>
      <c r="K151" s="117">
        <v>516.08000000000004</v>
      </c>
      <c r="L151" s="118">
        <v>30</v>
      </c>
      <c r="M151" s="115" t="s">
        <v>258</v>
      </c>
      <c r="N151" s="119" t="s">
        <v>1425</v>
      </c>
      <c r="O151" s="117">
        <v>115006.25</v>
      </c>
      <c r="P151" s="117">
        <f t="shared" si="5"/>
        <v>195.4459323963768</v>
      </c>
      <c r="Q151" s="117">
        <v>7849.7471576908065</v>
      </c>
      <c r="R151" s="75"/>
      <c r="T151" s="74"/>
    </row>
    <row r="152" spans="1:20" ht="35.25" x14ac:dyDescent="0.5">
      <c r="A152">
        <v>1</v>
      </c>
      <c r="B152" s="120">
        <f>SUBTOTAL(103,$A$93:A152)</f>
        <v>54</v>
      </c>
      <c r="C152" s="121" t="s">
        <v>1373</v>
      </c>
      <c r="D152" s="115">
        <v>1963</v>
      </c>
      <c r="E152" s="115"/>
      <c r="F152" s="116" t="s">
        <v>256</v>
      </c>
      <c r="G152" s="115">
        <v>4</v>
      </c>
      <c r="H152" s="115">
        <v>4</v>
      </c>
      <c r="I152" s="117">
        <v>2368</v>
      </c>
      <c r="J152" s="117">
        <v>2347.9899999999998</v>
      </c>
      <c r="K152" s="117">
        <v>2199.56</v>
      </c>
      <c r="L152" s="118">
        <v>87</v>
      </c>
      <c r="M152" s="115" t="s">
        <v>258</v>
      </c>
      <c r="N152" s="119" t="s">
        <v>1426</v>
      </c>
      <c r="O152" s="117">
        <v>1485022.6</v>
      </c>
      <c r="P152" s="117">
        <f t="shared" si="5"/>
        <v>627.12103040540546</v>
      </c>
      <c r="Q152" s="117">
        <v>4661.8646621621629</v>
      </c>
      <c r="R152" s="75"/>
      <c r="T152" s="74"/>
    </row>
    <row r="153" spans="1:20" ht="35.25" x14ac:dyDescent="0.5">
      <c r="A153">
        <v>1</v>
      </c>
      <c r="B153" s="120">
        <f>SUBTOTAL(103,$A$93:A153)</f>
        <v>55</v>
      </c>
      <c r="C153" s="121" t="s">
        <v>1374</v>
      </c>
      <c r="D153" s="115">
        <v>1971</v>
      </c>
      <c r="E153" s="115"/>
      <c r="F153" s="116" t="s">
        <v>256</v>
      </c>
      <c r="G153" s="115">
        <v>4</v>
      </c>
      <c r="H153" s="115">
        <v>1</v>
      </c>
      <c r="I153" s="117">
        <v>1601</v>
      </c>
      <c r="J153" s="117">
        <v>1473.9</v>
      </c>
      <c r="K153" s="117">
        <v>1166.5999999999999</v>
      </c>
      <c r="L153" s="118">
        <v>103</v>
      </c>
      <c r="M153" s="115" t="s">
        <v>258</v>
      </c>
      <c r="N153" s="119" t="s">
        <v>1426</v>
      </c>
      <c r="O153" s="117">
        <v>179270.28</v>
      </c>
      <c r="P153" s="117">
        <f t="shared" si="5"/>
        <v>111.97394128669582</v>
      </c>
      <c r="Q153" s="117">
        <v>3720.5388632104937</v>
      </c>
      <c r="R153" s="75"/>
      <c r="T153" s="74"/>
    </row>
    <row r="154" spans="1:20" ht="35.25" x14ac:dyDescent="0.5">
      <c r="A154">
        <v>1</v>
      </c>
      <c r="B154" s="120">
        <f>SUBTOTAL(103,$A$93:A154)</f>
        <v>56</v>
      </c>
      <c r="C154" s="121" t="s">
        <v>1375</v>
      </c>
      <c r="D154" s="115">
        <v>1963</v>
      </c>
      <c r="E154" s="115"/>
      <c r="F154" s="116" t="s">
        <v>256</v>
      </c>
      <c r="G154" s="115">
        <v>2</v>
      </c>
      <c r="H154" s="115">
        <v>2</v>
      </c>
      <c r="I154" s="117">
        <v>1027.9000000000001</v>
      </c>
      <c r="J154" s="117">
        <v>620.86</v>
      </c>
      <c r="K154" s="117">
        <v>620.86</v>
      </c>
      <c r="L154" s="118">
        <v>40</v>
      </c>
      <c r="M154" s="115" t="s">
        <v>258</v>
      </c>
      <c r="N154" s="119" t="s">
        <v>1427</v>
      </c>
      <c r="O154" s="117">
        <v>21660.55</v>
      </c>
      <c r="P154" s="117">
        <f t="shared" si="5"/>
        <v>21.072623796089111</v>
      </c>
      <c r="Q154" s="117">
        <v>4849.3290787041542</v>
      </c>
      <c r="R154" s="75"/>
      <c r="T154" s="74"/>
    </row>
    <row r="155" spans="1:20" ht="35.25" x14ac:dyDescent="0.5">
      <c r="A155">
        <v>1</v>
      </c>
      <c r="B155" s="120">
        <f>SUBTOTAL(103,$A$93:A155)</f>
        <v>57</v>
      </c>
      <c r="C155" s="121" t="s">
        <v>1376</v>
      </c>
      <c r="D155" s="115">
        <v>2003</v>
      </c>
      <c r="E155" s="115"/>
      <c r="F155" s="116" t="s">
        <v>256</v>
      </c>
      <c r="G155" s="115">
        <v>5</v>
      </c>
      <c r="H155" s="115">
        <v>8</v>
      </c>
      <c r="I155" s="117">
        <v>6514</v>
      </c>
      <c r="J155" s="117">
        <v>5845.8</v>
      </c>
      <c r="K155" s="117">
        <v>5845.8</v>
      </c>
      <c r="L155" s="118">
        <v>360</v>
      </c>
      <c r="M155" s="115" t="s">
        <v>258</v>
      </c>
      <c r="N155" s="119" t="s">
        <v>1428</v>
      </c>
      <c r="O155" s="117">
        <v>825558.04</v>
      </c>
      <c r="P155" s="117">
        <f t="shared" ref="P155:P186" si="6">O155/I155</f>
        <v>126.73595947190667</v>
      </c>
      <c r="Q155" s="117">
        <v>2120.4321400061408</v>
      </c>
      <c r="R155" s="75"/>
      <c r="T155" s="74"/>
    </row>
    <row r="156" spans="1:20" ht="35.25" x14ac:dyDescent="0.5">
      <c r="A156">
        <v>1</v>
      </c>
      <c r="B156" s="120">
        <f>SUBTOTAL(103,$A$93:A156)</f>
        <v>58</v>
      </c>
      <c r="C156" s="121" t="s">
        <v>1377</v>
      </c>
      <c r="D156" s="115">
        <v>1960</v>
      </c>
      <c r="E156" s="115"/>
      <c r="F156" s="116" t="s">
        <v>256</v>
      </c>
      <c r="G156" s="115">
        <v>2</v>
      </c>
      <c r="H156" s="115">
        <v>2</v>
      </c>
      <c r="I156" s="117">
        <v>585.54999999999995</v>
      </c>
      <c r="J156" s="117">
        <v>545.35</v>
      </c>
      <c r="K156" s="117">
        <v>433.53000000000003</v>
      </c>
      <c r="L156" s="118">
        <v>34</v>
      </c>
      <c r="M156" s="115" t="s">
        <v>255</v>
      </c>
      <c r="N156" s="119" t="s">
        <v>257</v>
      </c>
      <c r="O156" s="117">
        <v>58127.710000000006</v>
      </c>
      <c r="P156" s="117">
        <f t="shared" si="6"/>
        <v>99.270275809068423</v>
      </c>
      <c r="Q156" s="117">
        <v>6852.8187174451386</v>
      </c>
      <c r="R156" s="75"/>
      <c r="T156" s="74"/>
    </row>
    <row r="157" spans="1:20" ht="35.25" x14ac:dyDescent="0.5">
      <c r="A157">
        <v>1</v>
      </c>
      <c r="B157" s="120">
        <f>SUBTOTAL(103,$A$93:A157)</f>
        <v>59</v>
      </c>
      <c r="C157" s="121" t="s">
        <v>1092</v>
      </c>
      <c r="D157" s="115">
        <v>1989</v>
      </c>
      <c r="E157" s="115"/>
      <c r="F157" s="116" t="s">
        <v>256</v>
      </c>
      <c r="G157" s="115">
        <v>9</v>
      </c>
      <c r="H157" s="115">
        <v>1</v>
      </c>
      <c r="I157" s="117">
        <v>3494</v>
      </c>
      <c r="J157" s="117">
        <v>3277.11</v>
      </c>
      <c r="K157" s="117">
        <v>3141.61</v>
      </c>
      <c r="L157" s="118">
        <v>159</v>
      </c>
      <c r="M157" s="115" t="s">
        <v>258</v>
      </c>
      <c r="N157" s="119" t="s">
        <v>1429</v>
      </c>
      <c r="O157" s="117">
        <v>174209.85</v>
      </c>
      <c r="P157" s="117">
        <f t="shared" si="6"/>
        <v>49.859716657126505</v>
      </c>
      <c r="Q157" s="117">
        <v>1270.9461705781341</v>
      </c>
      <c r="R157" s="75"/>
      <c r="T157" s="74"/>
    </row>
    <row r="158" spans="1:20" ht="35.25" x14ac:dyDescent="0.5">
      <c r="A158">
        <v>1</v>
      </c>
      <c r="B158" s="120">
        <f>SUBTOTAL(103,$A$93:A158)</f>
        <v>60</v>
      </c>
      <c r="C158" s="121" t="s">
        <v>1412</v>
      </c>
      <c r="D158" s="115">
        <v>1966</v>
      </c>
      <c r="E158" s="115"/>
      <c r="F158" s="116" t="s">
        <v>256</v>
      </c>
      <c r="G158" s="115">
        <v>5</v>
      </c>
      <c r="H158" s="115">
        <v>4</v>
      </c>
      <c r="I158" s="117">
        <v>3416</v>
      </c>
      <c r="J158" s="117">
        <v>3392</v>
      </c>
      <c r="K158" s="117">
        <v>2976.63</v>
      </c>
      <c r="L158" s="118">
        <v>150</v>
      </c>
      <c r="M158" s="119" t="s">
        <v>258</v>
      </c>
      <c r="N158" s="122" t="s">
        <v>1427</v>
      </c>
      <c r="O158" s="117">
        <v>70328.740000000005</v>
      </c>
      <c r="P158" s="117">
        <f t="shared" si="6"/>
        <v>20.588038641686182</v>
      </c>
      <c r="Q158" s="117">
        <v>712.1</v>
      </c>
      <c r="R158" s="75"/>
      <c r="T158" s="74"/>
    </row>
    <row r="159" spans="1:20" ht="35.25" x14ac:dyDescent="0.5">
      <c r="A159">
        <v>1</v>
      </c>
      <c r="B159" s="120">
        <f>SUBTOTAL(103,$A$93:A159)</f>
        <v>61</v>
      </c>
      <c r="C159" s="121" t="s">
        <v>1775</v>
      </c>
      <c r="D159" s="115">
        <v>1972</v>
      </c>
      <c r="E159" s="115"/>
      <c r="F159" s="116" t="s">
        <v>256</v>
      </c>
      <c r="G159" s="115">
        <v>5</v>
      </c>
      <c r="H159" s="115">
        <v>6</v>
      </c>
      <c r="I159" s="117">
        <v>4562.8</v>
      </c>
      <c r="J159" s="117">
        <v>4499.5</v>
      </c>
      <c r="K159" s="117">
        <v>3634.1</v>
      </c>
      <c r="L159" s="118">
        <v>237</v>
      </c>
      <c r="M159" s="122" t="s">
        <v>258</v>
      </c>
      <c r="N159" s="119" t="s">
        <v>311</v>
      </c>
      <c r="O159" s="117">
        <v>46142.63</v>
      </c>
      <c r="P159" s="117">
        <f t="shared" si="6"/>
        <v>10.112788200227929</v>
      </c>
      <c r="Q159" s="117">
        <v>2855.2194792671166</v>
      </c>
      <c r="R159" s="75"/>
      <c r="T159" s="74"/>
    </row>
    <row r="160" spans="1:20" ht="35.25" x14ac:dyDescent="0.5">
      <c r="A160">
        <v>1</v>
      </c>
      <c r="B160" s="120">
        <f>SUBTOTAL(103,$A$93:A160)</f>
        <v>62</v>
      </c>
      <c r="C160" s="121" t="s">
        <v>1776</v>
      </c>
      <c r="D160" s="115">
        <v>1963</v>
      </c>
      <c r="E160" s="115"/>
      <c r="F160" s="116" t="s">
        <v>256</v>
      </c>
      <c r="G160" s="115">
        <v>2</v>
      </c>
      <c r="H160" s="115">
        <v>1</v>
      </c>
      <c r="I160" s="117">
        <v>471.59</v>
      </c>
      <c r="J160" s="117">
        <v>415.21</v>
      </c>
      <c r="K160" s="117">
        <v>312.26</v>
      </c>
      <c r="L160" s="118">
        <v>21</v>
      </c>
      <c r="M160" s="122" t="s">
        <v>255</v>
      </c>
      <c r="N160" s="119" t="s">
        <v>257</v>
      </c>
      <c r="O160" s="117">
        <v>57638.39</v>
      </c>
      <c r="P160" s="117">
        <f t="shared" si="6"/>
        <v>122.22139994486737</v>
      </c>
      <c r="Q160" s="117">
        <v>9454.2293093577046</v>
      </c>
      <c r="R160" s="75"/>
      <c r="T160" s="74"/>
    </row>
    <row r="161" spans="1:20" ht="35.25" x14ac:dyDescent="0.5">
      <c r="B161" s="114" t="s">
        <v>1325</v>
      </c>
      <c r="C161" s="121"/>
      <c r="D161" s="115" t="s">
        <v>701</v>
      </c>
      <c r="E161" s="115" t="s">
        <v>701</v>
      </c>
      <c r="F161" s="116" t="s">
        <v>701</v>
      </c>
      <c r="G161" s="115" t="s">
        <v>701</v>
      </c>
      <c r="H161" s="115" t="s">
        <v>701</v>
      </c>
      <c r="I161" s="117">
        <f>SUM(I162:I166)</f>
        <v>39280</v>
      </c>
      <c r="J161" s="117">
        <f>SUM(J162:J166)</f>
        <v>34872.199999999997</v>
      </c>
      <c r="K161" s="117">
        <f>SUM(K162:K166)</f>
        <v>32288.5</v>
      </c>
      <c r="L161" s="118">
        <f>SUM(L162:L166)</f>
        <v>1995</v>
      </c>
      <c r="M161" s="115" t="s">
        <v>835</v>
      </c>
      <c r="N161" s="119" t="s">
        <v>835</v>
      </c>
      <c r="O161" s="145">
        <v>1529537.19</v>
      </c>
      <c r="P161" s="117">
        <f t="shared" si="6"/>
        <v>38.939337830957228</v>
      </c>
      <c r="Q161" s="117">
        <f>MAX(Q162:Q166)</f>
        <v>1251.9329161335352</v>
      </c>
      <c r="R161" s="75"/>
      <c r="T161" s="74"/>
    </row>
    <row r="162" spans="1:20" ht="35.25" x14ac:dyDescent="0.5">
      <c r="A162">
        <v>1</v>
      </c>
      <c r="B162" s="120">
        <f>SUBTOTAL(103,$A$93:A162)</f>
        <v>63</v>
      </c>
      <c r="C162" s="121" t="s">
        <v>1378</v>
      </c>
      <c r="D162" s="115">
        <v>1978</v>
      </c>
      <c r="E162" s="115"/>
      <c r="F162" s="116" t="s">
        <v>298</v>
      </c>
      <c r="G162" s="115">
        <v>9</v>
      </c>
      <c r="H162" s="115">
        <v>4</v>
      </c>
      <c r="I162" s="117">
        <v>8707</v>
      </c>
      <c r="J162" s="117">
        <v>7693.6</v>
      </c>
      <c r="K162" s="117">
        <v>7347.1</v>
      </c>
      <c r="L162" s="118">
        <v>357</v>
      </c>
      <c r="M162" s="115" t="s">
        <v>258</v>
      </c>
      <c r="N162" s="119" t="s">
        <v>305</v>
      </c>
      <c r="O162" s="117">
        <v>379333.74</v>
      </c>
      <c r="P162" s="117">
        <f t="shared" si="6"/>
        <v>43.566525783852072</v>
      </c>
      <c r="Q162" s="117">
        <v>1188.0852307338923</v>
      </c>
      <c r="R162" s="75"/>
      <c r="T162" s="74"/>
    </row>
    <row r="163" spans="1:20" ht="35.25" x14ac:dyDescent="0.5">
      <c r="A163">
        <v>1</v>
      </c>
      <c r="B163" s="120">
        <f>SUBTOTAL(103,$A$93:A163)</f>
        <v>64</v>
      </c>
      <c r="C163" s="121" t="s">
        <v>1379</v>
      </c>
      <c r="D163" s="115">
        <v>1981</v>
      </c>
      <c r="E163" s="115"/>
      <c r="F163" s="116" t="s">
        <v>298</v>
      </c>
      <c r="G163" s="115">
        <v>9</v>
      </c>
      <c r="H163" s="115">
        <v>4</v>
      </c>
      <c r="I163" s="117">
        <v>8838.4</v>
      </c>
      <c r="J163" s="117">
        <v>7825</v>
      </c>
      <c r="K163" s="117">
        <v>7353.9</v>
      </c>
      <c r="L163" s="118">
        <v>387</v>
      </c>
      <c r="M163" s="115" t="s">
        <v>258</v>
      </c>
      <c r="N163" s="119" t="s">
        <v>305</v>
      </c>
      <c r="O163" s="117">
        <v>378072.25</v>
      </c>
      <c r="P163" s="117">
        <f t="shared" si="6"/>
        <v>42.776096352280959</v>
      </c>
      <c r="Q163" s="117">
        <v>1203.3120935916004</v>
      </c>
      <c r="R163" s="75"/>
      <c r="T163" s="74"/>
    </row>
    <row r="164" spans="1:20" ht="35.25" x14ac:dyDescent="0.5">
      <c r="A164">
        <v>1</v>
      </c>
      <c r="B164" s="120">
        <f>SUBTOTAL(103,$A$93:A164)</f>
        <v>65</v>
      </c>
      <c r="C164" s="121" t="s">
        <v>363</v>
      </c>
      <c r="D164" s="115">
        <v>1982</v>
      </c>
      <c r="E164" s="115"/>
      <c r="F164" s="116" t="s">
        <v>298</v>
      </c>
      <c r="G164" s="115">
        <v>9</v>
      </c>
      <c r="H164" s="115">
        <v>4</v>
      </c>
      <c r="I164" s="117">
        <v>8597</v>
      </c>
      <c r="J164" s="117">
        <v>7716.1</v>
      </c>
      <c r="K164" s="117">
        <v>7190.6</v>
      </c>
      <c r="L164" s="118">
        <v>399</v>
      </c>
      <c r="M164" s="115" t="s">
        <v>258</v>
      </c>
      <c r="N164" s="119" t="s">
        <v>305</v>
      </c>
      <c r="O164" s="117">
        <v>289922.22000000003</v>
      </c>
      <c r="P164" s="117">
        <f t="shared" si="6"/>
        <v>33.723650110503669</v>
      </c>
      <c r="Q164" s="117">
        <v>1251.9329161335352</v>
      </c>
      <c r="R164" s="75"/>
      <c r="T164" s="74"/>
    </row>
    <row r="165" spans="1:20" ht="35.25" x14ac:dyDescent="0.5">
      <c r="A165">
        <v>1</v>
      </c>
      <c r="B165" s="120">
        <f>SUBTOTAL(103,$A$93:A165)</f>
        <v>66</v>
      </c>
      <c r="C165" s="121" t="s">
        <v>1380</v>
      </c>
      <c r="D165" s="115">
        <v>1983</v>
      </c>
      <c r="E165" s="115"/>
      <c r="F165" s="116" t="s">
        <v>298</v>
      </c>
      <c r="G165" s="115">
        <v>9</v>
      </c>
      <c r="H165" s="115">
        <v>4</v>
      </c>
      <c r="I165" s="117">
        <v>8601.7999999999993</v>
      </c>
      <c r="J165" s="117">
        <v>7730</v>
      </c>
      <c r="K165" s="117">
        <v>7318.9</v>
      </c>
      <c r="L165" s="118">
        <v>404</v>
      </c>
      <c r="M165" s="115" t="s">
        <v>258</v>
      </c>
      <c r="N165" s="119" t="s">
        <v>305</v>
      </c>
      <c r="O165" s="117">
        <v>289922.22000000003</v>
      </c>
      <c r="P165" s="117">
        <f t="shared" si="6"/>
        <v>33.704831546885544</v>
      </c>
      <c r="Q165" s="117">
        <v>1250.1976609546841</v>
      </c>
      <c r="R165" s="75"/>
      <c r="T165" s="74"/>
    </row>
    <row r="166" spans="1:20" ht="35.25" x14ac:dyDescent="0.5">
      <c r="A166">
        <v>1</v>
      </c>
      <c r="B166" s="120">
        <f>SUBTOTAL(103,$A$93:A166)</f>
        <v>67</v>
      </c>
      <c r="C166" s="121" t="s">
        <v>1381</v>
      </c>
      <c r="D166" s="115">
        <v>1987</v>
      </c>
      <c r="E166" s="115"/>
      <c r="F166" s="116" t="s">
        <v>256</v>
      </c>
      <c r="G166" s="115">
        <v>12</v>
      </c>
      <c r="H166" s="115">
        <v>1</v>
      </c>
      <c r="I166" s="117">
        <v>4535.8</v>
      </c>
      <c r="J166" s="117">
        <v>3907.5</v>
      </c>
      <c r="K166" s="117">
        <v>3078</v>
      </c>
      <c r="L166" s="118">
        <v>448</v>
      </c>
      <c r="M166" s="115" t="s">
        <v>258</v>
      </c>
      <c r="N166" s="119" t="s">
        <v>305</v>
      </c>
      <c r="O166" s="117">
        <v>192286.75999999998</v>
      </c>
      <c r="P166" s="117">
        <f t="shared" si="6"/>
        <v>42.39313020856298</v>
      </c>
      <c r="Q166" s="117">
        <v>1015.5965571674238</v>
      </c>
      <c r="R166" s="75"/>
      <c r="T166" s="74"/>
    </row>
    <row r="167" spans="1:20" ht="35.25" x14ac:dyDescent="0.5">
      <c r="B167" s="114" t="s">
        <v>829</v>
      </c>
      <c r="C167" s="121"/>
      <c r="D167" s="115" t="s">
        <v>701</v>
      </c>
      <c r="E167" s="115" t="s">
        <v>701</v>
      </c>
      <c r="F167" s="116" t="s">
        <v>701</v>
      </c>
      <c r="G167" s="115" t="s">
        <v>701</v>
      </c>
      <c r="H167" s="115" t="s">
        <v>701</v>
      </c>
      <c r="I167" s="117">
        <f>SUM(I168:I169)</f>
        <v>6959.2</v>
      </c>
      <c r="J167" s="117">
        <f>SUM(J168:J169)</f>
        <v>6276.4</v>
      </c>
      <c r="K167" s="117">
        <f>SUM(K168:K169)</f>
        <v>6276.4</v>
      </c>
      <c r="L167" s="118">
        <f>SUM(L168:L169)</f>
        <v>259</v>
      </c>
      <c r="M167" s="115" t="s">
        <v>835</v>
      </c>
      <c r="N167" s="119" t="s">
        <v>835</v>
      </c>
      <c r="O167" s="145">
        <v>3231773.15</v>
      </c>
      <c r="P167" s="117">
        <f t="shared" si="6"/>
        <v>464.38860070123002</v>
      </c>
      <c r="Q167" s="117">
        <f>MAX(Q168:Q169)</f>
        <v>2087.2018322194058</v>
      </c>
      <c r="R167" s="75"/>
      <c r="T167" s="74"/>
    </row>
    <row r="168" spans="1:20" ht="35.25" x14ac:dyDescent="0.5">
      <c r="A168">
        <v>1</v>
      </c>
      <c r="B168" s="120">
        <f>SUBTOTAL(103,$A$93:A168)</f>
        <v>68</v>
      </c>
      <c r="C168" s="121" t="s">
        <v>1382</v>
      </c>
      <c r="D168" s="115">
        <v>1988</v>
      </c>
      <c r="E168" s="115"/>
      <c r="F168" s="116" t="s">
        <v>298</v>
      </c>
      <c r="G168" s="115">
        <v>5</v>
      </c>
      <c r="H168" s="115">
        <v>4</v>
      </c>
      <c r="I168" s="117">
        <v>3471.2</v>
      </c>
      <c r="J168" s="117">
        <v>3130.3</v>
      </c>
      <c r="K168" s="117">
        <v>3130.3</v>
      </c>
      <c r="L168" s="118">
        <v>113</v>
      </c>
      <c r="M168" s="115" t="s">
        <v>255</v>
      </c>
      <c r="N168" s="119" t="s">
        <v>257</v>
      </c>
      <c r="O168" s="117">
        <v>1617633.46</v>
      </c>
      <c r="P168" s="117">
        <f t="shared" si="6"/>
        <v>466.01563148190831</v>
      </c>
      <c r="Q168" s="117">
        <v>2087.2018322194058</v>
      </c>
      <c r="R168" s="75"/>
      <c r="T168" s="74"/>
    </row>
    <row r="169" spans="1:20" ht="35.25" x14ac:dyDescent="0.5">
      <c r="A169">
        <v>1</v>
      </c>
      <c r="B169" s="120">
        <f>SUBTOTAL(103,$A$93:A169)</f>
        <v>69</v>
      </c>
      <c r="C169" s="121" t="s">
        <v>1383</v>
      </c>
      <c r="D169" s="115">
        <v>1989</v>
      </c>
      <c r="E169" s="115"/>
      <c r="F169" s="116" t="s">
        <v>256</v>
      </c>
      <c r="G169" s="115">
        <v>5</v>
      </c>
      <c r="H169" s="115">
        <v>4</v>
      </c>
      <c r="I169" s="117">
        <v>3488</v>
      </c>
      <c r="J169" s="117">
        <v>3146.1</v>
      </c>
      <c r="K169" s="117">
        <v>3146.1</v>
      </c>
      <c r="L169" s="118">
        <v>146</v>
      </c>
      <c r="M169" s="115" t="s">
        <v>255</v>
      </c>
      <c r="N169" s="119" t="s">
        <v>257</v>
      </c>
      <c r="O169" s="117">
        <v>1614139.69</v>
      </c>
      <c r="P169" s="117">
        <f t="shared" si="6"/>
        <v>462.7694065366972</v>
      </c>
      <c r="Q169" s="117">
        <v>2077.1487958715597</v>
      </c>
      <c r="R169" s="75"/>
      <c r="T169" s="74"/>
    </row>
    <row r="170" spans="1:20" ht="35.25" x14ac:dyDescent="0.5">
      <c r="B170" s="114" t="s">
        <v>1326</v>
      </c>
      <c r="C170" s="121"/>
      <c r="D170" s="115" t="s">
        <v>701</v>
      </c>
      <c r="E170" s="115" t="s">
        <v>701</v>
      </c>
      <c r="F170" s="116" t="s">
        <v>701</v>
      </c>
      <c r="G170" s="115" t="s">
        <v>701</v>
      </c>
      <c r="H170" s="115" t="s">
        <v>701</v>
      </c>
      <c r="I170" s="117">
        <f>I171</f>
        <v>978.6</v>
      </c>
      <c r="J170" s="117">
        <f>J171</f>
        <v>880.3</v>
      </c>
      <c r="K170" s="117">
        <f>K171</f>
        <v>821.4</v>
      </c>
      <c r="L170" s="117">
        <f>L171</f>
        <v>30</v>
      </c>
      <c r="M170" s="115" t="s">
        <v>835</v>
      </c>
      <c r="N170" s="119" t="s">
        <v>835</v>
      </c>
      <c r="O170" s="145">
        <v>11164.380000000001</v>
      </c>
      <c r="P170" s="117">
        <f t="shared" si="6"/>
        <v>11.408522378908646</v>
      </c>
      <c r="Q170" s="117">
        <f>MAX(Q171:Q171)</f>
        <v>4297.2369343960763</v>
      </c>
      <c r="R170" s="75"/>
      <c r="T170" s="74"/>
    </row>
    <row r="171" spans="1:20" ht="35.25" x14ac:dyDescent="0.5">
      <c r="A171">
        <v>1</v>
      </c>
      <c r="B171" s="120">
        <f>SUBTOTAL(103,$A$93:A171)</f>
        <v>70</v>
      </c>
      <c r="C171" s="121" t="s">
        <v>1384</v>
      </c>
      <c r="D171" s="115">
        <v>1985</v>
      </c>
      <c r="E171" s="115"/>
      <c r="F171" s="116" t="s">
        <v>298</v>
      </c>
      <c r="G171" s="115">
        <v>2</v>
      </c>
      <c r="H171" s="115">
        <v>2</v>
      </c>
      <c r="I171" s="117">
        <v>978.6</v>
      </c>
      <c r="J171" s="117">
        <v>880.3</v>
      </c>
      <c r="K171" s="117">
        <v>821.4</v>
      </c>
      <c r="L171" s="118">
        <v>30</v>
      </c>
      <c r="M171" s="115" t="s">
        <v>255</v>
      </c>
      <c r="N171" s="119" t="s">
        <v>257</v>
      </c>
      <c r="O171" s="117">
        <v>11164.380000000001</v>
      </c>
      <c r="P171" s="117">
        <f t="shared" si="6"/>
        <v>11.408522378908646</v>
      </c>
      <c r="Q171" s="117">
        <v>4297.2369343960763</v>
      </c>
      <c r="R171" s="75"/>
      <c r="T171" s="74"/>
    </row>
    <row r="172" spans="1:20" ht="35.25" x14ac:dyDescent="0.5">
      <c r="B172" s="114" t="s">
        <v>805</v>
      </c>
      <c r="C172" s="121"/>
      <c r="D172" s="115" t="s">
        <v>701</v>
      </c>
      <c r="E172" s="115" t="s">
        <v>701</v>
      </c>
      <c r="F172" s="116" t="s">
        <v>701</v>
      </c>
      <c r="G172" s="115" t="s">
        <v>701</v>
      </c>
      <c r="H172" s="115" t="s">
        <v>701</v>
      </c>
      <c r="I172" s="117">
        <f>I173</f>
        <v>3121</v>
      </c>
      <c r="J172" s="117">
        <f>J173</f>
        <v>1791</v>
      </c>
      <c r="K172" s="117">
        <f>K173</f>
        <v>1791</v>
      </c>
      <c r="L172" s="118">
        <f>L173</f>
        <v>171</v>
      </c>
      <c r="M172" s="115" t="s">
        <v>835</v>
      </c>
      <c r="N172" s="119" t="s">
        <v>835</v>
      </c>
      <c r="O172" s="145">
        <v>766743.64</v>
      </c>
      <c r="P172" s="117">
        <f t="shared" si="6"/>
        <v>245.67242550464596</v>
      </c>
      <c r="Q172" s="117">
        <f>Q173</f>
        <v>2778.5393784043576</v>
      </c>
      <c r="R172" s="75"/>
      <c r="T172" s="74"/>
    </row>
    <row r="173" spans="1:20" ht="35.25" x14ac:dyDescent="0.5">
      <c r="A173">
        <v>1</v>
      </c>
      <c r="B173" s="120">
        <f>SUBTOTAL(103,$A$93:A173)</f>
        <v>71</v>
      </c>
      <c r="C173" s="121" t="s">
        <v>1385</v>
      </c>
      <c r="D173" s="115">
        <v>1986</v>
      </c>
      <c r="E173" s="115"/>
      <c r="F173" s="116" t="s">
        <v>298</v>
      </c>
      <c r="G173" s="115">
        <v>5</v>
      </c>
      <c r="H173" s="115">
        <v>4</v>
      </c>
      <c r="I173" s="117">
        <v>3121</v>
      </c>
      <c r="J173" s="117">
        <v>1791</v>
      </c>
      <c r="K173" s="117">
        <v>1791</v>
      </c>
      <c r="L173" s="118">
        <v>171</v>
      </c>
      <c r="M173" s="115" t="s">
        <v>327</v>
      </c>
      <c r="N173" s="119" t="s">
        <v>1430</v>
      </c>
      <c r="O173" s="117">
        <v>766743.64</v>
      </c>
      <c r="P173" s="117">
        <f t="shared" si="6"/>
        <v>245.67242550464596</v>
      </c>
      <c r="Q173" s="117">
        <v>2778.5393784043576</v>
      </c>
      <c r="R173" s="75"/>
      <c r="T173" s="74"/>
    </row>
    <row r="174" spans="1:20" ht="35.25" x14ac:dyDescent="0.5">
      <c r="B174" s="114" t="s">
        <v>791</v>
      </c>
      <c r="C174" s="121"/>
      <c r="D174" s="115" t="s">
        <v>701</v>
      </c>
      <c r="E174" s="115" t="s">
        <v>701</v>
      </c>
      <c r="F174" s="116" t="s">
        <v>701</v>
      </c>
      <c r="G174" s="115" t="s">
        <v>701</v>
      </c>
      <c r="H174" s="115" t="s">
        <v>701</v>
      </c>
      <c r="I174" s="117">
        <f>SUM(I175:I178)</f>
        <v>9080.32</v>
      </c>
      <c r="J174" s="117">
        <f>SUM(J175:J178)</f>
        <v>7817.6399999999994</v>
      </c>
      <c r="K174" s="117">
        <f>SUM(K175:K178)</f>
        <v>7631.34</v>
      </c>
      <c r="L174" s="118">
        <f>SUM(L175:L178)</f>
        <v>322</v>
      </c>
      <c r="M174" s="115" t="s">
        <v>835</v>
      </c>
      <c r="N174" s="119" t="s">
        <v>835</v>
      </c>
      <c r="O174" s="145">
        <v>2297433.3200000003</v>
      </c>
      <c r="P174" s="117">
        <f t="shared" si="6"/>
        <v>253.01237401325068</v>
      </c>
      <c r="Q174" s="117">
        <f>MAX(Q175:Q178)</f>
        <v>3519.4831090530506</v>
      </c>
      <c r="R174" s="75"/>
      <c r="T174" s="74"/>
    </row>
    <row r="175" spans="1:20" ht="35.25" x14ac:dyDescent="0.5">
      <c r="A175">
        <v>1</v>
      </c>
      <c r="B175" s="120">
        <f>SUBTOTAL(103,$A$93:A175)</f>
        <v>72</v>
      </c>
      <c r="C175" s="121" t="s">
        <v>1386</v>
      </c>
      <c r="D175" s="115">
        <v>1976</v>
      </c>
      <c r="E175" s="115"/>
      <c r="F175" s="116" t="s">
        <v>256</v>
      </c>
      <c r="G175" s="115">
        <v>5</v>
      </c>
      <c r="H175" s="115">
        <v>4</v>
      </c>
      <c r="I175" s="117">
        <v>3560.34</v>
      </c>
      <c r="J175" s="117">
        <v>3122.34</v>
      </c>
      <c r="K175" s="117">
        <v>3091.94</v>
      </c>
      <c r="L175" s="118">
        <v>145</v>
      </c>
      <c r="M175" s="115" t="s">
        <v>258</v>
      </c>
      <c r="N175" s="119" t="s">
        <v>1431</v>
      </c>
      <c r="O175" s="117">
        <v>662767.68000000005</v>
      </c>
      <c r="P175" s="117">
        <f t="shared" si="6"/>
        <v>186.15291797974351</v>
      </c>
      <c r="Q175" s="117">
        <v>2399.3563311369139</v>
      </c>
      <c r="R175" s="75"/>
      <c r="T175" s="74"/>
    </row>
    <row r="176" spans="1:20" ht="35.25" x14ac:dyDescent="0.5">
      <c r="A176">
        <v>1</v>
      </c>
      <c r="B176" s="120">
        <f>SUBTOTAL(103,$A$93:A176)</f>
        <v>73</v>
      </c>
      <c r="C176" s="121" t="s">
        <v>1387</v>
      </c>
      <c r="D176" s="115">
        <v>1975</v>
      </c>
      <c r="E176" s="115"/>
      <c r="F176" s="116" t="s">
        <v>256</v>
      </c>
      <c r="G176" s="115">
        <v>2</v>
      </c>
      <c r="H176" s="115">
        <v>2</v>
      </c>
      <c r="I176" s="117">
        <v>768.5</v>
      </c>
      <c r="J176" s="117">
        <v>710</v>
      </c>
      <c r="K176" s="117">
        <v>655.20000000000005</v>
      </c>
      <c r="L176" s="118">
        <v>38</v>
      </c>
      <c r="M176" s="115" t="s">
        <v>255</v>
      </c>
      <c r="N176" s="119" t="s">
        <v>257</v>
      </c>
      <c r="O176" s="117">
        <v>233442.29</v>
      </c>
      <c r="P176" s="117">
        <f t="shared" si="6"/>
        <v>303.76355237475605</v>
      </c>
      <c r="Q176" s="117">
        <v>1445.4042524398178</v>
      </c>
      <c r="R176" s="75"/>
      <c r="T176" s="74"/>
    </row>
    <row r="177" spans="1:20" ht="35.25" x14ac:dyDescent="0.5">
      <c r="A177">
        <v>1</v>
      </c>
      <c r="B177" s="120">
        <f>SUBTOTAL(103,$A$93:A177)</f>
        <v>74</v>
      </c>
      <c r="C177" s="121" t="s">
        <v>1413</v>
      </c>
      <c r="D177" s="115">
        <v>1984</v>
      </c>
      <c r="E177" s="115"/>
      <c r="F177" s="116" t="s">
        <v>298</v>
      </c>
      <c r="G177" s="115">
        <v>4</v>
      </c>
      <c r="H177" s="115">
        <v>2</v>
      </c>
      <c r="I177" s="117">
        <v>1287.08</v>
      </c>
      <c r="J177" s="117">
        <v>1127.9000000000001</v>
      </c>
      <c r="K177" s="117">
        <v>1026.8</v>
      </c>
      <c r="L177" s="118">
        <v>51</v>
      </c>
      <c r="M177" s="115" t="s">
        <v>255</v>
      </c>
      <c r="N177" s="119" t="s">
        <v>257</v>
      </c>
      <c r="O177" s="117">
        <v>57615.89</v>
      </c>
      <c r="P177" s="117">
        <f t="shared" si="6"/>
        <v>44.764808714299036</v>
      </c>
      <c r="Q177" s="117">
        <v>3519.4831090530506</v>
      </c>
      <c r="R177" s="75"/>
      <c r="T177" s="74"/>
    </row>
    <row r="178" spans="1:20" ht="35.25" x14ac:dyDescent="0.5">
      <c r="A178">
        <v>1</v>
      </c>
      <c r="B178" s="120">
        <f>SUBTOTAL(103,$A$93:A178)</f>
        <v>75</v>
      </c>
      <c r="C178" s="121" t="s">
        <v>2138</v>
      </c>
      <c r="D178" s="115">
        <v>1971</v>
      </c>
      <c r="E178" s="115"/>
      <c r="F178" s="116" t="s">
        <v>256</v>
      </c>
      <c r="G178" s="115">
        <v>5</v>
      </c>
      <c r="H178" s="115">
        <v>4</v>
      </c>
      <c r="I178" s="117">
        <v>3464.4</v>
      </c>
      <c r="J178" s="117">
        <v>2857.4</v>
      </c>
      <c r="K178" s="117">
        <f>J178</f>
        <v>2857.4</v>
      </c>
      <c r="L178" s="118">
        <v>88</v>
      </c>
      <c r="M178" s="115" t="s">
        <v>255</v>
      </c>
      <c r="N178" s="119" t="s">
        <v>257</v>
      </c>
      <c r="O178" s="117">
        <v>1343607.46</v>
      </c>
      <c r="P178" s="117">
        <f t="shared" si="6"/>
        <v>387.83265789169837</v>
      </c>
      <c r="Q178" s="117">
        <v>2520.1113797482976</v>
      </c>
      <c r="R178" s="75"/>
      <c r="T178" s="74"/>
    </row>
    <row r="179" spans="1:20" ht="35.25" x14ac:dyDescent="0.5">
      <c r="B179" s="114" t="s">
        <v>815</v>
      </c>
      <c r="C179" s="121"/>
      <c r="D179" s="115" t="s">
        <v>701</v>
      </c>
      <c r="E179" s="115" t="s">
        <v>701</v>
      </c>
      <c r="F179" s="116" t="s">
        <v>701</v>
      </c>
      <c r="G179" s="115" t="s">
        <v>701</v>
      </c>
      <c r="H179" s="115" t="s">
        <v>701</v>
      </c>
      <c r="I179" s="117">
        <f>I180+I181</f>
        <v>5978.9000000000005</v>
      </c>
      <c r="J179" s="117">
        <f>J180+J181</f>
        <v>5540</v>
      </c>
      <c r="K179" s="117">
        <f>K180+K181</f>
        <v>5418.3</v>
      </c>
      <c r="L179" s="118">
        <f>L180+L181</f>
        <v>232</v>
      </c>
      <c r="M179" s="115" t="s">
        <v>835</v>
      </c>
      <c r="N179" s="119" t="s">
        <v>835</v>
      </c>
      <c r="O179" s="145">
        <v>701741.56</v>
      </c>
      <c r="P179" s="117">
        <f t="shared" si="6"/>
        <v>117.36967669638227</v>
      </c>
      <c r="Q179" s="117">
        <f>MAX(Q180:Q181)</f>
        <v>7631.87</v>
      </c>
      <c r="R179" s="75"/>
      <c r="T179" s="74"/>
    </row>
    <row r="180" spans="1:20" ht="35.25" x14ac:dyDescent="0.5">
      <c r="A180">
        <v>1</v>
      </c>
      <c r="B180" s="120">
        <f>SUBTOTAL(103,$A$93:A180)</f>
        <v>76</v>
      </c>
      <c r="C180" s="121" t="s">
        <v>1388</v>
      </c>
      <c r="D180" s="115">
        <v>1982</v>
      </c>
      <c r="E180" s="115"/>
      <c r="F180" s="116" t="s">
        <v>298</v>
      </c>
      <c r="G180" s="115">
        <v>5</v>
      </c>
      <c r="H180" s="115">
        <v>6</v>
      </c>
      <c r="I180" s="117">
        <v>5085.1000000000004</v>
      </c>
      <c r="J180" s="117">
        <v>4673.5</v>
      </c>
      <c r="K180" s="117">
        <v>4551.8</v>
      </c>
      <c r="L180" s="118">
        <v>199</v>
      </c>
      <c r="M180" s="115" t="s">
        <v>327</v>
      </c>
      <c r="N180" s="119" t="s">
        <v>1432</v>
      </c>
      <c r="O180" s="117">
        <v>425208.96</v>
      </c>
      <c r="P180" s="117">
        <f t="shared" si="6"/>
        <v>83.618603370631845</v>
      </c>
      <c r="Q180" s="117">
        <v>2144.6067766612259</v>
      </c>
      <c r="R180" s="75"/>
      <c r="T180" s="74"/>
    </row>
    <row r="181" spans="1:20" ht="35.25" x14ac:dyDescent="0.5">
      <c r="A181">
        <v>1</v>
      </c>
      <c r="B181" s="120">
        <f>SUBTOTAL(103,$A$93:A181)</f>
        <v>77</v>
      </c>
      <c r="C181" s="121" t="s">
        <v>3181</v>
      </c>
      <c r="D181" s="115">
        <v>1967</v>
      </c>
      <c r="E181" s="115"/>
      <c r="F181" s="116" t="s">
        <v>1263</v>
      </c>
      <c r="G181" s="115">
        <v>2</v>
      </c>
      <c r="H181" s="115">
        <v>3</v>
      </c>
      <c r="I181" s="117">
        <v>893.8</v>
      </c>
      <c r="J181" s="117">
        <v>866.5</v>
      </c>
      <c r="K181" s="117">
        <v>866.5</v>
      </c>
      <c r="L181" s="118">
        <v>33</v>
      </c>
      <c r="M181" s="115" t="s">
        <v>255</v>
      </c>
      <c r="N181" s="119" t="s">
        <v>257</v>
      </c>
      <c r="O181" s="117">
        <v>276532.59999999998</v>
      </c>
      <c r="P181" s="117">
        <f t="shared" si="6"/>
        <v>309.38979637502797</v>
      </c>
      <c r="Q181" s="117">
        <v>7631.87</v>
      </c>
      <c r="R181" s="75"/>
      <c r="T181" s="74"/>
    </row>
    <row r="182" spans="1:20" ht="35.25" x14ac:dyDescent="0.5">
      <c r="B182" s="114" t="s">
        <v>776</v>
      </c>
      <c r="C182" s="121"/>
      <c r="D182" s="115" t="s">
        <v>701</v>
      </c>
      <c r="E182" s="115" t="s">
        <v>701</v>
      </c>
      <c r="F182" s="115" t="s">
        <v>701</v>
      </c>
      <c r="G182" s="115" t="s">
        <v>701</v>
      </c>
      <c r="H182" s="115" t="s">
        <v>701</v>
      </c>
      <c r="I182" s="117">
        <f>I183</f>
        <v>3387.86</v>
      </c>
      <c r="J182" s="117">
        <f>J183</f>
        <v>2034.29</v>
      </c>
      <c r="K182" s="117">
        <f>K183</f>
        <v>1015.36</v>
      </c>
      <c r="L182" s="117">
        <f>L183</f>
        <v>59</v>
      </c>
      <c r="M182" s="115" t="s">
        <v>835</v>
      </c>
      <c r="N182" s="119" t="s">
        <v>835</v>
      </c>
      <c r="O182" s="145">
        <v>215585.3</v>
      </c>
      <c r="P182" s="117">
        <f t="shared" si="6"/>
        <v>63.634654324558859</v>
      </c>
      <c r="Q182" s="117">
        <f>MAX(Q183:Q183)</f>
        <v>1920.8750633143047</v>
      </c>
      <c r="R182" s="75"/>
      <c r="T182" s="74"/>
    </row>
    <row r="183" spans="1:20" ht="35.25" x14ac:dyDescent="0.5">
      <c r="A183">
        <v>1</v>
      </c>
      <c r="B183" s="120">
        <f>SUBTOTAL(103,$A$93:A183)</f>
        <v>78</v>
      </c>
      <c r="C183" s="121" t="s">
        <v>1389</v>
      </c>
      <c r="D183" s="115">
        <v>1967</v>
      </c>
      <c r="E183" s="115"/>
      <c r="F183" s="116" t="s">
        <v>256</v>
      </c>
      <c r="G183" s="115">
        <v>4</v>
      </c>
      <c r="H183" s="115">
        <v>3</v>
      </c>
      <c r="I183" s="117">
        <v>3387.86</v>
      </c>
      <c r="J183" s="117">
        <v>2034.29</v>
      </c>
      <c r="K183" s="117">
        <v>1015.36</v>
      </c>
      <c r="L183" s="118">
        <v>59</v>
      </c>
      <c r="M183" s="115" t="s">
        <v>258</v>
      </c>
      <c r="N183" s="119" t="s">
        <v>1228</v>
      </c>
      <c r="O183" s="117">
        <v>215585.3</v>
      </c>
      <c r="P183" s="117">
        <f t="shared" si="6"/>
        <v>63.634654324558859</v>
      </c>
      <c r="Q183" s="117">
        <v>1920.8750633143047</v>
      </c>
      <c r="R183" s="75"/>
      <c r="T183" s="74"/>
    </row>
    <row r="184" spans="1:20" ht="35.25" x14ac:dyDescent="0.5">
      <c r="B184" s="114" t="s">
        <v>788</v>
      </c>
      <c r="C184" s="121"/>
      <c r="D184" s="115" t="s">
        <v>701</v>
      </c>
      <c r="E184" s="115" t="s">
        <v>701</v>
      </c>
      <c r="F184" s="116" t="s">
        <v>701</v>
      </c>
      <c r="G184" s="115" t="s">
        <v>701</v>
      </c>
      <c r="H184" s="115" t="s">
        <v>701</v>
      </c>
      <c r="I184" s="117">
        <f>SUM(I185:I185)</f>
        <v>5885.7</v>
      </c>
      <c r="J184" s="117">
        <f>SUM(J185:J185)</f>
        <v>4756.5</v>
      </c>
      <c r="K184" s="117">
        <f>SUM(K185:K185)</f>
        <v>4668.3</v>
      </c>
      <c r="L184" s="118">
        <f>SUM(L185:L185)</f>
        <v>210</v>
      </c>
      <c r="M184" s="115" t="s">
        <v>835</v>
      </c>
      <c r="N184" s="119" t="s">
        <v>835</v>
      </c>
      <c r="O184" s="145">
        <v>2090256.71</v>
      </c>
      <c r="P184" s="117">
        <f t="shared" si="6"/>
        <v>355.14156514942999</v>
      </c>
      <c r="Q184" s="117">
        <f>MAX(Q185:Q185)</f>
        <v>2970.9831353959598</v>
      </c>
      <c r="R184" s="75"/>
      <c r="T184" s="74"/>
    </row>
    <row r="185" spans="1:20" ht="35.25" x14ac:dyDescent="0.5">
      <c r="A185">
        <v>1</v>
      </c>
      <c r="B185" s="120">
        <f>SUBTOTAL(103,$A$93:A185)</f>
        <v>79</v>
      </c>
      <c r="C185" s="121" t="s">
        <v>1391</v>
      </c>
      <c r="D185" s="115">
        <v>1977</v>
      </c>
      <c r="E185" s="115"/>
      <c r="F185" s="116" t="s">
        <v>256</v>
      </c>
      <c r="G185" s="115">
        <v>5</v>
      </c>
      <c r="H185" s="115">
        <v>8</v>
      </c>
      <c r="I185" s="117">
        <v>5885.7</v>
      </c>
      <c r="J185" s="117">
        <v>4756.5</v>
      </c>
      <c r="K185" s="117">
        <v>4668.3</v>
      </c>
      <c r="L185" s="118">
        <v>210</v>
      </c>
      <c r="M185" s="115" t="s">
        <v>258</v>
      </c>
      <c r="N185" s="119" t="s">
        <v>1433</v>
      </c>
      <c r="O185" s="117">
        <v>2090256.71</v>
      </c>
      <c r="P185" s="117">
        <f t="shared" si="6"/>
        <v>355.14156514942999</v>
      </c>
      <c r="Q185" s="117">
        <v>2970.9831353959598</v>
      </c>
      <c r="R185" s="75"/>
      <c r="T185" s="74"/>
    </row>
    <row r="186" spans="1:20" ht="35.25" x14ac:dyDescent="0.5">
      <c r="B186" s="114" t="s">
        <v>828</v>
      </c>
      <c r="C186" s="121"/>
      <c r="D186" s="115" t="s">
        <v>701</v>
      </c>
      <c r="E186" s="115" t="s">
        <v>701</v>
      </c>
      <c r="F186" s="116" t="s">
        <v>701</v>
      </c>
      <c r="G186" s="115" t="s">
        <v>701</v>
      </c>
      <c r="H186" s="115" t="s">
        <v>701</v>
      </c>
      <c r="I186" s="117">
        <f>I187+I188+I189</f>
        <v>3408</v>
      </c>
      <c r="J186" s="117">
        <f>J187+J188+J189</f>
        <v>3083.5</v>
      </c>
      <c r="K186" s="117">
        <f>K187+K188+K189</f>
        <v>2494.5</v>
      </c>
      <c r="L186" s="118">
        <f>L187+L188+L189</f>
        <v>189</v>
      </c>
      <c r="M186" s="115" t="s">
        <v>835</v>
      </c>
      <c r="N186" s="119" t="s">
        <v>835</v>
      </c>
      <c r="O186" s="145">
        <v>627279.43999999994</v>
      </c>
      <c r="P186" s="117">
        <f t="shared" si="6"/>
        <v>184.06086854460094</v>
      </c>
      <c r="Q186" s="117">
        <f>MAX(Q187:Q189)</f>
        <v>8095.5914666666677</v>
      </c>
      <c r="R186" s="75"/>
      <c r="T186" s="74"/>
    </row>
    <row r="187" spans="1:20" ht="35.25" x14ac:dyDescent="0.5">
      <c r="A187">
        <v>1</v>
      </c>
      <c r="B187" s="120">
        <f>SUBTOTAL(103,$A$93:A187)</f>
        <v>80</v>
      </c>
      <c r="C187" s="121" t="s">
        <v>1392</v>
      </c>
      <c r="D187" s="115">
        <v>1961</v>
      </c>
      <c r="E187" s="115"/>
      <c r="F187" s="116" t="s">
        <v>256</v>
      </c>
      <c r="G187" s="115">
        <v>2</v>
      </c>
      <c r="H187" s="115">
        <v>3</v>
      </c>
      <c r="I187" s="117">
        <v>825</v>
      </c>
      <c r="J187" s="117">
        <v>769.5</v>
      </c>
      <c r="K187" s="117">
        <v>628.1</v>
      </c>
      <c r="L187" s="118">
        <v>57</v>
      </c>
      <c r="M187" s="115" t="s">
        <v>258</v>
      </c>
      <c r="N187" s="119" t="s">
        <v>1434</v>
      </c>
      <c r="O187" s="117">
        <v>543238.43999999994</v>
      </c>
      <c r="P187" s="117">
        <f t="shared" ref="P187:P211" si="7">O187/I187</f>
        <v>658.47083636363629</v>
      </c>
      <c r="Q187" s="117">
        <v>8095.5914666666677</v>
      </c>
      <c r="R187" s="75"/>
      <c r="T187" s="74"/>
    </row>
    <row r="188" spans="1:20" ht="35.25" x14ac:dyDescent="0.5">
      <c r="A188">
        <v>1</v>
      </c>
      <c r="B188" s="120">
        <f>SUBTOTAL(103,$A$93:A188)</f>
        <v>81</v>
      </c>
      <c r="C188" s="121" t="s">
        <v>1393</v>
      </c>
      <c r="D188" s="115">
        <v>1985</v>
      </c>
      <c r="E188" s="115"/>
      <c r="F188" s="116" t="s">
        <v>256</v>
      </c>
      <c r="G188" s="115">
        <v>4</v>
      </c>
      <c r="H188" s="115">
        <v>2</v>
      </c>
      <c r="I188" s="117">
        <v>1789.9</v>
      </c>
      <c r="J188" s="117">
        <v>1591.4</v>
      </c>
      <c r="K188" s="117">
        <v>1185</v>
      </c>
      <c r="L188" s="118">
        <v>91</v>
      </c>
      <c r="M188" s="115" t="s">
        <v>258</v>
      </c>
      <c r="N188" s="119" t="s">
        <v>1434</v>
      </c>
      <c r="O188" s="117">
        <v>30300.92</v>
      </c>
      <c r="P188" s="117">
        <f t="shared" si="7"/>
        <v>16.928834013073356</v>
      </c>
      <c r="Q188" s="117">
        <v>3506.2365227107662</v>
      </c>
      <c r="R188" s="75"/>
      <c r="T188" s="74"/>
    </row>
    <row r="189" spans="1:20" ht="35.25" x14ac:dyDescent="0.5">
      <c r="A189">
        <v>1</v>
      </c>
      <c r="B189" s="120">
        <f>SUBTOTAL(103,$A$93:A189)</f>
        <v>82</v>
      </c>
      <c r="C189" s="121" t="s">
        <v>1777</v>
      </c>
      <c r="D189" s="115" t="s">
        <v>303</v>
      </c>
      <c r="E189" s="115"/>
      <c r="F189" s="116" t="s">
        <v>256</v>
      </c>
      <c r="G189" s="115">
        <v>2</v>
      </c>
      <c r="H189" s="115">
        <v>2</v>
      </c>
      <c r="I189" s="117">
        <v>793.1</v>
      </c>
      <c r="J189" s="117">
        <v>722.6</v>
      </c>
      <c r="K189" s="117">
        <v>681.4</v>
      </c>
      <c r="L189" s="118">
        <v>41</v>
      </c>
      <c r="M189" s="122" t="s">
        <v>258</v>
      </c>
      <c r="N189" s="119" t="s">
        <v>1784</v>
      </c>
      <c r="O189" s="117">
        <v>53740.08</v>
      </c>
      <c r="P189" s="117">
        <f t="shared" si="7"/>
        <v>67.759525910982219</v>
      </c>
      <c r="Q189" s="117">
        <v>6678.5042995839121</v>
      </c>
      <c r="R189" s="75"/>
      <c r="T189" s="74"/>
    </row>
    <row r="190" spans="1:20" ht="35.25" x14ac:dyDescent="0.5">
      <c r="B190" s="114" t="s">
        <v>797</v>
      </c>
      <c r="C190" s="121"/>
      <c r="D190" s="115" t="s">
        <v>701</v>
      </c>
      <c r="E190" s="115" t="s">
        <v>701</v>
      </c>
      <c r="F190" s="116" t="s">
        <v>701</v>
      </c>
      <c r="G190" s="115" t="s">
        <v>701</v>
      </c>
      <c r="H190" s="115" t="s">
        <v>701</v>
      </c>
      <c r="I190" s="117">
        <f>SUM(I191:I192)</f>
        <v>7328.33</v>
      </c>
      <c r="J190" s="117">
        <f>SUM(J191:J192)</f>
        <v>5223.3599999999997</v>
      </c>
      <c r="K190" s="117">
        <f>SUM(K191:K192)</f>
        <v>4907.2999999999993</v>
      </c>
      <c r="L190" s="118">
        <f>SUM(L191:L192)</f>
        <v>280</v>
      </c>
      <c r="M190" s="115" t="s">
        <v>835</v>
      </c>
      <c r="N190" s="119" t="s">
        <v>835</v>
      </c>
      <c r="O190" s="145">
        <v>5216795.97</v>
      </c>
      <c r="P190" s="117">
        <f t="shared" si="7"/>
        <v>711.86695604592035</v>
      </c>
      <c r="Q190" s="117">
        <f>MAX(Q192:Q192)</f>
        <v>8070.5734895692249</v>
      </c>
      <c r="R190" s="75"/>
      <c r="T190" s="74"/>
    </row>
    <row r="191" spans="1:20" ht="35.25" x14ac:dyDescent="0.5">
      <c r="A191">
        <v>1</v>
      </c>
      <c r="B191" s="120">
        <f>SUBTOTAL(103,$A$93:A191)</f>
        <v>83</v>
      </c>
      <c r="C191" s="121" t="s">
        <v>1396</v>
      </c>
      <c r="D191" s="115">
        <v>1984</v>
      </c>
      <c r="E191" s="115"/>
      <c r="F191" s="116" t="s">
        <v>298</v>
      </c>
      <c r="G191" s="115">
        <v>5</v>
      </c>
      <c r="H191" s="115">
        <v>6</v>
      </c>
      <c r="I191" s="117">
        <v>6737.77</v>
      </c>
      <c r="J191" s="117">
        <v>4669.7</v>
      </c>
      <c r="K191" s="117">
        <v>4492.3999999999996</v>
      </c>
      <c r="L191" s="118">
        <v>246</v>
      </c>
      <c r="M191" s="115" t="s">
        <v>258</v>
      </c>
      <c r="N191" s="119" t="s">
        <v>1276</v>
      </c>
      <c r="O191" s="117">
        <v>5206608.91</v>
      </c>
      <c r="P191" s="117">
        <f t="shared" si="7"/>
        <v>772.74957589825715</v>
      </c>
      <c r="Q191" s="117">
        <v>1648.2132242566904</v>
      </c>
      <c r="R191" s="75"/>
      <c r="T191" s="74"/>
    </row>
    <row r="192" spans="1:20" ht="35.25" x14ac:dyDescent="0.5">
      <c r="A192">
        <v>1</v>
      </c>
      <c r="B192" s="120">
        <f>SUBTOTAL(103,$A$93:A192)</f>
        <v>84</v>
      </c>
      <c r="C192" s="121" t="s">
        <v>1397</v>
      </c>
      <c r="D192" s="115">
        <v>1976</v>
      </c>
      <c r="E192" s="115"/>
      <c r="F192" s="116" t="s">
        <v>256</v>
      </c>
      <c r="G192" s="115">
        <v>2</v>
      </c>
      <c r="H192" s="115">
        <v>2</v>
      </c>
      <c r="I192" s="117">
        <v>590.55999999999995</v>
      </c>
      <c r="J192" s="117">
        <v>553.66</v>
      </c>
      <c r="K192" s="117">
        <v>414.9</v>
      </c>
      <c r="L192" s="118">
        <v>34</v>
      </c>
      <c r="M192" s="115" t="s">
        <v>258</v>
      </c>
      <c r="N192" s="119" t="s">
        <v>282</v>
      </c>
      <c r="O192" s="117">
        <v>10187.06</v>
      </c>
      <c r="P192" s="117">
        <f t="shared" si="7"/>
        <v>17.24983066919534</v>
      </c>
      <c r="Q192" s="117">
        <v>8070.5734895692249</v>
      </c>
      <c r="R192" s="75"/>
      <c r="T192" s="74"/>
    </row>
    <row r="193" spans="1:20" ht="35.25" x14ac:dyDescent="0.5">
      <c r="B193" s="114" t="s">
        <v>1211</v>
      </c>
      <c r="C193" s="121"/>
      <c r="D193" s="115" t="s">
        <v>701</v>
      </c>
      <c r="E193" s="115" t="s">
        <v>701</v>
      </c>
      <c r="F193" s="116" t="s">
        <v>701</v>
      </c>
      <c r="G193" s="115" t="s">
        <v>701</v>
      </c>
      <c r="H193" s="115" t="s">
        <v>701</v>
      </c>
      <c r="I193" s="117">
        <f>I194</f>
        <v>418.1</v>
      </c>
      <c r="J193" s="117">
        <f>J194</f>
        <v>377.6</v>
      </c>
      <c r="K193" s="117">
        <f>K194</f>
        <v>284.3</v>
      </c>
      <c r="L193" s="118">
        <f>L194</f>
        <v>12</v>
      </c>
      <c r="M193" s="115" t="s">
        <v>835</v>
      </c>
      <c r="N193" s="119" t="s">
        <v>835</v>
      </c>
      <c r="O193" s="145">
        <v>222759.59</v>
      </c>
      <c r="P193" s="117">
        <f t="shared" si="7"/>
        <v>532.79021765127959</v>
      </c>
      <c r="Q193" s="117">
        <f>Q194</f>
        <v>8228.383496292754</v>
      </c>
      <c r="R193" s="75"/>
      <c r="T193" s="74"/>
    </row>
    <row r="194" spans="1:20" ht="35.25" x14ac:dyDescent="0.5">
      <c r="A194">
        <v>1</v>
      </c>
      <c r="B194" s="120">
        <f>SUBTOTAL(103,$A$93:A194)</f>
        <v>85</v>
      </c>
      <c r="C194" s="121" t="s">
        <v>1399</v>
      </c>
      <c r="D194" s="115">
        <v>1987</v>
      </c>
      <c r="E194" s="115"/>
      <c r="F194" s="116" t="s">
        <v>256</v>
      </c>
      <c r="G194" s="115">
        <v>2</v>
      </c>
      <c r="H194" s="115">
        <v>2</v>
      </c>
      <c r="I194" s="117">
        <v>418.1</v>
      </c>
      <c r="J194" s="117">
        <v>377.6</v>
      </c>
      <c r="K194" s="117">
        <v>284.3</v>
      </c>
      <c r="L194" s="118">
        <v>12</v>
      </c>
      <c r="M194" s="115" t="s">
        <v>255</v>
      </c>
      <c r="N194" s="119" t="s">
        <v>257</v>
      </c>
      <c r="O194" s="117">
        <v>222759.59</v>
      </c>
      <c r="P194" s="117">
        <f t="shared" si="7"/>
        <v>532.79021765127959</v>
      </c>
      <c r="Q194" s="117">
        <v>8228.383496292754</v>
      </c>
      <c r="R194" s="75"/>
      <c r="T194" s="74"/>
    </row>
    <row r="195" spans="1:20" ht="35.25" x14ac:dyDescent="0.5">
      <c r="B195" s="114" t="s">
        <v>793</v>
      </c>
      <c r="C195" s="121"/>
      <c r="D195" s="115" t="s">
        <v>701</v>
      </c>
      <c r="E195" s="115" t="s">
        <v>701</v>
      </c>
      <c r="F195" s="116" t="s">
        <v>701</v>
      </c>
      <c r="G195" s="115" t="s">
        <v>701</v>
      </c>
      <c r="H195" s="115" t="s">
        <v>701</v>
      </c>
      <c r="I195" s="117">
        <f>I196</f>
        <v>344.6</v>
      </c>
      <c r="J195" s="117">
        <f>J196</f>
        <v>312.2</v>
      </c>
      <c r="K195" s="117">
        <f>K196</f>
        <v>312.2</v>
      </c>
      <c r="L195" s="118">
        <f>L196</f>
        <v>15</v>
      </c>
      <c r="M195" s="115" t="s">
        <v>835</v>
      </c>
      <c r="N195" s="119" t="s">
        <v>835</v>
      </c>
      <c r="O195" s="145">
        <v>137654.99000000002</v>
      </c>
      <c r="P195" s="117">
        <f t="shared" si="7"/>
        <v>399.46311665699363</v>
      </c>
      <c r="Q195" s="117">
        <f>Q196</f>
        <v>7585.6906511897841</v>
      </c>
      <c r="R195" s="75"/>
      <c r="T195" s="74"/>
    </row>
    <row r="196" spans="1:20" ht="35.25" x14ac:dyDescent="0.5">
      <c r="A196">
        <v>1</v>
      </c>
      <c r="B196" s="120">
        <f>SUBTOTAL(103,$A$93:A196)</f>
        <v>86</v>
      </c>
      <c r="C196" s="121" t="s">
        <v>1400</v>
      </c>
      <c r="D196" s="115">
        <v>1975</v>
      </c>
      <c r="E196" s="115"/>
      <c r="F196" s="116" t="s">
        <v>256</v>
      </c>
      <c r="G196" s="115">
        <v>2</v>
      </c>
      <c r="H196" s="115">
        <v>1</v>
      </c>
      <c r="I196" s="117">
        <v>344.6</v>
      </c>
      <c r="J196" s="117">
        <v>312.2</v>
      </c>
      <c r="K196" s="117">
        <v>312.2</v>
      </c>
      <c r="L196" s="118">
        <v>15</v>
      </c>
      <c r="M196" s="115" t="s">
        <v>255</v>
      </c>
      <c r="N196" s="119" t="s">
        <v>257</v>
      </c>
      <c r="O196" s="117">
        <v>137654.99000000002</v>
      </c>
      <c r="P196" s="117">
        <f t="shared" si="7"/>
        <v>399.46311665699363</v>
      </c>
      <c r="Q196" s="117">
        <v>7585.6906511897841</v>
      </c>
      <c r="R196" s="75"/>
      <c r="T196" s="74"/>
    </row>
    <row r="197" spans="1:20" ht="35.25" x14ac:dyDescent="0.5">
      <c r="B197" s="114" t="s">
        <v>786</v>
      </c>
      <c r="C197" s="121"/>
      <c r="D197" s="115" t="s">
        <v>701</v>
      </c>
      <c r="E197" s="115" t="s">
        <v>701</v>
      </c>
      <c r="F197" s="116" t="s">
        <v>701</v>
      </c>
      <c r="G197" s="115" t="s">
        <v>701</v>
      </c>
      <c r="H197" s="115" t="s">
        <v>701</v>
      </c>
      <c r="I197" s="117">
        <f>I198</f>
        <v>719.4</v>
      </c>
      <c r="J197" s="117">
        <f>J198</f>
        <v>531.6</v>
      </c>
      <c r="K197" s="117">
        <f>K198</f>
        <v>471.6</v>
      </c>
      <c r="L197" s="118">
        <f>L198</f>
        <v>30</v>
      </c>
      <c r="M197" s="115" t="s">
        <v>835</v>
      </c>
      <c r="N197" s="119" t="s">
        <v>835</v>
      </c>
      <c r="O197" s="145">
        <v>58502.98</v>
      </c>
      <c r="P197" s="117">
        <f t="shared" si="7"/>
        <v>81.321907144842925</v>
      </c>
      <c r="Q197" s="117">
        <f>Q198</f>
        <v>8069.214678899084</v>
      </c>
      <c r="R197" s="75"/>
      <c r="T197" s="74"/>
    </row>
    <row r="198" spans="1:20" ht="35.25" x14ac:dyDescent="0.5">
      <c r="A198">
        <v>1</v>
      </c>
      <c r="B198" s="120">
        <f>SUBTOTAL(103,$A$93:A198)</f>
        <v>87</v>
      </c>
      <c r="C198" s="121" t="s">
        <v>1401</v>
      </c>
      <c r="D198" s="115">
        <v>1975</v>
      </c>
      <c r="E198" s="115"/>
      <c r="F198" s="116" t="s">
        <v>256</v>
      </c>
      <c r="G198" s="115">
        <v>2</v>
      </c>
      <c r="H198" s="115">
        <v>2</v>
      </c>
      <c r="I198" s="117">
        <v>719.4</v>
      </c>
      <c r="J198" s="117">
        <v>531.6</v>
      </c>
      <c r="K198" s="117">
        <v>471.6</v>
      </c>
      <c r="L198" s="118">
        <v>30</v>
      </c>
      <c r="M198" s="115" t="s">
        <v>255</v>
      </c>
      <c r="N198" s="119" t="s">
        <v>257</v>
      </c>
      <c r="O198" s="117">
        <v>58502.98</v>
      </c>
      <c r="P198" s="117">
        <f t="shared" si="7"/>
        <v>81.321907144842925</v>
      </c>
      <c r="Q198" s="117">
        <v>8069.214678899084</v>
      </c>
      <c r="R198" s="75"/>
      <c r="T198" s="74"/>
    </row>
    <row r="199" spans="1:20" ht="35.25" x14ac:dyDescent="0.5">
      <c r="B199" s="114" t="s">
        <v>801</v>
      </c>
      <c r="C199" s="121"/>
      <c r="D199" s="115" t="s">
        <v>701</v>
      </c>
      <c r="E199" s="115" t="s">
        <v>701</v>
      </c>
      <c r="F199" s="116" t="s">
        <v>701</v>
      </c>
      <c r="G199" s="115" t="s">
        <v>701</v>
      </c>
      <c r="H199" s="115" t="s">
        <v>701</v>
      </c>
      <c r="I199" s="117">
        <f>I200</f>
        <v>930</v>
      </c>
      <c r="J199" s="117">
        <f>J200</f>
        <v>857.4</v>
      </c>
      <c r="K199" s="117">
        <f>K200</f>
        <v>561.4</v>
      </c>
      <c r="L199" s="118">
        <f>L200</f>
        <v>45</v>
      </c>
      <c r="M199" s="115" t="s">
        <v>835</v>
      </c>
      <c r="N199" s="119" t="s">
        <v>835</v>
      </c>
      <c r="O199" s="145">
        <v>39037.31</v>
      </c>
      <c r="P199" s="117">
        <f t="shared" si="7"/>
        <v>41.975602150537632</v>
      </c>
      <c r="Q199" s="117">
        <f>Q200</f>
        <v>7306.2198709677423</v>
      </c>
      <c r="R199" s="75"/>
      <c r="T199" s="74"/>
    </row>
    <row r="200" spans="1:20" ht="35.25" x14ac:dyDescent="0.5">
      <c r="A200">
        <v>1</v>
      </c>
      <c r="B200" s="120">
        <f>SUBTOTAL(103,$A$93:A200)</f>
        <v>88</v>
      </c>
      <c r="C200" s="121" t="s">
        <v>1402</v>
      </c>
      <c r="D200" s="115">
        <v>1973</v>
      </c>
      <c r="E200" s="115"/>
      <c r="F200" s="116" t="s">
        <v>256</v>
      </c>
      <c r="G200" s="115">
        <v>2</v>
      </c>
      <c r="H200" s="115">
        <v>3</v>
      </c>
      <c r="I200" s="117">
        <v>930</v>
      </c>
      <c r="J200" s="117">
        <v>857.4</v>
      </c>
      <c r="K200" s="117">
        <v>561.4</v>
      </c>
      <c r="L200" s="118">
        <v>45</v>
      </c>
      <c r="M200" s="115" t="s">
        <v>258</v>
      </c>
      <c r="N200" s="119" t="s">
        <v>268</v>
      </c>
      <c r="O200" s="117">
        <v>39037.31</v>
      </c>
      <c r="P200" s="117">
        <f t="shared" si="7"/>
        <v>41.975602150537632</v>
      </c>
      <c r="Q200" s="117">
        <v>7306.2198709677423</v>
      </c>
      <c r="R200" s="75"/>
      <c r="T200" s="74"/>
    </row>
    <row r="201" spans="1:20" ht="35.25" x14ac:dyDescent="0.5">
      <c r="B201" s="114" t="s">
        <v>784</v>
      </c>
      <c r="C201" s="121"/>
      <c r="D201" s="115" t="s">
        <v>701</v>
      </c>
      <c r="E201" s="115" t="s">
        <v>701</v>
      </c>
      <c r="F201" s="116" t="s">
        <v>701</v>
      </c>
      <c r="G201" s="115" t="s">
        <v>701</v>
      </c>
      <c r="H201" s="115" t="s">
        <v>701</v>
      </c>
      <c r="I201" s="117">
        <f>SUM(I202:I203)</f>
        <v>1000</v>
      </c>
      <c r="J201" s="117">
        <f>SUM(J202:J203)</f>
        <v>897</v>
      </c>
      <c r="K201" s="117">
        <f>SUM(K202:K203)</f>
        <v>578</v>
      </c>
      <c r="L201" s="118">
        <f>SUM(L202:L203)</f>
        <v>54</v>
      </c>
      <c r="M201" s="115" t="s">
        <v>835</v>
      </c>
      <c r="N201" s="119" t="s">
        <v>835</v>
      </c>
      <c r="O201" s="145">
        <v>98453.75</v>
      </c>
      <c r="P201" s="117">
        <f t="shared" si="7"/>
        <v>98.453749999999999</v>
      </c>
      <c r="Q201" s="117">
        <f>MAX(Q202:Q203)</f>
        <v>8505.484307692308</v>
      </c>
      <c r="R201" s="75"/>
      <c r="T201" s="74"/>
    </row>
    <row r="202" spans="1:20" ht="35.25" x14ac:dyDescent="0.5">
      <c r="A202">
        <v>1</v>
      </c>
      <c r="B202" s="120">
        <f>SUBTOTAL(103,$A$93:A202)</f>
        <v>89</v>
      </c>
      <c r="C202" s="121" t="s">
        <v>1410</v>
      </c>
      <c r="D202" s="115">
        <v>1967</v>
      </c>
      <c r="E202" s="115"/>
      <c r="F202" s="116" t="s">
        <v>256</v>
      </c>
      <c r="G202" s="115">
        <v>2</v>
      </c>
      <c r="H202" s="115">
        <v>2</v>
      </c>
      <c r="I202" s="117">
        <v>610</v>
      </c>
      <c r="J202" s="117">
        <v>558</v>
      </c>
      <c r="K202" s="117">
        <v>380.7</v>
      </c>
      <c r="L202" s="118">
        <v>33</v>
      </c>
      <c r="M202" s="115" t="s">
        <v>255</v>
      </c>
      <c r="N202" s="119" t="s">
        <v>257</v>
      </c>
      <c r="O202" s="117">
        <v>78556.570000000007</v>
      </c>
      <c r="P202" s="117">
        <f t="shared" si="7"/>
        <v>128.78126229508197</v>
      </c>
      <c r="Q202" s="117">
        <v>8434.6427540983605</v>
      </c>
      <c r="R202" s="75"/>
      <c r="T202" s="74"/>
    </row>
    <row r="203" spans="1:20" ht="35.25" x14ac:dyDescent="0.5">
      <c r="A203">
        <v>1</v>
      </c>
      <c r="B203" s="120">
        <f>SUBTOTAL(103,$A$93:A203)</f>
        <v>90</v>
      </c>
      <c r="C203" s="121" t="s">
        <v>1411</v>
      </c>
      <c r="D203" s="115">
        <v>1965</v>
      </c>
      <c r="E203" s="115"/>
      <c r="F203" s="116" t="s">
        <v>256</v>
      </c>
      <c r="G203" s="115">
        <v>2</v>
      </c>
      <c r="H203" s="115">
        <v>2</v>
      </c>
      <c r="I203" s="117">
        <v>390</v>
      </c>
      <c r="J203" s="117">
        <v>339</v>
      </c>
      <c r="K203" s="117">
        <v>197.3</v>
      </c>
      <c r="L203" s="118">
        <v>21</v>
      </c>
      <c r="M203" s="115" t="s">
        <v>255</v>
      </c>
      <c r="N203" s="119" t="s">
        <v>257</v>
      </c>
      <c r="O203" s="117">
        <v>19897.179999999997</v>
      </c>
      <c r="P203" s="117">
        <f t="shared" si="7"/>
        <v>51.018410256410249</v>
      </c>
      <c r="Q203" s="117">
        <v>8505.484307692308</v>
      </c>
      <c r="R203" s="75"/>
      <c r="T203" s="74"/>
    </row>
    <row r="204" spans="1:20" ht="35.25" x14ac:dyDescent="0.5">
      <c r="B204" s="114" t="s">
        <v>986</v>
      </c>
      <c r="C204" s="121"/>
      <c r="D204" s="115" t="s">
        <v>701</v>
      </c>
      <c r="E204" s="115" t="s">
        <v>701</v>
      </c>
      <c r="F204" s="116" t="s">
        <v>701</v>
      </c>
      <c r="G204" s="115" t="s">
        <v>701</v>
      </c>
      <c r="H204" s="115" t="s">
        <v>701</v>
      </c>
      <c r="I204" s="117">
        <f>I205</f>
        <v>1707.6</v>
      </c>
      <c r="J204" s="117">
        <f>J205</f>
        <v>1346.4</v>
      </c>
      <c r="K204" s="117">
        <f>K205</f>
        <v>1242.0999999999999</v>
      </c>
      <c r="L204" s="118">
        <f>L205</f>
        <v>83</v>
      </c>
      <c r="M204" s="115" t="s">
        <v>835</v>
      </c>
      <c r="N204" s="119" t="s">
        <v>835</v>
      </c>
      <c r="O204" s="145">
        <v>5231.2299999999996</v>
      </c>
      <c r="P204" s="117">
        <f t="shared" si="7"/>
        <v>3.0634984773951746</v>
      </c>
      <c r="Q204" s="117">
        <f>Q205</f>
        <v>2243.3593253689392</v>
      </c>
      <c r="R204" s="75"/>
      <c r="T204" s="74"/>
    </row>
    <row r="205" spans="1:20" ht="35.25" x14ac:dyDescent="0.5">
      <c r="A205">
        <v>1</v>
      </c>
      <c r="B205" s="120">
        <f>SUBTOTAL(103,$A$93:A205)</f>
        <v>91</v>
      </c>
      <c r="C205" s="121" t="s">
        <v>1497</v>
      </c>
      <c r="D205" s="115">
        <v>1985</v>
      </c>
      <c r="E205" s="115"/>
      <c r="F205" s="116" t="s">
        <v>256</v>
      </c>
      <c r="G205" s="115">
        <v>5</v>
      </c>
      <c r="H205" s="115">
        <v>1</v>
      </c>
      <c r="I205" s="117">
        <v>1707.6</v>
      </c>
      <c r="J205" s="117">
        <v>1346.4</v>
      </c>
      <c r="K205" s="117">
        <v>1242.0999999999999</v>
      </c>
      <c r="L205" s="118">
        <v>83</v>
      </c>
      <c r="M205" s="115" t="s">
        <v>258</v>
      </c>
      <c r="N205" s="119" t="s">
        <v>1502</v>
      </c>
      <c r="O205" s="117">
        <v>5231.2299999999996</v>
      </c>
      <c r="P205" s="117">
        <f t="shared" si="7"/>
        <v>3.0634984773951746</v>
      </c>
      <c r="Q205" s="117">
        <v>2243.3593253689392</v>
      </c>
      <c r="R205" s="75"/>
      <c r="T205" s="74"/>
    </row>
    <row r="206" spans="1:20" ht="35.25" x14ac:dyDescent="0.5">
      <c r="B206" s="114" t="s">
        <v>827</v>
      </c>
      <c r="C206" s="121"/>
      <c r="D206" s="115" t="s">
        <v>701</v>
      </c>
      <c r="E206" s="115" t="s">
        <v>701</v>
      </c>
      <c r="F206" s="116" t="s">
        <v>701</v>
      </c>
      <c r="G206" s="115" t="s">
        <v>701</v>
      </c>
      <c r="H206" s="115" t="s">
        <v>701</v>
      </c>
      <c r="I206" s="117">
        <f>I207</f>
        <v>773.3</v>
      </c>
      <c r="J206" s="117">
        <f>J207</f>
        <v>709.7</v>
      </c>
      <c r="K206" s="117">
        <f>K207</f>
        <v>676.4</v>
      </c>
      <c r="L206" s="118">
        <f>L207</f>
        <v>25</v>
      </c>
      <c r="M206" s="115" t="s">
        <v>835</v>
      </c>
      <c r="N206" s="119" t="s">
        <v>835</v>
      </c>
      <c r="O206" s="145">
        <v>185435</v>
      </c>
      <c r="P206" s="117">
        <f t="shared" si="7"/>
        <v>239.79697400750032</v>
      </c>
      <c r="Q206" s="117">
        <f>Q207</f>
        <v>2146.5239829302991</v>
      </c>
      <c r="R206" s="75"/>
      <c r="T206" s="74"/>
    </row>
    <row r="207" spans="1:20" ht="35.25" x14ac:dyDescent="0.5">
      <c r="A207">
        <v>1</v>
      </c>
      <c r="B207" s="120">
        <f>SUBTOTAL(103,$A$93:A207)</f>
        <v>92</v>
      </c>
      <c r="C207" s="121" t="s">
        <v>1576</v>
      </c>
      <c r="D207" s="115">
        <v>1982</v>
      </c>
      <c r="E207" s="115"/>
      <c r="F207" s="116" t="s">
        <v>1240</v>
      </c>
      <c r="G207" s="115">
        <v>5</v>
      </c>
      <c r="H207" s="115">
        <v>1</v>
      </c>
      <c r="I207" s="117">
        <v>773.3</v>
      </c>
      <c r="J207" s="117">
        <v>709.7</v>
      </c>
      <c r="K207" s="117">
        <v>676.4</v>
      </c>
      <c r="L207" s="118">
        <v>25</v>
      </c>
      <c r="M207" s="115" t="s">
        <v>255</v>
      </c>
      <c r="N207" s="119" t="s">
        <v>257</v>
      </c>
      <c r="O207" s="117">
        <v>185435</v>
      </c>
      <c r="P207" s="117">
        <f t="shared" si="7"/>
        <v>239.79697400750032</v>
      </c>
      <c r="Q207" s="117">
        <v>2146.5239829302991</v>
      </c>
      <c r="R207" s="75"/>
      <c r="T207" s="74"/>
    </row>
    <row r="208" spans="1:20" ht="35.25" x14ac:dyDescent="0.5">
      <c r="B208" s="114" t="s">
        <v>796</v>
      </c>
      <c r="C208" s="121"/>
      <c r="D208" s="115" t="s">
        <v>701</v>
      </c>
      <c r="E208" s="115" t="s">
        <v>701</v>
      </c>
      <c r="F208" s="116" t="s">
        <v>701</v>
      </c>
      <c r="G208" s="115" t="s">
        <v>701</v>
      </c>
      <c r="H208" s="115" t="s">
        <v>701</v>
      </c>
      <c r="I208" s="117">
        <f>I209</f>
        <v>2034.7</v>
      </c>
      <c r="J208" s="117">
        <f>J209</f>
        <v>1884.7</v>
      </c>
      <c r="K208" s="117">
        <f>K209</f>
        <v>1600.6</v>
      </c>
      <c r="L208" s="118">
        <f>L209</f>
        <v>104</v>
      </c>
      <c r="M208" s="115" t="s">
        <v>835</v>
      </c>
      <c r="N208" s="119" t="s">
        <v>835</v>
      </c>
      <c r="O208" s="145">
        <v>4030893.68</v>
      </c>
      <c r="P208" s="117">
        <f t="shared" si="7"/>
        <v>1981.0751855310366</v>
      </c>
      <c r="Q208" s="117">
        <f>Q209</f>
        <v>4470.1335823462923</v>
      </c>
      <c r="R208" s="75"/>
      <c r="T208" s="74"/>
    </row>
    <row r="209" spans="1:20" ht="35.25" x14ac:dyDescent="0.5">
      <c r="A209">
        <v>1</v>
      </c>
      <c r="B209" s="120">
        <f>SUBTOTAL(103,$A$93:A209)</f>
        <v>93</v>
      </c>
      <c r="C209" s="121" t="s">
        <v>2136</v>
      </c>
      <c r="D209" s="115">
        <v>1982</v>
      </c>
      <c r="E209" s="115"/>
      <c r="F209" s="116" t="s">
        <v>256</v>
      </c>
      <c r="G209" s="115">
        <v>3</v>
      </c>
      <c r="H209" s="115">
        <v>4</v>
      </c>
      <c r="I209" s="117">
        <v>2034.7</v>
      </c>
      <c r="J209" s="117">
        <v>1884.7</v>
      </c>
      <c r="K209" s="117">
        <v>1600.6</v>
      </c>
      <c r="L209" s="118">
        <v>104</v>
      </c>
      <c r="M209" s="115" t="s">
        <v>258</v>
      </c>
      <c r="N209" s="119" t="s">
        <v>277</v>
      </c>
      <c r="O209" s="117">
        <v>4030893.68</v>
      </c>
      <c r="P209" s="117">
        <f t="shared" si="7"/>
        <v>1981.0751855310366</v>
      </c>
      <c r="Q209" s="117">
        <v>4470.1335823462923</v>
      </c>
      <c r="R209" s="75"/>
      <c r="T209" s="74"/>
    </row>
    <row r="210" spans="1:20" ht="35.25" x14ac:dyDescent="0.5">
      <c r="B210" s="114" t="s">
        <v>763</v>
      </c>
      <c r="C210" s="121"/>
      <c r="D210" s="115" t="s">
        <v>701</v>
      </c>
      <c r="E210" s="115" t="s">
        <v>701</v>
      </c>
      <c r="F210" s="116" t="s">
        <v>701</v>
      </c>
      <c r="G210" s="115" t="s">
        <v>701</v>
      </c>
      <c r="H210" s="115" t="s">
        <v>701</v>
      </c>
      <c r="I210" s="117">
        <f>I211</f>
        <v>4570.2</v>
      </c>
      <c r="J210" s="117">
        <f>J211</f>
        <v>3647.2</v>
      </c>
      <c r="K210" s="117">
        <f>K211</f>
        <v>3647.2</v>
      </c>
      <c r="L210" s="118">
        <f>L211</f>
        <v>279</v>
      </c>
      <c r="M210" s="115" t="s">
        <v>835</v>
      </c>
      <c r="N210" s="119" t="s">
        <v>835</v>
      </c>
      <c r="O210" s="145">
        <v>714491</v>
      </c>
      <c r="P210" s="117">
        <f t="shared" si="7"/>
        <v>156.33692179773314</v>
      </c>
      <c r="Q210" s="117">
        <f>Q211</f>
        <v>2619.9341322480418</v>
      </c>
      <c r="R210" s="75"/>
      <c r="T210" s="74"/>
    </row>
    <row r="211" spans="1:20" ht="35.25" x14ac:dyDescent="0.5">
      <c r="A211">
        <v>1</v>
      </c>
      <c r="B211" s="120">
        <f>SUBTOTAL(103,$A$93:A211)</f>
        <v>94</v>
      </c>
      <c r="C211" s="121" t="s">
        <v>2584</v>
      </c>
      <c r="D211" s="115">
        <v>1971</v>
      </c>
      <c r="E211" s="115"/>
      <c r="F211" s="116" t="s">
        <v>256</v>
      </c>
      <c r="G211" s="115">
        <v>5</v>
      </c>
      <c r="H211" s="115">
        <v>2</v>
      </c>
      <c r="I211" s="117">
        <v>4570.2</v>
      </c>
      <c r="J211" s="117">
        <v>3647.2</v>
      </c>
      <c r="K211" s="117">
        <v>3647.2</v>
      </c>
      <c r="L211" s="118">
        <v>279</v>
      </c>
      <c r="M211" s="115" t="s">
        <v>255</v>
      </c>
      <c r="N211" s="119" t="s">
        <v>257</v>
      </c>
      <c r="O211" s="117">
        <v>714491</v>
      </c>
      <c r="P211" s="117">
        <f t="shared" si="7"/>
        <v>156.33692179773314</v>
      </c>
      <c r="Q211" s="117">
        <v>2619.9341322480418</v>
      </c>
      <c r="R211" s="75"/>
      <c r="T211" s="74"/>
    </row>
  </sheetData>
  <mergeCells count="23"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0:Q90"/>
    <mergeCell ref="Q4:Q6"/>
    <mergeCell ref="D5:D7"/>
    <mergeCell ref="E5:E7"/>
    <mergeCell ref="J5:J6"/>
    <mergeCell ref="K5:K6"/>
    <mergeCell ref="B9:Q9"/>
    <mergeCell ref="J4:K4"/>
    <mergeCell ref="L4:L6"/>
    <mergeCell ref="M4:M7"/>
    <mergeCell ref="N4:N7"/>
    <mergeCell ref="O4:O6"/>
    <mergeCell ref="P4:P6"/>
  </mergeCells>
  <pageMargins left="0.39370078740157483" right="0" top="0.39370078740157483" bottom="0.39370078740157483" header="0" footer="0"/>
  <pageSetup paperSize="8" scale="2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F69"/>
  <sheetViews>
    <sheetView zoomScale="60" zoomScaleNormal="60" workbookViewId="0">
      <selection activeCell="J5" sqref="J5"/>
    </sheetView>
  </sheetViews>
  <sheetFormatPr defaultRowHeight="15" x14ac:dyDescent="0.25"/>
  <cols>
    <col min="1" max="1" width="12" customWidth="1"/>
    <col min="2" max="2" width="60.5703125" customWidth="1"/>
    <col min="3" max="3" width="22.140625" customWidth="1"/>
    <col min="4" max="4" width="38.85546875" customWidth="1"/>
    <col min="5" max="5" width="20.5703125" customWidth="1"/>
    <col min="6" max="6" width="25.28515625" customWidth="1"/>
    <col min="10" max="10" width="27.7109375" customWidth="1"/>
  </cols>
  <sheetData>
    <row r="1" spans="1:6" ht="35.25" customHeight="1" x14ac:dyDescent="0.35">
      <c r="C1" s="8"/>
      <c r="D1" s="465" t="s">
        <v>1000</v>
      </c>
      <c r="E1" s="465"/>
      <c r="F1" s="465"/>
    </row>
    <row r="2" spans="1:6" ht="53.25" customHeight="1" x14ac:dyDescent="0.25">
      <c r="C2" s="467" t="s">
        <v>991</v>
      </c>
      <c r="D2" s="467"/>
      <c r="E2" s="467"/>
      <c r="F2" s="467"/>
    </row>
    <row r="3" spans="1:6" ht="104.25" customHeight="1" x14ac:dyDescent="0.25">
      <c r="A3" s="468" t="s">
        <v>1001</v>
      </c>
      <c r="B3" s="468"/>
      <c r="C3" s="468"/>
      <c r="D3" s="468"/>
      <c r="E3" s="468"/>
      <c r="F3" s="468"/>
    </row>
    <row r="4" spans="1:6" x14ac:dyDescent="0.25">
      <c r="A4" s="469" t="s">
        <v>6</v>
      </c>
      <c r="B4" s="469" t="s">
        <v>693</v>
      </c>
      <c r="C4" s="466" t="s">
        <v>694</v>
      </c>
      <c r="D4" s="466" t="s">
        <v>1002</v>
      </c>
      <c r="E4" s="466" t="s">
        <v>696</v>
      </c>
      <c r="F4" s="466" t="s">
        <v>697</v>
      </c>
    </row>
    <row r="5" spans="1:6" ht="156.75" customHeight="1" x14ac:dyDescent="0.25">
      <c r="A5" s="470"/>
      <c r="B5" s="470"/>
      <c r="C5" s="471"/>
      <c r="D5" s="466"/>
      <c r="E5" s="466"/>
      <c r="F5" s="466"/>
    </row>
    <row r="6" spans="1:6" ht="23.25" x14ac:dyDescent="0.25">
      <c r="A6" s="470"/>
      <c r="B6" s="470"/>
      <c r="C6" s="9" t="s">
        <v>698</v>
      </c>
      <c r="D6" s="9" t="s">
        <v>252</v>
      </c>
      <c r="E6" s="9" t="s">
        <v>37</v>
      </c>
      <c r="F6" s="9" t="s">
        <v>36</v>
      </c>
    </row>
    <row r="7" spans="1:6" ht="23.25" x14ac:dyDescent="0.35">
      <c r="A7" s="10">
        <v>1</v>
      </c>
      <c r="B7" s="10">
        <v>2</v>
      </c>
      <c r="C7" s="10">
        <v>3</v>
      </c>
      <c r="D7" s="10">
        <v>4</v>
      </c>
      <c r="E7" s="11">
        <v>5</v>
      </c>
      <c r="F7" s="11">
        <v>6</v>
      </c>
    </row>
    <row r="8" spans="1:6" ht="74.25" customHeight="1" x14ac:dyDescent="0.25">
      <c r="A8" s="462" t="s">
        <v>957</v>
      </c>
      <c r="B8" s="463"/>
      <c r="C8" s="463"/>
      <c r="D8" s="463"/>
      <c r="E8" s="463"/>
      <c r="F8" s="464"/>
    </row>
    <row r="9" spans="1:6" ht="23.25" x14ac:dyDescent="0.35">
      <c r="A9" s="10"/>
      <c r="B9" s="123" t="s">
        <v>1808</v>
      </c>
      <c r="C9" s="12">
        <f>C10+C29+C36</f>
        <v>44721.18</v>
      </c>
      <c r="D9" s="20">
        <f t="shared" ref="D9:E9" si="0">D10+D29+D36</f>
        <v>1844</v>
      </c>
      <c r="E9" s="13">
        <f t="shared" si="0"/>
        <v>47</v>
      </c>
      <c r="F9" s="12">
        <f>F10+F29+F36</f>
        <v>85429069.480000004</v>
      </c>
    </row>
    <row r="10" spans="1:6" ht="23.25" x14ac:dyDescent="0.35">
      <c r="A10" s="10"/>
      <c r="B10" s="124" t="s">
        <v>1562</v>
      </c>
      <c r="C10" s="12">
        <v>33695.279999999999</v>
      </c>
      <c r="D10" s="20">
        <v>1359</v>
      </c>
      <c r="E10" s="13">
        <f>SUM(E11:E28)</f>
        <v>33</v>
      </c>
      <c r="F10" s="12">
        <f>SUM(F11:F28)</f>
        <v>51349524.150000006</v>
      </c>
    </row>
    <row r="11" spans="1:6" ht="23.25" x14ac:dyDescent="0.35">
      <c r="A11" s="10">
        <v>1</v>
      </c>
      <c r="B11" s="14" t="s">
        <v>841</v>
      </c>
      <c r="C11" s="15">
        <v>792.7</v>
      </c>
      <c r="D11" s="13">
        <v>42</v>
      </c>
      <c r="E11" s="13">
        <v>1</v>
      </c>
      <c r="F11" s="16">
        <v>2123521.14</v>
      </c>
    </row>
    <row r="12" spans="1:6" ht="23.25" x14ac:dyDescent="0.35">
      <c r="A12" s="10">
        <v>2</v>
      </c>
      <c r="B12" s="14" t="s">
        <v>1280</v>
      </c>
      <c r="C12" s="15">
        <v>12811.8</v>
      </c>
      <c r="D12" s="13">
        <v>434</v>
      </c>
      <c r="E12" s="13">
        <v>8</v>
      </c>
      <c r="F12" s="16">
        <v>14141903.43</v>
      </c>
    </row>
    <row r="13" spans="1:6" ht="23.25" x14ac:dyDescent="0.35">
      <c r="A13" s="10">
        <v>3</v>
      </c>
      <c r="B13" s="14" t="s">
        <v>845</v>
      </c>
      <c r="C13" s="15">
        <v>882.3</v>
      </c>
      <c r="D13" s="13">
        <v>29</v>
      </c>
      <c r="E13" s="13">
        <v>1</v>
      </c>
      <c r="F13" s="16">
        <v>2046844.64</v>
      </c>
    </row>
    <row r="14" spans="1:6" ht="23.25" x14ac:dyDescent="0.35">
      <c r="A14" s="10">
        <v>4</v>
      </c>
      <c r="B14" s="14" t="s">
        <v>850</v>
      </c>
      <c r="C14" s="15">
        <v>1813.2</v>
      </c>
      <c r="D14" s="13">
        <v>156</v>
      </c>
      <c r="E14" s="13">
        <v>1</v>
      </c>
      <c r="F14" s="16">
        <v>5153989.53</v>
      </c>
    </row>
    <row r="15" spans="1:6" ht="23.25" x14ac:dyDescent="0.35">
      <c r="A15" s="10">
        <v>5</v>
      </c>
      <c r="B15" s="14" t="s">
        <v>851</v>
      </c>
      <c r="C15" s="15">
        <v>366.5</v>
      </c>
      <c r="D15" s="13">
        <v>13</v>
      </c>
      <c r="E15" s="13">
        <v>1</v>
      </c>
      <c r="F15" s="16">
        <v>48440.03</v>
      </c>
    </row>
    <row r="16" spans="1:6" ht="23.25" x14ac:dyDescent="0.35">
      <c r="A16" s="10">
        <v>6</v>
      </c>
      <c r="B16" s="14" t="s">
        <v>1281</v>
      </c>
      <c r="C16" s="15">
        <v>872.2</v>
      </c>
      <c r="D16" s="13">
        <v>38</v>
      </c>
      <c r="E16" s="13">
        <v>2</v>
      </c>
      <c r="F16" s="16">
        <v>31767</v>
      </c>
    </row>
    <row r="17" spans="1:6" ht="23.25" x14ac:dyDescent="0.35">
      <c r="A17" s="10">
        <v>7</v>
      </c>
      <c r="B17" s="14" t="s">
        <v>860</v>
      </c>
      <c r="C17" s="15">
        <v>881.98</v>
      </c>
      <c r="D17" s="13">
        <v>48</v>
      </c>
      <c r="E17" s="13">
        <v>2</v>
      </c>
      <c r="F17" s="16">
        <v>3557815.66</v>
      </c>
    </row>
    <row r="18" spans="1:6" ht="23.25" x14ac:dyDescent="0.35">
      <c r="A18" s="10">
        <v>8</v>
      </c>
      <c r="B18" s="14" t="s">
        <v>893</v>
      </c>
      <c r="C18" s="15">
        <v>2093.1</v>
      </c>
      <c r="D18" s="13">
        <v>110</v>
      </c>
      <c r="E18" s="13">
        <v>3</v>
      </c>
      <c r="F18" s="16">
        <v>223917.22</v>
      </c>
    </row>
    <row r="19" spans="1:6" ht="23.25" x14ac:dyDescent="0.35">
      <c r="A19" s="10">
        <v>9</v>
      </c>
      <c r="B19" s="14" t="s">
        <v>865</v>
      </c>
      <c r="C19" s="15">
        <v>755.8</v>
      </c>
      <c r="D19" s="13">
        <v>20</v>
      </c>
      <c r="E19" s="13">
        <v>1</v>
      </c>
      <c r="F19" s="16">
        <v>3265341.36</v>
      </c>
    </row>
    <row r="20" spans="1:6" ht="23.25" x14ac:dyDescent="0.35">
      <c r="A20" s="10">
        <v>10</v>
      </c>
      <c r="B20" s="14" t="s">
        <v>868</v>
      </c>
      <c r="C20" s="15">
        <v>1840.2</v>
      </c>
      <c r="D20" s="13">
        <v>77</v>
      </c>
      <c r="E20" s="13">
        <v>1</v>
      </c>
      <c r="F20" s="16">
        <v>97672.62</v>
      </c>
    </row>
    <row r="21" spans="1:6" ht="23.25" x14ac:dyDescent="0.35">
      <c r="A21" s="10">
        <v>11</v>
      </c>
      <c r="B21" s="14" t="s">
        <v>1282</v>
      </c>
      <c r="C21" s="15">
        <v>1621.7</v>
      </c>
      <c r="D21" s="13">
        <v>58</v>
      </c>
      <c r="E21" s="13">
        <v>3</v>
      </c>
      <c r="F21" s="16">
        <v>7629142.8200000003</v>
      </c>
    </row>
    <row r="22" spans="1:6" ht="23.25" x14ac:dyDescent="0.35">
      <c r="A22" s="10">
        <v>12</v>
      </c>
      <c r="B22" s="14" t="s">
        <v>1283</v>
      </c>
      <c r="C22" s="15">
        <v>1598.9</v>
      </c>
      <c r="D22" s="13">
        <v>38</v>
      </c>
      <c r="E22" s="13">
        <v>1</v>
      </c>
      <c r="F22" s="16">
        <v>2434994.4500000002</v>
      </c>
    </row>
    <row r="23" spans="1:6" ht="23.25" x14ac:dyDescent="0.35">
      <c r="A23" s="10">
        <v>13</v>
      </c>
      <c r="B23" s="14" t="s">
        <v>881</v>
      </c>
      <c r="C23" s="15">
        <v>465</v>
      </c>
      <c r="D23" s="13">
        <v>26</v>
      </c>
      <c r="E23" s="13">
        <v>1</v>
      </c>
      <c r="F23" s="16">
        <v>89459.11</v>
      </c>
    </row>
    <row r="24" spans="1:6" ht="23.25" x14ac:dyDescent="0.35">
      <c r="A24" s="10">
        <v>14</v>
      </c>
      <c r="B24" s="14" t="s">
        <v>908</v>
      </c>
      <c r="C24" s="15">
        <v>861.5</v>
      </c>
      <c r="D24" s="13">
        <v>31</v>
      </c>
      <c r="E24" s="13">
        <v>1</v>
      </c>
      <c r="F24" s="16">
        <v>3168456.39</v>
      </c>
    </row>
    <row r="25" spans="1:6" ht="23.25" x14ac:dyDescent="0.35">
      <c r="A25" s="10">
        <v>15</v>
      </c>
      <c r="B25" s="14" t="s">
        <v>888</v>
      </c>
      <c r="C25" s="15">
        <v>2249.1999999999998</v>
      </c>
      <c r="D25" s="13">
        <v>104</v>
      </c>
      <c r="E25" s="13">
        <v>3</v>
      </c>
      <c r="F25" s="16">
        <v>4966030.97</v>
      </c>
    </row>
    <row r="26" spans="1:6" ht="23.25" x14ac:dyDescent="0.35">
      <c r="A26" s="10">
        <v>16</v>
      </c>
      <c r="B26" s="14" t="s">
        <v>887</v>
      </c>
      <c r="C26" s="15">
        <v>940.4</v>
      </c>
      <c r="D26" s="13">
        <v>26</v>
      </c>
      <c r="E26" s="13">
        <v>1</v>
      </c>
      <c r="F26" s="16">
        <v>1661171.06</v>
      </c>
    </row>
    <row r="27" spans="1:6" ht="23.25" x14ac:dyDescent="0.35">
      <c r="A27" s="10">
        <v>17</v>
      </c>
      <c r="B27" s="14" t="s">
        <v>862</v>
      </c>
      <c r="C27" s="15">
        <v>1743.7</v>
      </c>
      <c r="D27" s="13">
        <v>65</v>
      </c>
      <c r="E27" s="13">
        <v>1</v>
      </c>
      <c r="F27" s="16">
        <v>105794.97</v>
      </c>
    </row>
    <row r="28" spans="1:6" ht="23.25" x14ac:dyDescent="0.35">
      <c r="A28" s="10">
        <v>18</v>
      </c>
      <c r="B28" s="14" t="s">
        <v>857</v>
      </c>
      <c r="C28" s="15">
        <v>1105.0999999999999</v>
      </c>
      <c r="D28" s="13">
        <v>44</v>
      </c>
      <c r="E28" s="13">
        <v>1</v>
      </c>
      <c r="F28" s="16">
        <v>603261.75</v>
      </c>
    </row>
    <row r="29" spans="1:6" ht="23.25" x14ac:dyDescent="0.35">
      <c r="A29" s="10"/>
      <c r="B29" s="124" t="s">
        <v>1806</v>
      </c>
      <c r="C29" s="15">
        <v>5362.3</v>
      </c>
      <c r="D29" s="13">
        <v>244</v>
      </c>
      <c r="E29" s="13">
        <f>SUM(E30:E35)</f>
        <v>8</v>
      </c>
      <c r="F29" s="16">
        <f>SUM(F30:F35)</f>
        <v>11274519.959999999</v>
      </c>
    </row>
    <row r="30" spans="1:6" ht="23.25" x14ac:dyDescent="0.35">
      <c r="A30" s="10">
        <v>1</v>
      </c>
      <c r="B30" s="14" t="s">
        <v>1280</v>
      </c>
      <c r="C30" s="12">
        <v>1180.5999999999999</v>
      </c>
      <c r="D30" s="20">
        <v>60</v>
      </c>
      <c r="E30" s="13">
        <v>3</v>
      </c>
      <c r="F30" s="12">
        <v>4318971.5999999996</v>
      </c>
    </row>
    <row r="31" spans="1:6" ht="23.25" x14ac:dyDescent="0.35">
      <c r="A31" s="10">
        <v>2</v>
      </c>
      <c r="B31" s="14" t="s">
        <v>851</v>
      </c>
      <c r="C31" s="15">
        <v>366.5</v>
      </c>
      <c r="D31" s="13">
        <v>25</v>
      </c>
      <c r="E31" s="13">
        <v>1</v>
      </c>
      <c r="F31" s="16">
        <v>1358175.69</v>
      </c>
    </row>
    <row r="32" spans="1:6" ht="23.25" x14ac:dyDescent="0.35">
      <c r="A32" s="10">
        <v>3</v>
      </c>
      <c r="B32" s="14" t="s">
        <v>1281</v>
      </c>
      <c r="C32" s="15">
        <v>410.7</v>
      </c>
      <c r="D32" s="13">
        <v>25</v>
      </c>
      <c r="E32" s="13">
        <v>1</v>
      </c>
      <c r="F32" s="16">
        <v>60184.81</v>
      </c>
    </row>
    <row r="33" spans="1:6" ht="23.25" x14ac:dyDescent="0.35">
      <c r="A33" s="10">
        <v>4</v>
      </c>
      <c r="B33" s="14" t="s">
        <v>893</v>
      </c>
      <c r="C33" s="15">
        <v>306.60000000000002</v>
      </c>
      <c r="D33" s="13">
        <v>21</v>
      </c>
      <c r="E33" s="13">
        <v>1</v>
      </c>
      <c r="F33" s="16">
        <v>1003273.4</v>
      </c>
    </row>
    <row r="34" spans="1:6" ht="23.25" x14ac:dyDescent="0.35">
      <c r="A34" s="10">
        <v>5</v>
      </c>
      <c r="B34" s="14" t="s">
        <v>868</v>
      </c>
      <c r="C34" s="15">
        <v>1840.2</v>
      </c>
      <c r="D34" s="13">
        <v>77</v>
      </c>
      <c r="E34" s="13">
        <v>1</v>
      </c>
      <c r="F34" s="16">
        <v>4407071.78</v>
      </c>
    </row>
    <row r="35" spans="1:6" ht="23.25" x14ac:dyDescent="0.35">
      <c r="A35" s="10">
        <v>6</v>
      </c>
      <c r="B35" s="14" t="s">
        <v>1596</v>
      </c>
      <c r="C35" s="15">
        <v>1257.7</v>
      </c>
      <c r="D35" s="13">
        <v>36</v>
      </c>
      <c r="E35" s="13">
        <v>1</v>
      </c>
      <c r="F35" s="16">
        <v>126842.68</v>
      </c>
    </row>
    <row r="36" spans="1:6" ht="23.25" x14ac:dyDescent="0.35">
      <c r="A36" s="10"/>
      <c r="B36" s="124" t="s">
        <v>2684</v>
      </c>
      <c r="C36" s="15">
        <v>5663.5999999999995</v>
      </c>
      <c r="D36" s="13">
        <v>241</v>
      </c>
      <c r="E36" s="13">
        <f>SUM(E37:E41)</f>
        <v>6</v>
      </c>
      <c r="F36" s="16">
        <f>SUM(F37:F41)</f>
        <v>22805025.369999997</v>
      </c>
    </row>
    <row r="37" spans="1:6" ht="23.25" x14ac:dyDescent="0.35">
      <c r="A37" s="10">
        <v>1</v>
      </c>
      <c r="B37" s="14" t="s">
        <v>893</v>
      </c>
      <c r="C37" s="15">
        <v>1786.5</v>
      </c>
      <c r="D37" s="13">
        <v>89</v>
      </c>
      <c r="E37" s="13">
        <v>2</v>
      </c>
      <c r="F37" s="16">
        <v>7480255.5499999998</v>
      </c>
    </row>
    <row r="38" spans="1:6" ht="23.25" x14ac:dyDescent="0.35">
      <c r="A38" s="10">
        <v>2</v>
      </c>
      <c r="B38" s="14" t="s">
        <v>1281</v>
      </c>
      <c r="C38" s="15">
        <v>410.7</v>
      </c>
      <c r="D38" s="13">
        <v>25</v>
      </c>
      <c r="E38" s="13">
        <v>1</v>
      </c>
      <c r="F38" s="16">
        <v>2215379.62</v>
      </c>
    </row>
    <row r="39" spans="1:6" ht="23.25" x14ac:dyDescent="0.35">
      <c r="A39" s="10">
        <v>3</v>
      </c>
      <c r="B39" s="14" t="s">
        <v>881</v>
      </c>
      <c r="C39" s="15">
        <v>465</v>
      </c>
      <c r="D39" s="13">
        <v>26</v>
      </c>
      <c r="E39" s="13">
        <v>1</v>
      </c>
      <c r="F39" s="16">
        <v>3391766.52</v>
      </c>
    </row>
    <row r="40" spans="1:6" ht="23.25" x14ac:dyDescent="0.35">
      <c r="A40" s="10">
        <v>4</v>
      </c>
      <c r="B40" s="14" t="s">
        <v>862</v>
      </c>
      <c r="C40" s="15">
        <v>1743.7</v>
      </c>
      <c r="D40" s="13">
        <v>65</v>
      </c>
      <c r="E40" s="13">
        <v>1</v>
      </c>
      <c r="F40" s="16">
        <v>5730244.9099999992</v>
      </c>
    </row>
    <row r="41" spans="1:6" ht="23.25" x14ac:dyDescent="0.35">
      <c r="A41" s="10">
        <v>5</v>
      </c>
      <c r="B41" s="14" t="s">
        <v>1596</v>
      </c>
      <c r="C41" s="15">
        <v>1257.7</v>
      </c>
      <c r="D41" s="13">
        <v>36</v>
      </c>
      <c r="E41" s="13">
        <v>1</v>
      </c>
      <c r="F41" s="16">
        <v>3987378.77</v>
      </c>
    </row>
    <row r="42" spans="1:6" ht="72" customHeight="1" x14ac:dyDescent="0.25">
      <c r="A42" s="462" t="s">
        <v>1323</v>
      </c>
      <c r="B42" s="463"/>
      <c r="C42" s="463"/>
      <c r="D42" s="463"/>
      <c r="E42" s="463"/>
      <c r="F42" s="464"/>
    </row>
    <row r="43" spans="1:6" ht="23.25" x14ac:dyDescent="0.35">
      <c r="A43" s="10"/>
      <c r="B43" s="123" t="s">
        <v>989</v>
      </c>
      <c r="C43" s="12">
        <f>SUM(C44:C69)</f>
        <v>229806.17000000004</v>
      </c>
      <c r="D43" s="20">
        <f>SUM(D44:D69)</f>
        <v>9863</v>
      </c>
      <c r="E43" s="21">
        <f>SUM(E44:E69)</f>
        <v>94</v>
      </c>
      <c r="F43" s="12">
        <f>SUM(F44:F69)</f>
        <v>39753305.280000001</v>
      </c>
    </row>
    <row r="44" spans="1:6" ht="23.25" x14ac:dyDescent="0.35">
      <c r="A44" s="10">
        <v>1</v>
      </c>
      <c r="B44" s="14" t="s">
        <v>841</v>
      </c>
      <c r="C44" s="15">
        <v>13682.619999999999</v>
      </c>
      <c r="D44" s="20">
        <v>744</v>
      </c>
      <c r="E44" s="21">
        <v>6</v>
      </c>
      <c r="F44" s="16">
        <v>3100093.7600000002</v>
      </c>
    </row>
    <row r="45" spans="1:6" ht="23.25" x14ac:dyDescent="0.35">
      <c r="A45" s="10">
        <v>2</v>
      </c>
      <c r="B45" s="14" t="s">
        <v>845</v>
      </c>
      <c r="C45" s="15">
        <v>2327.5</v>
      </c>
      <c r="D45" s="20">
        <v>106</v>
      </c>
      <c r="E45" s="21">
        <v>3</v>
      </c>
      <c r="F45" s="16">
        <v>35523.810000000005</v>
      </c>
    </row>
    <row r="46" spans="1:6" ht="23.25" x14ac:dyDescent="0.35">
      <c r="A46" s="10">
        <v>3</v>
      </c>
      <c r="B46" s="14" t="s">
        <v>1280</v>
      </c>
      <c r="C46" s="15">
        <v>25577.94</v>
      </c>
      <c r="D46" s="20">
        <v>1090</v>
      </c>
      <c r="E46" s="21">
        <v>15</v>
      </c>
      <c r="F46" s="16">
        <v>1617789.28</v>
      </c>
    </row>
    <row r="47" spans="1:6" ht="23.25" x14ac:dyDescent="0.35">
      <c r="A47" s="10">
        <v>4</v>
      </c>
      <c r="B47" s="14" t="s">
        <v>850</v>
      </c>
      <c r="C47" s="15">
        <v>14909.5</v>
      </c>
      <c r="D47" s="20">
        <v>477</v>
      </c>
      <c r="E47" s="21">
        <v>7</v>
      </c>
      <c r="F47" s="16">
        <v>3390582.9900000007</v>
      </c>
    </row>
    <row r="48" spans="1:6" ht="23.25" x14ac:dyDescent="0.35">
      <c r="A48" s="10">
        <v>5</v>
      </c>
      <c r="B48" s="14" t="s">
        <v>849</v>
      </c>
      <c r="C48" s="15">
        <v>2078.8000000000002</v>
      </c>
      <c r="D48" s="20">
        <v>93</v>
      </c>
      <c r="E48" s="21">
        <v>3</v>
      </c>
      <c r="F48" s="16">
        <v>110217.53</v>
      </c>
    </row>
    <row r="49" spans="1:6" ht="23.25" x14ac:dyDescent="0.35">
      <c r="A49" s="10">
        <v>6</v>
      </c>
      <c r="B49" s="14" t="s">
        <v>893</v>
      </c>
      <c r="C49" s="15">
        <v>30064.530000000006</v>
      </c>
      <c r="D49" s="20">
        <v>930</v>
      </c>
      <c r="E49" s="21">
        <v>14</v>
      </c>
      <c r="F49" s="16">
        <v>4163714.65</v>
      </c>
    </row>
    <row r="50" spans="1:6" ht="23.25" x14ac:dyDescent="0.35">
      <c r="A50" s="10">
        <v>7</v>
      </c>
      <c r="B50" s="14" t="s">
        <v>1472</v>
      </c>
      <c r="C50" s="15">
        <v>43259.47</v>
      </c>
      <c r="D50" s="20">
        <v>2029</v>
      </c>
      <c r="E50" s="21">
        <v>14</v>
      </c>
      <c r="F50" s="16">
        <v>5154613.0699999994</v>
      </c>
    </row>
    <row r="51" spans="1:6" ht="23.25" x14ac:dyDescent="0.35">
      <c r="A51" s="10">
        <v>8</v>
      </c>
      <c r="B51" s="14" t="s">
        <v>1473</v>
      </c>
      <c r="C51" s="15">
        <v>39280</v>
      </c>
      <c r="D51" s="20">
        <v>1995</v>
      </c>
      <c r="E51" s="21">
        <v>5</v>
      </c>
      <c r="F51" s="16">
        <v>1529537.19</v>
      </c>
    </row>
    <row r="52" spans="1:6" ht="23.25" x14ac:dyDescent="0.35">
      <c r="A52" s="10">
        <v>9</v>
      </c>
      <c r="B52" s="14" t="s">
        <v>848</v>
      </c>
      <c r="C52" s="15">
        <v>6959.2</v>
      </c>
      <c r="D52" s="20">
        <v>259</v>
      </c>
      <c r="E52" s="21">
        <v>2</v>
      </c>
      <c r="F52" s="16">
        <v>3231773.15</v>
      </c>
    </row>
    <row r="53" spans="1:6" ht="23.25" x14ac:dyDescent="0.35">
      <c r="A53" s="10">
        <v>10</v>
      </c>
      <c r="B53" s="14" t="s">
        <v>1474</v>
      </c>
      <c r="C53" s="15">
        <v>978.6</v>
      </c>
      <c r="D53" s="20">
        <v>30</v>
      </c>
      <c r="E53" s="21">
        <v>1</v>
      </c>
      <c r="F53" s="16">
        <v>11164.380000000001</v>
      </c>
    </row>
    <row r="54" spans="1:6" ht="23.25" x14ac:dyDescent="0.35">
      <c r="A54" s="10">
        <v>11</v>
      </c>
      <c r="B54" s="14" t="s">
        <v>909</v>
      </c>
      <c r="C54" s="15">
        <v>3121</v>
      </c>
      <c r="D54" s="20">
        <v>171</v>
      </c>
      <c r="E54" s="21">
        <v>1</v>
      </c>
      <c r="F54" s="16">
        <v>766743.64</v>
      </c>
    </row>
    <row r="55" spans="1:6" ht="23.25" x14ac:dyDescent="0.35">
      <c r="A55" s="10">
        <v>12</v>
      </c>
      <c r="B55" s="14" t="s">
        <v>876</v>
      </c>
      <c r="C55" s="15">
        <v>9080.32</v>
      </c>
      <c r="D55" s="20">
        <v>322</v>
      </c>
      <c r="E55" s="21">
        <v>4</v>
      </c>
      <c r="F55" s="16">
        <v>2297433.3200000003</v>
      </c>
    </row>
    <row r="56" spans="1:6" ht="23.25" x14ac:dyDescent="0.35">
      <c r="A56" s="10">
        <v>13</v>
      </c>
      <c r="B56" s="14" t="s">
        <v>857</v>
      </c>
      <c r="C56" s="15">
        <v>5978.9000000000005</v>
      </c>
      <c r="D56" s="20">
        <v>232</v>
      </c>
      <c r="E56" s="21">
        <v>2</v>
      </c>
      <c r="F56" s="16">
        <v>701741.56</v>
      </c>
    </row>
    <row r="57" spans="1:6" ht="23.25" x14ac:dyDescent="0.35">
      <c r="A57" s="10">
        <v>14</v>
      </c>
      <c r="B57" s="14" t="s">
        <v>860</v>
      </c>
      <c r="C57" s="15">
        <v>3387.86</v>
      </c>
      <c r="D57" s="20">
        <v>59</v>
      </c>
      <c r="E57" s="21">
        <v>1</v>
      </c>
      <c r="F57" s="16">
        <v>215585.3</v>
      </c>
    </row>
    <row r="58" spans="1:6" ht="23.25" x14ac:dyDescent="0.35">
      <c r="A58" s="10">
        <v>15</v>
      </c>
      <c r="B58" s="14" t="s">
        <v>872</v>
      </c>
      <c r="C58" s="15">
        <v>5885.7</v>
      </c>
      <c r="D58" s="20">
        <v>210</v>
      </c>
      <c r="E58" s="21">
        <v>1</v>
      </c>
      <c r="F58" s="16">
        <v>2090256.71</v>
      </c>
    </row>
    <row r="59" spans="1:6" ht="23.25" x14ac:dyDescent="0.35">
      <c r="A59" s="10">
        <v>16</v>
      </c>
      <c r="B59" s="14" t="s">
        <v>875</v>
      </c>
      <c r="C59" s="15">
        <v>3408</v>
      </c>
      <c r="D59" s="20">
        <v>189</v>
      </c>
      <c r="E59" s="21">
        <v>3</v>
      </c>
      <c r="F59" s="16">
        <v>627279.43999999994</v>
      </c>
    </row>
    <row r="60" spans="1:6" ht="23.25" x14ac:dyDescent="0.35">
      <c r="A60" s="10">
        <v>17</v>
      </c>
      <c r="B60" s="14" t="s">
        <v>906</v>
      </c>
      <c r="C60" s="15">
        <v>7328.33</v>
      </c>
      <c r="D60" s="20">
        <v>280</v>
      </c>
      <c r="E60" s="21">
        <v>2</v>
      </c>
      <c r="F60" s="16">
        <v>5216795.97</v>
      </c>
    </row>
    <row r="61" spans="1:6" ht="23.25" x14ac:dyDescent="0.35">
      <c r="A61" s="10">
        <v>18</v>
      </c>
      <c r="B61" s="14" t="s">
        <v>1285</v>
      </c>
      <c r="C61" s="15">
        <v>418.1</v>
      </c>
      <c r="D61" s="20">
        <v>12</v>
      </c>
      <c r="E61" s="21">
        <v>1</v>
      </c>
      <c r="F61" s="16">
        <v>222759.59</v>
      </c>
    </row>
    <row r="62" spans="1:6" ht="23.25" x14ac:dyDescent="0.35">
      <c r="A62" s="10">
        <v>19</v>
      </c>
      <c r="B62" s="14" t="s">
        <v>915</v>
      </c>
      <c r="C62" s="15">
        <v>344.6</v>
      </c>
      <c r="D62" s="20">
        <v>15</v>
      </c>
      <c r="E62" s="21">
        <v>1</v>
      </c>
      <c r="F62" s="16">
        <v>137654.99000000002</v>
      </c>
    </row>
    <row r="63" spans="1:6" ht="23.25" x14ac:dyDescent="0.35">
      <c r="A63" s="10">
        <v>20</v>
      </c>
      <c r="B63" s="14" t="s">
        <v>871</v>
      </c>
      <c r="C63" s="15">
        <v>719.4</v>
      </c>
      <c r="D63" s="20">
        <v>30</v>
      </c>
      <c r="E63" s="21">
        <v>1</v>
      </c>
      <c r="F63" s="16">
        <v>58502.98</v>
      </c>
    </row>
    <row r="64" spans="1:6" ht="23.25" x14ac:dyDescent="0.35">
      <c r="A64" s="10">
        <v>21</v>
      </c>
      <c r="B64" s="14" t="s">
        <v>886</v>
      </c>
      <c r="C64" s="15">
        <v>930</v>
      </c>
      <c r="D64" s="20">
        <v>45</v>
      </c>
      <c r="E64" s="21">
        <v>1</v>
      </c>
      <c r="F64" s="16">
        <v>39037.31</v>
      </c>
    </row>
    <row r="65" spans="1:6" ht="23.25" x14ac:dyDescent="0.35">
      <c r="A65" s="10">
        <v>22</v>
      </c>
      <c r="B65" s="14" t="s">
        <v>866</v>
      </c>
      <c r="C65" s="15">
        <v>1000</v>
      </c>
      <c r="D65" s="20">
        <v>54</v>
      </c>
      <c r="E65" s="21">
        <v>2</v>
      </c>
      <c r="F65" s="16">
        <v>98453.75</v>
      </c>
    </row>
    <row r="66" spans="1:6" ht="23.25" x14ac:dyDescent="0.35">
      <c r="A66" s="10">
        <v>23</v>
      </c>
      <c r="B66" s="14" t="s">
        <v>1281</v>
      </c>
      <c r="C66" s="15">
        <v>1707.6</v>
      </c>
      <c r="D66" s="20">
        <v>83</v>
      </c>
      <c r="E66" s="21">
        <v>1</v>
      </c>
      <c r="F66" s="16">
        <v>5231.2299999999996</v>
      </c>
    </row>
    <row r="67" spans="1:6" ht="23.25" x14ac:dyDescent="0.35">
      <c r="A67" s="10">
        <v>24</v>
      </c>
      <c r="B67" s="14" t="s">
        <v>879</v>
      </c>
      <c r="C67" s="15">
        <v>773.3</v>
      </c>
      <c r="D67" s="20">
        <v>25</v>
      </c>
      <c r="E67" s="21">
        <v>1</v>
      </c>
      <c r="F67" s="16">
        <v>185435</v>
      </c>
    </row>
    <row r="68" spans="1:6" ht="23.25" x14ac:dyDescent="0.35">
      <c r="A68" s="10">
        <v>25</v>
      </c>
      <c r="B68" s="14" t="s">
        <v>881</v>
      </c>
      <c r="C68" s="15">
        <v>2034.7</v>
      </c>
      <c r="D68" s="20">
        <v>104</v>
      </c>
      <c r="E68" s="21">
        <v>1</v>
      </c>
      <c r="F68" s="16">
        <v>4030893.68</v>
      </c>
    </row>
    <row r="69" spans="1:6" ht="23.25" x14ac:dyDescent="0.35">
      <c r="A69" s="10">
        <v>26</v>
      </c>
      <c r="B69" s="14" t="s">
        <v>844</v>
      </c>
      <c r="C69" s="15">
        <v>4570.2</v>
      </c>
      <c r="D69" s="20">
        <v>279</v>
      </c>
      <c r="E69" s="21">
        <v>1</v>
      </c>
      <c r="F69" s="16">
        <v>714491</v>
      </c>
    </row>
  </sheetData>
  <mergeCells count="11">
    <mergeCell ref="A42:F42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Реестр</vt:lpstr>
      <vt:lpstr>Перечень</vt:lpstr>
      <vt:lpstr>Рес обесп</vt:lpstr>
      <vt:lpstr>Плановые показатели</vt:lpstr>
      <vt:lpstr>Спец.счета КП 2020-2022</vt:lpstr>
      <vt:lpstr>Зачет</vt:lpstr>
      <vt:lpstr>Реестр_бонусы</vt:lpstr>
      <vt:lpstr>Перечень_бонусы</vt:lpstr>
      <vt:lpstr>Планируемые показат_бонусы</vt:lpstr>
      <vt:lpstr>Лист1</vt:lpstr>
      <vt:lpstr>Зачет!Область_печати</vt:lpstr>
      <vt:lpstr>Перечень!Область_печати</vt:lpstr>
      <vt:lpstr>Реестр!Область_печати</vt:lpstr>
      <vt:lpstr>'Рес обесп'!Область_печати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2023-04-20T10:16:57Z</cp:lastPrinted>
  <dcterms:created xsi:type="dcterms:W3CDTF">2019-03-21T15:19:46Z</dcterms:created>
  <dcterms:modified xsi:type="dcterms:W3CDTF">2023-04-20T10:21:37Z</dcterms:modified>
</cp:coreProperties>
</file>